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01"/>
  <workbookPr/>
  <mc:AlternateContent xmlns:mc="http://schemas.openxmlformats.org/markup-compatibility/2006">
    <mc:Choice Requires="x15">
      <x15ac:absPath xmlns:x15ac="http://schemas.microsoft.com/office/spreadsheetml/2010/11/ac" url="C:\Users\Usuario\Documents\"/>
    </mc:Choice>
  </mc:AlternateContent>
  <xr:revisionPtr revIDLastSave="11747" documentId="13_ncr:1_{6CA3D79D-795D-4685-B079-2F3C01B8F185}" xr6:coauthVersionLast="47" xr6:coauthVersionMax="47" xr10:uidLastSave="{A33A6D94-DB61-4C76-945E-B0C53EEC2D09}"/>
  <bookViews>
    <workbookView xWindow="-120" yWindow="-120" windowWidth="20730" windowHeight="11160" tabRatio="594" firstSheet="7" activeTab="6" xr2:uid="{00000000-000D-0000-FFFF-FFFF00000000}"/>
  </bookViews>
  <sheets>
    <sheet name="Ventas Diarias" sheetId="16" state="hidden" r:id="rId1"/>
    <sheet name="Ventas Semanales" sheetId="8" state="hidden" r:id="rId2"/>
    <sheet name="Ventas Mensuales" sheetId="15" state="hidden" r:id="rId3"/>
    <sheet name="Tendencia" sheetId="32" r:id="rId4"/>
    <sheet name="Hoja1" sheetId="36" r:id="rId5"/>
    <sheet name="Vtas Diarias 2021" sheetId="28" r:id="rId6"/>
    <sheet name="Proy 2021 vs 2019 Sem" sheetId="25" r:id="rId7"/>
    <sheet name="Hoja2" sheetId="37" r:id="rId8"/>
    <sheet name="Tabla de proyecciones 2021" sheetId="33" r:id="rId9"/>
    <sheet name="Tabla de metas 2021" sheetId="34" r:id="rId10"/>
    <sheet name="Tabla de metas por marca" sheetId="35" r:id="rId11"/>
    <sheet name="Pronostico Dispersión" sheetId="27" r:id="rId12"/>
    <sheet name="Vtas Diarias 2022" sheetId="30" r:id="rId13"/>
    <sheet name="Comparativo Paul MLA" sheetId="24" r:id="rId14"/>
    <sheet name="Proy 2022 vs 2019 sem" sheetId="29" r:id="rId15"/>
    <sheet name="PR" sheetId="20" state="hidden" r:id="rId16"/>
    <sheet name="GO" sheetId="22" state="hidden" r:id="rId17"/>
    <sheet name="IM" sheetId="23" state="hidden" r:id="rId18"/>
    <sheet name="total tiendas" sheetId="26" state="hidden" r:id="rId19"/>
    <sheet name="Comparativo Proyeccion de Venta" sheetId="31" r:id="rId20"/>
  </sheets>
  <definedNames>
    <definedName name="_xlnm._FilterDatabase" localSheetId="15" hidden="1">PR!$A$12:$X$50</definedName>
    <definedName name="_xlnm._FilterDatabase" localSheetId="6" hidden="1">'Proy 2021 vs 2019 Sem'!$DF$66:$DI$66</definedName>
    <definedName name="_xlnm._FilterDatabase" localSheetId="14" hidden="1">'Proy 2022 vs 2019 sem'!$DF$98:$DI$98</definedName>
    <definedName name="_xlnm._FilterDatabase" localSheetId="18" hidden="1">'total tiendas'!$A$2:$C$2</definedName>
    <definedName name="_xlnm._FilterDatabase" localSheetId="0" hidden="1">'Ventas Diarias'!$IZ$24:$JC$24</definedName>
    <definedName name="_xlnm._FilterDatabase" localSheetId="1" hidden="1">'Ventas Semanales'!$DQ$77:$DU$77</definedName>
    <definedName name="_xlnm.Print_Area" localSheetId="6">'Proy 2021 vs 2019 Sem'!$KZ$2:$LF$35</definedName>
    <definedName name="_xlnm.Print_Area" localSheetId="2">'Ventas Mensuales'!$B$1:$BS$39</definedName>
    <definedName name="_xlnm.Print_Area" localSheetId="1">'Ventas Semanales'!$B$1:$JC$36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G24" i="25" l="1"/>
  <c r="A25" i="37"/>
  <c r="A24" i="37"/>
  <c r="A23" i="37"/>
  <c r="A22" i="37"/>
  <c r="A21" i="37"/>
  <c r="A20" i="37"/>
  <c r="A19" i="37"/>
  <c r="A18" i="37"/>
  <c r="A17" i="37"/>
  <c r="A16" i="37"/>
  <c r="A15" i="37"/>
  <c r="A14" i="37"/>
  <c r="A13" i="37"/>
  <c r="A12" i="37"/>
  <c r="A11" i="37"/>
  <c r="A10" i="37"/>
  <c r="A9" i="37"/>
  <c r="A8" i="37"/>
  <c r="A7" i="37"/>
  <c r="A6" i="37"/>
  <c r="A5" i="37"/>
  <c r="A4" i="37"/>
  <c r="A3" i="37"/>
  <c r="A2" i="37"/>
  <c r="A1" i="37"/>
  <c r="LH28" i="25"/>
  <c r="LH26" i="25"/>
  <c r="LG34" i="25"/>
  <c r="KW6" i="25"/>
  <c r="KW7" i="25"/>
  <c r="KW8" i="25"/>
  <c r="KW9" i="25"/>
  <c r="KW10" i="25"/>
  <c r="KW11" i="25"/>
  <c r="KW12" i="25"/>
  <c r="KW13" i="25"/>
  <c r="KW14" i="25"/>
  <c r="KW15" i="25"/>
  <c r="KW16" i="25"/>
  <c r="KW17" i="25"/>
  <c r="KW18" i="25"/>
  <c r="KW19" i="25"/>
  <c r="KW20" i="25"/>
  <c r="KW21" i="25"/>
  <c r="KW22" i="25"/>
  <c r="KW23" i="25"/>
  <c r="KW24" i="25"/>
  <c r="KW26" i="25"/>
  <c r="KW27" i="25"/>
  <c r="KW28" i="25"/>
  <c r="KW29" i="25"/>
  <c r="KW30" i="25"/>
  <c r="KW31" i="25"/>
  <c r="KW32" i="25"/>
  <c r="KW33" i="25"/>
  <c r="KW34" i="25"/>
  <c r="KW25" i="25"/>
  <c r="Y49" i="25"/>
  <c r="AW49" i="25"/>
  <c r="BZ49" i="25"/>
  <c r="CX49" i="25"/>
  <c r="DV49" i="25"/>
  <c r="EY49" i="25"/>
  <c r="FW49" i="25"/>
  <c r="GU49" i="25"/>
  <c r="HX49" i="25"/>
  <c r="IV49" i="25"/>
  <c r="JU49" i="25"/>
  <c r="KX49" i="25"/>
  <c r="Y44" i="25"/>
  <c r="Y43" i="25"/>
  <c r="Y45" i="25" s="1"/>
  <c r="AW44" i="25"/>
  <c r="AW43" i="25"/>
  <c r="AW45" i="25" s="1"/>
  <c r="LH45" i="25"/>
  <c r="LE34" i="25"/>
  <c r="LE33" i="25"/>
  <c r="LE32" i="25"/>
  <c r="LE31" i="25"/>
  <c r="LE30" i="25"/>
  <c r="LE29" i="25"/>
  <c r="LE28" i="25"/>
  <c r="LE27" i="25"/>
  <c r="LE26" i="25"/>
  <c r="LE25" i="25"/>
  <c r="J728" i="32"/>
  <c r="J730" i="32"/>
  <c r="J729" i="32"/>
  <c r="J727" i="32"/>
  <c r="J726" i="32"/>
  <c r="J725" i="32"/>
  <c r="J724" i="32"/>
  <c r="J723" i="32"/>
  <c r="J722" i="32"/>
  <c r="J721" i="32"/>
  <c r="J719" i="32"/>
  <c r="J718" i="32"/>
  <c r="J720" i="32"/>
  <c r="J717" i="32"/>
  <c r="J716" i="32"/>
  <c r="H727" i="32"/>
  <c r="H728" i="32"/>
  <c r="H729" i="32"/>
  <c r="H730" i="32"/>
  <c r="F37" i="36"/>
  <c r="J17" i="36"/>
  <c r="J25" i="36"/>
  <c r="J24" i="36"/>
  <c r="M21" i="36"/>
  <c r="M20" i="36"/>
  <c r="M19" i="36"/>
  <c r="M18" i="36"/>
  <c r="K19" i="36"/>
  <c r="K20" i="36"/>
  <c r="K21" i="36"/>
  <c r="K22" i="36"/>
  <c r="K23" i="36"/>
  <c r="K24" i="36"/>
  <c r="K25" i="36"/>
  <c r="K18" i="36"/>
  <c r="J715" i="32"/>
  <c r="F21" i="36"/>
  <c r="F20" i="36"/>
  <c r="F19" i="36"/>
  <c r="F18" i="36"/>
  <c r="F17" i="36"/>
  <c r="F16" i="36"/>
  <c r="F15" i="36"/>
  <c r="F14" i="36"/>
  <c r="J714" i="32"/>
  <c r="J713" i="32"/>
  <c r="J712" i="32"/>
  <c r="J711" i="32"/>
  <c r="J710" i="32"/>
  <c r="J709" i="32"/>
  <c r="J708" i="32"/>
  <c r="E32" i="36"/>
  <c r="E31" i="36"/>
  <c r="E30" i="36"/>
  <c r="J26" i="36" s="1"/>
  <c r="J28" i="36" s="1"/>
  <c r="F13" i="36"/>
  <c r="F12" i="36"/>
  <c r="F11" i="36"/>
  <c r="F10" i="36"/>
  <c r="F9" i="36"/>
  <c r="F8" i="36"/>
  <c r="F7" i="36"/>
  <c r="F6" i="36"/>
  <c r="F5" i="36"/>
  <c r="F4" i="36"/>
  <c r="F3" i="36"/>
  <c r="F2" i="36"/>
  <c r="D37" i="36"/>
  <c r="J707" i="32"/>
  <c r="J706" i="32"/>
  <c r="J705" i="32"/>
  <c r="J704" i="32"/>
  <c r="J703" i="32"/>
  <c r="J702" i="32"/>
  <c r="J701" i="32"/>
  <c r="J700" i="32"/>
  <c r="J699" i="32"/>
  <c r="J698" i="32"/>
  <c r="F731" i="32"/>
  <c r="JT7" i="25"/>
  <c r="JT8" i="25"/>
  <c r="JT9" i="25"/>
  <c r="JT10" i="25"/>
  <c r="JT11" i="25"/>
  <c r="JT12" i="25"/>
  <c r="JT13" i="25"/>
  <c r="JT14" i="25"/>
  <c r="JT15" i="25"/>
  <c r="JT16" i="25"/>
  <c r="JT17" i="25"/>
  <c r="JT18" i="25"/>
  <c r="JT19" i="25"/>
  <c r="JT20" i="25"/>
  <c r="JT21" i="25"/>
  <c r="JT22" i="25"/>
  <c r="JT23" i="25"/>
  <c r="JT24" i="25"/>
  <c r="JT25" i="25"/>
  <c r="JT26" i="25"/>
  <c r="JT27" i="25"/>
  <c r="JT28" i="25"/>
  <c r="JT29" i="25"/>
  <c r="JT30" i="25"/>
  <c r="JT31" i="25"/>
  <c r="JT32" i="25"/>
  <c r="JT33" i="25"/>
  <c r="JT34" i="25"/>
  <c r="JT6" i="25"/>
  <c r="JX6" i="25"/>
  <c r="BA34" i="34" s="1"/>
  <c r="J697" i="32"/>
  <c r="J696" i="32"/>
  <c r="J695" i="32"/>
  <c r="J694" i="32"/>
  <c r="J693" i="32"/>
  <c r="J692" i="32"/>
  <c r="J691" i="32"/>
  <c r="J690" i="32"/>
  <c r="JN6" i="25"/>
  <c r="J689" i="32"/>
  <c r="J688" i="32"/>
  <c r="J687" i="32"/>
  <c r="J686" i="32"/>
  <c r="J685" i="32"/>
  <c r="J684" i="32"/>
  <c r="M686" i="32"/>
  <c r="M685" i="32"/>
  <c r="M684" i="32"/>
  <c r="J683" i="32"/>
  <c r="J682" i="32"/>
  <c r="J681" i="32"/>
  <c r="H681" i="32"/>
  <c r="J680" i="32"/>
  <c r="BT26" i="25"/>
  <c r="J675" i="32"/>
  <c r="J679" i="32"/>
  <c r="J678" i="32"/>
  <c r="J677" i="32"/>
  <c r="M676" i="32"/>
  <c r="J672" i="32"/>
  <c r="J673" i="32"/>
  <c r="J674" i="32"/>
  <c r="J676" i="32"/>
  <c r="M677" i="32"/>
  <c r="M678" i="32"/>
  <c r="M679" i="32"/>
  <c r="AAH7" i="28"/>
  <c r="M642" i="32"/>
  <c r="J671" i="32"/>
  <c r="J670" i="32"/>
  <c r="J669" i="32"/>
  <c r="J668" i="32"/>
  <c r="KR17" i="25"/>
  <c r="KM17" i="25"/>
  <c r="KH17" i="25"/>
  <c r="KC17" i="25"/>
  <c r="JX17" i="25"/>
  <c r="JN17" i="25"/>
  <c r="JI17" i="25"/>
  <c r="JD17" i="25"/>
  <c r="IY17" i="25"/>
  <c r="IY6" i="25"/>
  <c r="IU7" i="25"/>
  <c r="IU8" i="25"/>
  <c r="IU9" i="25"/>
  <c r="IU10" i="25"/>
  <c r="IU11" i="25"/>
  <c r="IU12" i="25"/>
  <c r="IU13" i="25"/>
  <c r="IU14" i="25"/>
  <c r="IU15" i="25"/>
  <c r="IU16" i="25"/>
  <c r="IU17" i="25"/>
  <c r="IU18" i="25"/>
  <c r="IU19" i="25"/>
  <c r="IU20" i="25"/>
  <c r="IU21" i="25"/>
  <c r="IU22" i="25"/>
  <c r="IU23" i="25"/>
  <c r="IU24" i="25"/>
  <c r="IU25" i="25"/>
  <c r="IU26" i="25"/>
  <c r="IU27" i="25"/>
  <c r="IU28" i="25"/>
  <c r="IU29" i="25"/>
  <c r="IU30" i="25"/>
  <c r="IU31" i="25"/>
  <c r="IU32" i="25"/>
  <c r="IU33" i="25"/>
  <c r="IU34" i="25"/>
  <c r="IU6" i="25"/>
  <c r="J667" i="32"/>
  <c r="J665" i="32"/>
  <c r="J666" i="32"/>
  <c r="J664" i="32"/>
  <c r="J663" i="32"/>
  <c r="HZ43" i="25"/>
  <c r="CE53" i="35"/>
  <c r="BC42" i="35"/>
  <c r="AA42" i="35"/>
  <c r="CE13" i="35"/>
  <c r="CD13" i="35"/>
  <c r="CC13" i="35"/>
  <c r="CB13" i="35"/>
  <c r="CA13" i="35"/>
  <c r="BZ13" i="35"/>
  <c r="BY13" i="35"/>
  <c r="BC2" i="35"/>
  <c r="BB2" i="35"/>
  <c r="BA2" i="35"/>
  <c r="AZ2" i="35"/>
  <c r="AY2" i="35"/>
  <c r="AX2" i="35"/>
  <c r="AW2" i="35"/>
  <c r="AA2" i="35"/>
  <c r="Z2" i="35"/>
  <c r="Y2" i="35"/>
  <c r="X2" i="35"/>
  <c r="W2" i="35"/>
  <c r="V2" i="35"/>
  <c r="U2" i="35"/>
  <c r="J662" i="32"/>
  <c r="J659" i="32"/>
  <c r="J660" i="32"/>
  <c r="J661" i="32"/>
  <c r="J658" i="32"/>
  <c r="J657" i="32"/>
  <c r="KH12" i="25"/>
  <c r="BQ48" i="35" s="1"/>
  <c r="KC12" i="25"/>
  <c r="BJ48" i="35" s="1"/>
  <c r="J656" i="32"/>
  <c r="CC45" i="34"/>
  <c r="BO40" i="34"/>
  <c r="BH40" i="34"/>
  <c r="Y34" i="34"/>
  <c r="CC13" i="34"/>
  <c r="CB13" i="34"/>
  <c r="CA13" i="34"/>
  <c r="BZ13" i="34"/>
  <c r="BY13" i="34"/>
  <c r="BX13" i="34"/>
  <c r="BW13" i="34"/>
  <c r="BO8" i="34"/>
  <c r="BN8" i="34"/>
  <c r="BM8" i="34"/>
  <c r="BL8" i="34"/>
  <c r="BK8" i="34"/>
  <c r="BJ8" i="34"/>
  <c r="BI8" i="34"/>
  <c r="BH8" i="34"/>
  <c r="BG8" i="34"/>
  <c r="BF8" i="34"/>
  <c r="BE8" i="34"/>
  <c r="BD8" i="34"/>
  <c r="BC8" i="34"/>
  <c r="BB8" i="34"/>
  <c r="BA2" i="34"/>
  <c r="AZ2" i="34"/>
  <c r="AY2" i="34"/>
  <c r="AX2" i="34"/>
  <c r="AW2" i="34"/>
  <c r="AV2" i="34"/>
  <c r="AU2" i="34"/>
  <c r="Y2" i="34"/>
  <c r="X2" i="34"/>
  <c r="W2" i="34"/>
  <c r="V2" i="34"/>
  <c r="U2" i="34"/>
  <c r="T2" i="34"/>
  <c r="S2" i="34"/>
  <c r="J655" i="32"/>
  <c r="XV35" i="28"/>
  <c r="O642" i="32"/>
  <c r="N642" i="32"/>
  <c r="K654" i="32"/>
  <c r="J654" i="32"/>
  <c r="G654" i="32"/>
  <c r="K653" i="32"/>
  <c r="J653" i="32"/>
  <c r="G653" i="32"/>
  <c r="K652" i="32"/>
  <c r="J652" i="32"/>
  <c r="XE40" i="28"/>
  <c r="XE39" i="28"/>
  <c r="XE38" i="28"/>
  <c r="XE44" i="28"/>
  <c r="XE43" i="28"/>
  <c r="XE47" i="28"/>
  <c r="J651" i="32"/>
  <c r="CC45" i="33"/>
  <c r="BO40" i="33"/>
  <c r="BH40" i="33"/>
  <c r="BA34" i="33"/>
  <c r="Y34" i="33"/>
  <c r="J650" i="32"/>
  <c r="KZ34" i="25"/>
  <c r="KZ6" i="25"/>
  <c r="J649" i="32"/>
  <c r="IU44" i="25"/>
  <c r="IU43" i="25"/>
  <c r="IU45" i="25" s="1"/>
  <c r="IU41" i="25"/>
  <c r="IU40" i="25"/>
  <c r="IU39" i="25"/>
  <c r="IU38" i="25"/>
  <c r="IU47" i="25"/>
  <c r="IO44" i="25"/>
  <c r="IO43" i="25"/>
  <c r="IO45" i="25" s="1"/>
  <c r="IO41" i="25"/>
  <c r="IO47" i="25" s="1"/>
  <c r="IO40" i="25"/>
  <c r="IO39" i="25"/>
  <c r="IO38" i="25"/>
  <c r="IJ44" i="25"/>
  <c r="IJ43" i="25"/>
  <c r="IJ45" i="25" s="1"/>
  <c r="IJ41" i="25"/>
  <c r="IJ47" i="25" s="1"/>
  <c r="IJ40" i="25"/>
  <c r="IJ39" i="25"/>
  <c r="IJ38" i="25"/>
  <c r="IE44" i="25"/>
  <c r="IE43" i="25"/>
  <c r="IE45" i="25" s="1"/>
  <c r="IE41" i="25"/>
  <c r="IE47" i="25" s="1"/>
  <c r="IE40" i="25"/>
  <c r="IE39" i="25"/>
  <c r="IE38" i="25"/>
  <c r="HZ44" i="25"/>
  <c r="HZ45" i="25"/>
  <c r="HZ41" i="25"/>
  <c r="HZ47" i="25" s="1"/>
  <c r="HZ40" i="25"/>
  <c r="HZ39" i="25"/>
  <c r="HZ38" i="25"/>
  <c r="J648" i="32"/>
  <c r="J647" i="32"/>
  <c r="K648" i="32"/>
  <c r="J646" i="32"/>
  <c r="J645" i="32"/>
  <c r="KR34" i="25"/>
  <c r="KR33" i="25"/>
  <c r="KR32" i="25"/>
  <c r="KR31" i="25"/>
  <c r="KR30" i="25"/>
  <c r="KR29" i="25"/>
  <c r="KR28" i="25"/>
  <c r="KR27" i="25"/>
  <c r="KR26" i="25"/>
  <c r="KR25" i="25"/>
  <c r="KR24" i="25"/>
  <c r="KR23" i="25"/>
  <c r="KR22" i="25"/>
  <c r="KR21" i="25"/>
  <c r="KR20" i="25"/>
  <c r="KR19" i="25"/>
  <c r="KR18" i="25"/>
  <c r="KR16" i="25"/>
  <c r="KR15" i="25"/>
  <c r="KR14" i="25"/>
  <c r="KR13" i="25"/>
  <c r="KR12" i="25"/>
  <c r="KR11" i="25"/>
  <c r="KR10" i="25"/>
  <c r="KR9" i="25"/>
  <c r="KR8" i="25"/>
  <c r="KR7" i="25"/>
  <c r="KR6" i="25"/>
  <c r="KM34" i="25"/>
  <c r="KM33" i="25"/>
  <c r="KM32" i="25"/>
  <c r="KM31" i="25"/>
  <c r="KM30" i="25"/>
  <c r="KM29" i="25"/>
  <c r="KM28" i="25"/>
  <c r="KM27" i="25"/>
  <c r="KM26" i="25"/>
  <c r="KM25" i="25"/>
  <c r="KM24" i="25"/>
  <c r="KM23" i="25"/>
  <c r="KM22" i="25"/>
  <c r="KM21" i="25"/>
  <c r="KM20" i="25"/>
  <c r="KM19" i="25"/>
  <c r="KM18" i="25"/>
  <c r="KM16" i="25"/>
  <c r="KM15" i="25"/>
  <c r="KM14" i="25"/>
  <c r="KM13" i="25"/>
  <c r="KM12" i="25"/>
  <c r="KM11" i="25"/>
  <c r="KM10" i="25"/>
  <c r="KM9" i="25"/>
  <c r="KM8" i="25"/>
  <c r="KM7" i="25"/>
  <c r="KM6" i="25"/>
  <c r="KH34" i="25"/>
  <c r="KH33" i="25"/>
  <c r="KH32" i="25"/>
  <c r="KH31" i="25"/>
  <c r="KH30" i="25"/>
  <c r="KH29" i="25"/>
  <c r="KH28" i="25"/>
  <c r="KH27" i="25"/>
  <c r="KH26" i="25"/>
  <c r="KH25" i="25"/>
  <c r="KH24" i="25"/>
  <c r="KH23" i="25"/>
  <c r="KH22" i="25"/>
  <c r="KH21" i="25"/>
  <c r="KH20" i="25"/>
  <c r="KH19" i="25"/>
  <c r="KH18" i="25"/>
  <c r="KH16" i="25"/>
  <c r="KH15" i="25"/>
  <c r="KH14" i="25"/>
  <c r="KH13" i="25"/>
  <c r="KH11" i="25"/>
  <c r="KH10" i="25"/>
  <c r="KH9" i="25"/>
  <c r="KH8" i="25"/>
  <c r="KH7" i="25"/>
  <c r="KH6" i="25"/>
  <c r="KC34" i="25"/>
  <c r="KC33" i="25"/>
  <c r="KC32" i="25"/>
  <c r="KC31" i="25"/>
  <c r="KC30" i="25"/>
  <c r="KC29" i="25"/>
  <c r="KC28" i="25"/>
  <c r="KC27" i="25"/>
  <c r="KC26" i="25"/>
  <c r="KC25" i="25"/>
  <c r="KC24" i="25"/>
  <c r="KC23" i="25"/>
  <c r="KC22" i="25"/>
  <c r="KC21" i="25"/>
  <c r="KC20" i="25"/>
  <c r="KC19" i="25"/>
  <c r="KC18" i="25"/>
  <c r="KC16" i="25"/>
  <c r="KC15" i="25"/>
  <c r="KC14" i="25"/>
  <c r="KC13" i="25"/>
  <c r="KC11" i="25"/>
  <c r="KC10" i="25"/>
  <c r="KC9" i="25"/>
  <c r="KC8" i="25"/>
  <c r="KC7" i="25"/>
  <c r="KC6" i="25"/>
  <c r="JX34" i="25"/>
  <c r="JX33" i="25"/>
  <c r="JX32" i="25"/>
  <c r="JX31" i="25"/>
  <c r="JX30" i="25"/>
  <c r="JX29" i="25"/>
  <c r="JX28" i="25"/>
  <c r="JX27" i="25"/>
  <c r="JX26" i="25"/>
  <c r="JX25" i="25"/>
  <c r="JX24" i="25"/>
  <c r="JX23" i="25"/>
  <c r="JX22" i="25"/>
  <c r="JX21" i="25"/>
  <c r="JX20" i="25"/>
  <c r="JX19" i="25"/>
  <c r="JX18" i="25"/>
  <c r="JX16" i="25"/>
  <c r="JX15" i="25"/>
  <c r="JX14" i="25"/>
  <c r="JX13" i="25"/>
  <c r="JX12" i="25"/>
  <c r="JX11" i="25"/>
  <c r="JX10" i="25"/>
  <c r="JX9" i="25"/>
  <c r="JX8" i="25"/>
  <c r="JX7" i="25"/>
  <c r="JN34" i="25"/>
  <c r="JN33" i="25"/>
  <c r="JN32" i="25"/>
  <c r="JN31" i="25"/>
  <c r="JN30" i="25"/>
  <c r="JN29" i="25"/>
  <c r="JN28" i="25"/>
  <c r="JN27" i="25"/>
  <c r="JN26" i="25"/>
  <c r="JN25" i="25"/>
  <c r="JN24" i="25"/>
  <c r="JN23" i="25"/>
  <c r="JN22" i="25"/>
  <c r="JN21" i="25"/>
  <c r="JN20" i="25"/>
  <c r="JN19" i="25"/>
  <c r="JN18" i="25"/>
  <c r="JN16" i="25"/>
  <c r="JN15" i="25"/>
  <c r="JN14" i="25"/>
  <c r="JN13" i="25"/>
  <c r="JN12" i="25"/>
  <c r="JN11" i="25"/>
  <c r="JN10" i="25"/>
  <c r="JN9" i="25"/>
  <c r="JN8" i="25"/>
  <c r="JN7" i="25"/>
  <c r="JI34" i="25"/>
  <c r="JI33" i="25"/>
  <c r="JI32" i="25"/>
  <c r="JI31" i="25"/>
  <c r="JI30" i="25"/>
  <c r="JI29" i="25"/>
  <c r="JI28" i="25"/>
  <c r="JI27" i="25"/>
  <c r="JI26" i="25"/>
  <c r="JI25" i="25"/>
  <c r="JI24" i="25"/>
  <c r="JI23" i="25"/>
  <c r="JI22" i="25"/>
  <c r="JI21" i="25"/>
  <c r="JI20" i="25"/>
  <c r="JI19" i="25"/>
  <c r="JI18" i="25"/>
  <c r="JI16" i="25"/>
  <c r="JI15" i="25"/>
  <c r="JI14" i="25"/>
  <c r="JI13" i="25"/>
  <c r="JI12" i="25"/>
  <c r="JI11" i="25"/>
  <c r="JI10" i="25"/>
  <c r="JI9" i="25"/>
  <c r="JI8" i="25"/>
  <c r="JI7" i="25"/>
  <c r="JI6" i="25"/>
  <c r="JD34" i="25"/>
  <c r="JD33" i="25"/>
  <c r="JD32" i="25"/>
  <c r="JD31" i="25"/>
  <c r="JD30" i="25"/>
  <c r="JD29" i="25"/>
  <c r="JD28" i="25"/>
  <c r="JD27" i="25"/>
  <c r="JD26" i="25"/>
  <c r="JD25" i="25"/>
  <c r="JD24" i="25"/>
  <c r="JD23" i="25"/>
  <c r="JD22" i="25"/>
  <c r="JD21" i="25"/>
  <c r="JD20" i="25"/>
  <c r="JD19" i="25"/>
  <c r="JD18" i="25"/>
  <c r="JD16" i="25"/>
  <c r="JD15" i="25"/>
  <c r="JD14" i="25"/>
  <c r="JD13" i="25"/>
  <c r="JD12" i="25"/>
  <c r="JD11" i="25"/>
  <c r="JD10" i="25"/>
  <c r="JD9" i="25"/>
  <c r="JD8" i="25"/>
  <c r="JD7" i="25"/>
  <c r="JD6" i="25"/>
  <c r="IY34" i="25"/>
  <c r="IY33" i="25"/>
  <c r="IY32" i="25"/>
  <c r="IY31" i="25"/>
  <c r="IY30" i="25"/>
  <c r="IY29" i="25"/>
  <c r="IY28" i="25"/>
  <c r="IY27" i="25"/>
  <c r="IY26" i="25"/>
  <c r="IY25" i="25"/>
  <c r="IY24" i="25"/>
  <c r="IY23" i="25"/>
  <c r="IY22" i="25"/>
  <c r="IY21" i="25"/>
  <c r="IY20" i="25"/>
  <c r="IY19" i="25"/>
  <c r="IY18" i="25"/>
  <c r="IY16" i="25"/>
  <c r="IY15" i="25"/>
  <c r="IY14" i="25"/>
  <c r="IY13" i="25"/>
  <c r="IY12" i="25"/>
  <c r="IY11" i="25"/>
  <c r="IY10" i="25"/>
  <c r="IY9" i="25"/>
  <c r="IY8" i="25"/>
  <c r="IY7" i="25"/>
  <c r="IP34" i="25"/>
  <c r="IP33" i="25"/>
  <c r="IP32" i="25"/>
  <c r="IP31" i="25"/>
  <c r="IP30" i="25"/>
  <c r="IP29" i="25"/>
  <c r="IP28" i="25"/>
  <c r="IP27" i="25"/>
  <c r="IP26" i="25"/>
  <c r="IP25" i="25"/>
  <c r="IP24" i="25"/>
  <c r="IP23" i="25"/>
  <c r="IP22" i="25"/>
  <c r="IP21" i="25"/>
  <c r="IP20" i="25"/>
  <c r="IP19" i="25"/>
  <c r="IP18" i="25"/>
  <c r="IP16" i="25"/>
  <c r="IP15" i="25"/>
  <c r="IP14" i="25"/>
  <c r="IP13" i="25"/>
  <c r="IP12" i="25"/>
  <c r="IP11" i="25"/>
  <c r="IP10" i="25"/>
  <c r="IP9" i="25"/>
  <c r="IP8" i="25"/>
  <c r="IP7" i="25"/>
  <c r="IP6" i="25"/>
  <c r="IK34" i="25"/>
  <c r="IK33" i="25"/>
  <c r="IK32" i="25"/>
  <c r="IK31" i="25"/>
  <c r="IK30" i="25"/>
  <c r="IK29" i="25"/>
  <c r="IK28" i="25"/>
  <c r="IK27" i="25"/>
  <c r="IK26" i="25"/>
  <c r="IK25" i="25"/>
  <c r="IK24" i="25"/>
  <c r="IK23" i="25"/>
  <c r="IK22" i="25"/>
  <c r="IK21" i="25"/>
  <c r="IK20" i="25"/>
  <c r="IK19" i="25"/>
  <c r="IK18" i="25"/>
  <c r="IK16" i="25"/>
  <c r="IK15" i="25"/>
  <c r="IK14" i="25"/>
  <c r="IK13" i="25"/>
  <c r="IK12" i="25"/>
  <c r="IK11" i="25"/>
  <c r="IK10" i="25"/>
  <c r="IK9" i="25"/>
  <c r="IK8" i="25"/>
  <c r="IK7" i="25"/>
  <c r="IK6" i="25"/>
  <c r="IF34" i="25"/>
  <c r="IF33" i="25"/>
  <c r="IF32" i="25"/>
  <c r="IF31" i="25"/>
  <c r="IF30" i="25"/>
  <c r="IF44" i="25" s="1"/>
  <c r="IF29" i="25"/>
  <c r="IF28" i="25"/>
  <c r="IF27" i="25"/>
  <c r="IF26" i="25"/>
  <c r="IF25" i="25"/>
  <c r="IF43" i="25" s="1"/>
  <c r="IF24" i="25"/>
  <c r="IF23" i="25"/>
  <c r="IF22" i="25"/>
  <c r="IF21" i="25"/>
  <c r="IF20" i="25"/>
  <c r="IF19" i="25"/>
  <c r="IF18" i="25"/>
  <c r="IF16" i="25"/>
  <c r="IF15" i="25"/>
  <c r="IF14" i="25"/>
  <c r="IF17" i="25" s="1"/>
  <c r="IF13" i="25"/>
  <c r="IF12" i="25"/>
  <c r="IF11" i="25"/>
  <c r="IF39" i="25" s="1"/>
  <c r="IF10" i="25"/>
  <c r="IF9" i="25"/>
  <c r="IF8" i="25"/>
  <c r="IF40" i="25" s="1"/>
  <c r="IF7" i="25"/>
  <c r="IF6" i="25"/>
  <c r="IA19" i="25"/>
  <c r="IA20" i="25"/>
  <c r="IA21" i="25"/>
  <c r="IA22" i="25"/>
  <c r="IA23" i="25"/>
  <c r="IA24" i="25"/>
  <c r="IA25" i="25"/>
  <c r="IA26" i="25"/>
  <c r="IA27" i="25"/>
  <c r="IA28" i="25"/>
  <c r="IA29" i="25"/>
  <c r="IA30" i="25"/>
  <c r="IA31" i="25"/>
  <c r="IA32" i="25"/>
  <c r="IA33" i="25"/>
  <c r="IA34" i="25"/>
  <c r="IA16" i="25"/>
  <c r="IA15" i="25"/>
  <c r="J644" i="32"/>
  <c r="WI8" i="28"/>
  <c r="WI9" i="28"/>
  <c r="WI10" i="28"/>
  <c r="WI11" i="28"/>
  <c r="WI12" i="28"/>
  <c r="WI13" i="28"/>
  <c r="WI14" i="28"/>
  <c r="WI15" i="28"/>
  <c r="WI16" i="28"/>
  <c r="WI17" i="28"/>
  <c r="WI18" i="28"/>
  <c r="WI19" i="28"/>
  <c r="WI20" i="28"/>
  <c r="WI21" i="28"/>
  <c r="WI22" i="28"/>
  <c r="WI23" i="28"/>
  <c r="WI24" i="28"/>
  <c r="WI25" i="28"/>
  <c r="WI26" i="28"/>
  <c r="WI27" i="28"/>
  <c r="WI28" i="28"/>
  <c r="WI29" i="28"/>
  <c r="WI30" i="28"/>
  <c r="WI31" i="28"/>
  <c r="WI32" i="28"/>
  <c r="WI33" i="28"/>
  <c r="WI34" i="28"/>
  <c r="WI35" i="28"/>
  <c r="WI7" i="28"/>
  <c r="J643" i="32"/>
  <c r="VG50" i="28"/>
  <c r="VI50" i="28"/>
  <c r="VK50" i="28"/>
  <c r="VM50" i="28"/>
  <c r="VO50" i="28"/>
  <c r="VQ50" i="28"/>
  <c r="VS50" i="28"/>
  <c r="VW50" i="28"/>
  <c r="WA50" i="28"/>
  <c r="WE50" i="28"/>
  <c r="WM50" i="28"/>
  <c r="WQ50" i="28"/>
  <c r="WU50" i="28"/>
  <c r="WY50" i="28"/>
  <c r="XC50" i="28"/>
  <c r="XG50" i="28"/>
  <c r="XK50" i="28"/>
  <c r="XO50" i="28"/>
  <c r="XS50" i="28"/>
  <c r="YA50" i="28"/>
  <c r="YE50" i="28"/>
  <c r="YI50" i="28"/>
  <c r="YM50" i="28"/>
  <c r="YQ50" i="28"/>
  <c r="YY50" i="28"/>
  <c r="ZC50" i="28"/>
  <c r="ZG50" i="28"/>
  <c r="ZK50" i="28"/>
  <c r="ZO50" i="28"/>
  <c r="ZS50" i="28"/>
  <c r="ZW50" i="28"/>
  <c r="AAA50" i="28"/>
  <c r="AAE50" i="28"/>
  <c r="AAI50" i="28"/>
  <c r="AAM50" i="28"/>
  <c r="AAQ50" i="28"/>
  <c r="AAU50" i="28"/>
  <c r="AAY50" i="28"/>
  <c r="ABC50" i="28"/>
  <c r="ABG50" i="28"/>
  <c r="ABK50" i="28"/>
  <c r="ABO50" i="28"/>
  <c r="ABS50" i="28"/>
  <c r="ABW50" i="28"/>
  <c r="ACA50" i="28"/>
  <c r="ACE50" i="28"/>
  <c r="ACI50" i="28"/>
  <c r="ACM50" i="28"/>
  <c r="ACQ50" i="28"/>
  <c r="ACU50" i="28"/>
  <c r="ACY50" i="28"/>
  <c r="ADC50" i="28"/>
  <c r="ADG50" i="28"/>
  <c r="ADK50" i="28"/>
  <c r="ADO50" i="28"/>
  <c r="ADS50" i="28"/>
  <c r="ADW50" i="28"/>
  <c r="AEA50" i="28"/>
  <c r="AEE50" i="28"/>
  <c r="AEI50" i="28"/>
  <c r="AEM50" i="28"/>
  <c r="AEQ50" i="28"/>
  <c r="AEU50" i="28"/>
  <c r="AEY50" i="28"/>
  <c r="AFC50" i="28"/>
  <c r="AFG50" i="28"/>
  <c r="AFK50" i="28"/>
  <c r="AFO50" i="28"/>
  <c r="AFS50" i="28"/>
  <c r="AFW50" i="28"/>
  <c r="AGA50" i="28"/>
  <c r="AGE50" i="28"/>
  <c r="AGI50" i="28"/>
  <c r="AGM50" i="28"/>
  <c r="AGQ50" i="28"/>
  <c r="AGU50" i="28"/>
  <c r="AGY50" i="28"/>
  <c r="AHC50" i="28"/>
  <c r="AHG50" i="28"/>
  <c r="AHK50" i="28"/>
  <c r="AHO50" i="28"/>
  <c r="AHS50" i="28"/>
  <c r="AHW50" i="28"/>
  <c r="AIA50" i="28"/>
  <c r="AIE50" i="28"/>
  <c r="AII50" i="28"/>
  <c r="AIM50" i="28"/>
  <c r="AIQ50" i="28"/>
  <c r="VG51" i="28"/>
  <c r="VI51" i="28"/>
  <c r="VK51" i="28"/>
  <c r="VM51" i="28"/>
  <c r="VO51" i="28"/>
  <c r="VQ51" i="28"/>
  <c r="VS51" i="28"/>
  <c r="VW51" i="28"/>
  <c r="WA51" i="28"/>
  <c r="WE51" i="28"/>
  <c r="WM51" i="28"/>
  <c r="WQ51" i="28"/>
  <c r="WU51" i="28"/>
  <c r="WY51" i="28"/>
  <c r="XC51" i="28"/>
  <c r="XG51" i="28"/>
  <c r="XK51" i="28"/>
  <c r="XO51" i="28"/>
  <c r="XS51" i="28"/>
  <c r="YA51" i="28"/>
  <c r="YE51" i="28"/>
  <c r="YI51" i="28"/>
  <c r="YM51" i="28"/>
  <c r="YQ51" i="28"/>
  <c r="YY51" i="28"/>
  <c r="ZC51" i="28"/>
  <c r="ZG51" i="28"/>
  <c r="ZK51" i="28"/>
  <c r="ZO51" i="28"/>
  <c r="ZS51" i="28"/>
  <c r="ZW51" i="28"/>
  <c r="AAA51" i="28"/>
  <c r="AAE51" i="28"/>
  <c r="AAI51" i="28"/>
  <c r="AAM51" i="28"/>
  <c r="AAQ51" i="28"/>
  <c r="AAU51" i="28"/>
  <c r="AAY51" i="28"/>
  <c r="ABC51" i="28"/>
  <c r="ABG51" i="28"/>
  <c r="ABK51" i="28"/>
  <c r="ABO51" i="28"/>
  <c r="ABS51" i="28"/>
  <c r="ABW51" i="28"/>
  <c r="ACA51" i="28"/>
  <c r="ACE51" i="28"/>
  <c r="ACI51" i="28"/>
  <c r="ACM51" i="28"/>
  <c r="ACQ51" i="28"/>
  <c r="ACU51" i="28"/>
  <c r="ACY51" i="28"/>
  <c r="ADC51" i="28"/>
  <c r="ADG51" i="28"/>
  <c r="ADK51" i="28"/>
  <c r="ADO51" i="28"/>
  <c r="ADS51" i="28"/>
  <c r="ADW51" i="28"/>
  <c r="AEA51" i="28"/>
  <c r="AEE51" i="28"/>
  <c r="AEI51" i="28"/>
  <c r="AEM51" i="28"/>
  <c r="AEQ51" i="28"/>
  <c r="AEU51" i="28"/>
  <c r="AEY51" i="28"/>
  <c r="AFC51" i="28"/>
  <c r="AFG51" i="28"/>
  <c r="AFK51" i="28"/>
  <c r="AFO51" i="28"/>
  <c r="AFS51" i="28"/>
  <c r="AFW51" i="28"/>
  <c r="AGA51" i="28"/>
  <c r="AGE51" i="28"/>
  <c r="AGI51" i="28"/>
  <c r="AGM51" i="28"/>
  <c r="AGQ51" i="28"/>
  <c r="AGU51" i="28"/>
  <c r="AGY51" i="28"/>
  <c r="AHC51" i="28"/>
  <c r="AHG51" i="28"/>
  <c r="AHK51" i="28"/>
  <c r="AHO51" i="28"/>
  <c r="AHS51" i="28"/>
  <c r="AHW51" i="28"/>
  <c r="AIA51" i="28"/>
  <c r="AIE51" i="28"/>
  <c r="AII51" i="28"/>
  <c r="AIM51" i="28"/>
  <c r="AIQ51" i="28"/>
  <c r="VG52" i="28"/>
  <c r="VI52" i="28"/>
  <c r="VK52" i="28"/>
  <c r="VM52" i="28"/>
  <c r="VO52" i="28"/>
  <c r="VQ52" i="28"/>
  <c r="VS52" i="28"/>
  <c r="VW52" i="28"/>
  <c r="WA52" i="28"/>
  <c r="WE52" i="28"/>
  <c r="WM52" i="28"/>
  <c r="WQ52" i="28"/>
  <c r="WU52" i="28"/>
  <c r="WY52" i="28"/>
  <c r="XC52" i="28"/>
  <c r="XG52" i="28"/>
  <c r="XK52" i="28"/>
  <c r="XO52" i="28"/>
  <c r="XS52" i="28"/>
  <c r="YA52" i="28"/>
  <c r="YE52" i="28"/>
  <c r="YI52" i="28"/>
  <c r="YM52" i="28"/>
  <c r="YQ52" i="28"/>
  <c r="YY52" i="28"/>
  <c r="ZC52" i="28"/>
  <c r="ZG52" i="28"/>
  <c r="ZK52" i="28"/>
  <c r="ZO52" i="28"/>
  <c r="ZS52" i="28"/>
  <c r="ZW52" i="28"/>
  <c r="AAA52" i="28"/>
  <c r="AAE52" i="28"/>
  <c r="AAI52" i="28"/>
  <c r="AAM52" i="28"/>
  <c r="AAQ52" i="28"/>
  <c r="AAU52" i="28"/>
  <c r="AAY52" i="28"/>
  <c r="ABC52" i="28"/>
  <c r="ABG52" i="28"/>
  <c r="ABK52" i="28"/>
  <c r="ABO52" i="28"/>
  <c r="ABS52" i="28"/>
  <c r="ABW52" i="28"/>
  <c r="ACA52" i="28"/>
  <c r="ACE52" i="28"/>
  <c r="ACI52" i="28"/>
  <c r="ACM52" i="28"/>
  <c r="ACQ52" i="28"/>
  <c r="ACU52" i="28"/>
  <c r="ACY52" i="28"/>
  <c r="ADC52" i="28"/>
  <c r="ADG52" i="28"/>
  <c r="ADK52" i="28"/>
  <c r="ADO52" i="28"/>
  <c r="ADS52" i="28"/>
  <c r="ADW52" i="28"/>
  <c r="AEA52" i="28"/>
  <c r="AEE52" i="28"/>
  <c r="AEI52" i="28"/>
  <c r="AEM52" i="28"/>
  <c r="AEQ52" i="28"/>
  <c r="AEU52" i="28"/>
  <c r="AEY52" i="28"/>
  <c r="AFC52" i="28"/>
  <c r="AFG52" i="28"/>
  <c r="AFK52" i="28"/>
  <c r="AFO52" i="28"/>
  <c r="AFS52" i="28"/>
  <c r="AFW52" i="28"/>
  <c r="AGA52" i="28"/>
  <c r="AGE52" i="28"/>
  <c r="AGI52" i="28"/>
  <c r="AGM52" i="28"/>
  <c r="AGQ52" i="28"/>
  <c r="AGU52" i="28"/>
  <c r="AGY52" i="28"/>
  <c r="AHC52" i="28"/>
  <c r="AHG52" i="28"/>
  <c r="AHK52" i="28"/>
  <c r="AHO52" i="28"/>
  <c r="AHS52" i="28"/>
  <c r="AHW52" i="28"/>
  <c r="AIA52" i="28"/>
  <c r="AIE52" i="28"/>
  <c r="AII52" i="28"/>
  <c r="AIM52" i="28"/>
  <c r="AIQ52" i="28"/>
  <c r="VG53" i="28"/>
  <c r="VI53" i="28"/>
  <c r="VK53" i="28"/>
  <c r="VM53" i="28"/>
  <c r="VO53" i="28"/>
  <c r="VQ53" i="28"/>
  <c r="VS53" i="28"/>
  <c r="VW53" i="28"/>
  <c r="WA53" i="28"/>
  <c r="WE53" i="28"/>
  <c r="WM53" i="28"/>
  <c r="WQ53" i="28"/>
  <c r="WU53" i="28"/>
  <c r="WY53" i="28"/>
  <c r="XC53" i="28"/>
  <c r="XG53" i="28"/>
  <c r="XK53" i="28"/>
  <c r="XO53" i="28"/>
  <c r="XS53" i="28"/>
  <c r="YA53" i="28"/>
  <c r="YE53" i="28"/>
  <c r="YI53" i="28"/>
  <c r="YM53" i="28"/>
  <c r="YQ53" i="28"/>
  <c r="YY53" i="28"/>
  <c r="ZC53" i="28"/>
  <c r="ZG53" i="28"/>
  <c r="ZK53" i="28"/>
  <c r="ZO53" i="28"/>
  <c r="ZS53" i="28"/>
  <c r="ZW53" i="28"/>
  <c r="AAA53" i="28"/>
  <c r="AAE53" i="28"/>
  <c r="AAI53" i="28"/>
  <c r="AAM53" i="28"/>
  <c r="AAQ53" i="28"/>
  <c r="AAU53" i="28"/>
  <c r="AAY53" i="28"/>
  <c r="ABC53" i="28"/>
  <c r="ABG53" i="28"/>
  <c r="ABK53" i="28"/>
  <c r="ABO53" i="28"/>
  <c r="ABS53" i="28"/>
  <c r="ABW53" i="28"/>
  <c r="ACA53" i="28"/>
  <c r="ACE53" i="28"/>
  <c r="ACI53" i="28"/>
  <c r="ACM53" i="28"/>
  <c r="ACQ53" i="28"/>
  <c r="ACU53" i="28"/>
  <c r="ACY53" i="28"/>
  <c r="ADC53" i="28"/>
  <c r="ADG53" i="28"/>
  <c r="ADK53" i="28"/>
  <c r="ADO53" i="28"/>
  <c r="ADS53" i="28"/>
  <c r="ADW53" i="28"/>
  <c r="AEA53" i="28"/>
  <c r="AEE53" i="28"/>
  <c r="AEI53" i="28"/>
  <c r="AEM53" i="28"/>
  <c r="AEQ53" i="28"/>
  <c r="AEU53" i="28"/>
  <c r="AEY53" i="28"/>
  <c r="AFC53" i="28"/>
  <c r="AFG53" i="28"/>
  <c r="AFK53" i="28"/>
  <c r="AFO53" i="28"/>
  <c r="AFS53" i="28"/>
  <c r="AFW53" i="28"/>
  <c r="AGA53" i="28"/>
  <c r="AGE53" i="28"/>
  <c r="AGI53" i="28"/>
  <c r="AGM53" i="28"/>
  <c r="AGQ53" i="28"/>
  <c r="AGU53" i="28"/>
  <c r="AGY53" i="28"/>
  <c r="AHC53" i="28"/>
  <c r="AHG53" i="28"/>
  <c r="AHK53" i="28"/>
  <c r="AHO53" i="28"/>
  <c r="AHS53" i="28"/>
  <c r="AHW53" i="28"/>
  <c r="AIA53" i="28"/>
  <c r="AIE53" i="28"/>
  <c r="AII53" i="28"/>
  <c r="AIM53" i="28"/>
  <c r="AIQ53" i="28"/>
  <c r="VG54" i="28"/>
  <c r="VI54" i="28"/>
  <c r="VK54" i="28"/>
  <c r="VM54" i="28"/>
  <c r="VO54" i="28"/>
  <c r="VQ54" i="28"/>
  <c r="VS54" i="28"/>
  <c r="VW54" i="28"/>
  <c r="WA54" i="28"/>
  <c r="WE54" i="28"/>
  <c r="WM54" i="28"/>
  <c r="WQ54" i="28"/>
  <c r="WU54" i="28"/>
  <c r="WY54" i="28"/>
  <c r="XC54" i="28"/>
  <c r="XG54" i="28"/>
  <c r="XK54" i="28"/>
  <c r="XO54" i="28"/>
  <c r="XS54" i="28"/>
  <c r="YA54" i="28"/>
  <c r="YE54" i="28"/>
  <c r="YI54" i="28"/>
  <c r="YM54" i="28"/>
  <c r="YQ54" i="28"/>
  <c r="YY54" i="28"/>
  <c r="ZC54" i="28"/>
  <c r="ZG54" i="28"/>
  <c r="ZK54" i="28"/>
  <c r="ZO54" i="28"/>
  <c r="ZS54" i="28"/>
  <c r="ZW54" i="28"/>
  <c r="AAA54" i="28"/>
  <c r="AAE54" i="28"/>
  <c r="AAI54" i="28"/>
  <c r="AAM54" i="28"/>
  <c r="AAQ54" i="28"/>
  <c r="AAU54" i="28"/>
  <c r="AAY54" i="28"/>
  <c r="ABC54" i="28"/>
  <c r="ABG54" i="28"/>
  <c r="ABK54" i="28"/>
  <c r="ABO54" i="28"/>
  <c r="ABS54" i="28"/>
  <c r="ABW54" i="28"/>
  <c r="ACA54" i="28"/>
  <c r="ACE54" i="28"/>
  <c r="ACI54" i="28"/>
  <c r="ACM54" i="28"/>
  <c r="ACQ54" i="28"/>
  <c r="ACU54" i="28"/>
  <c r="ACY54" i="28"/>
  <c r="ADC54" i="28"/>
  <c r="ADG54" i="28"/>
  <c r="ADK54" i="28"/>
  <c r="ADO54" i="28"/>
  <c r="ADS54" i="28"/>
  <c r="ADW54" i="28"/>
  <c r="AEA54" i="28"/>
  <c r="AEE54" i="28"/>
  <c r="AEI54" i="28"/>
  <c r="AEM54" i="28"/>
  <c r="AEQ54" i="28"/>
  <c r="AEU54" i="28"/>
  <c r="AEY54" i="28"/>
  <c r="AFC54" i="28"/>
  <c r="AFG54" i="28"/>
  <c r="AFK54" i="28"/>
  <c r="AFO54" i="28"/>
  <c r="AFS54" i="28"/>
  <c r="AFW54" i="28"/>
  <c r="AGA54" i="28"/>
  <c r="AGE54" i="28"/>
  <c r="AGI54" i="28"/>
  <c r="AGM54" i="28"/>
  <c r="AGQ54" i="28"/>
  <c r="AGU54" i="28"/>
  <c r="AGY54" i="28"/>
  <c r="AHC54" i="28"/>
  <c r="AHG54" i="28"/>
  <c r="AHK54" i="28"/>
  <c r="AHO54" i="28"/>
  <c r="AHS54" i="28"/>
  <c r="AHW54" i="28"/>
  <c r="AIA54" i="28"/>
  <c r="AIE54" i="28"/>
  <c r="AII54" i="28"/>
  <c r="AIM54" i="28"/>
  <c r="AIQ54" i="28"/>
  <c r="VG55" i="28"/>
  <c r="VI55" i="28"/>
  <c r="VK55" i="28"/>
  <c r="VM55" i="28"/>
  <c r="VO55" i="28"/>
  <c r="VQ55" i="28"/>
  <c r="VS55" i="28"/>
  <c r="VW55" i="28"/>
  <c r="WA55" i="28"/>
  <c r="WE55" i="28"/>
  <c r="WM55" i="28"/>
  <c r="WQ55" i="28"/>
  <c r="WU55" i="28"/>
  <c r="WY55" i="28"/>
  <c r="XC55" i="28"/>
  <c r="XG55" i="28"/>
  <c r="XK55" i="28"/>
  <c r="XO55" i="28"/>
  <c r="XS55" i="28"/>
  <c r="YA55" i="28"/>
  <c r="YE55" i="28"/>
  <c r="YI55" i="28"/>
  <c r="YM55" i="28"/>
  <c r="YQ55" i="28"/>
  <c r="YY55" i="28"/>
  <c r="ZC55" i="28"/>
  <c r="ZG55" i="28"/>
  <c r="ZK55" i="28"/>
  <c r="ZO55" i="28"/>
  <c r="ZS55" i="28"/>
  <c r="ZW55" i="28"/>
  <c r="AAA55" i="28"/>
  <c r="AAE55" i="28"/>
  <c r="AAI55" i="28"/>
  <c r="AAM55" i="28"/>
  <c r="AAQ55" i="28"/>
  <c r="AAU55" i="28"/>
  <c r="AAY55" i="28"/>
  <c r="ABC55" i="28"/>
  <c r="ABG55" i="28"/>
  <c r="ABK55" i="28"/>
  <c r="ABO55" i="28"/>
  <c r="ABS55" i="28"/>
  <c r="ABW55" i="28"/>
  <c r="ACA55" i="28"/>
  <c r="ACE55" i="28"/>
  <c r="ACI55" i="28"/>
  <c r="ACM55" i="28"/>
  <c r="ACQ55" i="28"/>
  <c r="ACU55" i="28"/>
  <c r="ACY55" i="28"/>
  <c r="ADC55" i="28"/>
  <c r="ADG55" i="28"/>
  <c r="ADK55" i="28"/>
  <c r="ADO55" i="28"/>
  <c r="ADS55" i="28"/>
  <c r="ADW55" i="28"/>
  <c r="AEA55" i="28"/>
  <c r="AEE55" i="28"/>
  <c r="AEI55" i="28"/>
  <c r="AEM55" i="28"/>
  <c r="AEQ55" i="28"/>
  <c r="AEU55" i="28"/>
  <c r="AEY55" i="28"/>
  <c r="AFC55" i="28"/>
  <c r="AFG55" i="28"/>
  <c r="AFK55" i="28"/>
  <c r="AFO55" i="28"/>
  <c r="AFS55" i="28"/>
  <c r="AFW55" i="28"/>
  <c r="AGA55" i="28"/>
  <c r="AGE55" i="28"/>
  <c r="AGI55" i="28"/>
  <c r="AGM55" i="28"/>
  <c r="AGQ55" i="28"/>
  <c r="AGU55" i="28"/>
  <c r="AGY55" i="28"/>
  <c r="AHC55" i="28"/>
  <c r="AHG55" i="28"/>
  <c r="AHK55" i="28"/>
  <c r="AHO55" i="28"/>
  <c r="AHS55" i="28"/>
  <c r="AHW55" i="28"/>
  <c r="AIA55" i="28"/>
  <c r="AIE55" i="28"/>
  <c r="AII55" i="28"/>
  <c r="AIM55" i="28"/>
  <c r="AIQ55" i="28"/>
  <c r="VC50" i="28"/>
  <c r="VA50" i="28"/>
  <c r="UY50" i="28"/>
  <c r="UW50" i="28"/>
  <c r="UU50" i="28"/>
  <c r="US50" i="28"/>
  <c r="UQ50" i="28"/>
  <c r="UO50" i="28"/>
  <c r="UM50" i="28"/>
  <c r="UK50" i="28"/>
  <c r="UI50" i="28"/>
  <c r="UG50" i="28"/>
  <c r="UE50" i="28"/>
  <c r="UC50" i="28"/>
  <c r="UA50" i="28"/>
  <c r="VE50" i="28"/>
  <c r="TY50" i="28"/>
  <c r="SS50" i="28"/>
  <c r="RM50" i="28"/>
  <c r="QG50" i="28"/>
  <c r="PA50" i="28"/>
  <c r="NU50" i="28"/>
  <c r="MO50" i="28"/>
  <c r="LI50" i="28"/>
  <c r="KC50" i="28"/>
  <c r="IW50" i="28"/>
  <c r="HQ50" i="28"/>
  <c r="GK50" i="28"/>
  <c r="FE50" i="28"/>
  <c r="DY50" i="28"/>
  <c r="CS50" i="28"/>
  <c r="BM53" i="28"/>
  <c r="BM54" i="28"/>
  <c r="BM52" i="28"/>
  <c r="BM51" i="28"/>
  <c r="BM50" i="28"/>
  <c r="AG53" i="28"/>
  <c r="AG52" i="28"/>
  <c r="AG54" i="28"/>
  <c r="AG51" i="28"/>
  <c r="AG50" i="28"/>
  <c r="AK50" i="28"/>
  <c r="AO50" i="28"/>
  <c r="AS50" i="28"/>
  <c r="AW50" i="28"/>
  <c r="BA50" i="28"/>
  <c r="BE50" i="28"/>
  <c r="BI50" i="28"/>
  <c r="BQ50" i="28"/>
  <c r="BU50" i="28"/>
  <c r="BY50" i="28"/>
  <c r="CC50" i="28"/>
  <c r="CG50" i="28"/>
  <c r="CK50" i="28"/>
  <c r="CO50" i="28"/>
  <c r="CW50" i="28"/>
  <c r="DA50" i="28"/>
  <c r="DE50" i="28"/>
  <c r="DI50" i="28"/>
  <c r="DM50" i="28"/>
  <c r="DQ50" i="28"/>
  <c r="DU50" i="28"/>
  <c r="EC50" i="28"/>
  <c r="EG50" i="28"/>
  <c r="EK50" i="28"/>
  <c r="EO50" i="28"/>
  <c r="ES50" i="28"/>
  <c r="EW50" i="28"/>
  <c r="FA50" i="28"/>
  <c r="FI50" i="28"/>
  <c r="FM50" i="28"/>
  <c r="FQ50" i="28"/>
  <c r="FU50" i="28"/>
  <c r="FY50" i="28"/>
  <c r="GC50" i="28"/>
  <c r="GG50" i="28"/>
  <c r="GO50" i="28"/>
  <c r="GS50" i="28"/>
  <c r="GW50" i="28"/>
  <c r="HA50" i="28"/>
  <c r="HE50" i="28"/>
  <c r="HI50" i="28"/>
  <c r="HM50" i="28"/>
  <c r="AE51" i="28"/>
  <c r="AI51" i="28"/>
  <c r="AK51" i="28"/>
  <c r="AM51" i="28"/>
  <c r="AO51" i="28"/>
  <c r="AQ51" i="28"/>
  <c r="AS51" i="28"/>
  <c r="AU51" i="28"/>
  <c r="AW51" i="28"/>
  <c r="AY51" i="28"/>
  <c r="BA51" i="28"/>
  <c r="BC51" i="28"/>
  <c r="BE51" i="28"/>
  <c r="BG51" i="28"/>
  <c r="BI51" i="28"/>
  <c r="BK51" i="28"/>
  <c r="BO51" i="28"/>
  <c r="BQ51" i="28"/>
  <c r="BS51" i="28"/>
  <c r="BU51" i="28"/>
  <c r="BW51" i="28"/>
  <c r="BY51" i="28"/>
  <c r="CA51" i="28"/>
  <c r="CC51" i="28"/>
  <c r="CE51" i="28"/>
  <c r="CG51" i="28"/>
  <c r="CI51" i="28"/>
  <c r="CK51" i="28"/>
  <c r="CM51" i="28"/>
  <c r="CO51" i="28"/>
  <c r="CQ51" i="28"/>
  <c r="CU51" i="28"/>
  <c r="CW51" i="28"/>
  <c r="CY51" i="28"/>
  <c r="DA51" i="28"/>
  <c r="DC51" i="28"/>
  <c r="DE51" i="28"/>
  <c r="DG51" i="28"/>
  <c r="DI51" i="28"/>
  <c r="DK51" i="28"/>
  <c r="DM51" i="28"/>
  <c r="DO51" i="28"/>
  <c r="DQ51" i="28"/>
  <c r="DS51" i="28"/>
  <c r="DU51" i="28"/>
  <c r="DW51" i="28"/>
  <c r="EA51" i="28"/>
  <c r="EC51" i="28"/>
  <c r="EE51" i="28"/>
  <c r="EG51" i="28"/>
  <c r="EI51" i="28"/>
  <c r="EK51" i="28"/>
  <c r="EM51" i="28"/>
  <c r="EO51" i="28"/>
  <c r="EQ51" i="28"/>
  <c r="ES51" i="28"/>
  <c r="EU51" i="28"/>
  <c r="EW51" i="28"/>
  <c r="EY51" i="28"/>
  <c r="FA51" i="28"/>
  <c r="FC51" i="28"/>
  <c r="FG51" i="28"/>
  <c r="FI51" i="28"/>
  <c r="FK51" i="28"/>
  <c r="FM51" i="28"/>
  <c r="FO51" i="28"/>
  <c r="FQ51" i="28"/>
  <c r="FS51" i="28"/>
  <c r="FU51" i="28"/>
  <c r="FW51" i="28"/>
  <c r="FY51" i="28"/>
  <c r="GA51" i="28"/>
  <c r="GC51" i="28"/>
  <c r="GE51" i="28"/>
  <c r="GG51" i="28"/>
  <c r="GI51" i="28"/>
  <c r="GM51" i="28"/>
  <c r="GO51" i="28"/>
  <c r="GQ51" i="28"/>
  <c r="GS51" i="28"/>
  <c r="GU51" i="28"/>
  <c r="GW51" i="28"/>
  <c r="GY51" i="28"/>
  <c r="HA51" i="28"/>
  <c r="HC51" i="28"/>
  <c r="HE51" i="28"/>
  <c r="HG51" i="28"/>
  <c r="HI51" i="28"/>
  <c r="HK51" i="28"/>
  <c r="HM51" i="28"/>
  <c r="AE52" i="28"/>
  <c r="AI52" i="28"/>
  <c r="AK52" i="28"/>
  <c r="AM52" i="28"/>
  <c r="AO52" i="28"/>
  <c r="AQ52" i="28"/>
  <c r="AS52" i="28"/>
  <c r="AU52" i="28"/>
  <c r="AW52" i="28"/>
  <c r="AY52" i="28"/>
  <c r="BA52" i="28"/>
  <c r="BC52" i="28"/>
  <c r="BE52" i="28"/>
  <c r="BG52" i="28"/>
  <c r="BI52" i="28"/>
  <c r="BK52" i="28"/>
  <c r="BO52" i="28"/>
  <c r="BQ52" i="28"/>
  <c r="BS52" i="28"/>
  <c r="BU52" i="28"/>
  <c r="BW52" i="28"/>
  <c r="BY52" i="28"/>
  <c r="CA52" i="28"/>
  <c r="CC52" i="28"/>
  <c r="CE52" i="28"/>
  <c r="CG52" i="28"/>
  <c r="CI52" i="28"/>
  <c r="CK52" i="28"/>
  <c r="CM52" i="28"/>
  <c r="CO52" i="28"/>
  <c r="CQ52" i="28"/>
  <c r="CU52" i="28"/>
  <c r="CW52" i="28"/>
  <c r="CY52" i="28"/>
  <c r="DA52" i="28"/>
  <c r="DC52" i="28"/>
  <c r="DE52" i="28"/>
  <c r="DG52" i="28"/>
  <c r="DI52" i="28"/>
  <c r="DK52" i="28"/>
  <c r="DM52" i="28"/>
  <c r="DO52" i="28"/>
  <c r="DQ52" i="28"/>
  <c r="DS52" i="28"/>
  <c r="DU52" i="28"/>
  <c r="DW52" i="28"/>
  <c r="EA52" i="28"/>
  <c r="EC52" i="28"/>
  <c r="EE52" i="28"/>
  <c r="EG52" i="28"/>
  <c r="EI52" i="28"/>
  <c r="EK52" i="28"/>
  <c r="EM52" i="28"/>
  <c r="EO52" i="28"/>
  <c r="EQ52" i="28"/>
  <c r="ES52" i="28"/>
  <c r="EU52" i="28"/>
  <c r="EW52" i="28"/>
  <c r="EY52" i="28"/>
  <c r="FA52" i="28"/>
  <c r="FC52" i="28"/>
  <c r="FG52" i="28"/>
  <c r="FI52" i="28"/>
  <c r="FK52" i="28"/>
  <c r="FM52" i="28"/>
  <c r="FO52" i="28"/>
  <c r="FQ52" i="28"/>
  <c r="FS52" i="28"/>
  <c r="FU52" i="28"/>
  <c r="FW52" i="28"/>
  <c r="FY52" i="28"/>
  <c r="GA52" i="28"/>
  <c r="GC52" i="28"/>
  <c r="GE52" i="28"/>
  <c r="GG52" i="28"/>
  <c r="GI52" i="28"/>
  <c r="GM52" i="28"/>
  <c r="GO52" i="28"/>
  <c r="GQ52" i="28"/>
  <c r="GS52" i="28"/>
  <c r="GU52" i="28"/>
  <c r="GW52" i="28"/>
  <c r="GY52" i="28"/>
  <c r="HA52" i="28"/>
  <c r="HC52" i="28"/>
  <c r="HE52" i="28"/>
  <c r="HG52" i="28"/>
  <c r="HI52" i="28"/>
  <c r="HK52" i="28"/>
  <c r="HM52" i="28"/>
  <c r="AE53" i="28"/>
  <c r="AI53" i="28"/>
  <c r="AK53" i="28"/>
  <c r="AM53" i="28"/>
  <c r="AO53" i="28"/>
  <c r="AQ53" i="28"/>
  <c r="AS53" i="28"/>
  <c r="AU53" i="28"/>
  <c r="AW53" i="28"/>
  <c r="AY53" i="28"/>
  <c r="BA53" i="28"/>
  <c r="BC53" i="28"/>
  <c r="BE53" i="28"/>
  <c r="BG53" i="28"/>
  <c r="BI53" i="28"/>
  <c r="BK53" i="28"/>
  <c r="BO53" i="28"/>
  <c r="BQ53" i="28"/>
  <c r="BS53" i="28"/>
  <c r="BU53" i="28"/>
  <c r="BW53" i="28"/>
  <c r="BY53" i="28"/>
  <c r="CA53" i="28"/>
  <c r="CC53" i="28"/>
  <c r="CE53" i="28"/>
  <c r="CG53" i="28"/>
  <c r="CI53" i="28"/>
  <c r="CK53" i="28"/>
  <c r="CM53" i="28"/>
  <c r="CO53" i="28"/>
  <c r="CQ53" i="28"/>
  <c r="CU53" i="28"/>
  <c r="CW53" i="28"/>
  <c r="CY53" i="28"/>
  <c r="DA53" i="28"/>
  <c r="DC53" i="28"/>
  <c r="DE53" i="28"/>
  <c r="DG53" i="28"/>
  <c r="DI53" i="28"/>
  <c r="DK53" i="28"/>
  <c r="DM53" i="28"/>
  <c r="DO53" i="28"/>
  <c r="DQ53" i="28"/>
  <c r="DS53" i="28"/>
  <c r="DU53" i="28"/>
  <c r="DW53" i="28"/>
  <c r="EA53" i="28"/>
  <c r="EC53" i="28"/>
  <c r="EE53" i="28"/>
  <c r="EG53" i="28"/>
  <c r="EI53" i="28"/>
  <c r="EK53" i="28"/>
  <c r="EM53" i="28"/>
  <c r="EO53" i="28"/>
  <c r="EQ53" i="28"/>
  <c r="ES53" i="28"/>
  <c r="EU53" i="28"/>
  <c r="EW53" i="28"/>
  <c r="EY53" i="28"/>
  <c r="FA53" i="28"/>
  <c r="FC53" i="28"/>
  <c r="FG53" i="28"/>
  <c r="FI53" i="28"/>
  <c r="FK53" i="28"/>
  <c r="FM53" i="28"/>
  <c r="FO53" i="28"/>
  <c r="FQ53" i="28"/>
  <c r="FS53" i="28"/>
  <c r="FU53" i="28"/>
  <c r="FW53" i="28"/>
  <c r="FY53" i="28"/>
  <c r="GA53" i="28"/>
  <c r="GC53" i="28"/>
  <c r="GE53" i="28"/>
  <c r="GG53" i="28"/>
  <c r="GI53" i="28"/>
  <c r="GM53" i="28"/>
  <c r="GO53" i="28"/>
  <c r="GQ53" i="28"/>
  <c r="GS53" i="28"/>
  <c r="GU53" i="28"/>
  <c r="GW53" i="28"/>
  <c r="GY53" i="28"/>
  <c r="HA53" i="28"/>
  <c r="HC53" i="28"/>
  <c r="HE53" i="28"/>
  <c r="HG53" i="28"/>
  <c r="HI53" i="28"/>
  <c r="HK53" i="28"/>
  <c r="HM53" i="28"/>
  <c r="AE54" i="28"/>
  <c r="AI54" i="28"/>
  <c r="AK54" i="28"/>
  <c r="AM54" i="28"/>
  <c r="AO54" i="28"/>
  <c r="AQ54" i="28"/>
  <c r="AS54" i="28"/>
  <c r="AU54" i="28"/>
  <c r="AW54" i="28"/>
  <c r="AY54" i="28"/>
  <c r="BA54" i="28"/>
  <c r="BC54" i="28"/>
  <c r="BE54" i="28"/>
  <c r="BG54" i="28"/>
  <c r="BI54" i="28"/>
  <c r="BK54" i="28"/>
  <c r="BO54" i="28"/>
  <c r="BQ54" i="28"/>
  <c r="BS54" i="28"/>
  <c r="BU54" i="28"/>
  <c r="BW54" i="28"/>
  <c r="BY54" i="28"/>
  <c r="CA54" i="28"/>
  <c r="CC54" i="28"/>
  <c r="CE54" i="28"/>
  <c r="CG54" i="28"/>
  <c r="CI54" i="28"/>
  <c r="CK54" i="28"/>
  <c r="CM54" i="28"/>
  <c r="CO54" i="28"/>
  <c r="CQ54" i="28"/>
  <c r="CU54" i="28"/>
  <c r="CW54" i="28"/>
  <c r="CY54" i="28"/>
  <c r="DA54" i="28"/>
  <c r="DC54" i="28"/>
  <c r="DE54" i="28"/>
  <c r="DG54" i="28"/>
  <c r="DI54" i="28"/>
  <c r="DK54" i="28"/>
  <c r="DM54" i="28"/>
  <c r="DO54" i="28"/>
  <c r="DQ54" i="28"/>
  <c r="DS54" i="28"/>
  <c r="DU54" i="28"/>
  <c r="DW54" i="28"/>
  <c r="EA54" i="28"/>
  <c r="EC54" i="28"/>
  <c r="EE54" i="28"/>
  <c r="EG54" i="28"/>
  <c r="EI54" i="28"/>
  <c r="EK54" i="28"/>
  <c r="EM54" i="28"/>
  <c r="EO54" i="28"/>
  <c r="EQ54" i="28"/>
  <c r="ES54" i="28"/>
  <c r="EU54" i="28"/>
  <c r="EW54" i="28"/>
  <c r="EY54" i="28"/>
  <c r="FA54" i="28"/>
  <c r="FC54" i="28"/>
  <c r="FG54" i="28"/>
  <c r="FI54" i="28"/>
  <c r="FK54" i="28"/>
  <c r="FM54" i="28"/>
  <c r="FO54" i="28"/>
  <c r="FQ54" i="28"/>
  <c r="FS54" i="28"/>
  <c r="FU54" i="28"/>
  <c r="FW54" i="28"/>
  <c r="FY54" i="28"/>
  <c r="GA54" i="28"/>
  <c r="GC54" i="28"/>
  <c r="GE54" i="28"/>
  <c r="GG54" i="28"/>
  <c r="GI54" i="28"/>
  <c r="GM54" i="28"/>
  <c r="GO54" i="28"/>
  <c r="GQ54" i="28"/>
  <c r="GS54" i="28"/>
  <c r="GU54" i="28"/>
  <c r="GW54" i="28"/>
  <c r="GY54" i="28"/>
  <c r="HA54" i="28"/>
  <c r="HC54" i="28"/>
  <c r="HE54" i="28"/>
  <c r="HG54" i="28"/>
  <c r="HI54" i="28"/>
  <c r="HK54" i="28"/>
  <c r="HM54" i="28"/>
  <c r="AG55" i="28"/>
  <c r="AK55" i="28"/>
  <c r="AO55" i="28"/>
  <c r="AS55" i="28"/>
  <c r="AW55" i="28"/>
  <c r="BA55" i="28"/>
  <c r="BE55" i="28"/>
  <c r="BI55" i="28"/>
  <c r="BM55" i="28"/>
  <c r="BQ55" i="28"/>
  <c r="BU55" i="28"/>
  <c r="BY55" i="28"/>
  <c r="CC55" i="28"/>
  <c r="CG55" i="28"/>
  <c r="CK55" i="28"/>
  <c r="CO55" i="28"/>
  <c r="CW55" i="28"/>
  <c r="DA55" i="28"/>
  <c r="DE55" i="28"/>
  <c r="DI55" i="28"/>
  <c r="DM55" i="28"/>
  <c r="DQ55" i="28"/>
  <c r="DU55" i="28"/>
  <c r="EC55" i="28"/>
  <c r="EG55" i="28"/>
  <c r="EK55" i="28"/>
  <c r="EO55" i="28"/>
  <c r="ES55" i="28"/>
  <c r="EW55" i="28"/>
  <c r="FA55" i="28"/>
  <c r="FI55" i="28"/>
  <c r="FM55" i="28"/>
  <c r="FQ55" i="28"/>
  <c r="FU55" i="28"/>
  <c r="FY55" i="28"/>
  <c r="GC55" i="28"/>
  <c r="GG55" i="28"/>
  <c r="GO55" i="28"/>
  <c r="GS55" i="28"/>
  <c r="GW55" i="28"/>
  <c r="HA55" i="28"/>
  <c r="HE55" i="28"/>
  <c r="HI55" i="28"/>
  <c r="HM55" i="28"/>
  <c r="HU50" i="28"/>
  <c r="HY50" i="28"/>
  <c r="IC50" i="28"/>
  <c r="IG50" i="28"/>
  <c r="IK50" i="28"/>
  <c r="IO50" i="28"/>
  <c r="IS50" i="28"/>
  <c r="JA50" i="28"/>
  <c r="JE50" i="28"/>
  <c r="JI50" i="28"/>
  <c r="JM50" i="28"/>
  <c r="JQ50" i="28"/>
  <c r="JU50" i="28"/>
  <c r="JY50" i="28"/>
  <c r="KG50" i="28"/>
  <c r="KK50" i="28"/>
  <c r="KO50" i="28"/>
  <c r="KS50" i="28"/>
  <c r="KW50" i="28"/>
  <c r="LA50" i="28"/>
  <c r="LE50" i="28"/>
  <c r="LM50" i="28"/>
  <c r="LQ50" i="28"/>
  <c r="LU50" i="28"/>
  <c r="LY50" i="28"/>
  <c r="MC50" i="28"/>
  <c r="MG50" i="28"/>
  <c r="MK50" i="28"/>
  <c r="HO51" i="28"/>
  <c r="HS51" i="28"/>
  <c r="HU51" i="28"/>
  <c r="HW51" i="28"/>
  <c r="HY51" i="28"/>
  <c r="IA51" i="28"/>
  <c r="IC51" i="28"/>
  <c r="IE51" i="28"/>
  <c r="IG51" i="28"/>
  <c r="II51" i="28"/>
  <c r="IK51" i="28"/>
  <c r="IM51" i="28"/>
  <c r="IO51" i="28"/>
  <c r="IQ51" i="28"/>
  <c r="IS51" i="28"/>
  <c r="IU51" i="28"/>
  <c r="IY51" i="28"/>
  <c r="JA51" i="28"/>
  <c r="JC51" i="28"/>
  <c r="JE51" i="28"/>
  <c r="JG51" i="28"/>
  <c r="JI51" i="28"/>
  <c r="JK51" i="28"/>
  <c r="JM51" i="28"/>
  <c r="JO51" i="28"/>
  <c r="JQ51" i="28"/>
  <c r="JS51" i="28"/>
  <c r="JU51" i="28"/>
  <c r="JW51" i="28"/>
  <c r="JY51" i="28"/>
  <c r="KA51" i="28"/>
  <c r="KE51" i="28"/>
  <c r="KG51" i="28"/>
  <c r="KI51" i="28"/>
  <c r="KK51" i="28"/>
  <c r="KM51" i="28"/>
  <c r="KO51" i="28"/>
  <c r="KQ51" i="28"/>
  <c r="KS51" i="28"/>
  <c r="KU51" i="28"/>
  <c r="KW51" i="28"/>
  <c r="KY51" i="28"/>
  <c r="LA51" i="28"/>
  <c r="LC51" i="28"/>
  <c r="LE51" i="28"/>
  <c r="LG51" i="28"/>
  <c r="LK51" i="28"/>
  <c r="LM51" i="28"/>
  <c r="LO51" i="28"/>
  <c r="LQ51" i="28"/>
  <c r="LS51" i="28"/>
  <c r="LU51" i="28"/>
  <c r="LW51" i="28"/>
  <c r="LY51" i="28"/>
  <c r="MA51" i="28"/>
  <c r="MC51" i="28"/>
  <c r="ME51" i="28"/>
  <c r="MG51" i="28"/>
  <c r="MI51" i="28"/>
  <c r="MK51" i="28"/>
  <c r="HO52" i="28"/>
  <c r="HS52" i="28"/>
  <c r="HU52" i="28"/>
  <c r="HW52" i="28"/>
  <c r="HY52" i="28"/>
  <c r="IA52" i="28"/>
  <c r="IC52" i="28"/>
  <c r="IE52" i="28"/>
  <c r="IG52" i="28"/>
  <c r="II52" i="28"/>
  <c r="IK52" i="28"/>
  <c r="IM52" i="28"/>
  <c r="IO52" i="28"/>
  <c r="IQ52" i="28"/>
  <c r="IS52" i="28"/>
  <c r="IU52" i="28"/>
  <c r="IY52" i="28"/>
  <c r="JA52" i="28"/>
  <c r="JC52" i="28"/>
  <c r="JE52" i="28"/>
  <c r="JG52" i="28"/>
  <c r="JI52" i="28"/>
  <c r="JK52" i="28"/>
  <c r="JM52" i="28"/>
  <c r="JO52" i="28"/>
  <c r="JQ52" i="28"/>
  <c r="JS52" i="28"/>
  <c r="JU52" i="28"/>
  <c r="JW52" i="28"/>
  <c r="JY52" i="28"/>
  <c r="KA52" i="28"/>
  <c r="KE52" i="28"/>
  <c r="KG52" i="28"/>
  <c r="KI52" i="28"/>
  <c r="KK52" i="28"/>
  <c r="KM52" i="28"/>
  <c r="KO52" i="28"/>
  <c r="KQ52" i="28"/>
  <c r="KS52" i="28"/>
  <c r="KU52" i="28"/>
  <c r="KW52" i="28"/>
  <c r="KY52" i="28"/>
  <c r="LA52" i="28"/>
  <c r="LC52" i="28"/>
  <c r="LE52" i="28"/>
  <c r="LG52" i="28"/>
  <c r="LK52" i="28"/>
  <c r="LM52" i="28"/>
  <c r="LO52" i="28"/>
  <c r="LQ52" i="28"/>
  <c r="LS52" i="28"/>
  <c r="LU52" i="28"/>
  <c r="LW52" i="28"/>
  <c r="LY52" i="28"/>
  <c r="MA52" i="28"/>
  <c r="MC52" i="28"/>
  <c r="ME52" i="28"/>
  <c r="MG52" i="28"/>
  <c r="MI52" i="28"/>
  <c r="MK52" i="28"/>
  <c r="HO53" i="28"/>
  <c r="HS53" i="28"/>
  <c r="HU53" i="28"/>
  <c r="HW53" i="28"/>
  <c r="HY53" i="28"/>
  <c r="IA53" i="28"/>
  <c r="IC53" i="28"/>
  <c r="IE53" i="28"/>
  <c r="IG53" i="28"/>
  <c r="II53" i="28"/>
  <c r="IK53" i="28"/>
  <c r="IM53" i="28"/>
  <c r="IO53" i="28"/>
  <c r="IQ53" i="28"/>
  <c r="IS53" i="28"/>
  <c r="IU53" i="28"/>
  <c r="IY53" i="28"/>
  <c r="JA53" i="28"/>
  <c r="JC53" i="28"/>
  <c r="JE53" i="28"/>
  <c r="JG53" i="28"/>
  <c r="JI53" i="28"/>
  <c r="JK53" i="28"/>
  <c r="JM53" i="28"/>
  <c r="JO53" i="28"/>
  <c r="JQ53" i="28"/>
  <c r="JS53" i="28"/>
  <c r="JU53" i="28"/>
  <c r="JW53" i="28"/>
  <c r="JY53" i="28"/>
  <c r="KA53" i="28"/>
  <c r="KE53" i="28"/>
  <c r="KG53" i="28"/>
  <c r="KI53" i="28"/>
  <c r="KK53" i="28"/>
  <c r="KM53" i="28"/>
  <c r="KO53" i="28"/>
  <c r="KQ53" i="28"/>
  <c r="KS53" i="28"/>
  <c r="KU53" i="28"/>
  <c r="KW53" i="28"/>
  <c r="KY53" i="28"/>
  <c r="LA53" i="28"/>
  <c r="LC53" i="28"/>
  <c r="LE53" i="28"/>
  <c r="LG53" i="28"/>
  <c r="LK53" i="28"/>
  <c r="LM53" i="28"/>
  <c r="LO53" i="28"/>
  <c r="LQ53" i="28"/>
  <c r="LS53" i="28"/>
  <c r="LU53" i="28"/>
  <c r="LW53" i="28"/>
  <c r="LY53" i="28"/>
  <c r="MA53" i="28"/>
  <c r="MC53" i="28"/>
  <c r="ME53" i="28"/>
  <c r="MG53" i="28"/>
  <c r="MI53" i="28"/>
  <c r="MK53" i="28"/>
  <c r="HO54" i="28"/>
  <c r="HS54" i="28"/>
  <c r="HU54" i="28"/>
  <c r="HW54" i="28"/>
  <c r="HY54" i="28"/>
  <c r="IA54" i="28"/>
  <c r="IC54" i="28"/>
  <c r="IE54" i="28"/>
  <c r="IG54" i="28"/>
  <c r="II54" i="28"/>
  <c r="IK54" i="28"/>
  <c r="IM54" i="28"/>
  <c r="IO54" i="28"/>
  <c r="IQ54" i="28"/>
  <c r="IS54" i="28"/>
  <c r="IU54" i="28"/>
  <c r="IY54" i="28"/>
  <c r="JA54" i="28"/>
  <c r="JC54" i="28"/>
  <c r="JE54" i="28"/>
  <c r="JG54" i="28"/>
  <c r="JI54" i="28"/>
  <c r="JK54" i="28"/>
  <c r="JM54" i="28"/>
  <c r="JO54" i="28"/>
  <c r="JQ54" i="28"/>
  <c r="JS54" i="28"/>
  <c r="JU54" i="28"/>
  <c r="JW54" i="28"/>
  <c r="JY54" i="28"/>
  <c r="KA54" i="28"/>
  <c r="KE54" i="28"/>
  <c r="KG54" i="28"/>
  <c r="KI54" i="28"/>
  <c r="KK54" i="28"/>
  <c r="KM54" i="28"/>
  <c r="KO54" i="28"/>
  <c r="KQ54" i="28"/>
  <c r="KS54" i="28"/>
  <c r="KU54" i="28"/>
  <c r="KW54" i="28"/>
  <c r="KY54" i="28"/>
  <c r="LA54" i="28"/>
  <c r="LC54" i="28"/>
  <c r="LE54" i="28"/>
  <c r="LG54" i="28"/>
  <c r="LK54" i="28"/>
  <c r="LM54" i="28"/>
  <c r="LO54" i="28"/>
  <c r="LQ54" i="28"/>
  <c r="LS54" i="28"/>
  <c r="LU54" i="28"/>
  <c r="LW54" i="28"/>
  <c r="LY54" i="28"/>
  <c r="MA54" i="28"/>
  <c r="MC54" i="28"/>
  <c r="ME54" i="28"/>
  <c r="MG54" i="28"/>
  <c r="MI54" i="28"/>
  <c r="MK54" i="28"/>
  <c r="HU55" i="28"/>
  <c r="HY55" i="28"/>
  <c r="IC55" i="28"/>
  <c r="IG55" i="28"/>
  <c r="IK55" i="28"/>
  <c r="IO55" i="28"/>
  <c r="IS55" i="28"/>
  <c r="JA55" i="28"/>
  <c r="JE55" i="28"/>
  <c r="JI55" i="28"/>
  <c r="JM55" i="28"/>
  <c r="JQ55" i="28"/>
  <c r="JU55" i="28"/>
  <c r="JY55" i="28"/>
  <c r="KG55" i="28"/>
  <c r="KK55" i="28"/>
  <c r="KO55" i="28"/>
  <c r="KS55" i="28"/>
  <c r="KW55" i="28"/>
  <c r="LA55" i="28"/>
  <c r="LE55" i="28"/>
  <c r="LM55" i="28"/>
  <c r="LQ55" i="28"/>
  <c r="LU55" i="28"/>
  <c r="LY55" i="28"/>
  <c r="MC55" i="28"/>
  <c r="MG55" i="28"/>
  <c r="MK55" i="28"/>
  <c r="MS50" i="28"/>
  <c r="MW50" i="28"/>
  <c r="NA50" i="28"/>
  <c r="NE50" i="28"/>
  <c r="NI50" i="28"/>
  <c r="NM50" i="28"/>
  <c r="NQ50" i="28"/>
  <c r="NY50" i="28"/>
  <c r="OC50" i="28"/>
  <c r="OG50" i="28"/>
  <c r="OK50" i="28"/>
  <c r="OO50" i="28"/>
  <c r="OS50" i="28"/>
  <c r="OW50" i="28"/>
  <c r="PE50" i="28"/>
  <c r="PI50" i="28"/>
  <c r="PM50" i="28"/>
  <c r="PQ50" i="28"/>
  <c r="PU50" i="28"/>
  <c r="PY50" i="28"/>
  <c r="QC50" i="28"/>
  <c r="QK50" i="28"/>
  <c r="QO50" i="28"/>
  <c r="QS50" i="28"/>
  <c r="QW50" i="28"/>
  <c r="RA50" i="28"/>
  <c r="RE50" i="28"/>
  <c r="RI50" i="28"/>
  <c r="MM51" i="28"/>
  <c r="MM52" i="28"/>
  <c r="MM53" i="28"/>
  <c r="MM54" i="28"/>
  <c r="TY7" i="28"/>
  <c r="VR35" i="28"/>
  <c r="J642" i="32"/>
  <c r="N639" i="32"/>
  <c r="N632" i="32"/>
  <c r="N625" i="32"/>
  <c r="N618" i="32"/>
  <c r="N611" i="32"/>
  <c r="R611" i="32"/>
  <c r="J641" i="32"/>
  <c r="QG36" i="28"/>
  <c r="PA36" i="28"/>
  <c r="VC8" i="28"/>
  <c r="VC9" i="28"/>
  <c r="VC10" i="28"/>
  <c r="VC11" i="28"/>
  <c r="VC12" i="28"/>
  <c r="VC13" i="28"/>
  <c r="VC14" i="28"/>
  <c r="VC15" i="28"/>
  <c r="VC16" i="28"/>
  <c r="VC17" i="28"/>
  <c r="VC18" i="28"/>
  <c r="VC19" i="28"/>
  <c r="VC20" i="28"/>
  <c r="VC21" i="28"/>
  <c r="VC22" i="28"/>
  <c r="VC23" i="28"/>
  <c r="VC24" i="28"/>
  <c r="VC25" i="28"/>
  <c r="VC26" i="28"/>
  <c r="VC27" i="28"/>
  <c r="VC28" i="28"/>
  <c r="VC29" i="28"/>
  <c r="VC30" i="28"/>
  <c r="VC31" i="28"/>
  <c r="VC32" i="28"/>
  <c r="VC33" i="28"/>
  <c r="VC34" i="28"/>
  <c r="VC35" i="28"/>
  <c r="VC7" i="28"/>
  <c r="P607" i="32"/>
  <c r="O607" i="32"/>
  <c r="N607" i="32"/>
  <c r="M607" i="32"/>
  <c r="J640" i="32"/>
  <c r="J639" i="32"/>
  <c r="J638" i="32"/>
  <c r="HW16" i="25"/>
  <c r="J637" i="32"/>
  <c r="HW7" i="25"/>
  <c r="HW8" i="25"/>
  <c r="HW9" i="25"/>
  <c r="HW10" i="25"/>
  <c r="HW11" i="25"/>
  <c r="HW12" i="25"/>
  <c r="HW13" i="25"/>
  <c r="HW14" i="25"/>
  <c r="HW15" i="25"/>
  <c r="HW17" i="25"/>
  <c r="HW18" i="25"/>
  <c r="HW19" i="25"/>
  <c r="HW20" i="25"/>
  <c r="HW21" i="25"/>
  <c r="HW22" i="25"/>
  <c r="HW23" i="25"/>
  <c r="HW24" i="25"/>
  <c r="HW25" i="25"/>
  <c r="HW26" i="25"/>
  <c r="HW27" i="25"/>
  <c r="HW28" i="25"/>
  <c r="HW29" i="25"/>
  <c r="HW30" i="25"/>
  <c r="HW31" i="25"/>
  <c r="HW32" i="25"/>
  <c r="HW33" i="25"/>
  <c r="HW34" i="25"/>
  <c r="HW6" i="25"/>
  <c r="VE7" i="28"/>
  <c r="UP35" i="28"/>
  <c r="UL35" i="28"/>
  <c r="J636" i="32"/>
  <c r="J635" i="32"/>
  <c r="J634" i="32"/>
  <c r="I634" i="32"/>
  <c r="I635" i="32"/>
  <c r="I636" i="32"/>
  <c r="I637" i="32"/>
  <c r="I638" i="32"/>
  <c r="I639" i="32"/>
  <c r="AIU7" i="28"/>
  <c r="AIU8" i="28"/>
  <c r="AIU9" i="28"/>
  <c r="AIU10" i="28"/>
  <c r="AIU11" i="28"/>
  <c r="AIU12" i="28"/>
  <c r="AIU13" i="28"/>
  <c r="AIU14" i="28"/>
  <c r="AIU15" i="28"/>
  <c r="AIU16" i="28"/>
  <c r="AIU17" i="28"/>
  <c r="AIU18" i="28"/>
  <c r="AIU19" i="28"/>
  <c r="AIU20" i="28"/>
  <c r="AIU21" i="28"/>
  <c r="AIU22" i="28"/>
  <c r="AIU23" i="28"/>
  <c r="AIU24" i="28"/>
  <c r="AIU25" i="28"/>
  <c r="AIU26" i="28"/>
  <c r="AIU27" i="28"/>
  <c r="AIU28" i="28"/>
  <c r="AIU29" i="28"/>
  <c r="AIU30" i="28"/>
  <c r="AIU31" i="28"/>
  <c r="AIU32" i="28"/>
  <c r="AIU33" i="28"/>
  <c r="AIU34" i="28"/>
  <c r="AIY7" i="28"/>
  <c r="AIY8" i="28"/>
  <c r="AIY9" i="28"/>
  <c r="AIY10" i="28"/>
  <c r="AIY11" i="28"/>
  <c r="AIY12" i="28"/>
  <c r="AIY13" i="28"/>
  <c r="AIY14" i="28"/>
  <c r="AIY15" i="28"/>
  <c r="AIY16" i="28"/>
  <c r="AIY17" i="28"/>
  <c r="AIY18" i="28"/>
  <c r="AIY19" i="28"/>
  <c r="AIY20" i="28"/>
  <c r="AIY21" i="28"/>
  <c r="AIY22" i="28"/>
  <c r="AIY23" i="28"/>
  <c r="AIY24" i="28"/>
  <c r="AIY25" i="28"/>
  <c r="AIY26" i="28"/>
  <c r="AIY27" i="28"/>
  <c r="AIY28" i="28"/>
  <c r="AIY29" i="28"/>
  <c r="AIY30" i="28"/>
  <c r="AIY31" i="28"/>
  <c r="AIY32" i="28"/>
  <c r="AIY33" i="28"/>
  <c r="AIY34" i="28"/>
  <c r="AJC7" i="28"/>
  <c r="AJC8" i="28"/>
  <c r="AJC9" i="28"/>
  <c r="AJC10" i="28"/>
  <c r="AJC11" i="28"/>
  <c r="AJC12" i="28"/>
  <c r="AJC13" i="28"/>
  <c r="AJC14" i="28"/>
  <c r="AJC15" i="28"/>
  <c r="AJC16" i="28"/>
  <c r="AJC17" i="28"/>
  <c r="AJC18" i="28"/>
  <c r="AJC19" i="28"/>
  <c r="AJC20" i="28"/>
  <c r="AJC21" i="28"/>
  <c r="AJC22" i="28"/>
  <c r="AJC23" i="28"/>
  <c r="AJC24" i="28"/>
  <c r="AJC25" i="28"/>
  <c r="AJC26" i="28"/>
  <c r="AJC27" i="28"/>
  <c r="AJC28" i="28"/>
  <c r="AJC29" i="28"/>
  <c r="AJC30" i="28"/>
  <c r="AJC31" i="28"/>
  <c r="AJC32" i="28"/>
  <c r="AJC33" i="28"/>
  <c r="AJC34" i="28"/>
  <c r="XO35" i="28"/>
  <c r="YU35" i="28"/>
  <c r="AAA35" i="28"/>
  <c r="ABG35" i="28"/>
  <c r="ACM35" i="28"/>
  <c r="I633" i="32"/>
  <c r="J632" i="32"/>
  <c r="J631" i="32"/>
  <c r="HQ41" i="25"/>
  <c r="HQ40" i="25"/>
  <c r="HQ39" i="25"/>
  <c r="HQ38" i="25"/>
  <c r="HL41" i="25"/>
  <c r="HL40" i="25"/>
  <c r="HL39" i="25"/>
  <c r="WG40" i="28"/>
  <c r="WE40" i="28"/>
  <c r="WG39" i="28"/>
  <c r="WE39" i="28"/>
  <c r="WG38" i="28"/>
  <c r="WE38" i="28"/>
  <c r="WC40" i="28"/>
  <c r="WA40" i="28"/>
  <c r="WC39" i="28"/>
  <c r="WA39" i="28"/>
  <c r="WC38" i="28"/>
  <c r="WA38" i="28"/>
  <c r="VY40" i="28"/>
  <c r="VW40" i="28"/>
  <c r="VY39" i="28"/>
  <c r="VW39" i="28"/>
  <c r="VY38" i="28"/>
  <c r="VW38" i="28"/>
  <c r="VU40" i="28"/>
  <c r="VS40" i="28"/>
  <c r="VU39" i="28"/>
  <c r="VS39" i="28"/>
  <c r="VU38" i="28"/>
  <c r="VS38" i="28"/>
  <c r="VQ40" i="28"/>
  <c r="VO40" i="28"/>
  <c r="VQ39" i="28"/>
  <c r="VO39" i="28"/>
  <c r="VQ38" i="28"/>
  <c r="VO38" i="28"/>
  <c r="VM40" i="28"/>
  <c r="VK40" i="28"/>
  <c r="VM39" i="28"/>
  <c r="VK39" i="28"/>
  <c r="VM38" i="28"/>
  <c r="VK38" i="28"/>
  <c r="VI40" i="28"/>
  <c r="VG40" i="28"/>
  <c r="VI39" i="28"/>
  <c r="VG39" i="28"/>
  <c r="VI38" i="28"/>
  <c r="VG38" i="28"/>
  <c r="VA40" i="28"/>
  <c r="UY40" i="28"/>
  <c r="VA39" i="28"/>
  <c r="UY39" i="28"/>
  <c r="VA38" i="28"/>
  <c r="UY38" i="28"/>
  <c r="UW40" i="28"/>
  <c r="UU40" i="28"/>
  <c r="UW39" i="28"/>
  <c r="UU39" i="28"/>
  <c r="UW38" i="28"/>
  <c r="UU38" i="28"/>
  <c r="US40" i="28"/>
  <c r="UQ40" i="28"/>
  <c r="US39" i="28"/>
  <c r="UQ39" i="28"/>
  <c r="US38" i="28"/>
  <c r="UQ38" i="28"/>
  <c r="UO40" i="28"/>
  <c r="UM40" i="28"/>
  <c r="UO39" i="28"/>
  <c r="UM39" i="28"/>
  <c r="UO38" i="28"/>
  <c r="UM38" i="28"/>
  <c r="UK40" i="28"/>
  <c r="UI40" i="28"/>
  <c r="UK39" i="28"/>
  <c r="UI39" i="28"/>
  <c r="UK38" i="28"/>
  <c r="UI38" i="28"/>
  <c r="UG40" i="28"/>
  <c r="UE40" i="28"/>
  <c r="UG39" i="28"/>
  <c r="UE39" i="28"/>
  <c r="UG38" i="28"/>
  <c r="UE38" i="28"/>
  <c r="UC40" i="28"/>
  <c r="UA40" i="28"/>
  <c r="UC39" i="28"/>
  <c r="UA39" i="28"/>
  <c r="UC38" i="28"/>
  <c r="UA38" i="28"/>
  <c r="TU40" i="28"/>
  <c r="TU39" i="28"/>
  <c r="TU38" i="28"/>
  <c r="TQ40" i="28"/>
  <c r="TQ39" i="28"/>
  <c r="TQ38" i="28"/>
  <c r="TM40" i="28"/>
  <c r="TM39" i="28"/>
  <c r="TM38" i="28"/>
  <c r="TI40" i="28"/>
  <c r="TI39" i="28"/>
  <c r="TI38" i="28"/>
  <c r="TE40" i="28"/>
  <c r="TE39" i="28"/>
  <c r="TE38" i="28"/>
  <c r="TA40" i="28"/>
  <c r="TA39" i="28"/>
  <c r="TA38" i="28"/>
  <c r="SW40" i="28"/>
  <c r="SW39" i="28"/>
  <c r="SW38" i="28"/>
  <c r="O35" i="24"/>
  <c r="J630" i="32"/>
  <c r="J629" i="32"/>
  <c r="J628" i="32"/>
  <c r="J627" i="32"/>
  <c r="J626" i="32"/>
  <c r="J625" i="32"/>
  <c r="J624" i="32"/>
  <c r="J623" i="32"/>
  <c r="J622" i="32"/>
  <c r="J621" i="32"/>
  <c r="J620" i="32"/>
  <c r="I628" i="32"/>
  <c r="I629" i="32"/>
  <c r="I630" i="32"/>
  <c r="I631" i="32"/>
  <c r="I632" i="32"/>
  <c r="AC42" i="24"/>
  <c r="O43" i="24"/>
  <c r="P43" i="24"/>
  <c r="Q43" i="24"/>
  <c r="R43" i="24"/>
  <c r="S43" i="24"/>
  <c r="T43" i="24"/>
  <c r="U43" i="24"/>
  <c r="V43" i="24"/>
  <c r="SM35" i="28"/>
  <c r="SI35" i="28"/>
  <c r="SE35" i="28"/>
  <c r="SA35" i="28"/>
  <c r="RW35" i="28"/>
  <c r="RS35" i="28"/>
  <c r="RO35" i="28"/>
  <c r="SQ35" i="28" s="1"/>
  <c r="J619" i="32"/>
  <c r="HL44" i="25"/>
  <c r="HL43" i="25"/>
  <c r="HL45" i="25" s="1"/>
  <c r="HL38" i="25"/>
  <c r="HL47" i="25" s="1"/>
  <c r="HG44" i="25"/>
  <c r="HG43" i="25"/>
  <c r="HG45" i="25" s="1"/>
  <c r="HG40" i="25"/>
  <c r="HG39" i="25"/>
  <c r="HG38" i="25"/>
  <c r="HG41" i="25" s="1"/>
  <c r="HG47" i="25" s="1"/>
  <c r="HB44" i="25"/>
  <c r="HB43" i="25"/>
  <c r="HB45" i="25" s="1"/>
  <c r="HB40" i="25"/>
  <c r="HB39" i="25"/>
  <c r="HB38" i="25"/>
  <c r="HB41" i="25" s="1"/>
  <c r="HB47" i="25" s="1"/>
  <c r="GW44" i="25"/>
  <c r="GW43" i="25"/>
  <c r="GW45" i="25" s="1"/>
  <c r="GW40" i="25"/>
  <c r="GW39" i="25"/>
  <c r="GW38" i="25"/>
  <c r="GW41" i="25" s="1"/>
  <c r="GW47" i="25" s="1"/>
  <c r="J618" i="32"/>
  <c r="J617" i="32"/>
  <c r="J616" i="32"/>
  <c r="J615" i="32"/>
  <c r="RG35" i="28"/>
  <c r="RC35" i="28"/>
  <c r="RF35" i="28" s="1"/>
  <c r="QY35" i="28"/>
  <c r="QU35" i="28"/>
  <c r="QQ35" i="28"/>
  <c r="QI8" i="28"/>
  <c r="QI9" i="28"/>
  <c r="QI10" i="28"/>
  <c r="QI11" i="28"/>
  <c r="QI12" i="28"/>
  <c r="QI13" i="28"/>
  <c r="QI14" i="28"/>
  <c r="QI15" i="28"/>
  <c r="QI16" i="28"/>
  <c r="QI17" i="28"/>
  <c r="QI18" i="28"/>
  <c r="QI19" i="28"/>
  <c r="QI20" i="28"/>
  <c r="QI21" i="28"/>
  <c r="QI22" i="28"/>
  <c r="QI23" i="28"/>
  <c r="QI24" i="28"/>
  <c r="QI25" i="28"/>
  <c r="QI26" i="28"/>
  <c r="QI27" i="28"/>
  <c r="QI28" i="28"/>
  <c r="QI29" i="28"/>
  <c r="QI30" i="28"/>
  <c r="QI31" i="28"/>
  <c r="QI32" i="28"/>
  <c r="QI33" i="28"/>
  <c r="QI34" i="28"/>
  <c r="QI35" i="28"/>
  <c r="J614" i="32"/>
  <c r="QM12" i="28"/>
  <c r="QM13" i="28"/>
  <c r="QM14" i="28"/>
  <c r="QM15" i="28"/>
  <c r="QM16" i="28"/>
  <c r="QM17" i="28"/>
  <c r="QM18" i="28"/>
  <c r="QM19" i="28"/>
  <c r="QM20" i="28"/>
  <c r="QM21" i="28"/>
  <c r="QM22" i="28"/>
  <c r="QM23" i="28"/>
  <c r="QM24" i="28"/>
  <c r="QM25" i="28"/>
  <c r="QM26" i="28"/>
  <c r="QM27" i="28"/>
  <c r="QM28" i="28"/>
  <c r="QM29" i="28"/>
  <c r="QM30" i="28"/>
  <c r="QM31" i="28"/>
  <c r="QM32" i="28"/>
  <c r="QM33" i="28"/>
  <c r="QM34" i="28"/>
  <c r="QM35" i="28"/>
  <c r="QM8" i="28"/>
  <c r="QM9" i="28"/>
  <c r="QM10" i="28"/>
  <c r="QM11" i="28"/>
  <c r="J613" i="32"/>
  <c r="J611" i="32"/>
  <c r="J610" i="32"/>
  <c r="J609" i="32"/>
  <c r="J608" i="32"/>
  <c r="J607" i="32"/>
  <c r="J606" i="32"/>
  <c r="J605" i="32"/>
  <c r="L606" i="32"/>
  <c r="J612" i="32"/>
  <c r="PS35" i="28"/>
  <c r="PO35" i="28"/>
  <c r="PK35" i="28"/>
  <c r="M639" i="32"/>
  <c r="M632" i="32"/>
  <c r="M625" i="32"/>
  <c r="M618" i="32"/>
  <c r="M611" i="32"/>
  <c r="O579" i="32"/>
  <c r="N579" i="32"/>
  <c r="M579" i="32"/>
  <c r="J604" i="32"/>
  <c r="PA7" i="28"/>
  <c r="J603" i="32"/>
  <c r="J602" i="32"/>
  <c r="J601" i="32"/>
  <c r="J600" i="32"/>
  <c r="AC37" i="24"/>
  <c r="AC38" i="24"/>
  <c r="AC39" i="24"/>
  <c r="AC40" i="24"/>
  <c r="AC41" i="24"/>
  <c r="ALA45" i="28"/>
  <c r="AKW45" i="28"/>
  <c r="AKS45" i="28"/>
  <c r="AKO45" i="28"/>
  <c r="AKK45" i="28"/>
  <c r="AKG45" i="28"/>
  <c r="ALA44" i="28"/>
  <c r="AKW44" i="28"/>
  <c r="AKS44" i="28"/>
  <c r="AKO44" i="28"/>
  <c r="AKK44" i="28"/>
  <c r="AKG44" i="28"/>
  <c r="AKC44" i="28"/>
  <c r="ALA43" i="28"/>
  <c r="AKW43" i="28"/>
  <c r="AKS43" i="28"/>
  <c r="AKO43" i="28"/>
  <c r="AKK43" i="28"/>
  <c r="AKG43" i="28"/>
  <c r="AKC43" i="28"/>
  <c r="ALA41" i="28"/>
  <c r="AKW41" i="28"/>
  <c r="AKS41" i="28"/>
  <c r="AKO41" i="28"/>
  <c r="AKK41" i="28"/>
  <c r="AKG41" i="28"/>
  <c r="AKC41" i="28"/>
  <c r="ALA40" i="28"/>
  <c r="AKW40" i="28"/>
  <c r="AKS40" i="28"/>
  <c r="AKO40" i="28"/>
  <c r="AKK40" i="28"/>
  <c r="AKG40" i="28"/>
  <c r="AKC40" i="28"/>
  <c r="ALA39" i="28"/>
  <c r="AKW39" i="28"/>
  <c r="AKS39" i="28"/>
  <c r="AKO39" i="28"/>
  <c r="AKK39" i="28"/>
  <c r="AKG39" i="28"/>
  <c r="AKC39" i="28"/>
  <c r="ALA38" i="28"/>
  <c r="AKW38" i="28"/>
  <c r="AKS38" i="28"/>
  <c r="AKO38" i="28"/>
  <c r="AKK38" i="28"/>
  <c r="AKG38" i="28"/>
  <c r="AKC38" i="28"/>
  <c r="AJU45" i="28"/>
  <c r="AJQ45" i="28"/>
  <c r="AJM45" i="28"/>
  <c r="AJI45" i="28"/>
  <c r="AJE45" i="28"/>
  <c r="AJC45" i="28"/>
  <c r="AJA45" i="28"/>
  <c r="AIY45" i="28"/>
  <c r="AJU44" i="28"/>
  <c r="AJQ44" i="28"/>
  <c r="AJM44" i="28"/>
  <c r="AJI44" i="28"/>
  <c r="AJE44" i="28"/>
  <c r="AJC44" i="28"/>
  <c r="AJA44" i="28"/>
  <c r="AIY44" i="28"/>
  <c r="AIW44" i="28"/>
  <c r="AIU44" i="28"/>
  <c r="AJU43" i="28"/>
  <c r="AJQ43" i="28"/>
  <c r="AJM43" i="28"/>
  <c r="AJI43" i="28"/>
  <c r="AJE43" i="28"/>
  <c r="AJC43" i="28"/>
  <c r="AJA43" i="28"/>
  <c r="AIY43" i="28"/>
  <c r="AIW43" i="28"/>
  <c r="AIU43" i="28"/>
  <c r="AIU45" i="28" s="1"/>
  <c r="AJU41" i="28"/>
  <c r="AJQ41" i="28"/>
  <c r="AJM41" i="28"/>
  <c r="AJI41" i="28"/>
  <c r="AJE41" i="28"/>
  <c r="AJC41" i="28"/>
  <c r="AJC47" i="28" s="1"/>
  <c r="AJA41" i="28"/>
  <c r="AIY41" i="28"/>
  <c r="AIY47" i="28" s="1"/>
  <c r="AIW41" i="28"/>
  <c r="AIU41" i="28"/>
  <c r="AIU47" i="28" s="1"/>
  <c r="AJU40" i="28"/>
  <c r="AJQ40" i="28"/>
  <c r="AJM40" i="28"/>
  <c r="AJI40" i="28"/>
  <c r="AJE40" i="28"/>
  <c r="AJC40" i="28"/>
  <c r="AJA40" i="28"/>
  <c r="AIY40" i="28"/>
  <c r="AIW40" i="28"/>
  <c r="AIU40" i="28"/>
  <c r="AJU39" i="28"/>
  <c r="AJQ39" i="28"/>
  <c r="AJM39" i="28"/>
  <c r="AJI39" i="28"/>
  <c r="AJE39" i="28"/>
  <c r="AJC39" i="28"/>
  <c r="AJA39" i="28"/>
  <c r="AIY39" i="28"/>
  <c r="AIW39" i="28"/>
  <c r="AIU39" i="28"/>
  <c r="AJU38" i="28"/>
  <c r="AJQ38" i="28"/>
  <c r="AJM38" i="28"/>
  <c r="AJI38" i="28"/>
  <c r="AJE38" i="28"/>
  <c r="AJC38" i="28"/>
  <c r="AJA38" i="28"/>
  <c r="AIY38" i="28"/>
  <c r="AIW38" i="28"/>
  <c r="AIU38" i="28"/>
  <c r="AIO45" i="28"/>
  <c r="AIM45" i="28"/>
  <c r="AIK45" i="28"/>
  <c r="AII45" i="28"/>
  <c r="AIG45" i="28"/>
  <c r="AIE45" i="28"/>
  <c r="AIC45" i="28"/>
  <c r="AIA45" i="28"/>
  <c r="AHY45" i="28"/>
  <c r="AHW45" i="28"/>
  <c r="AHU45" i="28"/>
  <c r="AHS45" i="28"/>
  <c r="AIO44" i="28"/>
  <c r="AIM44" i="28"/>
  <c r="AIK44" i="28"/>
  <c r="AII44" i="28"/>
  <c r="AIG44" i="28"/>
  <c r="AIE44" i="28"/>
  <c r="AIC44" i="28"/>
  <c r="AIA44" i="28"/>
  <c r="AHY44" i="28"/>
  <c r="AHW44" i="28"/>
  <c r="AHU44" i="28"/>
  <c r="AHS44" i="28"/>
  <c r="AHQ44" i="28"/>
  <c r="AHO44" i="28"/>
  <c r="AIO43" i="28"/>
  <c r="AIM43" i="28"/>
  <c r="AIK43" i="28"/>
  <c r="AII43" i="28"/>
  <c r="AIG43" i="28"/>
  <c r="AIE43" i="28"/>
  <c r="AIC43" i="28"/>
  <c r="AIA43" i="28"/>
  <c r="AHY43" i="28"/>
  <c r="AHW43" i="28"/>
  <c r="AHU43" i="28"/>
  <c r="AHS43" i="28"/>
  <c r="AHQ43" i="28"/>
  <c r="AHO43" i="28"/>
  <c r="AHO45" i="28" s="1"/>
  <c r="AIO41" i="28"/>
  <c r="AIM41" i="28"/>
  <c r="AIM47" i="28" s="1"/>
  <c r="AIK41" i="28"/>
  <c r="AII41" i="28"/>
  <c r="AII47" i="28" s="1"/>
  <c r="AIG41" i="28"/>
  <c r="AIE41" i="28"/>
  <c r="AIE47" i="28" s="1"/>
  <c r="AIC41" i="28"/>
  <c r="AIA41" i="28"/>
  <c r="AIA47" i="28" s="1"/>
  <c r="AHY41" i="28"/>
  <c r="AHW41" i="28"/>
  <c r="AHW47" i="28" s="1"/>
  <c r="AHU41" i="28"/>
  <c r="AHS41" i="28"/>
  <c r="AHS47" i="28" s="1"/>
  <c r="AHQ41" i="28"/>
  <c r="AHO41" i="28"/>
  <c r="AHO47" i="28" s="1"/>
  <c r="AIO40" i="28"/>
  <c r="AIM40" i="28"/>
  <c r="AIK40" i="28"/>
  <c r="AII40" i="28"/>
  <c r="AIG40" i="28"/>
  <c r="AIE40" i="28"/>
  <c r="AIC40" i="28"/>
  <c r="AIA40" i="28"/>
  <c r="AHY40" i="28"/>
  <c r="AHW40" i="28"/>
  <c r="AHU40" i="28"/>
  <c r="AHS40" i="28"/>
  <c r="AHQ40" i="28"/>
  <c r="AHO40" i="28"/>
  <c r="AIO39" i="28"/>
  <c r="AIM39" i="28"/>
  <c r="AIK39" i="28"/>
  <c r="AII39" i="28"/>
  <c r="AIG39" i="28"/>
  <c r="AIE39" i="28"/>
  <c r="AIC39" i="28"/>
  <c r="AIA39" i="28"/>
  <c r="AHY39" i="28"/>
  <c r="AHW39" i="28"/>
  <c r="AHU39" i="28"/>
  <c r="AHS39" i="28"/>
  <c r="AHQ39" i="28"/>
  <c r="AHO39" i="28"/>
  <c r="AIO38" i="28"/>
  <c r="AIM38" i="28"/>
  <c r="AIK38" i="28"/>
  <c r="AII38" i="28"/>
  <c r="AIG38" i="28"/>
  <c r="AIE38" i="28"/>
  <c r="AIC38" i="28"/>
  <c r="AIA38" i="28"/>
  <c r="AHY38" i="28"/>
  <c r="AHW38" i="28"/>
  <c r="AHU38" i="28"/>
  <c r="AHS38" i="28"/>
  <c r="AHQ38" i="28"/>
  <c r="AHO38" i="28"/>
  <c r="AHI45" i="28"/>
  <c r="AHG45" i="28"/>
  <c r="AHE45" i="28"/>
  <c r="AHC45" i="28"/>
  <c r="AHA45" i="28"/>
  <c r="AGY45" i="28"/>
  <c r="AGW45" i="28"/>
  <c r="AGU45" i="28"/>
  <c r="AGS45" i="28"/>
  <c r="AGQ45" i="28"/>
  <c r="AGO45" i="28"/>
  <c r="AGM45" i="28"/>
  <c r="AHI44" i="28"/>
  <c r="AHG44" i="28"/>
  <c r="AHE44" i="28"/>
  <c r="AHC44" i="28"/>
  <c r="AHA44" i="28"/>
  <c r="AGY44" i="28"/>
  <c r="AGW44" i="28"/>
  <c r="AGU44" i="28"/>
  <c r="AGS44" i="28"/>
  <c r="AGQ44" i="28"/>
  <c r="AGO44" i="28"/>
  <c r="AGM44" i="28"/>
  <c r="AGK44" i="28"/>
  <c r="AGI44" i="28"/>
  <c r="AHI43" i="28"/>
  <c r="AHG43" i="28"/>
  <c r="AHE43" i="28"/>
  <c r="AHC43" i="28"/>
  <c r="AHA43" i="28"/>
  <c r="AGY43" i="28"/>
  <c r="AGW43" i="28"/>
  <c r="AGU43" i="28"/>
  <c r="AGS43" i="28"/>
  <c r="AGQ43" i="28"/>
  <c r="AGO43" i="28"/>
  <c r="AGM43" i="28"/>
  <c r="AGK43" i="28"/>
  <c r="AGI43" i="28"/>
  <c r="AGI45" i="28" s="1"/>
  <c r="AHI41" i="28"/>
  <c r="AHG41" i="28"/>
  <c r="AHG47" i="28" s="1"/>
  <c r="AHE41" i="28"/>
  <c r="AHC41" i="28"/>
  <c r="AHC47" i="28" s="1"/>
  <c r="AHA41" i="28"/>
  <c r="AGY41" i="28"/>
  <c r="AGY47" i="28" s="1"/>
  <c r="AGW41" i="28"/>
  <c r="AGU41" i="28"/>
  <c r="AGU47" i="28" s="1"/>
  <c r="AGS41" i="28"/>
  <c r="AGQ41" i="28"/>
  <c r="AGQ47" i="28" s="1"/>
  <c r="AGO41" i="28"/>
  <c r="AGM41" i="28"/>
  <c r="AGM47" i="28" s="1"/>
  <c r="AGK41" i="28"/>
  <c r="AGI41" i="28"/>
  <c r="AGI47" i="28" s="1"/>
  <c r="AHI40" i="28"/>
  <c r="AHG40" i="28"/>
  <c r="AHE40" i="28"/>
  <c r="AHC40" i="28"/>
  <c r="AHA40" i="28"/>
  <c r="AGY40" i="28"/>
  <c r="AGW40" i="28"/>
  <c r="AGU40" i="28"/>
  <c r="AGS40" i="28"/>
  <c r="AGQ40" i="28"/>
  <c r="AGO40" i="28"/>
  <c r="AGM40" i="28"/>
  <c r="AGK40" i="28"/>
  <c r="AGI40" i="28"/>
  <c r="AHI39" i="28"/>
  <c r="AHG39" i="28"/>
  <c r="AHE39" i="28"/>
  <c r="AHC39" i="28"/>
  <c r="AHA39" i="28"/>
  <c r="AGY39" i="28"/>
  <c r="AGW39" i="28"/>
  <c r="AGU39" i="28"/>
  <c r="AGS39" i="28"/>
  <c r="AGQ39" i="28"/>
  <c r="AGO39" i="28"/>
  <c r="AGM39" i="28"/>
  <c r="AGK39" i="28"/>
  <c r="AGI39" i="28"/>
  <c r="AHI38" i="28"/>
  <c r="AHG38" i="28"/>
  <c r="AHE38" i="28"/>
  <c r="AHC38" i="28"/>
  <c r="AHA38" i="28"/>
  <c r="AGY38" i="28"/>
  <c r="AGW38" i="28"/>
  <c r="AGU38" i="28"/>
  <c r="AGS38" i="28"/>
  <c r="AGQ38" i="28"/>
  <c r="AGO38" i="28"/>
  <c r="AGM38" i="28"/>
  <c r="AGK38" i="28"/>
  <c r="AGI38" i="28"/>
  <c r="AGC45" i="28"/>
  <c r="AGA45" i="28"/>
  <c r="AFY45" i="28"/>
  <c r="AFW45" i="28"/>
  <c r="AFU45" i="28"/>
  <c r="AFS45" i="28"/>
  <c r="AFQ45" i="28"/>
  <c r="AFO45" i="28"/>
  <c r="AFM45" i="28"/>
  <c r="AFK45" i="28"/>
  <c r="AFI45" i="28"/>
  <c r="AFG45" i="28"/>
  <c r="AGC44" i="28"/>
  <c r="AGA44" i="28"/>
  <c r="AFY44" i="28"/>
  <c r="AFW44" i="28"/>
  <c r="AFU44" i="28"/>
  <c r="AFS44" i="28"/>
  <c r="AFQ44" i="28"/>
  <c r="AFO44" i="28"/>
  <c r="AFM44" i="28"/>
  <c r="AFK44" i="28"/>
  <c r="AFI44" i="28"/>
  <c r="AFG44" i="28"/>
  <c r="AFE44" i="28"/>
  <c r="AFC44" i="28"/>
  <c r="AGC43" i="28"/>
  <c r="AGA43" i="28"/>
  <c r="AFY43" i="28"/>
  <c r="AFW43" i="28"/>
  <c r="AFU43" i="28"/>
  <c r="AFS43" i="28"/>
  <c r="AFQ43" i="28"/>
  <c r="AFO43" i="28"/>
  <c r="AFM43" i="28"/>
  <c r="AFK43" i="28"/>
  <c r="AFI43" i="28"/>
  <c r="AFG43" i="28"/>
  <c r="AFE43" i="28"/>
  <c r="AFC43" i="28"/>
  <c r="AFC45" i="28" s="1"/>
  <c r="AGC41" i="28"/>
  <c r="AGA41" i="28"/>
  <c r="AGA47" i="28" s="1"/>
  <c r="AFY41" i="28"/>
  <c r="AFW41" i="28"/>
  <c r="AFW47" i="28" s="1"/>
  <c r="AFU41" i="28"/>
  <c r="AFS41" i="28"/>
  <c r="AFS47" i="28" s="1"/>
  <c r="AFQ41" i="28"/>
  <c r="AFO41" i="28"/>
  <c r="AFO47" i="28" s="1"/>
  <c r="AFM41" i="28"/>
  <c r="AFK41" i="28"/>
  <c r="AFK47" i="28" s="1"/>
  <c r="AFI41" i="28"/>
  <c r="AFG41" i="28"/>
  <c r="AFG47" i="28" s="1"/>
  <c r="AFE41" i="28"/>
  <c r="AFC41" i="28"/>
  <c r="AFC47" i="28" s="1"/>
  <c r="AGC40" i="28"/>
  <c r="AGA40" i="28"/>
  <c r="AFY40" i="28"/>
  <c r="AFW40" i="28"/>
  <c r="AFU40" i="28"/>
  <c r="AFS40" i="28"/>
  <c r="AFQ40" i="28"/>
  <c r="AFO40" i="28"/>
  <c r="AFM40" i="28"/>
  <c r="AFK40" i="28"/>
  <c r="AFI40" i="28"/>
  <c r="AFG40" i="28"/>
  <c r="AFE40" i="28"/>
  <c r="AFC40" i="28"/>
  <c r="AGC39" i="28"/>
  <c r="AGA39" i="28"/>
  <c r="AFY39" i="28"/>
  <c r="AFW39" i="28"/>
  <c r="AFU39" i="28"/>
  <c r="AFS39" i="28"/>
  <c r="AFQ39" i="28"/>
  <c r="AFO39" i="28"/>
  <c r="AFM39" i="28"/>
  <c r="AFK39" i="28"/>
  <c r="AFI39" i="28"/>
  <c r="AFG39" i="28"/>
  <c r="AFE39" i="28"/>
  <c r="AFC39" i="28"/>
  <c r="AGC38" i="28"/>
  <c r="AGA38" i="28"/>
  <c r="AFY38" i="28"/>
  <c r="AFW38" i="28"/>
  <c r="AFU38" i="28"/>
  <c r="AFS38" i="28"/>
  <c r="AFQ38" i="28"/>
  <c r="AFO38" i="28"/>
  <c r="AFM38" i="28"/>
  <c r="AFK38" i="28"/>
  <c r="AFI38" i="28"/>
  <c r="AFG38" i="28"/>
  <c r="AFE38" i="28"/>
  <c r="AFC38" i="28"/>
  <c r="AEW45" i="28"/>
  <c r="AEU45" i="28"/>
  <c r="AES45" i="28"/>
  <c r="AEQ45" i="28"/>
  <c r="AEO45" i="28"/>
  <c r="AEM45" i="28"/>
  <c r="AEK45" i="28"/>
  <c r="AEI45" i="28"/>
  <c r="AEG45" i="28"/>
  <c r="AEE45" i="28"/>
  <c r="AEC45" i="28"/>
  <c r="AEA45" i="28"/>
  <c r="AEW44" i="28"/>
  <c r="AEU44" i="28"/>
  <c r="AES44" i="28"/>
  <c r="AEQ44" i="28"/>
  <c r="AEO44" i="28"/>
  <c r="AEM44" i="28"/>
  <c r="AEK44" i="28"/>
  <c r="AEI44" i="28"/>
  <c r="AEG44" i="28"/>
  <c r="AEE44" i="28"/>
  <c r="AEC44" i="28"/>
  <c r="AEA44" i="28"/>
  <c r="ADY44" i="28"/>
  <c r="ADW44" i="28"/>
  <c r="AEW43" i="28"/>
  <c r="AEU43" i="28"/>
  <c r="AES43" i="28"/>
  <c r="AEQ43" i="28"/>
  <c r="AEO43" i="28"/>
  <c r="AEM43" i="28"/>
  <c r="AEK43" i="28"/>
  <c r="AEI43" i="28"/>
  <c r="AEG43" i="28"/>
  <c r="AEE43" i="28"/>
  <c r="AEC43" i="28"/>
  <c r="AEA43" i="28"/>
  <c r="ADY43" i="28"/>
  <c r="ADW43" i="28"/>
  <c r="ADW45" i="28" s="1"/>
  <c r="AEW41" i="28"/>
  <c r="AEU41" i="28"/>
  <c r="AEU47" i="28" s="1"/>
  <c r="AES41" i="28"/>
  <c r="AEQ41" i="28"/>
  <c r="AEQ47" i="28" s="1"/>
  <c r="AEO41" i="28"/>
  <c r="AEM41" i="28"/>
  <c r="AEM47" i="28" s="1"/>
  <c r="AEK41" i="28"/>
  <c r="AEI41" i="28"/>
  <c r="AEI47" i="28" s="1"/>
  <c r="AEG41" i="28"/>
  <c r="AEE41" i="28"/>
  <c r="AEE47" i="28" s="1"/>
  <c r="AEC41" i="28"/>
  <c r="AEA41" i="28"/>
  <c r="AEA47" i="28" s="1"/>
  <c r="ADY41" i="28"/>
  <c r="ADW41" i="28"/>
  <c r="ADW47" i="28" s="1"/>
  <c r="AEW40" i="28"/>
  <c r="AEU40" i="28"/>
  <c r="AES40" i="28"/>
  <c r="AEQ40" i="28"/>
  <c r="AEO40" i="28"/>
  <c r="AEM40" i="28"/>
  <c r="AEK40" i="28"/>
  <c r="AEI40" i="28"/>
  <c r="AEG40" i="28"/>
  <c r="AEE40" i="28"/>
  <c r="AEC40" i="28"/>
  <c r="AEA40" i="28"/>
  <c r="ADY40" i="28"/>
  <c r="ADW40" i="28"/>
  <c r="AEW39" i="28"/>
  <c r="AEU39" i="28"/>
  <c r="AES39" i="28"/>
  <c r="AEQ39" i="28"/>
  <c r="AEO39" i="28"/>
  <c r="AEM39" i="28"/>
  <c r="AEK39" i="28"/>
  <c r="AEI39" i="28"/>
  <c r="AEG39" i="28"/>
  <c r="AEE39" i="28"/>
  <c r="AEC39" i="28"/>
  <c r="AEA39" i="28"/>
  <c r="ADY39" i="28"/>
  <c r="ADW39" i="28"/>
  <c r="AEW38" i="28"/>
  <c r="AEU38" i="28"/>
  <c r="AES38" i="28"/>
  <c r="AEQ38" i="28"/>
  <c r="AEO38" i="28"/>
  <c r="AEM38" i="28"/>
  <c r="AEK38" i="28"/>
  <c r="AEI38" i="28"/>
  <c r="AEG38" i="28"/>
  <c r="AEE38" i="28"/>
  <c r="AEC38" i="28"/>
  <c r="AEA38" i="28"/>
  <c r="ADY38" i="28"/>
  <c r="ADW38" i="28"/>
  <c r="ADQ45" i="28"/>
  <c r="ADO45" i="28"/>
  <c r="ADM45" i="28"/>
  <c r="ADK45" i="28"/>
  <c r="ADI45" i="28"/>
  <c r="ADG45" i="28"/>
  <c r="ADE45" i="28"/>
  <c r="ADC45" i="28"/>
  <c r="ADA45" i="28"/>
  <c r="ACY45" i="28"/>
  <c r="ACW45" i="28"/>
  <c r="ACU45" i="28"/>
  <c r="ADQ44" i="28"/>
  <c r="ADO44" i="28"/>
  <c r="ADM44" i="28"/>
  <c r="ADK44" i="28"/>
  <c r="ADI44" i="28"/>
  <c r="ADG44" i="28"/>
  <c r="ADE44" i="28"/>
  <c r="ADC44" i="28"/>
  <c r="ADA44" i="28"/>
  <c r="ACY44" i="28"/>
  <c r="ACW44" i="28"/>
  <c r="ACU44" i="28"/>
  <c r="ACS44" i="28"/>
  <c r="ACQ44" i="28"/>
  <c r="ADQ43" i="28"/>
  <c r="ADO43" i="28"/>
  <c r="ADM43" i="28"/>
  <c r="ADK43" i="28"/>
  <c r="ADI43" i="28"/>
  <c r="ADG43" i="28"/>
  <c r="ADE43" i="28"/>
  <c r="ADC43" i="28"/>
  <c r="ADA43" i="28"/>
  <c r="ACY43" i="28"/>
  <c r="ACW43" i="28"/>
  <c r="ACU43" i="28"/>
  <c r="ACS43" i="28"/>
  <c r="ACQ43" i="28"/>
  <c r="ACQ45" i="28" s="1"/>
  <c r="ADQ41" i="28"/>
  <c r="ADO41" i="28"/>
  <c r="ADO47" i="28" s="1"/>
  <c r="ADM41" i="28"/>
  <c r="ADK41" i="28"/>
  <c r="ADK47" i="28" s="1"/>
  <c r="ADI41" i="28"/>
  <c r="ADG41" i="28"/>
  <c r="ADG47" i="28" s="1"/>
  <c r="ADE41" i="28"/>
  <c r="ADC41" i="28"/>
  <c r="ADC47" i="28" s="1"/>
  <c r="ADA41" i="28"/>
  <c r="ACY41" i="28"/>
  <c r="ACY47" i="28" s="1"/>
  <c r="ACW41" i="28"/>
  <c r="ACU41" i="28"/>
  <c r="ACU47" i="28" s="1"/>
  <c r="ACS41" i="28"/>
  <c r="ACQ41" i="28"/>
  <c r="ACQ47" i="28" s="1"/>
  <c r="ADQ40" i="28"/>
  <c r="ADO40" i="28"/>
  <c r="ADM40" i="28"/>
  <c r="ADK40" i="28"/>
  <c r="ADI40" i="28"/>
  <c r="ADG40" i="28"/>
  <c r="ADE40" i="28"/>
  <c r="ADC40" i="28"/>
  <c r="ADA40" i="28"/>
  <c r="ACY40" i="28"/>
  <c r="ACW40" i="28"/>
  <c r="ACU40" i="28"/>
  <c r="ACS40" i="28"/>
  <c r="ACQ40" i="28"/>
  <c r="ADQ39" i="28"/>
  <c r="ADO39" i="28"/>
  <c r="ADM39" i="28"/>
  <c r="ADK39" i="28"/>
  <c r="ADI39" i="28"/>
  <c r="ADG39" i="28"/>
  <c r="ADE39" i="28"/>
  <c r="ADC39" i="28"/>
  <c r="ADA39" i="28"/>
  <c r="ACY39" i="28"/>
  <c r="ACW39" i="28"/>
  <c r="ACU39" i="28"/>
  <c r="ACS39" i="28"/>
  <c r="ACQ39" i="28"/>
  <c r="ADQ38" i="28"/>
  <c r="ADO38" i="28"/>
  <c r="ADM38" i="28"/>
  <c r="ADK38" i="28"/>
  <c r="ADI38" i="28"/>
  <c r="ADG38" i="28"/>
  <c r="ADE38" i="28"/>
  <c r="ADC38" i="28"/>
  <c r="ADA38" i="28"/>
  <c r="ACY38" i="28"/>
  <c r="ACW38" i="28"/>
  <c r="ACU38" i="28"/>
  <c r="ACS38" i="28"/>
  <c r="ACQ38" i="28"/>
  <c r="ACK45" i="28"/>
  <c r="ACI45" i="28"/>
  <c r="ACG45" i="28"/>
  <c r="ACE45" i="28"/>
  <c r="ACC45" i="28"/>
  <c r="ACA45" i="28"/>
  <c r="ABY45" i="28"/>
  <c r="ABW45" i="28"/>
  <c r="ABU45" i="28"/>
  <c r="ABS45" i="28"/>
  <c r="ABQ45" i="28"/>
  <c r="ABO45" i="28"/>
  <c r="ACK44" i="28"/>
  <c r="ACI44" i="28"/>
  <c r="ACG44" i="28"/>
  <c r="ACE44" i="28"/>
  <c r="ACC44" i="28"/>
  <c r="ACA44" i="28"/>
  <c r="ABY44" i="28"/>
  <c r="ABW44" i="28"/>
  <c r="ABU44" i="28"/>
  <c r="ABS44" i="28"/>
  <c r="ABQ44" i="28"/>
  <c r="ABO44" i="28"/>
  <c r="ABM44" i="28"/>
  <c r="ABK44" i="28"/>
  <c r="ACK43" i="28"/>
  <c r="ACI43" i="28"/>
  <c r="ACG43" i="28"/>
  <c r="ACE43" i="28"/>
  <c r="ACC43" i="28"/>
  <c r="ACA43" i="28"/>
  <c r="ABY43" i="28"/>
  <c r="ABW43" i="28"/>
  <c r="ABU43" i="28"/>
  <c r="ABS43" i="28"/>
  <c r="ABQ43" i="28"/>
  <c r="ABO43" i="28"/>
  <c r="ABM43" i="28"/>
  <c r="ABK43" i="28"/>
  <c r="ABK45" i="28" s="1"/>
  <c r="ACK41" i="28"/>
  <c r="ACI41" i="28"/>
  <c r="ACI47" i="28" s="1"/>
  <c r="ACG41" i="28"/>
  <c r="ACE41" i="28"/>
  <c r="ACE47" i="28" s="1"/>
  <c r="ACC41" i="28"/>
  <c r="ACA41" i="28"/>
  <c r="ACA47" i="28" s="1"/>
  <c r="ABY41" i="28"/>
  <c r="ABW41" i="28"/>
  <c r="ABW47" i="28" s="1"/>
  <c r="ABU41" i="28"/>
  <c r="ABS41" i="28"/>
  <c r="ABS47" i="28" s="1"/>
  <c r="ABQ41" i="28"/>
  <c r="ABO41" i="28"/>
  <c r="ABO47" i="28" s="1"/>
  <c r="ABM41" i="28"/>
  <c r="ABK41" i="28"/>
  <c r="ABK47" i="28" s="1"/>
  <c r="ACK40" i="28"/>
  <c r="ACI40" i="28"/>
  <c r="ACG40" i="28"/>
  <c r="ACE40" i="28"/>
  <c r="ACC40" i="28"/>
  <c r="ACA40" i="28"/>
  <c r="ABY40" i="28"/>
  <c r="ABW40" i="28"/>
  <c r="ABU40" i="28"/>
  <c r="ABS40" i="28"/>
  <c r="ABQ40" i="28"/>
  <c r="ABO40" i="28"/>
  <c r="ABM40" i="28"/>
  <c r="ABK40" i="28"/>
  <c r="ACK39" i="28"/>
  <c r="ACI39" i="28"/>
  <c r="ACG39" i="28"/>
  <c r="ACE39" i="28"/>
  <c r="ACC39" i="28"/>
  <c r="ACA39" i="28"/>
  <c r="ABY39" i="28"/>
  <c r="ABW39" i="28"/>
  <c r="ABU39" i="28"/>
  <c r="ABS39" i="28"/>
  <c r="ABQ39" i="28"/>
  <c r="ABO39" i="28"/>
  <c r="ABM39" i="28"/>
  <c r="ABK39" i="28"/>
  <c r="ACK38" i="28"/>
  <c r="ACI38" i="28"/>
  <c r="ACG38" i="28"/>
  <c r="ACE38" i="28"/>
  <c r="ACC38" i="28"/>
  <c r="ACA38" i="28"/>
  <c r="ABY38" i="28"/>
  <c r="ABW38" i="28"/>
  <c r="ABU38" i="28"/>
  <c r="ABS38" i="28"/>
  <c r="ABQ38" i="28"/>
  <c r="ABO38" i="28"/>
  <c r="ABM38" i="28"/>
  <c r="ABK38" i="28"/>
  <c r="ABE45" i="28"/>
  <c r="ABC45" i="28"/>
  <c r="ABA45" i="28"/>
  <c r="AAY45" i="28"/>
  <c r="AAW45" i="28"/>
  <c r="AAU45" i="28"/>
  <c r="AAS45" i="28"/>
  <c r="AAQ45" i="28"/>
  <c r="AAO45" i="28"/>
  <c r="AAM45" i="28"/>
  <c r="AAK45" i="28"/>
  <c r="AAI45" i="28"/>
  <c r="ABE44" i="28"/>
  <c r="ABC44" i="28"/>
  <c r="ABA44" i="28"/>
  <c r="AAY44" i="28"/>
  <c r="AAW44" i="28"/>
  <c r="AAU44" i="28"/>
  <c r="AAS44" i="28"/>
  <c r="AAQ44" i="28"/>
  <c r="AAO44" i="28"/>
  <c r="AAM44" i="28"/>
  <c r="AAK44" i="28"/>
  <c r="AAI44" i="28"/>
  <c r="AAG44" i="28"/>
  <c r="AAE44" i="28"/>
  <c r="ABE43" i="28"/>
  <c r="ABC43" i="28"/>
  <c r="ABA43" i="28"/>
  <c r="AAY43" i="28"/>
  <c r="AAW43" i="28"/>
  <c r="AAU43" i="28"/>
  <c r="AAS43" i="28"/>
  <c r="AAQ43" i="28"/>
  <c r="AAO43" i="28"/>
  <c r="AAM43" i="28"/>
  <c r="AAK43" i="28"/>
  <c r="AAI43" i="28"/>
  <c r="AAG43" i="28"/>
  <c r="AAE43" i="28"/>
  <c r="AAE45" i="28" s="1"/>
  <c r="ABE41" i="28"/>
  <c r="ABC41" i="28"/>
  <c r="ABC47" i="28" s="1"/>
  <c r="ABA41" i="28"/>
  <c r="AAY41" i="28"/>
  <c r="AAY47" i="28" s="1"/>
  <c r="AAW41" i="28"/>
  <c r="AAU41" i="28"/>
  <c r="AAU47" i="28" s="1"/>
  <c r="AAS41" i="28"/>
  <c r="AAQ41" i="28"/>
  <c r="AAQ47" i="28" s="1"/>
  <c r="AAO41" i="28"/>
  <c r="AAM41" i="28"/>
  <c r="AAM47" i="28" s="1"/>
  <c r="AAK41" i="28"/>
  <c r="AAI41" i="28"/>
  <c r="AAI47" i="28" s="1"/>
  <c r="AAG41" i="28"/>
  <c r="AAE41" i="28"/>
  <c r="AAE47" i="28" s="1"/>
  <c r="ABE40" i="28"/>
  <c r="ABC40" i="28"/>
  <c r="ABA40" i="28"/>
  <c r="AAY40" i="28"/>
  <c r="AAW40" i="28"/>
  <c r="AAU40" i="28"/>
  <c r="AAS40" i="28"/>
  <c r="AAQ40" i="28"/>
  <c r="AAO40" i="28"/>
  <c r="AAM40" i="28"/>
  <c r="AAK40" i="28"/>
  <c r="AAI40" i="28"/>
  <c r="AAG40" i="28"/>
  <c r="AAE40" i="28"/>
  <c r="ABE39" i="28"/>
  <c r="ABC39" i="28"/>
  <c r="ABA39" i="28"/>
  <c r="AAY39" i="28"/>
  <c r="AAW39" i="28"/>
  <c r="AAU39" i="28"/>
  <c r="AAS39" i="28"/>
  <c r="AAQ39" i="28"/>
  <c r="AAO39" i="28"/>
  <c r="AAM39" i="28"/>
  <c r="AAK39" i="28"/>
  <c r="AAI39" i="28"/>
  <c r="AAG39" i="28"/>
  <c r="AAE39" i="28"/>
  <c r="ABE38" i="28"/>
  <c r="ABC38" i="28"/>
  <c r="ABA38" i="28"/>
  <c r="AAY38" i="28"/>
  <c r="AAW38" i="28"/>
  <c r="AAU38" i="28"/>
  <c r="AAS38" i="28"/>
  <c r="AAQ38" i="28"/>
  <c r="AAO38" i="28"/>
  <c r="AAM38" i="28"/>
  <c r="AAK38" i="28"/>
  <c r="AAI38" i="28"/>
  <c r="AAG38" i="28"/>
  <c r="AAE38" i="28"/>
  <c r="ZY45" i="28"/>
  <c r="ZW45" i="28"/>
  <c r="ZU45" i="28"/>
  <c r="ZS45" i="28"/>
  <c r="ZQ45" i="28"/>
  <c r="ZO45" i="28"/>
  <c r="ZM45" i="28"/>
  <c r="ZK45" i="28"/>
  <c r="ZI45" i="28"/>
  <c r="ZG45" i="28"/>
  <c r="ZE45" i="28"/>
  <c r="ZC45" i="28"/>
  <c r="ZY44" i="28"/>
  <c r="ZW44" i="28"/>
  <c r="ZU44" i="28"/>
  <c r="ZS44" i="28"/>
  <c r="ZQ44" i="28"/>
  <c r="ZO44" i="28"/>
  <c r="ZM44" i="28"/>
  <c r="ZK44" i="28"/>
  <c r="ZI44" i="28"/>
  <c r="ZG44" i="28"/>
  <c r="ZE44" i="28"/>
  <c r="ZC44" i="28"/>
  <c r="ZA44" i="28"/>
  <c r="YY44" i="28"/>
  <c r="ZY43" i="28"/>
  <c r="ZW43" i="28"/>
  <c r="ZU43" i="28"/>
  <c r="ZS43" i="28"/>
  <c r="ZQ43" i="28"/>
  <c r="ZO43" i="28"/>
  <c r="ZM43" i="28"/>
  <c r="ZK43" i="28"/>
  <c r="ZI43" i="28"/>
  <c r="ZG43" i="28"/>
  <c r="ZE43" i="28"/>
  <c r="ZC43" i="28"/>
  <c r="ZA43" i="28"/>
  <c r="YY43" i="28"/>
  <c r="YY45" i="28" s="1"/>
  <c r="ZY41" i="28"/>
  <c r="ZW41" i="28"/>
  <c r="ZW47" i="28" s="1"/>
  <c r="ZU41" i="28"/>
  <c r="ZS41" i="28"/>
  <c r="ZS47" i="28" s="1"/>
  <c r="ZQ41" i="28"/>
  <c r="ZO41" i="28"/>
  <c r="ZO47" i="28" s="1"/>
  <c r="ZM41" i="28"/>
  <c r="ZK41" i="28"/>
  <c r="ZK47" i="28" s="1"/>
  <c r="ZI41" i="28"/>
  <c r="ZG41" i="28"/>
  <c r="ZG47" i="28" s="1"/>
  <c r="ZE41" i="28"/>
  <c r="ZC41" i="28"/>
  <c r="ZC47" i="28" s="1"/>
  <c r="ZA41" i="28"/>
  <c r="YY41" i="28"/>
  <c r="YY47" i="28" s="1"/>
  <c r="ZY40" i="28"/>
  <c r="ZW40" i="28"/>
  <c r="ZU40" i="28"/>
  <c r="ZS40" i="28"/>
  <c r="ZQ40" i="28"/>
  <c r="ZO40" i="28"/>
  <c r="ZM40" i="28"/>
  <c r="ZK40" i="28"/>
  <c r="ZI40" i="28"/>
  <c r="ZG40" i="28"/>
  <c r="ZE40" i="28"/>
  <c r="ZC40" i="28"/>
  <c r="ZA40" i="28"/>
  <c r="YY40" i="28"/>
  <c r="ZY39" i="28"/>
  <c r="ZW39" i="28"/>
  <c r="ZU39" i="28"/>
  <c r="ZS39" i="28"/>
  <c r="ZQ39" i="28"/>
  <c r="ZO39" i="28"/>
  <c r="ZM39" i="28"/>
  <c r="ZK39" i="28"/>
  <c r="ZI39" i="28"/>
  <c r="ZG39" i="28"/>
  <c r="ZE39" i="28"/>
  <c r="ZC39" i="28"/>
  <c r="ZA39" i="28"/>
  <c r="YY39" i="28"/>
  <c r="ZY38" i="28"/>
  <c r="ZW38" i="28"/>
  <c r="ZU38" i="28"/>
  <c r="ZS38" i="28"/>
  <c r="ZQ38" i="28"/>
  <c r="ZO38" i="28"/>
  <c r="ZM38" i="28"/>
  <c r="ZK38" i="28"/>
  <c r="ZI38" i="28"/>
  <c r="ZG38" i="28"/>
  <c r="ZE38" i="28"/>
  <c r="ZC38" i="28"/>
  <c r="ZA38" i="28"/>
  <c r="YY38" i="28"/>
  <c r="YS45" i="28"/>
  <c r="YQ45" i="28"/>
  <c r="YO45" i="28"/>
  <c r="YM45" i="28"/>
  <c r="YK45" i="28"/>
  <c r="YI45" i="28"/>
  <c r="YG45" i="28"/>
  <c r="YE45" i="28"/>
  <c r="YC45" i="28"/>
  <c r="YA45" i="28"/>
  <c r="XY45" i="28"/>
  <c r="XW45" i="28"/>
  <c r="YS44" i="28"/>
  <c r="YQ44" i="28"/>
  <c r="YO44" i="28"/>
  <c r="YM44" i="28"/>
  <c r="YK44" i="28"/>
  <c r="YI44" i="28"/>
  <c r="YG44" i="28"/>
  <c r="YE44" i="28"/>
  <c r="YC44" i="28"/>
  <c r="YA44" i="28"/>
  <c r="XY44" i="28"/>
  <c r="XW44" i="28"/>
  <c r="XU44" i="28"/>
  <c r="XS44" i="28"/>
  <c r="YS43" i="28"/>
  <c r="YQ43" i="28"/>
  <c r="YO43" i="28"/>
  <c r="YM43" i="28"/>
  <c r="YK43" i="28"/>
  <c r="YI43" i="28"/>
  <c r="YG43" i="28"/>
  <c r="YE43" i="28"/>
  <c r="YC43" i="28"/>
  <c r="YA43" i="28"/>
  <c r="XY43" i="28"/>
  <c r="XW43" i="28"/>
  <c r="XU43" i="28"/>
  <c r="XS43" i="28"/>
  <c r="XS45" i="28" s="1"/>
  <c r="YS41" i="28"/>
  <c r="YQ41" i="28"/>
  <c r="YQ47" i="28" s="1"/>
  <c r="YO41" i="28"/>
  <c r="YM41" i="28"/>
  <c r="YM47" i="28" s="1"/>
  <c r="YK41" i="28"/>
  <c r="YI41" i="28"/>
  <c r="YI47" i="28" s="1"/>
  <c r="YG41" i="28"/>
  <c r="YE41" i="28"/>
  <c r="YE47" i="28" s="1"/>
  <c r="YC41" i="28"/>
  <c r="YA41" i="28"/>
  <c r="YA47" i="28" s="1"/>
  <c r="XY41" i="28"/>
  <c r="XW41" i="28"/>
  <c r="XW47" i="28" s="1"/>
  <c r="XU41" i="28"/>
  <c r="XS41" i="28"/>
  <c r="XS47" i="28" s="1"/>
  <c r="YS40" i="28"/>
  <c r="YQ40" i="28"/>
  <c r="YO40" i="28"/>
  <c r="YM40" i="28"/>
  <c r="YK40" i="28"/>
  <c r="YI40" i="28"/>
  <c r="YG40" i="28"/>
  <c r="YE40" i="28"/>
  <c r="YC40" i="28"/>
  <c r="YA40" i="28"/>
  <c r="XY40" i="28"/>
  <c r="XW40" i="28"/>
  <c r="XU40" i="28"/>
  <c r="XS40" i="28"/>
  <c r="YS39" i="28"/>
  <c r="YQ39" i="28"/>
  <c r="YO39" i="28"/>
  <c r="YM39" i="28"/>
  <c r="YK39" i="28"/>
  <c r="YI39" i="28"/>
  <c r="YG39" i="28"/>
  <c r="YE39" i="28"/>
  <c r="YC39" i="28"/>
  <c r="YA39" i="28"/>
  <c r="XY39" i="28"/>
  <c r="XW39" i="28"/>
  <c r="XU39" i="28"/>
  <c r="XS39" i="28"/>
  <c r="YS38" i="28"/>
  <c r="YQ38" i="28"/>
  <c r="YO38" i="28"/>
  <c r="YM38" i="28"/>
  <c r="YK38" i="28"/>
  <c r="YI38" i="28"/>
  <c r="YG38" i="28"/>
  <c r="YE38" i="28"/>
  <c r="YC38" i="28"/>
  <c r="YA38" i="28"/>
  <c r="XY38" i="28"/>
  <c r="XW38" i="28"/>
  <c r="XU38" i="28"/>
  <c r="XS38" i="28"/>
  <c r="XM45" i="28"/>
  <c r="XK45" i="28"/>
  <c r="XI45" i="28"/>
  <c r="XG45" i="28"/>
  <c r="XE45" i="28"/>
  <c r="XC45" i="28"/>
  <c r="XA45" i="28"/>
  <c r="WY45" i="28"/>
  <c r="WW45" i="28"/>
  <c r="WU45" i="28"/>
  <c r="WS45" i="28"/>
  <c r="WQ45" i="28"/>
  <c r="XM44" i="28"/>
  <c r="XK44" i="28"/>
  <c r="XI44" i="28"/>
  <c r="XG44" i="28"/>
  <c r="XC44" i="28"/>
  <c r="XA44" i="28"/>
  <c r="WY44" i="28"/>
  <c r="WW44" i="28"/>
  <c r="WU44" i="28"/>
  <c r="WS44" i="28"/>
  <c r="WQ44" i="28"/>
  <c r="WO44" i="28"/>
  <c r="WM44" i="28"/>
  <c r="XM43" i="28"/>
  <c r="XK43" i="28"/>
  <c r="XI43" i="28"/>
  <c r="XG43" i="28"/>
  <c r="XC43" i="28"/>
  <c r="XA43" i="28"/>
  <c r="WY43" i="28"/>
  <c r="WW43" i="28"/>
  <c r="WU43" i="28"/>
  <c r="WS43" i="28"/>
  <c r="WQ43" i="28"/>
  <c r="WO43" i="28"/>
  <c r="WM43" i="28"/>
  <c r="WM45" i="28" s="1"/>
  <c r="XM41" i="28"/>
  <c r="XK41" i="28"/>
  <c r="XK47" i="28" s="1"/>
  <c r="XI41" i="28"/>
  <c r="XG41" i="28"/>
  <c r="XG47" i="28" s="1"/>
  <c r="XE41" i="28"/>
  <c r="XC41" i="28"/>
  <c r="XC47" i="28" s="1"/>
  <c r="XF47" i="28" s="1"/>
  <c r="XA41" i="28"/>
  <c r="WY41" i="28"/>
  <c r="WY47" i="28" s="1"/>
  <c r="WW41" i="28"/>
  <c r="WU41" i="28"/>
  <c r="WU47" i="28" s="1"/>
  <c r="WS41" i="28"/>
  <c r="WQ41" i="28"/>
  <c r="WQ47" i="28" s="1"/>
  <c r="WO41" i="28"/>
  <c r="WM41" i="28"/>
  <c r="WM47" i="28" s="1"/>
  <c r="XM40" i="28"/>
  <c r="XK40" i="28"/>
  <c r="XI40" i="28"/>
  <c r="XG40" i="28"/>
  <c r="XC40" i="28"/>
  <c r="XA40" i="28"/>
  <c r="WY40" i="28"/>
  <c r="WW40" i="28"/>
  <c r="WU40" i="28"/>
  <c r="WS40" i="28"/>
  <c r="WQ40" i="28"/>
  <c r="WO40" i="28"/>
  <c r="WM40" i="28"/>
  <c r="XM39" i="28"/>
  <c r="XK39" i="28"/>
  <c r="XI39" i="28"/>
  <c r="XG39" i="28"/>
  <c r="XC39" i="28"/>
  <c r="XA39" i="28"/>
  <c r="WY39" i="28"/>
  <c r="WW39" i="28"/>
  <c r="WU39" i="28"/>
  <c r="WS39" i="28"/>
  <c r="WQ39" i="28"/>
  <c r="WO39" i="28"/>
  <c r="WM39" i="28"/>
  <c r="XM38" i="28"/>
  <c r="XK38" i="28"/>
  <c r="XI38" i="28"/>
  <c r="XG38" i="28"/>
  <c r="XC38" i="28"/>
  <c r="XA38" i="28"/>
  <c r="WY38" i="28"/>
  <c r="WW38" i="28"/>
  <c r="WU38" i="28"/>
  <c r="WS38" i="28"/>
  <c r="WQ38" i="28"/>
  <c r="WO38" i="28"/>
  <c r="WM38" i="28"/>
  <c r="WG45" i="28"/>
  <c r="WE45" i="28"/>
  <c r="WC45" i="28"/>
  <c r="WA45" i="28"/>
  <c r="VY45" i="28"/>
  <c r="VW45" i="28"/>
  <c r="VU45" i="28"/>
  <c r="VS45" i="28"/>
  <c r="VQ45" i="28"/>
  <c r="VO45" i="28"/>
  <c r="VM45" i="28"/>
  <c r="VK45" i="28"/>
  <c r="WG44" i="28"/>
  <c r="WE44" i="28"/>
  <c r="WC44" i="28"/>
  <c r="WA44" i="28"/>
  <c r="VY44" i="28"/>
  <c r="VW44" i="28"/>
  <c r="VU44" i="28"/>
  <c r="VS44" i="28"/>
  <c r="VQ44" i="28"/>
  <c r="VO44" i="28"/>
  <c r="VM44" i="28"/>
  <c r="VK44" i="28"/>
  <c r="VI44" i="28"/>
  <c r="VG44" i="28"/>
  <c r="WG43" i="28"/>
  <c r="WE43" i="28"/>
  <c r="WC43" i="28"/>
  <c r="WA43" i="28"/>
  <c r="VY43" i="28"/>
  <c r="VW43" i="28"/>
  <c r="VU43" i="28"/>
  <c r="VS43" i="28"/>
  <c r="VQ43" i="28"/>
  <c r="VO43" i="28"/>
  <c r="VM43" i="28"/>
  <c r="VK43" i="28"/>
  <c r="VI43" i="28"/>
  <c r="VG43" i="28"/>
  <c r="VG45" i="28" s="1"/>
  <c r="WG41" i="28"/>
  <c r="WE41" i="28"/>
  <c r="WE47" i="28" s="1"/>
  <c r="WC41" i="28"/>
  <c r="WA41" i="28"/>
  <c r="WA47" i="28" s="1"/>
  <c r="VY41" i="28"/>
  <c r="VW41" i="28"/>
  <c r="VW47" i="28" s="1"/>
  <c r="VU41" i="28"/>
  <c r="VS41" i="28"/>
  <c r="VS47" i="28" s="1"/>
  <c r="VQ41" i="28"/>
  <c r="VO41" i="28"/>
  <c r="VO47" i="28" s="1"/>
  <c r="VM41" i="28"/>
  <c r="VK41" i="28"/>
  <c r="VK47" i="28" s="1"/>
  <c r="VI41" i="28"/>
  <c r="VG41" i="28"/>
  <c r="VG47" i="28" s="1"/>
  <c r="VA45" i="28"/>
  <c r="UY45" i="28"/>
  <c r="UW45" i="28"/>
  <c r="UU45" i="28"/>
  <c r="US45" i="28"/>
  <c r="UQ45" i="28"/>
  <c r="UO45" i="28"/>
  <c r="UM45" i="28"/>
  <c r="UK45" i="28"/>
  <c r="UI45" i="28"/>
  <c r="UG45" i="28"/>
  <c r="UE45" i="28"/>
  <c r="VA44" i="28"/>
  <c r="UY44" i="28"/>
  <c r="UW44" i="28"/>
  <c r="UU44" i="28"/>
  <c r="US44" i="28"/>
  <c r="UQ44" i="28"/>
  <c r="UO44" i="28"/>
  <c r="UM44" i="28"/>
  <c r="UK44" i="28"/>
  <c r="UI44" i="28"/>
  <c r="UG44" i="28"/>
  <c r="UE44" i="28"/>
  <c r="UC44" i="28"/>
  <c r="UA44" i="28"/>
  <c r="VA43" i="28"/>
  <c r="UY43" i="28"/>
  <c r="UW43" i="28"/>
  <c r="UU43" i="28"/>
  <c r="US43" i="28"/>
  <c r="UQ43" i="28"/>
  <c r="UO43" i="28"/>
  <c r="UM43" i="28"/>
  <c r="UK43" i="28"/>
  <c r="UI43" i="28"/>
  <c r="UG43" i="28"/>
  <c r="UE43" i="28"/>
  <c r="UC43" i="28"/>
  <c r="UA43" i="28"/>
  <c r="UA45" i="28" s="1"/>
  <c r="VA41" i="28"/>
  <c r="UY41" i="28"/>
  <c r="UY47" i="28" s="1"/>
  <c r="UW41" i="28"/>
  <c r="UU41" i="28"/>
  <c r="UU47" i="28" s="1"/>
  <c r="US41" i="28"/>
  <c r="UQ41" i="28"/>
  <c r="UQ47" i="28" s="1"/>
  <c r="UO41" i="28"/>
  <c r="UM41" i="28"/>
  <c r="UM47" i="28" s="1"/>
  <c r="UK41" i="28"/>
  <c r="UI41" i="28"/>
  <c r="UI47" i="28" s="1"/>
  <c r="UG41" i="28"/>
  <c r="UE41" i="28"/>
  <c r="UE47" i="28" s="1"/>
  <c r="UC41" i="28"/>
  <c r="UA41" i="28"/>
  <c r="UA47" i="28" s="1"/>
  <c r="TU45" i="28"/>
  <c r="TQ45" i="28"/>
  <c r="TM45" i="28"/>
  <c r="TI45" i="28"/>
  <c r="TE45" i="28"/>
  <c r="TA45" i="28"/>
  <c r="TU44" i="28"/>
  <c r="TQ44" i="28"/>
  <c r="TM44" i="28"/>
  <c r="TI44" i="28"/>
  <c r="TE44" i="28"/>
  <c r="TA44" i="28"/>
  <c r="SW44" i="28"/>
  <c r="TU43" i="28"/>
  <c r="TQ43" i="28"/>
  <c r="TM43" i="28"/>
  <c r="TI43" i="28"/>
  <c r="TE43" i="28"/>
  <c r="TA43" i="28"/>
  <c r="SW43" i="28"/>
  <c r="TU41" i="28"/>
  <c r="TQ41" i="28"/>
  <c r="TM41" i="28"/>
  <c r="TI41" i="28"/>
  <c r="TE41" i="28"/>
  <c r="TA41" i="28"/>
  <c r="SW41" i="28"/>
  <c r="SO45" i="28"/>
  <c r="SK45" i="28"/>
  <c r="SG45" i="28"/>
  <c r="SC45" i="28"/>
  <c r="RY45" i="28"/>
  <c r="RU45" i="28"/>
  <c r="SO44" i="28"/>
  <c r="SK44" i="28"/>
  <c r="SG44" i="28"/>
  <c r="SC44" i="28"/>
  <c r="RY44" i="28"/>
  <c r="RU44" i="28"/>
  <c r="RQ44" i="28"/>
  <c r="SO43" i="28"/>
  <c r="SK43" i="28"/>
  <c r="SG43" i="28"/>
  <c r="SC43" i="28"/>
  <c r="RY43" i="28"/>
  <c r="RU43" i="28"/>
  <c r="RQ43" i="28"/>
  <c r="SO41" i="28"/>
  <c r="SK41" i="28"/>
  <c r="SG41" i="28"/>
  <c r="SC41" i="28"/>
  <c r="RY41" i="28"/>
  <c r="RU41" i="28"/>
  <c r="RQ41" i="28"/>
  <c r="SO40" i="28"/>
  <c r="SK40" i="28"/>
  <c r="SG40" i="28"/>
  <c r="SC40" i="28"/>
  <c r="RY40" i="28"/>
  <c r="RU40" i="28"/>
  <c r="RQ40" i="28"/>
  <c r="SO39" i="28"/>
  <c r="SK39" i="28"/>
  <c r="SG39" i="28"/>
  <c r="SC39" i="28"/>
  <c r="RY39" i="28"/>
  <c r="RU39" i="28"/>
  <c r="RQ39" i="28"/>
  <c r="SO38" i="28"/>
  <c r="SK38" i="28"/>
  <c r="SG38" i="28"/>
  <c r="SC38" i="28"/>
  <c r="RY38" i="28"/>
  <c r="RU38" i="28"/>
  <c r="RQ38" i="28"/>
  <c r="RI45" i="28"/>
  <c r="RE45" i="28"/>
  <c r="RA45" i="28"/>
  <c r="QW45" i="28"/>
  <c r="QS45" i="28"/>
  <c r="QO45" i="28"/>
  <c r="QM45" i="28"/>
  <c r="RI44" i="28"/>
  <c r="RE44" i="28"/>
  <c r="RA44" i="28"/>
  <c r="QW44" i="28"/>
  <c r="QS44" i="28"/>
  <c r="QO44" i="28"/>
  <c r="QM44" i="28"/>
  <c r="QK44" i="28"/>
  <c r="QI44" i="28"/>
  <c r="RI43" i="28"/>
  <c r="RE43" i="28"/>
  <c r="RA43" i="28"/>
  <c r="QW43" i="28"/>
  <c r="QS43" i="28"/>
  <c r="QO43" i="28"/>
  <c r="QM43" i="28"/>
  <c r="QK43" i="28"/>
  <c r="QI43" i="28"/>
  <c r="QI45" i="28" s="1"/>
  <c r="RI41" i="28"/>
  <c r="RE41" i="28"/>
  <c r="RA41" i="28"/>
  <c r="QW41" i="28"/>
  <c r="QS41" i="28"/>
  <c r="QO41" i="28"/>
  <c r="QK41" i="28"/>
  <c r="RI40" i="28"/>
  <c r="RE40" i="28"/>
  <c r="RA40" i="28"/>
  <c r="QW40" i="28"/>
  <c r="QS40" i="28"/>
  <c r="QO40" i="28"/>
  <c r="QM40" i="28"/>
  <c r="QK40" i="28"/>
  <c r="QI40" i="28"/>
  <c r="RI39" i="28"/>
  <c r="RE39" i="28"/>
  <c r="RA39" i="28"/>
  <c r="QW39" i="28"/>
  <c r="QS39" i="28"/>
  <c r="QO39" i="28"/>
  <c r="QM39" i="28"/>
  <c r="QK39" i="28"/>
  <c r="QI39" i="28"/>
  <c r="RI38" i="28"/>
  <c r="RE38" i="28"/>
  <c r="RA38" i="28"/>
  <c r="QW38" i="28"/>
  <c r="QS38" i="28"/>
  <c r="QO38" i="28"/>
  <c r="QK38" i="28"/>
  <c r="QC45" i="28"/>
  <c r="PY45" i="28"/>
  <c r="PU45" i="28"/>
  <c r="PQ45" i="28"/>
  <c r="PM45" i="28"/>
  <c r="PI45" i="28"/>
  <c r="QC44" i="28"/>
  <c r="PY44" i="28"/>
  <c r="PU44" i="28"/>
  <c r="PQ44" i="28"/>
  <c r="PM44" i="28"/>
  <c r="PI44" i="28"/>
  <c r="PE44" i="28"/>
  <c r="QC43" i="28"/>
  <c r="PY43" i="28"/>
  <c r="PU43" i="28"/>
  <c r="PQ43" i="28"/>
  <c r="PM43" i="28"/>
  <c r="PI43" i="28"/>
  <c r="PE43" i="28"/>
  <c r="QC41" i="28"/>
  <c r="PY41" i="28"/>
  <c r="PU41" i="28"/>
  <c r="PQ41" i="28"/>
  <c r="PM41" i="28"/>
  <c r="PI41" i="28"/>
  <c r="PE41" i="28"/>
  <c r="QC40" i="28"/>
  <c r="PY40" i="28"/>
  <c r="PU40" i="28"/>
  <c r="PQ40" i="28"/>
  <c r="PM40" i="28"/>
  <c r="PI40" i="28"/>
  <c r="PE40" i="28"/>
  <c r="QC39" i="28"/>
  <c r="PY39" i="28"/>
  <c r="PU39" i="28"/>
  <c r="PQ39" i="28"/>
  <c r="PM39" i="28"/>
  <c r="PI39" i="28"/>
  <c r="PE39" i="28"/>
  <c r="QC38" i="28"/>
  <c r="PY38" i="28"/>
  <c r="PU38" i="28"/>
  <c r="PQ38" i="28"/>
  <c r="PM38" i="28"/>
  <c r="PI38" i="28"/>
  <c r="PE38" i="28"/>
  <c r="OW45" i="28"/>
  <c r="OW44" i="28"/>
  <c r="OW43" i="28"/>
  <c r="OW41" i="28"/>
  <c r="OW40" i="28"/>
  <c r="OW39" i="28"/>
  <c r="OW38" i="28"/>
  <c r="OS45" i="28"/>
  <c r="OS44" i="28"/>
  <c r="OS43" i="28"/>
  <c r="OS41" i="28"/>
  <c r="OS40" i="28"/>
  <c r="OS39" i="28"/>
  <c r="OS38" i="28"/>
  <c r="OO45" i="28"/>
  <c r="OO44" i="28"/>
  <c r="OO43" i="28"/>
  <c r="OO41" i="28"/>
  <c r="OO40" i="28"/>
  <c r="OO39" i="28"/>
  <c r="OO38" i="28"/>
  <c r="OK45" i="28"/>
  <c r="OK44" i="28"/>
  <c r="OK43" i="28"/>
  <c r="OK41" i="28"/>
  <c r="OK40" i="28"/>
  <c r="OK39" i="28"/>
  <c r="OK38" i="28"/>
  <c r="OG45" i="28"/>
  <c r="OG44" i="28"/>
  <c r="OG43" i="28"/>
  <c r="OG41" i="28"/>
  <c r="OG40" i="28"/>
  <c r="OG39" i="28"/>
  <c r="OG38" i="28"/>
  <c r="OC45" i="28"/>
  <c r="OC44" i="28"/>
  <c r="OC43" i="28"/>
  <c r="OC41" i="28"/>
  <c r="OC40" i="28"/>
  <c r="OC39" i="28"/>
  <c r="OC38" i="28"/>
  <c r="J599" i="32"/>
  <c r="GT7" i="25"/>
  <c r="GT8" i="25"/>
  <c r="GT9" i="25"/>
  <c r="GT10" i="25"/>
  <c r="GT11" i="25"/>
  <c r="GT12" i="25"/>
  <c r="GT13" i="25"/>
  <c r="GT14" i="25"/>
  <c r="GT15" i="25"/>
  <c r="GT16" i="25"/>
  <c r="GT17" i="25"/>
  <c r="GT18" i="25"/>
  <c r="GT19" i="25"/>
  <c r="GT20" i="25"/>
  <c r="GT21" i="25"/>
  <c r="GT22" i="25"/>
  <c r="GT23" i="25"/>
  <c r="GT24" i="25"/>
  <c r="GT25" i="25"/>
  <c r="GT26" i="25"/>
  <c r="GT27" i="25"/>
  <c r="GT28" i="25"/>
  <c r="GT29" i="25"/>
  <c r="GT30" i="25"/>
  <c r="GT31" i="25"/>
  <c r="GT32" i="25"/>
  <c r="GT33" i="25"/>
  <c r="GT34" i="25"/>
  <c r="GT6" i="25"/>
  <c r="OU35" i="28"/>
  <c r="OQ35" i="28"/>
  <c r="OM35" i="28"/>
  <c r="OP35" i="28" s="1"/>
  <c r="OI35" i="28"/>
  <c r="OL35" i="28" s="1"/>
  <c r="OE35" i="28"/>
  <c r="OH35" i="28" s="1"/>
  <c r="OA35" i="28"/>
  <c r="OD35" i="28" s="1"/>
  <c r="NW35" i="28"/>
  <c r="NY44" i="28"/>
  <c r="NY43" i="28"/>
  <c r="NY41" i="28"/>
  <c r="NY40" i="28"/>
  <c r="NY39" i="28"/>
  <c r="NY38" i="28"/>
  <c r="J598" i="32"/>
  <c r="J597" i="32"/>
  <c r="J596" i="32"/>
  <c r="J595" i="32"/>
  <c r="NE38" i="28"/>
  <c r="NE39" i="28"/>
  <c r="NE40" i="28"/>
  <c r="NE41" i="28"/>
  <c r="NE43" i="28"/>
  <c r="NE44" i="28"/>
  <c r="J594" i="32"/>
  <c r="GI53" i="25"/>
  <c r="GI52" i="25"/>
  <c r="GI51" i="25"/>
  <c r="GI38" i="25"/>
  <c r="J593" i="32"/>
  <c r="GJ31" i="25"/>
  <c r="J592" i="32"/>
  <c r="NQ44" i="28"/>
  <c r="NQ43" i="28"/>
  <c r="NQ41" i="28"/>
  <c r="NQ40" i="28"/>
  <c r="NQ39" i="28"/>
  <c r="NQ38" i="28"/>
  <c r="NM44" i="28"/>
  <c r="NM43" i="28"/>
  <c r="NM41" i="28"/>
  <c r="NM40" i="28"/>
  <c r="NM39" i="28"/>
  <c r="NM38" i="28"/>
  <c r="NI44" i="28"/>
  <c r="NI43" i="28"/>
  <c r="NI41" i="28"/>
  <c r="NI40" i="28"/>
  <c r="NI39" i="28"/>
  <c r="NI38" i="28"/>
  <c r="NA44" i="28"/>
  <c r="NA43" i="28"/>
  <c r="NA41" i="28"/>
  <c r="NA40" i="28"/>
  <c r="NA39" i="28"/>
  <c r="NA38" i="28"/>
  <c r="MW44" i="28"/>
  <c r="MW43" i="28"/>
  <c r="MW41" i="28"/>
  <c r="MW40" i="28"/>
  <c r="MW39" i="28"/>
  <c r="MW38" i="28"/>
  <c r="MS44" i="28"/>
  <c r="NO35" i="28"/>
  <c r="NR35" i="28" s="1"/>
  <c r="NK35" i="28"/>
  <c r="NN35" i="28" s="1"/>
  <c r="NG35" i="28"/>
  <c r="NJ35" i="28" s="1"/>
  <c r="NC35" i="28"/>
  <c r="NF35" i="28" s="1"/>
  <c r="MY35" i="28"/>
  <c r="NB35" i="28" s="1"/>
  <c r="MU35" i="28"/>
  <c r="MX35" i="28" s="1"/>
  <c r="MQ35" i="28"/>
  <c r="MS41" i="28"/>
  <c r="MS39" i="28"/>
  <c r="MS43" i="28"/>
  <c r="MS40" i="28"/>
  <c r="MS38" i="28"/>
  <c r="MK44" i="28"/>
  <c r="MK43" i="28"/>
  <c r="MK41" i="28"/>
  <c r="MK40" i="28"/>
  <c r="MK39" i="28"/>
  <c r="MK38" i="28"/>
  <c r="J591" i="32"/>
  <c r="J590" i="32"/>
  <c r="J589" i="32"/>
  <c r="J588" i="32"/>
  <c r="MG44" i="28"/>
  <c r="MG43" i="28"/>
  <c r="MC44" i="28"/>
  <c r="MC43" i="28"/>
  <c r="MG41" i="28"/>
  <c r="MG40" i="28"/>
  <c r="MG39" i="28"/>
  <c r="MG38" i="28"/>
  <c r="MC41" i="28"/>
  <c r="MC40" i="28"/>
  <c r="MC39" i="28"/>
  <c r="MC38" i="28"/>
  <c r="LY44" i="28"/>
  <c r="LY43" i="28"/>
  <c r="LY41" i="28"/>
  <c r="LY40" i="28"/>
  <c r="LY39" i="28"/>
  <c r="LY38" i="28"/>
  <c r="LA44" i="28"/>
  <c r="KW44" i="28"/>
  <c r="KO44" i="28"/>
  <c r="KG44" i="28"/>
  <c r="JU44" i="28"/>
  <c r="JM44" i="28"/>
  <c r="JI44" i="28"/>
  <c r="JA44" i="28"/>
  <c r="IO44" i="28"/>
  <c r="IK44" i="28"/>
  <c r="IC44" i="28"/>
  <c r="HM44" i="28"/>
  <c r="HE44" i="28"/>
  <c r="GW44" i="28"/>
  <c r="GS44" i="28"/>
  <c r="GO44" i="28"/>
  <c r="GG44" i="28"/>
  <c r="FY44" i="28"/>
  <c r="FU44" i="28"/>
  <c r="FQ44" i="28"/>
  <c r="FI44" i="28"/>
  <c r="FA44" i="28"/>
  <c r="EW44" i="28"/>
  <c r="ES44" i="28"/>
  <c r="EK44" i="28"/>
  <c r="EC44" i="28"/>
  <c r="DU44" i="28"/>
  <c r="DM44" i="28"/>
  <c r="DE44" i="28"/>
  <c r="DA44" i="28"/>
  <c r="CW44" i="28"/>
  <c r="CO44" i="28"/>
  <c r="CG44" i="28"/>
  <c r="CC44" i="28"/>
  <c r="BY44" i="28"/>
  <c r="BQ44" i="28"/>
  <c r="LA43" i="28"/>
  <c r="LA45" i="28" s="1"/>
  <c r="KW43" i="28"/>
  <c r="KW45" i="28" s="1"/>
  <c r="KO43" i="28"/>
  <c r="KG43" i="28"/>
  <c r="KG45" i="28" s="1"/>
  <c r="JU43" i="28"/>
  <c r="JM43" i="28"/>
  <c r="JM45" i="28" s="1"/>
  <c r="JI43" i="28"/>
  <c r="JA43" i="28"/>
  <c r="IO43" i="28"/>
  <c r="IO45" i="28" s="1"/>
  <c r="IK43" i="28"/>
  <c r="IC43" i="28"/>
  <c r="HM43" i="28"/>
  <c r="HE43" i="28"/>
  <c r="GW43" i="28"/>
  <c r="GW45" i="28" s="1"/>
  <c r="GS43" i="28"/>
  <c r="GS45" i="28" s="1"/>
  <c r="GO43" i="28"/>
  <c r="GG43" i="28"/>
  <c r="FY43" i="28"/>
  <c r="FY45" i="28" s="1"/>
  <c r="FU43" i="28"/>
  <c r="FU45" i="28" s="1"/>
  <c r="FQ43" i="28"/>
  <c r="FI43" i="28"/>
  <c r="FA43" i="28"/>
  <c r="FA45" i="28" s="1"/>
  <c r="EW43" i="28"/>
  <c r="EW45" i="28" s="1"/>
  <c r="ES43" i="28"/>
  <c r="EK43" i="28"/>
  <c r="EC43" i="28"/>
  <c r="EC45" i="28" s="1"/>
  <c r="DU43" i="28"/>
  <c r="DU45" i="28" s="1"/>
  <c r="DM43" i="28"/>
  <c r="DE43" i="28"/>
  <c r="DE45" i="28" s="1"/>
  <c r="DA43" i="28"/>
  <c r="CW43" i="28"/>
  <c r="CW45" i="28" s="1"/>
  <c r="CO43" i="28"/>
  <c r="CG43" i="28"/>
  <c r="CG45" i="28" s="1"/>
  <c r="CC43" i="28"/>
  <c r="BY43" i="28"/>
  <c r="BY45" i="28" s="1"/>
  <c r="BQ43" i="28"/>
  <c r="LA40" i="28"/>
  <c r="KW40" i="28"/>
  <c r="KO40" i="28"/>
  <c r="KG40" i="28"/>
  <c r="JU40" i="28"/>
  <c r="JM40" i="28"/>
  <c r="JI40" i="28"/>
  <c r="JA40" i="28"/>
  <c r="IO40" i="28"/>
  <c r="IK40" i="28"/>
  <c r="IC40" i="28"/>
  <c r="HM40" i="28"/>
  <c r="HE40" i="28"/>
  <c r="GW40" i="28"/>
  <c r="GS40" i="28"/>
  <c r="GO40" i="28"/>
  <c r="GG40" i="28"/>
  <c r="FY40" i="28"/>
  <c r="FU40" i="28"/>
  <c r="FQ40" i="28"/>
  <c r="FI40" i="28"/>
  <c r="FA40" i="28"/>
  <c r="EW40" i="28"/>
  <c r="ES40" i="28"/>
  <c r="EK40" i="28"/>
  <c r="EC40" i="28"/>
  <c r="DU40" i="28"/>
  <c r="DM40" i="28"/>
  <c r="DE40" i="28"/>
  <c r="DA40" i="28"/>
  <c r="CW40" i="28"/>
  <c r="CO40" i="28"/>
  <c r="CG40" i="28"/>
  <c r="CC40" i="28"/>
  <c r="BY40" i="28"/>
  <c r="BQ40" i="28"/>
  <c r="LA39" i="28"/>
  <c r="KW39" i="28"/>
  <c r="KO39" i="28"/>
  <c r="KG39" i="28"/>
  <c r="JU39" i="28"/>
  <c r="JM39" i="28"/>
  <c r="JI39" i="28"/>
  <c r="JA39" i="28"/>
  <c r="IO39" i="28"/>
  <c r="IK39" i="28"/>
  <c r="IC39" i="28"/>
  <c r="HM39" i="28"/>
  <c r="HE39" i="28"/>
  <c r="GW39" i="28"/>
  <c r="GS39" i="28"/>
  <c r="GO39" i="28"/>
  <c r="GG39" i="28"/>
  <c r="FY39" i="28"/>
  <c r="FU39" i="28"/>
  <c r="FQ39" i="28"/>
  <c r="FI39" i="28"/>
  <c r="FA39" i="28"/>
  <c r="EW39" i="28"/>
  <c r="ES39" i="28"/>
  <c r="EK39" i="28"/>
  <c r="EC39" i="28"/>
  <c r="DU39" i="28"/>
  <c r="DM39" i="28"/>
  <c r="DE39" i="28"/>
  <c r="DA39" i="28"/>
  <c r="CW39" i="28"/>
  <c r="CO39" i="28"/>
  <c r="CG39" i="28"/>
  <c r="CC39" i="28"/>
  <c r="BY39" i="28"/>
  <c r="BQ39" i="28"/>
  <c r="J587" i="32"/>
  <c r="J586" i="32"/>
  <c r="J585" i="32"/>
  <c r="GN44" i="25"/>
  <c r="GN43" i="25"/>
  <c r="GN45" i="25" s="1"/>
  <c r="GN40" i="25"/>
  <c r="GN39" i="25"/>
  <c r="GN38" i="25"/>
  <c r="GN41" i="25" s="1"/>
  <c r="GN47" i="25" s="1"/>
  <c r="GI44" i="25"/>
  <c r="GI43" i="25"/>
  <c r="GI45" i="25" s="1"/>
  <c r="GI40" i="25"/>
  <c r="GI39" i="25"/>
  <c r="GI41" i="25"/>
  <c r="GI47" i="25" s="1"/>
  <c r="GD44" i="25"/>
  <c r="GD43" i="25"/>
  <c r="GD45" i="25" s="1"/>
  <c r="GD40" i="25"/>
  <c r="GD39" i="25"/>
  <c r="GD38" i="25"/>
  <c r="GD41" i="25" s="1"/>
  <c r="GD47" i="25" s="1"/>
  <c r="FY44" i="25"/>
  <c r="FY43" i="25"/>
  <c r="FY45" i="25" s="1"/>
  <c r="FY40" i="25"/>
  <c r="FY39" i="25"/>
  <c r="FY38" i="25"/>
  <c r="FY41" i="25" s="1"/>
  <c r="FY47" i="25" s="1"/>
  <c r="J584" i="32"/>
  <c r="J583" i="32"/>
  <c r="J582" i="32"/>
  <c r="J581" i="32"/>
  <c r="J580" i="32"/>
  <c r="J579" i="32"/>
  <c r="J578" i="32"/>
  <c r="J577" i="32"/>
  <c r="O551" i="32"/>
  <c r="N551" i="32"/>
  <c r="M551" i="32"/>
  <c r="J576" i="32"/>
  <c r="J575" i="32"/>
  <c r="J574" i="32"/>
  <c r="BX45" i="29"/>
  <c r="BX44" i="29"/>
  <c r="BX46" i="29" s="1"/>
  <c r="BX41" i="29"/>
  <c r="BX40" i="29"/>
  <c r="BX39" i="29"/>
  <c r="BX42" i="29" s="1"/>
  <c r="AU45" i="29"/>
  <c r="AU44" i="29"/>
  <c r="AU46" i="29" s="1"/>
  <c r="AU41" i="29"/>
  <c r="AU40" i="29"/>
  <c r="AU39" i="29"/>
  <c r="AU42" i="29" s="1"/>
  <c r="W45" i="29"/>
  <c r="W44" i="29"/>
  <c r="W46" i="29" s="1"/>
  <c r="W41" i="29"/>
  <c r="W40" i="29"/>
  <c r="W39" i="29"/>
  <c r="W42" i="29" s="1"/>
  <c r="J573" i="32"/>
  <c r="BKU8" i="30"/>
  <c r="BKV8" i="30"/>
  <c r="BKU9" i="30"/>
  <c r="BKV9" i="30"/>
  <c r="BKU10" i="30"/>
  <c r="BKV10" i="30"/>
  <c r="BKU11" i="30"/>
  <c r="BKV11" i="30"/>
  <c r="BKU12" i="30"/>
  <c r="BKV12" i="30"/>
  <c r="BKU13" i="30"/>
  <c r="BKV13" i="30"/>
  <c r="BKU14" i="30"/>
  <c r="BKV14" i="30"/>
  <c r="BKU15" i="30"/>
  <c r="BKV15" i="30"/>
  <c r="BKU16" i="30"/>
  <c r="BKV16" i="30"/>
  <c r="BKU17" i="30"/>
  <c r="BKV17" i="30"/>
  <c r="BKU18" i="30"/>
  <c r="BKV18" i="30"/>
  <c r="BKU19" i="30"/>
  <c r="BKV19" i="30"/>
  <c r="BKU20" i="30"/>
  <c r="BKV20" i="30"/>
  <c r="BKU21" i="30"/>
  <c r="BKV21" i="30"/>
  <c r="BKU22" i="30"/>
  <c r="BKV22" i="30"/>
  <c r="BKU23" i="30"/>
  <c r="BKV23" i="30"/>
  <c r="BKU24" i="30"/>
  <c r="BKV24" i="30"/>
  <c r="BKU25" i="30"/>
  <c r="BKV25" i="30"/>
  <c r="BKU26" i="30"/>
  <c r="BKV26" i="30"/>
  <c r="BKU27" i="30"/>
  <c r="BKV27" i="30"/>
  <c r="BKU28" i="30"/>
  <c r="BKV28" i="30"/>
  <c r="BKU29" i="30"/>
  <c r="BKV29" i="30"/>
  <c r="BKU30" i="30"/>
  <c r="BKV30" i="30"/>
  <c r="BKU31" i="30"/>
  <c r="BKV31" i="30"/>
  <c r="BKU32" i="30"/>
  <c r="BKV32" i="30"/>
  <c r="BKU33" i="30"/>
  <c r="BKV33" i="30"/>
  <c r="BKU34" i="30"/>
  <c r="BKV34" i="30"/>
  <c r="BKQ8" i="30"/>
  <c r="BKR8" i="30"/>
  <c r="BKQ9" i="30"/>
  <c r="BKR9" i="30"/>
  <c r="BKQ10" i="30"/>
  <c r="BKR10" i="30"/>
  <c r="BKQ11" i="30"/>
  <c r="BKR11" i="30"/>
  <c r="BKQ12" i="30"/>
  <c r="BKR12" i="30"/>
  <c r="BKQ13" i="30"/>
  <c r="BKR13" i="30"/>
  <c r="BKQ14" i="30"/>
  <c r="BKR14" i="30"/>
  <c r="BKQ15" i="30"/>
  <c r="BKR15" i="30"/>
  <c r="BKQ16" i="30"/>
  <c r="BKR16" i="30"/>
  <c r="BKQ17" i="30"/>
  <c r="BKR17" i="30"/>
  <c r="BKQ18" i="30"/>
  <c r="BKR18" i="30"/>
  <c r="BKQ19" i="30"/>
  <c r="BKR19" i="30"/>
  <c r="BKQ20" i="30"/>
  <c r="BKR20" i="30"/>
  <c r="BKQ21" i="30"/>
  <c r="BKR21" i="30"/>
  <c r="BKQ22" i="30"/>
  <c r="BKR22" i="30"/>
  <c r="BKQ23" i="30"/>
  <c r="BKR23" i="30"/>
  <c r="BKQ24" i="30"/>
  <c r="BKR24" i="30"/>
  <c r="BKQ25" i="30"/>
  <c r="BKR25" i="30"/>
  <c r="BKQ26" i="30"/>
  <c r="BKR26" i="30"/>
  <c r="BKQ27" i="30"/>
  <c r="BKR27" i="30"/>
  <c r="BKQ28" i="30"/>
  <c r="BKR28" i="30"/>
  <c r="BKQ29" i="30"/>
  <c r="BKR29" i="30"/>
  <c r="BKQ30" i="30"/>
  <c r="BKR30" i="30"/>
  <c r="BKQ31" i="30"/>
  <c r="BKR31" i="30"/>
  <c r="BKQ32" i="30"/>
  <c r="BKR32" i="30"/>
  <c r="BKQ33" i="30"/>
  <c r="BKR33" i="30"/>
  <c r="BKQ34" i="30"/>
  <c r="BKR34" i="30"/>
  <c r="BKM8" i="30"/>
  <c r="BKN8" i="30"/>
  <c r="BKM9" i="30"/>
  <c r="BKN9" i="30"/>
  <c r="BKM10" i="30"/>
  <c r="BKN10" i="30"/>
  <c r="BKM11" i="30"/>
  <c r="BKN11" i="30"/>
  <c r="BKM12" i="30"/>
  <c r="BKN12" i="30"/>
  <c r="BKM13" i="30"/>
  <c r="BKN13" i="30"/>
  <c r="BKM14" i="30"/>
  <c r="BKN14" i="30"/>
  <c r="BKM15" i="30"/>
  <c r="BKN15" i="30"/>
  <c r="BKM16" i="30"/>
  <c r="BKN16" i="30"/>
  <c r="BKM17" i="30"/>
  <c r="BKN17" i="30"/>
  <c r="BKM18" i="30"/>
  <c r="BKN18" i="30"/>
  <c r="BKM19" i="30"/>
  <c r="BKN19" i="30"/>
  <c r="BKM20" i="30"/>
  <c r="BKN20" i="30"/>
  <c r="BKM21" i="30"/>
  <c r="BKN21" i="30"/>
  <c r="BKM22" i="30"/>
  <c r="BKN22" i="30"/>
  <c r="BKM23" i="30"/>
  <c r="BKN23" i="30"/>
  <c r="BKM24" i="30"/>
  <c r="BKN24" i="30"/>
  <c r="BKM25" i="30"/>
  <c r="BKN25" i="30"/>
  <c r="BKM26" i="30"/>
  <c r="BKN26" i="30"/>
  <c r="BKM27" i="30"/>
  <c r="BKN27" i="30"/>
  <c r="BKM28" i="30"/>
  <c r="BKN28" i="30"/>
  <c r="BKM29" i="30"/>
  <c r="BKN29" i="30"/>
  <c r="BKM30" i="30"/>
  <c r="BKN30" i="30"/>
  <c r="BKM31" i="30"/>
  <c r="BKN31" i="30"/>
  <c r="BKM32" i="30"/>
  <c r="BKN32" i="30"/>
  <c r="BKM33" i="30"/>
  <c r="BKN33" i="30"/>
  <c r="BKM34" i="30"/>
  <c r="BKN34" i="30"/>
  <c r="BKV7" i="30"/>
  <c r="BKR7" i="30"/>
  <c r="BKN7" i="30"/>
  <c r="BKU7" i="30"/>
  <c r="BKQ7" i="30"/>
  <c r="BKM7" i="30"/>
  <c r="BKI8" i="30"/>
  <c r="BKJ8" i="30"/>
  <c r="BKI9" i="30"/>
  <c r="BKJ9" i="30"/>
  <c r="BKI10" i="30"/>
  <c r="BKJ10" i="30"/>
  <c r="BKI11" i="30"/>
  <c r="BKJ11" i="30"/>
  <c r="BKI12" i="30"/>
  <c r="BKJ12" i="30"/>
  <c r="BKI13" i="30"/>
  <c r="BKJ13" i="30"/>
  <c r="BKI14" i="30"/>
  <c r="BKJ14" i="30"/>
  <c r="BKI15" i="30"/>
  <c r="BKJ15" i="30"/>
  <c r="BKI16" i="30"/>
  <c r="BKJ16" i="30"/>
  <c r="BKI17" i="30"/>
  <c r="BKJ17" i="30"/>
  <c r="BKI18" i="30"/>
  <c r="BKJ18" i="30"/>
  <c r="BKI19" i="30"/>
  <c r="BKJ19" i="30"/>
  <c r="BKI20" i="30"/>
  <c r="BKJ20" i="30"/>
  <c r="BKI21" i="30"/>
  <c r="BKJ21" i="30"/>
  <c r="BKI22" i="30"/>
  <c r="BKJ22" i="30"/>
  <c r="BKI23" i="30"/>
  <c r="BKJ23" i="30"/>
  <c r="BKI24" i="30"/>
  <c r="BKJ24" i="30"/>
  <c r="BKI25" i="30"/>
  <c r="BKJ25" i="30"/>
  <c r="BKI26" i="30"/>
  <c r="BKJ26" i="30"/>
  <c r="BKI27" i="30"/>
  <c r="BKJ27" i="30"/>
  <c r="BKI28" i="30"/>
  <c r="BKJ28" i="30"/>
  <c r="BKI29" i="30"/>
  <c r="BKJ29" i="30"/>
  <c r="BKI30" i="30"/>
  <c r="BKJ30" i="30"/>
  <c r="BKI31" i="30"/>
  <c r="BKJ31" i="30"/>
  <c r="BKI32" i="30"/>
  <c r="BKJ32" i="30"/>
  <c r="BKI33" i="30"/>
  <c r="BKJ33" i="30"/>
  <c r="BKI34" i="30"/>
  <c r="BKJ34" i="30"/>
  <c r="BKE8" i="30"/>
  <c r="BKF8" i="30"/>
  <c r="BKE9" i="30"/>
  <c r="BKF9" i="30"/>
  <c r="BKE10" i="30"/>
  <c r="BKF10" i="30"/>
  <c r="BKE11" i="30"/>
  <c r="BKF11" i="30"/>
  <c r="BKE12" i="30"/>
  <c r="BKF12" i="30"/>
  <c r="BKE13" i="30"/>
  <c r="BKF13" i="30"/>
  <c r="BKE14" i="30"/>
  <c r="BKF14" i="30"/>
  <c r="BKE15" i="30"/>
  <c r="BKF15" i="30"/>
  <c r="BKE16" i="30"/>
  <c r="BKF16" i="30"/>
  <c r="BKE17" i="30"/>
  <c r="BKF17" i="30"/>
  <c r="BKE18" i="30"/>
  <c r="BKF18" i="30"/>
  <c r="BKE19" i="30"/>
  <c r="BKF19" i="30"/>
  <c r="BKE20" i="30"/>
  <c r="BKF20" i="30"/>
  <c r="BKE21" i="30"/>
  <c r="BKF21" i="30"/>
  <c r="BKE22" i="30"/>
  <c r="BKF22" i="30"/>
  <c r="BKE23" i="30"/>
  <c r="BKF23" i="30"/>
  <c r="BKE24" i="30"/>
  <c r="BKF24" i="30"/>
  <c r="BKE25" i="30"/>
  <c r="BKF25" i="30"/>
  <c r="BKE26" i="30"/>
  <c r="BKF26" i="30"/>
  <c r="BKE27" i="30"/>
  <c r="BKF27" i="30"/>
  <c r="BKE28" i="30"/>
  <c r="BKF28" i="30"/>
  <c r="BKE29" i="30"/>
  <c r="BKF29" i="30"/>
  <c r="BKE30" i="30"/>
  <c r="BKF30" i="30"/>
  <c r="BKE31" i="30"/>
  <c r="BKF31" i="30"/>
  <c r="BKE32" i="30"/>
  <c r="BKF32" i="30"/>
  <c r="BKE33" i="30"/>
  <c r="BKF33" i="30"/>
  <c r="BKE34" i="30"/>
  <c r="BKF34" i="30"/>
  <c r="BKA8" i="30"/>
  <c r="BKB8" i="30"/>
  <c r="BKA9" i="30"/>
  <c r="BKB9" i="30"/>
  <c r="BKA10" i="30"/>
  <c r="BKB10" i="30"/>
  <c r="BKA11" i="30"/>
  <c r="BKB11" i="30"/>
  <c r="BKA12" i="30"/>
  <c r="BKB12" i="30"/>
  <c r="BKA13" i="30"/>
  <c r="BKB13" i="30"/>
  <c r="BKA14" i="30"/>
  <c r="BKB14" i="30"/>
  <c r="BKA15" i="30"/>
  <c r="BKB15" i="30"/>
  <c r="BKA16" i="30"/>
  <c r="BKB16" i="30"/>
  <c r="BKA17" i="30"/>
  <c r="BKB17" i="30"/>
  <c r="BKA18" i="30"/>
  <c r="BKB18" i="30"/>
  <c r="BKA19" i="30"/>
  <c r="BKB19" i="30"/>
  <c r="BKA20" i="30"/>
  <c r="BKB20" i="30"/>
  <c r="BKA21" i="30"/>
  <c r="BKB21" i="30"/>
  <c r="BKA22" i="30"/>
  <c r="BKB22" i="30"/>
  <c r="BKA23" i="30"/>
  <c r="BKB23" i="30"/>
  <c r="BKA24" i="30"/>
  <c r="BKB24" i="30"/>
  <c r="BKA25" i="30"/>
  <c r="BKB25" i="30"/>
  <c r="BKA26" i="30"/>
  <c r="BKB26" i="30"/>
  <c r="BKA27" i="30"/>
  <c r="BKB27" i="30"/>
  <c r="BKA28" i="30"/>
  <c r="BKB28" i="30"/>
  <c r="BKA29" i="30"/>
  <c r="BKB29" i="30"/>
  <c r="BKA30" i="30"/>
  <c r="BKB30" i="30"/>
  <c r="BKA31" i="30"/>
  <c r="BKB31" i="30"/>
  <c r="BKA32" i="30"/>
  <c r="BKB32" i="30"/>
  <c r="BKA33" i="30"/>
  <c r="BKB33" i="30"/>
  <c r="BKA34" i="30"/>
  <c r="BKB34" i="30"/>
  <c r="BKJ7" i="30"/>
  <c r="BKF7" i="30"/>
  <c r="BKB7" i="30"/>
  <c r="BKI7" i="30"/>
  <c r="BKE7" i="30"/>
  <c r="BKA7" i="30"/>
  <c r="BJW8" i="30"/>
  <c r="BJX8" i="30"/>
  <c r="BJW9" i="30"/>
  <c r="BJX9" i="30"/>
  <c r="BJW10" i="30"/>
  <c r="BJX10" i="30"/>
  <c r="BJW11" i="30"/>
  <c r="BJX11" i="30"/>
  <c r="BJW12" i="30"/>
  <c r="BJX12" i="30"/>
  <c r="BJW13" i="30"/>
  <c r="BJX13" i="30"/>
  <c r="BJW14" i="30"/>
  <c r="BJX14" i="30"/>
  <c r="BJW15" i="30"/>
  <c r="BJX15" i="30"/>
  <c r="BJW16" i="30"/>
  <c r="BJX16" i="30"/>
  <c r="BJW17" i="30"/>
  <c r="BJX17" i="30"/>
  <c r="BJW18" i="30"/>
  <c r="BJX18" i="30"/>
  <c r="BJW19" i="30"/>
  <c r="BJX19" i="30"/>
  <c r="BJW20" i="30"/>
  <c r="BJX20" i="30"/>
  <c r="BJW21" i="30"/>
  <c r="BJX21" i="30"/>
  <c r="BJW22" i="30"/>
  <c r="BJX22" i="30"/>
  <c r="BJW23" i="30"/>
  <c r="BJX23" i="30"/>
  <c r="BJW24" i="30"/>
  <c r="BJX24" i="30"/>
  <c r="BJW25" i="30"/>
  <c r="BJX25" i="30"/>
  <c r="BJW26" i="30"/>
  <c r="BJX26" i="30"/>
  <c r="BJW27" i="30"/>
  <c r="BJX27" i="30"/>
  <c r="BJW28" i="30"/>
  <c r="BJX28" i="30"/>
  <c r="BJW29" i="30"/>
  <c r="BJX29" i="30"/>
  <c r="BJW30" i="30"/>
  <c r="BJX30" i="30"/>
  <c r="BJW31" i="30"/>
  <c r="BJX31" i="30"/>
  <c r="BJW32" i="30"/>
  <c r="BJX32" i="30"/>
  <c r="BJW33" i="30"/>
  <c r="BJX33" i="30"/>
  <c r="BJW34" i="30"/>
  <c r="BJX34" i="30"/>
  <c r="BJX7" i="30"/>
  <c r="BJW7" i="30"/>
  <c r="BJO8" i="30"/>
  <c r="BJP8" i="30"/>
  <c r="BJO9" i="30"/>
  <c r="BJP9" i="30"/>
  <c r="BJO10" i="30"/>
  <c r="BJP10" i="30"/>
  <c r="BJO11" i="30"/>
  <c r="BJP11" i="30"/>
  <c r="BJO12" i="30"/>
  <c r="BJP12" i="30"/>
  <c r="BJO13" i="30"/>
  <c r="BJP13" i="30"/>
  <c r="BJO14" i="30"/>
  <c r="BJP14" i="30"/>
  <c r="BJO15" i="30"/>
  <c r="BJP15" i="30"/>
  <c r="BJO16" i="30"/>
  <c r="BJP16" i="30"/>
  <c r="BJO17" i="30"/>
  <c r="BJP17" i="30"/>
  <c r="BJO18" i="30"/>
  <c r="BJP18" i="30"/>
  <c r="BJO19" i="30"/>
  <c r="BJP19" i="30"/>
  <c r="BJO20" i="30"/>
  <c r="BJP20" i="30"/>
  <c r="BJO21" i="30"/>
  <c r="BJP21" i="30"/>
  <c r="BJO22" i="30"/>
  <c r="BJP22" i="30"/>
  <c r="BJO23" i="30"/>
  <c r="BJP23" i="30"/>
  <c r="BJO24" i="30"/>
  <c r="BJP24" i="30"/>
  <c r="BJO25" i="30"/>
  <c r="BJP25" i="30"/>
  <c r="BJO26" i="30"/>
  <c r="BJP26" i="30"/>
  <c r="BJO27" i="30"/>
  <c r="BJP27" i="30"/>
  <c r="BJO28" i="30"/>
  <c r="BJP28" i="30"/>
  <c r="BJO29" i="30"/>
  <c r="BJP29" i="30"/>
  <c r="BJO30" i="30"/>
  <c r="BJP30" i="30"/>
  <c r="BJO31" i="30"/>
  <c r="BJP31" i="30"/>
  <c r="BJO32" i="30"/>
  <c r="BJP32" i="30"/>
  <c r="BJO33" i="30"/>
  <c r="BJP33" i="30"/>
  <c r="BJO34" i="30"/>
  <c r="BJP34" i="30"/>
  <c r="BJK8" i="30"/>
  <c r="BJL8" i="30"/>
  <c r="BJK9" i="30"/>
  <c r="BJL9" i="30"/>
  <c r="BJK10" i="30"/>
  <c r="BJL10" i="30"/>
  <c r="BJK11" i="30"/>
  <c r="BJL11" i="30"/>
  <c r="BJK12" i="30"/>
  <c r="BJL12" i="30"/>
  <c r="BJK13" i="30"/>
  <c r="BJL13" i="30"/>
  <c r="BJK14" i="30"/>
  <c r="BJL14" i="30"/>
  <c r="BJK15" i="30"/>
  <c r="BJL15" i="30"/>
  <c r="BJK16" i="30"/>
  <c r="BJL16" i="30"/>
  <c r="BJK17" i="30"/>
  <c r="BJL17" i="30"/>
  <c r="BJK18" i="30"/>
  <c r="BJL18" i="30"/>
  <c r="BJK19" i="30"/>
  <c r="BJL19" i="30"/>
  <c r="BJK20" i="30"/>
  <c r="BJL20" i="30"/>
  <c r="BJK21" i="30"/>
  <c r="BJL21" i="30"/>
  <c r="BJK22" i="30"/>
  <c r="BJL22" i="30"/>
  <c r="BJK23" i="30"/>
  <c r="BJL23" i="30"/>
  <c r="BJK24" i="30"/>
  <c r="BJL24" i="30"/>
  <c r="BJK25" i="30"/>
  <c r="BJL25" i="30"/>
  <c r="BJK26" i="30"/>
  <c r="BJL26" i="30"/>
  <c r="BJK27" i="30"/>
  <c r="BJL27" i="30"/>
  <c r="BJK28" i="30"/>
  <c r="BJL28" i="30"/>
  <c r="BJK29" i="30"/>
  <c r="BJL29" i="30"/>
  <c r="BJK30" i="30"/>
  <c r="BJL30" i="30"/>
  <c r="BJK31" i="30"/>
  <c r="BJL31" i="30"/>
  <c r="BJK32" i="30"/>
  <c r="BJL32" i="30"/>
  <c r="BJK33" i="30"/>
  <c r="BJL33" i="30"/>
  <c r="BJK34" i="30"/>
  <c r="BJL34" i="30"/>
  <c r="BJG8" i="30"/>
  <c r="BJH8" i="30"/>
  <c r="BJG9" i="30"/>
  <c r="BJH9" i="30"/>
  <c r="BJG10" i="30"/>
  <c r="BJH10" i="30"/>
  <c r="BJG11" i="30"/>
  <c r="BJH11" i="30"/>
  <c r="BJG12" i="30"/>
  <c r="BJH12" i="30"/>
  <c r="BJG13" i="30"/>
  <c r="BJH13" i="30"/>
  <c r="BJG14" i="30"/>
  <c r="BJH14" i="30"/>
  <c r="BJG15" i="30"/>
  <c r="BJH15" i="30"/>
  <c r="BJG16" i="30"/>
  <c r="BJH16" i="30"/>
  <c r="BJG17" i="30"/>
  <c r="BJH17" i="30"/>
  <c r="BJG18" i="30"/>
  <c r="BJH18" i="30"/>
  <c r="BJG19" i="30"/>
  <c r="BJH19" i="30"/>
  <c r="BJG20" i="30"/>
  <c r="BJH20" i="30"/>
  <c r="BJG21" i="30"/>
  <c r="BJH21" i="30"/>
  <c r="BJG22" i="30"/>
  <c r="BJH22" i="30"/>
  <c r="BJG23" i="30"/>
  <c r="BJH23" i="30"/>
  <c r="BJG24" i="30"/>
  <c r="BJH24" i="30"/>
  <c r="BJG25" i="30"/>
  <c r="BJH25" i="30"/>
  <c r="BJG26" i="30"/>
  <c r="BJH26" i="30"/>
  <c r="BJG27" i="30"/>
  <c r="BJH27" i="30"/>
  <c r="BJG28" i="30"/>
  <c r="BJH28" i="30"/>
  <c r="BJG29" i="30"/>
  <c r="BJH29" i="30"/>
  <c r="BJG30" i="30"/>
  <c r="BJH30" i="30"/>
  <c r="BJG31" i="30"/>
  <c r="BJH31" i="30"/>
  <c r="BJG32" i="30"/>
  <c r="BJH32" i="30"/>
  <c r="BJG33" i="30"/>
  <c r="BJH33" i="30"/>
  <c r="BJG34" i="30"/>
  <c r="BJH34" i="30"/>
  <c r="BJP7" i="30"/>
  <c r="BJL7" i="30"/>
  <c r="BJH7" i="30"/>
  <c r="BJO7" i="30"/>
  <c r="BJK7" i="30"/>
  <c r="BJG7" i="30"/>
  <c r="BJC8" i="30"/>
  <c r="BJD8" i="30"/>
  <c r="BJC9" i="30"/>
  <c r="BJD9" i="30"/>
  <c r="BJC10" i="30"/>
  <c r="BJD10" i="30"/>
  <c r="BJC11" i="30"/>
  <c r="BJD11" i="30"/>
  <c r="BJC12" i="30"/>
  <c r="BJD12" i="30"/>
  <c r="BJC13" i="30"/>
  <c r="BJD13" i="30"/>
  <c r="BJC14" i="30"/>
  <c r="BJD14" i="30"/>
  <c r="BJC15" i="30"/>
  <c r="BJD15" i="30"/>
  <c r="BJC16" i="30"/>
  <c r="BJD16" i="30"/>
  <c r="BJC17" i="30"/>
  <c r="BJD17" i="30"/>
  <c r="BJC18" i="30"/>
  <c r="BJD18" i="30"/>
  <c r="BJC19" i="30"/>
  <c r="BJD19" i="30"/>
  <c r="BJC20" i="30"/>
  <c r="BJD20" i="30"/>
  <c r="BJC21" i="30"/>
  <c r="BJD21" i="30"/>
  <c r="BJC22" i="30"/>
  <c r="BJD22" i="30"/>
  <c r="BJC23" i="30"/>
  <c r="BJD23" i="30"/>
  <c r="BJC24" i="30"/>
  <c r="BJD24" i="30"/>
  <c r="BJC25" i="30"/>
  <c r="BJD25" i="30"/>
  <c r="BJC26" i="30"/>
  <c r="BJD26" i="30"/>
  <c r="BJC27" i="30"/>
  <c r="BJD27" i="30"/>
  <c r="BJC28" i="30"/>
  <c r="BJD28" i="30"/>
  <c r="BJC29" i="30"/>
  <c r="BJD29" i="30"/>
  <c r="BJC30" i="30"/>
  <c r="BJD30" i="30"/>
  <c r="BJC31" i="30"/>
  <c r="BJD31" i="30"/>
  <c r="BJC32" i="30"/>
  <c r="BJD32" i="30"/>
  <c r="BJC33" i="30"/>
  <c r="BJD33" i="30"/>
  <c r="BJC34" i="30"/>
  <c r="BJD34" i="30"/>
  <c r="BIY8" i="30"/>
  <c r="BIZ8" i="30"/>
  <c r="BIY9" i="30"/>
  <c r="BIZ9" i="30"/>
  <c r="BIY10" i="30"/>
  <c r="BIZ10" i="30"/>
  <c r="BIY11" i="30"/>
  <c r="BIZ11" i="30"/>
  <c r="BIY12" i="30"/>
  <c r="BIZ12" i="30"/>
  <c r="BIY13" i="30"/>
  <c r="BIZ13" i="30"/>
  <c r="BIY14" i="30"/>
  <c r="BIZ14" i="30"/>
  <c r="BIY15" i="30"/>
  <c r="BIZ15" i="30"/>
  <c r="BIY16" i="30"/>
  <c r="BIZ16" i="30"/>
  <c r="BIY17" i="30"/>
  <c r="BIZ17" i="30"/>
  <c r="BIY18" i="30"/>
  <c r="BIZ18" i="30"/>
  <c r="BIY19" i="30"/>
  <c r="BIZ19" i="30"/>
  <c r="BIY20" i="30"/>
  <c r="BIZ20" i="30"/>
  <c r="BIY21" i="30"/>
  <c r="BIZ21" i="30"/>
  <c r="BIY22" i="30"/>
  <c r="BIZ22" i="30"/>
  <c r="BIY23" i="30"/>
  <c r="BIZ23" i="30"/>
  <c r="BIY24" i="30"/>
  <c r="BIZ24" i="30"/>
  <c r="BIY25" i="30"/>
  <c r="BIZ25" i="30"/>
  <c r="BIY26" i="30"/>
  <c r="BIZ26" i="30"/>
  <c r="BIY27" i="30"/>
  <c r="BIZ27" i="30"/>
  <c r="BIY28" i="30"/>
  <c r="BIZ28" i="30"/>
  <c r="BIY29" i="30"/>
  <c r="BIZ29" i="30"/>
  <c r="BIY30" i="30"/>
  <c r="BIZ30" i="30"/>
  <c r="BIY31" i="30"/>
  <c r="BIZ31" i="30"/>
  <c r="BIY32" i="30"/>
  <c r="BIZ32" i="30"/>
  <c r="BIY33" i="30"/>
  <c r="BIZ33" i="30"/>
  <c r="BIY34" i="30"/>
  <c r="BIZ34" i="30"/>
  <c r="BIU8" i="30"/>
  <c r="BIV8" i="30"/>
  <c r="BIU9" i="30"/>
  <c r="BIV9" i="30"/>
  <c r="BIU10" i="30"/>
  <c r="BIV10" i="30"/>
  <c r="BIU11" i="30"/>
  <c r="BIV11" i="30"/>
  <c r="BIU12" i="30"/>
  <c r="BIV12" i="30"/>
  <c r="BIU13" i="30"/>
  <c r="BIV13" i="30"/>
  <c r="BIU14" i="30"/>
  <c r="BIV14" i="30"/>
  <c r="BIU15" i="30"/>
  <c r="BIV15" i="30"/>
  <c r="BIU16" i="30"/>
  <c r="BIV16" i="30"/>
  <c r="BIU17" i="30"/>
  <c r="BIV17" i="30"/>
  <c r="BIU18" i="30"/>
  <c r="BIV18" i="30"/>
  <c r="BIU19" i="30"/>
  <c r="BIV19" i="30"/>
  <c r="BIU20" i="30"/>
  <c r="BIV20" i="30"/>
  <c r="BIU21" i="30"/>
  <c r="BIV21" i="30"/>
  <c r="BIU22" i="30"/>
  <c r="BIV22" i="30"/>
  <c r="BIU23" i="30"/>
  <c r="BIV23" i="30"/>
  <c r="BIU24" i="30"/>
  <c r="BIV24" i="30"/>
  <c r="BIU25" i="30"/>
  <c r="BIV25" i="30"/>
  <c r="BIU26" i="30"/>
  <c r="BIV26" i="30"/>
  <c r="BIU27" i="30"/>
  <c r="BIV27" i="30"/>
  <c r="BIU28" i="30"/>
  <c r="BIV28" i="30"/>
  <c r="BIU29" i="30"/>
  <c r="BIV29" i="30"/>
  <c r="BIU30" i="30"/>
  <c r="BIV30" i="30"/>
  <c r="BIU31" i="30"/>
  <c r="BIV31" i="30"/>
  <c r="BIU32" i="30"/>
  <c r="BIV32" i="30"/>
  <c r="BIU33" i="30"/>
  <c r="BIV33" i="30"/>
  <c r="BIU34" i="30"/>
  <c r="BIV34" i="30"/>
  <c r="BJD7" i="30"/>
  <c r="BIZ7" i="30"/>
  <c r="BIV7" i="30"/>
  <c r="BJC7" i="30"/>
  <c r="BIY7" i="30"/>
  <c r="BIU7" i="30"/>
  <c r="BIQ8" i="30"/>
  <c r="BIR8" i="30"/>
  <c r="BIQ9" i="30"/>
  <c r="BIR9" i="30"/>
  <c r="BIQ10" i="30"/>
  <c r="BIR10" i="30"/>
  <c r="BIQ11" i="30"/>
  <c r="BIR11" i="30"/>
  <c r="BIQ12" i="30"/>
  <c r="BIR12" i="30"/>
  <c r="BIQ13" i="30"/>
  <c r="BIR13" i="30"/>
  <c r="BIQ14" i="30"/>
  <c r="BIR14" i="30"/>
  <c r="BIQ15" i="30"/>
  <c r="BIR15" i="30"/>
  <c r="BIQ16" i="30"/>
  <c r="BIR16" i="30"/>
  <c r="BIQ17" i="30"/>
  <c r="BIR17" i="30"/>
  <c r="BIQ18" i="30"/>
  <c r="BIR18" i="30"/>
  <c r="BIQ19" i="30"/>
  <c r="BIR19" i="30"/>
  <c r="BIQ20" i="30"/>
  <c r="BIR20" i="30"/>
  <c r="BIQ21" i="30"/>
  <c r="BIR21" i="30"/>
  <c r="BIQ22" i="30"/>
  <c r="BIR22" i="30"/>
  <c r="BIQ23" i="30"/>
  <c r="BIR23" i="30"/>
  <c r="BIQ24" i="30"/>
  <c r="BIR24" i="30"/>
  <c r="BIQ25" i="30"/>
  <c r="BIR25" i="30"/>
  <c r="BIQ26" i="30"/>
  <c r="BIR26" i="30"/>
  <c r="BIQ27" i="30"/>
  <c r="BIR27" i="30"/>
  <c r="BIQ28" i="30"/>
  <c r="BIR28" i="30"/>
  <c r="BIQ29" i="30"/>
  <c r="BIR29" i="30"/>
  <c r="BIQ30" i="30"/>
  <c r="BIR30" i="30"/>
  <c r="BIQ31" i="30"/>
  <c r="BIR31" i="30"/>
  <c r="BIQ32" i="30"/>
  <c r="BIR32" i="30"/>
  <c r="BIQ33" i="30"/>
  <c r="BIR33" i="30"/>
  <c r="BIQ34" i="30"/>
  <c r="BIR34" i="30"/>
  <c r="BIR7" i="30"/>
  <c r="BIQ7" i="30"/>
  <c r="BII8" i="30"/>
  <c r="BIJ8" i="30"/>
  <c r="BII9" i="30"/>
  <c r="BIJ9" i="30"/>
  <c r="BII10" i="30"/>
  <c r="BIJ10" i="30"/>
  <c r="BII11" i="30"/>
  <c r="BIJ11" i="30"/>
  <c r="BII12" i="30"/>
  <c r="BIJ12" i="30"/>
  <c r="BII13" i="30"/>
  <c r="BIJ13" i="30"/>
  <c r="BII14" i="30"/>
  <c r="BIJ14" i="30"/>
  <c r="BII15" i="30"/>
  <c r="BIJ15" i="30"/>
  <c r="BII16" i="30"/>
  <c r="BIJ16" i="30"/>
  <c r="BII17" i="30"/>
  <c r="BIJ17" i="30"/>
  <c r="BII18" i="30"/>
  <c r="BIJ18" i="30"/>
  <c r="BII19" i="30"/>
  <c r="BIJ19" i="30"/>
  <c r="BII20" i="30"/>
  <c r="BIJ20" i="30"/>
  <c r="BII21" i="30"/>
  <c r="BIJ21" i="30"/>
  <c r="BII22" i="30"/>
  <c r="BIJ22" i="30"/>
  <c r="BII23" i="30"/>
  <c r="BIJ23" i="30"/>
  <c r="BII24" i="30"/>
  <c r="BIJ24" i="30"/>
  <c r="BII25" i="30"/>
  <c r="BIJ25" i="30"/>
  <c r="BII26" i="30"/>
  <c r="BIJ26" i="30"/>
  <c r="BII27" i="30"/>
  <c r="BIJ27" i="30"/>
  <c r="BII28" i="30"/>
  <c r="BIJ28" i="30"/>
  <c r="BII29" i="30"/>
  <c r="BIJ29" i="30"/>
  <c r="BII30" i="30"/>
  <c r="BIJ30" i="30"/>
  <c r="BII31" i="30"/>
  <c r="BIJ31" i="30"/>
  <c r="BII32" i="30"/>
  <c r="BIJ32" i="30"/>
  <c r="BII33" i="30"/>
  <c r="BIJ33" i="30"/>
  <c r="BII34" i="30"/>
  <c r="BIJ34" i="30"/>
  <c r="BIE8" i="30"/>
  <c r="BIF8" i="30"/>
  <c r="BIE9" i="30"/>
  <c r="BIF9" i="30"/>
  <c r="BIE10" i="30"/>
  <c r="BIF10" i="30"/>
  <c r="BIE11" i="30"/>
  <c r="BIF11" i="30"/>
  <c r="BIE12" i="30"/>
  <c r="BIF12" i="30"/>
  <c r="BIE13" i="30"/>
  <c r="BIF13" i="30"/>
  <c r="BIE14" i="30"/>
  <c r="BIF14" i="30"/>
  <c r="BIE15" i="30"/>
  <c r="BIF15" i="30"/>
  <c r="BIE16" i="30"/>
  <c r="BIF16" i="30"/>
  <c r="BIE17" i="30"/>
  <c r="BIF17" i="30"/>
  <c r="BIE18" i="30"/>
  <c r="BIF18" i="30"/>
  <c r="BIE19" i="30"/>
  <c r="BIF19" i="30"/>
  <c r="BIE20" i="30"/>
  <c r="BIF20" i="30"/>
  <c r="BIE21" i="30"/>
  <c r="BIF21" i="30"/>
  <c r="BIE22" i="30"/>
  <c r="BIF22" i="30"/>
  <c r="BIE23" i="30"/>
  <c r="BIF23" i="30"/>
  <c r="BIE24" i="30"/>
  <c r="BIF24" i="30"/>
  <c r="BIE25" i="30"/>
  <c r="BIF25" i="30"/>
  <c r="BIE26" i="30"/>
  <c r="BIF26" i="30"/>
  <c r="BIE27" i="30"/>
  <c r="BIF27" i="30"/>
  <c r="BIE28" i="30"/>
  <c r="BIF28" i="30"/>
  <c r="BIE29" i="30"/>
  <c r="BIF29" i="30"/>
  <c r="BIE30" i="30"/>
  <c r="BIF30" i="30"/>
  <c r="BIE31" i="30"/>
  <c r="BIF31" i="30"/>
  <c r="BIE32" i="30"/>
  <c r="BIF32" i="30"/>
  <c r="BIE33" i="30"/>
  <c r="BIF33" i="30"/>
  <c r="BIE34" i="30"/>
  <c r="BIF34" i="30"/>
  <c r="BIA8" i="30"/>
  <c r="BIB8" i="30"/>
  <c r="BIA9" i="30"/>
  <c r="BIB9" i="30"/>
  <c r="BIA10" i="30"/>
  <c r="BIB10" i="30"/>
  <c r="BIA11" i="30"/>
  <c r="BIB11" i="30"/>
  <c r="BIA12" i="30"/>
  <c r="BIB12" i="30"/>
  <c r="BIA13" i="30"/>
  <c r="BIB13" i="30"/>
  <c r="BIA14" i="30"/>
  <c r="BIB14" i="30"/>
  <c r="BIA15" i="30"/>
  <c r="BIB15" i="30"/>
  <c r="BIA16" i="30"/>
  <c r="BIB16" i="30"/>
  <c r="BIA17" i="30"/>
  <c r="BIB17" i="30"/>
  <c r="BIA18" i="30"/>
  <c r="BIB18" i="30"/>
  <c r="BIA19" i="30"/>
  <c r="BIB19" i="30"/>
  <c r="BIA20" i="30"/>
  <c r="BIB20" i="30"/>
  <c r="BIA21" i="30"/>
  <c r="BIB21" i="30"/>
  <c r="BIA22" i="30"/>
  <c r="BIB22" i="30"/>
  <c r="BIA23" i="30"/>
  <c r="BIB23" i="30"/>
  <c r="BIA24" i="30"/>
  <c r="BIB24" i="30"/>
  <c r="BIA25" i="30"/>
  <c r="BIB25" i="30"/>
  <c r="BIA26" i="30"/>
  <c r="BIB26" i="30"/>
  <c r="BIA27" i="30"/>
  <c r="BIB27" i="30"/>
  <c r="BIA28" i="30"/>
  <c r="BIB28" i="30"/>
  <c r="BIA29" i="30"/>
  <c r="BIB29" i="30"/>
  <c r="BIA30" i="30"/>
  <c r="BIB30" i="30"/>
  <c r="BIA31" i="30"/>
  <c r="BIB31" i="30"/>
  <c r="BIA32" i="30"/>
  <c r="BIB32" i="30"/>
  <c r="BIA33" i="30"/>
  <c r="BIB33" i="30"/>
  <c r="BIA34" i="30"/>
  <c r="BIB34" i="30"/>
  <c r="BIJ7" i="30"/>
  <c r="BIF7" i="30"/>
  <c r="BIB7" i="30"/>
  <c r="BII7" i="30"/>
  <c r="BIE7" i="30"/>
  <c r="BIA7" i="30"/>
  <c r="BHW8" i="30"/>
  <c r="BHX8" i="30"/>
  <c r="BHW9" i="30"/>
  <c r="BHX9" i="30"/>
  <c r="BHW10" i="30"/>
  <c r="BHX10" i="30"/>
  <c r="BHW11" i="30"/>
  <c r="BHX11" i="30"/>
  <c r="BHW12" i="30"/>
  <c r="BHX12" i="30"/>
  <c r="BHW13" i="30"/>
  <c r="BHX13" i="30"/>
  <c r="BHW14" i="30"/>
  <c r="BHX14" i="30"/>
  <c r="BHW15" i="30"/>
  <c r="BHX15" i="30"/>
  <c r="BHW16" i="30"/>
  <c r="BHX16" i="30"/>
  <c r="BHW17" i="30"/>
  <c r="BHX17" i="30"/>
  <c r="BHW18" i="30"/>
  <c r="BHX18" i="30"/>
  <c r="BHW19" i="30"/>
  <c r="BHX19" i="30"/>
  <c r="BHW20" i="30"/>
  <c r="BHX20" i="30"/>
  <c r="BHW21" i="30"/>
  <c r="BHX21" i="30"/>
  <c r="BHW22" i="30"/>
  <c r="BHX22" i="30"/>
  <c r="BHW23" i="30"/>
  <c r="BHX23" i="30"/>
  <c r="BHW24" i="30"/>
  <c r="BHX24" i="30"/>
  <c r="BHW25" i="30"/>
  <c r="BHX25" i="30"/>
  <c r="BHW26" i="30"/>
  <c r="BHX26" i="30"/>
  <c r="BHW27" i="30"/>
  <c r="BHX27" i="30"/>
  <c r="BHW28" i="30"/>
  <c r="BHX28" i="30"/>
  <c r="BHW29" i="30"/>
  <c r="BHX29" i="30"/>
  <c r="BHW30" i="30"/>
  <c r="BHX30" i="30"/>
  <c r="BHW31" i="30"/>
  <c r="BHX31" i="30"/>
  <c r="BHW32" i="30"/>
  <c r="BHX32" i="30"/>
  <c r="BHW33" i="30"/>
  <c r="BHX33" i="30"/>
  <c r="BHW34" i="30"/>
  <c r="BHX34" i="30"/>
  <c r="BHS8" i="30"/>
  <c r="BHT8" i="30"/>
  <c r="BHS9" i="30"/>
  <c r="BHT9" i="30"/>
  <c r="BHS10" i="30"/>
  <c r="BHT10" i="30"/>
  <c r="BHS11" i="30"/>
  <c r="BHT11" i="30"/>
  <c r="BHS12" i="30"/>
  <c r="BHT12" i="30"/>
  <c r="BHS13" i="30"/>
  <c r="BHT13" i="30"/>
  <c r="BHS14" i="30"/>
  <c r="BHT14" i="30"/>
  <c r="BHS15" i="30"/>
  <c r="BHT15" i="30"/>
  <c r="BHS16" i="30"/>
  <c r="BHT16" i="30"/>
  <c r="BHS17" i="30"/>
  <c r="BHT17" i="30"/>
  <c r="BHS18" i="30"/>
  <c r="BHT18" i="30"/>
  <c r="BHS19" i="30"/>
  <c r="BHT19" i="30"/>
  <c r="BHS20" i="30"/>
  <c r="BHT20" i="30"/>
  <c r="BHS21" i="30"/>
  <c r="BHT21" i="30"/>
  <c r="BHS22" i="30"/>
  <c r="BHT22" i="30"/>
  <c r="BHS23" i="30"/>
  <c r="BHT23" i="30"/>
  <c r="BHS24" i="30"/>
  <c r="BHT24" i="30"/>
  <c r="BHS25" i="30"/>
  <c r="BHT25" i="30"/>
  <c r="BHS26" i="30"/>
  <c r="BHT26" i="30"/>
  <c r="BHS27" i="30"/>
  <c r="BHT27" i="30"/>
  <c r="BHS28" i="30"/>
  <c r="BHT28" i="30"/>
  <c r="BHS29" i="30"/>
  <c r="BHT29" i="30"/>
  <c r="BHS30" i="30"/>
  <c r="BHT30" i="30"/>
  <c r="BHS31" i="30"/>
  <c r="BHT31" i="30"/>
  <c r="BHS32" i="30"/>
  <c r="BHT32" i="30"/>
  <c r="BHS33" i="30"/>
  <c r="BHT33" i="30"/>
  <c r="BHS34" i="30"/>
  <c r="BHT34" i="30"/>
  <c r="BHO8" i="30"/>
  <c r="BHP8" i="30"/>
  <c r="BHO9" i="30"/>
  <c r="BHP9" i="30"/>
  <c r="BHO10" i="30"/>
  <c r="BHP10" i="30"/>
  <c r="BHO11" i="30"/>
  <c r="BHP11" i="30"/>
  <c r="BHO12" i="30"/>
  <c r="BHP12" i="30"/>
  <c r="BHO13" i="30"/>
  <c r="BHP13" i="30"/>
  <c r="BHO14" i="30"/>
  <c r="BHP14" i="30"/>
  <c r="BHO15" i="30"/>
  <c r="BHP15" i="30"/>
  <c r="BHO16" i="30"/>
  <c r="BHP16" i="30"/>
  <c r="BHO17" i="30"/>
  <c r="BHP17" i="30"/>
  <c r="BHO18" i="30"/>
  <c r="BHP18" i="30"/>
  <c r="BHO19" i="30"/>
  <c r="BHP19" i="30"/>
  <c r="BHO20" i="30"/>
  <c r="BHP20" i="30"/>
  <c r="BHO21" i="30"/>
  <c r="BHP21" i="30"/>
  <c r="BHO22" i="30"/>
  <c r="BHP22" i="30"/>
  <c r="BHO23" i="30"/>
  <c r="BHP23" i="30"/>
  <c r="BHO24" i="30"/>
  <c r="BHP24" i="30"/>
  <c r="BHO25" i="30"/>
  <c r="BHP25" i="30"/>
  <c r="BHO26" i="30"/>
  <c r="BHP26" i="30"/>
  <c r="BHO27" i="30"/>
  <c r="BHP27" i="30"/>
  <c r="BHO28" i="30"/>
  <c r="BHP28" i="30"/>
  <c r="BHO29" i="30"/>
  <c r="BHP29" i="30"/>
  <c r="BHO30" i="30"/>
  <c r="BHP30" i="30"/>
  <c r="BHO31" i="30"/>
  <c r="BHP31" i="30"/>
  <c r="BHO32" i="30"/>
  <c r="BHP32" i="30"/>
  <c r="BHO33" i="30"/>
  <c r="BHP33" i="30"/>
  <c r="BHO34" i="30"/>
  <c r="BHP34" i="30"/>
  <c r="BHX7" i="30"/>
  <c r="BHT7" i="30"/>
  <c r="BHP7" i="30"/>
  <c r="BHW7" i="30"/>
  <c r="BHS7" i="30"/>
  <c r="BHO7" i="30"/>
  <c r="BHK8" i="30"/>
  <c r="BHL8" i="30"/>
  <c r="BHK9" i="30"/>
  <c r="BHL9" i="30"/>
  <c r="BHK10" i="30"/>
  <c r="BHL10" i="30"/>
  <c r="BHK11" i="30"/>
  <c r="BHL11" i="30"/>
  <c r="BHK12" i="30"/>
  <c r="BHL12" i="30"/>
  <c r="BHK13" i="30"/>
  <c r="BHL13" i="30"/>
  <c r="BHK14" i="30"/>
  <c r="BHL14" i="30"/>
  <c r="BHK15" i="30"/>
  <c r="BHL15" i="30"/>
  <c r="BHK16" i="30"/>
  <c r="BHL16" i="30"/>
  <c r="BHK17" i="30"/>
  <c r="BHL17" i="30"/>
  <c r="BHK18" i="30"/>
  <c r="BHL18" i="30"/>
  <c r="BHK19" i="30"/>
  <c r="BHL19" i="30"/>
  <c r="BHK20" i="30"/>
  <c r="BHL20" i="30"/>
  <c r="BHK21" i="30"/>
  <c r="BHL21" i="30"/>
  <c r="BHK22" i="30"/>
  <c r="BHL22" i="30"/>
  <c r="BHK23" i="30"/>
  <c r="BHL23" i="30"/>
  <c r="BHK24" i="30"/>
  <c r="BHL24" i="30"/>
  <c r="BHK25" i="30"/>
  <c r="BHL25" i="30"/>
  <c r="BHK26" i="30"/>
  <c r="BHL26" i="30"/>
  <c r="BHK27" i="30"/>
  <c r="BHL27" i="30"/>
  <c r="BHK28" i="30"/>
  <c r="BHL28" i="30"/>
  <c r="BHK29" i="30"/>
  <c r="BHL29" i="30"/>
  <c r="BHK30" i="30"/>
  <c r="BHL30" i="30"/>
  <c r="BHK31" i="30"/>
  <c r="BHL31" i="30"/>
  <c r="BHK32" i="30"/>
  <c r="BHL32" i="30"/>
  <c r="BHK33" i="30"/>
  <c r="BHL33" i="30"/>
  <c r="BHK34" i="30"/>
  <c r="BHL34" i="30"/>
  <c r="BHL7" i="30"/>
  <c r="BHK7" i="30"/>
  <c r="BHC8" i="30"/>
  <c r="BHD8" i="30"/>
  <c r="BHC9" i="30"/>
  <c r="BHD9" i="30"/>
  <c r="BHC10" i="30"/>
  <c r="BHD10" i="30"/>
  <c r="BHC11" i="30"/>
  <c r="BHD11" i="30"/>
  <c r="BHC12" i="30"/>
  <c r="BHD12" i="30"/>
  <c r="BHC13" i="30"/>
  <c r="BHD13" i="30"/>
  <c r="BHC14" i="30"/>
  <c r="BHD14" i="30"/>
  <c r="BHC15" i="30"/>
  <c r="BHD15" i="30"/>
  <c r="BHC16" i="30"/>
  <c r="BHD16" i="30"/>
  <c r="BHC17" i="30"/>
  <c r="BHD17" i="30"/>
  <c r="BHC18" i="30"/>
  <c r="BHD18" i="30"/>
  <c r="BHC19" i="30"/>
  <c r="BHD19" i="30"/>
  <c r="BHC20" i="30"/>
  <c r="BHD20" i="30"/>
  <c r="BHC21" i="30"/>
  <c r="BHD21" i="30"/>
  <c r="BHC22" i="30"/>
  <c r="BHD22" i="30"/>
  <c r="BHC23" i="30"/>
  <c r="BHD23" i="30"/>
  <c r="BHC24" i="30"/>
  <c r="BHD24" i="30"/>
  <c r="BHC25" i="30"/>
  <c r="BHD25" i="30"/>
  <c r="BHC26" i="30"/>
  <c r="BHD26" i="30"/>
  <c r="BHC27" i="30"/>
  <c r="BHD27" i="30"/>
  <c r="BHC28" i="30"/>
  <c r="BHD28" i="30"/>
  <c r="BHC29" i="30"/>
  <c r="BHD29" i="30"/>
  <c r="BHC30" i="30"/>
  <c r="BHD30" i="30"/>
  <c r="BHC31" i="30"/>
  <c r="BHD31" i="30"/>
  <c r="BHC32" i="30"/>
  <c r="BHD32" i="30"/>
  <c r="BHC33" i="30"/>
  <c r="BHD33" i="30"/>
  <c r="BHC34" i="30"/>
  <c r="BHD34" i="30"/>
  <c r="BGY8" i="30"/>
  <c r="BGZ8" i="30"/>
  <c r="BGY9" i="30"/>
  <c r="BGZ9" i="30"/>
  <c r="BGY10" i="30"/>
  <c r="BGZ10" i="30"/>
  <c r="BGY11" i="30"/>
  <c r="BGZ11" i="30"/>
  <c r="BGY12" i="30"/>
  <c r="BGZ12" i="30"/>
  <c r="BGY13" i="30"/>
  <c r="BGZ13" i="30"/>
  <c r="BGY14" i="30"/>
  <c r="BGZ14" i="30"/>
  <c r="BGY15" i="30"/>
  <c r="BGZ15" i="30"/>
  <c r="BGY16" i="30"/>
  <c r="BGZ16" i="30"/>
  <c r="BGY17" i="30"/>
  <c r="BGZ17" i="30"/>
  <c r="BGY18" i="30"/>
  <c r="BGZ18" i="30"/>
  <c r="BGY19" i="30"/>
  <c r="BGZ19" i="30"/>
  <c r="BGY20" i="30"/>
  <c r="BGZ20" i="30"/>
  <c r="BGY21" i="30"/>
  <c r="BGZ21" i="30"/>
  <c r="BGY22" i="30"/>
  <c r="BGZ22" i="30"/>
  <c r="BGY23" i="30"/>
  <c r="BGZ23" i="30"/>
  <c r="BGY24" i="30"/>
  <c r="BGZ24" i="30"/>
  <c r="BGY25" i="30"/>
  <c r="BGZ25" i="30"/>
  <c r="BGY26" i="30"/>
  <c r="BGZ26" i="30"/>
  <c r="BGY27" i="30"/>
  <c r="BGZ27" i="30"/>
  <c r="BGY28" i="30"/>
  <c r="BGZ28" i="30"/>
  <c r="BGY29" i="30"/>
  <c r="BGZ29" i="30"/>
  <c r="BGY30" i="30"/>
  <c r="BGZ30" i="30"/>
  <c r="BGY31" i="30"/>
  <c r="BGZ31" i="30"/>
  <c r="BGY32" i="30"/>
  <c r="BGZ32" i="30"/>
  <c r="BGY33" i="30"/>
  <c r="BGZ33" i="30"/>
  <c r="BGY34" i="30"/>
  <c r="BGZ34" i="30"/>
  <c r="BGU8" i="30"/>
  <c r="BGV8" i="30"/>
  <c r="BGU9" i="30"/>
  <c r="BGV9" i="30"/>
  <c r="BGU10" i="30"/>
  <c r="BGV10" i="30"/>
  <c r="BGU11" i="30"/>
  <c r="BGV11" i="30"/>
  <c r="BGU12" i="30"/>
  <c r="BGV12" i="30"/>
  <c r="BGU13" i="30"/>
  <c r="BGV13" i="30"/>
  <c r="BGU14" i="30"/>
  <c r="BGV14" i="30"/>
  <c r="BGU15" i="30"/>
  <c r="BGV15" i="30"/>
  <c r="BGU16" i="30"/>
  <c r="BGV16" i="30"/>
  <c r="BGU17" i="30"/>
  <c r="BGV17" i="30"/>
  <c r="BGU18" i="30"/>
  <c r="BGV18" i="30"/>
  <c r="BGU19" i="30"/>
  <c r="BGV19" i="30"/>
  <c r="BGU20" i="30"/>
  <c r="BGV20" i="30"/>
  <c r="BGU21" i="30"/>
  <c r="BGV21" i="30"/>
  <c r="BGU22" i="30"/>
  <c r="BGV22" i="30"/>
  <c r="BGU23" i="30"/>
  <c r="BGV23" i="30"/>
  <c r="BGU24" i="30"/>
  <c r="BGV24" i="30"/>
  <c r="BGU25" i="30"/>
  <c r="BGV25" i="30"/>
  <c r="BGU26" i="30"/>
  <c r="BGV26" i="30"/>
  <c r="BGU27" i="30"/>
  <c r="BGV27" i="30"/>
  <c r="BGU28" i="30"/>
  <c r="BGV28" i="30"/>
  <c r="BGU29" i="30"/>
  <c r="BGV29" i="30"/>
  <c r="BGU30" i="30"/>
  <c r="BGV30" i="30"/>
  <c r="BGU31" i="30"/>
  <c r="BGV31" i="30"/>
  <c r="BGU32" i="30"/>
  <c r="BGV32" i="30"/>
  <c r="BGU33" i="30"/>
  <c r="BGV33" i="30"/>
  <c r="BGU34" i="30"/>
  <c r="BGV34" i="30"/>
  <c r="BHD7" i="30"/>
  <c r="BGZ7" i="30"/>
  <c r="BGV7" i="30"/>
  <c r="BHC7" i="30"/>
  <c r="BGY7" i="30"/>
  <c r="BGU7" i="30"/>
  <c r="BGQ8" i="30"/>
  <c r="BGR8" i="30"/>
  <c r="BGQ9" i="30"/>
  <c r="BGR9" i="30"/>
  <c r="BGQ10" i="30"/>
  <c r="BGR10" i="30"/>
  <c r="BGQ11" i="30"/>
  <c r="BGR11" i="30"/>
  <c r="BGQ12" i="30"/>
  <c r="BGR12" i="30"/>
  <c r="BGQ13" i="30"/>
  <c r="BGR13" i="30"/>
  <c r="BGQ14" i="30"/>
  <c r="BGR14" i="30"/>
  <c r="BGQ15" i="30"/>
  <c r="BGR15" i="30"/>
  <c r="BGQ16" i="30"/>
  <c r="BGR16" i="30"/>
  <c r="BGQ17" i="30"/>
  <c r="BGR17" i="30"/>
  <c r="BGQ18" i="30"/>
  <c r="BGR18" i="30"/>
  <c r="BGQ19" i="30"/>
  <c r="BGR19" i="30"/>
  <c r="BGQ20" i="30"/>
  <c r="BGR20" i="30"/>
  <c r="BGQ21" i="30"/>
  <c r="BGR21" i="30"/>
  <c r="BGQ22" i="30"/>
  <c r="BGR22" i="30"/>
  <c r="BGQ23" i="30"/>
  <c r="BGR23" i="30"/>
  <c r="BGQ24" i="30"/>
  <c r="BGR24" i="30"/>
  <c r="BGQ25" i="30"/>
  <c r="BGR25" i="30"/>
  <c r="BGQ26" i="30"/>
  <c r="BGR26" i="30"/>
  <c r="BGQ27" i="30"/>
  <c r="BGR27" i="30"/>
  <c r="BGQ28" i="30"/>
  <c r="BGR28" i="30"/>
  <c r="BGQ29" i="30"/>
  <c r="BGR29" i="30"/>
  <c r="BGQ30" i="30"/>
  <c r="BGR30" i="30"/>
  <c r="BGQ31" i="30"/>
  <c r="BGR31" i="30"/>
  <c r="BGQ32" i="30"/>
  <c r="BGR32" i="30"/>
  <c r="BGQ33" i="30"/>
  <c r="BGR33" i="30"/>
  <c r="BGQ34" i="30"/>
  <c r="BGR34" i="30"/>
  <c r="BGM8" i="30"/>
  <c r="BGN8" i="30"/>
  <c r="BGM9" i="30"/>
  <c r="BGN9" i="30"/>
  <c r="BGM10" i="30"/>
  <c r="BGN10" i="30"/>
  <c r="BGM11" i="30"/>
  <c r="BGN11" i="30"/>
  <c r="BGM12" i="30"/>
  <c r="BGN12" i="30"/>
  <c r="BGM13" i="30"/>
  <c r="BGN13" i="30"/>
  <c r="BGM14" i="30"/>
  <c r="BGN14" i="30"/>
  <c r="BGM15" i="30"/>
  <c r="BGN15" i="30"/>
  <c r="BGM16" i="30"/>
  <c r="BGN16" i="30"/>
  <c r="BGM17" i="30"/>
  <c r="BGN17" i="30"/>
  <c r="BGM18" i="30"/>
  <c r="BGN18" i="30"/>
  <c r="BGM19" i="30"/>
  <c r="BGN19" i="30"/>
  <c r="BGM20" i="30"/>
  <c r="BGN20" i="30"/>
  <c r="BGM21" i="30"/>
  <c r="BGN21" i="30"/>
  <c r="BGM22" i="30"/>
  <c r="BGN22" i="30"/>
  <c r="BGM23" i="30"/>
  <c r="BGN23" i="30"/>
  <c r="BGM24" i="30"/>
  <c r="BGN24" i="30"/>
  <c r="BGM25" i="30"/>
  <c r="BGN25" i="30"/>
  <c r="BGM26" i="30"/>
  <c r="BGN26" i="30"/>
  <c r="BGM27" i="30"/>
  <c r="BGN27" i="30"/>
  <c r="BGM28" i="30"/>
  <c r="BGN28" i="30"/>
  <c r="BGM29" i="30"/>
  <c r="BGN29" i="30"/>
  <c r="BGM30" i="30"/>
  <c r="BGN30" i="30"/>
  <c r="BGM31" i="30"/>
  <c r="BGN31" i="30"/>
  <c r="BGM32" i="30"/>
  <c r="BGN32" i="30"/>
  <c r="BGM33" i="30"/>
  <c r="BGN33" i="30"/>
  <c r="BGM34" i="30"/>
  <c r="BGN34" i="30"/>
  <c r="BGI8" i="30"/>
  <c r="BGJ8" i="30"/>
  <c r="BGI9" i="30"/>
  <c r="BGJ9" i="30"/>
  <c r="BGI10" i="30"/>
  <c r="BGJ10" i="30"/>
  <c r="BGI11" i="30"/>
  <c r="BGJ11" i="30"/>
  <c r="BGI12" i="30"/>
  <c r="BGJ12" i="30"/>
  <c r="BGI13" i="30"/>
  <c r="BGJ13" i="30"/>
  <c r="BGI14" i="30"/>
  <c r="BGJ14" i="30"/>
  <c r="BGI15" i="30"/>
  <c r="BGJ15" i="30"/>
  <c r="BGI16" i="30"/>
  <c r="BGJ16" i="30"/>
  <c r="BGI17" i="30"/>
  <c r="BGJ17" i="30"/>
  <c r="BGI18" i="30"/>
  <c r="BGJ18" i="30"/>
  <c r="BGI19" i="30"/>
  <c r="BGJ19" i="30"/>
  <c r="BGI20" i="30"/>
  <c r="BGJ20" i="30"/>
  <c r="BGI21" i="30"/>
  <c r="BGJ21" i="30"/>
  <c r="BGI22" i="30"/>
  <c r="BGJ22" i="30"/>
  <c r="BGI23" i="30"/>
  <c r="BGJ23" i="30"/>
  <c r="BGI24" i="30"/>
  <c r="BGJ24" i="30"/>
  <c r="BGI25" i="30"/>
  <c r="BGJ25" i="30"/>
  <c r="BGI26" i="30"/>
  <c r="BGJ26" i="30"/>
  <c r="BGI27" i="30"/>
  <c r="BGJ27" i="30"/>
  <c r="BGI28" i="30"/>
  <c r="BGJ28" i="30"/>
  <c r="BGI29" i="30"/>
  <c r="BGJ29" i="30"/>
  <c r="BGI30" i="30"/>
  <c r="BGJ30" i="30"/>
  <c r="BGI31" i="30"/>
  <c r="BGJ31" i="30"/>
  <c r="BGI32" i="30"/>
  <c r="BGJ32" i="30"/>
  <c r="BGI33" i="30"/>
  <c r="BGJ33" i="30"/>
  <c r="BGI34" i="30"/>
  <c r="BGJ34" i="30"/>
  <c r="BGR7" i="30"/>
  <c r="BGN7" i="30"/>
  <c r="BGJ7" i="30"/>
  <c r="BGQ7" i="30"/>
  <c r="BGM7" i="30"/>
  <c r="BGI7" i="30"/>
  <c r="BGE8" i="30"/>
  <c r="BGF8" i="30"/>
  <c r="BGE9" i="30"/>
  <c r="BGF9" i="30"/>
  <c r="BGE10" i="30"/>
  <c r="BGF10" i="30"/>
  <c r="BGE11" i="30"/>
  <c r="BGF11" i="30"/>
  <c r="BGE12" i="30"/>
  <c r="BGF12" i="30"/>
  <c r="BGE13" i="30"/>
  <c r="BGF13" i="30"/>
  <c r="BGE14" i="30"/>
  <c r="BGF14" i="30"/>
  <c r="BGE15" i="30"/>
  <c r="BGF15" i="30"/>
  <c r="BGE16" i="30"/>
  <c r="BGF16" i="30"/>
  <c r="BGE17" i="30"/>
  <c r="BGF17" i="30"/>
  <c r="BGE18" i="30"/>
  <c r="BGF18" i="30"/>
  <c r="BGE19" i="30"/>
  <c r="BGF19" i="30"/>
  <c r="BGE20" i="30"/>
  <c r="BGF20" i="30"/>
  <c r="BGE21" i="30"/>
  <c r="BGF21" i="30"/>
  <c r="BGE22" i="30"/>
  <c r="BGF22" i="30"/>
  <c r="BGE23" i="30"/>
  <c r="BGF23" i="30"/>
  <c r="BGE24" i="30"/>
  <c r="BGF24" i="30"/>
  <c r="BGE25" i="30"/>
  <c r="BGF25" i="30"/>
  <c r="BGE26" i="30"/>
  <c r="BGF26" i="30"/>
  <c r="BGE27" i="30"/>
  <c r="BGF27" i="30"/>
  <c r="BGE28" i="30"/>
  <c r="BGF28" i="30"/>
  <c r="BGE29" i="30"/>
  <c r="BGF29" i="30"/>
  <c r="BGE30" i="30"/>
  <c r="BGF30" i="30"/>
  <c r="BGE31" i="30"/>
  <c r="BGF31" i="30"/>
  <c r="BGE32" i="30"/>
  <c r="BGF32" i="30"/>
  <c r="BGE33" i="30"/>
  <c r="BGF33" i="30"/>
  <c r="BGE34" i="30"/>
  <c r="BGF34" i="30"/>
  <c r="BGF7" i="30"/>
  <c r="BGE7" i="30"/>
  <c r="BFW8" i="30"/>
  <c r="BFX8" i="30"/>
  <c r="BFW9" i="30"/>
  <c r="BFX9" i="30"/>
  <c r="BFW10" i="30"/>
  <c r="BFX10" i="30"/>
  <c r="BFW11" i="30"/>
  <c r="BFX11" i="30"/>
  <c r="BFW12" i="30"/>
  <c r="BFX12" i="30"/>
  <c r="BFW13" i="30"/>
  <c r="BFX13" i="30"/>
  <c r="BFW14" i="30"/>
  <c r="BFX14" i="30"/>
  <c r="BFW15" i="30"/>
  <c r="BFX15" i="30"/>
  <c r="BFW16" i="30"/>
  <c r="BFX16" i="30"/>
  <c r="BFW17" i="30"/>
  <c r="BFX17" i="30"/>
  <c r="BFW18" i="30"/>
  <c r="BFX18" i="30"/>
  <c r="BFW19" i="30"/>
  <c r="BFX19" i="30"/>
  <c r="BFW20" i="30"/>
  <c r="BFX20" i="30"/>
  <c r="BFW21" i="30"/>
  <c r="BFX21" i="30"/>
  <c r="BFW22" i="30"/>
  <c r="BFX22" i="30"/>
  <c r="BFW23" i="30"/>
  <c r="BFX23" i="30"/>
  <c r="BFW24" i="30"/>
  <c r="BFX24" i="30"/>
  <c r="BFW25" i="30"/>
  <c r="BFX25" i="30"/>
  <c r="BFW26" i="30"/>
  <c r="BFX26" i="30"/>
  <c r="BFW27" i="30"/>
  <c r="BFX27" i="30"/>
  <c r="BFW28" i="30"/>
  <c r="BFX28" i="30"/>
  <c r="BFW29" i="30"/>
  <c r="BFX29" i="30"/>
  <c r="BFW30" i="30"/>
  <c r="BFX30" i="30"/>
  <c r="BFW31" i="30"/>
  <c r="BFX31" i="30"/>
  <c r="BFW32" i="30"/>
  <c r="BFX32" i="30"/>
  <c r="BFW33" i="30"/>
  <c r="BFX33" i="30"/>
  <c r="BFW34" i="30"/>
  <c r="BFX34" i="30"/>
  <c r="BFS8" i="30"/>
  <c r="BFT8" i="30"/>
  <c r="BFS9" i="30"/>
  <c r="BFT9" i="30"/>
  <c r="BFS10" i="30"/>
  <c r="BFT10" i="30"/>
  <c r="BFS11" i="30"/>
  <c r="BFT11" i="30"/>
  <c r="BFS12" i="30"/>
  <c r="BFT12" i="30"/>
  <c r="BFS13" i="30"/>
  <c r="BFT13" i="30"/>
  <c r="BFS14" i="30"/>
  <c r="BFT14" i="30"/>
  <c r="BFS15" i="30"/>
  <c r="BFT15" i="30"/>
  <c r="BFS16" i="30"/>
  <c r="BFT16" i="30"/>
  <c r="BFS17" i="30"/>
  <c r="BFT17" i="30"/>
  <c r="BFS18" i="30"/>
  <c r="BFT18" i="30"/>
  <c r="BFS19" i="30"/>
  <c r="BFT19" i="30"/>
  <c r="BFS20" i="30"/>
  <c r="BFT20" i="30"/>
  <c r="BFS21" i="30"/>
  <c r="BFT21" i="30"/>
  <c r="BFS22" i="30"/>
  <c r="BFT22" i="30"/>
  <c r="BFS23" i="30"/>
  <c r="BFT23" i="30"/>
  <c r="BFS24" i="30"/>
  <c r="BFT24" i="30"/>
  <c r="BFS25" i="30"/>
  <c r="BFT25" i="30"/>
  <c r="BFS26" i="30"/>
  <c r="BFT26" i="30"/>
  <c r="BFS27" i="30"/>
  <c r="BFT27" i="30"/>
  <c r="BFS28" i="30"/>
  <c r="BFT28" i="30"/>
  <c r="BFS29" i="30"/>
  <c r="BFT29" i="30"/>
  <c r="BFS30" i="30"/>
  <c r="BFT30" i="30"/>
  <c r="BFS31" i="30"/>
  <c r="BFT31" i="30"/>
  <c r="BFS32" i="30"/>
  <c r="BFT32" i="30"/>
  <c r="BFS33" i="30"/>
  <c r="BFT33" i="30"/>
  <c r="BFS34" i="30"/>
  <c r="BFT34" i="30"/>
  <c r="BFO8" i="30"/>
  <c r="BFP8" i="30"/>
  <c r="BFO9" i="30"/>
  <c r="BFP9" i="30"/>
  <c r="BFO10" i="30"/>
  <c r="BFP10" i="30"/>
  <c r="BFO11" i="30"/>
  <c r="BFP11" i="30"/>
  <c r="BFO12" i="30"/>
  <c r="BFP12" i="30"/>
  <c r="BFO13" i="30"/>
  <c r="BFP13" i="30"/>
  <c r="BFO14" i="30"/>
  <c r="BFP14" i="30"/>
  <c r="BFO15" i="30"/>
  <c r="BFP15" i="30"/>
  <c r="BFO16" i="30"/>
  <c r="BFP16" i="30"/>
  <c r="BFO17" i="30"/>
  <c r="BFP17" i="30"/>
  <c r="BFO18" i="30"/>
  <c r="BFP18" i="30"/>
  <c r="BFO19" i="30"/>
  <c r="BFP19" i="30"/>
  <c r="BFO20" i="30"/>
  <c r="BFP20" i="30"/>
  <c r="BFO21" i="30"/>
  <c r="BFP21" i="30"/>
  <c r="BFO22" i="30"/>
  <c r="BFP22" i="30"/>
  <c r="BFO23" i="30"/>
  <c r="BFP23" i="30"/>
  <c r="BFO24" i="30"/>
  <c r="BFP24" i="30"/>
  <c r="BFO25" i="30"/>
  <c r="BFP25" i="30"/>
  <c r="BFO26" i="30"/>
  <c r="BFP26" i="30"/>
  <c r="BFO27" i="30"/>
  <c r="BFP27" i="30"/>
  <c r="BFO28" i="30"/>
  <c r="BFP28" i="30"/>
  <c r="BFO29" i="30"/>
  <c r="BFP29" i="30"/>
  <c r="BFO30" i="30"/>
  <c r="BFP30" i="30"/>
  <c r="BFO31" i="30"/>
  <c r="BFP31" i="30"/>
  <c r="BFO32" i="30"/>
  <c r="BFP32" i="30"/>
  <c r="BFO33" i="30"/>
  <c r="BFP33" i="30"/>
  <c r="BFO34" i="30"/>
  <c r="BFP34" i="30"/>
  <c r="BFK8" i="30"/>
  <c r="BFL8" i="30"/>
  <c r="BFK9" i="30"/>
  <c r="BFL9" i="30"/>
  <c r="BFK10" i="30"/>
  <c r="BFL10" i="30"/>
  <c r="BFK11" i="30"/>
  <c r="BFL11" i="30"/>
  <c r="BFK12" i="30"/>
  <c r="BFL12" i="30"/>
  <c r="BFK13" i="30"/>
  <c r="BFL13" i="30"/>
  <c r="BFK14" i="30"/>
  <c r="BFL14" i="30"/>
  <c r="BFK15" i="30"/>
  <c r="BFL15" i="30"/>
  <c r="BFK16" i="30"/>
  <c r="BFL16" i="30"/>
  <c r="BFK17" i="30"/>
  <c r="BFL17" i="30"/>
  <c r="BFK18" i="30"/>
  <c r="BFL18" i="30"/>
  <c r="BFK19" i="30"/>
  <c r="BFL19" i="30"/>
  <c r="BFK20" i="30"/>
  <c r="BFL20" i="30"/>
  <c r="BFK21" i="30"/>
  <c r="BFL21" i="30"/>
  <c r="BFK22" i="30"/>
  <c r="BFL22" i="30"/>
  <c r="BFK23" i="30"/>
  <c r="BFL23" i="30"/>
  <c r="BFK24" i="30"/>
  <c r="BFL24" i="30"/>
  <c r="BFK25" i="30"/>
  <c r="BFL25" i="30"/>
  <c r="BFK26" i="30"/>
  <c r="BFL26" i="30"/>
  <c r="BFK27" i="30"/>
  <c r="BFL27" i="30"/>
  <c r="BFK28" i="30"/>
  <c r="BFL28" i="30"/>
  <c r="BFK29" i="30"/>
  <c r="BFL29" i="30"/>
  <c r="BFK30" i="30"/>
  <c r="BFL30" i="30"/>
  <c r="BFK31" i="30"/>
  <c r="BFL31" i="30"/>
  <c r="BFK32" i="30"/>
  <c r="BFL32" i="30"/>
  <c r="BFK33" i="30"/>
  <c r="BFL33" i="30"/>
  <c r="BFK34" i="30"/>
  <c r="BFL34" i="30"/>
  <c r="BFX7" i="30"/>
  <c r="BFT7" i="30"/>
  <c r="BFP7" i="30"/>
  <c r="BFL7" i="30"/>
  <c r="BFW7" i="30"/>
  <c r="BFS7" i="30"/>
  <c r="BFO7" i="30"/>
  <c r="BFK7" i="30"/>
  <c r="BFG8" i="30"/>
  <c r="BFH8" i="30"/>
  <c r="BFG9" i="30"/>
  <c r="BFH9" i="30"/>
  <c r="BFG10" i="30"/>
  <c r="BFH10" i="30"/>
  <c r="BFG11" i="30"/>
  <c r="BFH11" i="30"/>
  <c r="BFG12" i="30"/>
  <c r="BFH12" i="30"/>
  <c r="BFG13" i="30"/>
  <c r="BFH13" i="30"/>
  <c r="BFG14" i="30"/>
  <c r="BFH14" i="30"/>
  <c r="BFG15" i="30"/>
  <c r="BFH15" i="30"/>
  <c r="BFG16" i="30"/>
  <c r="BFH16" i="30"/>
  <c r="BFG17" i="30"/>
  <c r="BFH17" i="30"/>
  <c r="BFG18" i="30"/>
  <c r="BFH18" i="30"/>
  <c r="BFG19" i="30"/>
  <c r="BFH19" i="30"/>
  <c r="BFG20" i="30"/>
  <c r="BFH20" i="30"/>
  <c r="BFG21" i="30"/>
  <c r="BFH21" i="30"/>
  <c r="BFG22" i="30"/>
  <c r="BFH22" i="30"/>
  <c r="BFG23" i="30"/>
  <c r="BFH23" i="30"/>
  <c r="BFG24" i="30"/>
  <c r="BFH24" i="30"/>
  <c r="BFG25" i="30"/>
  <c r="BFH25" i="30"/>
  <c r="BFG26" i="30"/>
  <c r="BFH26" i="30"/>
  <c r="BFG27" i="30"/>
  <c r="BFH27" i="30"/>
  <c r="BFG28" i="30"/>
  <c r="BFH28" i="30"/>
  <c r="BFG29" i="30"/>
  <c r="BFH29" i="30"/>
  <c r="BFG30" i="30"/>
  <c r="BFH30" i="30"/>
  <c r="BFG31" i="30"/>
  <c r="BFH31" i="30"/>
  <c r="BFG32" i="30"/>
  <c r="BFH32" i="30"/>
  <c r="BFG33" i="30"/>
  <c r="BFH33" i="30"/>
  <c r="BFG34" i="30"/>
  <c r="BFH34" i="30"/>
  <c r="BFC8" i="30"/>
  <c r="BFD8" i="30"/>
  <c r="BFC9" i="30"/>
  <c r="BFD9" i="30"/>
  <c r="BFC10" i="30"/>
  <c r="BFD10" i="30"/>
  <c r="BFC11" i="30"/>
  <c r="BFD11" i="30"/>
  <c r="BFC12" i="30"/>
  <c r="BFD12" i="30"/>
  <c r="BFC13" i="30"/>
  <c r="BFD13" i="30"/>
  <c r="BFC14" i="30"/>
  <c r="BFD14" i="30"/>
  <c r="BFC15" i="30"/>
  <c r="BFD15" i="30"/>
  <c r="BFC16" i="30"/>
  <c r="BFD16" i="30"/>
  <c r="BFC17" i="30"/>
  <c r="BFD17" i="30"/>
  <c r="BFC18" i="30"/>
  <c r="BFD18" i="30"/>
  <c r="BFC19" i="30"/>
  <c r="BFD19" i="30"/>
  <c r="BFC20" i="30"/>
  <c r="BFD20" i="30"/>
  <c r="BFC21" i="30"/>
  <c r="BFD21" i="30"/>
  <c r="BFC22" i="30"/>
  <c r="BFD22" i="30"/>
  <c r="BFC23" i="30"/>
  <c r="BFD23" i="30"/>
  <c r="BFC24" i="30"/>
  <c r="BFD24" i="30"/>
  <c r="BFC25" i="30"/>
  <c r="BFD25" i="30"/>
  <c r="BFC26" i="30"/>
  <c r="BFD26" i="30"/>
  <c r="BFC27" i="30"/>
  <c r="BFD27" i="30"/>
  <c r="BFC28" i="30"/>
  <c r="BFD28" i="30"/>
  <c r="BFC29" i="30"/>
  <c r="BFD29" i="30"/>
  <c r="BFC30" i="30"/>
  <c r="BFD30" i="30"/>
  <c r="BFC31" i="30"/>
  <c r="BFD31" i="30"/>
  <c r="BFC32" i="30"/>
  <c r="BFD32" i="30"/>
  <c r="BFC33" i="30"/>
  <c r="BFD33" i="30"/>
  <c r="BFC34" i="30"/>
  <c r="BFD34" i="30"/>
  <c r="BFH7" i="30"/>
  <c r="BFD7" i="30"/>
  <c r="BFG7" i="30"/>
  <c r="BFC7" i="30"/>
  <c r="BEY8" i="30"/>
  <c r="BEZ8" i="30"/>
  <c r="BEY9" i="30"/>
  <c r="BEZ9" i="30"/>
  <c r="BEY10" i="30"/>
  <c r="BEZ10" i="30"/>
  <c r="BEY11" i="30"/>
  <c r="BEZ11" i="30"/>
  <c r="BEY12" i="30"/>
  <c r="BEZ12" i="30"/>
  <c r="BEY13" i="30"/>
  <c r="BEZ13" i="30"/>
  <c r="BEY14" i="30"/>
  <c r="BEZ14" i="30"/>
  <c r="BEY15" i="30"/>
  <c r="BEZ15" i="30"/>
  <c r="BEY16" i="30"/>
  <c r="BEZ16" i="30"/>
  <c r="BEY17" i="30"/>
  <c r="BEZ17" i="30"/>
  <c r="BEY18" i="30"/>
  <c r="BEZ18" i="30"/>
  <c r="BEY19" i="30"/>
  <c r="BEZ19" i="30"/>
  <c r="BEY20" i="30"/>
  <c r="BEZ20" i="30"/>
  <c r="BEY21" i="30"/>
  <c r="BEZ21" i="30"/>
  <c r="BEY22" i="30"/>
  <c r="BEZ22" i="30"/>
  <c r="BEY23" i="30"/>
  <c r="BEZ23" i="30"/>
  <c r="BEY24" i="30"/>
  <c r="BEZ24" i="30"/>
  <c r="BEY25" i="30"/>
  <c r="BEZ25" i="30"/>
  <c r="BEY26" i="30"/>
  <c r="BEZ26" i="30"/>
  <c r="BEY27" i="30"/>
  <c r="BEZ27" i="30"/>
  <c r="BEY28" i="30"/>
  <c r="BEZ28" i="30"/>
  <c r="BEY29" i="30"/>
  <c r="BEZ29" i="30"/>
  <c r="BEY30" i="30"/>
  <c r="BEZ30" i="30"/>
  <c r="BEY31" i="30"/>
  <c r="BEZ31" i="30"/>
  <c r="BEY32" i="30"/>
  <c r="BEZ32" i="30"/>
  <c r="BEY33" i="30"/>
  <c r="BEZ33" i="30"/>
  <c r="BEY34" i="30"/>
  <c r="BEZ34" i="30"/>
  <c r="BEZ7" i="30"/>
  <c r="BEY7" i="30"/>
  <c r="BEQ8" i="30"/>
  <c r="BER8" i="30"/>
  <c r="BEQ9" i="30"/>
  <c r="BER9" i="30"/>
  <c r="BEQ10" i="30"/>
  <c r="BER10" i="30"/>
  <c r="BEQ11" i="30"/>
  <c r="BER11" i="30"/>
  <c r="BEQ12" i="30"/>
  <c r="BER12" i="30"/>
  <c r="BEQ13" i="30"/>
  <c r="BER13" i="30"/>
  <c r="BEQ14" i="30"/>
  <c r="BER14" i="30"/>
  <c r="BEQ15" i="30"/>
  <c r="BER15" i="30"/>
  <c r="BEQ16" i="30"/>
  <c r="BER16" i="30"/>
  <c r="BEQ17" i="30"/>
  <c r="BER17" i="30"/>
  <c r="BEQ18" i="30"/>
  <c r="BER18" i="30"/>
  <c r="BEQ19" i="30"/>
  <c r="BER19" i="30"/>
  <c r="BEQ20" i="30"/>
  <c r="BER20" i="30"/>
  <c r="BEQ21" i="30"/>
  <c r="BER21" i="30"/>
  <c r="BEQ22" i="30"/>
  <c r="BER22" i="30"/>
  <c r="BEQ23" i="30"/>
  <c r="BER23" i="30"/>
  <c r="BEQ24" i="30"/>
  <c r="BER24" i="30"/>
  <c r="BEQ25" i="30"/>
  <c r="BER25" i="30"/>
  <c r="BEQ26" i="30"/>
  <c r="BER26" i="30"/>
  <c r="BEQ27" i="30"/>
  <c r="BER27" i="30"/>
  <c r="BEQ28" i="30"/>
  <c r="BER28" i="30"/>
  <c r="BEQ29" i="30"/>
  <c r="BER29" i="30"/>
  <c r="BEQ30" i="30"/>
  <c r="BER30" i="30"/>
  <c r="BEQ31" i="30"/>
  <c r="BER31" i="30"/>
  <c r="BEQ32" i="30"/>
  <c r="BER32" i="30"/>
  <c r="BEQ33" i="30"/>
  <c r="BER33" i="30"/>
  <c r="BEQ34" i="30"/>
  <c r="BER34" i="30"/>
  <c r="BEM8" i="30"/>
  <c r="BEN8" i="30"/>
  <c r="BEM9" i="30"/>
  <c r="BEN9" i="30"/>
  <c r="BEM10" i="30"/>
  <c r="BEN10" i="30"/>
  <c r="BEM11" i="30"/>
  <c r="BEN11" i="30"/>
  <c r="BEM12" i="30"/>
  <c r="BEN12" i="30"/>
  <c r="BEM13" i="30"/>
  <c r="BEN13" i="30"/>
  <c r="BEM14" i="30"/>
  <c r="BEN14" i="30"/>
  <c r="BEM15" i="30"/>
  <c r="BEN15" i="30"/>
  <c r="BEM16" i="30"/>
  <c r="BEN16" i="30"/>
  <c r="BEM17" i="30"/>
  <c r="BEN17" i="30"/>
  <c r="BEM18" i="30"/>
  <c r="BEN18" i="30"/>
  <c r="BEM19" i="30"/>
  <c r="BEN19" i="30"/>
  <c r="BEM20" i="30"/>
  <c r="BEN20" i="30"/>
  <c r="BEM21" i="30"/>
  <c r="BEN21" i="30"/>
  <c r="BEM22" i="30"/>
  <c r="BEN22" i="30"/>
  <c r="BEM23" i="30"/>
  <c r="BEN23" i="30"/>
  <c r="BEM24" i="30"/>
  <c r="BEN24" i="30"/>
  <c r="BEM25" i="30"/>
  <c r="BEN25" i="30"/>
  <c r="BEM26" i="30"/>
  <c r="BEN26" i="30"/>
  <c r="BEM27" i="30"/>
  <c r="BEN27" i="30"/>
  <c r="BEM28" i="30"/>
  <c r="BEN28" i="30"/>
  <c r="BEM29" i="30"/>
  <c r="BEN29" i="30"/>
  <c r="BEM30" i="30"/>
  <c r="BEN30" i="30"/>
  <c r="BEM31" i="30"/>
  <c r="BEN31" i="30"/>
  <c r="BEM32" i="30"/>
  <c r="BEN32" i="30"/>
  <c r="BEM33" i="30"/>
  <c r="BEN33" i="30"/>
  <c r="BEM34" i="30"/>
  <c r="BEN34" i="30"/>
  <c r="BEI8" i="30"/>
  <c r="BEJ8" i="30"/>
  <c r="BEI9" i="30"/>
  <c r="BEJ9" i="30"/>
  <c r="BEI10" i="30"/>
  <c r="BEJ10" i="30"/>
  <c r="BEI11" i="30"/>
  <c r="BEJ11" i="30"/>
  <c r="BEI12" i="30"/>
  <c r="BEJ12" i="30"/>
  <c r="BEI13" i="30"/>
  <c r="BEJ13" i="30"/>
  <c r="BEI14" i="30"/>
  <c r="BEJ14" i="30"/>
  <c r="BEI15" i="30"/>
  <c r="BEJ15" i="30"/>
  <c r="BEI16" i="30"/>
  <c r="BEJ16" i="30"/>
  <c r="BEI17" i="30"/>
  <c r="BEJ17" i="30"/>
  <c r="BEI18" i="30"/>
  <c r="BEJ18" i="30"/>
  <c r="BEI19" i="30"/>
  <c r="BEJ19" i="30"/>
  <c r="BEI20" i="30"/>
  <c r="BEJ20" i="30"/>
  <c r="BEI21" i="30"/>
  <c r="BEJ21" i="30"/>
  <c r="BEI22" i="30"/>
  <c r="BEJ22" i="30"/>
  <c r="BEI23" i="30"/>
  <c r="BEJ23" i="30"/>
  <c r="BEI24" i="30"/>
  <c r="BEJ24" i="30"/>
  <c r="BEI25" i="30"/>
  <c r="BEJ25" i="30"/>
  <c r="BEI26" i="30"/>
  <c r="BEJ26" i="30"/>
  <c r="BEI27" i="30"/>
  <c r="BEJ27" i="30"/>
  <c r="BEI28" i="30"/>
  <c r="BEJ28" i="30"/>
  <c r="BEI29" i="30"/>
  <c r="BEJ29" i="30"/>
  <c r="BEI30" i="30"/>
  <c r="BEJ30" i="30"/>
  <c r="BEI31" i="30"/>
  <c r="BEJ31" i="30"/>
  <c r="BEI32" i="30"/>
  <c r="BEJ32" i="30"/>
  <c r="BEI33" i="30"/>
  <c r="BEJ33" i="30"/>
  <c r="BEI34" i="30"/>
  <c r="BEJ34" i="30"/>
  <c r="BER7" i="30"/>
  <c r="BEN7" i="30"/>
  <c r="BEJ7" i="30"/>
  <c r="BEQ7" i="30"/>
  <c r="BEM7" i="30"/>
  <c r="BEI7" i="30"/>
  <c r="BEE7" i="30"/>
  <c r="BEF8" i="30"/>
  <c r="BEF9" i="30"/>
  <c r="BEF10" i="30"/>
  <c r="BEF11" i="30"/>
  <c r="BEF12" i="30"/>
  <c r="BEF13" i="30"/>
  <c r="BEF14" i="30"/>
  <c r="BEF15" i="30"/>
  <c r="BEF16" i="30"/>
  <c r="BEF17" i="30"/>
  <c r="BEF18" i="30"/>
  <c r="BEF19" i="30"/>
  <c r="BEF20" i="30"/>
  <c r="BEF21" i="30"/>
  <c r="BEF22" i="30"/>
  <c r="BEF23" i="30"/>
  <c r="BEF24" i="30"/>
  <c r="BEF25" i="30"/>
  <c r="BEF26" i="30"/>
  <c r="BEF27" i="30"/>
  <c r="BEF28" i="30"/>
  <c r="BEF29" i="30"/>
  <c r="BEF30" i="30"/>
  <c r="BEF31" i="30"/>
  <c r="BEF32" i="30"/>
  <c r="BEF33" i="30"/>
  <c r="BEF34" i="30"/>
  <c r="BEA8" i="30"/>
  <c r="BEB8" i="30"/>
  <c r="BEA9" i="30"/>
  <c r="BEB9" i="30"/>
  <c r="BEA10" i="30"/>
  <c r="BEB10" i="30"/>
  <c r="BEA11" i="30"/>
  <c r="BEB11" i="30"/>
  <c r="BEA12" i="30"/>
  <c r="BEB12" i="30"/>
  <c r="BEA13" i="30"/>
  <c r="BEB13" i="30"/>
  <c r="BEA14" i="30"/>
  <c r="BEB14" i="30"/>
  <c r="BEA15" i="30"/>
  <c r="BEB15" i="30"/>
  <c r="BEA16" i="30"/>
  <c r="BEB16" i="30"/>
  <c r="BEA17" i="30"/>
  <c r="BEB17" i="30"/>
  <c r="BEA18" i="30"/>
  <c r="BEB18" i="30"/>
  <c r="BEA19" i="30"/>
  <c r="BEB19" i="30"/>
  <c r="BEA20" i="30"/>
  <c r="BEB20" i="30"/>
  <c r="BEA21" i="30"/>
  <c r="BEB21" i="30"/>
  <c r="BEA22" i="30"/>
  <c r="BEB22" i="30"/>
  <c r="BEA23" i="30"/>
  <c r="BEB23" i="30"/>
  <c r="BEA24" i="30"/>
  <c r="BEB24" i="30"/>
  <c r="BEA25" i="30"/>
  <c r="BEB25" i="30"/>
  <c r="BEA26" i="30"/>
  <c r="BEB26" i="30"/>
  <c r="BEA27" i="30"/>
  <c r="BEB27" i="30"/>
  <c r="BEA28" i="30"/>
  <c r="BEB28" i="30"/>
  <c r="BEA29" i="30"/>
  <c r="BEB29" i="30"/>
  <c r="BEA30" i="30"/>
  <c r="BEB30" i="30"/>
  <c r="BEA31" i="30"/>
  <c r="BEB31" i="30"/>
  <c r="BEA32" i="30"/>
  <c r="BEB32" i="30"/>
  <c r="BEA33" i="30"/>
  <c r="BEB33" i="30"/>
  <c r="BEA34" i="30"/>
  <c r="BEB34" i="30"/>
  <c r="BDW8" i="30"/>
  <c r="BDX8" i="30"/>
  <c r="BDW9" i="30"/>
  <c r="BDX9" i="30"/>
  <c r="BDW10" i="30"/>
  <c r="BDX10" i="30"/>
  <c r="BDW11" i="30"/>
  <c r="BDX11" i="30"/>
  <c r="BDW12" i="30"/>
  <c r="BDX12" i="30"/>
  <c r="BDW13" i="30"/>
  <c r="BDX13" i="30"/>
  <c r="BDW14" i="30"/>
  <c r="BDX14" i="30"/>
  <c r="BDW15" i="30"/>
  <c r="BDX15" i="30"/>
  <c r="BDW16" i="30"/>
  <c r="BDX16" i="30"/>
  <c r="BDW17" i="30"/>
  <c r="BDX17" i="30"/>
  <c r="BDW18" i="30"/>
  <c r="BDX18" i="30"/>
  <c r="BDW19" i="30"/>
  <c r="BDX19" i="30"/>
  <c r="BDW20" i="30"/>
  <c r="BDX20" i="30"/>
  <c r="BDW21" i="30"/>
  <c r="BDX21" i="30"/>
  <c r="BDW22" i="30"/>
  <c r="BDX22" i="30"/>
  <c r="BDW23" i="30"/>
  <c r="BDX23" i="30"/>
  <c r="BDW24" i="30"/>
  <c r="BDX24" i="30"/>
  <c r="BDW25" i="30"/>
  <c r="BDX25" i="30"/>
  <c r="BDW26" i="30"/>
  <c r="BDX26" i="30"/>
  <c r="BDW27" i="30"/>
  <c r="BDX27" i="30"/>
  <c r="BDW28" i="30"/>
  <c r="BDX28" i="30"/>
  <c r="BDW29" i="30"/>
  <c r="BDX29" i="30"/>
  <c r="BDW30" i="30"/>
  <c r="BDX30" i="30"/>
  <c r="BDW31" i="30"/>
  <c r="BDX31" i="30"/>
  <c r="BDW32" i="30"/>
  <c r="BDX32" i="30"/>
  <c r="BDW33" i="30"/>
  <c r="BDX33" i="30"/>
  <c r="BDW34" i="30"/>
  <c r="BDX34" i="30"/>
  <c r="BEF7" i="30"/>
  <c r="BEB7" i="30"/>
  <c r="BDX7" i="30"/>
  <c r="BEA7" i="30"/>
  <c r="BDW7" i="30"/>
  <c r="BDS8" i="30"/>
  <c r="BDT8" i="30"/>
  <c r="BDS9" i="30"/>
  <c r="BDT9" i="30"/>
  <c r="BDS10" i="30"/>
  <c r="BDT10" i="30"/>
  <c r="BDS11" i="30"/>
  <c r="BDT11" i="30"/>
  <c r="BDS12" i="30"/>
  <c r="BDT12" i="30"/>
  <c r="BDS13" i="30"/>
  <c r="BDT13" i="30"/>
  <c r="BDS14" i="30"/>
  <c r="BDT14" i="30"/>
  <c r="BDS15" i="30"/>
  <c r="BDT15" i="30"/>
  <c r="BDS16" i="30"/>
  <c r="BDT16" i="30"/>
  <c r="BDS17" i="30"/>
  <c r="BDT17" i="30"/>
  <c r="BDS18" i="30"/>
  <c r="BDT18" i="30"/>
  <c r="BDS19" i="30"/>
  <c r="BDT19" i="30"/>
  <c r="BDS20" i="30"/>
  <c r="BDT20" i="30"/>
  <c r="BDS21" i="30"/>
  <c r="BDT21" i="30"/>
  <c r="BDS22" i="30"/>
  <c r="BDT22" i="30"/>
  <c r="BDS23" i="30"/>
  <c r="BDT23" i="30"/>
  <c r="BDS24" i="30"/>
  <c r="BDT24" i="30"/>
  <c r="BDS25" i="30"/>
  <c r="BDT25" i="30"/>
  <c r="BDS26" i="30"/>
  <c r="BDT26" i="30"/>
  <c r="BDS27" i="30"/>
  <c r="BDT27" i="30"/>
  <c r="BDS28" i="30"/>
  <c r="BDT28" i="30"/>
  <c r="BDS29" i="30"/>
  <c r="BDT29" i="30"/>
  <c r="BDS30" i="30"/>
  <c r="BDT30" i="30"/>
  <c r="BDS31" i="30"/>
  <c r="BDT31" i="30"/>
  <c r="BDS32" i="30"/>
  <c r="BDT32" i="30"/>
  <c r="BDS33" i="30"/>
  <c r="BDT33" i="30"/>
  <c r="BDS34" i="30"/>
  <c r="BDT34" i="30"/>
  <c r="BDT7" i="30"/>
  <c r="BDS7" i="30"/>
  <c r="BDK8" i="30"/>
  <c r="BDL8" i="30"/>
  <c r="BDK9" i="30"/>
  <c r="BDL9" i="30"/>
  <c r="BDK10" i="30"/>
  <c r="BDL10" i="30"/>
  <c r="BDK11" i="30"/>
  <c r="BDL11" i="30"/>
  <c r="BDK12" i="30"/>
  <c r="BDL12" i="30"/>
  <c r="BDK13" i="30"/>
  <c r="BDL13" i="30"/>
  <c r="BDK14" i="30"/>
  <c r="BDL14" i="30"/>
  <c r="BDK15" i="30"/>
  <c r="BDL15" i="30"/>
  <c r="BDK16" i="30"/>
  <c r="BDL16" i="30"/>
  <c r="BDK17" i="30"/>
  <c r="BDL17" i="30"/>
  <c r="BDK18" i="30"/>
  <c r="BDL18" i="30"/>
  <c r="BDK19" i="30"/>
  <c r="BDL19" i="30"/>
  <c r="BDK20" i="30"/>
  <c r="BDL20" i="30"/>
  <c r="BDK21" i="30"/>
  <c r="BDL21" i="30"/>
  <c r="BDK22" i="30"/>
  <c r="BDL22" i="30"/>
  <c r="BDK23" i="30"/>
  <c r="BDL23" i="30"/>
  <c r="BDK24" i="30"/>
  <c r="BDL24" i="30"/>
  <c r="BDK25" i="30"/>
  <c r="BDL25" i="30"/>
  <c r="BDK26" i="30"/>
  <c r="BDL26" i="30"/>
  <c r="BDK27" i="30"/>
  <c r="BDL27" i="30"/>
  <c r="BDK28" i="30"/>
  <c r="BDL28" i="30"/>
  <c r="BDK29" i="30"/>
  <c r="BDL29" i="30"/>
  <c r="BDK30" i="30"/>
  <c r="BDL30" i="30"/>
  <c r="BDK31" i="30"/>
  <c r="BDL31" i="30"/>
  <c r="BDK32" i="30"/>
  <c r="BDL32" i="30"/>
  <c r="BDK33" i="30"/>
  <c r="BDL33" i="30"/>
  <c r="BDK34" i="30"/>
  <c r="BDL34" i="30"/>
  <c r="BDG8" i="30"/>
  <c r="BDH8" i="30"/>
  <c r="BDG9" i="30"/>
  <c r="BDH9" i="30"/>
  <c r="BDG10" i="30"/>
  <c r="BDH10" i="30"/>
  <c r="BDG11" i="30"/>
  <c r="BDH11" i="30"/>
  <c r="BDG12" i="30"/>
  <c r="BDH12" i="30"/>
  <c r="BDG13" i="30"/>
  <c r="BDH13" i="30"/>
  <c r="BDG14" i="30"/>
  <c r="BDH14" i="30"/>
  <c r="BDG15" i="30"/>
  <c r="BDH15" i="30"/>
  <c r="BDG16" i="30"/>
  <c r="BDH16" i="30"/>
  <c r="BDG17" i="30"/>
  <c r="BDH17" i="30"/>
  <c r="BDG18" i="30"/>
  <c r="BDH18" i="30"/>
  <c r="BDG19" i="30"/>
  <c r="BDH19" i="30"/>
  <c r="BDG20" i="30"/>
  <c r="BDH20" i="30"/>
  <c r="BDG21" i="30"/>
  <c r="BDH21" i="30"/>
  <c r="BDG22" i="30"/>
  <c r="BDH22" i="30"/>
  <c r="BDG23" i="30"/>
  <c r="BDH23" i="30"/>
  <c r="BDG24" i="30"/>
  <c r="BDH24" i="30"/>
  <c r="BDG25" i="30"/>
  <c r="BDH25" i="30"/>
  <c r="BDG26" i="30"/>
  <c r="BDH26" i="30"/>
  <c r="BDG27" i="30"/>
  <c r="BDH27" i="30"/>
  <c r="BDG28" i="30"/>
  <c r="BDH28" i="30"/>
  <c r="BDG29" i="30"/>
  <c r="BDH29" i="30"/>
  <c r="BDG30" i="30"/>
  <c r="BDH30" i="30"/>
  <c r="BDG31" i="30"/>
  <c r="BDH31" i="30"/>
  <c r="BDG32" i="30"/>
  <c r="BDH32" i="30"/>
  <c r="BDG33" i="30"/>
  <c r="BDH33" i="30"/>
  <c r="BDG34" i="30"/>
  <c r="BDH34" i="30"/>
  <c r="BDC8" i="30"/>
  <c r="BDD8" i="30"/>
  <c r="BDC9" i="30"/>
  <c r="BDD9" i="30"/>
  <c r="BDC10" i="30"/>
  <c r="BDD10" i="30"/>
  <c r="BDC11" i="30"/>
  <c r="BDD11" i="30"/>
  <c r="BDC12" i="30"/>
  <c r="BDD12" i="30"/>
  <c r="BDC13" i="30"/>
  <c r="BDD13" i="30"/>
  <c r="BDC14" i="30"/>
  <c r="BDD14" i="30"/>
  <c r="BDC15" i="30"/>
  <c r="BDD15" i="30"/>
  <c r="BDC16" i="30"/>
  <c r="BDD16" i="30"/>
  <c r="BDC17" i="30"/>
  <c r="BDD17" i="30"/>
  <c r="BDC18" i="30"/>
  <c r="BDD18" i="30"/>
  <c r="BDC19" i="30"/>
  <c r="BDD19" i="30"/>
  <c r="BDC20" i="30"/>
  <c r="BDD20" i="30"/>
  <c r="BDC21" i="30"/>
  <c r="BDD21" i="30"/>
  <c r="BDC22" i="30"/>
  <c r="BDD22" i="30"/>
  <c r="BDC23" i="30"/>
  <c r="BDD23" i="30"/>
  <c r="BDC24" i="30"/>
  <c r="BDD24" i="30"/>
  <c r="BDC25" i="30"/>
  <c r="BDD25" i="30"/>
  <c r="BDC26" i="30"/>
  <c r="BDD26" i="30"/>
  <c r="BDC27" i="30"/>
  <c r="BDD27" i="30"/>
  <c r="BDC28" i="30"/>
  <c r="BDD28" i="30"/>
  <c r="BDC29" i="30"/>
  <c r="BDD29" i="30"/>
  <c r="BDC30" i="30"/>
  <c r="BDD30" i="30"/>
  <c r="BDC31" i="30"/>
  <c r="BDD31" i="30"/>
  <c r="BDC32" i="30"/>
  <c r="BDD32" i="30"/>
  <c r="BDC33" i="30"/>
  <c r="BDD33" i="30"/>
  <c r="BDC34" i="30"/>
  <c r="BDD34" i="30"/>
  <c r="BDL7" i="30"/>
  <c r="BDH7" i="30"/>
  <c r="BDD7" i="30"/>
  <c r="BDK7" i="30"/>
  <c r="BDG7" i="30"/>
  <c r="BDC7" i="30"/>
  <c r="BCY8" i="30"/>
  <c r="BCZ8" i="30"/>
  <c r="BCY9" i="30"/>
  <c r="BCZ9" i="30"/>
  <c r="BCY10" i="30"/>
  <c r="BCZ10" i="30"/>
  <c r="BCY11" i="30"/>
  <c r="BCZ11" i="30"/>
  <c r="BCY12" i="30"/>
  <c r="BCZ12" i="30"/>
  <c r="BCY13" i="30"/>
  <c r="BCZ13" i="30"/>
  <c r="BCY14" i="30"/>
  <c r="BCZ14" i="30"/>
  <c r="BCY15" i="30"/>
  <c r="BCZ15" i="30"/>
  <c r="BCY16" i="30"/>
  <c r="BCZ16" i="30"/>
  <c r="BCY17" i="30"/>
  <c r="BCZ17" i="30"/>
  <c r="BCY18" i="30"/>
  <c r="BCZ18" i="30"/>
  <c r="BCY19" i="30"/>
  <c r="BCZ19" i="30"/>
  <c r="BCY20" i="30"/>
  <c r="BCZ20" i="30"/>
  <c r="BCY21" i="30"/>
  <c r="BCZ21" i="30"/>
  <c r="BCY22" i="30"/>
  <c r="BCZ22" i="30"/>
  <c r="BCY23" i="30"/>
  <c r="BCZ23" i="30"/>
  <c r="BCY24" i="30"/>
  <c r="BCZ24" i="30"/>
  <c r="BCY25" i="30"/>
  <c r="BCZ25" i="30"/>
  <c r="BCY26" i="30"/>
  <c r="BCZ26" i="30"/>
  <c r="BCY27" i="30"/>
  <c r="BCZ27" i="30"/>
  <c r="BCY28" i="30"/>
  <c r="BCZ28" i="30"/>
  <c r="BCY29" i="30"/>
  <c r="BCZ29" i="30"/>
  <c r="BCY30" i="30"/>
  <c r="BCZ30" i="30"/>
  <c r="BCY31" i="30"/>
  <c r="BCZ31" i="30"/>
  <c r="BCY32" i="30"/>
  <c r="BCZ32" i="30"/>
  <c r="BCY33" i="30"/>
  <c r="BCZ33" i="30"/>
  <c r="BCY34" i="30"/>
  <c r="BCZ34" i="30"/>
  <c r="BCU8" i="30"/>
  <c r="BCV8" i="30"/>
  <c r="BCU9" i="30"/>
  <c r="BCV9" i="30"/>
  <c r="BCU10" i="30"/>
  <c r="BCV10" i="30"/>
  <c r="BCU11" i="30"/>
  <c r="BCV11" i="30"/>
  <c r="BCU12" i="30"/>
  <c r="BCV12" i="30"/>
  <c r="BCU13" i="30"/>
  <c r="BCV13" i="30"/>
  <c r="BCU14" i="30"/>
  <c r="BCV14" i="30"/>
  <c r="BCU15" i="30"/>
  <c r="BCV15" i="30"/>
  <c r="BCU16" i="30"/>
  <c r="BCV16" i="30"/>
  <c r="BCU17" i="30"/>
  <c r="BCV17" i="30"/>
  <c r="BCU18" i="30"/>
  <c r="BCV18" i="30"/>
  <c r="BCU19" i="30"/>
  <c r="BCV19" i="30"/>
  <c r="BCU20" i="30"/>
  <c r="BCV20" i="30"/>
  <c r="BCU21" i="30"/>
  <c r="BCV21" i="30"/>
  <c r="BCU22" i="30"/>
  <c r="BCV22" i="30"/>
  <c r="BCU23" i="30"/>
  <c r="BCV23" i="30"/>
  <c r="BCU24" i="30"/>
  <c r="BCV24" i="30"/>
  <c r="BCU25" i="30"/>
  <c r="BCV25" i="30"/>
  <c r="BCU26" i="30"/>
  <c r="BCV26" i="30"/>
  <c r="BCU27" i="30"/>
  <c r="BCV27" i="30"/>
  <c r="BCU28" i="30"/>
  <c r="BCV28" i="30"/>
  <c r="BCU29" i="30"/>
  <c r="BCV29" i="30"/>
  <c r="BCU30" i="30"/>
  <c r="BCV30" i="30"/>
  <c r="BCU31" i="30"/>
  <c r="BCV31" i="30"/>
  <c r="BCU32" i="30"/>
  <c r="BCV32" i="30"/>
  <c r="BCU33" i="30"/>
  <c r="BCV33" i="30"/>
  <c r="BCU34" i="30"/>
  <c r="BCV34" i="30"/>
  <c r="BCQ8" i="30"/>
  <c r="BCR8" i="30"/>
  <c r="BCQ9" i="30"/>
  <c r="BCR9" i="30"/>
  <c r="BCQ10" i="30"/>
  <c r="BCR10" i="30"/>
  <c r="BCQ11" i="30"/>
  <c r="BCR11" i="30"/>
  <c r="BCQ12" i="30"/>
  <c r="BCR12" i="30"/>
  <c r="BCQ13" i="30"/>
  <c r="BCR13" i="30"/>
  <c r="BCQ14" i="30"/>
  <c r="BCR14" i="30"/>
  <c r="BCQ15" i="30"/>
  <c r="BCR15" i="30"/>
  <c r="BCQ16" i="30"/>
  <c r="BCR16" i="30"/>
  <c r="BCQ17" i="30"/>
  <c r="BCR17" i="30"/>
  <c r="BCQ18" i="30"/>
  <c r="BCR18" i="30"/>
  <c r="BCQ19" i="30"/>
  <c r="BCR19" i="30"/>
  <c r="BCQ20" i="30"/>
  <c r="BCR20" i="30"/>
  <c r="BCQ21" i="30"/>
  <c r="BCR21" i="30"/>
  <c r="BCQ22" i="30"/>
  <c r="BCR22" i="30"/>
  <c r="BCQ23" i="30"/>
  <c r="BCR23" i="30"/>
  <c r="BCQ24" i="30"/>
  <c r="BCR24" i="30"/>
  <c r="BCQ25" i="30"/>
  <c r="BCR25" i="30"/>
  <c r="BCQ26" i="30"/>
  <c r="BCR26" i="30"/>
  <c r="BCQ27" i="30"/>
  <c r="BCR27" i="30"/>
  <c r="BCQ28" i="30"/>
  <c r="BCR28" i="30"/>
  <c r="BCQ29" i="30"/>
  <c r="BCR29" i="30"/>
  <c r="BCQ30" i="30"/>
  <c r="BCR30" i="30"/>
  <c r="BCQ31" i="30"/>
  <c r="BCR31" i="30"/>
  <c r="BCQ32" i="30"/>
  <c r="BCR32" i="30"/>
  <c r="BCQ33" i="30"/>
  <c r="BCR33" i="30"/>
  <c r="BCQ34" i="30"/>
  <c r="BCR34" i="30"/>
  <c r="BCY7" i="30"/>
  <c r="BCU7" i="30"/>
  <c r="BCZ7" i="30"/>
  <c r="BCV7" i="30"/>
  <c r="BCR7" i="30"/>
  <c r="BCQ7" i="30"/>
  <c r="BCM8" i="30"/>
  <c r="BCN8" i="30"/>
  <c r="BCM9" i="30"/>
  <c r="BCN9" i="30"/>
  <c r="BCM10" i="30"/>
  <c r="BCN10" i="30"/>
  <c r="BCM11" i="30"/>
  <c r="BCN11" i="30"/>
  <c r="BCM12" i="30"/>
  <c r="BCN12" i="30"/>
  <c r="BCM13" i="30"/>
  <c r="BCN13" i="30"/>
  <c r="BCM14" i="30"/>
  <c r="BCN14" i="30"/>
  <c r="BCM15" i="30"/>
  <c r="BCN15" i="30"/>
  <c r="BCM16" i="30"/>
  <c r="BCN16" i="30"/>
  <c r="BCM17" i="30"/>
  <c r="BCN17" i="30"/>
  <c r="BCM18" i="30"/>
  <c r="BCN18" i="30"/>
  <c r="BCM19" i="30"/>
  <c r="BCN19" i="30"/>
  <c r="BCM20" i="30"/>
  <c r="BCN20" i="30"/>
  <c r="BCM21" i="30"/>
  <c r="BCN21" i="30"/>
  <c r="BCM22" i="30"/>
  <c r="BCN22" i="30"/>
  <c r="BCM23" i="30"/>
  <c r="BCN23" i="30"/>
  <c r="BCM24" i="30"/>
  <c r="BCN24" i="30"/>
  <c r="BCM25" i="30"/>
  <c r="BCN25" i="30"/>
  <c r="BCM26" i="30"/>
  <c r="BCN26" i="30"/>
  <c r="BCM27" i="30"/>
  <c r="BCN27" i="30"/>
  <c r="BCM28" i="30"/>
  <c r="BCN28" i="30"/>
  <c r="BCM29" i="30"/>
  <c r="BCN29" i="30"/>
  <c r="BCM30" i="30"/>
  <c r="BCN30" i="30"/>
  <c r="BCM31" i="30"/>
  <c r="BCN31" i="30"/>
  <c r="BCM32" i="30"/>
  <c r="BCN32" i="30"/>
  <c r="BCM33" i="30"/>
  <c r="BCN33" i="30"/>
  <c r="BCM34" i="30"/>
  <c r="BCN34" i="30"/>
  <c r="BCN7" i="30"/>
  <c r="BCM7" i="30"/>
  <c r="BBT8" i="30"/>
  <c r="BBT9" i="30"/>
  <c r="BBT10" i="30"/>
  <c r="BBT11" i="30"/>
  <c r="BBT12" i="30"/>
  <c r="BBT13" i="30"/>
  <c r="BBT14" i="30"/>
  <c r="BBT15" i="30"/>
  <c r="BBT16" i="30"/>
  <c r="BBT17" i="30"/>
  <c r="BBT18" i="30"/>
  <c r="BBT19" i="30"/>
  <c r="BBT20" i="30"/>
  <c r="BBT21" i="30"/>
  <c r="BBT22" i="30"/>
  <c r="BBT23" i="30"/>
  <c r="BBT24" i="30"/>
  <c r="BBT25" i="30"/>
  <c r="BBT26" i="30"/>
  <c r="BBT27" i="30"/>
  <c r="BBT28" i="30"/>
  <c r="BBT29" i="30"/>
  <c r="BBT30" i="30"/>
  <c r="BBT31" i="30"/>
  <c r="BBT32" i="30"/>
  <c r="BBT33" i="30"/>
  <c r="BBT34" i="30"/>
  <c r="BBT35" i="30"/>
  <c r="BBX8" i="30"/>
  <c r="BBX9" i="30"/>
  <c r="BBX10" i="30"/>
  <c r="BBX11" i="30"/>
  <c r="BBX12" i="30"/>
  <c r="BBX13" i="30"/>
  <c r="BBX14" i="30"/>
  <c r="BBX15" i="30"/>
  <c r="BBX16" i="30"/>
  <c r="BBX17" i="30"/>
  <c r="BBX18" i="30"/>
  <c r="BBX19" i="30"/>
  <c r="BBX20" i="30"/>
  <c r="BBX21" i="30"/>
  <c r="BBX22" i="30"/>
  <c r="BBX23" i="30"/>
  <c r="BBX24" i="30"/>
  <c r="BBX25" i="30"/>
  <c r="BBX26" i="30"/>
  <c r="BBX27" i="30"/>
  <c r="BBX28" i="30"/>
  <c r="BBX29" i="30"/>
  <c r="BBX30" i="30"/>
  <c r="BBX31" i="30"/>
  <c r="BBX32" i="30"/>
  <c r="BBX33" i="30"/>
  <c r="BBX34" i="30"/>
  <c r="BBX35" i="30"/>
  <c r="BCB8" i="30"/>
  <c r="BCB9" i="30"/>
  <c r="BCB10" i="30"/>
  <c r="BCB11" i="30"/>
  <c r="BCB12" i="30"/>
  <c r="BCB13" i="30"/>
  <c r="BCB14" i="30"/>
  <c r="BCB15" i="30"/>
  <c r="BCB16" i="30"/>
  <c r="BCB17" i="30"/>
  <c r="BCB18" i="30"/>
  <c r="BCB19" i="30"/>
  <c r="BCB20" i="30"/>
  <c r="BCB21" i="30"/>
  <c r="BCB22" i="30"/>
  <c r="BCB23" i="30"/>
  <c r="BCB24" i="30"/>
  <c r="BCB25" i="30"/>
  <c r="BCB26" i="30"/>
  <c r="BCB27" i="30"/>
  <c r="BCB28" i="30"/>
  <c r="BCB29" i="30"/>
  <c r="BCB30" i="30"/>
  <c r="BCB31" i="30"/>
  <c r="BCB32" i="30"/>
  <c r="BCB33" i="30"/>
  <c r="BCB34" i="30"/>
  <c r="BCB35" i="30"/>
  <c r="BCF8" i="30"/>
  <c r="BCF9" i="30"/>
  <c r="BCF10" i="30"/>
  <c r="BCF11" i="30"/>
  <c r="BCF12" i="30"/>
  <c r="BCF13" i="30"/>
  <c r="BCF14" i="30"/>
  <c r="BCF15" i="30"/>
  <c r="BCF16" i="30"/>
  <c r="BCF17" i="30"/>
  <c r="BCF18" i="30"/>
  <c r="BCF19" i="30"/>
  <c r="BCF20" i="30"/>
  <c r="BCF21" i="30"/>
  <c r="BCF22" i="30"/>
  <c r="BCF23" i="30"/>
  <c r="BCF24" i="30"/>
  <c r="BCF25" i="30"/>
  <c r="BCF26" i="30"/>
  <c r="BCF27" i="30"/>
  <c r="BCF28" i="30"/>
  <c r="BCF29" i="30"/>
  <c r="BCF30" i="30"/>
  <c r="BCF31" i="30"/>
  <c r="BCF32" i="30"/>
  <c r="BCF33" i="30"/>
  <c r="BCF34" i="30"/>
  <c r="BCF35" i="30"/>
  <c r="BCF7" i="30"/>
  <c r="BCB7" i="30"/>
  <c r="BBX7" i="30"/>
  <c r="BBT7" i="30"/>
  <c r="BBS8" i="30"/>
  <c r="BBS9" i="30"/>
  <c r="BBS10" i="30"/>
  <c r="BBS11" i="30"/>
  <c r="BBS12" i="30"/>
  <c r="BBS13" i="30"/>
  <c r="BBS14" i="30"/>
  <c r="BBS15" i="30"/>
  <c r="BBS16" i="30"/>
  <c r="BBS17" i="30"/>
  <c r="BBS18" i="30"/>
  <c r="BBS19" i="30"/>
  <c r="BBS20" i="30"/>
  <c r="BBS21" i="30"/>
  <c r="BBS22" i="30"/>
  <c r="BBS23" i="30"/>
  <c r="BBS24" i="30"/>
  <c r="BBS25" i="30"/>
  <c r="BBS26" i="30"/>
  <c r="BBS27" i="30"/>
  <c r="BBS28" i="30"/>
  <c r="BBS29" i="30"/>
  <c r="BBS30" i="30"/>
  <c r="BBS31" i="30"/>
  <c r="BBS32" i="30"/>
  <c r="BBS33" i="30"/>
  <c r="BBS34" i="30"/>
  <c r="BBW8" i="30"/>
  <c r="BBW9" i="30"/>
  <c r="BBW10" i="30"/>
  <c r="BBW11" i="30"/>
  <c r="BBW12" i="30"/>
  <c r="BBW13" i="30"/>
  <c r="BBW14" i="30"/>
  <c r="BBW15" i="30"/>
  <c r="BBW16" i="30"/>
  <c r="BBW17" i="30"/>
  <c r="BBW18" i="30"/>
  <c r="BBW19" i="30"/>
  <c r="BBW20" i="30"/>
  <c r="BBW21" i="30"/>
  <c r="BBW22" i="30"/>
  <c r="BBW23" i="30"/>
  <c r="BBW24" i="30"/>
  <c r="BBW25" i="30"/>
  <c r="BBW26" i="30"/>
  <c r="BBW27" i="30"/>
  <c r="BBW28" i="30"/>
  <c r="BBW29" i="30"/>
  <c r="BBW30" i="30"/>
  <c r="BBW31" i="30"/>
  <c r="BBW32" i="30"/>
  <c r="BBW33" i="30"/>
  <c r="BBW34" i="30"/>
  <c r="BCA8" i="30"/>
  <c r="BCA9" i="30"/>
  <c r="BCA10" i="30"/>
  <c r="BCA11" i="30"/>
  <c r="BCA12" i="30"/>
  <c r="BCA13" i="30"/>
  <c r="BCA14" i="30"/>
  <c r="BCA15" i="30"/>
  <c r="BCA16" i="30"/>
  <c r="BCA17" i="30"/>
  <c r="BCA18" i="30"/>
  <c r="BCA19" i="30"/>
  <c r="BCA20" i="30"/>
  <c r="BCA21" i="30"/>
  <c r="BCA22" i="30"/>
  <c r="BCA23" i="30"/>
  <c r="BCA24" i="30"/>
  <c r="BCA25" i="30"/>
  <c r="BCA26" i="30"/>
  <c r="BCA27" i="30"/>
  <c r="BCA28" i="30"/>
  <c r="BCA29" i="30"/>
  <c r="BCA30" i="30"/>
  <c r="BCA31" i="30"/>
  <c r="BCA32" i="30"/>
  <c r="BCA33" i="30"/>
  <c r="BCA34" i="30"/>
  <c r="BCE8" i="30"/>
  <c r="BCE9" i="30"/>
  <c r="BCE10" i="30"/>
  <c r="BCE11" i="30"/>
  <c r="BCE12" i="30"/>
  <c r="BCE13" i="30"/>
  <c r="BCE14" i="30"/>
  <c r="BCE15" i="30"/>
  <c r="BCE16" i="30"/>
  <c r="BCE17" i="30"/>
  <c r="BCE18" i="30"/>
  <c r="BCE19" i="30"/>
  <c r="BCE20" i="30"/>
  <c r="BCE21" i="30"/>
  <c r="BCE22" i="30"/>
  <c r="BCE23" i="30"/>
  <c r="BCE24" i="30"/>
  <c r="BCE25" i="30"/>
  <c r="BCE26" i="30"/>
  <c r="BCE27" i="30"/>
  <c r="BCE28" i="30"/>
  <c r="BCE29" i="30"/>
  <c r="BCE30" i="30"/>
  <c r="BCE31" i="30"/>
  <c r="BCE32" i="30"/>
  <c r="BCE33" i="30"/>
  <c r="BCE34" i="30"/>
  <c r="BCE7" i="30"/>
  <c r="BCA7" i="30"/>
  <c r="BBW7" i="30"/>
  <c r="BBS7" i="30"/>
  <c r="BBO8" i="30"/>
  <c r="BBP8" i="30"/>
  <c r="BBO9" i="30"/>
  <c r="BBP9" i="30"/>
  <c r="BBO10" i="30"/>
  <c r="BBP10" i="30"/>
  <c r="BBO11" i="30"/>
  <c r="BBP11" i="30"/>
  <c r="BBO12" i="30"/>
  <c r="BBP12" i="30"/>
  <c r="BBO13" i="30"/>
  <c r="BBP13" i="30"/>
  <c r="BBO14" i="30"/>
  <c r="BBP14" i="30"/>
  <c r="BBO15" i="30"/>
  <c r="BBP15" i="30"/>
  <c r="BBO16" i="30"/>
  <c r="BBP16" i="30"/>
  <c r="BBO17" i="30"/>
  <c r="BBP17" i="30"/>
  <c r="BBO18" i="30"/>
  <c r="BBP18" i="30"/>
  <c r="BBO19" i="30"/>
  <c r="BBP19" i="30"/>
  <c r="BBO20" i="30"/>
  <c r="BBP20" i="30"/>
  <c r="BBO21" i="30"/>
  <c r="BBP21" i="30"/>
  <c r="BBO22" i="30"/>
  <c r="BBP22" i="30"/>
  <c r="BBO23" i="30"/>
  <c r="BBP23" i="30"/>
  <c r="BBO24" i="30"/>
  <c r="BBP24" i="30"/>
  <c r="BBO25" i="30"/>
  <c r="BBP25" i="30"/>
  <c r="BBO26" i="30"/>
  <c r="BBP26" i="30"/>
  <c r="BBO27" i="30"/>
  <c r="BBP27" i="30"/>
  <c r="BBO28" i="30"/>
  <c r="BBP28" i="30"/>
  <c r="BBO29" i="30"/>
  <c r="BBP29" i="30"/>
  <c r="BBO30" i="30"/>
  <c r="BBP30" i="30"/>
  <c r="BBO31" i="30"/>
  <c r="BBP31" i="30"/>
  <c r="BBO32" i="30"/>
  <c r="BBP32" i="30"/>
  <c r="BBO33" i="30"/>
  <c r="BBP33" i="30"/>
  <c r="BBO34" i="30"/>
  <c r="BBP34" i="30"/>
  <c r="BBK8" i="30"/>
  <c r="BBL8" i="30"/>
  <c r="BBK9" i="30"/>
  <c r="BBL9" i="30"/>
  <c r="BBK10" i="30"/>
  <c r="BBL10" i="30"/>
  <c r="BBK11" i="30"/>
  <c r="BBL11" i="30"/>
  <c r="BBK12" i="30"/>
  <c r="BBL12" i="30"/>
  <c r="BBK13" i="30"/>
  <c r="BBL13" i="30"/>
  <c r="BBK14" i="30"/>
  <c r="BBL14" i="30"/>
  <c r="BBK15" i="30"/>
  <c r="BBL15" i="30"/>
  <c r="BBK16" i="30"/>
  <c r="BBL16" i="30"/>
  <c r="BBK17" i="30"/>
  <c r="BBL17" i="30"/>
  <c r="BBK18" i="30"/>
  <c r="BBL18" i="30"/>
  <c r="BBK19" i="30"/>
  <c r="BBL19" i="30"/>
  <c r="BBK20" i="30"/>
  <c r="BBL20" i="30"/>
  <c r="BBK21" i="30"/>
  <c r="BBL21" i="30"/>
  <c r="BBK22" i="30"/>
  <c r="BBL22" i="30"/>
  <c r="BBK23" i="30"/>
  <c r="BBL23" i="30"/>
  <c r="BBK24" i="30"/>
  <c r="BBL24" i="30"/>
  <c r="BBK25" i="30"/>
  <c r="BBL25" i="30"/>
  <c r="BBK26" i="30"/>
  <c r="BBL26" i="30"/>
  <c r="BBK27" i="30"/>
  <c r="BBL27" i="30"/>
  <c r="BBK28" i="30"/>
  <c r="BBL28" i="30"/>
  <c r="BBK29" i="30"/>
  <c r="BBL29" i="30"/>
  <c r="BBK30" i="30"/>
  <c r="BBL30" i="30"/>
  <c r="BBK31" i="30"/>
  <c r="BBL31" i="30"/>
  <c r="BBK32" i="30"/>
  <c r="BBL32" i="30"/>
  <c r="BBK33" i="30"/>
  <c r="BBL33" i="30"/>
  <c r="BBK34" i="30"/>
  <c r="BBL34" i="30"/>
  <c r="BBP7" i="30"/>
  <c r="BBL7" i="30"/>
  <c r="BBO7" i="30"/>
  <c r="BBK7" i="30"/>
  <c r="BBG8" i="30"/>
  <c r="BBH8" i="30"/>
  <c r="BBG9" i="30"/>
  <c r="BBH9" i="30"/>
  <c r="BBG10" i="30"/>
  <c r="BBH10" i="30"/>
  <c r="BBG11" i="30"/>
  <c r="BBH11" i="30"/>
  <c r="BBG12" i="30"/>
  <c r="BBH12" i="30"/>
  <c r="BBG13" i="30"/>
  <c r="BBH13" i="30"/>
  <c r="BBG14" i="30"/>
  <c r="BBH14" i="30"/>
  <c r="BBG15" i="30"/>
  <c r="BBH15" i="30"/>
  <c r="BBG16" i="30"/>
  <c r="BBH16" i="30"/>
  <c r="BBG17" i="30"/>
  <c r="BBH17" i="30"/>
  <c r="BBG18" i="30"/>
  <c r="BBH18" i="30"/>
  <c r="BBG19" i="30"/>
  <c r="BBH19" i="30"/>
  <c r="BBG20" i="30"/>
  <c r="BBH20" i="30"/>
  <c r="BBG21" i="30"/>
  <c r="BBH21" i="30"/>
  <c r="BBG22" i="30"/>
  <c r="BBH22" i="30"/>
  <c r="BBG23" i="30"/>
  <c r="BBH23" i="30"/>
  <c r="BBG24" i="30"/>
  <c r="BBH24" i="30"/>
  <c r="BBG25" i="30"/>
  <c r="BBH25" i="30"/>
  <c r="BBG26" i="30"/>
  <c r="BBH26" i="30"/>
  <c r="BBG27" i="30"/>
  <c r="BBH27" i="30"/>
  <c r="BBG28" i="30"/>
  <c r="BBH28" i="30"/>
  <c r="BBG29" i="30"/>
  <c r="BBH29" i="30"/>
  <c r="BBG30" i="30"/>
  <c r="BBH30" i="30"/>
  <c r="BBG31" i="30"/>
  <c r="BBH31" i="30"/>
  <c r="BBG32" i="30"/>
  <c r="BBH32" i="30"/>
  <c r="BBG33" i="30"/>
  <c r="BBH33" i="30"/>
  <c r="BBG34" i="30"/>
  <c r="BBH34" i="30"/>
  <c r="BBH7" i="30"/>
  <c r="BBG7" i="30"/>
  <c r="BAY8" i="30"/>
  <c r="BAZ8" i="30"/>
  <c r="BAY9" i="30"/>
  <c r="BAZ9" i="30"/>
  <c r="BAY10" i="30"/>
  <c r="BAZ10" i="30"/>
  <c r="BAY11" i="30"/>
  <c r="BAZ11" i="30"/>
  <c r="BAY12" i="30"/>
  <c r="BAZ12" i="30"/>
  <c r="BAY13" i="30"/>
  <c r="BAZ13" i="30"/>
  <c r="BAY14" i="30"/>
  <c r="BAZ14" i="30"/>
  <c r="BAY15" i="30"/>
  <c r="BAZ15" i="30"/>
  <c r="BAY16" i="30"/>
  <c r="BAZ16" i="30"/>
  <c r="BAY17" i="30"/>
  <c r="BAZ17" i="30"/>
  <c r="BAY18" i="30"/>
  <c r="BAZ18" i="30"/>
  <c r="BAY19" i="30"/>
  <c r="BAZ19" i="30"/>
  <c r="BAY20" i="30"/>
  <c r="BAZ20" i="30"/>
  <c r="BAY21" i="30"/>
  <c r="BAZ21" i="30"/>
  <c r="BAY22" i="30"/>
  <c r="BAZ22" i="30"/>
  <c r="BAY23" i="30"/>
  <c r="BAZ23" i="30"/>
  <c r="BAY24" i="30"/>
  <c r="BAZ24" i="30"/>
  <c r="BAY25" i="30"/>
  <c r="BAZ25" i="30"/>
  <c r="BAY26" i="30"/>
  <c r="BAZ26" i="30"/>
  <c r="BAY27" i="30"/>
  <c r="BAZ27" i="30"/>
  <c r="BAY28" i="30"/>
  <c r="BAZ28" i="30"/>
  <c r="BAY29" i="30"/>
  <c r="BAZ29" i="30"/>
  <c r="BAY30" i="30"/>
  <c r="BAZ30" i="30"/>
  <c r="BAY31" i="30"/>
  <c r="BAZ31" i="30"/>
  <c r="BAY32" i="30"/>
  <c r="BAZ32" i="30"/>
  <c r="BAY33" i="30"/>
  <c r="BAZ33" i="30"/>
  <c r="BAY34" i="30"/>
  <c r="BAZ34" i="30"/>
  <c r="BAU8" i="30"/>
  <c r="BAV8" i="30"/>
  <c r="BAU9" i="30"/>
  <c r="BAV9" i="30"/>
  <c r="BAU10" i="30"/>
  <c r="BAV10" i="30"/>
  <c r="BAU11" i="30"/>
  <c r="BAV11" i="30"/>
  <c r="BAU12" i="30"/>
  <c r="BAV12" i="30"/>
  <c r="BAU13" i="30"/>
  <c r="BAV13" i="30"/>
  <c r="BAU14" i="30"/>
  <c r="BAV14" i="30"/>
  <c r="BAU15" i="30"/>
  <c r="BAV15" i="30"/>
  <c r="BAU16" i="30"/>
  <c r="BAV16" i="30"/>
  <c r="BAU17" i="30"/>
  <c r="BAV17" i="30"/>
  <c r="BAU18" i="30"/>
  <c r="BAV18" i="30"/>
  <c r="BAU19" i="30"/>
  <c r="BAV19" i="30"/>
  <c r="BAU20" i="30"/>
  <c r="BAV20" i="30"/>
  <c r="BAU21" i="30"/>
  <c r="BAV21" i="30"/>
  <c r="BAU22" i="30"/>
  <c r="BAV22" i="30"/>
  <c r="BAU23" i="30"/>
  <c r="BAV23" i="30"/>
  <c r="BAU24" i="30"/>
  <c r="BAV24" i="30"/>
  <c r="BAU25" i="30"/>
  <c r="BAV25" i="30"/>
  <c r="BAU26" i="30"/>
  <c r="BAV26" i="30"/>
  <c r="BAU27" i="30"/>
  <c r="BAV27" i="30"/>
  <c r="BAU28" i="30"/>
  <c r="BAV28" i="30"/>
  <c r="BAU29" i="30"/>
  <c r="BAV29" i="30"/>
  <c r="BAU30" i="30"/>
  <c r="BAV30" i="30"/>
  <c r="BAU31" i="30"/>
  <c r="BAV31" i="30"/>
  <c r="BAU32" i="30"/>
  <c r="BAV32" i="30"/>
  <c r="BAU33" i="30"/>
  <c r="BAV33" i="30"/>
  <c r="BAU34" i="30"/>
  <c r="BAV34" i="30"/>
  <c r="BAZ7" i="30"/>
  <c r="BAV7" i="30"/>
  <c r="BAY7" i="30"/>
  <c r="BAU7" i="30"/>
  <c r="BAQ8" i="30"/>
  <c r="BAR8" i="30"/>
  <c r="BAQ9" i="30"/>
  <c r="BAR9" i="30"/>
  <c r="BAQ10" i="30"/>
  <c r="BAR10" i="30"/>
  <c r="BAQ11" i="30"/>
  <c r="BAR11" i="30"/>
  <c r="BAQ12" i="30"/>
  <c r="BAR12" i="30"/>
  <c r="BAQ13" i="30"/>
  <c r="BAR13" i="30"/>
  <c r="BAQ14" i="30"/>
  <c r="BAR14" i="30"/>
  <c r="BAQ15" i="30"/>
  <c r="BAR15" i="30"/>
  <c r="BAQ16" i="30"/>
  <c r="BAR16" i="30"/>
  <c r="BAQ17" i="30"/>
  <c r="BAR17" i="30"/>
  <c r="BAQ18" i="30"/>
  <c r="BAR18" i="30"/>
  <c r="BAQ19" i="30"/>
  <c r="BAR19" i="30"/>
  <c r="BAQ20" i="30"/>
  <c r="BAR20" i="30"/>
  <c r="BAQ21" i="30"/>
  <c r="BAR21" i="30"/>
  <c r="BAQ22" i="30"/>
  <c r="BAR22" i="30"/>
  <c r="BAQ23" i="30"/>
  <c r="BAR23" i="30"/>
  <c r="BAQ24" i="30"/>
  <c r="BAR24" i="30"/>
  <c r="BAQ25" i="30"/>
  <c r="BAR25" i="30"/>
  <c r="BAQ26" i="30"/>
  <c r="BAR26" i="30"/>
  <c r="BAQ27" i="30"/>
  <c r="BAR27" i="30"/>
  <c r="BAQ28" i="30"/>
  <c r="BAR28" i="30"/>
  <c r="BAQ29" i="30"/>
  <c r="BAR29" i="30"/>
  <c r="BAQ30" i="30"/>
  <c r="BAR30" i="30"/>
  <c r="BAQ31" i="30"/>
  <c r="BAR31" i="30"/>
  <c r="BAQ32" i="30"/>
  <c r="BAR32" i="30"/>
  <c r="BAQ33" i="30"/>
  <c r="BAR33" i="30"/>
  <c r="BAQ34" i="30"/>
  <c r="BAR34" i="30"/>
  <c r="BAR7" i="30"/>
  <c r="BAQ7" i="30"/>
  <c r="BAM8" i="30"/>
  <c r="BAN8" i="30"/>
  <c r="BAM9" i="30"/>
  <c r="BAN9" i="30"/>
  <c r="BAM10" i="30"/>
  <c r="BAN10" i="30"/>
  <c r="BAM11" i="30"/>
  <c r="BAN11" i="30"/>
  <c r="BAM12" i="30"/>
  <c r="BAN12" i="30"/>
  <c r="BAM13" i="30"/>
  <c r="BAN13" i="30"/>
  <c r="BAM14" i="30"/>
  <c r="BAN14" i="30"/>
  <c r="BAM15" i="30"/>
  <c r="BAN15" i="30"/>
  <c r="BAM16" i="30"/>
  <c r="BAN16" i="30"/>
  <c r="BAM17" i="30"/>
  <c r="BAN17" i="30"/>
  <c r="BAM18" i="30"/>
  <c r="BAN18" i="30"/>
  <c r="BAM19" i="30"/>
  <c r="BAN19" i="30"/>
  <c r="BAM20" i="30"/>
  <c r="BAN20" i="30"/>
  <c r="BAM21" i="30"/>
  <c r="BAN21" i="30"/>
  <c r="BAM22" i="30"/>
  <c r="BAN22" i="30"/>
  <c r="BAM23" i="30"/>
  <c r="BAN23" i="30"/>
  <c r="BAM24" i="30"/>
  <c r="BAN24" i="30"/>
  <c r="BAM25" i="30"/>
  <c r="BAN25" i="30"/>
  <c r="BAM26" i="30"/>
  <c r="BAN26" i="30"/>
  <c r="BAM27" i="30"/>
  <c r="BAN27" i="30"/>
  <c r="BAM28" i="30"/>
  <c r="BAN28" i="30"/>
  <c r="BAM29" i="30"/>
  <c r="BAN29" i="30"/>
  <c r="BAM30" i="30"/>
  <c r="BAN30" i="30"/>
  <c r="BAM31" i="30"/>
  <c r="BAN31" i="30"/>
  <c r="BAM32" i="30"/>
  <c r="BAN32" i="30"/>
  <c r="BAM33" i="30"/>
  <c r="BAN33" i="30"/>
  <c r="BAM34" i="30"/>
  <c r="BAN34" i="30"/>
  <c r="BAI8" i="30"/>
  <c r="BAJ8" i="30"/>
  <c r="BAI9" i="30"/>
  <c r="BAJ9" i="30"/>
  <c r="BAI10" i="30"/>
  <c r="BAJ10" i="30"/>
  <c r="BAI11" i="30"/>
  <c r="BAJ11" i="30"/>
  <c r="BAI12" i="30"/>
  <c r="BAJ12" i="30"/>
  <c r="BAI13" i="30"/>
  <c r="BAJ13" i="30"/>
  <c r="BAI14" i="30"/>
  <c r="BAJ14" i="30"/>
  <c r="BAI15" i="30"/>
  <c r="BAJ15" i="30"/>
  <c r="BAI16" i="30"/>
  <c r="BAJ16" i="30"/>
  <c r="BAI17" i="30"/>
  <c r="BAJ17" i="30"/>
  <c r="BAI18" i="30"/>
  <c r="BAJ18" i="30"/>
  <c r="BAI19" i="30"/>
  <c r="BAJ19" i="30"/>
  <c r="BAI20" i="30"/>
  <c r="BAJ20" i="30"/>
  <c r="BAI21" i="30"/>
  <c r="BAJ21" i="30"/>
  <c r="BAI22" i="30"/>
  <c r="BAJ22" i="30"/>
  <c r="BAI23" i="30"/>
  <c r="BAJ23" i="30"/>
  <c r="BAI24" i="30"/>
  <c r="BAJ24" i="30"/>
  <c r="BAI25" i="30"/>
  <c r="BAJ25" i="30"/>
  <c r="BAI26" i="30"/>
  <c r="BAJ26" i="30"/>
  <c r="BAI27" i="30"/>
  <c r="BAJ27" i="30"/>
  <c r="BAI28" i="30"/>
  <c r="BAJ28" i="30"/>
  <c r="BAI29" i="30"/>
  <c r="BAJ29" i="30"/>
  <c r="BAI30" i="30"/>
  <c r="BAJ30" i="30"/>
  <c r="BAI31" i="30"/>
  <c r="BAJ31" i="30"/>
  <c r="BAI32" i="30"/>
  <c r="BAJ32" i="30"/>
  <c r="BAI33" i="30"/>
  <c r="BAJ33" i="30"/>
  <c r="BAI34" i="30"/>
  <c r="BAJ34" i="30"/>
  <c r="BAE8" i="30"/>
  <c r="BAF8" i="30"/>
  <c r="BAE9" i="30"/>
  <c r="BAF9" i="30"/>
  <c r="BAE10" i="30"/>
  <c r="BAF10" i="30"/>
  <c r="BAE11" i="30"/>
  <c r="BAF11" i="30"/>
  <c r="BAE12" i="30"/>
  <c r="BAF12" i="30"/>
  <c r="BAE13" i="30"/>
  <c r="BAF13" i="30"/>
  <c r="BAE14" i="30"/>
  <c r="BAF14" i="30"/>
  <c r="BAE15" i="30"/>
  <c r="BAF15" i="30"/>
  <c r="BAE16" i="30"/>
  <c r="BAF16" i="30"/>
  <c r="BAE17" i="30"/>
  <c r="BAF17" i="30"/>
  <c r="BAE18" i="30"/>
  <c r="BAF18" i="30"/>
  <c r="BAE19" i="30"/>
  <c r="BAF19" i="30"/>
  <c r="BAE20" i="30"/>
  <c r="BAF20" i="30"/>
  <c r="BAE21" i="30"/>
  <c r="BAF21" i="30"/>
  <c r="BAE22" i="30"/>
  <c r="BAF22" i="30"/>
  <c r="BAE23" i="30"/>
  <c r="BAF23" i="30"/>
  <c r="BAE24" i="30"/>
  <c r="BAF24" i="30"/>
  <c r="BAE25" i="30"/>
  <c r="BAF25" i="30"/>
  <c r="BAE26" i="30"/>
  <c r="BAF26" i="30"/>
  <c r="BAE27" i="30"/>
  <c r="BAF27" i="30"/>
  <c r="BAE28" i="30"/>
  <c r="BAF28" i="30"/>
  <c r="BAE29" i="30"/>
  <c r="BAF29" i="30"/>
  <c r="BAE30" i="30"/>
  <c r="BAF30" i="30"/>
  <c r="BAE31" i="30"/>
  <c r="BAF31" i="30"/>
  <c r="BAE32" i="30"/>
  <c r="BAF32" i="30"/>
  <c r="BAE33" i="30"/>
  <c r="BAF33" i="30"/>
  <c r="BAE34" i="30"/>
  <c r="BAF34" i="30"/>
  <c r="BAN7" i="30"/>
  <c r="BAJ7" i="30"/>
  <c r="BAF7" i="30"/>
  <c r="BAM7" i="30"/>
  <c r="BAI7" i="30"/>
  <c r="BAE7" i="30"/>
  <c r="BAA8" i="30"/>
  <c r="BAB8" i="30"/>
  <c r="BAA9" i="30"/>
  <c r="BAB9" i="30"/>
  <c r="BAA10" i="30"/>
  <c r="BAB10" i="30"/>
  <c r="BAA11" i="30"/>
  <c r="BAB11" i="30"/>
  <c r="BAA12" i="30"/>
  <c r="BAB12" i="30"/>
  <c r="BAA13" i="30"/>
  <c r="BAB13" i="30"/>
  <c r="BAA14" i="30"/>
  <c r="BAB14" i="30"/>
  <c r="BAA15" i="30"/>
  <c r="BAB15" i="30"/>
  <c r="BAA16" i="30"/>
  <c r="BAB16" i="30"/>
  <c r="BAA17" i="30"/>
  <c r="BAB17" i="30"/>
  <c r="BAA18" i="30"/>
  <c r="BAB18" i="30"/>
  <c r="BAA19" i="30"/>
  <c r="BAB19" i="30"/>
  <c r="BAA20" i="30"/>
  <c r="BAB20" i="30"/>
  <c r="BAA21" i="30"/>
  <c r="BAB21" i="30"/>
  <c r="BAA22" i="30"/>
  <c r="BAB22" i="30"/>
  <c r="BAA23" i="30"/>
  <c r="BAB23" i="30"/>
  <c r="BAA24" i="30"/>
  <c r="BAB24" i="30"/>
  <c r="BAA25" i="30"/>
  <c r="BAB25" i="30"/>
  <c r="BAA26" i="30"/>
  <c r="BAB26" i="30"/>
  <c r="BAA27" i="30"/>
  <c r="BAB27" i="30"/>
  <c r="BAA28" i="30"/>
  <c r="BAB28" i="30"/>
  <c r="BAA29" i="30"/>
  <c r="BAB29" i="30"/>
  <c r="BAA30" i="30"/>
  <c r="BAB30" i="30"/>
  <c r="BAA31" i="30"/>
  <c r="BAB31" i="30"/>
  <c r="BAA32" i="30"/>
  <c r="BAB32" i="30"/>
  <c r="BAA33" i="30"/>
  <c r="BAB33" i="30"/>
  <c r="BAA34" i="30"/>
  <c r="BAB34" i="30"/>
  <c r="BAB7" i="30"/>
  <c r="BAA7" i="30"/>
  <c r="AZS8" i="30"/>
  <c r="AZT8" i="30"/>
  <c r="AZS9" i="30"/>
  <c r="AZT9" i="30"/>
  <c r="AZS10" i="30"/>
  <c r="AZT10" i="30"/>
  <c r="AZS11" i="30"/>
  <c r="AZT11" i="30"/>
  <c r="AZS12" i="30"/>
  <c r="AZT12" i="30"/>
  <c r="AZS13" i="30"/>
  <c r="AZT13" i="30"/>
  <c r="AZS14" i="30"/>
  <c r="AZT14" i="30"/>
  <c r="AZS15" i="30"/>
  <c r="AZT15" i="30"/>
  <c r="AZS16" i="30"/>
  <c r="AZT16" i="30"/>
  <c r="AZS17" i="30"/>
  <c r="AZT17" i="30"/>
  <c r="AZS18" i="30"/>
  <c r="AZT18" i="30"/>
  <c r="AZS19" i="30"/>
  <c r="AZT19" i="30"/>
  <c r="AZS20" i="30"/>
  <c r="AZT20" i="30"/>
  <c r="AZS21" i="30"/>
  <c r="AZT21" i="30"/>
  <c r="AZS22" i="30"/>
  <c r="AZT22" i="30"/>
  <c r="AZS23" i="30"/>
  <c r="AZT23" i="30"/>
  <c r="AZS24" i="30"/>
  <c r="AZT24" i="30"/>
  <c r="AZS25" i="30"/>
  <c r="AZT25" i="30"/>
  <c r="AZS26" i="30"/>
  <c r="AZT26" i="30"/>
  <c r="AZS27" i="30"/>
  <c r="AZT27" i="30"/>
  <c r="AZS28" i="30"/>
  <c r="AZT28" i="30"/>
  <c r="AZS29" i="30"/>
  <c r="AZT29" i="30"/>
  <c r="AZS30" i="30"/>
  <c r="AZT30" i="30"/>
  <c r="AZS31" i="30"/>
  <c r="AZT31" i="30"/>
  <c r="AZS32" i="30"/>
  <c r="AZT32" i="30"/>
  <c r="AZS33" i="30"/>
  <c r="AZT33" i="30"/>
  <c r="AZS34" i="30"/>
  <c r="AZT34" i="30"/>
  <c r="AZO8" i="30"/>
  <c r="AZP8" i="30"/>
  <c r="AZO9" i="30"/>
  <c r="AZP9" i="30"/>
  <c r="AZO10" i="30"/>
  <c r="AZP10" i="30"/>
  <c r="AZO11" i="30"/>
  <c r="AZP11" i="30"/>
  <c r="AZO12" i="30"/>
  <c r="AZP12" i="30"/>
  <c r="AZO13" i="30"/>
  <c r="AZP13" i="30"/>
  <c r="AZO14" i="30"/>
  <c r="AZP14" i="30"/>
  <c r="AZO15" i="30"/>
  <c r="AZP15" i="30"/>
  <c r="AZO16" i="30"/>
  <c r="AZP16" i="30"/>
  <c r="AZO17" i="30"/>
  <c r="AZP17" i="30"/>
  <c r="AZO18" i="30"/>
  <c r="AZP18" i="30"/>
  <c r="AZO19" i="30"/>
  <c r="AZP19" i="30"/>
  <c r="AZO20" i="30"/>
  <c r="AZP20" i="30"/>
  <c r="AZO21" i="30"/>
  <c r="AZP21" i="30"/>
  <c r="AZO22" i="30"/>
  <c r="AZP22" i="30"/>
  <c r="AZO23" i="30"/>
  <c r="AZP23" i="30"/>
  <c r="AZO24" i="30"/>
  <c r="AZP24" i="30"/>
  <c r="AZO25" i="30"/>
  <c r="AZP25" i="30"/>
  <c r="AZO26" i="30"/>
  <c r="AZP26" i="30"/>
  <c r="AZO27" i="30"/>
  <c r="AZP27" i="30"/>
  <c r="AZO28" i="30"/>
  <c r="AZP28" i="30"/>
  <c r="AZO29" i="30"/>
  <c r="AZP29" i="30"/>
  <c r="AZO30" i="30"/>
  <c r="AZP30" i="30"/>
  <c r="AZO31" i="30"/>
  <c r="AZP31" i="30"/>
  <c r="AZO32" i="30"/>
  <c r="AZP32" i="30"/>
  <c r="AZO33" i="30"/>
  <c r="AZP33" i="30"/>
  <c r="AZO34" i="30"/>
  <c r="AZP34" i="30"/>
  <c r="AZK8" i="30"/>
  <c r="AZL8" i="30"/>
  <c r="AZK9" i="30"/>
  <c r="AZL9" i="30"/>
  <c r="AZK10" i="30"/>
  <c r="AZL10" i="30"/>
  <c r="AZK11" i="30"/>
  <c r="AZL11" i="30"/>
  <c r="AZK12" i="30"/>
  <c r="AZL12" i="30"/>
  <c r="AZK13" i="30"/>
  <c r="AZL13" i="30"/>
  <c r="AZK14" i="30"/>
  <c r="AZL14" i="30"/>
  <c r="AZK15" i="30"/>
  <c r="AZL15" i="30"/>
  <c r="AZK16" i="30"/>
  <c r="AZL16" i="30"/>
  <c r="AZK17" i="30"/>
  <c r="AZL17" i="30"/>
  <c r="AZK18" i="30"/>
  <c r="AZL18" i="30"/>
  <c r="AZK19" i="30"/>
  <c r="AZL19" i="30"/>
  <c r="AZK20" i="30"/>
  <c r="AZL20" i="30"/>
  <c r="AZK21" i="30"/>
  <c r="AZL21" i="30"/>
  <c r="AZK22" i="30"/>
  <c r="AZL22" i="30"/>
  <c r="AZK23" i="30"/>
  <c r="AZL23" i="30"/>
  <c r="AZK24" i="30"/>
  <c r="AZL24" i="30"/>
  <c r="AZK25" i="30"/>
  <c r="AZL25" i="30"/>
  <c r="AZK26" i="30"/>
  <c r="AZL26" i="30"/>
  <c r="AZK27" i="30"/>
  <c r="AZL27" i="30"/>
  <c r="AZK28" i="30"/>
  <c r="AZL28" i="30"/>
  <c r="AZK29" i="30"/>
  <c r="AZL29" i="30"/>
  <c r="AZK30" i="30"/>
  <c r="AZL30" i="30"/>
  <c r="AZK31" i="30"/>
  <c r="AZL31" i="30"/>
  <c r="AZK32" i="30"/>
  <c r="AZL32" i="30"/>
  <c r="AZK33" i="30"/>
  <c r="AZL33" i="30"/>
  <c r="AZK34" i="30"/>
  <c r="AZL34" i="30"/>
  <c r="AZG8" i="30"/>
  <c r="AZH8" i="30"/>
  <c r="AZG9" i="30"/>
  <c r="AZH9" i="30"/>
  <c r="AZG10" i="30"/>
  <c r="AZH10" i="30"/>
  <c r="AZG11" i="30"/>
  <c r="AZH11" i="30"/>
  <c r="AZG12" i="30"/>
  <c r="AZH12" i="30"/>
  <c r="AZG13" i="30"/>
  <c r="AZH13" i="30"/>
  <c r="AZG14" i="30"/>
  <c r="AZH14" i="30"/>
  <c r="AZG15" i="30"/>
  <c r="AZH15" i="30"/>
  <c r="AZG16" i="30"/>
  <c r="AZH16" i="30"/>
  <c r="AZG17" i="30"/>
  <c r="AZH17" i="30"/>
  <c r="AZG18" i="30"/>
  <c r="AZH18" i="30"/>
  <c r="AZG19" i="30"/>
  <c r="AZH19" i="30"/>
  <c r="AZG20" i="30"/>
  <c r="AZH20" i="30"/>
  <c r="AZG21" i="30"/>
  <c r="AZH21" i="30"/>
  <c r="AZG22" i="30"/>
  <c r="AZH22" i="30"/>
  <c r="AZG23" i="30"/>
  <c r="AZH23" i="30"/>
  <c r="AZG24" i="30"/>
  <c r="AZH24" i="30"/>
  <c r="AZG25" i="30"/>
  <c r="AZH25" i="30"/>
  <c r="AZG26" i="30"/>
  <c r="AZH26" i="30"/>
  <c r="AZG27" i="30"/>
  <c r="AZH27" i="30"/>
  <c r="AZG28" i="30"/>
  <c r="AZH28" i="30"/>
  <c r="AZG29" i="30"/>
  <c r="AZH29" i="30"/>
  <c r="AZG30" i="30"/>
  <c r="AZH30" i="30"/>
  <c r="AZG31" i="30"/>
  <c r="AZH31" i="30"/>
  <c r="AZG32" i="30"/>
  <c r="AZH32" i="30"/>
  <c r="AZG33" i="30"/>
  <c r="AZH33" i="30"/>
  <c r="AZG34" i="30"/>
  <c r="AZH34" i="30"/>
  <c r="AZT7" i="30"/>
  <c r="AZP7" i="30"/>
  <c r="AZL7" i="30"/>
  <c r="AZH7" i="30"/>
  <c r="AZS7" i="30"/>
  <c r="AZO7" i="30"/>
  <c r="AZK7" i="30"/>
  <c r="AZG7" i="30"/>
  <c r="AZC8" i="30"/>
  <c r="AZD8" i="30"/>
  <c r="AZC9" i="30"/>
  <c r="AZD9" i="30"/>
  <c r="AZC10" i="30"/>
  <c r="AZD10" i="30"/>
  <c r="AZC11" i="30"/>
  <c r="AZD11" i="30"/>
  <c r="AZC12" i="30"/>
  <c r="AZD12" i="30"/>
  <c r="AZC13" i="30"/>
  <c r="AZD13" i="30"/>
  <c r="AZC14" i="30"/>
  <c r="AZD14" i="30"/>
  <c r="AZC15" i="30"/>
  <c r="AZD15" i="30"/>
  <c r="AZC16" i="30"/>
  <c r="AZD16" i="30"/>
  <c r="AZC17" i="30"/>
  <c r="AZD17" i="30"/>
  <c r="AZC18" i="30"/>
  <c r="AZD18" i="30"/>
  <c r="AZC19" i="30"/>
  <c r="AZD19" i="30"/>
  <c r="AZC20" i="30"/>
  <c r="AZD20" i="30"/>
  <c r="AZC21" i="30"/>
  <c r="AZD21" i="30"/>
  <c r="AZC22" i="30"/>
  <c r="AZD22" i="30"/>
  <c r="AZC23" i="30"/>
  <c r="AZD23" i="30"/>
  <c r="AZC24" i="30"/>
  <c r="AZD24" i="30"/>
  <c r="AZC25" i="30"/>
  <c r="AZD25" i="30"/>
  <c r="AZC26" i="30"/>
  <c r="AZD26" i="30"/>
  <c r="AZC27" i="30"/>
  <c r="AZD27" i="30"/>
  <c r="AZC28" i="30"/>
  <c r="AZD28" i="30"/>
  <c r="AZC29" i="30"/>
  <c r="AZD29" i="30"/>
  <c r="AZC30" i="30"/>
  <c r="AZD30" i="30"/>
  <c r="AZC31" i="30"/>
  <c r="AZD31" i="30"/>
  <c r="AZC32" i="30"/>
  <c r="AZD32" i="30"/>
  <c r="AZC33" i="30"/>
  <c r="AZD33" i="30"/>
  <c r="AZC34" i="30"/>
  <c r="AZD34" i="30"/>
  <c r="AYY8" i="30"/>
  <c r="AYZ8" i="30"/>
  <c r="AYY9" i="30"/>
  <c r="AYZ9" i="30"/>
  <c r="AYY10" i="30"/>
  <c r="AYZ10" i="30"/>
  <c r="AYY11" i="30"/>
  <c r="AYZ11" i="30"/>
  <c r="AYY12" i="30"/>
  <c r="AYZ12" i="30"/>
  <c r="AYY13" i="30"/>
  <c r="AYZ13" i="30"/>
  <c r="AYY14" i="30"/>
  <c r="AYZ14" i="30"/>
  <c r="AYY15" i="30"/>
  <c r="AYZ15" i="30"/>
  <c r="AYY16" i="30"/>
  <c r="AYZ16" i="30"/>
  <c r="AYY17" i="30"/>
  <c r="AYZ17" i="30"/>
  <c r="AYY18" i="30"/>
  <c r="AYZ18" i="30"/>
  <c r="AYY19" i="30"/>
  <c r="AYZ19" i="30"/>
  <c r="AYY20" i="30"/>
  <c r="AYZ20" i="30"/>
  <c r="AYY21" i="30"/>
  <c r="AYZ21" i="30"/>
  <c r="AYY22" i="30"/>
  <c r="AYZ22" i="30"/>
  <c r="AYY23" i="30"/>
  <c r="AYZ23" i="30"/>
  <c r="AYY24" i="30"/>
  <c r="AYZ24" i="30"/>
  <c r="AYY25" i="30"/>
  <c r="AYZ25" i="30"/>
  <c r="AYY26" i="30"/>
  <c r="AYZ26" i="30"/>
  <c r="AYY27" i="30"/>
  <c r="AYZ27" i="30"/>
  <c r="AYY28" i="30"/>
  <c r="AYZ28" i="30"/>
  <c r="AYY29" i="30"/>
  <c r="AYZ29" i="30"/>
  <c r="AYY30" i="30"/>
  <c r="AYZ30" i="30"/>
  <c r="AYY31" i="30"/>
  <c r="AYZ31" i="30"/>
  <c r="AYY32" i="30"/>
  <c r="AYZ32" i="30"/>
  <c r="AYY33" i="30"/>
  <c r="AYZ33" i="30"/>
  <c r="AYY34" i="30"/>
  <c r="AYZ34" i="30"/>
  <c r="AZD7" i="30"/>
  <c r="AYZ7" i="30"/>
  <c r="AZC7" i="30"/>
  <c r="AYY7" i="30"/>
  <c r="AYV8" i="30"/>
  <c r="AYV9" i="30"/>
  <c r="AYV10" i="30"/>
  <c r="AYV11" i="30"/>
  <c r="AYV12" i="30"/>
  <c r="AYV13" i="30"/>
  <c r="AYV14" i="30"/>
  <c r="AYV15" i="30"/>
  <c r="AYV16" i="30"/>
  <c r="AYV17" i="30"/>
  <c r="AYV18" i="30"/>
  <c r="AYV19" i="30"/>
  <c r="AYV20" i="30"/>
  <c r="AYV21" i="30"/>
  <c r="AYV22" i="30"/>
  <c r="AYV23" i="30"/>
  <c r="AYV24" i="30"/>
  <c r="AYV25" i="30"/>
  <c r="AYV26" i="30"/>
  <c r="AYV27" i="30"/>
  <c r="AYV28" i="30"/>
  <c r="AYV29" i="30"/>
  <c r="AYV30" i="30"/>
  <c r="AYV31" i="30"/>
  <c r="AYV32" i="30"/>
  <c r="AYV33" i="30"/>
  <c r="AYV34" i="30"/>
  <c r="AYV35" i="30"/>
  <c r="AYU8" i="30"/>
  <c r="AYU9" i="30"/>
  <c r="AYU10" i="30"/>
  <c r="AYU11" i="30"/>
  <c r="AYU12" i="30"/>
  <c r="AYU13" i="30"/>
  <c r="AYU14" i="30"/>
  <c r="AYU15" i="30"/>
  <c r="AYU16" i="30"/>
  <c r="AYU17" i="30"/>
  <c r="AYU18" i="30"/>
  <c r="AYU19" i="30"/>
  <c r="AYU20" i="30"/>
  <c r="AYU21" i="30"/>
  <c r="AYU22" i="30"/>
  <c r="AYU23" i="30"/>
  <c r="AYU24" i="30"/>
  <c r="AYU25" i="30"/>
  <c r="AYU26" i="30"/>
  <c r="AYU27" i="30"/>
  <c r="AYU28" i="30"/>
  <c r="AYU29" i="30"/>
  <c r="AYU30" i="30"/>
  <c r="AYU31" i="30"/>
  <c r="AYU32" i="30"/>
  <c r="AYU33" i="30"/>
  <c r="AYU34" i="30"/>
  <c r="AYV7" i="30"/>
  <c r="AYU7" i="30"/>
  <c r="AYM8" i="30"/>
  <c r="AYN8" i="30"/>
  <c r="AYM9" i="30"/>
  <c r="AYN9" i="30"/>
  <c r="AYM10" i="30"/>
  <c r="AYN10" i="30"/>
  <c r="AYM11" i="30"/>
  <c r="AYN11" i="30"/>
  <c r="AYM12" i="30"/>
  <c r="AYN12" i="30"/>
  <c r="AYM13" i="30"/>
  <c r="AYN13" i="30"/>
  <c r="AYM14" i="30"/>
  <c r="AYN14" i="30"/>
  <c r="AYM15" i="30"/>
  <c r="AYN15" i="30"/>
  <c r="AYM16" i="30"/>
  <c r="AYN16" i="30"/>
  <c r="AYM17" i="30"/>
  <c r="AYN17" i="30"/>
  <c r="AYM18" i="30"/>
  <c r="AYN18" i="30"/>
  <c r="AYM19" i="30"/>
  <c r="AYN19" i="30"/>
  <c r="AYM20" i="30"/>
  <c r="AYN20" i="30"/>
  <c r="AYM21" i="30"/>
  <c r="AYN21" i="30"/>
  <c r="AYM22" i="30"/>
  <c r="AYN22" i="30"/>
  <c r="AYM23" i="30"/>
  <c r="AYN23" i="30"/>
  <c r="AYM24" i="30"/>
  <c r="AYN24" i="30"/>
  <c r="AYM25" i="30"/>
  <c r="AYN25" i="30"/>
  <c r="AYM26" i="30"/>
  <c r="AYN26" i="30"/>
  <c r="AYM27" i="30"/>
  <c r="AYN27" i="30"/>
  <c r="AYM28" i="30"/>
  <c r="AYN28" i="30"/>
  <c r="AYM29" i="30"/>
  <c r="AYN29" i="30"/>
  <c r="AYM30" i="30"/>
  <c r="AYN30" i="30"/>
  <c r="AYM31" i="30"/>
  <c r="AYN31" i="30"/>
  <c r="AYM32" i="30"/>
  <c r="AYN32" i="30"/>
  <c r="AYM33" i="30"/>
  <c r="AYN33" i="30"/>
  <c r="AYM34" i="30"/>
  <c r="AYN34" i="30"/>
  <c r="AYN7" i="30"/>
  <c r="AYM7" i="30"/>
  <c r="AYI8" i="30"/>
  <c r="AYJ8" i="30"/>
  <c r="AYI9" i="30"/>
  <c r="AYJ9" i="30"/>
  <c r="AYI10" i="30"/>
  <c r="AYJ10" i="30"/>
  <c r="AYI11" i="30"/>
  <c r="AYJ11" i="30"/>
  <c r="AYI12" i="30"/>
  <c r="AYJ12" i="30"/>
  <c r="AYI13" i="30"/>
  <c r="AYJ13" i="30"/>
  <c r="AYI14" i="30"/>
  <c r="AYJ14" i="30"/>
  <c r="AYI15" i="30"/>
  <c r="AYJ15" i="30"/>
  <c r="AYI16" i="30"/>
  <c r="AYJ16" i="30"/>
  <c r="AYI17" i="30"/>
  <c r="AYJ17" i="30"/>
  <c r="AYI18" i="30"/>
  <c r="AYJ18" i="30"/>
  <c r="AYI19" i="30"/>
  <c r="AYJ19" i="30"/>
  <c r="AYI20" i="30"/>
  <c r="AYJ20" i="30"/>
  <c r="AYI21" i="30"/>
  <c r="AYJ21" i="30"/>
  <c r="AYI22" i="30"/>
  <c r="AYJ22" i="30"/>
  <c r="AYI23" i="30"/>
  <c r="AYJ23" i="30"/>
  <c r="AYI24" i="30"/>
  <c r="AYJ24" i="30"/>
  <c r="AYI25" i="30"/>
  <c r="AYJ25" i="30"/>
  <c r="AYI26" i="30"/>
  <c r="AYJ26" i="30"/>
  <c r="AYI27" i="30"/>
  <c r="AYJ27" i="30"/>
  <c r="AYI28" i="30"/>
  <c r="AYJ28" i="30"/>
  <c r="AYI29" i="30"/>
  <c r="AYJ29" i="30"/>
  <c r="AYI30" i="30"/>
  <c r="AYJ30" i="30"/>
  <c r="AYI31" i="30"/>
  <c r="AYJ31" i="30"/>
  <c r="AYI32" i="30"/>
  <c r="AYJ32" i="30"/>
  <c r="AYI33" i="30"/>
  <c r="AYJ33" i="30"/>
  <c r="AYI34" i="30"/>
  <c r="AYJ34" i="30"/>
  <c r="AYJ7" i="30"/>
  <c r="AYI7" i="30"/>
  <c r="AYE8" i="30"/>
  <c r="AYF8" i="30"/>
  <c r="AYE9" i="30"/>
  <c r="AYF9" i="30"/>
  <c r="AYE10" i="30"/>
  <c r="AYF10" i="30"/>
  <c r="AYE11" i="30"/>
  <c r="AYF11" i="30"/>
  <c r="AYE12" i="30"/>
  <c r="AYF12" i="30"/>
  <c r="AYE13" i="30"/>
  <c r="AYF13" i="30"/>
  <c r="AYE14" i="30"/>
  <c r="AYF14" i="30"/>
  <c r="AYE15" i="30"/>
  <c r="AYF15" i="30"/>
  <c r="AYE16" i="30"/>
  <c r="AYF16" i="30"/>
  <c r="AYE17" i="30"/>
  <c r="AYF17" i="30"/>
  <c r="AYE18" i="30"/>
  <c r="AYF18" i="30"/>
  <c r="AYE19" i="30"/>
  <c r="AYF19" i="30"/>
  <c r="AYE20" i="30"/>
  <c r="AYF20" i="30"/>
  <c r="AYE21" i="30"/>
  <c r="AYF21" i="30"/>
  <c r="AYE22" i="30"/>
  <c r="AYF22" i="30"/>
  <c r="AYE23" i="30"/>
  <c r="AYF23" i="30"/>
  <c r="AYE24" i="30"/>
  <c r="AYF24" i="30"/>
  <c r="AYE25" i="30"/>
  <c r="AYF25" i="30"/>
  <c r="AYE26" i="30"/>
  <c r="AYF26" i="30"/>
  <c r="AYE27" i="30"/>
  <c r="AYF27" i="30"/>
  <c r="AYE28" i="30"/>
  <c r="AYF28" i="30"/>
  <c r="AYE29" i="30"/>
  <c r="AYF29" i="30"/>
  <c r="AYE30" i="30"/>
  <c r="AYF30" i="30"/>
  <c r="AYE31" i="30"/>
  <c r="AYF31" i="30"/>
  <c r="AYE32" i="30"/>
  <c r="AYF32" i="30"/>
  <c r="AYE33" i="30"/>
  <c r="AYF33" i="30"/>
  <c r="AYE34" i="30"/>
  <c r="AYF34" i="30"/>
  <c r="AYF7" i="30"/>
  <c r="AYE7" i="30"/>
  <c r="AYA8" i="30"/>
  <c r="AYB8" i="30"/>
  <c r="AYA9" i="30"/>
  <c r="AYB9" i="30"/>
  <c r="AYA10" i="30"/>
  <c r="AYB10" i="30"/>
  <c r="AYA11" i="30"/>
  <c r="AYB11" i="30"/>
  <c r="AYA12" i="30"/>
  <c r="AYB12" i="30"/>
  <c r="AYA13" i="30"/>
  <c r="AYB13" i="30"/>
  <c r="AYA14" i="30"/>
  <c r="AYB14" i="30"/>
  <c r="AYA15" i="30"/>
  <c r="AYB15" i="30"/>
  <c r="AYA16" i="30"/>
  <c r="AYB16" i="30"/>
  <c r="AYA17" i="30"/>
  <c r="AYB17" i="30"/>
  <c r="AYA18" i="30"/>
  <c r="AYB18" i="30"/>
  <c r="AYA19" i="30"/>
  <c r="AYB19" i="30"/>
  <c r="AYA20" i="30"/>
  <c r="AYB20" i="30"/>
  <c r="AYA21" i="30"/>
  <c r="AYB21" i="30"/>
  <c r="AYA22" i="30"/>
  <c r="AYB22" i="30"/>
  <c r="AYA23" i="30"/>
  <c r="AYB23" i="30"/>
  <c r="AYA24" i="30"/>
  <c r="AYB24" i="30"/>
  <c r="AYA25" i="30"/>
  <c r="AYB25" i="30"/>
  <c r="AYA26" i="30"/>
  <c r="AYB26" i="30"/>
  <c r="AYA27" i="30"/>
  <c r="AYB27" i="30"/>
  <c r="AYA28" i="30"/>
  <c r="AYB28" i="30"/>
  <c r="AYA29" i="30"/>
  <c r="AYB29" i="30"/>
  <c r="AYA30" i="30"/>
  <c r="AYB30" i="30"/>
  <c r="AYA31" i="30"/>
  <c r="AYB31" i="30"/>
  <c r="AYA32" i="30"/>
  <c r="AYB32" i="30"/>
  <c r="AYA33" i="30"/>
  <c r="AYB33" i="30"/>
  <c r="AYA34" i="30"/>
  <c r="AYB34" i="30"/>
  <c r="AYB7" i="30"/>
  <c r="AYA7" i="30"/>
  <c r="AXW8" i="30"/>
  <c r="AXX8" i="30"/>
  <c r="AXW9" i="30"/>
  <c r="AXX9" i="30"/>
  <c r="AXW10" i="30"/>
  <c r="AXX10" i="30"/>
  <c r="AXW11" i="30"/>
  <c r="AXX11" i="30"/>
  <c r="AXW12" i="30"/>
  <c r="AXX12" i="30"/>
  <c r="AXW13" i="30"/>
  <c r="AXX13" i="30"/>
  <c r="AXW14" i="30"/>
  <c r="AXX14" i="30"/>
  <c r="AXW15" i="30"/>
  <c r="AXX15" i="30"/>
  <c r="AXW16" i="30"/>
  <c r="AXX16" i="30"/>
  <c r="AXW17" i="30"/>
  <c r="AXX17" i="30"/>
  <c r="AXW18" i="30"/>
  <c r="AXX18" i="30"/>
  <c r="AXW19" i="30"/>
  <c r="AXX19" i="30"/>
  <c r="AXW20" i="30"/>
  <c r="AXX20" i="30"/>
  <c r="AXW21" i="30"/>
  <c r="AXX21" i="30"/>
  <c r="AXW22" i="30"/>
  <c r="AXX22" i="30"/>
  <c r="AXW23" i="30"/>
  <c r="AXX23" i="30"/>
  <c r="AXW24" i="30"/>
  <c r="AXX24" i="30"/>
  <c r="AXW25" i="30"/>
  <c r="AXX25" i="30"/>
  <c r="AXW26" i="30"/>
  <c r="AXX26" i="30"/>
  <c r="AXW27" i="30"/>
  <c r="AXX27" i="30"/>
  <c r="AXW28" i="30"/>
  <c r="AXX28" i="30"/>
  <c r="AXW29" i="30"/>
  <c r="AXX29" i="30"/>
  <c r="AXW30" i="30"/>
  <c r="AXX30" i="30"/>
  <c r="AXW31" i="30"/>
  <c r="AXX31" i="30"/>
  <c r="AXW32" i="30"/>
  <c r="AXX32" i="30"/>
  <c r="AXW33" i="30"/>
  <c r="AXX33" i="30"/>
  <c r="AXW34" i="30"/>
  <c r="AXX34" i="30"/>
  <c r="AXX7" i="30"/>
  <c r="AXW7" i="30"/>
  <c r="AXS8" i="30"/>
  <c r="AXT8" i="30"/>
  <c r="AXS9" i="30"/>
  <c r="AXT9" i="30"/>
  <c r="AXS10" i="30"/>
  <c r="AXT10" i="30"/>
  <c r="AXS11" i="30"/>
  <c r="AXT11" i="30"/>
  <c r="AXS12" i="30"/>
  <c r="AXT12" i="30"/>
  <c r="AXS13" i="30"/>
  <c r="AXT13" i="30"/>
  <c r="AXS14" i="30"/>
  <c r="AXT14" i="30"/>
  <c r="AXS15" i="30"/>
  <c r="AXT15" i="30"/>
  <c r="AXS16" i="30"/>
  <c r="AXT16" i="30"/>
  <c r="AXS17" i="30"/>
  <c r="AXT17" i="30"/>
  <c r="AXS18" i="30"/>
  <c r="AXT18" i="30"/>
  <c r="AXS19" i="30"/>
  <c r="AXT19" i="30"/>
  <c r="AXS20" i="30"/>
  <c r="AXT20" i="30"/>
  <c r="AXS21" i="30"/>
  <c r="AXT21" i="30"/>
  <c r="AXS22" i="30"/>
  <c r="AXT22" i="30"/>
  <c r="AXS23" i="30"/>
  <c r="AXT23" i="30"/>
  <c r="AXS24" i="30"/>
  <c r="AXT24" i="30"/>
  <c r="AXS25" i="30"/>
  <c r="AXT25" i="30"/>
  <c r="AXS26" i="30"/>
  <c r="AXT26" i="30"/>
  <c r="AXS27" i="30"/>
  <c r="AXT27" i="30"/>
  <c r="AXS28" i="30"/>
  <c r="AXT28" i="30"/>
  <c r="AXS29" i="30"/>
  <c r="AXT29" i="30"/>
  <c r="AXS30" i="30"/>
  <c r="AXT30" i="30"/>
  <c r="AXS31" i="30"/>
  <c r="AXT31" i="30"/>
  <c r="AXS32" i="30"/>
  <c r="AXT32" i="30"/>
  <c r="AXS33" i="30"/>
  <c r="AXT33" i="30"/>
  <c r="AXS34" i="30"/>
  <c r="AXT34" i="30"/>
  <c r="AXT7" i="30"/>
  <c r="AXS7" i="30"/>
  <c r="AXO8" i="30"/>
  <c r="AXP8" i="30"/>
  <c r="AXO9" i="30"/>
  <c r="AXP9" i="30"/>
  <c r="AXO10" i="30"/>
  <c r="AXP10" i="30"/>
  <c r="AXO11" i="30"/>
  <c r="AXP11" i="30"/>
  <c r="AXO12" i="30"/>
  <c r="AXP12" i="30"/>
  <c r="AXO13" i="30"/>
  <c r="AXP13" i="30"/>
  <c r="AXO14" i="30"/>
  <c r="AXP14" i="30"/>
  <c r="AXO15" i="30"/>
  <c r="AXP15" i="30"/>
  <c r="AXO16" i="30"/>
  <c r="AXP16" i="30"/>
  <c r="AXO17" i="30"/>
  <c r="AXP17" i="30"/>
  <c r="AXO18" i="30"/>
  <c r="AXP18" i="30"/>
  <c r="AXO19" i="30"/>
  <c r="AXP19" i="30"/>
  <c r="AXO20" i="30"/>
  <c r="AXP20" i="30"/>
  <c r="AXO21" i="30"/>
  <c r="AXP21" i="30"/>
  <c r="AXO22" i="30"/>
  <c r="AXP22" i="30"/>
  <c r="AXO23" i="30"/>
  <c r="AXP23" i="30"/>
  <c r="AXO24" i="30"/>
  <c r="AXP24" i="30"/>
  <c r="AXO25" i="30"/>
  <c r="AXP25" i="30"/>
  <c r="AXO26" i="30"/>
  <c r="AXP26" i="30"/>
  <c r="AXO27" i="30"/>
  <c r="AXP27" i="30"/>
  <c r="AXO28" i="30"/>
  <c r="AXP28" i="30"/>
  <c r="AXO29" i="30"/>
  <c r="AXP29" i="30"/>
  <c r="AXO30" i="30"/>
  <c r="AXP30" i="30"/>
  <c r="AXO31" i="30"/>
  <c r="AXP31" i="30"/>
  <c r="AXO32" i="30"/>
  <c r="AXP32" i="30"/>
  <c r="AXO33" i="30"/>
  <c r="AXP33" i="30"/>
  <c r="AXO34" i="30"/>
  <c r="AXP34" i="30"/>
  <c r="AXP7" i="30"/>
  <c r="AXO7" i="30"/>
  <c r="AXG8" i="30"/>
  <c r="AXH8" i="30"/>
  <c r="AXG9" i="30"/>
  <c r="AXH9" i="30"/>
  <c r="AXG10" i="30"/>
  <c r="AXH10" i="30"/>
  <c r="AXG11" i="30"/>
  <c r="AXH11" i="30"/>
  <c r="AXG12" i="30"/>
  <c r="AXH12" i="30"/>
  <c r="AXG13" i="30"/>
  <c r="AXH13" i="30"/>
  <c r="AXG14" i="30"/>
  <c r="AXH14" i="30"/>
  <c r="AXG15" i="30"/>
  <c r="AXH15" i="30"/>
  <c r="AXG16" i="30"/>
  <c r="AXH16" i="30"/>
  <c r="AXG17" i="30"/>
  <c r="AXH17" i="30"/>
  <c r="AXG18" i="30"/>
  <c r="AXH18" i="30"/>
  <c r="AXG19" i="30"/>
  <c r="AXH19" i="30"/>
  <c r="AXG20" i="30"/>
  <c r="AXH20" i="30"/>
  <c r="AXG21" i="30"/>
  <c r="AXH21" i="30"/>
  <c r="AXG22" i="30"/>
  <c r="AXH22" i="30"/>
  <c r="AXG23" i="30"/>
  <c r="AXH23" i="30"/>
  <c r="AXG24" i="30"/>
  <c r="AXH24" i="30"/>
  <c r="AXG25" i="30"/>
  <c r="AXH25" i="30"/>
  <c r="AXG26" i="30"/>
  <c r="AXH26" i="30"/>
  <c r="AXG27" i="30"/>
  <c r="AXH27" i="30"/>
  <c r="AXG28" i="30"/>
  <c r="AXH28" i="30"/>
  <c r="AXG29" i="30"/>
  <c r="AXH29" i="30"/>
  <c r="AXG30" i="30"/>
  <c r="AXH30" i="30"/>
  <c r="AXG31" i="30"/>
  <c r="AXH31" i="30"/>
  <c r="AXG32" i="30"/>
  <c r="AXH32" i="30"/>
  <c r="AXG33" i="30"/>
  <c r="AXH33" i="30"/>
  <c r="AXG34" i="30"/>
  <c r="AXH34" i="30"/>
  <c r="AXC8" i="30"/>
  <c r="AXD8" i="30"/>
  <c r="AXC9" i="30"/>
  <c r="AXD9" i="30"/>
  <c r="AXC10" i="30"/>
  <c r="AXD10" i="30"/>
  <c r="AXC11" i="30"/>
  <c r="AXD11" i="30"/>
  <c r="AXC12" i="30"/>
  <c r="AXD12" i="30"/>
  <c r="AXC13" i="30"/>
  <c r="AXD13" i="30"/>
  <c r="AXC14" i="30"/>
  <c r="AXD14" i="30"/>
  <c r="AXC15" i="30"/>
  <c r="AXD15" i="30"/>
  <c r="AXC16" i="30"/>
  <c r="AXD16" i="30"/>
  <c r="AXC17" i="30"/>
  <c r="AXD17" i="30"/>
  <c r="AXC18" i="30"/>
  <c r="AXD18" i="30"/>
  <c r="AXC19" i="30"/>
  <c r="AXD19" i="30"/>
  <c r="AXC20" i="30"/>
  <c r="AXD20" i="30"/>
  <c r="AXC21" i="30"/>
  <c r="AXD21" i="30"/>
  <c r="AXC22" i="30"/>
  <c r="AXD22" i="30"/>
  <c r="AXC23" i="30"/>
  <c r="AXD23" i="30"/>
  <c r="AXC24" i="30"/>
  <c r="AXD24" i="30"/>
  <c r="AXC25" i="30"/>
  <c r="AXD25" i="30"/>
  <c r="AXC26" i="30"/>
  <c r="AXD26" i="30"/>
  <c r="AXC27" i="30"/>
  <c r="AXD27" i="30"/>
  <c r="AXC28" i="30"/>
  <c r="AXD28" i="30"/>
  <c r="AXC29" i="30"/>
  <c r="AXD29" i="30"/>
  <c r="AXC30" i="30"/>
  <c r="AXD30" i="30"/>
  <c r="AXC31" i="30"/>
  <c r="AXD31" i="30"/>
  <c r="AXC32" i="30"/>
  <c r="AXD32" i="30"/>
  <c r="AXC33" i="30"/>
  <c r="AXD33" i="30"/>
  <c r="AXC34" i="30"/>
  <c r="AXD34" i="30"/>
  <c r="AWY8" i="30"/>
  <c r="AWZ8" i="30"/>
  <c r="AWY9" i="30"/>
  <c r="AWZ9" i="30"/>
  <c r="AWY10" i="30"/>
  <c r="AWZ10" i="30"/>
  <c r="AWY11" i="30"/>
  <c r="AWZ11" i="30"/>
  <c r="AWY12" i="30"/>
  <c r="AWZ12" i="30"/>
  <c r="AWY13" i="30"/>
  <c r="AWZ13" i="30"/>
  <c r="AWY14" i="30"/>
  <c r="AWZ14" i="30"/>
  <c r="AWY15" i="30"/>
  <c r="AWZ15" i="30"/>
  <c r="AWY16" i="30"/>
  <c r="AWZ16" i="30"/>
  <c r="AWY17" i="30"/>
  <c r="AWZ17" i="30"/>
  <c r="AWY18" i="30"/>
  <c r="AWZ18" i="30"/>
  <c r="AWY19" i="30"/>
  <c r="AWZ19" i="30"/>
  <c r="AWY20" i="30"/>
  <c r="AWZ20" i="30"/>
  <c r="AWY21" i="30"/>
  <c r="AWZ21" i="30"/>
  <c r="AWY22" i="30"/>
  <c r="AWZ22" i="30"/>
  <c r="AWY23" i="30"/>
  <c r="AWZ23" i="30"/>
  <c r="AWY24" i="30"/>
  <c r="AWZ24" i="30"/>
  <c r="AWY25" i="30"/>
  <c r="AWZ25" i="30"/>
  <c r="AWY26" i="30"/>
  <c r="AWZ26" i="30"/>
  <c r="AWY27" i="30"/>
  <c r="AWZ27" i="30"/>
  <c r="AWY28" i="30"/>
  <c r="AWZ28" i="30"/>
  <c r="AWY29" i="30"/>
  <c r="AWZ29" i="30"/>
  <c r="AWY30" i="30"/>
  <c r="AWZ30" i="30"/>
  <c r="AWY31" i="30"/>
  <c r="AWZ31" i="30"/>
  <c r="AWY32" i="30"/>
  <c r="AWZ32" i="30"/>
  <c r="AWY33" i="30"/>
  <c r="AWZ33" i="30"/>
  <c r="AWY34" i="30"/>
  <c r="AWZ34" i="30"/>
  <c r="AWU8" i="30"/>
  <c r="AWV8" i="30"/>
  <c r="AWU9" i="30"/>
  <c r="AWV9" i="30"/>
  <c r="AWU10" i="30"/>
  <c r="AWV10" i="30"/>
  <c r="AWU11" i="30"/>
  <c r="AWV11" i="30"/>
  <c r="AWU12" i="30"/>
  <c r="AWV12" i="30"/>
  <c r="AWU13" i="30"/>
  <c r="AWV13" i="30"/>
  <c r="AWU14" i="30"/>
  <c r="AWV14" i="30"/>
  <c r="AWU15" i="30"/>
  <c r="AWV15" i="30"/>
  <c r="AWU16" i="30"/>
  <c r="AWV16" i="30"/>
  <c r="AWU17" i="30"/>
  <c r="AWV17" i="30"/>
  <c r="AWU18" i="30"/>
  <c r="AWV18" i="30"/>
  <c r="AWU19" i="30"/>
  <c r="AWV19" i="30"/>
  <c r="AWU20" i="30"/>
  <c r="AWV20" i="30"/>
  <c r="AWU21" i="30"/>
  <c r="AWV21" i="30"/>
  <c r="AWU22" i="30"/>
  <c r="AWV22" i="30"/>
  <c r="AWU23" i="30"/>
  <c r="AWV23" i="30"/>
  <c r="AWU24" i="30"/>
  <c r="AWV24" i="30"/>
  <c r="AWU25" i="30"/>
  <c r="AWV25" i="30"/>
  <c r="AWU26" i="30"/>
  <c r="AWV26" i="30"/>
  <c r="AWU27" i="30"/>
  <c r="AWV27" i="30"/>
  <c r="AWU28" i="30"/>
  <c r="AWV28" i="30"/>
  <c r="AWU29" i="30"/>
  <c r="AWV29" i="30"/>
  <c r="AWU30" i="30"/>
  <c r="AWV30" i="30"/>
  <c r="AWU31" i="30"/>
  <c r="AWV31" i="30"/>
  <c r="AWU32" i="30"/>
  <c r="AWV32" i="30"/>
  <c r="AWU33" i="30"/>
  <c r="AWV33" i="30"/>
  <c r="AWU34" i="30"/>
  <c r="AWV34" i="30"/>
  <c r="AXH7" i="30"/>
  <c r="AXD7" i="30"/>
  <c r="AWZ7" i="30"/>
  <c r="AWV7" i="30"/>
  <c r="AXG7" i="30"/>
  <c r="AXC7" i="30"/>
  <c r="AWY7" i="30"/>
  <c r="AWU7" i="30"/>
  <c r="AWQ8" i="30"/>
  <c r="AWR8" i="30"/>
  <c r="AWQ9" i="30"/>
  <c r="AWR9" i="30"/>
  <c r="AWQ10" i="30"/>
  <c r="AWR10" i="30"/>
  <c r="AWQ11" i="30"/>
  <c r="AWR11" i="30"/>
  <c r="AWQ12" i="30"/>
  <c r="AWR12" i="30"/>
  <c r="AWQ13" i="30"/>
  <c r="AWR13" i="30"/>
  <c r="AWQ14" i="30"/>
  <c r="AWR14" i="30"/>
  <c r="AWQ15" i="30"/>
  <c r="AWR15" i="30"/>
  <c r="AWQ16" i="30"/>
  <c r="AWR16" i="30"/>
  <c r="AWQ17" i="30"/>
  <c r="AWR17" i="30"/>
  <c r="AWQ18" i="30"/>
  <c r="AWR18" i="30"/>
  <c r="AWQ19" i="30"/>
  <c r="AWR19" i="30"/>
  <c r="AWQ20" i="30"/>
  <c r="AWR20" i="30"/>
  <c r="AWQ21" i="30"/>
  <c r="AWR21" i="30"/>
  <c r="AWQ22" i="30"/>
  <c r="AWR22" i="30"/>
  <c r="AWQ23" i="30"/>
  <c r="AWR23" i="30"/>
  <c r="AWQ24" i="30"/>
  <c r="AWR24" i="30"/>
  <c r="AWQ25" i="30"/>
  <c r="AWR25" i="30"/>
  <c r="AWQ26" i="30"/>
  <c r="AWR26" i="30"/>
  <c r="AWQ27" i="30"/>
  <c r="AWR27" i="30"/>
  <c r="AWQ28" i="30"/>
  <c r="AWR28" i="30"/>
  <c r="AWQ29" i="30"/>
  <c r="AWR29" i="30"/>
  <c r="AWQ30" i="30"/>
  <c r="AWR30" i="30"/>
  <c r="AWQ31" i="30"/>
  <c r="AWR31" i="30"/>
  <c r="AWQ32" i="30"/>
  <c r="AWR32" i="30"/>
  <c r="AWQ33" i="30"/>
  <c r="AWR33" i="30"/>
  <c r="AWQ34" i="30"/>
  <c r="AWR34" i="30"/>
  <c r="AWM8" i="30"/>
  <c r="AWN8" i="30"/>
  <c r="AWM9" i="30"/>
  <c r="AWN9" i="30"/>
  <c r="AWM10" i="30"/>
  <c r="AWN10" i="30"/>
  <c r="AWM11" i="30"/>
  <c r="AWN11" i="30"/>
  <c r="AWM12" i="30"/>
  <c r="AWN12" i="30"/>
  <c r="AWM13" i="30"/>
  <c r="AWN13" i="30"/>
  <c r="AWM14" i="30"/>
  <c r="AWN14" i="30"/>
  <c r="AWM15" i="30"/>
  <c r="AWN15" i="30"/>
  <c r="AWM16" i="30"/>
  <c r="AWN16" i="30"/>
  <c r="AWM17" i="30"/>
  <c r="AWN17" i="30"/>
  <c r="AWM18" i="30"/>
  <c r="AWN18" i="30"/>
  <c r="AWM19" i="30"/>
  <c r="AWN19" i="30"/>
  <c r="AWM20" i="30"/>
  <c r="AWN20" i="30"/>
  <c r="AWM21" i="30"/>
  <c r="AWN21" i="30"/>
  <c r="AWM22" i="30"/>
  <c r="AWN22" i="30"/>
  <c r="AWM23" i="30"/>
  <c r="AWN23" i="30"/>
  <c r="AWM24" i="30"/>
  <c r="AWN24" i="30"/>
  <c r="AWM25" i="30"/>
  <c r="AWN25" i="30"/>
  <c r="AWM26" i="30"/>
  <c r="AWN26" i="30"/>
  <c r="AWM27" i="30"/>
  <c r="AWN27" i="30"/>
  <c r="AWM28" i="30"/>
  <c r="AWN28" i="30"/>
  <c r="AWM29" i="30"/>
  <c r="AWN29" i="30"/>
  <c r="AWM30" i="30"/>
  <c r="AWN30" i="30"/>
  <c r="AWM31" i="30"/>
  <c r="AWN31" i="30"/>
  <c r="AWM32" i="30"/>
  <c r="AWN32" i="30"/>
  <c r="AWM33" i="30"/>
  <c r="AWN33" i="30"/>
  <c r="AWM34" i="30"/>
  <c r="AWN34" i="30"/>
  <c r="AWR7" i="30"/>
  <c r="AWN7" i="30"/>
  <c r="AWQ7" i="30"/>
  <c r="AWM7" i="30"/>
  <c r="AWI8" i="30"/>
  <c r="AWJ8" i="30"/>
  <c r="AWI9" i="30"/>
  <c r="AWJ9" i="30"/>
  <c r="AWI10" i="30"/>
  <c r="AWJ10" i="30"/>
  <c r="AWI11" i="30"/>
  <c r="AWJ11" i="30"/>
  <c r="AWI12" i="30"/>
  <c r="AWJ12" i="30"/>
  <c r="AWI13" i="30"/>
  <c r="AWJ13" i="30"/>
  <c r="AWI14" i="30"/>
  <c r="AWJ14" i="30"/>
  <c r="AWI15" i="30"/>
  <c r="AWJ15" i="30"/>
  <c r="AWI16" i="30"/>
  <c r="AWJ16" i="30"/>
  <c r="AWI17" i="30"/>
  <c r="AWJ17" i="30"/>
  <c r="AWI18" i="30"/>
  <c r="AWJ18" i="30"/>
  <c r="AWI19" i="30"/>
  <c r="AWJ19" i="30"/>
  <c r="AWI20" i="30"/>
  <c r="AWJ20" i="30"/>
  <c r="AWI21" i="30"/>
  <c r="AWJ21" i="30"/>
  <c r="AWI22" i="30"/>
  <c r="AWJ22" i="30"/>
  <c r="AWI23" i="30"/>
  <c r="AWJ23" i="30"/>
  <c r="AWI24" i="30"/>
  <c r="AWJ24" i="30"/>
  <c r="AWI25" i="30"/>
  <c r="AWJ25" i="30"/>
  <c r="AWI26" i="30"/>
  <c r="AWJ26" i="30"/>
  <c r="AWI27" i="30"/>
  <c r="AWJ27" i="30"/>
  <c r="AWI28" i="30"/>
  <c r="AWJ28" i="30"/>
  <c r="AWI29" i="30"/>
  <c r="AWJ29" i="30"/>
  <c r="AWI30" i="30"/>
  <c r="AWJ30" i="30"/>
  <c r="AWI31" i="30"/>
  <c r="AWJ31" i="30"/>
  <c r="AWI32" i="30"/>
  <c r="AWJ32" i="30"/>
  <c r="AWI33" i="30"/>
  <c r="AWJ33" i="30"/>
  <c r="AWI34" i="30"/>
  <c r="AWJ34" i="30"/>
  <c r="AWJ7" i="30"/>
  <c r="AWI7" i="30"/>
  <c r="AWB8" i="30"/>
  <c r="AWB9" i="30"/>
  <c r="AWB10" i="30"/>
  <c r="AWB11" i="30"/>
  <c r="AWB12" i="30"/>
  <c r="AWB13" i="30"/>
  <c r="AWB14" i="30"/>
  <c r="AWB15" i="30"/>
  <c r="AWB16" i="30"/>
  <c r="AWB17" i="30"/>
  <c r="AWB18" i="30"/>
  <c r="AWB19" i="30"/>
  <c r="AWB20" i="30"/>
  <c r="AWB21" i="30"/>
  <c r="AWB22" i="30"/>
  <c r="AWB23" i="30"/>
  <c r="AWB24" i="30"/>
  <c r="AWB25" i="30"/>
  <c r="AWB26" i="30"/>
  <c r="AWB27" i="30"/>
  <c r="AWB28" i="30"/>
  <c r="AWB29" i="30"/>
  <c r="AWB30" i="30"/>
  <c r="AWB31" i="30"/>
  <c r="AWB32" i="30"/>
  <c r="AWB33" i="30"/>
  <c r="AWB34" i="30"/>
  <c r="AWB35" i="30"/>
  <c r="AVX8" i="30"/>
  <c r="AVX9" i="30"/>
  <c r="AVX10" i="30"/>
  <c r="AVX11" i="30"/>
  <c r="AVX12" i="30"/>
  <c r="AVX13" i="30"/>
  <c r="AVX14" i="30"/>
  <c r="AVX15" i="30"/>
  <c r="AVX16" i="30"/>
  <c r="AVX17" i="30"/>
  <c r="AVX18" i="30"/>
  <c r="AVX19" i="30"/>
  <c r="AVX20" i="30"/>
  <c r="AVX21" i="30"/>
  <c r="AVX22" i="30"/>
  <c r="AVX23" i="30"/>
  <c r="AVX24" i="30"/>
  <c r="AVX25" i="30"/>
  <c r="AVX26" i="30"/>
  <c r="AVX27" i="30"/>
  <c r="AVX28" i="30"/>
  <c r="AVX29" i="30"/>
  <c r="AVX30" i="30"/>
  <c r="AVX31" i="30"/>
  <c r="AVX32" i="30"/>
  <c r="AVX33" i="30"/>
  <c r="AVX34" i="30"/>
  <c r="AVX35" i="30"/>
  <c r="AVT8" i="30"/>
  <c r="AVT9" i="30"/>
  <c r="AVT10" i="30"/>
  <c r="AVT11" i="30"/>
  <c r="AVT12" i="30"/>
  <c r="AVT13" i="30"/>
  <c r="AVT14" i="30"/>
  <c r="AVT15" i="30"/>
  <c r="AVT16" i="30"/>
  <c r="AVT17" i="30"/>
  <c r="AVT18" i="30"/>
  <c r="AVT19" i="30"/>
  <c r="AVT20" i="30"/>
  <c r="AVT21" i="30"/>
  <c r="AVT22" i="30"/>
  <c r="AVT23" i="30"/>
  <c r="AVT24" i="30"/>
  <c r="AVT25" i="30"/>
  <c r="AVT26" i="30"/>
  <c r="AVT27" i="30"/>
  <c r="AVT28" i="30"/>
  <c r="AVT29" i="30"/>
  <c r="AVT30" i="30"/>
  <c r="AVT31" i="30"/>
  <c r="AVT32" i="30"/>
  <c r="AVT33" i="30"/>
  <c r="AVT34" i="30"/>
  <c r="AVT35" i="30"/>
  <c r="AWB7" i="30"/>
  <c r="AVX7" i="30"/>
  <c r="AVT7" i="30"/>
  <c r="AVP7" i="30"/>
  <c r="AVP8" i="30"/>
  <c r="AVP9" i="30"/>
  <c r="AVP10" i="30"/>
  <c r="AVP11" i="30"/>
  <c r="AVP12" i="30"/>
  <c r="AVP13" i="30"/>
  <c r="AVP14" i="30"/>
  <c r="AVP15" i="30"/>
  <c r="AVP16" i="30"/>
  <c r="AVP17" i="30"/>
  <c r="AVP18" i="30"/>
  <c r="AVP19" i="30"/>
  <c r="AVP20" i="30"/>
  <c r="AVP21" i="30"/>
  <c r="AVP22" i="30"/>
  <c r="AVP23" i="30"/>
  <c r="AVP24" i="30"/>
  <c r="AVP25" i="30"/>
  <c r="AVP26" i="30"/>
  <c r="AVP27" i="30"/>
  <c r="AVP28" i="30"/>
  <c r="AVP29" i="30"/>
  <c r="AVP30" i="30"/>
  <c r="AVP31" i="30"/>
  <c r="AVP32" i="30"/>
  <c r="AVP33" i="30"/>
  <c r="AVP34" i="30"/>
  <c r="AVP35" i="30"/>
  <c r="AVL8" i="30"/>
  <c r="AVL9" i="30"/>
  <c r="AVL10" i="30"/>
  <c r="AVL11" i="30"/>
  <c r="AVL12" i="30"/>
  <c r="AVL13" i="30"/>
  <c r="AVL14" i="30"/>
  <c r="AVL15" i="30"/>
  <c r="AVL16" i="30"/>
  <c r="AVL17" i="30"/>
  <c r="AVL18" i="30"/>
  <c r="AVL19" i="30"/>
  <c r="AVL20" i="30"/>
  <c r="AVL21" i="30"/>
  <c r="AVL22" i="30"/>
  <c r="AVL23" i="30"/>
  <c r="AVL24" i="30"/>
  <c r="AVL25" i="30"/>
  <c r="AVL26" i="30"/>
  <c r="AVL27" i="30"/>
  <c r="AVL28" i="30"/>
  <c r="AVL29" i="30"/>
  <c r="AVL30" i="30"/>
  <c r="AVL31" i="30"/>
  <c r="AVL32" i="30"/>
  <c r="AVL33" i="30"/>
  <c r="AVL34" i="30"/>
  <c r="AVL35" i="30"/>
  <c r="AVL7" i="30"/>
  <c r="AVK8" i="30"/>
  <c r="AVK9" i="30"/>
  <c r="AVK10" i="30"/>
  <c r="AVK11" i="30"/>
  <c r="AVK12" i="30"/>
  <c r="AVK13" i="30"/>
  <c r="AVK14" i="30"/>
  <c r="AVK15" i="30"/>
  <c r="AVK16" i="30"/>
  <c r="AVK17" i="30"/>
  <c r="AVK18" i="30"/>
  <c r="AVK19" i="30"/>
  <c r="AVK20" i="30"/>
  <c r="AVK21" i="30"/>
  <c r="AVK22" i="30"/>
  <c r="AVK23" i="30"/>
  <c r="AVK24" i="30"/>
  <c r="AVK25" i="30"/>
  <c r="AVK26" i="30"/>
  <c r="AVK27" i="30"/>
  <c r="AVK28" i="30"/>
  <c r="AVK29" i="30"/>
  <c r="AVK30" i="30"/>
  <c r="AVK31" i="30"/>
  <c r="AVK32" i="30"/>
  <c r="AVK33" i="30"/>
  <c r="AVK34" i="30"/>
  <c r="AVO8" i="30"/>
  <c r="AVO9" i="30"/>
  <c r="AVO10" i="30"/>
  <c r="AVO11" i="30"/>
  <c r="AVO12" i="30"/>
  <c r="AVO13" i="30"/>
  <c r="AVO14" i="30"/>
  <c r="AVO15" i="30"/>
  <c r="AVO16" i="30"/>
  <c r="AVO17" i="30"/>
  <c r="AVO18" i="30"/>
  <c r="AVO19" i="30"/>
  <c r="AVO20" i="30"/>
  <c r="AVO21" i="30"/>
  <c r="AVO22" i="30"/>
  <c r="AVO23" i="30"/>
  <c r="AVO24" i="30"/>
  <c r="AVO25" i="30"/>
  <c r="AVO26" i="30"/>
  <c r="AVO27" i="30"/>
  <c r="AVO28" i="30"/>
  <c r="AVO29" i="30"/>
  <c r="AVO30" i="30"/>
  <c r="AVO31" i="30"/>
  <c r="AVO32" i="30"/>
  <c r="AVO33" i="30"/>
  <c r="AVO34" i="30"/>
  <c r="AVS8" i="30"/>
  <c r="AVS9" i="30"/>
  <c r="AVS10" i="30"/>
  <c r="AVS11" i="30"/>
  <c r="AVS12" i="30"/>
  <c r="AVS13" i="30"/>
  <c r="AVS14" i="30"/>
  <c r="AVS15" i="30"/>
  <c r="AVS16" i="30"/>
  <c r="AVS17" i="30"/>
  <c r="AVS18" i="30"/>
  <c r="AVS19" i="30"/>
  <c r="AVS20" i="30"/>
  <c r="AVS21" i="30"/>
  <c r="AVS22" i="30"/>
  <c r="AVS23" i="30"/>
  <c r="AVS24" i="30"/>
  <c r="AVS25" i="30"/>
  <c r="AVS26" i="30"/>
  <c r="AVS27" i="30"/>
  <c r="AVS28" i="30"/>
  <c r="AVS29" i="30"/>
  <c r="AVS30" i="30"/>
  <c r="AVS31" i="30"/>
  <c r="AVS32" i="30"/>
  <c r="AVS33" i="30"/>
  <c r="AVS34" i="30"/>
  <c r="AVW8" i="30"/>
  <c r="AVW9" i="30"/>
  <c r="AVW10" i="30"/>
  <c r="AVW11" i="30"/>
  <c r="AVW12" i="30"/>
  <c r="AVW13" i="30"/>
  <c r="AVW14" i="30"/>
  <c r="AVW15" i="30"/>
  <c r="AVW16" i="30"/>
  <c r="AVW17" i="30"/>
  <c r="AVW18" i="30"/>
  <c r="AVW19" i="30"/>
  <c r="AVW20" i="30"/>
  <c r="AVW21" i="30"/>
  <c r="AVW22" i="30"/>
  <c r="AVW23" i="30"/>
  <c r="AVW24" i="30"/>
  <c r="AVW25" i="30"/>
  <c r="AVW26" i="30"/>
  <c r="AVW27" i="30"/>
  <c r="AVW28" i="30"/>
  <c r="AVW29" i="30"/>
  <c r="AVW30" i="30"/>
  <c r="AVW31" i="30"/>
  <c r="AVW32" i="30"/>
  <c r="AVW33" i="30"/>
  <c r="AVW34" i="30"/>
  <c r="AWA8" i="30"/>
  <c r="AWA9" i="30"/>
  <c r="AWA10" i="30"/>
  <c r="AWA11" i="30"/>
  <c r="AWA12" i="30"/>
  <c r="AWA13" i="30"/>
  <c r="AWA14" i="30"/>
  <c r="AWA15" i="30"/>
  <c r="AWA16" i="30"/>
  <c r="AWA17" i="30"/>
  <c r="AWA18" i="30"/>
  <c r="AWA19" i="30"/>
  <c r="AWA20" i="30"/>
  <c r="AWA21" i="30"/>
  <c r="AWA22" i="30"/>
  <c r="AWA23" i="30"/>
  <c r="AWA24" i="30"/>
  <c r="AWA25" i="30"/>
  <c r="AWA26" i="30"/>
  <c r="AWA27" i="30"/>
  <c r="AWA28" i="30"/>
  <c r="AWA29" i="30"/>
  <c r="AWA30" i="30"/>
  <c r="AWA31" i="30"/>
  <c r="AWA32" i="30"/>
  <c r="AWA33" i="30"/>
  <c r="AWA34" i="30"/>
  <c r="AWA7" i="30"/>
  <c r="AVW7" i="30"/>
  <c r="AVS7" i="30"/>
  <c r="AVO7" i="30"/>
  <c r="AVK7" i="30"/>
  <c r="AVG8" i="30"/>
  <c r="AVH8" i="30"/>
  <c r="AVG9" i="30"/>
  <c r="AVH9" i="30"/>
  <c r="AVG10" i="30"/>
  <c r="AVH10" i="30"/>
  <c r="AVG11" i="30"/>
  <c r="AVH11" i="30"/>
  <c r="AVG12" i="30"/>
  <c r="AVH12" i="30"/>
  <c r="AVG13" i="30"/>
  <c r="AVH13" i="30"/>
  <c r="AVG14" i="30"/>
  <c r="AVH14" i="30"/>
  <c r="AVG15" i="30"/>
  <c r="AVH15" i="30"/>
  <c r="AVG16" i="30"/>
  <c r="AVH16" i="30"/>
  <c r="AVG17" i="30"/>
  <c r="AVH17" i="30"/>
  <c r="AVG18" i="30"/>
  <c r="AVH18" i="30"/>
  <c r="AVG19" i="30"/>
  <c r="AVH19" i="30"/>
  <c r="AVG20" i="30"/>
  <c r="AVH20" i="30"/>
  <c r="AVG21" i="30"/>
  <c r="AVH21" i="30"/>
  <c r="AVG22" i="30"/>
  <c r="AVH22" i="30"/>
  <c r="AVG23" i="30"/>
  <c r="AVH23" i="30"/>
  <c r="AVG24" i="30"/>
  <c r="AVH24" i="30"/>
  <c r="AVG25" i="30"/>
  <c r="AVH25" i="30"/>
  <c r="AVG26" i="30"/>
  <c r="AVH26" i="30"/>
  <c r="AVG27" i="30"/>
  <c r="AVH27" i="30"/>
  <c r="AVG28" i="30"/>
  <c r="AVH28" i="30"/>
  <c r="AVG29" i="30"/>
  <c r="AVH29" i="30"/>
  <c r="AVG30" i="30"/>
  <c r="AVH30" i="30"/>
  <c r="AVG31" i="30"/>
  <c r="AVH31" i="30"/>
  <c r="AVG32" i="30"/>
  <c r="AVH32" i="30"/>
  <c r="AVG33" i="30"/>
  <c r="AVH33" i="30"/>
  <c r="AVG34" i="30"/>
  <c r="AVH34" i="30"/>
  <c r="AVH7" i="30"/>
  <c r="AVG7" i="30"/>
  <c r="AVC8" i="30"/>
  <c r="AVD8" i="30"/>
  <c r="AVC9" i="30"/>
  <c r="AVD9" i="30"/>
  <c r="AVC10" i="30"/>
  <c r="AVD10" i="30"/>
  <c r="AVC11" i="30"/>
  <c r="AVD11" i="30"/>
  <c r="AVC12" i="30"/>
  <c r="AVD12" i="30"/>
  <c r="AVC13" i="30"/>
  <c r="AVD13" i="30"/>
  <c r="AVC14" i="30"/>
  <c r="AVD14" i="30"/>
  <c r="AVC15" i="30"/>
  <c r="AVD15" i="30"/>
  <c r="AVC16" i="30"/>
  <c r="AVD16" i="30"/>
  <c r="AVC17" i="30"/>
  <c r="AVD17" i="30"/>
  <c r="AVC18" i="30"/>
  <c r="AVD18" i="30"/>
  <c r="AVC19" i="30"/>
  <c r="AVD19" i="30"/>
  <c r="AVC20" i="30"/>
  <c r="AVD20" i="30"/>
  <c r="AVC21" i="30"/>
  <c r="AVD21" i="30"/>
  <c r="AVC22" i="30"/>
  <c r="AVD22" i="30"/>
  <c r="AVC23" i="30"/>
  <c r="AVD23" i="30"/>
  <c r="AVC24" i="30"/>
  <c r="AVD24" i="30"/>
  <c r="AVC25" i="30"/>
  <c r="AVD25" i="30"/>
  <c r="AVC26" i="30"/>
  <c r="AVD26" i="30"/>
  <c r="AVC27" i="30"/>
  <c r="AVD27" i="30"/>
  <c r="AVC28" i="30"/>
  <c r="AVD28" i="30"/>
  <c r="AVC29" i="30"/>
  <c r="AVD29" i="30"/>
  <c r="AVC30" i="30"/>
  <c r="AVD30" i="30"/>
  <c r="AVC31" i="30"/>
  <c r="AVD31" i="30"/>
  <c r="AVC32" i="30"/>
  <c r="AVD32" i="30"/>
  <c r="AVC33" i="30"/>
  <c r="AVD33" i="30"/>
  <c r="AVC34" i="30"/>
  <c r="AVD34" i="30"/>
  <c r="AVD7" i="30"/>
  <c r="AVC7" i="30"/>
  <c r="AUU8" i="30"/>
  <c r="AUV8" i="30"/>
  <c r="AUU9" i="30"/>
  <c r="AUV9" i="30"/>
  <c r="AUU10" i="30"/>
  <c r="AUV10" i="30"/>
  <c r="AUU11" i="30"/>
  <c r="AUV11" i="30"/>
  <c r="AUU12" i="30"/>
  <c r="AUV12" i="30"/>
  <c r="AUU13" i="30"/>
  <c r="AUV13" i="30"/>
  <c r="AUU14" i="30"/>
  <c r="AUV14" i="30"/>
  <c r="AUU15" i="30"/>
  <c r="AUV15" i="30"/>
  <c r="AUU16" i="30"/>
  <c r="AUV16" i="30"/>
  <c r="AUU17" i="30"/>
  <c r="AUV17" i="30"/>
  <c r="AUU18" i="30"/>
  <c r="AUV18" i="30"/>
  <c r="AUU19" i="30"/>
  <c r="AUV19" i="30"/>
  <c r="AUU20" i="30"/>
  <c r="AUV20" i="30"/>
  <c r="AUU21" i="30"/>
  <c r="AUV21" i="30"/>
  <c r="AUU22" i="30"/>
  <c r="AUV22" i="30"/>
  <c r="AUU23" i="30"/>
  <c r="AUV23" i="30"/>
  <c r="AUU24" i="30"/>
  <c r="AUV24" i="30"/>
  <c r="AUU25" i="30"/>
  <c r="AUV25" i="30"/>
  <c r="AUU26" i="30"/>
  <c r="AUV26" i="30"/>
  <c r="AUU27" i="30"/>
  <c r="AUV27" i="30"/>
  <c r="AUU28" i="30"/>
  <c r="AUV28" i="30"/>
  <c r="AUU29" i="30"/>
  <c r="AUV29" i="30"/>
  <c r="AUU30" i="30"/>
  <c r="AUV30" i="30"/>
  <c r="AUU31" i="30"/>
  <c r="AUV31" i="30"/>
  <c r="AUU32" i="30"/>
  <c r="AUV32" i="30"/>
  <c r="AUU33" i="30"/>
  <c r="AUV33" i="30"/>
  <c r="AUU34" i="30"/>
  <c r="AUV34" i="30"/>
  <c r="AUV7" i="30"/>
  <c r="AUU7" i="30"/>
  <c r="AUQ8" i="30"/>
  <c r="AUR8" i="30"/>
  <c r="AUQ9" i="30"/>
  <c r="AUR9" i="30"/>
  <c r="AUQ10" i="30"/>
  <c r="AUR10" i="30"/>
  <c r="AUQ11" i="30"/>
  <c r="AUR11" i="30"/>
  <c r="AUQ12" i="30"/>
  <c r="AUR12" i="30"/>
  <c r="AUQ13" i="30"/>
  <c r="AUR13" i="30"/>
  <c r="AUQ14" i="30"/>
  <c r="AUR14" i="30"/>
  <c r="AUQ15" i="30"/>
  <c r="AUR15" i="30"/>
  <c r="AUQ16" i="30"/>
  <c r="AUR16" i="30"/>
  <c r="AUQ17" i="30"/>
  <c r="AUR17" i="30"/>
  <c r="AUQ18" i="30"/>
  <c r="AUR18" i="30"/>
  <c r="AUQ19" i="30"/>
  <c r="AUR19" i="30"/>
  <c r="AUQ20" i="30"/>
  <c r="AUR20" i="30"/>
  <c r="AUQ21" i="30"/>
  <c r="AUR21" i="30"/>
  <c r="AUQ22" i="30"/>
  <c r="AUR22" i="30"/>
  <c r="AUQ23" i="30"/>
  <c r="AUR23" i="30"/>
  <c r="AUQ24" i="30"/>
  <c r="AUR24" i="30"/>
  <c r="AUQ25" i="30"/>
  <c r="AUR25" i="30"/>
  <c r="AUQ26" i="30"/>
  <c r="AUR26" i="30"/>
  <c r="AUQ27" i="30"/>
  <c r="AUR27" i="30"/>
  <c r="AUQ28" i="30"/>
  <c r="AUR28" i="30"/>
  <c r="AUQ29" i="30"/>
  <c r="AUR29" i="30"/>
  <c r="AUQ30" i="30"/>
  <c r="AUR30" i="30"/>
  <c r="AUQ31" i="30"/>
  <c r="AUR31" i="30"/>
  <c r="AUQ32" i="30"/>
  <c r="AUR32" i="30"/>
  <c r="AUQ33" i="30"/>
  <c r="AUR33" i="30"/>
  <c r="AUQ34" i="30"/>
  <c r="AUR34" i="30"/>
  <c r="AUR7" i="30"/>
  <c r="AUQ7" i="30"/>
  <c r="AUM8" i="30"/>
  <c r="AUN8" i="30"/>
  <c r="AUM9" i="30"/>
  <c r="AUN9" i="30"/>
  <c r="AUM10" i="30"/>
  <c r="AUN10" i="30"/>
  <c r="AUM11" i="30"/>
  <c r="AUN11" i="30"/>
  <c r="AUM12" i="30"/>
  <c r="AUN12" i="30"/>
  <c r="AUM13" i="30"/>
  <c r="AUN13" i="30"/>
  <c r="AUM14" i="30"/>
  <c r="AUN14" i="30"/>
  <c r="AUM15" i="30"/>
  <c r="AUN15" i="30"/>
  <c r="AUM16" i="30"/>
  <c r="AUN16" i="30"/>
  <c r="AUM17" i="30"/>
  <c r="AUN17" i="30"/>
  <c r="AUM18" i="30"/>
  <c r="AUN18" i="30"/>
  <c r="AUM19" i="30"/>
  <c r="AUN19" i="30"/>
  <c r="AUM20" i="30"/>
  <c r="AUN20" i="30"/>
  <c r="AUM21" i="30"/>
  <c r="AUN21" i="30"/>
  <c r="AUM22" i="30"/>
  <c r="AUN22" i="30"/>
  <c r="AUM23" i="30"/>
  <c r="AUN23" i="30"/>
  <c r="AUM24" i="30"/>
  <c r="AUN24" i="30"/>
  <c r="AUM25" i="30"/>
  <c r="AUN25" i="30"/>
  <c r="AUM26" i="30"/>
  <c r="AUN26" i="30"/>
  <c r="AUM27" i="30"/>
  <c r="AUN27" i="30"/>
  <c r="AUM28" i="30"/>
  <c r="AUN28" i="30"/>
  <c r="AUM29" i="30"/>
  <c r="AUN29" i="30"/>
  <c r="AUM30" i="30"/>
  <c r="AUN30" i="30"/>
  <c r="AUM31" i="30"/>
  <c r="AUN31" i="30"/>
  <c r="AUM32" i="30"/>
  <c r="AUN32" i="30"/>
  <c r="AUM33" i="30"/>
  <c r="AUN33" i="30"/>
  <c r="AUM34" i="30"/>
  <c r="AUN34" i="30"/>
  <c r="AUN7" i="30"/>
  <c r="AUM7" i="30"/>
  <c r="AUI8" i="30"/>
  <c r="AUJ8" i="30"/>
  <c r="AUI9" i="30"/>
  <c r="AUJ9" i="30"/>
  <c r="AUI10" i="30"/>
  <c r="AUJ10" i="30"/>
  <c r="AUI11" i="30"/>
  <c r="AUJ11" i="30"/>
  <c r="AUI12" i="30"/>
  <c r="AUJ12" i="30"/>
  <c r="AUI13" i="30"/>
  <c r="AUJ13" i="30"/>
  <c r="AUI14" i="30"/>
  <c r="AUJ14" i="30"/>
  <c r="AUI15" i="30"/>
  <c r="AUJ15" i="30"/>
  <c r="AUI16" i="30"/>
  <c r="AUJ16" i="30"/>
  <c r="AUI17" i="30"/>
  <c r="AUJ17" i="30"/>
  <c r="AUI18" i="30"/>
  <c r="AUJ18" i="30"/>
  <c r="AUI19" i="30"/>
  <c r="AUJ19" i="30"/>
  <c r="AUI20" i="30"/>
  <c r="AUJ20" i="30"/>
  <c r="AUI21" i="30"/>
  <c r="AUJ21" i="30"/>
  <c r="AUI22" i="30"/>
  <c r="AUJ22" i="30"/>
  <c r="AUI23" i="30"/>
  <c r="AUJ23" i="30"/>
  <c r="AUI24" i="30"/>
  <c r="AUJ24" i="30"/>
  <c r="AUI25" i="30"/>
  <c r="AUJ25" i="30"/>
  <c r="AUI26" i="30"/>
  <c r="AUJ26" i="30"/>
  <c r="AUI27" i="30"/>
  <c r="AUJ27" i="30"/>
  <c r="AUI28" i="30"/>
  <c r="AUJ28" i="30"/>
  <c r="AUI29" i="30"/>
  <c r="AUJ29" i="30"/>
  <c r="AUI30" i="30"/>
  <c r="AUJ30" i="30"/>
  <c r="AUI31" i="30"/>
  <c r="AUJ31" i="30"/>
  <c r="AUI32" i="30"/>
  <c r="AUJ32" i="30"/>
  <c r="AUI33" i="30"/>
  <c r="AUJ33" i="30"/>
  <c r="AUI34" i="30"/>
  <c r="AUJ34" i="30"/>
  <c r="AUJ7" i="30"/>
  <c r="AUI7" i="30"/>
  <c r="AUE8" i="30"/>
  <c r="AUF8" i="30"/>
  <c r="AUE9" i="30"/>
  <c r="AUF9" i="30"/>
  <c r="AUE10" i="30"/>
  <c r="AUF10" i="30"/>
  <c r="AUE11" i="30"/>
  <c r="AUF11" i="30"/>
  <c r="AUE12" i="30"/>
  <c r="AUF12" i="30"/>
  <c r="AUE13" i="30"/>
  <c r="AUF13" i="30"/>
  <c r="AUE14" i="30"/>
  <c r="AUF14" i="30"/>
  <c r="AUE15" i="30"/>
  <c r="AUF15" i="30"/>
  <c r="AUE16" i="30"/>
  <c r="AUF16" i="30"/>
  <c r="AUE17" i="30"/>
  <c r="AUF17" i="30"/>
  <c r="AUE18" i="30"/>
  <c r="AUF18" i="30"/>
  <c r="AUE19" i="30"/>
  <c r="AUF19" i="30"/>
  <c r="AUE20" i="30"/>
  <c r="AUF20" i="30"/>
  <c r="AUE21" i="30"/>
  <c r="AUF21" i="30"/>
  <c r="AUE22" i="30"/>
  <c r="AUF22" i="30"/>
  <c r="AUE23" i="30"/>
  <c r="AUF23" i="30"/>
  <c r="AUE24" i="30"/>
  <c r="AUF24" i="30"/>
  <c r="AUE25" i="30"/>
  <c r="AUF25" i="30"/>
  <c r="AUE26" i="30"/>
  <c r="AUF26" i="30"/>
  <c r="AUE27" i="30"/>
  <c r="AUF27" i="30"/>
  <c r="AUE28" i="30"/>
  <c r="AUF28" i="30"/>
  <c r="AUE29" i="30"/>
  <c r="AUF29" i="30"/>
  <c r="AUE30" i="30"/>
  <c r="AUF30" i="30"/>
  <c r="AUE31" i="30"/>
  <c r="AUF31" i="30"/>
  <c r="AUE32" i="30"/>
  <c r="AUF32" i="30"/>
  <c r="AUE33" i="30"/>
  <c r="AUF33" i="30"/>
  <c r="AUE34" i="30"/>
  <c r="AUF34" i="30"/>
  <c r="AUF7" i="30"/>
  <c r="AUE7" i="30"/>
  <c r="AUA8" i="30"/>
  <c r="AUB8" i="30"/>
  <c r="AUA9" i="30"/>
  <c r="AUB9" i="30"/>
  <c r="AUA10" i="30"/>
  <c r="AUB10" i="30"/>
  <c r="AUA11" i="30"/>
  <c r="AUB11" i="30"/>
  <c r="AUA12" i="30"/>
  <c r="AUB12" i="30"/>
  <c r="AUA13" i="30"/>
  <c r="AUB13" i="30"/>
  <c r="AUA14" i="30"/>
  <c r="AUB14" i="30"/>
  <c r="AUA15" i="30"/>
  <c r="AUB15" i="30"/>
  <c r="AUA16" i="30"/>
  <c r="AUB16" i="30"/>
  <c r="AUA17" i="30"/>
  <c r="AUB17" i="30"/>
  <c r="AUA18" i="30"/>
  <c r="AUB18" i="30"/>
  <c r="AUA19" i="30"/>
  <c r="AUB19" i="30"/>
  <c r="AUA20" i="30"/>
  <c r="AUB20" i="30"/>
  <c r="AUA21" i="30"/>
  <c r="AUB21" i="30"/>
  <c r="AUA22" i="30"/>
  <c r="AUB22" i="30"/>
  <c r="AUA23" i="30"/>
  <c r="AUB23" i="30"/>
  <c r="AUA24" i="30"/>
  <c r="AUB24" i="30"/>
  <c r="AUA25" i="30"/>
  <c r="AUB25" i="30"/>
  <c r="AUA26" i="30"/>
  <c r="AUB26" i="30"/>
  <c r="AUA27" i="30"/>
  <c r="AUB27" i="30"/>
  <c r="AUA28" i="30"/>
  <c r="AUB28" i="30"/>
  <c r="AUA29" i="30"/>
  <c r="AUB29" i="30"/>
  <c r="AUA30" i="30"/>
  <c r="AUB30" i="30"/>
  <c r="AUA31" i="30"/>
  <c r="AUB31" i="30"/>
  <c r="AUA32" i="30"/>
  <c r="AUB32" i="30"/>
  <c r="AUA33" i="30"/>
  <c r="AUB33" i="30"/>
  <c r="AUA34" i="30"/>
  <c r="AUB34" i="30"/>
  <c r="AUB7" i="30"/>
  <c r="AUA7" i="30"/>
  <c r="ATW7" i="30"/>
  <c r="ATW8" i="30"/>
  <c r="ATX8" i="30"/>
  <c r="ATW9" i="30"/>
  <c r="ATX9" i="30"/>
  <c r="ATW10" i="30"/>
  <c r="ATX10" i="30"/>
  <c r="ATW11" i="30"/>
  <c r="ATX11" i="30"/>
  <c r="ATW12" i="30"/>
  <c r="ATX12" i="30"/>
  <c r="ATW13" i="30"/>
  <c r="ATX13" i="30"/>
  <c r="ATW14" i="30"/>
  <c r="ATX14" i="30"/>
  <c r="ATW15" i="30"/>
  <c r="ATX15" i="30"/>
  <c r="ATW16" i="30"/>
  <c r="ATX16" i="30"/>
  <c r="ATW17" i="30"/>
  <c r="ATX17" i="30"/>
  <c r="ATW18" i="30"/>
  <c r="ATX18" i="30"/>
  <c r="ATW19" i="30"/>
  <c r="ATX19" i="30"/>
  <c r="ATW20" i="30"/>
  <c r="ATX20" i="30"/>
  <c r="ATW21" i="30"/>
  <c r="ATX21" i="30"/>
  <c r="ATW22" i="30"/>
  <c r="ATX22" i="30"/>
  <c r="ATW23" i="30"/>
  <c r="ATX23" i="30"/>
  <c r="ATW24" i="30"/>
  <c r="ATX24" i="30"/>
  <c r="ATW25" i="30"/>
  <c r="ATX25" i="30"/>
  <c r="ATW26" i="30"/>
  <c r="ATX26" i="30"/>
  <c r="ATW27" i="30"/>
  <c r="ATX27" i="30"/>
  <c r="ATW28" i="30"/>
  <c r="ATX28" i="30"/>
  <c r="ATW29" i="30"/>
  <c r="ATX29" i="30"/>
  <c r="ATW30" i="30"/>
  <c r="ATX30" i="30"/>
  <c r="ATW31" i="30"/>
  <c r="ATX31" i="30"/>
  <c r="ATW32" i="30"/>
  <c r="ATX32" i="30"/>
  <c r="ATW33" i="30"/>
  <c r="ATX33" i="30"/>
  <c r="ATW34" i="30"/>
  <c r="ATX34" i="30"/>
  <c r="ATX7" i="30"/>
  <c r="ATO8" i="30"/>
  <c r="ATP8" i="30"/>
  <c r="ATO9" i="30"/>
  <c r="ATP9" i="30"/>
  <c r="ATO10" i="30"/>
  <c r="ATP10" i="30"/>
  <c r="ATO11" i="30"/>
  <c r="ATP11" i="30"/>
  <c r="ATO12" i="30"/>
  <c r="ATP12" i="30"/>
  <c r="ATO13" i="30"/>
  <c r="ATP13" i="30"/>
  <c r="ATO14" i="30"/>
  <c r="ATP14" i="30"/>
  <c r="ATO15" i="30"/>
  <c r="ATP15" i="30"/>
  <c r="ATO16" i="30"/>
  <c r="ATP16" i="30"/>
  <c r="ATO17" i="30"/>
  <c r="ATP17" i="30"/>
  <c r="ATO18" i="30"/>
  <c r="ATP18" i="30"/>
  <c r="ATO19" i="30"/>
  <c r="ATP19" i="30"/>
  <c r="ATO20" i="30"/>
  <c r="ATP20" i="30"/>
  <c r="ATO21" i="30"/>
  <c r="ATP21" i="30"/>
  <c r="ATO22" i="30"/>
  <c r="ATP22" i="30"/>
  <c r="ATO23" i="30"/>
  <c r="ATP23" i="30"/>
  <c r="ATO24" i="30"/>
  <c r="ATP24" i="30"/>
  <c r="ATO25" i="30"/>
  <c r="ATP25" i="30"/>
  <c r="ATO26" i="30"/>
  <c r="ATP26" i="30"/>
  <c r="ATO27" i="30"/>
  <c r="ATP27" i="30"/>
  <c r="ATO28" i="30"/>
  <c r="ATP28" i="30"/>
  <c r="ATO29" i="30"/>
  <c r="ATP29" i="30"/>
  <c r="ATO30" i="30"/>
  <c r="ATP30" i="30"/>
  <c r="ATO31" i="30"/>
  <c r="ATP31" i="30"/>
  <c r="ATO32" i="30"/>
  <c r="ATP32" i="30"/>
  <c r="ATO33" i="30"/>
  <c r="ATP33" i="30"/>
  <c r="ATO34" i="30"/>
  <c r="ATP34" i="30"/>
  <c r="ATK8" i="30"/>
  <c r="ATL8" i="30"/>
  <c r="ATK9" i="30"/>
  <c r="ATL9" i="30"/>
  <c r="ATK10" i="30"/>
  <c r="ATL10" i="30"/>
  <c r="ATK11" i="30"/>
  <c r="ATL11" i="30"/>
  <c r="ATK12" i="30"/>
  <c r="ATL12" i="30"/>
  <c r="ATK13" i="30"/>
  <c r="ATL13" i="30"/>
  <c r="ATK14" i="30"/>
  <c r="ATL14" i="30"/>
  <c r="ATK15" i="30"/>
  <c r="ATL15" i="30"/>
  <c r="ATK16" i="30"/>
  <c r="ATL16" i="30"/>
  <c r="ATK17" i="30"/>
  <c r="ATL17" i="30"/>
  <c r="ATK18" i="30"/>
  <c r="ATL18" i="30"/>
  <c r="ATK19" i="30"/>
  <c r="ATL19" i="30"/>
  <c r="ATK20" i="30"/>
  <c r="ATL20" i="30"/>
  <c r="ATK21" i="30"/>
  <c r="ATL21" i="30"/>
  <c r="ATK22" i="30"/>
  <c r="ATL22" i="30"/>
  <c r="ATK23" i="30"/>
  <c r="ATL23" i="30"/>
  <c r="ATK24" i="30"/>
  <c r="ATL24" i="30"/>
  <c r="ATK25" i="30"/>
  <c r="ATL25" i="30"/>
  <c r="ATK26" i="30"/>
  <c r="ATL26" i="30"/>
  <c r="ATK27" i="30"/>
  <c r="ATL27" i="30"/>
  <c r="ATK28" i="30"/>
  <c r="ATL28" i="30"/>
  <c r="ATK29" i="30"/>
  <c r="ATL29" i="30"/>
  <c r="ATK30" i="30"/>
  <c r="ATL30" i="30"/>
  <c r="ATK31" i="30"/>
  <c r="ATL31" i="30"/>
  <c r="ATK32" i="30"/>
  <c r="ATL32" i="30"/>
  <c r="ATK33" i="30"/>
  <c r="ATL33" i="30"/>
  <c r="ATK34" i="30"/>
  <c r="ATL34" i="30"/>
  <c r="ATP7" i="30"/>
  <c r="ATL7" i="30"/>
  <c r="ATO7" i="30"/>
  <c r="ATK7" i="30"/>
  <c r="ATG8" i="30"/>
  <c r="ATH8" i="30"/>
  <c r="ATG9" i="30"/>
  <c r="ATH9" i="30"/>
  <c r="ATG10" i="30"/>
  <c r="ATH10" i="30"/>
  <c r="ATG11" i="30"/>
  <c r="ATH11" i="30"/>
  <c r="ATG12" i="30"/>
  <c r="ATH12" i="30"/>
  <c r="ATG13" i="30"/>
  <c r="ATH13" i="30"/>
  <c r="ATG14" i="30"/>
  <c r="ATH14" i="30"/>
  <c r="ATG15" i="30"/>
  <c r="ATH15" i="30"/>
  <c r="ATG16" i="30"/>
  <c r="ATH16" i="30"/>
  <c r="ATG17" i="30"/>
  <c r="ATH17" i="30"/>
  <c r="ATG18" i="30"/>
  <c r="ATH18" i="30"/>
  <c r="ATG19" i="30"/>
  <c r="ATH19" i="30"/>
  <c r="ATG20" i="30"/>
  <c r="ATH20" i="30"/>
  <c r="ATG21" i="30"/>
  <c r="ATH21" i="30"/>
  <c r="ATG22" i="30"/>
  <c r="ATH22" i="30"/>
  <c r="ATG23" i="30"/>
  <c r="ATH23" i="30"/>
  <c r="ATG24" i="30"/>
  <c r="ATH24" i="30"/>
  <c r="ATG25" i="30"/>
  <c r="ATH25" i="30"/>
  <c r="ATG26" i="30"/>
  <c r="ATH26" i="30"/>
  <c r="ATG27" i="30"/>
  <c r="ATH27" i="30"/>
  <c r="ATG28" i="30"/>
  <c r="ATH28" i="30"/>
  <c r="ATG29" i="30"/>
  <c r="ATH29" i="30"/>
  <c r="ATG30" i="30"/>
  <c r="ATH30" i="30"/>
  <c r="ATG31" i="30"/>
  <c r="ATH31" i="30"/>
  <c r="ATG32" i="30"/>
  <c r="ATH32" i="30"/>
  <c r="ATG33" i="30"/>
  <c r="ATH33" i="30"/>
  <c r="ATG34" i="30"/>
  <c r="ATH34" i="30"/>
  <c r="ATC8" i="30"/>
  <c r="ATD8" i="30"/>
  <c r="ATC9" i="30"/>
  <c r="ATD9" i="30"/>
  <c r="ATC10" i="30"/>
  <c r="ATD10" i="30"/>
  <c r="ATC11" i="30"/>
  <c r="ATD11" i="30"/>
  <c r="ATC12" i="30"/>
  <c r="ATD12" i="30"/>
  <c r="ATC13" i="30"/>
  <c r="ATD13" i="30"/>
  <c r="ATC14" i="30"/>
  <c r="ATD14" i="30"/>
  <c r="ATC15" i="30"/>
  <c r="ATD15" i="30"/>
  <c r="ATC16" i="30"/>
  <c r="ATD16" i="30"/>
  <c r="ATC17" i="30"/>
  <c r="ATD17" i="30"/>
  <c r="ATC18" i="30"/>
  <c r="ATD18" i="30"/>
  <c r="ATC19" i="30"/>
  <c r="ATD19" i="30"/>
  <c r="ATC20" i="30"/>
  <c r="ATD20" i="30"/>
  <c r="ATC21" i="30"/>
  <c r="ATD21" i="30"/>
  <c r="ATC22" i="30"/>
  <c r="ATD22" i="30"/>
  <c r="ATC23" i="30"/>
  <c r="ATD23" i="30"/>
  <c r="ATC24" i="30"/>
  <c r="ATD24" i="30"/>
  <c r="ATC25" i="30"/>
  <c r="ATD25" i="30"/>
  <c r="ATC26" i="30"/>
  <c r="ATD26" i="30"/>
  <c r="ATC27" i="30"/>
  <c r="ATD27" i="30"/>
  <c r="ATC28" i="30"/>
  <c r="ATD28" i="30"/>
  <c r="ATC29" i="30"/>
  <c r="ATD29" i="30"/>
  <c r="ATC30" i="30"/>
  <c r="ATD30" i="30"/>
  <c r="ATC31" i="30"/>
  <c r="ATD31" i="30"/>
  <c r="ATC32" i="30"/>
  <c r="ATD32" i="30"/>
  <c r="ATC33" i="30"/>
  <c r="ATD33" i="30"/>
  <c r="ATC34" i="30"/>
  <c r="ATD34" i="30"/>
  <c r="ASY8" i="30"/>
  <c r="ASZ8" i="30"/>
  <c r="ASY9" i="30"/>
  <c r="ASZ9" i="30"/>
  <c r="ASY10" i="30"/>
  <c r="ASZ10" i="30"/>
  <c r="ASY11" i="30"/>
  <c r="ASZ11" i="30"/>
  <c r="ASY12" i="30"/>
  <c r="ASZ12" i="30"/>
  <c r="ASY13" i="30"/>
  <c r="ASZ13" i="30"/>
  <c r="ASY14" i="30"/>
  <c r="ASZ14" i="30"/>
  <c r="ASY15" i="30"/>
  <c r="ASZ15" i="30"/>
  <c r="ASY16" i="30"/>
  <c r="ASZ16" i="30"/>
  <c r="ASY17" i="30"/>
  <c r="ASZ17" i="30"/>
  <c r="ASY18" i="30"/>
  <c r="ASZ18" i="30"/>
  <c r="ASY19" i="30"/>
  <c r="ASZ19" i="30"/>
  <c r="ASY20" i="30"/>
  <c r="ASZ20" i="30"/>
  <c r="ASY21" i="30"/>
  <c r="ASZ21" i="30"/>
  <c r="ASY22" i="30"/>
  <c r="ASZ22" i="30"/>
  <c r="ASY23" i="30"/>
  <c r="ASZ23" i="30"/>
  <c r="ASY24" i="30"/>
  <c r="ASZ24" i="30"/>
  <c r="ASY25" i="30"/>
  <c r="ASZ25" i="30"/>
  <c r="ASY26" i="30"/>
  <c r="ASZ26" i="30"/>
  <c r="ASY27" i="30"/>
  <c r="ASZ27" i="30"/>
  <c r="ASY28" i="30"/>
  <c r="ASZ28" i="30"/>
  <c r="ASY29" i="30"/>
  <c r="ASZ29" i="30"/>
  <c r="ASY30" i="30"/>
  <c r="ASZ30" i="30"/>
  <c r="ASY31" i="30"/>
  <c r="ASZ31" i="30"/>
  <c r="ASY32" i="30"/>
  <c r="ASZ32" i="30"/>
  <c r="ASY33" i="30"/>
  <c r="ASZ33" i="30"/>
  <c r="ASY34" i="30"/>
  <c r="ASZ34" i="30"/>
  <c r="ASU8" i="30"/>
  <c r="ASV8" i="30"/>
  <c r="ASU9" i="30"/>
  <c r="ASV9" i="30"/>
  <c r="ASU10" i="30"/>
  <c r="ASV10" i="30"/>
  <c r="ASU11" i="30"/>
  <c r="ASV11" i="30"/>
  <c r="ASU12" i="30"/>
  <c r="ASV12" i="30"/>
  <c r="ASU13" i="30"/>
  <c r="ASV13" i="30"/>
  <c r="ASU14" i="30"/>
  <c r="ASV14" i="30"/>
  <c r="ASU15" i="30"/>
  <c r="ASV15" i="30"/>
  <c r="ASU16" i="30"/>
  <c r="ASV16" i="30"/>
  <c r="ASU17" i="30"/>
  <c r="ASV17" i="30"/>
  <c r="ASU18" i="30"/>
  <c r="ASV18" i="30"/>
  <c r="ASU19" i="30"/>
  <c r="ASV19" i="30"/>
  <c r="ASU20" i="30"/>
  <c r="ASV20" i="30"/>
  <c r="ASU21" i="30"/>
  <c r="ASV21" i="30"/>
  <c r="ASU22" i="30"/>
  <c r="ASV22" i="30"/>
  <c r="ASU23" i="30"/>
  <c r="ASV23" i="30"/>
  <c r="ASU24" i="30"/>
  <c r="ASV24" i="30"/>
  <c r="ASU25" i="30"/>
  <c r="ASV25" i="30"/>
  <c r="ASU26" i="30"/>
  <c r="ASV26" i="30"/>
  <c r="ASU27" i="30"/>
  <c r="ASV27" i="30"/>
  <c r="ASU28" i="30"/>
  <c r="ASV28" i="30"/>
  <c r="ASU29" i="30"/>
  <c r="ASV29" i="30"/>
  <c r="ASU30" i="30"/>
  <c r="ASV30" i="30"/>
  <c r="ASU31" i="30"/>
  <c r="ASV31" i="30"/>
  <c r="ASU32" i="30"/>
  <c r="ASV32" i="30"/>
  <c r="ASU33" i="30"/>
  <c r="ASV33" i="30"/>
  <c r="ASU34" i="30"/>
  <c r="ASV34" i="30"/>
  <c r="ATH7" i="30"/>
  <c r="ATD7" i="30"/>
  <c r="ASZ7" i="30"/>
  <c r="ASV7" i="30"/>
  <c r="ATG7" i="30"/>
  <c r="ATC7" i="30"/>
  <c r="ASY7" i="30"/>
  <c r="ASU7" i="30"/>
  <c r="ASQ7" i="30"/>
  <c r="ASQ8" i="30"/>
  <c r="ASR8" i="30"/>
  <c r="ASQ9" i="30"/>
  <c r="ASR9" i="30"/>
  <c r="ASQ10" i="30"/>
  <c r="ASR10" i="30"/>
  <c r="ASQ11" i="30"/>
  <c r="ASR11" i="30"/>
  <c r="ASQ12" i="30"/>
  <c r="ASR12" i="30"/>
  <c r="ASQ13" i="30"/>
  <c r="ASR13" i="30"/>
  <c r="ASQ14" i="30"/>
  <c r="ASR14" i="30"/>
  <c r="ASQ15" i="30"/>
  <c r="ASR15" i="30"/>
  <c r="ASQ16" i="30"/>
  <c r="ASR16" i="30"/>
  <c r="ASQ17" i="30"/>
  <c r="ASR17" i="30"/>
  <c r="ASQ18" i="30"/>
  <c r="ASR18" i="30"/>
  <c r="ASQ19" i="30"/>
  <c r="ASR19" i="30"/>
  <c r="ASQ20" i="30"/>
  <c r="ASR20" i="30"/>
  <c r="ASQ21" i="30"/>
  <c r="ASR21" i="30"/>
  <c r="ASQ22" i="30"/>
  <c r="ASR22" i="30"/>
  <c r="ASQ23" i="30"/>
  <c r="ASR23" i="30"/>
  <c r="ASQ24" i="30"/>
  <c r="ASR24" i="30"/>
  <c r="ASQ25" i="30"/>
  <c r="ASR25" i="30"/>
  <c r="ASQ26" i="30"/>
  <c r="ASR26" i="30"/>
  <c r="ASQ27" i="30"/>
  <c r="ASR27" i="30"/>
  <c r="ASQ28" i="30"/>
  <c r="ASR28" i="30"/>
  <c r="ASQ29" i="30"/>
  <c r="ASR29" i="30"/>
  <c r="ASQ30" i="30"/>
  <c r="ASR30" i="30"/>
  <c r="ASQ31" i="30"/>
  <c r="ASR31" i="30"/>
  <c r="ASQ32" i="30"/>
  <c r="ASR32" i="30"/>
  <c r="ASQ33" i="30"/>
  <c r="ASR33" i="30"/>
  <c r="ASQ34" i="30"/>
  <c r="ASR34" i="30"/>
  <c r="ASR7" i="30"/>
  <c r="ASJ8" i="30"/>
  <c r="ASJ9" i="30"/>
  <c r="ASJ10" i="30"/>
  <c r="ASJ11" i="30"/>
  <c r="ASJ12" i="30"/>
  <c r="ASJ13" i="30"/>
  <c r="ASJ14" i="30"/>
  <c r="ASJ15" i="30"/>
  <c r="ASJ16" i="30"/>
  <c r="ASJ17" i="30"/>
  <c r="ASJ18" i="30"/>
  <c r="ASJ19" i="30"/>
  <c r="ASJ20" i="30"/>
  <c r="ASJ21" i="30"/>
  <c r="ASJ22" i="30"/>
  <c r="ASJ23" i="30"/>
  <c r="ASJ24" i="30"/>
  <c r="ASJ25" i="30"/>
  <c r="ASJ26" i="30"/>
  <c r="ASJ27" i="30"/>
  <c r="ASJ28" i="30"/>
  <c r="ASJ29" i="30"/>
  <c r="ASJ30" i="30"/>
  <c r="ASJ31" i="30"/>
  <c r="ASJ32" i="30"/>
  <c r="ASJ33" i="30"/>
  <c r="ASJ34" i="30"/>
  <c r="ASJ35" i="30"/>
  <c r="ASJ7" i="30"/>
  <c r="ASF8" i="30"/>
  <c r="ASF9" i="30"/>
  <c r="ASF10" i="30"/>
  <c r="ASF11" i="30"/>
  <c r="ASF12" i="30"/>
  <c r="ASF13" i="30"/>
  <c r="ASF14" i="30"/>
  <c r="ASF15" i="30"/>
  <c r="ASF16" i="30"/>
  <c r="ASF17" i="30"/>
  <c r="ASF18" i="30"/>
  <c r="ASF19" i="30"/>
  <c r="ASF20" i="30"/>
  <c r="ASF21" i="30"/>
  <c r="ASF22" i="30"/>
  <c r="ASF23" i="30"/>
  <c r="ASF24" i="30"/>
  <c r="ASF25" i="30"/>
  <c r="ASF26" i="30"/>
  <c r="ASF27" i="30"/>
  <c r="ASF28" i="30"/>
  <c r="ASF29" i="30"/>
  <c r="ASF30" i="30"/>
  <c r="ASF31" i="30"/>
  <c r="ASF32" i="30"/>
  <c r="ASF33" i="30"/>
  <c r="ASF34" i="30"/>
  <c r="ASF35" i="30"/>
  <c r="ASF7" i="30"/>
  <c r="ASB8" i="30"/>
  <c r="ASB9" i="30"/>
  <c r="ASB10" i="30"/>
  <c r="ASB11" i="30"/>
  <c r="ASB12" i="30"/>
  <c r="ASB13" i="30"/>
  <c r="ASB14" i="30"/>
  <c r="ASB15" i="30"/>
  <c r="ASB16" i="30"/>
  <c r="ASB17" i="30"/>
  <c r="ASB18" i="30"/>
  <c r="ASB19" i="30"/>
  <c r="ASB20" i="30"/>
  <c r="ASB21" i="30"/>
  <c r="ASB22" i="30"/>
  <c r="ASB23" i="30"/>
  <c r="ASB24" i="30"/>
  <c r="ASB25" i="30"/>
  <c r="ASB26" i="30"/>
  <c r="ASB27" i="30"/>
  <c r="ASB28" i="30"/>
  <c r="ASB29" i="30"/>
  <c r="ASB30" i="30"/>
  <c r="ASB31" i="30"/>
  <c r="ASB32" i="30"/>
  <c r="ASB33" i="30"/>
  <c r="ASB34" i="30"/>
  <c r="ASB35" i="30"/>
  <c r="ASB7" i="30"/>
  <c r="ARX8" i="30"/>
  <c r="ARX9" i="30"/>
  <c r="ARX10" i="30"/>
  <c r="ARX11" i="30"/>
  <c r="ARX12" i="30"/>
  <c r="ARX13" i="30"/>
  <c r="ARX14" i="30"/>
  <c r="ARX15" i="30"/>
  <c r="ARX16" i="30"/>
  <c r="ARX17" i="30"/>
  <c r="ARX18" i="30"/>
  <c r="ARX19" i="30"/>
  <c r="ARX20" i="30"/>
  <c r="ARX21" i="30"/>
  <c r="ARX22" i="30"/>
  <c r="ARX23" i="30"/>
  <c r="ARX24" i="30"/>
  <c r="ARX25" i="30"/>
  <c r="ARX26" i="30"/>
  <c r="ARX27" i="30"/>
  <c r="ARX28" i="30"/>
  <c r="ARX29" i="30"/>
  <c r="ARX30" i="30"/>
  <c r="ARX31" i="30"/>
  <c r="ARX32" i="30"/>
  <c r="ARX33" i="30"/>
  <c r="ARX34" i="30"/>
  <c r="ARX35" i="30"/>
  <c r="ARX7" i="30"/>
  <c r="ARW8" i="30"/>
  <c r="ARW9" i="30"/>
  <c r="ARW10" i="30"/>
  <c r="ARW11" i="30"/>
  <c r="ARW12" i="30"/>
  <c r="ARW13" i="30"/>
  <c r="ARW14" i="30"/>
  <c r="ARW15" i="30"/>
  <c r="ARW16" i="30"/>
  <c r="ARW17" i="30"/>
  <c r="ARW18" i="30"/>
  <c r="ARW19" i="30"/>
  <c r="ARW20" i="30"/>
  <c r="ARW21" i="30"/>
  <c r="ARW22" i="30"/>
  <c r="ARW23" i="30"/>
  <c r="ARW24" i="30"/>
  <c r="ARW25" i="30"/>
  <c r="ARW26" i="30"/>
  <c r="ARW27" i="30"/>
  <c r="ARW28" i="30"/>
  <c r="ARW29" i="30"/>
  <c r="ARW30" i="30"/>
  <c r="ARW31" i="30"/>
  <c r="ARW32" i="30"/>
  <c r="ARW33" i="30"/>
  <c r="ARW34" i="30"/>
  <c r="ASA8" i="30"/>
  <c r="ASA9" i="30"/>
  <c r="ASA10" i="30"/>
  <c r="ASA11" i="30"/>
  <c r="ASA12" i="30"/>
  <c r="ASA13" i="30"/>
  <c r="ASA14" i="30"/>
  <c r="ASA15" i="30"/>
  <c r="ASA16" i="30"/>
  <c r="ASA17" i="30"/>
  <c r="ASA18" i="30"/>
  <c r="ASA19" i="30"/>
  <c r="ASA20" i="30"/>
  <c r="ASA21" i="30"/>
  <c r="ASA22" i="30"/>
  <c r="ASA23" i="30"/>
  <c r="ASA24" i="30"/>
  <c r="ASA25" i="30"/>
  <c r="ASA26" i="30"/>
  <c r="ASA27" i="30"/>
  <c r="ASA28" i="30"/>
  <c r="ASA29" i="30"/>
  <c r="ASA30" i="30"/>
  <c r="ASA31" i="30"/>
  <c r="ASA32" i="30"/>
  <c r="ASA33" i="30"/>
  <c r="ASA34" i="30"/>
  <c r="ASE8" i="30"/>
  <c r="ASE9" i="30"/>
  <c r="ASE10" i="30"/>
  <c r="ASE11" i="30"/>
  <c r="ASE12" i="30"/>
  <c r="ASE13" i="30"/>
  <c r="ASE14" i="30"/>
  <c r="ASE15" i="30"/>
  <c r="ASE16" i="30"/>
  <c r="ASE17" i="30"/>
  <c r="ASE18" i="30"/>
  <c r="ASE19" i="30"/>
  <c r="ASE20" i="30"/>
  <c r="ASE21" i="30"/>
  <c r="ASE22" i="30"/>
  <c r="ASE23" i="30"/>
  <c r="ASE24" i="30"/>
  <c r="ASE25" i="30"/>
  <c r="ASE26" i="30"/>
  <c r="ASE27" i="30"/>
  <c r="ASE28" i="30"/>
  <c r="ASE29" i="30"/>
  <c r="ASE30" i="30"/>
  <c r="ASE31" i="30"/>
  <c r="ASE32" i="30"/>
  <c r="ASE33" i="30"/>
  <c r="ASE34" i="30"/>
  <c r="ASI8" i="30"/>
  <c r="ASI9" i="30"/>
  <c r="ASI10" i="30"/>
  <c r="ASI11" i="30"/>
  <c r="ASI12" i="30"/>
  <c r="ASI13" i="30"/>
  <c r="ASI14" i="30"/>
  <c r="ASI15" i="30"/>
  <c r="ASI16" i="30"/>
  <c r="ASI17" i="30"/>
  <c r="ASI18" i="30"/>
  <c r="ASI19" i="30"/>
  <c r="ASI20" i="30"/>
  <c r="ASI21" i="30"/>
  <c r="ASI22" i="30"/>
  <c r="ASI23" i="30"/>
  <c r="ASI24" i="30"/>
  <c r="ASI25" i="30"/>
  <c r="ASI26" i="30"/>
  <c r="ASI27" i="30"/>
  <c r="ASI28" i="30"/>
  <c r="ASI29" i="30"/>
  <c r="ASI30" i="30"/>
  <c r="ASI31" i="30"/>
  <c r="ASI32" i="30"/>
  <c r="ASI33" i="30"/>
  <c r="ASI34" i="30"/>
  <c r="ASI7" i="30"/>
  <c r="ASE7" i="30"/>
  <c r="ASA7" i="30"/>
  <c r="ARW7" i="30"/>
  <c r="J572" i="32"/>
  <c r="ARS8" i="30"/>
  <c r="ART8" i="30"/>
  <c r="ARS9" i="30"/>
  <c r="ART9" i="30"/>
  <c r="ARS10" i="30"/>
  <c r="ART10" i="30"/>
  <c r="ARS11" i="30"/>
  <c r="ART11" i="30"/>
  <c r="ARS12" i="30"/>
  <c r="ART12" i="30"/>
  <c r="ARS13" i="30"/>
  <c r="ART13" i="30"/>
  <c r="ARS14" i="30"/>
  <c r="ART14" i="30"/>
  <c r="ARS15" i="30"/>
  <c r="ART15" i="30"/>
  <c r="ARS16" i="30"/>
  <c r="ART16" i="30"/>
  <c r="ARS17" i="30"/>
  <c r="ART17" i="30"/>
  <c r="ARS18" i="30"/>
  <c r="ART18" i="30"/>
  <c r="ARS19" i="30"/>
  <c r="ART19" i="30"/>
  <c r="ARS20" i="30"/>
  <c r="ART20" i="30"/>
  <c r="ARS21" i="30"/>
  <c r="ART21" i="30"/>
  <c r="ARS22" i="30"/>
  <c r="ART22" i="30"/>
  <c r="ARS23" i="30"/>
  <c r="ART23" i="30"/>
  <c r="ARS24" i="30"/>
  <c r="ART24" i="30"/>
  <c r="ARS25" i="30"/>
  <c r="ART25" i="30"/>
  <c r="ARS26" i="30"/>
  <c r="ART26" i="30"/>
  <c r="ARS27" i="30"/>
  <c r="ART27" i="30"/>
  <c r="ARS28" i="30"/>
  <c r="ART28" i="30"/>
  <c r="ARS29" i="30"/>
  <c r="ART29" i="30"/>
  <c r="ARS30" i="30"/>
  <c r="ART30" i="30"/>
  <c r="ARS31" i="30"/>
  <c r="ART31" i="30"/>
  <c r="ARS32" i="30"/>
  <c r="ART32" i="30"/>
  <c r="ARS33" i="30"/>
  <c r="ART33" i="30"/>
  <c r="ARS34" i="30"/>
  <c r="ART34" i="30"/>
  <c r="ARO8" i="30"/>
  <c r="ARP8" i="30"/>
  <c r="ARO9" i="30"/>
  <c r="ARP9" i="30"/>
  <c r="ARO10" i="30"/>
  <c r="ARP10" i="30"/>
  <c r="ARO11" i="30"/>
  <c r="ARP11" i="30"/>
  <c r="ARO12" i="30"/>
  <c r="ARP12" i="30"/>
  <c r="ARO13" i="30"/>
  <c r="ARP13" i="30"/>
  <c r="ARO14" i="30"/>
  <c r="ARP14" i="30"/>
  <c r="ARO15" i="30"/>
  <c r="ARP15" i="30"/>
  <c r="ARO16" i="30"/>
  <c r="ARP16" i="30"/>
  <c r="ARO17" i="30"/>
  <c r="ARP17" i="30"/>
  <c r="ARO18" i="30"/>
  <c r="ARP18" i="30"/>
  <c r="ARO19" i="30"/>
  <c r="ARP19" i="30"/>
  <c r="ARO20" i="30"/>
  <c r="ARP20" i="30"/>
  <c r="ARO21" i="30"/>
  <c r="ARP21" i="30"/>
  <c r="ARO22" i="30"/>
  <c r="ARP22" i="30"/>
  <c r="ARO23" i="30"/>
  <c r="ARP23" i="30"/>
  <c r="ARO24" i="30"/>
  <c r="ARP24" i="30"/>
  <c r="ARO25" i="30"/>
  <c r="ARP25" i="30"/>
  <c r="ARO26" i="30"/>
  <c r="ARP26" i="30"/>
  <c r="ARO27" i="30"/>
  <c r="ARP27" i="30"/>
  <c r="ARO28" i="30"/>
  <c r="ARP28" i="30"/>
  <c r="ARO29" i="30"/>
  <c r="ARP29" i="30"/>
  <c r="ARO30" i="30"/>
  <c r="ARP30" i="30"/>
  <c r="ARO31" i="30"/>
  <c r="ARP31" i="30"/>
  <c r="ARO32" i="30"/>
  <c r="ARP32" i="30"/>
  <c r="ARO33" i="30"/>
  <c r="ARP33" i="30"/>
  <c r="ARO34" i="30"/>
  <c r="ARP34" i="30"/>
  <c r="ART7" i="30"/>
  <c r="ARP7" i="30"/>
  <c r="ARS7" i="30"/>
  <c r="ARO7" i="30"/>
  <c r="ARK8" i="30"/>
  <c r="ARL8" i="30"/>
  <c r="ARK9" i="30"/>
  <c r="ARL9" i="30"/>
  <c r="ARK10" i="30"/>
  <c r="ARL10" i="30"/>
  <c r="ARK11" i="30"/>
  <c r="ARL11" i="30"/>
  <c r="ARK12" i="30"/>
  <c r="ARL12" i="30"/>
  <c r="ARK13" i="30"/>
  <c r="ARL13" i="30"/>
  <c r="ARK14" i="30"/>
  <c r="ARL14" i="30"/>
  <c r="ARK15" i="30"/>
  <c r="ARL15" i="30"/>
  <c r="ARK16" i="30"/>
  <c r="ARL16" i="30"/>
  <c r="ARK17" i="30"/>
  <c r="ARL17" i="30"/>
  <c r="ARK18" i="30"/>
  <c r="ARL18" i="30"/>
  <c r="ARK19" i="30"/>
  <c r="ARL19" i="30"/>
  <c r="ARK20" i="30"/>
  <c r="ARL20" i="30"/>
  <c r="ARK21" i="30"/>
  <c r="ARL21" i="30"/>
  <c r="ARK22" i="30"/>
  <c r="ARL22" i="30"/>
  <c r="ARK23" i="30"/>
  <c r="ARL23" i="30"/>
  <c r="ARK24" i="30"/>
  <c r="ARL24" i="30"/>
  <c r="ARK25" i="30"/>
  <c r="ARL25" i="30"/>
  <c r="ARK26" i="30"/>
  <c r="ARL26" i="30"/>
  <c r="ARK27" i="30"/>
  <c r="ARL27" i="30"/>
  <c r="ARK28" i="30"/>
  <c r="ARL28" i="30"/>
  <c r="ARK29" i="30"/>
  <c r="ARL29" i="30"/>
  <c r="ARK30" i="30"/>
  <c r="ARL30" i="30"/>
  <c r="ARK31" i="30"/>
  <c r="ARL31" i="30"/>
  <c r="ARK32" i="30"/>
  <c r="ARL32" i="30"/>
  <c r="ARK33" i="30"/>
  <c r="ARL33" i="30"/>
  <c r="ARK34" i="30"/>
  <c r="ARL34" i="30"/>
  <c r="ARL7" i="30"/>
  <c r="ARK7" i="30"/>
  <c r="ARC8" i="30"/>
  <c r="ARD8" i="30"/>
  <c r="ARC9" i="30"/>
  <c r="ARD9" i="30"/>
  <c r="ARC10" i="30"/>
  <c r="ARD10" i="30"/>
  <c r="ARC11" i="30"/>
  <c r="ARD11" i="30"/>
  <c r="ARC12" i="30"/>
  <c r="ARD12" i="30"/>
  <c r="ARC13" i="30"/>
  <c r="ARD13" i="30"/>
  <c r="ARC14" i="30"/>
  <c r="ARD14" i="30"/>
  <c r="ARC15" i="30"/>
  <c r="ARD15" i="30"/>
  <c r="ARC16" i="30"/>
  <c r="ARD16" i="30"/>
  <c r="ARC17" i="30"/>
  <c r="ARD17" i="30"/>
  <c r="ARC18" i="30"/>
  <c r="ARD18" i="30"/>
  <c r="ARC19" i="30"/>
  <c r="ARD19" i="30"/>
  <c r="ARC20" i="30"/>
  <c r="ARD20" i="30"/>
  <c r="ARC21" i="30"/>
  <c r="ARD21" i="30"/>
  <c r="ARC22" i="30"/>
  <c r="ARD22" i="30"/>
  <c r="ARC23" i="30"/>
  <c r="ARD23" i="30"/>
  <c r="ARC24" i="30"/>
  <c r="ARD24" i="30"/>
  <c r="ARC25" i="30"/>
  <c r="ARD25" i="30"/>
  <c r="ARC26" i="30"/>
  <c r="ARD26" i="30"/>
  <c r="ARC27" i="30"/>
  <c r="ARD27" i="30"/>
  <c r="ARC28" i="30"/>
  <c r="ARD28" i="30"/>
  <c r="ARC29" i="30"/>
  <c r="ARD29" i="30"/>
  <c r="ARC30" i="30"/>
  <c r="ARD30" i="30"/>
  <c r="ARC31" i="30"/>
  <c r="ARD31" i="30"/>
  <c r="ARC32" i="30"/>
  <c r="ARD32" i="30"/>
  <c r="ARC33" i="30"/>
  <c r="ARD33" i="30"/>
  <c r="ARC34" i="30"/>
  <c r="ARD34" i="30"/>
  <c r="AQY8" i="30"/>
  <c r="AQZ8" i="30"/>
  <c r="AQY9" i="30"/>
  <c r="AQZ9" i="30"/>
  <c r="AQY10" i="30"/>
  <c r="AQZ10" i="30"/>
  <c r="AQY11" i="30"/>
  <c r="AQZ11" i="30"/>
  <c r="AQY12" i="30"/>
  <c r="AQZ12" i="30"/>
  <c r="AQY13" i="30"/>
  <c r="AQZ13" i="30"/>
  <c r="AQY14" i="30"/>
  <c r="AQZ14" i="30"/>
  <c r="AQY15" i="30"/>
  <c r="AQZ15" i="30"/>
  <c r="AQY16" i="30"/>
  <c r="AQZ16" i="30"/>
  <c r="AQY17" i="30"/>
  <c r="AQZ17" i="30"/>
  <c r="AQY18" i="30"/>
  <c r="AQZ18" i="30"/>
  <c r="AQY19" i="30"/>
  <c r="AQZ19" i="30"/>
  <c r="AQY20" i="30"/>
  <c r="AQZ20" i="30"/>
  <c r="AQY21" i="30"/>
  <c r="AQZ21" i="30"/>
  <c r="AQY22" i="30"/>
  <c r="AQZ22" i="30"/>
  <c r="AQY23" i="30"/>
  <c r="AQZ23" i="30"/>
  <c r="AQY24" i="30"/>
  <c r="AQZ24" i="30"/>
  <c r="AQY25" i="30"/>
  <c r="AQZ25" i="30"/>
  <c r="AQY26" i="30"/>
  <c r="AQZ26" i="30"/>
  <c r="AQY27" i="30"/>
  <c r="AQZ27" i="30"/>
  <c r="AQY28" i="30"/>
  <c r="AQZ28" i="30"/>
  <c r="AQY29" i="30"/>
  <c r="AQZ29" i="30"/>
  <c r="AQY30" i="30"/>
  <c r="AQZ30" i="30"/>
  <c r="AQY31" i="30"/>
  <c r="AQZ31" i="30"/>
  <c r="AQY32" i="30"/>
  <c r="AQZ32" i="30"/>
  <c r="AQY33" i="30"/>
  <c r="AQZ33" i="30"/>
  <c r="AQY34" i="30"/>
  <c r="AQZ34" i="30"/>
  <c r="AQU8" i="30"/>
  <c r="AQV8" i="30"/>
  <c r="AQU9" i="30"/>
  <c r="AQV9" i="30"/>
  <c r="AQU10" i="30"/>
  <c r="AQV10" i="30"/>
  <c r="AQU11" i="30"/>
  <c r="AQV11" i="30"/>
  <c r="AQU12" i="30"/>
  <c r="AQV12" i="30"/>
  <c r="AQU13" i="30"/>
  <c r="AQV13" i="30"/>
  <c r="AQU14" i="30"/>
  <c r="AQV14" i="30"/>
  <c r="AQU15" i="30"/>
  <c r="AQV15" i="30"/>
  <c r="AQU16" i="30"/>
  <c r="AQV16" i="30"/>
  <c r="AQU17" i="30"/>
  <c r="AQV17" i="30"/>
  <c r="AQU18" i="30"/>
  <c r="AQV18" i="30"/>
  <c r="AQU19" i="30"/>
  <c r="AQV19" i="30"/>
  <c r="AQU20" i="30"/>
  <c r="AQV20" i="30"/>
  <c r="AQU21" i="30"/>
  <c r="AQV21" i="30"/>
  <c r="AQU22" i="30"/>
  <c r="AQV22" i="30"/>
  <c r="AQU23" i="30"/>
  <c r="AQV23" i="30"/>
  <c r="AQU24" i="30"/>
  <c r="AQV24" i="30"/>
  <c r="AQU25" i="30"/>
  <c r="AQV25" i="30"/>
  <c r="AQU26" i="30"/>
  <c r="AQV26" i="30"/>
  <c r="AQU27" i="30"/>
  <c r="AQV27" i="30"/>
  <c r="AQU28" i="30"/>
  <c r="AQV28" i="30"/>
  <c r="AQU29" i="30"/>
  <c r="AQV29" i="30"/>
  <c r="AQU30" i="30"/>
  <c r="AQV30" i="30"/>
  <c r="AQU31" i="30"/>
  <c r="AQV31" i="30"/>
  <c r="AQU32" i="30"/>
  <c r="AQV32" i="30"/>
  <c r="AQU33" i="30"/>
  <c r="AQV33" i="30"/>
  <c r="AQU34" i="30"/>
  <c r="AQV34" i="30"/>
  <c r="ARD7" i="30"/>
  <c r="AQZ7" i="30"/>
  <c r="AQV7" i="30"/>
  <c r="ARC7" i="30"/>
  <c r="AQY7" i="30"/>
  <c r="AQU7" i="30"/>
  <c r="AQQ8" i="30"/>
  <c r="AQR8" i="30"/>
  <c r="AQQ9" i="30"/>
  <c r="AQR9" i="30"/>
  <c r="AQQ10" i="30"/>
  <c r="AQR10" i="30"/>
  <c r="AQQ11" i="30"/>
  <c r="AQR11" i="30"/>
  <c r="AQQ12" i="30"/>
  <c r="AQR12" i="30"/>
  <c r="AQQ13" i="30"/>
  <c r="AQR13" i="30"/>
  <c r="AQQ14" i="30"/>
  <c r="AQR14" i="30"/>
  <c r="AQQ15" i="30"/>
  <c r="AQR15" i="30"/>
  <c r="AQQ16" i="30"/>
  <c r="AQR16" i="30"/>
  <c r="AQQ17" i="30"/>
  <c r="AQR17" i="30"/>
  <c r="AQQ18" i="30"/>
  <c r="AQR18" i="30"/>
  <c r="AQQ19" i="30"/>
  <c r="AQR19" i="30"/>
  <c r="AQQ20" i="30"/>
  <c r="AQR20" i="30"/>
  <c r="AQQ21" i="30"/>
  <c r="AQR21" i="30"/>
  <c r="AQQ22" i="30"/>
  <c r="AQR22" i="30"/>
  <c r="AQQ23" i="30"/>
  <c r="AQR23" i="30"/>
  <c r="AQQ24" i="30"/>
  <c r="AQR24" i="30"/>
  <c r="AQQ25" i="30"/>
  <c r="AQR25" i="30"/>
  <c r="AQQ26" i="30"/>
  <c r="AQR26" i="30"/>
  <c r="AQQ27" i="30"/>
  <c r="AQR27" i="30"/>
  <c r="AQQ28" i="30"/>
  <c r="AQR28" i="30"/>
  <c r="AQQ29" i="30"/>
  <c r="AQR29" i="30"/>
  <c r="AQQ30" i="30"/>
  <c r="AQR30" i="30"/>
  <c r="AQQ31" i="30"/>
  <c r="AQR31" i="30"/>
  <c r="AQQ32" i="30"/>
  <c r="AQR32" i="30"/>
  <c r="AQQ33" i="30"/>
  <c r="AQR33" i="30"/>
  <c r="AQQ34" i="30"/>
  <c r="AQR34" i="30"/>
  <c r="AQM8" i="30"/>
  <c r="AQN8" i="30"/>
  <c r="AQM9" i="30"/>
  <c r="AQN9" i="30"/>
  <c r="AQM10" i="30"/>
  <c r="AQN10" i="30"/>
  <c r="AQM11" i="30"/>
  <c r="AQN11" i="30"/>
  <c r="AQM12" i="30"/>
  <c r="AQN12" i="30"/>
  <c r="AQM13" i="30"/>
  <c r="AQN13" i="30"/>
  <c r="AQM14" i="30"/>
  <c r="AQN14" i="30"/>
  <c r="AQM15" i="30"/>
  <c r="AQN15" i="30"/>
  <c r="AQM16" i="30"/>
  <c r="AQN16" i="30"/>
  <c r="AQM17" i="30"/>
  <c r="AQN17" i="30"/>
  <c r="AQM18" i="30"/>
  <c r="AQN18" i="30"/>
  <c r="AQM19" i="30"/>
  <c r="AQN19" i="30"/>
  <c r="AQM20" i="30"/>
  <c r="AQN20" i="30"/>
  <c r="AQM21" i="30"/>
  <c r="AQN21" i="30"/>
  <c r="AQM22" i="30"/>
  <c r="AQN22" i="30"/>
  <c r="AQM23" i="30"/>
  <c r="AQN23" i="30"/>
  <c r="AQM24" i="30"/>
  <c r="AQN24" i="30"/>
  <c r="AQM25" i="30"/>
  <c r="AQN25" i="30"/>
  <c r="AQM26" i="30"/>
  <c r="AQN26" i="30"/>
  <c r="AQM27" i="30"/>
  <c r="AQN27" i="30"/>
  <c r="AQM28" i="30"/>
  <c r="AQN28" i="30"/>
  <c r="AQM29" i="30"/>
  <c r="AQN29" i="30"/>
  <c r="AQM30" i="30"/>
  <c r="AQN30" i="30"/>
  <c r="AQM31" i="30"/>
  <c r="AQN31" i="30"/>
  <c r="AQM32" i="30"/>
  <c r="AQN32" i="30"/>
  <c r="AQM33" i="30"/>
  <c r="AQN33" i="30"/>
  <c r="AQM34" i="30"/>
  <c r="AQN34" i="30"/>
  <c r="AQI8" i="30"/>
  <c r="AQJ8" i="30"/>
  <c r="AQI9" i="30"/>
  <c r="AQJ9" i="30"/>
  <c r="AQI10" i="30"/>
  <c r="AQJ10" i="30"/>
  <c r="AQI11" i="30"/>
  <c r="AQJ11" i="30"/>
  <c r="AQI12" i="30"/>
  <c r="AQJ12" i="30"/>
  <c r="AQI13" i="30"/>
  <c r="AQJ13" i="30"/>
  <c r="AQI14" i="30"/>
  <c r="AQJ14" i="30"/>
  <c r="AQI15" i="30"/>
  <c r="AQJ15" i="30"/>
  <c r="AQI16" i="30"/>
  <c r="AQJ16" i="30"/>
  <c r="AQI17" i="30"/>
  <c r="AQJ17" i="30"/>
  <c r="AQI18" i="30"/>
  <c r="AQJ18" i="30"/>
  <c r="AQI19" i="30"/>
  <c r="AQJ19" i="30"/>
  <c r="AQI20" i="30"/>
  <c r="AQJ20" i="30"/>
  <c r="AQI21" i="30"/>
  <c r="AQJ21" i="30"/>
  <c r="AQI22" i="30"/>
  <c r="AQJ22" i="30"/>
  <c r="AQI23" i="30"/>
  <c r="AQJ23" i="30"/>
  <c r="AQI24" i="30"/>
  <c r="AQJ24" i="30"/>
  <c r="AQI25" i="30"/>
  <c r="AQJ25" i="30"/>
  <c r="AQI26" i="30"/>
  <c r="AQJ26" i="30"/>
  <c r="AQI27" i="30"/>
  <c r="AQJ27" i="30"/>
  <c r="AQI28" i="30"/>
  <c r="AQJ28" i="30"/>
  <c r="AQI29" i="30"/>
  <c r="AQJ29" i="30"/>
  <c r="AQI30" i="30"/>
  <c r="AQJ30" i="30"/>
  <c r="AQI31" i="30"/>
  <c r="AQJ31" i="30"/>
  <c r="AQI32" i="30"/>
  <c r="AQJ32" i="30"/>
  <c r="AQI33" i="30"/>
  <c r="AQJ33" i="30"/>
  <c r="AQI34" i="30"/>
  <c r="AQJ34" i="30"/>
  <c r="AQR7" i="30"/>
  <c r="AQN7" i="30"/>
  <c r="AQJ7" i="30"/>
  <c r="AQQ7" i="30"/>
  <c r="AQM7" i="30"/>
  <c r="AQI7" i="30"/>
  <c r="AQE8" i="30"/>
  <c r="AQF8" i="30"/>
  <c r="AQE9" i="30"/>
  <c r="AQF9" i="30"/>
  <c r="AQE10" i="30"/>
  <c r="AQF10" i="30"/>
  <c r="AQE11" i="30"/>
  <c r="AQF11" i="30"/>
  <c r="AQE12" i="30"/>
  <c r="AQF12" i="30"/>
  <c r="AQE13" i="30"/>
  <c r="AQF13" i="30"/>
  <c r="AQE14" i="30"/>
  <c r="AQF14" i="30"/>
  <c r="AQE15" i="30"/>
  <c r="AQF15" i="30"/>
  <c r="AQE16" i="30"/>
  <c r="AQF16" i="30"/>
  <c r="AQE17" i="30"/>
  <c r="AQF17" i="30"/>
  <c r="AQE18" i="30"/>
  <c r="AQF18" i="30"/>
  <c r="AQE19" i="30"/>
  <c r="AQF19" i="30"/>
  <c r="AQE20" i="30"/>
  <c r="AQF20" i="30"/>
  <c r="AQE21" i="30"/>
  <c r="AQF21" i="30"/>
  <c r="AQE22" i="30"/>
  <c r="AQF22" i="30"/>
  <c r="AQE23" i="30"/>
  <c r="AQF23" i="30"/>
  <c r="AQE24" i="30"/>
  <c r="AQF24" i="30"/>
  <c r="AQE25" i="30"/>
  <c r="AQF25" i="30"/>
  <c r="AQE26" i="30"/>
  <c r="AQF26" i="30"/>
  <c r="AQE27" i="30"/>
  <c r="AQF27" i="30"/>
  <c r="AQE28" i="30"/>
  <c r="AQF28" i="30"/>
  <c r="AQE29" i="30"/>
  <c r="AQF29" i="30"/>
  <c r="AQE30" i="30"/>
  <c r="AQF30" i="30"/>
  <c r="AQE31" i="30"/>
  <c r="AQF31" i="30"/>
  <c r="AQE32" i="30"/>
  <c r="AQF32" i="30"/>
  <c r="AQE33" i="30"/>
  <c r="AQF33" i="30"/>
  <c r="AQE34" i="30"/>
  <c r="AQF34" i="30"/>
  <c r="AQF7" i="30"/>
  <c r="AQE7" i="30"/>
  <c r="APW8" i="30"/>
  <c r="APX8" i="30"/>
  <c r="APW9" i="30"/>
  <c r="APX9" i="30"/>
  <c r="APW10" i="30"/>
  <c r="APX10" i="30"/>
  <c r="APW11" i="30"/>
  <c r="APX11" i="30"/>
  <c r="APW12" i="30"/>
  <c r="APX12" i="30"/>
  <c r="APW13" i="30"/>
  <c r="APX13" i="30"/>
  <c r="APW14" i="30"/>
  <c r="APX14" i="30"/>
  <c r="APW15" i="30"/>
  <c r="APX15" i="30"/>
  <c r="APW16" i="30"/>
  <c r="APX16" i="30"/>
  <c r="APW17" i="30"/>
  <c r="APX17" i="30"/>
  <c r="APW18" i="30"/>
  <c r="APX18" i="30"/>
  <c r="APW19" i="30"/>
  <c r="APX19" i="30"/>
  <c r="APW20" i="30"/>
  <c r="APX20" i="30"/>
  <c r="APW21" i="30"/>
  <c r="APX21" i="30"/>
  <c r="APW22" i="30"/>
  <c r="APX22" i="30"/>
  <c r="APW23" i="30"/>
  <c r="APX23" i="30"/>
  <c r="APW24" i="30"/>
  <c r="APX24" i="30"/>
  <c r="APW25" i="30"/>
  <c r="APX25" i="30"/>
  <c r="APW26" i="30"/>
  <c r="APX26" i="30"/>
  <c r="APW27" i="30"/>
  <c r="APX27" i="30"/>
  <c r="APW28" i="30"/>
  <c r="APX28" i="30"/>
  <c r="APW29" i="30"/>
  <c r="APX29" i="30"/>
  <c r="APW30" i="30"/>
  <c r="APX30" i="30"/>
  <c r="APW31" i="30"/>
  <c r="APX31" i="30"/>
  <c r="APW32" i="30"/>
  <c r="APX32" i="30"/>
  <c r="APW33" i="30"/>
  <c r="APX33" i="30"/>
  <c r="APW34" i="30"/>
  <c r="APX34" i="30"/>
  <c r="APS8" i="30"/>
  <c r="APT8" i="30"/>
  <c r="APS9" i="30"/>
  <c r="APT9" i="30"/>
  <c r="APS10" i="30"/>
  <c r="APT10" i="30"/>
  <c r="APS11" i="30"/>
  <c r="APT11" i="30"/>
  <c r="APS12" i="30"/>
  <c r="APT12" i="30"/>
  <c r="APS13" i="30"/>
  <c r="APT13" i="30"/>
  <c r="APS14" i="30"/>
  <c r="APT14" i="30"/>
  <c r="APS15" i="30"/>
  <c r="APT15" i="30"/>
  <c r="APS16" i="30"/>
  <c r="APT16" i="30"/>
  <c r="APS17" i="30"/>
  <c r="APT17" i="30"/>
  <c r="APS18" i="30"/>
  <c r="APT18" i="30"/>
  <c r="APS19" i="30"/>
  <c r="APT19" i="30"/>
  <c r="APS20" i="30"/>
  <c r="APT20" i="30"/>
  <c r="APS21" i="30"/>
  <c r="APT21" i="30"/>
  <c r="APS22" i="30"/>
  <c r="APT22" i="30"/>
  <c r="APS23" i="30"/>
  <c r="APT23" i="30"/>
  <c r="APS24" i="30"/>
  <c r="APT24" i="30"/>
  <c r="APS25" i="30"/>
  <c r="APT25" i="30"/>
  <c r="APS26" i="30"/>
  <c r="APT26" i="30"/>
  <c r="APS27" i="30"/>
  <c r="APT27" i="30"/>
  <c r="APS28" i="30"/>
  <c r="APT28" i="30"/>
  <c r="APS29" i="30"/>
  <c r="APT29" i="30"/>
  <c r="APS30" i="30"/>
  <c r="APT30" i="30"/>
  <c r="APS31" i="30"/>
  <c r="APT31" i="30"/>
  <c r="APS32" i="30"/>
  <c r="APT32" i="30"/>
  <c r="APS33" i="30"/>
  <c r="APT33" i="30"/>
  <c r="APS34" i="30"/>
  <c r="APT34" i="30"/>
  <c r="APO8" i="30"/>
  <c r="APP8" i="30"/>
  <c r="APO9" i="30"/>
  <c r="APP9" i="30"/>
  <c r="APO10" i="30"/>
  <c r="APP10" i="30"/>
  <c r="APO11" i="30"/>
  <c r="APP11" i="30"/>
  <c r="APO12" i="30"/>
  <c r="APP12" i="30"/>
  <c r="APO13" i="30"/>
  <c r="APP13" i="30"/>
  <c r="APO14" i="30"/>
  <c r="APP14" i="30"/>
  <c r="APO15" i="30"/>
  <c r="APP15" i="30"/>
  <c r="APO16" i="30"/>
  <c r="APP16" i="30"/>
  <c r="APO17" i="30"/>
  <c r="APP17" i="30"/>
  <c r="APO18" i="30"/>
  <c r="APP18" i="30"/>
  <c r="APO19" i="30"/>
  <c r="APP19" i="30"/>
  <c r="APO20" i="30"/>
  <c r="APP20" i="30"/>
  <c r="APO21" i="30"/>
  <c r="APP21" i="30"/>
  <c r="APO22" i="30"/>
  <c r="APP22" i="30"/>
  <c r="APO23" i="30"/>
  <c r="APP23" i="30"/>
  <c r="APO24" i="30"/>
  <c r="APP24" i="30"/>
  <c r="APO25" i="30"/>
  <c r="APP25" i="30"/>
  <c r="APO26" i="30"/>
  <c r="APP26" i="30"/>
  <c r="APO27" i="30"/>
  <c r="APP27" i="30"/>
  <c r="APO28" i="30"/>
  <c r="APP28" i="30"/>
  <c r="APO29" i="30"/>
  <c r="APP29" i="30"/>
  <c r="APO30" i="30"/>
  <c r="APP30" i="30"/>
  <c r="APO31" i="30"/>
  <c r="APP31" i="30"/>
  <c r="APO32" i="30"/>
  <c r="APP32" i="30"/>
  <c r="APO33" i="30"/>
  <c r="APP33" i="30"/>
  <c r="APO34" i="30"/>
  <c r="APP34" i="30"/>
  <c r="APX7" i="30"/>
  <c r="APT7" i="30"/>
  <c r="APP7" i="30"/>
  <c r="APW7" i="30"/>
  <c r="APS7" i="30"/>
  <c r="APO7" i="30"/>
  <c r="APK8" i="30"/>
  <c r="APL8" i="30"/>
  <c r="APK9" i="30"/>
  <c r="APL9" i="30"/>
  <c r="APK10" i="30"/>
  <c r="APL10" i="30"/>
  <c r="APK11" i="30"/>
  <c r="APL11" i="30"/>
  <c r="APK12" i="30"/>
  <c r="APL12" i="30"/>
  <c r="APK13" i="30"/>
  <c r="APL13" i="30"/>
  <c r="APK14" i="30"/>
  <c r="APL14" i="30"/>
  <c r="APK15" i="30"/>
  <c r="APL15" i="30"/>
  <c r="APK16" i="30"/>
  <c r="APL16" i="30"/>
  <c r="APK17" i="30"/>
  <c r="APL17" i="30"/>
  <c r="APK18" i="30"/>
  <c r="APL18" i="30"/>
  <c r="APK19" i="30"/>
  <c r="APL19" i="30"/>
  <c r="APK20" i="30"/>
  <c r="APL20" i="30"/>
  <c r="APK21" i="30"/>
  <c r="APL21" i="30"/>
  <c r="APK22" i="30"/>
  <c r="APL22" i="30"/>
  <c r="APK23" i="30"/>
  <c r="APL23" i="30"/>
  <c r="APK24" i="30"/>
  <c r="APL24" i="30"/>
  <c r="APK25" i="30"/>
  <c r="APL25" i="30"/>
  <c r="APK26" i="30"/>
  <c r="APL26" i="30"/>
  <c r="APK27" i="30"/>
  <c r="APL27" i="30"/>
  <c r="APK28" i="30"/>
  <c r="APL28" i="30"/>
  <c r="APK29" i="30"/>
  <c r="APL29" i="30"/>
  <c r="APK30" i="30"/>
  <c r="APL30" i="30"/>
  <c r="APK31" i="30"/>
  <c r="APL31" i="30"/>
  <c r="APK32" i="30"/>
  <c r="APL32" i="30"/>
  <c r="APK33" i="30"/>
  <c r="APL33" i="30"/>
  <c r="APK34" i="30"/>
  <c r="APL34" i="30"/>
  <c r="APG8" i="30"/>
  <c r="APH8" i="30"/>
  <c r="APG9" i="30"/>
  <c r="APH9" i="30"/>
  <c r="APG10" i="30"/>
  <c r="APH10" i="30"/>
  <c r="APG11" i="30"/>
  <c r="APH11" i="30"/>
  <c r="APG12" i="30"/>
  <c r="APH12" i="30"/>
  <c r="APG13" i="30"/>
  <c r="APH13" i="30"/>
  <c r="APG14" i="30"/>
  <c r="APH14" i="30"/>
  <c r="APG15" i="30"/>
  <c r="APH15" i="30"/>
  <c r="APG16" i="30"/>
  <c r="APH16" i="30"/>
  <c r="APG17" i="30"/>
  <c r="APH17" i="30"/>
  <c r="APG18" i="30"/>
  <c r="APH18" i="30"/>
  <c r="APG19" i="30"/>
  <c r="APH19" i="30"/>
  <c r="APG20" i="30"/>
  <c r="APH20" i="30"/>
  <c r="APG21" i="30"/>
  <c r="APH21" i="30"/>
  <c r="APG22" i="30"/>
  <c r="APH22" i="30"/>
  <c r="APG23" i="30"/>
  <c r="APH23" i="30"/>
  <c r="APG24" i="30"/>
  <c r="APH24" i="30"/>
  <c r="APG25" i="30"/>
  <c r="APH25" i="30"/>
  <c r="APG26" i="30"/>
  <c r="APH26" i="30"/>
  <c r="APG27" i="30"/>
  <c r="APH27" i="30"/>
  <c r="APG28" i="30"/>
  <c r="APH28" i="30"/>
  <c r="APG29" i="30"/>
  <c r="APH29" i="30"/>
  <c r="APG30" i="30"/>
  <c r="APH30" i="30"/>
  <c r="APG31" i="30"/>
  <c r="APH31" i="30"/>
  <c r="APG32" i="30"/>
  <c r="APH32" i="30"/>
  <c r="APG33" i="30"/>
  <c r="APH33" i="30"/>
  <c r="APG34" i="30"/>
  <c r="APH34" i="30"/>
  <c r="APC8" i="30"/>
  <c r="APD8" i="30"/>
  <c r="APC9" i="30"/>
  <c r="APD9" i="30"/>
  <c r="APC10" i="30"/>
  <c r="APD10" i="30"/>
  <c r="APC11" i="30"/>
  <c r="APD11" i="30"/>
  <c r="APC12" i="30"/>
  <c r="APD12" i="30"/>
  <c r="APC13" i="30"/>
  <c r="APD13" i="30"/>
  <c r="APC14" i="30"/>
  <c r="APD14" i="30"/>
  <c r="APC15" i="30"/>
  <c r="APD15" i="30"/>
  <c r="APC16" i="30"/>
  <c r="APD16" i="30"/>
  <c r="APC17" i="30"/>
  <c r="APD17" i="30"/>
  <c r="APC18" i="30"/>
  <c r="APD18" i="30"/>
  <c r="APC19" i="30"/>
  <c r="APD19" i="30"/>
  <c r="APC20" i="30"/>
  <c r="APD20" i="30"/>
  <c r="APC21" i="30"/>
  <c r="APD21" i="30"/>
  <c r="APC22" i="30"/>
  <c r="APD22" i="30"/>
  <c r="APC23" i="30"/>
  <c r="APD23" i="30"/>
  <c r="APC24" i="30"/>
  <c r="APD24" i="30"/>
  <c r="APC25" i="30"/>
  <c r="APD25" i="30"/>
  <c r="APC26" i="30"/>
  <c r="APD26" i="30"/>
  <c r="APC27" i="30"/>
  <c r="APD27" i="30"/>
  <c r="APC28" i="30"/>
  <c r="APD28" i="30"/>
  <c r="APC29" i="30"/>
  <c r="APD29" i="30"/>
  <c r="APC30" i="30"/>
  <c r="APD30" i="30"/>
  <c r="APC31" i="30"/>
  <c r="APD31" i="30"/>
  <c r="APC32" i="30"/>
  <c r="APD32" i="30"/>
  <c r="APC33" i="30"/>
  <c r="APD33" i="30"/>
  <c r="APC34" i="30"/>
  <c r="APD34" i="30"/>
  <c r="APL7" i="30"/>
  <c r="APH7" i="30"/>
  <c r="APD7" i="30"/>
  <c r="APK7" i="30"/>
  <c r="APG7" i="30"/>
  <c r="APC7" i="30"/>
  <c r="AOY14" i="30"/>
  <c r="AOZ14" i="30"/>
  <c r="AOY15" i="30"/>
  <c r="AOZ15" i="30"/>
  <c r="AOY16" i="30"/>
  <c r="AOZ16" i="30"/>
  <c r="AOY17" i="30"/>
  <c r="AOZ17" i="30"/>
  <c r="AOY18" i="30"/>
  <c r="AOZ18" i="30"/>
  <c r="AOY19" i="30"/>
  <c r="AOZ19" i="30"/>
  <c r="AOY20" i="30"/>
  <c r="AOZ20" i="30"/>
  <c r="AOY21" i="30"/>
  <c r="AOZ21" i="30"/>
  <c r="AOY22" i="30"/>
  <c r="AOZ22" i="30"/>
  <c r="AOY23" i="30"/>
  <c r="AOZ23" i="30"/>
  <c r="AOY24" i="30"/>
  <c r="AOZ24" i="30"/>
  <c r="AOY25" i="30"/>
  <c r="AOZ25" i="30"/>
  <c r="AOY26" i="30"/>
  <c r="AOZ26" i="30"/>
  <c r="AOY27" i="30"/>
  <c r="AOZ27" i="30"/>
  <c r="AOY28" i="30"/>
  <c r="AOZ28" i="30"/>
  <c r="AOY29" i="30"/>
  <c r="AOZ29" i="30"/>
  <c r="AOY30" i="30"/>
  <c r="AOZ30" i="30"/>
  <c r="AOY31" i="30"/>
  <c r="AOZ31" i="30"/>
  <c r="AOY32" i="30"/>
  <c r="AOZ32" i="30"/>
  <c r="AOY33" i="30"/>
  <c r="AOZ33" i="30"/>
  <c r="AOY34" i="30"/>
  <c r="AOZ34" i="30"/>
  <c r="AOY8" i="30"/>
  <c r="AOZ8" i="30"/>
  <c r="AOY9" i="30"/>
  <c r="AOZ9" i="30"/>
  <c r="AOY10" i="30"/>
  <c r="AOZ10" i="30"/>
  <c r="AOY11" i="30"/>
  <c r="AOZ11" i="30"/>
  <c r="AOY12" i="30"/>
  <c r="AOZ12" i="30"/>
  <c r="AOY13" i="30"/>
  <c r="AOZ13" i="30"/>
  <c r="AOZ7" i="30"/>
  <c r="AOY7" i="30"/>
  <c r="AOQ8" i="30"/>
  <c r="AOR8" i="30"/>
  <c r="AOQ9" i="30"/>
  <c r="AOR9" i="30"/>
  <c r="AOQ10" i="30"/>
  <c r="AOR10" i="30"/>
  <c r="AOQ11" i="30"/>
  <c r="AOR11" i="30"/>
  <c r="AOQ12" i="30"/>
  <c r="AOR12" i="30"/>
  <c r="AOQ13" i="30"/>
  <c r="AOR13" i="30"/>
  <c r="AOQ14" i="30"/>
  <c r="AOR14" i="30"/>
  <c r="AOQ15" i="30"/>
  <c r="AOR15" i="30"/>
  <c r="AOQ16" i="30"/>
  <c r="AOR16" i="30"/>
  <c r="AOQ17" i="30"/>
  <c r="AOR17" i="30"/>
  <c r="AOQ18" i="30"/>
  <c r="AOR18" i="30"/>
  <c r="AOQ19" i="30"/>
  <c r="AOR19" i="30"/>
  <c r="AOQ20" i="30"/>
  <c r="AOR20" i="30"/>
  <c r="AOQ21" i="30"/>
  <c r="AOR21" i="30"/>
  <c r="AOQ22" i="30"/>
  <c r="AOR22" i="30"/>
  <c r="AOQ23" i="30"/>
  <c r="AOR23" i="30"/>
  <c r="AOQ24" i="30"/>
  <c r="AOR24" i="30"/>
  <c r="AOQ25" i="30"/>
  <c r="AOR25" i="30"/>
  <c r="AOQ26" i="30"/>
  <c r="AOR26" i="30"/>
  <c r="AOQ27" i="30"/>
  <c r="AOR27" i="30"/>
  <c r="AOQ28" i="30"/>
  <c r="AOR28" i="30"/>
  <c r="AOQ29" i="30"/>
  <c r="AOR29" i="30"/>
  <c r="AOQ30" i="30"/>
  <c r="AOR30" i="30"/>
  <c r="AOQ31" i="30"/>
  <c r="AOR31" i="30"/>
  <c r="AOQ32" i="30"/>
  <c r="AOR32" i="30"/>
  <c r="AOQ33" i="30"/>
  <c r="AOR33" i="30"/>
  <c r="AOQ34" i="30"/>
  <c r="AOR34" i="30"/>
  <c r="AOM8" i="30"/>
  <c r="AON8" i="30"/>
  <c r="AOM9" i="30"/>
  <c r="AON9" i="30"/>
  <c r="AOM10" i="30"/>
  <c r="AON10" i="30"/>
  <c r="AOM11" i="30"/>
  <c r="AON11" i="30"/>
  <c r="AOM12" i="30"/>
  <c r="AON12" i="30"/>
  <c r="AOM13" i="30"/>
  <c r="AON13" i="30"/>
  <c r="AOM14" i="30"/>
  <c r="AON14" i="30"/>
  <c r="AOM15" i="30"/>
  <c r="AON15" i="30"/>
  <c r="AOM16" i="30"/>
  <c r="AON16" i="30"/>
  <c r="AOM17" i="30"/>
  <c r="AON17" i="30"/>
  <c r="AOM18" i="30"/>
  <c r="AON18" i="30"/>
  <c r="AOM19" i="30"/>
  <c r="AON19" i="30"/>
  <c r="AOM20" i="30"/>
  <c r="AON20" i="30"/>
  <c r="AOM21" i="30"/>
  <c r="AON21" i="30"/>
  <c r="AOM22" i="30"/>
  <c r="AON22" i="30"/>
  <c r="AOM23" i="30"/>
  <c r="AON23" i="30"/>
  <c r="AOM24" i="30"/>
  <c r="AON24" i="30"/>
  <c r="AOM25" i="30"/>
  <c r="AON25" i="30"/>
  <c r="AOM26" i="30"/>
  <c r="AON26" i="30"/>
  <c r="AOM27" i="30"/>
  <c r="AON27" i="30"/>
  <c r="AOM28" i="30"/>
  <c r="AON28" i="30"/>
  <c r="AOM29" i="30"/>
  <c r="AON29" i="30"/>
  <c r="AOM30" i="30"/>
  <c r="AON30" i="30"/>
  <c r="AOM31" i="30"/>
  <c r="AON31" i="30"/>
  <c r="AOM32" i="30"/>
  <c r="AON32" i="30"/>
  <c r="AOM33" i="30"/>
  <c r="AON33" i="30"/>
  <c r="AOM34" i="30"/>
  <c r="AON34" i="30"/>
  <c r="AOI8" i="30"/>
  <c r="AOJ8" i="30"/>
  <c r="AOI9" i="30"/>
  <c r="AOJ9" i="30"/>
  <c r="AOI10" i="30"/>
  <c r="AOJ10" i="30"/>
  <c r="AOI11" i="30"/>
  <c r="AOJ11" i="30"/>
  <c r="AOI12" i="30"/>
  <c r="AOJ12" i="30"/>
  <c r="AOI13" i="30"/>
  <c r="AOJ13" i="30"/>
  <c r="AOI14" i="30"/>
  <c r="AOJ14" i="30"/>
  <c r="AOI15" i="30"/>
  <c r="AOJ15" i="30"/>
  <c r="AOI16" i="30"/>
  <c r="AOJ16" i="30"/>
  <c r="AOI17" i="30"/>
  <c r="AOJ17" i="30"/>
  <c r="AOI18" i="30"/>
  <c r="AOJ18" i="30"/>
  <c r="AOI19" i="30"/>
  <c r="AOJ19" i="30"/>
  <c r="AOI20" i="30"/>
  <c r="AOJ20" i="30"/>
  <c r="AOI21" i="30"/>
  <c r="AOJ21" i="30"/>
  <c r="AOI22" i="30"/>
  <c r="AOJ22" i="30"/>
  <c r="AOI23" i="30"/>
  <c r="AOJ23" i="30"/>
  <c r="AOI24" i="30"/>
  <c r="AOJ24" i="30"/>
  <c r="AOI25" i="30"/>
  <c r="AOJ25" i="30"/>
  <c r="AOI26" i="30"/>
  <c r="AOJ26" i="30"/>
  <c r="AOI27" i="30"/>
  <c r="AOJ27" i="30"/>
  <c r="AOI28" i="30"/>
  <c r="AOJ28" i="30"/>
  <c r="AOI29" i="30"/>
  <c r="AOJ29" i="30"/>
  <c r="AOI30" i="30"/>
  <c r="AOJ30" i="30"/>
  <c r="AOI31" i="30"/>
  <c r="AOJ31" i="30"/>
  <c r="AOI32" i="30"/>
  <c r="AOJ32" i="30"/>
  <c r="AOI33" i="30"/>
  <c r="AOJ33" i="30"/>
  <c r="AOI34" i="30"/>
  <c r="AOJ34" i="30"/>
  <c r="AOR7" i="30"/>
  <c r="AON7" i="30"/>
  <c r="AOJ7" i="30"/>
  <c r="AOQ7" i="30"/>
  <c r="AOM7" i="30"/>
  <c r="AOI7" i="30"/>
  <c r="AOE8" i="30"/>
  <c r="AOF8" i="30"/>
  <c r="AOE9" i="30"/>
  <c r="AOF9" i="30"/>
  <c r="AOE10" i="30"/>
  <c r="AOF10" i="30"/>
  <c r="AOE11" i="30"/>
  <c r="AOF11" i="30"/>
  <c r="AOE12" i="30"/>
  <c r="AOF12" i="30"/>
  <c r="AOE13" i="30"/>
  <c r="AOF13" i="30"/>
  <c r="AOE14" i="30"/>
  <c r="AOF14" i="30"/>
  <c r="AOE15" i="30"/>
  <c r="AOF15" i="30"/>
  <c r="AOE16" i="30"/>
  <c r="AOF16" i="30"/>
  <c r="AOE17" i="30"/>
  <c r="AOF17" i="30"/>
  <c r="AOE18" i="30"/>
  <c r="AOF18" i="30"/>
  <c r="AOE19" i="30"/>
  <c r="AOF19" i="30"/>
  <c r="AOE20" i="30"/>
  <c r="AOF20" i="30"/>
  <c r="AOE21" i="30"/>
  <c r="AOF21" i="30"/>
  <c r="AOE22" i="30"/>
  <c r="AOF22" i="30"/>
  <c r="AOE23" i="30"/>
  <c r="AOF23" i="30"/>
  <c r="AOE24" i="30"/>
  <c r="AOF24" i="30"/>
  <c r="AOE25" i="30"/>
  <c r="AOF25" i="30"/>
  <c r="AOE26" i="30"/>
  <c r="AOF26" i="30"/>
  <c r="AOE27" i="30"/>
  <c r="AOF27" i="30"/>
  <c r="AOE28" i="30"/>
  <c r="AOF28" i="30"/>
  <c r="AOE29" i="30"/>
  <c r="AOF29" i="30"/>
  <c r="AOE30" i="30"/>
  <c r="AOF30" i="30"/>
  <c r="AOE31" i="30"/>
  <c r="AOF31" i="30"/>
  <c r="AOE32" i="30"/>
  <c r="AOF32" i="30"/>
  <c r="AOE33" i="30"/>
  <c r="AOF33" i="30"/>
  <c r="AOE34" i="30"/>
  <c r="AOF34" i="30"/>
  <c r="AOA8" i="30"/>
  <c r="AOB8" i="30"/>
  <c r="AOA9" i="30"/>
  <c r="AOB9" i="30"/>
  <c r="AOA10" i="30"/>
  <c r="AOB10" i="30"/>
  <c r="AOA11" i="30"/>
  <c r="AOB11" i="30"/>
  <c r="AOA12" i="30"/>
  <c r="AOB12" i="30"/>
  <c r="AOA13" i="30"/>
  <c r="AOB13" i="30"/>
  <c r="AOA14" i="30"/>
  <c r="AOB14" i="30"/>
  <c r="AOA15" i="30"/>
  <c r="AOB15" i="30"/>
  <c r="AOA16" i="30"/>
  <c r="AOB16" i="30"/>
  <c r="AOA17" i="30"/>
  <c r="AOB17" i="30"/>
  <c r="AOA18" i="30"/>
  <c r="AOB18" i="30"/>
  <c r="AOA19" i="30"/>
  <c r="AOB19" i="30"/>
  <c r="AOA20" i="30"/>
  <c r="AOB20" i="30"/>
  <c r="AOA21" i="30"/>
  <c r="AOB21" i="30"/>
  <c r="AOA22" i="30"/>
  <c r="AOB22" i="30"/>
  <c r="AOA23" i="30"/>
  <c r="AOB23" i="30"/>
  <c r="AOA24" i="30"/>
  <c r="AOB24" i="30"/>
  <c r="AOA25" i="30"/>
  <c r="AOB25" i="30"/>
  <c r="AOA26" i="30"/>
  <c r="AOB26" i="30"/>
  <c r="AOA27" i="30"/>
  <c r="AOB27" i="30"/>
  <c r="AOA28" i="30"/>
  <c r="AOB28" i="30"/>
  <c r="AOA29" i="30"/>
  <c r="AOB29" i="30"/>
  <c r="AOA30" i="30"/>
  <c r="AOB30" i="30"/>
  <c r="AOA31" i="30"/>
  <c r="AOB31" i="30"/>
  <c r="AOA32" i="30"/>
  <c r="AOB32" i="30"/>
  <c r="AOA33" i="30"/>
  <c r="AOB33" i="30"/>
  <c r="AOA34" i="30"/>
  <c r="AOB34" i="30"/>
  <c r="ANW8" i="30"/>
  <c r="ANX8" i="30"/>
  <c r="ANW9" i="30"/>
  <c r="ANX9" i="30"/>
  <c r="ANW10" i="30"/>
  <c r="ANX10" i="30"/>
  <c r="ANW11" i="30"/>
  <c r="ANX11" i="30"/>
  <c r="ANW12" i="30"/>
  <c r="ANX12" i="30"/>
  <c r="ANW13" i="30"/>
  <c r="ANX13" i="30"/>
  <c r="ANW14" i="30"/>
  <c r="ANX14" i="30"/>
  <c r="ANW15" i="30"/>
  <c r="ANX15" i="30"/>
  <c r="ANW16" i="30"/>
  <c r="ANX16" i="30"/>
  <c r="ANW17" i="30"/>
  <c r="ANX17" i="30"/>
  <c r="ANW18" i="30"/>
  <c r="ANX18" i="30"/>
  <c r="ANW19" i="30"/>
  <c r="ANX19" i="30"/>
  <c r="ANW20" i="30"/>
  <c r="ANX20" i="30"/>
  <c r="ANW21" i="30"/>
  <c r="ANX21" i="30"/>
  <c r="ANW22" i="30"/>
  <c r="ANX22" i="30"/>
  <c r="ANW23" i="30"/>
  <c r="ANX23" i="30"/>
  <c r="ANW24" i="30"/>
  <c r="ANX24" i="30"/>
  <c r="ANW25" i="30"/>
  <c r="ANX25" i="30"/>
  <c r="ANW26" i="30"/>
  <c r="ANX26" i="30"/>
  <c r="ANW27" i="30"/>
  <c r="ANX27" i="30"/>
  <c r="ANW28" i="30"/>
  <c r="ANX28" i="30"/>
  <c r="ANW29" i="30"/>
  <c r="ANX29" i="30"/>
  <c r="ANW30" i="30"/>
  <c r="ANX30" i="30"/>
  <c r="ANW31" i="30"/>
  <c r="ANX31" i="30"/>
  <c r="ANW32" i="30"/>
  <c r="ANX32" i="30"/>
  <c r="ANW33" i="30"/>
  <c r="ANX33" i="30"/>
  <c r="ANW34" i="30"/>
  <c r="ANX34" i="30"/>
  <c r="AOF7" i="30"/>
  <c r="AOB7" i="30"/>
  <c r="ANX7" i="30"/>
  <c r="AOE7" i="30"/>
  <c r="AOA7" i="30"/>
  <c r="ANW7" i="30"/>
  <c r="ANS8" i="30"/>
  <c r="ANT8" i="30"/>
  <c r="ANS9" i="30"/>
  <c r="ANT9" i="30"/>
  <c r="ANS10" i="30"/>
  <c r="ANT10" i="30"/>
  <c r="ANS11" i="30"/>
  <c r="ANT11" i="30"/>
  <c r="ANS12" i="30"/>
  <c r="ANT12" i="30"/>
  <c r="ANS13" i="30"/>
  <c r="ANT13" i="30"/>
  <c r="ANS14" i="30"/>
  <c r="ANT14" i="30"/>
  <c r="ANS15" i="30"/>
  <c r="ANT15" i="30"/>
  <c r="ANS16" i="30"/>
  <c r="ANT16" i="30"/>
  <c r="ANS17" i="30"/>
  <c r="ANT17" i="30"/>
  <c r="ANS18" i="30"/>
  <c r="ANT18" i="30"/>
  <c r="ANS19" i="30"/>
  <c r="ANT19" i="30"/>
  <c r="ANS20" i="30"/>
  <c r="ANT20" i="30"/>
  <c r="ANS21" i="30"/>
  <c r="ANT21" i="30"/>
  <c r="ANS22" i="30"/>
  <c r="ANT22" i="30"/>
  <c r="ANS23" i="30"/>
  <c r="ANT23" i="30"/>
  <c r="ANS24" i="30"/>
  <c r="ANT24" i="30"/>
  <c r="ANS25" i="30"/>
  <c r="ANT25" i="30"/>
  <c r="ANS26" i="30"/>
  <c r="ANT26" i="30"/>
  <c r="ANS27" i="30"/>
  <c r="ANT27" i="30"/>
  <c r="ANS28" i="30"/>
  <c r="ANT28" i="30"/>
  <c r="ANS29" i="30"/>
  <c r="ANT29" i="30"/>
  <c r="ANS30" i="30"/>
  <c r="ANT30" i="30"/>
  <c r="ANS31" i="30"/>
  <c r="ANT31" i="30"/>
  <c r="ANS32" i="30"/>
  <c r="ANT32" i="30"/>
  <c r="ANS33" i="30"/>
  <c r="ANT33" i="30"/>
  <c r="ANS34" i="30"/>
  <c r="ANT34" i="30"/>
  <c r="ANT7" i="30"/>
  <c r="ANS7" i="30"/>
  <c r="AMN7" i="30"/>
  <c r="AMM7" i="30"/>
  <c r="ALH7" i="30"/>
  <c r="ALG7" i="30"/>
  <c r="AKB7" i="30"/>
  <c r="AKA7" i="30"/>
  <c r="AJS8" i="30"/>
  <c r="AJT8" i="30"/>
  <c r="AJS9" i="30"/>
  <c r="AJT9" i="30"/>
  <c r="AJS10" i="30"/>
  <c r="AJT10" i="30"/>
  <c r="AJS11" i="30"/>
  <c r="AJT11" i="30"/>
  <c r="AJS12" i="30"/>
  <c r="AJT12" i="30"/>
  <c r="AJS13" i="30"/>
  <c r="AJT13" i="30"/>
  <c r="AJS14" i="30"/>
  <c r="AJT14" i="30"/>
  <c r="AJS15" i="30"/>
  <c r="AJT15" i="30"/>
  <c r="AJS16" i="30"/>
  <c r="AJT16" i="30"/>
  <c r="AJS17" i="30"/>
  <c r="AJT17" i="30"/>
  <c r="AJS18" i="30"/>
  <c r="AJT18" i="30"/>
  <c r="AJS19" i="30"/>
  <c r="AJT19" i="30"/>
  <c r="AJS20" i="30"/>
  <c r="AJT20" i="30"/>
  <c r="AJS21" i="30"/>
  <c r="AJT21" i="30"/>
  <c r="AJS22" i="30"/>
  <c r="AJT22" i="30"/>
  <c r="AJS23" i="30"/>
  <c r="AJT23" i="30"/>
  <c r="AJS24" i="30"/>
  <c r="AJT24" i="30"/>
  <c r="AJS25" i="30"/>
  <c r="AJT25" i="30"/>
  <c r="AJS26" i="30"/>
  <c r="AJT26" i="30"/>
  <c r="AJS27" i="30"/>
  <c r="AJT27" i="30"/>
  <c r="AJS28" i="30"/>
  <c r="AJT28" i="30"/>
  <c r="AJS29" i="30"/>
  <c r="AJT29" i="30"/>
  <c r="AJS30" i="30"/>
  <c r="AJT30" i="30"/>
  <c r="AJS31" i="30"/>
  <c r="AJT31" i="30"/>
  <c r="AJS32" i="30"/>
  <c r="AJT32" i="30"/>
  <c r="AJS33" i="30"/>
  <c r="AJT33" i="30"/>
  <c r="AJS34" i="30"/>
  <c r="AJT34" i="30"/>
  <c r="AJO8" i="30"/>
  <c r="AJP8" i="30"/>
  <c r="AJO9" i="30"/>
  <c r="AJP9" i="30"/>
  <c r="AJO10" i="30"/>
  <c r="AJP10" i="30"/>
  <c r="AJO11" i="30"/>
  <c r="AJP11" i="30"/>
  <c r="AJO12" i="30"/>
  <c r="AJP12" i="30"/>
  <c r="AJO13" i="30"/>
  <c r="AJP13" i="30"/>
  <c r="AJO14" i="30"/>
  <c r="AJP14" i="30"/>
  <c r="AJO15" i="30"/>
  <c r="AJP15" i="30"/>
  <c r="AJO16" i="30"/>
  <c r="AJP16" i="30"/>
  <c r="AJO17" i="30"/>
  <c r="AJP17" i="30"/>
  <c r="AJO18" i="30"/>
  <c r="AJP18" i="30"/>
  <c r="AJO19" i="30"/>
  <c r="AJP19" i="30"/>
  <c r="AJO20" i="30"/>
  <c r="AJP20" i="30"/>
  <c r="AJO21" i="30"/>
  <c r="AJP21" i="30"/>
  <c r="AJO22" i="30"/>
  <c r="AJP22" i="30"/>
  <c r="AJO23" i="30"/>
  <c r="AJP23" i="30"/>
  <c r="AJO24" i="30"/>
  <c r="AJP24" i="30"/>
  <c r="AJO25" i="30"/>
  <c r="AJP25" i="30"/>
  <c r="AJO26" i="30"/>
  <c r="AJP26" i="30"/>
  <c r="AJO27" i="30"/>
  <c r="AJP27" i="30"/>
  <c r="AJO28" i="30"/>
  <c r="AJP28" i="30"/>
  <c r="AJO29" i="30"/>
  <c r="AJP29" i="30"/>
  <c r="AJO30" i="30"/>
  <c r="AJP30" i="30"/>
  <c r="AJO31" i="30"/>
  <c r="AJP31" i="30"/>
  <c r="AJO32" i="30"/>
  <c r="AJP32" i="30"/>
  <c r="AJO33" i="30"/>
  <c r="AJP33" i="30"/>
  <c r="AJO34" i="30"/>
  <c r="AJP34" i="30"/>
  <c r="AJK8" i="30"/>
  <c r="AJL8" i="30"/>
  <c r="AJK9" i="30"/>
  <c r="AJL9" i="30"/>
  <c r="AJK10" i="30"/>
  <c r="AJL10" i="30"/>
  <c r="AJK11" i="30"/>
  <c r="AJL11" i="30"/>
  <c r="AJK12" i="30"/>
  <c r="AJL12" i="30"/>
  <c r="AJK13" i="30"/>
  <c r="AJL13" i="30"/>
  <c r="AJK14" i="30"/>
  <c r="AJL14" i="30"/>
  <c r="AJK15" i="30"/>
  <c r="AJL15" i="30"/>
  <c r="AJK16" i="30"/>
  <c r="AJL16" i="30"/>
  <c r="AJK17" i="30"/>
  <c r="AJL17" i="30"/>
  <c r="AJK18" i="30"/>
  <c r="AJL18" i="30"/>
  <c r="AJK19" i="30"/>
  <c r="AJL19" i="30"/>
  <c r="AJK20" i="30"/>
  <c r="AJL20" i="30"/>
  <c r="AJK21" i="30"/>
  <c r="AJL21" i="30"/>
  <c r="AJK22" i="30"/>
  <c r="AJL22" i="30"/>
  <c r="AJK23" i="30"/>
  <c r="AJL23" i="30"/>
  <c r="AJK24" i="30"/>
  <c r="AJL24" i="30"/>
  <c r="AJK25" i="30"/>
  <c r="AJL25" i="30"/>
  <c r="AJK26" i="30"/>
  <c r="AJL26" i="30"/>
  <c r="AJK27" i="30"/>
  <c r="AJL27" i="30"/>
  <c r="AJK28" i="30"/>
  <c r="AJL28" i="30"/>
  <c r="AJK29" i="30"/>
  <c r="AJL29" i="30"/>
  <c r="AJK30" i="30"/>
  <c r="AJL30" i="30"/>
  <c r="AJK31" i="30"/>
  <c r="AJL31" i="30"/>
  <c r="AJK32" i="30"/>
  <c r="AJL32" i="30"/>
  <c r="AJK33" i="30"/>
  <c r="AJL33" i="30"/>
  <c r="AJK34" i="30"/>
  <c r="AJL34" i="30"/>
  <c r="AJT7" i="30"/>
  <c r="AJP7" i="30"/>
  <c r="AJL7" i="30"/>
  <c r="AJS7" i="30"/>
  <c r="AJO7" i="30"/>
  <c r="AJK7" i="30"/>
  <c r="AJG8" i="30"/>
  <c r="AJH8" i="30"/>
  <c r="AJG9" i="30"/>
  <c r="AJH9" i="30"/>
  <c r="AJG10" i="30"/>
  <c r="AJH10" i="30"/>
  <c r="AJG11" i="30"/>
  <c r="AJH11" i="30"/>
  <c r="AJG12" i="30"/>
  <c r="AJH12" i="30"/>
  <c r="AJG13" i="30"/>
  <c r="AJH13" i="30"/>
  <c r="AJG14" i="30"/>
  <c r="AJH14" i="30"/>
  <c r="AJG15" i="30"/>
  <c r="AJH15" i="30"/>
  <c r="AJG16" i="30"/>
  <c r="AJH16" i="30"/>
  <c r="AJG17" i="30"/>
  <c r="AJH17" i="30"/>
  <c r="AJG18" i="30"/>
  <c r="AJH18" i="30"/>
  <c r="AJG19" i="30"/>
  <c r="AJH19" i="30"/>
  <c r="AJG20" i="30"/>
  <c r="AJH20" i="30"/>
  <c r="AJG21" i="30"/>
  <c r="AJH21" i="30"/>
  <c r="AJG22" i="30"/>
  <c r="AJH22" i="30"/>
  <c r="AJG23" i="30"/>
  <c r="AJH23" i="30"/>
  <c r="AJG24" i="30"/>
  <c r="AJH24" i="30"/>
  <c r="AJG25" i="30"/>
  <c r="AJH25" i="30"/>
  <c r="AJG26" i="30"/>
  <c r="AJH26" i="30"/>
  <c r="AJG27" i="30"/>
  <c r="AJH27" i="30"/>
  <c r="AJG28" i="30"/>
  <c r="AJH28" i="30"/>
  <c r="AJG29" i="30"/>
  <c r="AJH29" i="30"/>
  <c r="AJG30" i="30"/>
  <c r="AJH30" i="30"/>
  <c r="AJG31" i="30"/>
  <c r="AJH31" i="30"/>
  <c r="AJG32" i="30"/>
  <c r="AJH32" i="30"/>
  <c r="AJG33" i="30"/>
  <c r="AJH33" i="30"/>
  <c r="AJG34" i="30"/>
  <c r="AJH34" i="30"/>
  <c r="AJC8" i="30"/>
  <c r="AJD8" i="30"/>
  <c r="AJC9" i="30"/>
  <c r="AJD9" i="30"/>
  <c r="AJC10" i="30"/>
  <c r="AJD10" i="30"/>
  <c r="AJC11" i="30"/>
  <c r="AJD11" i="30"/>
  <c r="AJC12" i="30"/>
  <c r="AJD12" i="30"/>
  <c r="AJC13" i="30"/>
  <c r="AJD13" i="30"/>
  <c r="AJC14" i="30"/>
  <c r="AJD14" i="30"/>
  <c r="AJC15" i="30"/>
  <c r="AJD15" i="30"/>
  <c r="AJC16" i="30"/>
  <c r="AJD16" i="30"/>
  <c r="AJC17" i="30"/>
  <c r="AJD17" i="30"/>
  <c r="AJC18" i="30"/>
  <c r="AJD18" i="30"/>
  <c r="AJC19" i="30"/>
  <c r="AJD19" i="30"/>
  <c r="AJC20" i="30"/>
  <c r="AJD20" i="30"/>
  <c r="AJC21" i="30"/>
  <c r="AJD21" i="30"/>
  <c r="AJC22" i="30"/>
  <c r="AJD22" i="30"/>
  <c r="AJC23" i="30"/>
  <c r="AJD23" i="30"/>
  <c r="AJC24" i="30"/>
  <c r="AJD24" i="30"/>
  <c r="AJC25" i="30"/>
  <c r="AJD25" i="30"/>
  <c r="AJC26" i="30"/>
  <c r="AJD26" i="30"/>
  <c r="AJC27" i="30"/>
  <c r="AJD27" i="30"/>
  <c r="AJC28" i="30"/>
  <c r="AJD28" i="30"/>
  <c r="AJC29" i="30"/>
  <c r="AJD29" i="30"/>
  <c r="AJC30" i="30"/>
  <c r="AJD30" i="30"/>
  <c r="AJC31" i="30"/>
  <c r="AJD31" i="30"/>
  <c r="AJC32" i="30"/>
  <c r="AJD32" i="30"/>
  <c r="AJC33" i="30"/>
  <c r="AJD33" i="30"/>
  <c r="AJC34" i="30"/>
  <c r="AJD34" i="30"/>
  <c r="AIY8" i="30"/>
  <c r="AIZ8" i="30"/>
  <c r="AIY9" i="30"/>
  <c r="AIZ9" i="30"/>
  <c r="AIY10" i="30"/>
  <c r="AIZ10" i="30"/>
  <c r="AIY11" i="30"/>
  <c r="AIZ11" i="30"/>
  <c r="AIY12" i="30"/>
  <c r="AIZ12" i="30"/>
  <c r="AIY13" i="30"/>
  <c r="AIZ13" i="30"/>
  <c r="AIY14" i="30"/>
  <c r="AIZ14" i="30"/>
  <c r="AIY15" i="30"/>
  <c r="AIZ15" i="30"/>
  <c r="AIY16" i="30"/>
  <c r="AIZ16" i="30"/>
  <c r="AIY17" i="30"/>
  <c r="AIZ17" i="30"/>
  <c r="AIY18" i="30"/>
  <c r="AIZ18" i="30"/>
  <c r="AIY19" i="30"/>
  <c r="AIZ19" i="30"/>
  <c r="AIY20" i="30"/>
  <c r="AIZ20" i="30"/>
  <c r="AIY21" i="30"/>
  <c r="AIZ21" i="30"/>
  <c r="AIY22" i="30"/>
  <c r="AIZ22" i="30"/>
  <c r="AIY23" i="30"/>
  <c r="AIZ23" i="30"/>
  <c r="AIY24" i="30"/>
  <c r="AIZ24" i="30"/>
  <c r="AIY25" i="30"/>
  <c r="AIZ25" i="30"/>
  <c r="AIY26" i="30"/>
  <c r="AIZ26" i="30"/>
  <c r="AIY27" i="30"/>
  <c r="AIZ27" i="30"/>
  <c r="AIY28" i="30"/>
  <c r="AIZ28" i="30"/>
  <c r="AIY29" i="30"/>
  <c r="AIZ29" i="30"/>
  <c r="AIY30" i="30"/>
  <c r="AIZ30" i="30"/>
  <c r="AIY31" i="30"/>
  <c r="AIZ31" i="30"/>
  <c r="AIY32" i="30"/>
  <c r="AIZ32" i="30"/>
  <c r="AIY33" i="30"/>
  <c r="AIZ33" i="30"/>
  <c r="AIY34" i="30"/>
  <c r="AIZ34" i="30"/>
  <c r="AJH7" i="30"/>
  <c r="AJD7" i="30"/>
  <c r="AIZ7" i="30"/>
  <c r="AJG7" i="30"/>
  <c r="AJC7" i="30"/>
  <c r="AIY7" i="30"/>
  <c r="AIU9" i="30"/>
  <c r="AIV9" i="30"/>
  <c r="AIU10" i="30"/>
  <c r="AIV10" i="30"/>
  <c r="AIU11" i="30"/>
  <c r="AIV11" i="30"/>
  <c r="AIU12" i="30"/>
  <c r="AIV12" i="30"/>
  <c r="AIU13" i="30"/>
  <c r="AIV13" i="30"/>
  <c r="AIU14" i="30"/>
  <c r="AIV14" i="30"/>
  <c r="AIU15" i="30"/>
  <c r="AIV15" i="30"/>
  <c r="AIU16" i="30"/>
  <c r="AIV16" i="30"/>
  <c r="AIU17" i="30"/>
  <c r="AIV17" i="30"/>
  <c r="AIU18" i="30"/>
  <c r="AIV18" i="30"/>
  <c r="AIU19" i="30"/>
  <c r="AIV19" i="30"/>
  <c r="AIU20" i="30"/>
  <c r="AIV20" i="30"/>
  <c r="AIU21" i="30"/>
  <c r="AIV21" i="30"/>
  <c r="AIU22" i="30"/>
  <c r="AIV22" i="30"/>
  <c r="AIU23" i="30"/>
  <c r="AIV23" i="30"/>
  <c r="AIU24" i="30"/>
  <c r="AIV24" i="30"/>
  <c r="AIU25" i="30"/>
  <c r="AIV25" i="30"/>
  <c r="AIU26" i="30"/>
  <c r="AIV26" i="30"/>
  <c r="AIU27" i="30"/>
  <c r="AIV27" i="30"/>
  <c r="AIU28" i="30"/>
  <c r="AIV28" i="30"/>
  <c r="AIU29" i="30"/>
  <c r="AIV29" i="30"/>
  <c r="AIU30" i="30"/>
  <c r="AIV30" i="30"/>
  <c r="AIU31" i="30"/>
  <c r="AIV31" i="30"/>
  <c r="AIU32" i="30"/>
  <c r="AIV32" i="30"/>
  <c r="AIU33" i="30"/>
  <c r="AIV33" i="30"/>
  <c r="AIU34" i="30"/>
  <c r="AIV34" i="30"/>
  <c r="AIU35" i="30"/>
  <c r="AIV35" i="30"/>
  <c r="AIU8" i="30"/>
  <c r="AIV8" i="30"/>
  <c r="AIV7" i="30"/>
  <c r="AIU7" i="30"/>
  <c r="AIN8" i="30"/>
  <c r="AIN9" i="30"/>
  <c r="AIN10" i="30"/>
  <c r="AIN11" i="30"/>
  <c r="AIN12" i="30"/>
  <c r="AIN13" i="30"/>
  <c r="AIN14" i="30"/>
  <c r="AIN15" i="30"/>
  <c r="AIN16" i="30"/>
  <c r="AIN17" i="30"/>
  <c r="AIN18" i="30"/>
  <c r="AIN19" i="30"/>
  <c r="AIN20" i="30"/>
  <c r="AIN21" i="30"/>
  <c r="AIN22" i="30"/>
  <c r="AIN23" i="30"/>
  <c r="AIN24" i="30"/>
  <c r="AIN25" i="30"/>
  <c r="AIN26" i="30"/>
  <c r="AIN27" i="30"/>
  <c r="AIN28" i="30"/>
  <c r="AIN29" i="30"/>
  <c r="AIN30" i="30"/>
  <c r="AIN31" i="30"/>
  <c r="AIN32" i="30"/>
  <c r="AIN33" i="30"/>
  <c r="AIN34" i="30"/>
  <c r="AIN35" i="30"/>
  <c r="AIM8" i="30"/>
  <c r="AIM9" i="30"/>
  <c r="AIM10" i="30"/>
  <c r="AIM11" i="30"/>
  <c r="AIM12" i="30"/>
  <c r="AIM13" i="30"/>
  <c r="AIM14" i="30"/>
  <c r="AIM15" i="30"/>
  <c r="AIM16" i="30"/>
  <c r="AIM17" i="30"/>
  <c r="AIM18" i="30"/>
  <c r="AIM19" i="30"/>
  <c r="AIM20" i="30"/>
  <c r="AIM21" i="30"/>
  <c r="AIM22" i="30"/>
  <c r="AIM23" i="30"/>
  <c r="AIM24" i="30"/>
  <c r="AIM25" i="30"/>
  <c r="AIM26" i="30"/>
  <c r="AIM27" i="30"/>
  <c r="AIM28" i="30"/>
  <c r="AIM29" i="30"/>
  <c r="AIM30" i="30"/>
  <c r="AIM31" i="30"/>
  <c r="AIM32" i="30"/>
  <c r="AIM33" i="30"/>
  <c r="AIM34" i="30"/>
  <c r="AIJ8" i="30"/>
  <c r="AIJ9" i="30"/>
  <c r="AIJ10" i="30"/>
  <c r="AIJ11" i="30"/>
  <c r="AIJ12" i="30"/>
  <c r="AIJ13" i="30"/>
  <c r="AIJ14" i="30"/>
  <c r="AIJ15" i="30"/>
  <c r="AIJ16" i="30"/>
  <c r="AIJ17" i="30"/>
  <c r="AIJ18" i="30"/>
  <c r="AIJ19" i="30"/>
  <c r="AIJ20" i="30"/>
  <c r="AIJ21" i="30"/>
  <c r="AIJ22" i="30"/>
  <c r="AIJ23" i="30"/>
  <c r="AIJ24" i="30"/>
  <c r="AIJ25" i="30"/>
  <c r="AIJ26" i="30"/>
  <c r="AIJ27" i="30"/>
  <c r="AIJ28" i="30"/>
  <c r="AIJ29" i="30"/>
  <c r="AIJ30" i="30"/>
  <c r="AIJ31" i="30"/>
  <c r="AIJ32" i="30"/>
  <c r="AIJ33" i="30"/>
  <c r="AIJ34" i="30"/>
  <c r="AIJ35" i="30"/>
  <c r="AII8" i="30"/>
  <c r="AII9" i="30"/>
  <c r="AII10" i="30"/>
  <c r="AII11" i="30"/>
  <c r="AII12" i="30"/>
  <c r="AII13" i="30"/>
  <c r="AII14" i="30"/>
  <c r="AII15" i="30"/>
  <c r="AII16" i="30"/>
  <c r="AII17" i="30"/>
  <c r="AII18" i="30"/>
  <c r="AII19" i="30"/>
  <c r="AII20" i="30"/>
  <c r="AII21" i="30"/>
  <c r="AII22" i="30"/>
  <c r="AII23" i="30"/>
  <c r="AII24" i="30"/>
  <c r="AII25" i="30"/>
  <c r="AII26" i="30"/>
  <c r="AII27" i="30"/>
  <c r="AII28" i="30"/>
  <c r="AII29" i="30"/>
  <c r="AII30" i="30"/>
  <c r="AII31" i="30"/>
  <c r="AII32" i="30"/>
  <c r="AII33" i="30"/>
  <c r="AII34" i="30"/>
  <c r="AIF8" i="30"/>
  <c r="AIF9" i="30"/>
  <c r="AIF10" i="30"/>
  <c r="AIF11" i="30"/>
  <c r="AIF12" i="30"/>
  <c r="AIF13" i="30"/>
  <c r="AIF14" i="30"/>
  <c r="AIF15" i="30"/>
  <c r="AIF16" i="30"/>
  <c r="AIF17" i="30"/>
  <c r="AIF18" i="30"/>
  <c r="AIF19" i="30"/>
  <c r="AIF20" i="30"/>
  <c r="AIF21" i="30"/>
  <c r="AIF22" i="30"/>
  <c r="AIF23" i="30"/>
  <c r="AIF24" i="30"/>
  <c r="AIF25" i="30"/>
  <c r="AIF26" i="30"/>
  <c r="AIF27" i="30"/>
  <c r="AIF28" i="30"/>
  <c r="AIF29" i="30"/>
  <c r="AIF30" i="30"/>
  <c r="AIF31" i="30"/>
  <c r="AIF32" i="30"/>
  <c r="AIF33" i="30"/>
  <c r="AIF34" i="30"/>
  <c r="AIF35" i="30"/>
  <c r="AIE8" i="30"/>
  <c r="AIE9" i="30"/>
  <c r="AIE10" i="30"/>
  <c r="AIE11" i="30"/>
  <c r="AIE12" i="30"/>
  <c r="AIE13" i="30"/>
  <c r="AIE14" i="30"/>
  <c r="AIE15" i="30"/>
  <c r="AIE16" i="30"/>
  <c r="AIE17" i="30"/>
  <c r="AIE18" i="30"/>
  <c r="AIE19" i="30"/>
  <c r="AIE20" i="30"/>
  <c r="AIE21" i="30"/>
  <c r="AIE22" i="30"/>
  <c r="AIE23" i="30"/>
  <c r="AIE24" i="30"/>
  <c r="AIE25" i="30"/>
  <c r="AIE26" i="30"/>
  <c r="AIE27" i="30"/>
  <c r="AIE28" i="30"/>
  <c r="AIE29" i="30"/>
  <c r="AIE30" i="30"/>
  <c r="AIE31" i="30"/>
  <c r="AIE32" i="30"/>
  <c r="AIE33" i="30"/>
  <c r="AIE34" i="30"/>
  <c r="AIN7" i="30"/>
  <c r="AIJ7" i="30"/>
  <c r="AIF7" i="30"/>
  <c r="AIM7" i="30"/>
  <c r="AII7" i="30"/>
  <c r="AIE7" i="30"/>
  <c r="AIB8" i="30"/>
  <c r="AIB9" i="30"/>
  <c r="AIB10" i="30"/>
  <c r="AIB11" i="30"/>
  <c r="AIB12" i="30"/>
  <c r="AIB13" i="30"/>
  <c r="AIB14" i="30"/>
  <c r="AIB15" i="30"/>
  <c r="AIB16" i="30"/>
  <c r="AIB17" i="30"/>
  <c r="AIB18" i="30"/>
  <c r="AIB19" i="30"/>
  <c r="AIB20" i="30"/>
  <c r="AIB21" i="30"/>
  <c r="AIB22" i="30"/>
  <c r="AIB23" i="30"/>
  <c r="AIB24" i="30"/>
  <c r="AIB25" i="30"/>
  <c r="AIB26" i="30"/>
  <c r="AIB27" i="30"/>
  <c r="AIB28" i="30"/>
  <c r="AIB29" i="30"/>
  <c r="AIB30" i="30"/>
  <c r="AIB31" i="30"/>
  <c r="AIB32" i="30"/>
  <c r="AIB33" i="30"/>
  <c r="AIB34" i="30"/>
  <c r="AIB35" i="30"/>
  <c r="AIA8" i="30"/>
  <c r="AIA9" i="30"/>
  <c r="AIA10" i="30"/>
  <c r="AIA11" i="30"/>
  <c r="AIA12" i="30"/>
  <c r="AIA13" i="30"/>
  <c r="AIA14" i="30"/>
  <c r="AIA15" i="30"/>
  <c r="AIA16" i="30"/>
  <c r="AIA17" i="30"/>
  <c r="AIA18" i="30"/>
  <c r="AIA19" i="30"/>
  <c r="AIA20" i="30"/>
  <c r="AIA21" i="30"/>
  <c r="AIA22" i="30"/>
  <c r="AIA23" i="30"/>
  <c r="AIA24" i="30"/>
  <c r="AIA25" i="30"/>
  <c r="AIA26" i="30"/>
  <c r="AIA27" i="30"/>
  <c r="AIA28" i="30"/>
  <c r="AIA29" i="30"/>
  <c r="AIA30" i="30"/>
  <c r="AIA31" i="30"/>
  <c r="AIA32" i="30"/>
  <c r="AIA33" i="30"/>
  <c r="AIA34" i="30"/>
  <c r="AHX8" i="30"/>
  <c r="AHX9" i="30"/>
  <c r="AHX10" i="30"/>
  <c r="AHX11" i="30"/>
  <c r="AHX12" i="30"/>
  <c r="AHX13" i="30"/>
  <c r="AHX14" i="30"/>
  <c r="AHX15" i="30"/>
  <c r="AHX16" i="30"/>
  <c r="AHX17" i="30"/>
  <c r="AHX18" i="30"/>
  <c r="AHX19" i="30"/>
  <c r="AHX20" i="30"/>
  <c r="AHX21" i="30"/>
  <c r="AHX22" i="30"/>
  <c r="AHX23" i="30"/>
  <c r="AHX24" i="30"/>
  <c r="AHX25" i="30"/>
  <c r="AHX26" i="30"/>
  <c r="AHX27" i="30"/>
  <c r="AHX28" i="30"/>
  <c r="AHX29" i="30"/>
  <c r="AHX30" i="30"/>
  <c r="AHX31" i="30"/>
  <c r="AHX32" i="30"/>
  <c r="AHX33" i="30"/>
  <c r="AHX34" i="30"/>
  <c r="AHX35" i="30"/>
  <c r="AHW8" i="30"/>
  <c r="AHW9" i="30"/>
  <c r="AHW10" i="30"/>
  <c r="AHW11" i="30"/>
  <c r="AHW12" i="30"/>
  <c r="AHW13" i="30"/>
  <c r="AHW14" i="30"/>
  <c r="AHW15" i="30"/>
  <c r="AHW16" i="30"/>
  <c r="AHW17" i="30"/>
  <c r="AHW18" i="30"/>
  <c r="AHW19" i="30"/>
  <c r="AHW20" i="30"/>
  <c r="AHW21" i="30"/>
  <c r="AHW22" i="30"/>
  <c r="AHW23" i="30"/>
  <c r="AHW24" i="30"/>
  <c r="AHW25" i="30"/>
  <c r="AHW26" i="30"/>
  <c r="AHW27" i="30"/>
  <c r="AHW28" i="30"/>
  <c r="AHW29" i="30"/>
  <c r="AHW30" i="30"/>
  <c r="AHW31" i="30"/>
  <c r="AHW32" i="30"/>
  <c r="AHW33" i="30"/>
  <c r="AHW34" i="30"/>
  <c r="AHT8" i="30"/>
  <c r="AHT9" i="30"/>
  <c r="AHT10" i="30"/>
  <c r="AHT11" i="30"/>
  <c r="AHT12" i="30"/>
  <c r="AHT13" i="30"/>
  <c r="AHT14" i="30"/>
  <c r="AHT15" i="30"/>
  <c r="AHT16" i="30"/>
  <c r="AHT17" i="30"/>
  <c r="AHT18" i="30"/>
  <c r="AHT19" i="30"/>
  <c r="AHT20" i="30"/>
  <c r="AHT21" i="30"/>
  <c r="AHT22" i="30"/>
  <c r="AHT23" i="30"/>
  <c r="AHT24" i="30"/>
  <c r="AHT25" i="30"/>
  <c r="AHT26" i="30"/>
  <c r="AHT27" i="30"/>
  <c r="AHT28" i="30"/>
  <c r="AHT29" i="30"/>
  <c r="AHT30" i="30"/>
  <c r="AHT31" i="30"/>
  <c r="AHT32" i="30"/>
  <c r="AHT33" i="30"/>
  <c r="AHT34" i="30"/>
  <c r="AHT35" i="30"/>
  <c r="AHS8" i="30"/>
  <c r="AHS9" i="30"/>
  <c r="AHS10" i="30"/>
  <c r="AHS11" i="30"/>
  <c r="AHS12" i="30"/>
  <c r="AHS13" i="30"/>
  <c r="AHS14" i="30"/>
  <c r="AHS15" i="30"/>
  <c r="AHS16" i="30"/>
  <c r="AHS17" i="30"/>
  <c r="AHS18" i="30"/>
  <c r="AHS19" i="30"/>
  <c r="AHS20" i="30"/>
  <c r="AHS21" i="30"/>
  <c r="AHS22" i="30"/>
  <c r="AHS23" i="30"/>
  <c r="AHS24" i="30"/>
  <c r="AHS25" i="30"/>
  <c r="AHS26" i="30"/>
  <c r="AHS27" i="30"/>
  <c r="AHS28" i="30"/>
  <c r="AHS29" i="30"/>
  <c r="AHS30" i="30"/>
  <c r="AHS31" i="30"/>
  <c r="AHS32" i="30"/>
  <c r="AHS33" i="30"/>
  <c r="AHS34" i="30"/>
  <c r="AIB7" i="30"/>
  <c r="AHX7" i="30"/>
  <c r="AHT7" i="30"/>
  <c r="AIA7" i="30"/>
  <c r="AHW7" i="30"/>
  <c r="AHS7" i="30"/>
  <c r="AHP8" i="30"/>
  <c r="AHP9" i="30"/>
  <c r="AHP10" i="30"/>
  <c r="AHP11" i="30"/>
  <c r="AHP12" i="30"/>
  <c r="AHP13" i="30"/>
  <c r="AHP14" i="30"/>
  <c r="AHP15" i="30"/>
  <c r="AHP16" i="30"/>
  <c r="AHP17" i="30"/>
  <c r="AHP18" i="30"/>
  <c r="AHP19" i="30"/>
  <c r="AHP20" i="30"/>
  <c r="AHP21" i="30"/>
  <c r="AHP22" i="30"/>
  <c r="AHP23" i="30"/>
  <c r="AHP24" i="30"/>
  <c r="AHP25" i="30"/>
  <c r="AHP26" i="30"/>
  <c r="AHP27" i="30"/>
  <c r="AHP28" i="30"/>
  <c r="AHP29" i="30"/>
  <c r="AHP30" i="30"/>
  <c r="AHP31" i="30"/>
  <c r="AHP32" i="30"/>
  <c r="AHP33" i="30"/>
  <c r="AHP34" i="30"/>
  <c r="AHP35" i="30"/>
  <c r="AHO8" i="30"/>
  <c r="AHO9" i="30"/>
  <c r="AHO10" i="30"/>
  <c r="AHO11" i="30"/>
  <c r="AHO12" i="30"/>
  <c r="AHO13" i="30"/>
  <c r="AHO14" i="30"/>
  <c r="AHO15" i="30"/>
  <c r="AHO16" i="30"/>
  <c r="AHO17" i="30"/>
  <c r="AHO18" i="30"/>
  <c r="AHO19" i="30"/>
  <c r="AHO20" i="30"/>
  <c r="AHO21" i="30"/>
  <c r="AHO22" i="30"/>
  <c r="AHO23" i="30"/>
  <c r="AHO24" i="30"/>
  <c r="AHO25" i="30"/>
  <c r="AHO26" i="30"/>
  <c r="AHO27" i="30"/>
  <c r="AHO28" i="30"/>
  <c r="AHO29" i="30"/>
  <c r="AHO30" i="30"/>
  <c r="AHO31" i="30"/>
  <c r="AHO32" i="30"/>
  <c r="AHO33" i="30"/>
  <c r="AHO34" i="30"/>
  <c r="AHO35" i="30"/>
  <c r="AHP7" i="30"/>
  <c r="AHO7" i="30"/>
  <c r="AHH8" i="30"/>
  <c r="AHH9" i="30"/>
  <c r="AHH10" i="30"/>
  <c r="AHH11" i="30"/>
  <c r="AHH12" i="30"/>
  <c r="AHH13" i="30"/>
  <c r="AHH14" i="30"/>
  <c r="AHH15" i="30"/>
  <c r="AHH16" i="30"/>
  <c r="AHH17" i="30"/>
  <c r="AHH18" i="30"/>
  <c r="AHH19" i="30"/>
  <c r="AHH20" i="30"/>
  <c r="AHH21" i="30"/>
  <c r="AHH22" i="30"/>
  <c r="AHH23" i="30"/>
  <c r="AHH24" i="30"/>
  <c r="AHH25" i="30"/>
  <c r="AHH26" i="30"/>
  <c r="AHH27" i="30"/>
  <c r="AHH28" i="30"/>
  <c r="AHH29" i="30"/>
  <c r="AHH30" i="30"/>
  <c r="AHH31" i="30"/>
  <c r="AHH32" i="30"/>
  <c r="AHH33" i="30"/>
  <c r="AHH34" i="30"/>
  <c r="AHH35" i="30"/>
  <c r="AHG8" i="30"/>
  <c r="AHG9" i="30"/>
  <c r="AHG10" i="30"/>
  <c r="AHG11" i="30"/>
  <c r="AHG12" i="30"/>
  <c r="AHG13" i="30"/>
  <c r="AHG14" i="30"/>
  <c r="AHG15" i="30"/>
  <c r="AHG16" i="30"/>
  <c r="AHG17" i="30"/>
  <c r="AHG18" i="30"/>
  <c r="AHG19" i="30"/>
  <c r="AHG20" i="30"/>
  <c r="AHG21" i="30"/>
  <c r="AHG22" i="30"/>
  <c r="AHG23" i="30"/>
  <c r="AHG24" i="30"/>
  <c r="AHG25" i="30"/>
  <c r="AHG26" i="30"/>
  <c r="AHG27" i="30"/>
  <c r="AHG28" i="30"/>
  <c r="AHG29" i="30"/>
  <c r="AHG30" i="30"/>
  <c r="AHG31" i="30"/>
  <c r="AHG32" i="30"/>
  <c r="AHG33" i="30"/>
  <c r="AHG34" i="30"/>
  <c r="AHD8" i="30"/>
  <c r="AHD9" i="30"/>
  <c r="AHD10" i="30"/>
  <c r="AHD11" i="30"/>
  <c r="AHD12" i="30"/>
  <c r="AHD13" i="30"/>
  <c r="AHD14" i="30"/>
  <c r="AHD15" i="30"/>
  <c r="AHD16" i="30"/>
  <c r="AHD17" i="30"/>
  <c r="AHD18" i="30"/>
  <c r="AHD19" i="30"/>
  <c r="AHD20" i="30"/>
  <c r="AHD21" i="30"/>
  <c r="AHD22" i="30"/>
  <c r="AHD23" i="30"/>
  <c r="AHD24" i="30"/>
  <c r="AHD25" i="30"/>
  <c r="AHD26" i="30"/>
  <c r="AHD27" i="30"/>
  <c r="AHD28" i="30"/>
  <c r="AHD29" i="30"/>
  <c r="AHD30" i="30"/>
  <c r="AHD31" i="30"/>
  <c r="AHD32" i="30"/>
  <c r="AHD33" i="30"/>
  <c r="AHD34" i="30"/>
  <c r="AHD35" i="30"/>
  <c r="AHC8" i="30"/>
  <c r="AHC9" i="30"/>
  <c r="AHC10" i="30"/>
  <c r="AHC11" i="30"/>
  <c r="AHC12" i="30"/>
  <c r="AHC13" i="30"/>
  <c r="AHC14" i="30"/>
  <c r="AHC15" i="30"/>
  <c r="AHC16" i="30"/>
  <c r="AHC17" i="30"/>
  <c r="AHC18" i="30"/>
  <c r="AHC19" i="30"/>
  <c r="AHC20" i="30"/>
  <c r="AHC21" i="30"/>
  <c r="AHC22" i="30"/>
  <c r="AHC23" i="30"/>
  <c r="AHC24" i="30"/>
  <c r="AHC25" i="30"/>
  <c r="AHC26" i="30"/>
  <c r="AHC27" i="30"/>
  <c r="AHC28" i="30"/>
  <c r="AHC29" i="30"/>
  <c r="AHC30" i="30"/>
  <c r="AHC31" i="30"/>
  <c r="AHC32" i="30"/>
  <c r="AHC33" i="30"/>
  <c r="AHC34" i="30"/>
  <c r="AGZ8" i="30"/>
  <c r="AGZ9" i="30"/>
  <c r="AGZ10" i="30"/>
  <c r="AGZ11" i="30"/>
  <c r="AGZ12" i="30"/>
  <c r="AGZ13" i="30"/>
  <c r="AGZ14" i="30"/>
  <c r="AGZ15" i="30"/>
  <c r="AGZ16" i="30"/>
  <c r="AGZ17" i="30"/>
  <c r="AGZ18" i="30"/>
  <c r="AGZ19" i="30"/>
  <c r="AGZ20" i="30"/>
  <c r="AGZ21" i="30"/>
  <c r="AGZ22" i="30"/>
  <c r="AGZ23" i="30"/>
  <c r="AGZ24" i="30"/>
  <c r="AGZ25" i="30"/>
  <c r="AGZ26" i="30"/>
  <c r="AGZ27" i="30"/>
  <c r="AGZ28" i="30"/>
  <c r="AGZ29" i="30"/>
  <c r="AGZ30" i="30"/>
  <c r="AGZ31" i="30"/>
  <c r="AGZ32" i="30"/>
  <c r="AGZ33" i="30"/>
  <c r="AGZ34" i="30"/>
  <c r="AGZ35" i="30"/>
  <c r="AGY8" i="30"/>
  <c r="AGY9" i="30"/>
  <c r="AGY10" i="30"/>
  <c r="AGY11" i="30"/>
  <c r="AGY12" i="30"/>
  <c r="AGY13" i="30"/>
  <c r="AGY14" i="30"/>
  <c r="AGY15" i="30"/>
  <c r="AGY16" i="30"/>
  <c r="AGY17" i="30"/>
  <c r="AGY18" i="30"/>
  <c r="AGY19" i="30"/>
  <c r="AGY20" i="30"/>
  <c r="AGY21" i="30"/>
  <c r="AGY22" i="30"/>
  <c r="AGY23" i="30"/>
  <c r="AGY24" i="30"/>
  <c r="AGY25" i="30"/>
  <c r="AGY26" i="30"/>
  <c r="AGY27" i="30"/>
  <c r="AGY28" i="30"/>
  <c r="AGY29" i="30"/>
  <c r="AGY30" i="30"/>
  <c r="AGY31" i="30"/>
  <c r="AGY32" i="30"/>
  <c r="AGY33" i="30"/>
  <c r="AGY34" i="30"/>
  <c r="AHH7" i="30"/>
  <c r="AHD7" i="30"/>
  <c r="AGZ7" i="30"/>
  <c r="AHG7" i="30"/>
  <c r="AHC7" i="30"/>
  <c r="AGY7" i="30"/>
  <c r="AGV8" i="30"/>
  <c r="AGV9" i="30"/>
  <c r="AGV10" i="30"/>
  <c r="AGV11" i="30"/>
  <c r="AGV12" i="30"/>
  <c r="AGV13" i="30"/>
  <c r="AGV14" i="30"/>
  <c r="AGV15" i="30"/>
  <c r="AGV16" i="30"/>
  <c r="AGV17" i="30"/>
  <c r="AGV18" i="30"/>
  <c r="AGV19" i="30"/>
  <c r="AGV20" i="30"/>
  <c r="AGV21" i="30"/>
  <c r="AGV22" i="30"/>
  <c r="AGV23" i="30"/>
  <c r="AGV24" i="30"/>
  <c r="AGV25" i="30"/>
  <c r="AGV26" i="30"/>
  <c r="AGV27" i="30"/>
  <c r="AGV28" i="30"/>
  <c r="AGV29" i="30"/>
  <c r="AGV30" i="30"/>
  <c r="AGV31" i="30"/>
  <c r="AGV32" i="30"/>
  <c r="AGV33" i="30"/>
  <c r="AGV34" i="30"/>
  <c r="AGV35" i="30"/>
  <c r="AGU8" i="30"/>
  <c r="AGU9" i="30"/>
  <c r="AGU10" i="30"/>
  <c r="AGU11" i="30"/>
  <c r="AGU12" i="30"/>
  <c r="AGU13" i="30"/>
  <c r="AGU14" i="30"/>
  <c r="AGU15" i="30"/>
  <c r="AGU16" i="30"/>
  <c r="AGU17" i="30"/>
  <c r="AGU18" i="30"/>
  <c r="AGU19" i="30"/>
  <c r="AGU20" i="30"/>
  <c r="AGU21" i="30"/>
  <c r="AGU22" i="30"/>
  <c r="AGU23" i="30"/>
  <c r="AGU24" i="30"/>
  <c r="AGU25" i="30"/>
  <c r="AGU26" i="30"/>
  <c r="AGU27" i="30"/>
  <c r="AGU28" i="30"/>
  <c r="AGU29" i="30"/>
  <c r="AGU30" i="30"/>
  <c r="AGU31" i="30"/>
  <c r="AGU32" i="30"/>
  <c r="AGU33" i="30"/>
  <c r="AGU34" i="30"/>
  <c r="AGR8" i="30"/>
  <c r="AGR9" i="30"/>
  <c r="AGR10" i="30"/>
  <c r="AGR11" i="30"/>
  <c r="AGR12" i="30"/>
  <c r="AGR13" i="30"/>
  <c r="AGR14" i="30"/>
  <c r="AGR15" i="30"/>
  <c r="AGR16" i="30"/>
  <c r="AGR17" i="30"/>
  <c r="AGR18" i="30"/>
  <c r="AGR19" i="30"/>
  <c r="AGR20" i="30"/>
  <c r="AGR21" i="30"/>
  <c r="AGR22" i="30"/>
  <c r="AGR23" i="30"/>
  <c r="AGR24" i="30"/>
  <c r="AGR25" i="30"/>
  <c r="AGR26" i="30"/>
  <c r="AGR27" i="30"/>
  <c r="AGR28" i="30"/>
  <c r="AGR29" i="30"/>
  <c r="AGR30" i="30"/>
  <c r="AGR31" i="30"/>
  <c r="AGR32" i="30"/>
  <c r="AGR33" i="30"/>
  <c r="AGR34" i="30"/>
  <c r="AGR35" i="30"/>
  <c r="AGQ8" i="30"/>
  <c r="AGQ9" i="30"/>
  <c r="AGQ10" i="30"/>
  <c r="AGQ11" i="30"/>
  <c r="AGQ12" i="30"/>
  <c r="AGQ13" i="30"/>
  <c r="AGQ14" i="30"/>
  <c r="AGQ15" i="30"/>
  <c r="AGQ16" i="30"/>
  <c r="AGQ17" i="30"/>
  <c r="AGQ18" i="30"/>
  <c r="AGQ19" i="30"/>
  <c r="AGQ20" i="30"/>
  <c r="AGQ21" i="30"/>
  <c r="AGQ22" i="30"/>
  <c r="AGQ23" i="30"/>
  <c r="AGQ24" i="30"/>
  <c r="AGQ25" i="30"/>
  <c r="AGQ26" i="30"/>
  <c r="AGQ27" i="30"/>
  <c r="AGQ28" i="30"/>
  <c r="AGQ29" i="30"/>
  <c r="AGQ30" i="30"/>
  <c r="AGQ31" i="30"/>
  <c r="AGQ32" i="30"/>
  <c r="AGQ33" i="30"/>
  <c r="AGQ34" i="30"/>
  <c r="AGN8" i="30"/>
  <c r="AGN9" i="30"/>
  <c r="AGN10" i="30"/>
  <c r="AGN11" i="30"/>
  <c r="AGN12" i="30"/>
  <c r="AGN13" i="30"/>
  <c r="AGN14" i="30"/>
  <c r="AGN15" i="30"/>
  <c r="AGN16" i="30"/>
  <c r="AGN17" i="30"/>
  <c r="AGN18" i="30"/>
  <c r="AGN19" i="30"/>
  <c r="AGN20" i="30"/>
  <c r="AGN21" i="30"/>
  <c r="AGN22" i="30"/>
  <c r="AGN23" i="30"/>
  <c r="AGN24" i="30"/>
  <c r="AGN25" i="30"/>
  <c r="AGN26" i="30"/>
  <c r="AGN27" i="30"/>
  <c r="AGN28" i="30"/>
  <c r="AGN29" i="30"/>
  <c r="AGN30" i="30"/>
  <c r="AGN31" i="30"/>
  <c r="AGN32" i="30"/>
  <c r="AGN33" i="30"/>
  <c r="AGN34" i="30"/>
  <c r="AGN35" i="30"/>
  <c r="AGM8" i="30"/>
  <c r="AGM9" i="30"/>
  <c r="AGM10" i="30"/>
  <c r="AGM11" i="30"/>
  <c r="AGM12" i="30"/>
  <c r="AGM13" i="30"/>
  <c r="AGM14" i="30"/>
  <c r="AGM15" i="30"/>
  <c r="AGM16" i="30"/>
  <c r="AGM17" i="30"/>
  <c r="AGM18" i="30"/>
  <c r="AGM19" i="30"/>
  <c r="AGM20" i="30"/>
  <c r="AGM21" i="30"/>
  <c r="AGM22" i="30"/>
  <c r="AGM23" i="30"/>
  <c r="AGM24" i="30"/>
  <c r="AGM25" i="30"/>
  <c r="AGM26" i="30"/>
  <c r="AGM27" i="30"/>
  <c r="AGM28" i="30"/>
  <c r="AGM29" i="30"/>
  <c r="AGM30" i="30"/>
  <c r="AGM31" i="30"/>
  <c r="AGM32" i="30"/>
  <c r="AGM33" i="30"/>
  <c r="AGM34" i="30"/>
  <c r="AGJ8" i="30"/>
  <c r="AGJ9" i="30"/>
  <c r="AGJ10" i="30"/>
  <c r="AGJ11" i="30"/>
  <c r="AGJ12" i="30"/>
  <c r="AGJ13" i="30"/>
  <c r="AGJ14" i="30"/>
  <c r="AGJ15" i="30"/>
  <c r="AGJ16" i="30"/>
  <c r="AGJ17" i="30"/>
  <c r="AGJ18" i="30"/>
  <c r="AGJ19" i="30"/>
  <c r="AGJ20" i="30"/>
  <c r="AGJ21" i="30"/>
  <c r="AGJ22" i="30"/>
  <c r="AGJ23" i="30"/>
  <c r="AGJ24" i="30"/>
  <c r="AGJ25" i="30"/>
  <c r="AGJ26" i="30"/>
  <c r="AGJ27" i="30"/>
  <c r="AGJ28" i="30"/>
  <c r="AGJ29" i="30"/>
  <c r="AGJ30" i="30"/>
  <c r="AGJ31" i="30"/>
  <c r="AGJ32" i="30"/>
  <c r="AGJ33" i="30"/>
  <c r="AGJ34" i="30"/>
  <c r="AGJ35" i="30"/>
  <c r="AGI8" i="30"/>
  <c r="AGI9" i="30"/>
  <c r="AGI10" i="30"/>
  <c r="AGI11" i="30"/>
  <c r="AGI12" i="30"/>
  <c r="AGI13" i="30"/>
  <c r="AGI14" i="30"/>
  <c r="AGI15" i="30"/>
  <c r="AGI16" i="30"/>
  <c r="AGI17" i="30"/>
  <c r="AGI18" i="30"/>
  <c r="AGI19" i="30"/>
  <c r="AGI20" i="30"/>
  <c r="AGI21" i="30"/>
  <c r="AGI22" i="30"/>
  <c r="AGI23" i="30"/>
  <c r="AGI24" i="30"/>
  <c r="AGI25" i="30"/>
  <c r="AGI26" i="30"/>
  <c r="AGI27" i="30"/>
  <c r="AGI28" i="30"/>
  <c r="AGI29" i="30"/>
  <c r="AGI30" i="30"/>
  <c r="AGI31" i="30"/>
  <c r="AGI32" i="30"/>
  <c r="AGI33" i="30"/>
  <c r="AGI34" i="30"/>
  <c r="AGI35" i="30"/>
  <c r="AGV7" i="30"/>
  <c r="AGR7" i="30"/>
  <c r="AGN7" i="30"/>
  <c r="AGU7" i="30"/>
  <c r="AGQ7" i="30"/>
  <c r="AGM7" i="30"/>
  <c r="AGJ7" i="30"/>
  <c r="AGI7" i="30"/>
  <c r="AGB7" i="30"/>
  <c r="AGB8" i="30"/>
  <c r="AGB9" i="30"/>
  <c r="AGB10" i="30"/>
  <c r="AGB11" i="30"/>
  <c r="AGB12" i="30"/>
  <c r="AGB13" i="30"/>
  <c r="AGB14" i="30"/>
  <c r="AGB15" i="30"/>
  <c r="AGB16" i="30"/>
  <c r="AGB17" i="30"/>
  <c r="AGB18" i="30"/>
  <c r="AGB19" i="30"/>
  <c r="AGB20" i="30"/>
  <c r="AGB21" i="30"/>
  <c r="AGB22" i="30"/>
  <c r="AGB23" i="30"/>
  <c r="AGB24" i="30"/>
  <c r="AGB25" i="30"/>
  <c r="AGB26" i="30"/>
  <c r="AGB27" i="30"/>
  <c r="AGB28" i="30"/>
  <c r="AGB29" i="30"/>
  <c r="AGB30" i="30"/>
  <c r="AGB31" i="30"/>
  <c r="AGB32" i="30"/>
  <c r="AGB33" i="30"/>
  <c r="AGB34" i="30"/>
  <c r="AGB35" i="30"/>
  <c r="AGA8" i="30"/>
  <c r="AGA9" i="30"/>
  <c r="AGA10" i="30"/>
  <c r="AGA11" i="30"/>
  <c r="AGA12" i="30"/>
  <c r="AGA13" i="30"/>
  <c r="AGA14" i="30"/>
  <c r="AGA15" i="30"/>
  <c r="AGA16" i="30"/>
  <c r="AGA17" i="30"/>
  <c r="AGA18" i="30"/>
  <c r="AGA19" i="30"/>
  <c r="AGA20" i="30"/>
  <c r="AGA21" i="30"/>
  <c r="AGA22" i="30"/>
  <c r="AGA23" i="30"/>
  <c r="AGA24" i="30"/>
  <c r="AGA25" i="30"/>
  <c r="AGA26" i="30"/>
  <c r="AGA27" i="30"/>
  <c r="AGA28" i="30"/>
  <c r="AGA29" i="30"/>
  <c r="AGA30" i="30"/>
  <c r="AGA31" i="30"/>
  <c r="AGA32" i="30"/>
  <c r="AGA33" i="30"/>
  <c r="AGA34" i="30"/>
  <c r="AFX8" i="30"/>
  <c r="AFX9" i="30"/>
  <c r="AFX10" i="30"/>
  <c r="AFX11" i="30"/>
  <c r="AFX12" i="30"/>
  <c r="AFX13" i="30"/>
  <c r="AFX14" i="30"/>
  <c r="AFX15" i="30"/>
  <c r="AFX16" i="30"/>
  <c r="AFX17" i="30"/>
  <c r="AFX18" i="30"/>
  <c r="AFX19" i="30"/>
  <c r="AFX20" i="30"/>
  <c r="AFX21" i="30"/>
  <c r="AFX22" i="30"/>
  <c r="AFX23" i="30"/>
  <c r="AFX24" i="30"/>
  <c r="AFX25" i="30"/>
  <c r="AFX26" i="30"/>
  <c r="AFX27" i="30"/>
  <c r="AFX28" i="30"/>
  <c r="AFX29" i="30"/>
  <c r="AFX30" i="30"/>
  <c r="AFX31" i="30"/>
  <c r="AFX32" i="30"/>
  <c r="AFX33" i="30"/>
  <c r="AFX34" i="30"/>
  <c r="AFX35" i="30"/>
  <c r="AFW8" i="30"/>
  <c r="AFW9" i="30"/>
  <c r="AFW10" i="30"/>
  <c r="AFW11" i="30"/>
  <c r="AFW12" i="30"/>
  <c r="AFW13" i="30"/>
  <c r="AFW14" i="30"/>
  <c r="AFW15" i="30"/>
  <c r="AFW16" i="30"/>
  <c r="AFW17" i="30"/>
  <c r="AFW18" i="30"/>
  <c r="AFW19" i="30"/>
  <c r="AFW20" i="30"/>
  <c r="AFW21" i="30"/>
  <c r="AFW22" i="30"/>
  <c r="AFW23" i="30"/>
  <c r="AFW24" i="30"/>
  <c r="AFW25" i="30"/>
  <c r="AFW26" i="30"/>
  <c r="AFW27" i="30"/>
  <c r="AFW28" i="30"/>
  <c r="AFW29" i="30"/>
  <c r="AFW30" i="30"/>
  <c r="AFW31" i="30"/>
  <c r="AFW32" i="30"/>
  <c r="AFW33" i="30"/>
  <c r="AFW34" i="30"/>
  <c r="AFT8" i="30"/>
  <c r="AFT9" i="30"/>
  <c r="AFT10" i="30"/>
  <c r="AFT11" i="30"/>
  <c r="AFT12" i="30"/>
  <c r="AFT13" i="30"/>
  <c r="AFT14" i="30"/>
  <c r="AFT15" i="30"/>
  <c r="AFT16" i="30"/>
  <c r="AFT17" i="30"/>
  <c r="AFT18" i="30"/>
  <c r="AFT19" i="30"/>
  <c r="AFT20" i="30"/>
  <c r="AFT21" i="30"/>
  <c r="AFT22" i="30"/>
  <c r="AFT23" i="30"/>
  <c r="AFT24" i="30"/>
  <c r="AFT25" i="30"/>
  <c r="AFT26" i="30"/>
  <c r="AFT27" i="30"/>
  <c r="AFT28" i="30"/>
  <c r="AFT29" i="30"/>
  <c r="AFT30" i="30"/>
  <c r="AFT31" i="30"/>
  <c r="AFT32" i="30"/>
  <c r="AFT33" i="30"/>
  <c r="AFT34" i="30"/>
  <c r="AFT35" i="30"/>
  <c r="AFS8" i="30"/>
  <c r="AFS9" i="30"/>
  <c r="AFS10" i="30"/>
  <c r="AFS11" i="30"/>
  <c r="AFS12" i="30"/>
  <c r="AFS13" i="30"/>
  <c r="AFS14" i="30"/>
  <c r="AFS15" i="30"/>
  <c r="AFS16" i="30"/>
  <c r="AFS17" i="30"/>
  <c r="AFS18" i="30"/>
  <c r="AFS19" i="30"/>
  <c r="AFS20" i="30"/>
  <c r="AFS21" i="30"/>
  <c r="AFS22" i="30"/>
  <c r="AFS23" i="30"/>
  <c r="AFS24" i="30"/>
  <c r="AFS25" i="30"/>
  <c r="AFS26" i="30"/>
  <c r="AFS27" i="30"/>
  <c r="AFS28" i="30"/>
  <c r="AFS29" i="30"/>
  <c r="AFS30" i="30"/>
  <c r="AFS31" i="30"/>
  <c r="AFS32" i="30"/>
  <c r="AFS33" i="30"/>
  <c r="AFS34" i="30"/>
  <c r="AFX7" i="30"/>
  <c r="AFT7" i="30"/>
  <c r="AGA7" i="30"/>
  <c r="AFW7" i="30"/>
  <c r="AFS7" i="30"/>
  <c r="AFP8" i="30"/>
  <c r="AFP9" i="30"/>
  <c r="AFP10" i="30"/>
  <c r="AFP11" i="30"/>
  <c r="AFP12" i="30"/>
  <c r="AFP13" i="30"/>
  <c r="AFP14" i="30"/>
  <c r="AFP15" i="30"/>
  <c r="AFP16" i="30"/>
  <c r="AFP17" i="30"/>
  <c r="AFP18" i="30"/>
  <c r="AFP19" i="30"/>
  <c r="AFP20" i="30"/>
  <c r="AFP21" i="30"/>
  <c r="AFP22" i="30"/>
  <c r="AFP23" i="30"/>
  <c r="AFP24" i="30"/>
  <c r="AFP25" i="30"/>
  <c r="AFP26" i="30"/>
  <c r="AFP27" i="30"/>
  <c r="AFP28" i="30"/>
  <c r="AFP29" i="30"/>
  <c r="AFP30" i="30"/>
  <c r="AFP31" i="30"/>
  <c r="AFP32" i="30"/>
  <c r="AFP33" i="30"/>
  <c r="AFP34" i="30"/>
  <c r="AFP35" i="30"/>
  <c r="AFO8" i="30"/>
  <c r="AFO9" i="30"/>
  <c r="AFO10" i="30"/>
  <c r="AFO11" i="30"/>
  <c r="AFO12" i="30"/>
  <c r="AFO13" i="30"/>
  <c r="AFO14" i="30"/>
  <c r="AFO15" i="30"/>
  <c r="AFO16" i="30"/>
  <c r="AFO17" i="30"/>
  <c r="AFO18" i="30"/>
  <c r="AFO19" i="30"/>
  <c r="AFO20" i="30"/>
  <c r="AFO21" i="30"/>
  <c r="AFO22" i="30"/>
  <c r="AFO23" i="30"/>
  <c r="AFO24" i="30"/>
  <c r="AFO25" i="30"/>
  <c r="AFO26" i="30"/>
  <c r="AFO27" i="30"/>
  <c r="AFO28" i="30"/>
  <c r="AFO29" i="30"/>
  <c r="AFO30" i="30"/>
  <c r="AFO31" i="30"/>
  <c r="AFO32" i="30"/>
  <c r="AFO33" i="30"/>
  <c r="AFO34" i="30"/>
  <c r="AFL8" i="30"/>
  <c r="AFL9" i="30"/>
  <c r="AFL10" i="30"/>
  <c r="AFL11" i="30"/>
  <c r="AFL12" i="30"/>
  <c r="AFL13" i="30"/>
  <c r="AFL14" i="30"/>
  <c r="AFL15" i="30"/>
  <c r="AFL16" i="30"/>
  <c r="AFL17" i="30"/>
  <c r="AFL18" i="30"/>
  <c r="AFL19" i="30"/>
  <c r="AFL20" i="30"/>
  <c r="AFL21" i="30"/>
  <c r="AFL22" i="30"/>
  <c r="AFL23" i="30"/>
  <c r="AFL24" i="30"/>
  <c r="AFL25" i="30"/>
  <c r="AFL26" i="30"/>
  <c r="AFL27" i="30"/>
  <c r="AFL28" i="30"/>
  <c r="AFL29" i="30"/>
  <c r="AFL30" i="30"/>
  <c r="AFL31" i="30"/>
  <c r="AFL32" i="30"/>
  <c r="AFL33" i="30"/>
  <c r="AFL34" i="30"/>
  <c r="AFL35" i="30"/>
  <c r="AFK8" i="30"/>
  <c r="AFK9" i="30"/>
  <c r="AFK10" i="30"/>
  <c r="AFK11" i="30"/>
  <c r="AFK12" i="30"/>
  <c r="AFK13" i="30"/>
  <c r="AFK14" i="30"/>
  <c r="AFK15" i="30"/>
  <c r="AFK16" i="30"/>
  <c r="AFK17" i="30"/>
  <c r="AFK18" i="30"/>
  <c r="AFK19" i="30"/>
  <c r="AFK20" i="30"/>
  <c r="AFK21" i="30"/>
  <c r="AFK22" i="30"/>
  <c r="AFK23" i="30"/>
  <c r="AFK24" i="30"/>
  <c r="AFK25" i="30"/>
  <c r="AFK26" i="30"/>
  <c r="AFK27" i="30"/>
  <c r="AFK28" i="30"/>
  <c r="AFK29" i="30"/>
  <c r="AFK30" i="30"/>
  <c r="AFK31" i="30"/>
  <c r="AFK32" i="30"/>
  <c r="AFK33" i="30"/>
  <c r="AFK34" i="30"/>
  <c r="AFH8" i="30"/>
  <c r="AFH9" i="30"/>
  <c r="AFH10" i="30"/>
  <c r="AFH11" i="30"/>
  <c r="AFH12" i="30"/>
  <c r="AFH13" i="30"/>
  <c r="AFH14" i="30"/>
  <c r="AFH15" i="30"/>
  <c r="AFH16" i="30"/>
  <c r="AFH17" i="30"/>
  <c r="AFH18" i="30"/>
  <c r="AFH19" i="30"/>
  <c r="AFH20" i="30"/>
  <c r="AFH21" i="30"/>
  <c r="AFH22" i="30"/>
  <c r="AFH23" i="30"/>
  <c r="AFH24" i="30"/>
  <c r="AFH25" i="30"/>
  <c r="AFH26" i="30"/>
  <c r="AFH27" i="30"/>
  <c r="AFH28" i="30"/>
  <c r="AFH29" i="30"/>
  <c r="AFH30" i="30"/>
  <c r="AFH31" i="30"/>
  <c r="AFH32" i="30"/>
  <c r="AFH33" i="30"/>
  <c r="AFH34" i="30"/>
  <c r="AFH35" i="30"/>
  <c r="AFG8" i="30"/>
  <c r="AFG9" i="30"/>
  <c r="AFG10" i="30"/>
  <c r="AFG11" i="30"/>
  <c r="AFG12" i="30"/>
  <c r="AFG13" i="30"/>
  <c r="AFG14" i="30"/>
  <c r="AFG15" i="30"/>
  <c r="AFG16" i="30"/>
  <c r="AFG17" i="30"/>
  <c r="AFG18" i="30"/>
  <c r="AFG19" i="30"/>
  <c r="AFG20" i="30"/>
  <c r="AFG21" i="30"/>
  <c r="AFG22" i="30"/>
  <c r="AFG23" i="30"/>
  <c r="AFG24" i="30"/>
  <c r="AFG25" i="30"/>
  <c r="AFG26" i="30"/>
  <c r="AFG27" i="30"/>
  <c r="AFG28" i="30"/>
  <c r="AFG29" i="30"/>
  <c r="AFG30" i="30"/>
  <c r="AFG31" i="30"/>
  <c r="AFG32" i="30"/>
  <c r="AFG33" i="30"/>
  <c r="AFG34" i="30"/>
  <c r="AFP7" i="30"/>
  <c r="AFL7" i="30"/>
  <c r="AFH7" i="30"/>
  <c r="AFO7" i="30"/>
  <c r="AFK7" i="30"/>
  <c r="AFG7" i="30"/>
  <c r="AFD8" i="30"/>
  <c r="AFD9" i="30"/>
  <c r="AFD10" i="30"/>
  <c r="AFD11" i="30"/>
  <c r="AFD12" i="30"/>
  <c r="AFD13" i="30"/>
  <c r="AFD14" i="30"/>
  <c r="AFD15" i="30"/>
  <c r="AFD16" i="30"/>
  <c r="AFD17" i="30"/>
  <c r="AFD18" i="30"/>
  <c r="AFD19" i="30"/>
  <c r="AFD20" i="30"/>
  <c r="AFD21" i="30"/>
  <c r="AFD22" i="30"/>
  <c r="AFD23" i="30"/>
  <c r="AFD24" i="30"/>
  <c r="AFD25" i="30"/>
  <c r="AFD26" i="30"/>
  <c r="AFD27" i="30"/>
  <c r="AFD28" i="30"/>
  <c r="AFD29" i="30"/>
  <c r="AFD30" i="30"/>
  <c r="AFD31" i="30"/>
  <c r="AFD32" i="30"/>
  <c r="AFD33" i="30"/>
  <c r="AFD34" i="30"/>
  <c r="AFD35" i="30"/>
  <c r="AFC8" i="30"/>
  <c r="AFC9" i="30"/>
  <c r="AFC10" i="30"/>
  <c r="AFC11" i="30"/>
  <c r="AFC12" i="30"/>
  <c r="AFC13" i="30"/>
  <c r="AFC14" i="30"/>
  <c r="AFC15" i="30"/>
  <c r="AFC16" i="30"/>
  <c r="AFC17" i="30"/>
  <c r="AFC18" i="30"/>
  <c r="AFC19" i="30"/>
  <c r="AFC20" i="30"/>
  <c r="AFC21" i="30"/>
  <c r="AFC22" i="30"/>
  <c r="AFC23" i="30"/>
  <c r="AFC24" i="30"/>
  <c r="AFC25" i="30"/>
  <c r="AFC26" i="30"/>
  <c r="AFC27" i="30"/>
  <c r="AFC28" i="30"/>
  <c r="AFC29" i="30"/>
  <c r="AFC30" i="30"/>
  <c r="AFC31" i="30"/>
  <c r="AFC32" i="30"/>
  <c r="AFC33" i="30"/>
  <c r="AFC34" i="30"/>
  <c r="AFC35" i="30"/>
  <c r="AFD7" i="30"/>
  <c r="AFC7" i="30"/>
  <c r="ADX8" i="30"/>
  <c r="ADX9" i="30"/>
  <c r="ADX10" i="30"/>
  <c r="ADX11" i="30"/>
  <c r="ADX12" i="30"/>
  <c r="ADX13" i="30"/>
  <c r="ADX14" i="30"/>
  <c r="ADX15" i="30"/>
  <c r="ADX16" i="30"/>
  <c r="ADX17" i="30"/>
  <c r="ADX18" i="30"/>
  <c r="ADX19" i="30"/>
  <c r="ADX20" i="30"/>
  <c r="ADX21" i="30"/>
  <c r="ADX22" i="30"/>
  <c r="ADX23" i="30"/>
  <c r="ADX24" i="30"/>
  <c r="ADX25" i="30"/>
  <c r="ADX26" i="30"/>
  <c r="ADX27" i="30"/>
  <c r="ADX28" i="30"/>
  <c r="ADX29" i="30"/>
  <c r="ADX30" i="30"/>
  <c r="ADX31" i="30"/>
  <c r="ADX32" i="30"/>
  <c r="ADX33" i="30"/>
  <c r="ADX34" i="30"/>
  <c r="ADX35" i="30"/>
  <c r="ADW8" i="30"/>
  <c r="ADW9" i="30"/>
  <c r="ADW10" i="30"/>
  <c r="ADW11" i="30"/>
  <c r="ADW12" i="30"/>
  <c r="ADW13" i="30"/>
  <c r="ADW14" i="30"/>
  <c r="ADW15" i="30"/>
  <c r="ADW16" i="30"/>
  <c r="ADW17" i="30"/>
  <c r="ADW18" i="30"/>
  <c r="ADW19" i="30"/>
  <c r="ADW20" i="30"/>
  <c r="ADW21" i="30"/>
  <c r="ADW22" i="30"/>
  <c r="ADW23" i="30"/>
  <c r="ADW24" i="30"/>
  <c r="ADW25" i="30"/>
  <c r="ADW26" i="30"/>
  <c r="ADW27" i="30"/>
  <c r="ADW28" i="30"/>
  <c r="ADW29" i="30"/>
  <c r="ADW30" i="30"/>
  <c r="ADW31" i="30"/>
  <c r="ADW32" i="30"/>
  <c r="ADW33" i="30"/>
  <c r="ADW34" i="30"/>
  <c r="AEB8" i="30"/>
  <c r="AEB9" i="30"/>
  <c r="AEB10" i="30"/>
  <c r="AEB11" i="30"/>
  <c r="AEB12" i="30"/>
  <c r="AEB13" i="30"/>
  <c r="AEB14" i="30"/>
  <c r="AEB15" i="30"/>
  <c r="AEB16" i="30"/>
  <c r="AEB17" i="30"/>
  <c r="AEB18" i="30"/>
  <c r="AEB19" i="30"/>
  <c r="AEB20" i="30"/>
  <c r="AEB21" i="30"/>
  <c r="AEB22" i="30"/>
  <c r="AEB23" i="30"/>
  <c r="AEB24" i="30"/>
  <c r="AEB25" i="30"/>
  <c r="AEB26" i="30"/>
  <c r="AEB27" i="30"/>
  <c r="AEB28" i="30"/>
  <c r="AEB29" i="30"/>
  <c r="AEB30" i="30"/>
  <c r="AEB31" i="30"/>
  <c r="AEB32" i="30"/>
  <c r="AEB33" i="30"/>
  <c r="AEB34" i="30"/>
  <c r="AEB35" i="30"/>
  <c r="AEA8" i="30"/>
  <c r="AEA9" i="30"/>
  <c r="AEA10" i="30"/>
  <c r="AEA11" i="30"/>
  <c r="AEA12" i="30"/>
  <c r="AEA13" i="30"/>
  <c r="AEA14" i="30"/>
  <c r="AEA15" i="30"/>
  <c r="AEA16" i="30"/>
  <c r="AEA17" i="30"/>
  <c r="AEA18" i="30"/>
  <c r="AEA19" i="30"/>
  <c r="AEA20" i="30"/>
  <c r="AEA21" i="30"/>
  <c r="AEA22" i="30"/>
  <c r="AEA23" i="30"/>
  <c r="AEA24" i="30"/>
  <c r="AEA25" i="30"/>
  <c r="AEA26" i="30"/>
  <c r="AEA27" i="30"/>
  <c r="AEA28" i="30"/>
  <c r="AEA29" i="30"/>
  <c r="AEA30" i="30"/>
  <c r="AEA31" i="30"/>
  <c r="AEA32" i="30"/>
  <c r="AEA33" i="30"/>
  <c r="AEA34" i="30"/>
  <c r="AEF8" i="30"/>
  <c r="AEF9" i="30"/>
  <c r="AEF10" i="30"/>
  <c r="AEF11" i="30"/>
  <c r="AEF12" i="30"/>
  <c r="AEF13" i="30"/>
  <c r="AEF14" i="30"/>
  <c r="AEF15" i="30"/>
  <c r="AEF16" i="30"/>
  <c r="AEF17" i="30"/>
  <c r="AEF18" i="30"/>
  <c r="AEF19" i="30"/>
  <c r="AEF20" i="30"/>
  <c r="AEF21" i="30"/>
  <c r="AEF22" i="30"/>
  <c r="AEF23" i="30"/>
  <c r="AEF24" i="30"/>
  <c r="AEF25" i="30"/>
  <c r="AEF26" i="30"/>
  <c r="AEF27" i="30"/>
  <c r="AEF28" i="30"/>
  <c r="AEF29" i="30"/>
  <c r="AEF30" i="30"/>
  <c r="AEF31" i="30"/>
  <c r="AEF32" i="30"/>
  <c r="AEF33" i="30"/>
  <c r="AEF34" i="30"/>
  <c r="AEF35" i="30"/>
  <c r="AEE8" i="30"/>
  <c r="AEE9" i="30"/>
  <c r="AEE10" i="30"/>
  <c r="AEE11" i="30"/>
  <c r="AEE12" i="30"/>
  <c r="AEE13" i="30"/>
  <c r="AEE14" i="30"/>
  <c r="AEE15" i="30"/>
  <c r="AEE16" i="30"/>
  <c r="AEE17" i="30"/>
  <c r="AEE18" i="30"/>
  <c r="AEE19" i="30"/>
  <c r="AEE20" i="30"/>
  <c r="AEE21" i="30"/>
  <c r="AEE22" i="30"/>
  <c r="AEE23" i="30"/>
  <c r="AEE24" i="30"/>
  <c r="AEE25" i="30"/>
  <c r="AEE26" i="30"/>
  <c r="AEE27" i="30"/>
  <c r="AEE28" i="30"/>
  <c r="AEE29" i="30"/>
  <c r="AEE30" i="30"/>
  <c r="AEE31" i="30"/>
  <c r="AEE32" i="30"/>
  <c r="AEE33" i="30"/>
  <c r="AEE34" i="30"/>
  <c r="AEJ8" i="30"/>
  <c r="AEJ9" i="30"/>
  <c r="AEJ10" i="30"/>
  <c r="AEJ11" i="30"/>
  <c r="AEJ12" i="30"/>
  <c r="AEJ13" i="30"/>
  <c r="AEJ14" i="30"/>
  <c r="AEJ15" i="30"/>
  <c r="AEJ16" i="30"/>
  <c r="AEJ17" i="30"/>
  <c r="AEJ18" i="30"/>
  <c r="AEJ19" i="30"/>
  <c r="AEJ20" i="30"/>
  <c r="AEJ21" i="30"/>
  <c r="AEJ22" i="30"/>
  <c r="AEJ23" i="30"/>
  <c r="AEJ24" i="30"/>
  <c r="AEJ25" i="30"/>
  <c r="AEJ26" i="30"/>
  <c r="AEJ27" i="30"/>
  <c r="AEJ28" i="30"/>
  <c r="AEJ29" i="30"/>
  <c r="AEJ30" i="30"/>
  <c r="AEJ31" i="30"/>
  <c r="AEJ32" i="30"/>
  <c r="AEJ33" i="30"/>
  <c r="AEJ34" i="30"/>
  <c r="AEJ35" i="30"/>
  <c r="AEI8" i="30"/>
  <c r="AEI9" i="30"/>
  <c r="AEI10" i="30"/>
  <c r="AEI11" i="30"/>
  <c r="AEI12" i="30"/>
  <c r="AEI13" i="30"/>
  <c r="AEI14" i="30"/>
  <c r="AEI15" i="30"/>
  <c r="AEI16" i="30"/>
  <c r="AEI17" i="30"/>
  <c r="AEI18" i="30"/>
  <c r="AEI19" i="30"/>
  <c r="AEI20" i="30"/>
  <c r="AEI21" i="30"/>
  <c r="AEI22" i="30"/>
  <c r="AEI23" i="30"/>
  <c r="AEI24" i="30"/>
  <c r="AEI25" i="30"/>
  <c r="AEI26" i="30"/>
  <c r="AEI27" i="30"/>
  <c r="AEI28" i="30"/>
  <c r="AEI29" i="30"/>
  <c r="AEI30" i="30"/>
  <c r="AEI31" i="30"/>
  <c r="AEI32" i="30"/>
  <c r="AEI33" i="30"/>
  <c r="AEI34" i="30"/>
  <c r="AEN8" i="30"/>
  <c r="AEN9" i="30"/>
  <c r="AEN10" i="30"/>
  <c r="AEN11" i="30"/>
  <c r="AEN12" i="30"/>
  <c r="AEN13" i="30"/>
  <c r="AEN14" i="30"/>
  <c r="AEN15" i="30"/>
  <c r="AEN16" i="30"/>
  <c r="AEN17" i="30"/>
  <c r="AEN18" i="30"/>
  <c r="AEN19" i="30"/>
  <c r="AEN20" i="30"/>
  <c r="AEN21" i="30"/>
  <c r="AEN22" i="30"/>
  <c r="AEN23" i="30"/>
  <c r="AEN24" i="30"/>
  <c r="AEN25" i="30"/>
  <c r="AEN26" i="30"/>
  <c r="AEN27" i="30"/>
  <c r="AEN28" i="30"/>
  <c r="AEN29" i="30"/>
  <c r="AEN30" i="30"/>
  <c r="AEN31" i="30"/>
  <c r="AEN32" i="30"/>
  <c r="AEN33" i="30"/>
  <c r="AEN34" i="30"/>
  <c r="AEN35" i="30"/>
  <c r="AEM8" i="30"/>
  <c r="AEM9" i="30"/>
  <c r="AEM10" i="30"/>
  <c r="AEM11" i="30"/>
  <c r="AEM12" i="30"/>
  <c r="AEM13" i="30"/>
  <c r="AEM14" i="30"/>
  <c r="AEM15" i="30"/>
  <c r="AEM16" i="30"/>
  <c r="AEM17" i="30"/>
  <c r="AEM18" i="30"/>
  <c r="AEM19" i="30"/>
  <c r="AEM20" i="30"/>
  <c r="AEM21" i="30"/>
  <c r="AEM22" i="30"/>
  <c r="AEM23" i="30"/>
  <c r="AEM24" i="30"/>
  <c r="AEM25" i="30"/>
  <c r="AEM26" i="30"/>
  <c r="AEM27" i="30"/>
  <c r="AEM28" i="30"/>
  <c r="AEM29" i="30"/>
  <c r="AEM30" i="30"/>
  <c r="AEM31" i="30"/>
  <c r="AEM32" i="30"/>
  <c r="AEM33" i="30"/>
  <c r="AEM34" i="30"/>
  <c r="AER8" i="30"/>
  <c r="AER9" i="30"/>
  <c r="AER10" i="30"/>
  <c r="AER11" i="30"/>
  <c r="AER12" i="30"/>
  <c r="AER13" i="30"/>
  <c r="AER14" i="30"/>
  <c r="AER15" i="30"/>
  <c r="AER16" i="30"/>
  <c r="AER17" i="30"/>
  <c r="AER18" i="30"/>
  <c r="AER19" i="30"/>
  <c r="AER20" i="30"/>
  <c r="AER21" i="30"/>
  <c r="AER22" i="30"/>
  <c r="AER23" i="30"/>
  <c r="AER24" i="30"/>
  <c r="AER25" i="30"/>
  <c r="AER26" i="30"/>
  <c r="AER27" i="30"/>
  <c r="AER28" i="30"/>
  <c r="AER29" i="30"/>
  <c r="AER30" i="30"/>
  <c r="AER31" i="30"/>
  <c r="AER32" i="30"/>
  <c r="AER33" i="30"/>
  <c r="AER34" i="30"/>
  <c r="AER35" i="30"/>
  <c r="AEQ8" i="30"/>
  <c r="AEQ9" i="30"/>
  <c r="AEQ10" i="30"/>
  <c r="AEQ11" i="30"/>
  <c r="AEQ12" i="30"/>
  <c r="AEQ13" i="30"/>
  <c r="AEQ14" i="30"/>
  <c r="AEQ15" i="30"/>
  <c r="AEQ16" i="30"/>
  <c r="AEQ17" i="30"/>
  <c r="AEQ18" i="30"/>
  <c r="AEQ19" i="30"/>
  <c r="AEQ20" i="30"/>
  <c r="AEQ21" i="30"/>
  <c r="AEQ22" i="30"/>
  <c r="AEQ23" i="30"/>
  <c r="AEQ24" i="30"/>
  <c r="AEQ25" i="30"/>
  <c r="AEQ26" i="30"/>
  <c r="AEQ27" i="30"/>
  <c r="AEQ28" i="30"/>
  <c r="AEQ29" i="30"/>
  <c r="AEQ30" i="30"/>
  <c r="AEQ31" i="30"/>
  <c r="AEQ32" i="30"/>
  <c r="AEQ33" i="30"/>
  <c r="AEQ34" i="30"/>
  <c r="AEV8" i="30"/>
  <c r="AEV9" i="30"/>
  <c r="AEV10" i="30"/>
  <c r="AEV11" i="30"/>
  <c r="AEV12" i="30"/>
  <c r="AEV13" i="30"/>
  <c r="AEV14" i="30"/>
  <c r="AEV15" i="30"/>
  <c r="AEV16" i="30"/>
  <c r="AEV17" i="30"/>
  <c r="AEV18" i="30"/>
  <c r="AEV19" i="30"/>
  <c r="AEV20" i="30"/>
  <c r="AEV21" i="30"/>
  <c r="AEV22" i="30"/>
  <c r="AEV23" i="30"/>
  <c r="AEV24" i="30"/>
  <c r="AEV25" i="30"/>
  <c r="AEV26" i="30"/>
  <c r="AEV27" i="30"/>
  <c r="AEV28" i="30"/>
  <c r="AEV29" i="30"/>
  <c r="AEV30" i="30"/>
  <c r="AEV31" i="30"/>
  <c r="AEV32" i="30"/>
  <c r="AEV33" i="30"/>
  <c r="AEV34" i="30"/>
  <c r="AEV35" i="30"/>
  <c r="AEU8" i="30"/>
  <c r="AEU9" i="30"/>
  <c r="AEU10" i="30"/>
  <c r="AEU11" i="30"/>
  <c r="AEU12" i="30"/>
  <c r="AEU13" i="30"/>
  <c r="AEU14" i="30"/>
  <c r="AEU15" i="30"/>
  <c r="AEU16" i="30"/>
  <c r="AEU17" i="30"/>
  <c r="AEU18" i="30"/>
  <c r="AEU19" i="30"/>
  <c r="AEU20" i="30"/>
  <c r="AEU21" i="30"/>
  <c r="AEU22" i="30"/>
  <c r="AEU23" i="30"/>
  <c r="AEU24" i="30"/>
  <c r="AEU25" i="30"/>
  <c r="AEU26" i="30"/>
  <c r="AEU27" i="30"/>
  <c r="AEU28" i="30"/>
  <c r="AEU29" i="30"/>
  <c r="AEU30" i="30"/>
  <c r="AEU31" i="30"/>
  <c r="AEU32" i="30"/>
  <c r="AEU33" i="30"/>
  <c r="AEU34" i="30"/>
  <c r="AEV7" i="30"/>
  <c r="AER7" i="30"/>
  <c r="AEN7" i="30"/>
  <c r="AEJ7" i="30"/>
  <c r="AEU7" i="30"/>
  <c r="AEQ7" i="30"/>
  <c r="AEM7" i="30"/>
  <c r="AEI7" i="30"/>
  <c r="AEF7" i="30"/>
  <c r="AEB7" i="30"/>
  <c r="AEE7" i="30"/>
  <c r="AEA7" i="30"/>
  <c r="ADX7" i="30"/>
  <c r="ADW7" i="30"/>
  <c r="ADP8" i="30"/>
  <c r="ADP9" i="30"/>
  <c r="ADP10" i="30"/>
  <c r="ADP11" i="30"/>
  <c r="ADP12" i="30"/>
  <c r="ADP13" i="30"/>
  <c r="ADP14" i="30"/>
  <c r="ADP15" i="30"/>
  <c r="ADP16" i="30"/>
  <c r="ADP17" i="30"/>
  <c r="ADP18" i="30"/>
  <c r="ADP19" i="30"/>
  <c r="ADP20" i="30"/>
  <c r="ADP21" i="30"/>
  <c r="ADP22" i="30"/>
  <c r="ADP23" i="30"/>
  <c r="ADP24" i="30"/>
  <c r="ADP25" i="30"/>
  <c r="ADP26" i="30"/>
  <c r="ADP27" i="30"/>
  <c r="ADP28" i="30"/>
  <c r="ADP29" i="30"/>
  <c r="ADP30" i="30"/>
  <c r="ADP31" i="30"/>
  <c r="ADP32" i="30"/>
  <c r="ADP33" i="30"/>
  <c r="ADP34" i="30"/>
  <c r="ADP35" i="30"/>
  <c r="ADO8" i="30"/>
  <c r="ADO9" i="30"/>
  <c r="ADO10" i="30"/>
  <c r="ADO11" i="30"/>
  <c r="ADO12" i="30"/>
  <c r="ADO13" i="30"/>
  <c r="ADO14" i="30"/>
  <c r="ADO15" i="30"/>
  <c r="ADO16" i="30"/>
  <c r="ADO17" i="30"/>
  <c r="ADO18" i="30"/>
  <c r="ADO19" i="30"/>
  <c r="ADO20" i="30"/>
  <c r="ADO21" i="30"/>
  <c r="ADO22" i="30"/>
  <c r="ADO23" i="30"/>
  <c r="ADO24" i="30"/>
  <c r="ADO25" i="30"/>
  <c r="ADO26" i="30"/>
  <c r="ADO27" i="30"/>
  <c r="ADO28" i="30"/>
  <c r="ADO29" i="30"/>
  <c r="ADO30" i="30"/>
  <c r="ADO31" i="30"/>
  <c r="ADO32" i="30"/>
  <c r="ADO33" i="30"/>
  <c r="ADO34" i="30"/>
  <c r="ADL8" i="30"/>
  <c r="ADL9" i="30"/>
  <c r="ADL10" i="30"/>
  <c r="ADL11" i="30"/>
  <c r="ADL12" i="30"/>
  <c r="ADL13" i="30"/>
  <c r="ADL14" i="30"/>
  <c r="ADL15" i="30"/>
  <c r="ADL16" i="30"/>
  <c r="ADL17" i="30"/>
  <c r="ADL18" i="30"/>
  <c r="ADL19" i="30"/>
  <c r="ADL20" i="30"/>
  <c r="ADL21" i="30"/>
  <c r="ADL22" i="30"/>
  <c r="ADL23" i="30"/>
  <c r="ADL24" i="30"/>
  <c r="ADL25" i="30"/>
  <c r="ADL26" i="30"/>
  <c r="ADL27" i="30"/>
  <c r="ADL28" i="30"/>
  <c r="ADL29" i="30"/>
  <c r="ADL30" i="30"/>
  <c r="ADL31" i="30"/>
  <c r="ADL32" i="30"/>
  <c r="ADL33" i="30"/>
  <c r="ADL34" i="30"/>
  <c r="ADL35" i="30"/>
  <c r="ADK8" i="30"/>
  <c r="ADK9" i="30"/>
  <c r="ADK10" i="30"/>
  <c r="ADK11" i="30"/>
  <c r="ADK12" i="30"/>
  <c r="ADK13" i="30"/>
  <c r="ADK14" i="30"/>
  <c r="ADK15" i="30"/>
  <c r="ADK16" i="30"/>
  <c r="ADK17" i="30"/>
  <c r="ADK18" i="30"/>
  <c r="ADK19" i="30"/>
  <c r="ADK20" i="30"/>
  <c r="ADK21" i="30"/>
  <c r="ADK22" i="30"/>
  <c r="ADK23" i="30"/>
  <c r="ADK24" i="30"/>
  <c r="ADK25" i="30"/>
  <c r="ADK26" i="30"/>
  <c r="ADK27" i="30"/>
  <c r="ADK28" i="30"/>
  <c r="ADK29" i="30"/>
  <c r="ADK30" i="30"/>
  <c r="ADK31" i="30"/>
  <c r="ADK32" i="30"/>
  <c r="ADK33" i="30"/>
  <c r="ADK34" i="30"/>
  <c r="ADH8" i="30"/>
  <c r="ADH9" i="30"/>
  <c r="ADH10" i="30"/>
  <c r="ADH11" i="30"/>
  <c r="ADH12" i="30"/>
  <c r="ADH13" i="30"/>
  <c r="ADH14" i="30"/>
  <c r="ADH15" i="30"/>
  <c r="ADH16" i="30"/>
  <c r="ADH17" i="30"/>
  <c r="ADH18" i="30"/>
  <c r="ADH19" i="30"/>
  <c r="ADH20" i="30"/>
  <c r="ADH21" i="30"/>
  <c r="ADH22" i="30"/>
  <c r="ADH23" i="30"/>
  <c r="ADH24" i="30"/>
  <c r="ADH25" i="30"/>
  <c r="ADH26" i="30"/>
  <c r="ADH27" i="30"/>
  <c r="ADH28" i="30"/>
  <c r="ADH29" i="30"/>
  <c r="ADH30" i="30"/>
  <c r="ADH31" i="30"/>
  <c r="ADH32" i="30"/>
  <c r="ADH33" i="30"/>
  <c r="ADH34" i="30"/>
  <c r="ADH35" i="30"/>
  <c r="ADG8" i="30"/>
  <c r="ADG9" i="30"/>
  <c r="ADG10" i="30"/>
  <c r="ADG11" i="30"/>
  <c r="ADG12" i="30"/>
  <c r="ADG13" i="30"/>
  <c r="ADG14" i="30"/>
  <c r="ADG15" i="30"/>
  <c r="ADG16" i="30"/>
  <c r="ADG17" i="30"/>
  <c r="ADG18" i="30"/>
  <c r="ADG19" i="30"/>
  <c r="ADG20" i="30"/>
  <c r="ADG21" i="30"/>
  <c r="ADG22" i="30"/>
  <c r="ADG23" i="30"/>
  <c r="ADG24" i="30"/>
  <c r="ADG25" i="30"/>
  <c r="ADG26" i="30"/>
  <c r="ADG27" i="30"/>
  <c r="ADG28" i="30"/>
  <c r="ADG29" i="30"/>
  <c r="ADG30" i="30"/>
  <c r="ADG31" i="30"/>
  <c r="ADG32" i="30"/>
  <c r="ADG33" i="30"/>
  <c r="ADG34" i="30"/>
  <c r="ADP7" i="30"/>
  <c r="ADL7" i="30"/>
  <c r="ADH7" i="30"/>
  <c r="ADO7" i="30"/>
  <c r="ADK7" i="30"/>
  <c r="ADG7" i="30"/>
  <c r="ADD8" i="30"/>
  <c r="ADD9" i="30"/>
  <c r="ADD10" i="30"/>
  <c r="ADD11" i="30"/>
  <c r="ADD12" i="30"/>
  <c r="ADD13" i="30"/>
  <c r="ADD14" i="30"/>
  <c r="ADD15" i="30"/>
  <c r="ADD16" i="30"/>
  <c r="ADD17" i="30"/>
  <c r="ADD18" i="30"/>
  <c r="ADD19" i="30"/>
  <c r="ADD20" i="30"/>
  <c r="ADD21" i="30"/>
  <c r="ADD22" i="30"/>
  <c r="ADD23" i="30"/>
  <c r="ADD24" i="30"/>
  <c r="ADD25" i="30"/>
  <c r="ADD26" i="30"/>
  <c r="ADD27" i="30"/>
  <c r="ADD28" i="30"/>
  <c r="ADD29" i="30"/>
  <c r="ADD30" i="30"/>
  <c r="ADD31" i="30"/>
  <c r="ADD32" i="30"/>
  <c r="ADD33" i="30"/>
  <c r="ADD34" i="30"/>
  <c r="ADD35" i="30"/>
  <c r="ADC8" i="30"/>
  <c r="ADC9" i="30"/>
  <c r="ADC10" i="30"/>
  <c r="ADC11" i="30"/>
  <c r="ADC12" i="30"/>
  <c r="ADC13" i="30"/>
  <c r="ADC14" i="30"/>
  <c r="ADC15" i="30"/>
  <c r="ADC16" i="30"/>
  <c r="ADC17" i="30"/>
  <c r="ADC18" i="30"/>
  <c r="ADC19" i="30"/>
  <c r="ADC20" i="30"/>
  <c r="ADC21" i="30"/>
  <c r="ADC22" i="30"/>
  <c r="ADC23" i="30"/>
  <c r="ADC24" i="30"/>
  <c r="ADC25" i="30"/>
  <c r="ADC26" i="30"/>
  <c r="ADC27" i="30"/>
  <c r="ADC28" i="30"/>
  <c r="ADC29" i="30"/>
  <c r="ADC30" i="30"/>
  <c r="ADC31" i="30"/>
  <c r="ADC32" i="30"/>
  <c r="ADC33" i="30"/>
  <c r="ADC34" i="30"/>
  <c r="ACZ8" i="30"/>
  <c r="ACZ9" i="30"/>
  <c r="ACZ10" i="30"/>
  <c r="ACZ11" i="30"/>
  <c r="ACZ12" i="30"/>
  <c r="ACZ13" i="30"/>
  <c r="ACZ14" i="30"/>
  <c r="ACZ15" i="30"/>
  <c r="ACZ16" i="30"/>
  <c r="ACZ17" i="30"/>
  <c r="ACZ18" i="30"/>
  <c r="ACZ19" i="30"/>
  <c r="ACZ20" i="30"/>
  <c r="ACZ21" i="30"/>
  <c r="ACZ22" i="30"/>
  <c r="ACZ23" i="30"/>
  <c r="ACZ24" i="30"/>
  <c r="ACZ25" i="30"/>
  <c r="ACZ26" i="30"/>
  <c r="ACZ27" i="30"/>
  <c r="ACZ28" i="30"/>
  <c r="ACZ29" i="30"/>
  <c r="ACZ30" i="30"/>
  <c r="ACZ31" i="30"/>
  <c r="ACZ32" i="30"/>
  <c r="ACZ33" i="30"/>
  <c r="ACZ34" i="30"/>
  <c r="ACZ35" i="30"/>
  <c r="ACY8" i="30"/>
  <c r="ACY9" i="30"/>
  <c r="ACY10" i="30"/>
  <c r="ACY11" i="30"/>
  <c r="ACY12" i="30"/>
  <c r="ACY13" i="30"/>
  <c r="ACY14" i="30"/>
  <c r="ACY15" i="30"/>
  <c r="ACY16" i="30"/>
  <c r="ACY17" i="30"/>
  <c r="ACY18" i="30"/>
  <c r="ACY19" i="30"/>
  <c r="ACY20" i="30"/>
  <c r="ACY21" i="30"/>
  <c r="ACY22" i="30"/>
  <c r="ACY23" i="30"/>
  <c r="ACY24" i="30"/>
  <c r="ACY25" i="30"/>
  <c r="ACY26" i="30"/>
  <c r="ACY27" i="30"/>
  <c r="ACY28" i="30"/>
  <c r="ACY29" i="30"/>
  <c r="ACY30" i="30"/>
  <c r="ACY31" i="30"/>
  <c r="ACY32" i="30"/>
  <c r="ACY33" i="30"/>
  <c r="ACY34" i="30"/>
  <c r="ACV8" i="30"/>
  <c r="ACV9" i="30"/>
  <c r="ACV10" i="30"/>
  <c r="ACV11" i="30"/>
  <c r="ACV12" i="30"/>
  <c r="ACV13" i="30"/>
  <c r="ACV14" i="30"/>
  <c r="ACV15" i="30"/>
  <c r="ACV16" i="30"/>
  <c r="ACV17" i="30"/>
  <c r="ACV18" i="30"/>
  <c r="ACV19" i="30"/>
  <c r="ACV20" i="30"/>
  <c r="ACV21" i="30"/>
  <c r="ACV22" i="30"/>
  <c r="ACV23" i="30"/>
  <c r="ACV24" i="30"/>
  <c r="ACV25" i="30"/>
  <c r="ACV26" i="30"/>
  <c r="ACV27" i="30"/>
  <c r="ACV28" i="30"/>
  <c r="ACV29" i="30"/>
  <c r="ACV30" i="30"/>
  <c r="ACV31" i="30"/>
  <c r="ACV32" i="30"/>
  <c r="ACV33" i="30"/>
  <c r="ACV34" i="30"/>
  <c r="ACV35" i="30"/>
  <c r="ACU8" i="30"/>
  <c r="ACU9" i="30"/>
  <c r="ACU10" i="30"/>
  <c r="ACU11" i="30"/>
  <c r="ACU12" i="30"/>
  <c r="ACU13" i="30"/>
  <c r="ACU14" i="30"/>
  <c r="ACU15" i="30"/>
  <c r="ACU16" i="30"/>
  <c r="ACU17" i="30"/>
  <c r="ACU18" i="30"/>
  <c r="ACU19" i="30"/>
  <c r="ACU20" i="30"/>
  <c r="ACU21" i="30"/>
  <c r="ACU22" i="30"/>
  <c r="ACU23" i="30"/>
  <c r="ACU24" i="30"/>
  <c r="ACU25" i="30"/>
  <c r="ACU26" i="30"/>
  <c r="ACU27" i="30"/>
  <c r="ACU28" i="30"/>
  <c r="ACU29" i="30"/>
  <c r="ACU30" i="30"/>
  <c r="ACU31" i="30"/>
  <c r="ACU32" i="30"/>
  <c r="ACU33" i="30"/>
  <c r="ACU34" i="30"/>
  <c r="ACR8" i="30"/>
  <c r="ACR9" i="30"/>
  <c r="ACR10" i="30"/>
  <c r="ACR11" i="30"/>
  <c r="ACR12" i="30"/>
  <c r="ACR13" i="30"/>
  <c r="ACR14" i="30"/>
  <c r="ACR15" i="30"/>
  <c r="ACR16" i="30"/>
  <c r="ACR17" i="30"/>
  <c r="ACR18" i="30"/>
  <c r="ACR19" i="30"/>
  <c r="ACR20" i="30"/>
  <c r="ACR21" i="30"/>
  <c r="ACR22" i="30"/>
  <c r="ACR23" i="30"/>
  <c r="ACR24" i="30"/>
  <c r="ACR25" i="30"/>
  <c r="ACR26" i="30"/>
  <c r="ACR27" i="30"/>
  <c r="ACR28" i="30"/>
  <c r="ACR29" i="30"/>
  <c r="ACR30" i="30"/>
  <c r="ACR31" i="30"/>
  <c r="ACR32" i="30"/>
  <c r="ACR33" i="30"/>
  <c r="ACR34" i="30"/>
  <c r="ACR35" i="30"/>
  <c r="ACQ8" i="30"/>
  <c r="ACQ9" i="30"/>
  <c r="ACQ10" i="30"/>
  <c r="ACQ11" i="30"/>
  <c r="ACQ12" i="30"/>
  <c r="ACQ13" i="30"/>
  <c r="ACQ14" i="30"/>
  <c r="ACQ15" i="30"/>
  <c r="ACQ16" i="30"/>
  <c r="ACQ17" i="30"/>
  <c r="ACQ18" i="30"/>
  <c r="ACQ19" i="30"/>
  <c r="ACQ20" i="30"/>
  <c r="ACQ21" i="30"/>
  <c r="ACQ22" i="30"/>
  <c r="ACQ23" i="30"/>
  <c r="ACQ24" i="30"/>
  <c r="ACQ25" i="30"/>
  <c r="ACQ26" i="30"/>
  <c r="ACQ27" i="30"/>
  <c r="ACQ28" i="30"/>
  <c r="ACQ29" i="30"/>
  <c r="ACQ30" i="30"/>
  <c r="ACQ31" i="30"/>
  <c r="ACQ32" i="30"/>
  <c r="ACQ33" i="30"/>
  <c r="ACQ34" i="30"/>
  <c r="ADD7" i="30"/>
  <c r="ACZ7" i="30"/>
  <c r="ACV7" i="30"/>
  <c r="ADC7" i="30"/>
  <c r="ACY7" i="30"/>
  <c r="ACU7" i="30"/>
  <c r="ACR7" i="30"/>
  <c r="ACQ7" i="30"/>
  <c r="ABL8" i="30"/>
  <c r="ABL9" i="30"/>
  <c r="ABL10" i="30"/>
  <c r="ABL11" i="30"/>
  <c r="ABL12" i="30"/>
  <c r="ABL13" i="30"/>
  <c r="ABL14" i="30"/>
  <c r="ABL15" i="30"/>
  <c r="ABL16" i="30"/>
  <c r="ABL17" i="30"/>
  <c r="ABL18" i="30"/>
  <c r="ABL19" i="30"/>
  <c r="ABL20" i="30"/>
  <c r="ABL21" i="30"/>
  <c r="ABL22" i="30"/>
  <c r="ABL23" i="30"/>
  <c r="ABL24" i="30"/>
  <c r="ABL25" i="30"/>
  <c r="ABL26" i="30"/>
  <c r="ABL27" i="30"/>
  <c r="ABL28" i="30"/>
  <c r="ABL29" i="30"/>
  <c r="ABL30" i="30"/>
  <c r="ABL31" i="30"/>
  <c r="ABL32" i="30"/>
  <c r="ABL33" i="30"/>
  <c r="ABL34" i="30"/>
  <c r="ABL35" i="30"/>
  <c r="ABK8" i="30"/>
  <c r="ABK9" i="30"/>
  <c r="ABK10" i="30"/>
  <c r="ABK11" i="30"/>
  <c r="ABK12" i="30"/>
  <c r="ABK13" i="30"/>
  <c r="ABK14" i="30"/>
  <c r="ABK15" i="30"/>
  <c r="ABK16" i="30"/>
  <c r="ABK17" i="30"/>
  <c r="ABK18" i="30"/>
  <c r="ABK19" i="30"/>
  <c r="ABK20" i="30"/>
  <c r="ABK21" i="30"/>
  <c r="ABK22" i="30"/>
  <c r="ABK23" i="30"/>
  <c r="ABK24" i="30"/>
  <c r="ABK25" i="30"/>
  <c r="ABK26" i="30"/>
  <c r="ABK27" i="30"/>
  <c r="ABK28" i="30"/>
  <c r="ABK29" i="30"/>
  <c r="ABK30" i="30"/>
  <c r="ABK31" i="30"/>
  <c r="ABK32" i="30"/>
  <c r="ABK33" i="30"/>
  <c r="ABK34" i="30"/>
  <c r="ABL7" i="30"/>
  <c r="ABK7" i="30"/>
  <c r="ABP8" i="30"/>
  <c r="ABP9" i="30"/>
  <c r="ABP10" i="30"/>
  <c r="ABP11" i="30"/>
  <c r="ABP12" i="30"/>
  <c r="ABP13" i="30"/>
  <c r="ABP14" i="30"/>
  <c r="ABP15" i="30"/>
  <c r="ABP16" i="30"/>
  <c r="ABP17" i="30"/>
  <c r="ABP18" i="30"/>
  <c r="ABP19" i="30"/>
  <c r="ABP20" i="30"/>
  <c r="ABP21" i="30"/>
  <c r="ABP22" i="30"/>
  <c r="ABP23" i="30"/>
  <c r="ABP24" i="30"/>
  <c r="ABP25" i="30"/>
  <c r="ABP26" i="30"/>
  <c r="ABP27" i="30"/>
  <c r="ABP28" i="30"/>
  <c r="ABP29" i="30"/>
  <c r="ABP30" i="30"/>
  <c r="ABP31" i="30"/>
  <c r="ABP32" i="30"/>
  <c r="ABP33" i="30"/>
  <c r="ABP34" i="30"/>
  <c r="ABP35" i="30"/>
  <c r="ABP7" i="30"/>
  <c r="ABO8" i="30"/>
  <c r="ABO9" i="30"/>
  <c r="ABO10" i="30"/>
  <c r="ABO11" i="30"/>
  <c r="ABO12" i="30"/>
  <c r="ABO13" i="30"/>
  <c r="ABO14" i="30"/>
  <c r="ABO15" i="30"/>
  <c r="ABO16" i="30"/>
  <c r="ABO17" i="30"/>
  <c r="ABO18" i="30"/>
  <c r="ABO19" i="30"/>
  <c r="ABO20" i="30"/>
  <c r="ABO21" i="30"/>
  <c r="ABO22" i="30"/>
  <c r="ABO23" i="30"/>
  <c r="ABO24" i="30"/>
  <c r="ABO25" i="30"/>
  <c r="ABO26" i="30"/>
  <c r="ABO27" i="30"/>
  <c r="ABO28" i="30"/>
  <c r="ABO29" i="30"/>
  <c r="ABO30" i="30"/>
  <c r="ABO31" i="30"/>
  <c r="ABO32" i="30"/>
  <c r="ABO33" i="30"/>
  <c r="ABO34" i="30"/>
  <c r="ABO7" i="30"/>
  <c r="ABT8" i="30"/>
  <c r="ABT9" i="30"/>
  <c r="ABT10" i="30"/>
  <c r="ABT11" i="30"/>
  <c r="ABT12" i="30"/>
  <c r="ABT13" i="30"/>
  <c r="ABT14" i="30"/>
  <c r="ABT15" i="30"/>
  <c r="ABT16" i="30"/>
  <c r="ABT17" i="30"/>
  <c r="ABT18" i="30"/>
  <c r="ABT19" i="30"/>
  <c r="ABT20" i="30"/>
  <c r="ABT21" i="30"/>
  <c r="ABT22" i="30"/>
  <c r="ABT23" i="30"/>
  <c r="ABT24" i="30"/>
  <c r="ABT25" i="30"/>
  <c r="ABT26" i="30"/>
  <c r="ABT27" i="30"/>
  <c r="ABT28" i="30"/>
  <c r="ABT29" i="30"/>
  <c r="ABT30" i="30"/>
  <c r="ABT31" i="30"/>
  <c r="ABT32" i="30"/>
  <c r="ABT33" i="30"/>
  <c r="ABT34" i="30"/>
  <c r="ABT35" i="30"/>
  <c r="ABS8" i="30"/>
  <c r="ABS9" i="30"/>
  <c r="ABS10" i="30"/>
  <c r="ABS11" i="30"/>
  <c r="ABS12" i="30"/>
  <c r="ABS13" i="30"/>
  <c r="ABS14" i="30"/>
  <c r="ABS15" i="30"/>
  <c r="ABS16" i="30"/>
  <c r="ABS17" i="30"/>
  <c r="ABS18" i="30"/>
  <c r="ABS19" i="30"/>
  <c r="ABS20" i="30"/>
  <c r="ABS21" i="30"/>
  <c r="ABS22" i="30"/>
  <c r="ABS23" i="30"/>
  <c r="ABS24" i="30"/>
  <c r="ABS25" i="30"/>
  <c r="ABS26" i="30"/>
  <c r="ABS27" i="30"/>
  <c r="ABS28" i="30"/>
  <c r="ABS29" i="30"/>
  <c r="ABS30" i="30"/>
  <c r="ABS31" i="30"/>
  <c r="ABS32" i="30"/>
  <c r="ABS33" i="30"/>
  <c r="ABS34" i="30"/>
  <c r="ABT7" i="30"/>
  <c r="ABS7" i="30"/>
  <c r="ABX8" i="30"/>
  <c r="ABX9" i="30"/>
  <c r="ABX10" i="30"/>
  <c r="ABX11" i="30"/>
  <c r="ABX12" i="30"/>
  <c r="ABX13" i="30"/>
  <c r="ABX14" i="30"/>
  <c r="ABX15" i="30"/>
  <c r="ABX16" i="30"/>
  <c r="ABX17" i="30"/>
  <c r="ABX18" i="30"/>
  <c r="ABX19" i="30"/>
  <c r="ABX20" i="30"/>
  <c r="ABX21" i="30"/>
  <c r="ABX22" i="30"/>
  <c r="ABX23" i="30"/>
  <c r="ABX24" i="30"/>
  <c r="ABX25" i="30"/>
  <c r="ABX26" i="30"/>
  <c r="ABX27" i="30"/>
  <c r="ABX28" i="30"/>
  <c r="ABX29" i="30"/>
  <c r="ABX30" i="30"/>
  <c r="ABX31" i="30"/>
  <c r="ABX32" i="30"/>
  <c r="ABX33" i="30"/>
  <c r="ABX34" i="30"/>
  <c r="ABX35" i="30"/>
  <c r="ABW8" i="30"/>
  <c r="ABW9" i="30"/>
  <c r="ABW10" i="30"/>
  <c r="ABW11" i="30"/>
  <c r="ABW12" i="30"/>
  <c r="ABW13" i="30"/>
  <c r="ABW14" i="30"/>
  <c r="ABW15" i="30"/>
  <c r="ABW16" i="30"/>
  <c r="ABW17" i="30"/>
  <c r="ABW18" i="30"/>
  <c r="ABW19" i="30"/>
  <c r="ABW20" i="30"/>
  <c r="ABW21" i="30"/>
  <c r="ABW22" i="30"/>
  <c r="ABW23" i="30"/>
  <c r="ABW24" i="30"/>
  <c r="ABW25" i="30"/>
  <c r="ABW26" i="30"/>
  <c r="ABW27" i="30"/>
  <c r="ABW28" i="30"/>
  <c r="ABW29" i="30"/>
  <c r="ABW30" i="30"/>
  <c r="ABW31" i="30"/>
  <c r="ABW32" i="30"/>
  <c r="ABW33" i="30"/>
  <c r="ABW34" i="30"/>
  <c r="ABX7" i="30"/>
  <c r="ABW7" i="30"/>
  <c r="ACB8" i="30"/>
  <c r="ACB9" i="30"/>
  <c r="ACB10" i="30"/>
  <c r="ACB11" i="30"/>
  <c r="ACB12" i="30"/>
  <c r="ACB13" i="30"/>
  <c r="ACB14" i="30"/>
  <c r="ACB15" i="30"/>
  <c r="ACB16" i="30"/>
  <c r="ACB17" i="30"/>
  <c r="ACB18" i="30"/>
  <c r="ACB19" i="30"/>
  <c r="ACB20" i="30"/>
  <c r="ACB21" i="30"/>
  <c r="ACB22" i="30"/>
  <c r="ACB23" i="30"/>
  <c r="ACB24" i="30"/>
  <c r="ACB25" i="30"/>
  <c r="ACB26" i="30"/>
  <c r="ACB27" i="30"/>
  <c r="ACB28" i="30"/>
  <c r="ACB29" i="30"/>
  <c r="ACB30" i="30"/>
  <c r="ACB31" i="30"/>
  <c r="ACB32" i="30"/>
  <c r="ACB33" i="30"/>
  <c r="ACB34" i="30"/>
  <c r="ACB35" i="30"/>
  <c r="ACA8" i="30"/>
  <c r="ACA9" i="30"/>
  <c r="ACA10" i="30"/>
  <c r="ACA11" i="30"/>
  <c r="ACA12" i="30"/>
  <c r="ACA13" i="30"/>
  <c r="ACA14" i="30"/>
  <c r="ACA15" i="30"/>
  <c r="ACA16" i="30"/>
  <c r="ACA17" i="30"/>
  <c r="ACA18" i="30"/>
  <c r="ACA19" i="30"/>
  <c r="ACA20" i="30"/>
  <c r="ACA21" i="30"/>
  <c r="ACA22" i="30"/>
  <c r="ACA23" i="30"/>
  <c r="ACA24" i="30"/>
  <c r="ACA25" i="30"/>
  <c r="ACA26" i="30"/>
  <c r="ACA27" i="30"/>
  <c r="ACA28" i="30"/>
  <c r="ACA29" i="30"/>
  <c r="ACA30" i="30"/>
  <c r="ACA31" i="30"/>
  <c r="ACA32" i="30"/>
  <c r="ACA33" i="30"/>
  <c r="ACA34" i="30"/>
  <c r="ACB7" i="30"/>
  <c r="ACA7" i="30"/>
  <c r="ACF8" i="30"/>
  <c r="ACF9" i="30"/>
  <c r="ACF10" i="30"/>
  <c r="ACF11" i="30"/>
  <c r="ACF12" i="30"/>
  <c r="ACF13" i="30"/>
  <c r="ACF14" i="30"/>
  <c r="ACF15" i="30"/>
  <c r="ACF16" i="30"/>
  <c r="ACF17" i="30"/>
  <c r="ACF18" i="30"/>
  <c r="ACF19" i="30"/>
  <c r="ACF20" i="30"/>
  <c r="ACF21" i="30"/>
  <c r="ACF22" i="30"/>
  <c r="ACF23" i="30"/>
  <c r="ACF24" i="30"/>
  <c r="ACF25" i="30"/>
  <c r="ACF26" i="30"/>
  <c r="ACF27" i="30"/>
  <c r="ACF28" i="30"/>
  <c r="ACF29" i="30"/>
  <c r="ACF30" i="30"/>
  <c r="ACF31" i="30"/>
  <c r="ACF32" i="30"/>
  <c r="ACF33" i="30"/>
  <c r="ACF34" i="30"/>
  <c r="ACF35" i="30"/>
  <c r="ACE8" i="30"/>
  <c r="ACE9" i="30"/>
  <c r="ACE10" i="30"/>
  <c r="ACE11" i="30"/>
  <c r="ACE12" i="30"/>
  <c r="ACE13" i="30"/>
  <c r="ACE14" i="30"/>
  <c r="ACE15" i="30"/>
  <c r="ACE16" i="30"/>
  <c r="ACE17" i="30"/>
  <c r="ACE18" i="30"/>
  <c r="ACE19" i="30"/>
  <c r="ACE20" i="30"/>
  <c r="ACE21" i="30"/>
  <c r="ACE22" i="30"/>
  <c r="ACE23" i="30"/>
  <c r="ACE24" i="30"/>
  <c r="ACE25" i="30"/>
  <c r="ACE26" i="30"/>
  <c r="ACE27" i="30"/>
  <c r="ACE28" i="30"/>
  <c r="ACE29" i="30"/>
  <c r="ACE30" i="30"/>
  <c r="ACE31" i="30"/>
  <c r="ACE32" i="30"/>
  <c r="ACE33" i="30"/>
  <c r="ACE34" i="30"/>
  <c r="ACF7" i="30"/>
  <c r="ACE7" i="30"/>
  <c r="ACJ8" i="30"/>
  <c r="ACJ9" i="30"/>
  <c r="ACJ10" i="30"/>
  <c r="ACJ11" i="30"/>
  <c r="ACJ12" i="30"/>
  <c r="ACJ13" i="30"/>
  <c r="ACJ14" i="30"/>
  <c r="ACJ15" i="30"/>
  <c r="ACJ16" i="30"/>
  <c r="ACJ17" i="30"/>
  <c r="ACJ18" i="30"/>
  <c r="ACJ19" i="30"/>
  <c r="ACJ20" i="30"/>
  <c r="ACJ21" i="30"/>
  <c r="ACJ22" i="30"/>
  <c r="ACJ23" i="30"/>
  <c r="ACJ24" i="30"/>
  <c r="ACJ25" i="30"/>
  <c r="ACJ26" i="30"/>
  <c r="ACJ27" i="30"/>
  <c r="ACJ28" i="30"/>
  <c r="ACJ29" i="30"/>
  <c r="ACJ30" i="30"/>
  <c r="ACJ31" i="30"/>
  <c r="ACJ32" i="30"/>
  <c r="ACJ33" i="30"/>
  <c r="ACJ34" i="30"/>
  <c r="ACJ35" i="30"/>
  <c r="ACI8" i="30"/>
  <c r="ACI9" i="30"/>
  <c r="ACI10" i="30"/>
  <c r="ACI11" i="30"/>
  <c r="ACI12" i="30"/>
  <c r="ACI13" i="30"/>
  <c r="ACI14" i="30"/>
  <c r="ACI15" i="30"/>
  <c r="ACI16" i="30"/>
  <c r="ACI17" i="30"/>
  <c r="ACI18" i="30"/>
  <c r="ACI19" i="30"/>
  <c r="ACI20" i="30"/>
  <c r="ACI21" i="30"/>
  <c r="ACI22" i="30"/>
  <c r="ACI23" i="30"/>
  <c r="ACI24" i="30"/>
  <c r="ACI25" i="30"/>
  <c r="ACI26" i="30"/>
  <c r="ACI27" i="30"/>
  <c r="ACI28" i="30"/>
  <c r="ACI29" i="30"/>
  <c r="ACI30" i="30"/>
  <c r="ACI31" i="30"/>
  <c r="ACI32" i="30"/>
  <c r="ACI33" i="30"/>
  <c r="ACI34" i="30"/>
  <c r="ACJ7" i="30"/>
  <c r="ACI7" i="30"/>
  <c r="ABD8" i="30"/>
  <c r="ABD9" i="30"/>
  <c r="ABD10" i="30"/>
  <c r="ABD11" i="30"/>
  <c r="ABD12" i="30"/>
  <c r="ABD13" i="30"/>
  <c r="ABD14" i="30"/>
  <c r="ABD15" i="30"/>
  <c r="ABD16" i="30"/>
  <c r="ABD17" i="30"/>
  <c r="ABD18" i="30"/>
  <c r="ABD19" i="30"/>
  <c r="ABD20" i="30"/>
  <c r="ABD21" i="30"/>
  <c r="ABD22" i="30"/>
  <c r="ABD23" i="30"/>
  <c r="ABD24" i="30"/>
  <c r="ABD25" i="30"/>
  <c r="ABD26" i="30"/>
  <c r="ABD27" i="30"/>
  <c r="ABD28" i="30"/>
  <c r="ABD29" i="30"/>
  <c r="ABD30" i="30"/>
  <c r="ABD31" i="30"/>
  <c r="ABD32" i="30"/>
  <c r="ABD33" i="30"/>
  <c r="ABD34" i="30"/>
  <c r="ABD35" i="30"/>
  <c r="ABC8" i="30"/>
  <c r="ABC9" i="30"/>
  <c r="ABC10" i="30"/>
  <c r="ABC11" i="30"/>
  <c r="ABC12" i="30"/>
  <c r="ABC13" i="30"/>
  <c r="ABC14" i="30"/>
  <c r="ABC15" i="30"/>
  <c r="ABC16" i="30"/>
  <c r="ABC17" i="30"/>
  <c r="ABC18" i="30"/>
  <c r="ABC19" i="30"/>
  <c r="ABC20" i="30"/>
  <c r="ABC21" i="30"/>
  <c r="ABC22" i="30"/>
  <c r="ABC23" i="30"/>
  <c r="ABC24" i="30"/>
  <c r="ABC25" i="30"/>
  <c r="ABC26" i="30"/>
  <c r="ABC27" i="30"/>
  <c r="ABC28" i="30"/>
  <c r="ABC29" i="30"/>
  <c r="ABC30" i="30"/>
  <c r="ABC31" i="30"/>
  <c r="ABC32" i="30"/>
  <c r="ABC33" i="30"/>
  <c r="ABC34" i="30"/>
  <c r="ABD7" i="30"/>
  <c r="ABC7" i="30"/>
  <c r="AAZ8" i="30"/>
  <c r="AAZ9" i="30"/>
  <c r="AAZ10" i="30"/>
  <c r="AAZ11" i="30"/>
  <c r="AAZ12" i="30"/>
  <c r="AAZ13" i="30"/>
  <c r="AAZ14" i="30"/>
  <c r="AAZ15" i="30"/>
  <c r="AAZ16" i="30"/>
  <c r="AAZ17" i="30"/>
  <c r="AAZ18" i="30"/>
  <c r="AAZ19" i="30"/>
  <c r="AAZ20" i="30"/>
  <c r="AAZ21" i="30"/>
  <c r="AAZ22" i="30"/>
  <c r="AAZ23" i="30"/>
  <c r="AAZ24" i="30"/>
  <c r="AAZ25" i="30"/>
  <c r="AAZ26" i="30"/>
  <c r="AAZ27" i="30"/>
  <c r="AAZ28" i="30"/>
  <c r="AAZ29" i="30"/>
  <c r="AAZ30" i="30"/>
  <c r="AAZ31" i="30"/>
  <c r="AAZ32" i="30"/>
  <c r="AAZ33" i="30"/>
  <c r="AAZ34" i="30"/>
  <c r="AAZ35" i="30"/>
  <c r="AAY8" i="30"/>
  <c r="AAY9" i="30"/>
  <c r="AAY10" i="30"/>
  <c r="AAY11" i="30"/>
  <c r="AAY12" i="30"/>
  <c r="AAY13" i="30"/>
  <c r="AAY14" i="30"/>
  <c r="AAY15" i="30"/>
  <c r="AAY16" i="30"/>
  <c r="AAY17" i="30"/>
  <c r="AAY18" i="30"/>
  <c r="AAY19" i="30"/>
  <c r="AAY20" i="30"/>
  <c r="AAY21" i="30"/>
  <c r="AAY22" i="30"/>
  <c r="AAY23" i="30"/>
  <c r="AAY24" i="30"/>
  <c r="AAY25" i="30"/>
  <c r="AAY26" i="30"/>
  <c r="AAY27" i="30"/>
  <c r="AAY28" i="30"/>
  <c r="AAY29" i="30"/>
  <c r="AAY30" i="30"/>
  <c r="AAY31" i="30"/>
  <c r="AAY32" i="30"/>
  <c r="AAY33" i="30"/>
  <c r="AAY34" i="30"/>
  <c r="AAZ7" i="30"/>
  <c r="AAY7" i="30"/>
  <c r="AAV8" i="30"/>
  <c r="AAV9" i="30"/>
  <c r="AAV10" i="30"/>
  <c r="AAV11" i="30"/>
  <c r="AAV12" i="30"/>
  <c r="AAV13" i="30"/>
  <c r="AAV14" i="30"/>
  <c r="AAV15" i="30"/>
  <c r="AAV16" i="30"/>
  <c r="AAV17" i="30"/>
  <c r="AAV18" i="30"/>
  <c r="AAV19" i="30"/>
  <c r="AAV20" i="30"/>
  <c r="AAV21" i="30"/>
  <c r="AAV22" i="30"/>
  <c r="AAV23" i="30"/>
  <c r="AAV24" i="30"/>
  <c r="AAV25" i="30"/>
  <c r="AAV26" i="30"/>
  <c r="AAV27" i="30"/>
  <c r="AAV28" i="30"/>
  <c r="AAV29" i="30"/>
  <c r="AAV30" i="30"/>
  <c r="AAV31" i="30"/>
  <c r="AAV32" i="30"/>
  <c r="AAV33" i="30"/>
  <c r="AAV34" i="30"/>
  <c r="AAV35" i="30"/>
  <c r="AAU8" i="30"/>
  <c r="AAU9" i="30"/>
  <c r="AAU10" i="30"/>
  <c r="AAU11" i="30"/>
  <c r="AAU12" i="30"/>
  <c r="AAU13" i="30"/>
  <c r="AAU14" i="30"/>
  <c r="AAU15" i="30"/>
  <c r="AAU16" i="30"/>
  <c r="AAU17" i="30"/>
  <c r="AAU18" i="30"/>
  <c r="AAU19" i="30"/>
  <c r="AAU20" i="30"/>
  <c r="AAU21" i="30"/>
  <c r="AAU22" i="30"/>
  <c r="AAU23" i="30"/>
  <c r="AAU24" i="30"/>
  <c r="AAU25" i="30"/>
  <c r="AAU26" i="30"/>
  <c r="AAU27" i="30"/>
  <c r="AAU28" i="30"/>
  <c r="AAU29" i="30"/>
  <c r="AAU30" i="30"/>
  <c r="AAU31" i="30"/>
  <c r="AAU32" i="30"/>
  <c r="AAU33" i="30"/>
  <c r="AAU34" i="30"/>
  <c r="AAV7" i="30"/>
  <c r="AAU7" i="30"/>
  <c r="AAR8" i="30"/>
  <c r="AAR9" i="30"/>
  <c r="AAR10" i="30"/>
  <c r="AAR11" i="30"/>
  <c r="AAR12" i="30"/>
  <c r="AAR13" i="30"/>
  <c r="AAR14" i="30"/>
  <c r="AAR15" i="30"/>
  <c r="AAR16" i="30"/>
  <c r="AAR17" i="30"/>
  <c r="AAR18" i="30"/>
  <c r="AAR19" i="30"/>
  <c r="AAR20" i="30"/>
  <c r="AAR21" i="30"/>
  <c r="AAR22" i="30"/>
  <c r="AAR23" i="30"/>
  <c r="AAR24" i="30"/>
  <c r="AAR25" i="30"/>
  <c r="AAR26" i="30"/>
  <c r="AAR27" i="30"/>
  <c r="AAR28" i="30"/>
  <c r="AAR29" i="30"/>
  <c r="AAR30" i="30"/>
  <c r="AAR31" i="30"/>
  <c r="AAR32" i="30"/>
  <c r="AAR33" i="30"/>
  <c r="AAR34" i="30"/>
  <c r="AAR35" i="30"/>
  <c r="AAQ8" i="30"/>
  <c r="AAQ9" i="30"/>
  <c r="AAQ10" i="30"/>
  <c r="AAQ11" i="30"/>
  <c r="AAQ12" i="30"/>
  <c r="AAQ13" i="30"/>
  <c r="AAQ14" i="30"/>
  <c r="AAQ15" i="30"/>
  <c r="AAQ16" i="30"/>
  <c r="AAQ17" i="30"/>
  <c r="AAQ18" i="30"/>
  <c r="AAQ19" i="30"/>
  <c r="AAQ20" i="30"/>
  <c r="AAQ21" i="30"/>
  <c r="AAQ22" i="30"/>
  <c r="AAQ23" i="30"/>
  <c r="AAQ24" i="30"/>
  <c r="AAQ25" i="30"/>
  <c r="AAQ26" i="30"/>
  <c r="AAQ27" i="30"/>
  <c r="AAQ28" i="30"/>
  <c r="AAQ29" i="30"/>
  <c r="AAQ30" i="30"/>
  <c r="AAQ31" i="30"/>
  <c r="AAQ32" i="30"/>
  <c r="AAQ33" i="30"/>
  <c r="AAQ34" i="30"/>
  <c r="AAR7" i="30"/>
  <c r="AAQ7" i="30"/>
  <c r="AAN8" i="30"/>
  <c r="AAN9" i="30"/>
  <c r="AAN10" i="30"/>
  <c r="AAN11" i="30"/>
  <c r="AAN12" i="30"/>
  <c r="AAN13" i="30"/>
  <c r="AAN14" i="30"/>
  <c r="AAN15" i="30"/>
  <c r="AAN16" i="30"/>
  <c r="AAN17" i="30"/>
  <c r="AAN18" i="30"/>
  <c r="AAN19" i="30"/>
  <c r="AAN20" i="30"/>
  <c r="AAN21" i="30"/>
  <c r="AAN22" i="30"/>
  <c r="AAN23" i="30"/>
  <c r="AAN24" i="30"/>
  <c r="AAN25" i="30"/>
  <c r="AAN26" i="30"/>
  <c r="AAN27" i="30"/>
  <c r="AAN28" i="30"/>
  <c r="AAN29" i="30"/>
  <c r="AAN30" i="30"/>
  <c r="AAN31" i="30"/>
  <c r="AAN32" i="30"/>
  <c r="AAN33" i="30"/>
  <c r="AAN34" i="30"/>
  <c r="AAN35" i="30"/>
  <c r="AAM8" i="30"/>
  <c r="AAM9" i="30"/>
  <c r="AAM10" i="30"/>
  <c r="AAM11" i="30"/>
  <c r="AAM12" i="30"/>
  <c r="AAM13" i="30"/>
  <c r="AAM14" i="30"/>
  <c r="AAM15" i="30"/>
  <c r="AAM16" i="30"/>
  <c r="AAM17" i="30"/>
  <c r="AAM18" i="30"/>
  <c r="AAM19" i="30"/>
  <c r="AAM20" i="30"/>
  <c r="AAM21" i="30"/>
  <c r="AAM22" i="30"/>
  <c r="AAM23" i="30"/>
  <c r="AAM24" i="30"/>
  <c r="AAM25" i="30"/>
  <c r="AAM26" i="30"/>
  <c r="AAM27" i="30"/>
  <c r="AAM28" i="30"/>
  <c r="AAM29" i="30"/>
  <c r="AAM30" i="30"/>
  <c r="AAM31" i="30"/>
  <c r="AAM32" i="30"/>
  <c r="AAM33" i="30"/>
  <c r="AAM34" i="30"/>
  <c r="AAN7" i="30"/>
  <c r="AAM7" i="30"/>
  <c r="AAJ8" i="30"/>
  <c r="AAJ9" i="30"/>
  <c r="AAJ10" i="30"/>
  <c r="AAJ11" i="30"/>
  <c r="AAJ12" i="30"/>
  <c r="AAJ13" i="30"/>
  <c r="AAJ14" i="30"/>
  <c r="AAJ15" i="30"/>
  <c r="AAJ16" i="30"/>
  <c r="AAJ17" i="30"/>
  <c r="AAJ18" i="30"/>
  <c r="AAJ19" i="30"/>
  <c r="AAJ20" i="30"/>
  <c r="AAJ21" i="30"/>
  <c r="AAJ22" i="30"/>
  <c r="AAJ23" i="30"/>
  <c r="AAJ24" i="30"/>
  <c r="AAJ25" i="30"/>
  <c r="AAJ26" i="30"/>
  <c r="AAJ27" i="30"/>
  <c r="AAJ28" i="30"/>
  <c r="AAJ29" i="30"/>
  <c r="AAJ30" i="30"/>
  <c r="AAJ31" i="30"/>
  <c r="AAJ32" i="30"/>
  <c r="AAJ33" i="30"/>
  <c r="AAJ34" i="30"/>
  <c r="AAJ35" i="30"/>
  <c r="AAI8" i="30"/>
  <c r="AAI9" i="30"/>
  <c r="AAI10" i="30"/>
  <c r="AAI11" i="30"/>
  <c r="AAI12" i="30"/>
  <c r="AAI13" i="30"/>
  <c r="AAI14" i="30"/>
  <c r="AAI15" i="30"/>
  <c r="AAI16" i="30"/>
  <c r="AAI17" i="30"/>
  <c r="AAI18" i="30"/>
  <c r="AAI19" i="30"/>
  <c r="AAI20" i="30"/>
  <c r="AAI21" i="30"/>
  <c r="AAI22" i="30"/>
  <c r="AAI23" i="30"/>
  <c r="AAI24" i="30"/>
  <c r="AAI25" i="30"/>
  <c r="AAI26" i="30"/>
  <c r="AAI27" i="30"/>
  <c r="AAI28" i="30"/>
  <c r="AAI29" i="30"/>
  <c r="AAI30" i="30"/>
  <c r="AAI31" i="30"/>
  <c r="AAI32" i="30"/>
  <c r="AAI33" i="30"/>
  <c r="AAI34" i="30"/>
  <c r="AAJ7" i="30"/>
  <c r="AAI7" i="30"/>
  <c r="AAF8" i="30"/>
  <c r="AAF9" i="30"/>
  <c r="AAF10" i="30"/>
  <c r="AAF11" i="30"/>
  <c r="AAF12" i="30"/>
  <c r="AAF13" i="30"/>
  <c r="AAF14" i="30"/>
  <c r="AAF15" i="30"/>
  <c r="AAF16" i="30"/>
  <c r="AAF17" i="30"/>
  <c r="AAF18" i="30"/>
  <c r="AAF19" i="30"/>
  <c r="AAF20" i="30"/>
  <c r="AAF21" i="30"/>
  <c r="AAF22" i="30"/>
  <c r="AAF23" i="30"/>
  <c r="AAF24" i="30"/>
  <c r="AAF25" i="30"/>
  <c r="AAF26" i="30"/>
  <c r="AAF27" i="30"/>
  <c r="AAF28" i="30"/>
  <c r="AAF29" i="30"/>
  <c r="AAF30" i="30"/>
  <c r="AAF31" i="30"/>
  <c r="AAF32" i="30"/>
  <c r="AAF33" i="30"/>
  <c r="AAF34" i="30"/>
  <c r="AAF35" i="30"/>
  <c r="AAF7" i="30"/>
  <c r="AAE8" i="30"/>
  <c r="AAE9" i="30"/>
  <c r="AAE10" i="30"/>
  <c r="AAE11" i="30"/>
  <c r="AAE12" i="30"/>
  <c r="AAE13" i="30"/>
  <c r="AAE14" i="30"/>
  <c r="AAE15" i="30"/>
  <c r="AAE16" i="30"/>
  <c r="AAE17" i="30"/>
  <c r="AAE18" i="30"/>
  <c r="AAE19" i="30"/>
  <c r="AAE20" i="30"/>
  <c r="AAE21" i="30"/>
  <c r="AAE22" i="30"/>
  <c r="AAE23" i="30"/>
  <c r="AAE24" i="30"/>
  <c r="AAE25" i="30"/>
  <c r="AAE26" i="30"/>
  <c r="AAE27" i="30"/>
  <c r="AAE28" i="30"/>
  <c r="AAE29" i="30"/>
  <c r="AAE30" i="30"/>
  <c r="AAE31" i="30"/>
  <c r="AAE32" i="30"/>
  <c r="AAE33" i="30"/>
  <c r="AAE34" i="30"/>
  <c r="AAE7" i="30"/>
  <c r="ZX8" i="30"/>
  <c r="ZX9" i="30"/>
  <c r="ZX10" i="30"/>
  <c r="ZX11" i="30"/>
  <c r="ZX12" i="30"/>
  <c r="ZX13" i="30"/>
  <c r="ZX14" i="30"/>
  <c r="ZX15" i="30"/>
  <c r="ZX16" i="30"/>
  <c r="ZX17" i="30"/>
  <c r="ZX18" i="30"/>
  <c r="ZX19" i="30"/>
  <c r="ZX20" i="30"/>
  <c r="ZX21" i="30"/>
  <c r="ZX22" i="30"/>
  <c r="ZX23" i="30"/>
  <c r="ZX24" i="30"/>
  <c r="ZX25" i="30"/>
  <c r="ZX26" i="30"/>
  <c r="ZX27" i="30"/>
  <c r="ZX28" i="30"/>
  <c r="ZX29" i="30"/>
  <c r="ZX30" i="30"/>
  <c r="ZX31" i="30"/>
  <c r="ZX32" i="30"/>
  <c r="ZX33" i="30"/>
  <c r="ZX34" i="30"/>
  <c r="ZX35" i="30"/>
  <c r="ZW8" i="30"/>
  <c r="ZW9" i="30"/>
  <c r="ZW10" i="30"/>
  <c r="ZW11" i="30"/>
  <c r="ZW12" i="30"/>
  <c r="ZW13" i="30"/>
  <c r="ZW14" i="30"/>
  <c r="ZW15" i="30"/>
  <c r="ZW16" i="30"/>
  <c r="ZW17" i="30"/>
  <c r="ZW18" i="30"/>
  <c r="ZW19" i="30"/>
  <c r="ZW20" i="30"/>
  <c r="ZW21" i="30"/>
  <c r="ZW22" i="30"/>
  <c r="ZW23" i="30"/>
  <c r="ZW24" i="30"/>
  <c r="ZW25" i="30"/>
  <c r="ZW26" i="30"/>
  <c r="ZW27" i="30"/>
  <c r="ZW28" i="30"/>
  <c r="ZW29" i="30"/>
  <c r="ZW30" i="30"/>
  <c r="ZW31" i="30"/>
  <c r="ZW32" i="30"/>
  <c r="ZW33" i="30"/>
  <c r="ZW34" i="30"/>
  <c r="ZX7" i="30"/>
  <c r="ZW7" i="30"/>
  <c r="ZT8" i="30"/>
  <c r="ZT9" i="30"/>
  <c r="ZT10" i="30"/>
  <c r="ZT11" i="30"/>
  <c r="ZT12" i="30"/>
  <c r="ZT13" i="30"/>
  <c r="ZT14" i="30"/>
  <c r="ZT15" i="30"/>
  <c r="ZT16" i="30"/>
  <c r="ZT17" i="30"/>
  <c r="ZT18" i="30"/>
  <c r="ZT19" i="30"/>
  <c r="ZT20" i="30"/>
  <c r="ZT21" i="30"/>
  <c r="ZT22" i="30"/>
  <c r="ZT23" i="30"/>
  <c r="ZT24" i="30"/>
  <c r="ZT25" i="30"/>
  <c r="ZT26" i="30"/>
  <c r="ZT27" i="30"/>
  <c r="ZT28" i="30"/>
  <c r="ZT29" i="30"/>
  <c r="ZT30" i="30"/>
  <c r="ZT31" i="30"/>
  <c r="ZT32" i="30"/>
  <c r="ZT33" i="30"/>
  <c r="ZT34" i="30"/>
  <c r="ZT35" i="30"/>
  <c r="ZS8" i="30"/>
  <c r="ZS9" i="30"/>
  <c r="ZS10" i="30"/>
  <c r="ZS11" i="30"/>
  <c r="ZS12" i="30"/>
  <c r="ZS13" i="30"/>
  <c r="ZS14" i="30"/>
  <c r="ZS15" i="30"/>
  <c r="ZS16" i="30"/>
  <c r="ZS17" i="30"/>
  <c r="ZS18" i="30"/>
  <c r="ZS19" i="30"/>
  <c r="ZS20" i="30"/>
  <c r="ZS21" i="30"/>
  <c r="ZS22" i="30"/>
  <c r="ZS23" i="30"/>
  <c r="ZS24" i="30"/>
  <c r="ZS25" i="30"/>
  <c r="ZS26" i="30"/>
  <c r="ZS27" i="30"/>
  <c r="ZS28" i="30"/>
  <c r="ZS29" i="30"/>
  <c r="ZS30" i="30"/>
  <c r="ZS31" i="30"/>
  <c r="ZS32" i="30"/>
  <c r="ZS33" i="30"/>
  <c r="ZS34" i="30"/>
  <c r="ZT7" i="30"/>
  <c r="ZS7" i="30"/>
  <c r="ZP8" i="30"/>
  <c r="ZP9" i="30"/>
  <c r="ZP10" i="30"/>
  <c r="ZP11" i="30"/>
  <c r="ZP12" i="30"/>
  <c r="ZP13" i="30"/>
  <c r="ZP14" i="30"/>
  <c r="ZP15" i="30"/>
  <c r="ZP16" i="30"/>
  <c r="ZP17" i="30"/>
  <c r="ZP18" i="30"/>
  <c r="ZP19" i="30"/>
  <c r="ZP20" i="30"/>
  <c r="ZP21" i="30"/>
  <c r="ZP22" i="30"/>
  <c r="ZP23" i="30"/>
  <c r="ZP24" i="30"/>
  <c r="ZP25" i="30"/>
  <c r="ZP26" i="30"/>
  <c r="ZP27" i="30"/>
  <c r="ZP28" i="30"/>
  <c r="ZP29" i="30"/>
  <c r="ZP30" i="30"/>
  <c r="ZP31" i="30"/>
  <c r="ZP32" i="30"/>
  <c r="ZP33" i="30"/>
  <c r="ZP34" i="30"/>
  <c r="ZP35" i="30"/>
  <c r="ZO8" i="30"/>
  <c r="ZO9" i="30"/>
  <c r="ZO10" i="30"/>
  <c r="ZO11" i="30"/>
  <c r="ZO12" i="30"/>
  <c r="ZO13" i="30"/>
  <c r="ZO14" i="30"/>
  <c r="ZO15" i="30"/>
  <c r="ZO16" i="30"/>
  <c r="ZO17" i="30"/>
  <c r="ZO18" i="30"/>
  <c r="ZO19" i="30"/>
  <c r="ZO20" i="30"/>
  <c r="ZO21" i="30"/>
  <c r="ZO22" i="30"/>
  <c r="ZO23" i="30"/>
  <c r="ZO24" i="30"/>
  <c r="ZO25" i="30"/>
  <c r="ZO26" i="30"/>
  <c r="ZO27" i="30"/>
  <c r="ZO28" i="30"/>
  <c r="ZO29" i="30"/>
  <c r="ZO30" i="30"/>
  <c r="ZO31" i="30"/>
  <c r="ZO32" i="30"/>
  <c r="ZO33" i="30"/>
  <c r="ZO34" i="30"/>
  <c r="ZP7" i="30"/>
  <c r="ZO7" i="30"/>
  <c r="ZL8" i="30"/>
  <c r="ZL9" i="30"/>
  <c r="ZL10" i="30"/>
  <c r="ZL11" i="30"/>
  <c r="ZL12" i="30"/>
  <c r="ZL13" i="30"/>
  <c r="ZL14" i="30"/>
  <c r="ZL15" i="30"/>
  <c r="ZL16" i="30"/>
  <c r="ZL17" i="30"/>
  <c r="ZL18" i="30"/>
  <c r="ZL19" i="30"/>
  <c r="ZL20" i="30"/>
  <c r="ZL21" i="30"/>
  <c r="ZL22" i="30"/>
  <c r="ZL23" i="30"/>
  <c r="ZL24" i="30"/>
  <c r="ZL25" i="30"/>
  <c r="ZL26" i="30"/>
  <c r="ZL27" i="30"/>
  <c r="ZL28" i="30"/>
  <c r="ZL29" i="30"/>
  <c r="ZL30" i="30"/>
  <c r="ZL31" i="30"/>
  <c r="ZL32" i="30"/>
  <c r="ZL33" i="30"/>
  <c r="ZL34" i="30"/>
  <c r="ZL35" i="30"/>
  <c r="ZK8" i="30"/>
  <c r="ZK9" i="30"/>
  <c r="ZK10" i="30"/>
  <c r="ZK11" i="30"/>
  <c r="ZK12" i="30"/>
  <c r="ZK13" i="30"/>
  <c r="ZK14" i="30"/>
  <c r="ZK15" i="30"/>
  <c r="ZK16" i="30"/>
  <c r="ZK17" i="30"/>
  <c r="ZK18" i="30"/>
  <c r="ZK19" i="30"/>
  <c r="ZK20" i="30"/>
  <c r="ZK21" i="30"/>
  <c r="ZK22" i="30"/>
  <c r="ZK23" i="30"/>
  <c r="ZK24" i="30"/>
  <c r="ZK25" i="30"/>
  <c r="ZK26" i="30"/>
  <c r="ZK27" i="30"/>
  <c r="ZK28" i="30"/>
  <c r="ZK29" i="30"/>
  <c r="ZK30" i="30"/>
  <c r="ZK31" i="30"/>
  <c r="ZK32" i="30"/>
  <c r="ZK33" i="30"/>
  <c r="ZK34" i="30"/>
  <c r="ZL7" i="30"/>
  <c r="ZK7" i="30"/>
  <c r="ZG8" i="30"/>
  <c r="ZG9" i="30"/>
  <c r="ZG10" i="30"/>
  <c r="ZG11" i="30"/>
  <c r="ZG12" i="30"/>
  <c r="ZG13" i="30"/>
  <c r="ZG14" i="30"/>
  <c r="ZG15" i="30"/>
  <c r="ZG16" i="30"/>
  <c r="ZG17" i="30"/>
  <c r="ZG18" i="30"/>
  <c r="ZG19" i="30"/>
  <c r="ZG20" i="30"/>
  <c r="ZG21" i="30"/>
  <c r="ZG22" i="30"/>
  <c r="ZG23" i="30"/>
  <c r="ZG24" i="30"/>
  <c r="ZG25" i="30"/>
  <c r="ZG26" i="30"/>
  <c r="ZG27" i="30"/>
  <c r="ZG28" i="30"/>
  <c r="ZG29" i="30"/>
  <c r="ZG30" i="30"/>
  <c r="ZG31" i="30"/>
  <c r="ZG32" i="30"/>
  <c r="ZG33" i="30"/>
  <c r="ZG34" i="30"/>
  <c r="ZH8" i="30"/>
  <c r="ZH9" i="30"/>
  <c r="ZH10" i="30"/>
  <c r="ZH11" i="30"/>
  <c r="ZH12" i="30"/>
  <c r="ZH13" i="30"/>
  <c r="ZH14" i="30"/>
  <c r="ZH15" i="30"/>
  <c r="ZH16" i="30"/>
  <c r="ZH17" i="30"/>
  <c r="ZH18" i="30"/>
  <c r="ZH19" i="30"/>
  <c r="ZH20" i="30"/>
  <c r="ZH21" i="30"/>
  <c r="ZH22" i="30"/>
  <c r="ZH23" i="30"/>
  <c r="ZH24" i="30"/>
  <c r="ZH25" i="30"/>
  <c r="ZH26" i="30"/>
  <c r="ZH27" i="30"/>
  <c r="ZH28" i="30"/>
  <c r="ZH29" i="30"/>
  <c r="ZH30" i="30"/>
  <c r="ZH31" i="30"/>
  <c r="ZH32" i="30"/>
  <c r="ZH33" i="30"/>
  <c r="ZH34" i="30"/>
  <c r="ZH35" i="30"/>
  <c r="ZH7" i="30"/>
  <c r="ZG7" i="30"/>
  <c r="ZD8" i="30"/>
  <c r="ZD9" i="30"/>
  <c r="ZD10" i="30"/>
  <c r="ZD11" i="30"/>
  <c r="ZD12" i="30"/>
  <c r="ZD13" i="30"/>
  <c r="ZD14" i="30"/>
  <c r="ZD15" i="30"/>
  <c r="ZD16" i="30"/>
  <c r="ZD17" i="30"/>
  <c r="ZD18" i="30"/>
  <c r="ZD19" i="30"/>
  <c r="ZD20" i="30"/>
  <c r="ZD21" i="30"/>
  <c r="ZD22" i="30"/>
  <c r="ZD23" i="30"/>
  <c r="ZD24" i="30"/>
  <c r="ZD25" i="30"/>
  <c r="ZD26" i="30"/>
  <c r="ZD27" i="30"/>
  <c r="ZD28" i="30"/>
  <c r="ZD29" i="30"/>
  <c r="ZD30" i="30"/>
  <c r="ZD31" i="30"/>
  <c r="ZD32" i="30"/>
  <c r="ZD33" i="30"/>
  <c r="ZD34" i="30"/>
  <c r="ZD35" i="30"/>
  <c r="ZC8" i="30"/>
  <c r="ZC9" i="30"/>
  <c r="ZC10" i="30"/>
  <c r="ZC11" i="30"/>
  <c r="ZC12" i="30"/>
  <c r="ZC13" i="30"/>
  <c r="ZC14" i="30"/>
  <c r="ZC15" i="30"/>
  <c r="ZC16" i="30"/>
  <c r="ZC17" i="30"/>
  <c r="ZC18" i="30"/>
  <c r="ZC19" i="30"/>
  <c r="ZC20" i="30"/>
  <c r="ZC21" i="30"/>
  <c r="ZC22" i="30"/>
  <c r="ZC23" i="30"/>
  <c r="ZC24" i="30"/>
  <c r="ZC25" i="30"/>
  <c r="ZC26" i="30"/>
  <c r="ZC27" i="30"/>
  <c r="ZC28" i="30"/>
  <c r="ZC29" i="30"/>
  <c r="ZC30" i="30"/>
  <c r="ZC31" i="30"/>
  <c r="ZC32" i="30"/>
  <c r="ZC33" i="30"/>
  <c r="ZC34" i="30"/>
  <c r="ZD7" i="30"/>
  <c r="ZC7" i="30"/>
  <c r="YZ8" i="30"/>
  <c r="YZ9" i="30"/>
  <c r="YZ10" i="30"/>
  <c r="YZ11" i="30"/>
  <c r="YZ12" i="30"/>
  <c r="YZ13" i="30"/>
  <c r="YZ14" i="30"/>
  <c r="YZ15" i="30"/>
  <c r="YZ16" i="30"/>
  <c r="YZ17" i="30"/>
  <c r="YZ18" i="30"/>
  <c r="YZ19" i="30"/>
  <c r="YZ20" i="30"/>
  <c r="YZ21" i="30"/>
  <c r="YZ22" i="30"/>
  <c r="YZ23" i="30"/>
  <c r="YZ24" i="30"/>
  <c r="YZ25" i="30"/>
  <c r="YZ26" i="30"/>
  <c r="YZ27" i="30"/>
  <c r="YZ28" i="30"/>
  <c r="YZ29" i="30"/>
  <c r="YZ30" i="30"/>
  <c r="YZ31" i="30"/>
  <c r="YZ32" i="30"/>
  <c r="YZ33" i="30"/>
  <c r="YZ34" i="30"/>
  <c r="YZ35" i="30"/>
  <c r="YY8" i="30"/>
  <c r="YY9" i="30"/>
  <c r="YY10" i="30"/>
  <c r="YY11" i="30"/>
  <c r="YY12" i="30"/>
  <c r="YY13" i="30"/>
  <c r="YY14" i="30"/>
  <c r="YY15" i="30"/>
  <c r="YY16" i="30"/>
  <c r="YY17" i="30"/>
  <c r="YY18" i="30"/>
  <c r="YY19" i="30"/>
  <c r="YY20" i="30"/>
  <c r="YY21" i="30"/>
  <c r="YY22" i="30"/>
  <c r="YY23" i="30"/>
  <c r="YY24" i="30"/>
  <c r="YY25" i="30"/>
  <c r="YY26" i="30"/>
  <c r="YY27" i="30"/>
  <c r="YY28" i="30"/>
  <c r="YY29" i="30"/>
  <c r="YY30" i="30"/>
  <c r="YY31" i="30"/>
  <c r="YY32" i="30"/>
  <c r="YY33" i="30"/>
  <c r="YY34" i="30"/>
  <c r="YZ7" i="30"/>
  <c r="YY7" i="30"/>
  <c r="YR8" i="30"/>
  <c r="YR9" i="30"/>
  <c r="YR10" i="30"/>
  <c r="YR11" i="30"/>
  <c r="YR12" i="30"/>
  <c r="YR13" i="30"/>
  <c r="YR14" i="30"/>
  <c r="YR15" i="30"/>
  <c r="YR16" i="30"/>
  <c r="YR17" i="30"/>
  <c r="YR18" i="30"/>
  <c r="YR19" i="30"/>
  <c r="YR20" i="30"/>
  <c r="YR21" i="30"/>
  <c r="YR22" i="30"/>
  <c r="YR23" i="30"/>
  <c r="YR24" i="30"/>
  <c r="YR25" i="30"/>
  <c r="YR26" i="30"/>
  <c r="YR27" i="30"/>
  <c r="YR28" i="30"/>
  <c r="YR29" i="30"/>
  <c r="YR30" i="30"/>
  <c r="YR31" i="30"/>
  <c r="YR32" i="30"/>
  <c r="YR33" i="30"/>
  <c r="YR34" i="30"/>
  <c r="YR35" i="30"/>
  <c r="YQ8" i="30"/>
  <c r="YQ9" i="30"/>
  <c r="YQ10" i="30"/>
  <c r="YQ11" i="30"/>
  <c r="YQ12" i="30"/>
  <c r="YQ13" i="30"/>
  <c r="YQ14" i="30"/>
  <c r="YQ15" i="30"/>
  <c r="YQ16" i="30"/>
  <c r="YQ17" i="30"/>
  <c r="YQ18" i="30"/>
  <c r="YQ19" i="30"/>
  <c r="YQ20" i="30"/>
  <c r="YQ21" i="30"/>
  <c r="YQ22" i="30"/>
  <c r="YQ23" i="30"/>
  <c r="YQ24" i="30"/>
  <c r="YQ25" i="30"/>
  <c r="YQ26" i="30"/>
  <c r="YQ27" i="30"/>
  <c r="YQ28" i="30"/>
  <c r="YQ29" i="30"/>
  <c r="YQ30" i="30"/>
  <c r="YQ31" i="30"/>
  <c r="YQ32" i="30"/>
  <c r="YQ33" i="30"/>
  <c r="YQ34" i="30"/>
  <c r="YN8" i="30"/>
  <c r="YN9" i="30"/>
  <c r="YN10" i="30"/>
  <c r="YN11" i="30"/>
  <c r="YN12" i="30"/>
  <c r="YN13" i="30"/>
  <c r="YN14" i="30"/>
  <c r="YN15" i="30"/>
  <c r="YN16" i="30"/>
  <c r="YN17" i="30"/>
  <c r="YN18" i="30"/>
  <c r="YN19" i="30"/>
  <c r="YN20" i="30"/>
  <c r="YN21" i="30"/>
  <c r="YN22" i="30"/>
  <c r="YN23" i="30"/>
  <c r="YN24" i="30"/>
  <c r="YN25" i="30"/>
  <c r="YN26" i="30"/>
  <c r="YN27" i="30"/>
  <c r="YN28" i="30"/>
  <c r="YN29" i="30"/>
  <c r="YN30" i="30"/>
  <c r="YN31" i="30"/>
  <c r="YN32" i="30"/>
  <c r="YN33" i="30"/>
  <c r="YN34" i="30"/>
  <c r="YN35" i="30"/>
  <c r="YM8" i="30"/>
  <c r="YM9" i="30"/>
  <c r="YM10" i="30"/>
  <c r="YM11" i="30"/>
  <c r="YM12" i="30"/>
  <c r="YM13" i="30"/>
  <c r="YM14" i="30"/>
  <c r="YM15" i="30"/>
  <c r="YM16" i="30"/>
  <c r="YM17" i="30"/>
  <c r="YM18" i="30"/>
  <c r="YM19" i="30"/>
  <c r="YM20" i="30"/>
  <c r="YM21" i="30"/>
  <c r="YM22" i="30"/>
  <c r="YM23" i="30"/>
  <c r="YM24" i="30"/>
  <c r="YM25" i="30"/>
  <c r="YM26" i="30"/>
  <c r="YM27" i="30"/>
  <c r="YM28" i="30"/>
  <c r="YM29" i="30"/>
  <c r="YM30" i="30"/>
  <c r="YM31" i="30"/>
  <c r="YM32" i="30"/>
  <c r="YM33" i="30"/>
  <c r="YM34" i="30"/>
  <c r="YJ8" i="30"/>
  <c r="YJ9" i="30"/>
  <c r="YJ10" i="30"/>
  <c r="YJ11" i="30"/>
  <c r="YJ12" i="30"/>
  <c r="YJ13" i="30"/>
  <c r="YJ14" i="30"/>
  <c r="YJ15" i="30"/>
  <c r="YJ16" i="30"/>
  <c r="YJ17" i="30"/>
  <c r="YJ18" i="30"/>
  <c r="YJ19" i="30"/>
  <c r="YJ20" i="30"/>
  <c r="YJ21" i="30"/>
  <c r="YJ22" i="30"/>
  <c r="YJ23" i="30"/>
  <c r="YJ24" i="30"/>
  <c r="YJ25" i="30"/>
  <c r="YJ26" i="30"/>
  <c r="YJ27" i="30"/>
  <c r="YJ28" i="30"/>
  <c r="YJ29" i="30"/>
  <c r="YJ30" i="30"/>
  <c r="YJ31" i="30"/>
  <c r="YJ32" i="30"/>
  <c r="YJ33" i="30"/>
  <c r="YJ34" i="30"/>
  <c r="YJ35" i="30"/>
  <c r="YI8" i="30"/>
  <c r="YI9" i="30"/>
  <c r="YI10" i="30"/>
  <c r="YI11" i="30"/>
  <c r="YI12" i="30"/>
  <c r="YI13" i="30"/>
  <c r="YI14" i="30"/>
  <c r="YI15" i="30"/>
  <c r="YI16" i="30"/>
  <c r="YI17" i="30"/>
  <c r="YI18" i="30"/>
  <c r="YI19" i="30"/>
  <c r="YI20" i="30"/>
  <c r="YI21" i="30"/>
  <c r="YI22" i="30"/>
  <c r="YI23" i="30"/>
  <c r="YI24" i="30"/>
  <c r="YI25" i="30"/>
  <c r="YI26" i="30"/>
  <c r="YI27" i="30"/>
  <c r="YI28" i="30"/>
  <c r="YI29" i="30"/>
  <c r="YI30" i="30"/>
  <c r="YI31" i="30"/>
  <c r="YI32" i="30"/>
  <c r="YI33" i="30"/>
  <c r="YI34" i="30"/>
  <c r="YR7" i="30"/>
  <c r="YQ7" i="30"/>
  <c r="YN7" i="30"/>
  <c r="YM7" i="30"/>
  <c r="YJ7" i="30"/>
  <c r="YI7" i="30"/>
  <c r="YF8" i="30"/>
  <c r="YF9" i="30"/>
  <c r="YF10" i="30"/>
  <c r="YF11" i="30"/>
  <c r="YF12" i="30"/>
  <c r="YF13" i="30"/>
  <c r="YF14" i="30"/>
  <c r="YF15" i="30"/>
  <c r="YF16" i="30"/>
  <c r="YF17" i="30"/>
  <c r="YF18" i="30"/>
  <c r="YF19" i="30"/>
  <c r="YF20" i="30"/>
  <c r="YF21" i="30"/>
  <c r="YF22" i="30"/>
  <c r="YF23" i="30"/>
  <c r="YF24" i="30"/>
  <c r="YF25" i="30"/>
  <c r="YF26" i="30"/>
  <c r="YF27" i="30"/>
  <c r="YF28" i="30"/>
  <c r="YF29" i="30"/>
  <c r="YF30" i="30"/>
  <c r="YF31" i="30"/>
  <c r="YF32" i="30"/>
  <c r="YF33" i="30"/>
  <c r="YF34" i="30"/>
  <c r="YF35" i="30"/>
  <c r="YE8" i="30"/>
  <c r="YE9" i="30"/>
  <c r="YE10" i="30"/>
  <c r="YE11" i="30"/>
  <c r="YE12" i="30"/>
  <c r="YE13" i="30"/>
  <c r="YE14" i="30"/>
  <c r="YE15" i="30"/>
  <c r="YE16" i="30"/>
  <c r="YE17" i="30"/>
  <c r="YE18" i="30"/>
  <c r="YE19" i="30"/>
  <c r="YE20" i="30"/>
  <c r="YE21" i="30"/>
  <c r="YE22" i="30"/>
  <c r="YE23" i="30"/>
  <c r="YE24" i="30"/>
  <c r="YE25" i="30"/>
  <c r="YE26" i="30"/>
  <c r="YE27" i="30"/>
  <c r="YE28" i="30"/>
  <c r="YE29" i="30"/>
  <c r="YE30" i="30"/>
  <c r="YE31" i="30"/>
  <c r="YE32" i="30"/>
  <c r="YE33" i="30"/>
  <c r="YE34" i="30"/>
  <c r="YF7" i="30"/>
  <c r="YE7" i="30"/>
  <c r="YB8" i="30"/>
  <c r="YB9" i="30"/>
  <c r="YB10" i="30"/>
  <c r="YB11" i="30"/>
  <c r="YB12" i="30"/>
  <c r="YB13" i="30"/>
  <c r="YB14" i="30"/>
  <c r="YB15" i="30"/>
  <c r="YB16" i="30"/>
  <c r="YB17" i="30"/>
  <c r="YB18" i="30"/>
  <c r="YB19" i="30"/>
  <c r="YB20" i="30"/>
  <c r="YB21" i="30"/>
  <c r="YB22" i="30"/>
  <c r="YB23" i="30"/>
  <c r="YB24" i="30"/>
  <c r="YB25" i="30"/>
  <c r="YB26" i="30"/>
  <c r="YB27" i="30"/>
  <c r="YB28" i="30"/>
  <c r="YB29" i="30"/>
  <c r="YB30" i="30"/>
  <c r="YB31" i="30"/>
  <c r="YB32" i="30"/>
  <c r="YB33" i="30"/>
  <c r="YB34" i="30"/>
  <c r="YB35" i="30"/>
  <c r="YA8" i="30"/>
  <c r="YA9" i="30"/>
  <c r="YA10" i="30"/>
  <c r="YA11" i="30"/>
  <c r="YA12" i="30"/>
  <c r="YA13" i="30"/>
  <c r="YA14" i="30"/>
  <c r="YA15" i="30"/>
  <c r="YA16" i="30"/>
  <c r="YA17" i="30"/>
  <c r="YA18" i="30"/>
  <c r="YA19" i="30"/>
  <c r="YA20" i="30"/>
  <c r="YA21" i="30"/>
  <c r="YA22" i="30"/>
  <c r="YA23" i="30"/>
  <c r="YA24" i="30"/>
  <c r="YA25" i="30"/>
  <c r="YA26" i="30"/>
  <c r="YA27" i="30"/>
  <c r="YA28" i="30"/>
  <c r="YA29" i="30"/>
  <c r="YA30" i="30"/>
  <c r="YA31" i="30"/>
  <c r="YA32" i="30"/>
  <c r="YA33" i="30"/>
  <c r="YA34" i="30"/>
  <c r="XX8" i="30"/>
  <c r="XX9" i="30"/>
  <c r="XX10" i="30"/>
  <c r="XX11" i="30"/>
  <c r="XX12" i="30"/>
  <c r="XX13" i="30"/>
  <c r="XX14" i="30"/>
  <c r="XX15" i="30"/>
  <c r="XX16" i="30"/>
  <c r="XX17" i="30"/>
  <c r="XX18" i="30"/>
  <c r="XX19" i="30"/>
  <c r="XX20" i="30"/>
  <c r="XX21" i="30"/>
  <c r="XX22" i="30"/>
  <c r="XX23" i="30"/>
  <c r="XX24" i="30"/>
  <c r="XX25" i="30"/>
  <c r="XX26" i="30"/>
  <c r="XX27" i="30"/>
  <c r="XX28" i="30"/>
  <c r="XX29" i="30"/>
  <c r="XX30" i="30"/>
  <c r="XX31" i="30"/>
  <c r="XX32" i="30"/>
  <c r="XX33" i="30"/>
  <c r="XX34" i="30"/>
  <c r="XX35" i="30"/>
  <c r="XW8" i="30"/>
  <c r="XW9" i="30"/>
  <c r="XW10" i="30"/>
  <c r="XW11" i="30"/>
  <c r="XW12" i="30"/>
  <c r="XW13" i="30"/>
  <c r="XW14" i="30"/>
  <c r="XW15" i="30"/>
  <c r="XW16" i="30"/>
  <c r="XW17" i="30"/>
  <c r="XW18" i="30"/>
  <c r="XW19" i="30"/>
  <c r="XW20" i="30"/>
  <c r="XW21" i="30"/>
  <c r="XW22" i="30"/>
  <c r="XW23" i="30"/>
  <c r="XW24" i="30"/>
  <c r="XW25" i="30"/>
  <c r="XW26" i="30"/>
  <c r="XW27" i="30"/>
  <c r="XW28" i="30"/>
  <c r="XW29" i="30"/>
  <c r="XW30" i="30"/>
  <c r="XW31" i="30"/>
  <c r="XW32" i="30"/>
  <c r="XW33" i="30"/>
  <c r="XW34" i="30"/>
  <c r="XT8" i="30"/>
  <c r="XT9" i="30"/>
  <c r="XT10" i="30"/>
  <c r="XT11" i="30"/>
  <c r="XT12" i="30"/>
  <c r="XT13" i="30"/>
  <c r="XT14" i="30"/>
  <c r="XT15" i="30"/>
  <c r="XT16" i="30"/>
  <c r="XT17" i="30"/>
  <c r="XT18" i="30"/>
  <c r="XT19" i="30"/>
  <c r="XT20" i="30"/>
  <c r="XT21" i="30"/>
  <c r="XT22" i="30"/>
  <c r="XT23" i="30"/>
  <c r="XT24" i="30"/>
  <c r="XT25" i="30"/>
  <c r="XT26" i="30"/>
  <c r="XT27" i="30"/>
  <c r="XT28" i="30"/>
  <c r="XT29" i="30"/>
  <c r="XT30" i="30"/>
  <c r="XT31" i="30"/>
  <c r="XT32" i="30"/>
  <c r="XT33" i="30"/>
  <c r="XT34" i="30"/>
  <c r="XT35" i="30"/>
  <c r="XS8" i="30"/>
  <c r="XS9" i="30"/>
  <c r="XS10" i="30"/>
  <c r="XS11" i="30"/>
  <c r="XS12" i="30"/>
  <c r="XS13" i="30"/>
  <c r="XS14" i="30"/>
  <c r="XS15" i="30"/>
  <c r="XS16" i="30"/>
  <c r="XS17" i="30"/>
  <c r="XS18" i="30"/>
  <c r="XS19" i="30"/>
  <c r="XS20" i="30"/>
  <c r="XS21" i="30"/>
  <c r="XS22" i="30"/>
  <c r="XS23" i="30"/>
  <c r="XS24" i="30"/>
  <c r="XS25" i="30"/>
  <c r="XS26" i="30"/>
  <c r="XS27" i="30"/>
  <c r="XS28" i="30"/>
  <c r="XS29" i="30"/>
  <c r="XS30" i="30"/>
  <c r="XS31" i="30"/>
  <c r="XS32" i="30"/>
  <c r="XS33" i="30"/>
  <c r="XS34" i="30"/>
  <c r="YB7" i="30"/>
  <c r="YA7" i="30"/>
  <c r="XX7" i="30"/>
  <c r="XW7" i="30"/>
  <c r="XT7" i="30"/>
  <c r="XS7" i="30"/>
  <c r="XK8" i="30"/>
  <c r="XL8" i="30"/>
  <c r="XK9" i="30"/>
  <c r="XL9" i="30"/>
  <c r="XK10" i="30"/>
  <c r="XL10" i="30"/>
  <c r="XK11" i="30"/>
  <c r="XL11" i="30"/>
  <c r="XK12" i="30"/>
  <c r="XL12" i="30"/>
  <c r="XK13" i="30"/>
  <c r="XL13" i="30"/>
  <c r="XK14" i="30"/>
  <c r="XL14" i="30"/>
  <c r="XK15" i="30"/>
  <c r="XL15" i="30"/>
  <c r="XK16" i="30"/>
  <c r="XL16" i="30"/>
  <c r="XK17" i="30"/>
  <c r="XL17" i="30"/>
  <c r="XK18" i="30"/>
  <c r="XL18" i="30"/>
  <c r="XK19" i="30"/>
  <c r="XL19" i="30"/>
  <c r="XK20" i="30"/>
  <c r="XL20" i="30"/>
  <c r="XK21" i="30"/>
  <c r="XL21" i="30"/>
  <c r="XK22" i="30"/>
  <c r="XL22" i="30"/>
  <c r="XK23" i="30"/>
  <c r="XL23" i="30"/>
  <c r="XK24" i="30"/>
  <c r="XL24" i="30"/>
  <c r="XK25" i="30"/>
  <c r="XL25" i="30"/>
  <c r="XK26" i="30"/>
  <c r="XL26" i="30"/>
  <c r="XK27" i="30"/>
  <c r="XL27" i="30"/>
  <c r="XK28" i="30"/>
  <c r="XL28" i="30"/>
  <c r="XK29" i="30"/>
  <c r="XL29" i="30"/>
  <c r="XK30" i="30"/>
  <c r="XL30" i="30"/>
  <c r="XK31" i="30"/>
  <c r="XL31" i="30"/>
  <c r="XK32" i="30"/>
  <c r="XL32" i="30"/>
  <c r="XK33" i="30"/>
  <c r="XL33" i="30"/>
  <c r="XK34" i="30"/>
  <c r="XL34" i="30"/>
  <c r="XL7" i="30"/>
  <c r="XK7" i="30"/>
  <c r="XG8" i="30"/>
  <c r="XH8" i="30"/>
  <c r="XG9" i="30"/>
  <c r="XH9" i="30"/>
  <c r="XG10" i="30"/>
  <c r="XH10" i="30"/>
  <c r="XG11" i="30"/>
  <c r="XH11" i="30"/>
  <c r="XG12" i="30"/>
  <c r="XH12" i="30"/>
  <c r="XG13" i="30"/>
  <c r="XH13" i="30"/>
  <c r="XG14" i="30"/>
  <c r="XH14" i="30"/>
  <c r="XG15" i="30"/>
  <c r="XH15" i="30"/>
  <c r="XG16" i="30"/>
  <c r="XH16" i="30"/>
  <c r="XG17" i="30"/>
  <c r="XH17" i="30"/>
  <c r="XG18" i="30"/>
  <c r="XH18" i="30"/>
  <c r="XG19" i="30"/>
  <c r="XH19" i="30"/>
  <c r="XG20" i="30"/>
  <c r="XH20" i="30"/>
  <c r="XG21" i="30"/>
  <c r="XH21" i="30"/>
  <c r="XG22" i="30"/>
  <c r="XH22" i="30"/>
  <c r="XG23" i="30"/>
  <c r="XH23" i="30"/>
  <c r="XG24" i="30"/>
  <c r="XH24" i="30"/>
  <c r="XG25" i="30"/>
  <c r="XH25" i="30"/>
  <c r="XG26" i="30"/>
  <c r="XH26" i="30"/>
  <c r="XG27" i="30"/>
  <c r="XH27" i="30"/>
  <c r="XG28" i="30"/>
  <c r="XH28" i="30"/>
  <c r="XG29" i="30"/>
  <c r="XH29" i="30"/>
  <c r="XG30" i="30"/>
  <c r="XH30" i="30"/>
  <c r="XG31" i="30"/>
  <c r="XH31" i="30"/>
  <c r="XG32" i="30"/>
  <c r="XH32" i="30"/>
  <c r="XG33" i="30"/>
  <c r="XH33" i="30"/>
  <c r="XG34" i="30"/>
  <c r="XH34" i="30"/>
  <c r="XH7" i="30"/>
  <c r="XG7" i="30"/>
  <c r="XD8" i="30"/>
  <c r="XD9" i="30"/>
  <c r="XD10" i="30"/>
  <c r="XD11" i="30"/>
  <c r="XD12" i="30"/>
  <c r="XD13" i="30"/>
  <c r="XD14" i="30"/>
  <c r="XD15" i="30"/>
  <c r="XD16" i="30"/>
  <c r="XD17" i="30"/>
  <c r="XD18" i="30"/>
  <c r="XD19" i="30"/>
  <c r="XD20" i="30"/>
  <c r="XD21" i="30"/>
  <c r="XD22" i="30"/>
  <c r="XD23" i="30"/>
  <c r="XD24" i="30"/>
  <c r="XD25" i="30"/>
  <c r="XD26" i="30"/>
  <c r="XD27" i="30"/>
  <c r="XD28" i="30"/>
  <c r="XD29" i="30"/>
  <c r="XD30" i="30"/>
  <c r="XD31" i="30"/>
  <c r="XD32" i="30"/>
  <c r="XD33" i="30"/>
  <c r="XD34" i="30"/>
  <c r="XD35" i="30"/>
  <c r="XC8" i="30"/>
  <c r="XC9" i="30"/>
  <c r="XC10" i="30"/>
  <c r="XC11" i="30"/>
  <c r="XC12" i="30"/>
  <c r="XC13" i="30"/>
  <c r="XC14" i="30"/>
  <c r="XC15" i="30"/>
  <c r="XC16" i="30"/>
  <c r="XC17" i="30"/>
  <c r="XC18" i="30"/>
  <c r="XC19" i="30"/>
  <c r="XC20" i="30"/>
  <c r="XC21" i="30"/>
  <c r="XC22" i="30"/>
  <c r="XC23" i="30"/>
  <c r="XC24" i="30"/>
  <c r="XC25" i="30"/>
  <c r="XC26" i="30"/>
  <c r="XC27" i="30"/>
  <c r="XC28" i="30"/>
  <c r="XC29" i="30"/>
  <c r="XC30" i="30"/>
  <c r="XC31" i="30"/>
  <c r="XC32" i="30"/>
  <c r="XC33" i="30"/>
  <c r="XC34" i="30"/>
  <c r="XD7" i="30"/>
  <c r="XC7" i="30"/>
  <c r="WZ8" i="30"/>
  <c r="WZ9" i="30"/>
  <c r="WZ10" i="30"/>
  <c r="WZ11" i="30"/>
  <c r="WZ12" i="30"/>
  <c r="WZ13" i="30"/>
  <c r="WZ14" i="30"/>
  <c r="WZ15" i="30"/>
  <c r="WZ16" i="30"/>
  <c r="WZ17" i="30"/>
  <c r="WZ18" i="30"/>
  <c r="WZ19" i="30"/>
  <c r="WZ20" i="30"/>
  <c r="WZ21" i="30"/>
  <c r="WZ22" i="30"/>
  <c r="WZ23" i="30"/>
  <c r="WZ24" i="30"/>
  <c r="WZ25" i="30"/>
  <c r="WZ26" i="30"/>
  <c r="WZ27" i="30"/>
  <c r="WZ28" i="30"/>
  <c r="WZ29" i="30"/>
  <c r="WZ30" i="30"/>
  <c r="WZ31" i="30"/>
  <c r="WZ32" i="30"/>
  <c r="WZ33" i="30"/>
  <c r="WZ34" i="30"/>
  <c r="WZ35" i="30"/>
  <c r="WY8" i="30"/>
  <c r="WY9" i="30"/>
  <c r="WY10" i="30"/>
  <c r="WY11" i="30"/>
  <c r="WY12" i="30"/>
  <c r="WY13" i="30"/>
  <c r="WY14" i="30"/>
  <c r="WY15" i="30"/>
  <c r="WY16" i="30"/>
  <c r="WY17" i="30"/>
  <c r="WY18" i="30"/>
  <c r="WY19" i="30"/>
  <c r="WY20" i="30"/>
  <c r="WY21" i="30"/>
  <c r="WY22" i="30"/>
  <c r="WY23" i="30"/>
  <c r="WY24" i="30"/>
  <c r="WY25" i="30"/>
  <c r="WY26" i="30"/>
  <c r="WY27" i="30"/>
  <c r="WY28" i="30"/>
  <c r="WY29" i="30"/>
  <c r="WY30" i="30"/>
  <c r="WY31" i="30"/>
  <c r="WY32" i="30"/>
  <c r="WY33" i="30"/>
  <c r="WY34" i="30"/>
  <c r="WZ7" i="30"/>
  <c r="WY7" i="30"/>
  <c r="WV8" i="30"/>
  <c r="WV9" i="30"/>
  <c r="WV10" i="30"/>
  <c r="WV11" i="30"/>
  <c r="WV12" i="30"/>
  <c r="WV13" i="30"/>
  <c r="WV14" i="30"/>
  <c r="WV15" i="30"/>
  <c r="WV16" i="30"/>
  <c r="WV17" i="30"/>
  <c r="WV18" i="30"/>
  <c r="WV19" i="30"/>
  <c r="WV20" i="30"/>
  <c r="WV21" i="30"/>
  <c r="WV22" i="30"/>
  <c r="WV23" i="30"/>
  <c r="WV24" i="30"/>
  <c r="WV25" i="30"/>
  <c r="WV26" i="30"/>
  <c r="WV27" i="30"/>
  <c r="WV28" i="30"/>
  <c r="WV29" i="30"/>
  <c r="WV30" i="30"/>
  <c r="WV31" i="30"/>
  <c r="WV32" i="30"/>
  <c r="WV33" i="30"/>
  <c r="WV34" i="30"/>
  <c r="WV35" i="30"/>
  <c r="WU8" i="30"/>
  <c r="WU9" i="30"/>
  <c r="WU10" i="30"/>
  <c r="WU11" i="30"/>
  <c r="WU12" i="30"/>
  <c r="WU13" i="30"/>
  <c r="WU14" i="30"/>
  <c r="WU15" i="30"/>
  <c r="WU16" i="30"/>
  <c r="WU17" i="30"/>
  <c r="WU18" i="30"/>
  <c r="WU19" i="30"/>
  <c r="WU20" i="30"/>
  <c r="WU21" i="30"/>
  <c r="WU22" i="30"/>
  <c r="WU23" i="30"/>
  <c r="WU24" i="30"/>
  <c r="WU25" i="30"/>
  <c r="WU26" i="30"/>
  <c r="WU27" i="30"/>
  <c r="WU28" i="30"/>
  <c r="WU29" i="30"/>
  <c r="WU30" i="30"/>
  <c r="WU31" i="30"/>
  <c r="WU32" i="30"/>
  <c r="WU33" i="30"/>
  <c r="WU34" i="30"/>
  <c r="WV7" i="30"/>
  <c r="WU7" i="30"/>
  <c r="WR8" i="30"/>
  <c r="WR9" i="30"/>
  <c r="WR10" i="30"/>
  <c r="WR11" i="30"/>
  <c r="WR12" i="30"/>
  <c r="WR13" i="30"/>
  <c r="WR14" i="30"/>
  <c r="WR15" i="30"/>
  <c r="WR16" i="30"/>
  <c r="WR17" i="30"/>
  <c r="WR18" i="30"/>
  <c r="WR19" i="30"/>
  <c r="WR20" i="30"/>
  <c r="WR21" i="30"/>
  <c r="WR22" i="30"/>
  <c r="WR23" i="30"/>
  <c r="WR24" i="30"/>
  <c r="WR25" i="30"/>
  <c r="WR26" i="30"/>
  <c r="WR27" i="30"/>
  <c r="WR28" i="30"/>
  <c r="WR29" i="30"/>
  <c r="WR30" i="30"/>
  <c r="WR31" i="30"/>
  <c r="WR32" i="30"/>
  <c r="WR33" i="30"/>
  <c r="WR34" i="30"/>
  <c r="WR35" i="30"/>
  <c r="WQ8" i="30"/>
  <c r="WQ9" i="30"/>
  <c r="WQ10" i="30"/>
  <c r="WQ11" i="30"/>
  <c r="WQ12" i="30"/>
  <c r="WQ13" i="30"/>
  <c r="WQ14" i="30"/>
  <c r="WQ15" i="30"/>
  <c r="WQ16" i="30"/>
  <c r="WQ17" i="30"/>
  <c r="WQ18" i="30"/>
  <c r="WQ19" i="30"/>
  <c r="WQ20" i="30"/>
  <c r="WQ21" i="30"/>
  <c r="WQ22" i="30"/>
  <c r="WQ23" i="30"/>
  <c r="WQ24" i="30"/>
  <c r="WQ25" i="30"/>
  <c r="WQ26" i="30"/>
  <c r="WQ27" i="30"/>
  <c r="WQ28" i="30"/>
  <c r="WQ29" i="30"/>
  <c r="WQ30" i="30"/>
  <c r="WQ31" i="30"/>
  <c r="WQ32" i="30"/>
  <c r="WQ33" i="30"/>
  <c r="WQ34" i="30"/>
  <c r="WN8" i="30"/>
  <c r="WN9" i="30"/>
  <c r="WN10" i="30"/>
  <c r="WN11" i="30"/>
  <c r="WN12" i="30"/>
  <c r="WN13" i="30"/>
  <c r="WN14" i="30"/>
  <c r="WN15" i="30"/>
  <c r="WN16" i="30"/>
  <c r="WN17" i="30"/>
  <c r="WN18" i="30"/>
  <c r="WN19" i="30"/>
  <c r="WN20" i="30"/>
  <c r="WN21" i="30"/>
  <c r="WN22" i="30"/>
  <c r="WN23" i="30"/>
  <c r="WN24" i="30"/>
  <c r="WN25" i="30"/>
  <c r="WN26" i="30"/>
  <c r="WN27" i="30"/>
  <c r="WN28" i="30"/>
  <c r="WN29" i="30"/>
  <c r="WN30" i="30"/>
  <c r="WN31" i="30"/>
  <c r="WN32" i="30"/>
  <c r="WN33" i="30"/>
  <c r="WN34" i="30"/>
  <c r="WN35" i="30"/>
  <c r="WM8" i="30"/>
  <c r="WM9" i="30"/>
  <c r="WM10" i="30"/>
  <c r="WM11" i="30"/>
  <c r="WM12" i="30"/>
  <c r="WM13" i="30"/>
  <c r="WM14" i="30"/>
  <c r="WM15" i="30"/>
  <c r="WM16" i="30"/>
  <c r="WM17" i="30"/>
  <c r="WM18" i="30"/>
  <c r="WM19" i="30"/>
  <c r="WM20" i="30"/>
  <c r="WM21" i="30"/>
  <c r="WM22" i="30"/>
  <c r="WM23" i="30"/>
  <c r="WM24" i="30"/>
  <c r="WM25" i="30"/>
  <c r="WM26" i="30"/>
  <c r="WM27" i="30"/>
  <c r="WM28" i="30"/>
  <c r="WM29" i="30"/>
  <c r="WM30" i="30"/>
  <c r="WM31" i="30"/>
  <c r="WM32" i="30"/>
  <c r="WM33" i="30"/>
  <c r="WM34" i="30"/>
  <c r="WR7" i="30"/>
  <c r="WQ7" i="30"/>
  <c r="WN7" i="30"/>
  <c r="WM7" i="30"/>
  <c r="WF8" i="30"/>
  <c r="WF9" i="30"/>
  <c r="WF10" i="30"/>
  <c r="WF11" i="30"/>
  <c r="WF12" i="30"/>
  <c r="WF13" i="30"/>
  <c r="WF14" i="30"/>
  <c r="WF15" i="30"/>
  <c r="WF16" i="30"/>
  <c r="WF17" i="30"/>
  <c r="WF18" i="30"/>
  <c r="WF19" i="30"/>
  <c r="WF20" i="30"/>
  <c r="WF21" i="30"/>
  <c r="WF22" i="30"/>
  <c r="WF23" i="30"/>
  <c r="WF24" i="30"/>
  <c r="WF25" i="30"/>
  <c r="WF26" i="30"/>
  <c r="WF27" i="30"/>
  <c r="WF28" i="30"/>
  <c r="WF29" i="30"/>
  <c r="WF30" i="30"/>
  <c r="WF31" i="30"/>
  <c r="WF32" i="30"/>
  <c r="WF33" i="30"/>
  <c r="WF34" i="30"/>
  <c r="WF35" i="30"/>
  <c r="WE8" i="30"/>
  <c r="WE9" i="30"/>
  <c r="WE10" i="30"/>
  <c r="WE11" i="30"/>
  <c r="WE12" i="30"/>
  <c r="WE13" i="30"/>
  <c r="WE14" i="30"/>
  <c r="WE15" i="30"/>
  <c r="WE16" i="30"/>
  <c r="WE17" i="30"/>
  <c r="WE18" i="30"/>
  <c r="WE19" i="30"/>
  <c r="WE20" i="30"/>
  <c r="WE21" i="30"/>
  <c r="WE22" i="30"/>
  <c r="WE23" i="30"/>
  <c r="WE24" i="30"/>
  <c r="WE25" i="30"/>
  <c r="WE26" i="30"/>
  <c r="WE27" i="30"/>
  <c r="WE28" i="30"/>
  <c r="WE29" i="30"/>
  <c r="WE30" i="30"/>
  <c r="WE31" i="30"/>
  <c r="WE32" i="30"/>
  <c r="WE33" i="30"/>
  <c r="WE34" i="30"/>
  <c r="WB8" i="30"/>
  <c r="WB9" i="30"/>
  <c r="WB10" i="30"/>
  <c r="WB11" i="30"/>
  <c r="WB12" i="30"/>
  <c r="WB13" i="30"/>
  <c r="WB14" i="30"/>
  <c r="WB15" i="30"/>
  <c r="WB16" i="30"/>
  <c r="WB17" i="30"/>
  <c r="WB18" i="30"/>
  <c r="WB19" i="30"/>
  <c r="WB20" i="30"/>
  <c r="WB21" i="30"/>
  <c r="WB22" i="30"/>
  <c r="WB23" i="30"/>
  <c r="WB24" i="30"/>
  <c r="WB25" i="30"/>
  <c r="WB26" i="30"/>
  <c r="WB27" i="30"/>
  <c r="WB28" i="30"/>
  <c r="WB29" i="30"/>
  <c r="WB30" i="30"/>
  <c r="WB31" i="30"/>
  <c r="WB32" i="30"/>
  <c r="WB33" i="30"/>
  <c r="WB34" i="30"/>
  <c r="WB35" i="30"/>
  <c r="WA8" i="30"/>
  <c r="WA9" i="30"/>
  <c r="WA10" i="30"/>
  <c r="WA11" i="30"/>
  <c r="WA12" i="30"/>
  <c r="WA13" i="30"/>
  <c r="WA14" i="30"/>
  <c r="WA15" i="30"/>
  <c r="WA16" i="30"/>
  <c r="WA17" i="30"/>
  <c r="WA18" i="30"/>
  <c r="WA19" i="30"/>
  <c r="WA20" i="30"/>
  <c r="WA21" i="30"/>
  <c r="WA22" i="30"/>
  <c r="WA23" i="30"/>
  <c r="WA24" i="30"/>
  <c r="WA25" i="30"/>
  <c r="WA26" i="30"/>
  <c r="WA27" i="30"/>
  <c r="WA28" i="30"/>
  <c r="WA29" i="30"/>
  <c r="WA30" i="30"/>
  <c r="WA31" i="30"/>
  <c r="WA32" i="30"/>
  <c r="WA33" i="30"/>
  <c r="WA34" i="30"/>
  <c r="WF7" i="30"/>
  <c r="WB7" i="30"/>
  <c r="WE7" i="30"/>
  <c r="WA7" i="30"/>
  <c r="VX8" i="30"/>
  <c r="VX9" i="30"/>
  <c r="VX10" i="30"/>
  <c r="VX11" i="30"/>
  <c r="VX12" i="30"/>
  <c r="VX13" i="30"/>
  <c r="VX14" i="30"/>
  <c r="VX15" i="30"/>
  <c r="VX16" i="30"/>
  <c r="VX17" i="30"/>
  <c r="VX18" i="30"/>
  <c r="VX19" i="30"/>
  <c r="VX20" i="30"/>
  <c r="VX21" i="30"/>
  <c r="VX22" i="30"/>
  <c r="VX23" i="30"/>
  <c r="VX24" i="30"/>
  <c r="VX25" i="30"/>
  <c r="VX26" i="30"/>
  <c r="VX27" i="30"/>
  <c r="VX28" i="30"/>
  <c r="VX29" i="30"/>
  <c r="VX30" i="30"/>
  <c r="VX31" i="30"/>
  <c r="VX32" i="30"/>
  <c r="VX33" i="30"/>
  <c r="VX34" i="30"/>
  <c r="VX35" i="30"/>
  <c r="VW8" i="30"/>
  <c r="VW9" i="30"/>
  <c r="VW10" i="30"/>
  <c r="VW11" i="30"/>
  <c r="VW12" i="30"/>
  <c r="VW13" i="30"/>
  <c r="VW14" i="30"/>
  <c r="VW15" i="30"/>
  <c r="VW16" i="30"/>
  <c r="VW17" i="30"/>
  <c r="VW18" i="30"/>
  <c r="VW19" i="30"/>
  <c r="VW20" i="30"/>
  <c r="VW21" i="30"/>
  <c r="VW22" i="30"/>
  <c r="VW23" i="30"/>
  <c r="VW24" i="30"/>
  <c r="VW25" i="30"/>
  <c r="VW26" i="30"/>
  <c r="VW27" i="30"/>
  <c r="VW28" i="30"/>
  <c r="VW29" i="30"/>
  <c r="VW30" i="30"/>
  <c r="VW31" i="30"/>
  <c r="VW32" i="30"/>
  <c r="VW33" i="30"/>
  <c r="VW34" i="30"/>
  <c r="VX7" i="30"/>
  <c r="VW7" i="30"/>
  <c r="VT8" i="30"/>
  <c r="VT9" i="30"/>
  <c r="VT10" i="30"/>
  <c r="VT11" i="30"/>
  <c r="VT12" i="30"/>
  <c r="VT13" i="30"/>
  <c r="VT14" i="30"/>
  <c r="VT15" i="30"/>
  <c r="VT16" i="30"/>
  <c r="VT17" i="30"/>
  <c r="VT18" i="30"/>
  <c r="VT19" i="30"/>
  <c r="VT20" i="30"/>
  <c r="VT21" i="30"/>
  <c r="VT22" i="30"/>
  <c r="VT23" i="30"/>
  <c r="VT24" i="30"/>
  <c r="VT25" i="30"/>
  <c r="VT26" i="30"/>
  <c r="VT27" i="30"/>
  <c r="VT28" i="30"/>
  <c r="VT29" i="30"/>
  <c r="VT30" i="30"/>
  <c r="VT31" i="30"/>
  <c r="VT32" i="30"/>
  <c r="VT33" i="30"/>
  <c r="VT34" i="30"/>
  <c r="VT35" i="30"/>
  <c r="VS8" i="30"/>
  <c r="VS9" i="30"/>
  <c r="VS10" i="30"/>
  <c r="VS11" i="30"/>
  <c r="VS12" i="30"/>
  <c r="VS13" i="30"/>
  <c r="VS14" i="30"/>
  <c r="VS15" i="30"/>
  <c r="VS16" i="30"/>
  <c r="VS17" i="30"/>
  <c r="VS18" i="30"/>
  <c r="VS19" i="30"/>
  <c r="VS20" i="30"/>
  <c r="VS21" i="30"/>
  <c r="VS22" i="30"/>
  <c r="VS23" i="30"/>
  <c r="VS24" i="30"/>
  <c r="VS25" i="30"/>
  <c r="VS26" i="30"/>
  <c r="VS27" i="30"/>
  <c r="VS28" i="30"/>
  <c r="VS29" i="30"/>
  <c r="VS30" i="30"/>
  <c r="VS31" i="30"/>
  <c r="VS32" i="30"/>
  <c r="VS33" i="30"/>
  <c r="VS34" i="30"/>
  <c r="VT7" i="30"/>
  <c r="VS7" i="30"/>
  <c r="VP8" i="30"/>
  <c r="VP9" i="30"/>
  <c r="VP10" i="30"/>
  <c r="VP11" i="30"/>
  <c r="VP12" i="30"/>
  <c r="VP13" i="30"/>
  <c r="VP14" i="30"/>
  <c r="VP15" i="30"/>
  <c r="VP16" i="30"/>
  <c r="VP17" i="30"/>
  <c r="VP18" i="30"/>
  <c r="VP19" i="30"/>
  <c r="VP20" i="30"/>
  <c r="VP21" i="30"/>
  <c r="VP22" i="30"/>
  <c r="VP23" i="30"/>
  <c r="VP24" i="30"/>
  <c r="VP25" i="30"/>
  <c r="VP26" i="30"/>
  <c r="VP27" i="30"/>
  <c r="VP28" i="30"/>
  <c r="VP29" i="30"/>
  <c r="VP30" i="30"/>
  <c r="VP31" i="30"/>
  <c r="VP32" i="30"/>
  <c r="VP33" i="30"/>
  <c r="VP34" i="30"/>
  <c r="VP35" i="30"/>
  <c r="VO8" i="30"/>
  <c r="VO9" i="30"/>
  <c r="VO10" i="30"/>
  <c r="VO11" i="30"/>
  <c r="VO12" i="30"/>
  <c r="VO13" i="30"/>
  <c r="VO14" i="30"/>
  <c r="VO15" i="30"/>
  <c r="VO16" i="30"/>
  <c r="VO17" i="30"/>
  <c r="VO18" i="30"/>
  <c r="VO19" i="30"/>
  <c r="VO20" i="30"/>
  <c r="VO21" i="30"/>
  <c r="VO22" i="30"/>
  <c r="VO23" i="30"/>
  <c r="VO24" i="30"/>
  <c r="VO25" i="30"/>
  <c r="VO26" i="30"/>
  <c r="VO27" i="30"/>
  <c r="VO28" i="30"/>
  <c r="VO29" i="30"/>
  <c r="VO30" i="30"/>
  <c r="VO31" i="30"/>
  <c r="VO32" i="30"/>
  <c r="VO33" i="30"/>
  <c r="VO34" i="30"/>
  <c r="VL8" i="30"/>
  <c r="VL9" i="30"/>
  <c r="VL10" i="30"/>
  <c r="VL11" i="30"/>
  <c r="VL12" i="30"/>
  <c r="VL13" i="30"/>
  <c r="VL14" i="30"/>
  <c r="VL15" i="30"/>
  <c r="VL16" i="30"/>
  <c r="VL17" i="30"/>
  <c r="VL18" i="30"/>
  <c r="VL19" i="30"/>
  <c r="VL20" i="30"/>
  <c r="VL21" i="30"/>
  <c r="VL22" i="30"/>
  <c r="VL23" i="30"/>
  <c r="VL24" i="30"/>
  <c r="VL25" i="30"/>
  <c r="VL26" i="30"/>
  <c r="VL27" i="30"/>
  <c r="VL28" i="30"/>
  <c r="VL29" i="30"/>
  <c r="VL30" i="30"/>
  <c r="VL31" i="30"/>
  <c r="VL32" i="30"/>
  <c r="VL33" i="30"/>
  <c r="VL34" i="30"/>
  <c r="VL35" i="30"/>
  <c r="VK8" i="30"/>
  <c r="VK9" i="30"/>
  <c r="VK10" i="30"/>
  <c r="VK11" i="30"/>
  <c r="VK12" i="30"/>
  <c r="VK13" i="30"/>
  <c r="VK14" i="30"/>
  <c r="VK15" i="30"/>
  <c r="VK16" i="30"/>
  <c r="VK17" i="30"/>
  <c r="VK18" i="30"/>
  <c r="VK19" i="30"/>
  <c r="VK20" i="30"/>
  <c r="VK21" i="30"/>
  <c r="VK22" i="30"/>
  <c r="VK23" i="30"/>
  <c r="VK24" i="30"/>
  <c r="VK25" i="30"/>
  <c r="VK26" i="30"/>
  <c r="VK27" i="30"/>
  <c r="VK28" i="30"/>
  <c r="VK29" i="30"/>
  <c r="VK30" i="30"/>
  <c r="VK31" i="30"/>
  <c r="VK32" i="30"/>
  <c r="VK33" i="30"/>
  <c r="VK34" i="30"/>
  <c r="VP7" i="30"/>
  <c r="VO7" i="30"/>
  <c r="VL7" i="30"/>
  <c r="VK7" i="30"/>
  <c r="VH8" i="30"/>
  <c r="VH9" i="30"/>
  <c r="VH10" i="30"/>
  <c r="VH11" i="30"/>
  <c r="VH12" i="30"/>
  <c r="VH13" i="30"/>
  <c r="VH14" i="30"/>
  <c r="VH15" i="30"/>
  <c r="VH16" i="30"/>
  <c r="VH17" i="30"/>
  <c r="VH18" i="30"/>
  <c r="VH19" i="30"/>
  <c r="VH20" i="30"/>
  <c r="VH21" i="30"/>
  <c r="VH22" i="30"/>
  <c r="VH23" i="30"/>
  <c r="VH24" i="30"/>
  <c r="VH25" i="30"/>
  <c r="VH26" i="30"/>
  <c r="VH27" i="30"/>
  <c r="VH28" i="30"/>
  <c r="VH29" i="30"/>
  <c r="VH30" i="30"/>
  <c r="VH31" i="30"/>
  <c r="VH32" i="30"/>
  <c r="VH33" i="30"/>
  <c r="VH34" i="30"/>
  <c r="VH35" i="30"/>
  <c r="VG8" i="30"/>
  <c r="VG9" i="30"/>
  <c r="VG10" i="30"/>
  <c r="VG11" i="30"/>
  <c r="VG12" i="30"/>
  <c r="VG13" i="30"/>
  <c r="VG14" i="30"/>
  <c r="VG15" i="30"/>
  <c r="VG16" i="30"/>
  <c r="VG17" i="30"/>
  <c r="VG18" i="30"/>
  <c r="VG19" i="30"/>
  <c r="VG20" i="30"/>
  <c r="VG21" i="30"/>
  <c r="VG22" i="30"/>
  <c r="VG23" i="30"/>
  <c r="VG24" i="30"/>
  <c r="VG25" i="30"/>
  <c r="VG26" i="30"/>
  <c r="VG27" i="30"/>
  <c r="VG28" i="30"/>
  <c r="VG29" i="30"/>
  <c r="VG30" i="30"/>
  <c r="VG31" i="30"/>
  <c r="VG32" i="30"/>
  <c r="VG33" i="30"/>
  <c r="VG34" i="30"/>
  <c r="VH7" i="30"/>
  <c r="VG7" i="30"/>
  <c r="UZ8" i="30"/>
  <c r="UZ9" i="30"/>
  <c r="UZ10" i="30"/>
  <c r="UZ11" i="30"/>
  <c r="UZ12" i="30"/>
  <c r="UZ13" i="30"/>
  <c r="UZ14" i="30"/>
  <c r="UZ15" i="30"/>
  <c r="UZ16" i="30"/>
  <c r="UZ17" i="30"/>
  <c r="UZ18" i="30"/>
  <c r="UZ19" i="30"/>
  <c r="UZ20" i="30"/>
  <c r="UZ21" i="30"/>
  <c r="UZ22" i="30"/>
  <c r="UZ23" i="30"/>
  <c r="UZ24" i="30"/>
  <c r="UZ25" i="30"/>
  <c r="UZ26" i="30"/>
  <c r="UZ27" i="30"/>
  <c r="UZ28" i="30"/>
  <c r="UZ29" i="30"/>
  <c r="UZ30" i="30"/>
  <c r="UZ31" i="30"/>
  <c r="UZ32" i="30"/>
  <c r="UZ33" i="30"/>
  <c r="UZ34" i="30"/>
  <c r="UZ35" i="30"/>
  <c r="UY8" i="30"/>
  <c r="UY9" i="30"/>
  <c r="UY10" i="30"/>
  <c r="UY11" i="30"/>
  <c r="UY12" i="30"/>
  <c r="UY13" i="30"/>
  <c r="UY14" i="30"/>
  <c r="UY15" i="30"/>
  <c r="UY16" i="30"/>
  <c r="UY17" i="30"/>
  <c r="UY18" i="30"/>
  <c r="UY19" i="30"/>
  <c r="UY20" i="30"/>
  <c r="UY21" i="30"/>
  <c r="UY22" i="30"/>
  <c r="UY23" i="30"/>
  <c r="UY24" i="30"/>
  <c r="UY25" i="30"/>
  <c r="UY26" i="30"/>
  <c r="UY27" i="30"/>
  <c r="UY28" i="30"/>
  <c r="UY29" i="30"/>
  <c r="UY30" i="30"/>
  <c r="UY31" i="30"/>
  <c r="UY32" i="30"/>
  <c r="UY33" i="30"/>
  <c r="UY34" i="30"/>
  <c r="UZ7" i="30"/>
  <c r="UY7" i="30"/>
  <c r="UV8" i="30"/>
  <c r="UV9" i="30"/>
  <c r="UV10" i="30"/>
  <c r="UV11" i="30"/>
  <c r="UV12" i="30"/>
  <c r="UV13" i="30"/>
  <c r="UV14" i="30"/>
  <c r="UV15" i="30"/>
  <c r="UV16" i="30"/>
  <c r="UV17" i="30"/>
  <c r="UV18" i="30"/>
  <c r="UV19" i="30"/>
  <c r="UV20" i="30"/>
  <c r="UV21" i="30"/>
  <c r="UV22" i="30"/>
  <c r="UV23" i="30"/>
  <c r="UV24" i="30"/>
  <c r="UV25" i="30"/>
  <c r="UV26" i="30"/>
  <c r="UV27" i="30"/>
  <c r="UV28" i="30"/>
  <c r="UV29" i="30"/>
  <c r="UV30" i="30"/>
  <c r="UV31" i="30"/>
  <c r="UV32" i="30"/>
  <c r="UV33" i="30"/>
  <c r="UV34" i="30"/>
  <c r="UV35" i="30"/>
  <c r="UU8" i="30"/>
  <c r="UU9" i="30"/>
  <c r="UU10" i="30"/>
  <c r="UU11" i="30"/>
  <c r="UU12" i="30"/>
  <c r="UU13" i="30"/>
  <c r="UU14" i="30"/>
  <c r="UU15" i="30"/>
  <c r="UU16" i="30"/>
  <c r="UU17" i="30"/>
  <c r="UU18" i="30"/>
  <c r="UU19" i="30"/>
  <c r="UU20" i="30"/>
  <c r="UU21" i="30"/>
  <c r="UU22" i="30"/>
  <c r="UU23" i="30"/>
  <c r="UU24" i="30"/>
  <c r="UU25" i="30"/>
  <c r="UU26" i="30"/>
  <c r="UU27" i="30"/>
  <c r="UU28" i="30"/>
  <c r="UU29" i="30"/>
  <c r="UU30" i="30"/>
  <c r="UU31" i="30"/>
  <c r="UU32" i="30"/>
  <c r="UU33" i="30"/>
  <c r="UU34" i="30"/>
  <c r="UR8" i="30"/>
  <c r="UR9" i="30"/>
  <c r="UR10" i="30"/>
  <c r="UR11" i="30"/>
  <c r="UR12" i="30"/>
  <c r="UR13" i="30"/>
  <c r="UR14" i="30"/>
  <c r="UR15" i="30"/>
  <c r="UR16" i="30"/>
  <c r="UR17" i="30"/>
  <c r="UR18" i="30"/>
  <c r="UR19" i="30"/>
  <c r="UR20" i="30"/>
  <c r="UR21" i="30"/>
  <c r="UR22" i="30"/>
  <c r="UR23" i="30"/>
  <c r="UR24" i="30"/>
  <c r="UR25" i="30"/>
  <c r="UR26" i="30"/>
  <c r="UR27" i="30"/>
  <c r="UR28" i="30"/>
  <c r="UR29" i="30"/>
  <c r="UR30" i="30"/>
  <c r="UR31" i="30"/>
  <c r="UR32" i="30"/>
  <c r="UR33" i="30"/>
  <c r="UR34" i="30"/>
  <c r="UR35" i="30"/>
  <c r="UQ8" i="30"/>
  <c r="UQ9" i="30"/>
  <c r="UQ10" i="30"/>
  <c r="UQ11" i="30"/>
  <c r="UQ12" i="30"/>
  <c r="UQ13" i="30"/>
  <c r="UQ14" i="30"/>
  <c r="UQ15" i="30"/>
  <c r="UQ16" i="30"/>
  <c r="UQ17" i="30"/>
  <c r="UQ18" i="30"/>
  <c r="UQ19" i="30"/>
  <c r="UQ20" i="30"/>
  <c r="UQ21" i="30"/>
  <c r="UQ22" i="30"/>
  <c r="UQ23" i="30"/>
  <c r="UQ24" i="30"/>
  <c r="UQ25" i="30"/>
  <c r="UQ26" i="30"/>
  <c r="UQ27" i="30"/>
  <c r="UQ28" i="30"/>
  <c r="UQ29" i="30"/>
  <c r="UQ30" i="30"/>
  <c r="UQ31" i="30"/>
  <c r="UQ32" i="30"/>
  <c r="UQ33" i="30"/>
  <c r="UQ34" i="30"/>
  <c r="UN8" i="30"/>
  <c r="UN9" i="30"/>
  <c r="UN10" i="30"/>
  <c r="UN11" i="30"/>
  <c r="UN12" i="30"/>
  <c r="UN13" i="30"/>
  <c r="UN14" i="30"/>
  <c r="UN15" i="30"/>
  <c r="UN16" i="30"/>
  <c r="UN17" i="30"/>
  <c r="UN18" i="30"/>
  <c r="UN19" i="30"/>
  <c r="UN20" i="30"/>
  <c r="UN21" i="30"/>
  <c r="UN22" i="30"/>
  <c r="UN23" i="30"/>
  <c r="UN24" i="30"/>
  <c r="UN25" i="30"/>
  <c r="UN26" i="30"/>
  <c r="UN27" i="30"/>
  <c r="UN28" i="30"/>
  <c r="UN29" i="30"/>
  <c r="UN30" i="30"/>
  <c r="UN31" i="30"/>
  <c r="UN32" i="30"/>
  <c r="UN33" i="30"/>
  <c r="UN34" i="30"/>
  <c r="UN35" i="30"/>
  <c r="UM8" i="30"/>
  <c r="UM9" i="30"/>
  <c r="UM10" i="30"/>
  <c r="UM11" i="30"/>
  <c r="UM12" i="30"/>
  <c r="UM13" i="30"/>
  <c r="UM14" i="30"/>
  <c r="UM15" i="30"/>
  <c r="UM16" i="30"/>
  <c r="UM17" i="30"/>
  <c r="UM18" i="30"/>
  <c r="UM19" i="30"/>
  <c r="UM20" i="30"/>
  <c r="UM21" i="30"/>
  <c r="UM22" i="30"/>
  <c r="UM23" i="30"/>
  <c r="UM24" i="30"/>
  <c r="UM25" i="30"/>
  <c r="UM26" i="30"/>
  <c r="UM27" i="30"/>
  <c r="UM28" i="30"/>
  <c r="UM29" i="30"/>
  <c r="UM30" i="30"/>
  <c r="UM31" i="30"/>
  <c r="UM32" i="30"/>
  <c r="UM33" i="30"/>
  <c r="UM34" i="30"/>
  <c r="UV7" i="30"/>
  <c r="UU7" i="30"/>
  <c r="UR7" i="30"/>
  <c r="UQ7" i="30"/>
  <c r="UN7" i="30"/>
  <c r="UM7" i="30"/>
  <c r="UJ8" i="30"/>
  <c r="UJ9" i="30"/>
  <c r="UJ10" i="30"/>
  <c r="UJ11" i="30"/>
  <c r="UJ12" i="30"/>
  <c r="UJ13" i="30"/>
  <c r="UJ14" i="30"/>
  <c r="UJ15" i="30"/>
  <c r="UJ16" i="30"/>
  <c r="UJ17" i="30"/>
  <c r="UJ18" i="30"/>
  <c r="UJ19" i="30"/>
  <c r="UJ20" i="30"/>
  <c r="UJ21" i="30"/>
  <c r="UJ22" i="30"/>
  <c r="UJ23" i="30"/>
  <c r="UJ24" i="30"/>
  <c r="UJ25" i="30"/>
  <c r="UJ26" i="30"/>
  <c r="UJ27" i="30"/>
  <c r="UJ28" i="30"/>
  <c r="UJ29" i="30"/>
  <c r="UJ30" i="30"/>
  <c r="UJ31" i="30"/>
  <c r="UJ32" i="30"/>
  <c r="UJ33" i="30"/>
  <c r="UJ34" i="30"/>
  <c r="UJ35" i="30"/>
  <c r="UI8" i="30"/>
  <c r="UI9" i="30"/>
  <c r="UI10" i="30"/>
  <c r="UI11" i="30"/>
  <c r="UI12" i="30"/>
  <c r="UI13" i="30"/>
  <c r="UI14" i="30"/>
  <c r="UI15" i="30"/>
  <c r="UI16" i="30"/>
  <c r="UI17" i="30"/>
  <c r="UI18" i="30"/>
  <c r="UI19" i="30"/>
  <c r="UI20" i="30"/>
  <c r="UI21" i="30"/>
  <c r="UI22" i="30"/>
  <c r="UI23" i="30"/>
  <c r="UI24" i="30"/>
  <c r="UI25" i="30"/>
  <c r="UI26" i="30"/>
  <c r="UI27" i="30"/>
  <c r="UI28" i="30"/>
  <c r="UI29" i="30"/>
  <c r="UI30" i="30"/>
  <c r="UI31" i="30"/>
  <c r="UI32" i="30"/>
  <c r="UI33" i="30"/>
  <c r="UI34" i="30"/>
  <c r="UJ7" i="30"/>
  <c r="UI7" i="30"/>
  <c r="UF8" i="30"/>
  <c r="UF9" i="30"/>
  <c r="UF10" i="30"/>
  <c r="UF11" i="30"/>
  <c r="UF12" i="30"/>
  <c r="UF13" i="30"/>
  <c r="UF14" i="30"/>
  <c r="UF15" i="30"/>
  <c r="UF16" i="30"/>
  <c r="UF17" i="30"/>
  <c r="UF18" i="30"/>
  <c r="UF19" i="30"/>
  <c r="UF20" i="30"/>
  <c r="UF21" i="30"/>
  <c r="UF22" i="30"/>
  <c r="UF23" i="30"/>
  <c r="UF24" i="30"/>
  <c r="UF25" i="30"/>
  <c r="UF26" i="30"/>
  <c r="UF27" i="30"/>
  <c r="UF28" i="30"/>
  <c r="UF29" i="30"/>
  <c r="UF30" i="30"/>
  <c r="UF31" i="30"/>
  <c r="UF32" i="30"/>
  <c r="UF33" i="30"/>
  <c r="UF34" i="30"/>
  <c r="UF35" i="30"/>
  <c r="UE8" i="30"/>
  <c r="UE9" i="30"/>
  <c r="UE10" i="30"/>
  <c r="UE11" i="30"/>
  <c r="UE12" i="30"/>
  <c r="UE13" i="30"/>
  <c r="UE14" i="30"/>
  <c r="UE15" i="30"/>
  <c r="UE16" i="30"/>
  <c r="UE17" i="30"/>
  <c r="UE18" i="30"/>
  <c r="UE19" i="30"/>
  <c r="UE20" i="30"/>
  <c r="UE21" i="30"/>
  <c r="UE22" i="30"/>
  <c r="UE23" i="30"/>
  <c r="UE24" i="30"/>
  <c r="UE25" i="30"/>
  <c r="UE26" i="30"/>
  <c r="UE27" i="30"/>
  <c r="UE28" i="30"/>
  <c r="UE29" i="30"/>
  <c r="UE30" i="30"/>
  <c r="UE31" i="30"/>
  <c r="UE32" i="30"/>
  <c r="UE33" i="30"/>
  <c r="UE34" i="30"/>
  <c r="UB8" i="30"/>
  <c r="UB9" i="30"/>
  <c r="UB10" i="30"/>
  <c r="UB11" i="30"/>
  <c r="UB12" i="30"/>
  <c r="UB13" i="30"/>
  <c r="UB14" i="30"/>
  <c r="UB15" i="30"/>
  <c r="UB16" i="30"/>
  <c r="UB17" i="30"/>
  <c r="UB18" i="30"/>
  <c r="UB19" i="30"/>
  <c r="UB20" i="30"/>
  <c r="UB21" i="30"/>
  <c r="UB22" i="30"/>
  <c r="UB23" i="30"/>
  <c r="UB24" i="30"/>
  <c r="UB25" i="30"/>
  <c r="UB26" i="30"/>
  <c r="UB27" i="30"/>
  <c r="UB28" i="30"/>
  <c r="UB29" i="30"/>
  <c r="UB30" i="30"/>
  <c r="UB31" i="30"/>
  <c r="UB32" i="30"/>
  <c r="UB33" i="30"/>
  <c r="UB34" i="30"/>
  <c r="UB35" i="30"/>
  <c r="UA8" i="30"/>
  <c r="UA9" i="30"/>
  <c r="UA10" i="30"/>
  <c r="UA11" i="30"/>
  <c r="UA12" i="30"/>
  <c r="UA13" i="30"/>
  <c r="UA14" i="30"/>
  <c r="UA15" i="30"/>
  <c r="UA16" i="30"/>
  <c r="UA17" i="30"/>
  <c r="UA18" i="30"/>
  <c r="UA19" i="30"/>
  <c r="UA20" i="30"/>
  <c r="UA21" i="30"/>
  <c r="UA22" i="30"/>
  <c r="UA23" i="30"/>
  <c r="UA24" i="30"/>
  <c r="UA25" i="30"/>
  <c r="UA26" i="30"/>
  <c r="UA27" i="30"/>
  <c r="UA28" i="30"/>
  <c r="UA29" i="30"/>
  <c r="UA30" i="30"/>
  <c r="UA31" i="30"/>
  <c r="UA32" i="30"/>
  <c r="UA33" i="30"/>
  <c r="UA34" i="30"/>
  <c r="UF7" i="30"/>
  <c r="UE7" i="30"/>
  <c r="UB7" i="30"/>
  <c r="UA7" i="30"/>
  <c r="TT8" i="30"/>
  <c r="TT9" i="30"/>
  <c r="TT10" i="30"/>
  <c r="TT11" i="30"/>
  <c r="TT12" i="30"/>
  <c r="TT13" i="30"/>
  <c r="TT14" i="30"/>
  <c r="TT15" i="30"/>
  <c r="TT16" i="30"/>
  <c r="TT17" i="30"/>
  <c r="TT18" i="30"/>
  <c r="TT19" i="30"/>
  <c r="TT20" i="30"/>
  <c r="TT21" i="30"/>
  <c r="TT22" i="30"/>
  <c r="TT23" i="30"/>
  <c r="TT24" i="30"/>
  <c r="TT25" i="30"/>
  <c r="TT26" i="30"/>
  <c r="TT27" i="30"/>
  <c r="TT28" i="30"/>
  <c r="TT29" i="30"/>
  <c r="TT30" i="30"/>
  <c r="TT31" i="30"/>
  <c r="TT32" i="30"/>
  <c r="TT33" i="30"/>
  <c r="TT34" i="30"/>
  <c r="TT35" i="30"/>
  <c r="TS8" i="30"/>
  <c r="TS9" i="30"/>
  <c r="TS10" i="30"/>
  <c r="TS11" i="30"/>
  <c r="TS12" i="30"/>
  <c r="TS13" i="30"/>
  <c r="TS14" i="30"/>
  <c r="TS15" i="30"/>
  <c r="TS16" i="30"/>
  <c r="TS17" i="30"/>
  <c r="TS18" i="30"/>
  <c r="TS19" i="30"/>
  <c r="TS20" i="30"/>
  <c r="TS21" i="30"/>
  <c r="TS22" i="30"/>
  <c r="TS23" i="30"/>
  <c r="TS24" i="30"/>
  <c r="TS25" i="30"/>
  <c r="TS26" i="30"/>
  <c r="TS27" i="30"/>
  <c r="TS28" i="30"/>
  <c r="TS29" i="30"/>
  <c r="TS30" i="30"/>
  <c r="TS31" i="30"/>
  <c r="TS32" i="30"/>
  <c r="TS33" i="30"/>
  <c r="TS34" i="30"/>
  <c r="TT7" i="30"/>
  <c r="TS7" i="30"/>
  <c r="TP8" i="30"/>
  <c r="TP9" i="30"/>
  <c r="TP10" i="30"/>
  <c r="TP11" i="30"/>
  <c r="TP12" i="30"/>
  <c r="TP13" i="30"/>
  <c r="TP14" i="30"/>
  <c r="TP15" i="30"/>
  <c r="TP16" i="30"/>
  <c r="TP17" i="30"/>
  <c r="TP18" i="30"/>
  <c r="TP19" i="30"/>
  <c r="TP20" i="30"/>
  <c r="TP21" i="30"/>
  <c r="TP22" i="30"/>
  <c r="TP23" i="30"/>
  <c r="TP24" i="30"/>
  <c r="TP25" i="30"/>
  <c r="TP26" i="30"/>
  <c r="TP27" i="30"/>
  <c r="TP28" i="30"/>
  <c r="TP29" i="30"/>
  <c r="TP30" i="30"/>
  <c r="TP31" i="30"/>
  <c r="TP32" i="30"/>
  <c r="TP33" i="30"/>
  <c r="TP34" i="30"/>
  <c r="TP35" i="30"/>
  <c r="TO8" i="30"/>
  <c r="TO9" i="30"/>
  <c r="TO10" i="30"/>
  <c r="TO11" i="30"/>
  <c r="TO12" i="30"/>
  <c r="TO13" i="30"/>
  <c r="TO14" i="30"/>
  <c r="TO15" i="30"/>
  <c r="TO16" i="30"/>
  <c r="TO17" i="30"/>
  <c r="TO18" i="30"/>
  <c r="TO19" i="30"/>
  <c r="TO20" i="30"/>
  <c r="TO21" i="30"/>
  <c r="TO22" i="30"/>
  <c r="TO23" i="30"/>
  <c r="TO24" i="30"/>
  <c r="TO25" i="30"/>
  <c r="TO26" i="30"/>
  <c r="TO27" i="30"/>
  <c r="TO28" i="30"/>
  <c r="TO29" i="30"/>
  <c r="TO30" i="30"/>
  <c r="TO31" i="30"/>
  <c r="TO32" i="30"/>
  <c r="TO33" i="30"/>
  <c r="TO34" i="30"/>
  <c r="TP7" i="30"/>
  <c r="TO7" i="30"/>
  <c r="TL8" i="30"/>
  <c r="TL9" i="30"/>
  <c r="TL10" i="30"/>
  <c r="TL11" i="30"/>
  <c r="TL12" i="30"/>
  <c r="TL13" i="30"/>
  <c r="TL14" i="30"/>
  <c r="TL15" i="30"/>
  <c r="TL16" i="30"/>
  <c r="TL17" i="30"/>
  <c r="TL18" i="30"/>
  <c r="TL19" i="30"/>
  <c r="TL20" i="30"/>
  <c r="TL21" i="30"/>
  <c r="TL22" i="30"/>
  <c r="TL23" i="30"/>
  <c r="TL24" i="30"/>
  <c r="TL25" i="30"/>
  <c r="TL26" i="30"/>
  <c r="TL27" i="30"/>
  <c r="TL28" i="30"/>
  <c r="TL29" i="30"/>
  <c r="TL30" i="30"/>
  <c r="TL31" i="30"/>
  <c r="TL32" i="30"/>
  <c r="TL33" i="30"/>
  <c r="TL34" i="30"/>
  <c r="TL35" i="30"/>
  <c r="TK8" i="30"/>
  <c r="TK9" i="30"/>
  <c r="TK10" i="30"/>
  <c r="TK11" i="30"/>
  <c r="TK12" i="30"/>
  <c r="TK13" i="30"/>
  <c r="TK14" i="30"/>
  <c r="TK15" i="30"/>
  <c r="TK16" i="30"/>
  <c r="TK17" i="30"/>
  <c r="TK18" i="30"/>
  <c r="TK19" i="30"/>
  <c r="TK20" i="30"/>
  <c r="TK21" i="30"/>
  <c r="TK22" i="30"/>
  <c r="TK23" i="30"/>
  <c r="TK24" i="30"/>
  <c r="TK25" i="30"/>
  <c r="TK26" i="30"/>
  <c r="TK27" i="30"/>
  <c r="TK28" i="30"/>
  <c r="TK29" i="30"/>
  <c r="TK30" i="30"/>
  <c r="TK31" i="30"/>
  <c r="TK32" i="30"/>
  <c r="TK33" i="30"/>
  <c r="TK34" i="30"/>
  <c r="TL7" i="30"/>
  <c r="TK7" i="30"/>
  <c r="TH8" i="30"/>
  <c r="TH9" i="30"/>
  <c r="TH10" i="30"/>
  <c r="TH11" i="30"/>
  <c r="TH12" i="30"/>
  <c r="TH13" i="30"/>
  <c r="TH14" i="30"/>
  <c r="TH15" i="30"/>
  <c r="TH16" i="30"/>
  <c r="TH17" i="30"/>
  <c r="TH18" i="30"/>
  <c r="TH19" i="30"/>
  <c r="TH20" i="30"/>
  <c r="TH21" i="30"/>
  <c r="TH22" i="30"/>
  <c r="TH23" i="30"/>
  <c r="TH24" i="30"/>
  <c r="TH25" i="30"/>
  <c r="TH26" i="30"/>
  <c r="TH27" i="30"/>
  <c r="TH28" i="30"/>
  <c r="TH29" i="30"/>
  <c r="TH30" i="30"/>
  <c r="TH31" i="30"/>
  <c r="TH32" i="30"/>
  <c r="TH33" i="30"/>
  <c r="TH34" i="30"/>
  <c r="TH35" i="30"/>
  <c r="TG8" i="30"/>
  <c r="TG9" i="30"/>
  <c r="TG10" i="30"/>
  <c r="TG11" i="30"/>
  <c r="TG12" i="30"/>
  <c r="TG13" i="30"/>
  <c r="TG14" i="30"/>
  <c r="TG15" i="30"/>
  <c r="TG16" i="30"/>
  <c r="TG17" i="30"/>
  <c r="TG18" i="30"/>
  <c r="TG19" i="30"/>
  <c r="TG20" i="30"/>
  <c r="TG21" i="30"/>
  <c r="TG22" i="30"/>
  <c r="TG23" i="30"/>
  <c r="TG24" i="30"/>
  <c r="TG25" i="30"/>
  <c r="TG26" i="30"/>
  <c r="TG27" i="30"/>
  <c r="TG28" i="30"/>
  <c r="TG29" i="30"/>
  <c r="TG30" i="30"/>
  <c r="TG31" i="30"/>
  <c r="TG32" i="30"/>
  <c r="TG33" i="30"/>
  <c r="TG34" i="30"/>
  <c r="TD8" i="30"/>
  <c r="TD9" i="30"/>
  <c r="TD10" i="30"/>
  <c r="TD11" i="30"/>
  <c r="TD12" i="30"/>
  <c r="TD13" i="30"/>
  <c r="TD14" i="30"/>
  <c r="TD15" i="30"/>
  <c r="TD16" i="30"/>
  <c r="TD17" i="30"/>
  <c r="TD18" i="30"/>
  <c r="TD19" i="30"/>
  <c r="TD20" i="30"/>
  <c r="TD21" i="30"/>
  <c r="TD22" i="30"/>
  <c r="TD23" i="30"/>
  <c r="TD24" i="30"/>
  <c r="TD25" i="30"/>
  <c r="TD26" i="30"/>
  <c r="TD27" i="30"/>
  <c r="TD28" i="30"/>
  <c r="TD29" i="30"/>
  <c r="TD30" i="30"/>
  <c r="TD31" i="30"/>
  <c r="TD32" i="30"/>
  <c r="TD33" i="30"/>
  <c r="TD34" i="30"/>
  <c r="TD35" i="30"/>
  <c r="TC8" i="30"/>
  <c r="TC9" i="30"/>
  <c r="TC10" i="30"/>
  <c r="TC11" i="30"/>
  <c r="TC12" i="30"/>
  <c r="TC13" i="30"/>
  <c r="TC14" i="30"/>
  <c r="TC15" i="30"/>
  <c r="TC16" i="30"/>
  <c r="TC17" i="30"/>
  <c r="TC18" i="30"/>
  <c r="TC19" i="30"/>
  <c r="TC20" i="30"/>
  <c r="TC21" i="30"/>
  <c r="TC22" i="30"/>
  <c r="TC23" i="30"/>
  <c r="TC24" i="30"/>
  <c r="TC25" i="30"/>
  <c r="TC26" i="30"/>
  <c r="TC27" i="30"/>
  <c r="TC28" i="30"/>
  <c r="TC29" i="30"/>
  <c r="TC30" i="30"/>
  <c r="TC31" i="30"/>
  <c r="TC32" i="30"/>
  <c r="TC33" i="30"/>
  <c r="TC34" i="30"/>
  <c r="TH7" i="30"/>
  <c r="TG7" i="30"/>
  <c r="TD7" i="30"/>
  <c r="TC7" i="30"/>
  <c r="SZ8" i="30"/>
  <c r="SZ9" i="30"/>
  <c r="SZ10" i="30"/>
  <c r="SZ11" i="30"/>
  <c r="SZ12" i="30"/>
  <c r="SZ13" i="30"/>
  <c r="SZ14" i="30"/>
  <c r="SZ15" i="30"/>
  <c r="SZ16" i="30"/>
  <c r="SZ17" i="30"/>
  <c r="SZ18" i="30"/>
  <c r="SZ19" i="30"/>
  <c r="SZ20" i="30"/>
  <c r="SZ21" i="30"/>
  <c r="SZ22" i="30"/>
  <c r="SZ23" i="30"/>
  <c r="SZ24" i="30"/>
  <c r="SZ25" i="30"/>
  <c r="SZ26" i="30"/>
  <c r="SZ27" i="30"/>
  <c r="SZ28" i="30"/>
  <c r="SZ29" i="30"/>
  <c r="SZ30" i="30"/>
  <c r="SZ31" i="30"/>
  <c r="SZ32" i="30"/>
  <c r="SZ33" i="30"/>
  <c r="SZ34" i="30"/>
  <c r="SZ35" i="30"/>
  <c r="SY8" i="30"/>
  <c r="SY9" i="30"/>
  <c r="SY10" i="30"/>
  <c r="SY11" i="30"/>
  <c r="SY12" i="30"/>
  <c r="SY13" i="30"/>
  <c r="SY14" i="30"/>
  <c r="SY15" i="30"/>
  <c r="SY16" i="30"/>
  <c r="SY17" i="30"/>
  <c r="SY18" i="30"/>
  <c r="SY19" i="30"/>
  <c r="SY20" i="30"/>
  <c r="SY21" i="30"/>
  <c r="SY22" i="30"/>
  <c r="SY23" i="30"/>
  <c r="SY24" i="30"/>
  <c r="SY25" i="30"/>
  <c r="SY26" i="30"/>
  <c r="SY27" i="30"/>
  <c r="SY28" i="30"/>
  <c r="SY29" i="30"/>
  <c r="SY30" i="30"/>
  <c r="SY31" i="30"/>
  <c r="SY32" i="30"/>
  <c r="SY33" i="30"/>
  <c r="SY34" i="30"/>
  <c r="SV8" i="30"/>
  <c r="SV9" i="30"/>
  <c r="SV10" i="30"/>
  <c r="SV11" i="30"/>
  <c r="SV12" i="30"/>
  <c r="SV13" i="30"/>
  <c r="SV14" i="30"/>
  <c r="SV15" i="30"/>
  <c r="SV16" i="30"/>
  <c r="SV17" i="30"/>
  <c r="SV18" i="30"/>
  <c r="SV19" i="30"/>
  <c r="SV20" i="30"/>
  <c r="SV21" i="30"/>
  <c r="SV22" i="30"/>
  <c r="SV23" i="30"/>
  <c r="SV24" i="30"/>
  <c r="SV25" i="30"/>
  <c r="SV26" i="30"/>
  <c r="SV27" i="30"/>
  <c r="SV28" i="30"/>
  <c r="SV29" i="30"/>
  <c r="SV30" i="30"/>
  <c r="SV31" i="30"/>
  <c r="SV32" i="30"/>
  <c r="SV33" i="30"/>
  <c r="SV34" i="30"/>
  <c r="SV35" i="30"/>
  <c r="SU8" i="30"/>
  <c r="SU9" i="30"/>
  <c r="SU10" i="30"/>
  <c r="SU11" i="30"/>
  <c r="SU12" i="30"/>
  <c r="SU13" i="30"/>
  <c r="SU14" i="30"/>
  <c r="SU15" i="30"/>
  <c r="SU16" i="30"/>
  <c r="SU17" i="30"/>
  <c r="SU18" i="30"/>
  <c r="SU19" i="30"/>
  <c r="SU20" i="30"/>
  <c r="SU21" i="30"/>
  <c r="SU22" i="30"/>
  <c r="SU23" i="30"/>
  <c r="SU24" i="30"/>
  <c r="SU25" i="30"/>
  <c r="SU26" i="30"/>
  <c r="SU27" i="30"/>
  <c r="SU28" i="30"/>
  <c r="SU29" i="30"/>
  <c r="SU30" i="30"/>
  <c r="SU31" i="30"/>
  <c r="SU32" i="30"/>
  <c r="SU33" i="30"/>
  <c r="SU34" i="30"/>
  <c r="SZ7" i="30"/>
  <c r="SY7" i="30"/>
  <c r="SV7" i="30"/>
  <c r="SU7" i="30"/>
  <c r="SN8" i="30"/>
  <c r="SN9" i="30"/>
  <c r="SN10" i="30"/>
  <c r="SN11" i="30"/>
  <c r="SN12" i="30"/>
  <c r="SN13" i="30"/>
  <c r="SN14" i="30"/>
  <c r="SN15" i="30"/>
  <c r="SN16" i="30"/>
  <c r="SN17" i="30"/>
  <c r="SN18" i="30"/>
  <c r="SN19" i="30"/>
  <c r="SN20" i="30"/>
  <c r="SN21" i="30"/>
  <c r="SN22" i="30"/>
  <c r="SN23" i="30"/>
  <c r="SN24" i="30"/>
  <c r="SN25" i="30"/>
  <c r="SN26" i="30"/>
  <c r="SN27" i="30"/>
  <c r="SN28" i="30"/>
  <c r="SN29" i="30"/>
  <c r="SN30" i="30"/>
  <c r="SN31" i="30"/>
  <c r="SN32" i="30"/>
  <c r="SN33" i="30"/>
  <c r="SN34" i="30"/>
  <c r="SN35" i="30"/>
  <c r="SM8" i="30"/>
  <c r="SM9" i="30"/>
  <c r="SM10" i="30"/>
  <c r="SM11" i="30"/>
  <c r="SM12" i="30"/>
  <c r="SM13" i="30"/>
  <c r="SM14" i="30"/>
  <c r="SM15" i="30"/>
  <c r="SM16" i="30"/>
  <c r="SM17" i="30"/>
  <c r="SM18" i="30"/>
  <c r="SM19" i="30"/>
  <c r="SM20" i="30"/>
  <c r="SM21" i="30"/>
  <c r="SM22" i="30"/>
  <c r="SM23" i="30"/>
  <c r="SM24" i="30"/>
  <c r="SM25" i="30"/>
  <c r="SM26" i="30"/>
  <c r="SM27" i="30"/>
  <c r="SM28" i="30"/>
  <c r="SM29" i="30"/>
  <c r="SM30" i="30"/>
  <c r="SM31" i="30"/>
  <c r="SM32" i="30"/>
  <c r="SM33" i="30"/>
  <c r="SM34" i="30"/>
  <c r="SJ8" i="30"/>
  <c r="SJ9" i="30"/>
  <c r="SJ10" i="30"/>
  <c r="SJ11" i="30"/>
  <c r="SJ12" i="30"/>
  <c r="SJ13" i="30"/>
  <c r="SJ14" i="30"/>
  <c r="SJ15" i="30"/>
  <c r="SJ16" i="30"/>
  <c r="SJ17" i="30"/>
  <c r="SJ18" i="30"/>
  <c r="SJ19" i="30"/>
  <c r="SJ20" i="30"/>
  <c r="SJ21" i="30"/>
  <c r="SJ22" i="30"/>
  <c r="SJ23" i="30"/>
  <c r="SJ24" i="30"/>
  <c r="SJ25" i="30"/>
  <c r="SJ26" i="30"/>
  <c r="SJ27" i="30"/>
  <c r="SJ28" i="30"/>
  <c r="SJ29" i="30"/>
  <c r="SJ30" i="30"/>
  <c r="SJ31" i="30"/>
  <c r="SJ32" i="30"/>
  <c r="SJ33" i="30"/>
  <c r="SJ34" i="30"/>
  <c r="SJ35" i="30"/>
  <c r="SI8" i="30"/>
  <c r="SI9" i="30"/>
  <c r="SI10" i="30"/>
  <c r="SI11" i="30"/>
  <c r="SI12" i="30"/>
  <c r="SI13" i="30"/>
  <c r="SI14" i="30"/>
  <c r="SI15" i="30"/>
  <c r="SI16" i="30"/>
  <c r="SI17" i="30"/>
  <c r="SI18" i="30"/>
  <c r="SI19" i="30"/>
  <c r="SI20" i="30"/>
  <c r="SI21" i="30"/>
  <c r="SI22" i="30"/>
  <c r="SI23" i="30"/>
  <c r="SI24" i="30"/>
  <c r="SI25" i="30"/>
  <c r="SI26" i="30"/>
  <c r="SI27" i="30"/>
  <c r="SI28" i="30"/>
  <c r="SI29" i="30"/>
  <c r="SI30" i="30"/>
  <c r="SI31" i="30"/>
  <c r="SI32" i="30"/>
  <c r="SI33" i="30"/>
  <c r="SI34" i="30"/>
  <c r="SN7" i="30"/>
  <c r="SM7" i="30"/>
  <c r="SJ7" i="30"/>
  <c r="SI7" i="30"/>
  <c r="SF8" i="30"/>
  <c r="SF9" i="30"/>
  <c r="SF10" i="30"/>
  <c r="SF11" i="30"/>
  <c r="SF12" i="30"/>
  <c r="SF13" i="30"/>
  <c r="SF14" i="30"/>
  <c r="SF15" i="30"/>
  <c r="SF16" i="30"/>
  <c r="SF17" i="30"/>
  <c r="SF18" i="30"/>
  <c r="SF19" i="30"/>
  <c r="SF20" i="30"/>
  <c r="SF21" i="30"/>
  <c r="SF22" i="30"/>
  <c r="SF23" i="30"/>
  <c r="SF24" i="30"/>
  <c r="SF25" i="30"/>
  <c r="SF26" i="30"/>
  <c r="SF27" i="30"/>
  <c r="SF28" i="30"/>
  <c r="SF29" i="30"/>
  <c r="SF30" i="30"/>
  <c r="SF31" i="30"/>
  <c r="SF32" i="30"/>
  <c r="SF33" i="30"/>
  <c r="SF34" i="30"/>
  <c r="SF35" i="30"/>
  <c r="SE8" i="30"/>
  <c r="SE9" i="30"/>
  <c r="SE10" i="30"/>
  <c r="SE11" i="30"/>
  <c r="SE12" i="30"/>
  <c r="SE13" i="30"/>
  <c r="SE14" i="30"/>
  <c r="SE15" i="30"/>
  <c r="SE16" i="30"/>
  <c r="SE17" i="30"/>
  <c r="SE18" i="30"/>
  <c r="SE19" i="30"/>
  <c r="SE20" i="30"/>
  <c r="SE21" i="30"/>
  <c r="SE22" i="30"/>
  <c r="SE23" i="30"/>
  <c r="SE24" i="30"/>
  <c r="SE25" i="30"/>
  <c r="SE26" i="30"/>
  <c r="SE27" i="30"/>
  <c r="SE28" i="30"/>
  <c r="SE29" i="30"/>
  <c r="SE30" i="30"/>
  <c r="SE31" i="30"/>
  <c r="SE32" i="30"/>
  <c r="SE33" i="30"/>
  <c r="SE34" i="30"/>
  <c r="SF7" i="30"/>
  <c r="SE7" i="30"/>
  <c r="SB8" i="30"/>
  <c r="SB9" i="30"/>
  <c r="SB10" i="30"/>
  <c r="SB11" i="30"/>
  <c r="SB12" i="30"/>
  <c r="SB13" i="30"/>
  <c r="SB14" i="30"/>
  <c r="SB15" i="30"/>
  <c r="SB16" i="30"/>
  <c r="SB17" i="30"/>
  <c r="SB18" i="30"/>
  <c r="SB19" i="30"/>
  <c r="SB20" i="30"/>
  <c r="SB21" i="30"/>
  <c r="SB22" i="30"/>
  <c r="SB23" i="30"/>
  <c r="SB24" i="30"/>
  <c r="SB25" i="30"/>
  <c r="SB26" i="30"/>
  <c r="SB27" i="30"/>
  <c r="SB28" i="30"/>
  <c r="SB29" i="30"/>
  <c r="SB30" i="30"/>
  <c r="SB31" i="30"/>
  <c r="SB32" i="30"/>
  <c r="SB33" i="30"/>
  <c r="SB34" i="30"/>
  <c r="SB35" i="30"/>
  <c r="SA8" i="30"/>
  <c r="SA9" i="30"/>
  <c r="SA10" i="30"/>
  <c r="SA11" i="30"/>
  <c r="SA12" i="30"/>
  <c r="SA13" i="30"/>
  <c r="SA14" i="30"/>
  <c r="SA15" i="30"/>
  <c r="SA16" i="30"/>
  <c r="SA17" i="30"/>
  <c r="SA18" i="30"/>
  <c r="SA19" i="30"/>
  <c r="SA20" i="30"/>
  <c r="SA21" i="30"/>
  <c r="SA22" i="30"/>
  <c r="SA23" i="30"/>
  <c r="SA24" i="30"/>
  <c r="SA25" i="30"/>
  <c r="SA26" i="30"/>
  <c r="SA27" i="30"/>
  <c r="SA28" i="30"/>
  <c r="SA29" i="30"/>
  <c r="SA30" i="30"/>
  <c r="SA31" i="30"/>
  <c r="SA32" i="30"/>
  <c r="SA33" i="30"/>
  <c r="SA34" i="30"/>
  <c r="SB7" i="30"/>
  <c r="SA7" i="30"/>
  <c r="RX8" i="30"/>
  <c r="RX9" i="30"/>
  <c r="RX10" i="30"/>
  <c r="RX11" i="30"/>
  <c r="RX12" i="30"/>
  <c r="RX13" i="30"/>
  <c r="RX14" i="30"/>
  <c r="RX15" i="30"/>
  <c r="RX16" i="30"/>
  <c r="RX17" i="30"/>
  <c r="RX18" i="30"/>
  <c r="RX19" i="30"/>
  <c r="RX20" i="30"/>
  <c r="RX21" i="30"/>
  <c r="RX22" i="30"/>
  <c r="RX23" i="30"/>
  <c r="RX24" i="30"/>
  <c r="RX25" i="30"/>
  <c r="RX26" i="30"/>
  <c r="RX27" i="30"/>
  <c r="RX28" i="30"/>
  <c r="RX29" i="30"/>
  <c r="RX30" i="30"/>
  <c r="RX31" i="30"/>
  <c r="RX32" i="30"/>
  <c r="RX33" i="30"/>
  <c r="RX34" i="30"/>
  <c r="RX35" i="30"/>
  <c r="RW8" i="30"/>
  <c r="RW9" i="30"/>
  <c r="RW10" i="30"/>
  <c r="RW11" i="30"/>
  <c r="RW12" i="30"/>
  <c r="RW13" i="30"/>
  <c r="RW14" i="30"/>
  <c r="RW15" i="30"/>
  <c r="RW16" i="30"/>
  <c r="RW17" i="30"/>
  <c r="RW18" i="30"/>
  <c r="RW19" i="30"/>
  <c r="RW20" i="30"/>
  <c r="RW21" i="30"/>
  <c r="RW22" i="30"/>
  <c r="RW23" i="30"/>
  <c r="RW24" i="30"/>
  <c r="RW25" i="30"/>
  <c r="RW26" i="30"/>
  <c r="RW27" i="30"/>
  <c r="RW28" i="30"/>
  <c r="RW29" i="30"/>
  <c r="RW30" i="30"/>
  <c r="RW31" i="30"/>
  <c r="RW32" i="30"/>
  <c r="RW33" i="30"/>
  <c r="RW34" i="30"/>
  <c r="RX7" i="30"/>
  <c r="RW7" i="30"/>
  <c r="RT8" i="30"/>
  <c r="RT9" i="30"/>
  <c r="RT10" i="30"/>
  <c r="RT11" i="30"/>
  <c r="RT12" i="30"/>
  <c r="RT13" i="30"/>
  <c r="RT14" i="30"/>
  <c r="RT15" i="30"/>
  <c r="RT16" i="30"/>
  <c r="RT17" i="30"/>
  <c r="RT18" i="30"/>
  <c r="RT19" i="30"/>
  <c r="RT20" i="30"/>
  <c r="RT21" i="30"/>
  <c r="RT22" i="30"/>
  <c r="RT23" i="30"/>
  <c r="RT24" i="30"/>
  <c r="RT25" i="30"/>
  <c r="RT26" i="30"/>
  <c r="RT27" i="30"/>
  <c r="RT28" i="30"/>
  <c r="RT29" i="30"/>
  <c r="RT30" i="30"/>
  <c r="RT31" i="30"/>
  <c r="RT32" i="30"/>
  <c r="RT33" i="30"/>
  <c r="RT34" i="30"/>
  <c r="RT35" i="30"/>
  <c r="RS8" i="30"/>
  <c r="RS9" i="30"/>
  <c r="RS10" i="30"/>
  <c r="RS11" i="30"/>
  <c r="RS12" i="30"/>
  <c r="RS13" i="30"/>
  <c r="RS14" i="30"/>
  <c r="RS15" i="30"/>
  <c r="RS16" i="30"/>
  <c r="RS17" i="30"/>
  <c r="RS18" i="30"/>
  <c r="RS19" i="30"/>
  <c r="RS20" i="30"/>
  <c r="RS21" i="30"/>
  <c r="RS22" i="30"/>
  <c r="RS23" i="30"/>
  <c r="RS24" i="30"/>
  <c r="RS25" i="30"/>
  <c r="RS26" i="30"/>
  <c r="RS27" i="30"/>
  <c r="RS28" i="30"/>
  <c r="RS29" i="30"/>
  <c r="RS30" i="30"/>
  <c r="RS31" i="30"/>
  <c r="RS32" i="30"/>
  <c r="RS33" i="30"/>
  <c r="RS34" i="30"/>
  <c r="RT7" i="30"/>
  <c r="RS7" i="30"/>
  <c r="RP8" i="30"/>
  <c r="RP9" i="30"/>
  <c r="RP10" i="30"/>
  <c r="RP11" i="30"/>
  <c r="RP12" i="30"/>
  <c r="RP13" i="30"/>
  <c r="RP14" i="30"/>
  <c r="RP15" i="30"/>
  <c r="RP16" i="30"/>
  <c r="RP17" i="30"/>
  <c r="RP18" i="30"/>
  <c r="RP19" i="30"/>
  <c r="RP20" i="30"/>
  <c r="RP21" i="30"/>
  <c r="RP22" i="30"/>
  <c r="RP23" i="30"/>
  <c r="RP24" i="30"/>
  <c r="RP25" i="30"/>
  <c r="RP26" i="30"/>
  <c r="RP27" i="30"/>
  <c r="RP28" i="30"/>
  <c r="RP29" i="30"/>
  <c r="RP30" i="30"/>
  <c r="RP31" i="30"/>
  <c r="RP32" i="30"/>
  <c r="RP33" i="30"/>
  <c r="RP34" i="30"/>
  <c r="RP35" i="30"/>
  <c r="RO8" i="30"/>
  <c r="RO9" i="30"/>
  <c r="RO10" i="30"/>
  <c r="RO11" i="30"/>
  <c r="RO12" i="30"/>
  <c r="RO13" i="30"/>
  <c r="RO14" i="30"/>
  <c r="RO15" i="30"/>
  <c r="RO16" i="30"/>
  <c r="RO17" i="30"/>
  <c r="RO18" i="30"/>
  <c r="RO19" i="30"/>
  <c r="RO20" i="30"/>
  <c r="RO21" i="30"/>
  <c r="RO22" i="30"/>
  <c r="RO23" i="30"/>
  <c r="RO24" i="30"/>
  <c r="RO25" i="30"/>
  <c r="RO26" i="30"/>
  <c r="RO27" i="30"/>
  <c r="RO28" i="30"/>
  <c r="RO29" i="30"/>
  <c r="RO30" i="30"/>
  <c r="RO31" i="30"/>
  <c r="RO32" i="30"/>
  <c r="RO33" i="30"/>
  <c r="RO34" i="30"/>
  <c r="RP7" i="30"/>
  <c r="RO7" i="30"/>
  <c r="RH8" i="30"/>
  <c r="RH9" i="30"/>
  <c r="RH10" i="30"/>
  <c r="RH11" i="30"/>
  <c r="RH12" i="30"/>
  <c r="RH13" i="30"/>
  <c r="RH14" i="30"/>
  <c r="RH15" i="30"/>
  <c r="RH16" i="30"/>
  <c r="RH17" i="30"/>
  <c r="RH18" i="30"/>
  <c r="RH19" i="30"/>
  <c r="RH20" i="30"/>
  <c r="RH21" i="30"/>
  <c r="RH22" i="30"/>
  <c r="RH23" i="30"/>
  <c r="RH24" i="30"/>
  <c r="RH25" i="30"/>
  <c r="RH26" i="30"/>
  <c r="RH27" i="30"/>
  <c r="RH28" i="30"/>
  <c r="RH29" i="30"/>
  <c r="RH30" i="30"/>
  <c r="RH31" i="30"/>
  <c r="RH32" i="30"/>
  <c r="RH33" i="30"/>
  <c r="RH34" i="30"/>
  <c r="RH35" i="30"/>
  <c r="RG8" i="30"/>
  <c r="RG9" i="30"/>
  <c r="RG10" i="30"/>
  <c r="RG11" i="30"/>
  <c r="RG12" i="30"/>
  <c r="RG13" i="30"/>
  <c r="RG14" i="30"/>
  <c r="RG15" i="30"/>
  <c r="RG16" i="30"/>
  <c r="RG17" i="30"/>
  <c r="RG18" i="30"/>
  <c r="RG19" i="30"/>
  <c r="RG20" i="30"/>
  <c r="RG21" i="30"/>
  <c r="RG22" i="30"/>
  <c r="RG23" i="30"/>
  <c r="RG24" i="30"/>
  <c r="RG25" i="30"/>
  <c r="RG26" i="30"/>
  <c r="RG27" i="30"/>
  <c r="RG28" i="30"/>
  <c r="RG29" i="30"/>
  <c r="RG30" i="30"/>
  <c r="RG31" i="30"/>
  <c r="RG32" i="30"/>
  <c r="RG33" i="30"/>
  <c r="RG34" i="30"/>
  <c r="RD8" i="30"/>
  <c r="RD9" i="30"/>
  <c r="RD10" i="30"/>
  <c r="RD11" i="30"/>
  <c r="RD12" i="30"/>
  <c r="RD13" i="30"/>
  <c r="RD14" i="30"/>
  <c r="RD15" i="30"/>
  <c r="RD16" i="30"/>
  <c r="RD17" i="30"/>
  <c r="RD18" i="30"/>
  <c r="RD19" i="30"/>
  <c r="RD20" i="30"/>
  <c r="RD21" i="30"/>
  <c r="RD22" i="30"/>
  <c r="RD23" i="30"/>
  <c r="RD24" i="30"/>
  <c r="RD25" i="30"/>
  <c r="RD26" i="30"/>
  <c r="RD27" i="30"/>
  <c r="RD28" i="30"/>
  <c r="RD29" i="30"/>
  <c r="RD30" i="30"/>
  <c r="RD31" i="30"/>
  <c r="RD32" i="30"/>
  <c r="RD33" i="30"/>
  <c r="RD34" i="30"/>
  <c r="RD35" i="30"/>
  <c r="RC8" i="30"/>
  <c r="RC9" i="30"/>
  <c r="RC10" i="30"/>
  <c r="RC11" i="30"/>
  <c r="RC12" i="30"/>
  <c r="RC13" i="30"/>
  <c r="RC14" i="30"/>
  <c r="RC15" i="30"/>
  <c r="RC16" i="30"/>
  <c r="RC17" i="30"/>
  <c r="RC18" i="30"/>
  <c r="RC19" i="30"/>
  <c r="RC20" i="30"/>
  <c r="RC21" i="30"/>
  <c r="RC22" i="30"/>
  <c r="RC23" i="30"/>
  <c r="RC24" i="30"/>
  <c r="RC25" i="30"/>
  <c r="RC26" i="30"/>
  <c r="RC27" i="30"/>
  <c r="RC28" i="30"/>
  <c r="RC29" i="30"/>
  <c r="RC30" i="30"/>
  <c r="RC31" i="30"/>
  <c r="RC32" i="30"/>
  <c r="RC33" i="30"/>
  <c r="RC34" i="30"/>
  <c r="QZ8" i="30"/>
  <c r="QZ9" i="30"/>
  <c r="QZ10" i="30"/>
  <c r="QZ11" i="30"/>
  <c r="QZ12" i="30"/>
  <c r="QZ13" i="30"/>
  <c r="QZ14" i="30"/>
  <c r="QZ15" i="30"/>
  <c r="QZ16" i="30"/>
  <c r="QZ17" i="30"/>
  <c r="QZ18" i="30"/>
  <c r="QZ19" i="30"/>
  <c r="QZ20" i="30"/>
  <c r="QZ21" i="30"/>
  <c r="QZ22" i="30"/>
  <c r="QZ23" i="30"/>
  <c r="QZ24" i="30"/>
  <c r="QZ25" i="30"/>
  <c r="QZ26" i="30"/>
  <c r="QZ27" i="30"/>
  <c r="QZ28" i="30"/>
  <c r="QZ29" i="30"/>
  <c r="QZ30" i="30"/>
  <c r="QZ31" i="30"/>
  <c r="QZ32" i="30"/>
  <c r="QZ33" i="30"/>
  <c r="QZ34" i="30"/>
  <c r="QZ35" i="30"/>
  <c r="QY8" i="30"/>
  <c r="QY9" i="30"/>
  <c r="QY10" i="30"/>
  <c r="QY11" i="30"/>
  <c r="QY12" i="30"/>
  <c r="QY13" i="30"/>
  <c r="QY14" i="30"/>
  <c r="QY15" i="30"/>
  <c r="QY16" i="30"/>
  <c r="QY17" i="30"/>
  <c r="QY18" i="30"/>
  <c r="QY19" i="30"/>
  <c r="QY20" i="30"/>
  <c r="QY21" i="30"/>
  <c r="QY22" i="30"/>
  <c r="QY23" i="30"/>
  <c r="QY24" i="30"/>
  <c r="QY25" i="30"/>
  <c r="QY26" i="30"/>
  <c r="QY27" i="30"/>
  <c r="QY28" i="30"/>
  <c r="QY29" i="30"/>
  <c r="QY30" i="30"/>
  <c r="QY31" i="30"/>
  <c r="QY32" i="30"/>
  <c r="QY33" i="30"/>
  <c r="QY34" i="30"/>
  <c r="QV8" i="30"/>
  <c r="QV9" i="30"/>
  <c r="QV10" i="30"/>
  <c r="QV11" i="30"/>
  <c r="QV12" i="30"/>
  <c r="QV13" i="30"/>
  <c r="QV14" i="30"/>
  <c r="QV15" i="30"/>
  <c r="QV16" i="30"/>
  <c r="QV17" i="30"/>
  <c r="QV18" i="30"/>
  <c r="QV19" i="30"/>
  <c r="QV20" i="30"/>
  <c r="QV21" i="30"/>
  <c r="QV22" i="30"/>
  <c r="QV23" i="30"/>
  <c r="QV24" i="30"/>
  <c r="QV25" i="30"/>
  <c r="QV26" i="30"/>
  <c r="QV27" i="30"/>
  <c r="QV28" i="30"/>
  <c r="QV29" i="30"/>
  <c r="QV30" i="30"/>
  <c r="QV31" i="30"/>
  <c r="QV32" i="30"/>
  <c r="QV33" i="30"/>
  <c r="QV34" i="30"/>
  <c r="QV35" i="30"/>
  <c r="QU8" i="30"/>
  <c r="QU9" i="30"/>
  <c r="QU10" i="30"/>
  <c r="QU11" i="30"/>
  <c r="QU12" i="30"/>
  <c r="QU13" i="30"/>
  <c r="QU14" i="30"/>
  <c r="QU15" i="30"/>
  <c r="QU16" i="30"/>
  <c r="QU17" i="30"/>
  <c r="QU18" i="30"/>
  <c r="QU19" i="30"/>
  <c r="QU20" i="30"/>
  <c r="QU21" i="30"/>
  <c r="QU22" i="30"/>
  <c r="QU23" i="30"/>
  <c r="QU24" i="30"/>
  <c r="QU25" i="30"/>
  <c r="QU26" i="30"/>
  <c r="QU27" i="30"/>
  <c r="QU28" i="30"/>
  <c r="QU29" i="30"/>
  <c r="QU30" i="30"/>
  <c r="QU31" i="30"/>
  <c r="QU32" i="30"/>
  <c r="QU33" i="30"/>
  <c r="QU34" i="30"/>
  <c r="QR8" i="30"/>
  <c r="QR9" i="30"/>
  <c r="QR10" i="30"/>
  <c r="QR11" i="30"/>
  <c r="QR12" i="30"/>
  <c r="QR13" i="30"/>
  <c r="QR14" i="30"/>
  <c r="QR15" i="30"/>
  <c r="QR16" i="30"/>
  <c r="QR17" i="30"/>
  <c r="QR18" i="30"/>
  <c r="QR19" i="30"/>
  <c r="QR20" i="30"/>
  <c r="QR21" i="30"/>
  <c r="QR22" i="30"/>
  <c r="QR23" i="30"/>
  <c r="QR24" i="30"/>
  <c r="QR25" i="30"/>
  <c r="QR26" i="30"/>
  <c r="QR27" i="30"/>
  <c r="QR28" i="30"/>
  <c r="QR29" i="30"/>
  <c r="QR30" i="30"/>
  <c r="QR31" i="30"/>
  <c r="QR32" i="30"/>
  <c r="QR33" i="30"/>
  <c r="QR34" i="30"/>
  <c r="QR35" i="30"/>
  <c r="QQ8" i="30"/>
  <c r="QQ9" i="30"/>
  <c r="QQ10" i="30"/>
  <c r="QQ11" i="30"/>
  <c r="QQ12" i="30"/>
  <c r="QQ13" i="30"/>
  <c r="QQ14" i="30"/>
  <c r="QQ15" i="30"/>
  <c r="QQ16" i="30"/>
  <c r="QQ17" i="30"/>
  <c r="QQ18" i="30"/>
  <c r="QQ19" i="30"/>
  <c r="QQ20" i="30"/>
  <c r="QQ21" i="30"/>
  <c r="QQ22" i="30"/>
  <c r="QQ23" i="30"/>
  <c r="QQ24" i="30"/>
  <c r="QQ25" i="30"/>
  <c r="QQ26" i="30"/>
  <c r="QQ27" i="30"/>
  <c r="QQ28" i="30"/>
  <c r="QQ29" i="30"/>
  <c r="QQ30" i="30"/>
  <c r="QQ31" i="30"/>
  <c r="QQ32" i="30"/>
  <c r="QQ33" i="30"/>
  <c r="QQ34" i="30"/>
  <c r="QN8" i="30"/>
  <c r="QN9" i="30"/>
  <c r="QN10" i="30"/>
  <c r="QN11" i="30"/>
  <c r="QN12" i="30"/>
  <c r="QN13" i="30"/>
  <c r="QN14" i="30"/>
  <c r="QN15" i="30"/>
  <c r="QN16" i="30"/>
  <c r="QN17" i="30"/>
  <c r="QN18" i="30"/>
  <c r="QN19" i="30"/>
  <c r="QN20" i="30"/>
  <c r="QN21" i="30"/>
  <c r="QN22" i="30"/>
  <c r="QN23" i="30"/>
  <c r="QN24" i="30"/>
  <c r="QN25" i="30"/>
  <c r="QN26" i="30"/>
  <c r="QN27" i="30"/>
  <c r="QN28" i="30"/>
  <c r="QN29" i="30"/>
  <c r="QN30" i="30"/>
  <c r="QN31" i="30"/>
  <c r="QN32" i="30"/>
  <c r="QN33" i="30"/>
  <c r="QN34" i="30"/>
  <c r="QN35" i="30"/>
  <c r="QM8" i="30"/>
  <c r="QM9" i="30"/>
  <c r="QM10" i="30"/>
  <c r="QM11" i="30"/>
  <c r="QM12" i="30"/>
  <c r="QM13" i="30"/>
  <c r="QM14" i="30"/>
  <c r="QM15" i="30"/>
  <c r="QM16" i="30"/>
  <c r="QM17" i="30"/>
  <c r="QM18" i="30"/>
  <c r="QM19" i="30"/>
  <c r="QM20" i="30"/>
  <c r="QM21" i="30"/>
  <c r="QM22" i="30"/>
  <c r="QM23" i="30"/>
  <c r="QM24" i="30"/>
  <c r="QM25" i="30"/>
  <c r="QM26" i="30"/>
  <c r="QM27" i="30"/>
  <c r="QM28" i="30"/>
  <c r="QM29" i="30"/>
  <c r="QM30" i="30"/>
  <c r="QM31" i="30"/>
  <c r="QM32" i="30"/>
  <c r="QM33" i="30"/>
  <c r="QM34" i="30"/>
  <c r="QJ8" i="30"/>
  <c r="QJ9" i="30"/>
  <c r="QJ10" i="30"/>
  <c r="QJ11" i="30"/>
  <c r="QJ12" i="30"/>
  <c r="QJ13" i="30"/>
  <c r="QJ14" i="30"/>
  <c r="QJ15" i="30"/>
  <c r="QJ16" i="30"/>
  <c r="QJ17" i="30"/>
  <c r="QJ18" i="30"/>
  <c r="QJ19" i="30"/>
  <c r="QJ20" i="30"/>
  <c r="QJ21" i="30"/>
  <c r="QJ22" i="30"/>
  <c r="QJ23" i="30"/>
  <c r="QJ24" i="30"/>
  <c r="QJ25" i="30"/>
  <c r="QJ26" i="30"/>
  <c r="QJ27" i="30"/>
  <c r="QJ28" i="30"/>
  <c r="QJ29" i="30"/>
  <c r="QJ30" i="30"/>
  <c r="QJ31" i="30"/>
  <c r="QJ32" i="30"/>
  <c r="QJ33" i="30"/>
  <c r="QJ34" i="30"/>
  <c r="QJ35" i="30"/>
  <c r="QI8" i="30"/>
  <c r="QI9" i="30"/>
  <c r="QI10" i="30"/>
  <c r="QI11" i="30"/>
  <c r="QI12" i="30"/>
  <c r="QI13" i="30"/>
  <c r="QI14" i="30"/>
  <c r="QI15" i="30"/>
  <c r="QI16" i="30"/>
  <c r="QI17" i="30"/>
  <c r="QI18" i="30"/>
  <c r="QI19" i="30"/>
  <c r="QI20" i="30"/>
  <c r="QI21" i="30"/>
  <c r="QI22" i="30"/>
  <c r="QI23" i="30"/>
  <c r="QI24" i="30"/>
  <c r="QI25" i="30"/>
  <c r="QI26" i="30"/>
  <c r="QI27" i="30"/>
  <c r="QI28" i="30"/>
  <c r="QI29" i="30"/>
  <c r="QI30" i="30"/>
  <c r="QI31" i="30"/>
  <c r="QI32" i="30"/>
  <c r="QI33" i="30"/>
  <c r="QI34" i="30"/>
  <c r="QJ7" i="30"/>
  <c r="QI7" i="30"/>
  <c r="QN7" i="30"/>
  <c r="QM7" i="30"/>
  <c r="QR7" i="30"/>
  <c r="QQ7" i="30"/>
  <c r="QV7" i="30"/>
  <c r="QU7" i="30"/>
  <c r="QZ7" i="30"/>
  <c r="QY7" i="30"/>
  <c r="RD7" i="30"/>
  <c r="RC7" i="30"/>
  <c r="RH7" i="30"/>
  <c r="RG7" i="30"/>
  <c r="QB8" i="30"/>
  <c r="QB9" i="30"/>
  <c r="QB10" i="30"/>
  <c r="QB11" i="30"/>
  <c r="QB12" i="30"/>
  <c r="QB13" i="30"/>
  <c r="QB14" i="30"/>
  <c r="QB15" i="30"/>
  <c r="QB16" i="30"/>
  <c r="QB17" i="30"/>
  <c r="QB18" i="30"/>
  <c r="QB19" i="30"/>
  <c r="QB20" i="30"/>
  <c r="QB21" i="30"/>
  <c r="QB22" i="30"/>
  <c r="QB23" i="30"/>
  <c r="QB24" i="30"/>
  <c r="QB25" i="30"/>
  <c r="QB26" i="30"/>
  <c r="QB27" i="30"/>
  <c r="QB28" i="30"/>
  <c r="QB29" i="30"/>
  <c r="QB30" i="30"/>
  <c r="QB31" i="30"/>
  <c r="QB32" i="30"/>
  <c r="QB33" i="30"/>
  <c r="QB34" i="30"/>
  <c r="QB35" i="30"/>
  <c r="QA8" i="30"/>
  <c r="QA9" i="30"/>
  <c r="QA10" i="30"/>
  <c r="QA11" i="30"/>
  <c r="QA12" i="30"/>
  <c r="QA13" i="30"/>
  <c r="QA14" i="30"/>
  <c r="QA15" i="30"/>
  <c r="QA16" i="30"/>
  <c r="QA17" i="30"/>
  <c r="QA18" i="30"/>
  <c r="QA19" i="30"/>
  <c r="QA20" i="30"/>
  <c r="QA21" i="30"/>
  <c r="QA22" i="30"/>
  <c r="QA23" i="30"/>
  <c r="QA24" i="30"/>
  <c r="QA25" i="30"/>
  <c r="QA26" i="30"/>
  <c r="QA27" i="30"/>
  <c r="QA28" i="30"/>
  <c r="QA29" i="30"/>
  <c r="QA30" i="30"/>
  <c r="QA31" i="30"/>
  <c r="QA32" i="30"/>
  <c r="QA33" i="30"/>
  <c r="QA34" i="30"/>
  <c r="QB7" i="30"/>
  <c r="QA7" i="30"/>
  <c r="PX8" i="30"/>
  <c r="PX9" i="30"/>
  <c r="PX10" i="30"/>
  <c r="PX11" i="30"/>
  <c r="PX12" i="30"/>
  <c r="PX13" i="30"/>
  <c r="PX14" i="30"/>
  <c r="PX15" i="30"/>
  <c r="PX16" i="30"/>
  <c r="PX17" i="30"/>
  <c r="PX18" i="30"/>
  <c r="PX19" i="30"/>
  <c r="PX20" i="30"/>
  <c r="PX21" i="30"/>
  <c r="PX22" i="30"/>
  <c r="PX23" i="30"/>
  <c r="PX24" i="30"/>
  <c r="PX25" i="30"/>
  <c r="PX26" i="30"/>
  <c r="PX27" i="30"/>
  <c r="PX28" i="30"/>
  <c r="PX29" i="30"/>
  <c r="PX30" i="30"/>
  <c r="PX31" i="30"/>
  <c r="PX32" i="30"/>
  <c r="PX33" i="30"/>
  <c r="PX34" i="30"/>
  <c r="PX35" i="30"/>
  <c r="PW8" i="30"/>
  <c r="PW9" i="30"/>
  <c r="PW10" i="30"/>
  <c r="PW11" i="30"/>
  <c r="PW12" i="30"/>
  <c r="PW13" i="30"/>
  <c r="PW14" i="30"/>
  <c r="PW15" i="30"/>
  <c r="PW16" i="30"/>
  <c r="PW17" i="30"/>
  <c r="PW18" i="30"/>
  <c r="PW19" i="30"/>
  <c r="PW20" i="30"/>
  <c r="PW21" i="30"/>
  <c r="PW22" i="30"/>
  <c r="PW23" i="30"/>
  <c r="PW24" i="30"/>
  <c r="PW25" i="30"/>
  <c r="PW26" i="30"/>
  <c r="PW27" i="30"/>
  <c r="PW28" i="30"/>
  <c r="PW29" i="30"/>
  <c r="PW30" i="30"/>
  <c r="PW31" i="30"/>
  <c r="PW32" i="30"/>
  <c r="PW33" i="30"/>
  <c r="PW34" i="30"/>
  <c r="PT8" i="30"/>
  <c r="PT9" i="30"/>
  <c r="PT10" i="30"/>
  <c r="PT11" i="30"/>
  <c r="PT12" i="30"/>
  <c r="PT13" i="30"/>
  <c r="PT14" i="30"/>
  <c r="PT15" i="30"/>
  <c r="PT16" i="30"/>
  <c r="PT17" i="30"/>
  <c r="PT18" i="30"/>
  <c r="PT19" i="30"/>
  <c r="PT20" i="30"/>
  <c r="PT21" i="30"/>
  <c r="PT22" i="30"/>
  <c r="PT23" i="30"/>
  <c r="PT24" i="30"/>
  <c r="PT25" i="30"/>
  <c r="PT26" i="30"/>
  <c r="PT27" i="30"/>
  <c r="PT28" i="30"/>
  <c r="PT29" i="30"/>
  <c r="PT30" i="30"/>
  <c r="PT31" i="30"/>
  <c r="PT32" i="30"/>
  <c r="PT33" i="30"/>
  <c r="PT34" i="30"/>
  <c r="PT35" i="30"/>
  <c r="PS8" i="30"/>
  <c r="PS9" i="30"/>
  <c r="PS10" i="30"/>
  <c r="PS11" i="30"/>
  <c r="PS12" i="30"/>
  <c r="PS13" i="30"/>
  <c r="PS14" i="30"/>
  <c r="PS15" i="30"/>
  <c r="PS16" i="30"/>
  <c r="PS17" i="30"/>
  <c r="PS18" i="30"/>
  <c r="PS19" i="30"/>
  <c r="PS20" i="30"/>
  <c r="PS21" i="30"/>
  <c r="PS22" i="30"/>
  <c r="PS23" i="30"/>
  <c r="PS24" i="30"/>
  <c r="PS25" i="30"/>
  <c r="PS26" i="30"/>
  <c r="PS27" i="30"/>
  <c r="PS28" i="30"/>
  <c r="PS29" i="30"/>
  <c r="PS30" i="30"/>
  <c r="PS31" i="30"/>
  <c r="PS32" i="30"/>
  <c r="PS33" i="30"/>
  <c r="PS34" i="30"/>
  <c r="PX7" i="30"/>
  <c r="PW7" i="30"/>
  <c r="PT7" i="30"/>
  <c r="PS7" i="30"/>
  <c r="PP8" i="30"/>
  <c r="PP9" i="30"/>
  <c r="PP10" i="30"/>
  <c r="PP11" i="30"/>
  <c r="PP12" i="30"/>
  <c r="PP13" i="30"/>
  <c r="PP14" i="30"/>
  <c r="PP15" i="30"/>
  <c r="PP16" i="30"/>
  <c r="PP17" i="30"/>
  <c r="PP18" i="30"/>
  <c r="PP19" i="30"/>
  <c r="PP20" i="30"/>
  <c r="PP21" i="30"/>
  <c r="PP22" i="30"/>
  <c r="PP23" i="30"/>
  <c r="PP24" i="30"/>
  <c r="PP25" i="30"/>
  <c r="PP26" i="30"/>
  <c r="PP27" i="30"/>
  <c r="PP28" i="30"/>
  <c r="PP29" i="30"/>
  <c r="PP30" i="30"/>
  <c r="PP31" i="30"/>
  <c r="PP32" i="30"/>
  <c r="PP33" i="30"/>
  <c r="PP34" i="30"/>
  <c r="PP35" i="30"/>
  <c r="PO8" i="30"/>
  <c r="PO9" i="30"/>
  <c r="PO10" i="30"/>
  <c r="PO11" i="30"/>
  <c r="PO12" i="30"/>
  <c r="PO13" i="30"/>
  <c r="PO14" i="30"/>
  <c r="PO15" i="30"/>
  <c r="PO16" i="30"/>
  <c r="PO17" i="30"/>
  <c r="PO18" i="30"/>
  <c r="PO19" i="30"/>
  <c r="PO20" i="30"/>
  <c r="PO21" i="30"/>
  <c r="PO22" i="30"/>
  <c r="PO23" i="30"/>
  <c r="PO24" i="30"/>
  <c r="PO25" i="30"/>
  <c r="PO26" i="30"/>
  <c r="PO27" i="30"/>
  <c r="PO28" i="30"/>
  <c r="PO29" i="30"/>
  <c r="PO30" i="30"/>
  <c r="PO31" i="30"/>
  <c r="PO32" i="30"/>
  <c r="PO33" i="30"/>
  <c r="PO34" i="30"/>
  <c r="PP7" i="30"/>
  <c r="PO7" i="30"/>
  <c r="PL8" i="30"/>
  <c r="PL9" i="30"/>
  <c r="PL10" i="30"/>
  <c r="PL11" i="30"/>
  <c r="PL12" i="30"/>
  <c r="PL13" i="30"/>
  <c r="PL14" i="30"/>
  <c r="PL15" i="30"/>
  <c r="PL16" i="30"/>
  <c r="PL17" i="30"/>
  <c r="PL18" i="30"/>
  <c r="PL19" i="30"/>
  <c r="PL20" i="30"/>
  <c r="PL21" i="30"/>
  <c r="PL22" i="30"/>
  <c r="PL23" i="30"/>
  <c r="PL24" i="30"/>
  <c r="PL25" i="30"/>
  <c r="PL26" i="30"/>
  <c r="PL27" i="30"/>
  <c r="PL28" i="30"/>
  <c r="PL29" i="30"/>
  <c r="PL30" i="30"/>
  <c r="PL31" i="30"/>
  <c r="PL32" i="30"/>
  <c r="PL33" i="30"/>
  <c r="PL34" i="30"/>
  <c r="PL35" i="30"/>
  <c r="PK8" i="30"/>
  <c r="PK9" i="30"/>
  <c r="PK10" i="30"/>
  <c r="PK11" i="30"/>
  <c r="PK12" i="30"/>
  <c r="PK13" i="30"/>
  <c r="PK14" i="30"/>
  <c r="PK15" i="30"/>
  <c r="PK16" i="30"/>
  <c r="PK17" i="30"/>
  <c r="PK18" i="30"/>
  <c r="PK19" i="30"/>
  <c r="PK20" i="30"/>
  <c r="PK21" i="30"/>
  <c r="PK22" i="30"/>
  <c r="PK23" i="30"/>
  <c r="PK24" i="30"/>
  <c r="PK25" i="30"/>
  <c r="PK26" i="30"/>
  <c r="PK27" i="30"/>
  <c r="PK28" i="30"/>
  <c r="PK29" i="30"/>
  <c r="PK30" i="30"/>
  <c r="PK31" i="30"/>
  <c r="PK32" i="30"/>
  <c r="PK33" i="30"/>
  <c r="PK34" i="30"/>
  <c r="PL7" i="30"/>
  <c r="PK7" i="30"/>
  <c r="PH8" i="30"/>
  <c r="PH9" i="30"/>
  <c r="PH10" i="30"/>
  <c r="PH11" i="30"/>
  <c r="PH12" i="30"/>
  <c r="PH13" i="30"/>
  <c r="PH14" i="30"/>
  <c r="PH15" i="30"/>
  <c r="PH16" i="30"/>
  <c r="PH17" i="30"/>
  <c r="PH18" i="30"/>
  <c r="PH19" i="30"/>
  <c r="PH20" i="30"/>
  <c r="PH21" i="30"/>
  <c r="PH22" i="30"/>
  <c r="PH23" i="30"/>
  <c r="PH24" i="30"/>
  <c r="PH25" i="30"/>
  <c r="PH26" i="30"/>
  <c r="PH27" i="30"/>
  <c r="PH28" i="30"/>
  <c r="PH29" i="30"/>
  <c r="PH30" i="30"/>
  <c r="PH31" i="30"/>
  <c r="PH32" i="30"/>
  <c r="PH33" i="30"/>
  <c r="PH34" i="30"/>
  <c r="PH35" i="30"/>
  <c r="PG8" i="30"/>
  <c r="PG9" i="30"/>
  <c r="PG10" i="30"/>
  <c r="PG11" i="30"/>
  <c r="PG12" i="30"/>
  <c r="PG13" i="30"/>
  <c r="PG14" i="30"/>
  <c r="PG15" i="30"/>
  <c r="PG16" i="30"/>
  <c r="PG17" i="30"/>
  <c r="PG18" i="30"/>
  <c r="PG19" i="30"/>
  <c r="PG20" i="30"/>
  <c r="PG21" i="30"/>
  <c r="PG22" i="30"/>
  <c r="PG23" i="30"/>
  <c r="PG24" i="30"/>
  <c r="PG25" i="30"/>
  <c r="PG26" i="30"/>
  <c r="PG27" i="30"/>
  <c r="PG28" i="30"/>
  <c r="PG29" i="30"/>
  <c r="PG30" i="30"/>
  <c r="PG31" i="30"/>
  <c r="PG32" i="30"/>
  <c r="PG33" i="30"/>
  <c r="PG34" i="30"/>
  <c r="PH7" i="30"/>
  <c r="PG7" i="30"/>
  <c r="PD8" i="30"/>
  <c r="PD9" i="30"/>
  <c r="PD10" i="30"/>
  <c r="PD11" i="30"/>
  <c r="PD12" i="30"/>
  <c r="PD13" i="30"/>
  <c r="PD14" i="30"/>
  <c r="PD15" i="30"/>
  <c r="PD16" i="30"/>
  <c r="PD17" i="30"/>
  <c r="PD18" i="30"/>
  <c r="PD19" i="30"/>
  <c r="PD20" i="30"/>
  <c r="PD21" i="30"/>
  <c r="PD22" i="30"/>
  <c r="PD23" i="30"/>
  <c r="PD24" i="30"/>
  <c r="PD25" i="30"/>
  <c r="PD26" i="30"/>
  <c r="PD27" i="30"/>
  <c r="PD28" i="30"/>
  <c r="PD29" i="30"/>
  <c r="PD30" i="30"/>
  <c r="PD31" i="30"/>
  <c r="PD32" i="30"/>
  <c r="PD33" i="30"/>
  <c r="PD34" i="30"/>
  <c r="PD35" i="30"/>
  <c r="PC8" i="30"/>
  <c r="PC9" i="30"/>
  <c r="PC10" i="30"/>
  <c r="PC11" i="30"/>
  <c r="PC12" i="30"/>
  <c r="PC13" i="30"/>
  <c r="PC14" i="30"/>
  <c r="PC15" i="30"/>
  <c r="PC16" i="30"/>
  <c r="PC17" i="30"/>
  <c r="PC18" i="30"/>
  <c r="PC19" i="30"/>
  <c r="PC20" i="30"/>
  <c r="PC21" i="30"/>
  <c r="PC22" i="30"/>
  <c r="PC23" i="30"/>
  <c r="PC24" i="30"/>
  <c r="PC25" i="30"/>
  <c r="PC26" i="30"/>
  <c r="PC27" i="30"/>
  <c r="PC28" i="30"/>
  <c r="PC29" i="30"/>
  <c r="PC30" i="30"/>
  <c r="PC31" i="30"/>
  <c r="PC32" i="30"/>
  <c r="PC33" i="30"/>
  <c r="PC34" i="30"/>
  <c r="PD7" i="30"/>
  <c r="PC7" i="30"/>
  <c r="OV8" i="30"/>
  <c r="OV9" i="30"/>
  <c r="OV10" i="30"/>
  <c r="OV11" i="30"/>
  <c r="OV12" i="30"/>
  <c r="OV13" i="30"/>
  <c r="OV14" i="30"/>
  <c r="OV15" i="30"/>
  <c r="OV16" i="30"/>
  <c r="OV17" i="30"/>
  <c r="OV18" i="30"/>
  <c r="OV19" i="30"/>
  <c r="OV20" i="30"/>
  <c r="OV21" i="30"/>
  <c r="OV22" i="30"/>
  <c r="OV23" i="30"/>
  <c r="OV24" i="30"/>
  <c r="OV25" i="30"/>
  <c r="OV26" i="30"/>
  <c r="OV27" i="30"/>
  <c r="OV28" i="30"/>
  <c r="OV29" i="30"/>
  <c r="OV30" i="30"/>
  <c r="OV31" i="30"/>
  <c r="OV32" i="30"/>
  <c r="OV33" i="30"/>
  <c r="OV34" i="30"/>
  <c r="OV35" i="30"/>
  <c r="OU8" i="30"/>
  <c r="OU9" i="30"/>
  <c r="OU10" i="30"/>
  <c r="OU11" i="30"/>
  <c r="OU12" i="30"/>
  <c r="OU13" i="30"/>
  <c r="OU14" i="30"/>
  <c r="OU15" i="30"/>
  <c r="OU16" i="30"/>
  <c r="OU17" i="30"/>
  <c r="OU18" i="30"/>
  <c r="OU19" i="30"/>
  <c r="OU20" i="30"/>
  <c r="OU21" i="30"/>
  <c r="OU22" i="30"/>
  <c r="OU23" i="30"/>
  <c r="OU24" i="30"/>
  <c r="OU25" i="30"/>
  <c r="OU26" i="30"/>
  <c r="OU27" i="30"/>
  <c r="OU28" i="30"/>
  <c r="OU29" i="30"/>
  <c r="OU30" i="30"/>
  <c r="OU31" i="30"/>
  <c r="OU32" i="30"/>
  <c r="OU33" i="30"/>
  <c r="OU34" i="30"/>
  <c r="OR8" i="30"/>
  <c r="OR9" i="30"/>
  <c r="OR10" i="30"/>
  <c r="OR11" i="30"/>
  <c r="OR12" i="30"/>
  <c r="OR13" i="30"/>
  <c r="OR14" i="30"/>
  <c r="OR15" i="30"/>
  <c r="OR16" i="30"/>
  <c r="OR17" i="30"/>
  <c r="OR18" i="30"/>
  <c r="OR19" i="30"/>
  <c r="OR20" i="30"/>
  <c r="OR21" i="30"/>
  <c r="OR22" i="30"/>
  <c r="OR23" i="30"/>
  <c r="OR24" i="30"/>
  <c r="OR25" i="30"/>
  <c r="OR26" i="30"/>
  <c r="OR27" i="30"/>
  <c r="OR28" i="30"/>
  <c r="OR29" i="30"/>
  <c r="OR30" i="30"/>
  <c r="OR31" i="30"/>
  <c r="OR32" i="30"/>
  <c r="OR33" i="30"/>
  <c r="OR34" i="30"/>
  <c r="OR35" i="30"/>
  <c r="OQ8" i="30"/>
  <c r="OQ9" i="30"/>
  <c r="OQ10" i="30"/>
  <c r="OQ11" i="30"/>
  <c r="OQ12" i="30"/>
  <c r="OQ13" i="30"/>
  <c r="OQ14" i="30"/>
  <c r="OQ15" i="30"/>
  <c r="OQ16" i="30"/>
  <c r="OQ17" i="30"/>
  <c r="OQ18" i="30"/>
  <c r="OQ19" i="30"/>
  <c r="OQ20" i="30"/>
  <c r="OQ21" i="30"/>
  <c r="OQ22" i="30"/>
  <c r="OQ23" i="30"/>
  <c r="OQ24" i="30"/>
  <c r="OQ25" i="30"/>
  <c r="OQ26" i="30"/>
  <c r="OQ27" i="30"/>
  <c r="OQ28" i="30"/>
  <c r="OQ29" i="30"/>
  <c r="OQ30" i="30"/>
  <c r="OQ31" i="30"/>
  <c r="OQ32" i="30"/>
  <c r="OQ33" i="30"/>
  <c r="OQ34" i="30"/>
  <c r="OV7" i="30"/>
  <c r="OU7" i="30"/>
  <c r="OR7" i="30"/>
  <c r="OQ7" i="30"/>
  <c r="ON8" i="30"/>
  <c r="ON9" i="30"/>
  <c r="ON10" i="30"/>
  <c r="ON11" i="30"/>
  <c r="ON12" i="30"/>
  <c r="ON13" i="30"/>
  <c r="ON14" i="30"/>
  <c r="ON15" i="30"/>
  <c r="ON16" i="30"/>
  <c r="ON17" i="30"/>
  <c r="ON18" i="30"/>
  <c r="ON19" i="30"/>
  <c r="ON20" i="30"/>
  <c r="ON21" i="30"/>
  <c r="ON22" i="30"/>
  <c r="ON23" i="30"/>
  <c r="ON24" i="30"/>
  <c r="ON25" i="30"/>
  <c r="ON26" i="30"/>
  <c r="ON27" i="30"/>
  <c r="ON28" i="30"/>
  <c r="ON29" i="30"/>
  <c r="ON30" i="30"/>
  <c r="ON31" i="30"/>
  <c r="ON32" i="30"/>
  <c r="ON33" i="30"/>
  <c r="ON34" i="30"/>
  <c r="ON35" i="30"/>
  <c r="OM8" i="30"/>
  <c r="OM9" i="30"/>
  <c r="OM10" i="30"/>
  <c r="OM11" i="30"/>
  <c r="OM12" i="30"/>
  <c r="OM13" i="30"/>
  <c r="OM14" i="30"/>
  <c r="OM15" i="30"/>
  <c r="OM16" i="30"/>
  <c r="OM17" i="30"/>
  <c r="OM18" i="30"/>
  <c r="OM19" i="30"/>
  <c r="OM20" i="30"/>
  <c r="OM21" i="30"/>
  <c r="OM22" i="30"/>
  <c r="OM23" i="30"/>
  <c r="OM24" i="30"/>
  <c r="OM25" i="30"/>
  <c r="OM26" i="30"/>
  <c r="OM27" i="30"/>
  <c r="OM28" i="30"/>
  <c r="OM29" i="30"/>
  <c r="OM30" i="30"/>
  <c r="OM31" i="30"/>
  <c r="OM32" i="30"/>
  <c r="OM33" i="30"/>
  <c r="OM34" i="30"/>
  <c r="ON7" i="30"/>
  <c r="OM7" i="30"/>
  <c r="OJ8" i="30"/>
  <c r="OJ9" i="30"/>
  <c r="OJ10" i="30"/>
  <c r="OJ11" i="30"/>
  <c r="OJ12" i="30"/>
  <c r="OJ13" i="30"/>
  <c r="OJ14" i="30"/>
  <c r="OJ15" i="30"/>
  <c r="OJ16" i="30"/>
  <c r="OJ17" i="30"/>
  <c r="OJ18" i="30"/>
  <c r="OJ19" i="30"/>
  <c r="OJ20" i="30"/>
  <c r="OJ21" i="30"/>
  <c r="OJ22" i="30"/>
  <c r="OJ23" i="30"/>
  <c r="OJ24" i="30"/>
  <c r="OJ25" i="30"/>
  <c r="OJ26" i="30"/>
  <c r="OJ27" i="30"/>
  <c r="OJ28" i="30"/>
  <c r="OJ29" i="30"/>
  <c r="OJ30" i="30"/>
  <c r="OJ31" i="30"/>
  <c r="OJ32" i="30"/>
  <c r="OJ33" i="30"/>
  <c r="OJ34" i="30"/>
  <c r="OJ35" i="30"/>
  <c r="OI8" i="30"/>
  <c r="OI9" i="30"/>
  <c r="OI10" i="30"/>
  <c r="OI11" i="30"/>
  <c r="OI12" i="30"/>
  <c r="OI13" i="30"/>
  <c r="OI14" i="30"/>
  <c r="OI15" i="30"/>
  <c r="OI16" i="30"/>
  <c r="OI17" i="30"/>
  <c r="OI18" i="30"/>
  <c r="OI19" i="30"/>
  <c r="OI20" i="30"/>
  <c r="OI21" i="30"/>
  <c r="OI22" i="30"/>
  <c r="OI23" i="30"/>
  <c r="OI24" i="30"/>
  <c r="OI25" i="30"/>
  <c r="OI26" i="30"/>
  <c r="OI27" i="30"/>
  <c r="OI28" i="30"/>
  <c r="OI29" i="30"/>
  <c r="OI30" i="30"/>
  <c r="OI31" i="30"/>
  <c r="OI32" i="30"/>
  <c r="OI33" i="30"/>
  <c r="OI34" i="30"/>
  <c r="OJ7" i="30"/>
  <c r="OI7" i="30"/>
  <c r="OF7" i="30"/>
  <c r="OF8" i="30"/>
  <c r="OF9" i="30"/>
  <c r="OF10" i="30"/>
  <c r="OF11" i="30"/>
  <c r="OF12" i="30"/>
  <c r="OF13" i="30"/>
  <c r="OF14" i="30"/>
  <c r="OF15" i="30"/>
  <c r="OF16" i="30"/>
  <c r="OF17" i="30"/>
  <c r="OF18" i="30"/>
  <c r="OF19" i="30"/>
  <c r="OF20" i="30"/>
  <c r="OF21" i="30"/>
  <c r="OF22" i="30"/>
  <c r="OF23" i="30"/>
  <c r="OF24" i="30"/>
  <c r="OF25" i="30"/>
  <c r="OF26" i="30"/>
  <c r="OF27" i="30"/>
  <c r="OF28" i="30"/>
  <c r="OF29" i="30"/>
  <c r="OF30" i="30"/>
  <c r="OF31" i="30"/>
  <c r="OF32" i="30"/>
  <c r="OF33" i="30"/>
  <c r="OF34" i="30"/>
  <c r="OF35" i="30"/>
  <c r="OE8" i="30"/>
  <c r="OE9" i="30"/>
  <c r="OE10" i="30"/>
  <c r="OE11" i="30"/>
  <c r="OE12" i="30"/>
  <c r="OE13" i="30"/>
  <c r="OE14" i="30"/>
  <c r="OE15" i="30"/>
  <c r="OE16" i="30"/>
  <c r="OE17" i="30"/>
  <c r="OE18" i="30"/>
  <c r="OE19" i="30"/>
  <c r="OE20" i="30"/>
  <c r="OE21" i="30"/>
  <c r="OE22" i="30"/>
  <c r="OE23" i="30"/>
  <c r="OE24" i="30"/>
  <c r="OE25" i="30"/>
  <c r="OE26" i="30"/>
  <c r="OE27" i="30"/>
  <c r="OE28" i="30"/>
  <c r="OE29" i="30"/>
  <c r="OE30" i="30"/>
  <c r="OE31" i="30"/>
  <c r="OE32" i="30"/>
  <c r="OE33" i="30"/>
  <c r="OE34" i="30"/>
  <c r="OE7" i="30"/>
  <c r="OB8" i="30"/>
  <c r="OB9" i="30"/>
  <c r="OB10" i="30"/>
  <c r="OB11" i="30"/>
  <c r="OB12" i="30"/>
  <c r="OB13" i="30"/>
  <c r="OB14" i="30"/>
  <c r="OB15" i="30"/>
  <c r="OB16" i="30"/>
  <c r="OB17" i="30"/>
  <c r="OB18" i="30"/>
  <c r="OB19" i="30"/>
  <c r="OB20" i="30"/>
  <c r="OB21" i="30"/>
  <c r="OB22" i="30"/>
  <c r="OB23" i="30"/>
  <c r="OB24" i="30"/>
  <c r="OB25" i="30"/>
  <c r="OB26" i="30"/>
  <c r="OB27" i="30"/>
  <c r="OB28" i="30"/>
  <c r="OB29" i="30"/>
  <c r="OB30" i="30"/>
  <c r="OB31" i="30"/>
  <c r="OB32" i="30"/>
  <c r="OB33" i="30"/>
  <c r="OB34" i="30"/>
  <c r="OB35" i="30"/>
  <c r="OA8" i="30"/>
  <c r="OA9" i="30"/>
  <c r="OA10" i="30"/>
  <c r="OA11" i="30"/>
  <c r="OA12" i="30"/>
  <c r="OA13" i="30"/>
  <c r="OA14" i="30"/>
  <c r="OA15" i="30"/>
  <c r="OA16" i="30"/>
  <c r="OA17" i="30"/>
  <c r="OA18" i="30"/>
  <c r="OA19" i="30"/>
  <c r="OA20" i="30"/>
  <c r="OA21" i="30"/>
  <c r="OA22" i="30"/>
  <c r="OA23" i="30"/>
  <c r="OA24" i="30"/>
  <c r="OA25" i="30"/>
  <c r="OA26" i="30"/>
  <c r="OA27" i="30"/>
  <c r="OA28" i="30"/>
  <c r="OA29" i="30"/>
  <c r="OA30" i="30"/>
  <c r="OA31" i="30"/>
  <c r="OA32" i="30"/>
  <c r="OA33" i="30"/>
  <c r="OA34" i="30"/>
  <c r="OB7" i="30"/>
  <c r="OA7" i="30"/>
  <c r="NX8" i="30"/>
  <c r="NX9" i="30"/>
  <c r="NX10" i="30"/>
  <c r="NX11" i="30"/>
  <c r="NX12" i="30"/>
  <c r="NX13" i="30"/>
  <c r="NX14" i="30"/>
  <c r="NX15" i="30"/>
  <c r="NX16" i="30"/>
  <c r="NX17" i="30"/>
  <c r="NX18" i="30"/>
  <c r="NX19" i="30"/>
  <c r="NX20" i="30"/>
  <c r="NX21" i="30"/>
  <c r="NX22" i="30"/>
  <c r="NX23" i="30"/>
  <c r="NX24" i="30"/>
  <c r="NX25" i="30"/>
  <c r="NX26" i="30"/>
  <c r="NX27" i="30"/>
  <c r="NX28" i="30"/>
  <c r="NX29" i="30"/>
  <c r="NX30" i="30"/>
  <c r="NX31" i="30"/>
  <c r="NX32" i="30"/>
  <c r="NX33" i="30"/>
  <c r="NX34" i="30"/>
  <c r="NX35" i="30"/>
  <c r="NW8" i="30"/>
  <c r="NW9" i="30"/>
  <c r="NW10" i="30"/>
  <c r="NW11" i="30"/>
  <c r="NW12" i="30"/>
  <c r="NW13" i="30"/>
  <c r="NW14" i="30"/>
  <c r="NW15" i="30"/>
  <c r="NW16" i="30"/>
  <c r="NW17" i="30"/>
  <c r="NW18" i="30"/>
  <c r="NW19" i="30"/>
  <c r="NW20" i="30"/>
  <c r="NW21" i="30"/>
  <c r="NW22" i="30"/>
  <c r="NW23" i="30"/>
  <c r="NW24" i="30"/>
  <c r="NW25" i="30"/>
  <c r="NW26" i="30"/>
  <c r="NW27" i="30"/>
  <c r="NW28" i="30"/>
  <c r="NW29" i="30"/>
  <c r="NW30" i="30"/>
  <c r="NW31" i="30"/>
  <c r="NW32" i="30"/>
  <c r="NW33" i="30"/>
  <c r="NW34" i="30"/>
  <c r="NX7" i="30"/>
  <c r="NW7" i="30"/>
  <c r="NP8" i="30"/>
  <c r="NP9" i="30"/>
  <c r="NP10" i="30"/>
  <c r="NP11" i="30"/>
  <c r="NP12" i="30"/>
  <c r="NP13" i="30"/>
  <c r="NP14" i="30"/>
  <c r="NP15" i="30"/>
  <c r="NP16" i="30"/>
  <c r="NP17" i="30"/>
  <c r="NP18" i="30"/>
  <c r="NP19" i="30"/>
  <c r="NP20" i="30"/>
  <c r="NP21" i="30"/>
  <c r="NP22" i="30"/>
  <c r="NP23" i="30"/>
  <c r="NP24" i="30"/>
  <c r="NP25" i="30"/>
  <c r="NP26" i="30"/>
  <c r="NP27" i="30"/>
  <c r="NP28" i="30"/>
  <c r="NP29" i="30"/>
  <c r="NP30" i="30"/>
  <c r="NP31" i="30"/>
  <c r="NP32" i="30"/>
  <c r="NP33" i="30"/>
  <c r="NP34" i="30"/>
  <c r="NP35" i="30"/>
  <c r="NO8" i="30"/>
  <c r="NO9" i="30"/>
  <c r="NO10" i="30"/>
  <c r="NO11" i="30"/>
  <c r="NO12" i="30"/>
  <c r="NO13" i="30"/>
  <c r="NO14" i="30"/>
  <c r="NO15" i="30"/>
  <c r="NO16" i="30"/>
  <c r="NO17" i="30"/>
  <c r="NO18" i="30"/>
  <c r="NO19" i="30"/>
  <c r="NO20" i="30"/>
  <c r="NO21" i="30"/>
  <c r="NO22" i="30"/>
  <c r="NO23" i="30"/>
  <c r="NO24" i="30"/>
  <c r="NO25" i="30"/>
  <c r="NO26" i="30"/>
  <c r="NO27" i="30"/>
  <c r="NO28" i="30"/>
  <c r="NO29" i="30"/>
  <c r="NO30" i="30"/>
  <c r="NO31" i="30"/>
  <c r="NO32" i="30"/>
  <c r="NO33" i="30"/>
  <c r="NO34" i="30"/>
  <c r="NP7" i="30"/>
  <c r="NO7" i="30"/>
  <c r="NL8" i="30"/>
  <c r="NL9" i="30"/>
  <c r="NL10" i="30"/>
  <c r="NL11" i="30"/>
  <c r="NL12" i="30"/>
  <c r="NL13" i="30"/>
  <c r="NL14" i="30"/>
  <c r="NL15" i="30"/>
  <c r="NL16" i="30"/>
  <c r="NL17" i="30"/>
  <c r="NL18" i="30"/>
  <c r="NL19" i="30"/>
  <c r="NL20" i="30"/>
  <c r="NL21" i="30"/>
  <c r="NL22" i="30"/>
  <c r="NL23" i="30"/>
  <c r="NL24" i="30"/>
  <c r="NL25" i="30"/>
  <c r="NL26" i="30"/>
  <c r="NL27" i="30"/>
  <c r="NL28" i="30"/>
  <c r="NL29" i="30"/>
  <c r="NL30" i="30"/>
  <c r="NL31" i="30"/>
  <c r="NL32" i="30"/>
  <c r="NL33" i="30"/>
  <c r="NL34" i="30"/>
  <c r="NL35" i="30"/>
  <c r="NK8" i="30"/>
  <c r="NK9" i="30"/>
  <c r="NK10" i="30"/>
  <c r="NK11" i="30"/>
  <c r="NK12" i="30"/>
  <c r="NK13" i="30"/>
  <c r="NK14" i="30"/>
  <c r="NK15" i="30"/>
  <c r="NK16" i="30"/>
  <c r="NK17" i="30"/>
  <c r="NK18" i="30"/>
  <c r="NK19" i="30"/>
  <c r="NK20" i="30"/>
  <c r="NK21" i="30"/>
  <c r="NK22" i="30"/>
  <c r="NK23" i="30"/>
  <c r="NK24" i="30"/>
  <c r="NK25" i="30"/>
  <c r="NK26" i="30"/>
  <c r="NK27" i="30"/>
  <c r="NK28" i="30"/>
  <c r="NK29" i="30"/>
  <c r="NK30" i="30"/>
  <c r="NK31" i="30"/>
  <c r="NK32" i="30"/>
  <c r="NK33" i="30"/>
  <c r="NK34" i="30"/>
  <c r="NL7" i="30"/>
  <c r="NK7" i="30"/>
  <c r="NH8" i="30"/>
  <c r="NH9" i="30"/>
  <c r="NH10" i="30"/>
  <c r="NH11" i="30"/>
  <c r="NH12" i="30"/>
  <c r="NH13" i="30"/>
  <c r="NH14" i="30"/>
  <c r="NH15" i="30"/>
  <c r="NH16" i="30"/>
  <c r="NH17" i="30"/>
  <c r="NH18" i="30"/>
  <c r="NH19" i="30"/>
  <c r="NH20" i="30"/>
  <c r="NH21" i="30"/>
  <c r="NH22" i="30"/>
  <c r="NH23" i="30"/>
  <c r="NH24" i="30"/>
  <c r="NH25" i="30"/>
  <c r="NH26" i="30"/>
  <c r="NH27" i="30"/>
  <c r="NH28" i="30"/>
  <c r="NH29" i="30"/>
  <c r="NH30" i="30"/>
  <c r="NH31" i="30"/>
  <c r="NH32" i="30"/>
  <c r="NH33" i="30"/>
  <c r="NH34" i="30"/>
  <c r="NH35" i="30"/>
  <c r="NG8" i="30"/>
  <c r="NG9" i="30"/>
  <c r="NG10" i="30"/>
  <c r="NG11" i="30"/>
  <c r="NG12" i="30"/>
  <c r="NG13" i="30"/>
  <c r="NG14" i="30"/>
  <c r="NG15" i="30"/>
  <c r="NG16" i="30"/>
  <c r="NG17" i="30"/>
  <c r="NG18" i="30"/>
  <c r="NG19" i="30"/>
  <c r="NG20" i="30"/>
  <c r="NG21" i="30"/>
  <c r="NG22" i="30"/>
  <c r="NG23" i="30"/>
  <c r="NG24" i="30"/>
  <c r="NG25" i="30"/>
  <c r="NG26" i="30"/>
  <c r="NG27" i="30"/>
  <c r="NG28" i="30"/>
  <c r="NG29" i="30"/>
  <c r="NG30" i="30"/>
  <c r="NG31" i="30"/>
  <c r="NG32" i="30"/>
  <c r="NG33" i="30"/>
  <c r="NG34" i="30"/>
  <c r="NH7" i="30"/>
  <c r="NG7" i="30"/>
  <c r="ND8" i="30"/>
  <c r="ND9" i="30"/>
  <c r="ND10" i="30"/>
  <c r="ND11" i="30"/>
  <c r="ND12" i="30"/>
  <c r="ND13" i="30"/>
  <c r="ND14" i="30"/>
  <c r="ND15" i="30"/>
  <c r="ND16" i="30"/>
  <c r="ND17" i="30"/>
  <c r="ND18" i="30"/>
  <c r="ND19" i="30"/>
  <c r="ND20" i="30"/>
  <c r="ND21" i="30"/>
  <c r="ND22" i="30"/>
  <c r="ND23" i="30"/>
  <c r="ND24" i="30"/>
  <c r="ND25" i="30"/>
  <c r="ND26" i="30"/>
  <c r="ND27" i="30"/>
  <c r="ND28" i="30"/>
  <c r="ND29" i="30"/>
  <c r="ND30" i="30"/>
  <c r="ND31" i="30"/>
  <c r="ND32" i="30"/>
  <c r="ND33" i="30"/>
  <c r="ND34" i="30"/>
  <c r="ND35" i="30"/>
  <c r="NC8" i="30"/>
  <c r="NC9" i="30"/>
  <c r="NC10" i="30"/>
  <c r="NC11" i="30"/>
  <c r="NC12" i="30"/>
  <c r="NC13" i="30"/>
  <c r="NC14" i="30"/>
  <c r="NC15" i="30"/>
  <c r="NC16" i="30"/>
  <c r="NC17" i="30"/>
  <c r="NC18" i="30"/>
  <c r="NC19" i="30"/>
  <c r="NC20" i="30"/>
  <c r="NC21" i="30"/>
  <c r="NC22" i="30"/>
  <c r="NC23" i="30"/>
  <c r="NC24" i="30"/>
  <c r="NC25" i="30"/>
  <c r="NC26" i="30"/>
  <c r="NC27" i="30"/>
  <c r="NC28" i="30"/>
  <c r="NC29" i="30"/>
  <c r="NC30" i="30"/>
  <c r="NC31" i="30"/>
  <c r="NC32" i="30"/>
  <c r="NC33" i="30"/>
  <c r="NC34" i="30"/>
  <c r="ND7" i="30"/>
  <c r="NC7" i="30"/>
  <c r="MZ8" i="30"/>
  <c r="MZ9" i="30"/>
  <c r="MZ10" i="30"/>
  <c r="MZ11" i="30"/>
  <c r="MZ12" i="30"/>
  <c r="MZ13" i="30"/>
  <c r="MZ14" i="30"/>
  <c r="MZ15" i="30"/>
  <c r="MZ16" i="30"/>
  <c r="MZ17" i="30"/>
  <c r="MZ18" i="30"/>
  <c r="MZ19" i="30"/>
  <c r="MZ20" i="30"/>
  <c r="MZ21" i="30"/>
  <c r="MZ22" i="30"/>
  <c r="MZ23" i="30"/>
  <c r="MZ24" i="30"/>
  <c r="MZ25" i="30"/>
  <c r="MZ26" i="30"/>
  <c r="MZ27" i="30"/>
  <c r="MZ28" i="30"/>
  <c r="MZ29" i="30"/>
  <c r="MZ30" i="30"/>
  <c r="MZ31" i="30"/>
  <c r="MZ32" i="30"/>
  <c r="MZ33" i="30"/>
  <c r="MZ34" i="30"/>
  <c r="MZ35" i="30"/>
  <c r="MY8" i="30"/>
  <c r="MY9" i="30"/>
  <c r="MY10" i="30"/>
  <c r="MY11" i="30"/>
  <c r="MY12" i="30"/>
  <c r="MY13" i="30"/>
  <c r="MY14" i="30"/>
  <c r="MY15" i="30"/>
  <c r="MY16" i="30"/>
  <c r="MY17" i="30"/>
  <c r="MY18" i="30"/>
  <c r="MY19" i="30"/>
  <c r="MY20" i="30"/>
  <c r="MY21" i="30"/>
  <c r="MY22" i="30"/>
  <c r="MY23" i="30"/>
  <c r="MY24" i="30"/>
  <c r="MY25" i="30"/>
  <c r="MY26" i="30"/>
  <c r="MY27" i="30"/>
  <c r="MY28" i="30"/>
  <c r="MY29" i="30"/>
  <c r="MY30" i="30"/>
  <c r="MY31" i="30"/>
  <c r="MY32" i="30"/>
  <c r="MY33" i="30"/>
  <c r="MY34" i="30"/>
  <c r="MZ7" i="30"/>
  <c r="MY7" i="30"/>
  <c r="MV8" i="30"/>
  <c r="MV9" i="30"/>
  <c r="MV10" i="30"/>
  <c r="MV11" i="30"/>
  <c r="MV12" i="30"/>
  <c r="MV13" i="30"/>
  <c r="MV14" i="30"/>
  <c r="MV15" i="30"/>
  <c r="MV16" i="30"/>
  <c r="MV17" i="30"/>
  <c r="MV18" i="30"/>
  <c r="MV19" i="30"/>
  <c r="MV20" i="30"/>
  <c r="MV21" i="30"/>
  <c r="MV22" i="30"/>
  <c r="MV23" i="30"/>
  <c r="MV24" i="30"/>
  <c r="MV25" i="30"/>
  <c r="MV26" i="30"/>
  <c r="MV27" i="30"/>
  <c r="MV28" i="30"/>
  <c r="MV29" i="30"/>
  <c r="MV30" i="30"/>
  <c r="MV31" i="30"/>
  <c r="MV32" i="30"/>
  <c r="MV33" i="30"/>
  <c r="MV34" i="30"/>
  <c r="MV35" i="30"/>
  <c r="MU8" i="30"/>
  <c r="MU9" i="30"/>
  <c r="MU10" i="30"/>
  <c r="MU11" i="30"/>
  <c r="MU12" i="30"/>
  <c r="MU13" i="30"/>
  <c r="MU14" i="30"/>
  <c r="MU15" i="30"/>
  <c r="MU16" i="30"/>
  <c r="MU17" i="30"/>
  <c r="MU18" i="30"/>
  <c r="MU19" i="30"/>
  <c r="MU20" i="30"/>
  <c r="MU21" i="30"/>
  <c r="MU22" i="30"/>
  <c r="MU23" i="30"/>
  <c r="MU24" i="30"/>
  <c r="MU25" i="30"/>
  <c r="MU26" i="30"/>
  <c r="MU27" i="30"/>
  <c r="MU28" i="30"/>
  <c r="MU29" i="30"/>
  <c r="MU30" i="30"/>
  <c r="MU31" i="30"/>
  <c r="MU32" i="30"/>
  <c r="MU33" i="30"/>
  <c r="MU34" i="30"/>
  <c r="MR8" i="30"/>
  <c r="MR9" i="30"/>
  <c r="MR10" i="30"/>
  <c r="MR11" i="30"/>
  <c r="MR12" i="30"/>
  <c r="MR13" i="30"/>
  <c r="MR14" i="30"/>
  <c r="MR15" i="30"/>
  <c r="MR16" i="30"/>
  <c r="MR17" i="30"/>
  <c r="MR18" i="30"/>
  <c r="MR19" i="30"/>
  <c r="MR20" i="30"/>
  <c r="MR21" i="30"/>
  <c r="MR22" i="30"/>
  <c r="MR23" i="30"/>
  <c r="MR24" i="30"/>
  <c r="MR25" i="30"/>
  <c r="MR26" i="30"/>
  <c r="MR27" i="30"/>
  <c r="MR28" i="30"/>
  <c r="MR29" i="30"/>
  <c r="MR30" i="30"/>
  <c r="MR31" i="30"/>
  <c r="MR32" i="30"/>
  <c r="MR33" i="30"/>
  <c r="MR34" i="30"/>
  <c r="MR35" i="30"/>
  <c r="MQ8" i="30"/>
  <c r="MQ9" i="30"/>
  <c r="MQ10" i="30"/>
  <c r="MQ11" i="30"/>
  <c r="MQ12" i="30"/>
  <c r="MQ13" i="30"/>
  <c r="MQ14" i="30"/>
  <c r="MQ15" i="30"/>
  <c r="MQ16" i="30"/>
  <c r="MQ17" i="30"/>
  <c r="MQ18" i="30"/>
  <c r="MQ19" i="30"/>
  <c r="MQ20" i="30"/>
  <c r="MQ21" i="30"/>
  <c r="MQ22" i="30"/>
  <c r="MQ23" i="30"/>
  <c r="MQ24" i="30"/>
  <c r="MQ25" i="30"/>
  <c r="MQ26" i="30"/>
  <c r="MQ27" i="30"/>
  <c r="MQ28" i="30"/>
  <c r="MQ29" i="30"/>
  <c r="MQ30" i="30"/>
  <c r="MQ31" i="30"/>
  <c r="MQ32" i="30"/>
  <c r="MQ33" i="30"/>
  <c r="MQ34" i="30"/>
  <c r="MU7" i="30"/>
  <c r="MV7" i="30"/>
  <c r="MR7" i="30"/>
  <c r="MQ7" i="30"/>
  <c r="MJ8" i="30"/>
  <c r="MJ9" i="30"/>
  <c r="MJ10" i="30"/>
  <c r="MJ11" i="30"/>
  <c r="MJ12" i="30"/>
  <c r="MJ13" i="30"/>
  <c r="MJ14" i="30"/>
  <c r="MJ15" i="30"/>
  <c r="MJ16" i="30"/>
  <c r="MJ17" i="30"/>
  <c r="MJ18" i="30"/>
  <c r="MJ19" i="30"/>
  <c r="MJ20" i="30"/>
  <c r="MJ21" i="30"/>
  <c r="MJ22" i="30"/>
  <c r="MJ23" i="30"/>
  <c r="MJ24" i="30"/>
  <c r="MJ25" i="30"/>
  <c r="MJ26" i="30"/>
  <c r="MJ27" i="30"/>
  <c r="MJ28" i="30"/>
  <c r="MJ29" i="30"/>
  <c r="MJ30" i="30"/>
  <c r="MJ31" i="30"/>
  <c r="MJ32" i="30"/>
  <c r="MJ33" i="30"/>
  <c r="MJ34" i="30"/>
  <c r="MJ35" i="30"/>
  <c r="MI8" i="30"/>
  <c r="MI9" i="30"/>
  <c r="MI10" i="30"/>
  <c r="MI11" i="30"/>
  <c r="MI12" i="30"/>
  <c r="MI13" i="30"/>
  <c r="MI14" i="30"/>
  <c r="MI15" i="30"/>
  <c r="MI16" i="30"/>
  <c r="MI17" i="30"/>
  <c r="MI18" i="30"/>
  <c r="MI19" i="30"/>
  <c r="MI20" i="30"/>
  <c r="MI21" i="30"/>
  <c r="MI22" i="30"/>
  <c r="MI23" i="30"/>
  <c r="MI24" i="30"/>
  <c r="MI25" i="30"/>
  <c r="MI26" i="30"/>
  <c r="MI27" i="30"/>
  <c r="MI28" i="30"/>
  <c r="MI29" i="30"/>
  <c r="MI30" i="30"/>
  <c r="MI31" i="30"/>
  <c r="MI32" i="30"/>
  <c r="MI33" i="30"/>
  <c r="MI34" i="30"/>
  <c r="MF8" i="30"/>
  <c r="MF9" i="30"/>
  <c r="MF10" i="30"/>
  <c r="MF11" i="30"/>
  <c r="MF12" i="30"/>
  <c r="MF13" i="30"/>
  <c r="MF14" i="30"/>
  <c r="MF15" i="30"/>
  <c r="MF16" i="30"/>
  <c r="MF17" i="30"/>
  <c r="MF18" i="30"/>
  <c r="MF19" i="30"/>
  <c r="MF20" i="30"/>
  <c r="MF21" i="30"/>
  <c r="MF22" i="30"/>
  <c r="MF23" i="30"/>
  <c r="MF24" i="30"/>
  <c r="MF25" i="30"/>
  <c r="MF26" i="30"/>
  <c r="MF27" i="30"/>
  <c r="MF28" i="30"/>
  <c r="MF29" i="30"/>
  <c r="MF30" i="30"/>
  <c r="MF31" i="30"/>
  <c r="MF32" i="30"/>
  <c r="MF33" i="30"/>
  <c r="MF34" i="30"/>
  <c r="MF35" i="30"/>
  <c r="ME8" i="30"/>
  <c r="ME9" i="30"/>
  <c r="ME10" i="30"/>
  <c r="ME11" i="30"/>
  <c r="ME12" i="30"/>
  <c r="ME13" i="30"/>
  <c r="ME14" i="30"/>
  <c r="ME15" i="30"/>
  <c r="ME16" i="30"/>
  <c r="ME17" i="30"/>
  <c r="ME18" i="30"/>
  <c r="ME19" i="30"/>
  <c r="ME20" i="30"/>
  <c r="ME21" i="30"/>
  <c r="ME22" i="30"/>
  <c r="ME23" i="30"/>
  <c r="ME24" i="30"/>
  <c r="ME25" i="30"/>
  <c r="ME26" i="30"/>
  <c r="ME27" i="30"/>
  <c r="ME28" i="30"/>
  <c r="ME29" i="30"/>
  <c r="ME30" i="30"/>
  <c r="ME31" i="30"/>
  <c r="ME32" i="30"/>
  <c r="ME33" i="30"/>
  <c r="ME34" i="30"/>
  <c r="MJ7" i="30"/>
  <c r="MI7" i="30"/>
  <c r="MF7" i="30"/>
  <c r="ME7" i="30"/>
  <c r="MB8" i="30"/>
  <c r="MB9" i="30"/>
  <c r="MB10" i="30"/>
  <c r="MB11" i="30"/>
  <c r="MB12" i="30"/>
  <c r="MB13" i="30"/>
  <c r="MB14" i="30"/>
  <c r="MB15" i="30"/>
  <c r="MB16" i="30"/>
  <c r="MB17" i="30"/>
  <c r="MB18" i="30"/>
  <c r="MB19" i="30"/>
  <c r="MB20" i="30"/>
  <c r="MB21" i="30"/>
  <c r="MB22" i="30"/>
  <c r="MB23" i="30"/>
  <c r="MB24" i="30"/>
  <c r="MB25" i="30"/>
  <c r="MB26" i="30"/>
  <c r="MB27" i="30"/>
  <c r="MB28" i="30"/>
  <c r="MB29" i="30"/>
  <c r="MB30" i="30"/>
  <c r="MB31" i="30"/>
  <c r="MB32" i="30"/>
  <c r="MB33" i="30"/>
  <c r="MB34" i="30"/>
  <c r="MB35" i="30"/>
  <c r="MA8" i="30"/>
  <c r="MA9" i="30"/>
  <c r="MA10" i="30"/>
  <c r="MA11" i="30"/>
  <c r="MA12" i="30"/>
  <c r="MA13" i="30"/>
  <c r="MA14" i="30"/>
  <c r="MA15" i="30"/>
  <c r="MA16" i="30"/>
  <c r="MA17" i="30"/>
  <c r="MA18" i="30"/>
  <c r="MA19" i="30"/>
  <c r="MA20" i="30"/>
  <c r="MA21" i="30"/>
  <c r="MA22" i="30"/>
  <c r="MA23" i="30"/>
  <c r="MA24" i="30"/>
  <c r="MA25" i="30"/>
  <c r="MA26" i="30"/>
  <c r="MA27" i="30"/>
  <c r="MA28" i="30"/>
  <c r="MA29" i="30"/>
  <c r="MA30" i="30"/>
  <c r="MA31" i="30"/>
  <c r="MA32" i="30"/>
  <c r="MA33" i="30"/>
  <c r="MA34" i="30"/>
  <c r="MB7" i="30"/>
  <c r="MA7" i="30"/>
  <c r="LX8" i="30"/>
  <c r="LX9" i="30"/>
  <c r="LX10" i="30"/>
  <c r="LX11" i="30"/>
  <c r="LX12" i="30"/>
  <c r="LX13" i="30"/>
  <c r="LX14" i="30"/>
  <c r="LX15" i="30"/>
  <c r="LX16" i="30"/>
  <c r="LX17" i="30"/>
  <c r="LX18" i="30"/>
  <c r="LX19" i="30"/>
  <c r="LX20" i="30"/>
  <c r="LX21" i="30"/>
  <c r="LX22" i="30"/>
  <c r="LX23" i="30"/>
  <c r="LX24" i="30"/>
  <c r="LX25" i="30"/>
  <c r="LX26" i="30"/>
  <c r="LX27" i="30"/>
  <c r="LX28" i="30"/>
  <c r="LX29" i="30"/>
  <c r="LX30" i="30"/>
  <c r="LX31" i="30"/>
  <c r="LX32" i="30"/>
  <c r="LX33" i="30"/>
  <c r="LX34" i="30"/>
  <c r="LX35" i="30"/>
  <c r="LW8" i="30"/>
  <c r="LW9" i="30"/>
  <c r="LW10" i="30"/>
  <c r="LW11" i="30"/>
  <c r="LW12" i="30"/>
  <c r="LW13" i="30"/>
  <c r="LW14" i="30"/>
  <c r="LW15" i="30"/>
  <c r="LW16" i="30"/>
  <c r="LW17" i="30"/>
  <c r="LW18" i="30"/>
  <c r="LW19" i="30"/>
  <c r="LW20" i="30"/>
  <c r="LW21" i="30"/>
  <c r="LW22" i="30"/>
  <c r="LW23" i="30"/>
  <c r="LW24" i="30"/>
  <c r="LW25" i="30"/>
  <c r="LW26" i="30"/>
  <c r="LW27" i="30"/>
  <c r="LW28" i="30"/>
  <c r="LW29" i="30"/>
  <c r="LW30" i="30"/>
  <c r="LW31" i="30"/>
  <c r="LW32" i="30"/>
  <c r="LW33" i="30"/>
  <c r="LW34" i="30"/>
  <c r="LT8" i="30"/>
  <c r="LT9" i="30"/>
  <c r="LT10" i="30"/>
  <c r="LT11" i="30"/>
  <c r="LT12" i="30"/>
  <c r="LT13" i="30"/>
  <c r="LT14" i="30"/>
  <c r="LT15" i="30"/>
  <c r="LT16" i="30"/>
  <c r="LT17" i="30"/>
  <c r="LT18" i="30"/>
  <c r="LT19" i="30"/>
  <c r="LT20" i="30"/>
  <c r="LT21" i="30"/>
  <c r="LT22" i="30"/>
  <c r="LT23" i="30"/>
  <c r="LT24" i="30"/>
  <c r="LT25" i="30"/>
  <c r="LT26" i="30"/>
  <c r="LT27" i="30"/>
  <c r="LT28" i="30"/>
  <c r="LT29" i="30"/>
  <c r="LT30" i="30"/>
  <c r="LT31" i="30"/>
  <c r="LT32" i="30"/>
  <c r="LT33" i="30"/>
  <c r="LT34" i="30"/>
  <c r="LT35" i="30"/>
  <c r="LS8" i="30"/>
  <c r="LS9" i="30"/>
  <c r="LS10" i="30"/>
  <c r="LS11" i="30"/>
  <c r="LS12" i="30"/>
  <c r="LS13" i="30"/>
  <c r="LS14" i="30"/>
  <c r="LS15" i="30"/>
  <c r="LS16" i="30"/>
  <c r="LS17" i="30"/>
  <c r="LS18" i="30"/>
  <c r="LS19" i="30"/>
  <c r="LS20" i="30"/>
  <c r="LS21" i="30"/>
  <c r="LS22" i="30"/>
  <c r="LS23" i="30"/>
  <c r="LS24" i="30"/>
  <c r="LS25" i="30"/>
  <c r="LS26" i="30"/>
  <c r="LS27" i="30"/>
  <c r="LS28" i="30"/>
  <c r="LS29" i="30"/>
  <c r="LS30" i="30"/>
  <c r="LS31" i="30"/>
  <c r="LS32" i="30"/>
  <c r="LS33" i="30"/>
  <c r="LS34" i="30"/>
  <c r="LP8" i="30"/>
  <c r="LP9" i="30"/>
  <c r="LP10" i="30"/>
  <c r="LP11" i="30"/>
  <c r="LP12" i="30"/>
  <c r="LP13" i="30"/>
  <c r="LP14" i="30"/>
  <c r="LP15" i="30"/>
  <c r="LP16" i="30"/>
  <c r="LP17" i="30"/>
  <c r="LP18" i="30"/>
  <c r="LP19" i="30"/>
  <c r="LP20" i="30"/>
  <c r="LP21" i="30"/>
  <c r="LP22" i="30"/>
  <c r="LP23" i="30"/>
  <c r="LP24" i="30"/>
  <c r="LP25" i="30"/>
  <c r="LP26" i="30"/>
  <c r="LP27" i="30"/>
  <c r="LP28" i="30"/>
  <c r="LP29" i="30"/>
  <c r="LP30" i="30"/>
  <c r="LP31" i="30"/>
  <c r="LP32" i="30"/>
  <c r="LP33" i="30"/>
  <c r="LP34" i="30"/>
  <c r="LP35" i="30"/>
  <c r="LO8" i="30"/>
  <c r="LO9" i="30"/>
  <c r="LO10" i="30"/>
  <c r="LO11" i="30"/>
  <c r="LO12" i="30"/>
  <c r="LO13" i="30"/>
  <c r="LO14" i="30"/>
  <c r="LO15" i="30"/>
  <c r="LO16" i="30"/>
  <c r="LO17" i="30"/>
  <c r="LO18" i="30"/>
  <c r="LO19" i="30"/>
  <c r="LO20" i="30"/>
  <c r="LO21" i="30"/>
  <c r="LO22" i="30"/>
  <c r="LO23" i="30"/>
  <c r="LO24" i="30"/>
  <c r="LO25" i="30"/>
  <c r="LO26" i="30"/>
  <c r="LO27" i="30"/>
  <c r="LO28" i="30"/>
  <c r="LO29" i="30"/>
  <c r="LO30" i="30"/>
  <c r="LO31" i="30"/>
  <c r="LO32" i="30"/>
  <c r="LO33" i="30"/>
  <c r="LO34" i="30"/>
  <c r="LL8" i="30"/>
  <c r="LL9" i="30"/>
  <c r="LL10" i="30"/>
  <c r="LL11" i="30"/>
  <c r="LL12" i="30"/>
  <c r="LL13" i="30"/>
  <c r="LL14" i="30"/>
  <c r="LL15" i="30"/>
  <c r="LL16" i="30"/>
  <c r="LL17" i="30"/>
  <c r="LL18" i="30"/>
  <c r="LL19" i="30"/>
  <c r="LL20" i="30"/>
  <c r="LL21" i="30"/>
  <c r="LL22" i="30"/>
  <c r="LL23" i="30"/>
  <c r="LL24" i="30"/>
  <c r="LL25" i="30"/>
  <c r="LL26" i="30"/>
  <c r="LL27" i="30"/>
  <c r="LL28" i="30"/>
  <c r="LL29" i="30"/>
  <c r="LL30" i="30"/>
  <c r="LL31" i="30"/>
  <c r="LL32" i="30"/>
  <c r="LL33" i="30"/>
  <c r="LL34" i="30"/>
  <c r="LL35" i="30"/>
  <c r="LK8" i="30"/>
  <c r="LK9" i="30"/>
  <c r="LK10" i="30"/>
  <c r="LK11" i="30"/>
  <c r="LK12" i="30"/>
  <c r="LK13" i="30"/>
  <c r="LK14" i="30"/>
  <c r="LK15" i="30"/>
  <c r="LK16" i="30"/>
  <c r="LK17" i="30"/>
  <c r="LK18" i="30"/>
  <c r="LK19" i="30"/>
  <c r="LK20" i="30"/>
  <c r="LK21" i="30"/>
  <c r="LK22" i="30"/>
  <c r="LK23" i="30"/>
  <c r="LK24" i="30"/>
  <c r="LK25" i="30"/>
  <c r="LK26" i="30"/>
  <c r="LK27" i="30"/>
  <c r="LK28" i="30"/>
  <c r="LK29" i="30"/>
  <c r="LK30" i="30"/>
  <c r="LK31" i="30"/>
  <c r="LK32" i="30"/>
  <c r="LK33" i="30"/>
  <c r="LK34" i="30"/>
  <c r="LX7" i="30"/>
  <c r="LW7" i="30"/>
  <c r="LT7" i="30"/>
  <c r="LS7" i="30"/>
  <c r="LP7" i="30"/>
  <c r="LO7" i="30"/>
  <c r="LL7" i="30"/>
  <c r="LK7" i="30"/>
  <c r="LD8" i="30"/>
  <c r="LD9" i="30"/>
  <c r="LD10" i="30"/>
  <c r="LD11" i="30"/>
  <c r="LD12" i="30"/>
  <c r="LD13" i="30"/>
  <c r="LD14" i="30"/>
  <c r="LD15" i="30"/>
  <c r="LD16" i="30"/>
  <c r="LD17" i="30"/>
  <c r="LD18" i="30"/>
  <c r="LD19" i="30"/>
  <c r="LD20" i="30"/>
  <c r="LD21" i="30"/>
  <c r="LD22" i="30"/>
  <c r="LD23" i="30"/>
  <c r="LD24" i="30"/>
  <c r="LD25" i="30"/>
  <c r="LD26" i="30"/>
  <c r="LD27" i="30"/>
  <c r="LD28" i="30"/>
  <c r="LD29" i="30"/>
  <c r="LD30" i="30"/>
  <c r="LD31" i="30"/>
  <c r="LD32" i="30"/>
  <c r="LD33" i="30"/>
  <c r="LD34" i="30"/>
  <c r="LD35" i="30"/>
  <c r="LC8" i="30"/>
  <c r="LC9" i="30"/>
  <c r="LC10" i="30"/>
  <c r="LC11" i="30"/>
  <c r="LC12" i="30"/>
  <c r="LC13" i="30"/>
  <c r="LC14" i="30"/>
  <c r="LC15" i="30"/>
  <c r="LC16" i="30"/>
  <c r="LC17" i="30"/>
  <c r="LC18" i="30"/>
  <c r="LC19" i="30"/>
  <c r="LC20" i="30"/>
  <c r="LC21" i="30"/>
  <c r="LC22" i="30"/>
  <c r="LC23" i="30"/>
  <c r="LC24" i="30"/>
  <c r="LC25" i="30"/>
  <c r="LC26" i="30"/>
  <c r="LC27" i="30"/>
  <c r="LC28" i="30"/>
  <c r="LC29" i="30"/>
  <c r="LC30" i="30"/>
  <c r="LC31" i="30"/>
  <c r="LC32" i="30"/>
  <c r="LC33" i="30"/>
  <c r="LC34" i="30"/>
  <c r="KZ8" i="30"/>
  <c r="KZ9" i="30"/>
  <c r="KZ10" i="30"/>
  <c r="KZ11" i="30"/>
  <c r="KZ12" i="30"/>
  <c r="KZ13" i="30"/>
  <c r="KZ14" i="30"/>
  <c r="KZ15" i="30"/>
  <c r="KZ16" i="30"/>
  <c r="KZ17" i="30"/>
  <c r="KZ18" i="30"/>
  <c r="KZ19" i="30"/>
  <c r="KZ20" i="30"/>
  <c r="KZ21" i="30"/>
  <c r="KZ22" i="30"/>
  <c r="KZ23" i="30"/>
  <c r="KZ24" i="30"/>
  <c r="KZ25" i="30"/>
  <c r="KZ26" i="30"/>
  <c r="KZ27" i="30"/>
  <c r="KZ28" i="30"/>
  <c r="KZ29" i="30"/>
  <c r="KZ30" i="30"/>
  <c r="KZ31" i="30"/>
  <c r="KZ32" i="30"/>
  <c r="KZ33" i="30"/>
  <c r="KZ34" i="30"/>
  <c r="KZ35" i="30"/>
  <c r="KY8" i="30"/>
  <c r="KY9" i="30"/>
  <c r="KY10" i="30"/>
  <c r="KY11" i="30"/>
  <c r="KY12" i="30"/>
  <c r="KY13" i="30"/>
  <c r="KY14" i="30"/>
  <c r="KY15" i="30"/>
  <c r="KY16" i="30"/>
  <c r="KY17" i="30"/>
  <c r="KY18" i="30"/>
  <c r="KY19" i="30"/>
  <c r="KY20" i="30"/>
  <c r="KY21" i="30"/>
  <c r="KY22" i="30"/>
  <c r="KY23" i="30"/>
  <c r="KY24" i="30"/>
  <c r="KY25" i="30"/>
  <c r="KY26" i="30"/>
  <c r="KY27" i="30"/>
  <c r="KY28" i="30"/>
  <c r="KY29" i="30"/>
  <c r="KY30" i="30"/>
  <c r="KY31" i="30"/>
  <c r="KY32" i="30"/>
  <c r="KY33" i="30"/>
  <c r="KY34" i="30"/>
  <c r="KV8" i="30"/>
  <c r="KV9" i="30"/>
  <c r="KV10" i="30"/>
  <c r="KV11" i="30"/>
  <c r="KV12" i="30"/>
  <c r="KV13" i="30"/>
  <c r="KV14" i="30"/>
  <c r="KV15" i="30"/>
  <c r="KV16" i="30"/>
  <c r="KV17" i="30"/>
  <c r="KV18" i="30"/>
  <c r="KV19" i="30"/>
  <c r="KV20" i="30"/>
  <c r="KV21" i="30"/>
  <c r="KV22" i="30"/>
  <c r="KV23" i="30"/>
  <c r="KV24" i="30"/>
  <c r="KV25" i="30"/>
  <c r="KV26" i="30"/>
  <c r="KV27" i="30"/>
  <c r="KV28" i="30"/>
  <c r="KV29" i="30"/>
  <c r="KV30" i="30"/>
  <c r="KV31" i="30"/>
  <c r="KV32" i="30"/>
  <c r="KV33" i="30"/>
  <c r="KV34" i="30"/>
  <c r="KV35" i="30"/>
  <c r="KU8" i="30"/>
  <c r="KU9" i="30"/>
  <c r="KU10" i="30"/>
  <c r="KU11" i="30"/>
  <c r="KU12" i="30"/>
  <c r="KU13" i="30"/>
  <c r="KU14" i="30"/>
  <c r="KU15" i="30"/>
  <c r="KU16" i="30"/>
  <c r="KU17" i="30"/>
  <c r="KU18" i="30"/>
  <c r="KU19" i="30"/>
  <c r="KU20" i="30"/>
  <c r="KU21" i="30"/>
  <c r="KU22" i="30"/>
  <c r="KU23" i="30"/>
  <c r="KU24" i="30"/>
  <c r="KU25" i="30"/>
  <c r="KU26" i="30"/>
  <c r="KU27" i="30"/>
  <c r="KU28" i="30"/>
  <c r="KU29" i="30"/>
  <c r="KU30" i="30"/>
  <c r="KU31" i="30"/>
  <c r="KU32" i="30"/>
  <c r="KU33" i="30"/>
  <c r="KU34" i="30"/>
  <c r="KR8" i="30"/>
  <c r="KR9" i="30"/>
  <c r="KR10" i="30"/>
  <c r="KR11" i="30"/>
  <c r="KR12" i="30"/>
  <c r="KR13" i="30"/>
  <c r="KR14" i="30"/>
  <c r="KR15" i="30"/>
  <c r="KR16" i="30"/>
  <c r="KR17" i="30"/>
  <c r="KR18" i="30"/>
  <c r="KR19" i="30"/>
  <c r="KR20" i="30"/>
  <c r="KR21" i="30"/>
  <c r="KR22" i="30"/>
  <c r="KR23" i="30"/>
  <c r="KR24" i="30"/>
  <c r="KR25" i="30"/>
  <c r="KR26" i="30"/>
  <c r="KR27" i="30"/>
  <c r="KR28" i="30"/>
  <c r="KR29" i="30"/>
  <c r="KR30" i="30"/>
  <c r="KR31" i="30"/>
  <c r="KR32" i="30"/>
  <c r="KR33" i="30"/>
  <c r="KR34" i="30"/>
  <c r="KR35" i="30"/>
  <c r="KQ8" i="30"/>
  <c r="KQ9" i="30"/>
  <c r="KQ10" i="30"/>
  <c r="KQ11" i="30"/>
  <c r="KQ12" i="30"/>
  <c r="KQ13" i="30"/>
  <c r="KQ14" i="30"/>
  <c r="KQ15" i="30"/>
  <c r="KQ16" i="30"/>
  <c r="KQ17" i="30"/>
  <c r="KQ18" i="30"/>
  <c r="KQ19" i="30"/>
  <c r="KQ20" i="30"/>
  <c r="KQ21" i="30"/>
  <c r="KQ22" i="30"/>
  <c r="KQ23" i="30"/>
  <c r="KQ24" i="30"/>
  <c r="KQ25" i="30"/>
  <c r="KQ26" i="30"/>
  <c r="KQ27" i="30"/>
  <c r="KQ28" i="30"/>
  <c r="KQ29" i="30"/>
  <c r="KQ30" i="30"/>
  <c r="KQ31" i="30"/>
  <c r="KQ32" i="30"/>
  <c r="KQ33" i="30"/>
  <c r="KQ34" i="30"/>
  <c r="LD7" i="30"/>
  <c r="LC7" i="30"/>
  <c r="KZ7" i="30"/>
  <c r="KY7" i="30"/>
  <c r="KV7" i="30"/>
  <c r="KU7" i="30"/>
  <c r="KR7" i="30"/>
  <c r="KQ7" i="30"/>
  <c r="KN8" i="30"/>
  <c r="KN9" i="30"/>
  <c r="KN10" i="30"/>
  <c r="KN11" i="30"/>
  <c r="KN12" i="30"/>
  <c r="KN13" i="30"/>
  <c r="KN14" i="30"/>
  <c r="KN15" i="30"/>
  <c r="KN16" i="30"/>
  <c r="KN17" i="30"/>
  <c r="KN18" i="30"/>
  <c r="KN19" i="30"/>
  <c r="KN20" i="30"/>
  <c r="KN21" i="30"/>
  <c r="KN22" i="30"/>
  <c r="KN23" i="30"/>
  <c r="KN24" i="30"/>
  <c r="KN25" i="30"/>
  <c r="KN26" i="30"/>
  <c r="KN27" i="30"/>
  <c r="KN28" i="30"/>
  <c r="KN29" i="30"/>
  <c r="KN30" i="30"/>
  <c r="KN31" i="30"/>
  <c r="KN32" i="30"/>
  <c r="KN33" i="30"/>
  <c r="KN34" i="30"/>
  <c r="KN35" i="30"/>
  <c r="KM8" i="30"/>
  <c r="KM9" i="30"/>
  <c r="KM10" i="30"/>
  <c r="KM11" i="30"/>
  <c r="KM12" i="30"/>
  <c r="KM13" i="30"/>
  <c r="KM14" i="30"/>
  <c r="KM15" i="30"/>
  <c r="KM16" i="30"/>
  <c r="KM17" i="30"/>
  <c r="KM18" i="30"/>
  <c r="KM19" i="30"/>
  <c r="KM20" i="30"/>
  <c r="KM21" i="30"/>
  <c r="KM22" i="30"/>
  <c r="KM23" i="30"/>
  <c r="KM24" i="30"/>
  <c r="KM25" i="30"/>
  <c r="KM26" i="30"/>
  <c r="KM27" i="30"/>
  <c r="KM28" i="30"/>
  <c r="KM29" i="30"/>
  <c r="KM30" i="30"/>
  <c r="KM31" i="30"/>
  <c r="KM32" i="30"/>
  <c r="KM33" i="30"/>
  <c r="KM34" i="30"/>
  <c r="KJ8" i="30"/>
  <c r="KJ9" i="30"/>
  <c r="KJ10" i="30"/>
  <c r="KJ11" i="30"/>
  <c r="KJ12" i="30"/>
  <c r="KJ13" i="30"/>
  <c r="KJ14" i="30"/>
  <c r="KJ15" i="30"/>
  <c r="KJ16" i="30"/>
  <c r="KJ17" i="30"/>
  <c r="KJ18" i="30"/>
  <c r="KJ19" i="30"/>
  <c r="KJ20" i="30"/>
  <c r="KJ21" i="30"/>
  <c r="KJ22" i="30"/>
  <c r="KJ23" i="30"/>
  <c r="KJ24" i="30"/>
  <c r="KJ25" i="30"/>
  <c r="KJ26" i="30"/>
  <c r="KJ27" i="30"/>
  <c r="KJ28" i="30"/>
  <c r="KJ29" i="30"/>
  <c r="KJ30" i="30"/>
  <c r="KJ31" i="30"/>
  <c r="KJ32" i="30"/>
  <c r="KJ33" i="30"/>
  <c r="KJ34" i="30"/>
  <c r="KJ35" i="30"/>
  <c r="KI8" i="30"/>
  <c r="KI9" i="30"/>
  <c r="KI10" i="30"/>
  <c r="KI11" i="30"/>
  <c r="KI12" i="30"/>
  <c r="KI13" i="30"/>
  <c r="KI14" i="30"/>
  <c r="KI15" i="30"/>
  <c r="KI16" i="30"/>
  <c r="KI17" i="30"/>
  <c r="KI18" i="30"/>
  <c r="KI19" i="30"/>
  <c r="KI20" i="30"/>
  <c r="KI21" i="30"/>
  <c r="KI22" i="30"/>
  <c r="KI23" i="30"/>
  <c r="KI24" i="30"/>
  <c r="KI25" i="30"/>
  <c r="KI26" i="30"/>
  <c r="KI27" i="30"/>
  <c r="KI28" i="30"/>
  <c r="KI29" i="30"/>
  <c r="KI30" i="30"/>
  <c r="KI31" i="30"/>
  <c r="KI32" i="30"/>
  <c r="KI33" i="30"/>
  <c r="KI34" i="30"/>
  <c r="KF8" i="30"/>
  <c r="KF9" i="30"/>
  <c r="KF10" i="30"/>
  <c r="KF11" i="30"/>
  <c r="KF12" i="30"/>
  <c r="KF13" i="30"/>
  <c r="KF14" i="30"/>
  <c r="KF15" i="30"/>
  <c r="KF16" i="30"/>
  <c r="KF17" i="30"/>
  <c r="KF18" i="30"/>
  <c r="KF19" i="30"/>
  <c r="KF20" i="30"/>
  <c r="KF21" i="30"/>
  <c r="KF22" i="30"/>
  <c r="KF23" i="30"/>
  <c r="KF24" i="30"/>
  <c r="KF25" i="30"/>
  <c r="KF26" i="30"/>
  <c r="KF27" i="30"/>
  <c r="KF28" i="30"/>
  <c r="KF29" i="30"/>
  <c r="KF30" i="30"/>
  <c r="KF31" i="30"/>
  <c r="KF32" i="30"/>
  <c r="KF33" i="30"/>
  <c r="KF34" i="30"/>
  <c r="KF35" i="30"/>
  <c r="KE8" i="30"/>
  <c r="KE9" i="30"/>
  <c r="KE10" i="30"/>
  <c r="KE11" i="30"/>
  <c r="KE12" i="30"/>
  <c r="KE13" i="30"/>
  <c r="KE14" i="30"/>
  <c r="KE15" i="30"/>
  <c r="KE16" i="30"/>
  <c r="KE17" i="30"/>
  <c r="KE18" i="30"/>
  <c r="KE19" i="30"/>
  <c r="KE20" i="30"/>
  <c r="KE21" i="30"/>
  <c r="KE22" i="30"/>
  <c r="KE23" i="30"/>
  <c r="KE24" i="30"/>
  <c r="KE25" i="30"/>
  <c r="KE26" i="30"/>
  <c r="KE27" i="30"/>
  <c r="KE28" i="30"/>
  <c r="KE29" i="30"/>
  <c r="KE30" i="30"/>
  <c r="KE31" i="30"/>
  <c r="KE32" i="30"/>
  <c r="KE33" i="30"/>
  <c r="KE34" i="30"/>
  <c r="KN7" i="30"/>
  <c r="KM7" i="30"/>
  <c r="KJ7" i="30"/>
  <c r="KI7" i="30"/>
  <c r="KF7" i="30"/>
  <c r="KE7" i="30"/>
  <c r="JX8" i="30"/>
  <c r="JX9" i="30"/>
  <c r="JX10" i="30"/>
  <c r="JX11" i="30"/>
  <c r="JX12" i="30"/>
  <c r="JX13" i="30"/>
  <c r="JX14" i="30"/>
  <c r="JX15" i="30"/>
  <c r="JX16" i="30"/>
  <c r="JX17" i="30"/>
  <c r="JX18" i="30"/>
  <c r="JX19" i="30"/>
  <c r="JX20" i="30"/>
  <c r="JX21" i="30"/>
  <c r="JX22" i="30"/>
  <c r="JX23" i="30"/>
  <c r="JX24" i="30"/>
  <c r="JX25" i="30"/>
  <c r="JX26" i="30"/>
  <c r="JX27" i="30"/>
  <c r="JX28" i="30"/>
  <c r="JX29" i="30"/>
  <c r="JX30" i="30"/>
  <c r="JX31" i="30"/>
  <c r="JX32" i="30"/>
  <c r="JX33" i="30"/>
  <c r="JX34" i="30"/>
  <c r="JX35" i="30"/>
  <c r="JW8" i="30"/>
  <c r="JW9" i="30"/>
  <c r="JW10" i="30"/>
  <c r="JW11" i="30"/>
  <c r="JW12" i="30"/>
  <c r="JW13" i="30"/>
  <c r="JW14" i="30"/>
  <c r="JW15" i="30"/>
  <c r="JW16" i="30"/>
  <c r="JW17" i="30"/>
  <c r="JW18" i="30"/>
  <c r="JW19" i="30"/>
  <c r="JW20" i="30"/>
  <c r="JW21" i="30"/>
  <c r="JW22" i="30"/>
  <c r="JW23" i="30"/>
  <c r="JW24" i="30"/>
  <c r="JW25" i="30"/>
  <c r="JW26" i="30"/>
  <c r="JW27" i="30"/>
  <c r="JW28" i="30"/>
  <c r="JW29" i="30"/>
  <c r="JW30" i="30"/>
  <c r="JW31" i="30"/>
  <c r="JW32" i="30"/>
  <c r="JW33" i="30"/>
  <c r="JW34" i="30"/>
  <c r="JX7" i="30"/>
  <c r="JW7" i="30"/>
  <c r="JT8" i="30"/>
  <c r="JT9" i="30"/>
  <c r="JT10" i="30"/>
  <c r="JT11" i="30"/>
  <c r="JT12" i="30"/>
  <c r="JT13" i="30"/>
  <c r="JT14" i="30"/>
  <c r="JT15" i="30"/>
  <c r="JT16" i="30"/>
  <c r="JT17" i="30"/>
  <c r="JT18" i="30"/>
  <c r="JT19" i="30"/>
  <c r="JT20" i="30"/>
  <c r="JT21" i="30"/>
  <c r="JT22" i="30"/>
  <c r="JT23" i="30"/>
  <c r="JT24" i="30"/>
  <c r="JT25" i="30"/>
  <c r="JT26" i="30"/>
  <c r="JT27" i="30"/>
  <c r="JT28" i="30"/>
  <c r="JT29" i="30"/>
  <c r="JT30" i="30"/>
  <c r="JT31" i="30"/>
  <c r="JT32" i="30"/>
  <c r="JT33" i="30"/>
  <c r="JT34" i="30"/>
  <c r="JT35" i="30"/>
  <c r="JS8" i="30"/>
  <c r="JS9" i="30"/>
  <c r="JS10" i="30"/>
  <c r="JS11" i="30"/>
  <c r="JS12" i="30"/>
  <c r="JS13" i="30"/>
  <c r="JS14" i="30"/>
  <c r="JS15" i="30"/>
  <c r="JS16" i="30"/>
  <c r="JS17" i="30"/>
  <c r="JS18" i="30"/>
  <c r="JS19" i="30"/>
  <c r="JS20" i="30"/>
  <c r="JS21" i="30"/>
  <c r="JS22" i="30"/>
  <c r="JS23" i="30"/>
  <c r="JS24" i="30"/>
  <c r="JS25" i="30"/>
  <c r="JS26" i="30"/>
  <c r="JS27" i="30"/>
  <c r="JS28" i="30"/>
  <c r="JS29" i="30"/>
  <c r="JS30" i="30"/>
  <c r="JS31" i="30"/>
  <c r="JS32" i="30"/>
  <c r="JS33" i="30"/>
  <c r="JS34" i="30"/>
  <c r="JT7" i="30"/>
  <c r="JS7" i="30"/>
  <c r="JP8" i="30"/>
  <c r="JP9" i="30"/>
  <c r="JP10" i="30"/>
  <c r="JP11" i="30"/>
  <c r="JP12" i="30"/>
  <c r="JP13" i="30"/>
  <c r="JP14" i="30"/>
  <c r="JP15" i="30"/>
  <c r="JP16" i="30"/>
  <c r="JP17" i="30"/>
  <c r="JP18" i="30"/>
  <c r="JP19" i="30"/>
  <c r="JP20" i="30"/>
  <c r="JP21" i="30"/>
  <c r="JP22" i="30"/>
  <c r="JP23" i="30"/>
  <c r="JP24" i="30"/>
  <c r="JP25" i="30"/>
  <c r="JP26" i="30"/>
  <c r="JP27" i="30"/>
  <c r="JP28" i="30"/>
  <c r="JP29" i="30"/>
  <c r="JP30" i="30"/>
  <c r="JP31" i="30"/>
  <c r="JP32" i="30"/>
  <c r="JP33" i="30"/>
  <c r="JP34" i="30"/>
  <c r="JP35" i="30"/>
  <c r="JO8" i="30"/>
  <c r="JO9" i="30"/>
  <c r="JO10" i="30"/>
  <c r="JO11" i="30"/>
  <c r="JO12" i="30"/>
  <c r="JO13" i="30"/>
  <c r="JO14" i="30"/>
  <c r="JO15" i="30"/>
  <c r="JO16" i="30"/>
  <c r="JO17" i="30"/>
  <c r="JO18" i="30"/>
  <c r="JO19" i="30"/>
  <c r="JO20" i="30"/>
  <c r="JO21" i="30"/>
  <c r="JO22" i="30"/>
  <c r="JO23" i="30"/>
  <c r="JO24" i="30"/>
  <c r="JO25" i="30"/>
  <c r="JO26" i="30"/>
  <c r="JO27" i="30"/>
  <c r="JO28" i="30"/>
  <c r="JO29" i="30"/>
  <c r="JO30" i="30"/>
  <c r="JO31" i="30"/>
  <c r="JO32" i="30"/>
  <c r="JO33" i="30"/>
  <c r="JO34" i="30"/>
  <c r="JP7" i="30"/>
  <c r="JO7" i="30"/>
  <c r="JL8" i="30"/>
  <c r="JL9" i="30"/>
  <c r="JL10" i="30"/>
  <c r="JL11" i="30"/>
  <c r="JL12" i="30"/>
  <c r="JL13" i="30"/>
  <c r="JL14" i="30"/>
  <c r="JL15" i="30"/>
  <c r="JL16" i="30"/>
  <c r="JL17" i="30"/>
  <c r="JL18" i="30"/>
  <c r="JL19" i="30"/>
  <c r="JL20" i="30"/>
  <c r="JL21" i="30"/>
  <c r="JL22" i="30"/>
  <c r="JL23" i="30"/>
  <c r="JL24" i="30"/>
  <c r="JL25" i="30"/>
  <c r="JL26" i="30"/>
  <c r="JL27" i="30"/>
  <c r="JL28" i="30"/>
  <c r="JL29" i="30"/>
  <c r="JL30" i="30"/>
  <c r="JL31" i="30"/>
  <c r="JL32" i="30"/>
  <c r="JL33" i="30"/>
  <c r="JL34" i="30"/>
  <c r="JL35" i="30"/>
  <c r="JK8" i="30"/>
  <c r="JK9" i="30"/>
  <c r="JK10" i="30"/>
  <c r="JK11" i="30"/>
  <c r="JK12" i="30"/>
  <c r="JK13" i="30"/>
  <c r="JK14" i="30"/>
  <c r="JK15" i="30"/>
  <c r="JK16" i="30"/>
  <c r="JK17" i="30"/>
  <c r="JK18" i="30"/>
  <c r="JK19" i="30"/>
  <c r="JK20" i="30"/>
  <c r="JK21" i="30"/>
  <c r="JK22" i="30"/>
  <c r="JK23" i="30"/>
  <c r="JK24" i="30"/>
  <c r="JK25" i="30"/>
  <c r="JK26" i="30"/>
  <c r="JK27" i="30"/>
  <c r="JK28" i="30"/>
  <c r="JK29" i="30"/>
  <c r="JK30" i="30"/>
  <c r="JK31" i="30"/>
  <c r="JK32" i="30"/>
  <c r="JK33" i="30"/>
  <c r="JK34" i="30"/>
  <c r="JL7" i="30"/>
  <c r="JK7" i="30"/>
  <c r="JH8" i="30"/>
  <c r="JH9" i="30"/>
  <c r="JH10" i="30"/>
  <c r="JH11" i="30"/>
  <c r="JH12" i="30"/>
  <c r="JH13" i="30"/>
  <c r="JH14" i="30"/>
  <c r="JH15" i="30"/>
  <c r="JH16" i="30"/>
  <c r="JH17" i="30"/>
  <c r="JH18" i="30"/>
  <c r="JH19" i="30"/>
  <c r="JH20" i="30"/>
  <c r="JH21" i="30"/>
  <c r="JH22" i="30"/>
  <c r="JH23" i="30"/>
  <c r="JH24" i="30"/>
  <c r="JH25" i="30"/>
  <c r="JH26" i="30"/>
  <c r="JH27" i="30"/>
  <c r="JH28" i="30"/>
  <c r="JH29" i="30"/>
  <c r="JH30" i="30"/>
  <c r="JH31" i="30"/>
  <c r="JH32" i="30"/>
  <c r="JH33" i="30"/>
  <c r="JH34" i="30"/>
  <c r="JH35" i="30"/>
  <c r="JG8" i="30"/>
  <c r="JG9" i="30"/>
  <c r="JG10" i="30"/>
  <c r="JG11" i="30"/>
  <c r="JG12" i="30"/>
  <c r="JG13" i="30"/>
  <c r="JG14" i="30"/>
  <c r="JG15" i="30"/>
  <c r="JG16" i="30"/>
  <c r="JG17" i="30"/>
  <c r="JG18" i="30"/>
  <c r="JG19" i="30"/>
  <c r="JG20" i="30"/>
  <c r="JG21" i="30"/>
  <c r="JG22" i="30"/>
  <c r="JG23" i="30"/>
  <c r="JG24" i="30"/>
  <c r="JG25" i="30"/>
  <c r="JG26" i="30"/>
  <c r="JG27" i="30"/>
  <c r="JG28" i="30"/>
  <c r="JG29" i="30"/>
  <c r="JG30" i="30"/>
  <c r="JG31" i="30"/>
  <c r="JG32" i="30"/>
  <c r="JG33" i="30"/>
  <c r="JG34" i="30"/>
  <c r="JH7" i="30"/>
  <c r="JG7" i="30"/>
  <c r="JD8" i="30"/>
  <c r="JD9" i="30"/>
  <c r="JD10" i="30"/>
  <c r="JD11" i="30"/>
  <c r="JD12" i="30"/>
  <c r="JD13" i="30"/>
  <c r="JD14" i="30"/>
  <c r="JD15" i="30"/>
  <c r="JD16" i="30"/>
  <c r="JD17" i="30"/>
  <c r="JD18" i="30"/>
  <c r="JD19" i="30"/>
  <c r="JD20" i="30"/>
  <c r="JD21" i="30"/>
  <c r="JD22" i="30"/>
  <c r="JD23" i="30"/>
  <c r="JD24" i="30"/>
  <c r="JD25" i="30"/>
  <c r="JD26" i="30"/>
  <c r="JD27" i="30"/>
  <c r="JD28" i="30"/>
  <c r="JD29" i="30"/>
  <c r="JD30" i="30"/>
  <c r="JD31" i="30"/>
  <c r="JD32" i="30"/>
  <c r="JD33" i="30"/>
  <c r="JD34" i="30"/>
  <c r="JD35" i="30"/>
  <c r="JC8" i="30"/>
  <c r="JC9" i="30"/>
  <c r="JC10" i="30"/>
  <c r="JC11" i="30"/>
  <c r="JC12" i="30"/>
  <c r="JC13" i="30"/>
  <c r="JC14" i="30"/>
  <c r="JC15" i="30"/>
  <c r="JC16" i="30"/>
  <c r="JC17" i="30"/>
  <c r="JC18" i="30"/>
  <c r="JC19" i="30"/>
  <c r="JC20" i="30"/>
  <c r="JC21" i="30"/>
  <c r="JC22" i="30"/>
  <c r="JC23" i="30"/>
  <c r="JC24" i="30"/>
  <c r="JC25" i="30"/>
  <c r="JC26" i="30"/>
  <c r="JC27" i="30"/>
  <c r="JC28" i="30"/>
  <c r="JC29" i="30"/>
  <c r="JC30" i="30"/>
  <c r="JC31" i="30"/>
  <c r="JC32" i="30"/>
  <c r="JC33" i="30"/>
  <c r="JC34" i="30"/>
  <c r="IZ8" i="30"/>
  <c r="IZ9" i="30"/>
  <c r="IZ10" i="30"/>
  <c r="IZ11" i="30"/>
  <c r="IZ12" i="30"/>
  <c r="IZ13" i="30"/>
  <c r="IZ14" i="30"/>
  <c r="IZ15" i="30"/>
  <c r="IZ16" i="30"/>
  <c r="IZ17" i="30"/>
  <c r="IZ18" i="30"/>
  <c r="IZ19" i="30"/>
  <c r="IZ20" i="30"/>
  <c r="IZ21" i="30"/>
  <c r="IZ22" i="30"/>
  <c r="IZ23" i="30"/>
  <c r="IZ24" i="30"/>
  <c r="IZ25" i="30"/>
  <c r="IZ26" i="30"/>
  <c r="IZ27" i="30"/>
  <c r="IZ28" i="30"/>
  <c r="IZ29" i="30"/>
  <c r="IZ30" i="30"/>
  <c r="IZ31" i="30"/>
  <c r="IZ32" i="30"/>
  <c r="IZ33" i="30"/>
  <c r="IZ34" i="30"/>
  <c r="IZ35" i="30"/>
  <c r="IY8" i="30"/>
  <c r="IY9" i="30"/>
  <c r="IY10" i="30"/>
  <c r="IY11" i="30"/>
  <c r="IY12" i="30"/>
  <c r="IY13" i="30"/>
  <c r="IY14" i="30"/>
  <c r="IY15" i="30"/>
  <c r="IY16" i="30"/>
  <c r="IY17" i="30"/>
  <c r="IY18" i="30"/>
  <c r="IY19" i="30"/>
  <c r="IY20" i="30"/>
  <c r="IY21" i="30"/>
  <c r="IY22" i="30"/>
  <c r="IY23" i="30"/>
  <c r="IY24" i="30"/>
  <c r="IY25" i="30"/>
  <c r="IY26" i="30"/>
  <c r="IY27" i="30"/>
  <c r="IY28" i="30"/>
  <c r="IY29" i="30"/>
  <c r="IY30" i="30"/>
  <c r="IY31" i="30"/>
  <c r="IY32" i="30"/>
  <c r="IY33" i="30"/>
  <c r="IY34" i="30"/>
  <c r="JD7" i="30"/>
  <c r="JC7" i="30"/>
  <c r="IZ7" i="30"/>
  <c r="IY7" i="30"/>
  <c r="KA7" i="30"/>
  <c r="HL8" i="30"/>
  <c r="HL9" i="30"/>
  <c r="HL10" i="30"/>
  <c r="HL11" i="30"/>
  <c r="HL12" i="30"/>
  <c r="HL13" i="30"/>
  <c r="HL14" i="30"/>
  <c r="HL15" i="30"/>
  <c r="HL16" i="30"/>
  <c r="HL17" i="30"/>
  <c r="HL18" i="30"/>
  <c r="HL19" i="30"/>
  <c r="HL20" i="30"/>
  <c r="HL21" i="30"/>
  <c r="HL22" i="30"/>
  <c r="HL23" i="30"/>
  <c r="HL24" i="30"/>
  <c r="HL25" i="30"/>
  <c r="HL26" i="30"/>
  <c r="HL27" i="30"/>
  <c r="HL28" i="30"/>
  <c r="HL29" i="30"/>
  <c r="HL30" i="30"/>
  <c r="HL31" i="30"/>
  <c r="HL32" i="30"/>
  <c r="HL33" i="30"/>
  <c r="HL34" i="30"/>
  <c r="HL35" i="30"/>
  <c r="HK8" i="30"/>
  <c r="HK9" i="30"/>
  <c r="HK10" i="30"/>
  <c r="HK11" i="30"/>
  <c r="HK12" i="30"/>
  <c r="HK13" i="30"/>
  <c r="HK14" i="30"/>
  <c r="HK15" i="30"/>
  <c r="HK16" i="30"/>
  <c r="HK17" i="30"/>
  <c r="HK18" i="30"/>
  <c r="HK19" i="30"/>
  <c r="HK20" i="30"/>
  <c r="HK21" i="30"/>
  <c r="HK22" i="30"/>
  <c r="HK23" i="30"/>
  <c r="HK24" i="30"/>
  <c r="HK25" i="30"/>
  <c r="HK26" i="30"/>
  <c r="HK27" i="30"/>
  <c r="HK28" i="30"/>
  <c r="HK29" i="30"/>
  <c r="HK30" i="30"/>
  <c r="HK31" i="30"/>
  <c r="HK32" i="30"/>
  <c r="HK33" i="30"/>
  <c r="HK34" i="30"/>
  <c r="HH8" i="30"/>
  <c r="HH9" i="30"/>
  <c r="HH10" i="30"/>
  <c r="HH11" i="30"/>
  <c r="HH12" i="30"/>
  <c r="HH13" i="30"/>
  <c r="HH14" i="30"/>
  <c r="HH15" i="30"/>
  <c r="HH16" i="30"/>
  <c r="HH17" i="30"/>
  <c r="HH18" i="30"/>
  <c r="HH19" i="30"/>
  <c r="HH20" i="30"/>
  <c r="HH21" i="30"/>
  <c r="HH22" i="30"/>
  <c r="HH23" i="30"/>
  <c r="HH24" i="30"/>
  <c r="HH25" i="30"/>
  <c r="HH26" i="30"/>
  <c r="HH27" i="30"/>
  <c r="HH28" i="30"/>
  <c r="HH29" i="30"/>
  <c r="HH30" i="30"/>
  <c r="HH31" i="30"/>
  <c r="HH32" i="30"/>
  <c r="HH33" i="30"/>
  <c r="HH34" i="30"/>
  <c r="HH35" i="30"/>
  <c r="HG8" i="30"/>
  <c r="HG9" i="30"/>
  <c r="HG10" i="30"/>
  <c r="HG11" i="30"/>
  <c r="HG12" i="30"/>
  <c r="HG13" i="30"/>
  <c r="HG14" i="30"/>
  <c r="HG15" i="30"/>
  <c r="HG16" i="30"/>
  <c r="HG17" i="30"/>
  <c r="HG18" i="30"/>
  <c r="HG19" i="30"/>
  <c r="HG20" i="30"/>
  <c r="HG21" i="30"/>
  <c r="HG22" i="30"/>
  <c r="HG23" i="30"/>
  <c r="HG24" i="30"/>
  <c r="HG25" i="30"/>
  <c r="HG26" i="30"/>
  <c r="HG27" i="30"/>
  <c r="HG28" i="30"/>
  <c r="HG29" i="30"/>
  <c r="HG30" i="30"/>
  <c r="HG31" i="30"/>
  <c r="HG32" i="30"/>
  <c r="HG33" i="30"/>
  <c r="HG34" i="30"/>
  <c r="HL7" i="30"/>
  <c r="HK7" i="30"/>
  <c r="HH7" i="30"/>
  <c r="HG7" i="30"/>
  <c r="HD8" i="30"/>
  <c r="HD9" i="30"/>
  <c r="HD10" i="30"/>
  <c r="HD11" i="30"/>
  <c r="HD12" i="30"/>
  <c r="HD13" i="30"/>
  <c r="HD14" i="30"/>
  <c r="HD15" i="30"/>
  <c r="HD16" i="30"/>
  <c r="HD17" i="30"/>
  <c r="HD18" i="30"/>
  <c r="HD19" i="30"/>
  <c r="HD20" i="30"/>
  <c r="HD21" i="30"/>
  <c r="HD22" i="30"/>
  <c r="HD23" i="30"/>
  <c r="HD24" i="30"/>
  <c r="HD25" i="30"/>
  <c r="HD26" i="30"/>
  <c r="HD27" i="30"/>
  <c r="HD28" i="30"/>
  <c r="HD29" i="30"/>
  <c r="HD30" i="30"/>
  <c r="HD31" i="30"/>
  <c r="HD32" i="30"/>
  <c r="HD33" i="30"/>
  <c r="HD34" i="30"/>
  <c r="HD35" i="30"/>
  <c r="HC8" i="30"/>
  <c r="HC9" i="30"/>
  <c r="HC10" i="30"/>
  <c r="HC11" i="30"/>
  <c r="HC12" i="30"/>
  <c r="HC13" i="30"/>
  <c r="HC14" i="30"/>
  <c r="HC15" i="30"/>
  <c r="HC16" i="30"/>
  <c r="HC17" i="30"/>
  <c r="HC18" i="30"/>
  <c r="HC19" i="30"/>
  <c r="HC20" i="30"/>
  <c r="HC21" i="30"/>
  <c r="HC22" i="30"/>
  <c r="HC23" i="30"/>
  <c r="HC24" i="30"/>
  <c r="HC25" i="30"/>
  <c r="HC26" i="30"/>
  <c r="HC27" i="30"/>
  <c r="HC28" i="30"/>
  <c r="HC29" i="30"/>
  <c r="HC30" i="30"/>
  <c r="HC31" i="30"/>
  <c r="HC32" i="30"/>
  <c r="HC33" i="30"/>
  <c r="HC34" i="30"/>
  <c r="GZ8" i="30"/>
  <c r="GZ9" i="30"/>
  <c r="GZ10" i="30"/>
  <c r="GZ11" i="30"/>
  <c r="GZ12" i="30"/>
  <c r="GZ13" i="30"/>
  <c r="GZ14" i="30"/>
  <c r="GZ15" i="30"/>
  <c r="GZ16" i="30"/>
  <c r="GZ17" i="30"/>
  <c r="GZ18" i="30"/>
  <c r="GZ19" i="30"/>
  <c r="GZ20" i="30"/>
  <c r="GZ21" i="30"/>
  <c r="GZ22" i="30"/>
  <c r="GZ23" i="30"/>
  <c r="GZ24" i="30"/>
  <c r="GZ25" i="30"/>
  <c r="GZ26" i="30"/>
  <c r="GZ27" i="30"/>
  <c r="GZ28" i="30"/>
  <c r="GZ29" i="30"/>
  <c r="GZ30" i="30"/>
  <c r="GZ31" i="30"/>
  <c r="GZ32" i="30"/>
  <c r="GZ33" i="30"/>
  <c r="GZ34" i="30"/>
  <c r="GZ35" i="30"/>
  <c r="GY8" i="30"/>
  <c r="GY9" i="30"/>
  <c r="GY10" i="30"/>
  <c r="GY11" i="30"/>
  <c r="GY12" i="30"/>
  <c r="GY13" i="30"/>
  <c r="GY14" i="30"/>
  <c r="GY15" i="30"/>
  <c r="GY16" i="30"/>
  <c r="GY17" i="30"/>
  <c r="GY18" i="30"/>
  <c r="GY19" i="30"/>
  <c r="GY20" i="30"/>
  <c r="GY21" i="30"/>
  <c r="GY22" i="30"/>
  <c r="GY23" i="30"/>
  <c r="GY24" i="30"/>
  <c r="GY25" i="30"/>
  <c r="GY26" i="30"/>
  <c r="GY27" i="30"/>
  <c r="GY28" i="30"/>
  <c r="GY29" i="30"/>
  <c r="GY30" i="30"/>
  <c r="GY31" i="30"/>
  <c r="GY32" i="30"/>
  <c r="GY33" i="30"/>
  <c r="GY34" i="30"/>
  <c r="HD7" i="30"/>
  <c r="HC7" i="30"/>
  <c r="GZ7" i="30"/>
  <c r="GY7" i="30"/>
  <c r="GV8" i="30"/>
  <c r="GV9" i="30"/>
  <c r="GV10" i="30"/>
  <c r="GV11" i="30"/>
  <c r="GV12" i="30"/>
  <c r="GV13" i="30"/>
  <c r="GV14" i="30"/>
  <c r="GV15" i="30"/>
  <c r="GV16" i="30"/>
  <c r="GV17" i="30"/>
  <c r="GV18" i="30"/>
  <c r="GV19" i="30"/>
  <c r="GV20" i="30"/>
  <c r="GV21" i="30"/>
  <c r="GV22" i="30"/>
  <c r="GV23" i="30"/>
  <c r="GV24" i="30"/>
  <c r="GV25" i="30"/>
  <c r="GV26" i="30"/>
  <c r="GV27" i="30"/>
  <c r="GV28" i="30"/>
  <c r="GV29" i="30"/>
  <c r="GV30" i="30"/>
  <c r="GV31" i="30"/>
  <c r="GV32" i="30"/>
  <c r="GV33" i="30"/>
  <c r="GV34" i="30"/>
  <c r="GV35" i="30"/>
  <c r="GU8" i="30"/>
  <c r="GU9" i="30"/>
  <c r="GU10" i="30"/>
  <c r="GU11" i="30"/>
  <c r="GU12" i="30"/>
  <c r="GU13" i="30"/>
  <c r="GU14" i="30"/>
  <c r="GU15" i="30"/>
  <c r="GU16" i="30"/>
  <c r="GU17" i="30"/>
  <c r="GU18" i="30"/>
  <c r="GU19" i="30"/>
  <c r="GU20" i="30"/>
  <c r="GU21" i="30"/>
  <c r="GU22" i="30"/>
  <c r="GU23" i="30"/>
  <c r="GU24" i="30"/>
  <c r="GU25" i="30"/>
  <c r="GU26" i="30"/>
  <c r="GU27" i="30"/>
  <c r="GU28" i="30"/>
  <c r="GU29" i="30"/>
  <c r="GU30" i="30"/>
  <c r="GU31" i="30"/>
  <c r="GU32" i="30"/>
  <c r="GU33" i="30"/>
  <c r="GU34" i="30"/>
  <c r="GR8" i="30"/>
  <c r="GR9" i="30"/>
  <c r="GR10" i="30"/>
  <c r="GR11" i="30"/>
  <c r="GR12" i="30"/>
  <c r="GR13" i="30"/>
  <c r="GR14" i="30"/>
  <c r="GR15" i="30"/>
  <c r="GR16" i="30"/>
  <c r="GR17" i="30"/>
  <c r="GR18" i="30"/>
  <c r="GR19" i="30"/>
  <c r="GR20" i="30"/>
  <c r="GR21" i="30"/>
  <c r="GR22" i="30"/>
  <c r="GR23" i="30"/>
  <c r="GR24" i="30"/>
  <c r="GR25" i="30"/>
  <c r="GR26" i="30"/>
  <c r="GR27" i="30"/>
  <c r="GR28" i="30"/>
  <c r="GR29" i="30"/>
  <c r="GR30" i="30"/>
  <c r="GR31" i="30"/>
  <c r="GR32" i="30"/>
  <c r="GR33" i="30"/>
  <c r="GR34" i="30"/>
  <c r="GR35" i="30"/>
  <c r="GQ8" i="30"/>
  <c r="GQ9" i="30"/>
  <c r="GQ10" i="30"/>
  <c r="GQ11" i="30"/>
  <c r="GQ12" i="30"/>
  <c r="GQ13" i="30"/>
  <c r="GQ14" i="30"/>
  <c r="GQ15" i="30"/>
  <c r="GQ16" i="30"/>
  <c r="GQ17" i="30"/>
  <c r="GQ18" i="30"/>
  <c r="GQ19" i="30"/>
  <c r="GQ20" i="30"/>
  <c r="GQ21" i="30"/>
  <c r="GQ22" i="30"/>
  <c r="GQ23" i="30"/>
  <c r="GQ24" i="30"/>
  <c r="GQ25" i="30"/>
  <c r="GQ26" i="30"/>
  <c r="GQ27" i="30"/>
  <c r="GQ28" i="30"/>
  <c r="GQ29" i="30"/>
  <c r="GQ30" i="30"/>
  <c r="GQ31" i="30"/>
  <c r="GQ32" i="30"/>
  <c r="GQ33" i="30"/>
  <c r="GQ34" i="30"/>
  <c r="GN8" i="30"/>
  <c r="GN9" i="30"/>
  <c r="GN10" i="30"/>
  <c r="GN11" i="30"/>
  <c r="GN12" i="30"/>
  <c r="GN13" i="30"/>
  <c r="GN14" i="30"/>
  <c r="GN15" i="30"/>
  <c r="GN16" i="30"/>
  <c r="GN17" i="30"/>
  <c r="GN18" i="30"/>
  <c r="GN19" i="30"/>
  <c r="GN20" i="30"/>
  <c r="GN21" i="30"/>
  <c r="GN22" i="30"/>
  <c r="GN23" i="30"/>
  <c r="GN24" i="30"/>
  <c r="GN25" i="30"/>
  <c r="GN26" i="30"/>
  <c r="GN27" i="30"/>
  <c r="GN28" i="30"/>
  <c r="GN29" i="30"/>
  <c r="GN30" i="30"/>
  <c r="GN31" i="30"/>
  <c r="GN32" i="30"/>
  <c r="GN33" i="30"/>
  <c r="GN34" i="30"/>
  <c r="GN35" i="30"/>
  <c r="GM8" i="30"/>
  <c r="GM9" i="30"/>
  <c r="GM10" i="30"/>
  <c r="GM11" i="30"/>
  <c r="GM12" i="30"/>
  <c r="GM13" i="30"/>
  <c r="GM14" i="30"/>
  <c r="GM15" i="30"/>
  <c r="GM16" i="30"/>
  <c r="GM17" i="30"/>
  <c r="GM18" i="30"/>
  <c r="GM19" i="30"/>
  <c r="GM20" i="30"/>
  <c r="GM21" i="30"/>
  <c r="GM22" i="30"/>
  <c r="GM23" i="30"/>
  <c r="GM24" i="30"/>
  <c r="GM25" i="30"/>
  <c r="GM26" i="30"/>
  <c r="GM27" i="30"/>
  <c r="GM28" i="30"/>
  <c r="GM29" i="30"/>
  <c r="GM30" i="30"/>
  <c r="GM31" i="30"/>
  <c r="GM32" i="30"/>
  <c r="GM33" i="30"/>
  <c r="GM34" i="30"/>
  <c r="GV7" i="30"/>
  <c r="GU7" i="30"/>
  <c r="GR7" i="30"/>
  <c r="GQ7" i="30"/>
  <c r="GN7" i="30"/>
  <c r="GM7" i="30"/>
  <c r="GF8" i="30"/>
  <c r="GF9" i="30"/>
  <c r="GF10" i="30"/>
  <c r="GF11" i="30"/>
  <c r="GF12" i="30"/>
  <c r="GF13" i="30"/>
  <c r="GF14" i="30"/>
  <c r="GF15" i="30"/>
  <c r="GF16" i="30"/>
  <c r="GF17" i="30"/>
  <c r="GF18" i="30"/>
  <c r="GF19" i="30"/>
  <c r="GF20" i="30"/>
  <c r="GF21" i="30"/>
  <c r="GF22" i="30"/>
  <c r="GF23" i="30"/>
  <c r="GF24" i="30"/>
  <c r="GF25" i="30"/>
  <c r="GF26" i="30"/>
  <c r="GF27" i="30"/>
  <c r="GF28" i="30"/>
  <c r="GF29" i="30"/>
  <c r="GF30" i="30"/>
  <c r="GF31" i="30"/>
  <c r="GF32" i="30"/>
  <c r="GF33" i="30"/>
  <c r="GF34" i="30"/>
  <c r="GF35" i="30"/>
  <c r="GE8" i="30"/>
  <c r="GE9" i="30"/>
  <c r="GE10" i="30"/>
  <c r="GE11" i="30"/>
  <c r="GE12" i="30"/>
  <c r="GE13" i="30"/>
  <c r="GE14" i="30"/>
  <c r="GE15" i="30"/>
  <c r="GE16" i="30"/>
  <c r="GE17" i="30"/>
  <c r="GE18" i="30"/>
  <c r="GE19" i="30"/>
  <c r="GE20" i="30"/>
  <c r="GE21" i="30"/>
  <c r="GE22" i="30"/>
  <c r="GE23" i="30"/>
  <c r="GE24" i="30"/>
  <c r="GE25" i="30"/>
  <c r="GE26" i="30"/>
  <c r="GE27" i="30"/>
  <c r="GE28" i="30"/>
  <c r="GE29" i="30"/>
  <c r="GE30" i="30"/>
  <c r="GE31" i="30"/>
  <c r="GE32" i="30"/>
  <c r="GE33" i="30"/>
  <c r="GE34" i="30"/>
  <c r="GF7" i="30"/>
  <c r="GE7" i="30"/>
  <c r="GB8" i="30"/>
  <c r="GB9" i="30"/>
  <c r="GB10" i="30"/>
  <c r="GB11" i="30"/>
  <c r="GB12" i="30"/>
  <c r="GB13" i="30"/>
  <c r="GB14" i="30"/>
  <c r="GB15" i="30"/>
  <c r="GB16" i="30"/>
  <c r="GB17" i="30"/>
  <c r="GB18" i="30"/>
  <c r="GB19" i="30"/>
  <c r="GB20" i="30"/>
  <c r="GB21" i="30"/>
  <c r="GB22" i="30"/>
  <c r="GB23" i="30"/>
  <c r="GB24" i="30"/>
  <c r="GB25" i="30"/>
  <c r="GB26" i="30"/>
  <c r="GB27" i="30"/>
  <c r="GB28" i="30"/>
  <c r="GB29" i="30"/>
  <c r="GB30" i="30"/>
  <c r="GB31" i="30"/>
  <c r="GB32" i="30"/>
  <c r="GB33" i="30"/>
  <c r="GB34" i="30"/>
  <c r="GB35" i="30"/>
  <c r="GA8" i="30"/>
  <c r="GA9" i="30"/>
  <c r="GA10" i="30"/>
  <c r="GA11" i="30"/>
  <c r="GA12" i="30"/>
  <c r="GA13" i="30"/>
  <c r="GA14" i="30"/>
  <c r="GA15" i="30"/>
  <c r="GA16" i="30"/>
  <c r="GA17" i="30"/>
  <c r="GA18" i="30"/>
  <c r="GA19" i="30"/>
  <c r="GA20" i="30"/>
  <c r="GA21" i="30"/>
  <c r="GA22" i="30"/>
  <c r="GA23" i="30"/>
  <c r="GA24" i="30"/>
  <c r="GA25" i="30"/>
  <c r="GA26" i="30"/>
  <c r="GA27" i="30"/>
  <c r="GA28" i="30"/>
  <c r="GA29" i="30"/>
  <c r="GA30" i="30"/>
  <c r="GA31" i="30"/>
  <c r="GA32" i="30"/>
  <c r="GA33" i="30"/>
  <c r="GA34" i="30"/>
  <c r="GB7" i="30"/>
  <c r="GA7" i="30"/>
  <c r="FX8" i="30"/>
  <c r="FX9" i="30"/>
  <c r="FX10" i="30"/>
  <c r="FX11" i="30"/>
  <c r="FX12" i="30"/>
  <c r="FX13" i="30"/>
  <c r="FX14" i="30"/>
  <c r="FX15" i="30"/>
  <c r="FX16" i="30"/>
  <c r="FX17" i="30"/>
  <c r="FX18" i="30"/>
  <c r="FX19" i="30"/>
  <c r="FX20" i="30"/>
  <c r="FX21" i="30"/>
  <c r="FX22" i="30"/>
  <c r="FX23" i="30"/>
  <c r="FX24" i="30"/>
  <c r="FX25" i="30"/>
  <c r="FX26" i="30"/>
  <c r="FX27" i="30"/>
  <c r="FX28" i="30"/>
  <c r="FX29" i="30"/>
  <c r="FX30" i="30"/>
  <c r="FX31" i="30"/>
  <c r="FX32" i="30"/>
  <c r="FX33" i="30"/>
  <c r="FX34" i="30"/>
  <c r="FX35" i="30"/>
  <c r="FW8" i="30"/>
  <c r="FW9" i="30"/>
  <c r="FW10" i="30"/>
  <c r="FW11" i="30"/>
  <c r="FW12" i="30"/>
  <c r="FW13" i="30"/>
  <c r="FW14" i="30"/>
  <c r="FW15" i="30"/>
  <c r="FW16" i="30"/>
  <c r="FW17" i="30"/>
  <c r="FW18" i="30"/>
  <c r="FW19" i="30"/>
  <c r="FW20" i="30"/>
  <c r="FW21" i="30"/>
  <c r="FW22" i="30"/>
  <c r="FW23" i="30"/>
  <c r="FW24" i="30"/>
  <c r="FW25" i="30"/>
  <c r="FW26" i="30"/>
  <c r="FW27" i="30"/>
  <c r="FW28" i="30"/>
  <c r="FW29" i="30"/>
  <c r="FW30" i="30"/>
  <c r="FW31" i="30"/>
  <c r="FW32" i="30"/>
  <c r="FW33" i="30"/>
  <c r="FW34" i="30"/>
  <c r="FX7" i="30"/>
  <c r="FW7" i="30"/>
  <c r="FT8" i="30"/>
  <c r="FT9" i="30"/>
  <c r="FT10" i="30"/>
  <c r="FT11" i="30"/>
  <c r="FT12" i="30"/>
  <c r="FT13" i="30"/>
  <c r="FT14" i="30"/>
  <c r="FT15" i="30"/>
  <c r="FT16" i="30"/>
  <c r="FT17" i="30"/>
  <c r="FT18" i="30"/>
  <c r="FT19" i="30"/>
  <c r="FT20" i="30"/>
  <c r="FT21" i="30"/>
  <c r="FT22" i="30"/>
  <c r="FT23" i="30"/>
  <c r="FT24" i="30"/>
  <c r="FT25" i="30"/>
  <c r="FT26" i="30"/>
  <c r="FT27" i="30"/>
  <c r="FT28" i="30"/>
  <c r="FT29" i="30"/>
  <c r="FT30" i="30"/>
  <c r="FT31" i="30"/>
  <c r="FT32" i="30"/>
  <c r="FT33" i="30"/>
  <c r="FT34" i="30"/>
  <c r="FT35" i="30"/>
  <c r="FS8" i="30"/>
  <c r="FS9" i="30"/>
  <c r="FS10" i="30"/>
  <c r="FS11" i="30"/>
  <c r="FS12" i="30"/>
  <c r="FS13" i="30"/>
  <c r="FS14" i="30"/>
  <c r="FS15" i="30"/>
  <c r="FS16" i="30"/>
  <c r="FS17" i="30"/>
  <c r="FS18" i="30"/>
  <c r="FS19" i="30"/>
  <c r="FS20" i="30"/>
  <c r="FS21" i="30"/>
  <c r="FS22" i="30"/>
  <c r="FS23" i="30"/>
  <c r="FS24" i="30"/>
  <c r="FS25" i="30"/>
  <c r="FS26" i="30"/>
  <c r="FS27" i="30"/>
  <c r="FS28" i="30"/>
  <c r="FS29" i="30"/>
  <c r="FS30" i="30"/>
  <c r="FS31" i="30"/>
  <c r="FS32" i="30"/>
  <c r="FS33" i="30"/>
  <c r="FS34" i="30"/>
  <c r="FT7" i="30"/>
  <c r="FS7" i="30"/>
  <c r="FP8" i="30"/>
  <c r="FP9" i="30"/>
  <c r="FP10" i="30"/>
  <c r="FP11" i="30"/>
  <c r="FP12" i="30"/>
  <c r="FP13" i="30"/>
  <c r="FP14" i="30"/>
  <c r="FP15" i="30"/>
  <c r="FP16" i="30"/>
  <c r="FP17" i="30"/>
  <c r="FP18" i="30"/>
  <c r="FP19" i="30"/>
  <c r="FP20" i="30"/>
  <c r="FP21" i="30"/>
  <c r="FP22" i="30"/>
  <c r="FP23" i="30"/>
  <c r="FP24" i="30"/>
  <c r="FP25" i="30"/>
  <c r="FP26" i="30"/>
  <c r="FP27" i="30"/>
  <c r="FP28" i="30"/>
  <c r="FP29" i="30"/>
  <c r="FP30" i="30"/>
  <c r="FP31" i="30"/>
  <c r="FP32" i="30"/>
  <c r="FP33" i="30"/>
  <c r="FP34" i="30"/>
  <c r="FP35" i="30"/>
  <c r="FO8" i="30"/>
  <c r="FO9" i="30"/>
  <c r="FO10" i="30"/>
  <c r="FO11" i="30"/>
  <c r="FO12" i="30"/>
  <c r="FO13" i="30"/>
  <c r="FO14" i="30"/>
  <c r="FO15" i="30"/>
  <c r="FO16" i="30"/>
  <c r="FO17" i="30"/>
  <c r="FO18" i="30"/>
  <c r="FO19" i="30"/>
  <c r="FO20" i="30"/>
  <c r="FO21" i="30"/>
  <c r="FO22" i="30"/>
  <c r="FO23" i="30"/>
  <c r="FO24" i="30"/>
  <c r="FO25" i="30"/>
  <c r="FO26" i="30"/>
  <c r="FO27" i="30"/>
  <c r="FO28" i="30"/>
  <c r="FO29" i="30"/>
  <c r="FO30" i="30"/>
  <c r="FO31" i="30"/>
  <c r="FO32" i="30"/>
  <c r="FO33" i="30"/>
  <c r="FO34" i="30"/>
  <c r="FP7" i="30"/>
  <c r="FO7" i="30"/>
  <c r="FL8" i="30"/>
  <c r="FL9" i="30"/>
  <c r="FL10" i="30"/>
  <c r="FL11" i="30"/>
  <c r="FL12" i="30"/>
  <c r="FL13" i="30"/>
  <c r="FL14" i="30"/>
  <c r="FL15" i="30"/>
  <c r="FL16" i="30"/>
  <c r="FL17" i="30"/>
  <c r="FL18" i="30"/>
  <c r="FL19" i="30"/>
  <c r="FL20" i="30"/>
  <c r="FL21" i="30"/>
  <c r="FL22" i="30"/>
  <c r="FL23" i="30"/>
  <c r="FL24" i="30"/>
  <c r="FL25" i="30"/>
  <c r="FL26" i="30"/>
  <c r="FL27" i="30"/>
  <c r="FL28" i="30"/>
  <c r="FL29" i="30"/>
  <c r="FL30" i="30"/>
  <c r="FL31" i="30"/>
  <c r="FL32" i="30"/>
  <c r="FL33" i="30"/>
  <c r="FL34" i="30"/>
  <c r="FL35" i="30"/>
  <c r="FK8" i="30"/>
  <c r="FK9" i="30"/>
  <c r="FK10" i="30"/>
  <c r="FK11" i="30"/>
  <c r="FK12" i="30"/>
  <c r="FK13" i="30"/>
  <c r="FK14" i="30"/>
  <c r="FK15" i="30"/>
  <c r="FK16" i="30"/>
  <c r="FK17" i="30"/>
  <c r="FK18" i="30"/>
  <c r="FK19" i="30"/>
  <c r="FK20" i="30"/>
  <c r="FK21" i="30"/>
  <c r="FK22" i="30"/>
  <c r="FK23" i="30"/>
  <c r="FK24" i="30"/>
  <c r="FK25" i="30"/>
  <c r="FK26" i="30"/>
  <c r="FK27" i="30"/>
  <c r="FK28" i="30"/>
  <c r="FK29" i="30"/>
  <c r="FK30" i="30"/>
  <c r="FK31" i="30"/>
  <c r="FK32" i="30"/>
  <c r="FK33" i="30"/>
  <c r="FK34" i="30"/>
  <c r="FL7" i="30"/>
  <c r="FK7" i="30"/>
  <c r="FH8" i="30"/>
  <c r="FH9" i="30"/>
  <c r="FH10" i="30"/>
  <c r="FH11" i="30"/>
  <c r="FH12" i="30"/>
  <c r="FH13" i="30"/>
  <c r="FH14" i="30"/>
  <c r="FH15" i="30"/>
  <c r="FH16" i="30"/>
  <c r="FH17" i="30"/>
  <c r="FH18" i="30"/>
  <c r="FH19" i="30"/>
  <c r="FH20" i="30"/>
  <c r="FH21" i="30"/>
  <c r="FH22" i="30"/>
  <c r="FH23" i="30"/>
  <c r="FH24" i="30"/>
  <c r="FH25" i="30"/>
  <c r="FH26" i="30"/>
  <c r="FH27" i="30"/>
  <c r="FH28" i="30"/>
  <c r="FH29" i="30"/>
  <c r="FH30" i="30"/>
  <c r="FH31" i="30"/>
  <c r="FH32" i="30"/>
  <c r="FH33" i="30"/>
  <c r="FH34" i="30"/>
  <c r="FH35" i="30"/>
  <c r="FH7" i="30"/>
  <c r="FG8" i="30"/>
  <c r="FG9" i="30"/>
  <c r="FG10" i="30"/>
  <c r="FG11" i="30"/>
  <c r="FG12" i="30"/>
  <c r="FG13" i="30"/>
  <c r="FG14" i="30"/>
  <c r="FG15" i="30"/>
  <c r="FG16" i="30"/>
  <c r="FG17" i="30"/>
  <c r="FG18" i="30"/>
  <c r="FG19" i="30"/>
  <c r="FG20" i="30"/>
  <c r="FG21" i="30"/>
  <c r="FG22" i="30"/>
  <c r="FG23" i="30"/>
  <c r="FG24" i="30"/>
  <c r="FG25" i="30"/>
  <c r="FG26" i="30"/>
  <c r="FG27" i="30"/>
  <c r="FG28" i="30"/>
  <c r="FG29" i="30"/>
  <c r="FG30" i="30"/>
  <c r="FG31" i="30"/>
  <c r="FG32" i="30"/>
  <c r="FG33" i="30"/>
  <c r="FG34" i="30"/>
  <c r="FG7" i="30"/>
  <c r="J571" i="32"/>
  <c r="EM8" i="30"/>
  <c r="EM9" i="30"/>
  <c r="EM10" i="30"/>
  <c r="EM11" i="30"/>
  <c r="EM12" i="30"/>
  <c r="EM13" i="30"/>
  <c r="EM14" i="30"/>
  <c r="EM15" i="30"/>
  <c r="EM16" i="30"/>
  <c r="EM17" i="30"/>
  <c r="EM18" i="30"/>
  <c r="EM19" i="30"/>
  <c r="EM20" i="30"/>
  <c r="EM21" i="30"/>
  <c r="EM22" i="30"/>
  <c r="EM23" i="30"/>
  <c r="EM24" i="30"/>
  <c r="EM25" i="30"/>
  <c r="EM26" i="30"/>
  <c r="EM27" i="30"/>
  <c r="EM28" i="30"/>
  <c r="EM29" i="30"/>
  <c r="EM30" i="30"/>
  <c r="EM31" i="30"/>
  <c r="EM32" i="30"/>
  <c r="EM33" i="30"/>
  <c r="EM34" i="30"/>
  <c r="EN8" i="30"/>
  <c r="EN9" i="30"/>
  <c r="EN10" i="30"/>
  <c r="EN11" i="30"/>
  <c r="EN12" i="30"/>
  <c r="EN13" i="30"/>
  <c r="EN14" i="30"/>
  <c r="EN15" i="30"/>
  <c r="EN16" i="30"/>
  <c r="EN17" i="30"/>
  <c r="EN18" i="30"/>
  <c r="EN19" i="30"/>
  <c r="EN20" i="30"/>
  <c r="EN21" i="30"/>
  <c r="EN22" i="30"/>
  <c r="EN23" i="30"/>
  <c r="EN24" i="30"/>
  <c r="EN25" i="30"/>
  <c r="EN26" i="30"/>
  <c r="EN27" i="30"/>
  <c r="EN28" i="30"/>
  <c r="EN29" i="30"/>
  <c r="EN30" i="30"/>
  <c r="EN31" i="30"/>
  <c r="EN32" i="30"/>
  <c r="EN33" i="30"/>
  <c r="EN34" i="30"/>
  <c r="EN35" i="30"/>
  <c r="EQ8" i="30"/>
  <c r="EQ9" i="30"/>
  <c r="EQ10" i="30"/>
  <c r="EQ11" i="30"/>
  <c r="EQ12" i="30"/>
  <c r="EQ13" i="30"/>
  <c r="EQ14" i="30"/>
  <c r="EQ15" i="30"/>
  <c r="EQ16" i="30"/>
  <c r="EQ17" i="30"/>
  <c r="EQ18" i="30"/>
  <c r="EQ19" i="30"/>
  <c r="EQ20" i="30"/>
  <c r="EQ21" i="30"/>
  <c r="EQ22" i="30"/>
  <c r="EQ23" i="30"/>
  <c r="EQ24" i="30"/>
  <c r="EQ25" i="30"/>
  <c r="EQ26" i="30"/>
  <c r="EQ27" i="30"/>
  <c r="EQ28" i="30"/>
  <c r="EQ29" i="30"/>
  <c r="EQ30" i="30"/>
  <c r="EQ31" i="30"/>
  <c r="EQ32" i="30"/>
  <c r="EQ33" i="30"/>
  <c r="EQ34" i="30"/>
  <c r="ER8" i="30"/>
  <c r="ER9" i="30"/>
  <c r="ER10" i="30"/>
  <c r="ER11" i="30"/>
  <c r="ER12" i="30"/>
  <c r="ER13" i="30"/>
  <c r="ER14" i="30"/>
  <c r="ER15" i="30"/>
  <c r="ER16" i="30"/>
  <c r="ER17" i="30"/>
  <c r="ER18" i="30"/>
  <c r="ER19" i="30"/>
  <c r="ER20" i="30"/>
  <c r="ER21" i="30"/>
  <c r="ER22" i="30"/>
  <c r="ER23" i="30"/>
  <c r="ER24" i="30"/>
  <c r="ER25" i="30"/>
  <c r="ER26" i="30"/>
  <c r="ER27" i="30"/>
  <c r="ER28" i="30"/>
  <c r="ER29" i="30"/>
  <c r="ER30" i="30"/>
  <c r="ER31" i="30"/>
  <c r="ER32" i="30"/>
  <c r="ER33" i="30"/>
  <c r="ER34" i="30"/>
  <c r="ER35" i="30"/>
  <c r="EU8" i="30"/>
  <c r="EU9" i="30"/>
  <c r="EU10" i="30"/>
  <c r="EU11" i="30"/>
  <c r="EU12" i="30"/>
  <c r="EU13" i="30"/>
  <c r="EU14" i="30"/>
  <c r="EU15" i="30"/>
  <c r="EU16" i="30"/>
  <c r="EU17" i="30"/>
  <c r="EU18" i="30"/>
  <c r="EU19" i="30"/>
  <c r="EU20" i="30"/>
  <c r="EU21" i="30"/>
  <c r="EU22" i="30"/>
  <c r="EU23" i="30"/>
  <c r="EU24" i="30"/>
  <c r="EU25" i="30"/>
  <c r="EU26" i="30"/>
  <c r="EU27" i="30"/>
  <c r="EU28" i="30"/>
  <c r="EU29" i="30"/>
  <c r="EU30" i="30"/>
  <c r="EU31" i="30"/>
  <c r="EU32" i="30"/>
  <c r="EU33" i="30"/>
  <c r="EU34" i="30"/>
  <c r="EV8" i="30"/>
  <c r="EV9" i="30"/>
  <c r="EV10" i="30"/>
  <c r="EV11" i="30"/>
  <c r="EV12" i="30"/>
  <c r="EV13" i="30"/>
  <c r="EV14" i="30"/>
  <c r="EV15" i="30"/>
  <c r="EV16" i="30"/>
  <c r="EV17" i="30"/>
  <c r="EV18" i="30"/>
  <c r="EV19" i="30"/>
  <c r="EV20" i="30"/>
  <c r="EV21" i="30"/>
  <c r="EV22" i="30"/>
  <c r="EV23" i="30"/>
  <c r="EV24" i="30"/>
  <c r="EV25" i="30"/>
  <c r="EV26" i="30"/>
  <c r="EV27" i="30"/>
  <c r="EV28" i="30"/>
  <c r="EV29" i="30"/>
  <c r="EV30" i="30"/>
  <c r="EV31" i="30"/>
  <c r="EV32" i="30"/>
  <c r="EV33" i="30"/>
  <c r="EV34" i="30"/>
  <c r="EV35" i="30"/>
  <c r="EY8" i="30"/>
  <c r="EY9" i="30"/>
  <c r="EY10" i="30"/>
  <c r="EY11" i="30"/>
  <c r="EY12" i="30"/>
  <c r="EY13" i="30"/>
  <c r="EY14" i="30"/>
  <c r="EY15" i="30"/>
  <c r="EY16" i="30"/>
  <c r="EY17" i="30"/>
  <c r="EY18" i="30"/>
  <c r="EY19" i="30"/>
  <c r="EY20" i="30"/>
  <c r="EY21" i="30"/>
  <c r="EY22" i="30"/>
  <c r="EY23" i="30"/>
  <c r="EY24" i="30"/>
  <c r="EY25" i="30"/>
  <c r="EY26" i="30"/>
  <c r="EY27" i="30"/>
  <c r="EY28" i="30"/>
  <c r="EY29" i="30"/>
  <c r="EY30" i="30"/>
  <c r="EY31" i="30"/>
  <c r="EY32" i="30"/>
  <c r="EY33" i="30"/>
  <c r="EY34" i="30"/>
  <c r="EZ8" i="30"/>
  <c r="EZ9" i="30"/>
  <c r="EZ10" i="30"/>
  <c r="EZ11" i="30"/>
  <c r="EZ12" i="30"/>
  <c r="EZ13" i="30"/>
  <c r="EZ14" i="30"/>
  <c r="EZ15" i="30"/>
  <c r="EZ16" i="30"/>
  <c r="EZ17" i="30"/>
  <c r="EZ18" i="30"/>
  <c r="EZ19" i="30"/>
  <c r="EZ20" i="30"/>
  <c r="EZ21" i="30"/>
  <c r="EZ22" i="30"/>
  <c r="EZ23" i="30"/>
  <c r="EZ24" i="30"/>
  <c r="EZ25" i="30"/>
  <c r="EZ26" i="30"/>
  <c r="EZ27" i="30"/>
  <c r="EZ28" i="30"/>
  <c r="EZ29" i="30"/>
  <c r="EZ30" i="30"/>
  <c r="EZ31" i="30"/>
  <c r="EZ32" i="30"/>
  <c r="EZ33" i="30"/>
  <c r="EZ34" i="30"/>
  <c r="EZ35" i="30"/>
  <c r="EZ7" i="30"/>
  <c r="EY7" i="30"/>
  <c r="EV7" i="30"/>
  <c r="EU7" i="30"/>
  <c r="ER7" i="30"/>
  <c r="EQ7" i="30"/>
  <c r="EN7" i="30"/>
  <c r="EM7" i="30"/>
  <c r="EJ8" i="30"/>
  <c r="EJ9" i="30"/>
  <c r="EJ10" i="30"/>
  <c r="EJ11" i="30"/>
  <c r="EJ12" i="30"/>
  <c r="EJ13" i="30"/>
  <c r="EJ14" i="30"/>
  <c r="EJ15" i="30"/>
  <c r="EJ16" i="30"/>
  <c r="EJ17" i="30"/>
  <c r="EJ18" i="30"/>
  <c r="EJ19" i="30"/>
  <c r="EJ20" i="30"/>
  <c r="EJ21" i="30"/>
  <c r="EJ22" i="30"/>
  <c r="EJ23" i="30"/>
  <c r="EJ24" i="30"/>
  <c r="EJ25" i="30"/>
  <c r="EJ26" i="30"/>
  <c r="EJ27" i="30"/>
  <c r="EJ28" i="30"/>
  <c r="EJ29" i="30"/>
  <c r="EJ30" i="30"/>
  <c r="EJ31" i="30"/>
  <c r="EJ32" i="30"/>
  <c r="EJ33" i="30"/>
  <c r="EJ34" i="30"/>
  <c r="EJ35" i="30"/>
  <c r="EI8" i="30"/>
  <c r="EI9" i="30"/>
  <c r="EI10" i="30"/>
  <c r="EI11" i="30"/>
  <c r="EI12" i="30"/>
  <c r="EI13" i="30"/>
  <c r="EI14" i="30"/>
  <c r="EI15" i="30"/>
  <c r="EI16" i="30"/>
  <c r="EI17" i="30"/>
  <c r="EI18" i="30"/>
  <c r="EI19" i="30"/>
  <c r="EI20" i="30"/>
  <c r="EI21" i="30"/>
  <c r="EI22" i="30"/>
  <c r="EI23" i="30"/>
  <c r="EI24" i="30"/>
  <c r="EI25" i="30"/>
  <c r="EI26" i="30"/>
  <c r="EI27" i="30"/>
  <c r="EI28" i="30"/>
  <c r="EI29" i="30"/>
  <c r="EI30" i="30"/>
  <c r="EI31" i="30"/>
  <c r="EI32" i="30"/>
  <c r="EI33" i="30"/>
  <c r="EI34" i="30"/>
  <c r="EJ7" i="30"/>
  <c r="EI7" i="30"/>
  <c r="EF8" i="30"/>
  <c r="EF9" i="30"/>
  <c r="EF10" i="30"/>
  <c r="EF11" i="30"/>
  <c r="EF12" i="30"/>
  <c r="EF13" i="30"/>
  <c r="EF14" i="30"/>
  <c r="EF15" i="30"/>
  <c r="EF16" i="30"/>
  <c r="EF17" i="30"/>
  <c r="EF18" i="30"/>
  <c r="EF19" i="30"/>
  <c r="EF20" i="30"/>
  <c r="EF21" i="30"/>
  <c r="EF22" i="30"/>
  <c r="EF23" i="30"/>
  <c r="EF24" i="30"/>
  <c r="EF25" i="30"/>
  <c r="EF26" i="30"/>
  <c r="EF27" i="30"/>
  <c r="EF28" i="30"/>
  <c r="EF29" i="30"/>
  <c r="EF30" i="30"/>
  <c r="EF31" i="30"/>
  <c r="EF32" i="30"/>
  <c r="EF33" i="30"/>
  <c r="EF34" i="30"/>
  <c r="EF35" i="30"/>
  <c r="EE8" i="30"/>
  <c r="EE9" i="30"/>
  <c r="EE10" i="30"/>
  <c r="EE11" i="30"/>
  <c r="EE12" i="30"/>
  <c r="EE13" i="30"/>
  <c r="EE14" i="30"/>
  <c r="EE15" i="30"/>
  <c r="EE16" i="30"/>
  <c r="EE17" i="30"/>
  <c r="EE18" i="30"/>
  <c r="EE19" i="30"/>
  <c r="EE20" i="30"/>
  <c r="EE21" i="30"/>
  <c r="EE22" i="30"/>
  <c r="EE23" i="30"/>
  <c r="EE24" i="30"/>
  <c r="EE25" i="30"/>
  <c r="EE26" i="30"/>
  <c r="EE27" i="30"/>
  <c r="EE28" i="30"/>
  <c r="EE29" i="30"/>
  <c r="EE30" i="30"/>
  <c r="EE31" i="30"/>
  <c r="EE32" i="30"/>
  <c r="EE33" i="30"/>
  <c r="EE34" i="30"/>
  <c r="EF7" i="30"/>
  <c r="EE7" i="30"/>
  <c r="EB8" i="30"/>
  <c r="EB9" i="30"/>
  <c r="EB10" i="30"/>
  <c r="EB11" i="30"/>
  <c r="EB12" i="30"/>
  <c r="EB13" i="30"/>
  <c r="EB14" i="30"/>
  <c r="EB15" i="30"/>
  <c r="EB16" i="30"/>
  <c r="EB17" i="30"/>
  <c r="EB18" i="30"/>
  <c r="EB19" i="30"/>
  <c r="EB20" i="30"/>
  <c r="EB21" i="30"/>
  <c r="EB22" i="30"/>
  <c r="EB23" i="30"/>
  <c r="EB24" i="30"/>
  <c r="EB25" i="30"/>
  <c r="EB26" i="30"/>
  <c r="EB27" i="30"/>
  <c r="EB28" i="30"/>
  <c r="EB29" i="30"/>
  <c r="EB30" i="30"/>
  <c r="EB31" i="30"/>
  <c r="EB32" i="30"/>
  <c r="EB33" i="30"/>
  <c r="EB34" i="30"/>
  <c r="EB35" i="30"/>
  <c r="EA8" i="30"/>
  <c r="EA9" i="30"/>
  <c r="EA10" i="30"/>
  <c r="EA11" i="30"/>
  <c r="EA12" i="30"/>
  <c r="EA13" i="30"/>
  <c r="EA14" i="30"/>
  <c r="EA15" i="30"/>
  <c r="EA16" i="30"/>
  <c r="EA17" i="30"/>
  <c r="EA18" i="30"/>
  <c r="EA19" i="30"/>
  <c r="EA20" i="30"/>
  <c r="EA21" i="30"/>
  <c r="EA22" i="30"/>
  <c r="EA23" i="30"/>
  <c r="EA24" i="30"/>
  <c r="EA25" i="30"/>
  <c r="EA26" i="30"/>
  <c r="EA27" i="30"/>
  <c r="EA28" i="30"/>
  <c r="EA29" i="30"/>
  <c r="EA30" i="30"/>
  <c r="EA31" i="30"/>
  <c r="EA32" i="30"/>
  <c r="EA33" i="30"/>
  <c r="EA34" i="30"/>
  <c r="EB7" i="30"/>
  <c r="EA7" i="30"/>
  <c r="IR8" i="30"/>
  <c r="IR9" i="30"/>
  <c r="IR10" i="30"/>
  <c r="IR11" i="30"/>
  <c r="IR12" i="30"/>
  <c r="IR13" i="30"/>
  <c r="IR14" i="30"/>
  <c r="IR15" i="30"/>
  <c r="IR16" i="30"/>
  <c r="IR17" i="30"/>
  <c r="IR18" i="30"/>
  <c r="IR19" i="30"/>
  <c r="IR20" i="30"/>
  <c r="IR21" i="30"/>
  <c r="IR22" i="30"/>
  <c r="IR23" i="30"/>
  <c r="IR24" i="30"/>
  <c r="IR25" i="30"/>
  <c r="IR26" i="30"/>
  <c r="IR27" i="30"/>
  <c r="IR28" i="30"/>
  <c r="IR29" i="30"/>
  <c r="IR30" i="30"/>
  <c r="IR31" i="30"/>
  <c r="IR32" i="30"/>
  <c r="IR33" i="30"/>
  <c r="IR34" i="30"/>
  <c r="IR35" i="30"/>
  <c r="IQ8" i="30"/>
  <c r="IQ9" i="30"/>
  <c r="IQ10" i="30"/>
  <c r="IQ11" i="30"/>
  <c r="IQ12" i="30"/>
  <c r="IQ13" i="30"/>
  <c r="IQ14" i="30"/>
  <c r="IQ15" i="30"/>
  <c r="IQ16" i="30"/>
  <c r="IQ17" i="30"/>
  <c r="IQ18" i="30"/>
  <c r="IQ19" i="30"/>
  <c r="IQ20" i="30"/>
  <c r="IQ21" i="30"/>
  <c r="IQ22" i="30"/>
  <c r="IQ23" i="30"/>
  <c r="IQ24" i="30"/>
  <c r="IQ25" i="30"/>
  <c r="IQ26" i="30"/>
  <c r="IQ27" i="30"/>
  <c r="IQ28" i="30"/>
  <c r="IQ29" i="30"/>
  <c r="IQ30" i="30"/>
  <c r="IQ31" i="30"/>
  <c r="IQ32" i="30"/>
  <c r="IQ33" i="30"/>
  <c r="IQ34" i="30"/>
  <c r="IR7" i="30"/>
  <c r="IQ7" i="30"/>
  <c r="IN8" i="30"/>
  <c r="IN9" i="30"/>
  <c r="IN10" i="30"/>
  <c r="IN11" i="30"/>
  <c r="IN12" i="30"/>
  <c r="IN13" i="30"/>
  <c r="IN14" i="30"/>
  <c r="IN15" i="30"/>
  <c r="IN16" i="30"/>
  <c r="IN17" i="30"/>
  <c r="IN18" i="30"/>
  <c r="IN19" i="30"/>
  <c r="IN20" i="30"/>
  <c r="IN21" i="30"/>
  <c r="IN22" i="30"/>
  <c r="IN23" i="30"/>
  <c r="IN24" i="30"/>
  <c r="IN25" i="30"/>
  <c r="IN26" i="30"/>
  <c r="IN27" i="30"/>
  <c r="IN28" i="30"/>
  <c r="IN29" i="30"/>
  <c r="IN30" i="30"/>
  <c r="IN31" i="30"/>
  <c r="IN32" i="30"/>
  <c r="IN33" i="30"/>
  <c r="IN34" i="30"/>
  <c r="IN35" i="30"/>
  <c r="IM8" i="30"/>
  <c r="IM9" i="30"/>
  <c r="IM10" i="30"/>
  <c r="IM11" i="30"/>
  <c r="IM12" i="30"/>
  <c r="IM13" i="30"/>
  <c r="IM14" i="30"/>
  <c r="IM15" i="30"/>
  <c r="IM16" i="30"/>
  <c r="IM17" i="30"/>
  <c r="IM18" i="30"/>
  <c r="IM19" i="30"/>
  <c r="IM20" i="30"/>
  <c r="IM21" i="30"/>
  <c r="IM22" i="30"/>
  <c r="IM23" i="30"/>
  <c r="IM24" i="30"/>
  <c r="IM25" i="30"/>
  <c r="IM26" i="30"/>
  <c r="IM27" i="30"/>
  <c r="IM28" i="30"/>
  <c r="IM29" i="30"/>
  <c r="IM30" i="30"/>
  <c r="IM31" i="30"/>
  <c r="IM32" i="30"/>
  <c r="IM33" i="30"/>
  <c r="IM34" i="30"/>
  <c r="IN7" i="30"/>
  <c r="IM7" i="30"/>
  <c r="IJ8" i="30"/>
  <c r="IJ9" i="30"/>
  <c r="IJ10" i="30"/>
  <c r="IJ11" i="30"/>
  <c r="IJ12" i="30"/>
  <c r="IJ13" i="30"/>
  <c r="IJ14" i="30"/>
  <c r="IJ15" i="30"/>
  <c r="IJ16" i="30"/>
  <c r="IJ17" i="30"/>
  <c r="IJ18" i="30"/>
  <c r="IJ19" i="30"/>
  <c r="IJ20" i="30"/>
  <c r="IJ21" i="30"/>
  <c r="IJ22" i="30"/>
  <c r="IJ23" i="30"/>
  <c r="IJ24" i="30"/>
  <c r="IJ25" i="30"/>
  <c r="IJ26" i="30"/>
  <c r="IJ27" i="30"/>
  <c r="IJ28" i="30"/>
  <c r="IJ29" i="30"/>
  <c r="IJ30" i="30"/>
  <c r="IJ31" i="30"/>
  <c r="IJ32" i="30"/>
  <c r="IJ33" i="30"/>
  <c r="IJ34" i="30"/>
  <c r="IJ35" i="30"/>
  <c r="II8" i="30"/>
  <c r="II9" i="30"/>
  <c r="II10" i="30"/>
  <c r="II11" i="30"/>
  <c r="II12" i="30"/>
  <c r="II13" i="30"/>
  <c r="II14" i="30"/>
  <c r="II15" i="30"/>
  <c r="II16" i="30"/>
  <c r="II17" i="30"/>
  <c r="II18" i="30"/>
  <c r="II19" i="30"/>
  <c r="II20" i="30"/>
  <c r="II21" i="30"/>
  <c r="II22" i="30"/>
  <c r="II23" i="30"/>
  <c r="II24" i="30"/>
  <c r="II25" i="30"/>
  <c r="II26" i="30"/>
  <c r="II27" i="30"/>
  <c r="II28" i="30"/>
  <c r="II29" i="30"/>
  <c r="II30" i="30"/>
  <c r="II31" i="30"/>
  <c r="II32" i="30"/>
  <c r="II33" i="30"/>
  <c r="II34" i="30"/>
  <c r="IJ7" i="30"/>
  <c r="II7" i="30"/>
  <c r="IF8" i="30"/>
  <c r="IF9" i="30"/>
  <c r="IF10" i="30"/>
  <c r="IF11" i="30"/>
  <c r="IF12" i="30"/>
  <c r="IF13" i="30"/>
  <c r="IF14" i="30"/>
  <c r="IF15" i="30"/>
  <c r="IF16" i="30"/>
  <c r="IF17" i="30"/>
  <c r="IF18" i="30"/>
  <c r="IF19" i="30"/>
  <c r="IF20" i="30"/>
  <c r="IF21" i="30"/>
  <c r="IF22" i="30"/>
  <c r="IF23" i="30"/>
  <c r="IF24" i="30"/>
  <c r="IF25" i="30"/>
  <c r="IF26" i="30"/>
  <c r="IF27" i="30"/>
  <c r="IF28" i="30"/>
  <c r="IF29" i="30"/>
  <c r="IF30" i="30"/>
  <c r="IF31" i="30"/>
  <c r="IF32" i="30"/>
  <c r="IF33" i="30"/>
  <c r="IF34" i="30"/>
  <c r="IF35" i="30"/>
  <c r="IF7" i="30"/>
  <c r="IE8" i="30"/>
  <c r="IE9" i="30"/>
  <c r="IE10" i="30"/>
  <c r="IE11" i="30"/>
  <c r="IE12" i="30"/>
  <c r="IE13" i="30"/>
  <c r="IE14" i="30"/>
  <c r="IE15" i="30"/>
  <c r="IE16" i="30"/>
  <c r="IE17" i="30"/>
  <c r="IE18" i="30"/>
  <c r="IE19" i="30"/>
  <c r="IE20" i="30"/>
  <c r="IE21" i="30"/>
  <c r="IE22" i="30"/>
  <c r="IE23" i="30"/>
  <c r="IE24" i="30"/>
  <c r="IE25" i="30"/>
  <c r="IE26" i="30"/>
  <c r="IE27" i="30"/>
  <c r="IE28" i="30"/>
  <c r="IE29" i="30"/>
  <c r="IE30" i="30"/>
  <c r="IE31" i="30"/>
  <c r="IE32" i="30"/>
  <c r="IE33" i="30"/>
  <c r="IE34" i="30"/>
  <c r="IE7" i="30"/>
  <c r="IB8" i="30"/>
  <c r="IB9" i="30"/>
  <c r="IB10" i="30"/>
  <c r="IB11" i="30"/>
  <c r="IB12" i="30"/>
  <c r="IB13" i="30"/>
  <c r="IB14" i="30"/>
  <c r="IB15" i="30"/>
  <c r="IB16" i="30"/>
  <c r="IB17" i="30"/>
  <c r="IB18" i="30"/>
  <c r="IB19" i="30"/>
  <c r="IB20" i="30"/>
  <c r="IB21" i="30"/>
  <c r="IB22" i="30"/>
  <c r="IB23" i="30"/>
  <c r="IB24" i="30"/>
  <c r="IB25" i="30"/>
  <c r="IB26" i="30"/>
  <c r="IB27" i="30"/>
  <c r="IB28" i="30"/>
  <c r="IB29" i="30"/>
  <c r="IB30" i="30"/>
  <c r="IB31" i="30"/>
  <c r="IB32" i="30"/>
  <c r="IB33" i="30"/>
  <c r="IB34" i="30"/>
  <c r="IB35" i="30"/>
  <c r="IA8" i="30"/>
  <c r="IA9" i="30"/>
  <c r="IA10" i="30"/>
  <c r="IA11" i="30"/>
  <c r="IA12" i="30"/>
  <c r="IA13" i="30"/>
  <c r="IA14" i="30"/>
  <c r="IA15" i="30"/>
  <c r="IA16" i="30"/>
  <c r="IA17" i="30"/>
  <c r="IA18" i="30"/>
  <c r="IA19" i="30"/>
  <c r="IA20" i="30"/>
  <c r="IA21" i="30"/>
  <c r="IA22" i="30"/>
  <c r="IA23" i="30"/>
  <c r="IA24" i="30"/>
  <c r="IA25" i="30"/>
  <c r="IA26" i="30"/>
  <c r="IA27" i="30"/>
  <c r="IA28" i="30"/>
  <c r="IA29" i="30"/>
  <c r="IA30" i="30"/>
  <c r="IA31" i="30"/>
  <c r="IA32" i="30"/>
  <c r="IA33" i="30"/>
  <c r="IA34" i="30"/>
  <c r="IB7" i="30"/>
  <c r="IA7" i="30"/>
  <c r="HX8" i="30"/>
  <c r="HX9" i="30"/>
  <c r="HX10" i="30"/>
  <c r="HX11" i="30"/>
  <c r="HX12" i="30"/>
  <c r="HX13" i="30"/>
  <c r="HX14" i="30"/>
  <c r="HX15" i="30"/>
  <c r="HX16" i="30"/>
  <c r="HX17" i="30"/>
  <c r="HX18" i="30"/>
  <c r="HX19" i="30"/>
  <c r="HX20" i="30"/>
  <c r="HX21" i="30"/>
  <c r="HX22" i="30"/>
  <c r="HX23" i="30"/>
  <c r="HX24" i="30"/>
  <c r="HX25" i="30"/>
  <c r="HX26" i="30"/>
  <c r="HX27" i="30"/>
  <c r="HX28" i="30"/>
  <c r="HX29" i="30"/>
  <c r="HX30" i="30"/>
  <c r="HX31" i="30"/>
  <c r="HX32" i="30"/>
  <c r="HX33" i="30"/>
  <c r="HX34" i="30"/>
  <c r="HX35" i="30"/>
  <c r="HW8" i="30"/>
  <c r="HW9" i="30"/>
  <c r="HW10" i="30"/>
  <c r="HW11" i="30"/>
  <c r="HW12" i="30"/>
  <c r="HW13" i="30"/>
  <c r="HW14" i="30"/>
  <c r="HW15" i="30"/>
  <c r="HW16" i="30"/>
  <c r="HW17" i="30"/>
  <c r="HW18" i="30"/>
  <c r="HW19" i="30"/>
  <c r="HW20" i="30"/>
  <c r="HW21" i="30"/>
  <c r="HW22" i="30"/>
  <c r="HW23" i="30"/>
  <c r="HW24" i="30"/>
  <c r="HW25" i="30"/>
  <c r="HW26" i="30"/>
  <c r="HW27" i="30"/>
  <c r="HW28" i="30"/>
  <c r="HW29" i="30"/>
  <c r="HW30" i="30"/>
  <c r="HW31" i="30"/>
  <c r="HW32" i="30"/>
  <c r="HW33" i="30"/>
  <c r="HW34" i="30"/>
  <c r="HT8" i="30"/>
  <c r="HT9" i="30"/>
  <c r="HT10" i="30"/>
  <c r="HT11" i="30"/>
  <c r="HT12" i="30"/>
  <c r="HT13" i="30"/>
  <c r="HT14" i="30"/>
  <c r="HT15" i="30"/>
  <c r="HT16" i="30"/>
  <c r="HT17" i="30"/>
  <c r="HT18" i="30"/>
  <c r="HT19" i="30"/>
  <c r="HT20" i="30"/>
  <c r="HT21" i="30"/>
  <c r="HT22" i="30"/>
  <c r="HT23" i="30"/>
  <c r="HT24" i="30"/>
  <c r="HT25" i="30"/>
  <c r="HT26" i="30"/>
  <c r="HT27" i="30"/>
  <c r="HT28" i="30"/>
  <c r="HT29" i="30"/>
  <c r="HT30" i="30"/>
  <c r="HT31" i="30"/>
  <c r="HT32" i="30"/>
  <c r="HT33" i="30"/>
  <c r="HT34" i="30"/>
  <c r="HT35" i="30"/>
  <c r="HS8" i="30"/>
  <c r="HS9" i="30"/>
  <c r="HS10" i="30"/>
  <c r="HS11" i="30"/>
  <c r="HS12" i="30"/>
  <c r="HS13" i="30"/>
  <c r="HS14" i="30"/>
  <c r="HS15" i="30"/>
  <c r="HS16" i="30"/>
  <c r="HS17" i="30"/>
  <c r="HS18" i="30"/>
  <c r="HS19" i="30"/>
  <c r="HS20" i="30"/>
  <c r="HS21" i="30"/>
  <c r="HS22" i="30"/>
  <c r="HS23" i="30"/>
  <c r="HS24" i="30"/>
  <c r="HS25" i="30"/>
  <c r="HS26" i="30"/>
  <c r="HS27" i="30"/>
  <c r="HS28" i="30"/>
  <c r="HS29" i="30"/>
  <c r="HS30" i="30"/>
  <c r="HS31" i="30"/>
  <c r="HS32" i="30"/>
  <c r="HS33" i="30"/>
  <c r="HS34" i="30"/>
  <c r="HX7" i="30"/>
  <c r="HW7" i="30"/>
  <c r="HT7" i="30"/>
  <c r="HS7" i="30"/>
  <c r="DT8" i="30"/>
  <c r="DT9" i="30"/>
  <c r="DT10" i="30"/>
  <c r="DT11" i="30"/>
  <c r="DT12" i="30"/>
  <c r="DT13" i="30"/>
  <c r="DT14" i="30"/>
  <c r="DT15" i="30"/>
  <c r="DT16" i="30"/>
  <c r="DT17" i="30"/>
  <c r="DT18" i="30"/>
  <c r="DT19" i="30"/>
  <c r="DT20" i="30"/>
  <c r="DT21" i="30"/>
  <c r="DT22" i="30"/>
  <c r="DT23" i="30"/>
  <c r="DT24" i="30"/>
  <c r="DT25" i="30"/>
  <c r="DT26" i="30"/>
  <c r="DT27" i="30"/>
  <c r="DT28" i="30"/>
  <c r="DT29" i="30"/>
  <c r="DT30" i="30"/>
  <c r="DT31" i="30"/>
  <c r="DT32" i="30"/>
  <c r="DT33" i="30"/>
  <c r="DT34" i="30"/>
  <c r="DT35" i="30"/>
  <c r="DS8" i="30"/>
  <c r="DS9" i="30"/>
  <c r="DS10" i="30"/>
  <c r="DS11" i="30"/>
  <c r="DS12" i="30"/>
  <c r="DS13" i="30"/>
  <c r="DS14" i="30"/>
  <c r="DS15" i="30"/>
  <c r="DS16" i="30"/>
  <c r="DS17" i="30"/>
  <c r="DS18" i="30"/>
  <c r="DS19" i="30"/>
  <c r="DS20" i="30"/>
  <c r="DS21" i="30"/>
  <c r="DS22" i="30"/>
  <c r="DS23" i="30"/>
  <c r="DS24" i="30"/>
  <c r="DS25" i="30"/>
  <c r="DS26" i="30"/>
  <c r="DS27" i="30"/>
  <c r="DS28" i="30"/>
  <c r="DS29" i="30"/>
  <c r="DS30" i="30"/>
  <c r="DS31" i="30"/>
  <c r="DS32" i="30"/>
  <c r="DS33" i="30"/>
  <c r="DS34" i="30"/>
  <c r="DT7" i="30"/>
  <c r="DS7" i="30"/>
  <c r="DP8" i="30"/>
  <c r="DP9" i="30"/>
  <c r="DP10" i="30"/>
  <c r="DP11" i="30"/>
  <c r="DP12" i="30"/>
  <c r="DP13" i="30"/>
  <c r="DP14" i="30"/>
  <c r="DP15" i="30"/>
  <c r="DP16" i="30"/>
  <c r="DP17" i="30"/>
  <c r="DP18" i="30"/>
  <c r="DP19" i="30"/>
  <c r="DP20" i="30"/>
  <c r="DP21" i="30"/>
  <c r="DP22" i="30"/>
  <c r="DP23" i="30"/>
  <c r="DP24" i="30"/>
  <c r="DP25" i="30"/>
  <c r="DP26" i="30"/>
  <c r="DP27" i="30"/>
  <c r="DP28" i="30"/>
  <c r="DP29" i="30"/>
  <c r="DP30" i="30"/>
  <c r="DP31" i="30"/>
  <c r="DP32" i="30"/>
  <c r="DP33" i="30"/>
  <c r="DP34" i="30"/>
  <c r="DP35" i="30"/>
  <c r="DO8" i="30"/>
  <c r="DO9" i="30"/>
  <c r="DO10" i="30"/>
  <c r="DO11" i="30"/>
  <c r="DO12" i="30"/>
  <c r="DO13" i="30"/>
  <c r="DO14" i="30"/>
  <c r="DO15" i="30"/>
  <c r="DO16" i="30"/>
  <c r="DO17" i="30"/>
  <c r="DO18" i="30"/>
  <c r="DO19" i="30"/>
  <c r="DO20" i="30"/>
  <c r="DO21" i="30"/>
  <c r="DO22" i="30"/>
  <c r="DO23" i="30"/>
  <c r="DO24" i="30"/>
  <c r="DO25" i="30"/>
  <c r="DO26" i="30"/>
  <c r="DO27" i="30"/>
  <c r="DO28" i="30"/>
  <c r="DO29" i="30"/>
  <c r="DO30" i="30"/>
  <c r="DO31" i="30"/>
  <c r="DO32" i="30"/>
  <c r="DO33" i="30"/>
  <c r="DO34" i="30"/>
  <c r="DL8" i="30"/>
  <c r="DL9" i="30"/>
  <c r="DL10" i="30"/>
  <c r="DL11" i="30"/>
  <c r="DL12" i="30"/>
  <c r="DL13" i="30"/>
  <c r="DL14" i="30"/>
  <c r="DL15" i="30"/>
  <c r="DL16" i="30"/>
  <c r="DL17" i="30"/>
  <c r="DL18" i="30"/>
  <c r="DL19" i="30"/>
  <c r="DL20" i="30"/>
  <c r="DL21" i="30"/>
  <c r="DL22" i="30"/>
  <c r="DL23" i="30"/>
  <c r="DL24" i="30"/>
  <c r="DL25" i="30"/>
  <c r="DL26" i="30"/>
  <c r="DL27" i="30"/>
  <c r="DL28" i="30"/>
  <c r="DL29" i="30"/>
  <c r="DL30" i="30"/>
  <c r="DL31" i="30"/>
  <c r="DL32" i="30"/>
  <c r="DL33" i="30"/>
  <c r="DL34" i="30"/>
  <c r="DL35" i="30"/>
  <c r="DK8" i="30"/>
  <c r="DK9" i="30"/>
  <c r="DK10" i="30"/>
  <c r="DK11" i="30"/>
  <c r="DK12" i="30"/>
  <c r="DK13" i="30"/>
  <c r="DK14" i="30"/>
  <c r="DK15" i="30"/>
  <c r="DK16" i="30"/>
  <c r="DK17" i="30"/>
  <c r="DK18" i="30"/>
  <c r="DK19" i="30"/>
  <c r="DK20" i="30"/>
  <c r="DK21" i="30"/>
  <c r="DK22" i="30"/>
  <c r="DK23" i="30"/>
  <c r="DK24" i="30"/>
  <c r="DK25" i="30"/>
  <c r="DK26" i="30"/>
  <c r="DK27" i="30"/>
  <c r="DK28" i="30"/>
  <c r="DK29" i="30"/>
  <c r="DK30" i="30"/>
  <c r="DK31" i="30"/>
  <c r="DK32" i="30"/>
  <c r="DK33" i="30"/>
  <c r="DK34" i="30"/>
  <c r="DH8" i="30"/>
  <c r="DH9" i="30"/>
  <c r="DH10" i="30"/>
  <c r="DH11" i="30"/>
  <c r="DH12" i="30"/>
  <c r="DH13" i="30"/>
  <c r="DH14" i="30"/>
  <c r="DH15" i="30"/>
  <c r="DH16" i="30"/>
  <c r="DH17" i="30"/>
  <c r="DH18" i="30"/>
  <c r="DH19" i="30"/>
  <c r="DH20" i="30"/>
  <c r="DH21" i="30"/>
  <c r="DH22" i="30"/>
  <c r="DH23" i="30"/>
  <c r="DH24" i="30"/>
  <c r="DH25" i="30"/>
  <c r="DH26" i="30"/>
  <c r="DH27" i="30"/>
  <c r="DH28" i="30"/>
  <c r="DH29" i="30"/>
  <c r="DH30" i="30"/>
  <c r="DH31" i="30"/>
  <c r="DH32" i="30"/>
  <c r="DH33" i="30"/>
  <c r="DH34" i="30"/>
  <c r="DH35" i="30"/>
  <c r="DG8" i="30"/>
  <c r="DG9" i="30"/>
  <c r="DG10" i="30"/>
  <c r="DG11" i="30"/>
  <c r="DG12" i="30"/>
  <c r="DG13" i="30"/>
  <c r="DG14" i="30"/>
  <c r="DG15" i="30"/>
  <c r="DG16" i="30"/>
  <c r="DG17" i="30"/>
  <c r="DG18" i="30"/>
  <c r="DG19" i="30"/>
  <c r="DG20" i="30"/>
  <c r="DG21" i="30"/>
  <c r="DG22" i="30"/>
  <c r="DG23" i="30"/>
  <c r="DG24" i="30"/>
  <c r="DG25" i="30"/>
  <c r="DG26" i="30"/>
  <c r="DG27" i="30"/>
  <c r="DG28" i="30"/>
  <c r="DG29" i="30"/>
  <c r="DG30" i="30"/>
  <c r="DG31" i="30"/>
  <c r="DG32" i="30"/>
  <c r="DG33" i="30"/>
  <c r="DG34" i="30"/>
  <c r="DP7" i="30"/>
  <c r="DO7" i="30"/>
  <c r="DL7" i="30"/>
  <c r="DK7" i="30"/>
  <c r="DH7" i="30"/>
  <c r="DG7" i="30"/>
  <c r="DD8" i="30"/>
  <c r="DD9" i="30"/>
  <c r="DD10" i="30"/>
  <c r="DD11" i="30"/>
  <c r="DD12" i="30"/>
  <c r="DD13" i="30"/>
  <c r="DD14" i="30"/>
  <c r="DD15" i="30"/>
  <c r="DD16" i="30"/>
  <c r="DD17" i="30"/>
  <c r="DD18" i="30"/>
  <c r="DD19" i="30"/>
  <c r="DD20" i="30"/>
  <c r="DD21" i="30"/>
  <c r="DD22" i="30"/>
  <c r="DD23" i="30"/>
  <c r="DD24" i="30"/>
  <c r="DD25" i="30"/>
  <c r="DD26" i="30"/>
  <c r="DD27" i="30"/>
  <c r="DD28" i="30"/>
  <c r="DD29" i="30"/>
  <c r="DD30" i="30"/>
  <c r="DD31" i="30"/>
  <c r="DD32" i="30"/>
  <c r="DD33" i="30"/>
  <c r="DD34" i="30"/>
  <c r="DD35" i="30"/>
  <c r="DC8" i="30"/>
  <c r="DC9" i="30"/>
  <c r="DC10" i="30"/>
  <c r="DC11" i="30"/>
  <c r="DC12" i="30"/>
  <c r="DC13" i="30"/>
  <c r="DC14" i="30"/>
  <c r="DC15" i="30"/>
  <c r="DC16" i="30"/>
  <c r="DC17" i="30"/>
  <c r="DC18" i="30"/>
  <c r="DC19" i="30"/>
  <c r="DC20" i="30"/>
  <c r="DC21" i="30"/>
  <c r="DC22" i="30"/>
  <c r="DC23" i="30"/>
  <c r="DC24" i="30"/>
  <c r="DC25" i="30"/>
  <c r="DC26" i="30"/>
  <c r="DC27" i="30"/>
  <c r="DC28" i="30"/>
  <c r="DC29" i="30"/>
  <c r="DC30" i="30"/>
  <c r="DC31" i="30"/>
  <c r="DC32" i="30"/>
  <c r="DC33" i="30"/>
  <c r="DC34" i="30"/>
  <c r="CZ8" i="30"/>
  <c r="CZ9" i="30"/>
  <c r="CZ10" i="30"/>
  <c r="CZ11" i="30"/>
  <c r="CZ12" i="30"/>
  <c r="CZ13" i="30"/>
  <c r="CZ14" i="30"/>
  <c r="CZ15" i="30"/>
  <c r="CZ16" i="30"/>
  <c r="CZ17" i="30"/>
  <c r="CZ18" i="30"/>
  <c r="CZ19" i="30"/>
  <c r="CZ20" i="30"/>
  <c r="CZ21" i="30"/>
  <c r="CZ22" i="30"/>
  <c r="CZ23" i="30"/>
  <c r="CZ24" i="30"/>
  <c r="CZ25" i="30"/>
  <c r="CZ26" i="30"/>
  <c r="CZ27" i="30"/>
  <c r="CZ28" i="30"/>
  <c r="CZ29" i="30"/>
  <c r="CZ30" i="30"/>
  <c r="CZ31" i="30"/>
  <c r="CZ32" i="30"/>
  <c r="CZ33" i="30"/>
  <c r="CZ34" i="30"/>
  <c r="CZ35" i="30"/>
  <c r="CY8" i="30"/>
  <c r="CY9" i="30"/>
  <c r="CY10" i="30"/>
  <c r="CY11" i="30"/>
  <c r="CY12" i="30"/>
  <c r="CY13" i="30"/>
  <c r="CY14" i="30"/>
  <c r="CY15" i="30"/>
  <c r="CY16" i="30"/>
  <c r="CY17" i="30"/>
  <c r="CY18" i="30"/>
  <c r="CY19" i="30"/>
  <c r="CY20" i="30"/>
  <c r="CY21" i="30"/>
  <c r="CY22" i="30"/>
  <c r="CY23" i="30"/>
  <c r="CY24" i="30"/>
  <c r="CY25" i="30"/>
  <c r="CY26" i="30"/>
  <c r="CY27" i="30"/>
  <c r="CY28" i="30"/>
  <c r="CY29" i="30"/>
  <c r="CY30" i="30"/>
  <c r="CY31" i="30"/>
  <c r="CY32" i="30"/>
  <c r="CY33" i="30"/>
  <c r="CY34" i="30"/>
  <c r="CV8" i="30"/>
  <c r="CV9" i="30"/>
  <c r="CV10" i="30"/>
  <c r="CV11" i="30"/>
  <c r="CV12" i="30"/>
  <c r="CV13" i="30"/>
  <c r="CV14" i="30"/>
  <c r="CV15" i="30"/>
  <c r="CV16" i="30"/>
  <c r="CV17" i="30"/>
  <c r="CV18" i="30"/>
  <c r="CV19" i="30"/>
  <c r="CV20" i="30"/>
  <c r="CV21" i="30"/>
  <c r="CV22" i="30"/>
  <c r="CV23" i="30"/>
  <c r="CV24" i="30"/>
  <c r="CV25" i="30"/>
  <c r="CV26" i="30"/>
  <c r="CV27" i="30"/>
  <c r="CV28" i="30"/>
  <c r="CV29" i="30"/>
  <c r="CV30" i="30"/>
  <c r="CV31" i="30"/>
  <c r="CV32" i="30"/>
  <c r="CV33" i="30"/>
  <c r="CV34" i="30"/>
  <c r="CV35" i="30"/>
  <c r="CU8" i="30"/>
  <c r="CU9" i="30"/>
  <c r="CU10" i="30"/>
  <c r="CU11" i="30"/>
  <c r="CU12" i="30"/>
  <c r="CU13" i="30"/>
  <c r="CU14" i="30"/>
  <c r="CU15" i="30"/>
  <c r="CU16" i="30"/>
  <c r="CU17" i="30"/>
  <c r="CU18" i="30"/>
  <c r="CU19" i="30"/>
  <c r="CU20" i="30"/>
  <c r="CU21" i="30"/>
  <c r="CU22" i="30"/>
  <c r="CU23" i="30"/>
  <c r="CU24" i="30"/>
  <c r="CU25" i="30"/>
  <c r="CU26" i="30"/>
  <c r="CU27" i="30"/>
  <c r="CU28" i="30"/>
  <c r="CU29" i="30"/>
  <c r="CU30" i="30"/>
  <c r="CU31" i="30"/>
  <c r="CU32" i="30"/>
  <c r="CU33" i="30"/>
  <c r="CU34" i="30"/>
  <c r="DD7" i="30"/>
  <c r="DC7" i="30"/>
  <c r="CZ7" i="30"/>
  <c r="CY7" i="30"/>
  <c r="CV7" i="30"/>
  <c r="CU7" i="30"/>
  <c r="CN8" i="30"/>
  <c r="CN9" i="30"/>
  <c r="CN10" i="30"/>
  <c r="CN11" i="30"/>
  <c r="CN12" i="30"/>
  <c r="CN13" i="30"/>
  <c r="CN14" i="30"/>
  <c r="CN15" i="30"/>
  <c r="CN16" i="30"/>
  <c r="CN17" i="30"/>
  <c r="CN18" i="30"/>
  <c r="CN19" i="30"/>
  <c r="CN20" i="30"/>
  <c r="CN21" i="30"/>
  <c r="CN22" i="30"/>
  <c r="CN23" i="30"/>
  <c r="CN24" i="30"/>
  <c r="CN25" i="30"/>
  <c r="CN26" i="30"/>
  <c r="CN27" i="30"/>
  <c r="CN28" i="30"/>
  <c r="CN29" i="30"/>
  <c r="CN30" i="30"/>
  <c r="CN31" i="30"/>
  <c r="CN32" i="30"/>
  <c r="CN33" i="30"/>
  <c r="CN34" i="30"/>
  <c r="CN35" i="30"/>
  <c r="CM8" i="30"/>
  <c r="CM9" i="30"/>
  <c r="CM10" i="30"/>
  <c r="CM11" i="30"/>
  <c r="CM12" i="30"/>
  <c r="CM13" i="30"/>
  <c r="CM14" i="30"/>
  <c r="CM15" i="30"/>
  <c r="CM16" i="30"/>
  <c r="CM17" i="30"/>
  <c r="CM18" i="30"/>
  <c r="CM19" i="30"/>
  <c r="CM20" i="30"/>
  <c r="CM21" i="30"/>
  <c r="CM22" i="30"/>
  <c r="CM23" i="30"/>
  <c r="CM24" i="30"/>
  <c r="CM25" i="30"/>
  <c r="CM26" i="30"/>
  <c r="CM27" i="30"/>
  <c r="CM28" i="30"/>
  <c r="CM29" i="30"/>
  <c r="CM30" i="30"/>
  <c r="CM31" i="30"/>
  <c r="CM32" i="30"/>
  <c r="CM33" i="30"/>
  <c r="CM34" i="30"/>
  <c r="CJ8" i="30"/>
  <c r="CJ9" i="30"/>
  <c r="CJ10" i="30"/>
  <c r="CJ11" i="30"/>
  <c r="CJ12" i="30"/>
  <c r="CJ13" i="30"/>
  <c r="CJ14" i="30"/>
  <c r="CJ15" i="30"/>
  <c r="CJ16" i="30"/>
  <c r="CJ17" i="30"/>
  <c r="CJ18" i="30"/>
  <c r="CJ19" i="30"/>
  <c r="CJ20" i="30"/>
  <c r="CJ21" i="30"/>
  <c r="CJ22" i="30"/>
  <c r="CJ23" i="30"/>
  <c r="CJ24" i="30"/>
  <c r="CJ25" i="30"/>
  <c r="CJ26" i="30"/>
  <c r="CJ27" i="30"/>
  <c r="CJ28" i="30"/>
  <c r="CJ29" i="30"/>
  <c r="CJ30" i="30"/>
  <c r="CJ31" i="30"/>
  <c r="CJ32" i="30"/>
  <c r="CJ33" i="30"/>
  <c r="CJ34" i="30"/>
  <c r="CJ35" i="30"/>
  <c r="CI8" i="30"/>
  <c r="CI9" i="30"/>
  <c r="CI10" i="30"/>
  <c r="CI11" i="30"/>
  <c r="CI12" i="30"/>
  <c r="CI13" i="30"/>
  <c r="CI14" i="30"/>
  <c r="CI15" i="30"/>
  <c r="CI16" i="30"/>
  <c r="CI17" i="30"/>
  <c r="CI18" i="30"/>
  <c r="CI19" i="30"/>
  <c r="CI20" i="30"/>
  <c r="CI21" i="30"/>
  <c r="CI22" i="30"/>
  <c r="CI23" i="30"/>
  <c r="CI24" i="30"/>
  <c r="CI25" i="30"/>
  <c r="CI26" i="30"/>
  <c r="CI27" i="30"/>
  <c r="CI28" i="30"/>
  <c r="CI29" i="30"/>
  <c r="CI30" i="30"/>
  <c r="CI31" i="30"/>
  <c r="CI32" i="30"/>
  <c r="CI33" i="30"/>
  <c r="CI34" i="30"/>
  <c r="CF8" i="30"/>
  <c r="CF9" i="30"/>
  <c r="CF10" i="30"/>
  <c r="CF11" i="30"/>
  <c r="CF12" i="30"/>
  <c r="CF13" i="30"/>
  <c r="CF14" i="30"/>
  <c r="CF15" i="30"/>
  <c r="CF16" i="30"/>
  <c r="CF17" i="30"/>
  <c r="CF18" i="30"/>
  <c r="CF19" i="30"/>
  <c r="CF20" i="30"/>
  <c r="CF21" i="30"/>
  <c r="CF22" i="30"/>
  <c r="CF23" i="30"/>
  <c r="CF24" i="30"/>
  <c r="CF25" i="30"/>
  <c r="CF26" i="30"/>
  <c r="CF27" i="30"/>
  <c r="CF28" i="30"/>
  <c r="CF29" i="30"/>
  <c r="CF30" i="30"/>
  <c r="CF31" i="30"/>
  <c r="CF32" i="30"/>
  <c r="CF33" i="30"/>
  <c r="CF34" i="30"/>
  <c r="CF35" i="30"/>
  <c r="CE8" i="30"/>
  <c r="CE9" i="30"/>
  <c r="CE10" i="30"/>
  <c r="CE11" i="30"/>
  <c r="CE12" i="30"/>
  <c r="CE13" i="30"/>
  <c r="CE14" i="30"/>
  <c r="CE15" i="30"/>
  <c r="CE16" i="30"/>
  <c r="CE17" i="30"/>
  <c r="CE18" i="30"/>
  <c r="CE19" i="30"/>
  <c r="CE20" i="30"/>
  <c r="CE21" i="30"/>
  <c r="CE22" i="30"/>
  <c r="CE23" i="30"/>
  <c r="CE24" i="30"/>
  <c r="CE25" i="30"/>
  <c r="CE26" i="30"/>
  <c r="CE27" i="30"/>
  <c r="CE28" i="30"/>
  <c r="CE29" i="30"/>
  <c r="CE30" i="30"/>
  <c r="CE31" i="30"/>
  <c r="CE32" i="30"/>
  <c r="CE33" i="30"/>
  <c r="CE34" i="30"/>
  <c r="CB8" i="30"/>
  <c r="CB9" i="30"/>
  <c r="CB10" i="30"/>
  <c r="CB11" i="30"/>
  <c r="CB12" i="30"/>
  <c r="CB13" i="30"/>
  <c r="CB14" i="30"/>
  <c r="CB15" i="30"/>
  <c r="CB16" i="30"/>
  <c r="CB17" i="30"/>
  <c r="CB18" i="30"/>
  <c r="CB19" i="30"/>
  <c r="CB20" i="30"/>
  <c r="CB21" i="30"/>
  <c r="CB22" i="30"/>
  <c r="CB23" i="30"/>
  <c r="CB24" i="30"/>
  <c r="CB25" i="30"/>
  <c r="CB26" i="30"/>
  <c r="CB27" i="30"/>
  <c r="CB28" i="30"/>
  <c r="CB29" i="30"/>
  <c r="CB30" i="30"/>
  <c r="CB31" i="30"/>
  <c r="CB32" i="30"/>
  <c r="CB33" i="30"/>
  <c r="CB34" i="30"/>
  <c r="CB35" i="30"/>
  <c r="CA8" i="30"/>
  <c r="CA9" i="30"/>
  <c r="CA10" i="30"/>
  <c r="CA11" i="30"/>
  <c r="CA12" i="30"/>
  <c r="CA13" i="30"/>
  <c r="CA14" i="30"/>
  <c r="CA15" i="30"/>
  <c r="CA16" i="30"/>
  <c r="CA17" i="30"/>
  <c r="CA18" i="30"/>
  <c r="CA19" i="30"/>
  <c r="CA20" i="30"/>
  <c r="CA21" i="30"/>
  <c r="CA22" i="30"/>
  <c r="CA23" i="30"/>
  <c r="CA24" i="30"/>
  <c r="CA25" i="30"/>
  <c r="CA26" i="30"/>
  <c r="CA27" i="30"/>
  <c r="CA28" i="30"/>
  <c r="CA29" i="30"/>
  <c r="CA30" i="30"/>
  <c r="CA31" i="30"/>
  <c r="CA32" i="30"/>
  <c r="CA33" i="30"/>
  <c r="CA34" i="30"/>
  <c r="BT36" i="30"/>
  <c r="BS34" i="30"/>
  <c r="BX8" i="30"/>
  <c r="BX9" i="30"/>
  <c r="BX10" i="30"/>
  <c r="BX11" i="30"/>
  <c r="BX12" i="30"/>
  <c r="BX13" i="30"/>
  <c r="BX14" i="30"/>
  <c r="BX15" i="30"/>
  <c r="BX16" i="30"/>
  <c r="BX17" i="30"/>
  <c r="BX18" i="30"/>
  <c r="BX19" i="30"/>
  <c r="BX20" i="30"/>
  <c r="BX21" i="30"/>
  <c r="BX22" i="30"/>
  <c r="BX23" i="30"/>
  <c r="BX24" i="30"/>
  <c r="BX25" i="30"/>
  <c r="BX26" i="30"/>
  <c r="BX27" i="30"/>
  <c r="BX28" i="30"/>
  <c r="BX29" i="30"/>
  <c r="BX30" i="30"/>
  <c r="BX31" i="30"/>
  <c r="BX32" i="30"/>
  <c r="BX33" i="30"/>
  <c r="BX34" i="30"/>
  <c r="BX35" i="30"/>
  <c r="BW8" i="30"/>
  <c r="BW9" i="30"/>
  <c r="BW10" i="30"/>
  <c r="BW11" i="30"/>
  <c r="BW12" i="30"/>
  <c r="BW13" i="30"/>
  <c r="BW14" i="30"/>
  <c r="BW15" i="30"/>
  <c r="BW16" i="30"/>
  <c r="BW17" i="30"/>
  <c r="BW18" i="30"/>
  <c r="BW19" i="30"/>
  <c r="BW20" i="30"/>
  <c r="BW21" i="30"/>
  <c r="BW22" i="30"/>
  <c r="BW23" i="30"/>
  <c r="BW24" i="30"/>
  <c r="BW25" i="30"/>
  <c r="BW26" i="30"/>
  <c r="BW27" i="30"/>
  <c r="BW28" i="30"/>
  <c r="BW29" i="30"/>
  <c r="BW30" i="30"/>
  <c r="BW31" i="30"/>
  <c r="BW32" i="30"/>
  <c r="BW33" i="30"/>
  <c r="BW34" i="30"/>
  <c r="BT8" i="30"/>
  <c r="BT9" i="30"/>
  <c r="BT10" i="30"/>
  <c r="BT11" i="30"/>
  <c r="BT12" i="30"/>
  <c r="BT13" i="30"/>
  <c r="BT14" i="30"/>
  <c r="BT15" i="30"/>
  <c r="BT16" i="30"/>
  <c r="BT17" i="30"/>
  <c r="BT18" i="30"/>
  <c r="BT19" i="30"/>
  <c r="BT20" i="30"/>
  <c r="BT21" i="30"/>
  <c r="BT22" i="30"/>
  <c r="BT23" i="30"/>
  <c r="BT24" i="30"/>
  <c r="BT25" i="30"/>
  <c r="BT26" i="30"/>
  <c r="BT27" i="30"/>
  <c r="BT28" i="30"/>
  <c r="BT29" i="30"/>
  <c r="BT30" i="30"/>
  <c r="BT31" i="30"/>
  <c r="BT32" i="30"/>
  <c r="BT33" i="30"/>
  <c r="BT34" i="30"/>
  <c r="BT35" i="30"/>
  <c r="BS8" i="30"/>
  <c r="BS9" i="30"/>
  <c r="BS10" i="30"/>
  <c r="BS11" i="30"/>
  <c r="BS12" i="30"/>
  <c r="BS13" i="30"/>
  <c r="BS14" i="30"/>
  <c r="BS15" i="30"/>
  <c r="BS16" i="30"/>
  <c r="BS17" i="30"/>
  <c r="BS18" i="30"/>
  <c r="BS19" i="30"/>
  <c r="BS20" i="30"/>
  <c r="BS21" i="30"/>
  <c r="BS22" i="30"/>
  <c r="BS23" i="30"/>
  <c r="BS24" i="30"/>
  <c r="BS25" i="30"/>
  <c r="BS26" i="30"/>
  <c r="BS27" i="30"/>
  <c r="BS28" i="30"/>
  <c r="BS29" i="30"/>
  <c r="BS30" i="30"/>
  <c r="BS31" i="30"/>
  <c r="BS32" i="30"/>
  <c r="BS33" i="30"/>
  <c r="BP8" i="30"/>
  <c r="BP9" i="30"/>
  <c r="BP10" i="30"/>
  <c r="BP11" i="30"/>
  <c r="BP12" i="30"/>
  <c r="BP13" i="30"/>
  <c r="BP14" i="30"/>
  <c r="BP15" i="30"/>
  <c r="BP16" i="30"/>
  <c r="BP17" i="30"/>
  <c r="BP18" i="30"/>
  <c r="BP19" i="30"/>
  <c r="BP20" i="30"/>
  <c r="BP21" i="30"/>
  <c r="BP22" i="30"/>
  <c r="BP23" i="30"/>
  <c r="BP24" i="30"/>
  <c r="BP25" i="30"/>
  <c r="BP26" i="30"/>
  <c r="BP27" i="30"/>
  <c r="BP28" i="30"/>
  <c r="BP29" i="30"/>
  <c r="BP30" i="30"/>
  <c r="BP31" i="30"/>
  <c r="BP32" i="30"/>
  <c r="BP33" i="30"/>
  <c r="BP34" i="30"/>
  <c r="BP35" i="30"/>
  <c r="BO8" i="30"/>
  <c r="BO9" i="30"/>
  <c r="BO10" i="30"/>
  <c r="BO11" i="30"/>
  <c r="BO12" i="30"/>
  <c r="BO13" i="30"/>
  <c r="BO14" i="30"/>
  <c r="BO15" i="30"/>
  <c r="BO16" i="30"/>
  <c r="BO17" i="30"/>
  <c r="BO18" i="30"/>
  <c r="BO19" i="30"/>
  <c r="BO20" i="30"/>
  <c r="BO21" i="30"/>
  <c r="BO22" i="30"/>
  <c r="BO23" i="30"/>
  <c r="BO24" i="30"/>
  <c r="BO25" i="30"/>
  <c r="BO26" i="30"/>
  <c r="BO27" i="30"/>
  <c r="BO28" i="30"/>
  <c r="BO29" i="30"/>
  <c r="BO30" i="30"/>
  <c r="BO31" i="30"/>
  <c r="BO32" i="30"/>
  <c r="BO33" i="30"/>
  <c r="BO34" i="30"/>
  <c r="CN7" i="30"/>
  <c r="CM7" i="30"/>
  <c r="CJ7" i="30"/>
  <c r="CI7" i="30"/>
  <c r="CF7" i="30"/>
  <c r="CE7" i="30"/>
  <c r="CB7" i="30"/>
  <c r="CA7" i="30"/>
  <c r="BX7" i="30"/>
  <c r="BW7" i="30"/>
  <c r="BT7" i="30"/>
  <c r="BS7" i="30"/>
  <c r="BP7" i="30"/>
  <c r="BO7" i="30"/>
  <c r="BH8" i="30"/>
  <c r="BH9" i="30"/>
  <c r="BH10" i="30"/>
  <c r="BH11" i="30"/>
  <c r="BH12" i="30"/>
  <c r="BH13" i="30"/>
  <c r="BH14" i="30"/>
  <c r="BH15" i="30"/>
  <c r="BH16" i="30"/>
  <c r="BH17" i="30"/>
  <c r="BH18" i="30"/>
  <c r="BH19" i="30"/>
  <c r="BH20" i="30"/>
  <c r="BH21" i="30"/>
  <c r="BH22" i="30"/>
  <c r="BH23" i="30"/>
  <c r="BH24" i="30"/>
  <c r="BH25" i="30"/>
  <c r="BH26" i="30"/>
  <c r="BH27" i="30"/>
  <c r="BH28" i="30"/>
  <c r="BH29" i="30"/>
  <c r="BH30" i="30"/>
  <c r="BH31" i="30"/>
  <c r="BH32" i="30"/>
  <c r="BH33" i="30"/>
  <c r="BH34" i="30"/>
  <c r="BH35" i="30"/>
  <c r="BG8" i="30"/>
  <c r="BG9" i="30"/>
  <c r="BG10" i="30"/>
  <c r="BG11" i="30"/>
  <c r="BG12" i="30"/>
  <c r="BG13" i="30"/>
  <c r="BG14" i="30"/>
  <c r="BG15" i="30"/>
  <c r="BG16" i="30"/>
  <c r="BG17" i="30"/>
  <c r="BG18" i="30"/>
  <c r="BG19" i="30"/>
  <c r="BG20" i="30"/>
  <c r="BG21" i="30"/>
  <c r="BG22" i="30"/>
  <c r="BG23" i="30"/>
  <c r="BG24" i="30"/>
  <c r="BG25" i="30"/>
  <c r="BG26" i="30"/>
  <c r="BG27" i="30"/>
  <c r="BG28" i="30"/>
  <c r="BG29" i="30"/>
  <c r="BG30" i="30"/>
  <c r="BG31" i="30"/>
  <c r="BG32" i="30"/>
  <c r="BG33" i="30"/>
  <c r="BG34" i="30"/>
  <c r="BH7" i="30"/>
  <c r="BG7" i="30"/>
  <c r="BD8" i="30"/>
  <c r="BD9" i="30"/>
  <c r="BD10" i="30"/>
  <c r="BD11" i="30"/>
  <c r="BD12" i="30"/>
  <c r="BD13" i="30"/>
  <c r="BD14" i="30"/>
  <c r="BD15" i="30"/>
  <c r="BD16" i="30"/>
  <c r="BD17" i="30"/>
  <c r="BD18" i="30"/>
  <c r="BD19" i="30"/>
  <c r="BD20" i="30"/>
  <c r="BD21" i="30"/>
  <c r="BD22" i="30"/>
  <c r="BD23" i="30"/>
  <c r="BD24" i="30"/>
  <c r="BD25" i="30"/>
  <c r="BD26" i="30"/>
  <c r="BD27" i="30"/>
  <c r="BD28" i="30"/>
  <c r="BD29" i="30"/>
  <c r="BD30" i="30"/>
  <c r="BD31" i="30"/>
  <c r="BD32" i="30"/>
  <c r="BD33" i="30"/>
  <c r="BD34" i="30"/>
  <c r="BD35" i="30"/>
  <c r="BC8" i="30"/>
  <c r="BC9" i="30"/>
  <c r="BC10" i="30"/>
  <c r="BC11" i="30"/>
  <c r="BC12" i="30"/>
  <c r="BC13" i="30"/>
  <c r="BC14" i="30"/>
  <c r="BC15" i="30"/>
  <c r="BC16" i="30"/>
  <c r="BC17" i="30"/>
  <c r="BC18" i="30"/>
  <c r="BC19" i="30"/>
  <c r="BC20" i="30"/>
  <c r="BC21" i="30"/>
  <c r="BC22" i="30"/>
  <c r="BC23" i="30"/>
  <c r="BC24" i="30"/>
  <c r="BC25" i="30"/>
  <c r="BC26" i="30"/>
  <c r="BC27" i="30"/>
  <c r="BC28" i="30"/>
  <c r="BC29" i="30"/>
  <c r="BC30" i="30"/>
  <c r="BC31" i="30"/>
  <c r="BC32" i="30"/>
  <c r="BC33" i="30"/>
  <c r="BC34" i="30"/>
  <c r="BD7" i="30"/>
  <c r="BC7" i="30"/>
  <c r="AZ8" i="30"/>
  <c r="AZ9" i="30"/>
  <c r="AZ10" i="30"/>
  <c r="AZ11" i="30"/>
  <c r="AZ12" i="30"/>
  <c r="AZ13" i="30"/>
  <c r="AZ14" i="30"/>
  <c r="AZ15" i="30"/>
  <c r="AZ16" i="30"/>
  <c r="AZ17" i="30"/>
  <c r="AZ18" i="30"/>
  <c r="AZ19" i="30"/>
  <c r="AZ20" i="30"/>
  <c r="AZ21" i="30"/>
  <c r="AZ22" i="30"/>
  <c r="AZ23" i="30"/>
  <c r="AZ24" i="30"/>
  <c r="AZ25" i="30"/>
  <c r="AZ26" i="30"/>
  <c r="AZ27" i="30"/>
  <c r="AZ28" i="30"/>
  <c r="AZ29" i="30"/>
  <c r="AZ30" i="30"/>
  <c r="AZ31" i="30"/>
  <c r="AZ32" i="30"/>
  <c r="AZ33" i="30"/>
  <c r="AZ34" i="30"/>
  <c r="AZ35" i="30"/>
  <c r="AY8" i="30"/>
  <c r="AY9" i="30"/>
  <c r="AY10" i="30"/>
  <c r="AY11" i="30"/>
  <c r="AY12" i="30"/>
  <c r="AY13" i="30"/>
  <c r="AY14" i="30"/>
  <c r="AY15" i="30"/>
  <c r="AY16" i="30"/>
  <c r="AY17" i="30"/>
  <c r="AY18" i="30"/>
  <c r="AY19" i="30"/>
  <c r="AY20" i="30"/>
  <c r="AY21" i="30"/>
  <c r="AY22" i="30"/>
  <c r="AY23" i="30"/>
  <c r="AY24" i="30"/>
  <c r="AY25" i="30"/>
  <c r="AY26" i="30"/>
  <c r="AY27" i="30"/>
  <c r="AY28" i="30"/>
  <c r="AY29" i="30"/>
  <c r="AY30" i="30"/>
  <c r="AY31" i="30"/>
  <c r="AY32" i="30"/>
  <c r="AY33" i="30"/>
  <c r="AY34" i="30"/>
  <c r="AZ7" i="30"/>
  <c r="AY7" i="30"/>
  <c r="AV8" i="30"/>
  <c r="AV9" i="30"/>
  <c r="AV10" i="30"/>
  <c r="AV11" i="30"/>
  <c r="AV12" i="30"/>
  <c r="AV13" i="30"/>
  <c r="AV14" i="30"/>
  <c r="AV15" i="30"/>
  <c r="AV16" i="30"/>
  <c r="AV17" i="30"/>
  <c r="AV18" i="30"/>
  <c r="AV19" i="30"/>
  <c r="AV20" i="30"/>
  <c r="AV21" i="30"/>
  <c r="AV22" i="30"/>
  <c r="AV23" i="30"/>
  <c r="AV24" i="30"/>
  <c r="AV25" i="30"/>
  <c r="AV26" i="30"/>
  <c r="AV27" i="30"/>
  <c r="AV28" i="30"/>
  <c r="AV29" i="30"/>
  <c r="AV30" i="30"/>
  <c r="AV31" i="30"/>
  <c r="AV32" i="30"/>
  <c r="AV33" i="30"/>
  <c r="AV34" i="30"/>
  <c r="AV35" i="30"/>
  <c r="AU8" i="30"/>
  <c r="AU9" i="30"/>
  <c r="AU10" i="30"/>
  <c r="AU11" i="30"/>
  <c r="AU12" i="30"/>
  <c r="AU13" i="30"/>
  <c r="AU14" i="30"/>
  <c r="AU15" i="30"/>
  <c r="AU16" i="30"/>
  <c r="AU17" i="30"/>
  <c r="AU18" i="30"/>
  <c r="AU19" i="30"/>
  <c r="AU20" i="30"/>
  <c r="AU21" i="30"/>
  <c r="AU22" i="30"/>
  <c r="AU23" i="30"/>
  <c r="AU24" i="30"/>
  <c r="AU25" i="30"/>
  <c r="AU26" i="30"/>
  <c r="AU27" i="30"/>
  <c r="AU28" i="30"/>
  <c r="AU29" i="30"/>
  <c r="AU30" i="30"/>
  <c r="AU31" i="30"/>
  <c r="AU32" i="30"/>
  <c r="AU33" i="30"/>
  <c r="AU34" i="30"/>
  <c r="AV7" i="30"/>
  <c r="AU7" i="30"/>
  <c r="AR8" i="30"/>
  <c r="AR9" i="30"/>
  <c r="AR10" i="30"/>
  <c r="AR11" i="30"/>
  <c r="AR12" i="30"/>
  <c r="AR13" i="30"/>
  <c r="AR14" i="30"/>
  <c r="AR15" i="30"/>
  <c r="AR16" i="30"/>
  <c r="AR17" i="30"/>
  <c r="AR18" i="30"/>
  <c r="AR19" i="30"/>
  <c r="AR20" i="30"/>
  <c r="AR21" i="30"/>
  <c r="AR22" i="30"/>
  <c r="AR23" i="30"/>
  <c r="AR24" i="30"/>
  <c r="AR25" i="30"/>
  <c r="AR26" i="30"/>
  <c r="AR27" i="30"/>
  <c r="AR28" i="30"/>
  <c r="AR29" i="30"/>
  <c r="AR30" i="30"/>
  <c r="AR31" i="30"/>
  <c r="AR32" i="30"/>
  <c r="AR33" i="30"/>
  <c r="AR34" i="30"/>
  <c r="AR35" i="30"/>
  <c r="AR7" i="30"/>
  <c r="AQ8" i="30"/>
  <c r="AQ9" i="30"/>
  <c r="AQ10" i="30"/>
  <c r="AQ11" i="30"/>
  <c r="AQ12" i="30"/>
  <c r="AQ13" i="30"/>
  <c r="AQ14" i="30"/>
  <c r="AQ15" i="30"/>
  <c r="AQ16" i="30"/>
  <c r="AQ17" i="30"/>
  <c r="AQ18" i="30"/>
  <c r="AQ19" i="30"/>
  <c r="AQ20" i="30"/>
  <c r="AQ21" i="30"/>
  <c r="AQ22" i="30"/>
  <c r="AQ23" i="30"/>
  <c r="AQ24" i="30"/>
  <c r="AQ25" i="30"/>
  <c r="AQ26" i="30"/>
  <c r="AQ27" i="30"/>
  <c r="AQ28" i="30"/>
  <c r="AQ29" i="30"/>
  <c r="AQ30" i="30"/>
  <c r="AQ31" i="30"/>
  <c r="AQ32" i="30"/>
  <c r="AQ33" i="30"/>
  <c r="AQ34" i="30"/>
  <c r="AQ7" i="30"/>
  <c r="AN8" i="30"/>
  <c r="AN9" i="30"/>
  <c r="AN10" i="30"/>
  <c r="AN11" i="30"/>
  <c r="AN12" i="30"/>
  <c r="AN13" i="30"/>
  <c r="AN14" i="30"/>
  <c r="AN15" i="30"/>
  <c r="AN16" i="30"/>
  <c r="AN17" i="30"/>
  <c r="AN18" i="30"/>
  <c r="AN19" i="30"/>
  <c r="AN20" i="30"/>
  <c r="AN21" i="30"/>
  <c r="AN22" i="30"/>
  <c r="AN23" i="30"/>
  <c r="AN24" i="30"/>
  <c r="AN25" i="30"/>
  <c r="AN26" i="30"/>
  <c r="AN27" i="30"/>
  <c r="AN28" i="30"/>
  <c r="AN29" i="30"/>
  <c r="AN30" i="30"/>
  <c r="AN31" i="30"/>
  <c r="AN32" i="30"/>
  <c r="AN33" i="30"/>
  <c r="AN34" i="30"/>
  <c r="AN35" i="30"/>
  <c r="AN7" i="30"/>
  <c r="AM8" i="30"/>
  <c r="AM9" i="30"/>
  <c r="AM10" i="30"/>
  <c r="AM11" i="30"/>
  <c r="AM12" i="30"/>
  <c r="AM13" i="30"/>
  <c r="AM14" i="30"/>
  <c r="AM15" i="30"/>
  <c r="AM16" i="30"/>
  <c r="AM17" i="30"/>
  <c r="AM18" i="30"/>
  <c r="AM19" i="30"/>
  <c r="AM20" i="30"/>
  <c r="AM21" i="30"/>
  <c r="AM22" i="30"/>
  <c r="AM23" i="30"/>
  <c r="AM24" i="30"/>
  <c r="AM25" i="30"/>
  <c r="AM26" i="30"/>
  <c r="AM27" i="30"/>
  <c r="AM28" i="30"/>
  <c r="AM29" i="30"/>
  <c r="AM30" i="30"/>
  <c r="AM31" i="30"/>
  <c r="AM32" i="30"/>
  <c r="AM33" i="30"/>
  <c r="AM34" i="30"/>
  <c r="AM7" i="30"/>
  <c r="AJ8" i="30"/>
  <c r="AJ9" i="30"/>
  <c r="AJ10" i="30"/>
  <c r="AJ11" i="30"/>
  <c r="AJ12" i="30"/>
  <c r="AJ13" i="30"/>
  <c r="AJ14" i="30"/>
  <c r="AJ15" i="30"/>
  <c r="AJ16" i="30"/>
  <c r="AJ17" i="30"/>
  <c r="AJ18" i="30"/>
  <c r="AJ19" i="30"/>
  <c r="AJ20" i="30"/>
  <c r="AJ21" i="30"/>
  <c r="AJ22" i="30"/>
  <c r="AJ23" i="30"/>
  <c r="AJ24" i="30"/>
  <c r="AJ25" i="30"/>
  <c r="AJ26" i="30"/>
  <c r="AJ27" i="30"/>
  <c r="AJ28" i="30"/>
  <c r="AJ29" i="30"/>
  <c r="AJ30" i="30"/>
  <c r="AJ31" i="30"/>
  <c r="AJ32" i="30"/>
  <c r="AJ33" i="30"/>
  <c r="AJ34" i="30"/>
  <c r="AJ35" i="30"/>
  <c r="AI8" i="30"/>
  <c r="AI9" i="30"/>
  <c r="AI10" i="30"/>
  <c r="AI11" i="30"/>
  <c r="AI12" i="30"/>
  <c r="AI13" i="30"/>
  <c r="AI14" i="30"/>
  <c r="AI15" i="30"/>
  <c r="AI16" i="30"/>
  <c r="AI17" i="30"/>
  <c r="AI18" i="30"/>
  <c r="AI19" i="30"/>
  <c r="AI20" i="30"/>
  <c r="AI21" i="30"/>
  <c r="AI22" i="30"/>
  <c r="AI23" i="30"/>
  <c r="AI24" i="30"/>
  <c r="AI25" i="30"/>
  <c r="AI26" i="30"/>
  <c r="AI27" i="30"/>
  <c r="AI28" i="30"/>
  <c r="AI29" i="30"/>
  <c r="AI30" i="30"/>
  <c r="AI31" i="30"/>
  <c r="AI32" i="30"/>
  <c r="AI33" i="30"/>
  <c r="AI34" i="30"/>
  <c r="AJ7" i="30"/>
  <c r="AI7" i="30"/>
  <c r="AB8" i="30"/>
  <c r="AB9" i="30"/>
  <c r="AB10" i="30"/>
  <c r="AB11" i="30"/>
  <c r="AB12" i="30"/>
  <c r="AB13" i="30"/>
  <c r="AB14" i="30"/>
  <c r="AB15" i="30"/>
  <c r="AB16" i="30"/>
  <c r="AB17" i="30"/>
  <c r="AB18" i="30"/>
  <c r="AB19" i="30"/>
  <c r="AB20" i="30"/>
  <c r="AB21" i="30"/>
  <c r="AB22" i="30"/>
  <c r="AB23" i="30"/>
  <c r="AB24" i="30"/>
  <c r="AB25" i="30"/>
  <c r="AB26" i="30"/>
  <c r="AB27" i="30"/>
  <c r="AB28" i="30"/>
  <c r="AB29" i="30"/>
  <c r="AB30" i="30"/>
  <c r="AB31" i="30"/>
  <c r="AB32" i="30"/>
  <c r="AB33" i="30"/>
  <c r="AB34" i="30"/>
  <c r="AB35" i="30"/>
  <c r="X8" i="30"/>
  <c r="X9" i="30"/>
  <c r="X10" i="30"/>
  <c r="X11" i="30"/>
  <c r="X12" i="30"/>
  <c r="X13" i="30"/>
  <c r="X14" i="30"/>
  <c r="X15" i="30"/>
  <c r="X16" i="30"/>
  <c r="X17" i="30"/>
  <c r="X18" i="30"/>
  <c r="X19" i="30"/>
  <c r="X20" i="30"/>
  <c r="X21" i="30"/>
  <c r="X22" i="30"/>
  <c r="X23" i="30"/>
  <c r="X24" i="30"/>
  <c r="X25" i="30"/>
  <c r="X26" i="30"/>
  <c r="X27" i="30"/>
  <c r="X28" i="30"/>
  <c r="X29" i="30"/>
  <c r="X30" i="30"/>
  <c r="X31" i="30"/>
  <c r="X32" i="30"/>
  <c r="X33" i="30"/>
  <c r="X34" i="30"/>
  <c r="X35" i="30"/>
  <c r="AA8" i="30"/>
  <c r="AA9" i="30"/>
  <c r="AA10" i="30"/>
  <c r="AA11" i="30"/>
  <c r="AA12" i="30"/>
  <c r="AA13" i="30"/>
  <c r="AA14" i="30"/>
  <c r="AA15" i="30"/>
  <c r="AA16" i="30"/>
  <c r="AA17" i="30"/>
  <c r="AA18" i="30"/>
  <c r="AA19" i="30"/>
  <c r="AA20" i="30"/>
  <c r="AA21" i="30"/>
  <c r="AA22" i="30"/>
  <c r="AA23" i="30"/>
  <c r="AA24" i="30"/>
  <c r="AA25" i="30"/>
  <c r="AA26" i="30"/>
  <c r="AA27" i="30"/>
  <c r="AA28" i="30"/>
  <c r="AA29" i="30"/>
  <c r="AA30" i="30"/>
  <c r="AA31" i="30"/>
  <c r="AA32" i="30"/>
  <c r="AA33" i="30"/>
  <c r="AA34" i="30"/>
  <c r="W8" i="30"/>
  <c r="W9" i="30"/>
  <c r="W10" i="30"/>
  <c r="W11" i="30"/>
  <c r="W12" i="30"/>
  <c r="W13" i="30"/>
  <c r="W14" i="30"/>
  <c r="W15" i="30"/>
  <c r="W16" i="30"/>
  <c r="W17" i="30"/>
  <c r="W18" i="30"/>
  <c r="W19" i="30"/>
  <c r="W20" i="30"/>
  <c r="W21" i="30"/>
  <c r="W22" i="30"/>
  <c r="W23" i="30"/>
  <c r="W24" i="30"/>
  <c r="W25" i="30"/>
  <c r="W26" i="30"/>
  <c r="W27" i="30"/>
  <c r="W28" i="30"/>
  <c r="W29" i="30"/>
  <c r="W30" i="30"/>
  <c r="W31" i="30"/>
  <c r="W32" i="30"/>
  <c r="W33" i="30"/>
  <c r="W34" i="30"/>
  <c r="AB7" i="30"/>
  <c r="AA7" i="30"/>
  <c r="X7" i="30"/>
  <c r="W7" i="30"/>
  <c r="T8" i="30"/>
  <c r="T9" i="30"/>
  <c r="T10" i="30"/>
  <c r="T11" i="30"/>
  <c r="T12" i="30"/>
  <c r="T13" i="30"/>
  <c r="T14" i="30"/>
  <c r="T15" i="30"/>
  <c r="T16" i="30"/>
  <c r="T17" i="30"/>
  <c r="T18" i="30"/>
  <c r="T19" i="30"/>
  <c r="T20" i="30"/>
  <c r="T21" i="30"/>
  <c r="T22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7" i="30"/>
  <c r="S8" i="30"/>
  <c r="S9" i="30"/>
  <c r="S10" i="30"/>
  <c r="S11" i="30"/>
  <c r="S12" i="30"/>
  <c r="S13" i="30"/>
  <c r="S14" i="30"/>
  <c r="S15" i="30"/>
  <c r="S16" i="30"/>
  <c r="S17" i="30"/>
  <c r="S18" i="30"/>
  <c r="S19" i="30"/>
  <c r="S20" i="30"/>
  <c r="S21" i="30"/>
  <c r="S22" i="30"/>
  <c r="S23" i="30"/>
  <c r="S24" i="30"/>
  <c r="S25" i="30"/>
  <c r="S26" i="30"/>
  <c r="S27" i="30"/>
  <c r="S28" i="30"/>
  <c r="S29" i="30"/>
  <c r="S30" i="30"/>
  <c r="S31" i="30"/>
  <c r="S32" i="30"/>
  <c r="S33" i="30"/>
  <c r="S34" i="30"/>
  <c r="S7" i="30"/>
  <c r="P8" i="30"/>
  <c r="P9" i="30"/>
  <c r="P10" i="30"/>
  <c r="P11" i="30"/>
  <c r="P12" i="30"/>
  <c r="P13" i="30"/>
  <c r="P14" i="30"/>
  <c r="P15" i="30"/>
  <c r="P16" i="30"/>
  <c r="P17" i="30"/>
  <c r="P18" i="30"/>
  <c r="P19" i="30"/>
  <c r="P20" i="30"/>
  <c r="P21" i="30"/>
  <c r="P22" i="30"/>
  <c r="P23" i="30"/>
  <c r="P24" i="30"/>
  <c r="P25" i="30"/>
  <c r="P26" i="30"/>
  <c r="P27" i="30"/>
  <c r="P28" i="30"/>
  <c r="P29" i="30"/>
  <c r="P30" i="30"/>
  <c r="P31" i="30"/>
  <c r="P32" i="30"/>
  <c r="P33" i="30"/>
  <c r="P34" i="30"/>
  <c r="P35" i="30"/>
  <c r="P7" i="30"/>
  <c r="O8" i="30"/>
  <c r="O9" i="30"/>
  <c r="O10" i="30"/>
  <c r="O11" i="30"/>
  <c r="O12" i="30"/>
  <c r="O13" i="30"/>
  <c r="O14" i="30"/>
  <c r="O15" i="30"/>
  <c r="O16" i="30"/>
  <c r="O17" i="30"/>
  <c r="O18" i="30"/>
  <c r="O19" i="30"/>
  <c r="O20" i="30"/>
  <c r="O21" i="30"/>
  <c r="O22" i="30"/>
  <c r="O23" i="30"/>
  <c r="O24" i="30"/>
  <c r="O25" i="30"/>
  <c r="O26" i="30"/>
  <c r="O27" i="30"/>
  <c r="O28" i="30"/>
  <c r="O29" i="30"/>
  <c r="O30" i="30"/>
  <c r="O31" i="30"/>
  <c r="O32" i="30"/>
  <c r="O33" i="30"/>
  <c r="O34" i="30"/>
  <c r="O7" i="30"/>
  <c r="K8" i="30"/>
  <c r="K9" i="30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31" i="30"/>
  <c r="K32" i="30"/>
  <c r="K33" i="30"/>
  <c r="K34" i="30"/>
  <c r="H8" i="30"/>
  <c r="H9" i="30"/>
  <c r="H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23" i="30"/>
  <c r="H24" i="30"/>
  <c r="H25" i="30"/>
  <c r="H26" i="30"/>
  <c r="H27" i="30"/>
  <c r="H28" i="30"/>
  <c r="H29" i="30"/>
  <c r="H30" i="30"/>
  <c r="H31" i="30"/>
  <c r="H32" i="30"/>
  <c r="H33" i="30"/>
  <c r="H34" i="30"/>
  <c r="H35" i="30"/>
  <c r="H7" i="30"/>
  <c r="L7" i="30"/>
  <c r="L8" i="30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5" i="30"/>
  <c r="L26" i="30"/>
  <c r="L27" i="30"/>
  <c r="L28" i="30"/>
  <c r="L29" i="30"/>
  <c r="L30" i="30"/>
  <c r="L31" i="30"/>
  <c r="L32" i="30"/>
  <c r="L33" i="30"/>
  <c r="L34" i="30"/>
  <c r="L35" i="30"/>
  <c r="K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7" i="30"/>
  <c r="D35" i="30"/>
  <c r="C8" i="30"/>
  <c r="D8" i="30"/>
  <c r="C9" i="30"/>
  <c r="D9" i="30"/>
  <c r="C10" i="30"/>
  <c r="D10" i="30"/>
  <c r="C11" i="30"/>
  <c r="D11" i="30"/>
  <c r="C12" i="30"/>
  <c r="D12" i="30"/>
  <c r="C13" i="30"/>
  <c r="D13" i="30"/>
  <c r="C14" i="30"/>
  <c r="D14" i="30"/>
  <c r="C15" i="30"/>
  <c r="D15" i="30"/>
  <c r="C16" i="30"/>
  <c r="D16" i="30"/>
  <c r="C17" i="30"/>
  <c r="D17" i="30"/>
  <c r="C18" i="30"/>
  <c r="D18" i="30"/>
  <c r="C19" i="30"/>
  <c r="D19" i="30"/>
  <c r="C20" i="30"/>
  <c r="D20" i="30"/>
  <c r="C21" i="30"/>
  <c r="D21" i="30"/>
  <c r="C22" i="30"/>
  <c r="D22" i="30"/>
  <c r="C23" i="30"/>
  <c r="D23" i="30"/>
  <c r="C24" i="30"/>
  <c r="D24" i="30"/>
  <c r="C25" i="30"/>
  <c r="D25" i="30"/>
  <c r="C26" i="30"/>
  <c r="D26" i="30"/>
  <c r="C27" i="30"/>
  <c r="D27" i="30"/>
  <c r="C28" i="30"/>
  <c r="D28" i="30"/>
  <c r="C29" i="30"/>
  <c r="D29" i="30"/>
  <c r="C30" i="30"/>
  <c r="D30" i="30"/>
  <c r="C31" i="30"/>
  <c r="D31" i="30"/>
  <c r="C32" i="30"/>
  <c r="D32" i="30"/>
  <c r="C33" i="30"/>
  <c r="D33" i="30"/>
  <c r="C34" i="30"/>
  <c r="D34" i="30"/>
  <c r="D7" i="30"/>
  <c r="C7" i="30"/>
  <c r="FV7" i="25"/>
  <c r="FV8" i="25"/>
  <c r="FV9" i="25"/>
  <c r="FV10" i="25"/>
  <c r="FV11" i="25"/>
  <c r="FV12" i="25"/>
  <c r="FV13" i="25"/>
  <c r="FV14" i="25"/>
  <c r="FV15" i="25"/>
  <c r="FV16" i="25"/>
  <c r="FV17" i="25"/>
  <c r="FV18" i="25"/>
  <c r="FV19" i="25"/>
  <c r="FV20" i="25"/>
  <c r="FV21" i="25"/>
  <c r="FV22" i="25"/>
  <c r="FV23" i="25"/>
  <c r="FV24" i="25"/>
  <c r="FV25" i="25"/>
  <c r="FV26" i="25"/>
  <c r="FV27" i="25"/>
  <c r="FV28" i="25"/>
  <c r="FV29" i="25"/>
  <c r="FV30" i="25"/>
  <c r="FV31" i="25"/>
  <c r="FV32" i="25"/>
  <c r="FV33" i="25"/>
  <c r="FV34" i="25"/>
  <c r="FV6" i="25"/>
  <c r="J570" i="32"/>
  <c r="J569" i="32"/>
  <c r="J568" i="32"/>
  <c r="J567" i="32"/>
  <c r="H567" i="32"/>
  <c r="J566" i="32"/>
  <c r="J565" i="32"/>
  <c r="J564" i="32"/>
  <c r="J561" i="32"/>
  <c r="J560" i="32"/>
  <c r="J559" i="32"/>
  <c r="J558" i="32"/>
  <c r="FZ14" i="25"/>
  <c r="FZ16" i="25"/>
  <c r="KF17" i="28"/>
  <c r="KJ17" i="28"/>
  <c r="KN17" i="28"/>
  <c r="KR17" i="28"/>
  <c r="KT17" i="28" s="1"/>
  <c r="KV17" i="28"/>
  <c r="KZ17" i="28"/>
  <c r="LD17" i="28"/>
  <c r="LH17" i="28"/>
  <c r="FQ14" i="25"/>
  <c r="FQ16" i="25"/>
  <c r="IZ17" i="28"/>
  <c r="JB17" i="28" s="1"/>
  <c r="JD17" i="28"/>
  <c r="JF17" i="28" s="1"/>
  <c r="JH17" i="28"/>
  <c r="JJ17" i="28" s="1"/>
  <c r="JL17" i="28"/>
  <c r="JN17" i="28" s="1"/>
  <c r="JP17" i="28"/>
  <c r="JR17" i="28" s="1"/>
  <c r="JT17" i="28"/>
  <c r="JV17" i="28" s="1"/>
  <c r="JX17" i="28"/>
  <c r="JZ17" i="28" s="1"/>
  <c r="KB17" i="28"/>
  <c r="HQ17" i="28"/>
  <c r="FG14" i="25"/>
  <c r="FG16" i="25"/>
  <c r="GN17" i="28"/>
  <c r="GR17" i="28"/>
  <c r="GV17" i="28"/>
  <c r="GZ17" i="28"/>
  <c r="HD17" i="28"/>
  <c r="HH17" i="28"/>
  <c r="HL17" i="28"/>
  <c r="HP17" i="28"/>
  <c r="HR17" i="28"/>
  <c r="HN17" i="28"/>
  <c r="HJ17" i="28"/>
  <c r="HF17" i="28"/>
  <c r="HB17" i="28"/>
  <c r="GX17" i="28"/>
  <c r="GT17" i="28"/>
  <c r="GO6" i="25"/>
  <c r="GJ6" i="25"/>
  <c r="GE6" i="25"/>
  <c r="FZ6" i="25"/>
  <c r="GS6" i="25"/>
  <c r="J6" i="24"/>
  <c r="GO7" i="25"/>
  <c r="GJ7" i="25"/>
  <c r="GE7" i="25"/>
  <c r="FZ7" i="25"/>
  <c r="GS7" i="25"/>
  <c r="J7" i="24"/>
  <c r="GO8" i="25"/>
  <c r="GJ8" i="25"/>
  <c r="GE8" i="25"/>
  <c r="FZ8" i="25"/>
  <c r="GS8" i="25"/>
  <c r="J8" i="24"/>
  <c r="GO9" i="25"/>
  <c r="GJ9" i="25"/>
  <c r="GE9" i="25"/>
  <c r="FZ9" i="25"/>
  <c r="GS9" i="25"/>
  <c r="J9" i="24"/>
  <c r="GO10" i="25"/>
  <c r="GJ10" i="25"/>
  <c r="GE10" i="25"/>
  <c r="FZ10" i="25"/>
  <c r="GS10" i="25"/>
  <c r="J10" i="24"/>
  <c r="GO11" i="25"/>
  <c r="GJ11" i="25"/>
  <c r="GE11" i="25"/>
  <c r="FZ11" i="25"/>
  <c r="GS11" i="25"/>
  <c r="J11" i="24"/>
  <c r="GO12" i="25"/>
  <c r="GJ12" i="25"/>
  <c r="GJ51" i="25" s="1"/>
  <c r="GE12" i="25"/>
  <c r="FZ12" i="25"/>
  <c r="GS12" i="25"/>
  <c r="J12" i="24"/>
  <c r="GO13" i="25"/>
  <c r="GJ13" i="25"/>
  <c r="GE13" i="25"/>
  <c r="FZ13" i="25"/>
  <c r="GS13" i="25"/>
  <c r="J13" i="24"/>
  <c r="GO14" i="25"/>
  <c r="GO17" i="25" s="1"/>
  <c r="GJ14" i="25"/>
  <c r="GJ16" i="25" s="1"/>
  <c r="GJ52" i="25" s="1"/>
  <c r="GL52" i="25" s="1"/>
  <c r="GE14" i="25"/>
  <c r="GS14" i="25"/>
  <c r="J14" i="24"/>
  <c r="GO15" i="25"/>
  <c r="GJ15" i="25"/>
  <c r="GE15" i="25"/>
  <c r="FZ15" i="25"/>
  <c r="GS15" i="25"/>
  <c r="J15" i="24"/>
  <c r="GO16" i="25"/>
  <c r="GE16" i="25"/>
  <c r="GS16" i="25"/>
  <c r="J16" i="24"/>
  <c r="GJ17" i="25"/>
  <c r="GE17" i="25"/>
  <c r="FZ17" i="25"/>
  <c r="GS17" i="25"/>
  <c r="J17" i="24"/>
  <c r="GO18" i="25"/>
  <c r="GJ18" i="25"/>
  <c r="GE18" i="25"/>
  <c r="FZ18" i="25"/>
  <c r="GS18" i="25"/>
  <c r="J18" i="24"/>
  <c r="GO19" i="25"/>
  <c r="GJ19" i="25"/>
  <c r="GE19" i="25"/>
  <c r="FZ19" i="25"/>
  <c r="GS19" i="25"/>
  <c r="J19" i="24"/>
  <c r="GO20" i="25"/>
  <c r="GJ20" i="25"/>
  <c r="GE20" i="25"/>
  <c r="FZ20" i="25"/>
  <c r="GS20" i="25"/>
  <c r="J20" i="24"/>
  <c r="GO21" i="25"/>
  <c r="GJ21" i="25"/>
  <c r="GE21" i="25"/>
  <c r="FZ21" i="25"/>
  <c r="GS21" i="25"/>
  <c r="J21" i="24"/>
  <c r="GO22" i="25"/>
  <c r="GJ22" i="25"/>
  <c r="GE22" i="25"/>
  <c r="FZ22" i="25"/>
  <c r="GS22" i="25"/>
  <c r="J22" i="24"/>
  <c r="GO23" i="25"/>
  <c r="GJ23" i="25"/>
  <c r="GE23" i="25"/>
  <c r="FZ23" i="25"/>
  <c r="GS23" i="25"/>
  <c r="J23" i="24"/>
  <c r="GO24" i="25"/>
  <c r="GJ24" i="25"/>
  <c r="GE24" i="25"/>
  <c r="FZ24" i="25"/>
  <c r="GS24" i="25"/>
  <c r="J24" i="24"/>
  <c r="GO25" i="25"/>
  <c r="GJ25" i="25"/>
  <c r="GO29" i="25"/>
  <c r="GO26" i="25"/>
  <c r="GJ29" i="25"/>
  <c r="GJ26" i="25"/>
  <c r="FZ29" i="25"/>
  <c r="FZ26" i="25" s="1"/>
  <c r="GO27" i="25"/>
  <c r="GJ27" i="25"/>
  <c r="FZ27" i="25"/>
  <c r="GO28" i="25"/>
  <c r="GJ28" i="25"/>
  <c r="GO30" i="25"/>
  <c r="GJ30" i="25"/>
  <c r="FZ30" i="25"/>
  <c r="GO31" i="25"/>
  <c r="FZ31" i="25"/>
  <c r="GO32" i="25"/>
  <c r="GJ32" i="25"/>
  <c r="FZ32" i="25"/>
  <c r="GO33" i="25"/>
  <c r="GJ33" i="25"/>
  <c r="NL34" i="28" s="1"/>
  <c r="FZ33" i="25"/>
  <c r="GO34" i="25"/>
  <c r="GJ34" i="25"/>
  <c r="GJ53" i="25" s="1"/>
  <c r="GL53" i="25" s="1"/>
  <c r="FZ34" i="25"/>
  <c r="GX6" i="25"/>
  <c r="GX7" i="25"/>
  <c r="GX8" i="25"/>
  <c r="GX9" i="25"/>
  <c r="GX10" i="25"/>
  <c r="GX11" i="25"/>
  <c r="GX12" i="25"/>
  <c r="GX13" i="25"/>
  <c r="GX14" i="25"/>
  <c r="GX15" i="25"/>
  <c r="GX16" i="25"/>
  <c r="GX18" i="25"/>
  <c r="GX19" i="25"/>
  <c r="GX20" i="25"/>
  <c r="GX21" i="25"/>
  <c r="GX22" i="25"/>
  <c r="GX23" i="25"/>
  <c r="GX24" i="25"/>
  <c r="GX29" i="25"/>
  <c r="GX26" i="25"/>
  <c r="GX27" i="25"/>
  <c r="GX28" i="25"/>
  <c r="GX30" i="25"/>
  <c r="GX33" i="25"/>
  <c r="GX34" i="25"/>
  <c r="O6" i="24"/>
  <c r="O7" i="24"/>
  <c r="O8" i="24"/>
  <c r="O9" i="24"/>
  <c r="O10" i="24"/>
  <c r="O11" i="24"/>
  <c r="O12" i="24"/>
  <c r="O13" i="24"/>
  <c r="O14" i="24"/>
  <c r="O15" i="24"/>
  <c r="O16" i="24"/>
  <c r="O17" i="24"/>
  <c r="O18" i="24"/>
  <c r="O19" i="24"/>
  <c r="O20" i="24"/>
  <c r="O21" i="24"/>
  <c r="O22" i="24"/>
  <c r="O23" i="24"/>
  <c r="O24" i="24"/>
  <c r="O25" i="24"/>
  <c r="O26" i="24"/>
  <c r="O27" i="24"/>
  <c r="O28" i="24"/>
  <c r="O29" i="24"/>
  <c r="O30" i="24"/>
  <c r="O31" i="24"/>
  <c r="O32" i="24"/>
  <c r="O33" i="24"/>
  <c r="O34" i="24"/>
  <c r="P6" i="24"/>
  <c r="P7" i="24"/>
  <c r="P8" i="24"/>
  <c r="P9" i="24"/>
  <c r="P10" i="24"/>
  <c r="P11" i="24"/>
  <c r="P12" i="24"/>
  <c r="P13" i="24"/>
  <c r="P14" i="24"/>
  <c r="P15" i="24"/>
  <c r="P16" i="24"/>
  <c r="P17" i="24"/>
  <c r="P18" i="24"/>
  <c r="P19" i="24"/>
  <c r="P20" i="24"/>
  <c r="P21" i="24"/>
  <c r="P22" i="24"/>
  <c r="P23" i="24"/>
  <c r="P24" i="24"/>
  <c r="P25" i="24"/>
  <c r="P26" i="24"/>
  <c r="P27" i="24"/>
  <c r="P28" i="24"/>
  <c r="P29" i="24"/>
  <c r="P30" i="24"/>
  <c r="P31" i="24"/>
  <c r="P32" i="24"/>
  <c r="P33" i="24"/>
  <c r="P34" i="24"/>
  <c r="P35" i="24"/>
  <c r="Q6" i="24"/>
  <c r="Q7" i="24"/>
  <c r="Q8" i="24"/>
  <c r="Q9" i="24"/>
  <c r="Q10" i="24"/>
  <c r="Q11" i="24"/>
  <c r="Q12" i="24"/>
  <c r="Q13" i="24"/>
  <c r="Q14" i="24"/>
  <c r="Q15" i="24"/>
  <c r="Q16" i="24"/>
  <c r="Q17" i="24"/>
  <c r="Q18" i="24"/>
  <c r="Q19" i="24"/>
  <c r="Q20" i="24"/>
  <c r="Q21" i="24"/>
  <c r="Q22" i="24"/>
  <c r="Q23" i="24"/>
  <c r="Q24" i="24"/>
  <c r="Q25" i="24"/>
  <c r="Q26" i="24"/>
  <c r="Q27" i="24"/>
  <c r="Q28" i="24"/>
  <c r="Q29" i="24"/>
  <c r="Q30" i="24"/>
  <c r="Q31" i="24"/>
  <c r="Q32" i="24"/>
  <c r="Q33" i="24"/>
  <c r="Q34" i="24"/>
  <c r="Q35" i="24"/>
  <c r="R6" i="24"/>
  <c r="R7" i="24"/>
  <c r="R8" i="24"/>
  <c r="R9" i="24"/>
  <c r="R10" i="24"/>
  <c r="R11" i="24"/>
  <c r="R12" i="24"/>
  <c r="R13" i="24"/>
  <c r="R14" i="24"/>
  <c r="R15" i="24"/>
  <c r="R16" i="24"/>
  <c r="R17" i="24"/>
  <c r="R18" i="24"/>
  <c r="R19" i="24"/>
  <c r="R20" i="24"/>
  <c r="R21" i="24"/>
  <c r="R22" i="24"/>
  <c r="R23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S6" i="24"/>
  <c r="S7" i="24"/>
  <c r="S8" i="24"/>
  <c r="S9" i="24"/>
  <c r="S10" i="24"/>
  <c r="S11" i="24"/>
  <c r="S12" i="24"/>
  <c r="S13" i="24"/>
  <c r="S14" i="24"/>
  <c r="S15" i="24"/>
  <c r="S16" i="24"/>
  <c r="S17" i="24"/>
  <c r="S18" i="24"/>
  <c r="S19" i="24"/>
  <c r="S20" i="24"/>
  <c r="S21" i="24"/>
  <c r="S22" i="24"/>
  <c r="S23" i="24"/>
  <c r="S24" i="24"/>
  <c r="S25" i="24"/>
  <c r="S26" i="24"/>
  <c r="S27" i="24"/>
  <c r="S28" i="24"/>
  <c r="S29" i="24"/>
  <c r="S30" i="24"/>
  <c r="S31" i="24"/>
  <c r="S32" i="24"/>
  <c r="S33" i="24"/>
  <c r="S34" i="24"/>
  <c r="S35" i="24"/>
  <c r="T6" i="24"/>
  <c r="T7" i="24"/>
  <c r="T8" i="24"/>
  <c r="T9" i="24"/>
  <c r="T10" i="24"/>
  <c r="T11" i="24"/>
  <c r="T12" i="24"/>
  <c r="T13" i="24"/>
  <c r="T14" i="24"/>
  <c r="T15" i="24"/>
  <c r="T16" i="24"/>
  <c r="T17" i="24"/>
  <c r="T18" i="24"/>
  <c r="T19" i="24"/>
  <c r="T20" i="24"/>
  <c r="T21" i="24"/>
  <c r="T22" i="24"/>
  <c r="T23" i="24"/>
  <c r="T24" i="24"/>
  <c r="T25" i="24"/>
  <c r="T26" i="24"/>
  <c r="T27" i="24"/>
  <c r="T28" i="24"/>
  <c r="T29" i="24"/>
  <c r="T30" i="24"/>
  <c r="T31" i="24"/>
  <c r="T32" i="24"/>
  <c r="T33" i="24"/>
  <c r="T34" i="24"/>
  <c r="T35" i="24"/>
  <c r="FQ6" i="25"/>
  <c r="FL6" i="25"/>
  <c r="FG6" i="25"/>
  <c r="FQ7" i="25"/>
  <c r="FL7" i="25"/>
  <c r="FG7" i="25"/>
  <c r="FQ8" i="25"/>
  <c r="FL8" i="25"/>
  <c r="FG8" i="25"/>
  <c r="FQ9" i="25"/>
  <c r="FL9" i="25"/>
  <c r="FG9" i="25"/>
  <c r="FQ10" i="25"/>
  <c r="FL10" i="25"/>
  <c r="FG10" i="25"/>
  <c r="FQ11" i="25"/>
  <c r="FL11" i="25"/>
  <c r="FG11" i="25"/>
  <c r="FQ12" i="25"/>
  <c r="FL12" i="25"/>
  <c r="FG12" i="25"/>
  <c r="FQ13" i="25"/>
  <c r="FL13" i="25"/>
  <c r="FG13" i="25"/>
  <c r="FL15" i="25"/>
  <c r="FG15" i="25"/>
  <c r="FL17" i="25"/>
  <c r="FL18" i="25"/>
  <c r="FL19" i="25"/>
  <c r="FL20" i="25"/>
  <c r="FL21" i="25"/>
  <c r="FL22" i="25"/>
  <c r="FL23" i="25"/>
  <c r="FQ24" i="25"/>
  <c r="FG24" i="25"/>
  <c r="FQ25" i="25"/>
  <c r="FL25" i="25"/>
  <c r="FG25" i="25"/>
  <c r="FQ29" i="25"/>
  <c r="FQ26" i="25"/>
  <c r="FL29" i="25"/>
  <c r="FL26" i="25"/>
  <c r="FG29" i="25"/>
  <c r="FG26" i="25"/>
  <c r="FQ27" i="25"/>
  <c r="FL27" i="25"/>
  <c r="FG27" i="25"/>
  <c r="FQ28" i="25"/>
  <c r="FL28" i="25"/>
  <c r="FG28" i="25"/>
  <c r="FQ30" i="25"/>
  <c r="FL30" i="25"/>
  <c r="FG30" i="25"/>
  <c r="FL31" i="25"/>
  <c r="FG31" i="25"/>
  <c r="FL32" i="25"/>
  <c r="FG32" i="25"/>
  <c r="FQ33" i="25"/>
  <c r="FL33" i="25"/>
  <c r="FG33" i="25"/>
  <c r="FQ34" i="25"/>
  <c r="FL34" i="25"/>
  <c r="FG34" i="25"/>
  <c r="J554" i="32"/>
  <c r="J555" i="32"/>
  <c r="J556" i="32"/>
  <c r="J557" i="32"/>
  <c r="GK26" i="28"/>
  <c r="FD25" i="25"/>
  <c r="HQ26" i="28"/>
  <c r="FI25" i="25"/>
  <c r="FP38" i="25"/>
  <c r="FP39" i="25"/>
  <c r="FP40" i="25"/>
  <c r="FP41" i="25"/>
  <c r="FP43" i="25"/>
  <c r="FP44" i="25"/>
  <c r="FP45" i="25"/>
  <c r="FP47" i="25"/>
  <c r="FQ43" i="25"/>
  <c r="FR43" i="25"/>
  <c r="FK38" i="25"/>
  <c r="FK39" i="25"/>
  <c r="FK40" i="25"/>
  <c r="FK41" i="25"/>
  <c r="FK43" i="25"/>
  <c r="FK44" i="25"/>
  <c r="FK45" i="25"/>
  <c r="FK47" i="25"/>
  <c r="FL40" i="25"/>
  <c r="FL43" i="25"/>
  <c r="FL44" i="25"/>
  <c r="FL45" i="25"/>
  <c r="FM43" i="25"/>
  <c r="FM44" i="25"/>
  <c r="FM45" i="25"/>
  <c r="FM40" i="25"/>
  <c r="FF38" i="25"/>
  <c r="FF39" i="25"/>
  <c r="FF40" i="25"/>
  <c r="FF41" i="25"/>
  <c r="FF43" i="25"/>
  <c r="FF44" i="25"/>
  <c r="FF45" i="25"/>
  <c r="FF47" i="25"/>
  <c r="FG43" i="25"/>
  <c r="FG44" i="25"/>
  <c r="FG45" i="25"/>
  <c r="HQ7" i="28"/>
  <c r="FI6" i="25"/>
  <c r="HQ8" i="28"/>
  <c r="FI7" i="25"/>
  <c r="HQ10" i="28"/>
  <c r="FI9" i="25"/>
  <c r="HQ14" i="28"/>
  <c r="FI13" i="25"/>
  <c r="HQ15" i="28"/>
  <c r="FI14" i="25"/>
  <c r="HQ16" i="28"/>
  <c r="FI15" i="25"/>
  <c r="HQ18" i="28"/>
  <c r="FI17" i="25"/>
  <c r="FI38" i="25"/>
  <c r="HQ9" i="28"/>
  <c r="FI8" i="25"/>
  <c r="HQ11" i="28"/>
  <c r="FI10" i="25"/>
  <c r="HQ13" i="28"/>
  <c r="FI12" i="25"/>
  <c r="FI16" i="25"/>
  <c r="HQ21" i="28"/>
  <c r="FI20" i="25"/>
  <c r="HQ24" i="28"/>
  <c r="FI23" i="25"/>
  <c r="HQ25" i="28"/>
  <c r="FI24" i="25"/>
  <c r="FI39" i="25"/>
  <c r="HQ12" i="28"/>
  <c r="FI11" i="25"/>
  <c r="HQ19" i="28"/>
  <c r="FI18" i="25"/>
  <c r="HQ20" i="28"/>
  <c r="FI19" i="25"/>
  <c r="HQ22" i="28"/>
  <c r="FI21" i="25"/>
  <c r="HQ23" i="28"/>
  <c r="FI22" i="25"/>
  <c r="FI40" i="25"/>
  <c r="FI41" i="25"/>
  <c r="HQ27" i="28"/>
  <c r="FI26" i="25"/>
  <c r="HQ28" i="28"/>
  <c r="FI27" i="25"/>
  <c r="HQ29" i="28"/>
  <c r="FI28" i="25"/>
  <c r="HQ30" i="28"/>
  <c r="FI29" i="25"/>
  <c r="FI43" i="25"/>
  <c r="HQ31" i="28"/>
  <c r="FI30" i="25"/>
  <c r="HQ32" i="28"/>
  <c r="FI31" i="25"/>
  <c r="HQ33" i="28"/>
  <c r="FI32" i="25"/>
  <c r="HQ34" i="28"/>
  <c r="FI33" i="25"/>
  <c r="HQ35" i="28"/>
  <c r="FI34" i="25"/>
  <c r="FI44" i="25"/>
  <c r="FI45" i="25"/>
  <c r="FI47" i="25"/>
  <c r="FJ47" i="25"/>
  <c r="FH43" i="25"/>
  <c r="FJ43" i="25"/>
  <c r="FH44" i="25"/>
  <c r="FJ44" i="25"/>
  <c r="FH45" i="25"/>
  <c r="FJ45" i="25"/>
  <c r="FJ38" i="25"/>
  <c r="FJ39" i="25"/>
  <c r="FJ40" i="25"/>
  <c r="FJ41" i="25"/>
  <c r="FA38" i="25"/>
  <c r="FA39" i="25"/>
  <c r="FA40" i="25"/>
  <c r="FA41" i="25"/>
  <c r="FA43" i="25"/>
  <c r="FA44" i="25"/>
  <c r="FA45" i="25"/>
  <c r="FA47" i="25"/>
  <c r="GK7" i="28"/>
  <c r="FD6" i="25"/>
  <c r="GK8" i="28"/>
  <c r="FD7" i="25"/>
  <c r="GK10" i="28"/>
  <c r="FD9" i="25"/>
  <c r="GK14" i="28"/>
  <c r="FD13" i="25"/>
  <c r="GK15" i="28"/>
  <c r="FD14" i="25"/>
  <c r="GK16" i="28"/>
  <c r="FD15" i="25"/>
  <c r="GK18" i="28"/>
  <c r="FD17" i="25"/>
  <c r="FD38" i="25"/>
  <c r="GK9" i="28"/>
  <c r="FD8" i="25"/>
  <c r="GK11" i="28"/>
  <c r="FD10" i="25"/>
  <c r="GK13" i="28"/>
  <c r="FD12" i="25"/>
  <c r="GK17" i="28"/>
  <c r="FD16" i="25"/>
  <c r="GK21" i="28"/>
  <c r="FD20" i="25"/>
  <c r="GK24" i="28"/>
  <c r="FD23" i="25"/>
  <c r="GK25" i="28"/>
  <c r="FD24" i="25"/>
  <c r="FD39" i="25"/>
  <c r="GK12" i="28"/>
  <c r="FD11" i="25"/>
  <c r="GK19" i="28"/>
  <c r="FD18" i="25"/>
  <c r="GK20" i="28"/>
  <c r="FD19" i="25"/>
  <c r="GK22" i="28"/>
  <c r="FD21" i="25"/>
  <c r="GK23" i="28"/>
  <c r="FD22" i="25"/>
  <c r="FD40" i="25"/>
  <c r="FD41" i="25"/>
  <c r="GK27" i="28"/>
  <c r="FD26" i="25"/>
  <c r="GK28" i="28"/>
  <c r="FD27" i="25"/>
  <c r="GK29" i="28"/>
  <c r="FD28" i="25"/>
  <c r="GK30" i="28"/>
  <c r="FD29" i="25"/>
  <c r="FD43" i="25"/>
  <c r="GK31" i="28"/>
  <c r="FD30" i="25"/>
  <c r="GK32" i="28"/>
  <c r="FD31" i="25"/>
  <c r="GK33" i="28"/>
  <c r="FD32" i="25"/>
  <c r="GK34" i="28"/>
  <c r="FD33" i="25"/>
  <c r="GK35" i="28"/>
  <c r="FD34" i="25"/>
  <c r="FD44" i="25"/>
  <c r="FD45" i="25"/>
  <c r="FD47" i="25"/>
  <c r="FE47" i="25"/>
  <c r="FE43" i="25"/>
  <c r="FE44" i="25"/>
  <c r="FE45" i="25"/>
  <c r="FE38" i="25"/>
  <c r="FE39" i="25"/>
  <c r="FE40" i="25"/>
  <c r="FE41" i="25"/>
  <c r="H561" i="32"/>
  <c r="HL35" i="28"/>
  <c r="HN35" i="28"/>
  <c r="HH35" i="28"/>
  <c r="HJ35" i="28"/>
  <c r="HD35" i="28"/>
  <c r="HF35" i="28"/>
  <c r="GZ35" i="28"/>
  <c r="HB35" i="28"/>
  <c r="GV35" i="28"/>
  <c r="GX35" i="28"/>
  <c r="GR35" i="28"/>
  <c r="GT35" i="28"/>
  <c r="GN35" i="28"/>
  <c r="GP35" i="28"/>
  <c r="J553" i="32"/>
  <c r="J552" i="32"/>
  <c r="O516" i="32"/>
  <c r="N516" i="32"/>
  <c r="M516" i="32"/>
  <c r="J551" i="32"/>
  <c r="J550" i="32"/>
  <c r="J549" i="32"/>
  <c r="J547" i="32"/>
  <c r="J546" i="32"/>
  <c r="EX28" i="25"/>
  <c r="J545" i="32"/>
  <c r="J544" i="32"/>
  <c r="JR37" i="29"/>
  <c r="IT37" i="29"/>
  <c r="GS37" i="29"/>
  <c r="FU37" i="29"/>
  <c r="KU37" i="29"/>
  <c r="HV37" i="29"/>
  <c r="EW37" i="29"/>
  <c r="DT37" i="29"/>
  <c r="CV37" i="29"/>
  <c r="BX37" i="29"/>
  <c r="AU37" i="29"/>
  <c r="W37" i="29"/>
  <c r="EX7" i="25"/>
  <c r="EX8" i="25"/>
  <c r="EX9" i="25"/>
  <c r="EX10" i="25"/>
  <c r="EX11" i="25"/>
  <c r="EX12" i="25"/>
  <c r="EX13" i="25"/>
  <c r="EX14" i="25"/>
  <c r="EX15" i="25"/>
  <c r="EX16" i="25"/>
  <c r="EX17" i="25"/>
  <c r="EX18" i="25"/>
  <c r="EX19" i="25"/>
  <c r="EX20" i="25"/>
  <c r="EX21" i="25"/>
  <c r="EX22" i="25"/>
  <c r="EX23" i="25"/>
  <c r="EX24" i="25"/>
  <c r="EX25" i="25"/>
  <c r="EX26" i="25"/>
  <c r="EX27" i="25"/>
  <c r="EX29" i="25"/>
  <c r="EX30" i="25"/>
  <c r="EX31" i="25"/>
  <c r="EX32" i="25"/>
  <c r="EX33" i="25"/>
  <c r="EX34" i="25"/>
  <c r="EX6" i="25"/>
  <c r="J543" i="32"/>
  <c r="J542" i="32"/>
  <c r="J541" i="32"/>
  <c r="J540" i="32"/>
  <c r="J539" i="32"/>
  <c r="J538" i="32"/>
  <c r="J537" i="32"/>
  <c r="J536" i="32"/>
  <c r="M397" i="32"/>
  <c r="N397" i="32"/>
  <c r="H726" i="32"/>
  <c r="H725" i="32"/>
  <c r="H724" i="32"/>
  <c r="H723" i="32"/>
  <c r="H722" i="32"/>
  <c r="H721" i="32"/>
  <c r="H720" i="32"/>
  <c r="H719" i="32"/>
  <c r="H718" i="32"/>
  <c r="H717" i="32"/>
  <c r="H716" i="32"/>
  <c r="H715" i="32"/>
  <c r="H714" i="32"/>
  <c r="H713" i="32"/>
  <c r="H712" i="32"/>
  <c r="H711" i="32"/>
  <c r="H710" i="32"/>
  <c r="H709" i="32"/>
  <c r="H708" i="32"/>
  <c r="H707" i="32"/>
  <c r="H706" i="32"/>
  <c r="H705" i="32"/>
  <c r="G731" i="32"/>
  <c r="J731" i="32" s="1"/>
  <c r="H704" i="32"/>
  <c r="H703" i="32"/>
  <c r="H702" i="32"/>
  <c r="H701" i="32"/>
  <c r="H700" i="32"/>
  <c r="H699" i="32"/>
  <c r="H698" i="32"/>
  <c r="H697" i="32"/>
  <c r="H696" i="32"/>
  <c r="H695" i="32"/>
  <c r="H694" i="32"/>
  <c r="H693" i="32"/>
  <c r="H692" i="32"/>
  <c r="H691" i="32"/>
  <c r="H690" i="32"/>
  <c r="H689" i="32"/>
  <c r="H688" i="32"/>
  <c r="H687" i="32"/>
  <c r="H686" i="32"/>
  <c r="H685" i="32"/>
  <c r="H684" i="32"/>
  <c r="H683" i="32"/>
  <c r="H682" i="32"/>
  <c r="H680" i="32"/>
  <c r="H679" i="32"/>
  <c r="H678" i="32"/>
  <c r="H677" i="32"/>
  <c r="H676" i="32"/>
  <c r="H675" i="32"/>
  <c r="H674" i="32"/>
  <c r="H673" i="32"/>
  <c r="H672" i="32"/>
  <c r="H670" i="32"/>
  <c r="H667" i="32"/>
  <c r="H666" i="32"/>
  <c r="H665" i="32"/>
  <c r="H664" i="32"/>
  <c r="H662" i="32"/>
  <c r="H661" i="32"/>
  <c r="H660" i="32"/>
  <c r="H659" i="32"/>
  <c r="H658" i="32"/>
  <c r="H657" i="32"/>
  <c r="H656" i="32"/>
  <c r="H655" i="32"/>
  <c r="H654" i="32"/>
  <c r="H653" i="32"/>
  <c r="H652" i="32"/>
  <c r="H651" i="32"/>
  <c r="H650" i="32"/>
  <c r="H649" i="32"/>
  <c r="H648" i="32"/>
  <c r="H647" i="32"/>
  <c r="H646" i="32"/>
  <c r="H645" i="32"/>
  <c r="H644" i="32"/>
  <c r="H643" i="32"/>
  <c r="H642" i="32"/>
  <c r="H641" i="32"/>
  <c r="H640" i="32"/>
  <c r="H639" i="32"/>
  <c r="H638" i="32"/>
  <c r="H637" i="32"/>
  <c r="H636" i="32"/>
  <c r="H635" i="32"/>
  <c r="H634" i="32"/>
  <c r="H632" i="32"/>
  <c r="H631" i="32"/>
  <c r="H630" i="32"/>
  <c r="H629" i="32"/>
  <c r="H628" i="32"/>
  <c r="I627" i="32"/>
  <c r="H627" i="32"/>
  <c r="I626" i="32"/>
  <c r="H626" i="32"/>
  <c r="I625" i="32"/>
  <c r="H625" i="32"/>
  <c r="I624" i="32"/>
  <c r="H624" i="32"/>
  <c r="I623" i="32"/>
  <c r="H623" i="32"/>
  <c r="I622" i="32"/>
  <c r="H622" i="32"/>
  <c r="I621" i="32"/>
  <c r="H621" i="32"/>
  <c r="I620" i="32"/>
  <c r="H620" i="32"/>
  <c r="I619" i="32"/>
  <c r="H619" i="32"/>
  <c r="I618" i="32"/>
  <c r="H618" i="32"/>
  <c r="J535" i="32"/>
  <c r="I535" i="32"/>
  <c r="H535" i="32"/>
  <c r="J534" i="32"/>
  <c r="I534" i="32"/>
  <c r="H534" i="32"/>
  <c r="J533" i="32"/>
  <c r="I533" i="32"/>
  <c r="H533" i="32"/>
  <c r="J532" i="32"/>
  <c r="I532" i="32"/>
  <c r="H532" i="32"/>
  <c r="J531" i="32"/>
  <c r="I531" i="32"/>
  <c r="H531" i="32"/>
  <c r="J530" i="32"/>
  <c r="I530" i="32"/>
  <c r="H530" i="32"/>
  <c r="J529" i="32"/>
  <c r="I529" i="32"/>
  <c r="H529" i="32"/>
  <c r="J528" i="32"/>
  <c r="I528" i="32"/>
  <c r="H528" i="32"/>
  <c r="J527" i="32"/>
  <c r="I527" i="32"/>
  <c r="H527" i="32"/>
  <c r="J526" i="32"/>
  <c r="I526" i="32"/>
  <c r="H526" i="32"/>
  <c r="J525" i="32"/>
  <c r="I525" i="32"/>
  <c r="H525" i="32"/>
  <c r="J524" i="32"/>
  <c r="I524" i="32"/>
  <c r="H524" i="32"/>
  <c r="J523" i="32"/>
  <c r="I523" i="32"/>
  <c r="H523" i="32"/>
  <c r="J522" i="32"/>
  <c r="I522" i="32"/>
  <c r="H522" i="32"/>
  <c r="J521" i="32"/>
  <c r="I521" i="32"/>
  <c r="H521" i="32"/>
  <c r="J520" i="32"/>
  <c r="I520" i="32"/>
  <c r="H520" i="32"/>
  <c r="J519" i="32"/>
  <c r="I519" i="32"/>
  <c r="H519" i="32"/>
  <c r="J518" i="32"/>
  <c r="I518" i="32"/>
  <c r="H518" i="32"/>
  <c r="J517" i="32"/>
  <c r="I517" i="32"/>
  <c r="H517" i="32"/>
  <c r="J516" i="32"/>
  <c r="I516" i="32"/>
  <c r="H516" i="32"/>
  <c r="J515" i="32"/>
  <c r="I515" i="32"/>
  <c r="H515" i="32"/>
  <c r="J514" i="32"/>
  <c r="I514" i="32"/>
  <c r="H514" i="32"/>
  <c r="J513" i="32"/>
  <c r="I513" i="32"/>
  <c r="H513" i="32"/>
  <c r="J512" i="32"/>
  <c r="I512" i="32"/>
  <c r="H512" i="32"/>
  <c r="J511" i="32"/>
  <c r="I511" i="32"/>
  <c r="H511" i="32"/>
  <c r="J510" i="32"/>
  <c r="I510" i="32"/>
  <c r="H510" i="32"/>
  <c r="J509" i="32"/>
  <c r="I509" i="32"/>
  <c r="H509" i="32"/>
  <c r="J508" i="32"/>
  <c r="I508" i="32"/>
  <c r="H508" i="32"/>
  <c r="J507" i="32"/>
  <c r="I507" i="32"/>
  <c r="H507" i="32"/>
  <c r="J506" i="32"/>
  <c r="I506" i="32"/>
  <c r="H506" i="32"/>
  <c r="J505" i="32"/>
  <c r="I505" i="32"/>
  <c r="H505" i="32"/>
  <c r="J504" i="32"/>
  <c r="I504" i="32"/>
  <c r="H504" i="32"/>
  <c r="J503" i="32"/>
  <c r="I503" i="32"/>
  <c r="H503" i="32"/>
  <c r="J502" i="32"/>
  <c r="I502" i="32"/>
  <c r="H502" i="32"/>
  <c r="J501" i="32"/>
  <c r="I501" i="32"/>
  <c r="H501" i="32"/>
  <c r="J500" i="32"/>
  <c r="I500" i="32"/>
  <c r="H500" i="32"/>
  <c r="J499" i="32"/>
  <c r="I499" i="32"/>
  <c r="H499" i="32"/>
  <c r="J498" i="32"/>
  <c r="I498" i="32"/>
  <c r="H498" i="32"/>
  <c r="J497" i="32"/>
  <c r="I497" i="32"/>
  <c r="H497" i="32"/>
  <c r="J496" i="32"/>
  <c r="I496" i="32"/>
  <c r="H496" i="32"/>
  <c r="J495" i="32"/>
  <c r="I495" i="32"/>
  <c r="H495" i="32"/>
  <c r="J494" i="32"/>
  <c r="I494" i="32"/>
  <c r="H494" i="32"/>
  <c r="J493" i="32"/>
  <c r="I493" i="32"/>
  <c r="H493" i="32"/>
  <c r="J492" i="32"/>
  <c r="I492" i="32"/>
  <c r="H492" i="32"/>
  <c r="J491" i="32"/>
  <c r="I491" i="32"/>
  <c r="H491" i="32"/>
  <c r="J490" i="32"/>
  <c r="I490" i="32"/>
  <c r="H490" i="32"/>
  <c r="J489" i="32"/>
  <c r="I489" i="32"/>
  <c r="H489" i="32"/>
  <c r="O488" i="32"/>
  <c r="N488" i="32"/>
  <c r="M488" i="32"/>
  <c r="J488" i="32"/>
  <c r="I488" i="32"/>
  <c r="H488" i="32"/>
  <c r="J487" i="32"/>
  <c r="I487" i="32"/>
  <c r="H487" i="32"/>
  <c r="J486" i="32"/>
  <c r="I486" i="32"/>
  <c r="H486" i="32"/>
  <c r="J485" i="32"/>
  <c r="I485" i="32"/>
  <c r="H485" i="32"/>
  <c r="J484" i="32"/>
  <c r="I484" i="32"/>
  <c r="H484" i="32"/>
  <c r="J483" i="32"/>
  <c r="I483" i="32"/>
  <c r="H483" i="32"/>
  <c r="J482" i="32"/>
  <c r="I482" i="32"/>
  <c r="H482" i="32"/>
  <c r="J481" i="32"/>
  <c r="I481" i="32"/>
  <c r="H481" i="32"/>
  <c r="J480" i="32"/>
  <c r="I480" i="32"/>
  <c r="H480" i="32"/>
  <c r="J479" i="32"/>
  <c r="I479" i="32"/>
  <c r="H479" i="32"/>
  <c r="J478" i="32"/>
  <c r="I478" i="32"/>
  <c r="H478" i="32"/>
  <c r="J477" i="32"/>
  <c r="I477" i="32"/>
  <c r="H477" i="32"/>
  <c r="J476" i="32"/>
  <c r="I476" i="32"/>
  <c r="H476" i="32"/>
  <c r="J475" i="32"/>
  <c r="I475" i="32"/>
  <c r="H475" i="32"/>
  <c r="J474" i="32"/>
  <c r="I474" i="32"/>
  <c r="H474" i="32"/>
  <c r="J473" i="32"/>
  <c r="I473" i="32"/>
  <c r="H473" i="32"/>
  <c r="J472" i="32"/>
  <c r="I472" i="32"/>
  <c r="H472" i="32"/>
  <c r="J471" i="32"/>
  <c r="I471" i="32"/>
  <c r="H471" i="32"/>
  <c r="J470" i="32"/>
  <c r="I470" i="32"/>
  <c r="H470" i="32"/>
  <c r="J469" i="32"/>
  <c r="I469" i="32"/>
  <c r="H469" i="32"/>
  <c r="J468" i="32"/>
  <c r="I468" i="32"/>
  <c r="H468" i="32"/>
  <c r="J467" i="32"/>
  <c r="I467" i="32"/>
  <c r="H467" i="32"/>
  <c r="J466" i="32"/>
  <c r="I466" i="32"/>
  <c r="H466" i="32"/>
  <c r="J465" i="32"/>
  <c r="I465" i="32"/>
  <c r="H465" i="32"/>
  <c r="J464" i="32"/>
  <c r="I464" i="32"/>
  <c r="H464" i="32"/>
  <c r="J463" i="32"/>
  <c r="I463" i="32"/>
  <c r="H463" i="32"/>
  <c r="J462" i="32"/>
  <c r="I462" i="32"/>
  <c r="H462" i="32"/>
  <c r="J461" i="32"/>
  <c r="I461" i="32"/>
  <c r="H461" i="32"/>
  <c r="O460" i="32"/>
  <c r="N460" i="32"/>
  <c r="M460" i="32"/>
  <c r="J460" i="32"/>
  <c r="I460" i="32"/>
  <c r="H460" i="32"/>
  <c r="J459" i="32"/>
  <c r="I459" i="32"/>
  <c r="H459" i="32"/>
  <c r="J458" i="32"/>
  <c r="I458" i="32"/>
  <c r="H458" i="32"/>
  <c r="J457" i="32"/>
  <c r="I457" i="32"/>
  <c r="H457" i="32"/>
  <c r="J456" i="32"/>
  <c r="I456" i="32"/>
  <c r="H456" i="32"/>
  <c r="J455" i="32"/>
  <c r="I455" i="32"/>
  <c r="H455" i="32"/>
  <c r="J454" i="32"/>
  <c r="I454" i="32"/>
  <c r="H454" i="32"/>
  <c r="J453" i="32"/>
  <c r="I453" i="32"/>
  <c r="H453" i="32"/>
  <c r="J452" i="32"/>
  <c r="I452" i="32"/>
  <c r="H452" i="32"/>
  <c r="J451" i="32"/>
  <c r="I451" i="32"/>
  <c r="H451" i="32"/>
  <c r="J450" i="32"/>
  <c r="I450" i="32"/>
  <c r="H450" i="32"/>
  <c r="J449" i="32"/>
  <c r="I449" i="32"/>
  <c r="H449" i="32"/>
  <c r="J448" i="32"/>
  <c r="I448" i="32"/>
  <c r="H448" i="32"/>
  <c r="J447" i="32"/>
  <c r="I447" i="32"/>
  <c r="H447" i="32"/>
  <c r="J446" i="32"/>
  <c r="I446" i="32"/>
  <c r="H446" i="32"/>
  <c r="J445" i="32"/>
  <c r="I445" i="32"/>
  <c r="H445" i="32"/>
  <c r="J444" i="32"/>
  <c r="I444" i="32"/>
  <c r="H444" i="32"/>
  <c r="J443" i="32"/>
  <c r="I443" i="32"/>
  <c r="H443" i="32"/>
  <c r="J442" i="32"/>
  <c r="I442" i="32"/>
  <c r="H442" i="32"/>
  <c r="J441" i="32"/>
  <c r="I441" i="32"/>
  <c r="H441" i="32"/>
  <c r="J440" i="32"/>
  <c r="I440" i="32"/>
  <c r="H440" i="32"/>
  <c r="J439" i="32"/>
  <c r="I439" i="32"/>
  <c r="H439" i="32"/>
  <c r="J438" i="32"/>
  <c r="I438" i="32"/>
  <c r="H438" i="32"/>
  <c r="J437" i="32"/>
  <c r="I437" i="32"/>
  <c r="H437" i="32"/>
  <c r="J436" i="32"/>
  <c r="I436" i="32"/>
  <c r="H436" i="32"/>
  <c r="J435" i="32"/>
  <c r="I435" i="32"/>
  <c r="H435" i="32"/>
  <c r="J434" i="32"/>
  <c r="I434" i="32"/>
  <c r="H434" i="32"/>
  <c r="J433" i="32"/>
  <c r="I433" i="32"/>
  <c r="H433" i="32"/>
  <c r="J432" i="32"/>
  <c r="I432" i="32"/>
  <c r="H432" i="32"/>
  <c r="J431" i="32"/>
  <c r="I431" i="32"/>
  <c r="H431" i="32"/>
  <c r="J430" i="32"/>
  <c r="I430" i="32"/>
  <c r="H430" i="32"/>
  <c r="J429" i="32"/>
  <c r="I429" i="32"/>
  <c r="H429" i="32"/>
  <c r="J428" i="32"/>
  <c r="I428" i="32"/>
  <c r="H428" i="32"/>
  <c r="J427" i="32"/>
  <c r="I427" i="32"/>
  <c r="H427" i="32"/>
  <c r="J426" i="32"/>
  <c r="I426" i="32"/>
  <c r="H426" i="32"/>
  <c r="O425" i="32"/>
  <c r="N425" i="32"/>
  <c r="M425" i="32"/>
  <c r="J425" i="32"/>
  <c r="I425" i="32"/>
  <c r="H425" i="32"/>
  <c r="J424" i="32"/>
  <c r="I424" i="32"/>
  <c r="H424" i="32"/>
  <c r="J423" i="32"/>
  <c r="I423" i="32"/>
  <c r="H423" i="32"/>
  <c r="J422" i="32"/>
  <c r="I422" i="32"/>
  <c r="H422" i="32"/>
  <c r="J421" i="32"/>
  <c r="I421" i="32"/>
  <c r="H421" i="32"/>
  <c r="J420" i="32"/>
  <c r="I420" i="32"/>
  <c r="H420" i="32"/>
  <c r="J419" i="32"/>
  <c r="I419" i="32"/>
  <c r="H419" i="32"/>
  <c r="J418" i="32"/>
  <c r="I418" i="32"/>
  <c r="H418" i="32"/>
  <c r="J417" i="32"/>
  <c r="I417" i="32"/>
  <c r="H417" i="32"/>
  <c r="J416" i="32"/>
  <c r="I416" i="32"/>
  <c r="H416" i="32"/>
  <c r="J415" i="32"/>
  <c r="I415" i="32"/>
  <c r="H415" i="32"/>
  <c r="J414" i="32"/>
  <c r="I414" i="32"/>
  <c r="H414" i="32"/>
  <c r="J413" i="32"/>
  <c r="I413" i="32"/>
  <c r="H413" i="32"/>
  <c r="J412" i="32"/>
  <c r="I412" i="32"/>
  <c r="H412" i="32"/>
  <c r="J411" i="32"/>
  <c r="I411" i="32"/>
  <c r="H411" i="32"/>
  <c r="J410" i="32"/>
  <c r="I410" i="32"/>
  <c r="H410" i="32"/>
  <c r="J409" i="32"/>
  <c r="I409" i="32"/>
  <c r="H409" i="32"/>
  <c r="J408" i="32"/>
  <c r="I408" i="32"/>
  <c r="H408" i="32"/>
  <c r="J407" i="32"/>
  <c r="I407" i="32"/>
  <c r="H407" i="32"/>
  <c r="J406" i="32"/>
  <c r="I406" i="32"/>
  <c r="H406" i="32"/>
  <c r="J405" i="32"/>
  <c r="I405" i="32"/>
  <c r="H405" i="32"/>
  <c r="J404" i="32"/>
  <c r="I404" i="32"/>
  <c r="H404" i="32"/>
  <c r="J403" i="32"/>
  <c r="I403" i="32"/>
  <c r="H403" i="32"/>
  <c r="J402" i="32"/>
  <c r="I402" i="32"/>
  <c r="H402" i="32"/>
  <c r="J401" i="32"/>
  <c r="H401" i="32"/>
  <c r="J400" i="32"/>
  <c r="H400" i="32"/>
  <c r="J399" i="32"/>
  <c r="H399" i="32"/>
  <c r="J398" i="32"/>
  <c r="H398" i="32"/>
  <c r="O397" i="32"/>
  <c r="J397" i="32"/>
  <c r="H397" i="32"/>
  <c r="J396" i="32"/>
  <c r="H396" i="32"/>
  <c r="J395" i="32"/>
  <c r="H395" i="32"/>
  <c r="J394" i="32"/>
  <c r="H394" i="32"/>
  <c r="J393" i="32"/>
  <c r="H393" i="32"/>
  <c r="J392" i="32"/>
  <c r="H392" i="32"/>
  <c r="J391" i="32"/>
  <c r="H391" i="32"/>
  <c r="J390" i="32"/>
  <c r="H390" i="32"/>
  <c r="J389" i="32"/>
  <c r="H389" i="32"/>
  <c r="J388" i="32"/>
  <c r="H388" i="32"/>
  <c r="J387" i="32"/>
  <c r="H387" i="32"/>
  <c r="J386" i="32"/>
  <c r="H386" i="32"/>
  <c r="J385" i="32"/>
  <c r="H385" i="32"/>
  <c r="O384" i="32"/>
  <c r="N384" i="32"/>
  <c r="M384" i="32"/>
  <c r="J384" i="32"/>
  <c r="H384" i="32"/>
  <c r="J383" i="32"/>
  <c r="H383" i="32"/>
  <c r="J382" i="32"/>
  <c r="H382" i="32"/>
  <c r="J381" i="32"/>
  <c r="H381" i="32"/>
  <c r="J380" i="32"/>
  <c r="H380" i="32"/>
  <c r="J379" i="32"/>
  <c r="H379" i="32"/>
  <c r="J378" i="32"/>
  <c r="H378" i="32"/>
  <c r="J377" i="32"/>
  <c r="H377" i="32"/>
  <c r="J376" i="32"/>
  <c r="H376" i="32"/>
  <c r="J375" i="32"/>
  <c r="H375" i="32"/>
  <c r="J374" i="32"/>
  <c r="H374" i="32"/>
  <c r="J373" i="32"/>
  <c r="H373" i="32"/>
  <c r="J372" i="32"/>
  <c r="H372" i="32"/>
  <c r="J371" i="32"/>
  <c r="H371" i="32"/>
  <c r="J370" i="32"/>
  <c r="H370" i="32"/>
  <c r="J369" i="32"/>
  <c r="H369" i="32"/>
  <c r="J368" i="32"/>
  <c r="H368" i="32"/>
  <c r="J367" i="32"/>
  <c r="T367" i="32" a="1"/>
  <c r="T367" i="32"/>
  <c r="H367" i="32"/>
  <c r="J366" i="32"/>
  <c r="I366" i="32"/>
  <c r="H366" i="32"/>
  <c r="J365" i="32"/>
  <c r="I365" i="32"/>
  <c r="H365" i="32"/>
  <c r="J364" i="32"/>
  <c r="I364" i="32"/>
  <c r="H364" i="32"/>
  <c r="J363" i="32"/>
  <c r="I363" i="32"/>
  <c r="H363" i="32"/>
  <c r="O362" i="32"/>
  <c r="N362" i="32"/>
  <c r="M362" i="32"/>
  <c r="J362" i="32"/>
  <c r="I362" i="32"/>
  <c r="H362" i="32"/>
  <c r="J361" i="32"/>
  <c r="I361" i="32"/>
  <c r="H361" i="32"/>
  <c r="J360" i="32"/>
  <c r="I360" i="32"/>
  <c r="H360" i="32"/>
  <c r="J359" i="32"/>
  <c r="I359" i="32"/>
  <c r="H359" i="32"/>
  <c r="J358" i="32"/>
  <c r="I358" i="32"/>
  <c r="H358" i="32"/>
  <c r="J357" i="32"/>
  <c r="I357" i="32"/>
  <c r="H357" i="32"/>
  <c r="J356" i="32"/>
  <c r="I356" i="32"/>
  <c r="H356" i="32"/>
  <c r="J355" i="32"/>
  <c r="I355" i="32"/>
  <c r="H355" i="32"/>
  <c r="J354" i="32"/>
  <c r="I354" i="32"/>
  <c r="H354" i="32"/>
  <c r="J353" i="32"/>
  <c r="I353" i="32"/>
  <c r="H353" i="32"/>
  <c r="J352" i="32"/>
  <c r="I352" i="32"/>
  <c r="H352" i="32"/>
  <c r="J351" i="32"/>
  <c r="I351" i="32"/>
  <c r="H351" i="32"/>
  <c r="J350" i="32"/>
  <c r="I350" i="32"/>
  <c r="H350" i="32"/>
  <c r="J349" i="32"/>
  <c r="I349" i="32"/>
  <c r="H349" i="32"/>
  <c r="J348" i="32"/>
  <c r="I348" i="32"/>
  <c r="H348" i="32"/>
  <c r="J347" i="32"/>
  <c r="I347" i="32"/>
  <c r="H347" i="32"/>
  <c r="J346" i="32"/>
  <c r="I346" i="32"/>
  <c r="H346" i="32"/>
  <c r="J345" i="32"/>
  <c r="I345" i="32"/>
  <c r="H345" i="32"/>
  <c r="J344" i="32"/>
  <c r="I344" i="32"/>
  <c r="H344" i="32"/>
  <c r="J343" i="32"/>
  <c r="I343" i="32"/>
  <c r="H343" i="32"/>
  <c r="J342" i="32"/>
  <c r="I342" i="32"/>
  <c r="H342" i="32"/>
  <c r="J341" i="32"/>
  <c r="I341" i="32"/>
  <c r="H341" i="32"/>
  <c r="J340" i="32"/>
  <c r="I340" i="32"/>
  <c r="H340" i="32"/>
  <c r="J339" i="32"/>
  <c r="I339" i="32"/>
  <c r="H339" i="32"/>
  <c r="J338" i="32"/>
  <c r="I338" i="32"/>
  <c r="H338" i="32"/>
  <c r="J337" i="32"/>
  <c r="I337" i="32"/>
  <c r="H337" i="32"/>
  <c r="J336" i="32"/>
  <c r="I336" i="32"/>
  <c r="H336" i="32"/>
  <c r="J335" i="32"/>
  <c r="I335" i="32"/>
  <c r="H335" i="32"/>
  <c r="J334" i="32"/>
  <c r="I334" i="32"/>
  <c r="H334" i="32"/>
  <c r="J333" i="32"/>
  <c r="I333" i="32"/>
  <c r="H333" i="32"/>
  <c r="J332" i="32"/>
  <c r="I332" i="32"/>
  <c r="H332" i="32"/>
  <c r="J331" i="32"/>
  <c r="I331" i="32"/>
  <c r="H331" i="32"/>
  <c r="J330" i="32"/>
  <c r="I330" i="32"/>
  <c r="H330" i="32"/>
  <c r="J329" i="32"/>
  <c r="I329" i="32"/>
  <c r="H329" i="32"/>
  <c r="J328" i="32"/>
  <c r="I328" i="32"/>
  <c r="H328" i="32"/>
  <c r="J327" i="32"/>
  <c r="I327" i="32"/>
  <c r="H327" i="32"/>
  <c r="J326" i="32"/>
  <c r="H326" i="32"/>
  <c r="J325" i="32"/>
  <c r="I325" i="32"/>
  <c r="H325" i="32"/>
  <c r="J324" i="32"/>
  <c r="I324" i="32"/>
  <c r="H324" i="32"/>
  <c r="J323" i="32"/>
  <c r="I323" i="32"/>
  <c r="H323" i="32"/>
  <c r="J322" i="32"/>
  <c r="I322" i="32"/>
  <c r="H322" i="32"/>
  <c r="J321" i="32"/>
  <c r="I321" i="32"/>
  <c r="H321" i="32"/>
  <c r="J320" i="32"/>
  <c r="I320" i="32"/>
  <c r="H320" i="32"/>
  <c r="J319" i="32"/>
  <c r="I319" i="32"/>
  <c r="H319" i="32"/>
  <c r="J318" i="32"/>
  <c r="I318" i="32"/>
  <c r="H318" i="32"/>
  <c r="J317" i="32"/>
  <c r="I317" i="32"/>
  <c r="H317" i="32"/>
  <c r="J316" i="32"/>
  <c r="I316" i="32"/>
  <c r="H316" i="32"/>
  <c r="J315" i="32"/>
  <c r="I315" i="32"/>
  <c r="H315" i="32"/>
  <c r="J314" i="32"/>
  <c r="I314" i="32"/>
  <c r="H314" i="32"/>
  <c r="J313" i="32"/>
  <c r="I313" i="32"/>
  <c r="H313" i="32"/>
  <c r="J312" i="32"/>
  <c r="I312" i="32"/>
  <c r="H312" i="32"/>
  <c r="J311" i="32"/>
  <c r="I311" i="32"/>
  <c r="H311" i="32"/>
  <c r="J310" i="32"/>
  <c r="I310" i="32"/>
  <c r="H310" i="32"/>
  <c r="J309" i="32"/>
  <c r="I309" i="32"/>
  <c r="H309" i="32"/>
  <c r="J308" i="32"/>
  <c r="I308" i="32"/>
  <c r="H308" i="32"/>
  <c r="J307" i="32"/>
  <c r="I307" i="32"/>
  <c r="H307" i="32"/>
  <c r="N306" i="32"/>
  <c r="M306" i="32"/>
  <c r="J306" i="32"/>
  <c r="I306" i="32"/>
  <c r="H306" i="32"/>
  <c r="J305" i="32"/>
  <c r="I305" i="32"/>
  <c r="H305" i="32"/>
  <c r="J304" i="32"/>
  <c r="I304" i="32"/>
  <c r="H304" i="32"/>
  <c r="J303" i="32"/>
  <c r="I303" i="32"/>
  <c r="H303" i="32"/>
  <c r="J302" i="32"/>
  <c r="I302" i="32"/>
  <c r="H302" i="32"/>
  <c r="J301" i="32"/>
  <c r="I301" i="32"/>
  <c r="H301" i="32"/>
  <c r="J300" i="32"/>
  <c r="I300" i="32"/>
  <c r="H300" i="32"/>
  <c r="J299" i="32"/>
  <c r="I299" i="32"/>
  <c r="H299" i="32"/>
  <c r="J298" i="32"/>
  <c r="I298" i="32"/>
  <c r="H298" i="32"/>
  <c r="J297" i="32"/>
  <c r="I297" i="32"/>
  <c r="H297" i="32"/>
  <c r="J296" i="32"/>
  <c r="I296" i="32"/>
  <c r="H296" i="32"/>
  <c r="J295" i="32"/>
  <c r="I295" i="32"/>
  <c r="H295" i="32"/>
  <c r="J294" i="32"/>
  <c r="I294" i="32"/>
  <c r="H294" i="32"/>
  <c r="J293" i="32"/>
  <c r="I293" i="32"/>
  <c r="H293" i="32"/>
  <c r="J292" i="32"/>
  <c r="I292" i="32"/>
  <c r="H292" i="32"/>
  <c r="J291" i="32"/>
  <c r="I291" i="32"/>
  <c r="H291" i="32"/>
  <c r="J290" i="32"/>
  <c r="I290" i="32"/>
  <c r="H290" i="32"/>
  <c r="J289" i="32"/>
  <c r="I289" i="32"/>
  <c r="H289" i="32"/>
  <c r="J288" i="32"/>
  <c r="I288" i="32"/>
  <c r="H288" i="32"/>
  <c r="J287" i="32"/>
  <c r="I287" i="32"/>
  <c r="H287" i="32"/>
  <c r="J286" i="32"/>
  <c r="I286" i="32"/>
  <c r="H286" i="32"/>
  <c r="J285" i="32"/>
  <c r="I285" i="32"/>
  <c r="H285" i="32"/>
  <c r="J284" i="32"/>
  <c r="I284" i="32"/>
  <c r="H284" i="32"/>
  <c r="J283" i="32"/>
  <c r="I283" i="32"/>
  <c r="H283" i="32"/>
  <c r="J282" i="32"/>
  <c r="I282" i="32"/>
  <c r="H282" i="32"/>
  <c r="J281" i="32"/>
  <c r="I281" i="32"/>
  <c r="H281" i="32"/>
  <c r="J280" i="32"/>
  <c r="I280" i="32"/>
  <c r="H280" i="32"/>
  <c r="J279" i="32"/>
  <c r="I279" i="32"/>
  <c r="H279" i="32"/>
  <c r="N278" i="32"/>
  <c r="M278" i="32"/>
  <c r="J278" i="32"/>
  <c r="I278" i="32"/>
  <c r="H278" i="32"/>
  <c r="J277" i="32"/>
  <c r="I277" i="32"/>
  <c r="H277" i="32"/>
  <c r="J276" i="32"/>
  <c r="I276" i="32"/>
  <c r="H276" i="32"/>
  <c r="J275" i="32"/>
  <c r="I275" i="32"/>
  <c r="H275" i="32"/>
  <c r="J274" i="32"/>
  <c r="I274" i="32"/>
  <c r="H274" i="32"/>
  <c r="J273" i="32"/>
  <c r="I273" i="32"/>
  <c r="H273" i="32"/>
  <c r="J272" i="32"/>
  <c r="I272" i="32"/>
  <c r="H272" i="32"/>
  <c r="J271" i="32"/>
  <c r="I271" i="32"/>
  <c r="H271" i="32"/>
  <c r="N270" i="32"/>
  <c r="M270" i="32"/>
  <c r="J270" i="32"/>
  <c r="I270" i="32"/>
  <c r="H270" i="32"/>
  <c r="J269" i="32"/>
  <c r="I269" i="32"/>
  <c r="H269" i="32"/>
  <c r="J268" i="32"/>
  <c r="I268" i="32"/>
  <c r="H268" i="32"/>
  <c r="J267" i="32"/>
  <c r="I267" i="32"/>
  <c r="H267" i="32"/>
  <c r="J266" i="32"/>
  <c r="I266" i="32"/>
  <c r="H266" i="32"/>
  <c r="J265" i="32"/>
  <c r="I265" i="32"/>
  <c r="H265" i="32"/>
  <c r="J264" i="32"/>
  <c r="I264" i="32"/>
  <c r="H264" i="32"/>
  <c r="J263" i="32"/>
  <c r="I263" i="32"/>
  <c r="H263" i="32"/>
  <c r="J262" i="32"/>
  <c r="I262" i="32"/>
  <c r="H262" i="32"/>
  <c r="J261" i="32"/>
  <c r="I261" i="32"/>
  <c r="H261" i="32"/>
  <c r="J260" i="32"/>
  <c r="I260" i="32"/>
  <c r="H260" i="32"/>
  <c r="J259" i="32"/>
  <c r="I259" i="32"/>
  <c r="H259" i="32"/>
  <c r="J258" i="32"/>
  <c r="I258" i="32"/>
  <c r="H258" i="32"/>
  <c r="J257" i="32"/>
  <c r="I257" i="32"/>
  <c r="H257" i="32"/>
  <c r="J256" i="32"/>
  <c r="I256" i="32"/>
  <c r="H256" i="32"/>
  <c r="J255" i="32"/>
  <c r="I255" i="32"/>
  <c r="H255" i="32"/>
  <c r="J254" i="32"/>
  <c r="I254" i="32"/>
  <c r="H254" i="32"/>
  <c r="J253" i="32"/>
  <c r="I253" i="32"/>
  <c r="H253" i="32"/>
  <c r="J252" i="32"/>
  <c r="I252" i="32"/>
  <c r="H252" i="32"/>
  <c r="J251" i="32"/>
  <c r="I251" i="32"/>
  <c r="H251" i="32"/>
  <c r="J250" i="32"/>
  <c r="I250" i="32"/>
  <c r="H250" i="32"/>
  <c r="J249" i="32"/>
  <c r="I249" i="32"/>
  <c r="H249" i="32"/>
  <c r="J248" i="32"/>
  <c r="I248" i="32"/>
  <c r="H248" i="32"/>
  <c r="J247" i="32"/>
  <c r="I247" i="32"/>
  <c r="H247" i="32"/>
  <c r="J246" i="32"/>
  <c r="I246" i="32"/>
  <c r="H246" i="32"/>
  <c r="J245" i="32"/>
  <c r="I245" i="32"/>
  <c r="H245" i="32"/>
  <c r="J244" i="32"/>
  <c r="I244" i="32"/>
  <c r="H244" i="32"/>
  <c r="J243" i="32"/>
  <c r="I243" i="32"/>
  <c r="H243" i="32"/>
  <c r="J242" i="32"/>
  <c r="I242" i="32"/>
  <c r="H242" i="32"/>
  <c r="J241" i="32"/>
  <c r="I241" i="32"/>
  <c r="H241" i="32"/>
  <c r="J240" i="32"/>
  <c r="I240" i="32"/>
  <c r="H240" i="32"/>
  <c r="J239" i="32"/>
  <c r="I239" i="32"/>
  <c r="H239" i="32"/>
  <c r="J238" i="32"/>
  <c r="I238" i="32"/>
  <c r="H238" i="32"/>
  <c r="J237" i="32"/>
  <c r="I237" i="32"/>
  <c r="H237" i="32"/>
  <c r="J236" i="32"/>
  <c r="I236" i="32"/>
  <c r="H236" i="32"/>
  <c r="J235" i="32"/>
  <c r="I235" i="32"/>
  <c r="H235" i="32"/>
  <c r="J234" i="32"/>
  <c r="I234" i="32"/>
  <c r="H234" i="32"/>
  <c r="J233" i="32"/>
  <c r="I233" i="32"/>
  <c r="H233" i="32"/>
  <c r="J232" i="32"/>
  <c r="I232" i="32"/>
  <c r="H232" i="32"/>
  <c r="J231" i="32"/>
  <c r="I231" i="32"/>
  <c r="H231" i="32"/>
  <c r="J230" i="32"/>
  <c r="I230" i="32"/>
  <c r="H230" i="32"/>
  <c r="J229" i="32"/>
  <c r="I229" i="32"/>
  <c r="H229" i="32"/>
  <c r="J228" i="32"/>
  <c r="I228" i="32"/>
  <c r="H228" i="32"/>
  <c r="J227" i="32"/>
  <c r="I227" i="32"/>
  <c r="H227" i="32"/>
  <c r="J226" i="32"/>
  <c r="I226" i="32"/>
  <c r="H226" i="32"/>
  <c r="J225" i="32"/>
  <c r="I225" i="32"/>
  <c r="H225" i="32"/>
  <c r="J224" i="32"/>
  <c r="I224" i="32"/>
  <c r="H224" i="32"/>
  <c r="J223" i="32"/>
  <c r="I223" i="32"/>
  <c r="H223" i="32"/>
  <c r="J222" i="32"/>
  <c r="I222" i="32"/>
  <c r="H222" i="32"/>
  <c r="J221" i="32"/>
  <c r="I221" i="32"/>
  <c r="H221" i="32"/>
  <c r="J220" i="32"/>
  <c r="I220" i="32"/>
  <c r="H220" i="32"/>
  <c r="J219" i="32"/>
  <c r="I219" i="32"/>
  <c r="H219" i="32"/>
  <c r="J218" i="32"/>
  <c r="I218" i="32"/>
  <c r="H218" i="32"/>
  <c r="J217" i="32"/>
  <c r="I217" i="32"/>
  <c r="H217" i="32"/>
  <c r="J216" i="32"/>
  <c r="I216" i="32"/>
  <c r="H216" i="32"/>
  <c r="J215" i="32"/>
  <c r="I215" i="32"/>
  <c r="H215" i="32"/>
  <c r="J214" i="32"/>
  <c r="I214" i="32"/>
  <c r="H214" i="32"/>
  <c r="J213" i="32"/>
  <c r="I213" i="32"/>
  <c r="H213" i="32"/>
  <c r="J212" i="32"/>
  <c r="I212" i="32"/>
  <c r="H212" i="32"/>
  <c r="J211" i="32"/>
  <c r="I211" i="32"/>
  <c r="H211" i="32"/>
  <c r="J210" i="32"/>
  <c r="I210" i="32"/>
  <c r="H210" i="32"/>
  <c r="J209" i="32"/>
  <c r="I209" i="32"/>
  <c r="H209" i="32"/>
  <c r="J208" i="32"/>
  <c r="I208" i="32"/>
  <c r="H208" i="32"/>
  <c r="J207" i="32"/>
  <c r="I207" i="32"/>
  <c r="H207" i="32"/>
  <c r="J206" i="32"/>
  <c r="I206" i="32"/>
  <c r="H206" i="32"/>
  <c r="J205" i="32"/>
  <c r="I205" i="32"/>
  <c r="H205" i="32"/>
  <c r="J204" i="32"/>
  <c r="I204" i="32"/>
  <c r="H204" i="32"/>
  <c r="J203" i="32"/>
  <c r="I203" i="32"/>
  <c r="H203" i="32"/>
  <c r="J202" i="32"/>
  <c r="I202" i="32"/>
  <c r="H202" i="32"/>
  <c r="J201" i="32"/>
  <c r="I201" i="32"/>
  <c r="H201" i="32"/>
  <c r="J200" i="32"/>
  <c r="I200" i="32"/>
  <c r="H200" i="32"/>
  <c r="J199" i="32"/>
  <c r="I199" i="32"/>
  <c r="H199" i="32"/>
  <c r="J198" i="32"/>
  <c r="I198" i="32"/>
  <c r="H198" i="32"/>
  <c r="J197" i="32"/>
  <c r="I197" i="32"/>
  <c r="H197" i="32"/>
  <c r="J196" i="32"/>
  <c r="I196" i="32"/>
  <c r="H196" i="32"/>
  <c r="J195" i="32"/>
  <c r="I195" i="32"/>
  <c r="H195" i="32"/>
  <c r="J194" i="32"/>
  <c r="I194" i="32"/>
  <c r="H194" i="32"/>
  <c r="I193" i="32"/>
  <c r="G193" i="32"/>
  <c r="J192" i="32"/>
  <c r="I192" i="32"/>
  <c r="H192" i="32"/>
  <c r="J191" i="32"/>
  <c r="I191" i="32"/>
  <c r="H191" i="32"/>
  <c r="J190" i="32"/>
  <c r="I190" i="32"/>
  <c r="H190" i="32"/>
  <c r="J189" i="32"/>
  <c r="I189" i="32"/>
  <c r="H189" i="32"/>
  <c r="J188" i="32"/>
  <c r="I188" i="32"/>
  <c r="H188" i="32"/>
  <c r="J187" i="32"/>
  <c r="I187" i="32"/>
  <c r="H187" i="32"/>
  <c r="J186" i="32"/>
  <c r="I186" i="32"/>
  <c r="H186" i="32"/>
  <c r="J185" i="32"/>
  <c r="I185" i="32"/>
  <c r="H185" i="32"/>
  <c r="J184" i="32"/>
  <c r="I184" i="32"/>
  <c r="H184" i="32"/>
  <c r="J183" i="32"/>
  <c r="I183" i="32"/>
  <c r="H183" i="32"/>
  <c r="J182" i="32"/>
  <c r="I182" i="32"/>
  <c r="H182" i="32"/>
  <c r="J181" i="32"/>
  <c r="I181" i="32"/>
  <c r="H181" i="32"/>
  <c r="J180" i="32"/>
  <c r="I180" i="32"/>
  <c r="H180" i="32"/>
  <c r="J179" i="32"/>
  <c r="I179" i="32"/>
  <c r="H179" i="32"/>
  <c r="J178" i="32"/>
  <c r="I178" i="32"/>
  <c r="H178" i="32"/>
  <c r="J177" i="32"/>
  <c r="I177" i="32"/>
  <c r="H177" i="32"/>
  <c r="J176" i="32"/>
  <c r="I176" i="32"/>
  <c r="H176" i="32"/>
  <c r="J175" i="32"/>
  <c r="I175" i="32"/>
  <c r="H175" i="32"/>
  <c r="J174" i="32"/>
  <c r="I174" i="32"/>
  <c r="H174" i="32"/>
  <c r="J173" i="32"/>
  <c r="I173" i="32"/>
  <c r="H173" i="32"/>
  <c r="J172" i="32"/>
  <c r="I172" i="32"/>
  <c r="H172" i="32"/>
  <c r="J171" i="32"/>
  <c r="I171" i="32"/>
  <c r="H171" i="32"/>
  <c r="J170" i="32"/>
  <c r="I170" i="32"/>
  <c r="H170" i="32"/>
  <c r="J169" i="32"/>
  <c r="I169" i="32"/>
  <c r="H169" i="32"/>
  <c r="J168" i="32"/>
  <c r="I168" i="32"/>
  <c r="H168" i="32"/>
  <c r="J167" i="32"/>
  <c r="I167" i="32"/>
  <c r="H167" i="32"/>
  <c r="J166" i="32"/>
  <c r="I166" i="32"/>
  <c r="H166" i="32"/>
  <c r="J165" i="32"/>
  <c r="I165" i="32"/>
  <c r="H165" i="32"/>
  <c r="J164" i="32"/>
  <c r="I164" i="32"/>
  <c r="H164" i="32"/>
  <c r="J163" i="32"/>
  <c r="I163" i="32"/>
  <c r="H163" i="32"/>
  <c r="J162" i="32"/>
  <c r="I162" i="32"/>
  <c r="H162" i="32"/>
  <c r="J161" i="32"/>
  <c r="I161" i="32"/>
  <c r="H161" i="32"/>
  <c r="J160" i="32"/>
  <c r="I160" i="32"/>
  <c r="H160" i="32"/>
  <c r="J159" i="32"/>
  <c r="I159" i="32"/>
  <c r="H159" i="32"/>
  <c r="J158" i="32"/>
  <c r="I158" i="32"/>
  <c r="H158" i="32"/>
  <c r="J157" i="32"/>
  <c r="I157" i="32"/>
  <c r="H157" i="32"/>
  <c r="J156" i="32"/>
  <c r="I156" i="32"/>
  <c r="H156" i="32"/>
  <c r="J155" i="32"/>
  <c r="I155" i="32"/>
  <c r="H155" i="32"/>
  <c r="J154" i="32"/>
  <c r="I154" i="32"/>
  <c r="H154" i="32"/>
  <c r="J153" i="32"/>
  <c r="I153" i="32"/>
  <c r="H153" i="32"/>
  <c r="J152" i="32"/>
  <c r="I152" i="32"/>
  <c r="H152" i="32"/>
  <c r="J151" i="32"/>
  <c r="I151" i="32"/>
  <c r="H151" i="32"/>
  <c r="J150" i="32"/>
  <c r="I150" i="32"/>
  <c r="H150" i="32"/>
  <c r="J149" i="32"/>
  <c r="I149" i="32"/>
  <c r="H149" i="32"/>
  <c r="J148" i="32"/>
  <c r="I148" i="32"/>
  <c r="H148" i="32"/>
  <c r="J147" i="32"/>
  <c r="I147" i="32"/>
  <c r="H147" i="32"/>
  <c r="J146" i="32"/>
  <c r="I146" i="32"/>
  <c r="H146" i="32"/>
  <c r="J145" i="32"/>
  <c r="I145" i="32"/>
  <c r="H145" i="32"/>
  <c r="J144" i="32"/>
  <c r="I144" i="32"/>
  <c r="H144" i="32"/>
  <c r="J143" i="32"/>
  <c r="I143" i="32"/>
  <c r="H143" i="32"/>
  <c r="J142" i="32"/>
  <c r="I142" i="32"/>
  <c r="H142" i="32"/>
  <c r="J141" i="32"/>
  <c r="I141" i="32"/>
  <c r="H141" i="32"/>
  <c r="J140" i="32"/>
  <c r="I140" i="32"/>
  <c r="H140" i="32"/>
  <c r="J139" i="32"/>
  <c r="I139" i="32"/>
  <c r="H139" i="32"/>
  <c r="J138" i="32"/>
  <c r="I138" i="32"/>
  <c r="H138" i="32"/>
  <c r="J137" i="32"/>
  <c r="I137" i="32"/>
  <c r="H137" i="32"/>
  <c r="J136" i="32"/>
  <c r="I136" i="32"/>
  <c r="H136" i="32"/>
  <c r="J135" i="32"/>
  <c r="I135" i="32"/>
  <c r="H135" i="32"/>
  <c r="J134" i="32"/>
  <c r="I134" i="32"/>
  <c r="H134" i="32"/>
  <c r="J133" i="32"/>
  <c r="I133" i="32"/>
  <c r="H133" i="32"/>
  <c r="J132" i="32"/>
  <c r="I132" i="32"/>
  <c r="H132" i="32"/>
  <c r="J131" i="32"/>
  <c r="I131" i="32"/>
  <c r="H131" i="32"/>
  <c r="J130" i="32"/>
  <c r="I130" i="32"/>
  <c r="H130" i="32"/>
  <c r="J129" i="32"/>
  <c r="I129" i="32"/>
  <c r="H129" i="32"/>
  <c r="J128" i="32"/>
  <c r="I128" i="32"/>
  <c r="H128" i="32"/>
  <c r="J127" i="32"/>
  <c r="I127" i="32"/>
  <c r="H127" i="32"/>
  <c r="J126" i="32"/>
  <c r="I126" i="32"/>
  <c r="H126" i="32"/>
  <c r="J125" i="32"/>
  <c r="I125" i="32"/>
  <c r="H125" i="32"/>
  <c r="J124" i="32"/>
  <c r="I124" i="32"/>
  <c r="H124" i="32"/>
  <c r="J123" i="32"/>
  <c r="I123" i="32"/>
  <c r="H123" i="32"/>
  <c r="J122" i="32"/>
  <c r="I122" i="32"/>
  <c r="H122" i="32"/>
  <c r="J121" i="32"/>
  <c r="I121" i="32"/>
  <c r="H121" i="32"/>
  <c r="J120" i="32"/>
  <c r="I120" i="32"/>
  <c r="H120" i="32"/>
  <c r="J119" i="32"/>
  <c r="I119" i="32"/>
  <c r="H119" i="32"/>
  <c r="J118" i="32"/>
  <c r="I118" i="32"/>
  <c r="H118" i="32"/>
  <c r="J117" i="32"/>
  <c r="I117" i="32"/>
  <c r="H117" i="32"/>
  <c r="J116" i="32"/>
  <c r="I116" i="32"/>
  <c r="H116" i="32"/>
  <c r="J115" i="32"/>
  <c r="I115" i="32"/>
  <c r="H115" i="32"/>
  <c r="J114" i="32"/>
  <c r="I114" i="32"/>
  <c r="H114" i="32"/>
  <c r="J113" i="32"/>
  <c r="I113" i="32"/>
  <c r="H113" i="32"/>
  <c r="J112" i="32"/>
  <c r="I112" i="32"/>
  <c r="H112" i="32"/>
  <c r="J111" i="32"/>
  <c r="I111" i="32"/>
  <c r="H111" i="32"/>
  <c r="J110" i="32"/>
  <c r="I110" i="32"/>
  <c r="H110" i="32"/>
  <c r="J109" i="32"/>
  <c r="I109" i="32"/>
  <c r="H109" i="32"/>
  <c r="J108" i="32"/>
  <c r="I108" i="32"/>
  <c r="H108" i="32"/>
  <c r="J107" i="32"/>
  <c r="I107" i="32"/>
  <c r="H107" i="32"/>
  <c r="J106" i="32"/>
  <c r="I106" i="32"/>
  <c r="H106" i="32"/>
  <c r="J105" i="32"/>
  <c r="I105" i="32"/>
  <c r="H105" i="32"/>
  <c r="J104" i="32"/>
  <c r="I104" i="32"/>
  <c r="H104" i="32"/>
  <c r="J103" i="32"/>
  <c r="I103" i="32"/>
  <c r="H103" i="32"/>
  <c r="J102" i="32"/>
  <c r="I102" i="32"/>
  <c r="H102" i="32"/>
  <c r="J101" i="32"/>
  <c r="I101" i="32"/>
  <c r="H101" i="32"/>
  <c r="J100" i="32"/>
  <c r="I100" i="32"/>
  <c r="H100" i="32"/>
  <c r="J99" i="32"/>
  <c r="I99" i="32"/>
  <c r="H99" i="32"/>
  <c r="J98" i="32"/>
  <c r="I98" i="32"/>
  <c r="H98" i="32"/>
  <c r="J97" i="32"/>
  <c r="I97" i="32"/>
  <c r="H97" i="32"/>
  <c r="J96" i="32"/>
  <c r="I96" i="32"/>
  <c r="H96" i="32"/>
  <c r="J95" i="32"/>
  <c r="I95" i="32"/>
  <c r="H95" i="32"/>
  <c r="J94" i="32"/>
  <c r="I94" i="32"/>
  <c r="H94" i="32"/>
  <c r="J93" i="32"/>
  <c r="I93" i="32"/>
  <c r="H93" i="32"/>
  <c r="J92" i="32"/>
  <c r="I92" i="32"/>
  <c r="H92" i="32"/>
  <c r="J91" i="32"/>
  <c r="I91" i="32"/>
  <c r="H91" i="32"/>
  <c r="J90" i="32"/>
  <c r="I90" i="32"/>
  <c r="H90" i="32"/>
  <c r="J89" i="32"/>
  <c r="I89" i="32"/>
  <c r="H89" i="32"/>
  <c r="J88" i="32"/>
  <c r="I88" i="32"/>
  <c r="H88" i="32"/>
  <c r="AT87" i="32"/>
  <c r="J87" i="32"/>
  <c r="I87" i="32"/>
  <c r="H87" i="32"/>
  <c r="AX86" i="32"/>
  <c r="AV86" i="32"/>
  <c r="J86" i="32"/>
  <c r="I86" i="32"/>
  <c r="H86" i="32"/>
  <c r="AW85" i="32"/>
  <c r="AX85" i="32"/>
  <c r="AV85" i="32"/>
  <c r="J85" i="32"/>
  <c r="I85" i="32"/>
  <c r="H85" i="32"/>
  <c r="AX84" i="32"/>
  <c r="AV84" i="32"/>
  <c r="J84" i="32"/>
  <c r="I84" i="32"/>
  <c r="H84" i="32"/>
  <c r="AW83" i="32"/>
  <c r="AV83" i="32"/>
  <c r="J83" i="32"/>
  <c r="I83" i="32"/>
  <c r="H83" i="32"/>
  <c r="AX82" i="32"/>
  <c r="AV82" i="32"/>
  <c r="J82" i="32"/>
  <c r="I82" i="32"/>
  <c r="H82" i="32"/>
  <c r="AX81" i="32"/>
  <c r="AV81" i="32"/>
  <c r="AV87" i="32"/>
  <c r="AU87" i="32"/>
  <c r="J81" i="32"/>
  <c r="I81" i="32"/>
  <c r="H81" i="32"/>
  <c r="J80" i="32"/>
  <c r="I80" i="32"/>
  <c r="H80" i="32"/>
  <c r="J79" i="32"/>
  <c r="I79" i="32"/>
  <c r="H79" i="32"/>
  <c r="J78" i="32"/>
  <c r="I78" i="32"/>
  <c r="H78" i="32"/>
  <c r="J77" i="32"/>
  <c r="I77" i="32"/>
  <c r="H77" i="32"/>
  <c r="J76" i="32"/>
  <c r="I76" i="32"/>
  <c r="H76" i="32"/>
  <c r="J75" i="32"/>
  <c r="I75" i="32"/>
  <c r="H75" i="32"/>
  <c r="J74" i="32"/>
  <c r="I74" i="32"/>
  <c r="H74" i="32"/>
  <c r="J73" i="32"/>
  <c r="I73" i="32"/>
  <c r="H73" i="32"/>
  <c r="J72" i="32"/>
  <c r="I72" i="32"/>
  <c r="H72" i="32"/>
  <c r="J71" i="32"/>
  <c r="I71" i="32"/>
  <c r="H71" i="32"/>
  <c r="J70" i="32"/>
  <c r="I70" i="32"/>
  <c r="H70" i="32"/>
  <c r="J69" i="32"/>
  <c r="I69" i="32"/>
  <c r="H69" i="32"/>
  <c r="J68" i="32"/>
  <c r="I68" i="32"/>
  <c r="H68" i="32"/>
  <c r="J67" i="32"/>
  <c r="I67" i="32"/>
  <c r="H67" i="32"/>
  <c r="J66" i="32"/>
  <c r="I66" i="32"/>
  <c r="H66" i="32"/>
  <c r="J65" i="32"/>
  <c r="I65" i="32"/>
  <c r="H65" i="32"/>
  <c r="J64" i="32"/>
  <c r="I64" i="32"/>
  <c r="H64" i="32"/>
  <c r="J63" i="32"/>
  <c r="I63" i="32"/>
  <c r="H63" i="32"/>
  <c r="J62" i="32"/>
  <c r="I62" i="32"/>
  <c r="H62" i="32"/>
  <c r="J61" i="32"/>
  <c r="I61" i="32"/>
  <c r="H61" i="32"/>
  <c r="J60" i="32"/>
  <c r="I60" i="32"/>
  <c r="H60" i="32"/>
  <c r="J59" i="32"/>
  <c r="I59" i="32"/>
  <c r="H59" i="32"/>
  <c r="J58" i="32"/>
  <c r="I58" i="32"/>
  <c r="H58" i="32"/>
  <c r="J57" i="32"/>
  <c r="I57" i="32"/>
  <c r="H57" i="32"/>
  <c r="J56" i="32"/>
  <c r="I56" i="32"/>
  <c r="H56" i="32"/>
  <c r="J55" i="32"/>
  <c r="I55" i="32"/>
  <c r="H55" i="32"/>
  <c r="J54" i="32"/>
  <c r="I54" i="32"/>
  <c r="H54" i="32"/>
  <c r="J53" i="32"/>
  <c r="I53" i="32"/>
  <c r="H53" i="32"/>
  <c r="J52" i="32"/>
  <c r="I52" i="32"/>
  <c r="H52" i="32"/>
  <c r="J51" i="32"/>
  <c r="I51" i="32"/>
  <c r="H51" i="32"/>
  <c r="J50" i="32"/>
  <c r="I50" i="32"/>
  <c r="H50" i="32"/>
  <c r="J49" i="32"/>
  <c r="I49" i="32"/>
  <c r="H49" i="32"/>
  <c r="J48" i="32"/>
  <c r="I48" i="32"/>
  <c r="H48" i="32"/>
  <c r="J47" i="32"/>
  <c r="I47" i="32"/>
  <c r="H47" i="32"/>
  <c r="J46" i="32"/>
  <c r="I46" i="32"/>
  <c r="H46" i="32"/>
  <c r="J45" i="32"/>
  <c r="I45" i="32"/>
  <c r="H45" i="32"/>
  <c r="J44" i="32"/>
  <c r="I44" i="32"/>
  <c r="H44" i="32"/>
  <c r="J43" i="32"/>
  <c r="I43" i="32"/>
  <c r="H43" i="32"/>
  <c r="J42" i="32"/>
  <c r="I42" i="32"/>
  <c r="H42" i="32"/>
  <c r="J41" i="32"/>
  <c r="I41" i="32"/>
  <c r="H41" i="32"/>
  <c r="J40" i="32"/>
  <c r="I40" i="32"/>
  <c r="H40" i="32"/>
  <c r="J39" i="32"/>
  <c r="I39" i="32"/>
  <c r="H39" i="32"/>
  <c r="J38" i="32"/>
  <c r="I38" i="32"/>
  <c r="H38" i="32"/>
  <c r="J37" i="32"/>
  <c r="I37" i="32"/>
  <c r="H37" i="32"/>
  <c r="J36" i="32"/>
  <c r="I36" i="32"/>
  <c r="H36" i="32"/>
  <c r="J35" i="32"/>
  <c r="I35" i="32"/>
  <c r="H35" i="32"/>
  <c r="J34" i="32"/>
  <c r="I34" i="32"/>
  <c r="H34" i="32"/>
  <c r="J33" i="32"/>
  <c r="I33" i="32"/>
  <c r="H33" i="32"/>
  <c r="J32" i="32"/>
  <c r="I32" i="32"/>
  <c r="H32" i="32"/>
  <c r="J31" i="32"/>
  <c r="I31" i="32"/>
  <c r="H31" i="32"/>
  <c r="J30" i="32"/>
  <c r="I30" i="32"/>
  <c r="H30" i="32"/>
  <c r="J29" i="32"/>
  <c r="I29" i="32"/>
  <c r="H29" i="32"/>
  <c r="J28" i="32"/>
  <c r="I28" i="32"/>
  <c r="H28" i="32"/>
  <c r="J27" i="32"/>
  <c r="I27" i="32"/>
  <c r="H27" i="32"/>
  <c r="J26" i="32"/>
  <c r="I26" i="32"/>
  <c r="H26" i="32"/>
  <c r="J25" i="32"/>
  <c r="I25" i="32"/>
  <c r="H25" i="32"/>
  <c r="J24" i="32"/>
  <c r="I24" i="32"/>
  <c r="H24" i="32"/>
  <c r="J23" i="32"/>
  <c r="I23" i="32"/>
  <c r="H23" i="32"/>
  <c r="J22" i="32"/>
  <c r="I22" i="32"/>
  <c r="H22" i="32"/>
  <c r="J21" i="32"/>
  <c r="I21" i="32"/>
  <c r="H21" i="32"/>
  <c r="J20" i="32"/>
  <c r="I20" i="32"/>
  <c r="H20" i="32"/>
  <c r="J19" i="32"/>
  <c r="I19" i="32"/>
  <c r="H19" i="32"/>
  <c r="J18" i="32"/>
  <c r="I18" i="32"/>
  <c r="H18" i="32"/>
  <c r="J17" i="32"/>
  <c r="I17" i="32"/>
  <c r="H17" i="32"/>
  <c r="J16" i="32"/>
  <c r="I16" i="32"/>
  <c r="H16" i="32"/>
  <c r="J15" i="32"/>
  <c r="I15" i="32"/>
  <c r="H15" i="32"/>
  <c r="J14" i="32"/>
  <c r="I14" i="32"/>
  <c r="H14" i="32"/>
  <c r="J13" i="32"/>
  <c r="I13" i="32"/>
  <c r="H13" i="32"/>
  <c r="J12" i="32"/>
  <c r="I12" i="32"/>
  <c r="H12" i="32"/>
  <c r="J11" i="32"/>
  <c r="I11" i="32"/>
  <c r="H11" i="32"/>
  <c r="J10" i="32"/>
  <c r="I10" i="32"/>
  <c r="H10" i="32"/>
  <c r="J9" i="32"/>
  <c r="I9" i="32"/>
  <c r="H9" i="32"/>
  <c r="J8" i="32"/>
  <c r="I8" i="32"/>
  <c r="H8" i="32"/>
  <c r="J7" i="32"/>
  <c r="I7" i="32"/>
  <c r="H7" i="32"/>
  <c r="J6" i="32"/>
  <c r="I6" i="32"/>
  <c r="H6" i="32"/>
  <c r="J5" i="32"/>
  <c r="I5" i="32"/>
  <c r="H5" i="32"/>
  <c r="J4" i="32"/>
  <c r="I4" i="32"/>
  <c r="H4" i="32"/>
  <c r="J3" i="32"/>
  <c r="I3" i="32"/>
  <c r="H3" i="32"/>
  <c r="ED9" i="25"/>
  <c r="DU35" i="29"/>
  <c r="DR35" i="29"/>
  <c r="DO35" i="29"/>
  <c r="DM35" i="29"/>
  <c r="DJ35" i="29"/>
  <c r="DH35" i="29"/>
  <c r="DE35" i="29"/>
  <c r="DC35" i="29"/>
  <c r="CZ35" i="29"/>
  <c r="CW35" i="29"/>
  <c r="CT35" i="29"/>
  <c r="CQ35" i="29"/>
  <c r="CO35" i="29"/>
  <c r="CL35" i="29"/>
  <c r="CJ35" i="29"/>
  <c r="CG35" i="29"/>
  <c r="CE35" i="29"/>
  <c r="CB35" i="29"/>
  <c r="BY35" i="29"/>
  <c r="BV35" i="29"/>
  <c r="BS35" i="29"/>
  <c r="BQ35" i="29"/>
  <c r="BN35" i="29"/>
  <c r="BL35" i="29"/>
  <c r="BI35" i="29"/>
  <c r="BG35" i="29"/>
  <c r="BD35" i="29"/>
  <c r="BB35" i="29"/>
  <c r="AY35" i="29"/>
  <c r="AV35" i="29"/>
  <c r="AS35" i="29"/>
  <c r="AP35" i="29"/>
  <c r="AN35" i="29"/>
  <c r="AK35" i="29"/>
  <c r="AI35" i="29"/>
  <c r="AF35" i="29"/>
  <c r="AD35" i="29"/>
  <c r="AA35" i="29"/>
  <c r="X35" i="29"/>
  <c r="U35" i="29"/>
  <c r="R35" i="29"/>
  <c r="P35" i="29"/>
  <c r="M35" i="29"/>
  <c r="K35" i="29"/>
  <c r="H35" i="29"/>
  <c r="F35" i="29"/>
  <c r="C35" i="29"/>
  <c r="EA31" i="29"/>
  <c r="EA32" i="29"/>
  <c r="EA33" i="29"/>
  <c r="EA34" i="29"/>
  <c r="EA7" i="29"/>
  <c r="EA8" i="29"/>
  <c r="EA9" i="29"/>
  <c r="EA10" i="29"/>
  <c r="EA11" i="29"/>
  <c r="EA12" i="29"/>
  <c r="EA13" i="29"/>
  <c r="EA14" i="29"/>
  <c r="EA15" i="29"/>
  <c r="EA16" i="29"/>
  <c r="EA17" i="29"/>
  <c r="EA18" i="29"/>
  <c r="EA19" i="29"/>
  <c r="EA20" i="29"/>
  <c r="EA21" i="29"/>
  <c r="EA22" i="29"/>
  <c r="EA23" i="29"/>
  <c r="EA24" i="29"/>
  <c r="EA25" i="29"/>
  <c r="EA26" i="29"/>
  <c r="EA27" i="29"/>
  <c r="EA28" i="29"/>
  <c r="EA29" i="29"/>
  <c r="EA30" i="29"/>
  <c r="EY8" i="29"/>
  <c r="EZ8" i="29"/>
  <c r="EY9" i="29"/>
  <c r="EZ9" i="29"/>
  <c r="EY10" i="29"/>
  <c r="EZ10" i="29"/>
  <c r="EY11" i="29"/>
  <c r="EZ11" i="29"/>
  <c r="EY12" i="29"/>
  <c r="EZ12" i="29"/>
  <c r="EY13" i="29"/>
  <c r="EZ13" i="29"/>
  <c r="EY14" i="29"/>
  <c r="EZ14" i="29"/>
  <c r="EY15" i="29"/>
  <c r="EZ15" i="29"/>
  <c r="EY16" i="29"/>
  <c r="EZ16" i="29"/>
  <c r="EY17" i="29"/>
  <c r="EZ17" i="29"/>
  <c r="EY18" i="29"/>
  <c r="EZ18" i="29"/>
  <c r="EY19" i="29"/>
  <c r="EZ19" i="29"/>
  <c r="EY20" i="29"/>
  <c r="EZ20" i="29"/>
  <c r="EY21" i="29"/>
  <c r="EZ21" i="29"/>
  <c r="EY22" i="29"/>
  <c r="EZ22" i="29"/>
  <c r="EY23" i="29"/>
  <c r="EZ23" i="29"/>
  <c r="EY24" i="29"/>
  <c r="EZ24" i="29"/>
  <c r="EY25" i="29"/>
  <c r="EZ25" i="29"/>
  <c r="EY26" i="29"/>
  <c r="EZ26" i="29"/>
  <c r="EY27" i="29"/>
  <c r="EZ27" i="29"/>
  <c r="EY28" i="29"/>
  <c r="EZ28" i="29"/>
  <c r="EY29" i="29"/>
  <c r="EZ29" i="29"/>
  <c r="EY30" i="29"/>
  <c r="EZ30" i="29"/>
  <c r="EY31" i="29"/>
  <c r="EZ31" i="29"/>
  <c r="EY32" i="29"/>
  <c r="EZ32" i="29"/>
  <c r="EY33" i="29"/>
  <c r="EZ33" i="29"/>
  <c r="EY34" i="29"/>
  <c r="EZ34" i="29"/>
  <c r="AAC7" i="30"/>
  <c r="EA6" i="29" s="1"/>
  <c r="AAC8" i="30"/>
  <c r="AAC9" i="30"/>
  <c r="AAC10" i="30"/>
  <c r="AAC11" i="30"/>
  <c r="AAC12" i="30"/>
  <c r="AAC13" i="30"/>
  <c r="AAC14" i="30"/>
  <c r="AAC15" i="30"/>
  <c r="AAC16" i="30"/>
  <c r="AAC17" i="30"/>
  <c r="AAC18" i="30"/>
  <c r="AAC19" i="30"/>
  <c r="AAC20" i="30"/>
  <c r="AAC21" i="30"/>
  <c r="AAC22" i="30"/>
  <c r="AAC23" i="30"/>
  <c r="AAC24" i="30"/>
  <c r="AAC25" i="30"/>
  <c r="AAC26" i="30"/>
  <c r="AAC27" i="30"/>
  <c r="AAC28" i="30"/>
  <c r="AAC29" i="30"/>
  <c r="AAC30" i="30"/>
  <c r="AAC31" i="30"/>
  <c r="AAC32" i="30"/>
  <c r="AAC33" i="30"/>
  <c r="AAC34" i="30"/>
  <c r="AAC35" i="30"/>
  <c r="DY12" i="25"/>
  <c r="IA18" i="25"/>
  <c r="IA14" i="25"/>
  <c r="IA17" i="25" s="1"/>
  <c r="IA13" i="25"/>
  <c r="IA12" i="25"/>
  <c r="IA11" i="25"/>
  <c r="IA39" i="25" s="1"/>
  <c r="IA10" i="25"/>
  <c r="IA9" i="25"/>
  <c r="IA8" i="25"/>
  <c r="IA40" i="25" s="1"/>
  <c r="IA7" i="25"/>
  <c r="IA6" i="25"/>
  <c r="HR32" i="25"/>
  <c r="HR31" i="25"/>
  <c r="HR30" i="25"/>
  <c r="HR29" i="25"/>
  <c r="HR28" i="25"/>
  <c r="HR27" i="25"/>
  <c r="HR26" i="25"/>
  <c r="HR25" i="25"/>
  <c r="HR23" i="25"/>
  <c r="HR22" i="25"/>
  <c r="HR21" i="25"/>
  <c r="HR20" i="25"/>
  <c r="HR19" i="25"/>
  <c r="HR18" i="25"/>
  <c r="HR15" i="25"/>
  <c r="HR14" i="25"/>
  <c r="HR17" i="25" s="1"/>
  <c r="HR13" i="25"/>
  <c r="HR12" i="25"/>
  <c r="HR11" i="25"/>
  <c r="HR10" i="25"/>
  <c r="HR9" i="25"/>
  <c r="HR8" i="25"/>
  <c r="HR7" i="25"/>
  <c r="HR6" i="25"/>
  <c r="HM32" i="25"/>
  <c r="HM31" i="25"/>
  <c r="HM30" i="25"/>
  <c r="HM29" i="25"/>
  <c r="HM28" i="25"/>
  <c r="HM27" i="25"/>
  <c r="HM26" i="25"/>
  <c r="HM25" i="25"/>
  <c r="HM23" i="25"/>
  <c r="HM22" i="25"/>
  <c r="HM21" i="25"/>
  <c r="HM20" i="25"/>
  <c r="HM19" i="25"/>
  <c r="HM18" i="25"/>
  <c r="HM15" i="25"/>
  <c r="HM14" i="25"/>
  <c r="HM17" i="25" s="1"/>
  <c r="HM13" i="25"/>
  <c r="HM12" i="25"/>
  <c r="HM11" i="25"/>
  <c r="HM10" i="25"/>
  <c r="HM9" i="25"/>
  <c r="HM8" i="25"/>
  <c r="HM7" i="25"/>
  <c r="HM6" i="25"/>
  <c r="HH32" i="25"/>
  <c r="HH31" i="25"/>
  <c r="HH30" i="25"/>
  <c r="HH29" i="25"/>
  <c r="HH28" i="25"/>
  <c r="HH27" i="25"/>
  <c r="HH26" i="25"/>
  <c r="HH25" i="25"/>
  <c r="HH23" i="25"/>
  <c r="HH22" i="25"/>
  <c r="HH21" i="25"/>
  <c r="HH20" i="25"/>
  <c r="HH19" i="25"/>
  <c r="HH18" i="25"/>
  <c r="HH15" i="25"/>
  <c r="HH14" i="25"/>
  <c r="HH17" i="25" s="1"/>
  <c r="HH13" i="25"/>
  <c r="HH12" i="25"/>
  <c r="HH11" i="25"/>
  <c r="HH10" i="25"/>
  <c r="HH9" i="25"/>
  <c r="HH8" i="25"/>
  <c r="HH7" i="25"/>
  <c r="HH6" i="25"/>
  <c r="HC32" i="25"/>
  <c r="HC31" i="25"/>
  <c r="HC30" i="25"/>
  <c r="HC29" i="25"/>
  <c r="HC28" i="25"/>
  <c r="HC27" i="25"/>
  <c r="HC26" i="25"/>
  <c r="HC25" i="25"/>
  <c r="HC23" i="25"/>
  <c r="HC22" i="25"/>
  <c r="HC21" i="25"/>
  <c r="HC20" i="25"/>
  <c r="HC19" i="25"/>
  <c r="HC18" i="25"/>
  <c r="HC15" i="25"/>
  <c r="HC14" i="25"/>
  <c r="HC17" i="25" s="1"/>
  <c r="HC13" i="25"/>
  <c r="HC12" i="25"/>
  <c r="HC11" i="25"/>
  <c r="HC10" i="25"/>
  <c r="HC9" i="25"/>
  <c r="HC8" i="25"/>
  <c r="HC7" i="25"/>
  <c r="HC6" i="25"/>
  <c r="GX32" i="25"/>
  <c r="HV32" i="25" s="1"/>
  <c r="GX31" i="25"/>
  <c r="HV31" i="25" s="1"/>
  <c r="GX25" i="25"/>
  <c r="GE32" i="25"/>
  <c r="GS32" i="25" s="1"/>
  <c r="J32" i="24" s="1"/>
  <c r="GE31" i="25"/>
  <c r="GS31" i="25" s="1"/>
  <c r="J31" i="24" s="1"/>
  <c r="GE30" i="25"/>
  <c r="GE29" i="25"/>
  <c r="GS29" i="25" s="1"/>
  <c r="GE28" i="25"/>
  <c r="GE27" i="25"/>
  <c r="GS27" i="25" s="1"/>
  <c r="GE26" i="25"/>
  <c r="GS26" i="25" s="1"/>
  <c r="GE25" i="25"/>
  <c r="GE43" i="25" s="1"/>
  <c r="FZ28" i="25"/>
  <c r="GS28" i="25" s="1"/>
  <c r="FZ25" i="25"/>
  <c r="FQ32" i="25"/>
  <c r="FQ31" i="25"/>
  <c r="FQ23" i="25"/>
  <c r="FQ22" i="25"/>
  <c r="FQ21" i="25"/>
  <c r="FQ20" i="25"/>
  <c r="FQ19" i="25"/>
  <c r="FQ18" i="25"/>
  <c r="FQ17" i="25"/>
  <c r="FQ15" i="25"/>
  <c r="FL14" i="25"/>
  <c r="FG23" i="25"/>
  <c r="FG22" i="25"/>
  <c r="FG21" i="25"/>
  <c r="FG20" i="25"/>
  <c r="FG39" i="25" s="1"/>
  <c r="FH39" i="25" s="1"/>
  <c r="FG19" i="25"/>
  <c r="FG18" i="25"/>
  <c r="FG40" i="25" s="1"/>
  <c r="FH40" i="25" s="1"/>
  <c r="FG17" i="25"/>
  <c r="FG38" i="25" s="1"/>
  <c r="FB32" i="25"/>
  <c r="FB31" i="25"/>
  <c r="FB30" i="25"/>
  <c r="FB29" i="25"/>
  <c r="FU29" i="25" s="1"/>
  <c r="FB28" i="25"/>
  <c r="FU28" i="25" s="1"/>
  <c r="FB27" i="25"/>
  <c r="FU27" i="25" s="1"/>
  <c r="FB26" i="25"/>
  <c r="FU26" i="25" s="1"/>
  <c r="FB25" i="25"/>
  <c r="FB23" i="25"/>
  <c r="FB22" i="25"/>
  <c r="FB21" i="25"/>
  <c r="FB20" i="25"/>
  <c r="FB19" i="25"/>
  <c r="FB18" i="25"/>
  <c r="FB17" i="25"/>
  <c r="FB15" i="25"/>
  <c r="FB14" i="25"/>
  <c r="FB13" i="25"/>
  <c r="FU13" i="25" s="1"/>
  <c r="FB12" i="25"/>
  <c r="FU12" i="25" s="1"/>
  <c r="FB11" i="25"/>
  <c r="FB10" i="25"/>
  <c r="FU10" i="25" s="1"/>
  <c r="FB9" i="25"/>
  <c r="FU9" i="25" s="1"/>
  <c r="FB8" i="25"/>
  <c r="FB7" i="25"/>
  <c r="FU7" i="25" s="1"/>
  <c r="FB6" i="25"/>
  <c r="ES32" i="25"/>
  <c r="ES31" i="25"/>
  <c r="ES30" i="25"/>
  <c r="ES29" i="25"/>
  <c r="ES28" i="25"/>
  <c r="ES27" i="25"/>
  <c r="ES26" i="25"/>
  <c r="ES25" i="25"/>
  <c r="ES43" i="25"/>
  <c r="ES23" i="25"/>
  <c r="ES22" i="25"/>
  <c r="ES21" i="25"/>
  <c r="ES20" i="25"/>
  <c r="ES19" i="25"/>
  <c r="ES18" i="25"/>
  <c r="ES17" i="25"/>
  <c r="ES15" i="25"/>
  <c r="ES14" i="25"/>
  <c r="ES13" i="25"/>
  <c r="ES12" i="25"/>
  <c r="ES11" i="25"/>
  <c r="ES10" i="25"/>
  <c r="ES9" i="25"/>
  <c r="ES8" i="25"/>
  <c r="ES7" i="25"/>
  <c r="ES6" i="25"/>
  <c r="EN32" i="25"/>
  <c r="EN31" i="25"/>
  <c r="EN30" i="25"/>
  <c r="EN29" i="25"/>
  <c r="EN28" i="25"/>
  <c r="EN27" i="25"/>
  <c r="EN26" i="25"/>
  <c r="EN25" i="25"/>
  <c r="EN43" i="25" s="1"/>
  <c r="EN23" i="25"/>
  <c r="EN22" i="25"/>
  <c r="EN21" i="25"/>
  <c r="EN20" i="25"/>
  <c r="EN19" i="25"/>
  <c r="EN18" i="25"/>
  <c r="EN17" i="25"/>
  <c r="EN15" i="25"/>
  <c r="EN14" i="25"/>
  <c r="EN13" i="25"/>
  <c r="EN12" i="25"/>
  <c r="EN11" i="25"/>
  <c r="EN40" i="25" s="1"/>
  <c r="EN10" i="25"/>
  <c r="EN9" i="25"/>
  <c r="EN8" i="25"/>
  <c r="EN7" i="25"/>
  <c r="EN6" i="25"/>
  <c r="EN38" i="25" s="1"/>
  <c r="EI32" i="25"/>
  <c r="EI31" i="25"/>
  <c r="EI30" i="25"/>
  <c r="EI29" i="25"/>
  <c r="EI28" i="25"/>
  <c r="EI27" i="25"/>
  <c r="EI26" i="25"/>
  <c r="EI25" i="25"/>
  <c r="EI43" i="25" s="1"/>
  <c r="EI23" i="25"/>
  <c r="EI22" i="25"/>
  <c r="EI21" i="25"/>
  <c r="EI20" i="25"/>
  <c r="EI19" i="25"/>
  <c r="EI18" i="25"/>
  <c r="EI17" i="25"/>
  <c r="EI15" i="25"/>
  <c r="EI14" i="25"/>
  <c r="EI13" i="25"/>
  <c r="EI12" i="25"/>
  <c r="EI11" i="25"/>
  <c r="EI40" i="25" s="1"/>
  <c r="EI10" i="25"/>
  <c r="EI9" i="25"/>
  <c r="EI8" i="25"/>
  <c r="EI7" i="25"/>
  <c r="EI6" i="25"/>
  <c r="EI38" i="25" s="1"/>
  <c r="AE5" i="30"/>
  <c r="AG5" i="30"/>
  <c r="AH5" i="30"/>
  <c r="BK5" i="30"/>
  <c r="BM5" i="30"/>
  <c r="BN5" i="30"/>
  <c r="CQ5" i="30"/>
  <c r="CS5" i="30"/>
  <c r="CT5" i="30"/>
  <c r="DW5" i="30"/>
  <c r="DY5" i="30"/>
  <c r="DZ5" i="30"/>
  <c r="FC5" i="30"/>
  <c r="FE5" i="30"/>
  <c r="FF5" i="30"/>
  <c r="GI5" i="30"/>
  <c r="GK5" i="30"/>
  <c r="GL5" i="30"/>
  <c r="HO5" i="30"/>
  <c r="HQ5" i="30"/>
  <c r="HR5" i="30"/>
  <c r="IU5" i="30"/>
  <c r="IW5" i="30"/>
  <c r="IX5" i="30"/>
  <c r="KA5" i="30"/>
  <c r="KC5" i="30"/>
  <c r="KD5" i="30"/>
  <c r="LG5" i="30"/>
  <c r="LI5" i="30"/>
  <c r="LJ5" i="30"/>
  <c r="MM5" i="30"/>
  <c r="MO5" i="30"/>
  <c r="MP5" i="30"/>
  <c r="NS5" i="30"/>
  <c r="NU5" i="30"/>
  <c r="NV5" i="30"/>
  <c r="OY5" i="30"/>
  <c r="PA5" i="30"/>
  <c r="PB5" i="30"/>
  <c r="QE5" i="30"/>
  <c r="QG5" i="30"/>
  <c r="QH5" i="30"/>
  <c r="RK5" i="30"/>
  <c r="RM5" i="30"/>
  <c r="RN5" i="30"/>
  <c r="SQ5" i="30"/>
  <c r="SS5" i="30"/>
  <c r="ST5" i="30"/>
  <c r="TW5" i="30"/>
  <c r="TY5" i="30"/>
  <c r="TZ5" i="30"/>
  <c r="VC5" i="30"/>
  <c r="VE5" i="30"/>
  <c r="VF5" i="30"/>
  <c r="WI5" i="30"/>
  <c r="WK5" i="30"/>
  <c r="WL5" i="30"/>
  <c r="XO5" i="30"/>
  <c r="XQ5" i="30"/>
  <c r="XR5" i="30"/>
  <c r="YU5" i="30"/>
  <c r="YW5" i="30"/>
  <c r="YX5" i="30"/>
  <c r="AAA5" i="30"/>
  <c r="AAC5" i="30"/>
  <c r="AAD5" i="30"/>
  <c r="ABG5" i="30"/>
  <c r="ABI5" i="30"/>
  <c r="ABJ5" i="30"/>
  <c r="ACM5" i="30"/>
  <c r="ACO5" i="30"/>
  <c r="ACP5" i="30"/>
  <c r="ADS5" i="30"/>
  <c r="ADU5" i="30"/>
  <c r="ADV5" i="30"/>
  <c r="AEY5" i="30"/>
  <c r="AFA5" i="30"/>
  <c r="AFB5" i="30"/>
  <c r="AGE5" i="30"/>
  <c r="AGG5" i="30"/>
  <c r="AGH5" i="30"/>
  <c r="AHK5" i="30"/>
  <c r="AHM5" i="30"/>
  <c r="AHN5" i="30"/>
  <c r="AIQ5" i="30"/>
  <c r="AIS5" i="30"/>
  <c r="AIT5" i="30"/>
  <c r="AJW5" i="30"/>
  <c r="AJY5" i="30"/>
  <c r="AJZ5" i="30"/>
  <c r="ALC5" i="30"/>
  <c r="ALE5" i="30"/>
  <c r="ALF5" i="30"/>
  <c r="AMI5" i="30"/>
  <c r="AMK5" i="30"/>
  <c r="AML5" i="30"/>
  <c r="ANO5" i="30"/>
  <c r="ANQ5" i="30"/>
  <c r="ANR5" i="30"/>
  <c r="AOU5" i="30"/>
  <c r="AOW5" i="30"/>
  <c r="AOX5" i="30"/>
  <c r="AQA5" i="30"/>
  <c r="AQC5" i="30"/>
  <c r="AQD5" i="30"/>
  <c r="ARG5" i="30"/>
  <c r="ARI5" i="30"/>
  <c r="ARJ5" i="30"/>
  <c r="ASM5" i="30"/>
  <c r="ASO5" i="30"/>
  <c r="ASP5" i="30"/>
  <c r="ATS5" i="30"/>
  <c r="ATU5" i="30"/>
  <c r="ATV5" i="30"/>
  <c r="AUY5" i="30"/>
  <c r="AVA5" i="30"/>
  <c r="AVB5" i="30"/>
  <c r="AWE5" i="30"/>
  <c r="AWG5" i="30"/>
  <c r="AWH5" i="30"/>
  <c r="AXK5" i="30"/>
  <c r="AXM5" i="30"/>
  <c r="AXN5" i="30"/>
  <c r="AYQ5" i="30"/>
  <c r="AYS5" i="30"/>
  <c r="AYT5" i="30"/>
  <c r="AZW5" i="30"/>
  <c r="AZY5" i="30"/>
  <c r="AZZ5" i="30"/>
  <c r="BBC5" i="30"/>
  <c r="BBE5" i="30"/>
  <c r="BBF5" i="30"/>
  <c r="BCI5" i="30"/>
  <c r="BCK5" i="30"/>
  <c r="BCL5" i="30"/>
  <c r="BDO5" i="30"/>
  <c r="BDQ5" i="30"/>
  <c r="BDR5" i="30"/>
  <c r="BEU5" i="30"/>
  <c r="BEW5" i="30"/>
  <c r="BEX5" i="30"/>
  <c r="BGA5" i="30"/>
  <c r="BGC5" i="30"/>
  <c r="BGD5" i="30"/>
  <c r="BHG5" i="30"/>
  <c r="BHI5" i="30"/>
  <c r="BHJ5" i="30"/>
  <c r="BIM5" i="30"/>
  <c r="BIO5" i="30"/>
  <c r="BIP5" i="30"/>
  <c r="BJS5" i="30"/>
  <c r="BJU5" i="30"/>
  <c r="BJV5" i="30"/>
  <c r="BKY5" i="30"/>
  <c r="BLA5" i="30"/>
  <c r="BLB5" i="30"/>
  <c r="G6" i="30"/>
  <c r="H6" i="30"/>
  <c r="I6" i="30"/>
  <c r="J6" i="30"/>
  <c r="K6" i="30"/>
  <c r="L6" i="30"/>
  <c r="M6" i="30"/>
  <c r="N6" i="30"/>
  <c r="O6" i="30"/>
  <c r="P6" i="30"/>
  <c r="Q6" i="30"/>
  <c r="R6" i="30"/>
  <c r="S6" i="30"/>
  <c r="T6" i="30"/>
  <c r="U6" i="30"/>
  <c r="V6" i="30"/>
  <c r="W6" i="30"/>
  <c r="X6" i="30"/>
  <c r="Y6" i="30"/>
  <c r="Z6" i="30"/>
  <c r="AA6" i="30"/>
  <c r="AB6" i="30"/>
  <c r="AC6" i="30"/>
  <c r="AD6" i="30"/>
  <c r="AH6" i="30"/>
  <c r="AI6" i="30"/>
  <c r="AM6" i="30"/>
  <c r="AQ6" i="30"/>
  <c r="AU6" i="30"/>
  <c r="AY6" i="30"/>
  <c r="BC6" i="30"/>
  <c r="BG6" i="30"/>
  <c r="BO6" i="30"/>
  <c r="BS6" i="30"/>
  <c r="BW6" i="30"/>
  <c r="CA6" i="30"/>
  <c r="CE6" i="30"/>
  <c r="CI6" i="30"/>
  <c r="CM6" i="30"/>
  <c r="CU6" i="30"/>
  <c r="CY6" i="30"/>
  <c r="DC6" i="30"/>
  <c r="DG6" i="30"/>
  <c r="DK6" i="30"/>
  <c r="DO6" i="30"/>
  <c r="DS6" i="30"/>
  <c r="EA6" i="30"/>
  <c r="EE6" i="30"/>
  <c r="EI6" i="30"/>
  <c r="EM6" i="30"/>
  <c r="EQ6" i="30"/>
  <c r="EU6" i="30"/>
  <c r="EY6" i="30"/>
  <c r="FG6" i="30"/>
  <c r="FK6" i="30"/>
  <c r="FO6" i="30"/>
  <c r="FS6" i="30"/>
  <c r="FW6" i="30"/>
  <c r="GA6" i="30"/>
  <c r="GE6" i="30"/>
  <c r="GM6" i="30"/>
  <c r="GQ6" i="30"/>
  <c r="GU6" i="30"/>
  <c r="GY6" i="30"/>
  <c r="HC6" i="30"/>
  <c r="HG6" i="30"/>
  <c r="HK6" i="30"/>
  <c r="HS6" i="30"/>
  <c r="HW6" i="30"/>
  <c r="IA6" i="30"/>
  <c r="IE6" i="30"/>
  <c r="II6" i="30"/>
  <c r="IM6" i="30"/>
  <c r="IQ6" i="30"/>
  <c r="IY6" i="30"/>
  <c r="JC6" i="30"/>
  <c r="JG6" i="30"/>
  <c r="JK6" i="30"/>
  <c r="JO6" i="30"/>
  <c r="JS6" i="30"/>
  <c r="JW6" i="30"/>
  <c r="KE6" i="30"/>
  <c r="KI6" i="30"/>
  <c r="KM6" i="30"/>
  <c r="KQ6" i="30"/>
  <c r="KU6" i="30"/>
  <c r="KY6" i="30"/>
  <c r="LC6" i="30"/>
  <c r="LK6" i="30"/>
  <c r="LO6" i="30"/>
  <c r="LS6" i="30"/>
  <c r="LW6" i="30"/>
  <c r="MA6" i="30"/>
  <c r="ME6" i="30"/>
  <c r="MI6" i="30"/>
  <c r="MQ6" i="30"/>
  <c r="MU6" i="30"/>
  <c r="MY6" i="30"/>
  <c r="BN6" i="30"/>
  <c r="CT6" i="30"/>
  <c r="DZ6" i="30"/>
  <c r="FF6" i="30"/>
  <c r="GL6" i="30"/>
  <c r="HR6" i="30"/>
  <c r="IX6" i="30"/>
  <c r="KD6" i="30"/>
  <c r="LJ6" i="30"/>
  <c r="MP6" i="30"/>
  <c r="NC6" i="30"/>
  <c r="NG6" i="30"/>
  <c r="NK6" i="30"/>
  <c r="NO6" i="30"/>
  <c r="NW6" i="30"/>
  <c r="OA6" i="30"/>
  <c r="OE6" i="30"/>
  <c r="OI6" i="30"/>
  <c r="OM6" i="30"/>
  <c r="OQ6" i="30"/>
  <c r="OU6" i="30"/>
  <c r="PC6" i="30"/>
  <c r="PG6" i="30"/>
  <c r="PK6" i="30"/>
  <c r="PO6" i="30"/>
  <c r="PS6" i="30"/>
  <c r="PW6" i="30"/>
  <c r="QA6" i="30"/>
  <c r="QI6" i="30"/>
  <c r="QM6" i="30"/>
  <c r="QQ6" i="30"/>
  <c r="QU6" i="30"/>
  <c r="QY6" i="30"/>
  <c r="RC6" i="30"/>
  <c r="RG6" i="30"/>
  <c r="RO6" i="30"/>
  <c r="RS6" i="30"/>
  <c r="RW6" i="30"/>
  <c r="SA6" i="30"/>
  <c r="SE6" i="30"/>
  <c r="SI6" i="30"/>
  <c r="SM6" i="30"/>
  <c r="SU6" i="30"/>
  <c r="SY6" i="30"/>
  <c r="TC6" i="30"/>
  <c r="TG6" i="30"/>
  <c r="TK6" i="30"/>
  <c r="TO6" i="30"/>
  <c r="TS6" i="30"/>
  <c r="UA6" i="30"/>
  <c r="UE6" i="30"/>
  <c r="UI6" i="30"/>
  <c r="UM6" i="30"/>
  <c r="UQ6" i="30"/>
  <c r="UU6" i="30"/>
  <c r="UY6" i="30"/>
  <c r="VG6" i="30"/>
  <c r="VK6" i="30"/>
  <c r="VO6" i="30"/>
  <c r="VS6" i="30"/>
  <c r="VW6" i="30"/>
  <c r="WA6" i="30"/>
  <c r="WE6" i="30"/>
  <c r="WM6" i="30"/>
  <c r="WQ6" i="30"/>
  <c r="WU6" i="30"/>
  <c r="WY6" i="30"/>
  <c r="XC6" i="30"/>
  <c r="XG6" i="30"/>
  <c r="XK6" i="30"/>
  <c r="XS6" i="30"/>
  <c r="XW6" i="30"/>
  <c r="YA6" i="30"/>
  <c r="YE6" i="30"/>
  <c r="YI6" i="30"/>
  <c r="YM6" i="30"/>
  <c r="YQ6" i="30"/>
  <c r="YY6" i="30"/>
  <c r="NV6" i="30"/>
  <c r="PB6" i="30"/>
  <c r="QH6" i="30"/>
  <c r="RN6" i="30"/>
  <c r="ST6" i="30"/>
  <c r="TZ6" i="30"/>
  <c r="VF6" i="30"/>
  <c r="WL6" i="30"/>
  <c r="XR6" i="30"/>
  <c r="YX6" i="30"/>
  <c r="ZG6" i="30"/>
  <c r="ZK6" i="30"/>
  <c r="ZO6" i="30"/>
  <c r="ZS6" i="30"/>
  <c r="ZW6" i="30"/>
  <c r="AAE6" i="30"/>
  <c r="AAI6" i="30"/>
  <c r="AAM6" i="30"/>
  <c r="AAQ6" i="30"/>
  <c r="AAU6" i="30"/>
  <c r="AAY6" i="30"/>
  <c r="ABC6" i="30"/>
  <c r="ABK6" i="30"/>
  <c r="ABO6" i="30"/>
  <c r="ABS6" i="30"/>
  <c r="AAD6" i="30"/>
  <c r="ABJ6" i="30"/>
  <c r="ABW6" i="30"/>
  <c r="ACA6" i="30"/>
  <c r="ACE6" i="30"/>
  <c r="ACI6" i="30"/>
  <c r="ACQ6" i="30"/>
  <c r="ACU6" i="30"/>
  <c r="ACY6" i="30"/>
  <c r="ADC6" i="30"/>
  <c r="ADG6" i="30"/>
  <c r="ADK6" i="30"/>
  <c r="ADO6" i="30"/>
  <c r="ADW6" i="30"/>
  <c r="AEA6" i="30"/>
  <c r="AEE6" i="30"/>
  <c r="AEI6" i="30"/>
  <c r="AEM6" i="30"/>
  <c r="AEQ6" i="30"/>
  <c r="AEU6" i="30"/>
  <c r="AFC6" i="30"/>
  <c r="AFG6" i="30"/>
  <c r="AFK6" i="30"/>
  <c r="AFO6" i="30"/>
  <c r="AFS6" i="30"/>
  <c r="AFW6" i="30"/>
  <c r="AGA6" i="30"/>
  <c r="AGI6" i="30"/>
  <c r="AGM6" i="30"/>
  <c r="AGQ6" i="30"/>
  <c r="AGU6" i="30"/>
  <c r="AGY6" i="30"/>
  <c r="AHC6" i="30"/>
  <c r="AHG6" i="30"/>
  <c r="AHO6" i="30"/>
  <c r="AHS6" i="30"/>
  <c r="AHW6" i="30"/>
  <c r="AIA6" i="30"/>
  <c r="AIE6" i="30"/>
  <c r="AII6" i="30"/>
  <c r="AIM6" i="30"/>
  <c r="AIU6" i="30"/>
  <c r="AIY6" i="30"/>
  <c r="AJC6" i="30"/>
  <c r="AJG6" i="30"/>
  <c r="AJK6" i="30"/>
  <c r="AJO6" i="30"/>
  <c r="AJS6" i="30"/>
  <c r="AKA6" i="30"/>
  <c r="AKE6" i="30"/>
  <c r="AKI6" i="30"/>
  <c r="AKM6" i="30"/>
  <c r="AKQ6" i="30"/>
  <c r="AKU6" i="30"/>
  <c r="AKY6" i="30"/>
  <c r="ALG6" i="30"/>
  <c r="ALK6" i="30"/>
  <c r="ALO6" i="30"/>
  <c r="ALS6" i="30"/>
  <c r="ALW6" i="30"/>
  <c r="AMA6" i="30"/>
  <c r="AME6" i="30"/>
  <c r="AMM6" i="30"/>
  <c r="AMQ6" i="30"/>
  <c r="AMU6" i="30"/>
  <c r="AMY6" i="30"/>
  <c r="ANC6" i="30"/>
  <c r="ANG6" i="30"/>
  <c r="ANK6" i="30"/>
  <c r="ANS6" i="30"/>
  <c r="ANW6" i="30"/>
  <c r="AOA6" i="30"/>
  <c r="AOE6" i="30"/>
  <c r="AOI6" i="30"/>
  <c r="AOM6" i="30"/>
  <c r="AOQ6" i="30"/>
  <c r="AOY6" i="30"/>
  <c r="APC6" i="30"/>
  <c r="APG6" i="30"/>
  <c r="APK6" i="30"/>
  <c r="APO6" i="30"/>
  <c r="APS6" i="30"/>
  <c r="APW6" i="30"/>
  <c r="AQE6" i="30"/>
  <c r="AQI6" i="30"/>
  <c r="AQM6" i="30"/>
  <c r="AQQ6" i="30"/>
  <c r="AQU6" i="30"/>
  <c r="AQY6" i="30"/>
  <c r="ARC6" i="30"/>
  <c r="ARK6" i="30"/>
  <c r="ARO6" i="30"/>
  <c r="ARS6" i="30"/>
  <c r="ARW6" i="30"/>
  <c r="ASA6" i="30"/>
  <c r="ACP6" i="30"/>
  <c r="ADV6" i="30"/>
  <c r="AFB6" i="30"/>
  <c r="AGH6" i="30"/>
  <c r="AHN6" i="30"/>
  <c r="AIT6" i="30"/>
  <c r="AJZ6" i="30"/>
  <c r="ALF6" i="30"/>
  <c r="AML6" i="30"/>
  <c r="ANR6" i="30"/>
  <c r="AOX6" i="30"/>
  <c r="AQD6" i="30"/>
  <c r="ARJ6" i="30"/>
  <c r="ASE6" i="30"/>
  <c r="ASI6" i="30"/>
  <c r="ASQ6" i="30"/>
  <c r="ASU6" i="30"/>
  <c r="ASY6" i="30"/>
  <c r="ATC6" i="30"/>
  <c r="ATG6" i="30"/>
  <c r="ATK6" i="30"/>
  <c r="ATO6" i="30"/>
  <c r="ATW6" i="30"/>
  <c r="AUA6" i="30"/>
  <c r="AUE6" i="30"/>
  <c r="AUI6" i="30"/>
  <c r="AUM6" i="30"/>
  <c r="AUQ6" i="30"/>
  <c r="AUU6" i="30"/>
  <c r="AVC6" i="30"/>
  <c r="AVG6" i="30"/>
  <c r="AVK6" i="30"/>
  <c r="AVO6" i="30"/>
  <c r="AVS6" i="30"/>
  <c r="AVW6" i="30"/>
  <c r="AWA6" i="30"/>
  <c r="AWI6" i="30"/>
  <c r="ASP6" i="30"/>
  <c r="ATV6" i="30"/>
  <c r="AVB6" i="30"/>
  <c r="AWH6" i="30"/>
  <c r="AWM6" i="30"/>
  <c r="AWQ6" i="30"/>
  <c r="AWU6" i="30"/>
  <c r="AWY6" i="30"/>
  <c r="AXC6" i="30"/>
  <c r="AXG6" i="30"/>
  <c r="AXO6" i="30"/>
  <c r="AXS6" i="30"/>
  <c r="AXW6" i="30"/>
  <c r="AYA6" i="30"/>
  <c r="AYE6" i="30"/>
  <c r="AYI6" i="30"/>
  <c r="AYM6" i="30"/>
  <c r="AYU6" i="30"/>
  <c r="AYY6" i="30"/>
  <c r="AZC6" i="30"/>
  <c r="AZG6" i="30"/>
  <c r="AZK6" i="30"/>
  <c r="AZO6" i="30"/>
  <c r="AZS6" i="30"/>
  <c r="BAA6" i="30"/>
  <c r="BAE6" i="30"/>
  <c r="BAI6" i="30"/>
  <c r="BAM6" i="30"/>
  <c r="BAQ6" i="30"/>
  <c r="BAU6" i="30"/>
  <c r="BAY6" i="30"/>
  <c r="AXN6" i="30"/>
  <c r="AYT6" i="30"/>
  <c r="AZZ6" i="30"/>
  <c r="BBF6" i="30"/>
  <c r="BBG6" i="30"/>
  <c r="BBK6" i="30"/>
  <c r="BBO6" i="30"/>
  <c r="BBS6" i="30"/>
  <c r="BBW6" i="30"/>
  <c r="BCA6" i="30"/>
  <c r="BCE6" i="30"/>
  <c r="BCM6" i="30"/>
  <c r="BCQ6" i="30"/>
  <c r="BCU6" i="30"/>
  <c r="BCY6" i="30"/>
  <c r="BDC6" i="30"/>
  <c r="BDG6" i="30"/>
  <c r="BDK6" i="30"/>
  <c r="BDS6" i="30"/>
  <c r="BDW6" i="30"/>
  <c r="BEA6" i="30"/>
  <c r="BEE6" i="30"/>
  <c r="BEI6" i="30"/>
  <c r="BEM6" i="30"/>
  <c r="BEQ6" i="30"/>
  <c r="BEY6" i="30"/>
  <c r="BFC6" i="30"/>
  <c r="BFG6" i="30"/>
  <c r="BFK6" i="30"/>
  <c r="BFO6" i="30"/>
  <c r="BFS6" i="30"/>
  <c r="BFW6" i="30"/>
  <c r="BGE6" i="30"/>
  <c r="BGI6" i="30"/>
  <c r="BGM6" i="30"/>
  <c r="BGQ6" i="30"/>
  <c r="BGU6" i="30"/>
  <c r="BGY6" i="30"/>
  <c r="BHC6" i="30"/>
  <c r="BHK6" i="30"/>
  <c r="BHO6" i="30"/>
  <c r="BHS6" i="30"/>
  <c r="BHW6" i="30"/>
  <c r="BIA6" i="30"/>
  <c r="BIE6" i="30"/>
  <c r="BII6" i="30"/>
  <c r="BIQ6" i="30"/>
  <c r="BIU6" i="30"/>
  <c r="BIY6" i="30"/>
  <c r="BJC6" i="30"/>
  <c r="BJG6" i="30"/>
  <c r="BJK6" i="30"/>
  <c r="BJO6" i="30"/>
  <c r="BJW6" i="30"/>
  <c r="BKA6" i="30"/>
  <c r="BKE6" i="30"/>
  <c r="BKI6" i="30"/>
  <c r="BKM6" i="30"/>
  <c r="BKQ6" i="30"/>
  <c r="BKU6" i="30"/>
  <c r="BCL6" i="30"/>
  <c r="BDR6" i="30"/>
  <c r="BEX6" i="30"/>
  <c r="BGD6" i="30"/>
  <c r="BHJ6" i="30"/>
  <c r="BIP6" i="30"/>
  <c r="BJV6" i="30"/>
  <c r="BLB6" i="30"/>
  <c r="F7" i="30"/>
  <c r="J7" i="30"/>
  <c r="N7" i="30"/>
  <c r="V7" i="30"/>
  <c r="Z7" i="30"/>
  <c r="AD7" i="30"/>
  <c r="AG7" i="30"/>
  <c r="AP7" i="30"/>
  <c r="AT7" i="30"/>
  <c r="AX7" i="30"/>
  <c r="BB7" i="30"/>
  <c r="BF7" i="30"/>
  <c r="BJ7" i="30"/>
  <c r="BM7" i="30"/>
  <c r="BV7" i="30"/>
  <c r="BZ7" i="30"/>
  <c r="CD7" i="30"/>
  <c r="CH7" i="30"/>
  <c r="CL7" i="30"/>
  <c r="CP7" i="30"/>
  <c r="CS7" i="30"/>
  <c r="CX7" i="30"/>
  <c r="DF7" i="30"/>
  <c r="DJ7" i="30"/>
  <c r="DN7" i="30"/>
  <c r="DR7" i="30"/>
  <c r="DV7" i="30"/>
  <c r="DY7" i="30"/>
  <c r="ED7" i="30"/>
  <c r="EH7" i="30"/>
  <c r="EL7" i="30"/>
  <c r="ET7" i="30"/>
  <c r="EX7" i="30"/>
  <c r="FB7" i="30"/>
  <c r="FE7" i="30"/>
  <c r="FN7" i="30"/>
  <c r="FR7" i="30"/>
  <c r="FV7" i="30"/>
  <c r="FZ7" i="30"/>
  <c r="GD7" i="30"/>
  <c r="GH7" i="30"/>
  <c r="GK7" i="30"/>
  <c r="GT7" i="30"/>
  <c r="GX7" i="30"/>
  <c r="HB7" i="30"/>
  <c r="HF7" i="30"/>
  <c r="HJ7" i="30"/>
  <c r="HN7" i="30"/>
  <c r="HQ7" i="30"/>
  <c r="HV7" i="30"/>
  <c r="ID7" i="30"/>
  <c r="IH7" i="30"/>
  <c r="IL7" i="30"/>
  <c r="IP7" i="30"/>
  <c r="IT7" i="30"/>
  <c r="IW7" i="30"/>
  <c r="JB7" i="30"/>
  <c r="JF7" i="30"/>
  <c r="JJ7" i="30"/>
  <c r="JR7" i="30"/>
  <c r="JV7" i="30"/>
  <c r="JZ7" i="30"/>
  <c r="KC7" i="30"/>
  <c r="KL7" i="30"/>
  <c r="KP7" i="30"/>
  <c r="KT7" i="30"/>
  <c r="KX7" i="30"/>
  <c r="LB7" i="30"/>
  <c r="LF7" i="30"/>
  <c r="LI7" i="30"/>
  <c r="LR7" i="30"/>
  <c r="LV7" i="30"/>
  <c r="LZ7" i="30"/>
  <c r="MD7" i="30"/>
  <c r="MH7" i="30"/>
  <c r="ML7" i="30"/>
  <c r="MO7" i="30"/>
  <c r="MT7" i="30"/>
  <c r="NB7" i="30"/>
  <c r="NF7" i="30"/>
  <c r="NJ7" i="30"/>
  <c r="NN7" i="30"/>
  <c r="NR7" i="30"/>
  <c r="NU7" i="30"/>
  <c r="NZ7" i="30"/>
  <c r="OD7" i="30"/>
  <c r="OH7" i="30"/>
  <c r="OP7" i="30"/>
  <c r="OT7" i="30"/>
  <c r="OX7" i="30"/>
  <c r="PA7" i="30"/>
  <c r="PF7" i="30"/>
  <c r="PN7" i="30"/>
  <c r="PR7" i="30"/>
  <c r="PV7" i="30"/>
  <c r="PZ7" i="30"/>
  <c r="QD7" i="30"/>
  <c r="QG7" i="30"/>
  <c r="QL7" i="30"/>
  <c r="QP7" i="30"/>
  <c r="QT7" i="30"/>
  <c r="QX7" i="30"/>
  <c r="RB7" i="30"/>
  <c r="RF7" i="30"/>
  <c r="RJ7" i="30"/>
  <c r="RM7" i="30"/>
  <c r="RR7" i="30"/>
  <c r="RZ7" i="30"/>
  <c r="SD7" i="30"/>
  <c r="SH7" i="30"/>
  <c r="SL7" i="30"/>
  <c r="SP7" i="30"/>
  <c r="SS7" i="30"/>
  <c r="TB7" i="30"/>
  <c r="TF7" i="30"/>
  <c r="TJ7" i="30"/>
  <c r="TN7" i="30"/>
  <c r="TR7" i="30"/>
  <c r="TV7" i="30"/>
  <c r="TY7" i="30"/>
  <c r="UD7" i="30"/>
  <c r="UH7" i="30"/>
  <c r="UP7" i="30"/>
  <c r="UT7" i="30"/>
  <c r="UX7" i="30"/>
  <c r="VB7" i="30"/>
  <c r="VE7" i="30"/>
  <c r="VJ7" i="30"/>
  <c r="VN7" i="30"/>
  <c r="VR7" i="30"/>
  <c r="VV7" i="30"/>
  <c r="VZ7" i="30"/>
  <c r="WD7" i="30"/>
  <c r="WH7" i="30"/>
  <c r="WK7" i="30"/>
  <c r="WT7" i="30"/>
  <c r="WX7" i="30"/>
  <c r="XB7" i="30"/>
  <c r="XF7" i="30"/>
  <c r="XJ7" i="30"/>
  <c r="XN7" i="30"/>
  <c r="XQ7" i="30"/>
  <c r="XV7" i="30"/>
  <c r="XZ7" i="30"/>
  <c r="YD7" i="30"/>
  <c r="YH7" i="30"/>
  <c r="YL7" i="30"/>
  <c r="YP7" i="30"/>
  <c r="YT7" i="30"/>
  <c r="YW7" i="30"/>
  <c r="ZB7" i="30"/>
  <c r="ZF7" i="30"/>
  <c r="ZJ7" i="30"/>
  <c r="ZR7" i="30"/>
  <c r="ZV7" i="30"/>
  <c r="ZZ7" i="30"/>
  <c r="AAH7" i="30"/>
  <c r="AAL7" i="30"/>
  <c r="AAT7" i="30"/>
  <c r="AAX7" i="30"/>
  <c r="ABB7" i="30"/>
  <c r="ABF7" i="30"/>
  <c r="ABI7" i="30"/>
  <c r="ABN7" i="30"/>
  <c r="ABV7" i="30"/>
  <c r="ABZ7" i="30"/>
  <c r="ACD7" i="30"/>
  <c r="ACH7" i="30"/>
  <c r="ACL7" i="30"/>
  <c r="ACO7" i="30"/>
  <c r="ACX7" i="30"/>
  <c r="ADB7" i="30"/>
  <c r="ADF7" i="30"/>
  <c r="ADJ7" i="30"/>
  <c r="ADN7" i="30"/>
  <c r="ADR7" i="30"/>
  <c r="ADU7" i="30"/>
  <c r="ADZ7" i="30"/>
  <c r="AED7" i="30"/>
  <c r="AEL7" i="30"/>
  <c r="AEP7" i="30"/>
  <c r="AET7" i="30"/>
  <c r="AEX7" i="30"/>
  <c r="AFA7" i="30"/>
  <c r="AFF7" i="30"/>
  <c r="AFJ7" i="30"/>
  <c r="AFN7" i="30"/>
  <c r="AFR7" i="30"/>
  <c r="AFV7" i="30"/>
  <c r="AFZ7" i="30"/>
  <c r="AGD7" i="30"/>
  <c r="AGE7" i="30"/>
  <c r="AGG7" i="30"/>
  <c r="AGP7" i="30"/>
  <c r="AGT7" i="30"/>
  <c r="AGX7" i="30"/>
  <c r="AHB7" i="30"/>
  <c r="AHF7" i="30"/>
  <c r="AHJ7" i="30"/>
  <c r="AHM7" i="30"/>
  <c r="AHR7" i="30"/>
  <c r="AHV7" i="30"/>
  <c r="AHZ7" i="30"/>
  <c r="AID7" i="30"/>
  <c r="AIH7" i="30"/>
  <c r="AIL7" i="30"/>
  <c r="AIP7" i="30"/>
  <c r="AIS7" i="30"/>
  <c r="AIX7" i="30"/>
  <c r="AJB7" i="30"/>
  <c r="AJF7" i="30"/>
  <c r="AJN7" i="30"/>
  <c r="AJR7" i="30"/>
  <c r="AJV7" i="30"/>
  <c r="AJY7" i="30"/>
  <c r="AKD7" i="30"/>
  <c r="AKH7" i="30"/>
  <c r="AKP7" i="30"/>
  <c r="AKT7" i="30"/>
  <c r="AKX7" i="30"/>
  <c r="ALB7" i="30"/>
  <c r="ALE7" i="30"/>
  <c r="ALJ7" i="30"/>
  <c r="ALR7" i="30"/>
  <c r="ALV7" i="30"/>
  <c r="ALZ7" i="30"/>
  <c r="AMD7" i="30"/>
  <c r="AMH7" i="30"/>
  <c r="AMK7" i="30"/>
  <c r="AMT7" i="30"/>
  <c r="AMX7" i="30"/>
  <c r="ANB7" i="30"/>
  <c r="ANF7" i="30"/>
  <c r="ANJ7" i="30"/>
  <c r="ANN7" i="30"/>
  <c r="ANQ7" i="30"/>
  <c r="ANV7" i="30"/>
  <c r="ANZ7" i="30"/>
  <c r="AOH7" i="30"/>
  <c r="AOL7" i="30"/>
  <c r="AOP7" i="30"/>
  <c r="AOT7" i="30"/>
  <c r="AOW7" i="30"/>
  <c r="APB7" i="30"/>
  <c r="APF7" i="30"/>
  <c r="APJ7" i="30"/>
  <c r="APN7" i="30"/>
  <c r="APR7" i="30"/>
  <c r="APV7" i="30"/>
  <c r="APZ7" i="30"/>
  <c r="AQC7" i="30"/>
  <c r="AQL7" i="30"/>
  <c r="AQP7" i="30"/>
  <c r="AQT7" i="30"/>
  <c r="AQX7" i="30"/>
  <c r="ARB7" i="30"/>
  <c r="ARF7" i="30"/>
  <c r="ARI7" i="30"/>
  <c r="ARN7" i="30"/>
  <c r="ARR7" i="30"/>
  <c r="ARV7" i="30"/>
  <c r="ARZ7" i="30"/>
  <c r="ASD7" i="30"/>
  <c r="ASH7" i="30"/>
  <c r="ASL7" i="30"/>
  <c r="ASO7" i="30"/>
  <c r="AST7" i="30"/>
  <c r="ASX7" i="30"/>
  <c r="ATB7" i="30"/>
  <c r="ATJ7" i="30"/>
  <c r="ATN7" i="30"/>
  <c r="ATR7" i="30"/>
  <c r="ATU7" i="30"/>
  <c r="ATZ7" i="30"/>
  <c r="AUD7" i="30"/>
  <c r="AUL7" i="30"/>
  <c r="AUP7" i="30"/>
  <c r="AUT7" i="30"/>
  <c r="AUX7" i="30"/>
  <c r="AVA7" i="30"/>
  <c r="AVF7" i="30"/>
  <c r="AVN7" i="30"/>
  <c r="AVR7" i="30"/>
  <c r="AVV7" i="30"/>
  <c r="AVZ7" i="30"/>
  <c r="AWD7" i="30"/>
  <c r="AWG7" i="30"/>
  <c r="AWP7" i="30"/>
  <c r="AWT7" i="30"/>
  <c r="AWX7" i="30"/>
  <c r="AXB7" i="30"/>
  <c r="AXF7" i="30"/>
  <c r="AXJ7" i="30"/>
  <c r="AXM7" i="30"/>
  <c r="AXR7" i="30"/>
  <c r="AXV7" i="30"/>
  <c r="AYD7" i="30"/>
  <c r="AYH7" i="30"/>
  <c r="AYL7" i="30"/>
  <c r="AYP7" i="30"/>
  <c r="AYS7" i="30"/>
  <c r="AYX7" i="30"/>
  <c r="AZB7" i="30"/>
  <c r="AZF7" i="30"/>
  <c r="AZJ7" i="30"/>
  <c r="AZN7" i="30"/>
  <c r="AZR7" i="30"/>
  <c r="AZV7" i="30"/>
  <c r="AZW7" i="30"/>
  <c r="AZY7" i="30"/>
  <c r="BAH7" i="30"/>
  <c r="BAL7" i="30"/>
  <c r="BAP7" i="30"/>
  <c r="BAT7" i="30"/>
  <c r="BAX7" i="30"/>
  <c r="BBB7" i="30"/>
  <c r="BBE7" i="30"/>
  <c r="BBJ7" i="30"/>
  <c r="BBN7" i="30"/>
  <c r="BBR7" i="30"/>
  <c r="BBV7" i="30"/>
  <c r="BBZ7" i="30"/>
  <c r="BCD7" i="30"/>
  <c r="BCH7" i="30"/>
  <c r="BCK7" i="30"/>
  <c r="BCP7" i="30"/>
  <c r="BCT7" i="30"/>
  <c r="BCX7" i="30"/>
  <c r="BDF7" i="30"/>
  <c r="BDJ7" i="30"/>
  <c r="BDN7" i="30"/>
  <c r="BDQ7" i="30"/>
  <c r="BDV7" i="30"/>
  <c r="BDZ7" i="30"/>
  <c r="BEH7" i="30"/>
  <c r="BEL7" i="30"/>
  <c r="BEP7" i="30"/>
  <c r="BET7" i="30"/>
  <c r="BEW7" i="30"/>
  <c r="BFB7" i="30"/>
  <c r="BFJ7" i="30"/>
  <c r="BFN7" i="30"/>
  <c r="BFR7" i="30"/>
  <c r="BFV7" i="30"/>
  <c r="BFZ7" i="30"/>
  <c r="BGC7" i="30"/>
  <c r="BGL7" i="30"/>
  <c r="BGP7" i="30"/>
  <c r="BGT7" i="30"/>
  <c r="BGX7" i="30"/>
  <c r="BHB7" i="30"/>
  <c r="BHF7" i="30"/>
  <c r="BHI7" i="30"/>
  <c r="BHN7" i="30"/>
  <c r="BHR7" i="30"/>
  <c r="BHZ7" i="30"/>
  <c r="BID7" i="30"/>
  <c r="BIH7" i="30"/>
  <c r="BIL7" i="30"/>
  <c r="BIO7" i="30"/>
  <c r="BIT7" i="30"/>
  <c r="BIX7" i="30"/>
  <c r="BJB7" i="30"/>
  <c r="BJF7" i="30"/>
  <c r="BJJ7" i="30"/>
  <c r="BJN7" i="30"/>
  <c r="BJR7" i="30"/>
  <c r="BJU7" i="30"/>
  <c r="BKD7" i="30"/>
  <c r="BKH7" i="30"/>
  <c r="BKL7" i="30"/>
  <c r="BKP7" i="30"/>
  <c r="BKT7" i="30"/>
  <c r="BKX7" i="30"/>
  <c r="BLA7" i="30"/>
  <c r="F8" i="30"/>
  <c r="J8" i="30"/>
  <c r="N8" i="30"/>
  <c r="R8" i="30"/>
  <c r="V8" i="30"/>
  <c r="Z8" i="30"/>
  <c r="AD8" i="30"/>
  <c r="AG8" i="30"/>
  <c r="AL8" i="30"/>
  <c r="AP8" i="30"/>
  <c r="AT8" i="30"/>
  <c r="BB8" i="30"/>
  <c r="BF8" i="30"/>
  <c r="BJ8" i="30"/>
  <c r="BM8" i="30"/>
  <c r="BR8" i="30"/>
  <c r="BV8" i="30"/>
  <c r="CD8" i="30"/>
  <c r="CH8" i="30"/>
  <c r="CL8" i="30"/>
  <c r="CP8" i="30"/>
  <c r="CS8" i="30"/>
  <c r="CX8" i="30"/>
  <c r="DF8" i="30"/>
  <c r="DJ8" i="30"/>
  <c r="DN8" i="30"/>
  <c r="DR8" i="30"/>
  <c r="DV8" i="30"/>
  <c r="DY8" i="30"/>
  <c r="EH8" i="30"/>
  <c r="EL8" i="30"/>
  <c r="EP8" i="30"/>
  <c r="ET8" i="30"/>
  <c r="EX8" i="30"/>
  <c r="FB8" i="30"/>
  <c r="FE8" i="30"/>
  <c r="FJ8" i="30"/>
  <c r="FN8" i="30"/>
  <c r="FV8" i="30"/>
  <c r="FZ8" i="30"/>
  <c r="GD8" i="30"/>
  <c r="GH8" i="30"/>
  <c r="GK8" i="30"/>
  <c r="GP8" i="30"/>
  <c r="GT8" i="30"/>
  <c r="GX8" i="30"/>
  <c r="HB8" i="30"/>
  <c r="HF8" i="30"/>
  <c r="HJ8" i="30"/>
  <c r="HN8" i="30"/>
  <c r="HO8" i="30"/>
  <c r="HQ8" i="30"/>
  <c r="HZ8" i="30"/>
  <c r="ID8" i="30"/>
  <c r="IH8" i="30"/>
  <c r="IL8" i="30"/>
  <c r="IP8" i="30"/>
  <c r="IT8" i="30"/>
  <c r="IW8" i="30"/>
  <c r="JB8" i="30"/>
  <c r="JF8" i="30"/>
  <c r="JJ8" i="30"/>
  <c r="JN8" i="30"/>
  <c r="JR8" i="30"/>
  <c r="JV8" i="30"/>
  <c r="JZ8" i="30"/>
  <c r="KC8" i="30"/>
  <c r="KH8" i="30"/>
  <c r="KL8" i="30"/>
  <c r="KP8" i="30"/>
  <c r="KX8" i="30"/>
  <c r="LB8" i="30"/>
  <c r="LF8" i="30"/>
  <c r="LI8" i="30"/>
  <c r="LN8" i="30"/>
  <c r="LR8" i="30"/>
  <c r="LZ8" i="30"/>
  <c r="MD8" i="30"/>
  <c r="MH8" i="30"/>
  <c r="ML8" i="30"/>
  <c r="MO8" i="30"/>
  <c r="MT8" i="30"/>
  <c r="NB8" i="30"/>
  <c r="NF8" i="30"/>
  <c r="NJ8" i="30"/>
  <c r="NN8" i="30"/>
  <c r="NR8" i="30"/>
  <c r="NU8" i="30"/>
  <c r="OD8" i="30"/>
  <c r="OH8" i="30"/>
  <c r="OL8" i="30"/>
  <c r="OP8" i="30"/>
  <c r="OT8" i="30"/>
  <c r="OX8" i="30"/>
  <c r="PA8" i="30"/>
  <c r="PF8" i="30"/>
  <c r="PJ8" i="30"/>
  <c r="PR8" i="30"/>
  <c r="PV8" i="30"/>
  <c r="PZ8" i="30"/>
  <c r="QD8" i="30"/>
  <c r="QG8" i="30"/>
  <c r="QL8" i="30"/>
  <c r="QP8" i="30"/>
  <c r="QT8" i="30"/>
  <c r="QX8" i="30"/>
  <c r="RB8" i="30"/>
  <c r="RF8" i="30"/>
  <c r="RJ8" i="30"/>
  <c r="RM8" i="30"/>
  <c r="RV8" i="30"/>
  <c r="RZ8" i="30"/>
  <c r="SD8" i="30"/>
  <c r="SH8" i="30"/>
  <c r="SL8" i="30"/>
  <c r="SP8" i="30"/>
  <c r="SS8" i="30"/>
  <c r="SX8" i="30"/>
  <c r="TB8" i="30"/>
  <c r="TF8" i="30"/>
  <c r="TJ8" i="30"/>
  <c r="TN8" i="30"/>
  <c r="TR8" i="30"/>
  <c r="TV8" i="30"/>
  <c r="TY8" i="30"/>
  <c r="UD8" i="30"/>
  <c r="UH8" i="30"/>
  <c r="UL8" i="30"/>
  <c r="UT8" i="30"/>
  <c r="UX8" i="30"/>
  <c r="VB8" i="30"/>
  <c r="VE8" i="30"/>
  <c r="VJ8" i="30"/>
  <c r="VN8" i="30"/>
  <c r="VV8" i="30"/>
  <c r="VZ8" i="30"/>
  <c r="WD8" i="30"/>
  <c r="WH8" i="30"/>
  <c r="WK8" i="30"/>
  <c r="WP8" i="30"/>
  <c r="WX8" i="30"/>
  <c r="XB8" i="30"/>
  <c r="XF8" i="30"/>
  <c r="XJ8" i="30"/>
  <c r="XN8" i="30"/>
  <c r="XQ8" i="30"/>
  <c r="XZ8" i="30"/>
  <c r="YD8" i="30"/>
  <c r="YH8" i="30"/>
  <c r="YL8" i="30"/>
  <c r="YP8" i="30"/>
  <c r="YT8" i="30"/>
  <c r="YW8" i="30"/>
  <c r="ZB8" i="30"/>
  <c r="ZF8" i="30"/>
  <c r="ZN8" i="30"/>
  <c r="ZR8" i="30"/>
  <c r="ZV8" i="30"/>
  <c r="ZZ8" i="30"/>
  <c r="AAH8" i="30"/>
  <c r="AAL8" i="30"/>
  <c r="AAP8" i="30"/>
  <c r="AAT8" i="30"/>
  <c r="AAX8" i="30"/>
  <c r="ABB8" i="30"/>
  <c r="ABF8" i="30"/>
  <c r="ABG8" i="30"/>
  <c r="ABI8" i="30"/>
  <c r="ABR8" i="30"/>
  <c r="ABV8" i="30"/>
  <c r="ABZ8" i="30"/>
  <c r="ACD8" i="30"/>
  <c r="ACH8" i="30"/>
  <c r="ACL8" i="30"/>
  <c r="ACO8" i="30"/>
  <c r="ACT8" i="30"/>
  <c r="ACX8" i="30"/>
  <c r="ADB8" i="30"/>
  <c r="ADF8" i="30"/>
  <c r="ADJ8" i="30"/>
  <c r="ADN8" i="30"/>
  <c r="ADR8" i="30"/>
  <c r="ADU8" i="30"/>
  <c r="ADZ8" i="30"/>
  <c r="AED8" i="30"/>
  <c r="AEH8" i="30"/>
  <c r="AEP8" i="30"/>
  <c r="AET8" i="30"/>
  <c r="AEX8" i="30"/>
  <c r="AFA8" i="30"/>
  <c r="AFF8" i="30"/>
  <c r="AFJ8" i="30"/>
  <c r="AFR8" i="30"/>
  <c r="AFV8" i="30"/>
  <c r="AFZ8" i="30"/>
  <c r="AGD8" i="30"/>
  <c r="AGG8" i="30"/>
  <c r="AGL8" i="30"/>
  <c r="AGT8" i="30"/>
  <c r="AGX8" i="30"/>
  <c r="AHB8" i="30"/>
  <c r="AHF8" i="30"/>
  <c r="AHJ8" i="30"/>
  <c r="AHM8" i="30"/>
  <c r="AHV8" i="30"/>
  <c r="AHZ8" i="30"/>
  <c r="AID8" i="30"/>
  <c r="AIH8" i="30"/>
  <c r="AIL8" i="30"/>
  <c r="AIP8" i="30"/>
  <c r="AIS8" i="30"/>
  <c r="AIX8" i="30"/>
  <c r="AJB8" i="30"/>
  <c r="AJJ8" i="30"/>
  <c r="AJN8" i="30"/>
  <c r="AJR8" i="30"/>
  <c r="AJV8" i="30"/>
  <c r="AJY8" i="30"/>
  <c r="AKD8" i="30"/>
  <c r="AKH8" i="30"/>
  <c r="AKL8" i="30"/>
  <c r="AKP8" i="30"/>
  <c r="AKT8" i="30"/>
  <c r="AKX8" i="30"/>
  <c r="ALB8" i="30"/>
  <c r="ALE8" i="30"/>
  <c r="ALN8" i="30"/>
  <c r="ALR8" i="30"/>
  <c r="ALV8" i="30"/>
  <c r="ALZ8" i="30"/>
  <c r="AMD8" i="30"/>
  <c r="AMH8" i="30"/>
  <c r="AMK8" i="30"/>
  <c r="AMP8" i="30"/>
  <c r="AMT8" i="30"/>
  <c r="AMX8" i="30"/>
  <c r="ANB8" i="30"/>
  <c r="ANF8" i="30"/>
  <c r="ANJ8" i="30"/>
  <c r="ANN8" i="30"/>
  <c r="ANQ8" i="30"/>
  <c r="ANV8" i="30"/>
  <c r="ANZ8" i="30"/>
  <c r="AOD8" i="30"/>
  <c r="AOL8" i="30"/>
  <c r="AOP8" i="30"/>
  <c r="AOT8" i="30"/>
  <c r="AOW8" i="30"/>
  <c r="APB8" i="30"/>
  <c r="APF8" i="30"/>
  <c r="APN8" i="30"/>
  <c r="APR8" i="30"/>
  <c r="APV8" i="30"/>
  <c r="APZ8" i="30"/>
  <c r="AQC8" i="30"/>
  <c r="AQH8" i="30"/>
  <c r="AQP8" i="30"/>
  <c r="AQT8" i="30"/>
  <c r="AQX8" i="30"/>
  <c r="ARB8" i="30"/>
  <c r="ARF8" i="30"/>
  <c r="ARI8" i="30"/>
  <c r="ARR8" i="30"/>
  <c r="ARV8" i="30"/>
  <c r="ARZ8" i="30"/>
  <c r="ASD8" i="30"/>
  <c r="ASH8" i="30"/>
  <c r="ASL8" i="30"/>
  <c r="ASO8" i="30"/>
  <c r="AST8" i="30"/>
  <c r="ASX8" i="30"/>
  <c r="ATF8" i="30"/>
  <c r="ATJ8" i="30"/>
  <c r="ATN8" i="30"/>
  <c r="ATR8" i="30"/>
  <c r="ATU8" i="30"/>
  <c r="ATZ8" i="30"/>
  <c r="AUD8" i="30"/>
  <c r="AUH8" i="30"/>
  <c r="AUL8" i="30"/>
  <c r="AUP8" i="30"/>
  <c r="AUT8" i="30"/>
  <c r="AUX8" i="30"/>
  <c r="AUY8" i="30"/>
  <c r="AVA8" i="30"/>
  <c r="AVJ8" i="30"/>
  <c r="AVN8" i="30"/>
  <c r="AVR8" i="30"/>
  <c r="AVV8" i="30"/>
  <c r="AVZ8" i="30"/>
  <c r="AWD8" i="30"/>
  <c r="AWG8" i="30"/>
  <c r="AWL8" i="30"/>
  <c r="AWP8" i="30"/>
  <c r="AWT8" i="30"/>
  <c r="AWX8" i="30"/>
  <c r="AXB8" i="30"/>
  <c r="AXF8" i="30"/>
  <c r="AXJ8" i="30"/>
  <c r="AXM8" i="30"/>
  <c r="AXR8" i="30"/>
  <c r="AXV8" i="30"/>
  <c r="AXZ8" i="30"/>
  <c r="AYH8" i="30"/>
  <c r="AYL8" i="30"/>
  <c r="AYP8" i="30"/>
  <c r="AYS8" i="30"/>
  <c r="AYX8" i="30"/>
  <c r="AZB8" i="30"/>
  <c r="AZJ8" i="30"/>
  <c r="AZN8" i="30"/>
  <c r="AZR8" i="30"/>
  <c r="AZV8" i="30"/>
  <c r="AZY8" i="30"/>
  <c r="BAD8" i="30"/>
  <c r="BAH8" i="30"/>
  <c r="BAL8" i="30"/>
  <c r="BAP8" i="30"/>
  <c r="BAT8" i="30"/>
  <c r="BAX8" i="30"/>
  <c r="BBB8" i="30"/>
  <c r="BBC8" i="30"/>
  <c r="BBE8" i="30"/>
  <c r="BBN8" i="30"/>
  <c r="BBR8" i="30"/>
  <c r="BBV8" i="30"/>
  <c r="BBZ8" i="30"/>
  <c r="BCD8" i="30"/>
  <c r="BCH8" i="30"/>
  <c r="BCK8" i="30"/>
  <c r="BCP8" i="30"/>
  <c r="BCT8" i="30"/>
  <c r="BCX8" i="30"/>
  <c r="BDB8" i="30"/>
  <c r="BDF8" i="30"/>
  <c r="BDJ8" i="30"/>
  <c r="BDN8" i="30"/>
  <c r="BDQ8" i="30"/>
  <c r="BDV8" i="30"/>
  <c r="BDZ8" i="30"/>
  <c r="BED8" i="30"/>
  <c r="BEH8" i="30"/>
  <c r="BEL8" i="30"/>
  <c r="BEP8" i="30"/>
  <c r="BET8" i="30"/>
  <c r="BEW8" i="30"/>
  <c r="BFF8" i="30"/>
  <c r="BFJ8" i="30"/>
  <c r="BFN8" i="30"/>
  <c r="BFR8" i="30"/>
  <c r="BFV8" i="30"/>
  <c r="BFZ8" i="30"/>
  <c r="BGC8" i="30"/>
  <c r="BGH8" i="30"/>
  <c r="BGL8" i="30"/>
  <c r="BGP8" i="30"/>
  <c r="BGT8" i="30"/>
  <c r="BGX8" i="30"/>
  <c r="BHB8" i="30"/>
  <c r="BHF8" i="30"/>
  <c r="BHH8" i="30"/>
  <c r="BHI8" i="30"/>
  <c r="BHN8" i="30"/>
  <c r="BHR8" i="30"/>
  <c r="BHV8" i="30"/>
  <c r="BID8" i="30"/>
  <c r="BIH8" i="30"/>
  <c r="BIL8" i="30"/>
  <c r="BIO8" i="30"/>
  <c r="BIT8" i="30"/>
  <c r="BIX8" i="30"/>
  <c r="BJF8" i="30"/>
  <c r="BJJ8" i="30"/>
  <c r="BJN8" i="30"/>
  <c r="BJR8" i="30"/>
  <c r="BJU8" i="30"/>
  <c r="BJZ8" i="30"/>
  <c r="BKD8" i="30"/>
  <c r="BKH8" i="30"/>
  <c r="BKL8" i="30"/>
  <c r="BKP8" i="30"/>
  <c r="BKT8" i="30"/>
  <c r="BKX8" i="30"/>
  <c r="BKY8" i="30"/>
  <c r="BLA8" i="30"/>
  <c r="J9" i="30"/>
  <c r="N9" i="30"/>
  <c r="R9" i="30"/>
  <c r="V9" i="30"/>
  <c r="Z9" i="30"/>
  <c r="AD9" i="30"/>
  <c r="AG9" i="30"/>
  <c r="AL9" i="30"/>
  <c r="AP9" i="30"/>
  <c r="AT9" i="30"/>
  <c r="AX9" i="30"/>
  <c r="BB9" i="30"/>
  <c r="BF9" i="30"/>
  <c r="BJ9" i="30"/>
  <c r="BM9" i="30"/>
  <c r="BR9" i="30"/>
  <c r="BV9" i="30"/>
  <c r="BZ9" i="30"/>
  <c r="CD9" i="30"/>
  <c r="CH9" i="30"/>
  <c r="CL9" i="30"/>
  <c r="CP9" i="30"/>
  <c r="CR9" i="30"/>
  <c r="CS9" i="30"/>
  <c r="DB9" i="30"/>
  <c r="DF9" i="30"/>
  <c r="DJ9" i="30"/>
  <c r="DN9" i="30"/>
  <c r="DR9" i="30"/>
  <c r="DV9" i="30"/>
  <c r="DY9" i="30"/>
  <c r="ED9" i="30"/>
  <c r="EH9" i="30"/>
  <c r="EL9" i="30"/>
  <c r="EP9" i="30"/>
  <c r="ET9" i="30"/>
  <c r="EX9" i="30"/>
  <c r="FB9" i="30"/>
  <c r="FD9" i="30"/>
  <c r="FE9" i="30"/>
  <c r="FJ9" i="30"/>
  <c r="FN9" i="30"/>
  <c r="FR9" i="30"/>
  <c r="FZ9" i="30"/>
  <c r="GD9" i="30"/>
  <c r="GH9" i="30"/>
  <c r="GJ9" i="30"/>
  <c r="GK9" i="30"/>
  <c r="GP9" i="30"/>
  <c r="GT9" i="30"/>
  <c r="HB9" i="30"/>
  <c r="HF9" i="30"/>
  <c r="HJ9" i="30"/>
  <c r="HN9" i="30"/>
  <c r="HQ9" i="30"/>
  <c r="HV9" i="30"/>
  <c r="HZ9" i="30"/>
  <c r="ID9" i="30"/>
  <c r="IH9" i="30"/>
  <c r="IL9" i="30"/>
  <c r="IP9" i="30"/>
  <c r="IT9" i="30"/>
  <c r="IU9" i="30"/>
  <c r="IW9" i="30"/>
  <c r="JF9" i="30"/>
  <c r="JJ9" i="30"/>
  <c r="JN9" i="30"/>
  <c r="JR9" i="30"/>
  <c r="JV9" i="30"/>
  <c r="JZ9" i="30"/>
  <c r="KC9" i="30"/>
  <c r="KH9" i="30"/>
  <c r="KL9" i="30"/>
  <c r="KP9" i="30"/>
  <c r="KT9" i="30"/>
  <c r="KX9" i="30"/>
  <c r="LB9" i="30"/>
  <c r="LF9" i="30"/>
  <c r="LG9" i="30"/>
  <c r="LI9" i="30"/>
  <c r="LN9" i="30"/>
  <c r="LR9" i="30"/>
  <c r="LV9" i="30"/>
  <c r="LZ9" i="30"/>
  <c r="MD9" i="30"/>
  <c r="MH9" i="30"/>
  <c r="ML9" i="30"/>
  <c r="MM9" i="30"/>
  <c r="MN9" i="30"/>
  <c r="MO9" i="30"/>
  <c r="MX9" i="30"/>
  <c r="NB9" i="30"/>
  <c r="NF9" i="30"/>
  <c r="NJ9" i="30"/>
  <c r="NN9" i="30"/>
  <c r="NR9" i="30"/>
  <c r="NT9" i="30"/>
  <c r="NU9" i="30"/>
  <c r="NZ9" i="30"/>
  <c r="OD9" i="30"/>
  <c r="OH9" i="30"/>
  <c r="OL9" i="30"/>
  <c r="OP9" i="30"/>
  <c r="OT9" i="30"/>
  <c r="OX9" i="30"/>
  <c r="OZ9" i="30"/>
  <c r="PA9" i="30"/>
  <c r="PF9" i="30"/>
  <c r="PJ9" i="30"/>
  <c r="PN9" i="30"/>
  <c r="PR9" i="30"/>
  <c r="PV9" i="30"/>
  <c r="PZ9" i="30"/>
  <c r="QD9" i="30"/>
  <c r="QE9" i="30"/>
  <c r="QG9" i="30"/>
  <c r="QP9" i="30"/>
  <c r="QT9" i="30"/>
  <c r="QX9" i="30"/>
  <c r="RB9" i="30"/>
  <c r="RF9" i="30"/>
  <c r="RJ9" i="30"/>
  <c r="RM9" i="30"/>
  <c r="RR9" i="30"/>
  <c r="RZ9" i="30"/>
  <c r="SD9" i="30"/>
  <c r="SH9" i="30"/>
  <c r="SL9" i="30"/>
  <c r="SP9" i="30"/>
  <c r="SR9" i="30"/>
  <c r="SS9" i="30"/>
  <c r="SX9" i="30"/>
  <c r="TB9" i="30"/>
  <c r="TF9" i="30"/>
  <c r="TJ9" i="30"/>
  <c r="TN9" i="30"/>
  <c r="TR9" i="30"/>
  <c r="TV9" i="30"/>
  <c r="TX9" i="30"/>
  <c r="TY9" i="30"/>
  <c r="UD9" i="30"/>
  <c r="UH9" i="30"/>
  <c r="UL9" i="30"/>
  <c r="UP9" i="30"/>
  <c r="UT9" i="30"/>
  <c r="UX9" i="30"/>
  <c r="VB9" i="30"/>
  <c r="VC9" i="30"/>
  <c r="VE9" i="30"/>
  <c r="VN9" i="30"/>
  <c r="VR9" i="30"/>
  <c r="VV9" i="30"/>
  <c r="VZ9" i="30"/>
  <c r="WD9" i="30"/>
  <c r="WH9" i="30"/>
  <c r="WK9" i="30"/>
  <c r="WP9" i="30"/>
  <c r="WT9" i="30"/>
  <c r="WX9" i="30"/>
  <c r="XB9" i="30"/>
  <c r="XF9" i="30"/>
  <c r="XJ9" i="30"/>
  <c r="XN9" i="30"/>
  <c r="XO9" i="30"/>
  <c r="XQ9" i="30"/>
  <c r="XR9" i="30"/>
  <c r="XZ9" i="30"/>
  <c r="YD9" i="30"/>
  <c r="YH9" i="30"/>
  <c r="YL9" i="30"/>
  <c r="YP9" i="30"/>
  <c r="YT9" i="30"/>
  <c r="YW9" i="30"/>
  <c r="ZB9" i="30"/>
  <c r="ZF9" i="30"/>
  <c r="ZJ9" i="30"/>
  <c r="ZN9" i="30"/>
  <c r="ZR9" i="30"/>
  <c r="ZV9" i="30"/>
  <c r="ZZ9" i="30"/>
  <c r="AAH9" i="30"/>
  <c r="AAL9" i="30"/>
  <c r="AAP9" i="30"/>
  <c r="AAT9" i="30"/>
  <c r="AAX9" i="30"/>
  <c r="ABB9" i="30"/>
  <c r="ABF9" i="30"/>
  <c r="ABH9" i="30"/>
  <c r="ABI9" i="30"/>
  <c r="ABN9" i="30"/>
  <c r="ABR9" i="30"/>
  <c r="ABV9" i="30"/>
  <c r="ABZ9" i="30"/>
  <c r="ACD9" i="30"/>
  <c r="ACH9" i="30"/>
  <c r="ACL9" i="30"/>
  <c r="ACM9" i="30"/>
  <c r="ACO9" i="30"/>
  <c r="ACP9" i="30"/>
  <c r="ACX9" i="30"/>
  <c r="ADB9" i="30"/>
  <c r="ADF9" i="30"/>
  <c r="ADJ9" i="30"/>
  <c r="ADN9" i="30"/>
  <c r="ADR9" i="30"/>
  <c r="ADU9" i="30"/>
  <c r="ADZ9" i="30"/>
  <c r="AED9" i="30"/>
  <c r="AEH9" i="30"/>
  <c r="AEL9" i="30"/>
  <c r="AEP9" i="30"/>
  <c r="AET9" i="30"/>
  <c r="AEX9" i="30"/>
  <c r="AFA9" i="30"/>
  <c r="AFF9" i="30"/>
  <c r="AFJ9" i="30"/>
  <c r="AFN9" i="30"/>
  <c r="AFR9" i="30"/>
  <c r="AFV9" i="30"/>
  <c r="AFZ9" i="30"/>
  <c r="AGD9" i="30"/>
  <c r="AGF9" i="30"/>
  <c r="AGG9" i="30"/>
  <c r="AGL9" i="30"/>
  <c r="AGP9" i="30"/>
  <c r="AGT9" i="30"/>
  <c r="AGX9" i="30"/>
  <c r="AHB9" i="30"/>
  <c r="AHF9" i="30"/>
  <c r="AHJ9" i="30"/>
  <c r="AHK9" i="30"/>
  <c r="AHM9" i="30"/>
  <c r="AHN9" i="30"/>
  <c r="AHV9" i="30"/>
  <c r="AHZ9" i="30"/>
  <c r="AID9" i="30"/>
  <c r="AIH9" i="30"/>
  <c r="AIL9" i="30"/>
  <c r="AIP9" i="30"/>
  <c r="AIS9" i="30"/>
  <c r="AIX9" i="30"/>
  <c r="AJB9" i="30"/>
  <c r="AJF9" i="30"/>
  <c r="AJJ9" i="30"/>
  <c r="AJN9" i="30"/>
  <c r="AJR9" i="30"/>
  <c r="AJV9" i="30"/>
  <c r="AJY9" i="30"/>
  <c r="AKD9" i="30"/>
  <c r="AKH9" i="30"/>
  <c r="AKL9" i="30"/>
  <c r="AKP9" i="30"/>
  <c r="AKT9" i="30"/>
  <c r="AKX9" i="30"/>
  <c r="ALB9" i="30"/>
  <c r="ALD9" i="30"/>
  <c r="ALE9" i="30"/>
  <c r="ALJ9" i="30"/>
  <c r="ALN9" i="30"/>
  <c r="ALR9" i="30"/>
  <c r="ALV9" i="30"/>
  <c r="ALZ9" i="30"/>
  <c r="AMD9" i="30"/>
  <c r="AMH9" i="30"/>
  <c r="AMI9" i="30"/>
  <c r="AMK9" i="30"/>
  <c r="AML9" i="30"/>
  <c r="AMT9" i="30"/>
  <c r="AMX9" i="30"/>
  <c r="ANB9" i="30"/>
  <c r="ANF9" i="30"/>
  <c r="ANJ9" i="30"/>
  <c r="ANN9" i="30"/>
  <c r="ANQ9" i="30"/>
  <c r="ANV9" i="30"/>
  <c r="ANZ9" i="30"/>
  <c r="AOD9" i="30"/>
  <c r="AOH9" i="30"/>
  <c r="AOL9" i="30"/>
  <c r="AOP9" i="30"/>
  <c r="AOT9" i="30"/>
  <c r="AOW9" i="30"/>
  <c r="APB9" i="30"/>
  <c r="APF9" i="30"/>
  <c r="APJ9" i="30"/>
  <c r="APN9" i="30"/>
  <c r="APR9" i="30"/>
  <c r="APV9" i="30"/>
  <c r="APZ9" i="30"/>
  <c r="AQB9" i="30"/>
  <c r="AQC9" i="30"/>
  <c r="AQH9" i="30"/>
  <c r="AQL9" i="30"/>
  <c r="AQP9" i="30"/>
  <c r="AQT9" i="30"/>
  <c r="AQX9" i="30"/>
  <c r="ARB9" i="30"/>
  <c r="ARF9" i="30"/>
  <c r="ARG9" i="30"/>
  <c r="ARI9" i="30"/>
  <c r="ARJ9" i="30"/>
  <c r="ARR9" i="30"/>
  <c r="ARV9" i="30"/>
  <c r="ARZ9" i="30"/>
  <c r="ASD9" i="30"/>
  <c r="ASH9" i="30"/>
  <c r="ASL9" i="30"/>
  <c r="ASO9" i="30"/>
  <c r="AST9" i="30"/>
  <c r="ASX9" i="30"/>
  <c r="ATB9" i="30"/>
  <c r="ATF9" i="30"/>
  <c r="ATJ9" i="30"/>
  <c r="ATN9" i="30"/>
  <c r="ATR9" i="30"/>
  <c r="ATU9" i="30"/>
  <c r="ATZ9" i="30"/>
  <c r="AUD9" i="30"/>
  <c r="AUH9" i="30"/>
  <c r="AUL9" i="30"/>
  <c r="AUP9" i="30"/>
  <c r="AUT9" i="30"/>
  <c r="AUX9" i="30"/>
  <c r="AUZ9" i="30"/>
  <c r="AVA9" i="30"/>
  <c r="AVF9" i="30"/>
  <c r="AVJ9" i="30"/>
  <c r="AVN9" i="30"/>
  <c r="AVR9" i="30"/>
  <c r="AVV9" i="30"/>
  <c r="AVZ9" i="30"/>
  <c r="AWD9" i="30"/>
  <c r="AWE9" i="30"/>
  <c r="AWG9" i="30"/>
  <c r="AWH9" i="30"/>
  <c r="AWP9" i="30"/>
  <c r="AWT9" i="30"/>
  <c r="AWX9" i="30"/>
  <c r="AXB9" i="30"/>
  <c r="AXF9" i="30"/>
  <c r="AXJ9" i="30"/>
  <c r="AXM9" i="30"/>
  <c r="AXR9" i="30"/>
  <c r="AXV9" i="30"/>
  <c r="AXZ9" i="30"/>
  <c r="AYD9" i="30"/>
  <c r="AYH9" i="30"/>
  <c r="AYL9" i="30"/>
  <c r="AYP9" i="30"/>
  <c r="AYS9" i="30"/>
  <c r="AYX9" i="30"/>
  <c r="AZB9" i="30"/>
  <c r="AZF9" i="30"/>
  <c r="AZJ9" i="30"/>
  <c r="AZN9" i="30"/>
  <c r="AZR9" i="30"/>
  <c r="AZV9" i="30"/>
  <c r="AZX9" i="30"/>
  <c r="AZY9" i="30"/>
  <c r="BAD9" i="30"/>
  <c r="BAH9" i="30"/>
  <c r="BAL9" i="30"/>
  <c r="BAP9" i="30"/>
  <c r="BAT9" i="30"/>
  <c r="BAX9" i="30"/>
  <c r="BBB9" i="30"/>
  <c r="BBC9" i="30"/>
  <c r="BBE9" i="30"/>
  <c r="BBF9" i="30"/>
  <c r="BBN9" i="30"/>
  <c r="BBR9" i="30"/>
  <c r="BBV9" i="30"/>
  <c r="BBZ9" i="30"/>
  <c r="BCD9" i="30"/>
  <c r="BCH9" i="30"/>
  <c r="BCK9" i="30"/>
  <c r="BCP9" i="30"/>
  <c r="BCT9" i="30"/>
  <c r="BCX9" i="30"/>
  <c r="BDB9" i="30"/>
  <c r="BDF9" i="30"/>
  <c r="BDJ9" i="30"/>
  <c r="BDN9" i="30"/>
  <c r="BDQ9" i="30"/>
  <c r="BDV9" i="30"/>
  <c r="BDZ9" i="30"/>
  <c r="BED9" i="30"/>
  <c r="BEH9" i="30"/>
  <c r="BEL9" i="30"/>
  <c r="BEP9" i="30"/>
  <c r="BET9" i="30"/>
  <c r="BEV9" i="30"/>
  <c r="BEW9" i="30"/>
  <c r="BFB9" i="30"/>
  <c r="BFF9" i="30"/>
  <c r="BFJ9" i="30"/>
  <c r="BFN9" i="30"/>
  <c r="BFR9" i="30"/>
  <c r="BFV9" i="30"/>
  <c r="BFZ9" i="30"/>
  <c r="BGA9" i="30"/>
  <c r="BGC9" i="30"/>
  <c r="BGD9" i="30"/>
  <c r="BGL9" i="30"/>
  <c r="BGP9" i="30"/>
  <c r="BGT9" i="30"/>
  <c r="BGX9" i="30"/>
  <c r="BHB9" i="30"/>
  <c r="BHF9" i="30"/>
  <c r="BHI9" i="30"/>
  <c r="BHN9" i="30"/>
  <c r="BHR9" i="30"/>
  <c r="BHV9" i="30"/>
  <c r="BHZ9" i="30"/>
  <c r="BID9" i="30"/>
  <c r="BIH9" i="30"/>
  <c r="BIL9" i="30"/>
  <c r="BIO9" i="30"/>
  <c r="BIT9" i="30"/>
  <c r="BIX9" i="30"/>
  <c r="BJB9" i="30"/>
  <c r="BJF9" i="30"/>
  <c r="BJJ9" i="30"/>
  <c r="BJN9" i="30"/>
  <c r="BJR9" i="30"/>
  <c r="BJT9" i="30"/>
  <c r="BJU9" i="30"/>
  <c r="BJZ9" i="30"/>
  <c r="BKD9" i="30"/>
  <c r="BKH9" i="30"/>
  <c r="BKL9" i="30"/>
  <c r="BKP9" i="30"/>
  <c r="BKT9" i="30"/>
  <c r="BKX9" i="30"/>
  <c r="BKY9" i="30"/>
  <c r="BLA9" i="30"/>
  <c r="BLB9" i="30"/>
  <c r="J10" i="30"/>
  <c r="N10" i="30"/>
  <c r="R10" i="30"/>
  <c r="V10" i="30"/>
  <c r="Z10" i="30"/>
  <c r="AD10" i="30"/>
  <c r="AG10" i="30"/>
  <c r="AL10" i="30"/>
  <c r="AP10" i="30"/>
  <c r="AT10" i="30"/>
  <c r="AX10" i="30"/>
  <c r="BB10" i="30"/>
  <c r="BF10" i="30"/>
  <c r="BJ10" i="30"/>
  <c r="BM10" i="30"/>
  <c r="BR10" i="30"/>
  <c r="BV10" i="30"/>
  <c r="BZ10" i="30"/>
  <c r="CD10" i="30"/>
  <c r="CH10" i="30"/>
  <c r="CL10" i="30"/>
  <c r="CP10" i="30"/>
  <c r="CR10" i="30"/>
  <c r="CS10" i="30"/>
  <c r="CX10" i="30"/>
  <c r="DB10" i="30"/>
  <c r="DF10" i="30"/>
  <c r="DJ10" i="30"/>
  <c r="DN10" i="30"/>
  <c r="DR10" i="30"/>
  <c r="DV10" i="30"/>
  <c r="DW10" i="30"/>
  <c r="DY10" i="30"/>
  <c r="DZ10" i="30"/>
  <c r="EH10" i="30"/>
  <c r="EL10" i="30"/>
  <c r="EP10" i="30"/>
  <c r="ET10" i="30"/>
  <c r="EX10" i="30"/>
  <c r="FB10" i="30"/>
  <c r="FE10" i="30"/>
  <c r="FJ10" i="30"/>
  <c r="FN10" i="30"/>
  <c r="FR10" i="30"/>
  <c r="FV10" i="30"/>
  <c r="FZ10" i="30"/>
  <c r="GD10" i="30"/>
  <c r="GH10" i="30"/>
  <c r="GK10" i="30"/>
  <c r="GP10" i="30"/>
  <c r="GT10" i="30"/>
  <c r="GX10" i="30"/>
  <c r="HB10" i="30"/>
  <c r="HF10" i="30"/>
  <c r="HJ10" i="30"/>
  <c r="HN10" i="30"/>
  <c r="HP10" i="30"/>
  <c r="HQ10" i="30"/>
  <c r="HV10" i="30"/>
  <c r="HZ10" i="30"/>
  <c r="ID10" i="30"/>
  <c r="IH10" i="30"/>
  <c r="IL10" i="30"/>
  <c r="IP10" i="30"/>
  <c r="IT10" i="30"/>
  <c r="IU10" i="30"/>
  <c r="IW10" i="30"/>
  <c r="IX10" i="30"/>
  <c r="JF10" i="30"/>
  <c r="JJ10" i="30"/>
  <c r="JN10" i="30"/>
  <c r="JR10" i="30"/>
  <c r="JV10" i="30"/>
  <c r="JZ10" i="30"/>
  <c r="KC10" i="30"/>
  <c r="KH10" i="30"/>
  <c r="KL10" i="30"/>
  <c r="KP10" i="30"/>
  <c r="KT10" i="30"/>
  <c r="KX10" i="30"/>
  <c r="LB10" i="30"/>
  <c r="LF10" i="30"/>
  <c r="LI10" i="30"/>
  <c r="LN10" i="30"/>
  <c r="LR10" i="30"/>
  <c r="LV10" i="30"/>
  <c r="LZ10" i="30"/>
  <c r="MD10" i="30"/>
  <c r="MH10" i="30"/>
  <c r="ML10" i="30"/>
  <c r="MN10" i="30"/>
  <c r="MO10" i="30"/>
  <c r="MT10" i="30"/>
  <c r="MX10" i="30"/>
  <c r="NB10" i="30"/>
  <c r="NF10" i="30"/>
  <c r="NJ10" i="30"/>
  <c r="NN10" i="30"/>
  <c r="NR10" i="30"/>
  <c r="NS10" i="30"/>
  <c r="NU10" i="30"/>
  <c r="NV10" i="30"/>
  <c r="OD10" i="30"/>
  <c r="OH10" i="30"/>
  <c r="OL10" i="30"/>
  <c r="OP10" i="30"/>
  <c r="OT10" i="30"/>
  <c r="OX10" i="30"/>
  <c r="PA10" i="30"/>
  <c r="PF10" i="30"/>
  <c r="PJ10" i="30"/>
  <c r="PN10" i="30"/>
  <c r="PR10" i="30"/>
  <c r="PV10" i="30"/>
  <c r="PZ10" i="30"/>
  <c r="QD10" i="30"/>
  <c r="QG10" i="30"/>
  <c r="QL10" i="30"/>
  <c r="QP10" i="30"/>
  <c r="QT10" i="30"/>
  <c r="QX10" i="30"/>
  <c r="RB10" i="30"/>
  <c r="RF10" i="30"/>
  <c r="RJ10" i="30"/>
  <c r="RL10" i="30"/>
  <c r="RM10" i="30"/>
  <c r="RR10" i="30"/>
  <c r="RV10" i="30"/>
  <c r="RZ10" i="30"/>
  <c r="SD10" i="30"/>
  <c r="SH10" i="30"/>
  <c r="SL10" i="30"/>
  <c r="SP10" i="30"/>
  <c r="SQ10" i="30"/>
  <c r="SS10" i="30"/>
  <c r="ST10" i="30"/>
  <c r="TB10" i="30"/>
  <c r="TF10" i="30"/>
  <c r="TJ10" i="30"/>
  <c r="TN10" i="30"/>
  <c r="TR10" i="30"/>
  <c r="TV10" i="30"/>
  <c r="TY10" i="30"/>
  <c r="UD10" i="30"/>
  <c r="UH10" i="30"/>
  <c r="UL10" i="30"/>
  <c r="UP10" i="30"/>
  <c r="UT10" i="30"/>
  <c r="UX10" i="30"/>
  <c r="VB10" i="30"/>
  <c r="VE10" i="30"/>
  <c r="VJ10" i="30"/>
  <c r="VN10" i="30"/>
  <c r="VR10" i="30"/>
  <c r="VV10" i="30"/>
  <c r="VZ10" i="30"/>
  <c r="WD10" i="30"/>
  <c r="WH10" i="30"/>
  <c r="WJ10" i="30"/>
  <c r="WK10" i="30"/>
  <c r="WP10" i="30"/>
  <c r="WT10" i="30"/>
  <c r="WX10" i="30"/>
  <c r="XB10" i="30"/>
  <c r="XF10" i="30"/>
  <c r="XJ10" i="30"/>
  <c r="XN10" i="30"/>
  <c r="XO10" i="30"/>
  <c r="XQ10" i="30"/>
  <c r="XR10" i="30"/>
  <c r="XZ10" i="30"/>
  <c r="YD10" i="30"/>
  <c r="YH10" i="30"/>
  <c r="YL10" i="30"/>
  <c r="YP10" i="30"/>
  <c r="YT10" i="30"/>
  <c r="YW10" i="30"/>
  <c r="ZB10" i="30"/>
  <c r="ZF10" i="30"/>
  <c r="ZJ10" i="30"/>
  <c r="ZN10" i="30"/>
  <c r="ZR10" i="30"/>
  <c r="ZV10" i="30"/>
  <c r="ZZ10" i="30"/>
  <c r="AAH10" i="30"/>
  <c r="AAL10" i="30"/>
  <c r="AAP10" i="30"/>
  <c r="AAT10" i="30"/>
  <c r="AAX10" i="30"/>
  <c r="ABB10" i="30"/>
  <c r="ABF10" i="30"/>
  <c r="ABH10" i="30"/>
  <c r="ABI10" i="30"/>
  <c r="ABN10" i="30"/>
  <c r="ABR10" i="30"/>
  <c r="ABV10" i="30"/>
  <c r="ABZ10" i="30"/>
  <c r="ACD10" i="30"/>
  <c r="ACH10" i="30"/>
  <c r="ACL10" i="30"/>
  <c r="ACM10" i="30"/>
  <c r="ACO10" i="30"/>
  <c r="ACP10" i="30"/>
  <c r="ACX10" i="30"/>
  <c r="ADB10" i="30"/>
  <c r="ADF10" i="30"/>
  <c r="ADJ10" i="30"/>
  <c r="ADN10" i="30"/>
  <c r="ADR10" i="30"/>
  <c r="ADU10" i="30"/>
  <c r="ADZ10" i="30"/>
  <c r="AED10" i="30"/>
  <c r="AEH10" i="30"/>
  <c r="AEL10" i="30"/>
  <c r="AEP10" i="30"/>
  <c r="AET10" i="30"/>
  <c r="AEX10" i="30"/>
  <c r="AFA10" i="30"/>
  <c r="AFF10" i="30"/>
  <c r="AFJ10" i="30"/>
  <c r="AFN10" i="30"/>
  <c r="AFR10" i="30"/>
  <c r="AFV10" i="30"/>
  <c r="AFZ10" i="30"/>
  <c r="AGD10" i="30"/>
  <c r="AGF10" i="30"/>
  <c r="AGG10" i="30"/>
  <c r="AGL10" i="30"/>
  <c r="AGP10" i="30"/>
  <c r="AGT10" i="30"/>
  <c r="AGX10" i="30"/>
  <c r="AHB10" i="30"/>
  <c r="AHF10" i="30"/>
  <c r="AHJ10" i="30"/>
  <c r="AHK10" i="30"/>
  <c r="AHM10" i="30"/>
  <c r="AHN10" i="30"/>
  <c r="AHV10" i="30"/>
  <c r="AHZ10" i="30"/>
  <c r="AID10" i="30"/>
  <c r="AIH10" i="30"/>
  <c r="AIL10" i="30"/>
  <c r="AIP10" i="30"/>
  <c r="AIS10" i="30"/>
  <c r="AIX10" i="30"/>
  <c r="AJB10" i="30"/>
  <c r="AJF10" i="30"/>
  <c r="AJJ10" i="30"/>
  <c r="AJN10" i="30"/>
  <c r="AJR10" i="30"/>
  <c r="AJV10" i="30"/>
  <c r="AJY10" i="30"/>
  <c r="AKD10" i="30"/>
  <c r="AKH10" i="30"/>
  <c r="AKL10" i="30"/>
  <c r="AKP10" i="30"/>
  <c r="AKT10" i="30"/>
  <c r="AKX10" i="30"/>
  <c r="ALB10" i="30"/>
  <c r="ALD10" i="30"/>
  <c r="ALE10" i="30"/>
  <c r="ALJ10" i="30"/>
  <c r="ALN10" i="30"/>
  <c r="ALR10" i="30"/>
  <c r="ALV10" i="30"/>
  <c r="ALZ10" i="30"/>
  <c r="AMD10" i="30"/>
  <c r="AMH10" i="30"/>
  <c r="AMI10" i="30"/>
  <c r="AMK10" i="30"/>
  <c r="AML10" i="30"/>
  <c r="AMT10" i="30"/>
  <c r="AMX10" i="30"/>
  <c r="ANB10" i="30"/>
  <c r="ANF10" i="30"/>
  <c r="ANJ10" i="30"/>
  <c r="ANN10" i="30"/>
  <c r="ANQ10" i="30"/>
  <c r="ANV10" i="30"/>
  <c r="ANZ10" i="30"/>
  <c r="AOD10" i="30"/>
  <c r="AOH10" i="30"/>
  <c r="AOL10" i="30"/>
  <c r="AOP10" i="30"/>
  <c r="AOT10" i="30"/>
  <c r="AOW10" i="30"/>
  <c r="APB10" i="30"/>
  <c r="APF10" i="30"/>
  <c r="APJ10" i="30"/>
  <c r="APN10" i="30"/>
  <c r="APR10" i="30"/>
  <c r="APV10" i="30"/>
  <c r="APZ10" i="30"/>
  <c r="AQB10" i="30"/>
  <c r="AQC10" i="30"/>
  <c r="AQH10" i="30"/>
  <c r="AQL10" i="30"/>
  <c r="AQP10" i="30"/>
  <c r="AQT10" i="30"/>
  <c r="AQX10" i="30"/>
  <c r="ARB10" i="30"/>
  <c r="ARF10" i="30"/>
  <c r="ARG10" i="30"/>
  <c r="ARI10" i="30"/>
  <c r="ARJ10" i="30"/>
  <c r="ARR10" i="30"/>
  <c r="ARV10" i="30"/>
  <c r="ARZ10" i="30"/>
  <c r="ASD10" i="30"/>
  <c r="ASH10" i="30"/>
  <c r="ASL10" i="30"/>
  <c r="ASO10" i="30"/>
  <c r="AST10" i="30"/>
  <c r="ASX10" i="30"/>
  <c r="ATB10" i="30"/>
  <c r="ATF10" i="30"/>
  <c r="ATJ10" i="30"/>
  <c r="ATN10" i="30"/>
  <c r="ATR10" i="30"/>
  <c r="ATU10" i="30"/>
  <c r="ATZ10" i="30"/>
  <c r="AUD10" i="30"/>
  <c r="AUH10" i="30"/>
  <c r="AUL10" i="30"/>
  <c r="AUP10" i="30"/>
  <c r="AUT10" i="30"/>
  <c r="AUX10" i="30"/>
  <c r="AUZ10" i="30"/>
  <c r="AVA10" i="30"/>
  <c r="AVF10" i="30"/>
  <c r="AVJ10" i="30"/>
  <c r="AVN10" i="30"/>
  <c r="AVR10" i="30"/>
  <c r="AVV10" i="30"/>
  <c r="AVZ10" i="30"/>
  <c r="AWD10" i="30"/>
  <c r="AWE10" i="30"/>
  <c r="AWG10" i="30"/>
  <c r="AWH10" i="30"/>
  <c r="AWP10" i="30"/>
  <c r="AWT10" i="30"/>
  <c r="AWX10" i="30"/>
  <c r="AXB10" i="30"/>
  <c r="AXF10" i="30"/>
  <c r="AXJ10" i="30"/>
  <c r="AXM10" i="30"/>
  <c r="AXR10" i="30"/>
  <c r="AXV10" i="30"/>
  <c r="AXZ10" i="30"/>
  <c r="AYD10" i="30"/>
  <c r="AYH10" i="30"/>
  <c r="AYL10" i="30"/>
  <c r="AYP10" i="30"/>
  <c r="AYS10" i="30"/>
  <c r="AYX10" i="30"/>
  <c r="AZB10" i="30"/>
  <c r="AZF10" i="30"/>
  <c r="AZJ10" i="30"/>
  <c r="AZN10" i="30"/>
  <c r="AZR10" i="30"/>
  <c r="AZV10" i="30"/>
  <c r="AZX10" i="30"/>
  <c r="AZY10" i="30"/>
  <c r="BAD10" i="30"/>
  <c r="BAH10" i="30"/>
  <c r="BAL10" i="30"/>
  <c r="BAP10" i="30"/>
  <c r="BAT10" i="30"/>
  <c r="BAX10" i="30"/>
  <c r="BBB10" i="30"/>
  <c r="BBC10" i="30"/>
  <c r="BBE10" i="30"/>
  <c r="BBF10" i="30"/>
  <c r="BBN10" i="30"/>
  <c r="BBR10" i="30"/>
  <c r="BBV10" i="30"/>
  <c r="BBZ10" i="30"/>
  <c r="BCD10" i="30"/>
  <c r="BCH10" i="30"/>
  <c r="BCK10" i="30"/>
  <c r="BCP10" i="30"/>
  <c r="BCT10" i="30"/>
  <c r="BCX10" i="30"/>
  <c r="BDB10" i="30"/>
  <c r="BDF10" i="30"/>
  <c r="BDJ10" i="30"/>
  <c r="BDN10" i="30"/>
  <c r="BDQ10" i="30"/>
  <c r="BDV10" i="30"/>
  <c r="BDZ10" i="30"/>
  <c r="BED10" i="30"/>
  <c r="BEH10" i="30"/>
  <c r="BEL10" i="30"/>
  <c r="BEP10" i="30"/>
  <c r="BET10" i="30"/>
  <c r="BEV10" i="30"/>
  <c r="BEW10" i="30"/>
  <c r="BFB10" i="30"/>
  <c r="BFF10" i="30"/>
  <c r="BFJ10" i="30"/>
  <c r="BFN10" i="30"/>
  <c r="BFR10" i="30"/>
  <c r="BFV10" i="30"/>
  <c r="BFZ10" i="30"/>
  <c r="BGA10" i="30"/>
  <c r="BGC10" i="30"/>
  <c r="BGD10" i="30"/>
  <c r="BGL10" i="30"/>
  <c r="BGP10" i="30"/>
  <c r="BGT10" i="30"/>
  <c r="BGX10" i="30"/>
  <c r="BHB10" i="30"/>
  <c r="BHF10" i="30"/>
  <c r="BHI10" i="30"/>
  <c r="BHN10" i="30"/>
  <c r="BHR10" i="30"/>
  <c r="BHV10" i="30"/>
  <c r="BHZ10" i="30"/>
  <c r="BID10" i="30"/>
  <c r="BIH10" i="30"/>
  <c r="BIL10" i="30"/>
  <c r="BIO10" i="30"/>
  <c r="BIT10" i="30"/>
  <c r="BIX10" i="30"/>
  <c r="BJB10" i="30"/>
  <c r="BJF10" i="30"/>
  <c r="BJJ10" i="30"/>
  <c r="BJN10" i="30"/>
  <c r="BJR10" i="30"/>
  <c r="BJT10" i="30"/>
  <c r="BJU10" i="30"/>
  <c r="BJZ10" i="30"/>
  <c r="BKD10" i="30"/>
  <c r="BKH10" i="30"/>
  <c r="BKL10" i="30"/>
  <c r="BKP10" i="30"/>
  <c r="BKT10" i="30"/>
  <c r="BKX10" i="30"/>
  <c r="BKY10" i="30"/>
  <c r="BLA10" i="30"/>
  <c r="BLB10" i="30"/>
  <c r="J11" i="30"/>
  <c r="N11" i="30"/>
  <c r="R11" i="30"/>
  <c r="V11" i="30"/>
  <c r="Z11" i="30"/>
  <c r="AD11" i="30"/>
  <c r="AG11" i="30"/>
  <c r="AL11" i="30"/>
  <c r="AP11" i="30"/>
  <c r="AT11" i="30"/>
  <c r="AX11" i="30"/>
  <c r="BB11" i="30"/>
  <c r="BF11" i="30"/>
  <c r="BJ11" i="30"/>
  <c r="BM11" i="30"/>
  <c r="BR11" i="30"/>
  <c r="BV11" i="30"/>
  <c r="BZ11" i="30"/>
  <c r="CD11" i="30"/>
  <c r="CH11" i="30"/>
  <c r="CL11" i="30"/>
  <c r="CP11" i="30"/>
  <c r="CR11" i="30"/>
  <c r="CS11" i="30"/>
  <c r="CX11" i="30"/>
  <c r="DB11" i="30"/>
  <c r="DF11" i="30"/>
  <c r="DJ11" i="30"/>
  <c r="DN11" i="30"/>
  <c r="DR11" i="30"/>
  <c r="DV11" i="30"/>
  <c r="DW11" i="30"/>
  <c r="DY11" i="30"/>
  <c r="DZ11" i="30"/>
  <c r="EH11" i="30"/>
  <c r="EL11" i="30"/>
  <c r="EP11" i="30"/>
  <c r="ET11" i="30"/>
  <c r="EX11" i="30"/>
  <c r="FB11" i="30"/>
  <c r="FE11" i="30"/>
  <c r="FJ11" i="30"/>
  <c r="FN11" i="30"/>
  <c r="FR11" i="30"/>
  <c r="FV11" i="30"/>
  <c r="FZ11" i="30"/>
  <c r="GD11" i="30"/>
  <c r="GH11" i="30"/>
  <c r="GK11" i="30"/>
  <c r="GP11" i="30"/>
  <c r="GT11" i="30"/>
  <c r="GX11" i="30"/>
  <c r="HB11" i="30"/>
  <c r="HF11" i="30"/>
  <c r="HJ11" i="30"/>
  <c r="HN11" i="30"/>
  <c r="HP11" i="30"/>
  <c r="HQ11" i="30"/>
  <c r="HV11" i="30"/>
  <c r="HZ11" i="30"/>
  <c r="ID11" i="30"/>
  <c r="IH11" i="30"/>
  <c r="IL11" i="30"/>
  <c r="IP11" i="30"/>
  <c r="IT11" i="30"/>
  <c r="IU11" i="30"/>
  <c r="IW11" i="30"/>
  <c r="IX11" i="30"/>
  <c r="JF11" i="30"/>
  <c r="JJ11" i="30"/>
  <c r="JN11" i="30"/>
  <c r="JR11" i="30"/>
  <c r="JV11" i="30"/>
  <c r="JZ11" i="30"/>
  <c r="KC11" i="30"/>
  <c r="KH11" i="30"/>
  <c r="KL11" i="30"/>
  <c r="KP11" i="30"/>
  <c r="KT11" i="30"/>
  <c r="KX11" i="30"/>
  <c r="LB11" i="30"/>
  <c r="LF11" i="30"/>
  <c r="LI11" i="30"/>
  <c r="LN11" i="30"/>
  <c r="LR11" i="30"/>
  <c r="LV11" i="30"/>
  <c r="LZ11" i="30"/>
  <c r="MD11" i="30"/>
  <c r="MH11" i="30"/>
  <c r="ML11" i="30"/>
  <c r="MN11" i="30"/>
  <c r="MO11" i="30"/>
  <c r="MT11" i="30"/>
  <c r="MX11" i="30"/>
  <c r="NB11" i="30"/>
  <c r="NF11" i="30"/>
  <c r="NJ11" i="30"/>
  <c r="NN11" i="30"/>
  <c r="NR11" i="30"/>
  <c r="NS11" i="30"/>
  <c r="NU11" i="30"/>
  <c r="NV11" i="30"/>
  <c r="OD11" i="30"/>
  <c r="OH11" i="30"/>
  <c r="OL11" i="30"/>
  <c r="OP11" i="30"/>
  <c r="OT11" i="30"/>
  <c r="OX11" i="30"/>
  <c r="PA11" i="30"/>
  <c r="PF11" i="30"/>
  <c r="PJ11" i="30"/>
  <c r="PN11" i="30"/>
  <c r="PR11" i="30"/>
  <c r="PV11" i="30"/>
  <c r="PZ11" i="30"/>
  <c r="QD11" i="30"/>
  <c r="QG11" i="30"/>
  <c r="QL11" i="30"/>
  <c r="QP11" i="30"/>
  <c r="QT11" i="30"/>
  <c r="QX11" i="30"/>
  <c r="RB11" i="30"/>
  <c r="RF11" i="30"/>
  <c r="RJ11" i="30"/>
  <c r="RL11" i="30"/>
  <c r="RM11" i="30"/>
  <c r="RR11" i="30"/>
  <c r="RV11" i="30"/>
  <c r="RZ11" i="30"/>
  <c r="SD11" i="30"/>
  <c r="SH11" i="30"/>
  <c r="SL11" i="30"/>
  <c r="SP11" i="30"/>
  <c r="SQ11" i="30"/>
  <c r="SS11" i="30"/>
  <c r="ST11" i="30"/>
  <c r="TB11" i="30"/>
  <c r="TF11" i="30"/>
  <c r="TJ11" i="30"/>
  <c r="TN11" i="30"/>
  <c r="TR11" i="30"/>
  <c r="TV11" i="30"/>
  <c r="TY11" i="30"/>
  <c r="UD11" i="30"/>
  <c r="UH11" i="30"/>
  <c r="UL11" i="30"/>
  <c r="UP11" i="30"/>
  <c r="UT11" i="30"/>
  <c r="UX11" i="30"/>
  <c r="VB11" i="30"/>
  <c r="VC11" i="30"/>
  <c r="VE11" i="30"/>
  <c r="VN11" i="30"/>
  <c r="VR11" i="30"/>
  <c r="VV11" i="30"/>
  <c r="VZ11" i="30"/>
  <c r="WD11" i="30"/>
  <c r="WH11" i="30"/>
  <c r="WK11" i="30"/>
  <c r="WP11" i="30"/>
  <c r="WX11" i="30"/>
  <c r="XB11" i="30"/>
  <c r="XF11" i="30"/>
  <c r="XJ11" i="30"/>
  <c r="XN11" i="30"/>
  <c r="XQ11" i="30"/>
  <c r="XV11" i="30"/>
  <c r="XZ11" i="30"/>
  <c r="YD11" i="30"/>
  <c r="YH11" i="30"/>
  <c r="YL11" i="30"/>
  <c r="YP11" i="30"/>
  <c r="YT11" i="30"/>
  <c r="YW11" i="30"/>
  <c r="ZB11" i="30"/>
  <c r="ZF11" i="30"/>
  <c r="ZJ11" i="30"/>
  <c r="ZN11" i="30"/>
  <c r="ZR11" i="30"/>
  <c r="ZV11" i="30"/>
  <c r="ZZ11" i="30"/>
  <c r="AAA11" i="30"/>
  <c r="AAD11" i="30"/>
  <c r="AAL11" i="30"/>
  <c r="AAP11" i="30"/>
  <c r="AAT11" i="30"/>
  <c r="AAX11" i="30"/>
  <c r="ABB11" i="30"/>
  <c r="ABF11" i="30"/>
  <c r="ABI11" i="30"/>
  <c r="ABN11" i="30"/>
  <c r="ABV11" i="30"/>
  <c r="ABZ11" i="30"/>
  <c r="ACD11" i="30"/>
  <c r="ACH11" i="30"/>
  <c r="ACL11" i="30"/>
  <c r="ACO11" i="30"/>
  <c r="ACT11" i="30"/>
  <c r="ACX11" i="30"/>
  <c r="ADB11" i="30"/>
  <c r="ADF11" i="30"/>
  <c r="ADJ11" i="30"/>
  <c r="ADN11" i="30"/>
  <c r="ADR11" i="30"/>
  <c r="ADT11" i="30"/>
  <c r="ADU11" i="30"/>
  <c r="ADZ11" i="30"/>
  <c r="AED11" i="30"/>
  <c r="AEH11" i="30"/>
  <c r="AEP11" i="30"/>
  <c r="AET11" i="30"/>
  <c r="AEX11" i="30"/>
  <c r="AFA11" i="30"/>
  <c r="AFJ11" i="30"/>
  <c r="AFN11" i="30"/>
  <c r="AFR11" i="30"/>
  <c r="AFV11" i="30"/>
  <c r="AFZ11" i="30"/>
  <c r="AGD11" i="30"/>
  <c r="AGG11" i="30"/>
  <c r="AGL11" i="30"/>
  <c r="AGP11" i="30"/>
  <c r="AGT11" i="30"/>
  <c r="AGX11" i="30"/>
  <c r="AHB11" i="30"/>
  <c r="AHJ11" i="30"/>
  <c r="AHM11" i="30"/>
  <c r="AHR11" i="30"/>
  <c r="AHV11" i="30"/>
  <c r="AHZ11" i="30"/>
  <c r="AID11" i="30"/>
  <c r="AIH11" i="30"/>
  <c r="AIL11" i="30"/>
  <c r="AIP11" i="30"/>
  <c r="AIS11" i="30"/>
  <c r="AIX11" i="30"/>
  <c r="AJF11" i="30"/>
  <c r="AJJ11" i="30"/>
  <c r="AJN11" i="30"/>
  <c r="AJR11" i="30"/>
  <c r="AJV11" i="30"/>
  <c r="AJY11" i="30"/>
  <c r="AKD11" i="30"/>
  <c r="AKH11" i="30"/>
  <c r="AKL11" i="30"/>
  <c r="AKP11" i="30"/>
  <c r="AKT11" i="30"/>
  <c r="AKX11" i="30"/>
  <c r="ALB11" i="30"/>
  <c r="ALE11" i="30"/>
  <c r="ALJ11" i="30"/>
  <c r="ALN11" i="30"/>
  <c r="ALR11" i="30"/>
  <c r="ALV11" i="30"/>
  <c r="ALZ11" i="30"/>
  <c r="AMD11" i="30"/>
  <c r="AMH11" i="30"/>
  <c r="AMI11" i="30"/>
  <c r="AMK11" i="30"/>
  <c r="AMP11" i="30"/>
  <c r="AMT11" i="30"/>
  <c r="AMX11" i="30"/>
  <c r="ANB11" i="30"/>
  <c r="ANF11" i="30"/>
  <c r="ANJ11" i="30"/>
  <c r="ANN11" i="30"/>
  <c r="ANQ11" i="30"/>
  <c r="ANV11" i="30"/>
  <c r="ANZ11" i="30"/>
  <c r="AOD11" i="30"/>
  <c r="AOL11" i="30"/>
  <c r="AOP11" i="30"/>
  <c r="AOT11" i="30"/>
  <c r="AOW11" i="30"/>
  <c r="APB11" i="30"/>
  <c r="APF11" i="30"/>
  <c r="APJ11" i="30"/>
  <c r="APN11" i="30"/>
  <c r="APR11" i="30"/>
  <c r="APV11" i="30"/>
  <c r="APZ11" i="30"/>
  <c r="AQC11" i="30"/>
  <c r="AQH11" i="30"/>
  <c r="AQL11" i="30"/>
  <c r="AQP11" i="30"/>
  <c r="AQT11" i="30"/>
  <c r="AQX11" i="30"/>
  <c r="ARB11" i="30"/>
  <c r="ARF11" i="30"/>
  <c r="ARI11" i="30"/>
  <c r="ARN11" i="30"/>
  <c r="ARR11" i="30"/>
  <c r="ARV11" i="30"/>
  <c r="ARZ11" i="30"/>
  <c r="ASD11" i="30"/>
  <c r="ASH11" i="30"/>
  <c r="ASL11" i="30"/>
  <c r="ASO11" i="30"/>
  <c r="AST11" i="30"/>
  <c r="ASX11" i="30"/>
  <c r="ATB11" i="30"/>
  <c r="ATF11" i="30"/>
  <c r="ATJ11" i="30"/>
  <c r="ATN11" i="30"/>
  <c r="ATR11" i="30"/>
  <c r="ATS11" i="30"/>
  <c r="ATU11" i="30"/>
  <c r="AUD11" i="30"/>
  <c r="AUH11" i="30"/>
  <c r="AUL11" i="30"/>
  <c r="AUP11" i="30"/>
  <c r="AUT11" i="30"/>
  <c r="AUX11" i="30"/>
  <c r="AVA11" i="30"/>
  <c r="AVF11" i="30"/>
  <c r="AVJ11" i="30"/>
  <c r="AVN11" i="30"/>
  <c r="AVR11" i="30"/>
  <c r="AVV11" i="30"/>
  <c r="AWD11" i="30"/>
  <c r="AWG11" i="30"/>
  <c r="AWP11" i="30"/>
  <c r="AWT11" i="30"/>
  <c r="AWX11" i="30"/>
  <c r="AXB11" i="30"/>
  <c r="AXF11" i="30"/>
  <c r="AXJ11" i="30"/>
  <c r="AXM11" i="30"/>
  <c r="AXR11" i="30"/>
  <c r="AXV11" i="30"/>
  <c r="AXZ11" i="30"/>
  <c r="AYD11" i="30"/>
  <c r="AYH11" i="30"/>
  <c r="AYL11" i="30"/>
  <c r="AYP11" i="30"/>
  <c r="AYS11" i="30"/>
  <c r="AYX11" i="30"/>
  <c r="AZB11" i="30"/>
  <c r="AZF11" i="30"/>
  <c r="AZJ11" i="30"/>
  <c r="AZN11" i="30"/>
  <c r="AZR11" i="30"/>
  <c r="AZV11" i="30"/>
  <c r="AZY11" i="30"/>
  <c r="BAD11" i="30"/>
  <c r="BAL11" i="30"/>
  <c r="BAP11" i="30"/>
  <c r="BAT11" i="30"/>
  <c r="BAX11" i="30"/>
  <c r="BBB11" i="30"/>
  <c r="BBE11" i="30"/>
  <c r="BBJ11" i="30"/>
  <c r="BBN11" i="30"/>
  <c r="BBR11" i="30"/>
  <c r="BBV11" i="30"/>
  <c r="BBZ11" i="30"/>
  <c r="BCD11" i="30"/>
  <c r="BCH11" i="30"/>
  <c r="BCK11" i="30"/>
  <c r="BCP11" i="30"/>
  <c r="BCT11" i="30"/>
  <c r="BCX11" i="30"/>
  <c r="BDB11" i="30"/>
  <c r="BDF11" i="30"/>
  <c r="BDJ11" i="30"/>
  <c r="BDN11" i="30"/>
  <c r="BDQ11" i="30"/>
  <c r="BDV11" i="30"/>
  <c r="BDZ11" i="30"/>
  <c r="BED11" i="30"/>
  <c r="BEH11" i="30"/>
  <c r="BEL11" i="30"/>
  <c r="BEP11" i="30"/>
  <c r="BET11" i="30"/>
  <c r="BEW11" i="30"/>
  <c r="BFB11" i="30"/>
  <c r="BFF11" i="30"/>
  <c r="BFJ11" i="30"/>
  <c r="BFN11" i="30"/>
  <c r="BFR11" i="30"/>
  <c r="BFV11" i="30"/>
  <c r="BFZ11" i="30"/>
  <c r="BGA11" i="30"/>
  <c r="BGC11" i="30"/>
  <c r="BGH11" i="30"/>
  <c r="BGL11" i="30"/>
  <c r="BGP11" i="30"/>
  <c r="BGT11" i="30"/>
  <c r="BGX11" i="30"/>
  <c r="BHB11" i="30"/>
  <c r="BHF11" i="30"/>
  <c r="BHI11" i="30"/>
  <c r="BHN11" i="30"/>
  <c r="BHR11" i="30"/>
  <c r="BHV11" i="30"/>
  <c r="BID11" i="30"/>
  <c r="BIH11" i="30"/>
  <c r="BIL11" i="30"/>
  <c r="BIO11" i="30"/>
  <c r="BIT11" i="30"/>
  <c r="BIX11" i="30"/>
  <c r="BJB11" i="30"/>
  <c r="BJF11" i="30"/>
  <c r="BJJ11" i="30"/>
  <c r="BJN11" i="30"/>
  <c r="BJR11" i="30"/>
  <c r="BJU11" i="30"/>
  <c r="BJZ11" i="30"/>
  <c r="BKD11" i="30"/>
  <c r="BKH11" i="30"/>
  <c r="BKL11" i="30"/>
  <c r="BKP11" i="30"/>
  <c r="BKT11" i="30"/>
  <c r="BKX11" i="30"/>
  <c r="BLA11" i="30"/>
  <c r="F12" i="30"/>
  <c r="J12" i="30"/>
  <c r="N12" i="30"/>
  <c r="R12" i="30"/>
  <c r="V12" i="30"/>
  <c r="Z12" i="30"/>
  <c r="AD12" i="30"/>
  <c r="AF12" i="30"/>
  <c r="AG12" i="30"/>
  <c r="AL12" i="30"/>
  <c r="AP12" i="30"/>
  <c r="AT12" i="30"/>
  <c r="AX12" i="30"/>
  <c r="BB12" i="30"/>
  <c r="BF12" i="30"/>
  <c r="BJ12" i="30"/>
  <c r="BK12" i="30"/>
  <c r="BM12" i="30"/>
  <c r="BV12" i="30"/>
  <c r="BZ12" i="30"/>
  <c r="CD12" i="30"/>
  <c r="CH12" i="30"/>
  <c r="CL12" i="30"/>
  <c r="CP12" i="30"/>
  <c r="CR12" i="30"/>
  <c r="CS12" i="30"/>
  <c r="CX12" i="30"/>
  <c r="DB12" i="30"/>
  <c r="DF12" i="30"/>
  <c r="DJ12" i="30"/>
  <c r="DN12" i="30"/>
  <c r="DV12" i="30"/>
  <c r="DY12" i="30"/>
  <c r="EH12" i="30"/>
  <c r="EL12" i="30"/>
  <c r="EP12" i="30"/>
  <c r="ET12" i="30"/>
  <c r="EX12" i="30"/>
  <c r="FB12" i="30"/>
  <c r="FE12" i="30"/>
  <c r="FJ12" i="30"/>
  <c r="FN12" i="30"/>
  <c r="FR12" i="30"/>
  <c r="FV12" i="30"/>
  <c r="FZ12" i="30"/>
  <c r="GD12" i="30"/>
  <c r="GH12" i="30"/>
  <c r="GK12" i="30"/>
  <c r="GP12" i="30"/>
  <c r="GT12" i="30"/>
  <c r="GX12" i="30"/>
  <c r="HB12" i="30"/>
  <c r="HF12" i="30"/>
  <c r="HJ12" i="30"/>
  <c r="HN12" i="30"/>
  <c r="HQ12" i="30"/>
  <c r="HV12" i="30"/>
  <c r="ID12" i="30"/>
  <c r="IH12" i="30"/>
  <c r="IL12" i="30"/>
  <c r="IP12" i="30"/>
  <c r="IT12" i="30"/>
  <c r="IW12" i="30"/>
  <c r="JB12" i="30"/>
  <c r="JF12" i="30"/>
  <c r="JJ12" i="30"/>
  <c r="JN12" i="30"/>
  <c r="JR12" i="30"/>
  <c r="JV12" i="30"/>
  <c r="JZ12" i="30"/>
  <c r="KC12" i="30"/>
  <c r="KH12" i="30"/>
  <c r="KL12" i="30"/>
  <c r="KP12" i="30"/>
  <c r="KT12" i="30"/>
  <c r="KX12" i="30"/>
  <c r="LB12" i="30"/>
  <c r="LF12" i="30"/>
  <c r="LG12" i="30"/>
  <c r="LI12" i="30"/>
  <c r="LN12" i="30"/>
  <c r="LR12" i="30"/>
  <c r="LV12" i="30"/>
  <c r="LZ12" i="30"/>
  <c r="MD12" i="30"/>
  <c r="MH12" i="30"/>
  <c r="ML12" i="30"/>
  <c r="MO12" i="30"/>
  <c r="MT12" i="30"/>
  <c r="MX12" i="30"/>
  <c r="NB12" i="30"/>
  <c r="NF12" i="30"/>
  <c r="NJ12" i="30"/>
  <c r="NN12" i="30"/>
  <c r="NR12" i="30"/>
  <c r="NS12" i="30"/>
  <c r="NU12" i="30"/>
  <c r="NZ12" i="30"/>
  <c r="OD12" i="30"/>
  <c r="OH12" i="30"/>
  <c r="OL12" i="30"/>
  <c r="OP12" i="30"/>
  <c r="OT12" i="30"/>
  <c r="OX12" i="30"/>
  <c r="PA12" i="30"/>
  <c r="PF12" i="30"/>
  <c r="PJ12" i="30"/>
  <c r="PN12" i="30"/>
  <c r="PV12" i="30"/>
  <c r="PZ12" i="30"/>
  <c r="QD12" i="30"/>
  <c r="QG12" i="30"/>
  <c r="QL12" i="30"/>
  <c r="QP12" i="30"/>
  <c r="QT12" i="30"/>
  <c r="QX12" i="30"/>
  <c r="RB12" i="30"/>
  <c r="RF12" i="30"/>
  <c r="RJ12" i="30"/>
  <c r="RM12" i="30"/>
  <c r="RR12" i="30"/>
  <c r="RV12" i="30"/>
  <c r="RZ12" i="30"/>
  <c r="SD12" i="30"/>
  <c r="SH12" i="30"/>
  <c r="SL12" i="30"/>
  <c r="SP12" i="30"/>
  <c r="SS12" i="30"/>
  <c r="SX12" i="30"/>
  <c r="TB12" i="30"/>
  <c r="TF12" i="30"/>
  <c r="TJ12" i="30"/>
  <c r="TN12" i="30"/>
  <c r="TR12" i="30"/>
  <c r="TV12" i="30"/>
  <c r="TY12" i="30"/>
  <c r="UD12" i="30"/>
  <c r="UH12" i="30"/>
  <c r="UL12" i="30"/>
  <c r="UP12" i="30"/>
  <c r="UT12" i="30"/>
  <c r="UX12" i="30"/>
  <c r="VB12" i="30"/>
  <c r="VC12" i="30"/>
  <c r="VE12" i="30"/>
  <c r="VN12" i="30"/>
  <c r="VR12" i="30"/>
  <c r="VV12" i="30"/>
  <c r="VZ12" i="30"/>
  <c r="WD12" i="30"/>
  <c r="WH12" i="30"/>
  <c r="WK12" i="30"/>
  <c r="WP12" i="30"/>
  <c r="WT12" i="30"/>
  <c r="WX12" i="30"/>
  <c r="XB12" i="30"/>
  <c r="XF12" i="30"/>
  <c r="XN12" i="30"/>
  <c r="XQ12" i="30"/>
  <c r="XZ12" i="30"/>
  <c r="YD12" i="30"/>
  <c r="YH12" i="30"/>
  <c r="YL12" i="30"/>
  <c r="YP12" i="30"/>
  <c r="YT12" i="30"/>
  <c r="YW12" i="30"/>
  <c r="ZB12" i="30"/>
  <c r="ZF12" i="30"/>
  <c r="ZJ12" i="30"/>
  <c r="ZN12" i="30"/>
  <c r="ZR12" i="30"/>
  <c r="ZV12" i="30"/>
  <c r="ZZ12" i="30"/>
  <c r="AAH12" i="30"/>
  <c r="AAL12" i="30"/>
  <c r="AAP12" i="30"/>
  <c r="AAT12" i="30"/>
  <c r="AAX12" i="30"/>
  <c r="ABB12" i="30"/>
  <c r="ABF12" i="30"/>
  <c r="ABI12" i="30"/>
  <c r="ABN12" i="30"/>
  <c r="ABV12" i="30"/>
  <c r="ABZ12" i="30"/>
  <c r="ACD12" i="30"/>
  <c r="ACH12" i="30"/>
  <c r="ACL12" i="30"/>
  <c r="ACO12" i="30"/>
  <c r="ACT12" i="30"/>
  <c r="ACX12" i="30"/>
  <c r="ADB12" i="30"/>
  <c r="ADF12" i="30"/>
  <c r="ADJ12" i="30"/>
  <c r="ADN12" i="30"/>
  <c r="ADR12" i="30"/>
  <c r="ADU12" i="30"/>
  <c r="ADZ12" i="30"/>
  <c r="AEH12" i="30"/>
  <c r="AEL12" i="30"/>
  <c r="AEP12" i="30"/>
  <c r="AET12" i="30"/>
  <c r="AEX12" i="30"/>
  <c r="AFA12" i="30"/>
  <c r="AFF12" i="30"/>
  <c r="AFN12" i="30"/>
  <c r="AFR12" i="30"/>
  <c r="AFV12" i="30"/>
  <c r="AFZ12" i="30"/>
  <c r="AGD12" i="30"/>
  <c r="AGG12" i="30"/>
  <c r="AGL12" i="30"/>
  <c r="AGP12" i="30"/>
  <c r="AGT12" i="30"/>
  <c r="AGX12" i="30"/>
  <c r="AHB12" i="30"/>
  <c r="AHF12" i="30"/>
  <c r="AHJ12" i="30"/>
  <c r="AHM12" i="30"/>
  <c r="AHR12" i="30"/>
  <c r="AHV12" i="30"/>
  <c r="AHZ12" i="30"/>
  <c r="AID12" i="30"/>
  <c r="AIH12" i="30"/>
  <c r="AIL12" i="30"/>
  <c r="AIP12" i="30"/>
  <c r="AIS12" i="30"/>
  <c r="AJB12" i="30"/>
  <c r="AJF12" i="30"/>
  <c r="AJJ12" i="30"/>
  <c r="AJN12" i="30"/>
  <c r="AJR12" i="30"/>
  <c r="AJV12" i="30"/>
  <c r="AJY12" i="30"/>
  <c r="AKD12" i="30"/>
  <c r="AKL12" i="30"/>
  <c r="AKP12" i="30"/>
  <c r="AKT12" i="30"/>
  <c r="AKX12" i="30"/>
  <c r="ALB12" i="30"/>
  <c r="ALE12" i="30"/>
  <c r="ALJ12" i="30"/>
  <c r="ALN12" i="30"/>
  <c r="ALR12" i="30"/>
  <c r="ALV12" i="30"/>
  <c r="ALZ12" i="30"/>
  <c r="AMD12" i="30"/>
  <c r="AMH12" i="30"/>
  <c r="AMJ12" i="30"/>
  <c r="AMK12" i="30"/>
  <c r="AMP12" i="30"/>
  <c r="AMT12" i="30"/>
  <c r="AMX12" i="30"/>
  <c r="ANF12" i="30"/>
  <c r="ANJ12" i="30"/>
  <c r="ANN12" i="30"/>
  <c r="ANQ12" i="30"/>
  <c r="ANZ12" i="30"/>
  <c r="AOD12" i="30"/>
  <c r="AOH12" i="30"/>
  <c r="AOL12" i="30"/>
  <c r="AOP12" i="30"/>
  <c r="AOT12" i="30"/>
  <c r="AOW12" i="30"/>
  <c r="APB12" i="30"/>
  <c r="APJ12" i="30"/>
  <c r="APN12" i="30"/>
  <c r="APR12" i="30"/>
  <c r="APV12" i="30"/>
  <c r="APZ12" i="30"/>
  <c r="AQC12" i="30"/>
  <c r="AQH12" i="30"/>
  <c r="AQL12" i="30"/>
  <c r="AQP12" i="30"/>
  <c r="AQT12" i="30"/>
  <c r="AQX12" i="30"/>
  <c r="ARB12" i="30"/>
  <c r="ARF12" i="30"/>
  <c r="ARI12" i="30"/>
  <c r="ARN12" i="30"/>
  <c r="ARR12" i="30"/>
  <c r="ARV12" i="30"/>
  <c r="ARZ12" i="30"/>
  <c r="ASD12" i="30"/>
  <c r="ASH12" i="30"/>
  <c r="ASL12" i="30"/>
  <c r="ASM12" i="30"/>
  <c r="ASO12" i="30"/>
  <c r="ASP12" i="30"/>
  <c r="ASX12" i="30"/>
  <c r="ATB12" i="30"/>
  <c r="ATF12" i="30"/>
  <c r="ATJ12" i="30"/>
  <c r="ATN12" i="30"/>
  <c r="ATR12" i="30"/>
  <c r="ATU12" i="30"/>
  <c r="ATZ12" i="30"/>
  <c r="AUH12" i="30"/>
  <c r="AUL12" i="30"/>
  <c r="AUP12" i="30"/>
  <c r="AUT12" i="30"/>
  <c r="AUX12" i="30"/>
  <c r="AVA12" i="30"/>
  <c r="AVF12" i="30"/>
  <c r="AVJ12" i="30"/>
  <c r="AVN12" i="30"/>
  <c r="AVR12" i="30"/>
  <c r="AVV12" i="30"/>
  <c r="AVZ12" i="30"/>
  <c r="AWD12" i="30"/>
  <c r="AWF12" i="30"/>
  <c r="AWG12" i="30"/>
  <c r="AWL12" i="30"/>
  <c r="AWP12" i="30"/>
  <c r="AWT12" i="30"/>
  <c r="AWX12" i="30"/>
  <c r="AXB12" i="30"/>
  <c r="AXF12" i="30"/>
  <c r="AXJ12" i="30"/>
  <c r="AXK12" i="30"/>
  <c r="AXM12" i="30"/>
  <c r="AXV12" i="30"/>
  <c r="AXZ12" i="30"/>
  <c r="AYD12" i="30"/>
  <c r="AYH12" i="30"/>
  <c r="AYL12" i="30"/>
  <c r="AYP12" i="30"/>
  <c r="AYS12" i="30"/>
  <c r="AYX12" i="30"/>
  <c r="AZF12" i="30"/>
  <c r="AZJ12" i="30"/>
  <c r="AZN12" i="30"/>
  <c r="AZR12" i="30"/>
  <c r="AZV12" i="30"/>
  <c r="AZY12" i="30"/>
  <c r="BAD12" i="30"/>
  <c r="BAH12" i="30"/>
  <c r="BAL12" i="30"/>
  <c r="BAP12" i="30"/>
  <c r="BAT12" i="30"/>
  <c r="BAX12" i="30"/>
  <c r="BBB12" i="30"/>
  <c r="BBE12" i="30"/>
  <c r="BBJ12" i="30"/>
  <c r="BBN12" i="30"/>
  <c r="BBR12" i="30"/>
  <c r="BBV12" i="30"/>
  <c r="BBZ12" i="30"/>
  <c r="BCD12" i="30"/>
  <c r="BCH12" i="30"/>
  <c r="BCK12" i="30"/>
  <c r="BCT12" i="30"/>
  <c r="BCX12" i="30"/>
  <c r="BDB12" i="30"/>
  <c r="BDF12" i="30"/>
  <c r="BDJ12" i="30"/>
  <c r="BDN12" i="30"/>
  <c r="BDQ12" i="30"/>
  <c r="BDV12" i="30"/>
  <c r="BED12" i="30"/>
  <c r="BEH12" i="30"/>
  <c r="BEL12" i="30"/>
  <c r="BEP12" i="30"/>
  <c r="BET12" i="30"/>
  <c r="BEW12" i="30"/>
  <c r="BFB12" i="30"/>
  <c r="BFF12" i="30"/>
  <c r="BFJ12" i="30"/>
  <c r="BFN12" i="30"/>
  <c r="BFR12" i="30"/>
  <c r="BFV12" i="30"/>
  <c r="BFZ12" i="30"/>
  <c r="BGB12" i="30"/>
  <c r="BGC12" i="30"/>
  <c r="BGH12" i="30"/>
  <c r="BGL12" i="30"/>
  <c r="BGP12" i="30"/>
  <c r="BGX12" i="30"/>
  <c r="BHB12" i="30"/>
  <c r="BHF12" i="30"/>
  <c r="BHI12" i="30"/>
  <c r="BHR12" i="30"/>
  <c r="BHV12" i="30"/>
  <c r="BHZ12" i="30"/>
  <c r="BID12" i="30"/>
  <c r="BIH12" i="30"/>
  <c r="BIL12" i="30"/>
  <c r="BIO12" i="30"/>
  <c r="BIT12" i="30"/>
  <c r="BJB12" i="30"/>
  <c r="BJF12" i="30"/>
  <c r="BJJ12" i="30"/>
  <c r="BJN12" i="30"/>
  <c r="BJR12" i="30"/>
  <c r="BJU12" i="30"/>
  <c r="BJZ12" i="30"/>
  <c r="BKD12" i="30"/>
  <c r="BKH12" i="30"/>
  <c r="BKL12" i="30"/>
  <c r="BKP12" i="30"/>
  <c r="BKT12" i="30"/>
  <c r="BKX12" i="30"/>
  <c r="BLA12" i="30"/>
  <c r="F13" i="30"/>
  <c r="J13" i="30"/>
  <c r="N13" i="30"/>
  <c r="R13" i="30"/>
  <c r="V13" i="30"/>
  <c r="Z13" i="30"/>
  <c r="AD13" i="30"/>
  <c r="AE13" i="30"/>
  <c r="AG13" i="30"/>
  <c r="AH13" i="30"/>
  <c r="AP13" i="30"/>
  <c r="AT13" i="30"/>
  <c r="AX13" i="30"/>
  <c r="BB13" i="30"/>
  <c r="BF13" i="30"/>
  <c r="BJ13" i="30"/>
  <c r="BM13" i="30"/>
  <c r="BR13" i="30"/>
  <c r="BZ13" i="30"/>
  <c r="CD13" i="30"/>
  <c r="CH13" i="30"/>
  <c r="CL13" i="30"/>
  <c r="CP13" i="30"/>
  <c r="CS13" i="30"/>
  <c r="CX13" i="30"/>
  <c r="DB13" i="30"/>
  <c r="DF13" i="30"/>
  <c r="DJ13" i="30"/>
  <c r="DN13" i="30"/>
  <c r="DR13" i="30"/>
  <c r="DV13" i="30"/>
  <c r="DX13" i="30"/>
  <c r="DY13" i="30"/>
  <c r="ED13" i="30"/>
  <c r="EH13" i="30"/>
  <c r="EL13" i="30"/>
  <c r="EP13" i="30"/>
  <c r="ET13" i="30"/>
  <c r="EX13" i="30"/>
  <c r="FB13" i="30"/>
  <c r="FC13" i="30"/>
  <c r="FE13" i="30"/>
  <c r="FN13" i="30"/>
  <c r="FR13" i="30"/>
  <c r="FV13" i="30"/>
  <c r="FZ13" i="30"/>
  <c r="GD13" i="30"/>
  <c r="GH13" i="30"/>
  <c r="GK13" i="30"/>
  <c r="GT13" i="30"/>
  <c r="GX13" i="30"/>
  <c r="HB13" i="30"/>
  <c r="HF13" i="30"/>
  <c r="HJ13" i="30"/>
  <c r="HN13" i="30"/>
  <c r="HQ13" i="30"/>
  <c r="HV13" i="30"/>
  <c r="HZ13" i="30"/>
  <c r="ID13" i="30"/>
  <c r="IH13" i="30"/>
  <c r="IL13" i="30"/>
  <c r="IP13" i="30"/>
  <c r="IT13" i="30"/>
  <c r="IW13" i="30"/>
  <c r="JB13" i="30"/>
  <c r="JF13" i="30"/>
  <c r="JJ13" i="30"/>
  <c r="JN13" i="30"/>
  <c r="JR13" i="30"/>
  <c r="JV13" i="30"/>
  <c r="JZ13" i="30"/>
  <c r="KC13" i="30"/>
  <c r="KL13" i="30"/>
  <c r="KP13" i="30"/>
  <c r="KT13" i="30"/>
  <c r="KX13" i="30"/>
  <c r="LB13" i="30"/>
  <c r="LF13" i="30"/>
  <c r="LI13" i="30"/>
  <c r="LR13" i="30"/>
  <c r="LV13" i="30"/>
  <c r="LZ13" i="30"/>
  <c r="MD13" i="30"/>
  <c r="MH13" i="30"/>
  <c r="ML13" i="30"/>
  <c r="MO13" i="30"/>
  <c r="MT13" i="30"/>
  <c r="MX13" i="30"/>
  <c r="NB13" i="30"/>
  <c r="NF13" i="30"/>
  <c r="NJ13" i="30"/>
  <c r="NN13" i="30"/>
  <c r="NR13" i="30"/>
  <c r="NT13" i="30"/>
  <c r="NU13" i="30"/>
  <c r="NZ13" i="30"/>
  <c r="OD13" i="30"/>
  <c r="OH13" i="30"/>
  <c r="OP13" i="30"/>
  <c r="OT13" i="30"/>
  <c r="OX13" i="30"/>
  <c r="PA13" i="30"/>
  <c r="PJ13" i="30"/>
  <c r="PN13" i="30"/>
  <c r="PR13" i="30"/>
  <c r="PV13" i="30"/>
  <c r="PZ13" i="30"/>
  <c r="QD13" i="30"/>
  <c r="QG13" i="30"/>
  <c r="QP13" i="30"/>
  <c r="QT13" i="30"/>
  <c r="QX13" i="30"/>
  <c r="RB13" i="30"/>
  <c r="RF13" i="30"/>
  <c r="RJ13" i="30"/>
  <c r="RM13" i="30"/>
  <c r="RR13" i="30"/>
  <c r="RV13" i="30"/>
  <c r="RZ13" i="30"/>
  <c r="SD13" i="30"/>
  <c r="SH13" i="30"/>
  <c r="SL13" i="30"/>
  <c r="SP13" i="30"/>
  <c r="SS13" i="30"/>
  <c r="SX13" i="30"/>
  <c r="TB13" i="30"/>
  <c r="TF13" i="30"/>
  <c r="TJ13" i="30"/>
  <c r="TN13" i="30"/>
  <c r="TR13" i="30"/>
  <c r="TV13" i="30"/>
  <c r="TW13" i="30"/>
  <c r="TY13" i="30"/>
  <c r="TZ13" i="30"/>
  <c r="UH13" i="30"/>
  <c r="UL13" i="30"/>
  <c r="UP13" i="30"/>
  <c r="UT13" i="30"/>
  <c r="UX13" i="30"/>
  <c r="VB13" i="30"/>
  <c r="VE13" i="30"/>
  <c r="VN13" i="30"/>
  <c r="VR13" i="30"/>
  <c r="VV13" i="30"/>
  <c r="VZ13" i="30"/>
  <c r="WD13" i="30"/>
  <c r="WH13" i="30"/>
  <c r="WK13" i="30"/>
  <c r="WP13" i="30"/>
  <c r="WT13" i="30"/>
  <c r="WX13" i="30"/>
  <c r="XB13" i="30"/>
  <c r="XF13" i="30"/>
  <c r="XJ13" i="30"/>
  <c r="XN13" i="30"/>
  <c r="XP13" i="30"/>
  <c r="XQ13" i="30"/>
  <c r="XV13" i="30"/>
  <c r="XZ13" i="30"/>
  <c r="YD13" i="30"/>
  <c r="YH13" i="30"/>
  <c r="YL13" i="30"/>
  <c r="YP13" i="30"/>
  <c r="YT13" i="30"/>
  <c r="YU13" i="30"/>
  <c r="YW13" i="30"/>
  <c r="ZF13" i="30"/>
  <c r="ZJ13" i="30"/>
  <c r="ZN13" i="30"/>
  <c r="ZR13" i="30"/>
  <c r="ZV13" i="30"/>
  <c r="ZZ13" i="30"/>
  <c r="AAL13" i="30"/>
  <c r="AAP13" i="30"/>
  <c r="AAT13" i="30"/>
  <c r="AAX13" i="30"/>
  <c r="ABB13" i="30"/>
  <c r="ABF13" i="30"/>
  <c r="ABI13" i="30"/>
  <c r="ABN13" i="30"/>
  <c r="ABR13" i="30"/>
  <c r="ABV13" i="30"/>
  <c r="ABZ13" i="30"/>
  <c r="ACD13" i="30"/>
  <c r="ACH13" i="30"/>
  <c r="ACL13" i="30"/>
  <c r="ACO13" i="30"/>
  <c r="ACT13" i="30"/>
  <c r="ACX13" i="30"/>
  <c r="ADB13" i="30"/>
  <c r="ADF13" i="30"/>
  <c r="ADJ13" i="30"/>
  <c r="ADN13" i="30"/>
  <c r="ADR13" i="30"/>
  <c r="ADU13" i="30"/>
  <c r="AED13" i="30"/>
  <c r="AEH13" i="30"/>
  <c r="AEL13" i="30"/>
  <c r="AEP13" i="30"/>
  <c r="AET13" i="30"/>
  <c r="AEX13" i="30"/>
  <c r="AFA13" i="30"/>
  <c r="AFJ13" i="30"/>
  <c r="AFN13" i="30"/>
  <c r="AFR13" i="30"/>
  <c r="AFV13" i="30"/>
  <c r="AFZ13" i="30"/>
  <c r="AGD13" i="30"/>
  <c r="AGG13" i="30"/>
  <c r="AGL13" i="30"/>
  <c r="AGP13" i="30"/>
  <c r="AGT13" i="30"/>
  <c r="AGX13" i="30"/>
  <c r="AHB13" i="30"/>
  <c r="AHF13" i="30"/>
  <c r="AHJ13" i="30"/>
  <c r="AHM13" i="30"/>
  <c r="AHR13" i="30"/>
  <c r="AHV13" i="30"/>
  <c r="AHZ13" i="30"/>
  <c r="AID13" i="30"/>
  <c r="AIH13" i="30"/>
  <c r="AIL13" i="30"/>
  <c r="AIP13" i="30"/>
  <c r="AIQ13" i="30"/>
  <c r="AIR13" i="30"/>
  <c r="AIS13" i="30"/>
  <c r="AIX13" i="30"/>
  <c r="AJB13" i="30"/>
  <c r="AJF13" i="30"/>
  <c r="AJJ13" i="30"/>
  <c r="AJN13" i="30"/>
  <c r="AJR13" i="30"/>
  <c r="AJV13" i="30"/>
  <c r="AJW13" i="30"/>
  <c r="AJY13" i="30"/>
  <c r="AKD13" i="30"/>
  <c r="AKH13" i="30"/>
  <c r="AKL13" i="30"/>
  <c r="AKP13" i="30"/>
  <c r="AKT13" i="30"/>
  <c r="ALB13" i="30"/>
  <c r="ALE13" i="30"/>
  <c r="ALJ13" i="30"/>
  <c r="ALN13" i="30"/>
  <c r="ALR13" i="30"/>
  <c r="ALV13" i="30"/>
  <c r="ALZ13" i="30"/>
  <c r="AMD13" i="30"/>
  <c r="AMH13" i="30"/>
  <c r="AMJ13" i="30"/>
  <c r="AMK13" i="30"/>
  <c r="AMP13" i="30"/>
  <c r="AMT13" i="30"/>
  <c r="AMX13" i="30"/>
  <c r="ANB13" i="30"/>
  <c r="ANF13" i="30"/>
  <c r="ANJ13" i="30"/>
  <c r="ANQ13" i="30"/>
  <c r="ANV13" i="30"/>
  <c r="ANZ13" i="30"/>
  <c r="AOD13" i="30"/>
  <c r="AOH13" i="30"/>
  <c r="AOL13" i="30"/>
  <c r="AOP13" i="30"/>
  <c r="AOT13" i="30"/>
  <c r="AOW13" i="30"/>
  <c r="APB13" i="30"/>
  <c r="APF13" i="30"/>
  <c r="APJ13" i="30"/>
  <c r="APN13" i="30"/>
  <c r="APR13" i="30"/>
  <c r="APV13" i="30"/>
  <c r="APZ13" i="30"/>
  <c r="AQA13" i="30"/>
  <c r="AQC13" i="30"/>
  <c r="AQL13" i="30"/>
  <c r="AQP13" i="30"/>
  <c r="AQT13" i="30"/>
  <c r="AQX13" i="30"/>
  <c r="ARB13" i="30"/>
  <c r="ARF13" i="30"/>
  <c r="ARI13" i="30"/>
  <c r="ARN13" i="30"/>
  <c r="ARR13" i="30"/>
  <c r="ARV13" i="30"/>
  <c r="ARZ13" i="30"/>
  <c r="ASD13" i="30"/>
  <c r="ASH13" i="30"/>
  <c r="ASL13" i="30"/>
  <c r="ASM13" i="30"/>
  <c r="ASO13" i="30"/>
  <c r="AST13" i="30"/>
  <c r="ASX13" i="30"/>
  <c r="ATB13" i="30"/>
  <c r="ATJ13" i="30"/>
  <c r="ATN13" i="30"/>
  <c r="ATR13" i="30"/>
  <c r="ATT13" i="30"/>
  <c r="ATU13" i="30"/>
  <c r="ATZ13" i="30"/>
  <c r="AUD13" i="30"/>
  <c r="AUH13" i="30"/>
  <c r="AUL13" i="30"/>
  <c r="AUP13" i="30"/>
  <c r="AUX13" i="30"/>
  <c r="AVA13" i="30"/>
  <c r="AVF13" i="30"/>
  <c r="AVJ13" i="30"/>
  <c r="AVN13" i="30"/>
  <c r="AVR13" i="30"/>
  <c r="AVV13" i="30"/>
  <c r="AVZ13" i="30"/>
  <c r="AWD13" i="30"/>
  <c r="AWF13" i="30"/>
  <c r="AWG13" i="30"/>
  <c r="AWL13" i="30"/>
  <c r="AWP13" i="30"/>
  <c r="AWT13" i="30"/>
  <c r="AWX13" i="30"/>
  <c r="AXB13" i="30"/>
  <c r="AXF13" i="30"/>
  <c r="AXM13" i="30"/>
  <c r="AXR13" i="30"/>
  <c r="AXV13" i="30"/>
  <c r="AXZ13" i="30"/>
  <c r="AYD13" i="30"/>
  <c r="AYH13" i="30"/>
  <c r="AYL13" i="30"/>
  <c r="AYP13" i="30"/>
  <c r="AYS13" i="30"/>
  <c r="AYX13" i="30"/>
  <c r="AZB13" i="30"/>
  <c r="AZF13" i="30"/>
  <c r="AZJ13" i="30"/>
  <c r="AZN13" i="30"/>
  <c r="AZR13" i="30"/>
  <c r="AZV13" i="30"/>
  <c r="AZW13" i="30"/>
  <c r="AZY13" i="30"/>
  <c r="BAH13" i="30"/>
  <c r="BAL13" i="30"/>
  <c r="BAP13" i="30"/>
  <c r="BAT13" i="30"/>
  <c r="BAX13" i="30"/>
  <c r="BBB13" i="30"/>
  <c r="BBE13" i="30"/>
  <c r="BBJ13" i="30"/>
  <c r="BBN13" i="30"/>
  <c r="BBR13" i="30"/>
  <c r="BBV13" i="30"/>
  <c r="BBZ13" i="30"/>
  <c r="BCD13" i="30"/>
  <c r="BCH13" i="30"/>
  <c r="BCI13" i="30"/>
  <c r="BCK13" i="30"/>
  <c r="BCP13" i="30"/>
  <c r="BCT13" i="30"/>
  <c r="BCX13" i="30"/>
  <c r="BDF13" i="30"/>
  <c r="BDJ13" i="30"/>
  <c r="BDN13" i="30"/>
  <c r="BDP13" i="30"/>
  <c r="BDQ13" i="30"/>
  <c r="BDV13" i="30"/>
  <c r="BDZ13" i="30"/>
  <c r="BED13" i="30"/>
  <c r="BEH13" i="30"/>
  <c r="BEL13" i="30"/>
  <c r="BET13" i="30"/>
  <c r="BEW13" i="30"/>
  <c r="BFB13" i="30"/>
  <c r="BFF13" i="30"/>
  <c r="BFJ13" i="30"/>
  <c r="BFN13" i="30"/>
  <c r="BFR13" i="30"/>
  <c r="BFV13" i="30"/>
  <c r="BFZ13" i="30"/>
  <c r="BGB13" i="30"/>
  <c r="BGC13" i="30"/>
  <c r="BGH13" i="30"/>
  <c r="BGL13" i="30"/>
  <c r="BGP13" i="30"/>
  <c r="BGT13" i="30"/>
  <c r="BGX13" i="30"/>
  <c r="BHB13" i="30"/>
  <c r="BHI13" i="30"/>
  <c r="BHN13" i="30"/>
  <c r="BHR13" i="30"/>
  <c r="BHV13" i="30"/>
  <c r="BHZ13" i="30"/>
  <c r="BID13" i="30"/>
  <c r="BIH13" i="30"/>
  <c r="BIL13" i="30"/>
  <c r="BIO13" i="30"/>
  <c r="BIT13" i="30"/>
  <c r="BIX13" i="30"/>
  <c r="BJB13" i="30"/>
  <c r="BJF13" i="30"/>
  <c r="BJJ13" i="30"/>
  <c r="BJN13" i="30"/>
  <c r="BJR13" i="30"/>
  <c r="BJS13" i="30"/>
  <c r="BJU13" i="30"/>
  <c r="BKD13" i="30"/>
  <c r="BKH13" i="30"/>
  <c r="BKL13" i="30"/>
  <c r="BKP13" i="30"/>
  <c r="BKT13" i="30"/>
  <c r="BKX13" i="30"/>
  <c r="BLA13" i="30"/>
  <c r="F14" i="30"/>
  <c r="N14" i="30"/>
  <c r="R14" i="30"/>
  <c r="V14" i="30"/>
  <c r="Z14" i="30"/>
  <c r="AD14" i="30"/>
  <c r="AG14" i="30"/>
  <c r="AL14" i="30"/>
  <c r="AP14" i="30"/>
  <c r="AT14" i="30"/>
  <c r="BB14" i="30"/>
  <c r="BF14" i="30"/>
  <c r="BJ14" i="30"/>
  <c r="BM14" i="30"/>
  <c r="BR14" i="30"/>
  <c r="BV14" i="30"/>
  <c r="BZ14" i="30"/>
  <c r="CD14" i="30"/>
  <c r="CH14" i="30"/>
  <c r="CP14" i="30"/>
  <c r="CS14" i="30"/>
  <c r="CX14" i="30"/>
  <c r="DB14" i="30"/>
  <c r="DF14" i="30"/>
  <c r="DJ14" i="30"/>
  <c r="DN14" i="30"/>
  <c r="DR14" i="30"/>
  <c r="DV14" i="30"/>
  <c r="DX14" i="30"/>
  <c r="DY14" i="30"/>
  <c r="ED14" i="30"/>
  <c r="EH14" i="30"/>
  <c r="EL14" i="30"/>
  <c r="EP14" i="30"/>
  <c r="ET14" i="30"/>
  <c r="EX14" i="30"/>
  <c r="FE14" i="30"/>
  <c r="FJ14" i="30"/>
  <c r="FN14" i="30"/>
  <c r="FR14" i="30"/>
  <c r="FV14" i="30"/>
  <c r="FZ14" i="30"/>
  <c r="GD14" i="30"/>
  <c r="GH14" i="30"/>
  <c r="GK14" i="30"/>
  <c r="GP14" i="30"/>
  <c r="GT14" i="30"/>
  <c r="GX14" i="30"/>
  <c r="HB14" i="30"/>
  <c r="HF14" i="30"/>
  <c r="HJ14" i="30"/>
  <c r="HN14" i="30"/>
  <c r="HO14" i="30"/>
  <c r="HQ14" i="30"/>
  <c r="HZ14" i="30"/>
  <c r="ID14" i="30"/>
  <c r="IH14" i="30"/>
  <c r="IL14" i="30"/>
  <c r="IP14" i="30"/>
  <c r="IT14" i="30"/>
  <c r="IW14" i="30"/>
  <c r="JB14" i="30"/>
  <c r="JF14" i="30"/>
  <c r="JJ14" i="30"/>
  <c r="JN14" i="30"/>
  <c r="JR14" i="30"/>
  <c r="JV14" i="30"/>
  <c r="JZ14" i="30"/>
  <c r="KC14" i="30"/>
  <c r="KH14" i="30"/>
  <c r="KL14" i="30"/>
  <c r="KP14" i="30"/>
  <c r="KX14" i="30"/>
  <c r="LB14" i="30"/>
  <c r="LF14" i="30"/>
  <c r="LI14" i="30"/>
  <c r="LN14" i="30"/>
  <c r="LR14" i="30"/>
  <c r="LV14" i="30"/>
  <c r="LZ14" i="30"/>
  <c r="MD14" i="30"/>
  <c r="ML14" i="30"/>
  <c r="MO14" i="30"/>
  <c r="MT14" i="30"/>
  <c r="MX14" i="30"/>
  <c r="NB14" i="30"/>
  <c r="NF14" i="30"/>
  <c r="NJ14" i="30"/>
  <c r="NN14" i="30"/>
  <c r="NR14" i="30"/>
  <c r="NT14" i="30"/>
  <c r="NU14" i="30"/>
  <c r="NZ14" i="30"/>
  <c r="OD14" i="30"/>
  <c r="OH14" i="30"/>
  <c r="OL14" i="30"/>
  <c r="OP14" i="30"/>
  <c r="OT14" i="30"/>
  <c r="PA14" i="30"/>
  <c r="PF14" i="30"/>
  <c r="PJ14" i="30"/>
  <c r="PN14" i="30"/>
  <c r="PR14" i="30"/>
  <c r="PV14" i="30"/>
  <c r="PZ14" i="30"/>
  <c r="QD14" i="30"/>
  <c r="QG14" i="30"/>
  <c r="QL14" i="30"/>
  <c r="QT14" i="30"/>
  <c r="QX14" i="30"/>
  <c r="RB14" i="30"/>
  <c r="RF14" i="30"/>
  <c r="RJ14" i="30"/>
  <c r="RM14" i="30"/>
  <c r="RR14" i="30"/>
  <c r="RV14" i="30"/>
  <c r="RZ14" i="30"/>
  <c r="SD14" i="30"/>
  <c r="SH14" i="30"/>
  <c r="SL14" i="30"/>
  <c r="SP14" i="30"/>
  <c r="SR14" i="30"/>
  <c r="SS14" i="30"/>
  <c r="SX14" i="30"/>
  <c r="TB14" i="30"/>
  <c r="TF14" i="30"/>
  <c r="TJ14" i="30"/>
  <c r="TN14" i="30"/>
  <c r="TR14" i="30"/>
  <c r="TV14" i="30"/>
  <c r="TW14" i="30"/>
  <c r="TY14" i="30"/>
  <c r="UH14" i="30"/>
  <c r="UL14" i="30"/>
  <c r="UP14" i="30"/>
  <c r="UT14" i="30"/>
  <c r="UX14" i="30"/>
  <c r="VB14" i="30"/>
  <c r="VE14" i="30"/>
  <c r="VJ14" i="30"/>
  <c r="VR14" i="30"/>
  <c r="VV14" i="30"/>
  <c r="VZ14" i="30"/>
  <c r="WD14" i="30"/>
  <c r="WH14" i="30"/>
  <c r="WK14" i="30"/>
  <c r="WP14" i="30"/>
  <c r="WT14" i="30"/>
  <c r="WX14" i="30"/>
  <c r="XB14" i="30"/>
  <c r="XF14" i="30"/>
  <c r="XJ14" i="30"/>
  <c r="XN14" i="30"/>
  <c r="XQ14" i="30"/>
  <c r="XV14" i="30"/>
  <c r="XZ14" i="30"/>
  <c r="YD14" i="30"/>
  <c r="YH14" i="30"/>
  <c r="YL14" i="30"/>
  <c r="YP14" i="30"/>
  <c r="YT14" i="30"/>
  <c r="YW14" i="30"/>
  <c r="ZF14" i="30"/>
  <c r="ZJ14" i="30"/>
  <c r="ZN14" i="30"/>
  <c r="ZR14" i="30"/>
  <c r="ZV14" i="30"/>
  <c r="ZZ14" i="30"/>
  <c r="AAH14" i="30"/>
  <c r="AAP14" i="30"/>
  <c r="AAT14" i="30"/>
  <c r="AAX14" i="30"/>
  <c r="ABB14" i="30"/>
  <c r="ABF14" i="30"/>
  <c r="ABI14" i="30"/>
  <c r="ABN14" i="30"/>
  <c r="ABR14" i="30"/>
  <c r="ABV14" i="30"/>
  <c r="ABZ14" i="30"/>
  <c r="ACD14" i="30"/>
  <c r="ACH14" i="30"/>
  <c r="ACL14" i="30"/>
  <c r="ACO14" i="30"/>
  <c r="ACT14" i="30"/>
  <c r="ACX14" i="30"/>
  <c r="ADB14" i="30"/>
  <c r="ADJ14" i="30"/>
  <c r="ADN14" i="30"/>
  <c r="ADR14" i="30"/>
  <c r="ADU14" i="30"/>
  <c r="AED14" i="30"/>
  <c r="AEH14" i="30"/>
  <c r="AEL14" i="30"/>
  <c r="AEP14" i="30"/>
  <c r="AET14" i="30"/>
  <c r="AEX14" i="30"/>
  <c r="AFA14" i="30"/>
  <c r="AFF14" i="30"/>
  <c r="AFN14" i="30"/>
  <c r="AFR14" i="30"/>
  <c r="AFV14" i="30"/>
  <c r="AFZ14" i="30"/>
  <c r="AGD14" i="30"/>
  <c r="AGG14" i="30"/>
  <c r="AGL14" i="30"/>
  <c r="AGP14" i="30"/>
  <c r="AGT14" i="30"/>
  <c r="AGX14" i="30"/>
  <c r="AHB14" i="30"/>
  <c r="AHF14" i="30"/>
  <c r="AHJ14" i="30"/>
  <c r="AHL14" i="30"/>
  <c r="AHM14" i="30"/>
  <c r="AHR14" i="30"/>
  <c r="AHV14" i="30"/>
  <c r="AHZ14" i="30"/>
  <c r="AID14" i="30"/>
  <c r="AIH14" i="30"/>
  <c r="AIL14" i="30"/>
  <c r="AIP14" i="30"/>
  <c r="AIQ14" i="30"/>
  <c r="AIS14" i="30"/>
  <c r="AIT14" i="30"/>
  <c r="AJB14" i="30"/>
  <c r="AJF14" i="30"/>
  <c r="AJJ14" i="30"/>
  <c r="AJN14" i="30"/>
  <c r="AJR14" i="30"/>
  <c r="AJV14" i="30"/>
  <c r="AJY14" i="30"/>
  <c r="AKD14" i="30"/>
  <c r="AKL14" i="30"/>
  <c r="AKP14" i="30"/>
  <c r="AKT14" i="30"/>
  <c r="AKX14" i="30"/>
  <c r="ALB14" i="30"/>
  <c r="ALE14" i="30"/>
  <c r="ALJ14" i="30"/>
  <c r="ALN14" i="30"/>
  <c r="ALR14" i="30"/>
  <c r="ALV14" i="30"/>
  <c r="ALZ14" i="30"/>
  <c r="AMD14" i="30"/>
  <c r="AMH14" i="30"/>
  <c r="AMJ14" i="30"/>
  <c r="AMK14" i="30"/>
  <c r="AMP14" i="30"/>
  <c r="AMT14" i="30"/>
  <c r="AMX14" i="30"/>
  <c r="ANB14" i="30"/>
  <c r="ANF14" i="30"/>
  <c r="ANJ14" i="30"/>
  <c r="ANN14" i="30"/>
  <c r="ANO14" i="30"/>
  <c r="ANQ14" i="30"/>
  <c r="ANZ14" i="30"/>
  <c r="AOD14" i="30"/>
  <c r="AOH14" i="30"/>
  <c r="AOL14" i="30"/>
  <c r="AOP14" i="30"/>
  <c r="AOT14" i="30"/>
  <c r="AOW14" i="30"/>
  <c r="APB14" i="30"/>
  <c r="APJ14" i="30"/>
  <c r="APN14" i="30"/>
  <c r="APR14" i="30"/>
  <c r="APV14" i="30"/>
  <c r="APZ14" i="30"/>
  <c r="AQC14" i="30"/>
  <c r="AQH14" i="30"/>
  <c r="AQL14" i="30"/>
  <c r="AQP14" i="30"/>
  <c r="AQT14" i="30"/>
  <c r="AQX14" i="30"/>
  <c r="ARB14" i="30"/>
  <c r="ARF14" i="30"/>
  <c r="ARI14" i="30"/>
  <c r="ARN14" i="30"/>
  <c r="ARR14" i="30"/>
  <c r="ARV14" i="30"/>
  <c r="ARZ14" i="30"/>
  <c r="ASD14" i="30"/>
  <c r="ASH14" i="30"/>
  <c r="ASL14" i="30"/>
  <c r="ASO14" i="30"/>
  <c r="ASX14" i="30"/>
  <c r="ATB14" i="30"/>
  <c r="ATF14" i="30"/>
  <c r="ATJ14" i="30"/>
  <c r="ATN14" i="30"/>
  <c r="ATR14" i="30"/>
  <c r="ATU14" i="30"/>
  <c r="ATZ14" i="30"/>
  <c r="AUH14" i="30"/>
  <c r="AUL14" i="30"/>
  <c r="AUP14" i="30"/>
  <c r="AUT14" i="30"/>
  <c r="AUX14" i="30"/>
  <c r="AVA14" i="30"/>
  <c r="AVF14" i="30"/>
  <c r="AVJ14" i="30"/>
  <c r="AVN14" i="30"/>
  <c r="AVR14" i="30"/>
  <c r="AVV14" i="30"/>
  <c r="AVZ14" i="30"/>
  <c r="AWD14" i="30"/>
  <c r="AWG14" i="30"/>
  <c r="AWL14" i="30"/>
  <c r="AWP14" i="30"/>
  <c r="AWT14" i="30"/>
  <c r="AXB14" i="30"/>
  <c r="AXF14" i="30"/>
  <c r="AXJ14" i="30"/>
  <c r="AXM14" i="30"/>
  <c r="AXV14" i="30"/>
  <c r="AXZ14" i="30"/>
  <c r="AYD14" i="30"/>
  <c r="AYH14" i="30"/>
  <c r="AYL14" i="30"/>
  <c r="AYP14" i="30"/>
  <c r="AYS14" i="30"/>
  <c r="AYX14" i="30"/>
  <c r="AZF14" i="30"/>
  <c r="AZJ14" i="30"/>
  <c r="AZN14" i="30"/>
  <c r="AZR14" i="30"/>
  <c r="AZV14" i="30"/>
  <c r="AZY14" i="30"/>
  <c r="BAD14" i="30"/>
  <c r="BAH14" i="30"/>
  <c r="BAL14" i="30"/>
  <c r="BAP14" i="30"/>
  <c r="BAT14" i="30"/>
  <c r="BAX14" i="30"/>
  <c r="BBB14" i="30"/>
  <c r="BBD14" i="30"/>
  <c r="BBE14" i="30"/>
  <c r="BBJ14" i="30"/>
  <c r="BBN14" i="30"/>
  <c r="BBR14" i="30"/>
  <c r="BBV14" i="30"/>
  <c r="BBZ14" i="30"/>
  <c r="BCD14" i="30"/>
  <c r="BCH14" i="30"/>
  <c r="BCI14" i="30"/>
  <c r="BCK14" i="30"/>
  <c r="BCL14" i="30"/>
  <c r="BCT14" i="30"/>
  <c r="BCX14" i="30"/>
  <c r="BDB14" i="30"/>
  <c r="BDF14" i="30"/>
  <c r="BDJ14" i="30"/>
  <c r="BDN14" i="30"/>
  <c r="BDQ14" i="30"/>
  <c r="BDV14" i="30"/>
  <c r="BED14" i="30"/>
  <c r="BEH14" i="30"/>
  <c r="BEL14" i="30"/>
  <c r="BEP14" i="30"/>
  <c r="BET14" i="30"/>
  <c r="BEW14" i="30"/>
  <c r="BFB14" i="30"/>
  <c r="BFF14" i="30"/>
  <c r="BFJ14" i="30"/>
  <c r="BFN14" i="30"/>
  <c r="BFR14" i="30"/>
  <c r="BFV14" i="30"/>
  <c r="BFZ14" i="30"/>
  <c r="BGB14" i="30"/>
  <c r="BGC14" i="30"/>
  <c r="BGH14" i="30"/>
  <c r="BGL14" i="30"/>
  <c r="BGP14" i="30"/>
  <c r="BGT14" i="30"/>
  <c r="BGX14" i="30"/>
  <c r="BHB14" i="30"/>
  <c r="BHF14" i="30"/>
  <c r="BHG14" i="30"/>
  <c r="BHI14" i="30"/>
  <c r="BHR14" i="30"/>
  <c r="BHV14" i="30"/>
  <c r="BHZ14" i="30"/>
  <c r="BID14" i="30"/>
  <c r="BIH14" i="30"/>
  <c r="BIL14" i="30"/>
  <c r="BIO14" i="30"/>
  <c r="BIT14" i="30"/>
  <c r="BJB14" i="30"/>
  <c r="BJF14" i="30"/>
  <c r="BJJ14" i="30"/>
  <c r="BJN14" i="30"/>
  <c r="BJR14" i="30"/>
  <c r="BJU14" i="30"/>
  <c r="BJZ14" i="30"/>
  <c r="BKD14" i="30"/>
  <c r="BKH14" i="30"/>
  <c r="BKL14" i="30"/>
  <c r="BKP14" i="30"/>
  <c r="BKT14" i="30"/>
  <c r="BKX14" i="30"/>
  <c r="BLA14" i="30"/>
  <c r="F15" i="30"/>
  <c r="J15" i="30"/>
  <c r="N15" i="30"/>
  <c r="R15" i="30"/>
  <c r="V15" i="30"/>
  <c r="Z15" i="30"/>
  <c r="AD15" i="30"/>
  <c r="AG15" i="30"/>
  <c r="AP15" i="30"/>
  <c r="AT15" i="30"/>
  <c r="AX15" i="30"/>
  <c r="BB15" i="30"/>
  <c r="BF15" i="30"/>
  <c r="BJ15" i="30"/>
  <c r="BM15" i="30"/>
  <c r="BR15" i="30"/>
  <c r="BZ15" i="30"/>
  <c r="CD15" i="30"/>
  <c r="CH15" i="30"/>
  <c r="CL15" i="30"/>
  <c r="CP15" i="30"/>
  <c r="CS15" i="30"/>
  <c r="CX15" i="30"/>
  <c r="DB15" i="30"/>
  <c r="DF15" i="30"/>
  <c r="DJ15" i="30"/>
  <c r="DN15" i="30"/>
  <c r="DR15" i="30"/>
  <c r="DV15" i="30"/>
  <c r="DY15" i="30"/>
  <c r="ED15" i="30"/>
  <c r="EH15" i="30"/>
  <c r="EL15" i="30"/>
  <c r="ET15" i="30"/>
  <c r="EX15" i="30"/>
  <c r="FB15" i="30"/>
  <c r="FE15" i="30"/>
  <c r="FN15" i="30"/>
  <c r="FR15" i="30"/>
  <c r="FV15" i="30"/>
  <c r="FZ15" i="30"/>
  <c r="GD15" i="30"/>
  <c r="GH15" i="30"/>
  <c r="GK15" i="30"/>
  <c r="GP15" i="30"/>
  <c r="GX15" i="30"/>
  <c r="HB15" i="30"/>
  <c r="HF15" i="30"/>
  <c r="HJ15" i="30"/>
  <c r="HN15" i="30"/>
  <c r="HQ15" i="30"/>
  <c r="HV15" i="30"/>
  <c r="HZ15" i="30"/>
  <c r="ID15" i="30"/>
  <c r="IH15" i="30"/>
  <c r="IL15" i="30"/>
  <c r="IP15" i="30"/>
  <c r="IT15" i="30"/>
  <c r="IV15" i="30"/>
  <c r="IW15" i="30"/>
  <c r="JB15" i="30"/>
  <c r="JF15" i="30"/>
  <c r="JJ15" i="30"/>
  <c r="JN15" i="30"/>
  <c r="JR15" i="30"/>
  <c r="JV15" i="30"/>
  <c r="JZ15" i="30"/>
  <c r="KA15" i="30"/>
  <c r="KC15" i="30"/>
  <c r="KD15" i="30"/>
  <c r="KL15" i="30"/>
  <c r="KP15" i="30"/>
  <c r="KT15" i="30"/>
  <c r="KX15" i="30"/>
  <c r="LB15" i="30"/>
  <c r="LF15" i="30"/>
  <c r="LI15" i="30"/>
  <c r="LN15" i="30"/>
  <c r="LV15" i="30"/>
  <c r="LZ15" i="30"/>
  <c r="MD15" i="30"/>
  <c r="MH15" i="30"/>
  <c r="ML15" i="30"/>
  <c r="MO15" i="30"/>
  <c r="MT15" i="30"/>
  <c r="MX15" i="30"/>
  <c r="NB15" i="30"/>
  <c r="NF15" i="30"/>
  <c r="NJ15" i="30"/>
  <c r="NN15" i="30"/>
  <c r="NR15" i="30"/>
  <c r="NT15" i="30"/>
  <c r="NU15" i="30"/>
  <c r="NZ15" i="30"/>
  <c r="OD15" i="30"/>
  <c r="OH15" i="30"/>
  <c r="OL15" i="30"/>
  <c r="OP15" i="30"/>
  <c r="OT15" i="30"/>
  <c r="OX15" i="30"/>
  <c r="OY15" i="30"/>
  <c r="PA15" i="30"/>
  <c r="PJ15" i="30"/>
  <c r="PN15" i="30"/>
  <c r="PR15" i="30"/>
  <c r="PV15" i="30"/>
  <c r="PZ15" i="30"/>
  <c r="QD15" i="30"/>
  <c r="QG15" i="30"/>
  <c r="QL15" i="30"/>
  <c r="QT15" i="30"/>
  <c r="QX15" i="30"/>
  <c r="RB15" i="30"/>
  <c r="RF15" i="30"/>
  <c r="RJ15" i="30"/>
  <c r="RM15" i="30"/>
  <c r="RR15" i="30"/>
  <c r="RV15" i="30"/>
  <c r="RZ15" i="30"/>
  <c r="SD15" i="30"/>
  <c r="SH15" i="30"/>
  <c r="SL15" i="30"/>
  <c r="SP15" i="30"/>
  <c r="SS15" i="30"/>
  <c r="SX15" i="30"/>
  <c r="TB15" i="30"/>
  <c r="TF15" i="30"/>
  <c r="TJ15" i="30"/>
  <c r="TN15" i="30"/>
  <c r="TR15" i="30"/>
  <c r="TV15" i="30"/>
  <c r="TY15" i="30"/>
  <c r="UH15" i="30"/>
  <c r="UL15" i="30"/>
  <c r="UP15" i="30"/>
  <c r="UT15" i="30"/>
  <c r="UX15" i="30"/>
  <c r="VB15" i="30"/>
  <c r="VE15" i="30"/>
  <c r="VJ15" i="30"/>
  <c r="VR15" i="30"/>
  <c r="VV15" i="30"/>
  <c r="VZ15" i="30"/>
  <c r="WD15" i="30"/>
  <c r="WH15" i="30"/>
  <c r="WK15" i="30"/>
  <c r="WP15" i="30"/>
  <c r="WT15" i="30"/>
  <c r="WX15" i="30"/>
  <c r="XB15" i="30"/>
  <c r="XF15" i="30"/>
  <c r="XJ15" i="30"/>
  <c r="XN15" i="30"/>
  <c r="XQ15" i="30"/>
  <c r="XV15" i="30"/>
  <c r="XZ15" i="30"/>
  <c r="YD15" i="30"/>
  <c r="YL15" i="30"/>
  <c r="YP15" i="30"/>
  <c r="YT15" i="30"/>
  <c r="YW15" i="30"/>
  <c r="ZF15" i="30"/>
  <c r="ZJ15" i="30"/>
  <c r="ZN15" i="30"/>
  <c r="ZR15" i="30"/>
  <c r="ZV15" i="30"/>
  <c r="ZZ15" i="30"/>
  <c r="AAH15" i="30"/>
  <c r="AAP15" i="30"/>
  <c r="AAT15" i="30"/>
  <c r="AAX15" i="30"/>
  <c r="ABB15" i="30"/>
  <c r="ABF15" i="30"/>
  <c r="ABI15" i="30"/>
  <c r="ABN15" i="30"/>
  <c r="ABR15" i="30"/>
  <c r="ABV15" i="30"/>
  <c r="ABZ15" i="30"/>
  <c r="ACD15" i="30"/>
  <c r="ACH15" i="30"/>
  <c r="ACL15" i="30"/>
  <c r="ACN15" i="30"/>
  <c r="ACO15" i="30"/>
  <c r="ACT15" i="30"/>
  <c r="ACX15" i="30"/>
  <c r="ADB15" i="30"/>
  <c r="ADF15" i="30"/>
  <c r="ADJ15" i="30"/>
  <c r="ADN15" i="30"/>
  <c r="ADR15" i="30"/>
  <c r="ADS15" i="30"/>
  <c r="ADU15" i="30"/>
  <c r="ADV15" i="30"/>
  <c r="AED15" i="30"/>
  <c r="AEH15" i="30"/>
  <c r="AEL15" i="30"/>
  <c r="AEP15" i="30"/>
  <c r="AET15" i="30"/>
  <c r="AEX15" i="30"/>
  <c r="AFA15" i="30"/>
  <c r="AFF15" i="30"/>
  <c r="AFN15" i="30"/>
  <c r="AFR15" i="30"/>
  <c r="AFV15" i="30"/>
  <c r="AFZ15" i="30"/>
  <c r="AGD15" i="30"/>
  <c r="AGG15" i="30"/>
  <c r="AGL15" i="30"/>
  <c r="AGP15" i="30"/>
  <c r="AGT15" i="30"/>
  <c r="AGX15" i="30"/>
  <c r="AHB15" i="30"/>
  <c r="AHF15" i="30"/>
  <c r="AHJ15" i="30"/>
  <c r="AHL15" i="30"/>
  <c r="AHM15" i="30"/>
  <c r="AHR15" i="30"/>
  <c r="AHV15" i="30"/>
  <c r="AHZ15" i="30"/>
  <c r="AID15" i="30"/>
  <c r="AIH15" i="30"/>
  <c r="AIL15" i="30"/>
  <c r="AIP15" i="30"/>
  <c r="AIQ15" i="30"/>
  <c r="AIS15" i="30"/>
  <c r="AJB15" i="30"/>
  <c r="AJF15" i="30"/>
  <c r="AJJ15" i="30"/>
  <c r="AJN15" i="30"/>
  <c r="AJR15" i="30"/>
  <c r="AJV15" i="30"/>
  <c r="AJY15" i="30"/>
  <c r="AKD15" i="30"/>
  <c r="AKH15" i="30"/>
  <c r="AKL15" i="30"/>
  <c r="AKP15" i="30"/>
  <c r="AKT15" i="30"/>
  <c r="AKX15" i="30"/>
  <c r="ALB15" i="30"/>
  <c r="ALC15" i="30"/>
  <c r="ALE15" i="30"/>
  <c r="ALJ15" i="30"/>
  <c r="ALN15" i="30"/>
  <c r="ALR15" i="30"/>
  <c r="ALV15" i="30"/>
  <c r="ALZ15" i="30"/>
  <c r="AMD15" i="30"/>
  <c r="AMH15" i="30"/>
  <c r="AMK15" i="30"/>
  <c r="AMP15" i="30"/>
  <c r="AMT15" i="30"/>
  <c r="AMX15" i="30"/>
  <c r="ANB15" i="30"/>
  <c r="ANF15" i="30"/>
  <c r="ANJ15" i="30"/>
  <c r="ANN15" i="30"/>
  <c r="ANO15" i="30"/>
  <c r="ANQ15" i="30"/>
  <c r="ANV15" i="30"/>
  <c r="ANZ15" i="30"/>
  <c r="AOD15" i="30"/>
  <c r="AOH15" i="30"/>
  <c r="AOL15" i="30"/>
  <c r="AOP15" i="30"/>
  <c r="AOT15" i="30"/>
  <c r="AOW15" i="30"/>
  <c r="APB15" i="30"/>
  <c r="APF15" i="30"/>
  <c r="APJ15" i="30"/>
  <c r="APR15" i="30"/>
  <c r="APV15" i="30"/>
  <c r="APZ15" i="30"/>
  <c r="AQC15" i="30"/>
  <c r="AQH15" i="30"/>
  <c r="AQL15" i="30"/>
  <c r="AQP15" i="30"/>
  <c r="AQT15" i="30"/>
  <c r="AQX15" i="30"/>
  <c r="ARB15" i="30"/>
  <c r="ARF15" i="30"/>
  <c r="ARI15" i="30"/>
  <c r="ARN15" i="30"/>
  <c r="ARR15" i="30"/>
  <c r="ARV15" i="30"/>
  <c r="ASD15" i="30"/>
  <c r="ASH15" i="30"/>
  <c r="ASL15" i="30"/>
  <c r="ASO15" i="30"/>
  <c r="AST15" i="30"/>
  <c r="ASX15" i="30"/>
  <c r="ATB15" i="30"/>
  <c r="ATF15" i="30"/>
  <c r="ATJ15" i="30"/>
  <c r="ATN15" i="30"/>
  <c r="ATR15" i="30"/>
  <c r="ATT15" i="30"/>
  <c r="ATU15" i="30"/>
  <c r="ATZ15" i="30"/>
  <c r="AUD15" i="30"/>
  <c r="AUH15" i="30"/>
  <c r="AUL15" i="30"/>
  <c r="AUP15" i="30"/>
  <c r="AUT15" i="30"/>
  <c r="AUX15" i="30"/>
  <c r="AVA15" i="30"/>
  <c r="AVJ15" i="30"/>
  <c r="AVN15" i="30"/>
  <c r="AVR15" i="30"/>
  <c r="AVV15" i="30"/>
  <c r="AVZ15" i="30"/>
  <c r="AWD15" i="30"/>
  <c r="AWF15" i="30"/>
  <c r="AWG15" i="30"/>
  <c r="AWL15" i="30"/>
  <c r="AWP15" i="30"/>
  <c r="AWT15" i="30"/>
  <c r="AWX15" i="30"/>
  <c r="AXB15" i="30"/>
  <c r="AXF15" i="30"/>
  <c r="AXJ15" i="30"/>
  <c r="AXM15" i="30"/>
  <c r="AXV15" i="30"/>
  <c r="AXZ15" i="30"/>
  <c r="AYD15" i="30"/>
  <c r="AYH15" i="30"/>
  <c r="AYL15" i="30"/>
  <c r="AYP15" i="30"/>
  <c r="AYS15" i="30"/>
  <c r="AYX15" i="30"/>
  <c r="AZB15" i="30"/>
  <c r="AZF15" i="30"/>
  <c r="AZJ15" i="30"/>
  <c r="AZN15" i="30"/>
  <c r="AZV15" i="30"/>
  <c r="AZY15" i="30"/>
  <c r="BAH15" i="30"/>
  <c r="BAL15" i="30"/>
  <c r="BAP15" i="30"/>
  <c r="BAT15" i="30"/>
  <c r="BAX15" i="30"/>
  <c r="BBB15" i="30"/>
  <c r="BBD15" i="30"/>
  <c r="BBE15" i="30"/>
  <c r="BBJ15" i="30"/>
  <c r="BBR15" i="30"/>
  <c r="BBV15" i="30"/>
  <c r="BBZ15" i="30"/>
  <c r="BCD15" i="30"/>
  <c r="BCH15" i="30"/>
  <c r="BCK15" i="30"/>
  <c r="BCT15" i="30"/>
  <c r="BCX15" i="30"/>
  <c r="BDB15" i="30"/>
  <c r="BDF15" i="30"/>
  <c r="BDJ15" i="30"/>
  <c r="BDN15" i="30"/>
  <c r="BDQ15" i="30"/>
  <c r="BDV15" i="30"/>
  <c r="BDZ15" i="30"/>
  <c r="BED15" i="30"/>
  <c r="BEH15" i="30"/>
  <c r="BEL15" i="30"/>
  <c r="BEP15" i="30"/>
  <c r="BET15" i="30"/>
  <c r="BEU15" i="30"/>
  <c r="BEW15" i="30"/>
  <c r="BFB15" i="30"/>
  <c r="BFF15" i="30"/>
  <c r="BFJ15" i="30"/>
  <c r="BFN15" i="30"/>
  <c r="BFR15" i="30"/>
  <c r="BFV15" i="30"/>
  <c r="BFZ15" i="30"/>
  <c r="BGC15" i="30"/>
  <c r="BGH15" i="30"/>
  <c r="BGL15" i="30"/>
  <c r="BGP15" i="30"/>
  <c r="BGT15" i="30"/>
  <c r="BGX15" i="30"/>
  <c r="BHB15" i="30"/>
  <c r="BHF15" i="30"/>
  <c r="BHG15" i="30"/>
  <c r="BHI15" i="30"/>
  <c r="BHN15" i="30"/>
  <c r="BHR15" i="30"/>
  <c r="BHV15" i="30"/>
  <c r="BHZ15" i="30"/>
  <c r="BID15" i="30"/>
  <c r="BIH15" i="30"/>
  <c r="BIL15" i="30"/>
  <c r="BIO15" i="30"/>
  <c r="BIT15" i="30"/>
  <c r="BIX15" i="30"/>
  <c r="BJB15" i="30"/>
  <c r="BJJ15" i="30"/>
  <c r="BJN15" i="30"/>
  <c r="BJR15" i="30"/>
  <c r="BJU15" i="30"/>
  <c r="BJZ15" i="30"/>
  <c r="BKD15" i="30"/>
  <c r="BKH15" i="30"/>
  <c r="BKL15" i="30"/>
  <c r="BKP15" i="30"/>
  <c r="BKT15" i="30"/>
  <c r="BKX15" i="30"/>
  <c r="BLA15" i="30"/>
  <c r="F16" i="30"/>
  <c r="J16" i="30"/>
  <c r="N16" i="30"/>
  <c r="V16" i="30"/>
  <c r="Z16" i="30"/>
  <c r="AD16" i="30"/>
  <c r="AG16" i="30"/>
  <c r="AL16" i="30"/>
  <c r="AP16" i="30"/>
  <c r="AT16" i="30"/>
  <c r="AX16" i="30"/>
  <c r="BB16" i="30"/>
  <c r="BF16" i="30"/>
  <c r="BJ16" i="30"/>
  <c r="BL16" i="30"/>
  <c r="BM16" i="30"/>
  <c r="BR16" i="30"/>
  <c r="BV16" i="30"/>
  <c r="BZ16" i="30"/>
  <c r="CD16" i="30"/>
  <c r="CH16" i="30"/>
  <c r="CL16" i="30"/>
  <c r="CP16" i="30"/>
  <c r="CS16" i="30"/>
  <c r="DB16" i="30"/>
  <c r="DF16" i="30"/>
  <c r="DJ16" i="30"/>
  <c r="DN16" i="30"/>
  <c r="DR16" i="30"/>
  <c r="DV16" i="30"/>
  <c r="DY16" i="30"/>
  <c r="ED16" i="30"/>
  <c r="EH16" i="30"/>
  <c r="EL16" i="30"/>
  <c r="EP16" i="30"/>
  <c r="ET16" i="30"/>
  <c r="EX16" i="30"/>
  <c r="FB16" i="30"/>
  <c r="FE16" i="30"/>
  <c r="FN16" i="30"/>
  <c r="FR16" i="30"/>
  <c r="FV16" i="30"/>
  <c r="FZ16" i="30"/>
  <c r="GD16" i="30"/>
  <c r="GH16" i="30"/>
  <c r="GK16" i="30"/>
  <c r="GP16" i="30"/>
  <c r="GT16" i="30"/>
  <c r="GX16" i="30"/>
  <c r="HB16" i="30"/>
  <c r="HF16" i="30"/>
  <c r="HN16" i="30"/>
  <c r="HQ16" i="30"/>
  <c r="HZ16" i="30"/>
  <c r="ID16" i="30"/>
  <c r="IH16" i="30"/>
  <c r="IL16" i="30"/>
  <c r="IP16" i="30"/>
  <c r="IT16" i="30"/>
  <c r="IV16" i="30"/>
  <c r="IW16" i="30"/>
  <c r="JB16" i="30"/>
  <c r="JJ16" i="30"/>
  <c r="JN16" i="30"/>
  <c r="JR16" i="30"/>
  <c r="JV16" i="30"/>
  <c r="JZ16" i="30"/>
  <c r="KC16" i="30"/>
  <c r="KL16" i="30"/>
  <c r="KP16" i="30"/>
  <c r="KT16" i="30"/>
  <c r="KX16" i="30"/>
  <c r="LB16" i="30"/>
  <c r="LF16" i="30"/>
  <c r="LI16" i="30"/>
  <c r="LN16" i="30"/>
  <c r="LV16" i="30"/>
  <c r="LZ16" i="30"/>
  <c r="MD16" i="30"/>
  <c r="MH16" i="30"/>
  <c r="ML16" i="30"/>
  <c r="MO16" i="30"/>
  <c r="MT16" i="30"/>
  <c r="MX16" i="30"/>
  <c r="NB16" i="30"/>
  <c r="NF16" i="30"/>
  <c r="NJ16" i="30"/>
  <c r="NN16" i="30"/>
  <c r="NR16" i="30"/>
  <c r="NU16" i="30"/>
  <c r="NZ16" i="30"/>
  <c r="OD16" i="30"/>
  <c r="OH16" i="30"/>
  <c r="OL16" i="30"/>
  <c r="OP16" i="30"/>
  <c r="OT16" i="30"/>
  <c r="OX16" i="30"/>
  <c r="OY16" i="30"/>
  <c r="PA16" i="30"/>
  <c r="PF16" i="30"/>
  <c r="PJ16" i="30"/>
  <c r="PN16" i="30"/>
  <c r="PR16" i="30"/>
  <c r="PV16" i="30"/>
  <c r="PZ16" i="30"/>
  <c r="QD16" i="30"/>
  <c r="QG16" i="30"/>
  <c r="QL16" i="30"/>
  <c r="QP16" i="30"/>
  <c r="QT16" i="30"/>
  <c r="RB16" i="30"/>
  <c r="RF16" i="30"/>
  <c r="RJ16" i="30"/>
  <c r="RM16" i="30"/>
  <c r="RR16" i="30"/>
  <c r="RV16" i="30"/>
  <c r="RZ16" i="30"/>
  <c r="SD16" i="30"/>
  <c r="SH16" i="30"/>
  <c r="SL16" i="30"/>
  <c r="SP16" i="30"/>
  <c r="SS16" i="30"/>
  <c r="SX16" i="30"/>
  <c r="TB16" i="30"/>
  <c r="TF16" i="30"/>
  <c r="TN16" i="30"/>
  <c r="TR16" i="30"/>
  <c r="TV16" i="30"/>
  <c r="TY16" i="30"/>
  <c r="UD16" i="30"/>
  <c r="UH16" i="30"/>
  <c r="UL16" i="30"/>
  <c r="UP16" i="30"/>
  <c r="UT16" i="30"/>
  <c r="UX16" i="30"/>
  <c r="VB16" i="30"/>
  <c r="VD16" i="30"/>
  <c r="VE16" i="30"/>
  <c r="VJ16" i="30"/>
  <c r="VN16" i="30"/>
  <c r="VR16" i="30"/>
  <c r="VV16" i="30"/>
  <c r="VZ16" i="30"/>
  <c r="WD16" i="30"/>
  <c r="WH16" i="30"/>
  <c r="WK16" i="30"/>
  <c r="WT16" i="30"/>
  <c r="WX16" i="30"/>
  <c r="XB16" i="30"/>
  <c r="XF16" i="30"/>
  <c r="XJ16" i="30"/>
  <c r="XN16" i="30"/>
  <c r="XP16" i="30"/>
  <c r="XQ16" i="30"/>
  <c r="XV16" i="30"/>
  <c r="XZ16" i="30"/>
  <c r="YD16" i="30"/>
  <c r="YH16" i="30"/>
  <c r="YL16" i="30"/>
  <c r="YP16" i="30"/>
  <c r="YT16" i="30"/>
  <c r="YW16" i="30"/>
  <c r="ZF16" i="30"/>
  <c r="ZJ16" i="30"/>
  <c r="ZN16" i="30"/>
  <c r="ZR16" i="30"/>
  <c r="ZV16" i="30"/>
  <c r="ZZ16" i="30"/>
  <c r="AAH16" i="30"/>
  <c r="AAL16" i="30"/>
  <c r="AAP16" i="30"/>
  <c r="AAT16" i="30"/>
  <c r="AAX16" i="30"/>
  <c r="ABF16" i="30"/>
  <c r="ABI16" i="30"/>
  <c r="ABR16" i="30"/>
  <c r="ABV16" i="30"/>
  <c r="ABZ16" i="30"/>
  <c r="ACD16" i="30"/>
  <c r="ACH16" i="30"/>
  <c r="ACL16" i="30"/>
  <c r="ACN16" i="30"/>
  <c r="ACO16" i="30"/>
  <c r="ACT16" i="30"/>
  <c r="ADB16" i="30"/>
  <c r="ADF16" i="30"/>
  <c r="ADJ16" i="30"/>
  <c r="ADN16" i="30"/>
  <c r="ADR16" i="30"/>
  <c r="ADU16" i="30"/>
  <c r="AED16" i="30"/>
  <c r="AEH16" i="30"/>
  <c r="AEL16" i="30"/>
  <c r="AEP16" i="30"/>
  <c r="AET16" i="30"/>
  <c r="AEX16" i="30"/>
  <c r="AFA16" i="30"/>
  <c r="AFF16" i="30"/>
  <c r="AFJ16" i="30"/>
  <c r="AFN16" i="30"/>
  <c r="AFR16" i="30"/>
  <c r="AFV16" i="30"/>
  <c r="AFZ16" i="30"/>
  <c r="AGD16" i="30"/>
  <c r="AGE16" i="30"/>
  <c r="AGG16" i="30"/>
  <c r="AGL16" i="30"/>
  <c r="AGP16" i="30"/>
  <c r="AGT16" i="30"/>
  <c r="AGX16" i="30"/>
  <c r="AHB16" i="30"/>
  <c r="AHF16" i="30"/>
  <c r="AHJ16" i="30"/>
  <c r="AHM16" i="30"/>
  <c r="AHR16" i="30"/>
  <c r="AHV16" i="30"/>
  <c r="AHZ16" i="30"/>
  <c r="AID16" i="30"/>
  <c r="AIH16" i="30"/>
  <c r="AIL16" i="30"/>
  <c r="AIP16" i="30"/>
  <c r="AIQ16" i="30"/>
  <c r="AIS16" i="30"/>
  <c r="AIX16" i="30"/>
  <c r="AJB16" i="30"/>
  <c r="AJF16" i="30"/>
  <c r="AJJ16" i="30"/>
  <c r="AJN16" i="30"/>
  <c r="AJR16" i="30"/>
  <c r="AJV16" i="30"/>
  <c r="AJY16" i="30"/>
  <c r="AKD16" i="30"/>
  <c r="AKH16" i="30"/>
  <c r="AKL16" i="30"/>
  <c r="AKT16" i="30"/>
  <c r="AKX16" i="30"/>
  <c r="ALB16" i="30"/>
  <c r="ALE16" i="30"/>
  <c r="ALJ16" i="30"/>
  <c r="ALN16" i="30"/>
  <c r="ALR16" i="30"/>
  <c r="ALV16" i="30"/>
  <c r="ALZ16" i="30"/>
  <c r="AMD16" i="30"/>
  <c r="AMH16" i="30"/>
  <c r="AMK16" i="30"/>
  <c r="AMP16" i="30"/>
  <c r="AMT16" i="30"/>
  <c r="AMX16" i="30"/>
  <c r="ANF16" i="30"/>
  <c r="ANJ16" i="30"/>
  <c r="ANN16" i="30"/>
  <c r="ANQ16" i="30"/>
  <c r="ANV16" i="30"/>
  <c r="ANZ16" i="30"/>
  <c r="AOD16" i="30"/>
  <c r="AOH16" i="30"/>
  <c r="AOL16" i="30"/>
  <c r="AOP16" i="30"/>
  <c r="AOT16" i="30"/>
  <c r="AOV16" i="30"/>
  <c r="AOW16" i="30"/>
  <c r="APB16" i="30"/>
  <c r="APF16" i="30"/>
  <c r="APJ16" i="30"/>
  <c r="APN16" i="30"/>
  <c r="APR16" i="30"/>
  <c r="APV16" i="30"/>
  <c r="APZ16" i="30"/>
  <c r="AQC16" i="30"/>
  <c r="AQL16" i="30"/>
  <c r="AQP16" i="30"/>
  <c r="AQT16" i="30"/>
  <c r="AQX16" i="30"/>
  <c r="ARB16" i="30"/>
  <c r="ARF16" i="30"/>
  <c r="ARI16" i="30"/>
  <c r="ARN16" i="30"/>
  <c r="ARR16" i="30"/>
  <c r="ARV16" i="30"/>
  <c r="ARZ16" i="30"/>
  <c r="ASD16" i="30"/>
  <c r="ASH16" i="30"/>
  <c r="ASL16" i="30"/>
  <c r="ASO16" i="30"/>
  <c r="ASX16" i="30"/>
  <c r="ATB16" i="30"/>
  <c r="ATF16" i="30"/>
  <c r="ATJ16" i="30"/>
  <c r="ATN16" i="30"/>
  <c r="ATR16" i="30"/>
  <c r="ATU16" i="30"/>
  <c r="ATZ16" i="30"/>
  <c r="AUD16" i="30"/>
  <c r="AUH16" i="30"/>
  <c r="AUL16" i="30"/>
  <c r="AUP16" i="30"/>
  <c r="AUX16" i="30"/>
  <c r="AVA16" i="30"/>
  <c r="AVJ16" i="30"/>
  <c r="AVN16" i="30"/>
  <c r="AVR16" i="30"/>
  <c r="AVV16" i="30"/>
  <c r="AVZ16" i="30"/>
  <c r="AWD16" i="30"/>
  <c r="AWF16" i="30"/>
  <c r="AWG16" i="30"/>
  <c r="AWL16" i="30"/>
  <c r="AWT16" i="30"/>
  <c r="AWX16" i="30"/>
  <c r="AXB16" i="30"/>
  <c r="AXF16" i="30"/>
  <c r="AXJ16" i="30"/>
  <c r="AXM16" i="30"/>
  <c r="AXV16" i="30"/>
  <c r="AXZ16" i="30"/>
  <c r="AYD16" i="30"/>
  <c r="AYH16" i="30"/>
  <c r="AYL16" i="30"/>
  <c r="AYP16" i="30"/>
  <c r="AYS16" i="30"/>
  <c r="AYX16" i="30"/>
  <c r="AZB16" i="30"/>
  <c r="AZF16" i="30"/>
  <c r="AZJ16" i="30"/>
  <c r="AZN16" i="30"/>
  <c r="AZR16" i="30"/>
  <c r="AZV16" i="30"/>
  <c r="AZW16" i="30"/>
  <c r="AZY16" i="30"/>
  <c r="BAD16" i="30"/>
  <c r="BAH16" i="30"/>
  <c r="BAL16" i="30"/>
  <c r="BAP16" i="30"/>
  <c r="BAT16" i="30"/>
  <c r="BAX16" i="30"/>
  <c r="BBB16" i="30"/>
  <c r="BBE16" i="30"/>
  <c r="BBJ16" i="30"/>
  <c r="BBN16" i="30"/>
  <c r="BBR16" i="30"/>
  <c r="BBV16" i="30"/>
  <c r="BBZ16" i="30"/>
  <c r="BCD16" i="30"/>
  <c r="BCH16" i="30"/>
  <c r="BCI16" i="30"/>
  <c r="BCK16" i="30"/>
  <c r="BCP16" i="30"/>
  <c r="BCT16" i="30"/>
  <c r="BCX16" i="30"/>
  <c r="BDB16" i="30"/>
  <c r="BDF16" i="30"/>
  <c r="BDJ16" i="30"/>
  <c r="BDN16" i="30"/>
  <c r="BDQ16" i="30"/>
  <c r="BDV16" i="30"/>
  <c r="BDZ16" i="30"/>
  <c r="BED16" i="30"/>
  <c r="BEL16" i="30"/>
  <c r="BEP16" i="30"/>
  <c r="BET16" i="30"/>
  <c r="BEW16" i="30"/>
  <c r="BFB16" i="30"/>
  <c r="BFF16" i="30"/>
  <c r="BFJ16" i="30"/>
  <c r="BFN16" i="30"/>
  <c r="BFR16" i="30"/>
  <c r="BFV16" i="30"/>
  <c r="BFZ16" i="30"/>
  <c r="BGC16" i="30"/>
  <c r="BGH16" i="30"/>
  <c r="BGL16" i="30"/>
  <c r="BGP16" i="30"/>
  <c r="BGX16" i="30"/>
  <c r="BHB16" i="30"/>
  <c r="BHF16" i="30"/>
  <c r="BHI16" i="30"/>
  <c r="BHN16" i="30"/>
  <c r="BHR16" i="30"/>
  <c r="BHV16" i="30"/>
  <c r="BHZ16" i="30"/>
  <c r="BID16" i="30"/>
  <c r="BIH16" i="30"/>
  <c r="BIL16" i="30"/>
  <c r="BIN16" i="30"/>
  <c r="BIO16" i="30"/>
  <c r="BIT16" i="30"/>
  <c r="BIX16" i="30"/>
  <c r="BJB16" i="30"/>
  <c r="BJF16" i="30"/>
  <c r="BJJ16" i="30"/>
  <c r="BJN16" i="30"/>
  <c r="BJR16" i="30"/>
  <c r="BJU16" i="30"/>
  <c r="BKD16" i="30"/>
  <c r="BKH16" i="30"/>
  <c r="BKL16" i="30"/>
  <c r="BKP16" i="30"/>
  <c r="BKT16" i="30"/>
  <c r="BKX16" i="30"/>
  <c r="BKZ16" i="30"/>
  <c r="BLA16" i="30"/>
  <c r="F17" i="30"/>
  <c r="J17" i="30"/>
  <c r="N17" i="30"/>
  <c r="R17" i="30"/>
  <c r="V17" i="30"/>
  <c r="Z17" i="30"/>
  <c r="AD17" i="30"/>
  <c r="AG17" i="30"/>
  <c r="AP17" i="30"/>
  <c r="AT17" i="30"/>
  <c r="AX17" i="30"/>
  <c r="BB17" i="30"/>
  <c r="BF17" i="30"/>
  <c r="BJ17" i="30"/>
  <c r="BM17" i="30"/>
  <c r="BR17" i="30"/>
  <c r="BV17" i="30"/>
  <c r="BZ17" i="30"/>
  <c r="CD17" i="30"/>
  <c r="CH17" i="30"/>
  <c r="CP17" i="30"/>
  <c r="CS17" i="30"/>
  <c r="DB17" i="30"/>
  <c r="DF17" i="30"/>
  <c r="DJ17" i="30"/>
  <c r="DN17" i="30"/>
  <c r="DR17" i="30"/>
  <c r="DV17" i="30"/>
  <c r="DX17" i="30"/>
  <c r="DY17" i="30"/>
  <c r="ED17" i="30"/>
  <c r="EL17" i="30"/>
  <c r="EP17" i="30"/>
  <c r="ET17" i="30"/>
  <c r="EX17" i="30"/>
  <c r="FB17" i="30"/>
  <c r="FE17" i="30"/>
  <c r="FN17" i="30"/>
  <c r="FR17" i="30"/>
  <c r="FV17" i="30"/>
  <c r="FZ17" i="30"/>
  <c r="GD17" i="30"/>
  <c r="GH17" i="30"/>
  <c r="GK17" i="30"/>
  <c r="GP17" i="30"/>
  <c r="GT17" i="30"/>
  <c r="GX17" i="30"/>
  <c r="HB17" i="30"/>
  <c r="HF17" i="30"/>
  <c r="HJ17" i="30"/>
  <c r="HN17" i="30"/>
  <c r="HQ17" i="30"/>
  <c r="HV17" i="30"/>
  <c r="HZ17" i="30"/>
  <c r="ID17" i="30"/>
  <c r="IH17" i="30"/>
  <c r="IL17" i="30"/>
  <c r="IP17" i="30"/>
  <c r="IT17" i="30"/>
  <c r="IW17" i="30"/>
  <c r="JB17" i="30"/>
  <c r="JF17" i="30"/>
  <c r="JJ17" i="30"/>
  <c r="JN17" i="30"/>
  <c r="JR17" i="30"/>
  <c r="JV17" i="30"/>
  <c r="JZ17" i="30"/>
  <c r="KA17" i="30"/>
  <c r="KC17" i="30"/>
  <c r="KH17" i="30"/>
  <c r="KL17" i="30"/>
  <c r="KP17" i="30"/>
  <c r="KT17" i="30"/>
  <c r="KX17" i="30"/>
  <c r="LB17" i="30"/>
  <c r="LF17" i="30"/>
  <c r="LI17" i="30"/>
  <c r="LN17" i="30"/>
  <c r="LR17" i="30"/>
  <c r="LV17" i="30"/>
  <c r="MD17" i="30"/>
  <c r="MH17" i="30"/>
  <c r="ML17" i="30"/>
  <c r="MO17" i="30"/>
  <c r="MT17" i="30"/>
  <c r="MX17" i="30"/>
  <c r="NB17" i="30"/>
  <c r="NF17" i="30"/>
  <c r="NJ17" i="30"/>
  <c r="NN17" i="30"/>
  <c r="NR17" i="30"/>
  <c r="NU17" i="30"/>
  <c r="NZ17" i="30"/>
  <c r="OD17" i="30"/>
  <c r="OH17" i="30"/>
  <c r="OP17" i="30"/>
  <c r="OT17" i="30"/>
  <c r="OX17" i="30"/>
  <c r="PA17" i="30"/>
  <c r="PF17" i="30"/>
  <c r="PJ17" i="30"/>
  <c r="PN17" i="30"/>
  <c r="PR17" i="30"/>
  <c r="PV17" i="30"/>
  <c r="PZ17" i="30"/>
  <c r="QD17" i="30"/>
  <c r="QF17" i="30"/>
  <c r="QG17" i="30"/>
  <c r="QL17" i="30"/>
  <c r="QP17" i="30"/>
  <c r="QT17" i="30"/>
  <c r="QX17" i="30"/>
  <c r="RB17" i="30"/>
  <c r="RF17" i="30"/>
  <c r="RJ17" i="30"/>
  <c r="RM17" i="30"/>
  <c r="RV17" i="30"/>
  <c r="RZ17" i="30"/>
  <c r="SD17" i="30"/>
  <c r="SH17" i="30"/>
  <c r="SL17" i="30"/>
  <c r="SP17" i="30"/>
  <c r="SS17" i="30"/>
  <c r="SX17" i="30"/>
  <c r="TB17" i="30"/>
  <c r="TF17" i="30"/>
  <c r="TN17" i="30"/>
  <c r="TR17" i="30"/>
  <c r="TV17" i="30"/>
  <c r="TY17" i="30"/>
  <c r="UH17" i="30"/>
  <c r="UL17" i="30"/>
  <c r="UP17" i="30"/>
  <c r="UT17" i="30"/>
  <c r="UX17" i="30"/>
  <c r="VB17" i="30"/>
  <c r="VE17" i="30"/>
  <c r="VJ17" i="30"/>
  <c r="VN17" i="30"/>
  <c r="VR17" i="30"/>
  <c r="VV17" i="30"/>
  <c r="VZ17" i="30"/>
  <c r="WH17" i="30"/>
  <c r="WK17" i="30"/>
  <c r="WP17" i="30"/>
  <c r="WT17" i="30"/>
  <c r="WX17" i="30"/>
  <c r="XB17" i="30"/>
  <c r="XF17" i="30"/>
  <c r="XJ17" i="30"/>
  <c r="XN17" i="30"/>
  <c r="XO17" i="30"/>
  <c r="XP17" i="30"/>
  <c r="XQ17" i="30"/>
  <c r="XZ17" i="30"/>
  <c r="YD17" i="30"/>
  <c r="YH17" i="30"/>
  <c r="YL17" i="30"/>
  <c r="YP17" i="30"/>
  <c r="YT17" i="30"/>
  <c r="YW17" i="30"/>
  <c r="ZB17" i="30"/>
  <c r="ZF17" i="30"/>
  <c r="ZJ17" i="30"/>
  <c r="ZN17" i="30"/>
  <c r="ZR17" i="30"/>
  <c r="ZV17" i="30"/>
  <c r="ZZ17" i="30"/>
  <c r="AAB17" i="30"/>
  <c r="AAH17" i="30"/>
  <c r="AAL17" i="30"/>
  <c r="AAP17" i="30"/>
  <c r="AAX17" i="30"/>
  <c r="ABB17" i="30"/>
  <c r="ABF17" i="30"/>
  <c r="ABH17" i="30"/>
  <c r="ABI17" i="30"/>
  <c r="ABN17" i="30"/>
  <c r="ABR17" i="30"/>
  <c r="ABZ17" i="30"/>
  <c r="ACD17" i="30"/>
  <c r="ACH17" i="30"/>
  <c r="ACL17" i="30"/>
  <c r="ACO17" i="30"/>
  <c r="ACT17" i="30"/>
  <c r="ACX17" i="30"/>
  <c r="ADB17" i="30"/>
  <c r="ADF17" i="30"/>
  <c r="ADJ17" i="30"/>
  <c r="ADN17" i="30"/>
  <c r="ADR17" i="30"/>
  <c r="ADS17" i="30"/>
  <c r="ADU17" i="30"/>
  <c r="AED17" i="30"/>
  <c r="AEH17" i="30"/>
  <c r="AEL17" i="30"/>
  <c r="AEP17" i="30"/>
  <c r="AET17" i="30"/>
  <c r="AEX17" i="30"/>
  <c r="AFA17" i="30"/>
  <c r="AFF17" i="30"/>
  <c r="AFJ17" i="30"/>
  <c r="AFN17" i="30"/>
  <c r="AFR17" i="30"/>
  <c r="AFV17" i="30"/>
  <c r="AFZ17" i="30"/>
  <c r="AGD17" i="30"/>
  <c r="AGE17" i="30"/>
  <c r="AGG17" i="30"/>
  <c r="AGL17" i="30"/>
  <c r="AGP17" i="30"/>
  <c r="AGT17" i="30"/>
  <c r="AGX17" i="30"/>
  <c r="AHB17" i="30"/>
  <c r="AHF17" i="30"/>
  <c r="AHJ17" i="30"/>
  <c r="AHK17" i="30"/>
  <c r="AHM17" i="30"/>
  <c r="AHV17" i="30"/>
  <c r="AHZ17" i="30"/>
  <c r="AID17" i="30"/>
  <c r="AIH17" i="30"/>
  <c r="AIL17" i="30"/>
  <c r="AIP17" i="30"/>
  <c r="AIS17" i="30"/>
  <c r="AIX17" i="30"/>
  <c r="AJB17" i="30"/>
  <c r="AJF17" i="30"/>
  <c r="AJJ17" i="30"/>
  <c r="AJN17" i="30"/>
  <c r="AJR17" i="30"/>
  <c r="AJV17" i="30"/>
  <c r="AJX17" i="30"/>
  <c r="AJY17" i="30"/>
  <c r="AKD17" i="30"/>
  <c r="AKH17" i="30"/>
  <c r="AKL17" i="30"/>
  <c r="AKT17" i="30"/>
  <c r="AKX17" i="30"/>
  <c r="ALB17" i="30"/>
  <c r="ALE17" i="30"/>
  <c r="ALJ17" i="30"/>
  <c r="ALN17" i="30"/>
  <c r="ALV17" i="30"/>
  <c r="ALZ17" i="30"/>
  <c r="AMD17" i="30"/>
  <c r="AMH17" i="30"/>
  <c r="AMK17" i="30"/>
  <c r="AMP17" i="30"/>
  <c r="AMT17" i="30"/>
  <c r="AMX17" i="30"/>
  <c r="ANB17" i="30"/>
  <c r="ANF17" i="30"/>
  <c r="ANJ17" i="30"/>
  <c r="ANN17" i="30"/>
  <c r="ANO17" i="30"/>
  <c r="ANQ17" i="30"/>
  <c r="ANZ17" i="30"/>
  <c r="AOD17" i="30"/>
  <c r="AOH17" i="30"/>
  <c r="AOL17" i="30"/>
  <c r="AOP17" i="30"/>
  <c r="AOT17" i="30"/>
  <c r="AOW17" i="30"/>
  <c r="APB17" i="30"/>
  <c r="APJ17" i="30"/>
  <c r="APN17" i="30"/>
  <c r="APR17" i="30"/>
  <c r="APV17" i="30"/>
  <c r="APZ17" i="30"/>
  <c r="AQC17" i="30"/>
  <c r="AQL17" i="30"/>
  <c r="AQP17" i="30"/>
  <c r="AQT17" i="30"/>
  <c r="AQX17" i="30"/>
  <c r="ARB17" i="30"/>
  <c r="ARF17" i="30"/>
  <c r="ARI17" i="30"/>
  <c r="ARR17" i="30"/>
  <c r="ARV17" i="30"/>
  <c r="ARZ17" i="30"/>
  <c r="ASD17" i="30"/>
  <c r="ASH17" i="30"/>
  <c r="ASL17" i="30"/>
  <c r="ASO17" i="30"/>
  <c r="AST17" i="30"/>
  <c r="ASX17" i="30"/>
  <c r="ATB17" i="30"/>
  <c r="ATF17" i="30"/>
  <c r="ATJ17" i="30"/>
  <c r="ATN17" i="30"/>
  <c r="ATR17" i="30"/>
  <c r="ATT17" i="30"/>
  <c r="ATU17" i="30"/>
  <c r="ATZ17" i="30"/>
  <c r="AUD17" i="30"/>
  <c r="AUH17" i="30"/>
  <c r="AUP17" i="30"/>
  <c r="AUT17" i="30"/>
  <c r="AUX17" i="30"/>
  <c r="AVA17" i="30"/>
  <c r="AVF17" i="30"/>
  <c r="AVJ17" i="30"/>
  <c r="AVR17" i="30"/>
  <c r="AVV17" i="30"/>
  <c r="AVZ17" i="30"/>
  <c r="AWD17" i="30"/>
  <c r="AWG17" i="30"/>
  <c r="AWL17" i="30"/>
  <c r="AWP17" i="30"/>
  <c r="AWT17" i="30"/>
  <c r="AWX17" i="30"/>
  <c r="AXB17" i="30"/>
  <c r="AXF17" i="30"/>
  <c r="AXJ17" i="30"/>
  <c r="AXK17" i="30"/>
  <c r="AXM17" i="30"/>
  <c r="AXV17" i="30"/>
  <c r="AXZ17" i="30"/>
  <c r="AYD17" i="30"/>
  <c r="AYH17" i="30"/>
  <c r="AYL17" i="30"/>
  <c r="AYP17" i="30"/>
  <c r="AYS17" i="30"/>
  <c r="AYX17" i="30"/>
  <c r="AZB17" i="30"/>
  <c r="AZF17" i="30"/>
  <c r="AZJ17" i="30"/>
  <c r="AZN17" i="30"/>
  <c r="AZR17" i="30"/>
  <c r="AZV17" i="30"/>
  <c r="AZY17" i="30"/>
  <c r="BAD17" i="30"/>
  <c r="BAH17" i="30"/>
  <c r="BAL17" i="30"/>
  <c r="BAP17" i="30"/>
  <c r="BAT17" i="30"/>
  <c r="BAX17" i="30"/>
  <c r="BBB17" i="30"/>
  <c r="BBE17" i="30"/>
  <c r="BBN17" i="30"/>
  <c r="BBR17" i="30"/>
  <c r="BBV17" i="30"/>
  <c r="BBZ17" i="30"/>
  <c r="BCD17" i="30"/>
  <c r="BCH17" i="30"/>
  <c r="BCK17" i="30"/>
  <c r="BCP17" i="30"/>
  <c r="BCT17" i="30"/>
  <c r="BCX17" i="30"/>
  <c r="BDB17" i="30"/>
  <c r="BDF17" i="30"/>
  <c r="BDJ17" i="30"/>
  <c r="BDN17" i="30"/>
  <c r="BDP17" i="30"/>
  <c r="BDQ17" i="30"/>
  <c r="BDV17" i="30"/>
  <c r="BDZ17" i="30"/>
  <c r="BED17" i="30"/>
  <c r="BEL17" i="30"/>
  <c r="BEP17" i="30"/>
  <c r="BET17" i="30"/>
  <c r="BEW17" i="30"/>
  <c r="BFB17" i="30"/>
  <c r="BFF17" i="30"/>
  <c r="BFN17" i="30"/>
  <c r="BFR17" i="30"/>
  <c r="BFV17" i="30"/>
  <c r="BFZ17" i="30"/>
  <c r="BGC17" i="30"/>
  <c r="BGH17" i="30"/>
  <c r="BGL17" i="30"/>
  <c r="BGP17" i="30"/>
  <c r="BGT17" i="30"/>
  <c r="BGX17" i="30"/>
  <c r="BHB17" i="30"/>
  <c r="BHF17" i="30"/>
  <c r="BHG17" i="30"/>
  <c r="BHI17" i="30"/>
  <c r="BHJ17" i="30"/>
  <c r="BHR17" i="30"/>
  <c r="BHV17" i="30"/>
  <c r="BHZ17" i="30"/>
  <c r="BID17" i="30"/>
  <c r="BIH17" i="30"/>
  <c r="BIL17" i="30"/>
  <c r="BIO17" i="30"/>
  <c r="BIT17" i="30"/>
  <c r="BIX17" i="30"/>
  <c r="BJB17" i="30"/>
  <c r="BJF17" i="30"/>
  <c r="BJJ17" i="30"/>
  <c r="BJN17" i="30"/>
  <c r="BJR17" i="30"/>
  <c r="BJS17" i="30"/>
  <c r="BJU17" i="30"/>
  <c r="BJZ17" i="30"/>
  <c r="BKD17" i="30"/>
  <c r="BKH17" i="30"/>
  <c r="BKL17" i="30"/>
  <c r="BKP17" i="30"/>
  <c r="BKT17" i="30"/>
  <c r="BKX17" i="30"/>
  <c r="BKY17" i="30"/>
  <c r="BKZ17" i="30"/>
  <c r="BLA17" i="30"/>
  <c r="J18" i="30"/>
  <c r="N18" i="30"/>
  <c r="R18" i="30"/>
  <c r="V18" i="30"/>
  <c r="Z18" i="30"/>
  <c r="AD18" i="30"/>
  <c r="AG18" i="30"/>
  <c r="AL18" i="30"/>
  <c r="AP18" i="30"/>
  <c r="AT18" i="30"/>
  <c r="AX18" i="30"/>
  <c r="BB18" i="30"/>
  <c r="BF18" i="30"/>
  <c r="BJ18" i="30"/>
  <c r="BL18" i="30"/>
  <c r="BM18" i="30"/>
  <c r="BR18" i="30"/>
  <c r="BV18" i="30"/>
  <c r="BZ18" i="30"/>
  <c r="CH18" i="30"/>
  <c r="CL18" i="30"/>
  <c r="CP18" i="30"/>
  <c r="CR18" i="30"/>
  <c r="CS18" i="30"/>
  <c r="CX18" i="30"/>
  <c r="DB18" i="30"/>
  <c r="DJ18" i="30"/>
  <c r="DN18" i="30"/>
  <c r="DR18" i="30"/>
  <c r="DV18" i="30"/>
  <c r="DY18" i="30"/>
  <c r="ED18" i="30"/>
  <c r="EH18" i="30"/>
  <c r="EL18" i="30"/>
  <c r="EP18" i="30"/>
  <c r="ET18" i="30"/>
  <c r="EX18" i="30"/>
  <c r="FB18" i="30"/>
  <c r="FC18" i="30"/>
  <c r="FE18" i="30"/>
  <c r="FN18" i="30"/>
  <c r="FR18" i="30"/>
  <c r="FV18" i="30"/>
  <c r="FZ18" i="30"/>
  <c r="GD18" i="30"/>
  <c r="GH18" i="30"/>
  <c r="GK18" i="30"/>
  <c r="GP18" i="30"/>
  <c r="GT18" i="30"/>
  <c r="GX18" i="30"/>
  <c r="HB18" i="30"/>
  <c r="HF18" i="30"/>
  <c r="HJ18" i="30"/>
  <c r="HN18" i="30"/>
  <c r="HO18" i="30"/>
  <c r="HQ18" i="30"/>
  <c r="HV18" i="30"/>
  <c r="HZ18" i="30"/>
  <c r="ID18" i="30"/>
  <c r="IH18" i="30"/>
  <c r="IL18" i="30"/>
  <c r="IP18" i="30"/>
  <c r="IT18" i="30"/>
  <c r="IW18" i="30"/>
  <c r="JF18" i="30"/>
  <c r="JJ18" i="30"/>
  <c r="JN18" i="30"/>
  <c r="JR18" i="30"/>
  <c r="JV18" i="30"/>
  <c r="JZ18" i="30"/>
  <c r="KC18" i="30"/>
  <c r="KH18" i="30"/>
  <c r="KL18" i="30"/>
  <c r="KP18" i="30"/>
  <c r="KT18" i="30"/>
  <c r="KX18" i="30"/>
  <c r="LB18" i="30"/>
  <c r="LF18" i="30"/>
  <c r="LH18" i="30"/>
  <c r="LI18" i="30"/>
  <c r="LN18" i="30"/>
  <c r="LR18" i="30"/>
  <c r="LV18" i="30"/>
  <c r="MD18" i="30"/>
  <c r="MH18" i="30"/>
  <c r="ML18" i="30"/>
  <c r="MO18" i="30"/>
  <c r="MT18" i="30"/>
  <c r="MX18" i="30"/>
  <c r="NF18" i="30"/>
  <c r="NJ18" i="30"/>
  <c r="NN18" i="30"/>
  <c r="NR18" i="30"/>
  <c r="NU18" i="30"/>
  <c r="NZ18" i="30"/>
  <c r="OD18" i="30"/>
  <c r="OH18" i="30"/>
  <c r="OL18" i="30"/>
  <c r="OP18" i="30"/>
  <c r="OT18" i="30"/>
  <c r="OX18" i="30"/>
  <c r="OY18" i="30"/>
  <c r="PA18" i="30"/>
  <c r="PJ18" i="30"/>
  <c r="PN18" i="30"/>
  <c r="PR18" i="30"/>
  <c r="PV18" i="30"/>
  <c r="PZ18" i="30"/>
  <c r="QD18" i="30"/>
  <c r="QG18" i="30"/>
  <c r="QL18" i="30"/>
  <c r="QT18" i="30"/>
  <c r="QX18" i="30"/>
  <c r="RB18" i="30"/>
  <c r="RF18" i="30"/>
  <c r="RJ18" i="30"/>
  <c r="RM18" i="30"/>
  <c r="RV18" i="30"/>
  <c r="RZ18" i="30"/>
  <c r="SD18" i="30"/>
  <c r="SH18" i="30"/>
  <c r="SL18" i="30"/>
  <c r="SP18" i="30"/>
  <c r="SS18" i="30"/>
  <c r="TB18" i="30"/>
  <c r="TF18" i="30"/>
  <c r="TJ18" i="30"/>
  <c r="TN18" i="30"/>
  <c r="TR18" i="30"/>
  <c r="TV18" i="30"/>
  <c r="TY18" i="30"/>
  <c r="UD18" i="30"/>
  <c r="UH18" i="30"/>
  <c r="UL18" i="30"/>
  <c r="UP18" i="30"/>
  <c r="UT18" i="30"/>
  <c r="UX18" i="30"/>
  <c r="VB18" i="30"/>
  <c r="VD18" i="30"/>
  <c r="VE18" i="30"/>
  <c r="VJ18" i="30"/>
  <c r="VN18" i="30"/>
  <c r="VR18" i="30"/>
  <c r="VZ18" i="30"/>
  <c r="WD18" i="30"/>
  <c r="WH18" i="30"/>
  <c r="WK18" i="30"/>
  <c r="WP18" i="30"/>
  <c r="WT18" i="30"/>
  <c r="XB18" i="30"/>
  <c r="XF18" i="30"/>
  <c r="XJ18" i="30"/>
  <c r="XN18" i="30"/>
  <c r="XQ18" i="30"/>
  <c r="XV18" i="30"/>
  <c r="XZ18" i="30"/>
  <c r="YD18" i="30"/>
  <c r="YH18" i="30"/>
  <c r="YL18" i="30"/>
  <c r="YP18" i="30"/>
  <c r="YT18" i="30"/>
  <c r="YU18" i="30"/>
  <c r="YW18" i="30"/>
  <c r="ZF18" i="30"/>
  <c r="ZJ18" i="30"/>
  <c r="ZN18" i="30"/>
  <c r="ZR18" i="30"/>
  <c r="ZV18" i="30"/>
  <c r="ZZ18" i="30"/>
  <c r="AAH18" i="30"/>
  <c r="AAL18" i="30"/>
  <c r="AAP18" i="30"/>
  <c r="AAT18" i="30"/>
  <c r="AAX18" i="30"/>
  <c r="ABB18" i="30"/>
  <c r="ABF18" i="30"/>
  <c r="ABI18" i="30"/>
  <c r="ABN18" i="30"/>
  <c r="ABR18" i="30"/>
  <c r="ABV18" i="30"/>
  <c r="ABZ18" i="30"/>
  <c r="ACD18" i="30"/>
  <c r="ACH18" i="30"/>
  <c r="ACL18" i="30"/>
  <c r="ACN18" i="30"/>
  <c r="ACO18" i="30"/>
  <c r="ACX18" i="30"/>
  <c r="ADB18" i="30"/>
  <c r="ADF18" i="30"/>
  <c r="ADJ18" i="30"/>
  <c r="ADN18" i="30"/>
  <c r="ADR18" i="30"/>
  <c r="ADU18" i="30"/>
  <c r="ADZ18" i="30"/>
  <c r="AED18" i="30"/>
  <c r="AEH18" i="30"/>
  <c r="AEL18" i="30"/>
  <c r="AEP18" i="30"/>
  <c r="AET18" i="30"/>
  <c r="AEX18" i="30"/>
  <c r="AEZ18" i="30"/>
  <c r="AFA18" i="30"/>
  <c r="AFF18" i="30"/>
  <c r="AFJ18" i="30"/>
  <c r="AFN18" i="30"/>
  <c r="AFV18" i="30"/>
  <c r="AFZ18" i="30"/>
  <c r="AGD18" i="30"/>
  <c r="AGG18" i="30"/>
  <c r="AGL18" i="30"/>
  <c r="AGP18" i="30"/>
  <c r="AGX18" i="30"/>
  <c r="AHB18" i="30"/>
  <c r="AHF18" i="30"/>
  <c r="AHJ18" i="30"/>
  <c r="AHM18" i="30"/>
  <c r="AHR18" i="30"/>
  <c r="AHV18" i="30"/>
  <c r="AHZ18" i="30"/>
  <c r="AID18" i="30"/>
  <c r="AIH18" i="30"/>
  <c r="AIL18" i="30"/>
  <c r="AIP18" i="30"/>
  <c r="AIQ18" i="30"/>
  <c r="AIS18" i="30"/>
  <c r="AIT18" i="30"/>
  <c r="AJB18" i="30"/>
  <c r="AJF18" i="30"/>
  <c r="AJJ18" i="30"/>
  <c r="AJN18" i="30"/>
  <c r="AJR18" i="30"/>
  <c r="AJV18" i="30"/>
  <c r="AJY18" i="30"/>
  <c r="AKD18" i="30"/>
  <c r="AKH18" i="30"/>
  <c r="AKL18" i="30"/>
  <c r="AKP18" i="30"/>
  <c r="AKT18" i="30"/>
  <c r="AKX18" i="30"/>
  <c r="ALB18" i="30"/>
  <c r="ALC18" i="30"/>
  <c r="ALE18" i="30"/>
  <c r="ALJ18" i="30"/>
  <c r="ALN18" i="30"/>
  <c r="ALR18" i="30"/>
  <c r="ALV18" i="30"/>
  <c r="ALZ18" i="30"/>
  <c r="AMD18" i="30"/>
  <c r="AMH18" i="30"/>
  <c r="AMI18" i="30"/>
  <c r="AMJ18" i="30"/>
  <c r="AMK18" i="30"/>
  <c r="AMT18" i="30"/>
  <c r="AMX18" i="30"/>
  <c r="ANB18" i="30"/>
  <c r="ANF18" i="30"/>
  <c r="ANJ18" i="30"/>
  <c r="ANN18" i="30"/>
  <c r="ANQ18" i="30"/>
  <c r="ANV18" i="30"/>
  <c r="ANZ18" i="30"/>
  <c r="AOD18" i="30"/>
  <c r="AOH18" i="30"/>
  <c r="AOL18" i="30"/>
  <c r="AOP18" i="30"/>
  <c r="AOT18" i="30"/>
  <c r="AOV18" i="30"/>
  <c r="AOW18" i="30"/>
  <c r="APB18" i="30"/>
  <c r="APF18" i="30"/>
  <c r="APJ18" i="30"/>
  <c r="APR18" i="30"/>
  <c r="APV18" i="30"/>
  <c r="APZ18" i="30"/>
  <c r="AQB18" i="30"/>
  <c r="AQC18" i="30"/>
  <c r="AQH18" i="30"/>
  <c r="AQL18" i="30"/>
  <c r="AQT18" i="30"/>
  <c r="AQX18" i="30"/>
  <c r="ARB18" i="30"/>
  <c r="ARF18" i="30"/>
  <c r="ARI18" i="30"/>
  <c r="ARN18" i="30"/>
  <c r="ARR18" i="30"/>
  <c r="ARV18" i="30"/>
  <c r="ARZ18" i="30"/>
  <c r="ASD18" i="30"/>
  <c r="ASH18" i="30"/>
  <c r="ASL18" i="30"/>
  <c r="ASM18" i="30"/>
  <c r="ASO18" i="30"/>
  <c r="ASX18" i="30"/>
  <c r="ATB18" i="30"/>
  <c r="ATF18" i="30"/>
  <c r="ATJ18" i="30"/>
  <c r="ATN18" i="30"/>
  <c r="ATR18" i="30"/>
  <c r="ATU18" i="30"/>
  <c r="ATZ18" i="30"/>
  <c r="AUD18" i="30"/>
  <c r="AUH18" i="30"/>
  <c r="AUL18" i="30"/>
  <c r="AUP18" i="30"/>
  <c r="AUT18" i="30"/>
  <c r="AUX18" i="30"/>
  <c r="AUY18" i="30"/>
  <c r="AVA18" i="30"/>
  <c r="AVF18" i="30"/>
  <c r="AVJ18" i="30"/>
  <c r="AVN18" i="30"/>
  <c r="AVR18" i="30"/>
  <c r="AVV18" i="30"/>
  <c r="AVZ18" i="30"/>
  <c r="AWD18" i="30"/>
  <c r="AWG18" i="30"/>
  <c r="AWL18" i="30"/>
  <c r="AWP18" i="30"/>
  <c r="AWX18" i="30"/>
  <c r="AXB18" i="30"/>
  <c r="AXF18" i="30"/>
  <c r="AXJ18" i="30"/>
  <c r="AXL18" i="30"/>
  <c r="AXM18" i="30"/>
  <c r="AXR18" i="30"/>
  <c r="AXV18" i="30"/>
  <c r="AXZ18" i="30"/>
  <c r="AYD18" i="30"/>
  <c r="AYH18" i="30"/>
  <c r="AYL18" i="30"/>
  <c r="AYP18" i="30"/>
  <c r="AYQ18" i="30"/>
  <c r="AYS18" i="30"/>
  <c r="AZB18" i="30"/>
  <c r="AZF18" i="30"/>
  <c r="AZJ18" i="30"/>
  <c r="AZN18" i="30"/>
  <c r="AZR18" i="30"/>
  <c r="AZV18" i="30"/>
  <c r="AZY18" i="30"/>
  <c r="BAD18" i="30"/>
  <c r="BAH18" i="30"/>
  <c r="BAL18" i="30"/>
  <c r="BAP18" i="30"/>
  <c r="BAT18" i="30"/>
  <c r="BAX18" i="30"/>
  <c r="BBB18" i="30"/>
  <c r="BBE18" i="30"/>
  <c r="BBJ18" i="30"/>
  <c r="BBN18" i="30"/>
  <c r="BBV18" i="30"/>
  <c r="BBZ18" i="30"/>
  <c r="BCD18" i="30"/>
  <c r="BCH18" i="30"/>
  <c r="BCK18" i="30"/>
  <c r="BCP18" i="30"/>
  <c r="BCT18" i="30"/>
  <c r="BCX18" i="30"/>
  <c r="BDB18" i="30"/>
  <c r="BDF18" i="30"/>
  <c r="BDJ18" i="30"/>
  <c r="BDN18" i="30"/>
  <c r="BDQ18" i="30"/>
  <c r="BDZ18" i="30"/>
  <c r="BED18" i="30"/>
  <c r="BEH18" i="30"/>
  <c r="BEL18" i="30"/>
  <c r="BEP18" i="30"/>
  <c r="BET18" i="30"/>
  <c r="BEW18" i="30"/>
  <c r="BFB18" i="30"/>
  <c r="BFF18" i="30"/>
  <c r="BFJ18" i="30"/>
  <c r="BFN18" i="30"/>
  <c r="BFR18" i="30"/>
  <c r="BFV18" i="30"/>
  <c r="BFZ18" i="30"/>
  <c r="BGC18" i="30"/>
  <c r="BGH18" i="30"/>
  <c r="BGL18" i="30"/>
  <c r="BGT18" i="30"/>
  <c r="BGX18" i="30"/>
  <c r="BHB18" i="30"/>
  <c r="BHF18" i="30"/>
  <c r="BHH18" i="30"/>
  <c r="BHI18" i="30"/>
  <c r="BHN18" i="30"/>
  <c r="BHR18" i="30"/>
  <c r="BHV18" i="30"/>
  <c r="BHZ18" i="30"/>
  <c r="BID18" i="30"/>
  <c r="BIH18" i="30"/>
  <c r="BIL18" i="30"/>
  <c r="BIM18" i="30"/>
  <c r="BIO18" i="30"/>
  <c r="BIX18" i="30"/>
  <c r="BJB18" i="30"/>
  <c r="BJF18" i="30"/>
  <c r="BJJ18" i="30"/>
  <c r="BJN18" i="30"/>
  <c r="BJR18" i="30"/>
  <c r="BJU18" i="30"/>
  <c r="BJZ18" i="30"/>
  <c r="BKH18" i="30"/>
  <c r="BKL18" i="30"/>
  <c r="BKP18" i="30"/>
  <c r="BKT18" i="30"/>
  <c r="BKX18" i="30"/>
  <c r="BLA18" i="30"/>
  <c r="F19" i="30"/>
  <c r="J19" i="30"/>
  <c r="R19" i="30"/>
  <c r="V19" i="30"/>
  <c r="Z19" i="30"/>
  <c r="AD19" i="30"/>
  <c r="AG19" i="30"/>
  <c r="AL19" i="30"/>
  <c r="AP19" i="30"/>
  <c r="AT19" i="30"/>
  <c r="AX19" i="30"/>
  <c r="BB19" i="30"/>
  <c r="BF19" i="30"/>
  <c r="BJ19" i="30"/>
  <c r="BK19" i="30"/>
  <c r="BM19" i="30"/>
  <c r="BV19" i="30"/>
  <c r="BZ19" i="30"/>
  <c r="CD19" i="30"/>
  <c r="CH19" i="30"/>
  <c r="CL19" i="30"/>
  <c r="CP19" i="30"/>
  <c r="CS19" i="30"/>
  <c r="CX19" i="30"/>
  <c r="DF19" i="30"/>
  <c r="DJ19" i="30"/>
  <c r="DN19" i="30"/>
  <c r="DR19" i="30"/>
  <c r="DV19" i="30"/>
  <c r="DY19" i="30"/>
  <c r="ED19" i="30"/>
  <c r="EH19" i="30"/>
  <c r="EP19" i="30"/>
  <c r="ET19" i="30"/>
  <c r="EX19" i="30"/>
  <c r="FB19" i="30"/>
  <c r="FE19" i="30"/>
  <c r="FJ19" i="30"/>
  <c r="FN19" i="30"/>
  <c r="FR19" i="30"/>
  <c r="FV19" i="30"/>
  <c r="FZ19" i="30"/>
  <c r="GD19" i="30"/>
  <c r="GH19" i="30"/>
  <c r="GK19" i="30"/>
  <c r="GT19" i="30"/>
  <c r="GX19" i="30"/>
  <c r="HB19" i="30"/>
  <c r="HF19" i="30"/>
  <c r="HJ19" i="30"/>
  <c r="HN19" i="30"/>
  <c r="HQ19" i="30"/>
  <c r="HV19" i="30"/>
  <c r="ID19" i="30"/>
  <c r="IH19" i="30"/>
  <c r="IL19" i="30"/>
  <c r="IP19" i="30"/>
  <c r="IT19" i="30"/>
  <c r="IW19" i="30"/>
  <c r="JB19" i="30"/>
  <c r="JF19" i="30"/>
  <c r="JN19" i="30"/>
  <c r="JR19" i="30"/>
  <c r="JV19" i="30"/>
  <c r="JZ19" i="30"/>
  <c r="KC19" i="30"/>
  <c r="KH19" i="30"/>
  <c r="KL19" i="30"/>
  <c r="KP19" i="30"/>
  <c r="KT19" i="30"/>
  <c r="KX19" i="30"/>
  <c r="LB19" i="30"/>
  <c r="LF19" i="30"/>
  <c r="LI19" i="30"/>
  <c r="LR19" i="30"/>
  <c r="LV19" i="30"/>
  <c r="LZ19" i="30"/>
  <c r="MD19" i="30"/>
  <c r="MH19" i="30"/>
  <c r="ML19" i="30"/>
  <c r="MO19" i="30"/>
  <c r="MX19" i="30"/>
  <c r="NB19" i="30"/>
  <c r="NF19" i="30"/>
  <c r="NJ19" i="30"/>
  <c r="NN19" i="30"/>
  <c r="NR19" i="30"/>
  <c r="NU19" i="30"/>
  <c r="NZ19" i="30"/>
  <c r="OD19" i="30"/>
  <c r="OH19" i="30"/>
  <c r="OL19" i="30"/>
  <c r="OP19" i="30"/>
  <c r="OT19" i="30"/>
  <c r="OX19" i="30"/>
  <c r="PA19" i="30"/>
  <c r="PF19" i="30"/>
  <c r="PJ19" i="30"/>
  <c r="PN19" i="30"/>
  <c r="PR19" i="30"/>
  <c r="PV19" i="30"/>
  <c r="PZ19" i="30"/>
  <c r="QD19" i="30"/>
  <c r="QG19" i="30"/>
  <c r="QP19" i="30"/>
  <c r="QT19" i="30"/>
  <c r="QX19" i="30"/>
  <c r="RB19" i="30"/>
  <c r="RF19" i="30"/>
  <c r="RJ19" i="30"/>
  <c r="RM19" i="30"/>
  <c r="RV19" i="30"/>
  <c r="RZ19" i="30"/>
  <c r="SD19" i="30"/>
  <c r="SH19" i="30"/>
  <c r="SL19" i="30"/>
  <c r="SP19" i="30"/>
  <c r="SS19" i="30"/>
  <c r="SX19" i="30"/>
  <c r="TB19" i="30"/>
  <c r="TF19" i="30"/>
  <c r="TJ19" i="30"/>
  <c r="TN19" i="30"/>
  <c r="TR19" i="30"/>
  <c r="TV19" i="30"/>
  <c r="TX19" i="30"/>
  <c r="TY19" i="30"/>
  <c r="UD19" i="30"/>
  <c r="UH19" i="30"/>
  <c r="UL19" i="30"/>
  <c r="UP19" i="30"/>
  <c r="UT19" i="30"/>
  <c r="UX19" i="30"/>
  <c r="VB19" i="30"/>
  <c r="VC19" i="30"/>
  <c r="VE19" i="30"/>
  <c r="VN19" i="30"/>
  <c r="VR19" i="30"/>
  <c r="VV19" i="30"/>
  <c r="VZ19" i="30"/>
  <c r="WD19" i="30"/>
  <c r="WH19" i="30"/>
  <c r="WK19" i="30"/>
  <c r="WT19" i="30"/>
  <c r="WX19" i="30"/>
  <c r="XB19" i="30"/>
  <c r="XF19" i="30"/>
  <c r="XJ19" i="30"/>
  <c r="XN19" i="30"/>
  <c r="XQ19" i="30"/>
  <c r="XV19" i="30"/>
  <c r="XZ19" i="30"/>
  <c r="YD19" i="30"/>
  <c r="YH19" i="30"/>
  <c r="YL19" i="30"/>
  <c r="YP19" i="30"/>
  <c r="YT19" i="30"/>
  <c r="YW19" i="30"/>
  <c r="ZB19" i="30"/>
  <c r="ZF19" i="30"/>
  <c r="ZJ19" i="30"/>
  <c r="ZN19" i="30"/>
  <c r="ZR19" i="30"/>
  <c r="ZV19" i="30"/>
  <c r="ZZ19" i="30"/>
  <c r="AAA19" i="30"/>
  <c r="AAL19" i="30"/>
  <c r="AAP19" i="30"/>
  <c r="AAT19" i="30"/>
  <c r="AAX19" i="30"/>
  <c r="ABB19" i="30"/>
  <c r="ABF19" i="30"/>
  <c r="ABI19" i="30"/>
  <c r="ABR19" i="30"/>
  <c r="ABV19" i="30"/>
  <c r="ABZ19" i="30"/>
  <c r="ACD19" i="30"/>
  <c r="ACH19" i="30"/>
  <c r="ACL19" i="30"/>
  <c r="ACO19" i="30"/>
  <c r="ACT19" i="30"/>
  <c r="ACX19" i="30"/>
  <c r="ADB19" i="30"/>
  <c r="ADF19" i="30"/>
  <c r="ADJ19" i="30"/>
  <c r="ADN19" i="30"/>
  <c r="ADR19" i="30"/>
  <c r="ADU19" i="30"/>
  <c r="ADZ19" i="30"/>
  <c r="AED19" i="30"/>
  <c r="AEH19" i="30"/>
  <c r="AEL19" i="30"/>
  <c r="AEP19" i="30"/>
  <c r="AET19" i="30"/>
  <c r="AEX19" i="30"/>
  <c r="AFA19" i="30"/>
  <c r="AFJ19" i="30"/>
  <c r="AFN19" i="30"/>
  <c r="AFR19" i="30"/>
  <c r="AFV19" i="30"/>
  <c r="AFZ19" i="30"/>
  <c r="AGD19" i="30"/>
  <c r="AGG19" i="30"/>
  <c r="AGP19" i="30"/>
  <c r="AGT19" i="30"/>
  <c r="AGX19" i="30"/>
  <c r="AHB19" i="30"/>
  <c r="AHF19" i="30"/>
  <c r="AHJ19" i="30"/>
  <c r="AHM19" i="30"/>
  <c r="AHR19" i="30"/>
  <c r="AHV19" i="30"/>
  <c r="AHZ19" i="30"/>
  <c r="AID19" i="30"/>
  <c r="AIH19" i="30"/>
  <c r="AIL19" i="30"/>
  <c r="AIP19" i="30"/>
  <c r="AIR19" i="30"/>
  <c r="AIS19" i="30"/>
  <c r="AIX19" i="30"/>
  <c r="AJB19" i="30"/>
  <c r="AJF19" i="30"/>
  <c r="AJJ19" i="30"/>
  <c r="AJN19" i="30"/>
  <c r="AJR19" i="30"/>
  <c r="AJV19" i="30"/>
  <c r="AJY19" i="30"/>
  <c r="AKH19" i="30"/>
  <c r="AKL19" i="30"/>
  <c r="AKP19" i="30"/>
  <c r="AKT19" i="30"/>
  <c r="AKX19" i="30"/>
  <c r="ALB19" i="30"/>
  <c r="ALE19" i="30"/>
  <c r="ALN19" i="30"/>
  <c r="ALR19" i="30"/>
  <c r="ALV19" i="30"/>
  <c r="ALZ19" i="30"/>
  <c r="AMD19" i="30"/>
  <c r="AMH19" i="30"/>
  <c r="AMK19" i="30"/>
  <c r="AMP19" i="30"/>
  <c r="AMT19" i="30"/>
  <c r="AMX19" i="30"/>
  <c r="ANB19" i="30"/>
  <c r="ANF19" i="30"/>
  <c r="ANJ19" i="30"/>
  <c r="ANN19" i="30"/>
  <c r="ANP19" i="30"/>
  <c r="ANQ19" i="30"/>
  <c r="ANV19" i="30"/>
  <c r="ANZ19" i="30"/>
  <c r="AOD19" i="30"/>
  <c r="AOH19" i="30"/>
  <c r="AOL19" i="30"/>
  <c r="AOP19" i="30"/>
  <c r="AOT19" i="30"/>
  <c r="AOU19" i="30"/>
  <c r="AOW19" i="30"/>
  <c r="APF19" i="30"/>
  <c r="APJ19" i="30"/>
  <c r="APN19" i="30"/>
  <c r="APR19" i="30"/>
  <c r="APV19" i="30"/>
  <c r="APZ19" i="30"/>
  <c r="AQC19" i="30"/>
  <c r="AQL19" i="30"/>
  <c r="AQP19" i="30"/>
  <c r="AQT19" i="30"/>
  <c r="AQX19" i="30"/>
  <c r="ARB19" i="30"/>
  <c r="ARF19" i="30"/>
  <c r="ARI19" i="30"/>
  <c r="ARN19" i="30"/>
  <c r="ARR19" i="30"/>
  <c r="ARV19" i="30"/>
  <c r="ARZ19" i="30"/>
  <c r="ASD19" i="30"/>
  <c r="ASH19" i="30"/>
  <c r="ASL19" i="30"/>
  <c r="ASO19" i="30"/>
  <c r="AST19" i="30"/>
  <c r="ASX19" i="30"/>
  <c r="ATB19" i="30"/>
  <c r="ATF19" i="30"/>
  <c r="ATJ19" i="30"/>
  <c r="ATN19" i="30"/>
  <c r="ATR19" i="30"/>
  <c r="ATS19" i="30"/>
  <c r="ATU19" i="30"/>
  <c r="AUD19" i="30"/>
  <c r="AUH19" i="30"/>
  <c r="AUL19" i="30"/>
  <c r="AUP19" i="30"/>
  <c r="AUT19" i="30"/>
  <c r="AUX19" i="30"/>
  <c r="AVA19" i="30"/>
  <c r="AVJ19" i="30"/>
  <c r="AVN19" i="30"/>
  <c r="AVR19" i="30"/>
  <c r="AVV19" i="30"/>
  <c r="AVZ19" i="30"/>
  <c r="AWD19" i="30"/>
  <c r="AWG19" i="30"/>
  <c r="AWL19" i="30"/>
  <c r="AWP19" i="30"/>
  <c r="AWT19" i="30"/>
  <c r="AWX19" i="30"/>
  <c r="AXB19" i="30"/>
  <c r="AXF19" i="30"/>
  <c r="AXJ19" i="30"/>
  <c r="AXM19" i="30"/>
  <c r="AXR19" i="30"/>
  <c r="AXV19" i="30"/>
  <c r="AXZ19" i="30"/>
  <c r="AYD19" i="30"/>
  <c r="AYH19" i="30"/>
  <c r="AYL19" i="30"/>
  <c r="AYP19" i="30"/>
  <c r="AYS19" i="30"/>
  <c r="AZB19" i="30"/>
  <c r="AZF19" i="30"/>
  <c r="AZJ19" i="30"/>
  <c r="AZN19" i="30"/>
  <c r="AZR19" i="30"/>
  <c r="AZV19" i="30"/>
  <c r="AZY19" i="30"/>
  <c r="BAH19" i="30"/>
  <c r="BAL19" i="30"/>
  <c r="BAP19" i="30"/>
  <c r="BAT19" i="30"/>
  <c r="BAX19" i="30"/>
  <c r="BBB19" i="30"/>
  <c r="BBE19" i="30"/>
  <c r="BBJ19" i="30"/>
  <c r="BBN19" i="30"/>
  <c r="BBR19" i="30"/>
  <c r="BBV19" i="30"/>
  <c r="BBZ19" i="30"/>
  <c r="BCD19" i="30"/>
  <c r="BCH19" i="30"/>
  <c r="BCJ19" i="30"/>
  <c r="BCK19" i="30"/>
  <c r="BCP19" i="30"/>
  <c r="BCT19" i="30"/>
  <c r="BCX19" i="30"/>
  <c r="BDB19" i="30"/>
  <c r="BDF19" i="30"/>
  <c r="BDJ19" i="30"/>
  <c r="BDN19" i="30"/>
  <c r="BDQ19" i="30"/>
  <c r="BDZ19" i="30"/>
  <c r="BED19" i="30"/>
  <c r="BEH19" i="30"/>
  <c r="BEL19" i="30"/>
  <c r="BEP19" i="30"/>
  <c r="BET19" i="30"/>
  <c r="BEW19" i="30"/>
  <c r="BFF19" i="30"/>
  <c r="BFJ19" i="30"/>
  <c r="BFN19" i="30"/>
  <c r="BFR19" i="30"/>
  <c r="BFV19" i="30"/>
  <c r="BFZ19" i="30"/>
  <c r="BGC19" i="30"/>
  <c r="BGH19" i="30"/>
  <c r="BGL19" i="30"/>
  <c r="BGP19" i="30"/>
  <c r="BGT19" i="30"/>
  <c r="BGX19" i="30"/>
  <c r="BHB19" i="30"/>
  <c r="BHF19" i="30"/>
  <c r="BHH19" i="30"/>
  <c r="BHI19" i="30"/>
  <c r="BHN19" i="30"/>
  <c r="BHR19" i="30"/>
  <c r="BHV19" i="30"/>
  <c r="BHZ19" i="30"/>
  <c r="BID19" i="30"/>
  <c r="BIH19" i="30"/>
  <c r="BIL19" i="30"/>
  <c r="BIM19" i="30"/>
  <c r="BIO19" i="30"/>
  <c r="BIX19" i="30"/>
  <c r="BJB19" i="30"/>
  <c r="BJF19" i="30"/>
  <c r="BJJ19" i="30"/>
  <c r="BJN19" i="30"/>
  <c r="BJR19" i="30"/>
  <c r="BJU19" i="30"/>
  <c r="BKD19" i="30"/>
  <c r="BKH19" i="30"/>
  <c r="BKL19" i="30"/>
  <c r="BKP19" i="30"/>
  <c r="BKT19" i="30"/>
  <c r="BKX19" i="30"/>
  <c r="BLA19" i="30"/>
  <c r="F20" i="30"/>
  <c r="J20" i="30"/>
  <c r="N20" i="30"/>
  <c r="R20" i="30"/>
  <c r="V20" i="30"/>
  <c r="Z20" i="30"/>
  <c r="AD20" i="30"/>
  <c r="AG20" i="30"/>
  <c r="AL20" i="30"/>
  <c r="AP20" i="30"/>
  <c r="AT20" i="30"/>
  <c r="AX20" i="30"/>
  <c r="BB20" i="30"/>
  <c r="BF20" i="30"/>
  <c r="BJ20" i="30"/>
  <c r="BK20" i="30"/>
  <c r="BM20" i="30"/>
  <c r="BV20" i="30"/>
  <c r="BZ20" i="30"/>
  <c r="CD20" i="30"/>
  <c r="CH20" i="30"/>
  <c r="CL20" i="30"/>
  <c r="CP20" i="30"/>
  <c r="CS20" i="30"/>
  <c r="DB20" i="30"/>
  <c r="DF20" i="30"/>
  <c r="DJ20" i="30"/>
  <c r="DN20" i="30"/>
  <c r="DR20" i="30"/>
  <c r="DV20" i="30"/>
  <c r="DY20" i="30"/>
  <c r="ED20" i="30"/>
  <c r="EH20" i="30"/>
  <c r="EL20" i="30"/>
  <c r="EP20" i="30"/>
  <c r="ET20" i="30"/>
  <c r="EX20" i="30"/>
  <c r="FB20" i="30"/>
  <c r="FE20" i="30"/>
  <c r="FJ20" i="30"/>
  <c r="FN20" i="30"/>
  <c r="FR20" i="30"/>
  <c r="FV20" i="30"/>
  <c r="FZ20" i="30"/>
  <c r="GD20" i="30"/>
  <c r="GH20" i="30"/>
  <c r="GK20" i="30"/>
  <c r="GT20" i="30"/>
  <c r="GX20" i="30"/>
  <c r="HB20" i="30"/>
  <c r="HF20" i="30"/>
  <c r="HJ20" i="30"/>
  <c r="HN20" i="30"/>
  <c r="HQ20" i="30"/>
  <c r="HZ20" i="30"/>
  <c r="ID20" i="30"/>
  <c r="IH20" i="30"/>
  <c r="IL20" i="30"/>
  <c r="IP20" i="30"/>
  <c r="IT20" i="30"/>
  <c r="IW20" i="30"/>
  <c r="JB20" i="30"/>
  <c r="JF20" i="30"/>
  <c r="JJ20" i="30"/>
  <c r="JN20" i="30"/>
  <c r="JR20" i="30"/>
  <c r="JV20" i="30"/>
  <c r="JZ20" i="30"/>
  <c r="KB20" i="30"/>
  <c r="KC20" i="30"/>
  <c r="KH20" i="30"/>
  <c r="KL20" i="30"/>
  <c r="KP20" i="30"/>
  <c r="KT20" i="30"/>
  <c r="KX20" i="30"/>
  <c r="LB20" i="30"/>
  <c r="LF20" i="30"/>
  <c r="LI20" i="30"/>
  <c r="LR20" i="30"/>
  <c r="LV20" i="30"/>
  <c r="LZ20" i="30"/>
  <c r="MD20" i="30"/>
  <c r="MH20" i="30"/>
  <c r="ML20" i="30"/>
  <c r="MO20" i="30"/>
  <c r="MX20" i="30"/>
  <c r="NB20" i="30"/>
  <c r="NF20" i="30"/>
  <c r="NJ20" i="30"/>
  <c r="NN20" i="30"/>
  <c r="NR20" i="30"/>
  <c r="NU20" i="30"/>
  <c r="NZ20" i="30"/>
  <c r="OD20" i="30"/>
  <c r="OH20" i="30"/>
  <c r="OL20" i="30"/>
  <c r="OP20" i="30"/>
  <c r="OT20" i="30"/>
  <c r="OX20" i="30"/>
  <c r="OZ20" i="30"/>
  <c r="PA20" i="30"/>
  <c r="PF20" i="30"/>
  <c r="PJ20" i="30"/>
  <c r="PN20" i="30"/>
  <c r="PR20" i="30"/>
  <c r="PV20" i="30"/>
  <c r="PZ20" i="30"/>
  <c r="QD20" i="30"/>
  <c r="QE20" i="30"/>
  <c r="QG20" i="30"/>
  <c r="QP20" i="30"/>
  <c r="QT20" i="30"/>
  <c r="QX20" i="30"/>
  <c r="RB20" i="30"/>
  <c r="RF20" i="30"/>
  <c r="RJ20" i="30"/>
  <c r="RM20" i="30"/>
  <c r="RV20" i="30"/>
  <c r="RZ20" i="30"/>
  <c r="SD20" i="30"/>
  <c r="SH20" i="30"/>
  <c r="SL20" i="30"/>
  <c r="SP20" i="30"/>
  <c r="SS20" i="30"/>
  <c r="SX20" i="30"/>
  <c r="TB20" i="30"/>
  <c r="TF20" i="30"/>
  <c r="TJ20" i="30"/>
  <c r="TN20" i="30"/>
  <c r="TR20" i="30"/>
  <c r="TV20" i="30"/>
  <c r="TY20" i="30"/>
  <c r="UD20" i="30"/>
  <c r="UH20" i="30"/>
  <c r="UL20" i="30"/>
  <c r="UP20" i="30"/>
  <c r="UT20" i="30"/>
  <c r="UX20" i="30"/>
  <c r="VB20" i="30"/>
  <c r="VC20" i="30"/>
  <c r="VE20" i="30"/>
  <c r="VN20" i="30"/>
  <c r="VR20" i="30"/>
  <c r="VV20" i="30"/>
  <c r="VZ20" i="30"/>
  <c r="WD20" i="30"/>
  <c r="WH20" i="30"/>
  <c r="WK20" i="30"/>
  <c r="WT20" i="30"/>
  <c r="WX20" i="30"/>
  <c r="XB20" i="30"/>
  <c r="XF20" i="30"/>
  <c r="XJ20" i="30"/>
  <c r="XN20" i="30"/>
  <c r="XQ20" i="30"/>
  <c r="XV20" i="30"/>
  <c r="XZ20" i="30"/>
  <c r="YD20" i="30"/>
  <c r="YH20" i="30"/>
  <c r="YL20" i="30"/>
  <c r="YP20" i="30"/>
  <c r="YT20" i="30"/>
  <c r="YW20" i="30"/>
  <c r="ZB20" i="30"/>
  <c r="ZF20" i="30"/>
  <c r="ZJ20" i="30"/>
  <c r="ZN20" i="30"/>
  <c r="ZR20" i="30"/>
  <c r="ZV20" i="30"/>
  <c r="ZZ20" i="30"/>
  <c r="AAL20" i="30"/>
  <c r="AAP20" i="30"/>
  <c r="AAT20" i="30"/>
  <c r="AAX20" i="30"/>
  <c r="ABB20" i="30"/>
  <c r="ABF20" i="30"/>
  <c r="ABI20" i="30"/>
  <c r="ABR20" i="30"/>
  <c r="ABV20" i="30"/>
  <c r="ABZ20" i="30"/>
  <c r="ACD20" i="30"/>
  <c r="ACH20" i="30"/>
  <c r="ACL20" i="30"/>
  <c r="ACO20" i="30"/>
  <c r="ACT20" i="30"/>
  <c r="ACX20" i="30"/>
  <c r="ADB20" i="30"/>
  <c r="ADF20" i="30"/>
  <c r="ADJ20" i="30"/>
  <c r="ADN20" i="30"/>
  <c r="ADR20" i="30"/>
  <c r="ADT20" i="30"/>
  <c r="ADU20" i="30"/>
  <c r="ADZ20" i="30"/>
  <c r="AED20" i="30"/>
  <c r="AEH20" i="30"/>
  <c r="AEL20" i="30"/>
  <c r="AEP20" i="30"/>
  <c r="AET20" i="30"/>
  <c r="AEX20" i="30"/>
  <c r="AFA20" i="30"/>
  <c r="AFJ20" i="30"/>
  <c r="AFN20" i="30"/>
  <c r="AFR20" i="30"/>
  <c r="AFV20" i="30"/>
  <c r="AFZ20" i="30"/>
  <c r="AGD20" i="30"/>
  <c r="AGG20" i="30"/>
  <c r="AGP20" i="30"/>
  <c r="AGT20" i="30"/>
  <c r="AGX20" i="30"/>
  <c r="AHB20" i="30"/>
  <c r="AHF20" i="30"/>
  <c r="AHJ20" i="30"/>
  <c r="AHM20" i="30"/>
  <c r="AHR20" i="30"/>
  <c r="AHV20" i="30"/>
  <c r="AHZ20" i="30"/>
  <c r="AID20" i="30"/>
  <c r="AIH20" i="30"/>
  <c r="AIL20" i="30"/>
  <c r="AIP20" i="30"/>
  <c r="AIR20" i="30"/>
  <c r="AIS20" i="30"/>
  <c r="AIX20" i="30"/>
  <c r="AJB20" i="30"/>
  <c r="AJF20" i="30"/>
  <c r="AJJ20" i="30"/>
  <c r="AJN20" i="30"/>
  <c r="AJR20" i="30"/>
  <c r="AJV20" i="30"/>
  <c r="AJW20" i="30"/>
  <c r="AJY20" i="30"/>
  <c r="AKH20" i="30"/>
  <c r="AKL20" i="30"/>
  <c r="AKP20" i="30"/>
  <c r="AKT20" i="30"/>
  <c r="AKX20" i="30"/>
  <c r="ALB20" i="30"/>
  <c r="ALE20" i="30"/>
  <c r="ALN20" i="30"/>
  <c r="ALR20" i="30"/>
  <c r="ALV20" i="30"/>
  <c r="ALZ20" i="30"/>
  <c r="AMD20" i="30"/>
  <c r="AMH20" i="30"/>
  <c r="AMK20" i="30"/>
  <c r="AMP20" i="30"/>
  <c r="AMT20" i="30"/>
  <c r="AMX20" i="30"/>
  <c r="ANB20" i="30"/>
  <c r="ANF20" i="30"/>
  <c r="ANJ20" i="30"/>
  <c r="ANN20" i="30"/>
  <c r="ANQ20" i="30"/>
  <c r="ANV20" i="30"/>
  <c r="ANZ20" i="30"/>
  <c r="AOD20" i="30"/>
  <c r="AOH20" i="30"/>
  <c r="AOL20" i="30"/>
  <c r="AOP20" i="30"/>
  <c r="AOT20" i="30"/>
  <c r="AOU20" i="30"/>
  <c r="AOW20" i="30"/>
  <c r="APF20" i="30"/>
  <c r="APJ20" i="30"/>
  <c r="APN20" i="30"/>
  <c r="APR20" i="30"/>
  <c r="APV20" i="30"/>
  <c r="APZ20" i="30"/>
  <c r="AQC20" i="30"/>
  <c r="AQL20" i="30"/>
  <c r="AQP20" i="30"/>
  <c r="AQT20" i="30"/>
  <c r="AQX20" i="30"/>
  <c r="ARB20" i="30"/>
  <c r="ARF20" i="30"/>
  <c r="ARI20" i="30"/>
  <c r="ARN20" i="30"/>
  <c r="ARR20" i="30"/>
  <c r="ARV20" i="30"/>
  <c r="ARZ20" i="30"/>
  <c r="ASD20" i="30"/>
  <c r="ASH20" i="30"/>
  <c r="ASL20" i="30"/>
  <c r="ASO20" i="30"/>
  <c r="AST20" i="30"/>
  <c r="ASX20" i="30"/>
  <c r="ATB20" i="30"/>
  <c r="ATF20" i="30"/>
  <c r="ATJ20" i="30"/>
  <c r="ATN20" i="30"/>
  <c r="ATR20" i="30"/>
  <c r="ATU20" i="30"/>
  <c r="AUD20" i="30"/>
  <c r="AUH20" i="30"/>
  <c r="AUL20" i="30"/>
  <c r="AUP20" i="30"/>
  <c r="AUT20" i="30"/>
  <c r="AUX20" i="30"/>
  <c r="AVA20" i="30"/>
  <c r="AVJ20" i="30"/>
  <c r="AVN20" i="30"/>
  <c r="AVR20" i="30"/>
  <c r="AVV20" i="30"/>
  <c r="AVZ20" i="30"/>
  <c r="AWD20" i="30"/>
  <c r="AWG20" i="30"/>
  <c r="AWL20" i="30"/>
  <c r="AWP20" i="30"/>
  <c r="AWT20" i="30"/>
  <c r="AWX20" i="30"/>
  <c r="AXB20" i="30"/>
  <c r="AXF20" i="30"/>
  <c r="AXJ20" i="30"/>
  <c r="AXL20" i="30"/>
  <c r="AXM20" i="30"/>
  <c r="AXR20" i="30"/>
  <c r="AXV20" i="30"/>
  <c r="AXZ20" i="30"/>
  <c r="AYD20" i="30"/>
  <c r="AYH20" i="30"/>
  <c r="AYL20" i="30"/>
  <c r="AYP20" i="30"/>
  <c r="AYS20" i="30"/>
  <c r="AZB20" i="30"/>
  <c r="AZF20" i="30"/>
  <c r="AZJ20" i="30"/>
  <c r="AZN20" i="30"/>
  <c r="AZR20" i="30"/>
  <c r="AZV20" i="30"/>
  <c r="AZY20" i="30"/>
  <c r="BAH20" i="30"/>
  <c r="BAL20" i="30"/>
  <c r="BAP20" i="30"/>
  <c r="BAT20" i="30"/>
  <c r="BAX20" i="30"/>
  <c r="BBB20" i="30"/>
  <c r="BBE20" i="30"/>
  <c r="BBJ20" i="30"/>
  <c r="BBN20" i="30"/>
  <c r="BBR20" i="30"/>
  <c r="BBV20" i="30"/>
  <c r="BBZ20" i="30"/>
  <c r="BCD20" i="30"/>
  <c r="BCH20" i="30"/>
  <c r="BCJ20" i="30"/>
  <c r="BCK20" i="30"/>
  <c r="BCP20" i="30"/>
  <c r="BCT20" i="30"/>
  <c r="BCX20" i="30"/>
  <c r="BDB20" i="30"/>
  <c r="BDF20" i="30"/>
  <c r="BDJ20" i="30"/>
  <c r="BDN20" i="30"/>
  <c r="BDO20" i="30"/>
  <c r="BDQ20" i="30"/>
  <c r="BDZ20" i="30"/>
  <c r="BED20" i="30"/>
  <c r="BEH20" i="30"/>
  <c r="BEL20" i="30"/>
  <c r="BEP20" i="30"/>
  <c r="BET20" i="30"/>
  <c r="BEW20" i="30"/>
  <c r="BFF20" i="30"/>
  <c r="BFJ20" i="30"/>
  <c r="BFN20" i="30"/>
  <c r="BFR20" i="30"/>
  <c r="BFV20" i="30"/>
  <c r="BFZ20" i="30"/>
  <c r="BGC20" i="30"/>
  <c r="BGH20" i="30"/>
  <c r="BGL20" i="30"/>
  <c r="BGP20" i="30"/>
  <c r="BGT20" i="30"/>
  <c r="BGX20" i="30"/>
  <c r="BHB20" i="30"/>
  <c r="BHF20" i="30"/>
  <c r="BHI20" i="30"/>
  <c r="BHN20" i="30"/>
  <c r="BHR20" i="30"/>
  <c r="BHV20" i="30"/>
  <c r="BHZ20" i="30"/>
  <c r="BID20" i="30"/>
  <c r="BIH20" i="30"/>
  <c r="BIL20" i="30"/>
  <c r="BIM20" i="30"/>
  <c r="BIO20" i="30"/>
  <c r="BIX20" i="30"/>
  <c r="BJB20" i="30"/>
  <c r="BJF20" i="30"/>
  <c r="BJJ20" i="30"/>
  <c r="BJN20" i="30"/>
  <c r="BJR20" i="30"/>
  <c r="BJU20" i="30"/>
  <c r="BKD20" i="30"/>
  <c r="BKH20" i="30"/>
  <c r="BKL20" i="30"/>
  <c r="BKP20" i="30"/>
  <c r="BKT20" i="30"/>
  <c r="BKX20" i="30"/>
  <c r="BLA20" i="30"/>
  <c r="F21" i="30"/>
  <c r="J21" i="30"/>
  <c r="N21" i="30"/>
  <c r="R21" i="30"/>
  <c r="V21" i="30"/>
  <c r="Z21" i="30"/>
  <c r="AD21" i="30"/>
  <c r="AG21" i="30"/>
  <c r="AL21" i="30"/>
  <c r="AP21" i="30"/>
  <c r="AT21" i="30"/>
  <c r="AX21" i="30"/>
  <c r="BB21" i="30"/>
  <c r="BF21" i="30"/>
  <c r="BJ21" i="30"/>
  <c r="BM21" i="30"/>
  <c r="BV21" i="30"/>
  <c r="BZ21" i="30"/>
  <c r="CD21" i="30"/>
  <c r="CH21" i="30"/>
  <c r="CL21" i="30"/>
  <c r="CP21" i="30"/>
  <c r="CS21" i="30"/>
  <c r="DB21" i="30"/>
  <c r="DF21" i="30"/>
  <c r="DJ21" i="30"/>
  <c r="DN21" i="30"/>
  <c r="DR21" i="30"/>
  <c r="DV21" i="30"/>
  <c r="DY21" i="30"/>
  <c r="ED21" i="30"/>
  <c r="EH21" i="30"/>
  <c r="EL21" i="30"/>
  <c r="EP21" i="30"/>
  <c r="ET21" i="30"/>
  <c r="EX21" i="30"/>
  <c r="FB21" i="30"/>
  <c r="FD21" i="30"/>
  <c r="FE21" i="30"/>
  <c r="FJ21" i="30"/>
  <c r="FN21" i="30"/>
  <c r="FR21" i="30"/>
  <c r="FV21" i="30"/>
  <c r="FZ21" i="30"/>
  <c r="GD21" i="30"/>
  <c r="GH21" i="30"/>
  <c r="GK21" i="30"/>
  <c r="GT21" i="30"/>
  <c r="GX21" i="30"/>
  <c r="HB21" i="30"/>
  <c r="HF21" i="30"/>
  <c r="HJ21" i="30"/>
  <c r="HN21" i="30"/>
  <c r="HQ21" i="30"/>
  <c r="HZ21" i="30"/>
  <c r="ID21" i="30"/>
  <c r="IH21" i="30"/>
  <c r="IL21" i="30"/>
  <c r="IP21" i="30"/>
  <c r="IT21" i="30"/>
  <c r="IW21" i="30"/>
  <c r="JB21" i="30"/>
  <c r="JF21" i="30"/>
  <c r="JJ21" i="30"/>
  <c r="JN21" i="30"/>
  <c r="JR21" i="30"/>
  <c r="JV21" i="30"/>
  <c r="JZ21" i="30"/>
  <c r="KB21" i="30"/>
  <c r="KC21" i="30"/>
  <c r="KH21" i="30"/>
  <c r="KL21" i="30"/>
  <c r="KP21" i="30"/>
  <c r="KT21" i="30"/>
  <c r="KX21" i="30"/>
  <c r="LB21" i="30"/>
  <c r="LF21" i="30"/>
  <c r="LG21" i="30"/>
  <c r="LI21" i="30"/>
  <c r="LR21" i="30"/>
  <c r="LV21" i="30"/>
  <c r="LZ21" i="30"/>
  <c r="MD21" i="30"/>
  <c r="MH21" i="30"/>
  <c r="ML21" i="30"/>
  <c r="MO21" i="30"/>
  <c r="MX21" i="30"/>
  <c r="NB21" i="30"/>
  <c r="NF21" i="30"/>
  <c r="NJ21" i="30"/>
  <c r="NN21" i="30"/>
  <c r="NR21" i="30"/>
  <c r="NU21" i="30"/>
  <c r="NZ21" i="30"/>
  <c r="OD21" i="30"/>
  <c r="OH21" i="30"/>
  <c r="OL21" i="30"/>
  <c r="OP21" i="30"/>
  <c r="OT21" i="30"/>
  <c r="OX21" i="30"/>
  <c r="PA21" i="30"/>
  <c r="PF21" i="30"/>
  <c r="PJ21" i="30"/>
  <c r="PN21" i="30"/>
  <c r="PR21" i="30"/>
  <c r="PV21" i="30"/>
  <c r="PZ21" i="30"/>
  <c r="QD21" i="30"/>
  <c r="QE21" i="30"/>
  <c r="QG21" i="30"/>
  <c r="QP21" i="30"/>
  <c r="QT21" i="30"/>
  <c r="QX21" i="30"/>
  <c r="RB21" i="30"/>
  <c r="RF21" i="30"/>
  <c r="RJ21" i="30"/>
  <c r="RM21" i="30"/>
  <c r="RV21" i="30"/>
  <c r="RZ21" i="30"/>
  <c r="SD21" i="30"/>
  <c r="SH21" i="30"/>
  <c r="SL21" i="30"/>
  <c r="SP21" i="30"/>
  <c r="SS21" i="30"/>
  <c r="SX21" i="30"/>
  <c r="TB21" i="30"/>
  <c r="TF21" i="30"/>
  <c r="TJ21" i="30"/>
  <c r="TN21" i="30"/>
  <c r="TR21" i="30"/>
  <c r="TV21" i="30"/>
  <c r="TY21" i="30"/>
  <c r="UD21" i="30"/>
  <c r="UH21" i="30"/>
  <c r="UL21" i="30"/>
  <c r="UP21" i="30"/>
  <c r="UT21" i="30"/>
  <c r="UX21" i="30"/>
  <c r="VB21" i="30"/>
  <c r="VE21" i="30"/>
  <c r="VN21" i="30"/>
  <c r="VR21" i="30"/>
  <c r="VV21" i="30"/>
  <c r="VZ21" i="30"/>
  <c r="WD21" i="30"/>
  <c r="WH21" i="30"/>
  <c r="WK21" i="30"/>
  <c r="WT21" i="30"/>
  <c r="WX21" i="30"/>
  <c r="XB21" i="30"/>
  <c r="XF21" i="30"/>
  <c r="XJ21" i="30"/>
  <c r="XN21" i="30"/>
  <c r="XQ21" i="30"/>
  <c r="XV21" i="30"/>
  <c r="XZ21" i="30"/>
  <c r="YD21" i="30"/>
  <c r="YH21" i="30"/>
  <c r="YL21" i="30"/>
  <c r="YP21" i="30"/>
  <c r="YT21" i="30"/>
  <c r="YV21" i="30"/>
  <c r="YW21" i="30"/>
  <c r="ZB21" i="30"/>
  <c r="ZF21" i="30"/>
  <c r="ZJ21" i="30"/>
  <c r="ZN21" i="30"/>
  <c r="ZR21" i="30"/>
  <c r="ZV21" i="30"/>
  <c r="ZZ21" i="30"/>
  <c r="AAL21" i="30"/>
  <c r="AAP21" i="30"/>
  <c r="AAT21" i="30"/>
  <c r="AAX21" i="30"/>
  <c r="ABB21" i="30"/>
  <c r="ABF21" i="30"/>
  <c r="ABI21" i="30"/>
  <c r="ABR21" i="30"/>
  <c r="ABV21" i="30"/>
  <c r="ABZ21" i="30"/>
  <c r="ACD21" i="30"/>
  <c r="ACH21" i="30"/>
  <c r="ACL21" i="30"/>
  <c r="ACO21" i="30"/>
  <c r="ACT21" i="30"/>
  <c r="ACX21" i="30"/>
  <c r="ADB21" i="30"/>
  <c r="ADF21" i="30"/>
  <c r="ADJ21" i="30"/>
  <c r="ADN21" i="30"/>
  <c r="ADR21" i="30"/>
  <c r="ADT21" i="30"/>
  <c r="ADU21" i="30"/>
  <c r="ADZ21" i="30"/>
  <c r="AED21" i="30"/>
  <c r="AEH21" i="30"/>
  <c r="AEL21" i="30"/>
  <c r="AEP21" i="30"/>
  <c r="AET21" i="30"/>
  <c r="AEX21" i="30"/>
  <c r="AEY21" i="30"/>
  <c r="AFA21" i="30"/>
  <c r="AFJ21" i="30"/>
  <c r="AFN21" i="30"/>
  <c r="AFR21" i="30"/>
  <c r="AFV21" i="30"/>
  <c r="AFZ21" i="30"/>
  <c r="AGD21" i="30"/>
  <c r="AGG21" i="30"/>
  <c r="AGP21" i="30"/>
  <c r="AGT21" i="30"/>
  <c r="AGX21" i="30"/>
  <c r="AHB21" i="30"/>
  <c r="AHF21" i="30"/>
  <c r="AHJ21" i="30"/>
  <c r="AHM21" i="30"/>
  <c r="AHR21" i="30"/>
  <c r="AHV21" i="30"/>
  <c r="AHZ21" i="30"/>
  <c r="AID21" i="30"/>
  <c r="AIH21" i="30"/>
  <c r="AIL21" i="30"/>
  <c r="AIP21" i="30"/>
  <c r="AIS21" i="30"/>
  <c r="AIX21" i="30"/>
  <c r="AJB21" i="30"/>
  <c r="AJF21" i="30"/>
  <c r="AJJ21" i="30"/>
  <c r="AJN21" i="30"/>
  <c r="AJR21" i="30"/>
  <c r="AJV21" i="30"/>
  <c r="AJW21" i="30"/>
  <c r="AJY21" i="30"/>
  <c r="AKH21" i="30"/>
  <c r="AKL21" i="30"/>
  <c r="AKP21" i="30"/>
  <c r="AKT21" i="30"/>
  <c r="AKX21" i="30"/>
  <c r="ALB21" i="30"/>
  <c r="ALE21" i="30"/>
  <c r="ALN21" i="30"/>
  <c r="ALR21" i="30"/>
  <c r="ALV21" i="30"/>
  <c r="ALZ21" i="30"/>
  <c r="AMD21" i="30"/>
  <c r="AMH21" i="30"/>
  <c r="AMK21" i="30"/>
  <c r="AMP21" i="30"/>
  <c r="AMT21" i="30"/>
  <c r="AMX21" i="30"/>
  <c r="ANB21" i="30"/>
  <c r="ANF21" i="30"/>
  <c r="ANJ21" i="30"/>
  <c r="ANN21" i="30"/>
  <c r="ANQ21" i="30"/>
  <c r="ANV21" i="30"/>
  <c r="ANZ21" i="30"/>
  <c r="AOD21" i="30"/>
  <c r="AOH21" i="30"/>
  <c r="AOL21" i="30"/>
  <c r="AOP21" i="30"/>
  <c r="AOT21" i="30"/>
  <c r="AOW21" i="30"/>
  <c r="APF21" i="30"/>
  <c r="APJ21" i="30"/>
  <c r="APN21" i="30"/>
  <c r="APR21" i="30"/>
  <c r="APV21" i="30"/>
  <c r="APZ21" i="30"/>
  <c r="AQC21" i="30"/>
  <c r="AQL21" i="30"/>
  <c r="AQP21" i="30"/>
  <c r="AQT21" i="30"/>
  <c r="AQX21" i="30"/>
  <c r="ARB21" i="30"/>
  <c r="ARF21" i="30"/>
  <c r="ARI21" i="30"/>
  <c r="ARN21" i="30"/>
  <c r="ARR21" i="30"/>
  <c r="ARV21" i="30"/>
  <c r="ARZ21" i="30"/>
  <c r="ASD21" i="30"/>
  <c r="ASH21" i="30"/>
  <c r="ASL21" i="30"/>
  <c r="ASN21" i="30"/>
  <c r="ASO21" i="30"/>
  <c r="AST21" i="30"/>
  <c r="ASX21" i="30"/>
  <c r="ATB21" i="30"/>
  <c r="ATF21" i="30"/>
  <c r="ATJ21" i="30"/>
  <c r="ATN21" i="30"/>
  <c r="ATR21" i="30"/>
  <c r="ATU21" i="30"/>
  <c r="AUD21" i="30"/>
  <c r="AUH21" i="30"/>
  <c r="AUL21" i="30"/>
  <c r="AUP21" i="30"/>
  <c r="AUT21" i="30"/>
  <c r="AUX21" i="30"/>
  <c r="AVA21" i="30"/>
  <c r="AVJ21" i="30"/>
  <c r="AVN21" i="30"/>
  <c r="AVR21" i="30"/>
  <c r="AVV21" i="30"/>
  <c r="AVZ21" i="30"/>
  <c r="AWD21" i="30"/>
  <c r="AWG21" i="30"/>
  <c r="AWL21" i="30"/>
  <c r="AWP21" i="30"/>
  <c r="AWT21" i="30"/>
  <c r="AWX21" i="30"/>
  <c r="AXB21" i="30"/>
  <c r="AXF21" i="30"/>
  <c r="AXJ21" i="30"/>
  <c r="AXL21" i="30"/>
  <c r="AXM21" i="30"/>
  <c r="AXR21" i="30"/>
  <c r="AXV21" i="30"/>
  <c r="AXZ21" i="30"/>
  <c r="AYD21" i="30"/>
  <c r="AYH21" i="30"/>
  <c r="AYL21" i="30"/>
  <c r="AYP21" i="30"/>
  <c r="AYQ21" i="30"/>
  <c r="AYS21" i="30"/>
  <c r="AZB21" i="30"/>
  <c r="AZF21" i="30"/>
  <c r="AZJ21" i="30"/>
  <c r="AZN21" i="30"/>
  <c r="AZR21" i="30"/>
  <c r="AZV21" i="30"/>
  <c r="AZY21" i="30"/>
  <c r="BAH21" i="30"/>
  <c r="BAL21" i="30"/>
  <c r="BAP21" i="30"/>
  <c r="BAT21" i="30"/>
  <c r="BAX21" i="30"/>
  <c r="BBB21" i="30"/>
  <c r="BBE21" i="30"/>
  <c r="BBJ21" i="30"/>
  <c r="BBN21" i="30"/>
  <c r="BBR21" i="30"/>
  <c r="BBV21" i="30"/>
  <c r="BBZ21" i="30"/>
  <c r="BCD21" i="30"/>
  <c r="BCH21" i="30"/>
  <c r="BCK21" i="30"/>
  <c r="BCP21" i="30"/>
  <c r="BCT21" i="30"/>
  <c r="BCX21" i="30"/>
  <c r="BDB21" i="30"/>
  <c r="BDF21" i="30"/>
  <c r="BDJ21" i="30"/>
  <c r="BDN21" i="30"/>
  <c r="BDO21" i="30"/>
  <c r="BDQ21" i="30"/>
  <c r="BDZ21" i="30"/>
  <c r="BED21" i="30"/>
  <c r="BEH21" i="30"/>
  <c r="BEL21" i="30"/>
  <c r="BEP21" i="30"/>
  <c r="BET21" i="30"/>
  <c r="BEW21" i="30"/>
  <c r="BFF21" i="30"/>
  <c r="BFJ21" i="30"/>
  <c r="BFN21" i="30"/>
  <c r="BFR21" i="30"/>
  <c r="BFV21" i="30"/>
  <c r="BFZ21" i="30"/>
  <c r="BGC21" i="30"/>
  <c r="BGH21" i="30"/>
  <c r="BGL21" i="30"/>
  <c r="BGP21" i="30"/>
  <c r="BGT21" i="30"/>
  <c r="BGX21" i="30"/>
  <c r="BHB21" i="30"/>
  <c r="BHF21" i="30"/>
  <c r="BHI21" i="30"/>
  <c r="BHN21" i="30"/>
  <c r="BHR21" i="30"/>
  <c r="BHV21" i="30"/>
  <c r="BHZ21" i="30"/>
  <c r="BID21" i="30"/>
  <c r="BIH21" i="30"/>
  <c r="BIL21" i="30"/>
  <c r="BIO21" i="30"/>
  <c r="BIX21" i="30"/>
  <c r="BJB21" i="30"/>
  <c r="BJF21" i="30"/>
  <c r="BJJ21" i="30"/>
  <c r="BJN21" i="30"/>
  <c r="BJR21" i="30"/>
  <c r="BJU21" i="30"/>
  <c r="BKD21" i="30"/>
  <c r="BKH21" i="30"/>
  <c r="BKL21" i="30"/>
  <c r="BKP21" i="30"/>
  <c r="BKT21" i="30"/>
  <c r="BKX21" i="30"/>
  <c r="BLA21" i="30"/>
  <c r="F22" i="30"/>
  <c r="J22" i="30"/>
  <c r="N22" i="30"/>
  <c r="R22" i="30"/>
  <c r="V22" i="30"/>
  <c r="Z22" i="30"/>
  <c r="AD22" i="30"/>
  <c r="AF22" i="30"/>
  <c r="AG22" i="30"/>
  <c r="AL22" i="30"/>
  <c r="AP22" i="30"/>
  <c r="AT22" i="30"/>
  <c r="AX22" i="30"/>
  <c r="BB22" i="30"/>
  <c r="BF22" i="30"/>
  <c r="BJ22" i="30"/>
  <c r="BM22" i="30"/>
  <c r="BV22" i="30"/>
  <c r="BZ22" i="30"/>
  <c r="CD22" i="30"/>
  <c r="CH22" i="30"/>
  <c r="CL22" i="30"/>
  <c r="CP22" i="30"/>
  <c r="CS22" i="30"/>
  <c r="DB22" i="30"/>
  <c r="DF22" i="30"/>
  <c r="DJ22" i="30"/>
  <c r="DN22" i="30"/>
  <c r="DR22" i="30"/>
  <c r="DV22" i="30"/>
  <c r="DY22" i="30"/>
  <c r="ED22" i="30"/>
  <c r="EH22" i="30"/>
  <c r="EL22" i="30"/>
  <c r="EP22" i="30"/>
  <c r="ET22" i="30"/>
  <c r="EX22" i="30"/>
  <c r="FB22" i="30"/>
  <c r="FD22" i="30"/>
  <c r="FE22" i="30"/>
  <c r="FJ22" i="30"/>
  <c r="FN22" i="30"/>
  <c r="FR22" i="30"/>
  <c r="FV22" i="30"/>
  <c r="FZ22" i="30"/>
  <c r="GD22" i="30"/>
  <c r="GH22" i="30"/>
  <c r="GI22" i="30"/>
  <c r="GK22" i="30"/>
  <c r="GT22" i="30"/>
  <c r="GX22" i="30"/>
  <c r="HB22" i="30"/>
  <c r="HF22" i="30"/>
  <c r="HJ22" i="30"/>
  <c r="HN22" i="30"/>
  <c r="HQ22" i="30"/>
  <c r="HZ22" i="30"/>
  <c r="ID22" i="30"/>
  <c r="IH22" i="30"/>
  <c r="IL22" i="30"/>
  <c r="IP22" i="30"/>
  <c r="IT22" i="30"/>
  <c r="IW22" i="30"/>
  <c r="JB22" i="30"/>
  <c r="JF22" i="30"/>
  <c r="JJ22" i="30"/>
  <c r="JN22" i="30"/>
  <c r="JR22" i="30"/>
  <c r="JV22" i="30"/>
  <c r="JZ22" i="30"/>
  <c r="KB22" i="30"/>
  <c r="KC22" i="30"/>
  <c r="KH22" i="30"/>
  <c r="KL22" i="30"/>
  <c r="KP22" i="30"/>
  <c r="KT22" i="30"/>
  <c r="KX22" i="30"/>
  <c r="LB22" i="30"/>
  <c r="LF22" i="30"/>
  <c r="LG22" i="30"/>
  <c r="LI22" i="30"/>
  <c r="LN22" i="30"/>
  <c r="LR22" i="30"/>
  <c r="LV22" i="30"/>
  <c r="LZ22" i="30"/>
  <c r="MD22" i="30"/>
  <c r="MH22" i="30"/>
  <c r="ML22" i="30"/>
  <c r="MO22" i="30"/>
  <c r="MX22" i="30"/>
  <c r="NB22" i="30"/>
  <c r="NF22" i="30"/>
  <c r="NJ22" i="30"/>
  <c r="NN22" i="30"/>
  <c r="NR22" i="30"/>
  <c r="NU22" i="30"/>
  <c r="NZ22" i="30"/>
  <c r="OH22" i="30"/>
  <c r="OL22" i="30"/>
  <c r="OP22" i="30"/>
  <c r="OT22" i="30"/>
  <c r="OX22" i="30"/>
  <c r="OZ22" i="30"/>
  <c r="PA22" i="30"/>
  <c r="PF22" i="30"/>
  <c r="PJ22" i="30"/>
  <c r="PN22" i="30"/>
  <c r="PR22" i="30"/>
  <c r="PV22" i="30"/>
  <c r="PZ22" i="30"/>
  <c r="QD22" i="30"/>
  <c r="QE22" i="30"/>
  <c r="QG22" i="30"/>
  <c r="QL22" i="30"/>
  <c r="QP22" i="30"/>
  <c r="QT22" i="30"/>
  <c r="QX22" i="30"/>
  <c r="RB22" i="30"/>
  <c r="RF22" i="30"/>
  <c r="RJ22" i="30"/>
  <c r="RM22" i="30"/>
  <c r="RV22" i="30"/>
  <c r="RZ22" i="30"/>
  <c r="SD22" i="30"/>
  <c r="SH22" i="30"/>
  <c r="SL22" i="30"/>
  <c r="SP22" i="30"/>
  <c r="SS22" i="30"/>
  <c r="SX22" i="30"/>
  <c r="TF22" i="30"/>
  <c r="TJ22" i="30"/>
  <c r="TN22" i="30"/>
  <c r="TR22" i="30"/>
  <c r="TV22" i="30"/>
  <c r="TX22" i="30"/>
  <c r="TY22" i="30"/>
  <c r="UD22" i="30"/>
  <c r="UH22" i="30"/>
  <c r="UL22" i="30"/>
  <c r="UP22" i="30"/>
  <c r="UT22" i="30"/>
  <c r="UX22" i="30"/>
  <c r="VB22" i="30"/>
  <c r="VC22" i="30"/>
  <c r="VE22" i="30"/>
  <c r="VJ22" i="30"/>
  <c r="VN22" i="30"/>
  <c r="VR22" i="30"/>
  <c r="VV22" i="30"/>
  <c r="VZ22" i="30"/>
  <c r="WD22" i="30"/>
  <c r="WH22" i="30"/>
  <c r="WK22" i="30"/>
  <c r="WT22" i="30"/>
  <c r="WX22" i="30"/>
  <c r="XB22" i="30"/>
  <c r="XF22" i="30"/>
  <c r="XJ22" i="30"/>
  <c r="XN22" i="30"/>
  <c r="XQ22" i="30"/>
  <c r="XV22" i="30"/>
  <c r="YD22" i="30"/>
  <c r="YH22" i="30"/>
  <c r="YL22" i="30"/>
  <c r="YP22" i="30"/>
  <c r="YT22" i="30"/>
  <c r="YV22" i="30"/>
  <c r="YW22" i="30"/>
  <c r="ZB22" i="30"/>
  <c r="ZF22" i="30"/>
  <c r="ZJ22" i="30"/>
  <c r="ZN22" i="30"/>
  <c r="ZR22" i="30"/>
  <c r="ZV22" i="30"/>
  <c r="ZZ22" i="30"/>
  <c r="AAA22" i="30"/>
  <c r="AAH22" i="30"/>
  <c r="AAL22" i="30"/>
  <c r="AAP22" i="30"/>
  <c r="AAT22" i="30"/>
  <c r="AAX22" i="30"/>
  <c r="ABB22" i="30"/>
  <c r="ABF22" i="30"/>
  <c r="ABI22" i="30"/>
  <c r="ABR22" i="30"/>
  <c r="ABV22" i="30"/>
  <c r="ABZ22" i="30"/>
  <c r="ACD22" i="30"/>
  <c r="ACH22" i="30"/>
  <c r="ACL22" i="30"/>
  <c r="ACO22" i="30"/>
  <c r="ACT22" i="30"/>
  <c r="ADB22" i="30"/>
  <c r="ADF22" i="30"/>
  <c r="ADJ22" i="30"/>
  <c r="ADN22" i="30"/>
  <c r="ADR22" i="30"/>
  <c r="ADT22" i="30"/>
  <c r="ADU22" i="30"/>
  <c r="ADZ22" i="30"/>
  <c r="AED22" i="30"/>
  <c r="AEH22" i="30"/>
  <c r="AEL22" i="30"/>
  <c r="AEP22" i="30"/>
  <c r="AET22" i="30"/>
  <c r="AEX22" i="30"/>
  <c r="AEY22" i="30"/>
  <c r="AFA22" i="30"/>
  <c r="AFJ22" i="30"/>
  <c r="AFN22" i="30"/>
  <c r="AFR22" i="30"/>
  <c r="AFV22" i="30"/>
  <c r="AFZ22" i="30"/>
  <c r="AGD22" i="30"/>
  <c r="AGG22" i="30"/>
  <c r="AGP22" i="30"/>
  <c r="AGT22" i="30"/>
  <c r="AGX22" i="30"/>
  <c r="AHB22" i="30"/>
  <c r="AHF22" i="30"/>
  <c r="AHJ22" i="30"/>
  <c r="AHM22" i="30"/>
  <c r="AHR22" i="30"/>
  <c r="AHZ22" i="30"/>
  <c r="AID22" i="30"/>
  <c r="AIH22" i="30"/>
  <c r="AIL22" i="30"/>
  <c r="AIP22" i="30"/>
  <c r="AIR22" i="30"/>
  <c r="AIS22" i="30"/>
  <c r="AIX22" i="30"/>
  <c r="AJB22" i="30"/>
  <c r="AJF22" i="30"/>
  <c r="AJJ22" i="30"/>
  <c r="AJN22" i="30"/>
  <c r="AJR22" i="30"/>
  <c r="AJV22" i="30"/>
  <c r="AJW22" i="30"/>
  <c r="AJY22" i="30"/>
  <c r="AKH22" i="30"/>
  <c r="AKL22" i="30"/>
  <c r="AKP22" i="30"/>
  <c r="AKT22" i="30"/>
  <c r="AKX22" i="30"/>
  <c r="ALB22" i="30"/>
  <c r="ALE22" i="30"/>
  <c r="ALN22" i="30"/>
  <c r="ALR22" i="30"/>
  <c r="ALV22" i="30"/>
  <c r="ALZ22" i="30"/>
  <c r="AMD22" i="30"/>
  <c r="AMH22" i="30"/>
  <c r="AMK22" i="30"/>
  <c r="AMP22" i="30"/>
  <c r="AMX22" i="30"/>
  <c r="ANB22" i="30"/>
  <c r="ANF22" i="30"/>
  <c r="ANJ22" i="30"/>
  <c r="ANN22" i="30"/>
  <c r="ANQ22" i="30"/>
  <c r="ANV22" i="30"/>
  <c r="ANZ22" i="30"/>
  <c r="AOD22" i="30"/>
  <c r="AOH22" i="30"/>
  <c r="AOL22" i="30"/>
  <c r="AOP22" i="30"/>
  <c r="AOT22" i="30"/>
  <c r="AOU22" i="30"/>
  <c r="AOW22" i="30"/>
  <c r="APF22" i="30"/>
  <c r="APJ22" i="30"/>
  <c r="APN22" i="30"/>
  <c r="APR22" i="30"/>
  <c r="APV22" i="30"/>
  <c r="APZ22" i="30"/>
  <c r="AQC22" i="30"/>
  <c r="AQL22" i="30"/>
  <c r="AQP22" i="30"/>
  <c r="AQT22" i="30"/>
  <c r="AQX22" i="30"/>
  <c r="ARB22" i="30"/>
  <c r="ARF22" i="30"/>
  <c r="ARI22" i="30"/>
  <c r="ARN22" i="30"/>
  <c r="ARV22" i="30"/>
  <c r="ARZ22" i="30"/>
  <c r="ASD22" i="30"/>
  <c r="ASH22" i="30"/>
  <c r="ASL22" i="30"/>
  <c r="ASN22" i="30"/>
  <c r="ASO22" i="30"/>
  <c r="AST22" i="30"/>
  <c r="ASX22" i="30"/>
  <c r="ATB22" i="30"/>
  <c r="ATF22" i="30"/>
  <c r="ATJ22" i="30"/>
  <c r="ATN22" i="30"/>
  <c r="ATR22" i="30"/>
  <c r="ATS22" i="30"/>
  <c r="ATU22" i="30"/>
  <c r="AUD22" i="30"/>
  <c r="AUH22" i="30"/>
  <c r="AUL22" i="30"/>
  <c r="AUP22" i="30"/>
  <c r="AUT22" i="30"/>
  <c r="AUX22" i="30"/>
  <c r="AVA22" i="30"/>
  <c r="AVJ22" i="30"/>
  <c r="AVN22" i="30"/>
  <c r="AVR22" i="30"/>
  <c r="AVV22" i="30"/>
  <c r="AVZ22" i="30"/>
  <c r="AWD22" i="30"/>
  <c r="AWG22" i="30"/>
  <c r="AWL22" i="30"/>
  <c r="AWT22" i="30"/>
  <c r="AWX22" i="30"/>
  <c r="AXB22" i="30"/>
  <c r="AXF22" i="30"/>
  <c r="AXJ22" i="30"/>
  <c r="AXL22" i="30"/>
  <c r="AXM22" i="30"/>
  <c r="AXR22" i="30"/>
  <c r="AXV22" i="30"/>
  <c r="AXZ22" i="30"/>
  <c r="AYD22" i="30"/>
  <c r="AYH22" i="30"/>
  <c r="AYL22" i="30"/>
  <c r="AYP22" i="30"/>
  <c r="AYQ22" i="30"/>
  <c r="AYS22" i="30"/>
  <c r="AZB22" i="30"/>
  <c r="AZF22" i="30"/>
  <c r="AZJ22" i="30"/>
  <c r="AZN22" i="30"/>
  <c r="AZR22" i="30"/>
  <c r="AZV22" i="30"/>
  <c r="AZY22" i="30"/>
  <c r="BAH22" i="30"/>
  <c r="BAL22" i="30"/>
  <c r="BAP22" i="30"/>
  <c r="BAT22" i="30"/>
  <c r="BAX22" i="30"/>
  <c r="BBB22" i="30"/>
  <c r="BBE22" i="30"/>
  <c r="BBJ22" i="30"/>
  <c r="BBR22" i="30"/>
  <c r="BBV22" i="30"/>
  <c r="BBZ22" i="30"/>
  <c r="BCD22" i="30"/>
  <c r="BCH22" i="30"/>
  <c r="BCJ22" i="30"/>
  <c r="BCK22" i="30"/>
  <c r="BCP22" i="30"/>
  <c r="BCT22" i="30"/>
  <c r="BCX22" i="30"/>
  <c r="BDB22" i="30"/>
  <c r="BDF22" i="30"/>
  <c r="BDJ22" i="30"/>
  <c r="BDN22" i="30"/>
  <c r="BDO22" i="30"/>
  <c r="BDQ22" i="30"/>
  <c r="BDZ22" i="30"/>
  <c r="BED22" i="30"/>
  <c r="BEH22" i="30"/>
  <c r="BEL22" i="30"/>
  <c r="BEP22" i="30"/>
  <c r="BET22" i="30"/>
  <c r="BEW22" i="30"/>
  <c r="BFF22" i="30"/>
  <c r="BFJ22" i="30"/>
  <c r="BFN22" i="30"/>
  <c r="BFR22" i="30"/>
  <c r="BFV22" i="30"/>
  <c r="BFZ22" i="30"/>
  <c r="BGC22" i="30"/>
  <c r="BGH22" i="30"/>
  <c r="BGP22" i="30"/>
  <c r="BGT22" i="30"/>
  <c r="BGX22" i="30"/>
  <c r="BHB22" i="30"/>
  <c r="BHF22" i="30"/>
  <c r="BHI22" i="30"/>
  <c r="BHN22" i="30"/>
  <c r="BHR22" i="30"/>
  <c r="BHV22" i="30"/>
  <c r="BHZ22" i="30"/>
  <c r="BID22" i="30"/>
  <c r="BIH22" i="30"/>
  <c r="BIL22" i="30"/>
  <c r="BIM22" i="30"/>
  <c r="BIO22" i="30"/>
  <c r="BIX22" i="30"/>
  <c r="BJB22" i="30"/>
  <c r="BJF22" i="30"/>
  <c r="BJJ22" i="30"/>
  <c r="BJN22" i="30"/>
  <c r="BJR22" i="30"/>
  <c r="BJU22" i="30"/>
  <c r="BKD22" i="30"/>
  <c r="BKH22" i="30"/>
  <c r="BKL22" i="30"/>
  <c r="BKP22" i="30"/>
  <c r="BKT22" i="30"/>
  <c r="BKX22" i="30"/>
  <c r="BLA22" i="30"/>
  <c r="F23" i="30"/>
  <c r="N23" i="30"/>
  <c r="R23" i="30"/>
  <c r="V23" i="30"/>
  <c r="Z23" i="30"/>
  <c r="AD23" i="30"/>
  <c r="AF23" i="30"/>
  <c r="AG23" i="30"/>
  <c r="AL23" i="30"/>
  <c r="AP23" i="30"/>
  <c r="AT23" i="30"/>
  <c r="AX23" i="30"/>
  <c r="BB23" i="30"/>
  <c r="BF23" i="30"/>
  <c r="BJ23" i="30"/>
  <c r="BK23" i="30"/>
  <c r="BM23" i="30"/>
  <c r="BV23" i="30"/>
  <c r="BZ23" i="30"/>
  <c r="CD23" i="30"/>
  <c r="CH23" i="30"/>
  <c r="CL23" i="30"/>
  <c r="CP23" i="30"/>
  <c r="CS23" i="30"/>
  <c r="DB23" i="30"/>
  <c r="DF23" i="30"/>
  <c r="DJ23" i="30"/>
  <c r="DN23" i="30"/>
  <c r="DR23" i="30"/>
  <c r="DV23" i="30"/>
  <c r="DY23" i="30"/>
  <c r="ED23" i="30"/>
  <c r="EL23" i="30"/>
  <c r="EP23" i="30"/>
  <c r="ET23" i="30"/>
  <c r="EX23" i="30"/>
  <c r="FB23" i="30"/>
  <c r="FD23" i="30"/>
  <c r="FE23" i="30"/>
  <c r="FJ23" i="30"/>
  <c r="FN23" i="30"/>
  <c r="FR23" i="30"/>
  <c r="FV23" i="30"/>
  <c r="FZ23" i="30"/>
  <c r="GD23" i="30"/>
  <c r="GH23" i="30"/>
  <c r="GI23" i="30"/>
  <c r="GK23" i="30"/>
  <c r="GT23" i="30"/>
  <c r="GX23" i="30"/>
  <c r="HB23" i="30"/>
  <c r="HF23" i="30"/>
  <c r="HJ23" i="30"/>
  <c r="HN23" i="30"/>
  <c r="HQ23" i="30"/>
  <c r="HZ23" i="30"/>
  <c r="ID23" i="30"/>
  <c r="IH23" i="30"/>
  <c r="IL23" i="30"/>
  <c r="IP23" i="30"/>
  <c r="IT23" i="30"/>
  <c r="IW23" i="30"/>
  <c r="JB23" i="30"/>
  <c r="JJ23" i="30"/>
  <c r="JN23" i="30"/>
  <c r="JR23" i="30"/>
  <c r="JV23" i="30"/>
  <c r="JZ23" i="30"/>
  <c r="KB23" i="30"/>
  <c r="KC23" i="30"/>
  <c r="KH23" i="30"/>
  <c r="KL23" i="30"/>
  <c r="KP23" i="30"/>
  <c r="KT23" i="30"/>
  <c r="KX23" i="30"/>
  <c r="LB23" i="30"/>
  <c r="LF23" i="30"/>
  <c r="LG23" i="30"/>
  <c r="LI23" i="30"/>
  <c r="LR23" i="30"/>
  <c r="LV23" i="30"/>
  <c r="LZ23" i="30"/>
  <c r="MD23" i="30"/>
  <c r="MH23" i="30"/>
  <c r="ML23" i="30"/>
  <c r="MO23" i="30"/>
  <c r="MX23" i="30"/>
  <c r="NB23" i="30"/>
  <c r="NF23" i="30"/>
  <c r="NJ23" i="30"/>
  <c r="NN23" i="30"/>
  <c r="NR23" i="30"/>
  <c r="NU23" i="30"/>
  <c r="NZ23" i="30"/>
  <c r="OH23" i="30"/>
  <c r="OL23" i="30"/>
  <c r="OP23" i="30"/>
  <c r="OT23" i="30"/>
  <c r="OX23" i="30"/>
  <c r="OZ23" i="30"/>
  <c r="PA23" i="30"/>
  <c r="PF23" i="30"/>
  <c r="PJ23" i="30"/>
  <c r="PN23" i="30"/>
  <c r="PR23" i="30"/>
  <c r="PV23" i="30"/>
  <c r="PZ23" i="30"/>
  <c r="QD23" i="30"/>
  <c r="QE23" i="30"/>
  <c r="QG23" i="30"/>
  <c r="QP23" i="30"/>
  <c r="QT23" i="30"/>
  <c r="QX23" i="30"/>
  <c r="RB23" i="30"/>
  <c r="RF23" i="30"/>
  <c r="RJ23" i="30"/>
  <c r="RM23" i="30"/>
  <c r="RV23" i="30"/>
  <c r="RZ23" i="30"/>
  <c r="SD23" i="30"/>
  <c r="SH23" i="30"/>
  <c r="SL23" i="30"/>
  <c r="SP23" i="30"/>
  <c r="SS23" i="30"/>
  <c r="SX23" i="30"/>
  <c r="TF23" i="30"/>
  <c r="TJ23" i="30"/>
  <c r="TN23" i="30"/>
  <c r="TR23" i="30"/>
  <c r="TV23" i="30"/>
  <c r="TY23" i="30"/>
  <c r="UD23" i="30"/>
  <c r="UH23" i="30"/>
  <c r="UL23" i="30"/>
  <c r="UP23" i="30"/>
  <c r="UT23" i="30"/>
  <c r="UX23" i="30"/>
  <c r="VB23" i="30"/>
  <c r="VC23" i="30"/>
  <c r="VE23" i="30"/>
  <c r="VN23" i="30"/>
  <c r="VR23" i="30"/>
  <c r="VV23" i="30"/>
  <c r="VZ23" i="30"/>
  <c r="WD23" i="30"/>
  <c r="WH23" i="30"/>
  <c r="WK23" i="30"/>
  <c r="WT23" i="30"/>
  <c r="WX23" i="30"/>
  <c r="XB23" i="30"/>
  <c r="XF23" i="30"/>
  <c r="XJ23" i="30"/>
  <c r="XN23" i="30"/>
  <c r="XQ23" i="30"/>
  <c r="XV23" i="30"/>
  <c r="YD23" i="30"/>
  <c r="YH23" i="30"/>
  <c r="YL23" i="30"/>
  <c r="YP23" i="30"/>
  <c r="YT23" i="30"/>
  <c r="YV23" i="30"/>
  <c r="YW23" i="30"/>
  <c r="ZB23" i="30"/>
  <c r="ZF23" i="30"/>
  <c r="ZJ23" i="30"/>
  <c r="ZN23" i="30"/>
  <c r="ZR23" i="30"/>
  <c r="ZV23" i="30"/>
  <c r="ZZ23" i="30"/>
  <c r="AAA23" i="30"/>
  <c r="AAL23" i="30"/>
  <c r="AAP23" i="30"/>
  <c r="AAT23" i="30"/>
  <c r="AAX23" i="30"/>
  <c r="ABB23" i="30"/>
  <c r="ABF23" i="30"/>
  <c r="ABI23" i="30"/>
  <c r="ABR23" i="30"/>
  <c r="ABV23" i="30"/>
  <c r="ABZ23" i="30"/>
  <c r="ACD23" i="30"/>
  <c r="ACH23" i="30"/>
  <c r="ACL23" i="30"/>
  <c r="ACO23" i="30"/>
  <c r="ACT23" i="30"/>
  <c r="ADB23" i="30"/>
  <c r="ADF23" i="30"/>
  <c r="ADJ23" i="30"/>
  <c r="ADN23" i="30"/>
  <c r="ADR23" i="30"/>
  <c r="ADT23" i="30"/>
  <c r="ADU23" i="30"/>
  <c r="ADZ23" i="30"/>
  <c r="AED23" i="30"/>
  <c r="AEH23" i="30"/>
  <c r="AEL23" i="30"/>
  <c r="AEP23" i="30"/>
  <c r="AET23" i="30"/>
  <c r="AEX23" i="30"/>
  <c r="AEY23" i="30"/>
  <c r="AFA23" i="30"/>
  <c r="AFJ23" i="30"/>
  <c r="AFN23" i="30"/>
  <c r="AFR23" i="30"/>
  <c r="AFV23" i="30"/>
  <c r="AFZ23" i="30"/>
  <c r="AGD23" i="30"/>
  <c r="AGG23" i="30"/>
  <c r="AGP23" i="30"/>
  <c r="AGT23" i="30"/>
  <c r="AGX23" i="30"/>
  <c r="AHB23" i="30"/>
  <c r="AHF23" i="30"/>
  <c r="AHJ23" i="30"/>
  <c r="AHM23" i="30"/>
  <c r="AHR23" i="30"/>
  <c r="AHZ23" i="30"/>
  <c r="AID23" i="30"/>
  <c r="AIH23" i="30"/>
  <c r="AIL23" i="30"/>
  <c r="AIP23" i="30"/>
  <c r="AIR23" i="30"/>
  <c r="AIS23" i="30"/>
  <c r="AIX23" i="30"/>
  <c r="AJB23" i="30"/>
  <c r="AJF23" i="30"/>
  <c r="AJJ23" i="30"/>
  <c r="AJN23" i="30"/>
  <c r="AJR23" i="30"/>
  <c r="AJV23" i="30"/>
  <c r="AJW23" i="30"/>
  <c r="AJY23" i="30"/>
  <c r="AKH23" i="30"/>
  <c r="AKL23" i="30"/>
  <c r="AKP23" i="30"/>
  <c r="AKT23" i="30"/>
  <c r="AKX23" i="30"/>
  <c r="ALB23" i="30"/>
  <c r="ALE23" i="30"/>
  <c r="ALN23" i="30"/>
  <c r="ALR23" i="30"/>
  <c r="ALV23" i="30"/>
  <c r="ALZ23" i="30"/>
  <c r="AMD23" i="30"/>
  <c r="AMH23" i="30"/>
  <c r="AMK23" i="30"/>
  <c r="AMT23" i="30"/>
  <c r="AMX23" i="30"/>
  <c r="ANB23" i="30"/>
  <c r="ANF23" i="30"/>
  <c r="ANJ23" i="30"/>
  <c r="ANN23" i="30"/>
  <c r="ANQ23" i="30"/>
  <c r="ANV23" i="30"/>
  <c r="AOD23" i="30"/>
  <c r="AOH23" i="30"/>
  <c r="AOL23" i="30"/>
  <c r="AOP23" i="30"/>
  <c r="AOT23" i="30"/>
  <c r="AOW23" i="30"/>
  <c r="APB23" i="30"/>
  <c r="APF23" i="30"/>
  <c r="APJ23" i="30"/>
  <c r="APN23" i="30"/>
  <c r="APR23" i="30"/>
  <c r="APV23" i="30"/>
  <c r="APZ23" i="30"/>
  <c r="AQC23" i="30"/>
  <c r="AQH23" i="30"/>
  <c r="AQL23" i="30"/>
  <c r="AQP23" i="30"/>
  <c r="AQT23" i="30"/>
  <c r="AQX23" i="30"/>
  <c r="ARB23" i="30"/>
  <c r="ARF23" i="30"/>
  <c r="ARI23" i="30"/>
  <c r="ARR23" i="30"/>
  <c r="ARV23" i="30"/>
  <c r="ARZ23" i="30"/>
  <c r="ASD23" i="30"/>
  <c r="ASH23" i="30"/>
  <c r="ASL23" i="30"/>
  <c r="ASO23" i="30"/>
  <c r="AST23" i="30"/>
  <c r="ATB23" i="30"/>
  <c r="ATF23" i="30"/>
  <c r="ATJ23" i="30"/>
  <c r="ATN23" i="30"/>
  <c r="ATR23" i="30"/>
  <c r="ATU23" i="30"/>
  <c r="ATZ23" i="30"/>
  <c r="AUD23" i="30"/>
  <c r="AUH23" i="30"/>
  <c r="AUL23" i="30"/>
  <c r="AUP23" i="30"/>
  <c r="AUT23" i="30"/>
  <c r="AUX23" i="30"/>
  <c r="AVA23" i="30"/>
  <c r="AVF23" i="30"/>
  <c r="AVJ23" i="30"/>
  <c r="AVN23" i="30"/>
  <c r="AVR23" i="30"/>
  <c r="AVV23" i="30"/>
  <c r="AVZ23" i="30"/>
  <c r="AWD23" i="30"/>
  <c r="AWG23" i="30"/>
  <c r="AWP23" i="30"/>
  <c r="AWT23" i="30"/>
  <c r="AWX23" i="30"/>
  <c r="AXB23" i="30"/>
  <c r="AXF23" i="30"/>
  <c r="AXJ23" i="30"/>
  <c r="AXM23" i="30"/>
  <c r="AXR23" i="30"/>
  <c r="AXV23" i="30"/>
  <c r="AXZ23" i="30"/>
  <c r="AYD23" i="30"/>
  <c r="AYH23" i="30"/>
  <c r="AYL23" i="30"/>
  <c r="AYP23" i="30"/>
  <c r="AYS23" i="30"/>
  <c r="AYX23" i="30"/>
  <c r="AZB23" i="30"/>
  <c r="AZF23" i="30"/>
  <c r="AZJ23" i="30"/>
  <c r="AZN23" i="30"/>
  <c r="AZR23" i="30"/>
  <c r="AZV23" i="30"/>
  <c r="AZW23" i="30"/>
  <c r="AZY23" i="30"/>
  <c r="BAH23" i="30"/>
  <c r="BAL23" i="30"/>
  <c r="BAP23" i="30"/>
  <c r="BAT23" i="30"/>
  <c r="BAX23" i="30"/>
  <c r="BBB23" i="30"/>
  <c r="BBE23" i="30"/>
  <c r="BBJ23" i="30"/>
  <c r="BBN23" i="30"/>
  <c r="BBR23" i="30"/>
  <c r="BBV23" i="30"/>
  <c r="BBZ23" i="30"/>
  <c r="BCD23" i="30"/>
  <c r="BCH23" i="30"/>
  <c r="BCK23" i="30"/>
  <c r="BCP23" i="30"/>
  <c r="BCT23" i="30"/>
  <c r="BCX23" i="30"/>
  <c r="BDB23" i="30"/>
  <c r="BDF23" i="30"/>
  <c r="BDJ23" i="30"/>
  <c r="BDN23" i="30"/>
  <c r="BDP23" i="30"/>
  <c r="BDQ23" i="30"/>
  <c r="BDV23" i="30"/>
  <c r="BDZ23" i="30"/>
  <c r="BED23" i="30"/>
  <c r="BEH23" i="30"/>
  <c r="BEL23" i="30"/>
  <c r="BEP23" i="30"/>
  <c r="BET23" i="30"/>
  <c r="BEU23" i="30"/>
  <c r="BEW23" i="30"/>
  <c r="BFF23" i="30"/>
  <c r="BFJ23" i="30"/>
  <c r="BFN23" i="30"/>
  <c r="BFR23" i="30"/>
  <c r="BFV23" i="30"/>
  <c r="BFZ23" i="30"/>
  <c r="BGC23" i="30"/>
  <c r="BGH23" i="30"/>
  <c r="BGL23" i="30"/>
  <c r="BGP23" i="30"/>
  <c r="BGT23" i="30"/>
  <c r="BGX23" i="30"/>
  <c r="BHB23" i="30"/>
  <c r="BHF23" i="30"/>
  <c r="BHI23" i="30"/>
  <c r="BHN23" i="30"/>
  <c r="BHR23" i="30"/>
  <c r="BHV23" i="30"/>
  <c r="BHZ23" i="30"/>
  <c r="BID23" i="30"/>
  <c r="BIH23" i="30"/>
  <c r="BIL23" i="30"/>
  <c r="BIN23" i="30"/>
  <c r="BIO23" i="30"/>
  <c r="BIT23" i="30"/>
  <c r="BIX23" i="30"/>
  <c r="BJB23" i="30"/>
  <c r="BJF23" i="30"/>
  <c r="BJJ23" i="30"/>
  <c r="BJN23" i="30"/>
  <c r="BJR23" i="30"/>
  <c r="BJS23" i="30"/>
  <c r="BJU23" i="30"/>
  <c r="BKD23" i="30"/>
  <c r="BKH23" i="30"/>
  <c r="BKL23" i="30"/>
  <c r="BKP23" i="30"/>
  <c r="BKT23" i="30"/>
  <c r="BKX23" i="30"/>
  <c r="BLA23" i="30"/>
  <c r="F24" i="30"/>
  <c r="J24" i="30"/>
  <c r="N24" i="30"/>
  <c r="R24" i="30"/>
  <c r="V24" i="30"/>
  <c r="Z24" i="30"/>
  <c r="AD24" i="30"/>
  <c r="AG24" i="30"/>
  <c r="AL24" i="30"/>
  <c r="AP24" i="30"/>
  <c r="AT24" i="30"/>
  <c r="AX24" i="30"/>
  <c r="BB24" i="30"/>
  <c r="BF24" i="30"/>
  <c r="BJ24" i="30"/>
  <c r="BL24" i="30"/>
  <c r="BM24" i="30"/>
  <c r="BR24" i="30"/>
  <c r="BV24" i="30"/>
  <c r="BZ24" i="30"/>
  <c r="CD24" i="30"/>
  <c r="CH24" i="30"/>
  <c r="CL24" i="30"/>
  <c r="CP24" i="30"/>
  <c r="CQ24" i="30"/>
  <c r="CS24" i="30"/>
  <c r="DB24" i="30"/>
  <c r="DF24" i="30"/>
  <c r="DJ24" i="30"/>
  <c r="DN24" i="30"/>
  <c r="DR24" i="30"/>
  <c r="DV24" i="30"/>
  <c r="DY24" i="30"/>
  <c r="ED24" i="30"/>
  <c r="EH24" i="30"/>
  <c r="EL24" i="30"/>
  <c r="EP24" i="30"/>
  <c r="ET24" i="30"/>
  <c r="EX24" i="30"/>
  <c r="FB24" i="30"/>
  <c r="FE24" i="30"/>
  <c r="FJ24" i="30"/>
  <c r="FN24" i="30"/>
  <c r="FR24" i="30"/>
  <c r="FV24" i="30"/>
  <c r="FZ24" i="30"/>
  <c r="GD24" i="30"/>
  <c r="GH24" i="30"/>
  <c r="GJ24" i="30"/>
  <c r="GK24" i="30"/>
  <c r="GP24" i="30"/>
  <c r="GT24" i="30"/>
  <c r="GX24" i="30"/>
  <c r="HB24" i="30"/>
  <c r="HF24" i="30"/>
  <c r="HJ24" i="30"/>
  <c r="HN24" i="30"/>
  <c r="HO24" i="30"/>
  <c r="HQ24" i="30"/>
  <c r="HZ24" i="30"/>
  <c r="ID24" i="30"/>
  <c r="IH24" i="30"/>
  <c r="IL24" i="30"/>
  <c r="IP24" i="30"/>
  <c r="IT24" i="30"/>
  <c r="IW24" i="30"/>
  <c r="JB24" i="30"/>
  <c r="JF24" i="30"/>
  <c r="JJ24" i="30"/>
  <c r="JN24" i="30"/>
  <c r="JR24" i="30"/>
  <c r="JV24" i="30"/>
  <c r="JZ24" i="30"/>
  <c r="KC24" i="30"/>
  <c r="KH24" i="30"/>
  <c r="KL24" i="30"/>
  <c r="KP24" i="30"/>
  <c r="KT24" i="30"/>
  <c r="KX24" i="30"/>
  <c r="LB24" i="30"/>
  <c r="LF24" i="30"/>
  <c r="LH24" i="30"/>
  <c r="LI24" i="30"/>
  <c r="LN24" i="30"/>
  <c r="LR24" i="30"/>
  <c r="LV24" i="30"/>
  <c r="LZ24" i="30"/>
  <c r="MD24" i="30"/>
  <c r="MH24" i="30"/>
  <c r="ML24" i="30"/>
  <c r="MM24" i="30"/>
  <c r="MO24" i="30"/>
  <c r="MX24" i="30"/>
  <c r="NB24" i="30"/>
  <c r="NF24" i="30"/>
  <c r="NJ24" i="30"/>
  <c r="NN24" i="30"/>
  <c r="NR24" i="30"/>
  <c r="NU24" i="30"/>
  <c r="NZ24" i="30"/>
  <c r="OD24" i="30"/>
  <c r="OH24" i="30"/>
  <c r="OL24" i="30"/>
  <c r="OP24" i="30"/>
  <c r="OT24" i="30"/>
  <c r="OX24" i="30"/>
  <c r="PA24" i="30"/>
  <c r="PF24" i="30"/>
  <c r="PJ24" i="30"/>
  <c r="PN24" i="30"/>
  <c r="PR24" i="30"/>
  <c r="PV24" i="30"/>
  <c r="PZ24" i="30"/>
  <c r="QD24" i="30"/>
  <c r="QF24" i="30"/>
  <c r="QG24" i="30"/>
  <c r="QL24" i="30"/>
  <c r="QP24" i="30"/>
  <c r="QT24" i="30"/>
  <c r="QX24" i="30"/>
  <c r="RB24" i="30"/>
  <c r="RF24" i="30"/>
  <c r="RJ24" i="30"/>
  <c r="RK24" i="30"/>
  <c r="RM24" i="30"/>
  <c r="RV24" i="30"/>
  <c r="RZ24" i="30"/>
  <c r="SD24" i="30"/>
  <c r="SH24" i="30"/>
  <c r="SL24" i="30"/>
  <c r="SP24" i="30"/>
  <c r="SS24" i="30"/>
  <c r="SX24" i="30"/>
  <c r="TB24" i="30"/>
  <c r="TF24" i="30"/>
  <c r="TJ24" i="30"/>
  <c r="TN24" i="30"/>
  <c r="TR24" i="30"/>
  <c r="TV24" i="30"/>
  <c r="TY24" i="30"/>
  <c r="UD24" i="30"/>
  <c r="UH24" i="30"/>
  <c r="UL24" i="30"/>
  <c r="UP24" i="30"/>
  <c r="UT24" i="30"/>
  <c r="UX24" i="30"/>
  <c r="VB24" i="30"/>
  <c r="VD24" i="30"/>
  <c r="VE24" i="30"/>
  <c r="VJ24" i="30"/>
  <c r="VN24" i="30"/>
  <c r="VR24" i="30"/>
  <c r="VV24" i="30"/>
  <c r="VZ24" i="30"/>
  <c r="WD24" i="30"/>
  <c r="WH24" i="30"/>
  <c r="WI24" i="30"/>
  <c r="WK24" i="30"/>
  <c r="WT24" i="30"/>
  <c r="WX24" i="30"/>
  <c r="XB24" i="30"/>
  <c r="XF24" i="30"/>
  <c r="XJ24" i="30"/>
  <c r="XN24" i="30"/>
  <c r="XQ24" i="30"/>
  <c r="XV24" i="30"/>
  <c r="XZ24" i="30"/>
  <c r="YD24" i="30"/>
  <c r="YH24" i="30"/>
  <c r="YL24" i="30"/>
  <c r="YP24" i="30"/>
  <c r="YT24" i="30"/>
  <c r="YW24" i="30"/>
  <c r="ZB24" i="30"/>
  <c r="ZF24" i="30"/>
  <c r="ZJ24" i="30"/>
  <c r="ZN24" i="30"/>
  <c r="ZR24" i="30"/>
  <c r="ZV24" i="30"/>
  <c r="ZZ24" i="30"/>
  <c r="AAB24" i="30"/>
  <c r="AAH24" i="30"/>
  <c r="AAL24" i="30"/>
  <c r="AAP24" i="30"/>
  <c r="AAT24" i="30"/>
  <c r="AAX24" i="30"/>
  <c r="ABB24" i="30"/>
  <c r="ABF24" i="30"/>
  <c r="ABG24" i="30"/>
  <c r="ABI24" i="30"/>
  <c r="ABR24" i="30"/>
  <c r="ABV24" i="30"/>
  <c r="ABZ24" i="30"/>
  <c r="ACD24" i="30"/>
  <c r="ACH24" i="30"/>
  <c r="ACL24" i="30"/>
  <c r="ACO24" i="30"/>
  <c r="ACT24" i="30"/>
  <c r="ACX24" i="30"/>
  <c r="ADB24" i="30"/>
  <c r="ADF24" i="30"/>
  <c r="ADJ24" i="30"/>
  <c r="ADN24" i="30"/>
  <c r="ADR24" i="30"/>
  <c r="ADU24" i="30"/>
  <c r="ADZ24" i="30"/>
  <c r="AED24" i="30"/>
  <c r="AEH24" i="30"/>
  <c r="AEL24" i="30"/>
  <c r="AEP24" i="30"/>
  <c r="AET24" i="30"/>
  <c r="AEX24" i="30"/>
  <c r="AEZ24" i="30"/>
  <c r="AFA24" i="30"/>
  <c r="AFF24" i="30"/>
  <c r="AFJ24" i="30"/>
  <c r="AFN24" i="30"/>
  <c r="AFR24" i="30"/>
  <c r="AFV24" i="30"/>
  <c r="AFZ24" i="30"/>
  <c r="AGD24" i="30"/>
  <c r="AGE24" i="30"/>
  <c r="AGG24" i="30"/>
  <c r="AGP24" i="30"/>
  <c r="AGT24" i="30"/>
  <c r="AGX24" i="30"/>
  <c r="AHB24" i="30"/>
  <c r="AHF24" i="30"/>
  <c r="AHJ24" i="30"/>
  <c r="AHM24" i="30"/>
  <c r="AHR24" i="30"/>
  <c r="AHV24" i="30"/>
  <c r="AHZ24" i="30"/>
  <c r="AID24" i="30"/>
  <c r="AIH24" i="30"/>
  <c r="AIL24" i="30"/>
  <c r="AIP24" i="30"/>
  <c r="AIS24" i="30"/>
  <c r="AIX24" i="30"/>
  <c r="AJB24" i="30"/>
  <c r="AJF24" i="30"/>
  <c r="AJJ24" i="30"/>
  <c r="AJN24" i="30"/>
  <c r="AJR24" i="30"/>
  <c r="AJV24" i="30"/>
  <c r="AJX24" i="30"/>
  <c r="AJY24" i="30"/>
  <c r="AKD24" i="30"/>
  <c r="AKH24" i="30"/>
  <c r="AKL24" i="30"/>
  <c r="AKP24" i="30"/>
  <c r="AKT24" i="30"/>
  <c r="AKX24" i="30"/>
  <c r="ALB24" i="30"/>
  <c r="ALC24" i="30"/>
  <c r="ALE24" i="30"/>
  <c r="ALN24" i="30"/>
  <c r="ALR24" i="30"/>
  <c r="ALV24" i="30"/>
  <c r="ALZ24" i="30"/>
  <c r="AMD24" i="30"/>
  <c r="AMH24" i="30"/>
  <c r="AMK24" i="30"/>
  <c r="AMP24" i="30"/>
  <c r="AMT24" i="30"/>
  <c r="AMX24" i="30"/>
  <c r="ANB24" i="30"/>
  <c r="ANF24" i="30"/>
  <c r="ANJ24" i="30"/>
  <c r="ANN24" i="30"/>
  <c r="ANQ24" i="30"/>
  <c r="ANV24" i="30"/>
  <c r="ANZ24" i="30"/>
  <c r="AOD24" i="30"/>
  <c r="AOH24" i="30"/>
  <c r="AOL24" i="30"/>
  <c r="AOP24" i="30"/>
  <c r="AOT24" i="30"/>
  <c r="AOV24" i="30"/>
  <c r="AOW24" i="30"/>
  <c r="APB24" i="30"/>
  <c r="APF24" i="30"/>
  <c r="APJ24" i="30"/>
  <c r="APN24" i="30"/>
  <c r="APR24" i="30"/>
  <c r="APV24" i="30"/>
  <c r="APZ24" i="30"/>
  <c r="AQA24" i="30"/>
  <c r="AQC24" i="30"/>
  <c r="AQL24" i="30"/>
  <c r="AQP24" i="30"/>
  <c r="AQT24" i="30"/>
  <c r="AQX24" i="30"/>
  <c r="ARB24" i="30"/>
  <c r="ARF24" i="30"/>
  <c r="ARI24" i="30"/>
  <c r="ARN24" i="30"/>
  <c r="ARR24" i="30"/>
  <c r="ARV24" i="30"/>
  <c r="ARZ24" i="30"/>
  <c r="ASD24" i="30"/>
  <c r="ASH24" i="30"/>
  <c r="ASL24" i="30"/>
  <c r="ASO24" i="30"/>
  <c r="AST24" i="30"/>
  <c r="ASX24" i="30"/>
  <c r="ATB24" i="30"/>
  <c r="ATF24" i="30"/>
  <c r="ATJ24" i="30"/>
  <c r="ATN24" i="30"/>
  <c r="ATR24" i="30"/>
  <c r="ATT24" i="30"/>
  <c r="ATU24" i="30"/>
  <c r="ATZ24" i="30"/>
  <c r="AUD24" i="30"/>
  <c r="AUH24" i="30"/>
  <c r="AUL24" i="30"/>
  <c r="AUP24" i="30"/>
  <c r="AUT24" i="30"/>
  <c r="AUX24" i="30"/>
  <c r="AUY24" i="30"/>
  <c r="AVA24" i="30"/>
  <c r="AVJ24" i="30"/>
  <c r="AVN24" i="30"/>
  <c r="AVR24" i="30"/>
  <c r="AVV24" i="30"/>
  <c r="AVZ24" i="30"/>
  <c r="AWD24" i="30"/>
  <c r="AWG24" i="30"/>
  <c r="AWL24" i="30"/>
  <c r="AWT24" i="30"/>
  <c r="AWX24" i="30"/>
  <c r="AXB24" i="30"/>
  <c r="AXF24" i="30"/>
  <c r="AXJ24" i="30"/>
  <c r="AXM24" i="30"/>
  <c r="AXR24" i="30"/>
  <c r="AXV24" i="30"/>
  <c r="AYD24" i="30"/>
  <c r="AYH24" i="30"/>
  <c r="AYL24" i="30"/>
  <c r="AYP24" i="30"/>
  <c r="AYS24" i="30"/>
  <c r="AYX24" i="30"/>
  <c r="AZB24" i="30"/>
  <c r="AZF24" i="30"/>
  <c r="AZJ24" i="30"/>
  <c r="AZN24" i="30"/>
  <c r="AZR24" i="30"/>
  <c r="AZV24" i="30"/>
  <c r="AZY24" i="30"/>
  <c r="BAH24" i="30"/>
  <c r="BAL24" i="30"/>
  <c r="BAP24" i="30"/>
  <c r="BAT24" i="30"/>
  <c r="BAX24" i="30"/>
  <c r="BBB24" i="30"/>
  <c r="BBE24" i="30"/>
  <c r="BBJ24" i="30"/>
  <c r="BBR24" i="30"/>
  <c r="BBV24" i="30"/>
  <c r="BBZ24" i="30"/>
  <c r="BCD24" i="30"/>
  <c r="BCH24" i="30"/>
  <c r="BCK24" i="30"/>
  <c r="BCP24" i="30"/>
  <c r="BCT24" i="30"/>
  <c r="BDB24" i="30"/>
  <c r="BDF24" i="30"/>
  <c r="BDJ24" i="30"/>
  <c r="BDN24" i="30"/>
  <c r="BDP24" i="30"/>
  <c r="BDQ24" i="30"/>
  <c r="BDV24" i="30"/>
  <c r="BDZ24" i="30"/>
  <c r="BED24" i="30"/>
  <c r="BEH24" i="30"/>
  <c r="BEL24" i="30"/>
  <c r="BEP24" i="30"/>
  <c r="BET24" i="30"/>
  <c r="BEU24" i="30"/>
  <c r="BEW24" i="30"/>
  <c r="BFF24" i="30"/>
  <c r="BFJ24" i="30"/>
  <c r="BFN24" i="30"/>
  <c r="BFR24" i="30"/>
  <c r="BFV24" i="30"/>
  <c r="BFZ24" i="30"/>
  <c r="BGC24" i="30"/>
  <c r="BGH24" i="30"/>
  <c r="BGP24" i="30"/>
  <c r="BGT24" i="30"/>
  <c r="BGX24" i="30"/>
  <c r="BHB24" i="30"/>
  <c r="BHF24" i="30"/>
  <c r="BHI24" i="30"/>
  <c r="BHN24" i="30"/>
  <c r="BHR24" i="30"/>
  <c r="BHZ24" i="30"/>
  <c r="BID24" i="30"/>
  <c r="BIH24" i="30"/>
  <c r="BIL24" i="30"/>
  <c r="BIO24" i="30"/>
  <c r="BIT24" i="30"/>
  <c r="BIX24" i="30"/>
  <c r="BJB24" i="30"/>
  <c r="BJF24" i="30"/>
  <c r="BJJ24" i="30"/>
  <c r="BJN24" i="30"/>
  <c r="BJR24" i="30"/>
  <c r="BJS24" i="30"/>
  <c r="BJU24" i="30"/>
  <c r="BKD24" i="30"/>
  <c r="BKH24" i="30"/>
  <c r="BKL24" i="30"/>
  <c r="BKP24" i="30"/>
  <c r="BKT24" i="30"/>
  <c r="BKX24" i="30"/>
  <c r="BLA24" i="30"/>
  <c r="F25" i="30"/>
  <c r="N25" i="30"/>
  <c r="R25" i="30"/>
  <c r="V25" i="30"/>
  <c r="Z25" i="30"/>
  <c r="AD25" i="30"/>
  <c r="AG25" i="30"/>
  <c r="AL25" i="30"/>
  <c r="AP25" i="30"/>
  <c r="AX25" i="30"/>
  <c r="BB25" i="30"/>
  <c r="BF25" i="30"/>
  <c r="BJ25" i="30"/>
  <c r="BM25" i="30"/>
  <c r="BR25" i="30"/>
  <c r="BV25" i="30"/>
  <c r="BZ25" i="30"/>
  <c r="CD25" i="30"/>
  <c r="CH25" i="30"/>
  <c r="CL25" i="30"/>
  <c r="CP25" i="30"/>
  <c r="CS25" i="30"/>
  <c r="DB25" i="30"/>
  <c r="DF25" i="30"/>
  <c r="DJ25" i="30"/>
  <c r="DN25" i="30"/>
  <c r="DR25" i="30"/>
  <c r="DV25" i="30"/>
  <c r="DY25" i="30"/>
  <c r="ED25" i="30"/>
  <c r="EL25" i="30"/>
  <c r="EP25" i="30"/>
  <c r="ET25" i="30"/>
  <c r="EX25" i="30"/>
  <c r="FB25" i="30"/>
  <c r="FE25" i="30"/>
  <c r="FJ25" i="30"/>
  <c r="FN25" i="30"/>
  <c r="FV25" i="30"/>
  <c r="FZ25" i="30"/>
  <c r="GD25" i="30"/>
  <c r="GH25" i="30"/>
  <c r="GK25" i="30"/>
  <c r="GP25" i="30"/>
  <c r="GT25" i="30"/>
  <c r="GX25" i="30"/>
  <c r="HB25" i="30"/>
  <c r="HF25" i="30"/>
  <c r="HJ25" i="30"/>
  <c r="HN25" i="30"/>
  <c r="HQ25" i="30"/>
  <c r="HZ25" i="30"/>
  <c r="ID25" i="30"/>
  <c r="IH25" i="30"/>
  <c r="IL25" i="30"/>
  <c r="IP25" i="30"/>
  <c r="IT25" i="30"/>
  <c r="IW25" i="30"/>
  <c r="JB25" i="30"/>
  <c r="JJ25" i="30"/>
  <c r="JN25" i="30"/>
  <c r="JR25" i="30"/>
  <c r="JV25" i="30"/>
  <c r="JZ25" i="30"/>
  <c r="KC25" i="30"/>
  <c r="KH25" i="30"/>
  <c r="KL25" i="30"/>
  <c r="KT25" i="30"/>
  <c r="KX25" i="30"/>
  <c r="LB25" i="30"/>
  <c r="LF25" i="30"/>
  <c r="LH25" i="30"/>
  <c r="LI25" i="30"/>
  <c r="LN25" i="30"/>
  <c r="LR25" i="30"/>
  <c r="LV25" i="30"/>
  <c r="LZ25" i="30"/>
  <c r="MD25" i="30"/>
  <c r="MH25" i="30"/>
  <c r="ML25" i="30"/>
  <c r="MM25" i="30"/>
  <c r="MO25" i="30"/>
  <c r="MX25" i="30"/>
  <c r="NB25" i="30"/>
  <c r="NF25" i="30"/>
  <c r="NJ25" i="30"/>
  <c r="NN25" i="30"/>
  <c r="NR25" i="30"/>
  <c r="NU25" i="30"/>
  <c r="NZ25" i="30"/>
  <c r="OH25" i="30"/>
  <c r="OL25" i="30"/>
  <c r="OP25" i="30"/>
  <c r="OT25" i="30"/>
  <c r="OX25" i="30"/>
  <c r="PA25" i="30"/>
  <c r="PF25" i="30"/>
  <c r="PJ25" i="30"/>
  <c r="PN25" i="30"/>
  <c r="PR25" i="30"/>
  <c r="PV25" i="30"/>
  <c r="PZ25" i="30"/>
  <c r="QD25" i="30"/>
  <c r="QE25" i="30"/>
  <c r="QG25" i="30"/>
  <c r="QL25" i="30"/>
  <c r="QP25" i="30"/>
  <c r="QT25" i="30"/>
  <c r="QX25" i="30"/>
  <c r="RB25" i="30"/>
  <c r="RF25" i="30"/>
  <c r="RJ25" i="30"/>
  <c r="RM25" i="30"/>
  <c r="RV25" i="30"/>
  <c r="RZ25" i="30"/>
  <c r="SD25" i="30"/>
  <c r="SH25" i="30"/>
  <c r="SL25" i="30"/>
  <c r="SP25" i="30"/>
  <c r="SS25" i="30"/>
  <c r="SX25" i="30"/>
  <c r="TF25" i="30"/>
  <c r="TJ25" i="30"/>
  <c r="TN25" i="30"/>
  <c r="TR25" i="30"/>
  <c r="TV25" i="30"/>
  <c r="TY25" i="30"/>
  <c r="UD25" i="30"/>
  <c r="UH25" i="30"/>
  <c r="UL25" i="30"/>
  <c r="UP25" i="30"/>
  <c r="UT25" i="30"/>
  <c r="UX25" i="30"/>
  <c r="VB25" i="30"/>
  <c r="VC25" i="30"/>
  <c r="VE25" i="30"/>
  <c r="VJ25" i="30"/>
  <c r="VN25" i="30"/>
  <c r="VR25" i="30"/>
  <c r="VV25" i="30"/>
  <c r="VZ25" i="30"/>
  <c r="WD25" i="30"/>
  <c r="WH25" i="30"/>
  <c r="WK25" i="30"/>
  <c r="WT25" i="30"/>
  <c r="WX25" i="30"/>
  <c r="XB25" i="30"/>
  <c r="XF25" i="30"/>
  <c r="XJ25" i="30"/>
  <c r="XN25" i="30"/>
  <c r="XQ25" i="30"/>
  <c r="XV25" i="30"/>
  <c r="YD25" i="30"/>
  <c r="YH25" i="30"/>
  <c r="YL25" i="30"/>
  <c r="YP25" i="30"/>
  <c r="YT25" i="30"/>
  <c r="YW25" i="30"/>
  <c r="ZB25" i="30"/>
  <c r="ZF25" i="30"/>
  <c r="ZJ25" i="30"/>
  <c r="ZN25" i="30"/>
  <c r="ZR25" i="30"/>
  <c r="ZV25" i="30"/>
  <c r="ZZ25" i="30"/>
  <c r="AAA25" i="30"/>
  <c r="AAH25" i="30"/>
  <c r="AAL25" i="30"/>
  <c r="AAP25" i="30"/>
  <c r="AAT25" i="30"/>
  <c r="AAX25" i="30"/>
  <c r="ABB25" i="30"/>
  <c r="ABF25" i="30"/>
  <c r="ABI25" i="30"/>
  <c r="ABR25" i="30"/>
  <c r="ABV25" i="30"/>
  <c r="ABZ25" i="30"/>
  <c r="ACD25" i="30"/>
  <c r="ACH25" i="30"/>
  <c r="ACL25" i="30"/>
  <c r="ACO25" i="30"/>
  <c r="ACT25" i="30"/>
  <c r="ADB25" i="30"/>
  <c r="ADF25" i="30"/>
  <c r="ADJ25" i="30"/>
  <c r="ADN25" i="30"/>
  <c r="ADR25" i="30"/>
  <c r="ADU25" i="30"/>
  <c r="ADZ25" i="30"/>
  <c r="AED25" i="30"/>
  <c r="AEH25" i="30"/>
  <c r="AEL25" i="30"/>
  <c r="AEP25" i="30"/>
  <c r="AET25" i="30"/>
  <c r="AEX25" i="30"/>
  <c r="AEY25" i="30"/>
  <c r="AFA25" i="30"/>
  <c r="AFF25" i="30"/>
  <c r="AFJ25" i="30"/>
  <c r="AFN25" i="30"/>
  <c r="AFR25" i="30"/>
  <c r="AFV25" i="30"/>
  <c r="AFZ25" i="30"/>
  <c r="AGD25" i="30"/>
  <c r="AGG25" i="30"/>
  <c r="AGP25" i="30"/>
  <c r="AGT25" i="30"/>
  <c r="AGX25" i="30"/>
  <c r="AHB25" i="30"/>
  <c r="AHF25" i="30"/>
  <c r="AHJ25" i="30"/>
  <c r="AHM25" i="30"/>
  <c r="AHR25" i="30"/>
  <c r="AHZ25" i="30"/>
  <c r="AID25" i="30"/>
  <c r="AIH25" i="30"/>
  <c r="AIL25" i="30"/>
  <c r="AIP25" i="30"/>
  <c r="AIS25" i="30"/>
  <c r="AIX25" i="30"/>
  <c r="AJB25" i="30"/>
  <c r="AJF25" i="30"/>
  <c r="AJJ25" i="30"/>
  <c r="AJN25" i="30"/>
  <c r="AJR25" i="30"/>
  <c r="AJV25" i="30"/>
  <c r="AJW25" i="30"/>
  <c r="AJY25" i="30"/>
  <c r="AKD25" i="30"/>
  <c r="AKH25" i="30"/>
  <c r="AKL25" i="30"/>
  <c r="AKP25" i="30"/>
  <c r="AKT25" i="30"/>
  <c r="AKX25" i="30"/>
  <c r="ALB25" i="30"/>
  <c r="ALE25" i="30"/>
  <c r="ALN25" i="30"/>
  <c r="ALR25" i="30"/>
  <c r="ALV25" i="30"/>
  <c r="ALZ25" i="30"/>
  <c r="AMD25" i="30"/>
  <c r="AMH25" i="30"/>
  <c r="AMK25" i="30"/>
  <c r="AMP25" i="30"/>
  <c r="AMX25" i="30"/>
  <c r="ANB25" i="30"/>
  <c r="ANF25" i="30"/>
  <c r="ANJ25" i="30"/>
  <c r="ANN25" i="30"/>
  <c r="ANQ25" i="30"/>
  <c r="ANV25" i="30"/>
  <c r="ANZ25" i="30"/>
  <c r="AOD25" i="30"/>
  <c r="AOH25" i="30"/>
  <c r="AOL25" i="30"/>
  <c r="AOP25" i="30"/>
  <c r="AOT25" i="30"/>
  <c r="AOU25" i="30"/>
  <c r="AOW25" i="30"/>
  <c r="APB25" i="30"/>
  <c r="APF25" i="30"/>
  <c r="APJ25" i="30"/>
  <c r="APN25" i="30"/>
  <c r="APR25" i="30"/>
  <c r="APV25" i="30"/>
  <c r="APZ25" i="30"/>
  <c r="AQC25" i="30"/>
  <c r="AQL25" i="30"/>
  <c r="AQP25" i="30"/>
  <c r="AQT25" i="30"/>
  <c r="AQX25" i="30"/>
  <c r="ARB25" i="30"/>
  <c r="ARF25" i="30"/>
  <c r="ARI25" i="30"/>
  <c r="ARN25" i="30"/>
  <c r="ARV25" i="30"/>
  <c r="ARZ25" i="30"/>
  <c r="ASD25" i="30"/>
  <c r="ASH25" i="30"/>
  <c r="ASL25" i="30"/>
  <c r="ASO25" i="30"/>
  <c r="AST25" i="30"/>
  <c r="ASX25" i="30"/>
  <c r="ATB25" i="30"/>
  <c r="ATF25" i="30"/>
  <c r="ATJ25" i="30"/>
  <c r="ATN25" i="30"/>
  <c r="ATR25" i="30"/>
  <c r="ATS25" i="30"/>
  <c r="ATU25" i="30"/>
  <c r="ATZ25" i="30"/>
  <c r="AUD25" i="30"/>
  <c r="AUH25" i="30"/>
  <c r="AUL25" i="30"/>
  <c r="AUP25" i="30"/>
  <c r="AUT25" i="30"/>
  <c r="AUX25" i="30"/>
  <c r="AVA25" i="30"/>
  <c r="AVJ25" i="30"/>
  <c r="AVN25" i="30"/>
  <c r="AVR25" i="30"/>
  <c r="AVV25" i="30"/>
  <c r="AVZ25" i="30"/>
  <c r="AWD25" i="30"/>
  <c r="AWG25" i="30"/>
  <c r="AWL25" i="30"/>
  <c r="AWT25" i="30"/>
  <c r="AWX25" i="30"/>
  <c r="AXB25" i="30"/>
  <c r="AXF25" i="30"/>
  <c r="AXJ25" i="30"/>
  <c r="AXM25" i="30"/>
  <c r="AXR25" i="30"/>
  <c r="AXV25" i="30"/>
  <c r="AXZ25" i="30"/>
  <c r="AYD25" i="30"/>
  <c r="AYH25" i="30"/>
  <c r="AYL25" i="30"/>
  <c r="AYP25" i="30"/>
  <c r="AYQ25" i="30"/>
  <c r="AYS25" i="30"/>
  <c r="AYX25" i="30"/>
  <c r="AZB25" i="30"/>
  <c r="AZF25" i="30"/>
  <c r="AZJ25" i="30"/>
  <c r="AZN25" i="30"/>
  <c r="AZR25" i="30"/>
  <c r="AZV25" i="30"/>
  <c r="AZY25" i="30"/>
  <c r="BAH25" i="30"/>
  <c r="BAL25" i="30"/>
  <c r="BAP25" i="30"/>
  <c r="BAT25" i="30"/>
  <c r="BAX25" i="30"/>
  <c r="BBB25" i="30"/>
  <c r="BBE25" i="30"/>
  <c r="BBJ25" i="30"/>
  <c r="BBR25" i="30"/>
  <c r="BBV25" i="30"/>
  <c r="BBZ25" i="30"/>
  <c r="BCD25" i="30"/>
  <c r="BCH25" i="30"/>
  <c r="BCK25" i="30"/>
  <c r="BCP25" i="30"/>
  <c r="BCT25" i="30"/>
  <c r="BCX25" i="30"/>
  <c r="BDB25" i="30"/>
  <c r="BDF25" i="30"/>
  <c r="BDJ25" i="30"/>
  <c r="BDN25" i="30"/>
  <c r="BDO25" i="30"/>
  <c r="BDQ25" i="30"/>
  <c r="BDV25" i="30"/>
  <c r="BDZ25" i="30"/>
  <c r="BED25" i="30"/>
  <c r="BEH25" i="30"/>
  <c r="BEL25" i="30"/>
  <c r="BEP25" i="30"/>
  <c r="BET25" i="30"/>
  <c r="BEW25" i="30"/>
  <c r="BFF25" i="30"/>
  <c r="BFJ25" i="30"/>
  <c r="BFN25" i="30"/>
  <c r="BFR25" i="30"/>
  <c r="BFV25" i="30"/>
  <c r="BFZ25" i="30"/>
  <c r="BGC25" i="30"/>
  <c r="BGH25" i="30"/>
  <c r="BGP25" i="30"/>
  <c r="BGT25" i="30"/>
  <c r="BGX25" i="30"/>
  <c r="BHB25" i="30"/>
  <c r="BHF25" i="30"/>
  <c r="BHI25" i="30"/>
  <c r="BHN25" i="30"/>
  <c r="BHR25" i="30"/>
  <c r="BHV25" i="30"/>
  <c r="BHZ25" i="30"/>
  <c r="BID25" i="30"/>
  <c r="BIH25" i="30"/>
  <c r="BIL25" i="30"/>
  <c r="BIM25" i="30"/>
  <c r="BIO25" i="30"/>
  <c r="BIT25" i="30"/>
  <c r="BIX25" i="30"/>
  <c r="BJB25" i="30"/>
  <c r="BJF25" i="30"/>
  <c r="BJJ25" i="30"/>
  <c r="BJN25" i="30"/>
  <c r="BJR25" i="30"/>
  <c r="BJU25" i="30"/>
  <c r="BKD25" i="30"/>
  <c r="BKH25" i="30"/>
  <c r="BKL25" i="30"/>
  <c r="BKP25" i="30"/>
  <c r="BKT25" i="30"/>
  <c r="BKX25" i="30"/>
  <c r="BLA25" i="30"/>
  <c r="F26" i="30"/>
  <c r="N26" i="30"/>
  <c r="R26" i="30"/>
  <c r="V26" i="30"/>
  <c r="Z26" i="30"/>
  <c r="AD26" i="30"/>
  <c r="AG26" i="30"/>
  <c r="AL26" i="30"/>
  <c r="AP26" i="30"/>
  <c r="AT26" i="30"/>
  <c r="AX26" i="30"/>
  <c r="BB26" i="30"/>
  <c r="BF26" i="30"/>
  <c r="BJ26" i="30"/>
  <c r="BK26" i="30"/>
  <c r="BM26" i="30"/>
  <c r="BR26" i="30"/>
  <c r="BV26" i="30"/>
  <c r="BZ26" i="30"/>
  <c r="CD26" i="30"/>
  <c r="CH26" i="30"/>
  <c r="CL26" i="30"/>
  <c r="CP26" i="30"/>
  <c r="CS26" i="30"/>
  <c r="DB26" i="30"/>
  <c r="DF26" i="30"/>
  <c r="DJ26" i="30"/>
  <c r="DN26" i="30"/>
  <c r="DR26" i="30"/>
  <c r="DV26" i="30"/>
  <c r="DY26" i="30"/>
  <c r="ED26" i="30"/>
  <c r="EL26" i="30"/>
  <c r="EP26" i="30"/>
  <c r="ET26" i="30"/>
  <c r="EX26" i="30"/>
  <c r="FB26" i="30"/>
  <c r="FE26" i="30"/>
  <c r="FJ26" i="30"/>
  <c r="FN26" i="30"/>
  <c r="FR26" i="30"/>
  <c r="FV26" i="30"/>
  <c r="FZ26" i="30"/>
  <c r="GD26" i="30"/>
  <c r="GH26" i="30"/>
  <c r="GI26" i="30"/>
  <c r="GK26" i="30"/>
  <c r="GP26" i="30"/>
  <c r="GT26" i="30"/>
  <c r="GX26" i="30"/>
  <c r="HB26" i="30"/>
  <c r="HF26" i="30"/>
  <c r="HJ26" i="30"/>
  <c r="HN26" i="30"/>
  <c r="HQ26" i="30"/>
  <c r="HZ26" i="30"/>
  <c r="ID26" i="30"/>
  <c r="IH26" i="30"/>
  <c r="IL26" i="30"/>
  <c r="IP26" i="30"/>
  <c r="IT26" i="30"/>
  <c r="IW26" i="30"/>
  <c r="JB26" i="30"/>
  <c r="JJ26" i="30"/>
  <c r="JN26" i="30"/>
  <c r="JR26" i="30"/>
  <c r="JV26" i="30"/>
  <c r="JZ26" i="30"/>
  <c r="KC26" i="30"/>
  <c r="KH26" i="30"/>
  <c r="KL26" i="30"/>
  <c r="KP26" i="30"/>
  <c r="KT26" i="30"/>
  <c r="KX26" i="30"/>
  <c r="LB26" i="30"/>
  <c r="LF26" i="30"/>
  <c r="LG26" i="30"/>
  <c r="LI26" i="30"/>
  <c r="LN26" i="30"/>
  <c r="LR26" i="30"/>
  <c r="LV26" i="30"/>
  <c r="LZ26" i="30"/>
  <c r="MD26" i="30"/>
  <c r="MH26" i="30"/>
  <c r="ML26" i="30"/>
  <c r="MO26" i="30"/>
  <c r="MX26" i="30"/>
  <c r="NB26" i="30"/>
  <c r="NF26" i="30"/>
  <c r="NJ26" i="30"/>
  <c r="NN26" i="30"/>
  <c r="NR26" i="30"/>
  <c r="NU26" i="30"/>
  <c r="NZ26" i="30"/>
  <c r="OH26" i="30"/>
  <c r="OL26" i="30"/>
  <c r="OP26" i="30"/>
  <c r="OT26" i="30"/>
  <c r="OX26" i="30"/>
  <c r="PA26" i="30"/>
  <c r="PF26" i="30"/>
  <c r="PJ26" i="30"/>
  <c r="PN26" i="30"/>
  <c r="PR26" i="30"/>
  <c r="PV26" i="30"/>
  <c r="PZ26" i="30"/>
  <c r="QD26" i="30"/>
  <c r="QE26" i="30"/>
  <c r="QG26" i="30"/>
  <c r="QL26" i="30"/>
  <c r="QP26" i="30"/>
  <c r="QT26" i="30"/>
  <c r="QX26" i="30"/>
  <c r="RB26" i="30"/>
  <c r="RF26" i="30"/>
  <c r="RJ26" i="30"/>
  <c r="RM26" i="30"/>
  <c r="RV26" i="30"/>
  <c r="RZ26" i="30"/>
  <c r="SD26" i="30"/>
  <c r="SH26" i="30"/>
  <c r="SL26" i="30"/>
  <c r="SP26" i="30"/>
  <c r="SS26" i="30"/>
  <c r="SX26" i="30"/>
  <c r="TF26" i="30"/>
  <c r="TJ26" i="30"/>
  <c r="TN26" i="30"/>
  <c r="TR26" i="30"/>
  <c r="TV26" i="30"/>
  <c r="TY26" i="30"/>
  <c r="UD26" i="30"/>
  <c r="UH26" i="30"/>
  <c r="UL26" i="30"/>
  <c r="UP26" i="30"/>
  <c r="UT26" i="30"/>
  <c r="UX26" i="30"/>
  <c r="VB26" i="30"/>
  <c r="VC26" i="30"/>
  <c r="VE26" i="30"/>
  <c r="VJ26" i="30"/>
  <c r="VN26" i="30"/>
  <c r="VR26" i="30"/>
  <c r="VV26" i="30"/>
  <c r="VZ26" i="30"/>
  <c r="WD26" i="30"/>
  <c r="WH26" i="30"/>
  <c r="WK26" i="30"/>
  <c r="WT26" i="30"/>
  <c r="WX26" i="30"/>
  <c r="XB26" i="30"/>
  <c r="XF26" i="30"/>
  <c r="XJ26" i="30"/>
  <c r="XN26" i="30"/>
  <c r="XQ26" i="30"/>
  <c r="XV26" i="30"/>
  <c r="YD26" i="30"/>
  <c r="YH26" i="30"/>
  <c r="YL26" i="30"/>
  <c r="YP26" i="30"/>
  <c r="YT26" i="30"/>
  <c r="YW26" i="30"/>
  <c r="ZB26" i="30"/>
  <c r="ZF26" i="30"/>
  <c r="ZJ26" i="30"/>
  <c r="ZN26" i="30"/>
  <c r="ZR26" i="30"/>
  <c r="ZV26" i="30"/>
  <c r="ZZ26" i="30"/>
  <c r="AAA26" i="30"/>
  <c r="AAH26" i="30"/>
  <c r="AAL26" i="30"/>
  <c r="AAP26" i="30"/>
  <c r="AAT26" i="30"/>
  <c r="AAX26" i="30"/>
  <c r="ABB26" i="30"/>
  <c r="ABF26" i="30"/>
  <c r="ABI26" i="30"/>
  <c r="ABR26" i="30"/>
  <c r="ABV26" i="30"/>
  <c r="ABZ26" i="30"/>
  <c r="ACD26" i="30"/>
  <c r="ACH26" i="30"/>
  <c r="ACL26" i="30"/>
  <c r="ACO26" i="30"/>
  <c r="ACT26" i="30"/>
  <c r="ADB26" i="30"/>
  <c r="ADF26" i="30"/>
  <c r="ADJ26" i="30"/>
  <c r="ADN26" i="30"/>
  <c r="ADR26" i="30"/>
  <c r="ADU26" i="30"/>
  <c r="ADZ26" i="30"/>
  <c r="AED26" i="30"/>
  <c r="AEH26" i="30"/>
  <c r="AEL26" i="30"/>
  <c r="AEP26" i="30"/>
  <c r="AET26" i="30"/>
  <c r="AEX26" i="30"/>
  <c r="AEY26" i="30"/>
  <c r="AFA26" i="30"/>
  <c r="AFF26" i="30"/>
  <c r="AFJ26" i="30"/>
  <c r="AFN26" i="30"/>
  <c r="AFR26" i="30"/>
  <c r="AFV26" i="30"/>
  <c r="AFZ26" i="30"/>
  <c r="AGD26" i="30"/>
  <c r="AGG26" i="30"/>
  <c r="AGP26" i="30"/>
  <c r="AGT26" i="30"/>
  <c r="AGX26" i="30"/>
  <c r="AHB26" i="30"/>
  <c r="AHF26" i="30"/>
  <c r="AHJ26" i="30"/>
  <c r="AHM26" i="30"/>
  <c r="AHR26" i="30"/>
  <c r="AHZ26" i="30"/>
  <c r="AID26" i="30"/>
  <c r="AIH26" i="30"/>
  <c r="AIL26" i="30"/>
  <c r="AIP26" i="30"/>
  <c r="AIS26" i="30"/>
  <c r="AIX26" i="30"/>
  <c r="AJB26" i="30"/>
  <c r="AJF26" i="30"/>
  <c r="AJJ26" i="30"/>
  <c r="AJN26" i="30"/>
  <c r="AJR26" i="30"/>
  <c r="AJV26" i="30"/>
  <c r="AJW26" i="30"/>
  <c r="AJY26" i="30"/>
  <c r="AKD26" i="30"/>
  <c r="AKH26" i="30"/>
  <c r="AKL26" i="30"/>
  <c r="AKP26" i="30"/>
  <c r="AKT26" i="30"/>
  <c r="AKX26" i="30"/>
  <c r="ALB26" i="30"/>
  <c r="ALE26" i="30"/>
  <c r="ALN26" i="30"/>
  <c r="ALR26" i="30"/>
  <c r="ALV26" i="30"/>
  <c r="ALZ26" i="30"/>
  <c r="AMD26" i="30"/>
  <c r="AMH26" i="30"/>
  <c r="AMK26" i="30"/>
  <c r="AMP26" i="30"/>
  <c r="AMX26" i="30"/>
  <c r="ANB26" i="30"/>
  <c r="ANF26" i="30"/>
  <c r="ANJ26" i="30"/>
  <c r="ANN26" i="30"/>
  <c r="ANQ26" i="30"/>
  <c r="ANV26" i="30"/>
  <c r="ANZ26" i="30"/>
  <c r="AOD26" i="30"/>
  <c r="AOH26" i="30"/>
  <c r="AOL26" i="30"/>
  <c r="AOP26" i="30"/>
  <c r="AOT26" i="30"/>
  <c r="AOU26" i="30"/>
  <c r="AOW26" i="30"/>
  <c r="APB26" i="30"/>
  <c r="APF26" i="30"/>
  <c r="APJ26" i="30"/>
  <c r="APN26" i="30"/>
  <c r="APR26" i="30"/>
  <c r="APV26" i="30"/>
  <c r="APZ26" i="30"/>
  <c r="AQC26" i="30"/>
  <c r="AQL26" i="30"/>
  <c r="AQP26" i="30"/>
  <c r="AQT26" i="30"/>
  <c r="AQX26" i="30"/>
  <c r="ARB26" i="30"/>
  <c r="ARF26" i="30"/>
  <c r="ARI26" i="30"/>
  <c r="ARN26" i="30"/>
  <c r="ARV26" i="30"/>
  <c r="ARZ26" i="30"/>
  <c r="ASD26" i="30"/>
  <c r="ASH26" i="30"/>
  <c r="ASL26" i="30"/>
  <c r="ASO26" i="30"/>
  <c r="AST26" i="30"/>
  <c r="ASX26" i="30"/>
  <c r="ATB26" i="30"/>
  <c r="ATF26" i="30"/>
  <c r="ATJ26" i="30"/>
  <c r="ATN26" i="30"/>
  <c r="ATR26" i="30"/>
  <c r="ATS26" i="30"/>
  <c r="ATU26" i="30"/>
  <c r="ATZ26" i="30"/>
  <c r="AUD26" i="30"/>
  <c r="AUH26" i="30"/>
  <c r="AUL26" i="30"/>
  <c r="AUP26" i="30"/>
  <c r="AUT26" i="30"/>
  <c r="AUX26" i="30"/>
  <c r="AVA26" i="30"/>
  <c r="AVJ26" i="30"/>
  <c r="AVN26" i="30"/>
  <c r="AVR26" i="30"/>
  <c r="AVV26" i="30"/>
  <c r="AVZ26" i="30"/>
  <c r="AWD26" i="30"/>
  <c r="AWG26" i="30"/>
  <c r="AWL26" i="30"/>
  <c r="AWT26" i="30"/>
  <c r="AWX26" i="30"/>
  <c r="AXB26" i="30"/>
  <c r="AXF26" i="30"/>
  <c r="AXJ26" i="30"/>
  <c r="AXM26" i="30"/>
  <c r="AXR26" i="30"/>
  <c r="AXV26" i="30"/>
  <c r="AXZ26" i="30"/>
  <c r="AYD26" i="30"/>
  <c r="AYH26" i="30"/>
  <c r="AYL26" i="30"/>
  <c r="AYP26" i="30"/>
  <c r="AYQ26" i="30"/>
  <c r="AYS26" i="30"/>
  <c r="AYX26" i="30"/>
  <c r="AZB26" i="30"/>
  <c r="AZF26" i="30"/>
  <c r="AZJ26" i="30"/>
  <c r="AZN26" i="30"/>
  <c r="AZR26" i="30"/>
  <c r="AZV26" i="30"/>
  <c r="AZY26" i="30"/>
  <c r="BAH26" i="30"/>
  <c r="BAL26" i="30"/>
  <c r="BAP26" i="30"/>
  <c r="BAT26" i="30"/>
  <c r="BAX26" i="30"/>
  <c r="BBB26" i="30"/>
  <c r="BBE26" i="30"/>
  <c r="BBJ26" i="30"/>
  <c r="BBR26" i="30"/>
  <c r="BBV26" i="30"/>
  <c r="BBZ26" i="30"/>
  <c r="BCD26" i="30"/>
  <c r="BCH26" i="30"/>
  <c r="BCK26" i="30"/>
  <c r="BCP26" i="30"/>
  <c r="BCT26" i="30"/>
  <c r="BCX26" i="30"/>
  <c r="BDB26" i="30"/>
  <c r="BDF26" i="30"/>
  <c r="BDJ26" i="30"/>
  <c r="BDN26" i="30"/>
  <c r="BDO26" i="30"/>
  <c r="BDQ26" i="30"/>
  <c r="BDV26" i="30"/>
  <c r="BDZ26" i="30"/>
  <c r="BED26" i="30"/>
  <c r="BEH26" i="30"/>
  <c r="BEL26" i="30"/>
  <c r="BEP26" i="30"/>
  <c r="BET26" i="30"/>
  <c r="BEW26" i="30"/>
  <c r="BFF26" i="30"/>
  <c r="BFJ26" i="30"/>
  <c r="BFN26" i="30"/>
  <c r="BFR26" i="30"/>
  <c r="BFV26" i="30"/>
  <c r="BFZ26" i="30"/>
  <c r="BGC26" i="30"/>
  <c r="BGH26" i="30"/>
  <c r="BGP26" i="30"/>
  <c r="BGT26" i="30"/>
  <c r="BGX26" i="30"/>
  <c r="BHB26" i="30"/>
  <c r="BHF26" i="30"/>
  <c r="BHI26" i="30"/>
  <c r="BHN26" i="30"/>
  <c r="BHR26" i="30"/>
  <c r="BHV26" i="30"/>
  <c r="BHZ26" i="30"/>
  <c r="BID26" i="30"/>
  <c r="BIH26" i="30"/>
  <c r="BIL26" i="30"/>
  <c r="BIM26" i="30"/>
  <c r="BIO26" i="30"/>
  <c r="BIT26" i="30"/>
  <c r="BIX26" i="30"/>
  <c r="BJB26" i="30"/>
  <c r="BJF26" i="30"/>
  <c r="BJJ26" i="30"/>
  <c r="BJN26" i="30"/>
  <c r="BJR26" i="30"/>
  <c r="BJU26" i="30"/>
  <c r="BKD26" i="30"/>
  <c r="BKH26" i="30"/>
  <c r="BKL26" i="30"/>
  <c r="BKP26" i="30"/>
  <c r="BKT26" i="30"/>
  <c r="BKX26" i="30"/>
  <c r="BLA26" i="30"/>
  <c r="F27" i="30"/>
  <c r="N27" i="30"/>
  <c r="R27" i="30"/>
  <c r="V27" i="30"/>
  <c r="Z27" i="30"/>
  <c r="AD27" i="30"/>
  <c r="AG27" i="30"/>
  <c r="AL27" i="30"/>
  <c r="AP27" i="30"/>
  <c r="AT27" i="30"/>
  <c r="AX27" i="30"/>
  <c r="BB27" i="30"/>
  <c r="BF27" i="30"/>
  <c r="BJ27" i="30"/>
  <c r="BK27" i="30"/>
  <c r="BM27" i="30"/>
  <c r="BR27" i="30"/>
  <c r="BV27" i="30"/>
  <c r="BZ27" i="30"/>
  <c r="CD27" i="30"/>
  <c r="CH27" i="30"/>
  <c r="CL27" i="30"/>
  <c r="CP27" i="30"/>
  <c r="CS27" i="30"/>
  <c r="DB27" i="30"/>
  <c r="DF27" i="30"/>
  <c r="DJ27" i="30"/>
  <c r="DN27" i="30"/>
  <c r="DR27" i="30"/>
  <c r="DV27" i="30"/>
  <c r="DY27" i="30"/>
  <c r="ED27" i="30"/>
  <c r="EL27" i="30"/>
  <c r="EP27" i="30"/>
  <c r="ET27" i="30"/>
  <c r="EX27" i="30"/>
  <c r="FB27" i="30"/>
  <c r="FE27" i="30"/>
  <c r="FJ27" i="30"/>
  <c r="FN27" i="30"/>
  <c r="FR27" i="30"/>
  <c r="FV27" i="30"/>
  <c r="FZ27" i="30"/>
  <c r="GD27" i="30"/>
  <c r="GH27" i="30"/>
  <c r="GI27" i="30"/>
  <c r="GK27" i="30"/>
  <c r="GP27" i="30"/>
  <c r="GT27" i="30"/>
  <c r="GX27" i="30"/>
  <c r="HB27" i="30"/>
  <c r="HF27" i="30"/>
  <c r="HJ27" i="30"/>
  <c r="HN27" i="30"/>
  <c r="HQ27" i="30"/>
  <c r="HZ27" i="30"/>
  <c r="ID27" i="30"/>
  <c r="IH27" i="30"/>
  <c r="IL27" i="30"/>
  <c r="IP27" i="30"/>
  <c r="IT27" i="30"/>
  <c r="IW27" i="30"/>
  <c r="JB27" i="30"/>
  <c r="JJ27" i="30"/>
  <c r="JN27" i="30"/>
  <c r="JR27" i="30"/>
  <c r="JV27" i="30"/>
  <c r="JZ27" i="30"/>
  <c r="KC27" i="30"/>
  <c r="KH27" i="30"/>
  <c r="KL27" i="30"/>
  <c r="KP27" i="30"/>
  <c r="KT27" i="30"/>
  <c r="KX27" i="30"/>
  <c r="LB27" i="30"/>
  <c r="LF27" i="30"/>
  <c r="LG27" i="30"/>
  <c r="LI27" i="30"/>
  <c r="LN27" i="30"/>
  <c r="LR27" i="30"/>
  <c r="LV27" i="30"/>
  <c r="LZ27" i="30"/>
  <c r="MD27" i="30"/>
  <c r="MH27" i="30"/>
  <c r="ML27" i="30"/>
  <c r="MO27" i="30"/>
  <c r="MX27" i="30"/>
  <c r="NB27" i="30"/>
  <c r="NF27" i="30"/>
  <c r="NJ27" i="30"/>
  <c r="NN27" i="30"/>
  <c r="NR27" i="30"/>
  <c r="NU27" i="30"/>
  <c r="NZ27" i="30"/>
  <c r="OH27" i="30"/>
  <c r="OL27" i="30"/>
  <c r="OP27" i="30"/>
  <c r="OT27" i="30"/>
  <c r="OX27" i="30"/>
  <c r="PA27" i="30"/>
  <c r="PF27" i="30"/>
  <c r="PJ27" i="30"/>
  <c r="PN27" i="30"/>
  <c r="PR27" i="30"/>
  <c r="PV27" i="30"/>
  <c r="PZ27" i="30"/>
  <c r="QD27" i="30"/>
  <c r="QE27" i="30"/>
  <c r="QG27" i="30"/>
  <c r="QL27" i="30"/>
  <c r="QP27" i="30"/>
  <c r="QT27" i="30"/>
  <c r="QX27" i="30"/>
  <c r="RB27" i="30"/>
  <c r="RF27" i="30"/>
  <c r="RJ27" i="30"/>
  <c r="RM27" i="30"/>
  <c r="RV27" i="30"/>
  <c r="RZ27" i="30"/>
  <c r="SD27" i="30"/>
  <c r="SH27" i="30"/>
  <c r="SL27" i="30"/>
  <c r="SP27" i="30"/>
  <c r="SS27" i="30"/>
  <c r="SX27" i="30"/>
  <c r="TF27" i="30"/>
  <c r="TJ27" i="30"/>
  <c r="TN27" i="30"/>
  <c r="TR27" i="30"/>
  <c r="TV27" i="30"/>
  <c r="TY27" i="30"/>
  <c r="UD27" i="30"/>
  <c r="UH27" i="30"/>
  <c r="UL27" i="30"/>
  <c r="UP27" i="30"/>
  <c r="UT27" i="30"/>
  <c r="UX27" i="30"/>
  <c r="VB27" i="30"/>
  <c r="VC27" i="30"/>
  <c r="VE27" i="30"/>
  <c r="VJ27" i="30"/>
  <c r="VN27" i="30"/>
  <c r="VR27" i="30"/>
  <c r="VV27" i="30"/>
  <c r="VZ27" i="30"/>
  <c r="WD27" i="30"/>
  <c r="WH27" i="30"/>
  <c r="WK27" i="30"/>
  <c r="WT27" i="30"/>
  <c r="WX27" i="30"/>
  <c r="XB27" i="30"/>
  <c r="XF27" i="30"/>
  <c r="XJ27" i="30"/>
  <c r="XN27" i="30"/>
  <c r="XQ27" i="30"/>
  <c r="XV27" i="30"/>
  <c r="YD27" i="30"/>
  <c r="YH27" i="30"/>
  <c r="YL27" i="30"/>
  <c r="YP27" i="30"/>
  <c r="YT27" i="30"/>
  <c r="YW27" i="30"/>
  <c r="ZB27" i="30"/>
  <c r="ZF27" i="30"/>
  <c r="ZJ27" i="30"/>
  <c r="ZN27" i="30"/>
  <c r="ZR27" i="30"/>
  <c r="ZV27" i="30"/>
  <c r="ZZ27" i="30"/>
  <c r="AAA27" i="30"/>
  <c r="AAH27" i="30"/>
  <c r="AAL27" i="30"/>
  <c r="AAP27" i="30"/>
  <c r="AAT27" i="30"/>
  <c r="AAX27" i="30"/>
  <c r="ABB27" i="30"/>
  <c r="ABF27" i="30"/>
  <c r="ABI27" i="30"/>
  <c r="ABR27" i="30"/>
  <c r="ABV27" i="30"/>
  <c r="ABZ27" i="30"/>
  <c r="ACD27" i="30"/>
  <c r="ACH27" i="30"/>
  <c r="ACL27" i="30"/>
  <c r="ACO27" i="30"/>
  <c r="ACT27" i="30"/>
  <c r="ADB27" i="30"/>
  <c r="ADF27" i="30"/>
  <c r="ADJ27" i="30"/>
  <c r="ADN27" i="30"/>
  <c r="ADR27" i="30"/>
  <c r="ADU27" i="30"/>
  <c r="ADZ27" i="30"/>
  <c r="AED27" i="30"/>
  <c r="AEH27" i="30"/>
  <c r="AEL27" i="30"/>
  <c r="AEP27" i="30"/>
  <c r="AET27" i="30"/>
  <c r="AEX27" i="30"/>
  <c r="AEY27" i="30"/>
  <c r="AFA27" i="30"/>
  <c r="AFF27" i="30"/>
  <c r="AFJ27" i="30"/>
  <c r="AFN27" i="30"/>
  <c r="AFR27" i="30"/>
  <c r="AFV27" i="30"/>
  <c r="AFZ27" i="30"/>
  <c r="AGD27" i="30"/>
  <c r="AGG27" i="30"/>
  <c r="AGP27" i="30"/>
  <c r="AGT27" i="30"/>
  <c r="AGX27" i="30"/>
  <c r="AHB27" i="30"/>
  <c r="AHF27" i="30"/>
  <c r="AHJ27" i="30"/>
  <c r="AHM27" i="30"/>
  <c r="AHR27" i="30"/>
  <c r="AHZ27" i="30"/>
  <c r="AID27" i="30"/>
  <c r="AIH27" i="30"/>
  <c r="AIL27" i="30"/>
  <c r="AIP27" i="30"/>
  <c r="AIS27" i="30"/>
  <c r="AIX27" i="30"/>
  <c r="AJB27" i="30"/>
  <c r="AJF27" i="30"/>
  <c r="AJJ27" i="30"/>
  <c r="AJN27" i="30"/>
  <c r="AJR27" i="30"/>
  <c r="AJV27" i="30"/>
  <c r="AJW27" i="30"/>
  <c r="AJY27" i="30"/>
  <c r="AKD27" i="30"/>
  <c r="AKH27" i="30"/>
  <c r="AKL27" i="30"/>
  <c r="AKP27" i="30"/>
  <c r="AKT27" i="30"/>
  <c r="AKX27" i="30"/>
  <c r="ALB27" i="30"/>
  <c r="ALE27" i="30"/>
  <c r="ALN27" i="30"/>
  <c r="ALR27" i="30"/>
  <c r="ALV27" i="30"/>
  <c r="ALZ27" i="30"/>
  <c r="AMD27" i="30"/>
  <c r="AMH27" i="30"/>
  <c r="AMK27" i="30"/>
  <c r="AMP27" i="30"/>
  <c r="AMX27" i="30"/>
  <c r="ANB27" i="30"/>
  <c r="ANF27" i="30"/>
  <c r="ANJ27" i="30"/>
  <c r="ANN27" i="30"/>
  <c r="ANQ27" i="30"/>
  <c r="ANV27" i="30"/>
  <c r="ANZ27" i="30"/>
  <c r="AOD27" i="30"/>
  <c r="AOH27" i="30"/>
  <c r="AOL27" i="30"/>
  <c r="AOP27" i="30"/>
  <c r="AOT27" i="30"/>
  <c r="AOU27" i="30"/>
  <c r="AOW27" i="30"/>
  <c r="APB27" i="30"/>
  <c r="APF27" i="30"/>
  <c r="APJ27" i="30"/>
  <c r="APN27" i="30"/>
  <c r="APR27" i="30"/>
  <c r="APV27" i="30"/>
  <c r="APZ27" i="30"/>
  <c r="AQC27" i="30"/>
  <c r="AQL27" i="30"/>
  <c r="AQP27" i="30"/>
  <c r="AQT27" i="30"/>
  <c r="AQX27" i="30"/>
  <c r="ARB27" i="30"/>
  <c r="ARF27" i="30"/>
  <c r="ARI27" i="30"/>
  <c r="ARN27" i="30"/>
  <c r="ARV27" i="30"/>
  <c r="ARZ27" i="30"/>
  <c r="ASD27" i="30"/>
  <c r="ASH27" i="30"/>
  <c r="ASL27" i="30"/>
  <c r="ASO27" i="30"/>
  <c r="AST27" i="30"/>
  <c r="ASX27" i="30"/>
  <c r="ATB27" i="30"/>
  <c r="ATF27" i="30"/>
  <c r="ATJ27" i="30"/>
  <c r="ATN27" i="30"/>
  <c r="ATR27" i="30"/>
  <c r="ATS27" i="30"/>
  <c r="ATU27" i="30"/>
  <c r="ATZ27" i="30"/>
  <c r="AUD27" i="30"/>
  <c r="AUH27" i="30"/>
  <c r="AUL27" i="30"/>
  <c r="AUP27" i="30"/>
  <c r="AUT27" i="30"/>
  <c r="AUX27" i="30"/>
  <c r="AVA27" i="30"/>
  <c r="AVJ27" i="30"/>
  <c r="AVN27" i="30"/>
  <c r="AVR27" i="30"/>
  <c r="AVV27" i="30"/>
  <c r="AVZ27" i="30"/>
  <c r="AWD27" i="30"/>
  <c r="AWG27" i="30"/>
  <c r="AWL27" i="30"/>
  <c r="AWT27" i="30"/>
  <c r="AWX27" i="30"/>
  <c r="AXB27" i="30"/>
  <c r="AXF27" i="30"/>
  <c r="AXJ27" i="30"/>
  <c r="AXM27" i="30"/>
  <c r="AXR27" i="30"/>
  <c r="AXV27" i="30"/>
  <c r="AXZ27" i="30"/>
  <c r="AYD27" i="30"/>
  <c r="AYH27" i="30"/>
  <c r="AYL27" i="30"/>
  <c r="AYP27" i="30"/>
  <c r="AYQ27" i="30"/>
  <c r="AYS27" i="30"/>
  <c r="AYX27" i="30"/>
  <c r="AZB27" i="30"/>
  <c r="AZF27" i="30"/>
  <c r="AZJ27" i="30"/>
  <c r="AZN27" i="30"/>
  <c r="AZR27" i="30"/>
  <c r="AZV27" i="30"/>
  <c r="AZY27" i="30"/>
  <c r="BAH27" i="30"/>
  <c r="BAL27" i="30"/>
  <c r="BAP27" i="30"/>
  <c r="BAT27" i="30"/>
  <c r="BAX27" i="30"/>
  <c r="BBB27" i="30"/>
  <c r="BBE27" i="30"/>
  <c r="BBJ27" i="30"/>
  <c r="BBR27" i="30"/>
  <c r="BBV27" i="30"/>
  <c r="BBZ27" i="30"/>
  <c r="BCD27" i="30"/>
  <c r="BCH27" i="30"/>
  <c r="BCK27" i="30"/>
  <c r="BCP27" i="30"/>
  <c r="BCT27" i="30"/>
  <c r="BCX27" i="30"/>
  <c r="BDB27" i="30"/>
  <c r="BDF27" i="30"/>
  <c r="BDJ27" i="30"/>
  <c r="BDN27" i="30"/>
  <c r="BDO27" i="30"/>
  <c r="BDQ27" i="30"/>
  <c r="BDV27" i="30"/>
  <c r="BDZ27" i="30"/>
  <c r="BED27" i="30"/>
  <c r="BEH27" i="30"/>
  <c r="BEL27" i="30"/>
  <c r="BEP27" i="30"/>
  <c r="BET27" i="30"/>
  <c r="BEW27" i="30"/>
  <c r="BFF27" i="30"/>
  <c r="BFJ27" i="30"/>
  <c r="BFN27" i="30"/>
  <c r="BFR27" i="30"/>
  <c r="BFV27" i="30"/>
  <c r="BFZ27" i="30"/>
  <c r="BGC27" i="30"/>
  <c r="BGH27" i="30"/>
  <c r="BGP27" i="30"/>
  <c r="BGT27" i="30"/>
  <c r="BGX27" i="30"/>
  <c r="BHB27" i="30"/>
  <c r="BHF27" i="30"/>
  <c r="BHI27" i="30"/>
  <c r="BHN27" i="30"/>
  <c r="BHR27" i="30"/>
  <c r="BHV27" i="30"/>
  <c r="BHZ27" i="30"/>
  <c r="BID27" i="30"/>
  <c r="BIH27" i="30"/>
  <c r="BIL27" i="30"/>
  <c r="BIM27" i="30"/>
  <c r="BIO27" i="30"/>
  <c r="BIT27" i="30"/>
  <c r="BIX27" i="30"/>
  <c r="BJB27" i="30"/>
  <c r="BJF27" i="30"/>
  <c r="BJJ27" i="30"/>
  <c r="BJN27" i="30"/>
  <c r="BJR27" i="30"/>
  <c r="BJU27" i="30"/>
  <c r="BKD27" i="30"/>
  <c r="BKH27" i="30"/>
  <c r="BKL27" i="30"/>
  <c r="BKP27" i="30"/>
  <c r="BKT27" i="30"/>
  <c r="BKX27" i="30"/>
  <c r="BLA27" i="30"/>
  <c r="F28" i="30"/>
  <c r="N28" i="30"/>
  <c r="R28" i="30"/>
  <c r="V28" i="30"/>
  <c r="Z28" i="30"/>
  <c r="AD28" i="30"/>
  <c r="AG28" i="30"/>
  <c r="AL28" i="30"/>
  <c r="AP28" i="30"/>
  <c r="AT28" i="30"/>
  <c r="AX28" i="30"/>
  <c r="BB28" i="30"/>
  <c r="BF28" i="30"/>
  <c r="BJ28" i="30"/>
  <c r="BK28" i="30"/>
  <c r="BM28" i="30"/>
  <c r="BR28" i="30"/>
  <c r="BV28" i="30"/>
  <c r="BZ28" i="30"/>
  <c r="CD28" i="30"/>
  <c r="CH28" i="30"/>
  <c r="CL28" i="30"/>
  <c r="CP28" i="30"/>
  <c r="CS28" i="30"/>
  <c r="DB28" i="30"/>
  <c r="DF28" i="30"/>
  <c r="DJ28" i="30"/>
  <c r="DN28" i="30"/>
  <c r="DR28" i="30"/>
  <c r="DV28" i="30"/>
  <c r="DY28" i="30"/>
  <c r="ED28" i="30"/>
  <c r="EL28" i="30"/>
  <c r="EP28" i="30"/>
  <c r="ET28" i="30"/>
  <c r="EX28" i="30"/>
  <c r="FB28" i="30"/>
  <c r="FE28" i="30"/>
  <c r="FJ28" i="30"/>
  <c r="FN28" i="30"/>
  <c r="FR28" i="30"/>
  <c r="FV28" i="30"/>
  <c r="FZ28" i="30"/>
  <c r="GD28" i="30"/>
  <c r="GH28" i="30"/>
  <c r="GI28" i="30"/>
  <c r="GK28" i="30"/>
  <c r="GP28" i="30"/>
  <c r="GT28" i="30"/>
  <c r="GX28" i="30"/>
  <c r="HB28" i="30"/>
  <c r="HF28" i="30"/>
  <c r="HJ28" i="30"/>
  <c r="HN28" i="30"/>
  <c r="HQ28" i="30"/>
  <c r="HZ28" i="30"/>
  <c r="ID28" i="30"/>
  <c r="IH28" i="30"/>
  <c r="IL28" i="30"/>
  <c r="IP28" i="30"/>
  <c r="IT28" i="30"/>
  <c r="IW28" i="30"/>
  <c r="JB28" i="30"/>
  <c r="JJ28" i="30"/>
  <c r="JN28" i="30"/>
  <c r="JR28" i="30"/>
  <c r="JV28" i="30"/>
  <c r="JZ28" i="30"/>
  <c r="KC28" i="30"/>
  <c r="KH28" i="30"/>
  <c r="KL28" i="30"/>
  <c r="KP28" i="30"/>
  <c r="KT28" i="30"/>
  <c r="KX28" i="30"/>
  <c r="LB28" i="30"/>
  <c r="LF28" i="30"/>
  <c r="LG28" i="30"/>
  <c r="LI28" i="30"/>
  <c r="LR28" i="30"/>
  <c r="LV28" i="30"/>
  <c r="LZ28" i="30"/>
  <c r="MD28" i="30"/>
  <c r="MH28" i="30"/>
  <c r="ML28" i="30"/>
  <c r="MO28" i="30"/>
  <c r="MX28" i="30"/>
  <c r="NB28" i="30"/>
  <c r="NF28" i="30"/>
  <c r="NJ28" i="30"/>
  <c r="NN28" i="30"/>
  <c r="NR28" i="30"/>
  <c r="NU28" i="30"/>
  <c r="NZ28" i="30"/>
  <c r="OH28" i="30"/>
  <c r="OL28" i="30"/>
  <c r="OP28" i="30"/>
  <c r="OT28" i="30"/>
  <c r="OX28" i="30"/>
  <c r="PA28" i="30"/>
  <c r="PF28" i="30"/>
  <c r="PJ28" i="30"/>
  <c r="PN28" i="30"/>
  <c r="PR28" i="30"/>
  <c r="PV28" i="30"/>
  <c r="PZ28" i="30"/>
  <c r="QD28" i="30"/>
  <c r="QE28" i="30"/>
  <c r="QG28" i="30"/>
  <c r="QP28" i="30"/>
  <c r="QT28" i="30"/>
  <c r="QX28" i="30"/>
  <c r="RB28" i="30"/>
  <c r="RF28" i="30"/>
  <c r="RJ28" i="30"/>
  <c r="RM28" i="30"/>
  <c r="RV28" i="30"/>
  <c r="RZ28" i="30"/>
  <c r="SD28" i="30"/>
  <c r="SH28" i="30"/>
  <c r="SL28" i="30"/>
  <c r="SP28" i="30"/>
  <c r="SS28" i="30"/>
  <c r="SX28" i="30"/>
  <c r="TF28" i="30"/>
  <c r="TJ28" i="30"/>
  <c r="TN28" i="30"/>
  <c r="TR28" i="30"/>
  <c r="TV28" i="30"/>
  <c r="TY28" i="30"/>
  <c r="UD28" i="30"/>
  <c r="UH28" i="30"/>
  <c r="UL28" i="30"/>
  <c r="UP28" i="30"/>
  <c r="UT28" i="30"/>
  <c r="UX28" i="30"/>
  <c r="VB28" i="30"/>
  <c r="VC28" i="30"/>
  <c r="VE28" i="30"/>
  <c r="VN28" i="30"/>
  <c r="VR28" i="30"/>
  <c r="VV28" i="30"/>
  <c r="VZ28" i="30"/>
  <c r="WD28" i="30"/>
  <c r="WH28" i="30"/>
  <c r="WK28" i="30"/>
  <c r="WT28" i="30"/>
  <c r="WX28" i="30"/>
  <c r="XB28" i="30"/>
  <c r="XF28" i="30"/>
  <c r="XJ28" i="30"/>
  <c r="XN28" i="30"/>
  <c r="XQ28" i="30"/>
  <c r="XV28" i="30"/>
  <c r="YD28" i="30"/>
  <c r="YH28" i="30"/>
  <c r="YL28" i="30"/>
  <c r="YP28" i="30"/>
  <c r="YT28" i="30"/>
  <c r="YW28" i="30"/>
  <c r="ZB28" i="30"/>
  <c r="ZF28" i="30"/>
  <c r="ZJ28" i="30"/>
  <c r="ZN28" i="30"/>
  <c r="ZR28" i="30"/>
  <c r="ZV28" i="30"/>
  <c r="ZZ28" i="30"/>
  <c r="AAA28" i="30"/>
  <c r="AAL28" i="30"/>
  <c r="AAP28" i="30"/>
  <c r="AAT28" i="30"/>
  <c r="AAX28" i="30"/>
  <c r="ABB28" i="30"/>
  <c r="ABF28" i="30"/>
  <c r="ABI28" i="30"/>
  <c r="ABR28" i="30"/>
  <c r="ABV28" i="30"/>
  <c r="ABZ28" i="30"/>
  <c r="ACD28" i="30"/>
  <c r="ACH28" i="30"/>
  <c r="ACL28" i="30"/>
  <c r="ACO28" i="30"/>
  <c r="ACT28" i="30"/>
  <c r="ADB28" i="30"/>
  <c r="ADF28" i="30"/>
  <c r="ADJ28" i="30"/>
  <c r="ADN28" i="30"/>
  <c r="ADR28" i="30"/>
  <c r="ADU28" i="30"/>
  <c r="ADZ28" i="30"/>
  <c r="AED28" i="30"/>
  <c r="AEH28" i="30"/>
  <c r="AEL28" i="30"/>
  <c r="AEP28" i="30"/>
  <c r="AET28" i="30"/>
  <c r="AEX28" i="30"/>
  <c r="AEY28" i="30"/>
  <c r="AFA28" i="30"/>
  <c r="AFJ28" i="30"/>
  <c r="AFN28" i="30"/>
  <c r="AFR28" i="30"/>
  <c r="AFV28" i="30"/>
  <c r="AFZ28" i="30"/>
  <c r="AGD28" i="30"/>
  <c r="AGG28" i="30"/>
  <c r="AGP28" i="30"/>
  <c r="AGT28" i="30"/>
  <c r="AGX28" i="30"/>
  <c r="AHB28" i="30"/>
  <c r="AHF28" i="30"/>
  <c r="AHJ28" i="30"/>
  <c r="AHM28" i="30"/>
  <c r="AHR28" i="30"/>
  <c r="AHZ28" i="30"/>
  <c r="AID28" i="30"/>
  <c r="AIH28" i="30"/>
  <c r="AIL28" i="30"/>
  <c r="AIP28" i="30"/>
  <c r="AIS28" i="30"/>
  <c r="AIX28" i="30"/>
  <c r="AJB28" i="30"/>
  <c r="AJF28" i="30"/>
  <c r="AJJ28" i="30"/>
  <c r="AJN28" i="30"/>
  <c r="AJR28" i="30"/>
  <c r="AJV28" i="30"/>
  <c r="AJW28" i="30"/>
  <c r="AJY28" i="30"/>
  <c r="AKH28" i="30"/>
  <c r="AKL28" i="30"/>
  <c r="AKP28" i="30"/>
  <c r="AKT28" i="30"/>
  <c r="AKX28" i="30"/>
  <c r="ALB28" i="30"/>
  <c r="ALE28" i="30"/>
  <c r="ALN28" i="30"/>
  <c r="ALR28" i="30"/>
  <c r="ALV28" i="30"/>
  <c r="ALZ28" i="30"/>
  <c r="AMD28" i="30"/>
  <c r="AMH28" i="30"/>
  <c r="AMK28" i="30"/>
  <c r="AMP28" i="30"/>
  <c r="AMX28" i="30"/>
  <c r="ANB28" i="30"/>
  <c r="ANF28" i="30"/>
  <c r="ANJ28" i="30"/>
  <c r="ANN28" i="30"/>
  <c r="ANQ28" i="30"/>
  <c r="ANV28" i="30"/>
  <c r="ANZ28" i="30"/>
  <c r="AOD28" i="30"/>
  <c r="AOH28" i="30"/>
  <c r="AOL28" i="30"/>
  <c r="AOP28" i="30"/>
  <c r="AOT28" i="30"/>
  <c r="AOU28" i="30"/>
  <c r="AOW28" i="30"/>
  <c r="APF28" i="30"/>
  <c r="APJ28" i="30"/>
  <c r="APN28" i="30"/>
  <c r="APR28" i="30"/>
  <c r="APV28" i="30"/>
  <c r="APZ28" i="30"/>
  <c r="AQC28" i="30"/>
  <c r="AQL28" i="30"/>
  <c r="AQP28" i="30"/>
  <c r="AQT28" i="30"/>
  <c r="AQX28" i="30"/>
  <c r="ARB28" i="30"/>
  <c r="ARF28" i="30"/>
  <c r="ARI28" i="30"/>
  <c r="ARN28" i="30"/>
  <c r="ARV28" i="30"/>
  <c r="ARZ28" i="30"/>
  <c r="ASD28" i="30"/>
  <c r="ASH28" i="30"/>
  <c r="ASL28" i="30"/>
  <c r="ASO28" i="30"/>
  <c r="AST28" i="30"/>
  <c r="ASX28" i="30"/>
  <c r="ATB28" i="30"/>
  <c r="ATF28" i="30"/>
  <c r="ATJ28" i="30"/>
  <c r="ATN28" i="30"/>
  <c r="ATR28" i="30"/>
  <c r="ATS28" i="30"/>
  <c r="ATU28" i="30"/>
  <c r="AUD28" i="30"/>
  <c r="AUH28" i="30"/>
  <c r="AUL28" i="30"/>
  <c r="AUP28" i="30"/>
  <c r="AUT28" i="30"/>
  <c r="AUX28" i="30"/>
  <c r="AVA28" i="30"/>
  <c r="AVJ28" i="30"/>
  <c r="AVN28" i="30"/>
  <c r="AVR28" i="30"/>
  <c r="AVV28" i="30"/>
  <c r="AVZ28" i="30"/>
  <c r="AWD28" i="30"/>
  <c r="AWG28" i="30"/>
  <c r="AWL28" i="30"/>
  <c r="AWT28" i="30"/>
  <c r="AWX28" i="30"/>
  <c r="AXB28" i="30"/>
  <c r="AXF28" i="30"/>
  <c r="AXJ28" i="30"/>
  <c r="AXM28" i="30"/>
  <c r="AXR28" i="30"/>
  <c r="AXV28" i="30"/>
  <c r="AXZ28" i="30"/>
  <c r="AYD28" i="30"/>
  <c r="AYH28" i="30"/>
  <c r="AYL28" i="30"/>
  <c r="AYP28" i="30"/>
  <c r="AYQ28" i="30"/>
  <c r="AYS28" i="30"/>
  <c r="AZB28" i="30"/>
  <c r="AZF28" i="30"/>
  <c r="AZJ28" i="30"/>
  <c r="AZN28" i="30"/>
  <c r="AZR28" i="30"/>
  <c r="AZV28" i="30"/>
  <c r="AZY28" i="30"/>
  <c r="BAH28" i="30"/>
  <c r="BAL28" i="30"/>
  <c r="BAP28" i="30"/>
  <c r="BAT28" i="30"/>
  <c r="BAX28" i="30"/>
  <c r="BBB28" i="30"/>
  <c r="BBE28" i="30"/>
  <c r="BBJ28" i="30"/>
  <c r="BBR28" i="30"/>
  <c r="BBV28" i="30"/>
  <c r="BBZ28" i="30"/>
  <c r="BCD28" i="30"/>
  <c r="BCH28" i="30"/>
  <c r="BCK28" i="30"/>
  <c r="BCP28" i="30"/>
  <c r="BCT28" i="30"/>
  <c r="BCX28" i="30"/>
  <c r="BDB28" i="30"/>
  <c r="BDF28" i="30"/>
  <c r="BDJ28" i="30"/>
  <c r="BDN28" i="30"/>
  <c r="BDQ28" i="30"/>
  <c r="BDZ28" i="30"/>
  <c r="BED28" i="30"/>
  <c r="BEH28" i="30"/>
  <c r="BEL28" i="30"/>
  <c r="BEP28" i="30"/>
  <c r="BET28" i="30"/>
  <c r="BEW28" i="30"/>
  <c r="BFB28" i="30"/>
  <c r="BFF28" i="30"/>
  <c r="BFJ28" i="30"/>
  <c r="BFN28" i="30"/>
  <c r="BFR28" i="30"/>
  <c r="BFV28" i="30"/>
  <c r="BFZ28" i="30"/>
  <c r="BGC28" i="30"/>
  <c r="BGH28" i="30"/>
  <c r="BGL28" i="30"/>
  <c r="BGP28" i="30"/>
  <c r="BGT28" i="30"/>
  <c r="BGX28" i="30"/>
  <c r="BHB28" i="30"/>
  <c r="BHF28" i="30"/>
  <c r="BHH28" i="30"/>
  <c r="BHI28" i="30"/>
  <c r="BHN28" i="30"/>
  <c r="BHR28" i="30"/>
  <c r="BHV28" i="30"/>
  <c r="BHZ28" i="30"/>
  <c r="BID28" i="30"/>
  <c r="BIH28" i="30"/>
  <c r="BIL28" i="30"/>
  <c r="BIO28" i="30"/>
  <c r="BIX28" i="30"/>
  <c r="BJB28" i="30"/>
  <c r="BJF28" i="30"/>
  <c r="BJJ28" i="30"/>
  <c r="BJN28" i="30"/>
  <c r="BJR28" i="30"/>
  <c r="BJU28" i="30"/>
  <c r="BJZ28" i="30"/>
  <c r="BKD28" i="30"/>
  <c r="BKH28" i="30"/>
  <c r="BKL28" i="30"/>
  <c r="BKP28" i="30"/>
  <c r="BKT28" i="30"/>
  <c r="BKX28" i="30"/>
  <c r="BLA28" i="30"/>
  <c r="F29" i="30"/>
  <c r="J29" i="30"/>
  <c r="N29" i="30"/>
  <c r="R29" i="30"/>
  <c r="V29" i="30"/>
  <c r="Z29" i="30"/>
  <c r="AD29" i="30"/>
  <c r="AF29" i="30"/>
  <c r="AG29" i="30"/>
  <c r="AL29" i="30"/>
  <c r="AP29" i="30"/>
  <c r="AT29" i="30"/>
  <c r="AX29" i="30"/>
  <c r="BB29" i="30"/>
  <c r="BF29" i="30"/>
  <c r="BJ29" i="30"/>
  <c r="BK29" i="30"/>
  <c r="BM29" i="30"/>
  <c r="BV29" i="30"/>
  <c r="BZ29" i="30"/>
  <c r="CD29" i="30"/>
  <c r="CH29" i="30"/>
  <c r="CL29" i="30"/>
  <c r="CP29" i="30"/>
  <c r="CS29" i="30"/>
  <c r="CX29" i="30"/>
  <c r="DB29" i="30"/>
  <c r="DF29" i="30"/>
  <c r="DJ29" i="30"/>
  <c r="DN29" i="30"/>
  <c r="DR29" i="30"/>
  <c r="DV29" i="30"/>
  <c r="DY29" i="30"/>
  <c r="ED29" i="30"/>
  <c r="EH29" i="30"/>
  <c r="EL29" i="30"/>
  <c r="EP29" i="30"/>
  <c r="ET29" i="30"/>
  <c r="EX29" i="30"/>
  <c r="FB29" i="30"/>
  <c r="FD29" i="30"/>
  <c r="FE29" i="30"/>
  <c r="FJ29" i="30"/>
  <c r="FN29" i="30"/>
  <c r="FR29" i="30"/>
  <c r="FV29" i="30"/>
  <c r="FZ29" i="30"/>
  <c r="GD29" i="30"/>
  <c r="GH29" i="30"/>
  <c r="GI29" i="30"/>
  <c r="GK29" i="30"/>
  <c r="GT29" i="30"/>
  <c r="GX29" i="30"/>
  <c r="HB29" i="30"/>
  <c r="HF29" i="30"/>
  <c r="HJ29" i="30"/>
  <c r="HN29" i="30"/>
  <c r="HQ29" i="30"/>
  <c r="HV29" i="30"/>
  <c r="HZ29" i="30"/>
  <c r="ID29" i="30"/>
  <c r="IH29" i="30"/>
  <c r="IL29" i="30"/>
  <c r="IP29" i="30"/>
  <c r="IT29" i="30"/>
  <c r="IW29" i="30"/>
  <c r="JB29" i="30"/>
  <c r="JF29" i="30"/>
  <c r="JJ29" i="30"/>
  <c r="JN29" i="30"/>
  <c r="JR29" i="30"/>
  <c r="JV29" i="30"/>
  <c r="JZ29" i="30"/>
  <c r="KC29" i="30"/>
  <c r="KH29" i="30"/>
  <c r="KL29" i="30"/>
  <c r="KP29" i="30"/>
  <c r="KT29" i="30"/>
  <c r="KX29" i="30"/>
  <c r="LB29" i="30"/>
  <c r="LF29" i="30"/>
  <c r="LI29" i="30"/>
  <c r="LR29" i="30"/>
  <c r="LV29" i="30"/>
  <c r="LZ29" i="30"/>
  <c r="MD29" i="30"/>
  <c r="MH29" i="30"/>
  <c r="ML29" i="30"/>
  <c r="MO29" i="30"/>
  <c r="MT29" i="30"/>
  <c r="MX29" i="30"/>
  <c r="NB29" i="30"/>
  <c r="NF29" i="30"/>
  <c r="NJ29" i="30"/>
  <c r="NN29" i="30"/>
  <c r="NR29" i="30"/>
  <c r="NU29" i="30"/>
  <c r="NZ29" i="30"/>
  <c r="OD29" i="30"/>
  <c r="OH29" i="30"/>
  <c r="OL29" i="30"/>
  <c r="OP29" i="30"/>
  <c r="OT29" i="30"/>
  <c r="OX29" i="30"/>
  <c r="OZ29" i="30"/>
  <c r="PA29" i="30"/>
  <c r="PF29" i="30"/>
  <c r="PJ29" i="30"/>
  <c r="PN29" i="30"/>
  <c r="PR29" i="30"/>
  <c r="PV29" i="30"/>
  <c r="PZ29" i="30"/>
  <c r="QD29" i="30"/>
  <c r="QG29" i="30"/>
  <c r="QP29" i="30"/>
  <c r="QT29" i="30"/>
  <c r="QX29" i="30"/>
  <c r="RB29" i="30"/>
  <c r="RF29" i="30"/>
  <c r="RJ29" i="30"/>
  <c r="RM29" i="30"/>
  <c r="RR29" i="30"/>
  <c r="RV29" i="30"/>
  <c r="RZ29" i="30"/>
  <c r="SD29" i="30"/>
  <c r="SH29" i="30"/>
  <c r="SL29" i="30"/>
  <c r="SP29" i="30"/>
  <c r="SS29" i="30"/>
  <c r="SX29" i="30"/>
  <c r="TB29" i="30"/>
  <c r="TF29" i="30"/>
  <c r="TJ29" i="30"/>
  <c r="TN29" i="30"/>
  <c r="TR29" i="30"/>
  <c r="TV29" i="30"/>
  <c r="TX29" i="30"/>
  <c r="TY29" i="30"/>
  <c r="UD29" i="30"/>
  <c r="UH29" i="30"/>
  <c r="UL29" i="30"/>
  <c r="UP29" i="30"/>
  <c r="UT29" i="30"/>
  <c r="UX29" i="30"/>
  <c r="VB29" i="30"/>
  <c r="VC29" i="30"/>
  <c r="VE29" i="30"/>
  <c r="VN29" i="30"/>
  <c r="VR29" i="30"/>
  <c r="VV29" i="30"/>
  <c r="VZ29" i="30"/>
  <c r="WD29" i="30"/>
  <c r="WH29" i="30"/>
  <c r="WK29" i="30"/>
  <c r="WP29" i="30"/>
  <c r="WT29" i="30"/>
  <c r="WX29" i="30"/>
  <c r="XB29" i="30"/>
  <c r="XF29" i="30"/>
  <c r="XJ29" i="30"/>
  <c r="XN29" i="30"/>
  <c r="XQ29" i="30"/>
  <c r="XV29" i="30"/>
  <c r="XZ29" i="30"/>
  <c r="YD29" i="30"/>
  <c r="YH29" i="30"/>
  <c r="YL29" i="30"/>
  <c r="YP29" i="30"/>
  <c r="YT29" i="30"/>
  <c r="YV29" i="30"/>
  <c r="YW29" i="30"/>
  <c r="ZB29" i="30"/>
  <c r="ZF29" i="30"/>
  <c r="ZJ29" i="30"/>
  <c r="ZN29" i="30"/>
  <c r="ZR29" i="30"/>
  <c r="ZV29" i="30"/>
  <c r="ZZ29" i="30"/>
  <c r="AAA29" i="30"/>
  <c r="AAL29" i="30"/>
  <c r="AAP29" i="30"/>
  <c r="AAT29" i="30"/>
  <c r="AAX29" i="30"/>
  <c r="ABB29" i="30"/>
  <c r="ABF29" i="30"/>
  <c r="ABI29" i="30"/>
  <c r="ABN29" i="30"/>
  <c r="ABR29" i="30"/>
  <c r="ABV29" i="30"/>
  <c r="ABZ29" i="30"/>
  <c r="ACD29" i="30"/>
  <c r="ACH29" i="30"/>
  <c r="ACL29" i="30"/>
  <c r="ACO29" i="30"/>
  <c r="ACT29" i="30"/>
  <c r="ACX29" i="30"/>
  <c r="ADB29" i="30"/>
  <c r="ADF29" i="30"/>
  <c r="ADJ29" i="30"/>
  <c r="ADN29" i="30"/>
  <c r="ADR29" i="30"/>
  <c r="ADU29" i="30"/>
  <c r="ADZ29" i="30"/>
  <c r="AED29" i="30"/>
  <c r="AEH29" i="30"/>
  <c r="AEL29" i="30"/>
  <c r="AEP29" i="30"/>
  <c r="AET29" i="30"/>
  <c r="AEX29" i="30"/>
  <c r="AFA29" i="30"/>
  <c r="AFJ29" i="30"/>
  <c r="AFN29" i="30"/>
  <c r="AFR29" i="30"/>
  <c r="AFV29" i="30"/>
  <c r="AFZ29" i="30"/>
  <c r="AGD29" i="30"/>
  <c r="AGG29" i="30"/>
  <c r="AGL29" i="30"/>
  <c r="AGP29" i="30"/>
  <c r="AGT29" i="30"/>
  <c r="AGX29" i="30"/>
  <c r="AHB29" i="30"/>
  <c r="AHF29" i="30"/>
  <c r="AHJ29" i="30"/>
  <c r="AHM29" i="30"/>
  <c r="AHR29" i="30"/>
  <c r="AHV29" i="30"/>
  <c r="AHZ29" i="30"/>
  <c r="AID29" i="30"/>
  <c r="AIH29" i="30"/>
  <c r="AIL29" i="30"/>
  <c r="AIP29" i="30"/>
  <c r="AIR29" i="30"/>
  <c r="AIS29" i="30"/>
  <c r="AIX29" i="30"/>
  <c r="AJB29" i="30"/>
  <c r="AJF29" i="30"/>
  <c r="AJJ29" i="30"/>
  <c r="AJN29" i="30"/>
  <c r="AJR29" i="30"/>
  <c r="AJV29" i="30"/>
  <c r="AJY29" i="30"/>
  <c r="AKH29" i="30"/>
  <c r="AKL29" i="30"/>
  <c r="AKP29" i="30"/>
  <c r="AKT29" i="30"/>
  <c r="AKX29" i="30"/>
  <c r="ALB29" i="30"/>
  <c r="ALE29" i="30"/>
  <c r="ALJ29" i="30"/>
  <c r="ALN29" i="30"/>
  <c r="ALR29" i="30"/>
  <c r="ALV29" i="30"/>
  <c r="ALZ29" i="30"/>
  <c r="AMD29" i="30"/>
  <c r="AMH29" i="30"/>
  <c r="AMK29" i="30"/>
  <c r="AMP29" i="30"/>
  <c r="AMT29" i="30"/>
  <c r="AMX29" i="30"/>
  <c r="ANB29" i="30"/>
  <c r="ANF29" i="30"/>
  <c r="ANJ29" i="30"/>
  <c r="ANN29" i="30"/>
  <c r="ANP29" i="30"/>
  <c r="ANQ29" i="30"/>
  <c r="ANV29" i="30"/>
  <c r="ANZ29" i="30"/>
  <c r="AOD29" i="30"/>
  <c r="AOH29" i="30"/>
  <c r="AOL29" i="30"/>
  <c r="AOP29" i="30"/>
  <c r="AOT29" i="30"/>
  <c r="AOU29" i="30"/>
  <c r="AOW29" i="30"/>
  <c r="AOX29" i="30"/>
  <c r="APF29" i="30"/>
  <c r="APJ29" i="30"/>
  <c r="APN29" i="30"/>
  <c r="APR29" i="30"/>
  <c r="APV29" i="30"/>
  <c r="APZ29" i="30"/>
  <c r="AQC29" i="30"/>
  <c r="AQH29" i="30"/>
  <c r="AQL29" i="30"/>
  <c r="AQP29" i="30"/>
  <c r="AQT29" i="30"/>
  <c r="AQX29" i="30"/>
  <c r="ARB29" i="30"/>
  <c r="ARF29" i="30"/>
  <c r="ARI29" i="30"/>
  <c r="ARN29" i="30"/>
  <c r="ARR29" i="30"/>
  <c r="ARV29" i="30"/>
  <c r="ARZ29" i="30"/>
  <c r="ASD29" i="30"/>
  <c r="ASH29" i="30"/>
  <c r="ASL29" i="30"/>
  <c r="ASN29" i="30"/>
  <c r="ASO29" i="30"/>
  <c r="AST29" i="30"/>
  <c r="ASX29" i="30"/>
  <c r="ATB29" i="30"/>
  <c r="ATF29" i="30"/>
  <c r="ATJ29" i="30"/>
  <c r="ATN29" i="30"/>
  <c r="ATR29" i="30"/>
  <c r="ATS29" i="30"/>
  <c r="ATU29" i="30"/>
  <c r="AUD29" i="30"/>
  <c r="AUH29" i="30"/>
  <c r="AUL29" i="30"/>
  <c r="AUP29" i="30"/>
  <c r="AUT29" i="30"/>
  <c r="AUX29" i="30"/>
  <c r="AVA29" i="30"/>
  <c r="AVF29" i="30"/>
  <c r="AVJ29" i="30"/>
  <c r="AVN29" i="30"/>
  <c r="AVR29" i="30"/>
  <c r="AVV29" i="30"/>
  <c r="AVZ29" i="30"/>
  <c r="AWD29" i="30"/>
  <c r="AWG29" i="30"/>
  <c r="AWL29" i="30"/>
  <c r="AWP29" i="30"/>
  <c r="AWT29" i="30"/>
  <c r="AWX29" i="30"/>
  <c r="AXB29" i="30"/>
  <c r="AXF29" i="30"/>
  <c r="AXJ29" i="30"/>
  <c r="AXM29" i="30"/>
  <c r="AXR29" i="30"/>
  <c r="AXV29" i="30"/>
  <c r="AXZ29" i="30"/>
  <c r="AYD29" i="30"/>
  <c r="AYH29" i="30"/>
  <c r="AYL29" i="30"/>
  <c r="AYP29" i="30"/>
  <c r="AYS29" i="30"/>
  <c r="AZB29" i="30"/>
  <c r="AZF29" i="30"/>
  <c r="AZJ29" i="30"/>
  <c r="AZN29" i="30"/>
  <c r="AZR29" i="30"/>
  <c r="AZV29" i="30"/>
  <c r="AZY29" i="30"/>
  <c r="BAD29" i="30"/>
  <c r="BAH29" i="30"/>
  <c r="BAL29" i="30"/>
  <c r="BAP29" i="30"/>
  <c r="BAT29" i="30"/>
  <c r="BAX29" i="30"/>
  <c r="BBB29" i="30"/>
  <c r="BBE29" i="30"/>
  <c r="BBJ29" i="30"/>
  <c r="BBN29" i="30"/>
  <c r="BBR29" i="30"/>
  <c r="BBV29" i="30"/>
  <c r="BBZ29" i="30"/>
  <c r="BCD29" i="30"/>
  <c r="BCH29" i="30"/>
  <c r="BCJ29" i="30"/>
  <c r="BCK29" i="30"/>
  <c r="BCP29" i="30"/>
  <c r="BCT29" i="30"/>
  <c r="BCX29" i="30"/>
  <c r="BDB29" i="30"/>
  <c r="BDF29" i="30"/>
  <c r="BDJ29" i="30"/>
  <c r="BDN29" i="30"/>
  <c r="BDQ29" i="30"/>
  <c r="BDZ29" i="30"/>
  <c r="BED29" i="30"/>
  <c r="BEH29" i="30"/>
  <c r="BEL29" i="30"/>
  <c r="BEP29" i="30"/>
  <c r="BET29" i="30"/>
  <c r="BEW29" i="30"/>
  <c r="BFB29" i="30"/>
  <c r="BFF29" i="30"/>
  <c r="BFJ29" i="30"/>
  <c r="BFN29" i="30"/>
  <c r="BFR29" i="30"/>
  <c r="BFV29" i="30"/>
  <c r="BFZ29" i="30"/>
  <c r="BGC29" i="30"/>
  <c r="BGH29" i="30"/>
  <c r="BGL29" i="30"/>
  <c r="BGP29" i="30"/>
  <c r="BGT29" i="30"/>
  <c r="BGX29" i="30"/>
  <c r="BHB29" i="30"/>
  <c r="BHF29" i="30"/>
  <c r="BHH29" i="30"/>
  <c r="BHI29" i="30"/>
  <c r="BHN29" i="30"/>
  <c r="BHR29" i="30"/>
  <c r="BHV29" i="30"/>
  <c r="BHZ29" i="30"/>
  <c r="BID29" i="30"/>
  <c r="BIH29" i="30"/>
  <c r="BIL29" i="30"/>
  <c r="BIM29" i="30"/>
  <c r="BIO29" i="30"/>
  <c r="BIP29" i="30"/>
  <c r="BIX29" i="30"/>
  <c r="BJB29" i="30"/>
  <c r="BJF29" i="30"/>
  <c r="BJJ29" i="30"/>
  <c r="BJN29" i="30"/>
  <c r="BJR29" i="30"/>
  <c r="BJU29" i="30"/>
  <c r="BJZ29" i="30"/>
  <c r="BKD29" i="30"/>
  <c r="BKH29" i="30"/>
  <c r="BKL29" i="30"/>
  <c r="BKP29" i="30"/>
  <c r="BKT29" i="30"/>
  <c r="BKX29" i="30"/>
  <c r="BLA29" i="30"/>
  <c r="F30" i="30"/>
  <c r="J30" i="30"/>
  <c r="N30" i="30"/>
  <c r="R30" i="30"/>
  <c r="V30" i="30"/>
  <c r="Z30" i="30"/>
  <c r="AD30" i="30"/>
  <c r="AF30" i="30"/>
  <c r="AG30" i="30"/>
  <c r="AL30" i="30"/>
  <c r="AP30" i="30"/>
  <c r="AT30" i="30"/>
  <c r="AX30" i="30"/>
  <c r="BB30" i="30"/>
  <c r="BF30" i="30"/>
  <c r="BJ30" i="30"/>
  <c r="BK30" i="30"/>
  <c r="BM30" i="30"/>
  <c r="BV30" i="30"/>
  <c r="BZ30" i="30"/>
  <c r="CD30" i="30"/>
  <c r="CH30" i="30"/>
  <c r="CL30" i="30"/>
  <c r="CP30" i="30"/>
  <c r="CS30" i="30"/>
  <c r="CX30" i="30"/>
  <c r="DB30" i="30"/>
  <c r="DF30" i="30"/>
  <c r="DJ30" i="30"/>
  <c r="DN30" i="30"/>
  <c r="DR30" i="30"/>
  <c r="DV30" i="30"/>
  <c r="DY30" i="30"/>
  <c r="ED30" i="30"/>
  <c r="EH30" i="30"/>
  <c r="EL30" i="30"/>
  <c r="EP30" i="30"/>
  <c r="ET30" i="30"/>
  <c r="EX30" i="30"/>
  <c r="FB30" i="30"/>
  <c r="FE30" i="30"/>
  <c r="FJ30" i="30"/>
  <c r="FN30" i="30"/>
  <c r="FR30" i="30"/>
  <c r="FV30" i="30"/>
  <c r="FZ30" i="30"/>
  <c r="GD30" i="30"/>
  <c r="GH30" i="30"/>
  <c r="GK30" i="30"/>
  <c r="GT30" i="30"/>
  <c r="GX30" i="30"/>
  <c r="HB30" i="30"/>
  <c r="HF30" i="30"/>
  <c r="HJ30" i="30"/>
  <c r="HN30" i="30"/>
  <c r="HQ30" i="30"/>
  <c r="HV30" i="30"/>
  <c r="HZ30" i="30"/>
  <c r="ID30" i="30"/>
  <c r="IH30" i="30"/>
  <c r="IL30" i="30"/>
  <c r="IP30" i="30"/>
  <c r="IT30" i="30"/>
  <c r="IW30" i="30"/>
  <c r="JB30" i="30"/>
  <c r="JF30" i="30"/>
  <c r="JJ30" i="30"/>
  <c r="JN30" i="30"/>
  <c r="JR30" i="30"/>
  <c r="JV30" i="30"/>
  <c r="JZ30" i="30"/>
  <c r="KB30" i="30"/>
  <c r="KC30" i="30"/>
  <c r="KH30" i="30"/>
  <c r="KL30" i="30"/>
  <c r="KP30" i="30"/>
  <c r="KT30" i="30"/>
  <c r="KX30" i="30"/>
  <c r="LB30" i="30"/>
  <c r="LF30" i="30"/>
  <c r="LI30" i="30"/>
  <c r="LR30" i="30"/>
  <c r="LV30" i="30"/>
  <c r="LZ30" i="30"/>
  <c r="MD30" i="30"/>
  <c r="MH30" i="30"/>
  <c r="ML30" i="30"/>
  <c r="MO30" i="30"/>
  <c r="MT30" i="30"/>
  <c r="MX30" i="30"/>
  <c r="NB30" i="30"/>
  <c r="NF30" i="30"/>
  <c r="NJ30" i="30"/>
  <c r="NN30" i="30"/>
  <c r="NR30" i="30"/>
  <c r="NU30" i="30"/>
  <c r="NZ30" i="30"/>
  <c r="OD30" i="30"/>
  <c r="OH30" i="30"/>
  <c r="OL30" i="30"/>
  <c r="OP30" i="30"/>
  <c r="OT30" i="30"/>
  <c r="OX30" i="30"/>
  <c r="OZ30" i="30"/>
  <c r="PA30" i="30"/>
  <c r="PF30" i="30"/>
  <c r="PJ30" i="30"/>
  <c r="PN30" i="30"/>
  <c r="PR30" i="30"/>
  <c r="PV30" i="30"/>
  <c r="PZ30" i="30"/>
  <c r="QD30" i="30"/>
  <c r="QE30" i="30"/>
  <c r="QF30" i="30"/>
  <c r="QG30" i="30"/>
  <c r="QL30" i="30"/>
  <c r="QP30" i="30"/>
  <c r="QT30" i="30"/>
  <c r="QX30" i="30"/>
  <c r="RB30" i="30"/>
  <c r="RF30" i="30"/>
  <c r="RJ30" i="30"/>
  <c r="RK30" i="30"/>
  <c r="RM30" i="30"/>
  <c r="RR30" i="30"/>
  <c r="RV30" i="30"/>
  <c r="SD30" i="30"/>
  <c r="SH30" i="30"/>
  <c r="SL30" i="30"/>
  <c r="SP30" i="30"/>
  <c r="SR30" i="30"/>
  <c r="SS30" i="30"/>
  <c r="SX30" i="30"/>
  <c r="TB30" i="30"/>
  <c r="TF30" i="30"/>
  <c r="TJ30" i="30"/>
  <c r="TN30" i="30"/>
  <c r="TR30" i="30"/>
  <c r="TV30" i="30"/>
  <c r="TW30" i="30"/>
  <c r="TY30" i="30"/>
  <c r="UH30" i="30"/>
  <c r="UL30" i="30"/>
  <c r="UP30" i="30"/>
  <c r="UT30" i="30"/>
  <c r="UX30" i="30"/>
  <c r="VB30" i="30"/>
  <c r="VE30" i="30"/>
  <c r="VJ30" i="30"/>
  <c r="VN30" i="30"/>
  <c r="VR30" i="30"/>
  <c r="VV30" i="30"/>
  <c r="VZ30" i="30"/>
  <c r="WD30" i="30"/>
  <c r="WH30" i="30"/>
  <c r="WK30" i="30"/>
  <c r="WP30" i="30"/>
  <c r="WT30" i="30"/>
  <c r="XB30" i="30"/>
  <c r="XF30" i="30"/>
  <c r="XJ30" i="30"/>
  <c r="XN30" i="30"/>
  <c r="XP30" i="30"/>
  <c r="XQ30" i="30"/>
  <c r="XV30" i="30"/>
  <c r="XZ30" i="30"/>
  <c r="YD30" i="30"/>
  <c r="YH30" i="30"/>
  <c r="YL30" i="30"/>
  <c r="YP30" i="30"/>
  <c r="YT30" i="30"/>
  <c r="YU30" i="30"/>
  <c r="YW30" i="30"/>
  <c r="ZF30" i="30"/>
  <c r="ZJ30" i="30"/>
  <c r="ZN30" i="30"/>
  <c r="ZR30" i="30"/>
  <c r="ZV30" i="30"/>
  <c r="ZZ30" i="30"/>
  <c r="AAH30" i="30"/>
  <c r="AAL30" i="30"/>
  <c r="AAP30" i="30"/>
  <c r="AAT30" i="30"/>
  <c r="AAX30" i="30"/>
  <c r="ABB30" i="30"/>
  <c r="ABF30" i="30"/>
  <c r="ABI30" i="30"/>
  <c r="ABN30" i="30"/>
  <c r="ABR30" i="30"/>
  <c r="ABZ30" i="30"/>
  <c r="ACD30" i="30"/>
  <c r="ACH30" i="30"/>
  <c r="ACL30" i="30"/>
  <c r="ACN30" i="30"/>
  <c r="ACO30" i="30"/>
  <c r="ACT30" i="30"/>
  <c r="ACX30" i="30"/>
  <c r="ADB30" i="30"/>
  <c r="ADF30" i="30"/>
  <c r="ADJ30" i="30"/>
  <c r="ADN30" i="30"/>
  <c r="ADR30" i="30"/>
  <c r="ADS30" i="30"/>
  <c r="ADU30" i="30"/>
  <c r="AED30" i="30"/>
  <c r="AEH30" i="30"/>
  <c r="AEL30" i="30"/>
  <c r="AEP30" i="30"/>
  <c r="AET30" i="30"/>
  <c r="AEX30" i="30"/>
  <c r="AFA30" i="30"/>
  <c r="AFF30" i="30"/>
  <c r="AFJ30" i="30"/>
  <c r="AFN30" i="30"/>
  <c r="AFR30" i="30"/>
  <c r="AFV30" i="30"/>
  <c r="AFZ30" i="30"/>
  <c r="AGD30" i="30"/>
  <c r="AGG30" i="30"/>
  <c r="AGL30" i="30"/>
  <c r="AGP30" i="30"/>
  <c r="AGX30" i="30"/>
  <c r="AHB30" i="30"/>
  <c r="AHF30" i="30"/>
  <c r="AHJ30" i="30"/>
  <c r="AHL30" i="30"/>
  <c r="AHM30" i="30"/>
  <c r="AHR30" i="30"/>
  <c r="AHV30" i="30"/>
  <c r="AHZ30" i="30"/>
  <c r="AID30" i="30"/>
  <c r="AIH30" i="30"/>
  <c r="AIL30" i="30"/>
  <c r="AIP30" i="30"/>
  <c r="AIQ30" i="30"/>
  <c r="AIS30" i="30"/>
  <c r="AJB30" i="30"/>
  <c r="AJF30" i="30"/>
  <c r="AJJ30" i="30"/>
  <c r="AJN30" i="30"/>
  <c r="AJR30" i="30"/>
  <c r="AJV30" i="30"/>
  <c r="AJY30" i="30"/>
  <c r="AKD30" i="30"/>
  <c r="AKH30" i="30"/>
  <c r="AKL30" i="30"/>
  <c r="AKP30" i="30"/>
  <c r="AKT30" i="30"/>
  <c r="AKX30" i="30"/>
  <c r="ALB30" i="30"/>
  <c r="ALE30" i="30"/>
  <c r="ALJ30" i="30"/>
  <c r="ALN30" i="30"/>
  <c r="ALV30" i="30"/>
  <c r="ALZ30" i="30"/>
  <c r="AMD30" i="30"/>
  <c r="AMH30" i="30"/>
  <c r="AMJ30" i="30"/>
  <c r="AMK30" i="30"/>
  <c r="AMP30" i="30"/>
  <c r="AMT30" i="30"/>
  <c r="AMX30" i="30"/>
  <c r="ANB30" i="30"/>
  <c r="ANF30" i="30"/>
  <c r="ANJ30" i="30"/>
  <c r="ANN30" i="30"/>
  <c r="ANO30" i="30"/>
  <c r="ANQ30" i="30"/>
  <c r="ANZ30" i="30"/>
  <c r="AOD30" i="30"/>
  <c r="AOH30" i="30"/>
  <c r="AOL30" i="30"/>
  <c r="AOP30" i="30"/>
  <c r="AOT30" i="30"/>
  <c r="AOW30" i="30"/>
  <c r="APB30" i="30"/>
  <c r="APF30" i="30"/>
  <c r="APJ30" i="30"/>
  <c r="APN30" i="30"/>
  <c r="APR30" i="30"/>
  <c r="APV30" i="30"/>
  <c r="APZ30" i="30"/>
  <c r="AQC30" i="30"/>
  <c r="AQH30" i="30"/>
  <c r="AQL30" i="30"/>
  <c r="AQT30" i="30"/>
  <c r="AQX30" i="30"/>
  <c r="ARB30" i="30"/>
  <c r="ARF30" i="30"/>
  <c r="ARH30" i="30"/>
  <c r="ARI30" i="30"/>
  <c r="ARN30" i="30"/>
  <c r="ARR30" i="30"/>
  <c r="ARV30" i="30"/>
  <c r="ARZ30" i="30"/>
  <c r="ASD30" i="30"/>
  <c r="ASH30" i="30"/>
  <c r="ASL30" i="30"/>
  <c r="ASM30" i="30"/>
  <c r="ASO30" i="30"/>
  <c r="ASX30" i="30"/>
  <c r="ATB30" i="30"/>
  <c r="ATF30" i="30"/>
  <c r="ATJ30" i="30"/>
  <c r="ATN30" i="30"/>
  <c r="ATR30" i="30"/>
  <c r="ATU30" i="30"/>
  <c r="ATZ30" i="30"/>
  <c r="AUD30" i="30"/>
  <c r="AUH30" i="30"/>
  <c r="AUL30" i="30"/>
  <c r="AUP30" i="30"/>
  <c r="AUT30" i="30"/>
  <c r="AUX30" i="30"/>
  <c r="AVA30" i="30"/>
  <c r="AVF30" i="30"/>
  <c r="AVJ30" i="30"/>
  <c r="AVR30" i="30"/>
  <c r="AVV30" i="30"/>
  <c r="AVZ30" i="30"/>
  <c r="AWD30" i="30"/>
  <c r="AWF30" i="30"/>
  <c r="AWG30" i="30"/>
  <c r="AWL30" i="30"/>
  <c r="AWP30" i="30"/>
  <c r="AWT30" i="30"/>
  <c r="AWX30" i="30"/>
  <c r="AXB30" i="30"/>
  <c r="AXF30" i="30"/>
  <c r="AXJ30" i="30"/>
  <c r="AXK30" i="30"/>
  <c r="AXM30" i="30"/>
  <c r="AXV30" i="30"/>
  <c r="AXZ30" i="30"/>
  <c r="AYD30" i="30"/>
  <c r="AYH30" i="30"/>
  <c r="AYL30" i="30"/>
  <c r="AYP30" i="30"/>
  <c r="AYS30" i="30"/>
  <c r="AYX30" i="30"/>
  <c r="AZB30" i="30"/>
  <c r="AZF30" i="30"/>
  <c r="AZJ30" i="30"/>
  <c r="AZN30" i="30"/>
  <c r="AZR30" i="30"/>
  <c r="AZV30" i="30"/>
  <c r="AZY30" i="30"/>
  <c r="BAD30" i="30"/>
  <c r="BAH30" i="30"/>
  <c r="BAP30" i="30"/>
  <c r="BAT30" i="30"/>
  <c r="BAX30" i="30"/>
  <c r="BBB30" i="30"/>
  <c r="BBD30" i="30"/>
  <c r="BBE30" i="30"/>
  <c r="BBJ30" i="30"/>
  <c r="BBN30" i="30"/>
  <c r="BBR30" i="30"/>
  <c r="BBV30" i="30"/>
  <c r="BBZ30" i="30"/>
  <c r="BCD30" i="30"/>
  <c r="BCH30" i="30"/>
  <c r="BCI30" i="30"/>
  <c r="BCK30" i="30"/>
  <c r="BCT30" i="30"/>
  <c r="BCX30" i="30"/>
  <c r="BDB30" i="30"/>
  <c r="BDF30" i="30"/>
  <c r="BDJ30" i="30"/>
  <c r="BDN30" i="30"/>
  <c r="BDQ30" i="30"/>
  <c r="BDV30" i="30"/>
  <c r="BDZ30" i="30"/>
  <c r="BED30" i="30"/>
  <c r="BEH30" i="30"/>
  <c r="BEL30" i="30"/>
  <c r="BEP30" i="30"/>
  <c r="BET30" i="30"/>
  <c r="BEW30" i="30"/>
  <c r="BFB30" i="30"/>
  <c r="BFF30" i="30"/>
  <c r="BFN30" i="30"/>
  <c r="BFR30" i="30"/>
  <c r="BFV30" i="30"/>
  <c r="BFZ30" i="30"/>
  <c r="BGB30" i="30"/>
  <c r="BGC30" i="30"/>
  <c r="BGH30" i="30"/>
  <c r="BGL30" i="30"/>
  <c r="BGP30" i="30"/>
  <c r="BGT30" i="30"/>
  <c r="BGX30" i="30"/>
  <c r="BHB30" i="30"/>
  <c r="BHF30" i="30"/>
  <c r="BHG30" i="30"/>
  <c r="BHI30" i="30"/>
  <c r="BHR30" i="30"/>
  <c r="BHV30" i="30"/>
  <c r="BHZ30" i="30"/>
  <c r="BID30" i="30"/>
  <c r="BIH30" i="30"/>
  <c r="BIL30" i="30"/>
  <c r="BIO30" i="30"/>
  <c r="BIT30" i="30"/>
  <c r="BIX30" i="30"/>
  <c r="BJB30" i="30"/>
  <c r="BJF30" i="30"/>
  <c r="BJJ30" i="30"/>
  <c r="BJN30" i="30"/>
  <c r="BJR30" i="30"/>
  <c r="BJU30" i="30"/>
  <c r="BJZ30" i="30"/>
  <c r="BKD30" i="30"/>
  <c r="BKL30" i="30"/>
  <c r="BKP30" i="30"/>
  <c r="BKT30" i="30"/>
  <c r="BKX30" i="30"/>
  <c r="BKZ30" i="30"/>
  <c r="BLA30" i="30"/>
  <c r="F31" i="30"/>
  <c r="J31" i="30"/>
  <c r="N31" i="30"/>
  <c r="R31" i="30"/>
  <c r="V31" i="30"/>
  <c r="Z31" i="30"/>
  <c r="AD31" i="30"/>
  <c r="AE31" i="30"/>
  <c r="AG31" i="30"/>
  <c r="AP31" i="30"/>
  <c r="AT31" i="30"/>
  <c r="AX31" i="30"/>
  <c r="BB31" i="30"/>
  <c r="BF31" i="30"/>
  <c r="BJ31" i="30"/>
  <c r="BM31" i="30"/>
  <c r="BR31" i="30"/>
  <c r="BV31" i="30"/>
  <c r="BZ31" i="30"/>
  <c r="CD31" i="30"/>
  <c r="CH31" i="30"/>
  <c r="CL31" i="30"/>
  <c r="CP31" i="30"/>
  <c r="CS31" i="30"/>
  <c r="CX31" i="30"/>
  <c r="DB31" i="30"/>
  <c r="DJ31" i="30"/>
  <c r="DN31" i="30"/>
  <c r="DR31" i="30"/>
  <c r="DV31" i="30"/>
  <c r="DX31" i="30"/>
  <c r="DY31" i="30"/>
  <c r="ED31" i="30"/>
  <c r="EH31" i="30"/>
  <c r="EL31" i="30"/>
  <c r="EP31" i="30"/>
  <c r="ET31" i="30"/>
  <c r="EX31" i="30"/>
  <c r="FB31" i="30"/>
  <c r="FC31" i="30"/>
  <c r="FE31" i="30"/>
  <c r="FN31" i="30"/>
  <c r="FR31" i="30"/>
  <c r="FV31" i="30"/>
  <c r="FZ31" i="30"/>
  <c r="GD31" i="30"/>
  <c r="GH31" i="30"/>
  <c r="GK31" i="30"/>
  <c r="GP31" i="30"/>
  <c r="GT31" i="30"/>
  <c r="GX31" i="30"/>
  <c r="HB31" i="30"/>
  <c r="HF31" i="30"/>
  <c r="HJ31" i="30"/>
  <c r="HN31" i="30"/>
  <c r="HQ31" i="30"/>
  <c r="HV31" i="30"/>
  <c r="HZ31" i="30"/>
  <c r="IH31" i="30"/>
  <c r="IL31" i="30"/>
  <c r="IP31" i="30"/>
  <c r="IT31" i="30"/>
  <c r="IV31" i="30"/>
  <c r="IW31" i="30"/>
  <c r="JB31" i="30"/>
  <c r="JF31" i="30"/>
  <c r="JJ31" i="30"/>
  <c r="JN31" i="30"/>
  <c r="JR31" i="30"/>
  <c r="JV31" i="30"/>
  <c r="JZ31" i="30"/>
  <c r="KA31" i="30"/>
  <c r="KC31" i="30"/>
  <c r="KL31" i="30"/>
  <c r="KP31" i="30"/>
  <c r="KT31" i="30"/>
  <c r="KX31" i="30"/>
  <c r="LB31" i="30"/>
  <c r="LF31" i="30"/>
  <c r="LI31" i="30"/>
  <c r="LN31" i="30"/>
  <c r="LR31" i="30"/>
  <c r="LV31" i="30"/>
  <c r="LZ31" i="30"/>
  <c r="MD31" i="30"/>
  <c r="MH31" i="30"/>
  <c r="ML31" i="30"/>
  <c r="MO31" i="30"/>
  <c r="MT31" i="30"/>
  <c r="MX31" i="30"/>
  <c r="NF31" i="30"/>
  <c r="NJ31" i="30"/>
  <c r="NN31" i="30"/>
  <c r="NR31" i="30"/>
  <c r="NT31" i="30"/>
  <c r="NU31" i="30"/>
  <c r="NZ31" i="30"/>
  <c r="OD31" i="30"/>
  <c r="OH31" i="30"/>
  <c r="OL31" i="30"/>
  <c r="OP31" i="30"/>
  <c r="OT31" i="30"/>
  <c r="OX31" i="30"/>
  <c r="OY31" i="30"/>
  <c r="PA31" i="30"/>
  <c r="PJ31" i="30"/>
  <c r="PN31" i="30"/>
  <c r="PR31" i="30"/>
  <c r="PV31" i="30"/>
  <c r="PZ31" i="30"/>
  <c r="QD31" i="30"/>
  <c r="QG31" i="30"/>
  <c r="QL31" i="30"/>
  <c r="QP31" i="30"/>
  <c r="QT31" i="30"/>
  <c r="QX31" i="30"/>
  <c r="RB31" i="30"/>
  <c r="RF31" i="30"/>
  <c r="RJ31" i="30"/>
  <c r="RM31" i="30"/>
  <c r="RR31" i="30"/>
  <c r="RV31" i="30"/>
  <c r="SD31" i="30"/>
  <c r="SH31" i="30"/>
  <c r="SL31" i="30"/>
  <c r="SP31" i="30"/>
  <c r="SR31" i="30"/>
  <c r="SS31" i="30"/>
  <c r="SX31" i="30"/>
  <c r="TB31" i="30"/>
  <c r="TF31" i="30"/>
  <c r="TJ31" i="30"/>
  <c r="TN31" i="30"/>
  <c r="TR31" i="30"/>
  <c r="TV31" i="30"/>
  <c r="TW31" i="30"/>
  <c r="TY31" i="30"/>
  <c r="UH31" i="30"/>
  <c r="UL31" i="30"/>
  <c r="UP31" i="30"/>
  <c r="UT31" i="30"/>
  <c r="UX31" i="30"/>
  <c r="VB31" i="30"/>
  <c r="VE31" i="30"/>
  <c r="VJ31" i="30"/>
  <c r="VN31" i="30"/>
  <c r="VR31" i="30"/>
  <c r="VV31" i="30"/>
  <c r="VZ31" i="30"/>
  <c r="WD31" i="30"/>
  <c r="WH31" i="30"/>
  <c r="WK31" i="30"/>
  <c r="WP31" i="30"/>
  <c r="WT31" i="30"/>
  <c r="XB31" i="30"/>
  <c r="XF31" i="30"/>
  <c r="XJ31" i="30"/>
  <c r="XN31" i="30"/>
  <c r="XP31" i="30"/>
  <c r="XQ31" i="30"/>
  <c r="XV31" i="30"/>
  <c r="XZ31" i="30"/>
  <c r="YD31" i="30"/>
  <c r="YH31" i="30"/>
  <c r="YL31" i="30"/>
  <c r="YP31" i="30"/>
  <c r="YT31" i="30"/>
  <c r="YU31" i="30"/>
  <c r="YW31" i="30"/>
  <c r="ZF31" i="30"/>
  <c r="ZJ31" i="30"/>
  <c r="ZN31" i="30"/>
  <c r="ZR31" i="30"/>
  <c r="ZV31" i="30"/>
  <c r="ZZ31" i="30"/>
  <c r="AAH31" i="30"/>
  <c r="AAL31" i="30"/>
  <c r="AAP31" i="30"/>
  <c r="AAT31" i="30"/>
  <c r="AAX31" i="30"/>
  <c r="ABB31" i="30"/>
  <c r="ABF31" i="30"/>
  <c r="ABI31" i="30"/>
  <c r="ABN31" i="30"/>
  <c r="ABR31" i="30"/>
  <c r="ABZ31" i="30"/>
  <c r="ACD31" i="30"/>
  <c r="ACH31" i="30"/>
  <c r="ACL31" i="30"/>
  <c r="ACN31" i="30"/>
  <c r="ACO31" i="30"/>
  <c r="ACT31" i="30"/>
  <c r="ACX31" i="30"/>
  <c r="ADB31" i="30"/>
  <c r="ADF31" i="30"/>
  <c r="ADJ31" i="30"/>
  <c r="ADN31" i="30"/>
  <c r="ADR31" i="30"/>
  <c r="ADS31" i="30"/>
  <c r="ADU31" i="30"/>
  <c r="AED31" i="30"/>
  <c r="AEH31" i="30"/>
  <c r="AEL31" i="30"/>
  <c r="AEP31" i="30"/>
  <c r="AET31" i="30"/>
  <c r="AEX31" i="30"/>
  <c r="AFA31" i="30"/>
  <c r="AFF31" i="30"/>
  <c r="AFJ31" i="30"/>
  <c r="AFN31" i="30"/>
  <c r="AFR31" i="30"/>
  <c r="AFV31" i="30"/>
  <c r="AFZ31" i="30"/>
  <c r="AGD31" i="30"/>
  <c r="AGG31" i="30"/>
  <c r="AGL31" i="30"/>
  <c r="AGP31" i="30"/>
  <c r="AGX31" i="30"/>
  <c r="AHB31" i="30"/>
  <c r="AHF31" i="30"/>
  <c r="AHJ31" i="30"/>
  <c r="AHL31" i="30"/>
  <c r="AHM31" i="30"/>
  <c r="AHR31" i="30"/>
  <c r="AHV31" i="30"/>
  <c r="AHZ31" i="30"/>
  <c r="AID31" i="30"/>
  <c r="AIH31" i="30"/>
  <c r="AIL31" i="30"/>
  <c r="AIP31" i="30"/>
  <c r="AIQ31" i="30"/>
  <c r="AIS31" i="30"/>
  <c r="AJB31" i="30"/>
  <c r="AJF31" i="30"/>
  <c r="AJJ31" i="30"/>
  <c r="AJN31" i="30"/>
  <c r="AJR31" i="30"/>
  <c r="AJV31" i="30"/>
  <c r="AJY31" i="30"/>
  <c r="AKD31" i="30"/>
  <c r="AKH31" i="30"/>
  <c r="AKL31" i="30"/>
  <c r="AKP31" i="30"/>
  <c r="AKT31" i="30"/>
  <c r="AKX31" i="30"/>
  <c r="ALB31" i="30"/>
  <c r="ALE31" i="30"/>
  <c r="ALJ31" i="30"/>
  <c r="ALN31" i="30"/>
  <c r="ALV31" i="30"/>
  <c r="ALZ31" i="30"/>
  <c r="AMD31" i="30"/>
  <c r="AMH31" i="30"/>
  <c r="AMJ31" i="30"/>
  <c r="AMK31" i="30"/>
  <c r="AMP31" i="30"/>
  <c r="AMT31" i="30"/>
  <c r="AMX31" i="30"/>
  <c r="ANB31" i="30"/>
  <c r="ANF31" i="30"/>
  <c r="ANJ31" i="30"/>
  <c r="ANN31" i="30"/>
  <c r="ANO31" i="30"/>
  <c r="ANQ31" i="30"/>
  <c r="ANZ31" i="30"/>
  <c r="AOD31" i="30"/>
  <c r="AOH31" i="30"/>
  <c r="AOL31" i="30"/>
  <c r="AOP31" i="30"/>
  <c r="AOT31" i="30"/>
  <c r="AOW31" i="30"/>
  <c r="APB31" i="30"/>
  <c r="APF31" i="30"/>
  <c r="APJ31" i="30"/>
  <c r="APN31" i="30"/>
  <c r="APR31" i="30"/>
  <c r="APV31" i="30"/>
  <c r="APZ31" i="30"/>
  <c r="AQC31" i="30"/>
  <c r="AQH31" i="30"/>
  <c r="AQL31" i="30"/>
  <c r="AQT31" i="30"/>
  <c r="AQX31" i="30"/>
  <c r="ARB31" i="30"/>
  <c r="ARF31" i="30"/>
  <c r="ARH31" i="30"/>
  <c r="ARI31" i="30"/>
  <c r="ARN31" i="30"/>
  <c r="ARR31" i="30"/>
  <c r="ARV31" i="30"/>
  <c r="ARZ31" i="30"/>
  <c r="ASD31" i="30"/>
  <c r="ASH31" i="30"/>
  <c r="ASL31" i="30"/>
  <c r="ASM31" i="30"/>
  <c r="ASO31" i="30"/>
  <c r="ASX31" i="30"/>
  <c r="ATB31" i="30"/>
  <c r="ATF31" i="30"/>
  <c r="ATJ31" i="30"/>
  <c r="ATN31" i="30"/>
  <c r="ATR31" i="30"/>
  <c r="ATU31" i="30"/>
  <c r="ATZ31" i="30"/>
  <c r="AUD31" i="30"/>
  <c r="AUH31" i="30"/>
  <c r="AUL31" i="30"/>
  <c r="AUP31" i="30"/>
  <c r="AUT31" i="30"/>
  <c r="AUX31" i="30"/>
  <c r="AVA31" i="30"/>
  <c r="AVF31" i="30"/>
  <c r="AVJ31" i="30"/>
  <c r="AVR31" i="30"/>
  <c r="AVV31" i="30"/>
  <c r="AVZ31" i="30"/>
  <c r="AWD31" i="30"/>
  <c r="AWF31" i="30"/>
  <c r="AWG31" i="30"/>
  <c r="AWL31" i="30"/>
  <c r="AWP31" i="30"/>
  <c r="AWT31" i="30"/>
  <c r="AWX31" i="30"/>
  <c r="AXB31" i="30"/>
  <c r="AXF31" i="30"/>
  <c r="AXJ31" i="30"/>
  <c r="AXK31" i="30"/>
  <c r="AXM31" i="30"/>
  <c r="AXV31" i="30"/>
  <c r="AXZ31" i="30"/>
  <c r="AYD31" i="30"/>
  <c r="AYH31" i="30"/>
  <c r="AYL31" i="30"/>
  <c r="AYP31" i="30"/>
  <c r="AYS31" i="30"/>
  <c r="AYX31" i="30"/>
  <c r="AZB31" i="30"/>
  <c r="AZF31" i="30"/>
  <c r="AZJ31" i="30"/>
  <c r="AZN31" i="30"/>
  <c r="AZR31" i="30"/>
  <c r="AZV31" i="30"/>
  <c r="AZY31" i="30"/>
  <c r="BAD31" i="30"/>
  <c r="BAH31" i="30"/>
  <c r="BAP31" i="30"/>
  <c r="BAT31" i="30"/>
  <c r="BAX31" i="30"/>
  <c r="BBB31" i="30"/>
  <c r="BBD31" i="30"/>
  <c r="BBE31" i="30"/>
  <c r="BBJ31" i="30"/>
  <c r="BBN31" i="30"/>
  <c r="BBR31" i="30"/>
  <c r="BBV31" i="30"/>
  <c r="BBZ31" i="30"/>
  <c r="BCD31" i="30"/>
  <c r="BCH31" i="30"/>
  <c r="BCI31" i="30"/>
  <c r="BCK31" i="30"/>
  <c r="BCT31" i="30"/>
  <c r="BCX31" i="30"/>
  <c r="BDB31" i="30"/>
  <c r="BDF31" i="30"/>
  <c r="BDJ31" i="30"/>
  <c r="BDN31" i="30"/>
  <c r="BDQ31" i="30"/>
  <c r="BDV31" i="30"/>
  <c r="BDZ31" i="30"/>
  <c r="BED31" i="30"/>
  <c r="BEH31" i="30"/>
  <c r="BEL31" i="30"/>
  <c r="BEP31" i="30"/>
  <c r="BET31" i="30"/>
  <c r="BEW31" i="30"/>
  <c r="BFB31" i="30"/>
  <c r="BFF31" i="30"/>
  <c r="BFN31" i="30"/>
  <c r="BFR31" i="30"/>
  <c r="BFV31" i="30"/>
  <c r="BFZ31" i="30"/>
  <c r="BGB31" i="30"/>
  <c r="BGC31" i="30"/>
  <c r="BGH31" i="30"/>
  <c r="BGL31" i="30"/>
  <c r="BGP31" i="30"/>
  <c r="BGT31" i="30"/>
  <c r="BGX31" i="30"/>
  <c r="BHB31" i="30"/>
  <c r="BHF31" i="30"/>
  <c r="BHG31" i="30"/>
  <c r="BHI31" i="30"/>
  <c r="BHR31" i="30"/>
  <c r="BHV31" i="30"/>
  <c r="BHZ31" i="30"/>
  <c r="BID31" i="30"/>
  <c r="BIH31" i="30"/>
  <c r="BIL31" i="30"/>
  <c r="BIO31" i="30"/>
  <c r="BIT31" i="30"/>
  <c r="BIX31" i="30"/>
  <c r="BJB31" i="30"/>
  <c r="BJF31" i="30"/>
  <c r="BJJ31" i="30"/>
  <c r="BJN31" i="30"/>
  <c r="BJR31" i="30"/>
  <c r="BJU31" i="30"/>
  <c r="BJZ31" i="30"/>
  <c r="BKD31" i="30"/>
  <c r="BKL31" i="30"/>
  <c r="BKP31" i="30"/>
  <c r="BKT31" i="30"/>
  <c r="BKX31" i="30"/>
  <c r="BKZ31" i="30"/>
  <c r="BLA31" i="30"/>
  <c r="F32" i="30"/>
  <c r="J32" i="30"/>
  <c r="N32" i="30"/>
  <c r="R32" i="30"/>
  <c r="V32" i="30"/>
  <c r="Z32" i="30"/>
  <c r="AD32" i="30"/>
  <c r="AE32" i="30"/>
  <c r="AG32" i="30"/>
  <c r="AP32" i="30"/>
  <c r="AT32" i="30"/>
  <c r="AX32" i="30"/>
  <c r="BB32" i="30"/>
  <c r="BF32" i="30"/>
  <c r="BJ32" i="30"/>
  <c r="BM32" i="30"/>
  <c r="BR32" i="30"/>
  <c r="BV32" i="30"/>
  <c r="BZ32" i="30"/>
  <c r="CD32" i="30"/>
  <c r="CH32" i="30"/>
  <c r="CL32" i="30"/>
  <c r="CP32" i="30"/>
  <c r="CS32" i="30"/>
  <c r="CX32" i="30"/>
  <c r="DB32" i="30"/>
  <c r="DJ32" i="30"/>
  <c r="DN32" i="30"/>
  <c r="DR32" i="30"/>
  <c r="DV32" i="30"/>
  <c r="DX32" i="30"/>
  <c r="DY32" i="30"/>
  <c r="ED32" i="30"/>
  <c r="EH32" i="30"/>
  <c r="EL32" i="30"/>
  <c r="EP32" i="30"/>
  <c r="ET32" i="30"/>
  <c r="EX32" i="30"/>
  <c r="FB32" i="30"/>
  <c r="FC32" i="30"/>
  <c r="FE32" i="30"/>
  <c r="FN32" i="30"/>
  <c r="FR32" i="30"/>
  <c r="FV32" i="30"/>
  <c r="FZ32" i="30"/>
  <c r="GD32" i="30"/>
  <c r="GH32" i="30"/>
  <c r="GK32" i="30"/>
  <c r="GP32" i="30"/>
  <c r="GT32" i="30"/>
  <c r="GX32" i="30"/>
  <c r="HB32" i="30"/>
  <c r="HF32" i="30"/>
  <c r="HJ32" i="30"/>
  <c r="HN32" i="30"/>
  <c r="HQ32" i="30"/>
  <c r="HV32" i="30"/>
  <c r="HZ32" i="30"/>
  <c r="IH32" i="30"/>
  <c r="IL32" i="30"/>
  <c r="IP32" i="30"/>
  <c r="IT32" i="30"/>
  <c r="IV32" i="30"/>
  <c r="IW32" i="30"/>
  <c r="JB32" i="30"/>
  <c r="JF32" i="30"/>
  <c r="JJ32" i="30"/>
  <c r="JN32" i="30"/>
  <c r="JR32" i="30"/>
  <c r="JV32" i="30"/>
  <c r="JZ32" i="30"/>
  <c r="KA32" i="30"/>
  <c r="KC32" i="30"/>
  <c r="KL32" i="30"/>
  <c r="KP32" i="30"/>
  <c r="KT32" i="30"/>
  <c r="KX32" i="30"/>
  <c r="LB32" i="30"/>
  <c r="LF32" i="30"/>
  <c r="LI32" i="30"/>
  <c r="LN32" i="30"/>
  <c r="LR32" i="30"/>
  <c r="LV32" i="30"/>
  <c r="LZ32" i="30"/>
  <c r="MD32" i="30"/>
  <c r="MH32" i="30"/>
  <c r="ML32" i="30"/>
  <c r="MO32" i="30"/>
  <c r="MT32" i="30"/>
  <c r="MX32" i="30"/>
  <c r="NF32" i="30"/>
  <c r="NJ32" i="30"/>
  <c r="NN32" i="30"/>
  <c r="NR32" i="30"/>
  <c r="NT32" i="30"/>
  <c r="NU32" i="30"/>
  <c r="NZ32" i="30"/>
  <c r="OD32" i="30"/>
  <c r="OH32" i="30"/>
  <c r="OL32" i="30"/>
  <c r="OP32" i="30"/>
  <c r="OT32" i="30"/>
  <c r="OX32" i="30"/>
  <c r="OY32" i="30"/>
  <c r="PA32" i="30"/>
  <c r="PJ32" i="30"/>
  <c r="PN32" i="30"/>
  <c r="PR32" i="30"/>
  <c r="PV32" i="30"/>
  <c r="PZ32" i="30"/>
  <c r="QD32" i="30"/>
  <c r="QG32" i="30"/>
  <c r="QL32" i="30"/>
  <c r="QP32" i="30"/>
  <c r="QT32" i="30"/>
  <c r="QX32" i="30"/>
  <c r="RB32" i="30"/>
  <c r="RF32" i="30"/>
  <c r="RJ32" i="30"/>
  <c r="RM32" i="30"/>
  <c r="RR32" i="30"/>
  <c r="RV32" i="30"/>
  <c r="SD32" i="30"/>
  <c r="SH32" i="30"/>
  <c r="SL32" i="30"/>
  <c r="SP32" i="30"/>
  <c r="SR32" i="30"/>
  <c r="SS32" i="30"/>
  <c r="SX32" i="30"/>
  <c r="TB32" i="30"/>
  <c r="TF32" i="30"/>
  <c r="TJ32" i="30"/>
  <c r="TN32" i="30"/>
  <c r="TR32" i="30"/>
  <c r="TV32" i="30"/>
  <c r="TW32" i="30"/>
  <c r="TY32" i="30"/>
  <c r="UH32" i="30"/>
  <c r="UL32" i="30"/>
  <c r="UP32" i="30"/>
  <c r="UT32" i="30"/>
  <c r="UX32" i="30"/>
  <c r="VB32" i="30"/>
  <c r="VE32" i="30"/>
  <c r="VJ32" i="30"/>
  <c r="VN32" i="30"/>
  <c r="VR32" i="30"/>
  <c r="VV32" i="30"/>
  <c r="VZ32" i="30"/>
  <c r="WD32" i="30"/>
  <c r="WH32" i="30"/>
  <c r="WK32" i="30"/>
  <c r="WP32" i="30"/>
  <c r="WT32" i="30"/>
  <c r="XB32" i="30"/>
  <c r="XF32" i="30"/>
  <c r="XJ32" i="30"/>
  <c r="XN32" i="30"/>
  <c r="XP32" i="30"/>
  <c r="XQ32" i="30"/>
  <c r="XV32" i="30"/>
  <c r="XZ32" i="30"/>
  <c r="YD32" i="30"/>
  <c r="YH32" i="30"/>
  <c r="YL32" i="30"/>
  <c r="YP32" i="30"/>
  <c r="YT32" i="30"/>
  <c r="YU32" i="30"/>
  <c r="YW32" i="30"/>
  <c r="ZF32" i="30"/>
  <c r="ZJ32" i="30"/>
  <c r="ZN32" i="30"/>
  <c r="ZR32" i="30"/>
  <c r="ZV32" i="30"/>
  <c r="ZZ32" i="30"/>
  <c r="AAH32" i="30"/>
  <c r="AAL32" i="30"/>
  <c r="AAP32" i="30"/>
  <c r="AAT32" i="30"/>
  <c r="AAX32" i="30"/>
  <c r="ABB32" i="30"/>
  <c r="ABF32" i="30"/>
  <c r="ABI32" i="30"/>
  <c r="ABN32" i="30"/>
  <c r="ABR32" i="30"/>
  <c r="ABZ32" i="30"/>
  <c r="ACD32" i="30"/>
  <c r="ACH32" i="30"/>
  <c r="ACL32" i="30"/>
  <c r="ACN32" i="30"/>
  <c r="ACO32" i="30"/>
  <c r="ACT32" i="30"/>
  <c r="ACX32" i="30"/>
  <c r="ADB32" i="30"/>
  <c r="ADF32" i="30"/>
  <c r="ADJ32" i="30"/>
  <c r="ADN32" i="30"/>
  <c r="ADR32" i="30"/>
  <c r="ADS32" i="30"/>
  <c r="ADU32" i="30"/>
  <c r="AED32" i="30"/>
  <c r="AEH32" i="30"/>
  <c r="AEL32" i="30"/>
  <c r="AEP32" i="30"/>
  <c r="AET32" i="30"/>
  <c r="AEX32" i="30"/>
  <c r="AFA32" i="30"/>
  <c r="AFF32" i="30"/>
  <c r="AFJ32" i="30"/>
  <c r="AFN32" i="30"/>
  <c r="AFR32" i="30"/>
  <c r="AFV32" i="30"/>
  <c r="AFZ32" i="30"/>
  <c r="AGD32" i="30"/>
  <c r="AGG32" i="30"/>
  <c r="AGL32" i="30"/>
  <c r="AGP32" i="30"/>
  <c r="AGX32" i="30"/>
  <c r="AHB32" i="30"/>
  <c r="AHF32" i="30"/>
  <c r="AHJ32" i="30"/>
  <c r="AHL32" i="30"/>
  <c r="AHM32" i="30"/>
  <c r="AHR32" i="30"/>
  <c r="AHV32" i="30"/>
  <c r="AHZ32" i="30"/>
  <c r="AID32" i="30"/>
  <c r="AIH32" i="30"/>
  <c r="AIL32" i="30"/>
  <c r="AIP32" i="30"/>
  <c r="AIQ32" i="30"/>
  <c r="AIS32" i="30"/>
  <c r="AJB32" i="30"/>
  <c r="AJF32" i="30"/>
  <c r="AJJ32" i="30"/>
  <c r="AJN32" i="30"/>
  <c r="AJR32" i="30"/>
  <c r="AJV32" i="30"/>
  <c r="AJY32" i="30"/>
  <c r="AKD32" i="30"/>
  <c r="AKH32" i="30"/>
  <c r="AKL32" i="30"/>
  <c r="AKP32" i="30"/>
  <c r="AKT32" i="30"/>
  <c r="AKX32" i="30"/>
  <c r="ALB32" i="30"/>
  <c r="ALE32" i="30"/>
  <c r="ALJ32" i="30"/>
  <c r="ALN32" i="30"/>
  <c r="ALV32" i="30"/>
  <c r="ALZ32" i="30"/>
  <c r="AMD32" i="30"/>
  <c r="AMH32" i="30"/>
  <c r="AMJ32" i="30"/>
  <c r="AMK32" i="30"/>
  <c r="AMP32" i="30"/>
  <c r="AMT32" i="30"/>
  <c r="AMX32" i="30"/>
  <c r="ANB32" i="30"/>
  <c r="ANF32" i="30"/>
  <c r="ANJ32" i="30"/>
  <c r="ANN32" i="30"/>
  <c r="ANO32" i="30"/>
  <c r="ANQ32" i="30"/>
  <c r="ANZ32" i="30"/>
  <c r="AOD32" i="30"/>
  <c r="AOH32" i="30"/>
  <c r="AOL32" i="30"/>
  <c r="AOP32" i="30"/>
  <c r="AOT32" i="30"/>
  <c r="AOW32" i="30"/>
  <c r="APB32" i="30"/>
  <c r="APF32" i="30"/>
  <c r="APJ32" i="30"/>
  <c r="APN32" i="30"/>
  <c r="APR32" i="30"/>
  <c r="APV32" i="30"/>
  <c r="APZ32" i="30"/>
  <c r="AQC32" i="30"/>
  <c r="AQH32" i="30"/>
  <c r="AQL32" i="30"/>
  <c r="AQT32" i="30"/>
  <c r="AQX32" i="30"/>
  <c r="ARB32" i="30"/>
  <c r="ARF32" i="30"/>
  <c r="ARI32" i="30"/>
  <c r="ARN32" i="30"/>
  <c r="ARR32" i="30"/>
  <c r="ARV32" i="30"/>
  <c r="ARZ32" i="30"/>
  <c r="ASD32" i="30"/>
  <c r="ASH32" i="30"/>
  <c r="ASL32" i="30"/>
  <c r="ASO32" i="30"/>
  <c r="ASX32" i="30"/>
  <c r="ATB32" i="30"/>
  <c r="ATF32" i="30"/>
  <c r="ATJ32" i="30"/>
  <c r="ATN32" i="30"/>
  <c r="ATR32" i="30"/>
  <c r="ATU32" i="30"/>
  <c r="ATZ32" i="30"/>
  <c r="AUH32" i="30"/>
  <c r="AUL32" i="30"/>
  <c r="AUP32" i="30"/>
  <c r="AUT32" i="30"/>
  <c r="AUX32" i="30"/>
  <c r="AVA32" i="30"/>
  <c r="AVF32" i="30"/>
  <c r="AVJ32" i="30"/>
  <c r="AVR32" i="30"/>
  <c r="AVV32" i="30"/>
  <c r="AVZ32" i="30"/>
  <c r="AWD32" i="30"/>
  <c r="AWF32" i="30"/>
  <c r="AWG32" i="30"/>
  <c r="AWL32" i="30"/>
  <c r="AWP32" i="30"/>
  <c r="AWT32" i="30"/>
  <c r="AWX32" i="30"/>
  <c r="AXB32" i="30"/>
  <c r="AXF32" i="30"/>
  <c r="AXJ32" i="30"/>
  <c r="AXM32" i="30"/>
  <c r="AXV32" i="30"/>
  <c r="AXZ32" i="30"/>
  <c r="AYD32" i="30"/>
  <c r="AYH32" i="30"/>
  <c r="AYL32" i="30"/>
  <c r="AYP32" i="30"/>
  <c r="AYS32" i="30"/>
  <c r="AYX32" i="30"/>
  <c r="AZF32" i="30"/>
  <c r="AZJ32" i="30"/>
  <c r="AZN32" i="30"/>
  <c r="AZR32" i="30"/>
  <c r="AZV32" i="30"/>
  <c r="AZY32" i="30"/>
  <c r="BAD32" i="30"/>
  <c r="BAH32" i="30"/>
  <c r="BAL32" i="30"/>
  <c r="BAP32" i="30"/>
  <c r="BAT32" i="30"/>
  <c r="BAX32" i="30"/>
  <c r="BBB32" i="30"/>
  <c r="BBE32" i="30"/>
  <c r="BBJ32" i="30"/>
  <c r="BBN32" i="30"/>
  <c r="BBR32" i="30"/>
  <c r="BBV32" i="30"/>
  <c r="BBZ32" i="30"/>
  <c r="BCD32" i="30"/>
  <c r="BCH32" i="30"/>
  <c r="BCK32" i="30"/>
  <c r="BCT32" i="30"/>
  <c r="BCX32" i="30"/>
  <c r="BDB32" i="30"/>
  <c r="BDF32" i="30"/>
  <c r="BDJ32" i="30"/>
  <c r="BDN32" i="30"/>
  <c r="BDQ32" i="30"/>
  <c r="BDV32" i="30"/>
  <c r="BED32" i="30"/>
  <c r="BEH32" i="30"/>
  <c r="BEL32" i="30"/>
  <c r="BEP32" i="30"/>
  <c r="BET32" i="30"/>
  <c r="BEW32" i="30"/>
  <c r="BFB32" i="30"/>
  <c r="BFF32" i="30"/>
  <c r="BFJ32" i="30"/>
  <c r="BFN32" i="30"/>
  <c r="BFR32" i="30"/>
  <c r="BFV32" i="30"/>
  <c r="BFZ32" i="30"/>
  <c r="BGC32" i="30"/>
  <c r="BGH32" i="30"/>
  <c r="BGL32" i="30"/>
  <c r="BGP32" i="30"/>
  <c r="BGT32" i="30"/>
  <c r="BGX32" i="30"/>
  <c r="BHB32" i="30"/>
  <c r="BHF32" i="30"/>
  <c r="BHI32" i="30"/>
  <c r="BHR32" i="30"/>
  <c r="BHV32" i="30"/>
  <c r="BHZ32" i="30"/>
  <c r="BID32" i="30"/>
  <c r="BIH32" i="30"/>
  <c r="BIL32" i="30"/>
  <c r="BIO32" i="30"/>
  <c r="BIT32" i="30"/>
  <c r="BJB32" i="30"/>
  <c r="BJF32" i="30"/>
  <c r="BJJ32" i="30"/>
  <c r="BJN32" i="30"/>
  <c r="BJR32" i="30"/>
  <c r="BJU32" i="30"/>
  <c r="BJZ32" i="30"/>
  <c r="BKD32" i="30"/>
  <c r="BKH32" i="30"/>
  <c r="BKL32" i="30"/>
  <c r="BKP32" i="30"/>
  <c r="BKT32" i="30"/>
  <c r="BKX32" i="30"/>
  <c r="BLA32" i="30"/>
  <c r="F33" i="30"/>
  <c r="J33" i="30"/>
  <c r="N33" i="30"/>
  <c r="R33" i="30"/>
  <c r="V33" i="30"/>
  <c r="Z33" i="30"/>
  <c r="AD33" i="30"/>
  <c r="AG33" i="30"/>
  <c r="AP33" i="30"/>
  <c r="AT33" i="30"/>
  <c r="AX33" i="30"/>
  <c r="BB33" i="30"/>
  <c r="BF33" i="30"/>
  <c r="BJ33" i="30"/>
  <c r="BM33" i="30"/>
  <c r="BR33" i="30"/>
  <c r="BZ33" i="30"/>
  <c r="CD33" i="30"/>
  <c r="CH33" i="30"/>
  <c r="CL33" i="30"/>
  <c r="CP33" i="30"/>
  <c r="CS33" i="30"/>
  <c r="CX33" i="30"/>
  <c r="DB33" i="30"/>
  <c r="DF33" i="30"/>
  <c r="DJ33" i="30"/>
  <c r="DN33" i="30"/>
  <c r="DR33" i="30"/>
  <c r="DV33" i="30"/>
  <c r="DY33" i="30"/>
  <c r="ED33" i="30"/>
  <c r="EH33" i="30"/>
  <c r="EL33" i="30"/>
  <c r="EP33" i="30"/>
  <c r="ET33" i="30"/>
  <c r="EX33" i="30"/>
  <c r="FB33" i="30"/>
  <c r="FE33" i="30"/>
  <c r="FN33" i="30"/>
  <c r="FR33" i="30"/>
  <c r="FV33" i="30"/>
  <c r="FZ33" i="30"/>
  <c r="GD33" i="30"/>
  <c r="GH33" i="30"/>
  <c r="GK33" i="30"/>
  <c r="GP33" i="30"/>
  <c r="GX33" i="30"/>
  <c r="HB33" i="30"/>
  <c r="HF33" i="30"/>
  <c r="HJ33" i="30"/>
  <c r="HN33" i="30"/>
  <c r="HQ33" i="30"/>
  <c r="HV33" i="30"/>
  <c r="HZ33" i="30"/>
  <c r="ID33" i="30"/>
  <c r="IH33" i="30"/>
  <c r="IL33" i="30"/>
  <c r="IP33" i="30"/>
  <c r="IT33" i="30"/>
  <c r="IW33" i="30"/>
  <c r="JB33" i="30"/>
  <c r="JF33" i="30"/>
  <c r="JJ33" i="30"/>
  <c r="JN33" i="30"/>
  <c r="JR33" i="30"/>
  <c r="JV33" i="30"/>
  <c r="JZ33" i="30"/>
  <c r="KC33" i="30"/>
  <c r="KL33" i="30"/>
  <c r="KP33" i="30"/>
  <c r="KT33" i="30"/>
  <c r="KX33" i="30"/>
  <c r="LB33" i="30"/>
  <c r="LF33" i="30"/>
  <c r="LI33" i="30"/>
  <c r="LN33" i="30"/>
  <c r="LV33" i="30"/>
  <c r="LZ33" i="30"/>
  <c r="MD33" i="30"/>
  <c r="MH33" i="30"/>
  <c r="ML33" i="30"/>
  <c r="MO33" i="30"/>
  <c r="MT33" i="30"/>
  <c r="MX33" i="30"/>
  <c r="NB33" i="30"/>
  <c r="NF33" i="30"/>
  <c r="NJ33" i="30"/>
  <c r="NN33" i="30"/>
  <c r="NR33" i="30"/>
  <c r="NU33" i="30"/>
  <c r="NZ33" i="30"/>
  <c r="OD33" i="30"/>
  <c r="OH33" i="30"/>
  <c r="OL33" i="30"/>
  <c r="OP33" i="30"/>
  <c r="OT33" i="30"/>
  <c r="OX33" i="30"/>
  <c r="PA33" i="30"/>
  <c r="PJ33" i="30"/>
  <c r="PN33" i="30"/>
  <c r="PR33" i="30"/>
  <c r="PV33" i="30"/>
  <c r="PZ33" i="30"/>
  <c r="QD33" i="30"/>
  <c r="QG33" i="30"/>
  <c r="QL33" i="30"/>
  <c r="QT33" i="30"/>
  <c r="QX33" i="30"/>
  <c r="RB33" i="30"/>
  <c r="RF33" i="30"/>
  <c r="RJ33" i="30"/>
  <c r="RM33" i="30"/>
  <c r="RR33" i="30"/>
  <c r="RV33" i="30"/>
  <c r="RZ33" i="30"/>
  <c r="SD33" i="30"/>
  <c r="SH33" i="30"/>
  <c r="SL33" i="30"/>
  <c r="SP33" i="30"/>
  <c r="SS33" i="30"/>
  <c r="SX33" i="30"/>
  <c r="TB33" i="30"/>
  <c r="TF33" i="30"/>
  <c r="TJ33" i="30"/>
  <c r="TN33" i="30"/>
  <c r="TR33" i="30"/>
  <c r="TV33" i="30"/>
  <c r="TY33" i="30"/>
  <c r="UH33" i="30"/>
  <c r="UL33" i="30"/>
  <c r="UP33" i="30"/>
  <c r="UT33" i="30"/>
  <c r="UX33" i="30"/>
  <c r="VB33" i="30"/>
  <c r="VE33" i="30"/>
  <c r="VJ33" i="30"/>
  <c r="VR33" i="30"/>
  <c r="VV33" i="30"/>
  <c r="VZ33" i="30"/>
  <c r="WD33" i="30"/>
  <c r="WH33" i="30"/>
  <c r="WK33" i="30"/>
  <c r="WP33" i="30"/>
  <c r="WT33" i="30"/>
  <c r="WX33" i="30"/>
  <c r="XB33" i="30"/>
  <c r="XF33" i="30"/>
  <c r="XJ33" i="30"/>
  <c r="XN33" i="30"/>
  <c r="XQ33" i="30"/>
  <c r="XV33" i="30"/>
  <c r="XZ33" i="30"/>
  <c r="YD33" i="30"/>
  <c r="YH33" i="30"/>
  <c r="YL33" i="30"/>
  <c r="YP33" i="30"/>
  <c r="YT33" i="30"/>
  <c r="YW33" i="30"/>
  <c r="ZF33" i="30"/>
  <c r="ZJ33" i="30"/>
  <c r="ZN33" i="30"/>
  <c r="ZR33" i="30"/>
  <c r="ZV33" i="30"/>
  <c r="ZZ33" i="30"/>
  <c r="AAH33" i="30"/>
  <c r="AAP33" i="30"/>
  <c r="AAT33" i="30"/>
  <c r="AAX33" i="30"/>
  <c r="ABB33" i="30"/>
  <c r="ABF33" i="30"/>
  <c r="ABI33" i="30"/>
  <c r="ABN33" i="30"/>
  <c r="ABR33" i="30"/>
  <c r="ABV33" i="30"/>
  <c r="ABZ33" i="30"/>
  <c r="ACD33" i="30"/>
  <c r="ACH33" i="30"/>
  <c r="ACL33" i="30"/>
  <c r="ACO33" i="30"/>
  <c r="ACT33" i="30"/>
  <c r="ACX33" i="30"/>
  <c r="ADB33" i="30"/>
  <c r="ADF33" i="30"/>
  <c r="ADJ33" i="30"/>
  <c r="ADN33" i="30"/>
  <c r="ADR33" i="30"/>
  <c r="ADU33" i="30"/>
  <c r="AED33" i="30"/>
  <c r="AEH33" i="30"/>
  <c r="AEL33" i="30"/>
  <c r="AEP33" i="30"/>
  <c r="AET33" i="30"/>
  <c r="AEX33" i="30"/>
  <c r="AFA33" i="30"/>
  <c r="AFF33" i="30"/>
  <c r="AFN33" i="30"/>
  <c r="AFR33" i="30"/>
  <c r="AFV33" i="30"/>
  <c r="AFZ33" i="30"/>
  <c r="AGD33" i="30"/>
  <c r="AGG33" i="30"/>
  <c r="AGL33" i="30"/>
  <c r="AGP33" i="30"/>
  <c r="AGT33" i="30"/>
  <c r="AGX33" i="30"/>
  <c r="AHB33" i="30"/>
  <c r="AHF33" i="30"/>
  <c r="AHJ33" i="30"/>
  <c r="AHM33" i="30"/>
  <c r="AHR33" i="30"/>
  <c r="AHV33" i="30"/>
  <c r="AHZ33" i="30"/>
  <c r="AID33" i="30"/>
  <c r="AIH33" i="30"/>
  <c r="AIL33" i="30"/>
  <c r="AIP33" i="30"/>
  <c r="AIS33" i="30"/>
  <c r="AJB33" i="30"/>
  <c r="AJF33" i="30"/>
  <c r="AJJ33" i="30"/>
  <c r="AJN33" i="30"/>
  <c r="AJR33" i="30"/>
  <c r="AJV33" i="30"/>
  <c r="AJY33" i="30"/>
  <c r="AKD33" i="30"/>
  <c r="AKL33" i="30"/>
  <c r="AKP33" i="30"/>
  <c r="AKT33" i="30"/>
  <c r="AKX33" i="30"/>
  <c r="ALB33" i="30"/>
  <c r="ALE33" i="30"/>
  <c r="ALJ33" i="30"/>
  <c r="ALN33" i="30"/>
  <c r="ALR33" i="30"/>
  <c r="ALV33" i="30"/>
  <c r="ALZ33" i="30"/>
  <c r="AMD33" i="30"/>
  <c r="AMH33" i="30"/>
  <c r="AMK33" i="30"/>
  <c r="AMP33" i="30"/>
  <c r="AMT33" i="30"/>
  <c r="AMX33" i="30"/>
  <c r="ANB33" i="30"/>
  <c r="ANF33" i="30"/>
  <c r="ANJ33" i="30"/>
  <c r="ANN33" i="30"/>
  <c r="ANQ33" i="30"/>
  <c r="ANZ33" i="30"/>
  <c r="AOD33" i="30"/>
  <c r="AOH33" i="30"/>
  <c r="AOL33" i="30"/>
  <c r="AOP33" i="30"/>
  <c r="AOT33" i="30"/>
  <c r="AOW33" i="30"/>
  <c r="APB33" i="30"/>
  <c r="APJ33" i="30"/>
  <c r="APN33" i="30"/>
  <c r="APR33" i="30"/>
  <c r="APV33" i="30"/>
  <c r="APZ33" i="30"/>
  <c r="AQC33" i="30"/>
  <c r="AQH33" i="30"/>
  <c r="AQL33" i="30"/>
  <c r="AQP33" i="30"/>
  <c r="AQT33" i="30"/>
  <c r="AQX33" i="30"/>
  <c r="ARB33" i="30"/>
  <c r="ARF33" i="30"/>
  <c r="ARI33" i="30"/>
  <c r="ARN33" i="30"/>
  <c r="ARR33" i="30"/>
  <c r="ARV33" i="30"/>
  <c r="ARZ33" i="30"/>
  <c r="ASD33" i="30"/>
  <c r="ASH33" i="30"/>
  <c r="ASL33" i="30"/>
  <c r="ASO33" i="30"/>
  <c r="ASX33" i="30"/>
  <c r="ATB33" i="30"/>
  <c r="ATF33" i="30"/>
  <c r="ATJ33" i="30"/>
  <c r="ATN33" i="30"/>
  <c r="ATR33" i="30"/>
  <c r="ATU33" i="30"/>
  <c r="ATZ33" i="30"/>
  <c r="AUH33" i="30"/>
  <c r="AUL33" i="30"/>
  <c r="AUP33" i="30"/>
  <c r="AUT33" i="30"/>
  <c r="AUX33" i="30"/>
  <c r="AVA33" i="30"/>
  <c r="AVF33" i="30"/>
  <c r="AVJ33" i="30"/>
  <c r="AVN33" i="30"/>
  <c r="AVR33" i="30"/>
  <c r="AVV33" i="30"/>
  <c r="AVZ33" i="30"/>
  <c r="AWD33" i="30"/>
  <c r="AWG33" i="30"/>
  <c r="AWL33" i="30"/>
  <c r="AWP33" i="30"/>
  <c r="AWT33" i="30"/>
  <c r="AWX33" i="30"/>
  <c r="AXB33" i="30"/>
  <c r="AXF33" i="30"/>
  <c r="AXJ33" i="30"/>
  <c r="AXM33" i="30"/>
  <c r="AXV33" i="30"/>
  <c r="AXZ33" i="30"/>
  <c r="AYD33" i="30"/>
  <c r="AYH33" i="30"/>
  <c r="AYL33" i="30"/>
  <c r="AYP33" i="30"/>
  <c r="AYS33" i="30"/>
  <c r="AYX33" i="30"/>
  <c r="AZF33" i="30"/>
  <c r="AZJ33" i="30"/>
  <c r="AZN33" i="30"/>
  <c r="AZR33" i="30"/>
  <c r="AZV33" i="30"/>
  <c r="AZY33" i="30"/>
  <c r="BAD33" i="30"/>
  <c r="BAH33" i="30"/>
  <c r="BAL33" i="30"/>
  <c r="BAP33" i="30"/>
  <c r="BAT33" i="30"/>
  <c r="BAX33" i="30"/>
  <c r="BBB33" i="30"/>
  <c r="BBE33" i="30"/>
  <c r="BBJ33" i="30"/>
  <c r="BBN33" i="30"/>
  <c r="BBR33" i="30"/>
  <c r="BBV33" i="30"/>
  <c r="BBZ33" i="30"/>
  <c r="BCD33" i="30"/>
  <c r="BCH33" i="30"/>
  <c r="BCK33" i="30"/>
  <c r="BCT33" i="30"/>
  <c r="BCX33" i="30"/>
  <c r="BDB33" i="30"/>
  <c r="BDF33" i="30"/>
  <c r="BDJ33" i="30"/>
  <c r="BDN33" i="30"/>
  <c r="BDQ33" i="30"/>
  <c r="BDV33" i="30"/>
  <c r="BED33" i="30"/>
  <c r="BEH33" i="30"/>
  <c r="BEL33" i="30"/>
  <c r="BEP33" i="30"/>
  <c r="BET33" i="30"/>
  <c r="BEW33" i="30"/>
  <c r="BFB33" i="30"/>
  <c r="BFF33" i="30"/>
  <c r="BFJ33" i="30"/>
  <c r="BFN33" i="30"/>
  <c r="BFR33" i="30"/>
  <c r="BFV33" i="30"/>
  <c r="BFZ33" i="30"/>
  <c r="BGC33" i="30"/>
  <c r="BGH33" i="30"/>
  <c r="BGL33" i="30"/>
  <c r="BGP33" i="30"/>
  <c r="BGT33" i="30"/>
  <c r="BGX33" i="30"/>
  <c r="BHB33" i="30"/>
  <c r="BHF33" i="30"/>
  <c r="BHI33" i="30"/>
  <c r="BHR33" i="30"/>
  <c r="BHV33" i="30"/>
  <c r="BHZ33" i="30"/>
  <c r="BID33" i="30"/>
  <c r="BIH33" i="30"/>
  <c r="BIL33" i="30"/>
  <c r="BIO33" i="30"/>
  <c r="BIT33" i="30"/>
  <c r="BJB33" i="30"/>
  <c r="BJF33" i="30"/>
  <c r="BJJ33" i="30"/>
  <c r="BJN33" i="30"/>
  <c r="BJR33" i="30"/>
  <c r="BJU33" i="30"/>
  <c r="BJZ33" i="30"/>
  <c r="BKD33" i="30"/>
  <c r="BKH33" i="30"/>
  <c r="BKL33" i="30"/>
  <c r="BKP33" i="30"/>
  <c r="BKT33" i="30"/>
  <c r="BKX33" i="30"/>
  <c r="BLA33" i="30"/>
  <c r="F34" i="30"/>
  <c r="J34" i="30"/>
  <c r="N34" i="30"/>
  <c r="R34" i="30"/>
  <c r="V34" i="30"/>
  <c r="Z34" i="30"/>
  <c r="AD34" i="30"/>
  <c r="AG34" i="30"/>
  <c r="AP34" i="30"/>
  <c r="AT34" i="30"/>
  <c r="AX34" i="30"/>
  <c r="BB34" i="30"/>
  <c r="BF34" i="30"/>
  <c r="BJ34" i="30"/>
  <c r="BM34" i="30"/>
  <c r="BR34" i="30"/>
  <c r="BZ34" i="30"/>
  <c r="CD34" i="30"/>
  <c r="CH34" i="30"/>
  <c r="CL34" i="30"/>
  <c r="CP34" i="30"/>
  <c r="CS34" i="30"/>
  <c r="CX34" i="30"/>
  <c r="DB34" i="30"/>
  <c r="DF34" i="30"/>
  <c r="DJ34" i="30"/>
  <c r="DN34" i="30"/>
  <c r="DR34" i="30"/>
  <c r="DV34" i="30"/>
  <c r="DY34" i="30"/>
  <c r="ED34" i="30"/>
  <c r="EH34" i="30"/>
  <c r="EL34" i="30"/>
  <c r="EP34" i="30"/>
  <c r="ET34" i="30"/>
  <c r="EX34" i="30"/>
  <c r="FB34" i="30"/>
  <c r="FE34" i="30"/>
  <c r="FN34" i="30"/>
  <c r="FR34" i="30"/>
  <c r="FV34" i="30"/>
  <c r="FZ34" i="30"/>
  <c r="GD34" i="30"/>
  <c r="GH34" i="30"/>
  <c r="GK34" i="30"/>
  <c r="GP34" i="30"/>
  <c r="GX34" i="30"/>
  <c r="HB34" i="30"/>
  <c r="HF34" i="30"/>
  <c r="HJ34" i="30"/>
  <c r="HN34" i="30"/>
  <c r="HQ34" i="30"/>
  <c r="HV34" i="30"/>
  <c r="HZ34" i="30"/>
  <c r="ID34" i="30"/>
  <c r="IH34" i="30"/>
  <c r="IL34" i="30"/>
  <c r="IP34" i="30"/>
  <c r="IT34" i="30"/>
  <c r="IW34" i="30"/>
  <c r="JB34" i="30"/>
  <c r="JF34" i="30"/>
  <c r="JJ34" i="30"/>
  <c r="JN34" i="30"/>
  <c r="JR34" i="30"/>
  <c r="JV34" i="30"/>
  <c r="JZ34" i="30"/>
  <c r="KC34" i="30"/>
  <c r="KL34" i="30"/>
  <c r="KP34" i="30"/>
  <c r="KT34" i="30"/>
  <c r="KX34" i="30"/>
  <c r="LB34" i="30"/>
  <c r="LF34" i="30"/>
  <c r="LI34" i="30"/>
  <c r="LN34" i="30"/>
  <c r="LV34" i="30"/>
  <c r="LZ34" i="30"/>
  <c r="MD34" i="30"/>
  <c r="MH34" i="30"/>
  <c r="ML34" i="30"/>
  <c r="MO34" i="30"/>
  <c r="MT34" i="30"/>
  <c r="MX34" i="30"/>
  <c r="NB34" i="30"/>
  <c r="NF34" i="30"/>
  <c r="NJ34" i="30"/>
  <c r="NN34" i="30"/>
  <c r="NR34" i="30"/>
  <c r="NU34" i="30"/>
  <c r="NZ34" i="30"/>
  <c r="OD34" i="30"/>
  <c r="OH34" i="30"/>
  <c r="OL34" i="30"/>
  <c r="OP34" i="30"/>
  <c r="OT34" i="30"/>
  <c r="OX34" i="30"/>
  <c r="PA34" i="30"/>
  <c r="PJ34" i="30"/>
  <c r="PN34" i="30"/>
  <c r="PR34" i="30"/>
  <c r="PV34" i="30"/>
  <c r="PZ34" i="30"/>
  <c r="QD34" i="30"/>
  <c r="QG34" i="30"/>
  <c r="QL34" i="30"/>
  <c r="QT34" i="30"/>
  <c r="QX34" i="30"/>
  <c r="RB34" i="30"/>
  <c r="RF34" i="30"/>
  <c r="RJ34" i="30"/>
  <c r="RM34" i="30"/>
  <c r="RR34" i="30"/>
  <c r="RV34" i="30"/>
  <c r="RZ34" i="30"/>
  <c r="SD34" i="30"/>
  <c r="SH34" i="30"/>
  <c r="SL34" i="30"/>
  <c r="SP34" i="30"/>
  <c r="SS34" i="30"/>
  <c r="SX34" i="30"/>
  <c r="TB34" i="30"/>
  <c r="TF34" i="30"/>
  <c r="TJ34" i="30"/>
  <c r="TN34" i="30"/>
  <c r="TR34" i="30"/>
  <c r="TV34" i="30"/>
  <c r="TY34" i="30"/>
  <c r="UH34" i="30"/>
  <c r="UL34" i="30"/>
  <c r="UP34" i="30"/>
  <c r="UT34" i="30"/>
  <c r="UX34" i="30"/>
  <c r="VB34" i="30"/>
  <c r="VE34" i="30"/>
  <c r="VJ34" i="30"/>
  <c r="VR34" i="30"/>
  <c r="VV34" i="30"/>
  <c r="VZ34" i="30"/>
  <c r="WD34" i="30"/>
  <c r="WH34" i="30"/>
  <c r="WK34" i="30"/>
  <c r="WP34" i="30"/>
  <c r="WT34" i="30"/>
  <c r="WX34" i="30"/>
  <c r="XB34" i="30"/>
  <c r="XF34" i="30"/>
  <c r="XJ34" i="30"/>
  <c r="XN34" i="30"/>
  <c r="XQ34" i="30"/>
  <c r="XV34" i="30"/>
  <c r="XZ34" i="30"/>
  <c r="YD34" i="30"/>
  <c r="YH34" i="30"/>
  <c r="YL34" i="30"/>
  <c r="YP34" i="30"/>
  <c r="YT34" i="30"/>
  <c r="YW34" i="30"/>
  <c r="ZF34" i="30"/>
  <c r="ZJ34" i="30"/>
  <c r="ZN34" i="30"/>
  <c r="ZR34" i="30"/>
  <c r="ZV34" i="30"/>
  <c r="ZZ34" i="30"/>
  <c r="AAH34" i="30"/>
  <c r="AAP34" i="30"/>
  <c r="AAT34" i="30"/>
  <c r="AAX34" i="30"/>
  <c r="ABB34" i="30"/>
  <c r="ABF34" i="30"/>
  <c r="ABI34" i="30"/>
  <c r="ABN34" i="30"/>
  <c r="ABR34" i="30"/>
  <c r="ABV34" i="30"/>
  <c r="ABZ34" i="30"/>
  <c r="ACD34" i="30"/>
  <c r="ACH34" i="30"/>
  <c r="ACL34" i="30"/>
  <c r="ACO34" i="30"/>
  <c r="ACT34" i="30"/>
  <c r="ACX34" i="30"/>
  <c r="ADB34" i="30"/>
  <c r="ADF34" i="30"/>
  <c r="ADJ34" i="30"/>
  <c r="ADN34" i="30"/>
  <c r="ADR34" i="30"/>
  <c r="ADU34" i="30"/>
  <c r="AED34" i="30"/>
  <c r="AEH34" i="30"/>
  <c r="AEL34" i="30"/>
  <c r="AEP34" i="30"/>
  <c r="AET34" i="30"/>
  <c r="AEX34" i="30"/>
  <c r="AFA34" i="30"/>
  <c r="AFF34" i="30"/>
  <c r="AFN34" i="30"/>
  <c r="AFR34" i="30"/>
  <c r="AFV34" i="30"/>
  <c r="AFZ34" i="30"/>
  <c r="AGD34" i="30"/>
  <c r="AGG34" i="30"/>
  <c r="AGL34" i="30"/>
  <c r="AGP34" i="30"/>
  <c r="AGT34" i="30"/>
  <c r="AGX34" i="30"/>
  <c r="AHB34" i="30"/>
  <c r="AHF34" i="30"/>
  <c r="AHJ34" i="30"/>
  <c r="AHM34" i="30"/>
  <c r="AHR34" i="30"/>
  <c r="AHV34" i="30"/>
  <c r="AHZ34" i="30"/>
  <c r="AID34" i="30"/>
  <c r="AIH34" i="30"/>
  <c r="AIL34" i="30"/>
  <c r="AIP34" i="30"/>
  <c r="AIS34" i="30"/>
  <c r="AJB34" i="30"/>
  <c r="AJF34" i="30"/>
  <c r="AJJ34" i="30"/>
  <c r="AJN34" i="30"/>
  <c r="AJR34" i="30"/>
  <c r="AJV34" i="30"/>
  <c r="AJY34" i="30"/>
  <c r="AKD34" i="30"/>
  <c r="AKL34" i="30"/>
  <c r="AKP34" i="30"/>
  <c r="AKT34" i="30"/>
  <c r="AKX34" i="30"/>
  <c r="ALB34" i="30"/>
  <c r="ALE34" i="30"/>
  <c r="ALJ34" i="30"/>
  <c r="ALN34" i="30"/>
  <c r="ALR34" i="30"/>
  <c r="ALV34" i="30"/>
  <c r="ALZ34" i="30"/>
  <c r="AMD34" i="30"/>
  <c r="AMH34" i="30"/>
  <c r="AMK34" i="30"/>
  <c r="AMP34" i="30"/>
  <c r="AMT34" i="30"/>
  <c r="AMX34" i="30"/>
  <c r="ANB34" i="30"/>
  <c r="ANF34" i="30"/>
  <c r="ANJ34" i="30"/>
  <c r="ANN34" i="30"/>
  <c r="ANQ34" i="30"/>
  <c r="ANZ34" i="30"/>
  <c r="AOD34" i="30"/>
  <c r="AOH34" i="30"/>
  <c r="AOL34" i="30"/>
  <c r="AOP34" i="30"/>
  <c r="AOT34" i="30"/>
  <c r="AOW34" i="30"/>
  <c r="APB34" i="30"/>
  <c r="APJ34" i="30"/>
  <c r="APN34" i="30"/>
  <c r="APR34" i="30"/>
  <c r="APV34" i="30"/>
  <c r="APZ34" i="30"/>
  <c r="AQC34" i="30"/>
  <c r="AQH34" i="30"/>
  <c r="AQL34" i="30"/>
  <c r="AQP34" i="30"/>
  <c r="AQT34" i="30"/>
  <c r="AQX34" i="30"/>
  <c r="ARB34" i="30"/>
  <c r="ARF34" i="30"/>
  <c r="ARI34" i="30"/>
  <c r="ARN34" i="30"/>
  <c r="ARR34" i="30"/>
  <c r="ARV34" i="30"/>
  <c r="ARZ34" i="30"/>
  <c r="ASD34" i="30"/>
  <c r="ASH34" i="30"/>
  <c r="ASL34" i="30"/>
  <c r="ASO34" i="30"/>
  <c r="ASX34" i="30"/>
  <c r="ATB34" i="30"/>
  <c r="ATF34" i="30"/>
  <c r="ATJ34" i="30"/>
  <c r="ATN34" i="30"/>
  <c r="ATR34" i="30"/>
  <c r="ATU34" i="30"/>
  <c r="ATZ34" i="30"/>
  <c r="AUH34" i="30"/>
  <c r="AUL34" i="30"/>
  <c r="AUP34" i="30"/>
  <c r="AUT34" i="30"/>
  <c r="AUX34" i="30"/>
  <c r="AVA34" i="30"/>
  <c r="AVF34" i="30"/>
  <c r="AVJ34" i="30"/>
  <c r="AVN34" i="30"/>
  <c r="AVR34" i="30"/>
  <c r="AVV34" i="30"/>
  <c r="AVZ34" i="30"/>
  <c r="AWD34" i="30"/>
  <c r="AWG34" i="30"/>
  <c r="AWL34" i="30"/>
  <c r="AWP34" i="30"/>
  <c r="AWT34" i="30"/>
  <c r="AWX34" i="30"/>
  <c r="AXB34" i="30"/>
  <c r="AXF34" i="30"/>
  <c r="AXJ34" i="30"/>
  <c r="AXM34" i="30"/>
  <c r="AXV34" i="30"/>
  <c r="AXZ34" i="30"/>
  <c r="AYD34" i="30"/>
  <c r="AYH34" i="30"/>
  <c r="AYL34" i="30"/>
  <c r="AYP34" i="30"/>
  <c r="AYS34" i="30"/>
  <c r="AYX34" i="30"/>
  <c r="AZF34" i="30"/>
  <c r="AZJ34" i="30"/>
  <c r="AZN34" i="30"/>
  <c r="AZR34" i="30"/>
  <c r="AZV34" i="30"/>
  <c r="AZY34" i="30"/>
  <c r="BAD34" i="30"/>
  <c r="BAH34" i="30"/>
  <c r="BAL34" i="30"/>
  <c r="BAP34" i="30"/>
  <c r="BAT34" i="30"/>
  <c r="BAX34" i="30"/>
  <c r="BBB34" i="30"/>
  <c r="BBE34" i="30"/>
  <c r="BBJ34" i="30"/>
  <c r="BBN34" i="30"/>
  <c r="BBR34" i="30"/>
  <c r="BBV34" i="30"/>
  <c r="BBZ34" i="30"/>
  <c r="BCD34" i="30"/>
  <c r="BCH34" i="30"/>
  <c r="BCK34" i="30"/>
  <c r="BCT34" i="30"/>
  <c r="BCX34" i="30"/>
  <c r="BDB34" i="30"/>
  <c r="BDF34" i="30"/>
  <c r="BDJ34" i="30"/>
  <c r="BDN34" i="30"/>
  <c r="BDQ34" i="30"/>
  <c r="BDV34" i="30"/>
  <c r="BED34" i="30"/>
  <c r="BEH34" i="30"/>
  <c r="BEL34" i="30"/>
  <c r="BEP34" i="30"/>
  <c r="BET34" i="30"/>
  <c r="BEW34" i="30"/>
  <c r="BFB34" i="30"/>
  <c r="BFF34" i="30"/>
  <c r="BFJ34" i="30"/>
  <c r="BFN34" i="30"/>
  <c r="BFR34" i="30"/>
  <c r="BFV34" i="30"/>
  <c r="BFZ34" i="30"/>
  <c r="BGC34" i="30"/>
  <c r="BGH34" i="30"/>
  <c r="BGL34" i="30"/>
  <c r="BGP34" i="30"/>
  <c r="BGT34" i="30"/>
  <c r="BGX34" i="30"/>
  <c r="BHB34" i="30"/>
  <c r="BHF34" i="30"/>
  <c r="BHI34" i="30"/>
  <c r="BHR34" i="30"/>
  <c r="BHV34" i="30"/>
  <c r="BHZ34" i="30"/>
  <c r="BID34" i="30"/>
  <c r="BIH34" i="30"/>
  <c r="BIL34" i="30"/>
  <c r="BIO34" i="30"/>
  <c r="BIT34" i="30"/>
  <c r="BJB34" i="30"/>
  <c r="BJF34" i="30"/>
  <c r="BJJ34" i="30"/>
  <c r="BJN34" i="30"/>
  <c r="BJR34" i="30"/>
  <c r="BJU34" i="30"/>
  <c r="BJZ34" i="30"/>
  <c r="BKD34" i="30"/>
  <c r="BKH34" i="30"/>
  <c r="BKL34" i="30"/>
  <c r="BKP34" i="30"/>
  <c r="BKT34" i="30"/>
  <c r="BKX34" i="30"/>
  <c r="BLA34" i="30"/>
  <c r="AG35" i="30"/>
  <c r="BM35" i="30"/>
  <c r="BM36" i="30"/>
  <c r="CR35" i="30"/>
  <c r="CS35" i="30"/>
  <c r="DY35" i="30"/>
  <c r="FE35" i="30"/>
  <c r="GJ35" i="30"/>
  <c r="GK35" i="30"/>
  <c r="HQ35" i="30"/>
  <c r="IW35" i="30"/>
  <c r="KC35" i="30"/>
  <c r="LI35" i="30"/>
  <c r="LI36" i="30"/>
  <c r="MN35" i="30"/>
  <c r="MO35" i="30"/>
  <c r="NU35" i="30"/>
  <c r="PA35" i="30"/>
  <c r="QF35" i="30"/>
  <c r="QG35" i="30"/>
  <c r="RM35" i="30"/>
  <c r="SS35" i="30"/>
  <c r="TY35" i="30"/>
  <c r="VE35" i="30"/>
  <c r="WJ35" i="30"/>
  <c r="WK35" i="30"/>
  <c r="XQ35" i="30"/>
  <c r="YW35" i="30"/>
  <c r="AAB35" i="30"/>
  <c r="ABI35" i="30"/>
  <c r="ACO35" i="30"/>
  <c r="ACR36" i="30"/>
  <c r="ADH36" i="30"/>
  <c r="ADU35" i="30"/>
  <c r="AEN36" i="30"/>
  <c r="AFA35" i="30"/>
  <c r="AGF35" i="30"/>
  <c r="AGG35" i="30"/>
  <c r="AGR36" i="30"/>
  <c r="AHH36" i="30"/>
  <c r="AHM35" i="30"/>
  <c r="AIS35" i="30"/>
  <c r="AJD36" i="30"/>
  <c r="AJT36" i="30"/>
  <c r="AJY35" i="30"/>
  <c r="AKF36" i="30"/>
  <c r="AKV36" i="30"/>
  <c r="ALE35" i="30"/>
  <c r="ALX36" i="30"/>
  <c r="AMK35" i="30"/>
  <c r="AMZ36" i="30"/>
  <c r="ANP35" i="30"/>
  <c r="ANQ35" i="30"/>
  <c r="AOB36" i="30"/>
  <c r="AOR36" i="30"/>
  <c r="AOW35" i="30"/>
  <c r="APD36" i="30"/>
  <c r="APT36" i="30"/>
  <c r="AQC35" i="30"/>
  <c r="AQV36" i="30"/>
  <c r="ARI35" i="30"/>
  <c r="ARX36" i="30"/>
  <c r="ASN35" i="30"/>
  <c r="ASO35" i="30"/>
  <c r="ATU35" i="30"/>
  <c r="AVA35" i="30"/>
  <c r="AWG35" i="30"/>
  <c r="AXL35" i="30"/>
  <c r="AXM35" i="30"/>
  <c r="AYS35" i="30"/>
  <c r="AZY35" i="30"/>
  <c r="BBE35" i="30"/>
  <c r="BCJ35" i="30"/>
  <c r="BCK35" i="30"/>
  <c r="BDQ35" i="30"/>
  <c r="BEW35" i="30"/>
  <c r="BGC35" i="30"/>
  <c r="BHH35" i="30"/>
  <c r="BHI35" i="30"/>
  <c r="BIO35" i="30"/>
  <c r="BJU35" i="30"/>
  <c r="BLA35" i="30"/>
  <c r="C36" i="30"/>
  <c r="D36" i="30"/>
  <c r="E36" i="30"/>
  <c r="F36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S36" i="30"/>
  <c r="T36" i="30"/>
  <c r="U36" i="30"/>
  <c r="V36" i="30"/>
  <c r="W36" i="30"/>
  <c r="X36" i="30"/>
  <c r="Y36" i="30"/>
  <c r="Z36" i="30"/>
  <c r="AA36" i="30"/>
  <c r="AB36" i="30"/>
  <c r="AC36" i="30"/>
  <c r="AD36" i="30"/>
  <c r="AG36" i="30"/>
  <c r="AI36" i="30"/>
  <c r="AJ36" i="30"/>
  <c r="AK36" i="30"/>
  <c r="AL36" i="30"/>
  <c r="AM36" i="30"/>
  <c r="AN36" i="30"/>
  <c r="AO36" i="30"/>
  <c r="AP36" i="30"/>
  <c r="AQ36" i="30"/>
  <c r="AR36" i="30"/>
  <c r="AS36" i="30"/>
  <c r="AT36" i="30"/>
  <c r="AU36" i="30"/>
  <c r="AV36" i="30"/>
  <c r="AW36" i="30"/>
  <c r="AX36" i="30"/>
  <c r="AY36" i="30"/>
  <c r="AZ36" i="30"/>
  <c r="BA36" i="30"/>
  <c r="BB36" i="30"/>
  <c r="BC36" i="30"/>
  <c r="BD36" i="30"/>
  <c r="BE36" i="30"/>
  <c r="BF36" i="30"/>
  <c r="BG36" i="30"/>
  <c r="BH36" i="30"/>
  <c r="BI36" i="30"/>
  <c r="BJ36" i="30"/>
  <c r="BO36" i="30"/>
  <c r="BP36" i="30"/>
  <c r="BQ36" i="30"/>
  <c r="BR36" i="30"/>
  <c r="BS36" i="30"/>
  <c r="BU36" i="30"/>
  <c r="BV36" i="30"/>
  <c r="BW36" i="30"/>
  <c r="BX36" i="30"/>
  <c r="BY36" i="30"/>
  <c r="BZ36" i="30"/>
  <c r="CA36" i="30"/>
  <c r="CB36" i="30"/>
  <c r="CC36" i="30"/>
  <c r="CD36" i="30"/>
  <c r="CE36" i="30"/>
  <c r="CF36" i="30"/>
  <c r="CG36" i="30"/>
  <c r="CH36" i="30"/>
  <c r="CI36" i="30"/>
  <c r="CJ36" i="30"/>
  <c r="CK36" i="30"/>
  <c r="CL36" i="30"/>
  <c r="CM36" i="30"/>
  <c r="CN36" i="30"/>
  <c r="CO36" i="30"/>
  <c r="CP36" i="30"/>
  <c r="CS36" i="30"/>
  <c r="CU36" i="30"/>
  <c r="CV36" i="30"/>
  <c r="CW36" i="30"/>
  <c r="CX36" i="30"/>
  <c r="CY36" i="30"/>
  <c r="CZ36" i="30"/>
  <c r="DA36" i="30"/>
  <c r="DB36" i="30"/>
  <c r="DC36" i="30"/>
  <c r="DD36" i="30"/>
  <c r="DE36" i="30"/>
  <c r="DF36" i="30"/>
  <c r="DG36" i="30"/>
  <c r="DH36" i="30"/>
  <c r="DI36" i="30"/>
  <c r="DJ36" i="30"/>
  <c r="DK36" i="30"/>
  <c r="DL36" i="30"/>
  <c r="DM36" i="30"/>
  <c r="DN36" i="30"/>
  <c r="DO36" i="30"/>
  <c r="DP36" i="30"/>
  <c r="DQ36" i="30"/>
  <c r="DR36" i="30"/>
  <c r="DS36" i="30"/>
  <c r="DT36" i="30"/>
  <c r="DU36" i="30"/>
  <c r="DV36" i="30"/>
  <c r="DY36" i="30"/>
  <c r="EA36" i="30"/>
  <c r="EB36" i="30"/>
  <c r="EC36" i="30"/>
  <c r="ED36" i="30"/>
  <c r="EE36" i="30"/>
  <c r="EF36" i="30"/>
  <c r="EG36" i="30"/>
  <c r="EH36" i="30"/>
  <c r="EI36" i="30"/>
  <c r="EJ36" i="30"/>
  <c r="EK36" i="30"/>
  <c r="EL36" i="30"/>
  <c r="EM36" i="30"/>
  <c r="EN36" i="30"/>
  <c r="EO36" i="30"/>
  <c r="EP36" i="30"/>
  <c r="EQ36" i="30"/>
  <c r="ER36" i="30"/>
  <c r="ES36" i="30"/>
  <c r="ET36" i="30"/>
  <c r="EU36" i="30"/>
  <c r="EV36" i="30"/>
  <c r="EW36" i="30"/>
  <c r="EX36" i="30"/>
  <c r="EY36" i="30"/>
  <c r="EZ36" i="30"/>
  <c r="FA36" i="30"/>
  <c r="FB36" i="30"/>
  <c r="FE36" i="30"/>
  <c r="FG36" i="30"/>
  <c r="FH36" i="30"/>
  <c r="FI36" i="30"/>
  <c r="FJ36" i="30"/>
  <c r="FK36" i="30"/>
  <c r="FL36" i="30"/>
  <c r="FM36" i="30"/>
  <c r="FN36" i="30"/>
  <c r="FO36" i="30"/>
  <c r="FP36" i="30"/>
  <c r="FQ36" i="30"/>
  <c r="FR36" i="30"/>
  <c r="FS36" i="30"/>
  <c r="FT36" i="30"/>
  <c r="FU36" i="30"/>
  <c r="FV36" i="30"/>
  <c r="FW36" i="30"/>
  <c r="FX36" i="30"/>
  <c r="FY36" i="30"/>
  <c r="FZ36" i="30"/>
  <c r="GA36" i="30"/>
  <c r="GB36" i="30"/>
  <c r="GC36" i="30"/>
  <c r="GD36" i="30"/>
  <c r="GE36" i="30"/>
  <c r="GF36" i="30"/>
  <c r="GG36" i="30"/>
  <c r="GH36" i="30"/>
  <c r="GK36" i="30"/>
  <c r="GM36" i="30"/>
  <c r="GN36" i="30"/>
  <c r="GO36" i="30"/>
  <c r="GP36" i="30"/>
  <c r="GQ36" i="30"/>
  <c r="GR36" i="30"/>
  <c r="GS36" i="30"/>
  <c r="GT36" i="30"/>
  <c r="GU36" i="30"/>
  <c r="GV36" i="30"/>
  <c r="GW36" i="30"/>
  <c r="GX36" i="30"/>
  <c r="GY36" i="30"/>
  <c r="GZ36" i="30"/>
  <c r="HA36" i="30"/>
  <c r="HB36" i="30"/>
  <c r="HC36" i="30"/>
  <c r="HD36" i="30"/>
  <c r="HE36" i="30"/>
  <c r="HF36" i="30"/>
  <c r="HG36" i="30"/>
  <c r="HH36" i="30"/>
  <c r="HI36" i="30"/>
  <c r="HJ36" i="30"/>
  <c r="HK36" i="30"/>
  <c r="HL36" i="30"/>
  <c r="HM36" i="30"/>
  <c r="HN36" i="30"/>
  <c r="HQ36" i="30"/>
  <c r="HS36" i="30"/>
  <c r="HT36" i="30"/>
  <c r="HU36" i="30"/>
  <c r="HV36" i="30"/>
  <c r="HW36" i="30"/>
  <c r="HX36" i="30"/>
  <c r="HY36" i="30"/>
  <c r="HZ36" i="30"/>
  <c r="IA36" i="30"/>
  <c r="IB36" i="30"/>
  <c r="IC36" i="30"/>
  <c r="ID36" i="30"/>
  <c r="IE36" i="30"/>
  <c r="IF36" i="30"/>
  <c r="IG36" i="30"/>
  <c r="IH36" i="30"/>
  <c r="II36" i="30"/>
  <c r="IJ36" i="30"/>
  <c r="IK36" i="30"/>
  <c r="IL36" i="30"/>
  <c r="IM36" i="30"/>
  <c r="IN36" i="30"/>
  <c r="IO36" i="30"/>
  <c r="IP36" i="30"/>
  <c r="IQ36" i="30"/>
  <c r="IR36" i="30"/>
  <c r="IS36" i="30"/>
  <c r="IT36" i="30"/>
  <c r="IW36" i="30"/>
  <c r="IY36" i="30"/>
  <c r="IZ36" i="30"/>
  <c r="JA36" i="30"/>
  <c r="JB36" i="30"/>
  <c r="JC36" i="30"/>
  <c r="JD36" i="30"/>
  <c r="JE36" i="30"/>
  <c r="JF36" i="30"/>
  <c r="JG36" i="30"/>
  <c r="JH36" i="30"/>
  <c r="JI36" i="30"/>
  <c r="JJ36" i="30"/>
  <c r="JK36" i="30"/>
  <c r="JL36" i="30"/>
  <c r="JM36" i="30"/>
  <c r="JN36" i="30"/>
  <c r="JO36" i="30"/>
  <c r="JP36" i="30"/>
  <c r="JQ36" i="30"/>
  <c r="JR36" i="30"/>
  <c r="JS36" i="30"/>
  <c r="JT36" i="30"/>
  <c r="JU36" i="30"/>
  <c r="JV36" i="30"/>
  <c r="JW36" i="30"/>
  <c r="JX36" i="30"/>
  <c r="JY36" i="30"/>
  <c r="JZ36" i="30"/>
  <c r="KC36" i="30"/>
  <c r="KE36" i="30"/>
  <c r="KF36" i="30"/>
  <c r="KG36" i="30"/>
  <c r="KH36" i="30"/>
  <c r="KI36" i="30"/>
  <c r="KJ36" i="30"/>
  <c r="KK36" i="30"/>
  <c r="KL36" i="30"/>
  <c r="KM36" i="30"/>
  <c r="KN36" i="30"/>
  <c r="KO36" i="30"/>
  <c r="KP36" i="30"/>
  <c r="KQ36" i="30"/>
  <c r="KR36" i="30"/>
  <c r="KS36" i="30"/>
  <c r="KT36" i="30"/>
  <c r="KU36" i="30"/>
  <c r="KV36" i="30"/>
  <c r="KW36" i="30"/>
  <c r="KX36" i="30"/>
  <c r="KY36" i="30"/>
  <c r="KZ36" i="30"/>
  <c r="LA36" i="30"/>
  <c r="LB36" i="30"/>
  <c r="LC36" i="30"/>
  <c r="LD36" i="30"/>
  <c r="LE36" i="30"/>
  <c r="LF36" i="30"/>
  <c r="LK36" i="30"/>
  <c r="LL36" i="30"/>
  <c r="LM36" i="30"/>
  <c r="LN36" i="30"/>
  <c r="LO36" i="30"/>
  <c r="LP36" i="30"/>
  <c r="LQ36" i="30"/>
  <c r="LR36" i="30"/>
  <c r="LS36" i="30"/>
  <c r="LT36" i="30"/>
  <c r="LU36" i="30"/>
  <c r="LV36" i="30"/>
  <c r="LW36" i="30"/>
  <c r="LX36" i="30"/>
  <c r="LY36" i="30"/>
  <c r="LZ36" i="30"/>
  <c r="MA36" i="30"/>
  <c r="MB36" i="30"/>
  <c r="MC36" i="30"/>
  <c r="MD36" i="30"/>
  <c r="ME36" i="30"/>
  <c r="MF36" i="30"/>
  <c r="MG36" i="30"/>
  <c r="MH36" i="30"/>
  <c r="MI36" i="30"/>
  <c r="MJ36" i="30"/>
  <c r="MK36" i="30"/>
  <c r="ML36" i="30"/>
  <c r="MO36" i="30"/>
  <c r="MQ36" i="30"/>
  <c r="MR36" i="30"/>
  <c r="MS36" i="30"/>
  <c r="MT36" i="30"/>
  <c r="MU36" i="30"/>
  <c r="MV36" i="30"/>
  <c r="MW36" i="30"/>
  <c r="MX36" i="30"/>
  <c r="MY36" i="30"/>
  <c r="MZ36" i="30"/>
  <c r="NA36" i="30"/>
  <c r="NB36" i="30"/>
  <c r="NC36" i="30"/>
  <c r="ND36" i="30"/>
  <c r="NE36" i="30"/>
  <c r="NF36" i="30"/>
  <c r="NG36" i="30"/>
  <c r="NH36" i="30"/>
  <c r="NI36" i="30"/>
  <c r="NJ36" i="30"/>
  <c r="NK36" i="30"/>
  <c r="NL36" i="30"/>
  <c r="NM36" i="30"/>
  <c r="NN36" i="30"/>
  <c r="NO36" i="30"/>
  <c r="NP36" i="30"/>
  <c r="NQ36" i="30"/>
  <c r="NR36" i="30"/>
  <c r="NU36" i="30"/>
  <c r="NW36" i="30"/>
  <c r="NX36" i="30"/>
  <c r="NY36" i="30"/>
  <c r="NZ36" i="30"/>
  <c r="OA36" i="30"/>
  <c r="OB36" i="30"/>
  <c r="OC36" i="30"/>
  <c r="OD36" i="30"/>
  <c r="OE36" i="30"/>
  <c r="OF36" i="30"/>
  <c r="OG36" i="30"/>
  <c r="OH36" i="30"/>
  <c r="OI36" i="30"/>
  <c r="OJ36" i="30"/>
  <c r="OK36" i="30"/>
  <c r="OL36" i="30"/>
  <c r="OM36" i="30"/>
  <c r="ON36" i="30"/>
  <c r="OO36" i="30"/>
  <c r="OP36" i="30"/>
  <c r="OQ36" i="30"/>
  <c r="OR36" i="30"/>
  <c r="OS36" i="30"/>
  <c r="OT36" i="30"/>
  <c r="OU36" i="30"/>
  <c r="OV36" i="30"/>
  <c r="OW36" i="30"/>
  <c r="OX36" i="30"/>
  <c r="PA36" i="30"/>
  <c r="PC36" i="30"/>
  <c r="PD36" i="30"/>
  <c r="PE36" i="30"/>
  <c r="PF36" i="30"/>
  <c r="PG36" i="30"/>
  <c r="PH36" i="30"/>
  <c r="PI36" i="30"/>
  <c r="PJ36" i="30"/>
  <c r="PK36" i="30"/>
  <c r="PL36" i="30"/>
  <c r="PM36" i="30"/>
  <c r="PN36" i="30"/>
  <c r="PO36" i="30"/>
  <c r="PP36" i="30"/>
  <c r="PQ36" i="30"/>
  <c r="PR36" i="30"/>
  <c r="PS36" i="30"/>
  <c r="PT36" i="30"/>
  <c r="PU36" i="30"/>
  <c r="PV36" i="30"/>
  <c r="PW36" i="30"/>
  <c r="PX36" i="30"/>
  <c r="PY36" i="30"/>
  <c r="PZ36" i="30"/>
  <c r="QA36" i="30"/>
  <c r="QB36" i="30"/>
  <c r="QC36" i="30"/>
  <c r="QD36" i="30"/>
  <c r="QG36" i="30"/>
  <c r="QI36" i="30"/>
  <c r="QJ36" i="30"/>
  <c r="QK36" i="30"/>
  <c r="QL36" i="30"/>
  <c r="QM36" i="30"/>
  <c r="QN36" i="30"/>
  <c r="QO36" i="30"/>
  <c r="QP36" i="30"/>
  <c r="QQ36" i="30"/>
  <c r="QR36" i="30"/>
  <c r="QS36" i="30"/>
  <c r="QT36" i="30"/>
  <c r="QU36" i="30"/>
  <c r="QV36" i="30"/>
  <c r="QW36" i="30"/>
  <c r="QX36" i="30"/>
  <c r="QY36" i="30"/>
  <c r="QZ36" i="30"/>
  <c r="RA36" i="30"/>
  <c r="RB36" i="30"/>
  <c r="RC36" i="30"/>
  <c r="RD36" i="30"/>
  <c r="RE36" i="30"/>
  <c r="RF36" i="30"/>
  <c r="RG36" i="30"/>
  <c r="RH36" i="30"/>
  <c r="RI36" i="30"/>
  <c r="RJ36" i="30"/>
  <c r="RM36" i="30"/>
  <c r="RO36" i="30"/>
  <c r="RP36" i="30"/>
  <c r="RQ36" i="30"/>
  <c r="RR36" i="30"/>
  <c r="RS36" i="30"/>
  <c r="RT36" i="30"/>
  <c r="RU36" i="30"/>
  <c r="RV36" i="30"/>
  <c r="RW36" i="30"/>
  <c r="RX36" i="30"/>
  <c r="RY36" i="30"/>
  <c r="RZ36" i="30"/>
  <c r="SA36" i="30"/>
  <c r="SB36" i="30"/>
  <c r="SC36" i="30"/>
  <c r="SD36" i="30"/>
  <c r="SE36" i="30"/>
  <c r="SF36" i="30"/>
  <c r="SG36" i="30"/>
  <c r="SH36" i="30"/>
  <c r="SI36" i="30"/>
  <c r="SJ36" i="30"/>
  <c r="SK36" i="30"/>
  <c r="SL36" i="30"/>
  <c r="SM36" i="30"/>
  <c r="SN36" i="30"/>
  <c r="SO36" i="30"/>
  <c r="SP36" i="30"/>
  <c r="SS36" i="30"/>
  <c r="SU36" i="30"/>
  <c r="SV36" i="30"/>
  <c r="SW36" i="30"/>
  <c r="SX36" i="30"/>
  <c r="SY36" i="30"/>
  <c r="SZ36" i="30"/>
  <c r="TA36" i="30"/>
  <c r="TB36" i="30"/>
  <c r="TC36" i="30"/>
  <c r="TD36" i="30"/>
  <c r="TE36" i="30"/>
  <c r="TF36" i="30"/>
  <c r="TG36" i="30"/>
  <c r="TH36" i="30"/>
  <c r="TI36" i="30"/>
  <c r="TJ36" i="30"/>
  <c r="TK36" i="30"/>
  <c r="TL36" i="30"/>
  <c r="TM36" i="30"/>
  <c r="TN36" i="30"/>
  <c r="TO36" i="30"/>
  <c r="TP36" i="30"/>
  <c r="TQ36" i="30"/>
  <c r="TR36" i="30"/>
  <c r="TS36" i="30"/>
  <c r="TT36" i="30"/>
  <c r="TU36" i="30"/>
  <c r="TV36" i="30"/>
  <c r="TY36" i="30"/>
  <c r="UA36" i="30"/>
  <c r="UB36" i="30"/>
  <c r="UC36" i="30"/>
  <c r="UD36" i="30"/>
  <c r="UE36" i="30"/>
  <c r="UF36" i="30"/>
  <c r="UG36" i="30"/>
  <c r="UH36" i="30"/>
  <c r="UI36" i="30"/>
  <c r="UJ36" i="30"/>
  <c r="UK36" i="30"/>
  <c r="UL36" i="30"/>
  <c r="UM36" i="30"/>
  <c r="UN36" i="30"/>
  <c r="UO36" i="30"/>
  <c r="UP36" i="30"/>
  <c r="UQ36" i="30"/>
  <c r="UR36" i="30"/>
  <c r="US36" i="30"/>
  <c r="UT36" i="30"/>
  <c r="UU36" i="30"/>
  <c r="UV36" i="30"/>
  <c r="UW36" i="30"/>
  <c r="UX36" i="30"/>
  <c r="UY36" i="30"/>
  <c r="UZ36" i="30"/>
  <c r="VA36" i="30"/>
  <c r="VB36" i="30"/>
  <c r="VE36" i="30"/>
  <c r="VG36" i="30"/>
  <c r="VH36" i="30"/>
  <c r="VI36" i="30"/>
  <c r="VJ36" i="30"/>
  <c r="VK36" i="30"/>
  <c r="VL36" i="30"/>
  <c r="VM36" i="30"/>
  <c r="VN36" i="30"/>
  <c r="VO36" i="30"/>
  <c r="VP36" i="30"/>
  <c r="VQ36" i="30"/>
  <c r="VR36" i="30"/>
  <c r="VS36" i="30"/>
  <c r="VT36" i="30"/>
  <c r="VU36" i="30"/>
  <c r="VV36" i="30"/>
  <c r="VW36" i="30"/>
  <c r="VX36" i="30"/>
  <c r="VY36" i="30"/>
  <c r="VZ36" i="30"/>
  <c r="WA36" i="30"/>
  <c r="WB36" i="30"/>
  <c r="WC36" i="30"/>
  <c r="WD36" i="30"/>
  <c r="WE36" i="30"/>
  <c r="WF36" i="30"/>
  <c r="WG36" i="30"/>
  <c r="WH36" i="30"/>
  <c r="WK36" i="30"/>
  <c r="WM36" i="30"/>
  <c r="WN36" i="30"/>
  <c r="WO36" i="30"/>
  <c r="WP36" i="30"/>
  <c r="WQ36" i="30"/>
  <c r="WR36" i="30"/>
  <c r="WS36" i="30"/>
  <c r="WT36" i="30"/>
  <c r="WU36" i="30"/>
  <c r="WV36" i="30"/>
  <c r="WW36" i="30"/>
  <c r="WX36" i="30"/>
  <c r="WY36" i="30"/>
  <c r="WZ36" i="30"/>
  <c r="XA36" i="30"/>
  <c r="XB36" i="30"/>
  <c r="XC36" i="30"/>
  <c r="XD36" i="30"/>
  <c r="XE36" i="30"/>
  <c r="XF36" i="30"/>
  <c r="XG36" i="30"/>
  <c r="XH36" i="30"/>
  <c r="XI36" i="30"/>
  <c r="XJ36" i="30"/>
  <c r="XK36" i="30"/>
  <c r="XL36" i="30"/>
  <c r="XM36" i="30"/>
  <c r="XN36" i="30"/>
  <c r="XQ36" i="30"/>
  <c r="XS36" i="30"/>
  <c r="XT36" i="30"/>
  <c r="XU36" i="30"/>
  <c r="XV36" i="30"/>
  <c r="XW36" i="30"/>
  <c r="XX36" i="30"/>
  <c r="XY36" i="30"/>
  <c r="XZ36" i="30"/>
  <c r="YA36" i="30"/>
  <c r="YB36" i="30"/>
  <c r="YC36" i="30"/>
  <c r="YD36" i="30"/>
  <c r="YE36" i="30"/>
  <c r="YF36" i="30"/>
  <c r="YG36" i="30"/>
  <c r="YH36" i="30"/>
  <c r="YI36" i="30"/>
  <c r="YJ36" i="30"/>
  <c r="YK36" i="30"/>
  <c r="YL36" i="30"/>
  <c r="YM36" i="30"/>
  <c r="YN36" i="30"/>
  <c r="YO36" i="30"/>
  <c r="YP36" i="30"/>
  <c r="YQ36" i="30"/>
  <c r="YR36" i="30"/>
  <c r="YS36" i="30"/>
  <c r="YT36" i="30"/>
  <c r="YW36" i="30"/>
  <c r="YY36" i="30"/>
  <c r="YZ36" i="30"/>
  <c r="ZA36" i="30"/>
  <c r="ZB36" i="30"/>
  <c r="ZC36" i="30"/>
  <c r="ZE36" i="30"/>
  <c r="ZF36" i="30"/>
  <c r="ZG36" i="30"/>
  <c r="ZH36" i="30"/>
  <c r="ZI36" i="30"/>
  <c r="ZJ36" i="30"/>
  <c r="ZK36" i="30"/>
  <c r="ZL36" i="30"/>
  <c r="ZM36" i="30"/>
  <c r="ZN36" i="30"/>
  <c r="ZO36" i="30"/>
  <c r="ZP36" i="30"/>
  <c r="ZQ36" i="30"/>
  <c r="ZR36" i="30"/>
  <c r="ZS36" i="30"/>
  <c r="ZT36" i="30"/>
  <c r="ZU36" i="30"/>
  <c r="ZV36" i="30"/>
  <c r="ZW36" i="30"/>
  <c r="ZY36" i="30"/>
  <c r="ZZ36" i="30"/>
  <c r="AAC36" i="30"/>
  <c r="AAE36" i="30"/>
  <c r="AAF36" i="30"/>
  <c r="AAG36" i="30"/>
  <c r="AAH36" i="30"/>
  <c r="AAI36" i="30"/>
  <c r="AAJ36" i="30"/>
  <c r="AAK36" i="30"/>
  <c r="AAL36" i="30"/>
  <c r="AAM36" i="30"/>
  <c r="AAN36" i="30"/>
  <c r="AAO36" i="30"/>
  <c r="AAP36" i="30"/>
  <c r="AAQ36" i="30"/>
  <c r="AAS36" i="30"/>
  <c r="AAT36" i="30"/>
  <c r="AAU36" i="30"/>
  <c r="AAV36" i="30"/>
  <c r="AAW36" i="30"/>
  <c r="AAX36" i="30"/>
  <c r="AAY36" i="30"/>
  <c r="AAZ36" i="30"/>
  <c r="ABA36" i="30"/>
  <c r="ABB36" i="30"/>
  <c r="ABC36" i="30"/>
  <c r="ABE36" i="30"/>
  <c r="ABF36" i="30"/>
  <c r="ABI36" i="30"/>
  <c r="ABK36" i="30"/>
  <c r="ABM36" i="30"/>
  <c r="ABN36" i="30"/>
  <c r="ABO36" i="30"/>
  <c r="ABP36" i="30"/>
  <c r="ABQ36" i="30"/>
  <c r="ABR36" i="30"/>
  <c r="ABS36" i="30"/>
  <c r="ABT36" i="30"/>
  <c r="ABU36" i="30"/>
  <c r="ABV36" i="30"/>
  <c r="ABW36" i="30"/>
  <c r="ABY36" i="30"/>
  <c r="ABZ36" i="30"/>
  <c r="ACA36" i="30"/>
  <c r="ACB36" i="30"/>
  <c r="ACC36" i="30"/>
  <c r="ACD36" i="30"/>
  <c r="ACE36" i="30"/>
  <c r="ACF36" i="30"/>
  <c r="ACG36" i="30"/>
  <c r="ACH36" i="30"/>
  <c r="ACI36" i="30"/>
  <c r="ACJ36" i="30"/>
  <c r="ACK36" i="30"/>
  <c r="ACL36" i="30"/>
  <c r="ACO36" i="30"/>
  <c r="ACS36" i="30"/>
  <c r="ACU36" i="30"/>
  <c r="ACV36" i="30"/>
  <c r="ACW36" i="30"/>
  <c r="ACX36" i="30"/>
  <c r="ACY36" i="30"/>
  <c r="ACZ36" i="30"/>
  <c r="ADA36" i="30"/>
  <c r="ADB36" i="30"/>
  <c r="ADD36" i="30"/>
  <c r="ADE36" i="30"/>
  <c r="ADG36" i="30"/>
  <c r="ADI36" i="30"/>
  <c r="ADJ36" i="30"/>
  <c r="ADK36" i="30"/>
  <c r="ADL36" i="30"/>
  <c r="ADM36" i="30"/>
  <c r="ADN36" i="30"/>
  <c r="ADO36" i="30"/>
  <c r="ADP36" i="30"/>
  <c r="ADQ36" i="30"/>
  <c r="ADR36" i="30"/>
  <c r="ADU36" i="30"/>
  <c r="ADW36" i="30"/>
  <c r="ADY36" i="30"/>
  <c r="ADZ36" i="30"/>
  <c r="AEA36" i="30"/>
  <c r="AEC36" i="30"/>
  <c r="AED36" i="30"/>
  <c r="AEE36" i="30"/>
  <c r="AEF36" i="30"/>
  <c r="AEG36" i="30"/>
  <c r="AEH36" i="30"/>
  <c r="AEI36" i="30"/>
  <c r="AEJ36" i="30"/>
  <c r="AEK36" i="30"/>
  <c r="AEL36" i="30"/>
  <c r="AEM36" i="30"/>
  <c r="AEO36" i="30"/>
  <c r="AEP36" i="30"/>
  <c r="AEQ36" i="30"/>
  <c r="AER36" i="30"/>
  <c r="AES36" i="30"/>
  <c r="AET36" i="30"/>
  <c r="AEU36" i="30"/>
  <c r="AEW36" i="30"/>
  <c r="AEX36" i="30"/>
  <c r="AFA36" i="30"/>
  <c r="AFC36" i="30"/>
  <c r="AFD36" i="30"/>
  <c r="AFE36" i="30"/>
  <c r="AFF36" i="30"/>
  <c r="AFG36" i="30"/>
  <c r="AFH36" i="30"/>
  <c r="AFI36" i="30"/>
  <c r="AFJ36" i="30"/>
  <c r="AFK36" i="30"/>
  <c r="AFL36" i="30"/>
  <c r="AFM36" i="30"/>
  <c r="AFN36" i="30"/>
  <c r="AFO36" i="30"/>
  <c r="AFQ36" i="30"/>
  <c r="AFR36" i="30"/>
  <c r="AFS36" i="30"/>
  <c r="AFT36" i="30"/>
  <c r="AFU36" i="30"/>
  <c r="AFV36" i="30"/>
  <c r="AFW36" i="30"/>
  <c r="AFX36" i="30"/>
  <c r="AFY36" i="30"/>
  <c r="AFZ36" i="30"/>
  <c r="AGA36" i="30"/>
  <c r="AGC36" i="30"/>
  <c r="AGD36" i="30"/>
  <c r="AGG36" i="30"/>
  <c r="AGI36" i="30"/>
  <c r="AGK36" i="30"/>
  <c r="AGL36" i="30"/>
  <c r="AGM36" i="30"/>
  <c r="AGN36" i="30"/>
  <c r="AGO36" i="30"/>
  <c r="AGP36" i="30"/>
  <c r="AGQ36" i="30"/>
  <c r="AGS36" i="30"/>
  <c r="AGT36" i="30"/>
  <c r="AGU36" i="30"/>
  <c r="AGW36" i="30"/>
  <c r="AGX36" i="30"/>
  <c r="AGY36" i="30"/>
  <c r="AGZ36" i="30"/>
  <c r="AHA36" i="30"/>
  <c r="AHB36" i="30"/>
  <c r="AHC36" i="30"/>
  <c r="AHD36" i="30"/>
  <c r="AHE36" i="30"/>
  <c r="AHF36" i="30"/>
  <c r="AHG36" i="30"/>
  <c r="AHI36" i="30"/>
  <c r="AHJ36" i="30"/>
  <c r="AHM36" i="30"/>
  <c r="AHO36" i="30"/>
  <c r="AHP36" i="30"/>
  <c r="AHQ36" i="30"/>
  <c r="AHR36" i="30"/>
  <c r="AHS36" i="30"/>
  <c r="AHT36" i="30"/>
  <c r="AHU36" i="30"/>
  <c r="AHV36" i="30"/>
  <c r="AHW36" i="30"/>
  <c r="AHX36" i="30"/>
  <c r="AHY36" i="30"/>
  <c r="AHZ36" i="30"/>
  <c r="AIA36" i="30"/>
  <c r="AIB36" i="30"/>
  <c r="AIC36" i="30"/>
  <c r="AID36" i="30"/>
  <c r="AIE36" i="30"/>
  <c r="AIF36" i="30"/>
  <c r="AIG36" i="30"/>
  <c r="AIH36" i="30"/>
  <c r="AII36" i="30"/>
  <c r="AIJ36" i="30"/>
  <c r="AIK36" i="30"/>
  <c r="AIL36" i="30"/>
  <c r="AIM36" i="30"/>
  <c r="AIN36" i="30"/>
  <c r="AIO36" i="30"/>
  <c r="AIP36" i="30"/>
  <c r="AIS36" i="30"/>
  <c r="AIU36" i="30"/>
  <c r="AIV36" i="30"/>
  <c r="AIW36" i="30"/>
  <c r="AIX36" i="30"/>
  <c r="AIY36" i="30"/>
  <c r="AIZ36" i="30"/>
  <c r="AJA36" i="30"/>
  <c r="AJB36" i="30"/>
  <c r="AJC36" i="30"/>
  <c r="AJE36" i="30"/>
  <c r="AJF36" i="30"/>
  <c r="AJG36" i="30"/>
  <c r="AJH36" i="30"/>
  <c r="AJI36" i="30"/>
  <c r="AJJ36" i="30"/>
  <c r="AJK36" i="30"/>
  <c r="AJL36" i="30"/>
  <c r="AJM36" i="30"/>
  <c r="AJN36" i="30"/>
  <c r="AJO36" i="30"/>
  <c r="AJP36" i="30"/>
  <c r="AJQ36" i="30"/>
  <c r="AJR36" i="30"/>
  <c r="AJS36" i="30"/>
  <c r="AJU36" i="30"/>
  <c r="AJV36" i="30"/>
  <c r="AJY36" i="30"/>
  <c r="AKA36" i="30"/>
  <c r="AKB36" i="30"/>
  <c r="AKC36" i="30"/>
  <c r="AKD36" i="30"/>
  <c r="AKE36" i="30"/>
  <c r="AKG36" i="30"/>
  <c r="AKH36" i="30"/>
  <c r="AKI36" i="30"/>
  <c r="AKJ36" i="30"/>
  <c r="AKK36" i="30"/>
  <c r="AKL36" i="30"/>
  <c r="AKM36" i="30"/>
  <c r="AKN36" i="30"/>
  <c r="AKO36" i="30"/>
  <c r="AKP36" i="30"/>
  <c r="AKQ36" i="30"/>
  <c r="AKR36" i="30"/>
  <c r="AKS36" i="30"/>
  <c r="AKT36" i="30"/>
  <c r="AKU36" i="30"/>
  <c r="AKW36" i="30"/>
  <c r="AKX36" i="30"/>
  <c r="AKY36" i="30"/>
  <c r="AKZ36" i="30"/>
  <c r="ALA36" i="30"/>
  <c r="ALB36" i="30"/>
  <c r="ALE36" i="30"/>
  <c r="ALG36" i="30"/>
  <c r="ALI36" i="30"/>
  <c r="ALJ36" i="30"/>
  <c r="ALK36" i="30"/>
  <c r="ALL36" i="30"/>
  <c r="ALM36" i="30"/>
  <c r="ALN36" i="30"/>
  <c r="ALO36" i="30"/>
  <c r="ALP36" i="30"/>
  <c r="ALQ36" i="30"/>
  <c r="ALR36" i="30"/>
  <c r="ALS36" i="30"/>
  <c r="ALT36" i="30"/>
  <c r="ALU36" i="30"/>
  <c r="ALV36" i="30"/>
  <c r="ALW36" i="30"/>
  <c r="ALY36" i="30"/>
  <c r="ALZ36" i="30"/>
  <c r="AMA36" i="30"/>
  <c r="AMB36" i="30"/>
  <c r="AMC36" i="30"/>
  <c r="AMD36" i="30"/>
  <c r="AME36" i="30"/>
  <c r="AMF36" i="30"/>
  <c r="AMG36" i="30"/>
  <c r="AMH36" i="30"/>
  <c r="AMK36" i="30"/>
  <c r="AMM36" i="30"/>
  <c r="AMN36" i="30"/>
  <c r="AMO36" i="30"/>
  <c r="AMP36" i="30"/>
  <c r="AMQ36" i="30"/>
  <c r="AMR36" i="30"/>
  <c r="AMS36" i="30"/>
  <c r="AMT36" i="30"/>
  <c r="AMU36" i="30"/>
  <c r="AMV36" i="30"/>
  <c r="AMW36" i="30"/>
  <c r="AMX36" i="30"/>
  <c r="AMY36" i="30"/>
  <c r="ANA36" i="30"/>
  <c r="ANB36" i="30"/>
  <c r="ANC36" i="30"/>
  <c r="AND36" i="30"/>
  <c r="ANE36" i="30"/>
  <c r="ANF36" i="30"/>
  <c r="ANG36" i="30"/>
  <c r="ANH36" i="30"/>
  <c r="ANI36" i="30"/>
  <c r="ANJ36" i="30"/>
  <c r="ANK36" i="30"/>
  <c r="ANL36" i="30"/>
  <c r="ANM36" i="30"/>
  <c r="ANN36" i="30"/>
  <c r="ANQ36" i="30"/>
  <c r="ANS36" i="30"/>
  <c r="ANT36" i="30"/>
  <c r="ANU36" i="30"/>
  <c r="ANV36" i="30"/>
  <c r="ANW36" i="30"/>
  <c r="ANX36" i="30"/>
  <c r="ANY36" i="30"/>
  <c r="ANZ36" i="30"/>
  <c r="AOA36" i="30"/>
  <c r="AOC36" i="30"/>
  <c r="AOD36" i="30"/>
  <c r="AOE36" i="30"/>
  <c r="AOF36" i="30"/>
  <c r="AOG36" i="30"/>
  <c r="AOH36" i="30"/>
  <c r="AOI36" i="30"/>
  <c r="AOJ36" i="30"/>
  <c r="AOK36" i="30"/>
  <c r="AOL36" i="30"/>
  <c r="AOM36" i="30"/>
  <c r="AON36" i="30"/>
  <c r="AOO36" i="30"/>
  <c r="AOP36" i="30"/>
  <c r="AOQ36" i="30"/>
  <c r="AOS36" i="30"/>
  <c r="AOT36" i="30"/>
  <c r="AOW36" i="30"/>
  <c r="AOY36" i="30"/>
  <c r="AOZ36" i="30"/>
  <c r="APA36" i="30"/>
  <c r="APB36" i="30"/>
  <c r="APC36" i="30"/>
  <c r="APE36" i="30"/>
  <c r="APF36" i="30"/>
  <c r="APG36" i="30"/>
  <c r="APH36" i="30"/>
  <c r="API36" i="30"/>
  <c r="APJ36" i="30"/>
  <c r="APK36" i="30"/>
  <c r="APL36" i="30"/>
  <c r="APM36" i="30"/>
  <c r="APN36" i="30"/>
  <c r="APO36" i="30"/>
  <c r="APP36" i="30"/>
  <c r="APQ36" i="30"/>
  <c r="APR36" i="30"/>
  <c r="APS36" i="30"/>
  <c r="APU36" i="30"/>
  <c r="APV36" i="30"/>
  <c r="APW36" i="30"/>
  <c r="APX36" i="30"/>
  <c r="APY36" i="30"/>
  <c r="APZ36" i="30"/>
  <c r="AQC36" i="30"/>
  <c r="AQE36" i="30"/>
  <c r="AQG36" i="30"/>
  <c r="AQH36" i="30"/>
  <c r="AQI36" i="30"/>
  <c r="AQJ36" i="30"/>
  <c r="AQK36" i="30"/>
  <c r="AQL36" i="30"/>
  <c r="AQM36" i="30"/>
  <c r="AQN36" i="30"/>
  <c r="AQO36" i="30"/>
  <c r="AQP36" i="30"/>
  <c r="AQQ36" i="30"/>
  <c r="AQR36" i="30"/>
  <c r="AQS36" i="30"/>
  <c r="AQT36" i="30"/>
  <c r="AQU36" i="30"/>
  <c r="AQW36" i="30"/>
  <c r="AQX36" i="30"/>
  <c r="AQY36" i="30"/>
  <c r="AQZ36" i="30"/>
  <c r="ARA36" i="30"/>
  <c r="ARB36" i="30"/>
  <c r="ARC36" i="30"/>
  <c r="ARD36" i="30"/>
  <c r="ARE36" i="30"/>
  <c r="ARF36" i="30"/>
  <c r="ARI36" i="30"/>
  <c r="ARK36" i="30"/>
  <c r="ARL36" i="30"/>
  <c r="ARM36" i="30"/>
  <c r="ARN36" i="30"/>
  <c r="ARO36" i="30"/>
  <c r="ARP36" i="30"/>
  <c r="ARQ36" i="30"/>
  <c r="ARR36" i="30"/>
  <c r="ARS36" i="30"/>
  <c r="ART36" i="30"/>
  <c r="ARU36" i="30"/>
  <c r="ARV36" i="30"/>
  <c r="ARW36" i="30"/>
  <c r="ARY36" i="30"/>
  <c r="ARZ36" i="30"/>
  <c r="ASA36" i="30"/>
  <c r="ASB36" i="30"/>
  <c r="ASC36" i="30"/>
  <c r="ASD36" i="30"/>
  <c r="ASE36" i="30"/>
  <c r="ASF36" i="30"/>
  <c r="ASG36" i="30"/>
  <c r="ASH36" i="30"/>
  <c r="ASI36" i="30"/>
  <c r="ASJ36" i="30"/>
  <c r="ASK36" i="30"/>
  <c r="ASL36" i="30"/>
  <c r="ASO36" i="30"/>
  <c r="ASQ36" i="30"/>
  <c r="ASR36" i="30"/>
  <c r="ASS36" i="30"/>
  <c r="AST36" i="30"/>
  <c r="ASU36" i="30"/>
  <c r="ASV36" i="30"/>
  <c r="ASW36" i="30"/>
  <c r="ASX36" i="30"/>
  <c r="ASY36" i="30"/>
  <c r="ASZ36" i="30"/>
  <c r="ATA36" i="30"/>
  <c r="ATB36" i="30"/>
  <c r="ATC36" i="30"/>
  <c r="ATD36" i="30"/>
  <c r="ATE36" i="30"/>
  <c r="ATF36" i="30"/>
  <c r="ATG36" i="30"/>
  <c r="ATH36" i="30"/>
  <c r="ATI36" i="30"/>
  <c r="ATJ36" i="30"/>
  <c r="ATK36" i="30"/>
  <c r="ATL36" i="30"/>
  <c r="ATM36" i="30"/>
  <c r="ATN36" i="30"/>
  <c r="ATO36" i="30"/>
  <c r="ATP36" i="30"/>
  <c r="ATQ36" i="30"/>
  <c r="ATR36" i="30"/>
  <c r="ATU36" i="30"/>
  <c r="ATW36" i="30"/>
  <c r="ATX36" i="30"/>
  <c r="ATY36" i="30"/>
  <c r="ATZ36" i="30"/>
  <c r="AUA36" i="30"/>
  <c r="AUB36" i="30"/>
  <c r="AUC36" i="30"/>
  <c r="AUD36" i="30"/>
  <c r="AUE36" i="30"/>
  <c r="AUF36" i="30"/>
  <c r="AUG36" i="30"/>
  <c r="AUH36" i="30"/>
  <c r="AUI36" i="30"/>
  <c r="AUJ36" i="30"/>
  <c r="AUK36" i="30"/>
  <c r="AUL36" i="30"/>
  <c r="AUM36" i="30"/>
  <c r="AUN36" i="30"/>
  <c r="AUO36" i="30"/>
  <c r="AUP36" i="30"/>
  <c r="AUQ36" i="30"/>
  <c r="AUR36" i="30"/>
  <c r="AUS36" i="30"/>
  <c r="AUT36" i="30"/>
  <c r="AUU36" i="30"/>
  <c r="AUV36" i="30"/>
  <c r="AUW36" i="30"/>
  <c r="AUX36" i="30"/>
  <c r="AVA36" i="30"/>
  <c r="AVC36" i="30"/>
  <c r="AVD36" i="30"/>
  <c r="AVE36" i="30"/>
  <c r="AVF36" i="30"/>
  <c r="AVG36" i="30"/>
  <c r="AVH36" i="30"/>
  <c r="AVI36" i="30"/>
  <c r="AVJ36" i="30"/>
  <c r="AVK36" i="30"/>
  <c r="AVL36" i="30"/>
  <c r="AVM36" i="30"/>
  <c r="AVN36" i="30"/>
  <c r="AVO36" i="30"/>
  <c r="AVP36" i="30"/>
  <c r="AVQ36" i="30"/>
  <c r="AVR36" i="30"/>
  <c r="AVS36" i="30"/>
  <c r="AVT36" i="30"/>
  <c r="AVU36" i="30"/>
  <c r="AVV36" i="30"/>
  <c r="AVW36" i="30"/>
  <c r="AVX36" i="30"/>
  <c r="AVY36" i="30"/>
  <c r="AVZ36" i="30"/>
  <c r="AWA36" i="30"/>
  <c r="AWB36" i="30"/>
  <c r="AWC36" i="30"/>
  <c r="AWD36" i="30"/>
  <c r="AWG36" i="30"/>
  <c r="AWI36" i="30"/>
  <c r="AWJ36" i="30"/>
  <c r="AWK36" i="30"/>
  <c r="AWL36" i="30"/>
  <c r="AWM36" i="30"/>
  <c r="AWN36" i="30"/>
  <c r="AWO36" i="30"/>
  <c r="AWP36" i="30"/>
  <c r="AWQ36" i="30"/>
  <c r="AWR36" i="30"/>
  <c r="AWS36" i="30"/>
  <c r="AWT36" i="30"/>
  <c r="AWU36" i="30"/>
  <c r="AWV36" i="30"/>
  <c r="AWW36" i="30"/>
  <c r="AWX36" i="30"/>
  <c r="AWY36" i="30"/>
  <c r="AWZ36" i="30"/>
  <c r="AXA36" i="30"/>
  <c r="AXB36" i="30"/>
  <c r="AXC36" i="30"/>
  <c r="AXD36" i="30"/>
  <c r="AXE36" i="30"/>
  <c r="AXF36" i="30"/>
  <c r="AXG36" i="30"/>
  <c r="AXH36" i="30"/>
  <c r="AXI36" i="30"/>
  <c r="AXJ36" i="30"/>
  <c r="AXM36" i="30"/>
  <c r="AXO36" i="30"/>
  <c r="AXP36" i="30"/>
  <c r="AXQ36" i="30"/>
  <c r="AXR36" i="30"/>
  <c r="AXS36" i="30"/>
  <c r="AXT36" i="30"/>
  <c r="AXU36" i="30"/>
  <c r="AXV36" i="30"/>
  <c r="AXW36" i="30"/>
  <c r="AXX36" i="30"/>
  <c r="AXY36" i="30"/>
  <c r="AXZ36" i="30"/>
  <c r="AYA36" i="30"/>
  <c r="AYB36" i="30"/>
  <c r="AYC36" i="30"/>
  <c r="AYD36" i="30"/>
  <c r="AYE36" i="30"/>
  <c r="AYF36" i="30"/>
  <c r="AYG36" i="30"/>
  <c r="AYH36" i="30"/>
  <c r="AYI36" i="30"/>
  <c r="AYJ36" i="30"/>
  <c r="AYK36" i="30"/>
  <c r="AYL36" i="30"/>
  <c r="AYM36" i="30"/>
  <c r="AYN36" i="30"/>
  <c r="AYO36" i="30"/>
  <c r="AYP36" i="30"/>
  <c r="AYS36" i="30"/>
  <c r="AYU36" i="30"/>
  <c r="AYV36" i="30"/>
  <c r="AYW36" i="30"/>
  <c r="AYX36" i="30"/>
  <c r="AYY36" i="30"/>
  <c r="AYZ36" i="30"/>
  <c r="AZA36" i="30"/>
  <c r="AZB36" i="30"/>
  <c r="AZC36" i="30"/>
  <c r="AZD36" i="30"/>
  <c r="AZE36" i="30"/>
  <c r="AZF36" i="30"/>
  <c r="AZG36" i="30"/>
  <c r="AZH36" i="30"/>
  <c r="AZI36" i="30"/>
  <c r="AZJ36" i="30"/>
  <c r="AZK36" i="30"/>
  <c r="AZL36" i="30"/>
  <c r="AZM36" i="30"/>
  <c r="AZN36" i="30"/>
  <c r="AZO36" i="30"/>
  <c r="AZP36" i="30"/>
  <c r="AZQ36" i="30"/>
  <c r="AZR36" i="30"/>
  <c r="AZS36" i="30"/>
  <c r="AZT36" i="30"/>
  <c r="AZU36" i="30"/>
  <c r="AZV36" i="30"/>
  <c r="AZY36" i="30"/>
  <c r="BAA36" i="30"/>
  <c r="BAB36" i="30"/>
  <c r="BAC36" i="30"/>
  <c r="BAD36" i="30"/>
  <c r="BAE36" i="30"/>
  <c r="BAF36" i="30"/>
  <c r="BAG36" i="30"/>
  <c r="BAH36" i="30"/>
  <c r="BAI36" i="30"/>
  <c r="BAJ36" i="30"/>
  <c r="BAK36" i="30"/>
  <c r="BAL36" i="30"/>
  <c r="BAM36" i="30"/>
  <c r="BAN36" i="30"/>
  <c r="BAO36" i="30"/>
  <c r="BAP36" i="30"/>
  <c r="BAQ36" i="30"/>
  <c r="BAR36" i="30"/>
  <c r="BAS36" i="30"/>
  <c r="BAT36" i="30"/>
  <c r="BAU36" i="30"/>
  <c r="BAV36" i="30"/>
  <c r="BAW36" i="30"/>
  <c r="BAX36" i="30"/>
  <c r="BAY36" i="30"/>
  <c r="BAZ36" i="30"/>
  <c r="BBA36" i="30"/>
  <c r="BBB36" i="30"/>
  <c r="BBE36" i="30"/>
  <c r="BBG36" i="30"/>
  <c r="BBH36" i="30"/>
  <c r="BBI36" i="30"/>
  <c r="BBJ36" i="30"/>
  <c r="BBK36" i="30"/>
  <c r="BBL36" i="30"/>
  <c r="BBM36" i="30"/>
  <c r="BBN36" i="30"/>
  <c r="BBO36" i="30"/>
  <c r="BBP36" i="30"/>
  <c r="BBQ36" i="30"/>
  <c r="BBR36" i="30"/>
  <c r="BBS36" i="30"/>
  <c r="BBT36" i="30"/>
  <c r="BBU36" i="30"/>
  <c r="BBV36" i="30"/>
  <c r="BBW36" i="30"/>
  <c r="BBX36" i="30"/>
  <c r="BBY36" i="30"/>
  <c r="BBZ36" i="30"/>
  <c r="BCA36" i="30"/>
  <c r="BCB36" i="30"/>
  <c r="BCC36" i="30"/>
  <c r="BCD36" i="30"/>
  <c r="BCE36" i="30"/>
  <c r="BCF36" i="30"/>
  <c r="BCG36" i="30"/>
  <c r="BCH36" i="30"/>
  <c r="BCK36" i="30"/>
  <c r="BCM36" i="30"/>
  <c r="BCN36" i="30"/>
  <c r="BCO36" i="30"/>
  <c r="BCP36" i="30"/>
  <c r="BCQ36" i="30"/>
  <c r="BCR36" i="30"/>
  <c r="BCS36" i="30"/>
  <c r="BCT36" i="30"/>
  <c r="BCU36" i="30"/>
  <c r="BCV36" i="30"/>
  <c r="BCW36" i="30"/>
  <c r="BCX36" i="30"/>
  <c r="BCY36" i="30"/>
  <c r="BCZ36" i="30"/>
  <c r="BDA36" i="30"/>
  <c r="BDB36" i="30"/>
  <c r="BDC36" i="30"/>
  <c r="BDD36" i="30"/>
  <c r="BDE36" i="30"/>
  <c r="BDF36" i="30"/>
  <c r="BDG36" i="30"/>
  <c r="BDH36" i="30"/>
  <c r="BDI36" i="30"/>
  <c r="BDJ36" i="30"/>
  <c r="BDK36" i="30"/>
  <c r="BDL36" i="30"/>
  <c r="BDM36" i="30"/>
  <c r="BDN36" i="30"/>
  <c r="BDQ36" i="30"/>
  <c r="BDS36" i="30"/>
  <c r="BDT36" i="30"/>
  <c r="BDU36" i="30"/>
  <c r="BDV36" i="30"/>
  <c r="BDW36" i="30"/>
  <c r="BDX36" i="30"/>
  <c r="BDY36" i="30"/>
  <c r="BDZ36" i="30"/>
  <c r="BEA36" i="30"/>
  <c r="BEB36" i="30"/>
  <c r="BEC36" i="30"/>
  <c r="BED36" i="30"/>
  <c r="BEE36" i="30"/>
  <c r="BEF36" i="30"/>
  <c r="BEG36" i="30"/>
  <c r="BEH36" i="30"/>
  <c r="BEI36" i="30"/>
  <c r="BEJ36" i="30"/>
  <c r="BEK36" i="30"/>
  <c r="BEL36" i="30"/>
  <c r="BEM36" i="30"/>
  <c r="BEN36" i="30"/>
  <c r="BEO36" i="30"/>
  <c r="BEP36" i="30"/>
  <c r="BEQ36" i="30"/>
  <c r="BER36" i="30"/>
  <c r="BES36" i="30"/>
  <c r="BET36" i="30"/>
  <c r="BEW36" i="30"/>
  <c r="BEY36" i="30"/>
  <c r="BEZ36" i="30"/>
  <c r="BFA36" i="30"/>
  <c r="BFB36" i="30"/>
  <c r="BFC36" i="30"/>
  <c r="BFD36" i="30"/>
  <c r="BFE36" i="30"/>
  <c r="BFF36" i="30"/>
  <c r="BFG36" i="30"/>
  <c r="BFH36" i="30"/>
  <c r="BFI36" i="30"/>
  <c r="BFJ36" i="30"/>
  <c r="BFK36" i="30"/>
  <c r="BFL36" i="30"/>
  <c r="BFM36" i="30"/>
  <c r="BFN36" i="30"/>
  <c r="BFO36" i="30"/>
  <c r="BFP36" i="30"/>
  <c r="BFQ36" i="30"/>
  <c r="BFR36" i="30"/>
  <c r="BFS36" i="30"/>
  <c r="BFT36" i="30"/>
  <c r="BFU36" i="30"/>
  <c r="BFV36" i="30"/>
  <c r="BFW36" i="30"/>
  <c r="BFX36" i="30"/>
  <c r="BFY36" i="30"/>
  <c r="BFZ36" i="30"/>
  <c r="BGC36" i="30"/>
  <c r="BGE36" i="30"/>
  <c r="BGF36" i="30"/>
  <c r="BGG36" i="30"/>
  <c r="BGH36" i="30"/>
  <c r="BGI36" i="30"/>
  <c r="BGJ36" i="30"/>
  <c r="BGK36" i="30"/>
  <c r="BGL36" i="30"/>
  <c r="BGM36" i="30"/>
  <c r="BGN36" i="30"/>
  <c r="BGO36" i="30"/>
  <c r="BGP36" i="30"/>
  <c r="BGQ36" i="30"/>
  <c r="BGR36" i="30"/>
  <c r="BGS36" i="30"/>
  <c r="BGT36" i="30"/>
  <c r="BGU36" i="30"/>
  <c r="BGV36" i="30"/>
  <c r="BGW36" i="30"/>
  <c r="BGX36" i="30"/>
  <c r="BGY36" i="30"/>
  <c r="BGZ36" i="30"/>
  <c r="BHA36" i="30"/>
  <c r="BHB36" i="30"/>
  <c r="BHC36" i="30"/>
  <c r="BHD36" i="30"/>
  <c r="BHE36" i="30"/>
  <c r="BHF36" i="30"/>
  <c r="BHI36" i="30"/>
  <c r="BHK36" i="30"/>
  <c r="BHL36" i="30"/>
  <c r="BHM36" i="30"/>
  <c r="BHN36" i="30"/>
  <c r="BHO36" i="30"/>
  <c r="BHP36" i="30"/>
  <c r="BHQ36" i="30"/>
  <c r="BHR36" i="30"/>
  <c r="BHS36" i="30"/>
  <c r="BHT36" i="30"/>
  <c r="BHU36" i="30"/>
  <c r="BHV36" i="30"/>
  <c r="BHW36" i="30"/>
  <c r="BHX36" i="30"/>
  <c r="BHY36" i="30"/>
  <c r="BHZ36" i="30"/>
  <c r="BIA36" i="30"/>
  <c r="BIB36" i="30"/>
  <c r="BIC36" i="30"/>
  <c r="BID36" i="30"/>
  <c r="BIE36" i="30"/>
  <c r="BIF36" i="30"/>
  <c r="BIG36" i="30"/>
  <c r="BIH36" i="30"/>
  <c r="BII36" i="30"/>
  <c r="BIJ36" i="30"/>
  <c r="BIK36" i="30"/>
  <c r="BIL36" i="30"/>
  <c r="BIO36" i="30"/>
  <c r="BIQ36" i="30"/>
  <c r="BIR36" i="30"/>
  <c r="BIS36" i="30"/>
  <c r="BIT36" i="30"/>
  <c r="BIU36" i="30"/>
  <c r="BIV36" i="30"/>
  <c r="BIW36" i="30"/>
  <c r="BIX36" i="30"/>
  <c r="BIY36" i="30"/>
  <c r="BIZ36" i="30"/>
  <c r="BJA36" i="30"/>
  <c r="BJB36" i="30"/>
  <c r="BJC36" i="30"/>
  <c r="BJD36" i="30"/>
  <c r="BJE36" i="30"/>
  <c r="BJF36" i="30"/>
  <c r="BJG36" i="30"/>
  <c r="BJH36" i="30"/>
  <c r="BJI36" i="30"/>
  <c r="BJJ36" i="30"/>
  <c r="BJK36" i="30"/>
  <c r="BJL36" i="30"/>
  <c r="BJM36" i="30"/>
  <c r="BJN36" i="30"/>
  <c r="BJO36" i="30"/>
  <c r="BJP36" i="30"/>
  <c r="BJQ36" i="30"/>
  <c r="BJR36" i="30"/>
  <c r="BJU36" i="30"/>
  <c r="BJW36" i="30"/>
  <c r="BJX36" i="30"/>
  <c r="BJY36" i="30"/>
  <c r="BJZ36" i="30"/>
  <c r="BKA36" i="30"/>
  <c r="BKB36" i="30"/>
  <c r="BKC36" i="30"/>
  <c r="BKD36" i="30"/>
  <c r="BKE36" i="30"/>
  <c r="BKF36" i="30"/>
  <c r="BKG36" i="30"/>
  <c r="BKH36" i="30"/>
  <c r="BKI36" i="30"/>
  <c r="BKJ36" i="30"/>
  <c r="BKK36" i="30"/>
  <c r="BKL36" i="30"/>
  <c r="BKM36" i="30"/>
  <c r="BKN36" i="30"/>
  <c r="BKO36" i="30"/>
  <c r="BKP36" i="30"/>
  <c r="BKQ36" i="30"/>
  <c r="BKR36" i="30"/>
  <c r="BKS36" i="30"/>
  <c r="BKT36" i="30"/>
  <c r="BKU36" i="30"/>
  <c r="BKV36" i="30"/>
  <c r="BKW36" i="30"/>
  <c r="BKX36" i="30"/>
  <c r="BLA36" i="30"/>
  <c r="C39" i="30"/>
  <c r="D39" i="30"/>
  <c r="F39" i="30"/>
  <c r="G39" i="30"/>
  <c r="J39" i="30"/>
  <c r="H39" i="30"/>
  <c r="K39" i="30"/>
  <c r="N39" i="30"/>
  <c r="L39" i="30"/>
  <c r="O39" i="30"/>
  <c r="P39" i="30"/>
  <c r="R39" i="30"/>
  <c r="S39" i="30"/>
  <c r="T39" i="30"/>
  <c r="V39" i="30"/>
  <c r="W39" i="30"/>
  <c r="Z39" i="30"/>
  <c r="X39" i="30"/>
  <c r="AA39" i="30"/>
  <c r="AD39" i="30"/>
  <c r="AB39" i="30"/>
  <c r="AG39" i="30"/>
  <c r="IY39" i="30"/>
  <c r="IZ39" i="30"/>
  <c r="JB39" i="30"/>
  <c r="JC39" i="30"/>
  <c r="JD39" i="30"/>
  <c r="JF39" i="30"/>
  <c r="JG39" i="30"/>
  <c r="JJ39" i="30"/>
  <c r="JH39" i="30"/>
  <c r="JK39" i="30"/>
  <c r="JN39" i="30"/>
  <c r="JL39" i="30"/>
  <c r="JO39" i="30"/>
  <c r="JP39" i="30"/>
  <c r="JR39" i="30"/>
  <c r="JS39" i="30"/>
  <c r="JT39" i="30"/>
  <c r="JV39" i="30"/>
  <c r="JW39" i="30"/>
  <c r="JZ39" i="30"/>
  <c r="JX39" i="30"/>
  <c r="KC39" i="30"/>
  <c r="YY39" i="30"/>
  <c r="ZB39" i="30"/>
  <c r="YZ39" i="30"/>
  <c r="ZC39" i="30"/>
  <c r="ZD39" i="30"/>
  <c r="ZF39" i="30"/>
  <c r="ZG39" i="30"/>
  <c r="ZH39" i="30"/>
  <c r="ZJ39" i="30"/>
  <c r="ZK39" i="30"/>
  <c r="ZN39" i="30"/>
  <c r="ZL39" i="30"/>
  <c r="ZO39" i="30"/>
  <c r="ZR39" i="30"/>
  <c r="ZP39" i="30"/>
  <c r="ZS39" i="30"/>
  <c r="ZT39" i="30"/>
  <c r="ZV39" i="30"/>
  <c r="ZW39" i="30"/>
  <c r="ZX39" i="30"/>
  <c r="ZZ39" i="30"/>
  <c r="AAC39" i="30"/>
  <c r="AOY39" i="30"/>
  <c r="APB39" i="30"/>
  <c r="AOZ39" i="30"/>
  <c r="APC39" i="30"/>
  <c r="APF39" i="30"/>
  <c r="APD39" i="30"/>
  <c r="APG39" i="30"/>
  <c r="APH39" i="30"/>
  <c r="APJ39" i="30"/>
  <c r="APK39" i="30"/>
  <c r="APL39" i="30"/>
  <c r="APN39" i="30"/>
  <c r="APO39" i="30"/>
  <c r="APR39" i="30"/>
  <c r="APP39" i="30"/>
  <c r="APS39" i="30"/>
  <c r="APV39" i="30"/>
  <c r="APT39" i="30"/>
  <c r="APW39" i="30"/>
  <c r="APX39" i="30"/>
  <c r="APZ39" i="30"/>
  <c r="AQC39" i="30"/>
  <c r="BEY39" i="30"/>
  <c r="BEZ39" i="30"/>
  <c r="BFB39" i="30"/>
  <c r="BFC39" i="30"/>
  <c r="BFF39" i="30"/>
  <c r="BFD39" i="30"/>
  <c r="BFG39" i="30"/>
  <c r="BFJ39" i="30"/>
  <c r="BFH39" i="30"/>
  <c r="BFK39" i="30"/>
  <c r="BFL39" i="30"/>
  <c r="BFN39" i="30"/>
  <c r="BFO39" i="30"/>
  <c r="BFP39" i="30"/>
  <c r="BFR39" i="30"/>
  <c r="BFS39" i="30"/>
  <c r="BFV39" i="30"/>
  <c r="BFT39" i="30"/>
  <c r="BFW39" i="30"/>
  <c r="BFZ39" i="30"/>
  <c r="BFX39" i="30"/>
  <c r="BGC39" i="30"/>
  <c r="C40" i="30"/>
  <c r="D40" i="30"/>
  <c r="F40" i="30"/>
  <c r="G40" i="30"/>
  <c r="H40" i="30"/>
  <c r="J40" i="30"/>
  <c r="K40" i="30"/>
  <c r="N40" i="30"/>
  <c r="L40" i="30"/>
  <c r="O40" i="30"/>
  <c r="R40" i="30"/>
  <c r="P40" i="30"/>
  <c r="S40" i="30"/>
  <c r="T40" i="30"/>
  <c r="V40" i="30"/>
  <c r="W40" i="30"/>
  <c r="X40" i="30"/>
  <c r="Z40" i="30"/>
  <c r="AA40" i="30"/>
  <c r="AD40" i="30"/>
  <c r="AB40" i="30"/>
  <c r="AG40" i="30"/>
  <c r="IY40" i="30"/>
  <c r="JB40" i="30"/>
  <c r="IZ40" i="30"/>
  <c r="JC40" i="30"/>
  <c r="JD40" i="30"/>
  <c r="JF40" i="30"/>
  <c r="JG40" i="30"/>
  <c r="JH40" i="30"/>
  <c r="JJ40" i="30"/>
  <c r="JK40" i="30"/>
  <c r="JN40" i="30"/>
  <c r="JL40" i="30"/>
  <c r="JO40" i="30"/>
  <c r="JR40" i="30"/>
  <c r="JP40" i="30"/>
  <c r="JS40" i="30"/>
  <c r="JT40" i="30"/>
  <c r="JV40" i="30"/>
  <c r="JW40" i="30"/>
  <c r="JX40" i="30"/>
  <c r="JZ40" i="30"/>
  <c r="KC40" i="30"/>
  <c r="YY40" i="30"/>
  <c r="ZB40" i="30"/>
  <c r="YZ40" i="30"/>
  <c r="ZC40" i="30"/>
  <c r="ZF40" i="30"/>
  <c r="ZD40" i="30"/>
  <c r="ZG40" i="30"/>
  <c r="ZH40" i="30"/>
  <c r="ZJ40" i="30"/>
  <c r="ZK40" i="30"/>
  <c r="ZL40" i="30"/>
  <c r="ZN40" i="30"/>
  <c r="ZO40" i="30"/>
  <c r="ZR40" i="30"/>
  <c r="ZP40" i="30"/>
  <c r="ZS40" i="30"/>
  <c r="ZV40" i="30"/>
  <c r="ZT40" i="30"/>
  <c r="ZW40" i="30"/>
  <c r="ZX40" i="30"/>
  <c r="ZZ40" i="30"/>
  <c r="AAC40" i="30"/>
  <c r="AOY40" i="30"/>
  <c r="AOZ40" i="30"/>
  <c r="APB40" i="30"/>
  <c r="APC40" i="30"/>
  <c r="APF40" i="30"/>
  <c r="APD40" i="30"/>
  <c r="APG40" i="30"/>
  <c r="APJ40" i="30"/>
  <c r="APH40" i="30"/>
  <c r="APK40" i="30"/>
  <c r="APL40" i="30"/>
  <c r="APN40" i="30"/>
  <c r="APO40" i="30"/>
  <c r="APP40" i="30"/>
  <c r="APR40" i="30"/>
  <c r="APS40" i="30"/>
  <c r="APV40" i="30"/>
  <c r="APT40" i="30"/>
  <c r="APW40" i="30"/>
  <c r="APZ40" i="30"/>
  <c r="APX40" i="30"/>
  <c r="AQC40" i="30"/>
  <c r="BEY40" i="30"/>
  <c r="BEZ40" i="30"/>
  <c r="BFB40" i="30"/>
  <c r="BFC40" i="30"/>
  <c r="BFD40" i="30"/>
  <c r="BFF40" i="30"/>
  <c r="BFG40" i="30"/>
  <c r="BFJ40" i="30"/>
  <c r="BFH40" i="30"/>
  <c r="BFK40" i="30"/>
  <c r="BFN40" i="30"/>
  <c r="BFL40" i="30"/>
  <c r="BFO40" i="30"/>
  <c r="BFP40" i="30"/>
  <c r="BFR40" i="30"/>
  <c r="BFS40" i="30"/>
  <c r="BFT40" i="30"/>
  <c r="BFV40" i="30"/>
  <c r="BFW40" i="30"/>
  <c r="BFZ40" i="30"/>
  <c r="BFX40" i="30"/>
  <c r="BGC40" i="30"/>
  <c r="C41" i="30"/>
  <c r="C42" i="30"/>
  <c r="D41" i="30"/>
  <c r="G41" i="30"/>
  <c r="H41" i="30"/>
  <c r="H42" i="30"/>
  <c r="J41" i="30"/>
  <c r="K41" i="30"/>
  <c r="L41" i="30"/>
  <c r="N41" i="30"/>
  <c r="O41" i="30"/>
  <c r="R41" i="30"/>
  <c r="P41" i="30"/>
  <c r="S41" i="30"/>
  <c r="S42" i="30"/>
  <c r="T41" i="30"/>
  <c r="W41" i="30"/>
  <c r="X41" i="30"/>
  <c r="X42" i="30"/>
  <c r="Z41" i="30"/>
  <c r="AA41" i="30"/>
  <c r="AB41" i="30"/>
  <c r="AD41" i="30"/>
  <c r="AG41" i="30"/>
  <c r="IY41" i="30"/>
  <c r="JB41" i="30"/>
  <c r="IZ41" i="30"/>
  <c r="JC41" i="30"/>
  <c r="JC42" i="30"/>
  <c r="JD41" i="30"/>
  <c r="JG41" i="30"/>
  <c r="JH41" i="30"/>
  <c r="JH42" i="30"/>
  <c r="JJ41" i="30"/>
  <c r="JK41" i="30"/>
  <c r="JL41" i="30"/>
  <c r="JN41" i="30"/>
  <c r="JO41" i="30"/>
  <c r="JR41" i="30"/>
  <c r="JP41" i="30"/>
  <c r="JS41" i="30"/>
  <c r="JS42" i="30"/>
  <c r="JT41" i="30"/>
  <c r="JW41" i="30"/>
  <c r="JX41" i="30"/>
  <c r="JX42" i="30"/>
  <c r="JZ41" i="30"/>
  <c r="KC41" i="30"/>
  <c r="YY41" i="30"/>
  <c r="YZ41" i="30"/>
  <c r="ZB41" i="30"/>
  <c r="ZC41" i="30"/>
  <c r="ZF41" i="30"/>
  <c r="ZD41" i="30"/>
  <c r="ZG41" i="30"/>
  <c r="ZG42" i="30"/>
  <c r="ZH41" i="30"/>
  <c r="ZK41" i="30"/>
  <c r="ZL41" i="30"/>
  <c r="ZL42" i="30"/>
  <c r="ZN41" i="30"/>
  <c r="ZO41" i="30"/>
  <c r="ZP41" i="30"/>
  <c r="ZR41" i="30"/>
  <c r="ZS41" i="30"/>
  <c r="ZV41" i="30"/>
  <c r="ZT41" i="30"/>
  <c r="ZW41" i="30"/>
  <c r="ZW42" i="30"/>
  <c r="ZX41" i="30"/>
  <c r="AAC41" i="30"/>
  <c r="AOY41" i="30"/>
  <c r="AOZ41" i="30"/>
  <c r="AOZ42" i="30"/>
  <c r="APB41" i="30"/>
  <c r="APC41" i="30"/>
  <c r="APD41" i="30"/>
  <c r="APF41" i="30"/>
  <c r="APG41" i="30"/>
  <c r="APJ41" i="30"/>
  <c r="APH41" i="30"/>
  <c r="APK41" i="30"/>
  <c r="APK42" i="30"/>
  <c r="APL41" i="30"/>
  <c r="APO41" i="30"/>
  <c r="APP41" i="30"/>
  <c r="APP42" i="30"/>
  <c r="APR41" i="30"/>
  <c r="APS41" i="30"/>
  <c r="APT41" i="30"/>
  <c r="APV41" i="30"/>
  <c r="APW41" i="30"/>
  <c r="APZ41" i="30"/>
  <c r="APX41" i="30"/>
  <c r="AQC41" i="30"/>
  <c r="BEY41" i="30"/>
  <c r="BEY42" i="30"/>
  <c r="BEZ41" i="30"/>
  <c r="BFC41" i="30"/>
  <c r="BFD41" i="30"/>
  <c r="BFD42" i="30"/>
  <c r="BFF41" i="30"/>
  <c r="BFG41" i="30"/>
  <c r="BFH41" i="30"/>
  <c r="BFJ41" i="30"/>
  <c r="BFK41" i="30"/>
  <c r="BFN41" i="30"/>
  <c r="BFL41" i="30"/>
  <c r="BFO41" i="30"/>
  <c r="BFO42" i="30"/>
  <c r="BFP41" i="30"/>
  <c r="BFS41" i="30"/>
  <c r="BFT41" i="30"/>
  <c r="BFT42" i="30"/>
  <c r="BFV41" i="30"/>
  <c r="BFW41" i="30"/>
  <c r="BFX41" i="30"/>
  <c r="BFZ41" i="30"/>
  <c r="BGC41" i="30"/>
  <c r="G42" i="30"/>
  <c r="J42" i="30"/>
  <c r="L42" i="30"/>
  <c r="W42" i="30"/>
  <c r="Z42" i="30"/>
  <c r="AB42" i="30"/>
  <c r="AG42" i="30"/>
  <c r="JG42" i="30"/>
  <c r="JJ42" i="30"/>
  <c r="JL42" i="30"/>
  <c r="JW42" i="30"/>
  <c r="JZ42" i="30"/>
  <c r="YZ42" i="30"/>
  <c r="ZK42" i="30"/>
  <c r="ZN42" i="30"/>
  <c r="ZP42" i="30"/>
  <c r="AOY42" i="30"/>
  <c r="APB42" i="30"/>
  <c r="APD42" i="30"/>
  <c r="APO42" i="30"/>
  <c r="APR42" i="30"/>
  <c r="APT42" i="30"/>
  <c r="BFC42" i="30"/>
  <c r="BFF42" i="30"/>
  <c r="BFH42" i="30"/>
  <c r="BFS42" i="30"/>
  <c r="BFV42" i="30"/>
  <c r="BFX42" i="30"/>
  <c r="BGC42" i="30"/>
  <c r="C44" i="30"/>
  <c r="D44" i="30"/>
  <c r="F44" i="30"/>
  <c r="G44" i="30"/>
  <c r="J44" i="30"/>
  <c r="H44" i="30"/>
  <c r="K44" i="30"/>
  <c r="N44" i="30"/>
  <c r="L44" i="30"/>
  <c r="O44" i="30"/>
  <c r="P44" i="30"/>
  <c r="R44" i="30"/>
  <c r="S44" i="30"/>
  <c r="T44" i="30"/>
  <c r="V44" i="30"/>
  <c r="W44" i="30"/>
  <c r="Z44" i="30"/>
  <c r="X44" i="30"/>
  <c r="AA44" i="30"/>
  <c r="AD44" i="30"/>
  <c r="AB44" i="30"/>
  <c r="AG44" i="30"/>
  <c r="IY44" i="30"/>
  <c r="IZ44" i="30"/>
  <c r="JB44" i="30"/>
  <c r="JC44" i="30"/>
  <c r="JD44" i="30"/>
  <c r="JF44" i="30"/>
  <c r="JG44" i="30"/>
  <c r="JJ44" i="30"/>
  <c r="JH44" i="30"/>
  <c r="JK44" i="30"/>
  <c r="JN44" i="30"/>
  <c r="JL44" i="30"/>
  <c r="JO44" i="30"/>
  <c r="JP44" i="30"/>
  <c r="JR44" i="30"/>
  <c r="JS44" i="30"/>
  <c r="JT44" i="30"/>
  <c r="JV44" i="30"/>
  <c r="JW44" i="30"/>
  <c r="JZ44" i="30"/>
  <c r="JX44" i="30"/>
  <c r="KC44" i="30"/>
  <c r="YY44" i="30"/>
  <c r="ZB44" i="30"/>
  <c r="YZ44" i="30"/>
  <c r="ZC44" i="30"/>
  <c r="ZD44" i="30"/>
  <c r="ZF44" i="30"/>
  <c r="ZG44" i="30"/>
  <c r="ZH44" i="30"/>
  <c r="ZJ44" i="30"/>
  <c r="ZK44" i="30"/>
  <c r="ZN44" i="30"/>
  <c r="ZL44" i="30"/>
  <c r="ZO44" i="30"/>
  <c r="ZR44" i="30"/>
  <c r="ZP44" i="30"/>
  <c r="ZS44" i="30"/>
  <c r="ZT44" i="30"/>
  <c r="ZV44" i="30"/>
  <c r="ZW44" i="30"/>
  <c r="ZX44" i="30"/>
  <c r="ZZ44" i="30"/>
  <c r="AAC44" i="30"/>
  <c r="AOY44" i="30"/>
  <c r="APB44" i="30"/>
  <c r="AOZ44" i="30"/>
  <c r="APC44" i="30"/>
  <c r="APF44" i="30"/>
  <c r="APD44" i="30"/>
  <c r="APG44" i="30"/>
  <c r="APH44" i="30"/>
  <c r="APJ44" i="30"/>
  <c r="APK44" i="30"/>
  <c r="APL44" i="30"/>
  <c r="APN44" i="30"/>
  <c r="APO44" i="30"/>
  <c r="APR44" i="30"/>
  <c r="APP44" i="30"/>
  <c r="APS44" i="30"/>
  <c r="APV44" i="30"/>
  <c r="APT44" i="30"/>
  <c r="APW44" i="30"/>
  <c r="APX44" i="30"/>
  <c r="APZ44" i="30"/>
  <c r="AQC44" i="30"/>
  <c r="BEY44" i="30"/>
  <c r="BEZ44" i="30"/>
  <c r="BFB44" i="30"/>
  <c r="BFC44" i="30"/>
  <c r="BFF44" i="30"/>
  <c r="BFD44" i="30"/>
  <c r="BFG44" i="30"/>
  <c r="BFJ44" i="30"/>
  <c r="BFH44" i="30"/>
  <c r="BFK44" i="30"/>
  <c r="BFL44" i="30"/>
  <c r="BFN44" i="30"/>
  <c r="BFO44" i="30"/>
  <c r="BFP44" i="30"/>
  <c r="BFR44" i="30"/>
  <c r="BFS44" i="30"/>
  <c r="BFV44" i="30"/>
  <c r="BFT44" i="30"/>
  <c r="BFW44" i="30"/>
  <c r="BFZ44" i="30"/>
  <c r="BFX44" i="30"/>
  <c r="BGC44" i="30"/>
  <c r="C45" i="30"/>
  <c r="D45" i="30"/>
  <c r="D46" i="30"/>
  <c r="F45" i="30"/>
  <c r="G45" i="30"/>
  <c r="H45" i="30"/>
  <c r="J45" i="30"/>
  <c r="K45" i="30"/>
  <c r="N45" i="30"/>
  <c r="L45" i="30"/>
  <c r="O45" i="30"/>
  <c r="O46" i="30"/>
  <c r="R46" i="30"/>
  <c r="P45" i="30"/>
  <c r="S45" i="30"/>
  <c r="T45" i="30"/>
  <c r="T46" i="30"/>
  <c r="V45" i="30"/>
  <c r="W45" i="30"/>
  <c r="X45" i="30"/>
  <c r="Z45" i="30"/>
  <c r="AA45" i="30"/>
  <c r="AD45" i="30"/>
  <c r="AB45" i="30"/>
  <c r="AG45" i="30"/>
  <c r="IY45" i="30"/>
  <c r="IY46" i="30"/>
  <c r="JB46" i="30"/>
  <c r="IZ45" i="30"/>
  <c r="JC45" i="30"/>
  <c r="JD45" i="30"/>
  <c r="JD46" i="30"/>
  <c r="JF45" i="30"/>
  <c r="JG45" i="30"/>
  <c r="JH45" i="30"/>
  <c r="JJ45" i="30"/>
  <c r="JK45" i="30"/>
  <c r="JN45" i="30"/>
  <c r="JL45" i="30"/>
  <c r="JO45" i="30"/>
  <c r="JO46" i="30"/>
  <c r="JR46" i="30"/>
  <c r="JP45" i="30"/>
  <c r="JS45" i="30"/>
  <c r="JT45" i="30"/>
  <c r="JT46" i="30"/>
  <c r="JV45" i="30"/>
  <c r="JW45" i="30"/>
  <c r="JX45" i="30"/>
  <c r="JZ45" i="30"/>
  <c r="KC45" i="30"/>
  <c r="YY45" i="30"/>
  <c r="ZB45" i="30"/>
  <c r="YZ45" i="30"/>
  <c r="ZC45" i="30"/>
  <c r="ZC46" i="30"/>
  <c r="ZF46" i="30"/>
  <c r="ZD45" i="30"/>
  <c r="ZG45" i="30"/>
  <c r="ZH45" i="30"/>
  <c r="ZH46" i="30"/>
  <c r="ZJ45" i="30"/>
  <c r="ZK45" i="30"/>
  <c r="ZL45" i="30"/>
  <c r="ZN45" i="30"/>
  <c r="ZO45" i="30"/>
  <c r="ZR45" i="30"/>
  <c r="ZP45" i="30"/>
  <c r="ZS45" i="30"/>
  <c r="ZS46" i="30"/>
  <c r="ZV46" i="30"/>
  <c r="ZT45" i="30"/>
  <c r="ZW45" i="30"/>
  <c r="ZX45" i="30"/>
  <c r="ZX46" i="30"/>
  <c r="ZZ45" i="30"/>
  <c r="AAC45" i="30"/>
  <c r="AOY45" i="30"/>
  <c r="AOZ45" i="30"/>
  <c r="APB45" i="30"/>
  <c r="APC45" i="30"/>
  <c r="APF45" i="30"/>
  <c r="APD45" i="30"/>
  <c r="APG45" i="30"/>
  <c r="APG46" i="30"/>
  <c r="APJ46" i="30"/>
  <c r="APH45" i="30"/>
  <c r="APK45" i="30"/>
  <c r="APL45" i="30"/>
  <c r="APL46" i="30"/>
  <c r="APN45" i="30"/>
  <c r="APO45" i="30"/>
  <c r="APP45" i="30"/>
  <c r="APR45" i="30"/>
  <c r="APS45" i="30"/>
  <c r="APV45" i="30"/>
  <c r="APT45" i="30"/>
  <c r="APW45" i="30"/>
  <c r="APW46" i="30"/>
  <c r="APZ46" i="30"/>
  <c r="APX45" i="30"/>
  <c r="AQC45" i="30"/>
  <c r="BEY45" i="30"/>
  <c r="BEZ45" i="30"/>
  <c r="BEZ46" i="30"/>
  <c r="BFB45" i="30"/>
  <c r="BFC45" i="30"/>
  <c r="BFD45" i="30"/>
  <c r="BFF45" i="30"/>
  <c r="BFG45" i="30"/>
  <c r="BFJ45" i="30"/>
  <c r="BFH45" i="30"/>
  <c r="BFK45" i="30"/>
  <c r="BFK46" i="30"/>
  <c r="BFN46" i="30"/>
  <c r="BFL45" i="30"/>
  <c r="BFO45" i="30"/>
  <c r="BFP45" i="30"/>
  <c r="BFP46" i="30"/>
  <c r="BFR45" i="30"/>
  <c r="BFS45" i="30"/>
  <c r="BFT45" i="30"/>
  <c r="BFV45" i="30"/>
  <c r="BFW45" i="30"/>
  <c r="BFZ45" i="30"/>
  <c r="BFX45" i="30"/>
  <c r="BGC45" i="30"/>
  <c r="C46" i="30"/>
  <c r="F46" i="30"/>
  <c r="H46" i="30"/>
  <c r="S46" i="30"/>
  <c r="V46" i="30"/>
  <c r="X46" i="30"/>
  <c r="JC46" i="30"/>
  <c r="JF46" i="30"/>
  <c r="JH46" i="30"/>
  <c r="JS46" i="30"/>
  <c r="JV46" i="30"/>
  <c r="JX46" i="30"/>
  <c r="KC46" i="30"/>
  <c r="ZG46" i="30"/>
  <c r="ZJ46" i="30"/>
  <c r="ZL46" i="30"/>
  <c r="ZW46" i="30"/>
  <c r="ZZ46" i="30"/>
  <c r="AOZ46" i="30"/>
  <c r="APK46" i="30"/>
  <c r="APN46" i="30"/>
  <c r="APP46" i="30"/>
  <c r="BEY46" i="30"/>
  <c r="BFB46" i="30"/>
  <c r="BFD46" i="30"/>
  <c r="BFO46" i="30"/>
  <c r="BFR46" i="30"/>
  <c r="BFT46" i="30"/>
  <c r="D6" i="29"/>
  <c r="G6" i="29"/>
  <c r="I6" i="29"/>
  <c r="L6" i="29"/>
  <c r="N6" i="29"/>
  <c r="Q6" i="29"/>
  <c r="S6" i="29"/>
  <c r="V6" i="29"/>
  <c r="W6" i="29"/>
  <c r="Y6" i="29"/>
  <c r="AB6" i="29"/>
  <c r="AE6" i="29"/>
  <c r="AG6" i="29"/>
  <c r="AJ6" i="29"/>
  <c r="AL6" i="29"/>
  <c r="AO6" i="29"/>
  <c r="AQ6" i="29"/>
  <c r="AT6" i="29"/>
  <c r="AU6" i="29"/>
  <c r="AW6" i="29"/>
  <c r="AZ6" i="29"/>
  <c r="BC6" i="29"/>
  <c r="BE6" i="29"/>
  <c r="BH6" i="29"/>
  <c r="BJ6" i="29"/>
  <c r="BM6" i="29"/>
  <c r="BO6" i="29"/>
  <c r="BR6" i="29"/>
  <c r="BT6" i="29"/>
  <c r="BW6" i="29"/>
  <c r="BZ6" i="29"/>
  <c r="CC6" i="29"/>
  <c r="CF6" i="29"/>
  <c r="CH6" i="29"/>
  <c r="CK6" i="29"/>
  <c r="CM6" i="29"/>
  <c r="CP6" i="29"/>
  <c r="CR6" i="29"/>
  <c r="CU6" i="29"/>
  <c r="CV6" i="29"/>
  <c r="CX6" i="29"/>
  <c r="CY6" i="29"/>
  <c r="DA6" i="29"/>
  <c r="DD6" i="29"/>
  <c r="DF6" i="29"/>
  <c r="DI6" i="29"/>
  <c r="DK6" i="29"/>
  <c r="DN6" i="29"/>
  <c r="DP6" i="29"/>
  <c r="DS6" i="29"/>
  <c r="DT6" i="29"/>
  <c r="DV6" i="29"/>
  <c r="DY6" i="29"/>
  <c r="EY6" i="29"/>
  <c r="EZ6" i="29"/>
  <c r="EB6" i="29"/>
  <c r="ED6" i="29"/>
  <c r="EG6" i="29"/>
  <c r="EI6" i="29"/>
  <c r="EL6" i="29"/>
  <c r="EN6" i="29"/>
  <c r="EQ6" i="29"/>
  <c r="ES6" i="29"/>
  <c r="EW6" i="29"/>
  <c r="EV6" i="29"/>
  <c r="FB6" i="29"/>
  <c r="FE6" i="29"/>
  <c r="FG6" i="29"/>
  <c r="FJ6" i="29"/>
  <c r="FL6" i="29"/>
  <c r="FO6" i="29"/>
  <c r="FQ6" i="29"/>
  <c r="FT6" i="29"/>
  <c r="FU6" i="29"/>
  <c r="U6" i="24"/>
  <c r="FW6" i="29"/>
  <c r="FX6" i="29"/>
  <c r="FZ6" i="29"/>
  <c r="GC6" i="29"/>
  <c r="GE6" i="29"/>
  <c r="GH6" i="29"/>
  <c r="GJ6" i="29"/>
  <c r="GM6" i="29"/>
  <c r="GO6" i="29"/>
  <c r="GS6" i="29"/>
  <c r="V6" i="24"/>
  <c r="GR6" i="29"/>
  <c r="GU6" i="29"/>
  <c r="GV6" i="29"/>
  <c r="GX6" i="29"/>
  <c r="HA6" i="29"/>
  <c r="HC6" i="29"/>
  <c r="HF6" i="29"/>
  <c r="HH6" i="29"/>
  <c r="HK6" i="29"/>
  <c r="HM6" i="29"/>
  <c r="HP6" i="29"/>
  <c r="HR6" i="29"/>
  <c r="HU6" i="29"/>
  <c r="HV6" i="29"/>
  <c r="W6" i="24"/>
  <c r="HX6" i="29"/>
  <c r="HY6" i="29"/>
  <c r="IA6" i="29"/>
  <c r="ID6" i="29"/>
  <c r="IF6" i="29"/>
  <c r="II6" i="29"/>
  <c r="IK6" i="29"/>
  <c r="IN6" i="29"/>
  <c r="IP6" i="29"/>
  <c r="IT6" i="29"/>
  <c r="X6" i="24"/>
  <c r="IS6" i="29"/>
  <c r="IV6" i="29"/>
  <c r="IW6" i="29"/>
  <c r="IY6" i="29"/>
  <c r="JB6" i="29"/>
  <c r="JD6" i="29"/>
  <c r="JG6" i="29"/>
  <c r="JI6" i="29"/>
  <c r="JL6" i="29"/>
  <c r="JN6" i="29"/>
  <c r="JR6" i="29"/>
  <c r="Y6" i="24"/>
  <c r="JQ6" i="29"/>
  <c r="JT6" i="29"/>
  <c r="JU6" i="29"/>
  <c r="JW6" i="29"/>
  <c r="JZ6" i="29"/>
  <c r="KB6" i="29"/>
  <c r="KE6" i="29"/>
  <c r="KG6" i="29"/>
  <c r="KJ6" i="29"/>
  <c r="KL6" i="29"/>
  <c r="KO6" i="29"/>
  <c r="KQ6" i="29"/>
  <c r="KU6" i="29"/>
  <c r="Z6" i="24"/>
  <c r="KT6" i="29"/>
  <c r="KW6" i="29"/>
  <c r="KX6" i="29"/>
  <c r="KY6" i="29"/>
  <c r="D7" i="29"/>
  <c r="G7" i="29"/>
  <c r="I7" i="29"/>
  <c r="L7" i="29"/>
  <c r="N7" i="29"/>
  <c r="Q7" i="29"/>
  <c r="S7" i="29"/>
  <c r="V7" i="29"/>
  <c r="Y7" i="29"/>
  <c r="Z7" i="29"/>
  <c r="AB7" i="29"/>
  <c r="AE7" i="29"/>
  <c r="AG7" i="29"/>
  <c r="AJ7" i="29"/>
  <c r="AL7" i="29"/>
  <c r="AO7" i="29"/>
  <c r="AQ7" i="29"/>
  <c r="AT7" i="29"/>
  <c r="AU7" i="29"/>
  <c r="AW7" i="29"/>
  <c r="AX7" i="29"/>
  <c r="AZ7" i="29"/>
  <c r="BC7" i="29"/>
  <c r="BE7" i="29"/>
  <c r="BH7" i="29"/>
  <c r="BJ7" i="29"/>
  <c r="BM7" i="29"/>
  <c r="BO7" i="29"/>
  <c r="BR7" i="29"/>
  <c r="BT7" i="29"/>
  <c r="BW7" i="29"/>
  <c r="BZ7" i="29"/>
  <c r="CA7" i="29"/>
  <c r="CC7" i="29"/>
  <c r="CF7" i="29"/>
  <c r="CH7" i="29"/>
  <c r="CK7" i="29"/>
  <c r="CM7" i="29"/>
  <c r="CP7" i="29"/>
  <c r="CR7" i="29"/>
  <c r="CU7" i="29"/>
  <c r="CV7" i="29"/>
  <c r="CX7" i="29"/>
  <c r="CY7" i="29"/>
  <c r="DA7" i="29"/>
  <c r="DD7" i="29"/>
  <c r="DF7" i="29"/>
  <c r="DI7" i="29"/>
  <c r="DK7" i="29"/>
  <c r="DN7" i="29"/>
  <c r="DP7" i="29"/>
  <c r="DS7" i="29"/>
  <c r="DT7" i="29"/>
  <c r="DV7" i="29"/>
  <c r="DW7" i="29"/>
  <c r="DY7" i="29"/>
  <c r="EY7" i="29"/>
  <c r="EZ7" i="29"/>
  <c r="EB7" i="29"/>
  <c r="ED7" i="29"/>
  <c r="EG7" i="29"/>
  <c r="EI7" i="29"/>
  <c r="EL7" i="29"/>
  <c r="EN7" i="29"/>
  <c r="EQ7" i="29"/>
  <c r="ES7" i="29"/>
  <c r="EW7" i="29"/>
  <c r="EV7" i="29"/>
  <c r="FB7" i="29"/>
  <c r="FE7" i="29"/>
  <c r="FG7" i="29"/>
  <c r="FJ7" i="29"/>
  <c r="FL7" i="29"/>
  <c r="FO7" i="29"/>
  <c r="FQ7" i="29"/>
  <c r="FT7" i="29"/>
  <c r="FU7" i="29"/>
  <c r="U7" i="24"/>
  <c r="FW7" i="29"/>
  <c r="FX7" i="29"/>
  <c r="FZ7" i="29"/>
  <c r="GC7" i="29"/>
  <c r="GE7" i="29"/>
  <c r="GH7" i="29"/>
  <c r="GJ7" i="29"/>
  <c r="GM7" i="29"/>
  <c r="GO7" i="29"/>
  <c r="GS7" i="29"/>
  <c r="V7" i="24"/>
  <c r="GR7" i="29"/>
  <c r="GU7" i="29"/>
  <c r="GV7" i="29"/>
  <c r="GX7" i="29"/>
  <c r="HA7" i="29"/>
  <c r="HC7" i="29"/>
  <c r="HF7" i="29"/>
  <c r="HH7" i="29"/>
  <c r="HK7" i="29"/>
  <c r="HM7" i="29"/>
  <c r="HP7" i="29"/>
  <c r="HR7" i="29"/>
  <c r="HU7" i="29"/>
  <c r="HV7" i="29"/>
  <c r="W7" i="24"/>
  <c r="HX7" i="29"/>
  <c r="HY7" i="29"/>
  <c r="IA7" i="29"/>
  <c r="ID7" i="29"/>
  <c r="IF7" i="29"/>
  <c r="II7" i="29"/>
  <c r="IK7" i="29"/>
  <c r="IN7" i="29"/>
  <c r="IP7" i="29"/>
  <c r="IT7" i="29"/>
  <c r="X7" i="24"/>
  <c r="IS7" i="29"/>
  <c r="IV7" i="29"/>
  <c r="IW7" i="29"/>
  <c r="IY7" i="29"/>
  <c r="JB7" i="29"/>
  <c r="JD7" i="29"/>
  <c r="JG7" i="29"/>
  <c r="JI7" i="29"/>
  <c r="JL7" i="29"/>
  <c r="JN7" i="29"/>
  <c r="JR7" i="29"/>
  <c r="Y7" i="24"/>
  <c r="JQ7" i="29"/>
  <c r="JT7" i="29"/>
  <c r="JU7" i="29"/>
  <c r="JW7" i="29"/>
  <c r="JZ7" i="29"/>
  <c r="KB7" i="29"/>
  <c r="KE7" i="29"/>
  <c r="KG7" i="29"/>
  <c r="KJ7" i="29"/>
  <c r="KL7" i="29"/>
  <c r="KO7" i="29"/>
  <c r="KQ7" i="29"/>
  <c r="KU7" i="29"/>
  <c r="Z7" i="24"/>
  <c r="KT7" i="29"/>
  <c r="KW7" i="29"/>
  <c r="KX7" i="29"/>
  <c r="KY7" i="29"/>
  <c r="D8" i="29"/>
  <c r="G8" i="29"/>
  <c r="I8" i="29"/>
  <c r="L8" i="29"/>
  <c r="N8" i="29"/>
  <c r="Q8" i="29"/>
  <c r="S8" i="29"/>
  <c r="V8" i="29"/>
  <c r="Y8" i="29"/>
  <c r="Z8" i="29"/>
  <c r="AB8" i="29"/>
  <c r="AE8" i="29"/>
  <c r="AG8" i="29"/>
  <c r="AJ8" i="29"/>
  <c r="AL8" i="29"/>
  <c r="AO8" i="29"/>
  <c r="AQ8" i="29"/>
  <c r="AT8" i="29"/>
  <c r="AU8" i="29"/>
  <c r="AW8" i="29"/>
  <c r="AX8" i="29"/>
  <c r="AZ8" i="29"/>
  <c r="BC8" i="29"/>
  <c r="BE8" i="29"/>
  <c r="BH8" i="29"/>
  <c r="BJ8" i="29"/>
  <c r="BM8" i="29"/>
  <c r="BO8" i="29"/>
  <c r="BR8" i="29"/>
  <c r="BT8" i="29"/>
  <c r="BW8" i="29"/>
  <c r="BZ8" i="29"/>
  <c r="CA8" i="29"/>
  <c r="CC8" i="29"/>
  <c r="CF8" i="29"/>
  <c r="CH8" i="29"/>
  <c r="CK8" i="29"/>
  <c r="CM8" i="29"/>
  <c r="CP8" i="29"/>
  <c r="CR8" i="29"/>
  <c r="CU8" i="29"/>
  <c r="CV8" i="29"/>
  <c r="CX8" i="29"/>
  <c r="CY8" i="29"/>
  <c r="DA8" i="29"/>
  <c r="DD8" i="29"/>
  <c r="DF8" i="29"/>
  <c r="DI8" i="29"/>
  <c r="DK8" i="29"/>
  <c r="DN8" i="29"/>
  <c r="DP8" i="29"/>
  <c r="DS8" i="29"/>
  <c r="DT8" i="29"/>
  <c r="DV8" i="29"/>
  <c r="DW8" i="29"/>
  <c r="DY8" i="29"/>
  <c r="EB8" i="29"/>
  <c r="ED8" i="29"/>
  <c r="EG8" i="29"/>
  <c r="EI8" i="29"/>
  <c r="EL8" i="29"/>
  <c r="EN8" i="29"/>
  <c r="EQ8" i="29"/>
  <c r="ES8" i="29"/>
  <c r="EW8" i="29"/>
  <c r="EV8" i="29"/>
  <c r="FB8" i="29"/>
  <c r="FE8" i="29"/>
  <c r="FG8" i="29"/>
  <c r="FJ8" i="29"/>
  <c r="FL8" i="29"/>
  <c r="FO8" i="29"/>
  <c r="FQ8" i="29"/>
  <c r="FT8" i="29"/>
  <c r="FU8" i="29"/>
  <c r="U8" i="24"/>
  <c r="FW8" i="29"/>
  <c r="FX8" i="29"/>
  <c r="FZ8" i="29"/>
  <c r="GC8" i="29"/>
  <c r="GE8" i="29"/>
  <c r="GH8" i="29"/>
  <c r="GJ8" i="29"/>
  <c r="GM8" i="29"/>
  <c r="GO8" i="29"/>
  <c r="GS8" i="29"/>
  <c r="V8" i="24"/>
  <c r="GR8" i="29"/>
  <c r="GU8" i="29"/>
  <c r="GV8" i="29"/>
  <c r="GX8" i="29"/>
  <c r="HA8" i="29"/>
  <c r="HC8" i="29"/>
  <c r="HF8" i="29"/>
  <c r="HH8" i="29"/>
  <c r="HK8" i="29"/>
  <c r="HM8" i="29"/>
  <c r="HP8" i="29"/>
  <c r="HR8" i="29"/>
  <c r="HU8" i="29"/>
  <c r="HV8" i="29"/>
  <c r="W8" i="24"/>
  <c r="HX8" i="29"/>
  <c r="HY8" i="29"/>
  <c r="IA8" i="29"/>
  <c r="ID8" i="29"/>
  <c r="IF8" i="29"/>
  <c r="II8" i="29"/>
  <c r="IK8" i="29"/>
  <c r="IN8" i="29"/>
  <c r="IP8" i="29"/>
  <c r="IT8" i="29"/>
  <c r="X8" i="24"/>
  <c r="IS8" i="29"/>
  <c r="IV8" i="29"/>
  <c r="IW8" i="29"/>
  <c r="IY8" i="29"/>
  <c r="JB8" i="29"/>
  <c r="JD8" i="29"/>
  <c r="JG8" i="29"/>
  <c r="JI8" i="29"/>
  <c r="JL8" i="29"/>
  <c r="JN8" i="29"/>
  <c r="JR8" i="29"/>
  <c r="Y8" i="24"/>
  <c r="JQ8" i="29"/>
  <c r="JT8" i="29"/>
  <c r="JU8" i="29"/>
  <c r="JW8" i="29"/>
  <c r="JZ8" i="29"/>
  <c r="KB8" i="29"/>
  <c r="KE8" i="29"/>
  <c r="KG8" i="29"/>
  <c r="KJ8" i="29"/>
  <c r="KL8" i="29"/>
  <c r="KO8" i="29"/>
  <c r="KQ8" i="29"/>
  <c r="KU8" i="29"/>
  <c r="Z8" i="24"/>
  <c r="KT8" i="29"/>
  <c r="KW8" i="29"/>
  <c r="KX8" i="29"/>
  <c r="KY8" i="29"/>
  <c r="D9" i="29"/>
  <c r="G9" i="29"/>
  <c r="I9" i="29"/>
  <c r="L9" i="29"/>
  <c r="N9" i="29"/>
  <c r="Q9" i="29"/>
  <c r="S9" i="29"/>
  <c r="V9" i="29"/>
  <c r="Y9" i="29"/>
  <c r="Z9" i="29"/>
  <c r="AB9" i="29"/>
  <c r="AE9" i="29"/>
  <c r="AG9" i="29"/>
  <c r="AJ9" i="29"/>
  <c r="AL9" i="29"/>
  <c r="AO9" i="29"/>
  <c r="AQ9" i="29"/>
  <c r="AT9" i="29"/>
  <c r="AU9" i="29"/>
  <c r="AW9" i="29"/>
  <c r="AX9" i="29"/>
  <c r="AZ9" i="29"/>
  <c r="BC9" i="29"/>
  <c r="BE9" i="29"/>
  <c r="BH9" i="29"/>
  <c r="BJ9" i="29"/>
  <c r="BM9" i="29"/>
  <c r="BO9" i="29"/>
  <c r="BR9" i="29"/>
  <c r="BT9" i="29"/>
  <c r="BW9" i="29"/>
  <c r="BZ9" i="29"/>
  <c r="CA9" i="29"/>
  <c r="CC9" i="29"/>
  <c r="CF9" i="29"/>
  <c r="CH9" i="29"/>
  <c r="CK9" i="29"/>
  <c r="CM9" i="29"/>
  <c r="CP9" i="29"/>
  <c r="CR9" i="29"/>
  <c r="CU9" i="29"/>
  <c r="CV9" i="29"/>
  <c r="CX9" i="29"/>
  <c r="CY9" i="29"/>
  <c r="DA9" i="29"/>
  <c r="DD9" i="29"/>
  <c r="DF9" i="29"/>
  <c r="DI9" i="29"/>
  <c r="DK9" i="29"/>
  <c r="DN9" i="29"/>
  <c r="DP9" i="29"/>
  <c r="DS9" i="29"/>
  <c r="DT9" i="29"/>
  <c r="DV9" i="29"/>
  <c r="DW9" i="29"/>
  <c r="DY9" i="29"/>
  <c r="EB9" i="29"/>
  <c r="ED9" i="29"/>
  <c r="EG9" i="29"/>
  <c r="EI9" i="29"/>
  <c r="EL9" i="29"/>
  <c r="EN9" i="29"/>
  <c r="EQ9" i="29"/>
  <c r="ES9" i="29"/>
  <c r="EW9" i="29"/>
  <c r="EV9" i="29"/>
  <c r="FB9" i="29"/>
  <c r="FE9" i="29"/>
  <c r="FG9" i="29"/>
  <c r="FJ9" i="29"/>
  <c r="FL9" i="29"/>
  <c r="FO9" i="29"/>
  <c r="FQ9" i="29"/>
  <c r="FT9" i="29"/>
  <c r="FU9" i="29"/>
  <c r="U9" i="24"/>
  <c r="FW9" i="29"/>
  <c r="FX9" i="29"/>
  <c r="FZ9" i="29"/>
  <c r="GC9" i="29"/>
  <c r="GE9" i="29"/>
  <c r="GH9" i="29"/>
  <c r="GJ9" i="29"/>
  <c r="GM9" i="29"/>
  <c r="GO9" i="29"/>
  <c r="GS9" i="29"/>
  <c r="V9" i="24"/>
  <c r="GR9" i="29"/>
  <c r="GU9" i="29"/>
  <c r="GV9" i="29"/>
  <c r="GX9" i="29"/>
  <c r="HA9" i="29"/>
  <c r="HC9" i="29"/>
  <c r="HF9" i="29"/>
  <c r="HH9" i="29"/>
  <c r="HK9" i="29"/>
  <c r="HM9" i="29"/>
  <c r="HP9" i="29"/>
  <c r="HR9" i="29"/>
  <c r="HU9" i="29"/>
  <c r="HV9" i="29"/>
  <c r="W9" i="24"/>
  <c r="HX9" i="29"/>
  <c r="HY9" i="29"/>
  <c r="IA9" i="29"/>
  <c r="ID9" i="29"/>
  <c r="IF9" i="29"/>
  <c r="II9" i="29"/>
  <c r="IK9" i="29"/>
  <c r="IN9" i="29"/>
  <c r="IP9" i="29"/>
  <c r="IT9" i="29"/>
  <c r="X9" i="24"/>
  <c r="IS9" i="29"/>
  <c r="IV9" i="29"/>
  <c r="IW9" i="29"/>
  <c r="IY9" i="29"/>
  <c r="JB9" i="29"/>
  <c r="JD9" i="29"/>
  <c r="JG9" i="29"/>
  <c r="JI9" i="29"/>
  <c r="JL9" i="29"/>
  <c r="JN9" i="29"/>
  <c r="JR9" i="29"/>
  <c r="Y9" i="24"/>
  <c r="JQ9" i="29"/>
  <c r="JT9" i="29"/>
  <c r="JU9" i="29"/>
  <c r="JW9" i="29"/>
  <c r="JZ9" i="29"/>
  <c r="KB9" i="29"/>
  <c r="KE9" i="29"/>
  <c r="KG9" i="29"/>
  <c r="KJ9" i="29"/>
  <c r="KL9" i="29"/>
  <c r="KO9" i="29"/>
  <c r="KQ9" i="29"/>
  <c r="KU9" i="29"/>
  <c r="Z9" i="24"/>
  <c r="KT9" i="29"/>
  <c r="KW9" i="29"/>
  <c r="KX9" i="29"/>
  <c r="KY9" i="29"/>
  <c r="D10" i="29"/>
  <c r="G10" i="29"/>
  <c r="I10" i="29"/>
  <c r="L10" i="29"/>
  <c r="N10" i="29"/>
  <c r="Q10" i="29"/>
  <c r="S10" i="29"/>
  <c r="V10" i="29"/>
  <c r="Y10" i="29"/>
  <c r="Z10" i="29"/>
  <c r="AB10" i="29"/>
  <c r="AE10" i="29"/>
  <c r="AG10" i="29"/>
  <c r="AJ10" i="29"/>
  <c r="AL10" i="29"/>
  <c r="AO10" i="29"/>
  <c r="AQ10" i="29"/>
  <c r="AT10" i="29"/>
  <c r="AU10" i="29"/>
  <c r="AW10" i="29"/>
  <c r="AX10" i="29"/>
  <c r="AZ10" i="29"/>
  <c r="BC10" i="29"/>
  <c r="BE10" i="29"/>
  <c r="BH10" i="29"/>
  <c r="BJ10" i="29"/>
  <c r="BM10" i="29"/>
  <c r="BO10" i="29"/>
  <c r="BR10" i="29"/>
  <c r="BT10" i="29"/>
  <c r="BW10" i="29"/>
  <c r="BZ10" i="29"/>
  <c r="CA10" i="29"/>
  <c r="CC10" i="29"/>
  <c r="CF10" i="29"/>
  <c r="CH10" i="29"/>
  <c r="CK10" i="29"/>
  <c r="CM10" i="29"/>
  <c r="CP10" i="29"/>
  <c r="CR10" i="29"/>
  <c r="CU10" i="29"/>
  <c r="CV10" i="29"/>
  <c r="CX10" i="29"/>
  <c r="CY10" i="29"/>
  <c r="DA10" i="29"/>
  <c r="DD10" i="29"/>
  <c r="DF10" i="29"/>
  <c r="DI10" i="29"/>
  <c r="DK10" i="29"/>
  <c r="DN10" i="29"/>
  <c r="DP10" i="29"/>
  <c r="DS10" i="29"/>
  <c r="DT10" i="29"/>
  <c r="DV10" i="29"/>
  <c r="DW10" i="29"/>
  <c r="DY10" i="29"/>
  <c r="EB10" i="29"/>
  <c r="ED10" i="29"/>
  <c r="EG10" i="29"/>
  <c r="EI10" i="29"/>
  <c r="EL10" i="29"/>
  <c r="EN10" i="29"/>
  <c r="EQ10" i="29"/>
  <c r="ES10" i="29"/>
  <c r="EW10" i="29"/>
  <c r="EV10" i="29"/>
  <c r="FB10" i="29"/>
  <c r="FE10" i="29"/>
  <c r="FG10" i="29"/>
  <c r="FJ10" i="29"/>
  <c r="FL10" i="29"/>
  <c r="FO10" i="29"/>
  <c r="FQ10" i="29"/>
  <c r="FT10" i="29"/>
  <c r="FU10" i="29"/>
  <c r="U10" i="24"/>
  <c r="FW10" i="29"/>
  <c r="FX10" i="29"/>
  <c r="FZ10" i="29"/>
  <c r="GC10" i="29"/>
  <c r="GE10" i="29"/>
  <c r="GH10" i="29"/>
  <c r="GJ10" i="29"/>
  <c r="GM10" i="29"/>
  <c r="GO10" i="29"/>
  <c r="GS10" i="29"/>
  <c r="V10" i="24"/>
  <c r="GR10" i="29"/>
  <c r="GU10" i="29"/>
  <c r="GV10" i="29"/>
  <c r="GX10" i="29"/>
  <c r="HA10" i="29"/>
  <c r="HC10" i="29"/>
  <c r="HF10" i="29"/>
  <c r="HH10" i="29"/>
  <c r="HK10" i="29"/>
  <c r="HM10" i="29"/>
  <c r="HP10" i="29"/>
  <c r="HR10" i="29"/>
  <c r="HU10" i="29"/>
  <c r="HV10" i="29"/>
  <c r="W10" i="24"/>
  <c r="HX10" i="29"/>
  <c r="HY10" i="29"/>
  <c r="IA10" i="29"/>
  <c r="ID10" i="29"/>
  <c r="IF10" i="29"/>
  <c r="II10" i="29"/>
  <c r="IK10" i="29"/>
  <c r="IN10" i="29"/>
  <c r="IP10" i="29"/>
  <c r="IT10" i="29"/>
  <c r="X10" i="24"/>
  <c r="IS10" i="29"/>
  <c r="IV10" i="29"/>
  <c r="IW10" i="29"/>
  <c r="IY10" i="29"/>
  <c r="JB10" i="29"/>
  <c r="JD10" i="29"/>
  <c r="JG10" i="29"/>
  <c r="JI10" i="29"/>
  <c r="JL10" i="29"/>
  <c r="JN10" i="29"/>
  <c r="JR10" i="29"/>
  <c r="Y10" i="24"/>
  <c r="JQ10" i="29"/>
  <c r="JT10" i="29"/>
  <c r="JU10" i="29"/>
  <c r="JW10" i="29"/>
  <c r="JZ10" i="29"/>
  <c r="KB10" i="29"/>
  <c r="KE10" i="29"/>
  <c r="KG10" i="29"/>
  <c r="KJ10" i="29"/>
  <c r="KL10" i="29"/>
  <c r="KO10" i="29"/>
  <c r="KQ10" i="29"/>
  <c r="KU10" i="29"/>
  <c r="Z10" i="24"/>
  <c r="KT10" i="29"/>
  <c r="KW10" i="29"/>
  <c r="KX10" i="29"/>
  <c r="KY10" i="29"/>
  <c r="D11" i="29"/>
  <c r="G11" i="29"/>
  <c r="I11" i="29"/>
  <c r="L11" i="29"/>
  <c r="N11" i="29"/>
  <c r="Q11" i="29"/>
  <c r="S11" i="29"/>
  <c r="V11" i="29"/>
  <c r="Y11" i="29"/>
  <c r="Z11" i="29"/>
  <c r="AB11" i="29"/>
  <c r="AE11" i="29"/>
  <c r="AG11" i="29"/>
  <c r="AJ11" i="29"/>
  <c r="AL11" i="29"/>
  <c r="AO11" i="29"/>
  <c r="AQ11" i="29"/>
  <c r="AT11" i="29"/>
  <c r="AU11" i="29"/>
  <c r="AW11" i="29"/>
  <c r="AX11" i="29"/>
  <c r="AZ11" i="29"/>
  <c r="BC11" i="29"/>
  <c r="BE11" i="29"/>
  <c r="BH11" i="29"/>
  <c r="BJ11" i="29"/>
  <c r="BM11" i="29"/>
  <c r="BO11" i="29"/>
  <c r="BR11" i="29"/>
  <c r="BT11" i="29"/>
  <c r="BW11" i="29"/>
  <c r="BZ11" i="29"/>
  <c r="CA11" i="29"/>
  <c r="CC11" i="29"/>
  <c r="CF11" i="29"/>
  <c r="CH11" i="29"/>
  <c r="CK11" i="29"/>
  <c r="CM11" i="29"/>
  <c r="CP11" i="29"/>
  <c r="CR11" i="29"/>
  <c r="CU11" i="29"/>
  <c r="CV11" i="29"/>
  <c r="CX11" i="29"/>
  <c r="CY11" i="29"/>
  <c r="DA11" i="29"/>
  <c r="DD11" i="29"/>
  <c r="DF11" i="29"/>
  <c r="DI11" i="29"/>
  <c r="DK11" i="29"/>
  <c r="DN11" i="29"/>
  <c r="DP11" i="29"/>
  <c r="DS11" i="29"/>
  <c r="DT11" i="29"/>
  <c r="DV11" i="29"/>
  <c r="DW11" i="29"/>
  <c r="DY11" i="29"/>
  <c r="ED11" i="29"/>
  <c r="EG11" i="29"/>
  <c r="EI11" i="29"/>
  <c r="EL11" i="29"/>
  <c r="EN11" i="29"/>
  <c r="EQ11" i="29"/>
  <c r="ES11" i="29"/>
  <c r="EW11" i="29"/>
  <c r="EV11" i="29"/>
  <c r="FB11" i="29"/>
  <c r="FE11" i="29"/>
  <c r="FG11" i="29"/>
  <c r="FJ11" i="29"/>
  <c r="FL11" i="29"/>
  <c r="FO11" i="29"/>
  <c r="FQ11" i="29"/>
  <c r="FT11" i="29"/>
  <c r="FU11" i="29"/>
  <c r="U11" i="24"/>
  <c r="FW11" i="29"/>
  <c r="FX11" i="29"/>
  <c r="FZ11" i="29"/>
  <c r="GC11" i="29"/>
  <c r="GE11" i="29"/>
  <c r="GH11" i="29"/>
  <c r="GJ11" i="29"/>
  <c r="GM11" i="29"/>
  <c r="GO11" i="29"/>
  <c r="GS11" i="29"/>
  <c r="V11" i="24"/>
  <c r="GR11" i="29"/>
  <c r="GU11" i="29"/>
  <c r="GV11" i="29"/>
  <c r="GX11" i="29"/>
  <c r="HA11" i="29"/>
  <c r="HC11" i="29"/>
  <c r="HF11" i="29"/>
  <c r="HH11" i="29"/>
  <c r="HK11" i="29"/>
  <c r="HM11" i="29"/>
  <c r="HP11" i="29"/>
  <c r="HR11" i="29"/>
  <c r="HU11" i="29"/>
  <c r="HV11" i="29"/>
  <c r="W11" i="24"/>
  <c r="HX11" i="29"/>
  <c r="HY11" i="29"/>
  <c r="IA11" i="29"/>
  <c r="ID11" i="29"/>
  <c r="IF11" i="29"/>
  <c r="II11" i="29"/>
  <c r="IK11" i="29"/>
  <c r="IN11" i="29"/>
  <c r="IP11" i="29"/>
  <c r="IT11" i="29"/>
  <c r="X11" i="24"/>
  <c r="IS11" i="29"/>
  <c r="IV11" i="29"/>
  <c r="IW11" i="29"/>
  <c r="IY11" i="29"/>
  <c r="JB11" i="29"/>
  <c r="JD11" i="29"/>
  <c r="JG11" i="29"/>
  <c r="JI11" i="29"/>
  <c r="JL11" i="29"/>
  <c r="JN11" i="29"/>
  <c r="JR11" i="29"/>
  <c r="Y11" i="24"/>
  <c r="JQ11" i="29"/>
  <c r="JT11" i="29"/>
  <c r="JU11" i="29"/>
  <c r="JW11" i="29"/>
  <c r="JZ11" i="29"/>
  <c r="KB11" i="29"/>
  <c r="KE11" i="29"/>
  <c r="KG11" i="29"/>
  <c r="KJ11" i="29"/>
  <c r="KL11" i="29"/>
  <c r="KO11" i="29"/>
  <c r="KQ11" i="29"/>
  <c r="KU11" i="29"/>
  <c r="Z11" i="24"/>
  <c r="KT11" i="29"/>
  <c r="KW11" i="29"/>
  <c r="KX11" i="29"/>
  <c r="KY11" i="29"/>
  <c r="D12" i="29"/>
  <c r="G12" i="29"/>
  <c r="I12" i="29"/>
  <c r="L12" i="29"/>
  <c r="N12" i="29"/>
  <c r="Q12" i="29"/>
  <c r="S12" i="29"/>
  <c r="V12" i="29"/>
  <c r="W12" i="29"/>
  <c r="Y12" i="29"/>
  <c r="Z12" i="29"/>
  <c r="AB12" i="29"/>
  <c r="AE12" i="29"/>
  <c r="AG12" i="29"/>
  <c r="AJ12" i="29"/>
  <c r="AL12" i="29"/>
  <c r="AO12" i="29"/>
  <c r="AQ12" i="29"/>
  <c r="AT12" i="29"/>
  <c r="AU12" i="29"/>
  <c r="AW12" i="29"/>
  <c r="AX12" i="29"/>
  <c r="AZ12" i="29"/>
  <c r="BC12" i="29"/>
  <c r="BE12" i="29"/>
  <c r="BH12" i="29"/>
  <c r="BJ12" i="29"/>
  <c r="BM12" i="29"/>
  <c r="BO12" i="29"/>
  <c r="BR12" i="29"/>
  <c r="BT12" i="29"/>
  <c r="BW12" i="29"/>
  <c r="BX12" i="29"/>
  <c r="BZ12" i="29"/>
  <c r="CA12" i="29"/>
  <c r="CC12" i="29"/>
  <c r="CF12" i="29"/>
  <c r="CH12" i="29"/>
  <c r="CK12" i="29"/>
  <c r="CM12" i="29"/>
  <c r="CP12" i="29"/>
  <c r="CR12" i="29"/>
  <c r="CU12" i="29"/>
  <c r="CV12" i="29"/>
  <c r="CX12" i="29"/>
  <c r="CY12" i="29"/>
  <c r="DA12" i="29"/>
  <c r="DD12" i="29"/>
  <c r="DF12" i="29"/>
  <c r="DI12" i="29"/>
  <c r="DK12" i="29"/>
  <c r="DN12" i="29"/>
  <c r="DP12" i="29"/>
  <c r="DS12" i="29"/>
  <c r="DT12" i="29"/>
  <c r="DV12" i="29"/>
  <c r="DW12" i="29"/>
  <c r="DY12" i="29"/>
  <c r="ED12" i="29"/>
  <c r="EG12" i="29"/>
  <c r="EI12" i="29"/>
  <c r="EL12" i="29"/>
  <c r="EN12" i="29"/>
  <c r="EQ12" i="29"/>
  <c r="ES12" i="29"/>
  <c r="EW12" i="29"/>
  <c r="EV12" i="29"/>
  <c r="FB12" i="29"/>
  <c r="FE12" i="29"/>
  <c r="FG12" i="29"/>
  <c r="FJ12" i="29"/>
  <c r="FL12" i="29"/>
  <c r="FO12" i="29"/>
  <c r="FQ12" i="29"/>
  <c r="FT12" i="29"/>
  <c r="FU12" i="29"/>
  <c r="U12" i="24"/>
  <c r="FW12" i="29"/>
  <c r="FX12" i="29"/>
  <c r="FZ12" i="29"/>
  <c r="GC12" i="29"/>
  <c r="GE12" i="29"/>
  <c r="GH12" i="29"/>
  <c r="GJ12" i="29"/>
  <c r="GM12" i="29"/>
  <c r="GO12" i="29"/>
  <c r="GS12" i="29"/>
  <c r="V12" i="24"/>
  <c r="GR12" i="29"/>
  <c r="GU12" i="29"/>
  <c r="GV12" i="29"/>
  <c r="GX12" i="29"/>
  <c r="HA12" i="29"/>
  <c r="HC12" i="29"/>
  <c r="HF12" i="29"/>
  <c r="HH12" i="29"/>
  <c r="HK12" i="29"/>
  <c r="HM12" i="29"/>
  <c r="HP12" i="29"/>
  <c r="HR12" i="29"/>
  <c r="HV12" i="29"/>
  <c r="W12" i="24"/>
  <c r="HU12" i="29"/>
  <c r="HX12" i="29"/>
  <c r="HY12" i="29"/>
  <c r="IA12" i="29"/>
  <c r="ID12" i="29"/>
  <c r="IF12" i="29"/>
  <c r="II12" i="29"/>
  <c r="IK12" i="29"/>
  <c r="IN12" i="29"/>
  <c r="IP12" i="29"/>
  <c r="IT12" i="29"/>
  <c r="X12" i="24"/>
  <c r="IS12" i="29"/>
  <c r="IV12" i="29"/>
  <c r="IW12" i="29"/>
  <c r="IY12" i="29"/>
  <c r="JB12" i="29"/>
  <c r="JD12" i="29"/>
  <c r="JG12" i="29"/>
  <c r="JI12" i="29"/>
  <c r="JL12" i="29"/>
  <c r="JN12" i="29"/>
  <c r="JQ12" i="29"/>
  <c r="JR12" i="29"/>
  <c r="Y12" i="24"/>
  <c r="JT12" i="29"/>
  <c r="JU12" i="29"/>
  <c r="JW12" i="29"/>
  <c r="JZ12" i="29"/>
  <c r="KB12" i="29"/>
  <c r="KE12" i="29"/>
  <c r="KG12" i="29"/>
  <c r="KJ12" i="29"/>
  <c r="KL12" i="29"/>
  <c r="KO12" i="29"/>
  <c r="KQ12" i="29"/>
  <c r="KU12" i="29"/>
  <c r="Z12" i="24"/>
  <c r="KT12" i="29"/>
  <c r="KW12" i="29"/>
  <c r="KX12" i="29"/>
  <c r="KY12" i="29"/>
  <c r="D13" i="29"/>
  <c r="G13" i="29"/>
  <c r="I13" i="29"/>
  <c r="L13" i="29"/>
  <c r="N13" i="29"/>
  <c r="Q13" i="29"/>
  <c r="S13" i="29"/>
  <c r="V13" i="29"/>
  <c r="Y13" i="29"/>
  <c r="Z13" i="29"/>
  <c r="AB13" i="29"/>
  <c r="AE13" i="29"/>
  <c r="AG13" i="29"/>
  <c r="AJ13" i="29"/>
  <c r="AL13" i="29"/>
  <c r="AO13" i="29"/>
  <c r="AQ13" i="29"/>
  <c r="AT13" i="29"/>
  <c r="AU13" i="29"/>
  <c r="AW13" i="29"/>
  <c r="AX13" i="29"/>
  <c r="AZ13" i="29"/>
  <c r="BC13" i="29"/>
  <c r="BE13" i="29"/>
  <c r="BH13" i="29"/>
  <c r="BJ13" i="29"/>
  <c r="BM13" i="29"/>
  <c r="BO13" i="29"/>
  <c r="BR13" i="29"/>
  <c r="BT13" i="29"/>
  <c r="BW13" i="29"/>
  <c r="BX13" i="29"/>
  <c r="BZ13" i="29"/>
  <c r="CA13" i="29"/>
  <c r="CC13" i="29"/>
  <c r="CF13" i="29"/>
  <c r="CH13" i="29"/>
  <c r="CK13" i="29"/>
  <c r="CM13" i="29"/>
  <c r="CP13" i="29"/>
  <c r="CR13" i="29"/>
  <c r="CU13" i="29"/>
  <c r="CV13" i="29"/>
  <c r="CX13" i="29"/>
  <c r="CY13" i="29"/>
  <c r="DA13" i="29"/>
  <c r="DD13" i="29"/>
  <c r="DF13" i="29"/>
  <c r="DI13" i="29"/>
  <c r="DK13" i="29"/>
  <c r="DN13" i="29"/>
  <c r="DP13" i="29"/>
  <c r="DT13" i="29"/>
  <c r="DS13" i="29"/>
  <c r="DV13" i="29"/>
  <c r="DW13" i="29"/>
  <c r="DY13" i="29"/>
  <c r="EB13" i="29"/>
  <c r="ED13" i="29"/>
  <c r="EG13" i="29"/>
  <c r="EI13" i="29"/>
  <c r="EL13" i="29"/>
  <c r="EN13" i="29"/>
  <c r="EQ13" i="29"/>
  <c r="ES13" i="29"/>
  <c r="EV13" i="29"/>
  <c r="EW13" i="29"/>
  <c r="FB13" i="29"/>
  <c r="FE13" i="29"/>
  <c r="FG13" i="29"/>
  <c r="FJ13" i="29"/>
  <c r="FL13" i="29"/>
  <c r="FO13" i="29"/>
  <c r="FQ13" i="29"/>
  <c r="FT13" i="29"/>
  <c r="FU13" i="29"/>
  <c r="U13" i="24"/>
  <c r="FW13" i="29"/>
  <c r="FX13" i="29"/>
  <c r="FZ13" i="29"/>
  <c r="GC13" i="29"/>
  <c r="GE13" i="29"/>
  <c r="GH13" i="29"/>
  <c r="GJ13" i="29"/>
  <c r="GM13" i="29"/>
  <c r="GO13" i="29"/>
  <c r="GS13" i="29"/>
  <c r="V13" i="24"/>
  <c r="GR13" i="29"/>
  <c r="GU13" i="29"/>
  <c r="GV13" i="29"/>
  <c r="GX13" i="29"/>
  <c r="HA13" i="29"/>
  <c r="HC13" i="29"/>
  <c r="HF13" i="29"/>
  <c r="HH13" i="29"/>
  <c r="HK13" i="29"/>
  <c r="HM13" i="29"/>
  <c r="HP13" i="29"/>
  <c r="HR13" i="29"/>
  <c r="HU13" i="29"/>
  <c r="HV13" i="29"/>
  <c r="W13" i="24"/>
  <c r="HX13" i="29"/>
  <c r="HY13" i="29"/>
  <c r="IA13" i="29"/>
  <c r="ID13" i="29"/>
  <c r="IF13" i="29"/>
  <c r="II13" i="29"/>
  <c r="IK13" i="29"/>
  <c r="IN13" i="29"/>
  <c r="IP13" i="29"/>
  <c r="IT13" i="29"/>
  <c r="X13" i="24"/>
  <c r="IS13" i="29"/>
  <c r="IV13" i="29"/>
  <c r="IW13" i="29"/>
  <c r="IY13" i="29"/>
  <c r="JB13" i="29"/>
  <c r="JD13" i="29"/>
  <c r="JG13" i="29"/>
  <c r="JI13" i="29"/>
  <c r="JL13" i="29"/>
  <c r="JN13" i="29"/>
  <c r="JQ13" i="29"/>
  <c r="JR13" i="29"/>
  <c r="Y13" i="24"/>
  <c r="JT13" i="29"/>
  <c r="JU13" i="29"/>
  <c r="JW13" i="29"/>
  <c r="JZ13" i="29"/>
  <c r="KB13" i="29"/>
  <c r="KE13" i="29"/>
  <c r="KG13" i="29"/>
  <c r="KJ13" i="29"/>
  <c r="KL13" i="29"/>
  <c r="KO13" i="29"/>
  <c r="KQ13" i="29"/>
  <c r="KU13" i="29"/>
  <c r="Z13" i="24"/>
  <c r="KT13" i="29"/>
  <c r="KW13" i="29"/>
  <c r="KX13" i="29"/>
  <c r="KY13" i="29"/>
  <c r="D14" i="29"/>
  <c r="G14" i="29"/>
  <c r="I14" i="29"/>
  <c r="L14" i="29"/>
  <c r="N14" i="29"/>
  <c r="Q14" i="29"/>
  <c r="S14" i="29"/>
  <c r="V14" i="29"/>
  <c r="Y14" i="29"/>
  <c r="Z14" i="29"/>
  <c r="AB14" i="29"/>
  <c r="AE14" i="29"/>
  <c r="AG14" i="29"/>
  <c r="AJ14" i="29"/>
  <c r="AL14" i="29"/>
  <c r="AO14" i="29"/>
  <c r="AQ14" i="29"/>
  <c r="AT14" i="29"/>
  <c r="AU14" i="29"/>
  <c r="AW14" i="29"/>
  <c r="AX14" i="29"/>
  <c r="AZ14" i="29"/>
  <c r="BC14" i="29"/>
  <c r="BE14" i="29"/>
  <c r="BH14" i="29"/>
  <c r="BJ14" i="29"/>
  <c r="BJ16" i="29"/>
  <c r="BM14" i="29"/>
  <c r="BO14" i="29"/>
  <c r="BR14" i="29"/>
  <c r="BT14" i="29"/>
  <c r="BT16" i="29"/>
  <c r="BW14" i="29"/>
  <c r="BZ14" i="29"/>
  <c r="CA14" i="29"/>
  <c r="CC14" i="29"/>
  <c r="CF14" i="29"/>
  <c r="CH14" i="29"/>
  <c r="CK14" i="29"/>
  <c r="CM14" i="29"/>
  <c r="CP14" i="29"/>
  <c r="CR14" i="29"/>
  <c r="CU14" i="29"/>
  <c r="CV14" i="29"/>
  <c r="CX14" i="29"/>
  <c r="CY14" i="29"/>
  <c r="DA14" i="29"/>
  <c r="DD14" i="29"/>
  <c r="DF14" i="29"/>
  <c r="DI14" i="29"/>
  <c r="DK14" i="29"/>
  <c r="DN14" i="29"/>
  <c r="DP14" i="29"/>
  <c r="DT14" i="29"/>
  <c r="DS14" i="29"/>
  <c r="DV14" i="29"/>
  <c r="DW14" i="29"/>
  <c r="DY14" i="29"/>
  <c r="EB14" i="29"/>
  <c r="ED14" i="29"/>
  <c r="EG14" i="29"/>
  <c r="EI14" i="29"/>
  <c r="EL14" i="29"/>
  <c r="EN14" i="29"/>
  <c r="EQ14" i="29"/>
  <c r="ES14" i="29"/>
  <c r="EV14" i="29"/>
  <c r="EW14" i="29"/>
  <c r="FB14" i="29"/>
  <c r="FE14" i="29"/>
  <c r="FG14" i="29"/>
  <c r="FG16" i="29"/>
  <c r="FJ14" i="29"/>
  <c r="FL14" i="29"/>
  <c r="FO14" i="29"/>
  <c r="FQ14" i="29"/>
  <c r="FU14" i="29"/>
  <c r="U14" i="24"/>
  <c r="FT14" i="29"/>
  <c r="FW14" i="29"/>
  <c r="FX14" i="29"/>
  <c r="FZ14" i="29"/>
  <c r="GC14" i="29"/>
  <c r="GE14" i="29"/>
  <c r="GH14" i="29"/>
  <c r="GJ14" i="29"/>
  <c r="GM14" i="29"/>
  <c r="GO14" i="29"/>
  <c r="GS14" i="29"/>
  <c r="V14" i="24"/>
  <c r="GR14" i="29"/>
  <c r="GU14" i="29"/>
  <c r="GV14" i="29"/>
  <c r="GX14" i="29"/>
  <c r="HA14" i="29"/>
  <c r="HC14" i="29"/>
  <c r="HF14" i="29"/>
  <c r="HH14" i="29"/>
  <c r="HK14" i="29"/>
  <c r="HM14" i="29"/>
  <c r="HP14" i="29"/>
  <c r="HR14" i="29"/>
  <c r="HU14" i="29"/>
  <c r="HV14" i="29"/>
  <c r="W14" i="24"/>
  <c r="HX14" i="29"/>
  <c r="HY14" i="29"/>
  <c r="IA14" i="29"/>
  <c r="ID14" i="29"/>
  <c r="IF14" i="29"/>
  <c r="II14" i="29"/>
  <c r="IK14" i="29"/>
  <c r="IN14" i="29"/>
  <c r="IP14" i="29"/>
  <c r="IT14" i="29"/>
  <c r="X14" i="24"/>
  <c r="IS14" i="29"/>
  <c r="IV14" i="29"/>
  <c r="IW14" i="29"/>
  <c r="IY14" i="29"/>
  <c r="JB14" i="29"/>
  <c r="JD14" i="29"/>
  <c r="JD16" i="29"/>
  <c r="JG14" i="29"/>
  <c r="JI14" i="29"/>
  <c r="JL14" i="29"/>
  <c r="JN14" i="29"/>
  <c r="JR14" i="29"/>
  <c r="Y14" i="24"/>
  <c r="JQ14" i="29"/>
  <c r="JT14" i="29"/>
  <c r="JU14" i="29"/>
  <c r="JW14" i="29"/>
  <c r="JZ14" i="29"/>
  <c r="KB14" i="29"/>
  <c r="KE14" i="29"/>
  <c r="KG14" i="29"/>
  <c r="KJ14" i="29"/>
  <c r="KL14" i="29"/>
  <c r="KO14" i="29"/>
  <c r="KQ14" i="29"/>
  <c r="KU14" i="29"/>
  <c r="Z14" i="24"/>
  <c r="KT14" i="29"/>
  <c r="KW14" i="29"/>
  <c r="KX14" i="29"/>
  <c r="KY14" i="29"/>
  <c r="D15" i="29"/>
  <c r="G15" i="29"/>
  <c r="I15" i="29"/>
  <c r="L15" i="29"/>
  <c r="N15" i="29"/>
  <c r="Q15" i="29"/>
  <c r="S15" i="29"/>
  <c r="V15" i="29"/>
  <c r="W15" i="29"/>
  <c r="Y15" i="29"/>
  <c r="Z15" i="29"/>
  <c r="AB15" i="29"/>
  <c r="AE15" i="29"/>
  <c r="AG15" i="29"/>
  <c r="AJ15" i="29"/>
  <c r="AL15" i="29"/>
  <c r="AO15" i="29"/>
  <c r="AQ15" i="29"/>
  <c r="AT15" i="29"/>
  <c r="AU15" i="29"/>
  <c r="AW15" i="29"/>
  <c r="AX15" i="29"/>
  <c r="AZ15" i="29"/>
  <c r="BC15" i="29"/>
  <c r="BE15" i="29"/>
  <c r="BH15" i="29"/>
  <c r="BJ15" i="29"/>
  <c r="BM15" i="29"/>
  <c r="BO15" i="29"/>
  <c r="BR15" i="29"/>
  <c r="BT15" i="29"/>
  <c r="BW15" i="29"/>
  <c r="BZ15" i="29"/>
  <c r="CA15" i="29"/>
  <c r="CC15" i="29"/>
  <c r="CF15" i="29"/>
  <c r="CH15" i="29"/>
  <c r="CK15" i="29"/>
  <c r="CM15" i="29"/>
  <c r="CP15" i="29"/>
  <c r="CR15" i="29"/>
  <c r="CU15" i="29"/>
  <c r="CV15" i="29"/>
  <c r="CX15" i="29"/>
  <c r="CY15" i="29"/>
  <c r="DA15" i="29"/>
  <c r="DD15" i="29"/>
  <c r="DF15" i="29"/>
  <c r="DI15" i="29"/>
  <c r="DK15" i="29"/>
  <c r="DN15" i="29"/>
  <c r="DP15" i="29"/>
  <c r="DS15" i="29"/>
  <c r="DT15" i="29"/>
  <c r="DV15" i="29"/>
  <c r="DW15" i="29"/>
  <c r="DY15" i="29"/>
  <c r="ED15" i="29"/>
  <c r="EG15" i="29"/>
  <c r="EI15" i="29"/>
  <c r="EL15" i="29"/>
  <c r="EN15" i="29"/>
  <c r="EQ15" i="29"/>
  <c r="ES15" i="29"/>
  <c r="EW15" i="29"/>
  <c r="EV15" i="29"/>
  <c r="FB15" i="29"/>
  <c r="FE15" i="29"/>
  <c r="FG15" i="29"/>
  <c r="FJ15" i="29"/>
  <c r="FL15" i="29"/>
  <c r="FO15" i="29"/>
  <c r="FQ15" i="29"/>
  <c r="FU15" i="29"/>
  <c r="U15" i="24"/>
  <c r="FT15" i="29"/>
  <c r="FW15" i="29"/>
  <c r="FX15" i="29"/>
  <c r="FZ15" i="29"/>
  <c r="GC15" i="29"/>
  <c r="GE15" i="29"/>
  <c r="GH15" i="29"/>
  <c r="GJ15" i="29"/>
  <c r="GM15" i="29"/>
  <c r="GO15" i="29"/>
  <c r="GS15" i="29"/>
  <c r="V15" i="24"/>
  <c r="GR15" i="29"/>
  <c r="GU15" i="29"/>
  <c r="GV15" i="29"/>
  <c r="GX15" i="29"/>
  <c r="HA15" i="29"/>
  <c r="HC15" i="29"/>
  <c r="HF15" i="29"/>
  <c r="HH15" i="29"/>
  <c r="HK15" i="29"/>
  <c r="HM15" i="29"/>
  <c r="HP15" i="29"/>
  <c r="HR15" i="29"/>
  <c r="HV15" i="29"/>
  <c r="W15" i="24"/>
  <c r="HU15" i="29"/>
  <c r="HX15" i="29"/>
  <c r="HY15" i="29"/>
  <c r="IA15" i="29"/>
  <c r="ID15" i="29"/>
  <c r="IF15" i="29"/>
  <c r="II15" i="29"/>
  <c r="IK15" i="29"/>
  <c r="IN15" i="29"/>
  <c r="IP15" i="29"/>
  <c r="IT15" i="29"/>
  <c r="X15" i="24"/>
  <c r="IS15" i="29"/>
  <c r="IV15" i="29"/>
  <c r="IW15" i="29"/>
  <c r="IY15" i="29"/>
  <c r="JB15" i="29"/>
  <c r="JD15" i="29"/>
  <c r="JG15" i="29"/>
  <c r="JI15" i="29"/>
  <c r="JL15" i="29"/>
  <c r="JN15" i="29"/>
  <c r="JR15" i="29"/>
  <c r="Y15" i="24"/>
  <c r="JQ15" i="29"/>
  <c r="JT15" i="29"/>
  <c r="JU15" i="29"/>
  <c r="JW15" i="29"/>
  <c r="JZ15" i="29"/>
  <c r="KB15" i="29"/>
  <c r="KE15" i="29"/>
  <c r="KG15" i="29"/>
  <c r="KJ15" i="29"/>
  <c r="KL15" i="29"/>
  <c r="KO15" i="29"/>
  <c r="KQ15" i="29"/>
  <c r="KU15" i="29"/>
  <c r="Z15" i="24"/>
  <c r="KT15" i="29"/>
  <c r="KW15" i="29"/>
  <c r="KX15" i="29"/>
  <c r="KY15" i="29"/>
  <c r="D16" i="29"/>
  <c r="G16" i="29"/>
  <c r="I16" i="29"/>
  <c r="L16" i="29"/>
  <c r="N16" i="29"/>
  <c r="Q16" i="29"/>
  <c r="S16" i="29"/>
  <c r="V16" i="29"/>
  <c r="W16" i="29"/>
  <c r="Y16" i="29"/>
  <c r="Z16" i="29"/>
  <c r="AB16" i="29"/>
  <c r="AE16" i="29"/>
  <c r="AG16" i="29"/>
  <c r="AJ16" i="29"/>
  <c r="AL16" i="29"/>
  <c r="AO16" i="29"/>
  <c r="AQ16" i="29"/>
  <c r="AT16" i="29"/>
  <c r="AU16" i="29"/>
  <c r="AW16" i="29"/>
  <c r="AX16" i="29"/>
  <c r="BC16" i="29"/>
  <c r="BE16" i="29"/>
  <c r="BH16" i="29"/>
  <c r="BM16" i="29"/>
  <c r="BO16" i="29"/>
  <c r="BR16" i="29"/>
  <c r="BW16" i="29"/>
  <c r="BZ16" i="29"/>
  <c r="CA16" i="29"/>
  <c r="CC16" i="29"/>
  <c r="CF16" i="29"/>
  <c r="CH16" i="29"/>
  <c r="CK16" i="29"/>
  <c r="CM16" i="29"/>
  <c r="CP16" i="29"/>
  <c r="CR16" i="29"/>
  <c r="CU16" i="29"/>
  <c r="CV16" i="29"/>
  <c r="CX16" i="29"/>
  <c r="CY16" i="29"/>
  <c r="DA16" i="29"/>
  <c r="DD16" i="29"/>
  <c r="DF16" i="29"/>
  <c r="DI16" i="29"/>
  <c r="DK16" i="29"/>
  <c r="DN16" i="29"/>
  <c r="DP16" i="29"/>
  <c r="DS16" i="29"/>
  <c r="DT16" i="29"/>
  <c r="DV16" i="29"/>
  <c r="DW16" i="29"/>
  <c r="DY16" i="29"/>
  <c r="ED16" i="29"/>
  <c r="EG16" i="29"/>
  <c r="EI16" i="29"/>
  <c r="EL16" i="29"/>
  <c r="EN16" i="29"/>
  <c r="EQ16" i="29"/>
  <c r="ES16" i="29"/>
  <c r="EW16" i="29"/>
  <c r="EV16" i="29"/>
  <c r="FB16" i="29"/>
  <c r="FE16" i="29"/>
  <c r="FJ16" i="29"/>
  <c r="FL16" i="29"/>
  <c r="FO16" i="29"/>
  <c r="FT16" i="29"/>
  <c r="FW16" i="29"/>
  <c r="FX16" i="29"/>
  <c r="FZ16" i="29"/>
  <c r="GC16" i="29"/>
  <c r="GE16" i="29"/>
  <c r="GH16" i="29"/>
  <c r="GJ16" i="29"/>
  <c r="GM16" i="29"/>
  <c r="GO16" i="29"/>
  <c r="GS16" i="29"/>
  <c r="V16" i="24"/>
  <c r="GR16" i="29"/>
  <c r="GU16" i="29"/>
  <c r="GV16" i="29"/>
  <c r="GX16" i="29"/>
  <c r="HA16" i="29"/>
  <c r="HC16" i="29"/>
  <c r="HF16" i="29"/>
  <c r="HH16" i="29"/>
  <c r="HK16" i="29"/>
  <c r="HM16" i="29"/>
  <c r="HP16" i="29"/>
  <c r="HR16" i="29"/>
  <c r="HV16" i="29"/>
  <c r="W16" i="24"/>
  <c r="HU16" i="29"/>
  <c r="HX16" i="29"/>
  <c r="HY16" i="29"/>
  <c r="IA16" i="29"/>
  <c r="ID16" i="29"/>
  <c r="IF16" i="29"/>
  <c r="II16" i="29"/>
  <c r="IK16" i="29"/>
  <c r="IN16" i="29"/>
  <c r="IP16" i="29"/>
  <c r="IT16" i="29"/>
  <c r="X16" i="24"/>
  <c r="IS16" i="29"/>
  <c r="IV16" i="29"/>
  <c r="IW16" i="29"/>
  <c r="IY16" i="29"/>
  <c r="JB16" i="29"/>
  <c r="JG16" i="29"/>
  <c r="JI16" i="29"/>
  <c r="JL16" i="29"/>
  <c r="JQ16" i="29"/>
  <c r="JT16" i="29"/>
  <c r="JU16" i="29"/>
  <c r="JW16" i="29"/>
  <c r="JZ16" i="29"/>
  <c r="KB16" i="29"/>
  <c r="KE16" i="29"/>
  <c r="KG16" i="29"/>
  <c r="KJ16" i="29"/>
  <c r="KL16" i="29"/>
  <c r="KO16" i="29"/>
  <c r="KQ16" i="29"/>
  <c r="KU16" i="29"/>
  <c r="Z16" i="24"/>
  <c r="KT16" i="29"/>
  <c r="KW16" i="29"/>
  <c r="KX16" i="29"/>
  <c r="KY16" i="29"/>
  <c r="D17" i="29"/>
  <c r="G17" i="29"/>
  <c r="I17" i="29"/>
  <c r="L17" i="29"/>
  <c r="N17" i="29"/>
  <c r="Q17" i="29"/>
  <c r="S17" i="29"/>
  <c r="V17" i="29"/>
  <c r="Y17" i="29"/>
  <c r="Z17" i="29"/>
  <c r="AB17" i="29"/>
  <c r="AE17" i="29"/>
  <c r="AG17" i="29"/>
  <c r="AJ17" i="29"/>
  <c r="AL17" i="29"/>
  <c r="AO17" i="29"/>
  <c r="AQ17" i="29"/>
  <c r="AT17" i="29"/>
  <c r="AU17" i="29"/>
  <c r="AW17" i="29"/>
  <c r="AX17" i="29"/>
  <c r="AZ17" i="29"/>
  <c r="BC17" i="29"/>
  <c r="BE17" i="29"/>
  <c r="BH17" i="29"/>
  <c r="BJ17" i="29"/>
  <c r="BM17" i="29"/>
  <c r="BO17" i="29"/>
  <c r="BR17" i="29"/>
  <c r="BT17" i="29"/>
  <c r="BW17" i="29"/>
  <c r="BX17" i="29"/>
  <c r="BZ17" i="29"/>
  <c r="CA17" i="29"/>
  <c r="CC17" i="29"/>
  <c r="CF17" i="29"/>
  <c r="CH17" i="29"/>
  <c r="CK17" i="29"/>
  <c r="CM17" i="29"/>
  <c r="CP17" i="29"/>
  <c r="CR17" i="29"/>
  <c r="CU17" i="29"/>
  <c r="CV17" i="29"/>
  <c r="CX17" i="29"/>
  <c r="CY17" i="29"/>
  <c r="DA17" i="29"/>
  <c r="DD17" i="29"/>
  <c r="DF17" i="29"/>
  <c r="DI17" i="29"/>
  <c r="DK17" i="29"/>
  <c r="DN17" i="29"/>
  <c r="DP17" i="29"/>
  <c r="DT17" i="29"/>
  <c r="DS17" i="29"/>
  <c r="DV17" i="29"/>
  <c r="DW17" i="29"/>
  <c r="DY17" i="29"/>
  <c r="EB17" i="29"/>
  <c r="ED17" i="29"/>
  <c r="EG17" i="29"/>
  <c r="EI17" i="29"/>
  <c r="EL17" i="29"/>
  <c r="EN17" i="29"/>
  <c r="EQ17" i="29"/>
  <c r="ES17" i="29"/>
  <c r="EV17" i="29"/>
  <c r="EW17" i="29"/>
  <c r="FB17" i="29"/>
  <c r="FE17" i="29"/>
  <c r="FG17" i="29"/>
  <c r="FJ17" i="29"/>
  <c r="FL17" i="29"/>
  <c r="FO17" i="29"/>
  <c r="FQ17" i="29"/>
  <c r="FT17" i="29"/>
  <c r="FU17" i="29"/>
  <c r="U17" i="24"/>
  <c r="FW17" i="29"/>
  <c r="FX17" i="29"/>
  <c r="FZ17" i="29"/>
  <c r="GC17" i="29"/>
  <c r="GE17" i="29"/>
  <c r="GH17" i="29"/>
  <c r="GJ17" i="29"/>
  <c r="GM17" i="29"/>
  <c r="GO17" i="29"/>
  <c r="GS17" i="29"/>
  <c r="V17" i="24"/>
  <c r="GR17" i="29"/>
  <c r="GU17" i="29"/>
  <c r="GV17" i="29"/>
  <c r="GX17" i="29"/>
  <c r="HA17" i="29"/>
  <c r="HC17" i="29"/>
  <c r="HF17" i="29"/>
  <c r="HH17" i="29"/>
  <c r="HK17" i="29"/>
  <c r="HM17" i="29"/>
  <c r="HP17" i="29"/>
  <c r="HR17" i="29"/>
  <c r="HU17" i="29"/>
  <c r="HV17" i="29"/>
  <c r="W17" i="24"/>
  <c r="HX17" i="29"/>
  <c r="HY17" i="29"/>
  <c r="IA17" i="29"/>
  <c r="ID17" i="29"/>
  <c r="IF17" i="29"/>
  <c r="II17" i="29"/>
  <c r="IK17" i="29"/>
  <c r="IN17" i="29"/>
  <c r="IP17" i="29"/>
  <c r="IT17" i="29"/>
  <c r="X17" i="24"/>
  <c r="IS17" i="29"/>
  <c r="IV17" i="29"/>
  <c r="IW17" i="29"/>
  <c r="IY17" i="29"/>
  <c r="JB17" i="29"/>
  <c r="JD17" i="29"/>
  <c r="JG17" i="29"/>
  <c r="JI17" i="29"/>
  <c r="JL17" i="29"/>
  <c r="JN17" i="29"/>
  <c r="JQ17" i="29"/>
  <c r="JR17" i="29"/>
  <c r="Y17" i="24"/>
  <c r="JT17" i="29"/>
  <c r="JU17" i="29"/>
  <c r="JW17" i="29"/>
  <c r="JZ17" i="29"/>
  <c r="KB17" i="29"/>
  <c r="KE17" i="29"/>
  <c r="KG17" i="29"/>
  <c r="KJ17" i="29"/>
  <c r="KL17" i="29"/>
  <c r="KO17" i="29"/>
  <c r="KQ17" i="29"/>
  <c r="KU17" i="29"/>
  <c r="Z17" i="24"/>
  <c r="KT17" i="29"/>
  <c r="KW17" i="29"/>
  <c r="KX17" i="29"/>
  <c r="KY17" i="29"/>
  <c r="D18" i="29"/>
  <c r="G18" i="29"/>
  <c r="I18" i="29"/>
  <c r="L18" i="29"/>
  <c r="N18" i="29"/>
  <c r="Q18" i="29"/>
  <c r="S18" i="29"/>
  <c r="V18" i="29"/>
  <c r="Y18" i="29"/>
  <c r="Z18" i="29"/>
  <c r="AB18" i="29"/>
  <c r="AE18" i="29"/>
  <c r="AG18" i="29"/>
  <c r="AJ18" i="29"/>
  <c r="AL18" i="29"/>
  <c r="AO18" i="29"/>
  <c r="AQ18" i="29"/>
  <c r="AT18" i="29"/>
  <c r="AU18" i="29"/>
  <c r="AW18" i="29"/>
  <c r="AX18" i="29"/>
  <c r="AZ18" i="29"/>
  <c r="BC18" i="29"/>
  <c r="BE18" i="29"/>
  <c r="BH18" i="29"/>
  <c r="BJ18" i="29"/>
  <c r="BM18" i="29"/>
  <c r="BO18" i="29"/>
  <c r="BR18" i="29"/>
  <c r="BT18" i="29"/>
  <c r="BW18" i="29"/>
  <c r="BZ18" i="29"/>
  <c r="CA18" i="29"/>
  <c r="CC18" i="29"/>
  <c r="CF18" i="29"/>
  <c r="CH18" i="29"/>
  <c r="CK18" i="29"/>
  <c r="CM18" i="29"/>
  <c r="CP18" i="29"/>
  <c r="CR18" i="29"/>
  <c r="CU18" i="29"/>
  <c r="CV18" i="29"/>
  <c r="CX18" i="29"/>
  <c r="CY18" i="29"/>
  <c r="DA18" i="29"/>
  <c r="DD18" i="29"/>
  <c r="DF18" i="29"/>
  <c r="DI18" i="29"/>
  <c r="DK18" i="29"/>
  <c r="DN18" i="29"/>
  <c r="DP18" i="29"/>
  <c r="DS18" i="29"/>
  <c r="DT18" i="29"/>
  <c r="DV18" i="29"/>
  <c r="DW18" i="29"/>
  <c r="DY18" i="29"/>
  <c r="EB18" i="29"/>
  <c r="ED18" i="29"/>
  <c r="EG18" i="29"/>
  <c r="EI18" i="29"/>
  <c r="EL18" i="29"/>
  <c r="EN18" i="29"/>
  <c r="EQ18" i="29"/>
  <c r="ES18" i="29"/>
  <c r="EW18" i="29"/>
  <c r="EV18" i="29"/>
  <c r="FB18" i="29"/>
  <c r="FE18" i="29"/>
  <c r="FG18" i="29"/>
  <c r="FJ18" i="29"/>
  <c r="FL18" i="29"/>
  <c r="FO18" i="29"/>
  <c r="FQ18" i="29"/>
  <c r="FT18" i="29"/>
  <c r="FU18" i="29"/>
  <c r="U18" i="24"/>
  <c r="FW18" i="29"/>
  <c r="FX18" i="29"/>
  <c r="FZ18" i="29"/>
  <c r="GC18" i="29"/>
  <c r="GE18" i="29"/>
  <c r="GH18" i="29"/>
  <c r="GJ18" i="29"/>
  <c r="GM18" i="29"/>
  <c r="GO18" i="29"/>
  <c r="GS18" i="29"/>
  <c r="V18" i="24"/>
  <c r="GR18" i="29"/>
  <c r="GU18" i="29"/>
  <c r="GV18" i="29"/>
  <c r="GX18" i="29"/>
  <c r="HA18" i="29"/>
  <c r="HC18" i="29"/>
  <c r="HF18" i="29"/>
  <c r="HH18" i="29"/>
  <c r="HK18" i="29"/>
  <c r="HM18" i="29"/>
  <c r="HP18" i="29"/>
  <c r="HR18" i="29"/>
  <c r="HU18" i="29"/>
  <c r="HV18" i="29"/>
  <c r="W18" i="24"/>
  <c r="HX18" i="29"/>
  <c r="HY18" i="29"/>
  <c r="IA18" i="29"/>
  <c r="ID18" i="29"/>
  <c r="IF18" i="29"/>
  <c r="II18" i="29"/>
  <c r="IK18" i="29"/>
  <c r="IN18" i="29"/>
  <c r="IP18" i="29"/>
  <c r="IT18" i="29"/>
  <c r="X18" i="24"/>
  <c r="IS18" i="29"/>
  <c r="IV18" i="29"/>
  <c r="IW18" i="29"/>
  <c r="IY18" i="29"/>
  <c r="JB18" i="29"/>
  <c r="JD18" i="29"/>
  <c r="JG18" i="29"/>
  <c r="JI18" i="29"/>
  <c r="JL18" i="29"/>
  <c r="JN18" i="29"/>
  <c r="JR18" i="29"/>
  <c r="Y18" i="24"/>
  <c r="JQ18" i="29"/>
  <c r="JT18" i="29"/>
  <c r="JU18" i="29"/>
  <c r="JW18" i="29"/>
  <c r="JZ18" i="29"/>
  <c r="KB18" i="29"/>
  <c r="KE18" i="29"/>
  <c r="KG18" i="29"/>
  <c r="KJ18" i="29"/>
  <c r="KL18" i="29"/>
  <c r="KO18" i="29"/>
  <c r="KQ18" i="29"/>
  <c r="KU18" i="29"/>
  <c r="Z18" i="24"/>
  <c r="KT18" i="29"/>
  <c r="KW18" i="29"/>
  <c r="KX18" i="29"/>
  <c r="KY18" i="29"/>
  <c r="D19" i="29"/>
  <c r="G19" i="29"/>
  <c r="I19" i="29"/>
  <c r="L19" i="29"/>
  <c r="N19" i="29"/>
  <c r="Q19" i="29"/>
  <c r="S19" i="29"/>
  <c r="V19" i="29"/>
  <c r="Y19" i="29"/>
  <c r="Z19" i="29"/>
  <c r="AB19" i="29"/>
  <c r="AE19" i="29"/>
  <c r="AG19" i="29"/>
  <c r="AJ19" i="29"/>
  <c r="AL19" i="29"/>
  <c r="AO19" i="29"/>
  <c r="AQ19" i="29"/>
  <c r="AT19" i="29"/>
  <c r="AU19" i="29"/>
  <c r="AW19" i="29"/>
  <c r="AX19" i="29"/>
  <c r="AZ19" i="29"/>
  <c r="BC19" i="29"/>
  <c r="BE19" i="29"/>
  <c r="BH19" i="29"/>
  <c r="BJ19" i="29"/>
  <c r="BM19" i="29"/>
  <c r="BO19" i="29"/>
  <c r="BR19" i="29"/>
  <c r="BT19" i="29"/>
  <c r="BW19" i="29"/>
  <c r="BZ19" i="29"/>
  <c r="CA19" i="29"/>
  <c r="CC19" i="29"/>
  <c r="CF19" i="29"/>
  <c r="CH19" i="29"/>
  <c r="CK19" i="29"/>
  <c r="CM19" i="29"/>
  <c r="CP19" i="29"/>
  <c r="CR19" i="29"/>
  <c r="CU19" i="29"/>
  <c r="CV19" i="29"/>
  <c r="CX19" i="29"/>
  <c r="CY19" i="29"/>
  <c r="DA19" i="29"/>
  <c r="DD19" i="29"/>
  <c r="DF19" i="29"/>
  <c r="DI19" i="29"/>
  <c r="DK19" i="29"/>
  <c r="DN19" i="29"/>
  <c r="DP19" i="29"/>
  <c r="DS19" i="29"/>
  <c r="DT19" i="29"/>
  <c r="DV19" i="29"/>
  <c r="DW19" i="29"/>
  <c r="DY19" i="29"/>
  <c r="EB19" i="29"/>
  <c r="ED19" i="29"/>
  <c r="EG19" i="29"/>
  <c r="EI19" i="29"/>
  <c r="EL19" i="29"/>
  <c r="EN19" i="29"/>
  <c r="EQ19" i="29"/>
  <c r="ES19" i="29"/>
  <c r="EW19" i="29"/>
  <c r="EV19" i="29"/>
  <c r="FB19" i="29"/>
  <c r="FE19" i="29"/>
  <c r="FG19" i="29"/>
  <c r="FJ19" i="29"/>
  <c r="FL19" i="29"/>
  <c r="FO19" i="29"/>
  <c r="FQ19" i="29"/>
  <c r="FT19" i="29"/>
  <c r="FU19" i="29"/>
  <c r="U19" i="24"/>
  <c r="FW19" i="29"/>
  <c r="FX19" i="29"/>
  <c r="FZ19" i="29"/>
  <c r="GC19" i="29"/>
  <c r="GE19" i="29"/>
  <c r="GH19" i="29"/>
  <c r="GJ19" i="29"/>
  <c r="GM19" i="29"/>
  <c r="GO19" i="29"/>
  <c r="GS19" i="29"/>
  <c r="V19" i="24"/>
  <c r="GR19" i="29"/>
  <c r="GU19" i="29"/>
  <c r="GV19" i="29"/>
  <c r="GX19" i="29"/>
  <c r="HA19" i="29"/>
  <c r="HC19" i="29"/>
  <c r="HF19" i="29"/>
  <c r="HH19" i="29"/>
  <c r="HK19" i="29"/>
  <c r="HM19" i="29"/>
  <c r="HP19" i="29"/>
  <c r="HR19" i="29"/>
  <c r="HU19" i="29"/>
  <c r="HV19" i="29"/>
  <c r="W19" i="24"/>
  <c r="HX19" i="29"/>
  <c r="HY19" i="29"/>
  <c r="IA19" i="29"/>
  <c r="ID19" i="29"/>
  <c r="IF19" i="29"/>
  <c r="II19" i="29"/>
  <c r="IK19" i="29"/>
  <c r="IN19" i="29"/>
  <c r="IP19" i="29"/>
  <c r="IT19" i="29"/>
  <c r="X19" i="24"/>
  <c r="IS19" i="29"/>
  <c r="IV19" i="29"/>
  <c r="IW19" i="29"/>
  <c r="IY19" i="29"/>
  <c r="JB19" i="29"/>
  <c r="JD19" i="29"/>
  <c r="JG19" i="29"/>
  <c r="JI19" i="29"/>
  <c r="JL19" i="29"/>
  <c r="JN19" i="29"/>
  <c r="JR19" i="29"/>
  <c r="Y19" i="24"/>
  <c r="JQ19" i="29"/>
  <c r="JT19" i="29"/>
  <c r="JU19" i="29"/>
  <c r="JW19" i="29"/>
  <c r="JZ19" i="29"/>
  <c r="KB19" i="29"/>
  <c r="KE19" i="29"/>
  <c r="KG19" i="29"/>
  <c r="KJ19" i="29"/>
  <c r="KL19" i="29"/>
  <c r="KO19" i="29"/>
  <c r="KQ19" i="29"/>
  <c r="KU19" i="29"/>
  <c r="Z19" i="24"/>
  <c r="KT19" i="29"/>
  <c r="KW19" i="29"/>
  <c r="KX19" i="29"/>
  <c r="KY19" i="29"/>
  <c r="D20" i="29"/>
  <c r="G20" i="29"/>
  <c r="I20" i="29"/>
  <c r="L20" i="29"/>
  <c r="N20" i="29"/>
  <c r="Q20" i="29"/>
  <c r="S20" i="29"/>
  <c r="V20" i="29"/>
  <c r="Y20" i="29"/>
  <c r="Z20" i="29"/>
  <c r="AB20" i="29"/>
  <c r="AE20" i="29"/>
  <c r="AG20" i="29"/>
  <c r="AJ20" i="29"/>
  <c r="AL20" i="29"/>
  <c r="AO20" i="29"/>
  <c r="AQ20" i="29"/>
  <c r="AT20" i="29"/>
  <c r="AU20" i="29"/>
  <c r="AW20" i="29"/>
  <c r="AX20" i="29"/>
  <c r="AZ20" i="29"/>
  <c r="BC20" i="29"/>
  <c r="BE20" i="29"/>
  <c r="BH20" i="29"/>
  <c r="BJ20" i="29"/>
  <c r="BM20" i="29"/>
  <c r="BO20" i="29"/>
  <c r="BR20" i="29"/>
  <c r="BT20" i="29"/>
  <c r="BW20" i="29"/>
  <c r="BZ20" i="29"/>
  <c r="CA20" i="29"/>
  <c r="CC20" i="29"/>
  <c r="CF20" i="29"/>
  <c r="CH20" i="29"/>
  <c r="CK20" i="29"/>
  <c r="CM20" i="29"/>
  <c r="CP20" i="29"/>
  <c r="CR20" i="29"/>
  <c r="CU20" i="29"/>
  <c r="CV20" i="29"/>
  <c r="CX20" i="29"/>
  <c r="CY20" i="29"/>
  <c r="DA20" i="29"/>
  <c r="DD20" i="29"/>
  <c r="DF20" i="29"/>
  <c r="DI20" i="29"/>
  <c r="DK20" i="29"/>
  <c r="DN20" i="29"/>
  <c r="DP20" i="29"/>
  <c r="DS20" i="29"/>
  <c r="DT20" i="29"/>
  <c r="DV20" i="29"/>
  <c r="DW20" i="29"/>
  <c r="DY20" i="29"/>
  <c r="EB20" i="29"/>
  <c r="ED20" i="29"/>
  <c r="EG20" i="29"/>
  <c r="EI20" i="29"/>
  <c r="EL20" i="29"/>
  <c r="EN20" i="29"/>
  <c r="EQ20" i="29"/>
  <c r="ES20" i="29"/>
  <c r="EW20" i="29"/>
  <c r="EV20" i="29"/>
  <c r="FB20" i="29"/>
  <c r="FE20" i="29"/>
  <c r="FG20" i="29"/>
  <c r="FJ20" i="29"/>
  <c r="FL20" i="29"/>
  <c r="FO20" i="29"/>
  <c r="FQ20" i="29"/>
  <c r="FT20" i="29"/>
  <c r="FU20" i="29"/>
  <c r="U20" i="24"/>
  <c r="FW20" i="29"/>
  <c r="FX20" i="29"/>
  <c r="FZ20" i="29"/>
  <c r="GC20" i="29"/>
  <c r="GE20" i="29"/>
  <c r="GH20" i="29"/>
  <c r="GJ20" i="29"/>
  <c r="GM20" i="29"/>
  <c r="GO20" i="29"/>
  <c r="GS20" i="29"/>
  <c r="V20" i="24"/>
  <c r="GR20" i="29"/>
  <c r="GU20" i="29"/>
  <c r="GV20" i="29"/>
  <c r="GX20" i="29"/>
  <c r="HA20" i="29"/>
  <c r="HC20" i="29"/>
  <c r="HF20" i="29"/>
  <c r="HH20" i="29"/>
  <c r="HK20" i="29"/>
  <c r="HM20" i="29"/>
  <c r="HP20" i="29"/>
  <c r="HR20" i="29"/>
  <c r="HU20" i="29"/>
  <c r="HV20" i="29"/>
  <c r="W20" i="24"/>
  <c r="HX20" i="29"/>
  <c r="HY20" i="29"/>
  <c r="IA20" i="29"/>
  <c r="ID20" i="29"/>
  <c r="IF20" i="29"/>
  <c r="II20" i="29"/>
  <c r="IK20" i="29"/>
  <c r="IN20" i="29"/>
  <c r="IP20" i="29"/>
  <c r="IT20" i="29"/>
  <c r="X20" i="24"/>
  <c r="IS20" i="29"/>
  <c r="IV20" i="29"/>
  <c r="IW20" i="29"/>
  <c r="IY20" i="29"/>
  <c r="JB20" i="29"/>
  <c r="JD20" i="29"/>
  <c r="JG20" i="29"/>
  <c r="JI20" i="29"/>
  <c r="JL20" i="29"/>
  <c r="JN20" i="29"/>
  <c r="JR20" i="29"/>
  <c r="Y20" i="24"/>
  <c r="JQ20" i="29"/>
  <c r="JT20" i="29"/>
  <c r="JU20" i="29"/>
  <c r="JW20" i="29"/>
  <c r="JZ20" i="29"/>
  <c r="KB20" i="29"/>
  <c r="KE20" i="29"/>
  <c r="KG20" i="29"/>
  <c r="KJ20" i="29"/>
  <c r="KL20" i="29"/>
  <c r="KO20" i="29"/>
  <c r="KQ20" i="29"/>
  <c r="KU20" i="29"/>
  <c r="Z20" i="24"/>
  <c r="KT20" i="29"/>
  <c r="KW20" i="29"/>
  <c r="KX20" i="29"/>
  <c r="KY20" i="29"/>
  <c r="KZ20" i="29"/>
  <c r="LA20" i="29"/>
  <c r="LB20" i="29"/>
  <c r="D21" i="29"/>
  <c r="G21" i="29"/>
  <c r="I21" i="29"/>
  <c r="L21" i="29"/>
  <c r="N21" i="29"/>
  <c r="Q21" i="29"/>
  <c r="S21" i="29"/>
  <c r="V21" i="29"/>
  <c r="Y21" i="29"/>
  <c r="Z21" i="29"/>
  <c r="AB21" i="29"/>
  <c r="AE21" i="29"/>
  <c r="AG21" i="29"/>
  <c r="AJ21" i="29"/>
  <c r="AL21" i="29"/>
  <c r="AO21" i="29"/>
  <c r="AQ21" i="29"/>
  <c r="AT21" i="29"/>
  <c r="AU21" i="29"/>
  <c r="AW21" i="29"/>
  <c r="AX21" i="29"/>
  <c r="AZ21" i="29"/>
  <c r="BC21" i="29"/>
  <c r="BE21" i="29"/>
  <c r="BH21" i="29"/>
  <c r="BJ21" i="29"/>
  <c r="BM21" i="29"/>
  <c r="BO21" i="29"/>
  <c r="BR21" i="29"/>
  <c r="BT21" i="29"/>
  <c r="BW21" i="29"/>
  <c r="BZ21" i="29"/>
  <c r="CA21" i="29"/>
  <c r="CC21" i="29"/>
  <c r="CF21" i="29"/>
  <c r="CH21" i="29"/>
  <c r="CK21" i="29"/>
  <c r="CM21" i="29"/>
  <c r="CP21" i="29"/>
  <c r="CR21" i="29"/>
  <c r="CU21" i="29"/>
  <c r="CV21" i="29"/>
  <c r="CX21" i="29"/>
  <c r="CY21" i="29"/>
  <c r="DA21" i="29"/>
  <c r="DD21" i="29"/>
  <c r="DF21" i="29"/>
  <c r="DI21" i="29"/>
  <c r="DK21" i="29"/>
  <c r="DN21" i="29"/>
  <c r="DP21" i="29"/>
  <c r="DS21" i="29"/>
  <c r="DT21" i="29"/>
  <c r="DV21" i="29"/>
  <c r="DW21" i="29"/>
  <c r="DY21" i="29"/>
  <c r="EB21" i="29"/>
  <c r="ED21" i="29"/>
  <c r="EG21" i="29"/>
  <c r="EI21" i="29"/>
  <c r="EL21" i="29"/>
  <c r="EN21" i="29"/>
  <c r="EQ21" i="29"/>
  <c r="ES21" i="29"/>
  <c r="EW21" i="29"/>
  <c r="EV21" i="29"/>
  <c r="FB21" i="29"/>
  <c r="FE21" i="29"/>
  <c r="FG21" i="29"/>
  <c r="FJ21" i="29"/>
  <c r="FL21" i="29"/>
  <c r="FO21" i="29"/>
  <c r="FQ21" i="29"/>
  <c r="FT21" i="29"/>
  <c r="FU21" i="29"/>
  <c r="U21" i="24"/>
  <c r="FW21" i="29"/>
  <c r="FX21" i="29"/>
  <c r="FZ21" i="29"/>
  <c r="GC21" i="29"/>
  <c r="GE21" i="29"/>
  <c r="GH21" i="29"/>
  <c r="GJ21" i="29"/>
  <c r="GM21" i="29"/>
  <c r="GO21" i="29"/>
  <c r="GS21" i="29"/>
  <c r="V21" i="24"/>
  <c r="GR21" i="29"/>
  <c r="GU21" i="29"/>
  <c r="GV21" i="29"/>
  <c r="GX21" i="29"/>
  <c r="HA21" i="29"/>
  <c r="HC21" i="29"/>
  <c r="HF21" i="29"/>
  <c r="HH21" i="29"/>
  <c r="HK21" i="29"/>
  <c r="HM21" i="29"/>
  <c r="HP21" i="29"/>
  <c r="HR21" i="29"/>
  <c r="HU21" i="29"/>
  <c r="HV21" i="29"/>
  <c r="W21" i="24"/>
  <c r="HX21" i="29"/>
  <c r="HY21" i="29"/>
  <c r="IA21" i="29"/>
  <c r="ID21" i="29"/>
  <c r="IF21" i="29"/>
  <c r="II21" i="29"/>
  <c r="IK21" i="29"/>
  <c r="IN21" i="29"/>
  <c r="IP21" i="29"/>
  <c r="IT21" i="29"/>
  <c r="X21" i="24"/>
  <c r="IS21" i="29"/>
  <c r="IV21" i="29"/>
  <c r="IW21" i="29"/>
  <c r="IY21" i="29"/>
  <c r="JB21" i="29"/>
  <c r="JD21" i="29"/>
  <c r="JG21" i="29"/>
  <c r="JI21" i="29"/>
  <c r="JL21" i="29"/>
  <c r="JN21" i="29"/>
  <c r="JR21" i="29"/>
  <c r="Y21" i="24"/>
  <c r="JQ21" i="29"/>
  <c r="JT21" i="29"/>
  <c r="JU21" i="29"/>
  <c r="JW21" i="29"/>
  <c r="JZ21" i="29"/>
  <c r="KB21" i="29"/>
  <c r="KE21" i="29"/>
  <c r="KG21" i="29"/>
  <c r="KJ21" i="29"/>
  <c r="KL21" i="29"/>
  <c r="KO21" i="29"/>
  <c r="KQ21" i="29"/>
  <c r="KU21" i="29"/>
  <c r="Z21" i="24"/>
  <c r="KT21" i="29"/>
  <c r="KW21" i="29"/>
  <c r="KX21" i="29"/>
  <c r="KY21" i="29"/>
  <c r="KZ21" i="29"/>
  <c r="D22" i="29"/>
  <c r="G22" i="29"/>
  <c r="I22" i="29"/>
  <c r="L22" i="29"/>
  <c r="N22" i="29"/>
  <c r="Q22" i="29"/>
  <c r="S22" i="29"/>
  <c r="V22" i="29"/>
  <c r="Y22" i="29"/>
  <c r="Z22" i="29"/>
  <c r="AB22" i="29"/>
  <c r="AE22" i="29"/>
  <c r="AG22" i="29"/>
  <c r="AJ22" i="29"/>
  <c r="AL22" i="29"/>
  <c r="AO22" i="29"/>
  <c r="AQ22" i="29"/>
  <c r="AT22" i="29"/>
  <c r="AW22" i="29"/>
  <c r="AX22" i="29"/>
  <c r="AZ22" i="29"/>
  <c r="BC22" i="29"/>
  <c r="BE22" i="29"/>
  <c r="BH22" i="29"/>
  <c r="BJ22" i="29"/>
  <c r="BM22" i="29"/>
  <c r="BO22" i="29"/>
  <c r="BR22" i="29"/>
  <c r="BT22" i="29"/>
  <c r="BW22" i="29"/>
  <c r="BZ22" i="29"/>
  <c r="CA22" i="29"/>
  <c r="CC22" i="29"/>
  <c r="CF22" i="29"/>
  <c r="CH22" i="29"/>
  <c r="CK22" i="29"/>
  <c r="CM22" i="29"/>
  <c r="CP22" i="29"/>
  <c r="CR22" i="29"/>
  <c r="CV22" i="29"/>
  <c r="CU22" i="29"/>
  <c r="CX22" i="29"/>
  <c r="CY22" i="29"/>
  <c r="DA22" i="29"/>
  <c r="DD22" i="29"/>
  <c r="DF22" i="29"/>
  <c r="DI22" i="29"/>
  <c r="DK22" i="29"/>
  <c r="DN22" i="29"/>
  <c r="DP22" i="29"/>
  <c r="DS22" i="29"/>
  <c r="DT22" i="29"/>
  <c r="DV22" i="29"/>
  <c r="DW22" i="29"/>
  <c r="DY22" i="29"/>
  <c r="EB22" i="29"/>
  <c r="ED22" i="29"/>
  <c r="EG22" i="29"/>
  <c r="EI22" i="29"/>
  <c r="EL22" i="29"/>
  <c r="EN22" i="29"/>
  <c r="EQ22" i="29"/>
  <c r="ES22" i="29"/>
  <c r="EW22" i="29"/>
  <c r="EV22" i="29"/>
  <c r="FB22" i="29"/>
  <c r="FE22" i="29"/>
  <c r="FG22" i="29"/>
  <c r="FJ22" i="29"/>
  <c r="FL22" i="29"/>
  <c r="FO22" i="29"/>
  <c r="FQ22" i="29"/>
  <c r="FT22" i="29"/>
  <c r="FU22" i="29"/>
  <c r="U22" i="24"/>
  <c r="FW22" i="29"/>
  <c r="FX22" i="29"/>
  <c r="FZ22" i="29"/>
  <c r="GC22" i="29"/>
  <c r="GE22" i="29"/>
  <c r="GH22" i="29"/>
  <c r="GJ22" i="29"/>
  <c r="GM22" i="29"/>
  <c r="GO22" i="29"/>
  <c r="GR22" i="29"/>
  <c r="GS22" i="29"/>
  <c r="V22" i="24"/>
  <c r="GU22" i="29"/>
  <c r="GV22" i="29"/>
  <c r="GX22" i="29"/>
  <c r="HA22" i="29"/>
  <c r="HC22" i="29"/>
  <c r="HF22" i="29"/>
  <c r="HH22" i="29"/>
  <c r="HK22" i="29"/>
  <c r="HM22" i="29"/>
  <c r="HP22" i="29"/>
  <c r="HR22" i="29"/>
  <c r="HU22" i="29"/>
  <c r="HV22" i="29"/>
  <c r="W22" i="24"/>
  <c r="HX22" i="29"/>
  <c r="HY22" i="29"/>
  <c r="IA22" i="29"/>
  <c r="ID22" i="29"/>
  <c r="IF22" i="29"/>
  <c r="II22" i="29"/>
  <c r="IK22" i="29"/>
  <c r="IN22" i="29"/>
  <c r="IP22" i="29"/>
  <c r="IS22" i="29"/>
  <c r="IT22" i="29"/>
  <c r="X22" i="24"/>
  <c r="IV22" i="29"/>
  <c r="IW22" i="29"/>
  <c r="IY22" i="29"/>
  <c r="JB22" i="29"/>
  <c r="JD22" i="29"/>
  <c r="JG22" i="29"/>
  <c r="JI22" i="29"/>
  <c r="JL22" i="29"/>
  <c r="JN22" i="29"/>
  <c r="JR22" i="29"/>
  <c r="Y22" i="24"/>
  <c r="JQ22" i="29"/>
  <c r="JT22" i="29"/>
  <c r="JU22" i="29"/>
  <c r="JW22" i="29"/>
  <c r="JZ22" i="29"/>
  <c r="KB22" i="29"/>
  <c r="KE22" i="29"/>
  <c r="KG22" i="29"/>
  <c r="KJ22" i="29"/>
  <c r="KL22" i="29"/>
  <c r="KO22" i="29"/>
  <c r="KQ22" i="29"/>
  <c r="KT22" i="29"/>
  <c r="KU22" i="29"/>
  <c r="Z22" i="24"/>
  <c r="KW22" i="29"/>
  <c r="KX22" i="29"/>
  <c r="KY22" i="29"/>
  <c r="KZ22" i="29"/>
  <c r="LA22" i="29"/>
  <c r="LB22" i="29"/>
  <c r="D23" i="29"/>
  <c r="G23" i="29"/>
  <c r="I23" i="29"/>
  <c r="L23" i="29"/>
  <c r="N23" i="29"/>
  <c r="Q23" i="29"/>
  <c r="S23" i="29"/>
  <c r="V23" i="29"/>
  <c r="Y23" i="29"/>
  <c r="Z23" i="29"/>
  <c r="AB23" i="29"/>
  <c r="AE23" i="29"/>
  <c r="AG23" i="29"/>
  <c r="AJ23" i="29"/>
  <c r="AL23" i="29"/>
  <c r="AO23" i="29"/>
  <c r="AQ23" i="29"/>
  <c r="AT23" i="29"/>
  <c r="AU23" i="29"/>
  <c r="AW23" i="29"/>
  <c r="AX23" i="29"/>
  <c r="AZ23" i="29"/>
  <c r="BC23" i="29"/>
  <c r="BE23" i="29"/>
  <c r="BH23" i="29"/>
  <c r="BJ23" i="29"/>
  <c r="BM23" i="29"/>
  <c r="BO23" i="29"/>
  <c r="BR23" i="29"/>
  <c r="BT23" i="29"/>
  <c r="BW23" i="29"/>
  <c r="BZ23" i="29"/>
  <c r="CA23" i="29"/>
  <c r="CC23" i="29"/>
  <c r="CF23" i="29"/>
  <c r="CH23" i="29"/>
  <c r="CK23" i="29"/>
  <c r="CM23" i="29"/>
  <c r="CP23" i="29"/>
  <c r="CR23" i="29"/>
  <c r="CV23" i="29"/>
  <c r="CU23" i="29"/>
  <c r="CX23" i="29"/>
  <c r="CY23" i="29"/>
  <c r="DA23" i="29"/>
  <c r="DD23" i="29"/>
  <c r="DF23" i="29"/>
  <c r="DI23" i="29"/>
  <c r="DK23" i="29"/>
  <c r="DN23" i="29"/>
  <c r="DP23" i="29"/>
  <c r="DS23" i="29"/>
  <c r="DT23" i="29"/>
  <c r="DV23" i="29"/>
  <c r="DW23" i="29"/>
  <c r="DY23" i="29"/>
  <c r="EB23" i="29"/>
  <c r="ED23" i="29"/>
  <c r="EG23" i="29"/>
  <c r="EI23" i="29"/>
  <c r="EL23" i="29"/>
  <c r="EN23" i="29"/>
  <c r="EQ23" i="29"/>
  <c r="ES23" i="29"/>
  <c r="EV23" i="29"/>
  <c r="FB23" i="29"/>
  <c r="FE23" i="29"/>
  <c r="FG23" i="29"/>
  <c r="FJ23" i="29"/>
  <c r="FL23" i="29"/>
  <c r="FO23" i="29"/>
  <c r="FQ23" i="29"/>
  <c r="FT23" i="29"/>
  <c r="FU23" i="29"/>
  <c r="U23" i="24"/>
  <c r="FW23" i="29"/>
  <c r="FX23" i="29"/>
  <c r="FZ23" i="29"/>
  <c r="GC23" i="29"/>
  <c r="GE23" i="29"/>
  <c r="GH23" i="29"/>
  <c r="GJ23" i="29"/>
  <c r="GM23" i="29"/>
  <c r="GO23" i="29"/>
  <c r="GR23" i="29"/>
  <c r="GS23" i="29"/>
  <c r="V23" i="24"/>
  <c r="GU23" i="29"/>
  <c r="GV23" i="29"/>
  <c r="GX23" i="29"/>
  <c r="HA23" i="29"/>
  <c r="HC23" i="29"/>
  <c r="HF23" i="29"/>
  <c r="HH23" i="29"/>
  <c r="HK23" i="29"/>
  <c r="HM23" i="29"/>
  <c r="HP23" i="29"/>
  <c r="HR23" i="29"/>
  <c r="HU23" i="29"/>
  <c r="HV23" i="29"/>
  <c r="W23" i="24"/>
  <c r="HX23" i="29"/>
  <c r="HY23" i="29"/>
  <c r="IA23" i="29"/>
  <c r="ID23" i="29"/>
  <c r="IF23" i="29"/>
  <c r="II23" i="29"/>
  <c r="IK23" i="29"/>
  <c r="IN23" i="29"/>
  <c r="IP23" i="29"/>
  <c r="IS23" i="29"/>
  <c r="IT23" i="29"/>
  <c r="X23" i="24"/>
  <c r="IV23" i="29"/>
  <c r="IW23" i="29"/>
  <c r="IY23" i="29"/>
  <c r="JB23" i="29"/>
  <c r="JD23" i="29"/>
  <c r="JG23" i="29"/>
  <c r="JI23" i="29"/>
  <c r="JL23" i="29"/>
  <c r="JN23" i="29"/>
  <c r="JR23" i="29"/>
  <c r="Y23" i="24"/>
  <c r="JQ23" i="29"/>
  <c r="JT23" i="29"/>
  <c r="JU23" i="29"/>
  <c r="JW23" i="29"/>
  <c r="JZ23" i="29"/>
  <c r="KB23" i="29"/>
  <c r="KE23" i="29"/>
  <c r="KG23" i="29"/>
  <c r="KJ23" i="29"/>
  <c r="KL23" i="29"/>
  <c r="KO23" i="29"/>
  <c r="KQ23" i="29"/>
  <c r="KU23" i="29"/>
  <c r="Z23" i="24"/>
  <c r="KT23" i="29"/>
  <c r="KW23" i="29"/>
  <c r="KX23" i="29"/>
  <c r="KY23" i="29"/>
  <c r="D24" i="29"/>
  <c r="G24" i="29"/>
  <c r="I24" i="29"/>
  <c r="L24" i="29"/>
  <c r="N24" i="29"/>
  <c r="Q24" i="29"/>
  <c r="S24" i="29"/>
  <c r="V24" i="29"/>
  <c r="Y24" i="29"/>
  <c r="Z24" i="29"/>
  <c r="AB24" i="29"/>
  <c r="AE24" i="29"/>
  <c r="AG24" i="29"/>
  <c r="AJ24" i="29"/>
  <c r="AL24" i="29"/>
  <c r="AO24" i="29"/>
  <c r="AQ24" i="29"/>
  <c r="AT24" i="29"/>
  <c r="AU24" i="29"/>
  <c r="AW24" i="29"/>
  <c r="AX24" i="29"/>
  <c r="AZ24" i="29"/>
  <c r="BC24" i="29"/>
  <c r="BE24" i="29"/>
  <c r="BH24" i="29"/>
  <c r="BJ24" i="29"/>
  <c r="BM24" i="29"/>
  <c r="BO24" i="29"/>
  <c r="BR24" i="29"/>
  <c r="BT24" i="29"/>
  <c r="BW24" i="29"/>
  <c r="BZ24" i="29"/>
  <c r="CA24" i="29"/>
  <c r="CC24" i="29"/>
  <c r="CF24" i="29"/>
  <c r="CH24" i="29"/>
  <c r="CK24" i="29"/>
  <c r="CM24" i="29"/>
  <c r="CP24" i="29"/>
  <c r="CR24" i="29"/>
  <c r="CU24" i="29"/>
  <c r="CV24" i="29"/>
  <c r="CX24" i="29"/>
  <c r="CY24" i="29"/>
  <c r="DA24" i="29"/>
  <c r="DD24" i="29"/>
  <c r="DF24" i="29"/>
  <c r="DI24" i="29"/>
  <c r="DK24" i="29"/>
  <c r="DN24" i="29"/>
  <c r="DP24" i="29"/>
  <c r="DS24" i="29"/>
  <c r="DT24" i="29"/>
  <c r="DV24" i="29"/>
  <c r="DW24" i="29"/>
  <c r="DY24" i="29"/>
  <c r="EB24" i="29"/>
  <c r="ED24" i="29"/>
  <c r="EG24" i="29"/>
  <c r="EI24" i="29"/>
  <c r="EL24" i="29"/>
  <c r="EN24" i="29"/>
  <c r="EQ24" i="29"/>
  <c r="ES24" i="29"/>
  <c r="EW24" i="29"/>
  <c r="EV24" i="29"/>
  <c r="FB24" i="29"/>
  <c r="FE24" i="29"/>
  <c r="FJ24" i="29"/>
  <c r="FL24" i="29"/>
  <c r="FO24" i="29"/>
  <c r="FT24" i="29"/>
  <c r="FW24" i="29"/>
  <c r="FX24" i="29"/>
  <c r="FZ24" i="29"/>
  <c r="GC24" i="29"/>
  <c r="GE24" i="29"/>
  <c r="GH24" i="29"/>
  <c r="GJ24" i="29"/>
  <c r="GM24" i="29"/>
  <c r="GO24" i="29"/>
  <c r="GR24" i="29"/>
  <c r="GS24" i="29"/>
  <c r="V24" i="24"/>
  <c r="GU24" i="29"/>
  <c r="GV24" i="29"/>
  <c r="GX24" i="29"/>
  <c r="HA24" i="29"/>
  <c r="HC24" i="29"/>
  <c r="HF24" i="29"/>
  <c r="HH24" i="29"/>
  <c r="HK24" i="29"/>
  <c r="HM24" i="29"/>
  <c r="HP24" i="29"/>
  <c r="HR24" i="29"/>
  <c r="HU24" i="29"/>
  <c r="HV24" i="29"/>
  <c r="W24" i="24"/>
  <c r="HX24" i="29"/>
  <c r="HY24" i="29"/>
  <c r="IA24" i="29"/>
  <c r="ID24" i="29"/>
  <c r="IF24" i="29"/>
  <c r="II24" i="29"/>
  <c r="IK24" i="29"/>
  <c r="IN24" i="29"/>
  <c r="IP24" i="29"/>
  <c r="IT24" i="29"/>
  <c r="X24" i="24"/>
  <c r="IS24" i="29"/>
  <c r="IV24" i="29"/>
  <c r="IW24" i="29"/>
  <c r="IY24" i="29"/>
  <c r="JB24" i="29"/>
  <c r="JD24" i="29"/>
  <c r="JG24" i="29"/>
  <c r="JI24" i="29"/>
  <c r="JL24" i="29"/>
  <c r="JN24" i="29"/>
  <c r="JR24" i="29"/>
  <c r="Y24" i="24"/>
  <c r="JQ24" i="29"/>
  <c r="JT24" i="29"/>
  <c r="JU24" i="29"/>
  <c r="JW24" i="29"/>
  <c r="JZ24" i="29"/>
  <c r="KB24" i="29"/>
  <c r="KE24" i="29"/>
  <c r="KG24" i="29"/>
  <c r="KJ24" i="29"/>
  <c r="KL24" i="29"/>
  <c r="KO24" i="29"/>
  <c r="KQ24" i="29"/>
  <c r="KU24" i="29"/>
  <c r="Z24" i="24"/>
  <c r="KT24" i="29"/>
  <c r="KW24" i="29"/>
  <c r="KX24" i="29"/>
  <c r="KY24" i="29"/>
  <c r="D25" i="29"/>
  <c r="G25" i="29"/>
  <c r="I25" i="29"/>
  <c r="L25" i="29"/>
  <c r="N25" i="29"/>
  <c r="Q25" i="29"/>
  <c r="S25" i="29"/>
  <c r="V25" i="29"/>
  <c r="Y25" i="29"/>
  <c r="Z25" i="29"/>
  <c r="AB25" i="29"/>
  <c r="AE25" i="29"/>
  <c r="AG25" i="29"/>
  <c r="AJ25" i="29"/>
  <c r="AL25" i="29"/>
  <c r="AO25" i="29"/>
  <c r="AQ25" i="29"/>
  <c r="AT25" i="29"/>
  <c r="AU25" i="29"/>
  <c r="AW25" i="29"/>
  <c r="AX25" i="29"/>
  <c r="AZ25" i="29"/>
  <c r="BC25" i="29"/>
  <c r="BE25" i="29"/>
  <c r="BH25" i="29"/>
  <c r="BJ25" i="29"/>
  <c r="BM25" i="29"/>
  <c r="BO25" i="29"/>
  <c r="BR25" i="29"/>
  <c r="BT25" i="29"/>
  <c r="BW25" i="29"/>
  <c r="BZ25" i="29"/>
  <c r="CA25" i="29"/>
  <c r="CC25" i="29"/>
  <c r="CF25" i="29"/>
  <c r="CH25" i="29"/>
  <c r="CK25" i="29"/>
  <c r="CM25" i="29"/>
  <c r="CP25" i="29"/>
  <c r="CR25" i="29"/>
  <c r="CV25" i="29"/>
  <c r="CU25" i="29"/>
  <c r="CX25" i="29"/>
  <c r="CY25" i="29"/>
  <c r="DA25" i="29"/>
  <c r="DD25" i="29"/>
  <c r="DF25" i="29"/>
  <c r="DI25" i="29"/>
  <c r="DK25" i="29"/>
  <c r="DN25" i="29"/>
  <c r="DP25" i="29"/>
  <c r="DS25" i="29"/>
  <c r="DT25" i="29"/>
  <c r="DV25" i="29"/>
  <c r="DW25" i="29"/>
  <c r="DY25" i="29"/>
  <c r="EB25" i="29"/>
  <c r="ED25" i="29"/>
  <c r="EG25" i="29"/>
  <c r="EI25" i="29"/>
  <c r="EL25" i="29"/>
  <c r="EN25" i="29"/>
  <c r="EQ25" i="29"/>
  <c r="ES25" i="29"/>
  <c r="EV25" i="29"/>
  <c r="FB25" i="29"/>
  <c r="FE25" i="29"/>
  <c r="FG25" i="29"/>
  <c r="FJ25" i="29"/>
  <c r="FL25" i="29"/>
  <c r="FO25" i="29"/>
  <c r="FQ25" i="29"/>
  <c r="FT25" i="29"/>
  <c r="FU25" i="29"/>
  <c r="U25" i="24"/>
  <c r="FW25" i="29"/>
  <c r="FX25" i="29"/>
  <c r="FZ25" i="29"/>
  <c r="GC25" i="29"/>
  <c r="GE25" i="29"/>
  <c r="GH25" i="29"/>
  <c r="GJ25" i="29"/>
  <c r="GM25" i="29"/>
  <c r="GO25" i="29"/>
  <c r="GS25" i="29"/>
  <c r="V25" i="24"/>
  <c r="GR25" i="29"/>
  <c r="GU25" i="29"/>
  <c r="GV25" i="29"/>
  <c r="GX25" i="29"/>
  <c r="HA25" i="29"/>
  <c r="HC25" i="29"/>
  <c r="HF25" i="29"/>
  <c r="HH25" i="29"/>
  <c r="HK25" i="29"/>
  <c r="HM25" i="29"/>
  <c r="HP25" i="29"/>
  <c r="HR25" i="29"/>
  <c r="HU25" i="29"/>
  <c r="HV25" i="29"/>
  <c r="W25" i="24"/>
  <c r="HX25" i="29"/>
  <c r="HY25" i="29"/>
  <c r="IA25" i="29"/>
  <c r="ID25" i="29"/>
  <c r="IF25" i="29"/>
  <c r="II25" i="29"/>
  <c r="IK25" i="29"/>
  <c r="IN25" i="29"/>
  <c r="IP25" i="29"/>
  <c r="IS25" i="29"/>
  <c r="IT25" i="29"/>
  <c r="X25" i="24"/>
  <c r="IV25" i="29"/>
  <c r="IW25" i="29"/>
  <c r="IY25" i="29"/>
  <c r="JB25" i="29"/>
  <c r="JD25" i="29"/>
  <c r="JG25" i="29"/>
  <c r="JI25" i="29"/>
  <c r="JL25" i="29"/>
  <c r="JN25" i="29"/>
  <c r="JR25" i="29"/>
  <c r="Y25" i="24"/>
  <c r="JQ25" i="29"/>
  <c r="JT25" i="29"/>
  <c r="JU25" i="29"/>
  <c r="JW25" i="29"/>
  <c r="JZ25" i="29"/>
  <c r="KB25" i="29"/>
  <c r="KE25" i="29"/>
  <c r="KG25" i="29"/>
  <c r="KJ25" i="29"/>
  <c r="KL25" i="29"/>
  <c r="KO25" i="29"/>
  <c r="KQ25" i="29"/>
  <c r="KU25" i="29"/>
  <c r="Z25" i="24"/>
  <c r="KT25" i="29"/>
  <c r="KW25" i="29"/>
  <c r="KX25" i="29"/>
  <c r="KY25" i="29"/>
  <c r="G26" i="29"/>
  <c r="L26" i="29"/>
  <c r="Q26" i="29"/>
  <c r="V26" i="29"/>
  <c r="Y26" i="29"/>
  <c r="Z26" i="29"/>
  <c r="AE26" i="29"/>
  <c r="AJ26" i="29"/>
  <c r="AO26" i="29"/>
  <c r="AT26" i="29"/>
  <c r="AW26" i="29"/>
  <c r="AX26" i="29"/>
  <c r="BC26" i="29"/>
  <c r="BH26" i="29"/>
  <c r="BM26" i="29"/>
  <c r="BR26" i="29"/>
  <c r="BW26" i="29"/>
  <c r="BZ26" i="29"/>
  <c r="CA26" i="29"/>
  <c r="CF26" i="29"/>
  <c r="CK26" i="29"/>
  <c r="CP26" i="29"/>
  <c r="CU26" i="29"/>
  <c r="CX26" i="29"/>
  <c r="CY26" i="29"/>
  <c r="DD26" i="29"/>
  <c r="DI26" i="29"/>
  <c r="DN26" i="29"/>
  <c r="DS26" i="29"/>
  <c r="DV26" i="29"/>
  <c r="DW26" i="29"/>
  <c r="EB26" i="29"/>
  <c r="EG26" i="29"/>
  <c r="EL26" i="29"/>
  <c r="EQ26" i="29"/>
  <c r="EV26" i="29"/>
  <c r="FE26" i="29"/>
  <c r="FJ26" i="29"/>
  <c r="FO26" i="29"/>
  <c r="FT26" i="29"/>
  <c r="FW26" i="29"/>
  <c r="FX26" i="29"/>
  <c r="GC26" i="29"/>
  <c r="GH26" i="29"/>
  <c r="GM26" i="29"/>
  <c r="GR26" i="29"/>
  <c r="GU26" i="29"/>
  <c r="GV26" i="29"/>
  <c r="HA26" i="29"/>
  <c r="HF26" i="29"/>
  <c r="HK26" i="29"/>
  <c r="HP26" i="29"/>
  <c r="HU26" i="29"/>
  <c r="HX26" i="29"/>
  <c r="HY26" i="29"/>
  <c r="ID26" i="29"/>
  <c r="II26" i="29"/>
  <c r="IN26" i="29"/>
  <c r="IS26" i="29"/>
  <c r="IV26" i="29"/>
  <c r="IW26" i="29"/>
  <c r="JB26" i="29"/>
  <c r="JG26" i="29"/>
  <c r="JL26" i="29"/>
  <c r="JQ26" i="29"/>
  <c r="JT26" i="29"/>
  <c r="JU26" i="29"/>
  <c r="JZ26" i="29"/>
  <c r="KE26" i="29"/>
  <c r="KJ26" i="29"/>
  <c r="KO26" i="29"/>
  <c r="KT26" i="29"/>
  <c r="KW26" i="29"/>
  <c r="KX26" i="29"/>
  <c r="KY26" i="29"/>
  <c r="KZ26" i="29"/>
  <c r="LA26" i="29"/>
  <c r="LB26" i="29"/>
  <c r="D27" i="29"/>
  <c r="G27" i="29"/>
  <c r="I27" i="29"/>
  <c r="L27" i="29"/>
  <c r="N27" i="29"/>
  <c r="Q27" i="29"/>
  <c r="S27" i="29"/>
  <c r="V27" i="29"/>
  <c r="Y27" i="29"/>
  <c r="Z27" i="29"/>
  <c r="AB27" i="29"/>
  <c r="AE27" i="29"/>
  <c r="AG27" i="29"/>
  <c r="AJ27" i="29"/>
  <c r="AL27" i="29"/>
  <c r="AO27" i="29"/>
  <c r="AQ27" i="29"/>
  <c r="AT27" i="29"/>
  <c r="AU27" i="29"/>
  <c r="AW27" i="29"/>
  <c r="AX27" i="29"/>
  <c r="AZ27" i="29"/>
  <c r="BC27" i="29"/>
  <c r="BE27" i="29"/>
  <c r="BH27" i="29"/>
  <c r="BJ27" i="29"/>
  <c r="BM27" i="29"/>
  <c r="BO27" i="29"/>
  <c r="BR27" i="29"/>
  <c r="BT27" i="29"/>
  <c r="BW27" i="29"/>
  <c r="BZ27" i="29"/>
  <c r="CA27" i="29"/>
  <c r="CC27" i="29"/>
  <c r="CF27" i="29"/>
  <c r="CH27" i="29"/>
  <c r="CK27" i="29"/>
  <c r="CM27" i="29"/>
  <c r="CP27" i="29"/>
  <c r="CR27" i="29"/>
  <c r="CU27" i="29"/>
  <c r="CV27" i="29"/>
  <c r="CX27" i="29"/>
  <c r="CY27" i="29"/>
  <c r="DA27" i="29"/>
  <c r="DD27" i="29"/>
  <c r="DF27" i="29"/>
  <c r="DI27" i="29"/>
  <c r="DK27" i="29"/>
  <c r="DN27" i="29"/>
  <c r="DP27" i="29"/>
  <c r="DS27" i="29"/>
  <c r="DT27" i="29"/>
  <c r="DV27" i="29"/>
  <c r="DW27" i="29"/>
  <c r="DY27" i="29"/>
  <c r="EB27" i="29"/>
  <c r="ED27" i="29"/>
  <c r="EG27" i="29"/>
  <c r="EI27" i="29"/>
  <c r="EL27" i="29"/>
  <c r="EN27" i="29"/>
  <c r="EQ27" i="29"/>
  <c r="ES27" i="29"/>
  <c r="EW27" i="29"/>
  <c r="EV27" i="29"/>
  <c r="FB27" i="29"/>
  <c r="FE27" i="29"/>
  <c r="FG27" i="29"/>
  <c r="FJ27" i="29"/>
  <c r="FL27" i="29"/>
  <c r="FO27" i="29"/>
  <c r="FQ27" i="29"/>
  <c r="FT27" i="29"/>
  <c r="FU27" i="29"/>
  <c r="U27" i="24"/>
  <c r="FW27" i="29"/>
  <c r="FX27" i="29"/>
  <c r="FZ27" i="29"/>
  <c r="GC27" i="29"/>
  <c r="GE27" i="29"/>
  <c r="GH27" i="29"/>
  <c r="GJ27" i="29"/>
  <c r="GM27" i="29"/>
  <c r="GO27" i="29"/>
  <c r="GR27" i="29"/>
  <c r="GS27" i="29"/>
  <c r="V27" i="24"/>
  <c r="GU27" i="29"/>
  <c r="GV27" i="29"/>
  <c r="GX27" i="29"/>
  <c r="HA27" i="29"/>
  <c r="HC27" i="29"/>
  <c r="HF27" i="29"/>
  <c r="HH27" i="29"/>
  <c r="HK27" i="29"/>
  <c r="HM27" i="29"/>
  <c r="HP27" i="29"/>
  <c r="HR27" i="29"/>
  <c r="HU27" i="29"/>
  <c r="HV27" i="29"/>
  <c r="W27" i="24"/>
  <c r="HX27" i="29"/>
  <c r="HY27" i="29"/>
  <c r="IA27" i="29"/>
  <c r="ID27" i="29"/>
  <c r="IF27" i="29"/>
  <c r="II27" i="29"/>
  <c r="IK27" i="29"/>
  <c r="IN27" i="29"/>
  <c r="IP27" i="29"/>
  <c r="IT27" i="29"/>
  <c r="X27" i="24"/>
  <c r="IS27" i="29"/>
  <c r="IV27" i="29"/>
  <c r="IW27" i="29"/>
  <c r="IY27" i="29"/>
  <c r="JB27" i="29"/>
  <c r="JD27" i="29"/>
  <c r="JG27" i="29"/>
  <c r="JI27" i="29"/>
  <c r="JL27" i="29"/>
  <c r="JN27" i="29"/>
  <c r="JR27" i="29"/>
  <c r="Y27" i="24"/>
  <c r="JQ27" i="29"/>
  <c r="JT27" i="29"/>
  <c r="JU27" i="29"/>
  <c r="JW27" i="29"/>
  <c r="JZ27" i="29"/>
  <c r="KB27" i="29"/>
  <c r="KE27" i="29"/>
  <c r="KG27" i="29"/>
  <c r="KJ27" i="29"/>
  <c r="KL27" i="29"/>
  <c r="KO27" i="29"/>
  <c r="KQ27" i="29"/>
  <c r="KU27" i="29"/>
  <c r="Z27" i="24"/>
  <c r="KT27" i="29"/>
  <c r="KW27" i="29"/>
  <c r="KX27" i="29"/>
  <c r="KY27" i="29"/>
  <c r="D28" i="29"/>
  <c r="G28" i="29"/>
  <c r="I28" i="29"/>
  <c r="L28" i="29"/>
  <c r="N28" i="29"/>
  <c r="Q28" i="29"/>
  <c r="S28" i="29"/>
  <c r="V28" i="29"/>
  <c r="Y28" i="29"/>
  <c r="Z28" i="29"/>
  <c r="AB28" i="29"/>
  <c r="AE28" i="29"/>
  <c r="AG28" i="29"/>
  <c r="AJ28" i="29"/>
  <c r="AL28" i="29"/>
  <c r="AO28" i="29"/>
  <c r="AQ28" i="29"/>
  <c r="AT28" i="29"/>
  <c r="AW28" i="29"/>
  <c r="AX28" i="29"/>
  <c r="AZ28" i="29"/>
  <c r="BC28" i="29"/>
  <c r="BE28" i="29"/>
  <c r="BH28" i="29"/>
  <c r="BJ28" i="29"/>
  <c r="BM28" i="29"/>
  <c r="BO28" i="29"/>
  <c r="BR28" i="29"/>
  <c r="BT28" i="29"/>
  <c r="BW28" i="29"/>
  <c r="BZ28" i="29"/>
  <c r="CA28" i="29"/>
  <c r="CC28" i="29"/>
  <c r="CF28" i="29"/>
  <c r="CH28" i="29"/>
  <c r="CK28" i="29"/>
  <c r="CM28" i="29"/>
  <c r="CP28" i="29"/>
  <c r="CR28" i="29"/>
  <c r="CV28" i="29"/>
  <c r="CU28" i="29"/>
  <c r="CX28" i="29"/>
  <c r="CY28" i="29"/>
  <c r="DA28" i="29"/>
  <c r="DD28" i="29"/>
  <c r="DF28" i="29"/>
  <c r="DI28" i="29"/>
  <c r="DK28" i="29"/>
  <c r="DN28" i="29"/>
  <c r="DP28" i="29"/>
  <c r="DS28" i="29"/>
  <c r="DT28" i="29"/>
  <c r="DV28" i="29"/>
  <c r="DW28" i="29"/>
  <c r="DY28" i="29"/>
  <c r="EB28" i="29"/>
  <c r="ED28" i="29"/>
  <c r="EG28" i="29"/>
  <c r="EI28" i="29"/>
  <c r="EL28" i="29"/>
  <c r="EN28" i="29"/>
  <c r="EQ28" i="29"/>
  <c r="ES28" i="29"/>
  <c r="EV28" i="29"/>
  <c r="FB28" i="29"/>
  <c r="FE28" i="29"/>
  <c r="FG28" i="29"/>
  <c r="FJ28" i="29"/>
  <c r="FL28" i="29"/>
  <c r="FO28" i="29"/>
  <c r="FQ28" i="29"/>
  <c r="FT28" i="29"/>
  <c r="FU28" i="29"/>
  <c r="U28" i="24"/>
  <c r="FW28" i="29"/>
  <c r="FX28" i="29"/>
  <c r="FZ28" i="29"/>
  <c r="GC28" i="29"/>
  <c r="GE28" i="29"/>
  <c r="GH28" i="29"/>
  <c r="GJ28" i="29"/>
  <c r="GM28" i="29"/>
  <c r="GO28" i="29"/>
  <c r="GR28" i="29"/>
  <c r="GS28" i="29"/>
  <c r="V28" i="24"/>
  <c r="GU28" i="29"/>
  <c r="GV28" i="29"/>
  <c r="GX28" i="29"/>
  <c r="HA28" i="29"/>
  <c r="HC28" i="29"/>
  <c r="HF28" i="29"/>
  <c r="HH28" i="29"/>
  <c r="HK28" i="29"/>
  <c r="HM28" i="29"/>
  <c r="HP28" i="29"/>
  <c r="HR28" i="29"/>
  <c r="HU28" i="29"/>
  <c r="HV28" i="29"/>
  <c r="W28" i="24"/>
  <c r="HX28" i="29"/>
  <c r="HY28" i="29"/>
  <c r="IA28" i="29"/>
  <c r="ID28" i="29"/>
  <c r="IF28" i="29"/>
  <c r="II28" i="29"/>
  <c r="IK28" i="29"/>
  <c r="IN28" i="29"/>
  <c r="IP28" i="29"/>
  <c r="IT28" i="29"/>
  <c r="X28" i="24"/>
  <c r="IS28" i="29"/>
  <c r="IV28" i="29"/>
  <c r="IW28" i="29"/>
  <c r="IY28" i="29"/>
  <c r="JB28" i="29"/>
  <c r="JD28" i="29"/>
  <c r="JG28" i="29"/>
  <c r="JI28" i="29"/>
  <c r="JL28" i="29"/>
  <c r="JN28" i="29"/>
  <c r="JR28" i="29"/>
  <c r="Y28" i="24"/>
  <c r="JQ28" i="29"/>
  <c r="JT28" i="29"/>
  <c r="JU28" i="29"/>
  <c r="JW28" i="29"/>
  <c r="JZ28" i="29"/>
  <c r="KB28" i="29"/>
  <c r="KE28" i="29"/>
  <c r="KG28" i="29"/>
  <c r="KJ28" i="29"/>
  <c r="KL28" i="29"/>
  <c r="KO28" i="29"/>
  <c r="KQ28" i="29"/>
  <c r="KU28" i="29"/>
  <c r="Z28" i="24"/>
  <c r="KT28" i="29"/>
  <c r="KW28" i="29"/>
  <c r="KX28" i="29"/>
  <c r="KY28" i="29"/>
  <c r="D29" i="29"/>
  <c r="D26" i="29"/>
  <c r="G29" i="29"/>
  <c r="I29" i="29"/>
  <c r="I26" i="29"/>
  <c r="L29" i="29"/>
  <c r="N29" i="29"/>
  <c r="N26" i="29"/>
  <c r="Q29" i="29"/>
  <c r="S29" i="29"/>
  <c r="S26" i="29"/>
  <c r="V29" i="29"/>
  <c r="Y29" i="29"/>
  <c r="Z29" i="29"/>
  <c r="AB29" i="29"/>
  <c r="AB26" i="29"/>
  <c r="AE29" i="29"/>
  <c r="AG29" i="29"/>
  <c r="AG26" i="29"/>
  <c r="AJ29" i="29"/>
  <c r="AL29" i="29"/>
  <c r="AL26" i="29"/>
  <c r="AO29" i="29"/>
  <c r="AQ29" i="29"/>
  <c r="AQ26" i="29"/>
  <c r="AT29" i="29"/>
  <c r="AU29" i="29"/>
  <c r="AW29" i="29"/>
  <c r="AX29" i="29"/>
  <c r="AZ29" i="29"/>
  <c r="BC29" i="29"/>
  <c r="BE29" i="29"/>
  <c r="BE26" i="29"/>
  <c r="BH29" i="29"/>
  <c r="BJ29" i="29"/>
  <c r="BJ26" i="29"/>
  <c r="BM29" i="29"/>
  <c r="BO29" i="29"/>
  <c r="BO26" i="29"/>
  <c r="BR29" i="29"/>
  <c r="BT29" i="29"/>
  <c r="BT26" i="29"/>
  <c r="BW29" i="29"/>
  <c r="BZ29" i="29"/>
  <c r="CA29" i="29"/>
  <c r="CC29" i="29"/>
  <c r="CC26" i="29"/>
  <c r="CF29" i="29"/>
  <c r="CH29" i="29"/>
  <c r="CH26" i="29"/>
  <c r="CK29" i="29"/>
  <c r="CM29" i="29"/>
  <c r="CM26" i="29"/>
  <c r="CP29" i="29"/>
  <c r="CR29" i="29"/>
  <c r="CR26" i="29"/>
  <c r="CU29" i="29"/>
  <c r="CX29" i="29"/>
  <c r="CY29" i="29"/>
  <c r="DA29" i="29"/>
  <c r="DA26" i="29"/>
  <c r="DD29" i="29"/>
  <c r="DF29" i="29"/>
  <c r="DF26" i="29"/>
  <c r="DI29" i="29"/>
  <c r="DK29" i="29"/>
  <c r="DK26" i="29"/>
  <c r="DN29" i="29"/>
  <c r="DP29" i="29"/>
  <c r="DP26" i="29"/>
  <c r="DT26" i="29"/>
  <c r="DS29" i="29"/>
  <c r="DT29" i="29"/>
  <c r="DV29" i="29"/>
  <c r="DW29" i="29"/>
  <c r="DY29" i="29"/>
  <c r="DY26" i="29"/>
  <c r="EB29" i="29"/>
  <c r="ED29" i="29"/>
  <c r="ED26" i="29"/>
  <c r="EG29" i="29"/>
  <c r="EI29" i="29"/>
  <c r="EI26" i="29"/>
  <c r="EL29" i="29"/>
  <c r="EN29" i="29"/>
  <c r="EN26" i="29"/>
  <c r="EQ29" i="29"/>
  <c r="ES29" i="29"/>
  <c r="EW29" i="29"/>
  <c r="EV29" i="29"/>
  <c r="FB29" i="29"/>
  <c r="FB26" i="29"/>
  <c r="FE29" i="29"/>
  <c r="FG29" i="29"/>
  <c r="FG26" i="29"/>
  <c r="FJ29" i="29"/>
  <c r="FL29" i="29"/>
  <c r="FL26" i="29"/>
  <c r="FO29" i="29"/>
  <c r="FQ29" i="29"/>
  <c r="FQ26" i="29"/>
  <c r="FU26" i="29"/>
  <c r="U26" i="24"/>
  <c r="FT29" i="29"/>
  <c r="FU29" i="29"/>
  <c r="U29" i="24"/>
  <c r="FW29" i="29"/>
  <c r="FX29" i="29"/>
  <c r="FZ29" i="29"/>
  <c r="FZ26" i="29"/>
  <c r="GC29" i="29"/>
  <c r="GE29" i="29"/>
  <c r="GE26" i="29"/>
  <c r="GH29" i="29"/>
  <c r="GJ29" i="29"/>
  <c r="GJ26" i="29"/>
  <c r="GM29" i="29"/>
  <c r="GO29" i="29"/>
  <c r="GO26" i="29"/>
  <c r="GR29" i="29"/>
  <c r="GS29" i="29"/>
  <c r="V29" i="24"/>
  <c r="GU29" i="29"/>
  <c r="GV29" i="29"/>
  <c r="GX29" i="29"/>
  <c r="GX26" i="29"/>
  <c r="HA29" i="29"/>
  <c r="HC29" i="29"/>
  <c r="HC26" i="29"/>
  <c r="HF29" i="29"/>
  <c r="HH29" i="29"/>
  <c r="HH26" i="29"/>
  <c r="HK29" i="29"/>
  <c r="HM29" i="29"/>
  <c r="HM26" i="29"/>
  <c r="HP29" i="29"/>
  <c r="HR29" i="29"/>
  <c r="HR26" i="29"/>
  <c r="HU29" i="29"/>
  <c r="HV29" i="29"/>
  <c r="W29" i="24"/>
  <c r="HX29" i="29"/>
  <c r="HY29" i="29"/>
  <c r="IA29" i="29"/>
  <c r="IA26" i="29"/>
  <c r="ID29" i="29"/>
  <c r="IF29" i="29"/>
  <c r="IF26" i="29"/>
  <c r="II29" i="29"/>
  <c r="IK29" i="29"/>
  <c r="IK26" i="29"/>
  <c r="IN29" i="29"/>
  <c r="IP29" i="29"/>
  <c r="IP26" i="29"/>
  <c r="IT26" i="29"/>
  <c r="X26" i="24"/>
  <c r="IS29" i="29"/>
  <c r="IT29" i="29"/>
  <c r="X29" i="24"/>
  <c r="IV29" i="29"/>
  <c r="IW29" i="29"/>
  <c r="IY29" i="29"/>
  <c r="IY26" i="29"/>
  <c r="JB29" i="29"/>
  <c r="JD29" i="29"/>
  <c r="JD26" i="29"/>
  <c r="JG29" i="29"/>
  <c r="JI29" i="29"/>
  <c r="JI26" i="29"/>
  <c r="JL29" i="29"/>
  <c r="JN29" i="29"/>
  <c r="JQ29" i="29"/>
  <c r="JT29" i="29"/>
  <c r="JU29" i="29"/>
  <c r="JW29" i="29"/>
  <c r="JW26" i="29"/>
  <c r="JZ29" i="29"/>
  <c r="KB29" i="29"/>
  <c r="KB26" i="29"/>
  <c r="KE29" i="29"/>
  <c r="KG29" i="29"/>
  <c r="KG26" i="29"/>
  <c r="KJ29" i="29"/>
  <c r="KL29" i="29"/>
  <c r="KL26" i="29"/>
  <c r="KO29" i="29"/>
  <c r="KQ29" i="29"/>
  <c r="KT29" i="29"/>
  <c r="KW29" i="29"/>
  <c r="KX29" i="29"/>
  <c r="KY29" i="29"/>
  <c r="D30" i="29"/>
  <c r="G30" i="29"/>
  <c r="I30" i="29"/>
  <c r="L30" i="29"/>
  <c r="N30" i="29"/>
  <c r="Q30" i="29"/>
  <c r="S30" i="29"/>
  <c r="V30" i="29"/>
  <c r="Y30" i="29"/>
  <c r="Z30" i="29"/>
  <c r="AB30" i="29"/>
  <c r="AE30" i="29"/>
  <c r="AG30" i="29"/>
  <c r="AG33" i="29"/>
  <c r="AJ30" i="29"/>
  <c r="AL30" i="29"/>
  <c r="AO30" i="29"/>
  <c r="AQ30" i="29"/>
  <c r="AT30" i="29"/>
  <c r="AU30" i="29"/>
  <c r="AW30" i="29"/>
  <c r="AX30" i="29"/>
  <c r="AZ30" i="29"/>
  <c r="BC30" i="29"/>
  <c r="BE30" i="29"/>
  <c r="BH30" i="29"/>
  <c r="BJ30" i="29"/>
  <c r="BM30" i="29"/>
  <c r="BO30" i="29"/>
  <c r="BR30" i="29"/>
  <c r="BT30" i="29"/>
  <c r="BW30" i="29"/>
  <c r="BZ30" i="29"/>
  <c r="CA30" i="29"/>
  <c r="CC30" i="29"/>
  <c r="CF30" i="29"/>
  <c r="CH30" i="29"/>
  <c r="CK30" i="29"/>
  <c r="CM30" i="29"/>
  <c r="CP30" i="29"/>
  <c r="CR30" i="29"/>
  <c r="CU30" i="29"/>
  <c r="CV30" i="29"/>
  <c r="CX30" i="29"/>
  <c r="CY30" i="29"/>
  <c r="DA30" i="29"/>
  <c r="DA34" i="29"/>
  <c r="DD30" i="29"/>
  <c r="DF30" i="29"/>
  <c r="DI30" i="29"/>
  <c r="DK30" i="29"/>
  <c r="DK34" i="29"/>
  <c r="DN30" i="29"/>
  <c r="DP30" i="29"/>
  <c r="DS30" i="29"/>
  <c r="DT30" i="29"/>
  <c r="DV30" i="29"/>
  <c r="DW30" i="29"/>
  <c r="DY30" i="29"/>
  <c r="DY34" i="29"/>
  <c r="EB30" i="29"/>
  <c r="ED30" i="29"/>
  <c r="EG30" i="29"/>
  <c r="EI30" i="29"/>
  <c r="EL30" i="29"/>
  <c r="EN30" i="29"/>
  <c r="EQ30" i="29"/>
  <c r="ES30" i="29"/>
  <c r="EV30" i="29"/>
  <c r="FB30" i="29"/>
  <c r="FB34" i="29"/>
  <c r="FE30" i="29"/>
  <c r="FG30" i="29"/>
  <c r="FJ30" i="29"/>
  <c r="FL30" i="29"/>
  <c r="FL34" i="29"/>
  <c r="FO30" i="29"/>
  <c r="FQ30" i="29"/>
  <c r="FT30" i="29"/>
  <c r="FU30" i="29"/>
  <c r="U30" i="24"/>
  <c r="FW30" i="29"/>
  <c r="FX30" i="29"/>
  <c r="FZ30" i="29"/>
  <c r="GC30" i="29"/>
  <c r="GE30" i="29"/>
  <c r="GH30" i="29"/>
  <c r="GJ30" i="29"/>
  <c r="GM30" i="29"/>
  <c r="GO30" i="29"/>
  <c r="GS30" i="29"/>
  <c r="V30" i="24"/>
  <c r="GR30" i="29"/>
  <c r="GU30" i="29"/>
  <c r="GV30" i="29"/>
  <c r="GX30" i="29"/>
  <c r="HA30" i="29"/>
  <c r="HC30" i="29"/>
  <c r="HF30" i="29"/>
  <c r="HH30" i="29"/>
  <c r="HK30" i="29"/>
  <c r="HM30" i="29"/>
  <c r="HP30" i="29"/>
  <c r="HR30" i="29"/>
  <c r="HU30" i="29"/>
  <c r="HV30" i="29"/>
  <c r="W30" i="24"/>
  <c r="HX30" i="29"/>
  <c r="HY30" i="29"/>
  <c r="IA30" i="29"/>
  <c r="ID30" i="29"/>
  <c r="IF30" i="29"/>
  <c r="II30" i="29"/>
  <c r="IK30" i="29"/>
  <c r="IN30" i="29"/>
  <c r="IP30" i="29"/>
  <c r="IT30" i="29"/>
  <c r="X30" i="24"/>
  <c r="IS30" i="29"/>
  <c r="IV30" i="29"/>
  <c r="IW30" i="29"/>
  <c r="IY30" i="29"/>
  <c r="JB30" i="29"/>
  <c r="JD30" i="29"/>
  <c r="JG30" i="29"/>
  <c r="JI30" i="29"/>
  <c r="JL30" i="29"/>
  <c r="JN30" i="29"/>
  <c r="JR30" i="29"/>
  <c r="Y30" i="24"/>
  <c r="JQ30" i="29"/>
  <c r="JT30" i="29"/>
  <c r="JU30" i="29"/>
  <c r="JW30" i="29"/>
  <c r="JW35" i="29"/>
  <c r="CZ4" i="27"/>
  <c r="JZ30" i="29"/>
  <c r="KB30" i="29"/>
  <c r="KE30" i="29"/>
  <c r="KG30" i="29"/>
  <c r="KJ30" i="29"/>
  <c r="KL30" i="29"/>
  <c r="KO30" i="29"/>
  <c r="KQ30" i="29"/>
  <c r="KU30" i="29"/>
  <c r="KT30" i="29"/>
  <c r="KW30" i="29"/>
  <c r="KX30" i="29"/>
  <c r="KY30" i="29"/>
  <c r="W31" i="29"/>
  <c r="Y31" i="29"/>
  <c r="Z31" i="29"/>
  <c r="AU31" i="29"/>
  <c r="AW31" i="29"/>
  <c r="AX31" i="29"/>
  <c r="BX31" i="29"/>
  <c r="BZ31" i="29"/>
  <c r="CA31" i="29"/>
  <c r="CV31" i="29"/>
  <c r="CX31" i="29"/>
  <c r="CY31" i="29"/>
  <c r="DT31" i="29"/>
  <c r="DV31" i="29"/>
  <c r="DW31" i="29"/>
  <c r="EW31" i="29"/>
  <c r="FU31" i="29"/>
  <c r="U31" i="24"/>
  <c r="FW31" i="29"/>
  <c r="FX31" i="29"/>
  <c r="GS31" i="29"/>
  <c r="V31" i="24"/>
  <c r="GU31" i="29"/>
  <c r="GV31" i="29"/>
  <c r="HV31" i="29"/>
  <c r="W31" i="24"/>
  <c r="HX31" i="29"/>
  <c r="HY31" i="29"/>
  <c r="IT31" i="29"/>
  <c r="X31" i="24"/>
  <c r="IV31" i="29"/>
  <c r="IW31" i="29"/>
  <c r="JR31" i="29"/>
  <c r="Y31" i="24"/>
  <c r="JT31" i="29"/>
  <c r="JU31" i="29"/>
  <c r="KU31" i="29"/>
  <c r="Z31" i="24"/>
  <c r="KW31" i="29"/>
  <c r="KX31" i="29"/>
  <c r="KY31" i="29"/>
  <c r="W32" i="29"/>
  <c r="Y32" i="29"/>
  <c r="Z32" i="29"/>
  <c r="AU32" i="29"/>
  <c r="AW32" i="29"/>
  <c r="AX32" i="29"/>
  <c r="BX32" i="29"/>
  <c r="BZ32" i="29"/>
  <c r="CA32" i="29"/>
  <c r="CV32" i="29"/>
  <c r="CX32" i="29"/>
  <c r="CY32" i="29"/>
  <c r="DT32" i="29"/>
  <c r="DV32" i="29"/>
  <c r="DW32" i="29"/>
  <c r="EW32" i="29"/>
  <c r="FU32" i="29"/>
  <c r="U32" i="24"/>
  <c r="FW32" i="29"/>
  <c r="FX32" i="29"/>
  <c r="GS32" i="29"/>
  <c r="V32" i="24"/>
  <c r="GU32" i="29"/>
  <c r="GV32" i="29"/>
  <c r="HV32" i="29"/>
  <c r="W32" i="24"/>
  <c r="HX32" i="29"/>
  <c r="HY32" i="29"/>
  <c r="IT32" i="29"/>
  <c r="X32" i="24"/>
  <c r="IV32" i="29"/>
  <c r="IW32" i="29"/>
  <c r="JR32" i="29"/>
  <c r="Y32" i="24"/>
  <c r="JT32" i="29"/>
  <c r="JU32" i="29"/>
  <c r="KU32" i="29"/>
  <c r="Z32" i="24"/>
  <c r="KW32" i="29"/>
  <c r="KX32" i="29"/>
  <c r="KY32" i="29"/>
  <c r="KZ32" i="29"/>
  <c r="LA32" i="29"/>
  <c r="LB32" i="29"/>
  <c r="D33" i="29"/>
  <c r="N33" i="29"/>
  <c r="S33" i="29"/>
  <c r="Y33" i="29"/>
  <c r="Z33" i="29"/>
  <c r="AB33" i="29"/>
  <c r="AQ33" i="29"/>
  <c r="AW33" i="29"/>
  <c r="AX33" i="29"/>
  <c r="AZ33" i="29"/>
  <c r="BE33" i="29"/>
  <c r="BJ33" i="29"/>
  <c r="BO33" i="29"/>
  <c r="BT33" i="29"/>
  <c r="BX33" i="29"/>
  <c r="BZ33" i="29"/>
  <c r="CA33" i="29"/>
  <c r="CH33" i="29"/>
  <c r="CK33" i="29"/>
  <c r="CR33" i="29"/>
  <c r="CU33" i="29"/>
  <c r="CX33" i="29"/>
  <c r="CY33" i="29"/>
  <c r="DT33" i="29"/>
  <c r="DV33" i="29"/>
  <c r="DW33" i="29"/>
  <c r="EW33" i="29"/>
  <c r="FU33" i="29"/>
  <c r="U33" i="24"/>
  <c r="FW33" i="29"/>
  <c r="FX33" i="29"/>
  <c r="GS33" i="29"/>
  <c r="V33" i="24"/>
  <c r="GU33" i="29"/>
  <c r="GV33" i="29"/>
  <c r="HV33" i="29"/>
  <c r="W33" i="24"/>
  <c r="HX33" i="29"/>
  <c r="HY33" i="29"/>
  <c r="IT33" i="29"/>
  <c r="X33" i="24"/>
  <c r="IV33" i="29"/>
  <c r="IW33" i="29"/>
  <c r="JR33" i="29"/>
  <c r="Y33" i="24"/>
  <c r="JT33" i="29"/>
  <c r="JU33" i="29"/>
  <c r="KU33" i="29"/>
  <c r="Z33" i="24"/>
  <c r="KW33" i="29"/>
  <c r="KX33" i="29"/>
  <c r="KY33" i="29"/>
  <c r="D34" i="29"/>
  <c r="N34" i="29"/>
  <c r="S34" i="29"/>
  <c r="Y34" i="29"/>
  <c r="Z34" i="29"/>
  <c r="AB34" i="29"/>
  <c r="AQ34" i="29"/>
  <c r="AW34" i="29"/>
  <c r="AX34" i="29"/>
  <c r="AZ34" i="29"/>
  <c r="BE34" i="29"/>
  <c r="BJ34" i="29"/>
  <c r="BO34" i="29"/>
  <c r="BT34" i="29"/>
  <c r="BX34" i="29"/>
  <c r="BZ34" i="29"/>
  <c r="CA34" i="29"/>
  <c r="CH34" i="29"/>
  <c r="CK34" i="29"/>
  <c r="CR34" i="29"/>
  <c r="CX34" i="29"/>
  <c r="CY34" i="29"/>
  <c r="DD34" i="29"/>
  <c r="DF34" i="29"/>
  <c r="DI34" i="29"/>
  <c r="DN34" i="29"/>
  <c r="DP34" i="29"/>
  <c r="DT34" i="29"/>
  <c r="DV34" i="29"/>
  <c r="DW34" i="29"/>
  <c r="ED34" i="29"/>
  <c r="EI34" i="29"/>
  <c r="EN34" i="29"/>
  <c r="FG34" i="29"/>
  <c r="FQ34" i="29"/>
  <c r="FW34" i="29"/>
  <c r="FX34" i="29"/>
  <c r="GS34" i="29"/>
  <c r="V34" i="24"/>
  <c r="GU34" i="29"/>
  <c r="GV34" i="29"/>
  <c r="HV34" i="29"/>
  <c r="W34" i="24"/>
  <c r="HX34" i="29"/>
  <c r="HY34" i="29"/>
  <c r="IT34" i="29"/>
  <c r="X34" i="24"/>
  <c r="IV34" i="29"/>
  <c r="IW34" i="29"/>
  <c r="JR34" i="29"/>
  <c r="Y34" i="24"/>
  <c r="JT34" i="29"/>
  <c r="JU34" i="29"/>
  <c r="KU34" i="29"/>
  <c r="Z34" i="24"/>
  <c r="KW34" i="29"/>
  <c r="KX34" i="29"/>
  <c r="KY34" i="29"/>
  <c r="DX35" i="29"/>
  <c r="EC35" i="29"/>
  <c r="ED35" i="29"/>
  <c r="EF35" i="29"/>
  <c r="EG35" i="29"/>
  <c r="EH35" i="29"/>
  <c r="EK35" i="29"/>
  <c r="EL35" i="29"/>
  <c r="EM35" i="29"/>
  <c r="EN35" i="29"/>
  <c r="EP35" i="29"/>
  <c r="EQ35" i="29"/>
  <c r="ER35" i="29"/>
  <c r="EU35" i="29"/>
  <c r="EX35" i="29"/>
  <c r="FA35" i="29"/>
  <c r="FB35" i="29"/>
  <c r="FD35" i="29"/>
  <c r="FE35" i="29"/>
  <c r="FF35" i="29"/>
  <c r="FI35" i="29"/>
  <c r="FJ35" i="29"/>
  <c r="FK35" i="29"/>
  <c r="FL35" i="29"/>
  <c r="FN35" i="29"/>
  <c r="FO35" i="29"/>
  <c r="FP35" i="29"/>
  <c r="FS35" i="29"/>
  <c r="FV35" i="29"/>
  <c r="FY35" i="29"/>
  <c r="FZ35" i="29"/>
  <c r="GB35" i="29"/>
  <c r="GC35" i="29"/>
  <c r="GD35" i="29"/>
  <c r="GG35" i="29"/>
  <c r="GH35" i="29"/>
  <c r="GI35" i="29"/>
  <c r="GJ35" i="29"/>
  <c r="GL35" i="29"/>
  <c r="GM35" i="29"/>
  <c r="GN35" i="29"/>
  <c r="GQ35" i="29"/>
  <c r="GT35" i="29"/>
  <c r="GW35" i="29"/>
  <c r="GX35" i="29"/>
  <c r="GZ35" i="29"/>
  <c r="HA35" i="29"/>
  <c r="HB35" i="29"/>
  <c r="HE35" i="29"/>
  <c r="HF35" i="29"/>
  <c r="HG35" i="29"/>
  <c r="HH35" i="29"/>
  <c r="HJ35" i="29"/>
  <c r="HK35" i="29"/>
  <c r="HL35" i="29"/>
  <c r="HO35" i="29"/>
  <c r="HQ35" i="29"/>
  <c r="HR35" i="29"/>
  <c r="HT35" i="29"/>
  <c r="HU35" i="29"/>
  <c r="HW35" i="29"/>
  <c r="HX35" i="29"/>
  <c r="HY35" i="29"/>
  <c r="HZ35" i="29"/>
  <c r="IC35" i="29"/>
  <c r="IE35" i="29"/>
  <c r="IF35" i="29"/>
  <c r="IH35" i="29"/>
  <c r="II35" i="29"/>
  <c r="IJ35" i="29"/>
  <c r="IM35" i="29"/>
  <c r="IN35" i="29"/>
  <c r="IO35" i="29"/>
  <c r="IP35" i="29"/>
  <c r="IR35" i="29"/>
  <c r="IS35" i="29"/>
  <c r="IT35" i="29"/>
  <c r="IU35" i="29"/>
  <c r="IV35" i="29"/>
  <c r="IW35" i="29"/>
  <c r="IX35" i="29"/>
  <c r="IY35" i="29"/>
  <c r="CU4" i="27"/>
  <c r="JA35" i="29"/>
  <c r="JB35" i="29"/>
  <c r="JC35" i="29"/>
  <c r="JD35" i="29"/>
  <c r="JF35" i="29"/>
  <c r="JG35" i="29"/>
  <c r="JH35" i="29"/>
  <c r="JI35" i="29"/>
  <c r="CW4" i="27"/>
  <c r="JK35" i="29"/>
  <c r="JL35" i="29"/>
  <c r="JM35" i="29"/>
  <c r="JP35" i="29"/>
  <c r="JQ35" i="29"/>
  <c r="JS35" i="29"/>
  <c r="JT35" i="29"/>
  <c r="JU35" i="29"/>
  <c r="JV35" i="29"/>
  <c r="JX35" i="29"/>
  <c r="JY35" i="29"/>
  <c r="KA35" i="29"/>
  <c r="KB35" i="29"/>
  <c r="KD35" i="29"/>
  <c r="KE35" i="29"/>
  <c r="KF35" i="29"/>
  <c r="KI35" i="29"/>
  <c r="KJ35" i="29"/>
  <c r="KK35" i="29"/>
  <c r="KL35" i="29"/>
  <c r="KN35" i="29"/>
  <c r="KO35" i="29"/>
  <c r="KP35" i="29"/>
  <c r="KS35" i="29"/>
  <c r="KT35" i="29"/>
  <c r="KV35" i="29"/>
  <c r="KY35" i="29"/>
  <c r="BN39" i="29"/>
  <c r="BO39" i="29"/>
  <c r="BP39" i="29"/>
  <c r="BQ39" i="29"/>
  <c r="BS39" i="29"/>
  <c r="BT39" i="29"/>
  <c r="BV39" i="29"/>
  <c r="BW39" i="29"/>
  <c r="BY39" i="29"/>
  <c r="BZ39" i="29"/>
  <c r="CA39" i="29"/>
  <c r="CB39" i="29"/>
  <c r="CC39" i="29"/>
  <c r="CE39" i="29"/>
  <c r="CF39" i="29"/>
  <c r="CG39" i="29"/>
  <c r="CH39" i="29"/>
  <c r="CI39" i="29"/>
  <c r="CJ39" i="29"/>
  <c r="CK39" i="29"/>
  <c r="CL39" i="29"/>
  <c r="CM39" i="29"/>
  <c r="CO39" i="29"/>
  <c r="CP39" i="29"/>
  <c r="CQ39" i="29"/>
  <c r="CR39" i="29"/>
  <c r="CS39" i="29"/>
  <c r="CT39" i="29"/>
  <c r="CU39" i="29"/>
  <c r="CV39" i="29"/>
  <c r="CW39" i="29"/>
  <c r="CX39" i="29"/>
  <c r="CY39" i="29"/>
  <c r="CZ39" i="29"/>
  <c r="DA39" i="29"/>
  <c r="DB39" i="29"/>
  <c r="DC39" i="29"/>
  <c r="DD39" i="29"/>
  <c r="DE39" i="29"/>
  <c r="DF39" i="29"/>
  <c r="DG39" i="29"/>
  <c r="DH39" i="29"/>
  <c r="DI39" i="29"/>
  <c r="DJ39" i="29"/>
  <c r="DK39" i="29"/>
  <c r="DL39" i="29"/>
  <c r="DM39" i="29"/>
  <c r="DN39" i="29"/>
  <c r="DO39" i="29"/>
  <c r="DP39" i="29"/>
  <c r="DR39" i="29"/>
  <c r="DS39" i="29"/>
  <c r="DT39" i="29"/>
  <c r="DU39" i="29"/>
  <c r="DV39" i="29"/>
  <c r="DW39" i="29"/>
  <c r="DX39" i="29"/>
  <c r="DY39" i="29"/>
  <c r="EA39" i="29"/>
  <c r="EB39" i="29"/>
  <c r="EC39" i="29"/>
  <c r="ED39" i="29"/>
  <c r="EE39" i="29"/>
  <c r="EF39" i="29"/>
  <c r="EG39" i="29"/>
  <c r="EH39" i="29"/>
  <c r="EI39" i="29"/>
  <c r="EJ39" i="29"/>
  <c r="EK39" i="29"/>
  <c r="EL39" i="29"/>
  <c r="EM39" i="29"/>
  <c r="EN39" i="29"/>
  <c r="EP39" i="29"/>
  <c r="EQ39" i="29"/>
  <c r="ER39" i="29"/>
  <c r="ES39" i="29"/>
  <c r="ET39" i="29"/>
  <c r="EU39" i="29"/>
  <c r="EV39" i="29"/>
  <c r="EW39" i="29"/>
  <c r="EX39" i="29"/>
  <c r="EY39" i="29"/>
  <c r="EZ39" i="29"/>
  <c r="FA39" i="29"/>
  <c r="FB39" i="29"/>
  <c r="FC39" i="29"/>
  <c r="FD39" i="29"/>
  <c r="FE39" i="29"/>
  <c r="FF39" i="29"/>
  <c r="FG39" i="29"/>
  <c r="FH39" i="29"/>
  <c r="FI39" i="29"/>
  <c r="FJ39" i="29"/>
  <c r="FK39" i="29"/>
  <c r="FL39" i="29"/>
  <c r="FN39" i="29"/>
  <c r="FO39" i="29"/>
  <c r="FP39" i="29"/>
  <c r="FQ39" i="29"/>
  <c r="FS39" i="29"/>
  <c r="FT39" i="29"/>
  <c r="FU39" i="29"/>
  <c r="FV39" i="29"/>
  <c r="FW39" i="29"/>
  <c r="FX39" i="29"/>
  <c r="FY39" i="29"/>
  <c r="FZ39" i="29"/>
  <c r="GA39" i="29"/>
  <c r="GB39" i="29"/>
  <c r="GC39" i="29"/>
  <c r="GD39" i="29"/>
  <c r="GE39" i="29"/>
  <c r="GF39" i="29"/>
  <c r="GG39" i="29"/>
  <c r="GH39" i="29"/>
  <c r="GI39" i="29"/>
  <c r="GJ39" i="29"/>
  <c r="GL39" i="29"/>
  <c r="GM39" i="29"/>
  <c r="GN39" i="29"/>
  <c r="GO39" i="29"/>
  <c r="GP39" i="29"/>
  <c r="GQ39" i="29"/>
  <c r="GR39" i="29"/>
  <c r="GS39" i="29"/>
  <c r="GT39" i="29"/>
  <c r="GU39" i="29"/>
  <c r="GV39" i="29"/>
  <c r="GW39" i="29"/>
  <c r="GX39" i="29"/>
  <c r="GY39" i="29"/>
  <c r="GZ39" i="29"/>
  <c r="HA39" i="29"/>
  <c r="HB39" i="29"/>
  <c r="HC39" i="29"/>
  <c r="HD39" i="29"/>
  <c r="HE39" i="29"/>
  <c r="HF39" i="29"/>
  <c r="HG39" i="29"/>
  <c r="HH39" i="29"/>
  <c r="HJ39" i="29"/>
  <c r="HK39" i="29"/>
  <c r="HL39" i="29"/>
  <c r="HM39" i="29"/>
  <c r="HO39" i="29"/>
  <c r="HP39" i="29"/>
  <c r="HQ39" i="29"/>
  <c r="HR39" i="29"/>
  <c r="HS39" i="29"/>
  <c r="HT39" i="29"/>
  <c r="HU39" i="29"/>
  <c r="HV39" i="29"/>
  <c r="HW39" i="29"/>
  <c r="HX39" i="29"/>
  <c r="HZ39" i="29"/>
  <c r="IA39" i="29"/>
  <c r="IB39" i="29"/>
  <c r="IC39" i="29"/>
  <c r="ID39" i="29"/>
  <c r="IE39" i="29"/>
  <c r="IF39" i="29"/>
  <c r="IH39" i="29"/>
  <c r="II39" i="29"/>
  <c r="IJ39" i="29"/>
  <c r="IK39" i="29"/>
  <c r="IM39" i="29"/>
  <c r="IN39" i="29"/>
  <c r="IO39" i="29"/>
  <c r="IP39" i="29"/>
  <c r="IQ39" i="29"/>
  <c r="IR39" i="29"/>
  <c r="IS39" i="29"/>
  <c r="IT39" i="29"/>
  <c r="IU39" i="29"/>
  <c r="IV39" i="29"/>
  <c r="IW39" i="29"/>
  <c r="IX39" i="29"/>
  <c r="IY39" i="29"/>
  <c r="IZ39" i="29"/>
  <c r="JA39" i="29"/>
  <c r="JB39" i="29"/>
  <c r="JC39" i="29"/>
  <c r="JD39" i="29"/>
  <c r="JF39" i="29"/>
  <c r="JG39" i="29"/>
  <c r="JH39" i="29"/>
  <c r="JI39" i="29"/>
  <c r="JJ39" i="29"/>
  <c r="JK39" i="29"/>
  <c r="JL39" i="29"/>
  <c r="JM39" i="29"/>
  <c r="JN39" i="29"/>
  <c r="JO39" i="29"/>
  <c r="JP39" i="29"/>
  <c r="JQ39" i="29"/>
  <c r="JR39" i="29"/>
  <c r="JS39" i="29"/>
  <c r="JT39" i="29"/>
  <c r="JV39" i="29"/>
  <c r="JW39" i="29"/>
  <c r="JX39" i="29"/>
  <c r="JY39" i="29"/>
  <c r="JZ39" i="29"/>
  <c r="KA39" i="29"/>
  <c r="KB39" i="29"/>
  <c r="KC39" i="29"/>
  <c r="KD39" i="29"/>
  <c r="KE39" i="29"/>
  <c r="KF39" i="29"/>
  <c r="KG39" i="29"/>
  <c r="KH39" i="29"/>
  <c r="KI39" i="29"/>
  <c r="KJ39" i="29"/>
  <c r="KK39" i="29"/>
  <c r="KL39" i="29"/>
  <c r="KM39" i="29"/>
  <c r="KN39" i="29"/>
  <c r="KO39" i="29"/>
  <c r="KP39" i="29"/>
  <c r="KQ39" i="29"/>
  <c r="KR39" i="29"/>
  <c r="KS39" i="29"/>
  <c r="KT39" i="29"/>
  <c r="KU39" i="29"/>
  <c r="KV39" i="29"/>
  <c r="KW39" i="29"/>
  <c r="KX39" i="29"/>
  <c r="KY39" i="29"/>
  <c r="BN40" i="29"/>
  <c r="BO40" i="29"/>
  <c r="BQ40" i="29"/>
  <c r="BR40" i="29"/>
  <c r="BS40" i="29"/>
  <c r="BT40" i="29"/>
  <c r="BV40" i="29"/>
  <c r="BW40" i="29"/>
  <c r="BY40" i="29"/>
  <c r="BZ40" i="29"/>
  <c r="CA40" i="29"/>
  <c r="CB40" i="29"/>
  <c r="CC40" i="29"/>
  <c r="CE40" i="29"/>
  <c r="CF40" i="29"/>
  <c r="CG40" i="29"/>
  <c r="CH40" i="29"/>
  <c r="CI40" i="29"/>
  <c r="CJ40" i="29"/>
  <c r="CK40" i="29"/>
  <c r="CL40" i="29"/>
  <c r="CM40" i="29"/>
  <c r="CN40" i="29"/>
  <c r="CO40" i="29"/>
  <c r="CP40" i="29"/>
  <c r="CQ40" i="29"/>
  <c r="CR40" i="29"/>
  <c r="CS40" i="29"/>
  <c r="CT40" i="29"/>
  <c r="CU40" i="29"/>
  <c r="CV40" i="29"/>
  <c r="CW40" i="29"/>
  <c r="CX40" i="29"/>
  <c r="CZ40" i="29"/>
  <c r="DA40" i="29"/>
  <c r="DB40" i="29"/>
  <c r="DC40" i="29"/>
  <c r="DD40" i="29"/>
  <c r="DE40" i="29"/>
  <c r="DF40" i="29"/>
  <c r="DH40" i="29"/>
  <c r="DI40" i="29"/>
  <c r="DJ40" i="29"/>
  <c r="DK40" i="29"/>
  <c r="DL40" i="29"/>
  <c r="DM40" i="29"/>
  <c r="DN40" i="29"/>
  <c r="DO40" i="29"/>
  <c r="DP40" i="29"/>
  <c r="DQ40" i="29"/>
  <c r="DR40" i="29"/>
  <c r="DS40" i="29"/>
  <c r="DT40" i="29"/>
  <c r="DU40" i="29"/>
  <c r="DV40" i="29"/>
  <c r="DX40" i="29"/>
  <c r="DY40" i="29"/>
  <c r="DZ40" i="29"/>
  <c r="EA40" i="29"/>
  <c r="EB40" i="29"/>
  <c r="EC40" i="29"/>
  <c r="ED40" i="29"/>
  <c r="EF40" i="29"/>
  <c r="EG40" i="29"/>
  <c r="EH40" i="29"/>
  <c r="EI40" i="29"/>
  <c r="EJ40" i="29"/>
  <c r="EK40" i="29"/>
  <c r="EL40" i="29"/>
  <c r="EM40" i="29"/>
  <c r="EN40" i="29"/>
  <c r="EO40" i="29"/>
  <c r="EP40" i="29"/>
  <c r="EQ40" i="29"/>
  <c r="ER40" i="29"/>
  <c r="ES40" i="29"/>
  <c r="ET40" i="29"/>
  <c r="EU40" i="29"/>
  <c r="EV40" i="29"/>
  <c r="EX40" i="29"/>
  <c r="EY40" i="29"/>
  <c r="EZ40" i="29"/>
  <c r="FA40" i="29"/>
  <c r="FB40" i="29"/>
  <c r="FD40" i="29"/>
  <c r="FE40" i="29"/>
  <c r="FF40" i="29"/>
  <c r="FI40" i="29"/>
  <c r="FJ40" i="29"/>
  <c r="FK40" i="29"/>
  <c r="FL40" i="29"/>
  <c r="FM40" i="29"/>
  <c r="FN40" i="29"/>
  <c r="FO40" i="29"/>
  <c r="FP40" i="29"/>
  <c r="FS40" i="29"/>
  <c r="FT40" i="29"/>
  <c r="FV40" i="29"/>
  <c r="FW40" i="29"/>
  <c r="FX40" i="29"/>
  <c r="FY40" i="29"/>
  <c r="FZ40" i="29"/>
  <c r="GA40" i="29"/>
  <c r="GB40" i="29"/>
  <c r="GC40" i="29"/>
  <c r="GD40" i="29"/>
  <c r="GE40" i="29"/>
  <c r="GF40" i="29"/>
  <c r="GG40" i="29"/>
  <c r="GH40" i="29"/>
  <c r="GI40" i="29"/>
  <c r="GJ40" i="29"/>
  <c r="GL40" i="29"/>
  <c r="GM40" i="29"/>
  <c r="GN40" i="29"/>
  <c r="GO40" i="29"/>
  <c r="GP40" i="29"/>
  <c r="GQ40" i="29"/>
  <c r="GR40" i="29"/>
  <c r="GS40" i="29"/>
  <c r="GT40" i="29"/>
  <c r="GU40" i="29"/>
  <c r="GV40" i="29"/>
  <c r="GW40" i="29"/>
  <c r="GX40" i="29"/>
  <c r="GY40" i="29"/>
  <c r="GZ40" i="29"/>
  <c r="HA40" i="29"/>
  <c r="HB40" i="29"/>
  <c r="HC40" i="29"/>
  <c r="HD40" i="29"/>
  <c r="HE40" i="29"/>
  <c r="HF40" i="29"/>
  <c r="HG40" i="29"/>
  <c r="HH40" i="29"/>
  <c r="HJ40" i="29"/>
  <c r="HK40" i="29"/>
  <c r="HL40" i="29"/>
  <c r="HM40" i="29"/>
  <c r="HN40" i="29"/>
  <c r="HO40" i="29"/>
  <c r="HP40" i="29"/>
  <c r="HQ40" i="29"/>
  <c r="HR40" i="29"/>
  <c r="HS40" i="29"/>
  <c r="HT40" i="29"/>
  <c r="HU40" i="29"/>
  <c r="HV40" i="29"/>
  <c r="HW40" i="29"/>
  <c r="HX40" i="29"/>
  <c r="HZ40" i="29"/>
  <c r="IA40" i="29"/>
  <c r="IB40" i="29"/>
  <c r="IC40" i="29"/>
  <c r="ID40" i="29"/>
  <c r="IE40" i="29"/>
  <c r="IF40" i="29"/>
  <c r="IH40" i="29"/>
  <c r="II40" i="29"/>
  <c r="IJ40" i="29"/>
  <c r="IK40" i="29"/>
  <c r="IL40" i="29"/>
  <c r="IM40" i="29"/>
  <c r="IN40" i="29"/>
  <c r="IO40" i="29"/>
  <c r="IP40" i="29"/>
  <c r="IQ40" i="29"/>
  <c r="IR40" i="29"/>
  <c r="IS40" i="29"/>
  <c r="IT40" i="29"/>
  <c r="IU40" i="29"/>
  <c r="IV40" i="29"/>
  <c r="IX40" i="29"/>
  <c r="IY40" i="29"/>
  <c r="IZ40" i="29"/>
  <c r="JA40" i="29"/>
  <c r="JB40" i="29"/>
  <c r="JC40" i="29"/>
  <c r="JD40" i="29"/>
  <c r="JF40" i="29"/>
  <c r="JG40" i="29"/>
  <c r="JH40" i="29"/>
  <c r="JI40" i="29"/>
  <c r="JJ40" i="29"/>
  <c r="JK40" i="29"/>
  <c r="JL40" i="29"/>
  <c r="JM40" i="29"/>
  <c r="JP40" i="29"/>
  <c r="JQ40" i="29"/>
  <c r="JS40" i="29"/>
  <c r="JT40" i="29"/>
  <c r="JV40" i="29"/>
  <c r="JW40" i="29"/>
  <c r="JX40" i="29"/>
  <c r="JY40" i="29"/>
  <c r="JZ40" i="29"/>
  <c r="KA40" i="29"/>
  <c r="KB40" i="29"/>
  <c r="KC40" i="29"/>
  <c r="KD40" i="29"/>
  <c r="KE40" i="29"/>
  <c r="KF40" i="29"/>
  <c r="KG40" i="29"/>
  <c r="KH40" i="29"/>
  <c r="KI40" i="29"/>
  <c r="KJ40" i="29"/>
  <c r="KK40" i="29"/>
  <c r="KL40" i="29"/>
  <c r="KM40" i="29"/>
  <c r="KN40" i="29"/>
  <c r="KO40" i="29"/>
  <c r="KP40" i="29"/>
  <c r="KQ40" i="29"/>
  <c r="KR40" i="29"/>
  <c r="KS40" i="29"/>
  <c r="KT40" i="29"/>
  <c r="KU40" i="29"/>
  <c r="KV40" i="29"/>
  <c r="KW40" i="29"/>
  <c r="KX40" i="29"/>
  <c r="KY40" i="29"/>
  <c r="BN41" i="29"/>
  <c r="BO41" i="29"/>
  <c r="BP41" i="29"/>
  <c r="BQ41" i="29"/>
  <c r="BR41" i="29"/>
  <c r="BS41" i="29"/>
  <c r="BT41" i="29"/>
  <c r="BU41" i="29"/>
  <c r="BV41" i="29"/>
  <c r="BW41" i="29"/>
  <c r="BY41" i="29"/>
  <c r="BZ41" i="29"/>
  <c r="CA41" i="29"/>
  <c r="CB41" i="29"/>
  <c r="CC41" i="29"/>
  <c r="CD41" i="29"/>
  <c r="CE41" i="29"/>
  <c r="CF41" i="29"/>
  <c r="CG41" i="29"/>
  <c r="CH41" i="29"/>
  <c r="CI41" i="29"/>
  <c r="CJ41" i="29"/>
  <c r="CK41" i="29"/>
  <c r="CL41" i="29"/>
  <c r="CM41" i="29"/>
  <c r="CN41" i="29"/>
  <c r="CO41" i="29"/>
  <c r="CP41" i="29"/>
  <c r="CQ41" i="29"/>
  <c r="CR41" i="29"/>
  <c r="CS41" i="29"/>
  <c r="CT41" i="29"/>
  <c r="CU41" i="29"/>
  <c r="CV41" i="29"/>
  <c r="CW41" i="29"/>
  <c r="CX41" i="29"/>
  <c r="CY41" i="29"/>
  <c r="CZ41" i="29"/>
  <c r="DA41" i="29"/>
  <c r="DB41" i="29"/>
  <c r="DC41" i="29"/>
  <c r="DD41" i="29"/>
  <c r="DE41" i="29"/>
  <c r="DF41" i="29"/>
  <c r="DG41" i="29"/>
  <c r="DH41" i="29"/>
  <c r="DI41" i="29"/>
  <c r="DJ41" i="29"/>
  <c r="DK41" i="29"/>
  <c r="DL41" i="29"/>
  <c r="DM41" i="29"/>
  <c r="DN41" i="29"/>
  <c r="DO41" i="29"/>
  <c r="DP41" i="29"/>
  <c r="DQ41" i="29"/>
  <c r="DR41" i="29"/>
  <c r="DS41" i="29"/>
  <c r="DT41" i="29"/>
  <c r="DU41" i="29"/>
  <c r="DV41" i="29"/>
  <c r="DW41" i="29"/>
  <c r="DX41" i="29"/>
  <c r="DY41" i="29"/>
  <c r="DZ41" i="29"/>
  <c r="EA41" i="29"/>
  <c r="EB41" i="29"/>
  <c r="EC41" i="29"/>
  <c r="ED41" i="29"/>
  <c r="EE41" i="29"/>
  <c r="EF41" i="29"/>
  <c r="EG41" i="29"/>
  <c r="EH41" i="29"/>
  <c r="EI41" i="29"/>
  <c r="EJ41" i="29"/>
  <c r="EK41" i="29"/>
  <c r="EL41" i="29"/>
  <c r="EM41" i="29"/>
  <c r="EN41" i="29"/>
  <c r="EO41" i="29"/>
  <c r="EP41" i="29"/>
  <c r="EQ41" i="29"/>
  <c r="ER41" i="29"/>
  <c r="ES41" i="29"/>
  <c r="ET41" i="29"/>
  <c r="EU41" i="29"/>
  <c r="EV41" i="29"/>
  <c r="EW41" i="29"/>
  <c r="EX41" i="29"/>
  <c r="FA41" i="29"/>
  <c r="FB41" i="29"/>
  <c r="FC41" i="29"/>
  <c r="FD41" i="29"/>
  <c r="FE41" i="29"/>
  <c r="FF41" i="29"/>
  <c r="FG41" i="29"/>
  <c r="FH41" i="29"/>
  <c r="FI41" i="29"/>
  <c r="FJ41" i="29"/>
  <c r="FK41" i="29"/>
  <c r="FL41" i="29"/>
  <c r="FM41" i="29"/>
  <c r="FN41" i="29"/>
  <c r="FO41" i="29"/>
  <c r="FP41" i="29"/>
  <c r="FQ41" i="29"/>
  <c r="FR41" i="29"/>
  <c r="FS41" i="29"/>
  <c r="FT41" i="29"/>
  <c r="FU41" i="29"/>
  <c r="FV41" i="29"/>
  <c r="FW41" i="29"/>
  <c r="FX41" i="29"/>
  <c r="FY41" i="29"/>
  <c r="FZ41" i="29"/>
  <c r="GA41" i="29"/>
  <c r="GB41" i="29"/>
  <c r="GC41" i="29"/>
  <c r="GD41" i="29"/>
  <c r="GE41" i="29"/>
  <c r="GF41" i="29"/>
  <c r="GG41" i="29"/>
  <c r="GH41" i="29"/>
  <c r="GI41" i="29"/>
  <c r="GJ41" i="29"/>
  <c r="GK41" i="29"/>
  <c r="GL41" i="29"/>
  <c r="GM41" i="29"/>
  <c r="GN41" i="29"/>
  <c r="GO41" i="29"/>
  <c r="GP41" i="29"/>
  <c r="GQ41" i="29"/>
  <c r="GR41" i="29"/>
  <c r="GS41" i="29"/>
  <c r="GT41" i="29"/>
  <c r="GU41" i="29"/>
  <c r="GV41" i="29"/>
  <c r="GW41" i="29"/>
  <c r="GX41" i="29"/>
  <c r="GY41" i="29"/>
  <c r="GZ41" i="29"/>
  <c r="HA41" i="29"/>
  <c r="HB41" i="29"/>
  <c r="HC41" i="29"/>
  <c r="HD41" i="29"/>
  <c r="HE41" i="29"/>
  <c r="HF41" i="29"/>
  <c r="HG41" i="29"/>
  <c r="HH41" i="29"/>
  <c r="HI41" i="29"/>
  <c r="HJ41" i="29"/>
  <c r="HK41" i="29"/>
  <c r="HL41" i="29"/>
  <c r="HM41" i="29"/>
  <c r="HN41" i="29"/>
  <c r="HO41" i="29"/>
  <c r="HP41" i="29"/>
  <c r="HQ41" i="29"/>
  <c r="HR41" i="29"/>
  <c r="HS41" i="29"/>
  <c r="HT41" i="29"/>
  <c r="HU41" i="29"/>
  <c r="HV41" i="29"/>
  <c r="HW41" i="29"/>
  <c r="HX41" i="29"/>
  <c r="HY41" i="29"/>
  <c r="HZ41" i="29"/>
  <c r="IA41" i="29"/>
  <c r="IB41" i="29"/>
  <c r="IC41" i="29"/>
  <c r="ID41" i="29"/>
  <c r="IE41" i="29"/>
  <c r="IF41" i="29"/>
  <c r="IG41" i="29"/>
  <c r="IH41" i="29"/>
  <c r="II41" i="29"/>
  <c r="IJ41" i="29"/>
  <c r="IK41" i="29"/>
  <c r="IL41" i="29"/>
  <c r="IM41" i="29"/>
  <c r="IN41" i="29"/>
  <c r="IO41" i="29"/>
  <c r="IP41" i="29"/>
  <c r="IQ41" i="29"/>
  <c r="IR41" i="29"/>
  <c r="IS41" i="29"/>
  <c r="IT41" i="29"/>
  <c r="IU41" i="29"/>
  <c r="IV41" i="29"/>
  <c r="IW41" i="29"/>
  <c r="IX41" i="29"/>
  <c r="IY41" i="29"/>
  <c r="IZ41" i="29"/>
  <c r="JA41" i="29"/>
  <c r="JB41" i="29"/>
  <c r="JC41" i="29"/>
  <c r="JD41" i="29"/>
  <c r="JE41" i="29"/>
  <c r="JF41" i="29"/>
  <c r="JG41" i="29"/>
  <c r="JH41" i="29"/>
  <c r="JI41" i="29"/>
  <c r="JJ41" i="29"/>
  <c r="JK41" i="29"/>
  <c r="JL41" i="29"/>
  <c r="JM41" i="29"/>
  <c r="JN41" i="29"/>
  <c r="JO41" i="29"/>
  <c r="JP41" i="29"/>
  <c r="JQ41" i="29"/>
  <c r="JR41" i="29"/>
  <c r="JS41" i="29"/>
  <c r="JT41" i="29"/>
  <c r="JU41" i="29"/>
  <c r="JV41" i="29"/>
  <c r="JW41" i="29"/>
  <c r="JX41" i="29"/>
  <c r="JY41" i="29"/>
  <c r="JZ41" i="29"/>
  <c r="KA41" i="29"/>
  <c r="KB41" i="29"/>
  <c r="KC41" i="29"/>
  <c r="KD41" i="29"/>
  <c r="KE41" i="29"/>
  <c r="KF41" i="29"/>
  <c r="KG41" i="29"/>
  <c r="KH41" i="29"/>
  <c r="KI41" i="29"/>
  <c r="KJ41" i="29"/>
  <c r="KK41" i="29"/>
  <c r="KL41" i="29"/>
  <c r="KM41" i="29"/>
  <c r="KN41" i="29"/>
  <c r="KO41" i="29"/>
  <c r="KP41" i="29"/>
  <c r="KQ41" i="29"/>
  <c r="KR41" i="29"/>
  <c r="KS41" i="29"/>
  <c r="KT41" i="29"/>
  <c r="KU41" i="29"/>
  <c r="KV41" i="29"/>
  <c r="KW41" i="29"/>
  <c r="KX41" i="29"/>
  <c r="KY41" i="29"/>
  <c r="BN42" i="29"/>
  <c r="BO42" i="29"/>
  <c r="BP42" i="29"/>
  <c r="BQ42" i="29"/>
  <c r="BR42" i="29"/>
  <c r="BS42" i="29"/>
  <c r="BT42" i="29"/>
  <c r="BU42" i="29"/>
  <c r="BV42" i="29"/>
  <c r="BW42" i="29"/>
  <c r="BY42" i="29"/>
  <c r="BZ42" i="29"/>
  <c r="CA42" i="29"/>
  <c r="CB42" i="29"/>
  <c r="CC42" i="29"/>
  <c r="CD42" i="29"/>
  <c r="CE42" i="29"/>
  <c r="CF42" i="29"/>
  <c r="CG42" i="29"/>
  <c r="CH42" i="29"/>
  <c r="CI42" i="29"/>
  <c r="CJ42" i="29"/>
  <c r="CK42" i="29"/>
  <c r="CL42" i="29"/>
  <c r="CM42" i="29"/>
  <c r="CO42" i="29"/>
  <c r="CP42" i="29"/>
  <c r="CQ42" i="29"/>
  <c r="CR42" i="29"/>
  <c r="CT42" i="29"/>
  <c r="CV42" i="29"/>
  <c r="CW42" i="29"/>
  <c r="CX42" i="29"/>
  <c r="CY42" i="29"/>
  <c r="CZ42" i="29"/>
  <c r="DA42" i="29"/>
  <c r="DB42" i="29"/>
  <c r="DC42" i="29"/>
  <c r="DE42" i="29"/>
  <c r="DF42" i="29"/>
  <c r="DG42" i="29"/>
  <c r="DH42" i="29"/>
  <c r="DI42" i="29"/>
  <c r="DJ42" i="29"/>
  <c r="DK42" i="29"/>
  <c r="DM42" i="29"/>
  <c r="DN42" i="29"/>
  <c r="DO42" i="29"/>
  <c r="DP42" i="29"/>
  <c r="DR42" i="29"/>
  <c r="DT42" i="29"/>
  <c r="DU42" i="29"/>
  <c r="DV42" i="29"/>
  <c r="DW42" i="29"/>
  <c r="DX42" i="29"/>
  <c r="DY42" i="29"/>
  <c r="DZ42" i="29"/>
  <c r="EA42" i="29"/>
  <c r="EC42" i="29"/>
  <c r="ED42" i="29"/>
  <c r="EE42" i="29"/>
  <c r="EF42" i="29"/>
  <c r="EG42" i="29"/>
  <c r="EH42" i="29"/>
  <c r="EI42" i="29"/>
  <c r="EK42" i="29"/>
  <c r="EL42" i="29"/>
  <c r="EM42" i="29"/>
  <c r="EN42" i="29"/>
  <c r="EP42" i="29"/>
  <c r="ER42" i="29"/>
  <c r="ES42" i="29"/>
  <c r="ET42" i="29"/>
  <c r="EU42" i="29"/>
  <c r="EX42" i="29"/>
  <c r="FA42" i="29"/>
  <c r="FB42" i="29"/>
  <c r="FC42" i="29"/>
  <c r="FD42" i="29"/>
  <c r="FE42" i="29"/>
  <c r="FF42" i="29"/>
  <c r="FI42" i="29"/>
  <c r="FJ42" i="29"/>
  <c r="FK42" i="29"/>
  <c r="FL42" i="29"/>
  <c r="FM42" i="29"/>
  <c r="FN42" i="29"/>
  <c r="FO42" i="29"/>
  <c r="FP42" i="29"/>
  <c r="FS42" i="29"/>
  <c r="FV42" i="29"/>
  <c r="FW42" i="29"/>
  <c r="FX42" i="29"/>
  <c r="FY42" i="29"/>
  <c r="FZ42" i="29"/>
  <c r="GA42" i="29"/>
  <c r="GB42" i="29"/>
  <c r="GC42" i="29"/>
  <c r="GD42" i="29"/>
  <c r="GE42" i="29"/>
  <c r="GG42" i="29"/>
  <c r="GH42" i="29"/>
  <c r="GI42" i="29"/>
  <c r="GJ42" i="29"/>
  <c r="GK42" i="29"/>
  <c r="GL42" i="29"/>
  <c r="GM42" i="29"/>
  <c r="GN42" i="29"/>
  <c r="GO42" i="29"/>
  <c r="GP42" i="29"/>
  <c r="GQ42" i="29"/>
  <c r="GR42" i="29"/>
  <c r="GS42" i="29"/>
  <c r="GT42" i="29"/>
  <c r="GU42" i="29"/>
  <c r="GV42" i="29"/>
  <c r="GW42" i="29"/>
  <c r="GX42" i="29"/>
  <c r="GY42" i="29"/>
  <c r="GZ42" i="29"/>
  <c r="HA42" i="29"/>
  <c r="HB42" i="29"/>
  <c r="HC42" i="29"/>
  <c r="HE42" i="29"/>
  <c r="HF42" i="29"/>
  <c r="HG42" i="29"/>
  <c r="HH42" i="29"/>
  <c r="HI42" i="29"/>
  <c r="HJ42" i="29"/>
  <c r="HK42" i="29"/>
  <c r="HL42" i="29"/>
  <c r="HM42" i="29"/>
  <c r="HN42" i="29"/>
  <c r="HO42" i="29"/>
  <c r="HP42" i="29"/>
  <c r="HQ42" i="29"/>
  <c r="HR42" i="29"/>
  <c r="HS42" i="29"/>
  <c r="HT42" i="29"/>
  <c r="HU42" i="29"/>
  <c r="HV42" i="29"/>
  <c r="HW42" i="29"/>
  <c r="HX42" i="29"/>
  <c r="HZ42" i="29"/>
  <c r="IA42" i="29"/>
  <c r="IB42" i="29"/>
  <c r="IC42" i="29"/>
  <c r="ID42" i="29"/>
  <c r="IE42" i="29"/>
  <c r="IF42" i="29"/>
  <c r="IH42" i="29"/>
  <c r="IJ42" i="29"/>
  <c r="IK42" i="29"/>
  <c r="IM42" i="29"/>
  <c r="IO42" i="29"/>
  <c r="IP42" i="29"/>
  <c r="IQ42" i="29"/>
  <c r="IR42" i="29"/>
  <c r="IS42" i="29"/>
  <c r="IT42" i="29"/>
  <c r="IU42" i="29"/>
  <c r="IV42" i="29"/>
  <c r="IW42" i="29"/>
  <c r="IX42" i="29"/>
  <c r="IY42" i="29"/>
  <c r="JA42" i="29"/>
  <c r="JB42" i="29"/>
  <c r="JC42" i="29"/>
  <c r="JD42" i="29"/>
  <c r="JF42" i="29"/>
  <c r="JH42" i="29"/>
  <c r="JI42" i="29"/>
  <c r="JK42" i="29"/>
  <c r="JM42" i="29"/>
  <c r="JP42" i="29"/>
  <c r="JQ42" i="29"/>
  <c r="JS42" i="29"/>
  <c r="JT42" i="29"/>
  <c r="JU42" i="29"/>
  <c r="JV42" i="29"/>
  <c r="JW42" i="29"/>
  <c r="JY42" i="29"/>
  <c r="JZ42" i="29"/>
  <c r="KA42" i="29"/>
  <c r="KB42" i="29"/>
  <c r="KD42" i="29"/>
  <c r="KF42" i="29"/>
  <c r="KG42" i="29"/>
  <c r="KI42" i="29"/>
  <c r="KK42" i="29"/>
  <c r="KL42" i="29"/>
  <c r="KM42" i="29"/>
  <c r="KN42" i="29"/>
  <c r="KO42" i="29"/>
  <c r="KP42" i="29"/>
  <c r="KQ42" i="29"/>
  <c r="KR42" i="29"/>
  <c r="KS42" i="29"/>
  <c r="KT42" i="29"/>
  <c r="KU42" i="29"/>
  <c r="KV42" i="29"/>
  <c r="KW42" i="29"/>
  <c r="KY42" i="29"/>
  <c r="BN44" i="29"/>
  <c r="BO44" i="29"/>
  <c r="BQ44" i="29"/>
  <c r="BS44" i="29"/>
  <c r="BT44" i="29"/>
  <c r="BV44" i="29"/>
  <c r="BY44" i="29"/>
  <c r="BZ44" i="29"/>
  <c r="CA44" i="29"/>
  <c r="CB44" i="29"/>
  <c r="CC44" i="29"/>
  <c r="CD44" i="29"/>
  <c r="CE44" i="29"/>
  <c r="CF44" i="29"/>
  <c r="CG44" i="29"/>
  <c r="CH44" i="29"/>
  <c r="CI44" i="29"/>
  <c r="CJ44" i="29"/>
  <c r="CK44" i="29"/>
  <c r="CL44" i="29"/>
  <c r="CM44" i="29"/>
  <c r="CO44" i="29"/>
  <c r="CQ44" i="29"/>
  <c r="CR44" i="29"/>
  <c r="CS44" i="29"/>
  <c r="CT44" i="29"/>
  <c r="CU44" i="29"/>
  <c r="CW44" i="29"/>
  <c r="CX44" i="29"/>
  <c r="CY44" i="29"/>
  <c r="CZ44" i="29"/>
  <c r="DA44" i="29"/>
  <c r="DB44" i="29"/>
  <c r="DC44" i="29"/>
  <c r="DD44" i="29"/>
  <c r="DE44" i="29"/>
  <c r="DF44" i="29"/>
  <c r="DG44" i="29"/>
  <c r="DH44" i="29"/>
  <c r="DI44" i="29"/>
  <c r="DJ44" i="29"/>
  <c r="DK44" i="29"/>
  <c r="DL44" i="29"/>
  <c r="DM44" i="29"/>
  <c r="DN44" i="29"/>
  <c r="DO44" i="29"/>
  <c r="DP44" i="29"/>
  <c r="DQ44" i="29"/>
  <c r="DR44" i="29"/>
  <c r="DS44" i="29"/>
  <c r="DT44" i="29"/>
  <c r="DU44" i="29"/>
  <c r="DV44" i="29"/>
  <c r="DW44" i="29"/>
  <c r="DX44" i="29"/>
  <c r="DY44" i="29"/>
  <c r="EA44" i="29"/>
  <c r="EB44" i="29"/>
  <c r="EC44" i="29"/>
  <c r="ED44" i="29"/>
  <c r="EE44" i="29"/>
  <c r="EF44" i="29"/>
  <c r="EG44" i="29"/>
  <c r="EH44" i="29"/>
  <c r="EI44" i="29"/>
  <c r="EK44" i="29"/>
  <c r="EL44" i="29"/>
  <c r="EM44" i="29"/>
  <c r="EN44" i="29"/>
  <c r="EO44" i="29"/>
  <c r="EP44" i="29"/>
  <c r="EQ44" i="29"/>
  <c r="ER44" i="29"/>
  <c r="EU44" i="29"/>
  <c r="EX44" i="29"/>
  <c r="FA44" i="29"/>
  <c r="FB44" i="29"/>
  <c r="FC44" i="29"/>
  <c r="FD44" i="29"/>
  <c r="FE44" i="29"/>
  <c r="FF44" i="29"/>
  <c r="FG44" i="29"/>
  <c r="FH44" i="29"/>
  <c r="FI44" i="29"/>
  <c r="FJ44" i="29"/>
  <c r="FK44" i="29"/>
  <c r="FL44" i="29"/>
  <c r="FM44" i="29"/>
  <c r="FN44" i="29"/>
  <c r="FO44" i="29"/>
  <c r="FP44" i="29"/>
  <c r="FQ44" i="29"/>
  <c r="FR44" i="29"/>
  <c r="FS44" i="29"/>
  <c r="FT44" i="29"/>
  <c r="FU44" i="29"/>
  <c r="FV44" i="29"/>
  <c r="FW44" i="29"/>
  <c r="FY44" i="29"/>
  <c r="FZ44" i="29"/>
  <c r="GA44" i="29"/>
  <c r="GB44" i="29"/>
  <c r="GC44" i="29"/>
  <c r="GD44" i="29"/>
  <c r="GE44" i="29"/>
  <c r="GF44" i="29"/>
  <c r="GG44" i="29"/>
  <c r="GH44" i="29"/>
  <c r="GI44" i="29"/>
  <c r="GJ44" i="29"/>
  <c r="GK44" i="29"/>
  <c r="GL44" i="29"/>
  <c r="GM44" i="29"/>
  <c r="GN44" i="29"/>
  <c r="GO44" i="29"/>
  <c r="GP44" i="29"/>
  <c r="GQ44" i="29"/>
  <c r="GR44" i="29"/>
  <c r="GT44" i="29"/>
  <c r="GU44" i="29"/>
  <c r="GV44" i="29"/>
  <c r="GW44" i="29"/>
  <c r="GX44" i="29"/>
  <c r="GY44" i="29"/>
  <c r="GZ44" i="29"/>
  <c r="HA44" i="29"/>
  <c r="HB44" i="29"/>
  <c r="HC44" i="29"/>
  <c r="HE44" i="29"/>
  <c r="HF44" i="29"/>
  <c r="HG44" i="29"/>
  <c r="HH44" i="29"/>
  <c r="HI44" i="29"/>
  <c r="HJ44" i="29"/>
  <c r="HK44" i="29"/>
  <c r="HL44" i="29"/>
  <c r="HM44" i="29"/>
  <c r="HO44" i="29"/>
  <c r="HP44" i="29"/>
  <c r="HQ44" i="29"/>
  <c r="HR44" i="29"/>
  <c r="HS44" i="29"/>
  <c r="HT44" i="29"/>
  <c r="HU44" i="29"/>
  <c r="HW44" i="29"/>
  <c r="HX44" i="29"/>
  <c r="HY44" i="29"/>
  <c r="HZ44" i="29"/>
  <c r="IA44" i="29"/>
  <c r="IC44" i="29"/>
  <c r="ID44" i="29"/>
  <c r="IE44" i="29"/>
  <c r="IF44" i="29"/>
  <c r="IG44" i="29"/>
  <c r="IH44" i="29"/>
  <c r="II44" i="29"/>
  <c r="IJ44" i="29"/>
  <c r="IK44" i="29"/>
  <c r="IM44" i="29"/>
  <c r="IN44" i="29"/>
  <c r="IO44" i="29"/>
  <c r="IP44" i="29"/>
  <c r="IQ44" i="29"/>
  <c r="IR44" i="29"/>
  <c r="IS44" i="29"/>
  <c r="IT44" i="29"/>
  <c r="IU44" i="29"/>
  <c r="IV44" i="29"/>
  <c r="IW44" i="29"/>
  <c r="IX44" i="29"/>
  <c r="IY44" i="29"/>
  <c r="IZ44" i="29"/>
  <c r="JA44" i="29"/>
  <c r="JB44" i="29"/>
  <c r="JC44" i="29"/>
  <c r="JD44" i="29"/>
  <c r="JE44" i="29"/>
  <c r="JF44" i="29"/>
  <c r="JG44" i="29"/>
  <c r="JH44" i="29"/>
  <c r="JI44" i="29"/>
  <c r="JJ44" i="29"/>
  <c r="JK44" i="29"/>
  <c r="JL44" i="29"/>
  <c r="JM44" i="29"/>
  <c r="JP44" i="29"/>
  <c r="JQ44" i="29"/>
  <c r="JS44" i="29"/>
  <c r="JT44" i="29"/>
  <c r="JU44" i="29"/>
  <c r="JV44" i="29"/>
  <c r="JW44" i="29"/>
  <c r="JX44" i="29"/>
  <c r="JY44" i="29"/>
  <c r="JZ44" i="29"/>
  <c r="KA44" i="29"/>
  <c r="KB44" i="29"/>
  <c r="KC44" i="29"/>
  <c r="KD44" i="29"/>
  <c r="KE44" i="29"/>
  <c r="KF44" i="29"/>
  <c r="KG44" i="29"/>
  <c r="KH44" i="29"/>
  <c r="KI44" i="29"/>
  <c r="KJ44" i="29"/>
  <c r="KK44" i="29"/>
  <c r="KL44" i="29"/>
  <c r="KM44" i="29"/>
  <c r="KN44" i="29"/>
  <c r="KO44" i="29"/>
  <c r="KP44" i="29"/>
  <c r="KS44" i="29"/>
  <c r="KT44" i="29"/>
  <c r="KV44" i="29"/>
  <c r="KW44" i="29"/>
  <c r="KY44" i="29"/>
  <c r="BN45" i="29"/>
  <c r="BO45" i="29"/>
  <c r="BP45" i="29"/>
  <c r="BQ45" i="29"/>
  <c r="BR45" i="29"/>
  <c r="BS45" i="29"/>
  <c r="BT45" i="29"/>
  <c r="BV45" i="29"/>
  <c r="BW45" i="29"/>
  <c r="BY45" i="29"/>
  <c r="BZ45" i="29"/>
  <c r="CA45" i="29"/>
  <c r="CB45" i="29"/>
  <c r="CE45" i="29"/>
  <c r="CF45" i="29"/>
  <c r="CG45" i="29"/>
  <c r="CH45" i="29"/>
  <c r="CI45" i="29"/>
  <c r="CJ45" i="29"/>
  <c r="CK45" i="29"/>
  <c r="CL45" i="29"/>
  <c r="CO45" i="29"/>
  <c r="CQ45" i="29"/>
  <c r="CR45" i="29"/>
  <c r="CS45" i="29"/>
  <c r="CT45" i="29"/>
  <c r="CU45" i="29"/>
  <c r="CW45" i="29"/>
  <c r="CX45" i="29"/>
  <c r="CY45" i="29"/>
  <c r="CZ45" i="29"/>
  <c r="DA45" i="29"/>
  <c r="DC45" i="29"/>
  <c r="DD45" i="29"/>
  <c r="DE45" i="29"/>
  <c r="DF45" i="29"/>
  <c r="DG45" i="29"/>
  <c r="DH45" i="29"/>
  <c r="DI45" i="29"/>
  <c r="DJ45" i="29"/>
  <c r="DK45" i="29"/>
  <c r="DM45" i="29"/>
  <c r="DN45" i="29"/>
  <c r="DO45" i="29"/>
  <c r="DP45" i="29"/>
  <c r="DQ45" i="29"/>
  <c r="DR45" i="29"/>
  <c r="DS45" i="29"/>
  <c r="DT45" i="29"/>
  <c r="DT46" i="29"/>
  <c r="DU45" i="29"/>
  <c r="DV45" i="29"/>
  <c r="DW45" i="29"/>
  <c r="DX45" i="29"/>
  <c r="DY45" i="29"/>
  <c r="EA45" i="29"/>
  <c r="EB45" i="29"/>
  <c r="EC45" i="29"/>
  <c r="ED45" i="29"/>
  <c r="EE45" i="29"/>
  <c r="EF45" i="29"/>
  <c r="EG45" i="29"/>
  <c r="EH45" i="29"/>
  <c r="EI45" i="29"/>
  <c r="EK45" i="29"/>
  <c r="EL45" i="29"/>
  <c r="EM45" i="29"/>
  <c r="EN45" i="29"/>
  <c r="EO45" i="29"/>
  <c r="EP45" i="29"/>
  <c r="EQ45" i="29"/>
  <c r="ER45" i="29"/>
  <c r="EU45" i="29"/>
  <c r="EV45" i="29"/>
  <c r="EX45" i="29"/>
  <c r="EY45" i="29"/>
  <c r="FA45" i="29"/>
  <c r="FB45" i="29"/>
  <c r="FC45" i="29"/>
  <c r="FD45" i="29"/>
  <c r="FE45" i="29"/>
  <c r="FF45" i="29"/>
  <c r="FG45" i="29"/>
  <c r="FH45" i="29"/>
  <c r="FI45" i="29"/>
  <c r="FJ45" i="29"/>
  <c r="FK45" i="29"/>
  <c r="FL45" i="29"/>
  <c r="FM45" i="29"/>
  <c r="FN45" i="29"/>
  <c r="FO45" i="29"/>
  <c r="FP45" i="29"/>
  <c r="FQ45" i="29"/>
  <c r="FR45" i="29"/>
  <c r="FS45" i="29"/>
  <c r="FT45" i="29"/>
  <c r="FV45" i="29"/>
  <c r="FW45" i="29"/>
  <c r="FX45" i="29"/>
  <c r="FY45" i="29"/>
  <c r="FZ45" i="29"/>
  <c r="GA45" i="29"/>
  <c r="GB45" i="29"/>
  <c r="GC45" i="29"/>
  <c r="GD45" i="29"/>
  <c r="GE45" i="29"/>
  <c r="GG45" i="29"/>
  <c r="GH45" i="29"/>
  <c r="GI45" i="29"/>
  <c r="GJ45" i="29"/>
  <c r="GK45" i="29"/>
  <c r="GL45" i="29"/>
  <c r="GM45" i="29"/>
  <c r="GN45" i="29"/>
  <c r="GO45" i="29"/>
  <c r="GQ45" i="29"/>
  <c r="GR45" i="29"/>
  <c r="GS45" i="29"/>
  <c r="GT45" i="29"/>
  <c r="GU45" i="29"/>
  <c r="GV45" i="29"/>
  <c r="GW45" i="29"/>
  <c r="GX45" i="29"/>
  <c r="GY45" i="29"/>
  <c r="GZ45" i="29"/>
  <c r="HA45" i="29"/>
  <c r="HB45" i="29"/>
  <c r="HC45" i="29"/>
  <c r="HE45" i="29"/>
  <c r="HF45" i="29"/>
  <c r="HG45" i="29"/>
  <c r="HH45" i="29"/>
  <c r="HI45" i="29"/>
  <c r="HJ45" i="29"/>
  <c r="HK45" i="29"/>
  <c r="HL45" i="29"/>
  <c r="HM45" i="29"/>
  <c r="HO45" i="29"/>
  <c r="HP45" i="29"/>
  <c r="HQ45" i="29"/>
  <c r="HR45" i="29"/>
  <c r="HS45" i="29"/>
  <c r="HT45" i="29"/>
  <c r="HU45" i="29"/>
  <c r="HV45" i="29"/>
  <c r="HW45" i="29"/>
  <c r="HX45" i="29"/>
  <c r="HY45" i="29"/>
  <c r="HZ45" i="29"/>
  <c r="IA45" i="29"/>
  <c r="IC45" i="29"/>
  <c r="ID45" i="29"/>
  <c r="IE45" i="29"/>
  <c r="IF45" i="29"/>
  <c r="IG45" i="29"/>
  <c r="IH45" i="29"/>
  <c r="II45" i="29"/>
  <c r="IJ45" i="29"/>
  <c r="IK45" i="29"/>
  <c r="IM45" i="29"/>
  <c r="IN45" i="29"/>
  <c r="IO45" i="29"/>
  <c r="IP45" i="29"/>
  <c r="IQ45" i="29"/>
  <c r="IR45" i="29"/>
  <c r="IS45" i="29"/>
  <c r="IT45" i="29"/>
  <c r="IU45" i="29"/>
  <c r="IV45" i="29"/>
  <c r="IW45" i="29"/>
  <c r="IX45" i="29"/>
  <c r="IY45" i="29"/>
  <c r="JA45" i="29"/>
  <c r="JB45" i="29"/>
  <c r="JC45" i="29"/>
  <c r="JD45" i="29"/>
  <c r="JE45" i="29"/>
  <c r="JF45" i="29"/>
  <c r="JG45" i="29"/>
  <c r="JH45" i="29"/>
  <c r="JI45" i="29"/>
  <c r="JK45" i="29"/>
  <c r="JL45" i="29"/>
  <c r="JM45" i="29"/>
  <c r="JN45" i="29"/>
  <c r="JO45" i="29"/>
  <c r="JP45" i="29"/>
  <c r="JQ45" i="29"/>
  <c r="JR45" i="29"/>
  <c r="JS45" i="29"/>
  <c r="JT45" i="29"/>
  <c r="JU45" i="29"/>
  <c r="JV45" i="29"/>
  <c r="JW45" i="29"/>
  <c r="JX45" i="29"/>
  <c r="JY45" i="29"/>
  <c r="JZ45" i="29"/>
  <c r="KA45" i="29"/>
  <c r="KB45" i="29"/>
  <c r="KC45" i="29"/>
  <c r="KD45" i="29"/>
  <c r="KE45" i="29"/>
  <c r="KF45" i="29"/>
  <c r="KG45" i="29"/>
  <c r="KH45" i="29"/>
  <c r="KI45" i="29"/>
  <c r="KJ45" i="29"/>
  <c r="KK45" i="29"/>
  <c r="KL45" i="29"/>
  <c r="KM45" i="29"/>
  <c r="KN45" i="29"/>
  <c r="KO45" i="29"/>
  <c r="KP45" i="29"/>
  <c r="KQ45" i="29"/>
  <c r="KR45" i="29"/>
  <c r="KS45" i="29"/>
  <c r="KT45" i="29"/>
  <c r="KU45" i="29"/>
  <c r="KV45" i="29"/>
  <c r="KW45" i="29"/>
  <c r="KY45" i="29"/>
  <c r="BQ46" i="29"/>
  <c r="BT46" i="29"/>
  <c r="BY46" i="29"/>
  <c r="BZ46" i="29"/>
  <c r="CB46" i="29"/>
  <c r="CE46" i="29"/>
  <c r="CF46" i="29"/>
  <c r="CG46" i="29"/>
  <c r="CH46" i="29"/>
  <c r="CJ46" i="29"/>
  <c r="CK46" i="29"/>
  <c r="CL46" i="29"/>
  <c r="CL48" i="29"/>
  <c r="CQ46" i="29"/>
  <c r="CR46" i="29"/>
  <c r="CS46" i="29"/>
  <c r="CW46" i="29"/>
  <c r="CX46" i="29"/>
  <c r="CY46" i="29"/>
  <c r="DA46" i="29"/>
  <c r="DC46" i="29"/>
  <c r="DE46" i="29"/>
  <c r="DH46" i="29"/>
  <c r="DK46" i="29"/>
  <c r="DM46" i="29"/>
  <c r="DO46" i="29"/>
  <c r="DR46" i="29"/>
  <c r="DU46" i="29"/>
  <c r="DX46" i="29"/>
  <c r="DX48" i="29"/>
  <c r="DY46" i="29"/>
  <c r="DZ46" i="29"/>
  <c r="EA46" i="29"/>
  <c r="EB46" i="29"/>
  <c r="EC46" i="29"/>
  <c r="ED46" i="29"/>
  <c r="EE46" i="29"/>
  <c r="EH46" i="29"/>
  <c r="EI46" i="29"/>
  <c r="EJ46" i="29"/>
  <c r="EK46" i="29"/>
  <c r="EL46" i="29"/>
  <c r="EM46" i="29"/>
  <c r="EN46" i="29"/>
  <c r="EO46" i="29"/>
  <c r="ER46" i="29"/>
  <c r="EU46" i="29"/>
  <c r="EX46" i="29"/>
  <c r="EX48" i="29"/>
  <c r="FA46" i="29"/>
  <c r="FB46" i="29"/>
  <c r="FC46" i="29"/>
  <c r="FD46" i="29"/>
  <c r="FF46" i="29"/>
  <c r="FG46" i="29"/>
  <c r="FH46" i="29"/>
  <c r="FI46" i="29"/>
  <c r="FJ46" i="29"/>
  <c r="FK46" i="29"/>
  <c r="FL46" i="29"/>
  <c r="FM46" i="29"/>
  <c r="FN46" i="29"/>
  <c r="FO46" i="29"/>
  <c r="FP46" i="29"/>
  <c r="FQ46" i="29"/>
  <c r="FR46" i="29"/>
  <c r="FS46" i="29"/>
  <c r="FT46" i="29"/>
  <c r="FV46" i="29"/>
  <c r="FW46" i="29"/>
  <c r="FY46" i="29"/>
  <c r="FZ46" i="29"/>
  <c r="GA46" i="29"/>
  <c r="GD46" i="29"/>
  <c r="GE46" i="29"/>
  <c r="GG46" i="29"/>
  <c r="GH46" i="29"/>
  <c r="GI46" i="29"/>
  <c r="GJ46" i="29"/>
  <c r="GK46" i="29"/>
  <c r="GN46" i="29"/>
  <c r="GN48" i="29"/>
  <c r="GO46" i="29"/>
  <c r="GQ46" i="29"/>
  <c r="GR46" i="29"/>
  <c r="GU46" i="29"/>
  <c r="GW46" i="29"/>
  <c r="GZ46" i="29"/>
  <c r="HA46" i="29"/>
  <c r="HC46" i="29"/>
  <c r="HE46" i="29"/>
  <c r="HG46" i="29"/>
  <c r="HJ46" i="29"/>
  <c r="HK46" i="29"/>
  <c r="HM46" i="29"/>
  <c r="HO46" i="29"/>
  <c r="HQ46" i="29"/>
  <c r="HT46" i="29"/>
  <c r="HU46" i="29"/>
  <c r="HW46" i="29"/>
  <c r="HZ46" i="29"/>
  <c r="HZ48" i="29"/>
  <c r="IA46" i="29"/>
  <c r="IB46" i="29"/>
  <c r="IC46" i="29"/>
  <c r="ID46" i="29"/>
  <c r="IE46" i="29"/>
  <c r="IF46" i="29"/>
  <c r="IG46" i="29"/>
  <c r="IJ46" i="29"/>
  <c r="IK46" i="29"/>
  <c r="IM46" i="29"/>
  <c r="IN46" i="29"/>
  <c r="IO46" i="29"/>
  <c r="IP46" i="29"/>
  <c r="IT46" i="29"/>
  <c r="IT48" i="29"/>
  <c r="IU46" i="29"/>
  <c r="IV46" i="29"/>
  <c r="IY46" i="29"/>
  <c r="JA46" i="29"/>
  <c r="JC46" i="29"/>
  <c r="JF46" i="29"/>
  <c r="JI46" i="29"/>
  <c r="JK46" i="29"/>
  <c r="JM46" i="29"/>
  <c r="JP46" i="29"/>
  <c r="JQ46" i="29"/>
  <c r="JS46" i="29"/>
  <c r="JV46" i="29"/>
  <c r="JW46" i="29"/>
  <c r="JX46" i="29"/>
  <c r="JY46" i="29"/>
  <c r="JZ46" i="29"/>
  <c r="KA46" i="29"/>
  <c r="KB46" i="29"/>
  <c r="KC46" i="29"/>
  <c r="KF46" i="29"/>
  <c r="KG46" i="29"/>
  <c r="KH46" i="29"/>
  <c r="KI46" i="29"/>
  <c r="KJ46" i="29"/>
  <c r="KK46" i="29"/>
  <c r="KL46" i="29"/>
  <c r="KP46" i="29"/>
  <c r="KP48" i="29"/>
  <c r="KS46" i="29"/>
  <c r="KT46" i="29"/>
  <c r="KV46" i="29"/>
  <c r="KW46" i="29"/>
  <c r="KX46" i="29"/>
  <c r="KY46" i="29"/>
  <c r="BT48" i="29"/>
  <c r="BY48" i="29"/>
  <c r="CB48" i="29"/>
  <c r="CE48" i="29"/>
  <c r="CG48" i="29"/>
  <c r="CJ48" i="29"/>
  <c r="CR48" i="29"/>
  <c r="CW48" i="29"/>
  <c r="CX48" i="29"/>
  <c r="CY48" i="29"/>
  <c r="DA48" i="29"/>
  <c r="DE48" i="29"/>
  <c r="DM48" i="29"/>
  <c r="DT48" i="29"/>
  <c r="DU48" i="29"/>
  <c r="DY48" i="29"/>
  <c r="EC48" i="29"/>
  <c r="ED48" i="29"/>
  <c r="EH48" i="29"/>
  <c r="EK48" i="29"/>
  <c r="EN48" i="29"/>
  <c r="ER48" i="29"/>
  <c r="FA48" i="29"/>
  <c r="FB48" i="29"/>
  <c r="FF48" i="29"/>
  <c r="FI48" i="29"/>
  <c r="FK48" i="29"/>
  <c r="FN48" i="29"/>
  <c r="FO48" i="29"/>
  <c r="FP48" i="29"/>
  <c r="FV48" i="29"/>
  <c r="FW48" i="29"/>
  <c r="FX48" i="29"/>
  <c r="FY48" i="29"/>
  <c r="FZ48" i="29"/>
  <c r="GA48" i="29"/>
  <c r="GD48" i="29"/>
  <c r="GG48" i="29"/>
  <c r="GI48" i="29"/>
  <c r="GO48" i="29"/>
  <c r="GQ48" i="29"/>
  <c r="GU48" i="29"/>
  <c r="GW48" i="29"/>
  <c r="HE48" i="29"/>
  <c r="HG48" i="29"/>
  <c r="HJ48" i="29"/>
  <c r="HM48" i="29"/>
  <c r="HO48" i="29"/>
  <c r="HQ48" i="29"/>
  <c r="HT48" i="29"/>
  <c r="HU48" i="29"/>
  <c r="IA48" i="29"/>
  <c r="IC48" i="29"/>
  <c r="IF48" i="29"/>
  <c r="IF52" i="29"/>
  <c r="IJ48" i="29"/>
  <c r="IK48" i="29"/>
  <c r="IO48" i="29"/>
  <c r="IU48" i="29"/>
  <c r="JA48" i="29"/>
  <c r="JI48" i="29"/>
  <c r="JM48" i="29"/>
  <c r="JP48" i="29"/>
  <c r="JQ48" i="29"/>
  <c r="JS48" i="29"/>
  <c r="JV48" i="29"/>
  <c r="JY48" i="29"/>
  <c r="KB48" i="29"/>
  <c r="KB51" i="29"/>
  <c r="KF48" i="29"/>
  <c r="KG48" i="29"/>
  <c r="KH48" i="29"/>
  <c r="KK48" i="29"/>
  <c r="KS48" i="29"/>
  <c r="KW48" i="29"/>
  <c r="BT51" i="29"/>
  <c r="CE51" i="29"/>
  <c r="CG51" i="29"/>
  <c r="CR51" i="29"/>
  <c r="DA51" i="29"/>
  <c r="DE51" i="29"/>
  <c r="DM51" i="29"/>
  <c r="DY51" i="29"/>
  <c r="EC51" i="29"/>
  <c r="EK51" i="29"/>
  <c r="EN51" i="29"/>
  <c r="FA51" i="29"/>
  <c r="FI51" i="29"/>
  <c r="FK51" i="29"/>
  <c r="FN51" i="29"/>
  <c r="FP51" i="29"/>
  <c r="FY51" i="29"/>
  <c r="FZ51" i="29"/>
  <c r="GG51" i="29"/>
  <c r="GI51" i="29"/>
  <c r="GO51" i="29"/>
  <c r="GQ51" i="29"/>
  <c r="GR51" i="29"/>
  <c r="GW51" i="29"/>
  <c r="HE51" i="29"/>
  <c r="HG51" i="29"/>
  <c r="HM51" i="29"/>
  <c r="HO51" i="29"/>
  <c r="HP51" i="29"/>
  <c r="HQ51" i="29"/>
  <c r="HT51" i="29"/>
  <c r="IA51" i="29"/>
  <c r="IC51" i="29"/>
  <c r="IF51" i="29"/>
  <c r="IK51" i="29"/>
  <c r="IO51" i="29"/>
  <c r="JA51" i="29"/>
  <c r="JI51" i="29"/>
  <c r="JM51" i="29"/>
  <c r="JY51" i="29"/>
  <c r="KG51" i="29"/>
  <c r="KK51" i="29"/>
  <c r="KS51" i="29"/>
  <c r="KW51" i="29"/>
  <c r="BT52" i="29"/>
  <c r="CE52" i="29"/>
  <c r="CG52" i="29"/>
  <c r="CR52" i="29"/>
  <c r="DA52" i="29"/>
  <c r="DE52" i="29"/>
  <c r="DM52" i="29"/>
  <c r="DY52" i="29"/>
  <c r="EC52" i="29"/>
  <c r="ED52" i="29"/>
  <c r="EK52" i="29"/>
  <c r="EN52" i="29"/>
  <c r="FA52" i="29"/>
  <c r="FF52" i="29"/>
  <c r="FI52" i="29"/>
  <c r="FK52" i="29"/>
  <c r="FP52" i="29"/>
  <c r="FY52" i="29"/>
  <c r="FZ52" i="29"/>
  <c r="GG52" i="29"/>
  <c r="GI52" i="29"/>
  <c r="GO52" i="29"/>
  <c r="GQ52" i="29"/>
  <c r="GW52" i="29"/>
  <c r="HE52" i="29"/>
  <c r="HG52" i="29"/>
  <c r="HJ52" i="29"/>
  <c r="HM52" i="29"/>
  <c r="HO52" i="29"/>
  <c r="HP52" i="29"/>
  <c r="HQ52" i="29"/>
  <c r="IA52" i="29"/>
  <c r="IC52" i="29"/>
  <c r="ID52" i="29"/>
  <c r="IK52" i="29"/>
  <c r="IO52" i="29"/>
  <c r="JA52" i="29"/>
  <c r="JI52" i="29"/>
  <c r="JM52" i="29"/>
  <c r="JY52" i="29"/>
  <c r="KG52" i="29"/>
  <c r="KK52" i="29"/>
  <c r="KS52" i="29"/>
  <c r="KW52" i="29"/>
  <c r="BT53" i="29"/>
  <c r="CE53" i="29"/>
  <c r="CG53" i="29"/>
  <c r="CR53" i="29"/>
  <c r="DA53" i="29"/>
  <c r="DE53" i="29"/>
  <c r="DM53" i="29"/>
  <c r="DY53" i="29"/>
  <c r="EC53" i="29"/>
  <c r="ED53" i="29"/>
  <c r="EK53" i="29"/>
  <c r="EN53" i="29"/>
  <c r="FA53" i="29"/>
  <c r="FF53" i="29"/>
  <c r="FI53" i="29"/>
  <c r="FK53" i="29"/>
  <c r="FP53" i="29"/>
  <c r="FY53" i="29"/>
  <c r="FZ53" i="29"/>
  <c r="GG53" i="29"/>
  <c r="GI53" i="29"/>
  <c r="GO53" i="29"/>
  <c r="GQ53" i="29"/>
  <c r="GW53" i="29"/>
  <c r="HE53" i="29"/>
  <c r="HG53" i="29"/>
  <c r="HJ53" i="29"/>
  <c r="HM53" i="29"/>
  <c r="HO53" i="29"/>
  <c r="HP53" i="29"/>
  <c r="HQ53" i="29"/>
  <c r="IA53" i="29"/>
  <c r="IC53" i="29"/>
  <c r="ID53" i="29"/>
  <c r="IK53" i="29"/>
  <c r="IO53" i="29"/>
  <c r="JA53" i="29"/>
  <c r="JI53" i="29"/>
  <c r="JM53" i="29"/>
  <c r="JY53" i="29"/>
  <c r="KG53" i="29"/>
  <c r="KK53" i="29"/>
  <c r="KS53" i="29"/>
  <c r="KW53" i="29"/>
  <c r="BT54" i="29"/>
  <c r="CE54" i="29"/>
  <c r="CG54" i="29"/>
  <c r="CR54" i="29"/>
  <c r="DA54" i="29"/>
  <c r="DE54" i="29"/>
  <c r="DM54" i="29"/>
  <c r="DY54" i="29"/>
  <c r="EC54" i="29"/>
  <c r="ED54" i="29"/>
  <c r="EK54" i="29"/>
  <c r="EN54" i="29"/>
  <c r="FA54" i="29"/>
  <c r="FA64" i="29"/>
  <c r="FF54" i="29"/>
  <c r="FI54" i="29"/>
  <c r="FK54" i="29"/>
  <c r="FK64" i="29"/>
  <c r="FP54" i="29"/>
  <c r="FY54" i="29"/>
  <c r="FZ54" i="29"/>
  <c r="GG54" i="29"/>
  <c r="GI54" i="29"/>
  <c r="GO54" i="29"/>
  <c r="GQ54" i="29"/>
  <c r="GW54" i="29"/>
  <c r="HE54" i="29"/>
  <c r="HG54" i="29"/>
  <c r="HJ54" i="29"/>
  <c r="HM54" i="29"/>
  <c r="HO54" i="29"/>
  <c r="HP54" i="29"/>
  <c r="HQ54" i="29"/>
  <c r="HQ64" i="29"/>
  <c r="HQ58" i="29"/>
  <c r="IA54" i="29"/>
  <c r="IC54" i="29"/>
  <c r="ID54" i="29"/>
  <c r="IK54" i="29"/>
  <c r="IO54" i="29"/>
  <c r="JA54" i="29"/>
  <c r="JI54" i="29"/>
  <c r="JM54" i="29"/>
  <c r="JM64" i="29"/>
  <c r="JY54" i="29"/>
  <c r="KG54" i="29"/>
  <c r="KK54" i="29"/>
  <c r="KS54" i="29"/>
  <c r="KW54" i="29"/>
  <c r="BT55" i="29"/>
  <c r="CE55" i="29"/>
  <c r="CG55" i="29"/>
  <c r="CR55" i="29"/>
  <c r="DA55" i="29"/>
  <c r="DE55" i="29"/>
  <c r="DM55" i="29"/>
  <c r="DY55" i="29"/>
  <c r="EC55" i="29"/>
  <c r="ED55" i="29"/>
  <c r="EK55" i="29"/>
  <c r="EN55" i="29"/>
  <c r="FA55" i="29"/>
  <c r="FF55" i="29"/>
  <c r="FI55" i="29"/>
  <c r="FK55" i="29"/>
  <c r="FP55" i="29"/>
  <c r="FY55" i="29"/>
  <c r="FZ55" i="29"/>
  <c r="GG55" i="29"/>
  <c r="GI55" i="29"/>
  <c r="GO55" i="29"/>
  <c r="GQ55" i="29"/>
  <c r="GW55" i="29"/>
  <c r="HE55" i="29"/>
  <c r="HG55" i="29"/>
  <c r="HJ55" i="29"/>
  <c r="HM55" i="29"/>
  <c r="HO55" i="29"/>
  <c r="HP55" i="29"/>
  <c r="HQ55" i="29"/>
  <c r="IA55" i="29"/>
  <c r="IC55" i="29"/>
  <c r="ID55" i="29"/>
  <c r="IK55" i="29"/>
  <c r="IO55" i="29"/>
  <c r="JA55" i="29"/>
  <c r="JI55" i="29"/>
  <c r="JM55" i="29"/>
  <c r="JY55" i="29"/>
  <c r="KG55" i="29"/>
  <c r="KK55" i="29"/>
  <c r="KS55" i="29"/>
  <c r="KW55" i="29"/>
  <c r="BT56" i="29"/>
  <c r="CE56" i="29"/>
  <c r="CG56" i="29"/>
  <c r="CR56" i="29"/>
  <c r="DA56" i="29"/>
  <c r="DE56" i="29"/>
  <c r="DY56" i="29"/>
  <c r="EC56" i="29"/>
  <c r="EK56" i="29"/>
  <c r="EN56" i="29"/>
  <c r="FI56" i="29"/>
  <c r="FY56" i="29"/>
  <c r="FZ56" i="29"/>
  <c r="GG56" i="29"/>
  <c r="GI56" i="29"/>
  <c r="GO56" i="29"/>
  <c r="GQ56" i="29"/>
  <c r="GW56" i="29"/>
  <c r="HG56" i="29"/>
  <c r="HM56" i="29"/>
  <c r="HO56" i="29"/>
  <c r="HP56" i="29"/>
  <c r="IC56" i="29"/>
  <c r="IK56" i="29"/>
  <c r="IO56" i="29"/>
  <c r="JI56" i="29"/>
  <c r="JY56" i="29"/>
  <c r="KG56" i="29"/>
  <c r="KK56" i="29"/>
  <c r="KS56" i="29"/>
  <c r="KW56" i="29"/>
  <c r="CY57" i="29"/>
  <c r="DW57" i="29"/>
  <c r="FX57" i="29"/>
  <c r="GV57" i="29"/>
  <c r="HY57" i="29"/>
  <c r="IW57" i="29"/>
  <c r="JU57" i="29"/>
  <c r="KX57" i="29"/>
  <c r="BQ58" i="29"/>
  <c r="BV58" i="29"/>
  <c r="CJ58" i="29"/>
  <c r="CO58" i="29"/>
  <c r="CT58" i="29"/>
  <c r="DC58" i="29"/>
  <c r="DH58" i="29"/>
  <c r="DM58" i="29"/>
  <c r="DR58" i="29"/>
  <c r="EA58" i="29"/>
  <c r="EF58" i="29"/>
  <c r="EK58" i="29"/>
  <c r="EP58" i="29"/>
  <c r="EU58" i="29"/>
  <c r="EY58" i="29"/>
  <c r="EZ58" i="29"/>
  <c r="FA58" i="29"/>
  <c r="FD58" i="29"/>
  <c r="FI58" i="29"/>
  <c r="FK58" i="29"/>
  <c r="FN58" i="29"/>
  <c r="FS58" i="29"/>
  <c r="GB58" i="29"/>
  <c r="GG58" i="29"/>
  <c r="GL58" i="29"/>
  <c r="GQ58" i="29"/>
  <c r="GU58" i="29"/>
  <c r="GV58" i="29"/>
  <c r="GZ58" i="29"/>
  <c r="HE58" i="29"/>
  <c r="HJ58" i="29"/>
  <c r="HO58" i="29"/>
  <c r="HT58" i="29"/>
  <c r="IC58" i="29"/>
  <c r="IH58" i="29"/>
  <c r="IM58" i="29"/>
  <c r="IR58" i="29"/>
  <c r="IV58" i="29"/>
  <c r="IW58" i="29"/>
  <c r="JA58" i="29"/>
  <c r="JF58" i="29"/>
  <c r="JK58" i="29"/>
  <c r="JM58" i="29"/>
  <c r="JP58" i="29"/>
  <c r="JY58" i="29"/>
  <c r="KD58" i="29"/>
  <c r="KI58" i="29"/>
  <c r="KN58" i="29"/>
  <c r="KS58" i="29"/>
  <c r="BR59" i="29"/>
  <c r="BW59" i="29"/>
  <c r="CE59" i="29"/>
  <c r="CF59" i="29"/>
  <c r="CK59" i="29"/>
  <c r="CP59" i="29"/>
  <c r="CU59" i="29"/>
  <c r="CV59" i="29"/>
  <c r="CX59" i="29"/>
  <c r="CY59" i="29"/>
  <c r="DD59" i="29"/>
  <c r="DI59" i="29"/>
  <c r="DN59" i="29"/>
  <c r="DS59" i="29"/>
  <c r="DT59" i="29"/>
  <c r="DV59" i="29"/>
  <c r="DW59" i="29"/>
  <c r="EB59" i="29"/>
  <c r="EG59" i="29"/>
  <c r="EL59" i="29"/>
  <c r="EQ59" i="29"/>
  <c r="EV59" i="29"/>
  <c r="EW59" i="29"/>
  <c r="EY59" i="29"/>
  <c r="EZ59" i="29"/>
  <c r="FE59" i="29"/>
  <c r="FJ59" i="29"/>
  <c r="FO59" i="29"/>
  <c r="FT59" i="29"/>
  <c r="FU59" i="29"/>
  <c r="FW59" i="29"/>
  <c r="FX59" i="29"/>
  <c r="GC59" i="29"/>
  <c r="GH59" i="29"/>
  <c r="GM59" i="29"/>
  <c r="GR59" i="29"/>
  <c r="GS59" i="29"/>
  <c r="GU59" i="29"/>
  <c r="GV59" i="29"/>
  <c r="HA59" i="29"/>
  <c r="HF59" i="29"/>
  <c r="HK59" i="29"/>
  <c r="HP59" i="29"/>
  <c r="HU59" i="29"/>
  <c r="HV59" i="29"/>
  <c r="HX59" i="29"/>
  <c r="HY59" i="29"/>
  <c r="ID59" i="29"/>
  <c r="II59" i="29"/>
  <c r="IN59" i="29"/>
  <c r="IS59" i="29"/>
  <c r="IT59" i="29"/>
  <c r="IV59" i="29"/>
  <c r="IW59" i="29"/>
  <c r="JB59" i="29"/>
  <c r="JG59" i="29"/>
  <c r="JL59" i="29"/>
  <c r="JQ59" i="29"/>
  <c r="JR59" i="29"/>
  <c r="JT59" i="29"/>
  <c r="JU59" i="29"/>
  <c r="JZ59" i="29"/>
  <c r="KE59" i="29"/>
  <c r="KJ59" i="29"/>
  <c r="KO59" i="29"/>
  <c r="KT59" i="29"/>
  <c r="KX59" i="29"/>
  <c r="KY59" i="29"/>
  <c r="KZ59" i="29"/>
  <c r="LB59" i="29"/>
  <c r="BR60" i="29"/>
  <c r="BW60" i="29"/>
  <c r="CE60" i="29"/>
  <c r="CF60" i="29"/>
  <c r="CK60" i="29"/>
  <c r="CP60" i="29"/>
  <c r="CU60" i="29"/>
  <c r="CV60" i="29"/>
  <c r="DD60" i="29"/>
  <c r="DI60" i="29"/>
  <c r="DN60" i="29"/>
  <c r="DS60" i="29"/>
  <c r="DT60" i="29"/>
  <c r="DV60" i="29"/>
  <c r="DW60" i="29"/>
  <c r="EB60" i="29"/>
  <c r="EG60" i="29"/>
  <c r="EL60" i="29"/>
  <c r="EQ60" i="29"/>
  <c r="EV60" i="29"/>
  <c r="EW60" i="29"/>
  <c r="EY60" i="29"/>
  <c r="EZ60" i="29"/>
  <c r="FE60" i="29"/>
  <c r="FJ60" i="29"/>
  <c r="FO60" i="29"/>
  <c r="FT60" i="29"/>
  <c r="FU60" i="29"/>
  <c r="FW60" i="29"/>
  <c r="FX60" i="29"/>
  <c r="GC60" i="29"/>
  <c r="GH60" i="29"/>
  <c r="GM60" i="29"/>
  <c r="GR60" i="29"/>
  <c r="GS60" i="29"/>
  <c r="GU60" i="29"/>
  <c r="GV60" i="29"/>
  <c r="HA60" i="29"/>
  <c r="HF60" i="29"/>
  <c r="HK60" i="29"/>
  <c r="HP60" i="29"/>
  <c r="HU60" i="29"/>
  <c r="HV60" i="29"/>
  <c r="HX60" i="29"/>
  <c r="HY60" i="29"/>
  <c r="ID60" i="29"/>
  <c r="II60" i="29"/>
  <c r="IN60" i="29"/>
  <c r="IS60" i="29"/>
  <c r="IT60" i="29"/>
  <c r="IV60" i="29"/>
  <c r="IW60" i="29"/>
  <c r="JB60" i="29"/>
  <c r="JG60" i="29"/>
  <c r="JL60" i="29"/>
  <c r="JQ60" i="29"/>
  <c r="JR60" i="29"/>
  <c r="JT60" i="29"/>
  <c r="JU60" i="29"/>
  <c r="JZ60" i="29"/>
  <c r="KE60" i="29"/>
  <c r="KJ60" i="29"/>
  <c r="KO60" i="29"/>
  <c r="KT60" i="29"/>
  <c r="KX60" i="29"/>
  <c r="KY60" i="29"/>
  <c r="KZ60" i="29"/>
  <c r="LA60" i="29"/>
  <c r="LB60" i="29"/>
  <c r="BR61" i="29"/>
  <c r="BW61" i="29"/>
  <c r="CE61" i="29"/>
  <c r="CX61" i="29"/>
  <c r="CF61" i="29"/>
  <c r="CK61" i="29"/>
  <c r="CP61" i="29"/>
  <c r="CU61" i="29"/>
  <c r="CV61" i="29"/>
  <c r="CY61" i="29"/>
  <c r="DD61" i="29"/>
  <c r="DI61" i="29"/>
  <c r="DN61" i="29"/>
  <c r="DS61" i="29"/>
  <c r="DT61" i="29"/>
  <c r="DV61" i="29"/>
  <c r="DW61" i="29"/>
  <c r="EB61" i="29"/>
  <c r="EG61" i="29"/>
  <c r="EL61" i="29"/>
  <c r="EQ61" i="29"/>
  <c r="EV61" i="29"/>
  <c r="EW61" i="29"/>
  <c r="EY61" i="29"/>
  <c r="EZ61" i="29"/>
  <c r="FE61" i="29"/>
  <c r="FJ61" i="29"/>
  <c r="FO61" i="29"/>
  <c r="FT61" i="29"/>
  <c r="FU61" i="29"/>
  <c r="FW61" i="29"/>
  <c r="FX61" i="29"/>
  <c r="GC61" i="29"/>
  <c r="GH61" i="29"/>
  <c r="GM61" i="29"/>
  <c r="GR61" i="29"/>
  <c r="GS61" i="29"/>
  <c r="GU61" i="29"/>
  <c r="GV61" i="29"/>
  <c r="HA61" i="29"/>
  <c r="HF61" i="29"/>
  <c r="HK61" i="29"/>
  <c r="HP61" i="29"/>
  <c r="HU61" i="29"/>
  <c r="HV61" i="29"/>
  <c r="HX61" i="29"/>
  <c r="HY61" i="29"/>
  <c r="ID61" i="29"/>
  <c r="II61" i="29"/>
  <c r="IN61" i="29"/>
  <c r="IS61" i="29"/>
  <c r="IT61" i="29"/>
  <c r="IV61" i="29"/>
  <c r="IW61" i="29"/>
  <c r="JB61" i="29"/>
  <c r="JG61" i="29"/>
  <c r="JL61" i="29"/>
  <c r="JQ61" i="29"/>
  <c r="JR61" i="29"/>
  <c r="JT61" i="29"/>
  <c r="JU61" i="29"/>
  <c r="JZ61" i="29"/>
  <c r="KE61" i="29"/>
  <c r="KJ61" i="29"/>
  <c r="KO61" i="29"/>
  <c r="KT61" i="29"/>
  <c r="KX61" i="29"/>
  <c r="KY61" i="29"/>
  <c r="KZ61" i="29"/>
  <c r="LA61" i="29"/>
  <c r="BR62" i="29"/>
  <c r="BW62" i="29"/>
  <c r="CF62" i="29"/>
  <c r="CK62" i="29"/>
  <c r="CP62" i="29"/>
  <c r="CU62" i="29"/>
  <c r="CV62" i="29"/>
  <c r="CX62" i="29"/>
  <c r="CY62" i="29"/>
  <c r="DD62" i="29"/>
  <c r="DI62" i="29"/>
  <c r="DN62" i="29"/>
  <c r="DS62" i="29"/>
  <c r="DT62" i="29"/>
  <c r="DV62" i="29"/>
  <c r="DW62" i="29"/>
  <c r="EB62" i="29"/>
  <c r="EG62" i="29"/>
  <c r="EL62" i="29"/>
  <c r="EQ62" i="29"/>
  <c r="EV62" i="29"/>
  <c r="EW62" i="29"/>
  <c r="EY62" i="29"/>
  <c r="EZ62" i="29"/>
  <c r="FE62" i="29"/>
  <c r="FJ62" i="29"/>
  <c r="FO62" i="29"/>
  <c r="FT62" i="29"/>
  <c r="FU62" i="29"/>
  <c r="FW62" i="29"/>
  <c r="FX62" i="29"/>
  <c r="GC62" i="29"/>
  <c r="GH62" i="29"/>
  <c r="GM62" i="29"/>
  <c r="GR62" i="29"/>
  <c r="GS62" i="29"/>
  <c r="GU62" i="29"/>
  <c r="GV62" i="29"/>
  <c r="HA62" i="29"/>
  <c r="HF62" i="29"/>
  <c r="HK62" i="29"/>
  <c r="HP62" i="29"/>
  <c r="HU62" i="29"/>
  <c r="HV62" i="29"/>
  <c r="HX62" i="29"/>
  <c r="HY62" i="29"/>
  <c r="ID62" i="29"/>
  <c r="II62" i="29"/>
  <c r="IN62" i="29"/>
  <c r="IS62" i="29"/>
  <c r="IT62" i="29"/>
  <c r="IV62" i="29"/>
  <c r="IW62" i="29"/>
  <c r="JB62" i="29"/>
  <c r="JG62" i="29"/>
  <c r="JL62" i="29"/>
  <c r="JQ62" i="29"/>
  <c r="JR62" i="29"/>
  <c r="JT62" i="29"/>
  <c r="JU62" i="29"/>
  <c r="JZ62" i="29"/>
  <c r="KE62" i="29"/>
  <c r="KJ62" i="29"/>
  <c r="KO62" i="29"/>
  <c r="KT62" i="29"/>
  <c r="KX62" i="29"/>
  <c r="KY62" i="29"/>
  <c r="KZ62" i="29"/>
  <c r="LB62" i="29"/>
  <c r="LA62" i="29"/>
  <c r="BR63" i="29"/>
  <c r="BW63" i="29"/>
  <c r="CF63" i="29"/>
  <c r="CK63" i="29"/>
  <c r="CP63" i="29"/>
  <c r="CU63" i="29"/>
  <c r="CV63" i="29"/>
  <c r="CX63" i="29"/>
  <c r="CY63" i="29"/>
  <c r="DD63" i="29"/>
  <c r="DI63" i="29"/>
  <c r="DN63" i="29"/>
  <c r="DS63" i="29"/>
  <c r="DT63" i="29"/>
  <c r="DV63" i="29"/>
  <c r="DW63" i="29"/>
  <c r="EB63" i="29"/>
  <c r="EG63" i="29"/>
  <c r="EL63" i="29"/>
  <c r="EQ63" i="29"/>
  <c r="EV63" i="29"/>
  <c r="EW63" i="29"/>
  <c r="EY63" i="29"/>
  <c r="EZ63" i="29"/>
  <c r="FE63" i="29"/>
  <c r="FJ63" i="29"/>
  <c r="FO63" i="29"/>
  <c r="FT63" i="29"/>
  <c r="FU63" i="29"/>
  <c r="FW63" i="29"/>
  <c r="FX63" i="29"/>
  <c r="GC63" i="29"/>
  <c r="GH63" i="29"/>
  <c r="GM63" i="29"/>
  <c r="GR63" i="29"/>
  <c r="GS63" i="29"/>
  <c r="GU63" i="29"/>
  <c r="GV63" i="29"/>
  <c r="HA63" i="29"/>
  <c r="HF63" i="29"/>
  <c r="HK63" i="29"/>
  <c r="HP63" i="29"/>
  <c r="HU63" i="29"/>
  <c r="HV63" i="29"/>
  <c r="HX63" i="29"/>
  <c r="HY63" i="29"/>
  <c r="ID63" i="29"/>
  <c r="II63" i="29"/>
  <c r="IN63" i="29"/>
  <c r="IS63" i="29"/>
  <c r="IT63" i="29"/>
  <c r="IV63" i="29"/>
  <c r="IW63" i="29"/>
  <c r="JB63" i="29"/>
  <c r="JG63" i="29"/>
  <c r="JL63" i="29"/>
  <c r="JQ63" i="29"/>
  <c r="JR63" i="29"/>
  <c r="JT63" i="29"/>
  <c r="JU63" i="29"/>
  <c r="JZ63" i="29"/>
  <c r="KE63" i="29"/>
  <c r="KJ63" i="29"/>
  <c r="KO63" i="29"/>
  <c r="KT63" i="29"/>
  <c r="KX63" i="29"/>
  <c r="KY63" i="29"/>
  <c r="KZ63" i="29"/>
  <c r="LA63" i="29"/>
  <c r="BT64" i="29"/>
  <c r="CE64" i="29"/>
  <c r="CX64" i="29"/>
  <c r="CY64" i="29"/>
  <c r="CG64" i="29"/>
  <c r="CG58" i="29"/>
  <c r="CR64" i="29"/>
  <c r="CR58" i="29"/>
  <c r="CU58" i="29"/>
  <c r="CU64" i="29"/>
  <c r="DA64" i="29"/>
  <c r="DA58" i="29"/>
  <c r="DD64" i="29"/>
  <c r="DE64" i="29"/>
  <c r="DE58" i="29"/>
  <c r="DV64" i="29"/>
  <c r="DW64" i="29"/>
  <c r="DY64" i="29"/>
  <c r="EC64" i="29"/>
  <c r="EC58" i="29"/>
  <c r="EN64" i="29"/>
  <c r="EN58" i="29"/>
  <c r="EQ58" i="29"/>
  <c r="EQ64" i="29"/>
  <c r="EY64" i="29"/>
  <c r="EZ64" i="29"/>
  <c r="FF64" i="29"/>
  <c r="FF58" i="29"/>
  <c r="FP64" i="29"/>
  <c r="FP58" i="29"/>
  <c r="FW64" i="29"/>
  <c r="FX64" i="29"/>
  <c r="FY64" i="29"/>
  <c r="FY58" i="29"/>
  <c r="FZ64" i="29"/>
  <c r="FZ58" i="29"/>
  <c r="GC58" i="29"/>
  <c r="GC64" i="29"/>
  <c r="GI64" i="29"/>
  <c r="GI58" i="29"/>
  <c r="GO64" i="29"/>
  <c r="GU64" i="29"/>
  <c r="GV64" i="29"/>
  <c r="GW64" i="29"/>
  <c r="GW58" i="29"/>
  <c r="HG64" i="29"/>
  <c r="HG58" i="29"/>
  <c r="HM64" i="29"/>
  <c r="HM58" i="29"/>
  <c r="HP64" i="29"/>
  <c r="HX64" i="29"/>
  <c r="HY64" i="29"/>
  <c r="IA64" i="29"/>
  <c r="IK64" i="29"/>
  <c r="IO64" i="29"/>
  <c r="IO58" i="29"/>
  <c r="IV64" i="29"/>
  <c r="IW64" i="29"/>
  <c r="JI64" i="29"/>
  <c r="JI58" i="29"/>
  <c r="JL64" i="29"/>
  <c r="JT64" i="29"/>
  <c r="JU64" i="29"/>
  <c r="KG64" i="29"/>
  <c r="KG58" i="29"/>
  <c r="KK64" i="29"/>
  <c r="KK58" i="29"/>
  <c r="KW64" i="29"/>
  <c r="BQ67" i="29"/>
  <c r="BV67" i="29"/>
  <c r="CJ67" i="29"/>
  <c r="CO67" i="29"/>
  <c r="CR67" i="29"/>
  <c r="CT67" i="29"/>
  <c r="CU67" i="29"/>
  <c r="CV67" i="29"/>
  <c r="DA67" i="29"/>
  <c r="DA68" i="29"/>
  <c r="DC67" i="29"/>
  <c r="DD67" i="29"/>
  <c r="DH67" i="29"/>
  <c r="DM67" i="29"/>
  <c r="DR67" i="29"/>
  <c r="DT67" i="29"/>
  <c r="DV67" i="29"/>
  <c r="DY67" i="29"/>
  <c r="DY68" i="29"/>
  <c r="EA67" i="29"/>
  <c r="EF67" i="29"/>
  <c r="EK67" i="29"/>
  <c r="EN67" i="29"/>
  <c r="EP67" i="29"/>
  <c r="EQ67" i="29"/>
  <c r="EU67" i="29"/>
  <c r="BR68" i="29"/>
  <c r="BR69" i="29"/>
  <c r="CK68" i="29"/>
  <c r="CP68" i="29"/>
  <c r="CR68" i="29"/>
  <c r="DD68" i="29"/>
  <c r="DD69" i="29"/>
  <c r="DI68" i="29"/>
  <c r="DN68" i="29"/>
  <c r="DS68" i="29"/>
  <c r="DW68" i="29"/>
  <c r="EB68" i="29"/>
  <c r="EL68" i="29"/>
  <c r="EN68" i="29"/>
  <c r="EV68" i="29"/>
  <c r="EB69" i="29"/>
  <c r="EM35" i="25"/>
  <c r="K23" i="27" s="1"/>
  <c r="KZ8" i="25"/>
  <c r="KZ9" i="25"/>
  <c r="KZ10" i="25"/>
  <c r="KZ11" i="25"/>
  <c r="KZ12" i="25"/>
  <c r="KZ13" i="25"/>
  <c r="KZ14" i="25"/>
  <c r="KZ15" i="25"/>
  <c r="KZ16" i="25"/>
  <c r="KZ17" i="25"/>
  <c r="KZ18" i="25"/>
  <c r="KZ19" i="25"/>
  <c r="KZ20" i="25"/>
  <c r="KZ21" i="25"/>
  <c r="KZ22" i="25"/>
  <c r="KZ23" i="25"/>
  <c r="KZ24" i="25"/>
  <c r="KZ25" i="25"/>
  <c r="KZ26" i="25"/>
  <c r="KZ27" i="25"/>
  <c r="KZ28" i="25"/>
  <c r="KZ29" i="25"/>
  <c r="KZ30" i="25"/>
  <c r="KZ31" i="25"/>
  <c r="KZ32" i="25"/>
  <c r="KZ33" i="25"/>
  <c r="KZ7" i="25"/>
  <c r="KZ38" i="25"/>
  <c r="KZ35" i="25"/>
  <c r="LI35" i="25" s="1"/>
  <c r="G23" i="27"/>
  <c r="F23" i="27"/>
  <c r="E23" i="27"/>
  <c r="D23" i="27"/>
  <c r="C23" i="27"/>
  <c r="DP16" i="25"/>
  <c r="DY26" i="25"/>
  <c r="AJS8" i="28"/>
  <c r="AJS9" i="28"/>
  <c r="AJS10" i="28"/>
  <c r="AJS11" i="28"/>
  <c r="AJS12" i="28"/>
  <c r="AJS13" i="28"/>
  <c r="AJS14" i="28"/>
  <c r="AJS15" i="28"/>
  <c r="AJS16" i="28"/>
  <c r="AJS17" i="28"/>
  <c r="AJS18" i="28"/>
  <c r="AJS19" i="28"/>
  <c r="AJS20" i="28"/>
  <c r="AJS21" i="28"/>
  <c r="AJS22" i="28"/>
  <c r="AJS23" i="28"/>
  <c r="AJS24" i="28"/>
  <c r="AJS25" i="28"/>
  <c r="AJS26" i="28"/>
  <c r="AJS27" i="28"/>
  <c r="AJS28" i="28"/>
  <c r="AJS29" i="28"/>
  <c r="AJS30" i="28"/>
  <c r="AJS31" i="28"/>
  <c r="AJS32" i="28"/>
  <c r="AJS33" i="28"/>
  <c r="AJS34" i="28"/>
  <c r="AJO8" i="28"/>
  <c r="AJO9" i="28"/>
  <c r="AJO10" i="28"/>
  <c r="AJO11" i="28"/>
  <c r="AJO12" i="28"/>
  <c r="AJO13" i="28"/>
  <c r="AJO14" i="28"/>
  <c r="AJO15" i="28"/>
  <c r="AJO16" i="28"/>
  <c r="AJO17" i="28"/>
  <c r="AJO18" i="28"/>
  <c r="AJO19" i="28"/>
  <c r="AJO20" i="28"/>
  <c r="AJO21" i="28"/>
  <c r="AJO22" i="28"/>
  <c r="AJO23" i="28"/>
  <c r="AJO24" i="28"/>
  <c r="AJO25" i="28"/>
  <c r="AJO26" i="28"/>
  <c r="AJO27" i="28"/>
  <c r="AJO28" i="28"/>
  <c r="AJO29" i="28"/>
  <c r="AJO30" i="28"/>
  <c r="AJO31" i="28"/>
  <c r="AJO32" i="28"/>
  <c r="AJO33" i="28"/>
  <c r="AJO34" i="28"/>
  <c r="AJG8" i="28"/>
  <c r="AJG9" i="28"/>
  <c r="AJG10" i="28"/>
  <c r="AJG11" i="28"/>
  <c r="AJG12" i="28"/>
  <c r="AJG13" i="28"/>
  <c r="AJG14" i="28"/>
  <c r="AJG15" i="28"/>
  <c r="AJG16" i="28"/>
  <c r="AJG17" i="28"/>
  <c r="AJG18" i="28"/>
  <c r="AJG19" i="28"/>
  <c r="AJG20" i="28"/>
  <c r="AJG21" i="28"/>
  <c r="AJG22" i="28"/>
  <c r="AJG23" i="28"/>
  <c r="AJG24" i="28"/>
  <c r="AJG25" i="28"/>
  <c r="AJG26" i="28"/>
  <c r="AJG27" i="28"/>
  <c r="AJG28" i="28"/>
  <c r="AJG29" i="28"/>
  <c r="AJG30" i="28"/>
  <c r="AJG31" i="28"/>
  <c r="AJG32" i="28"/>
  <c r="AJG33" i="28"/>
  <c r="AJG34" i="28"/>
  <c r="AJK8" i="28"/>
  <c r="AJK9" i="28"/>
  <c r="AJK10" i="28"/>
  <c r="AJK11" i="28"/>
  <c r="AJK12" i="28"/>
  <c r="AJK13" i="28"/>
  <c r="AJK14" i="28"/>
  <c r="AJK15" i="28"/>
  <c r="AJK16" i="28"/>
  <c r="AJK17" i="28"/>
  <c r="AJK18" i="28"/>
  <c r="AJK19" i="28"/>
  <c r="AJK20" i="28"/>
  <c r="AJK21" i="28"/>
  <c r="AJK22" i="28"/>
  <c r="AJK23" i="28"/>
  <c r="AJK24" i="28"/>
  <c r="AJK25" i="28"/>
  <c r="AJK26" i="28"/>
  <c r="AJK27" i="28"/>
  <c r="AJK28" i="28"/>
  <c r="AJK29" i="28"/>
  <c r="AJK30" i="28"/>
  <c r="AJK31" i="28"/>
  <c r="AJK32" i="28"/>
  <c r="AJK33" i="28"/>
  <c r="AJK34" i="28"/>
  <c r="TS8" i="28"/>
  <c r="TS9" i="28"/>
  <c r="TS10" i="28"/>
  <c r="TS11" i="28"/>
  <c r="TS12" i="28"/>
  <c r="TS13" i="28"/>
  <c r="TS14" i="28"/>
  <c r="TS15" i="28"/>
  <c r="TS16" i="28"/>
  <c r="TS17" i="28"/>
  <c r="TS18" i="28"/>
  <c r="TS19" i="28"/>
  <c r="TS20" i="28"/>
  <c r="TS21" i="28"/>
  <c r="TS22" i="28"/>
  <c r="TS23" i="28"/>
  <c r="TS24" i="28"/>
  <c r="TS25" i="28"/>
  <c r="TS26" i="28"/>
  <c r="TS27" i="28"/>
  <c r="TS28" i="28"/>
  <c r="TS29" i="28"/>
  <c r="TS30" i="28"/>
  <c r="TS31" i="28"/>
  <c r="TS32" i="28"/>
  <c r="TS33" i="28"/>
  <c r="TS34" i="28"/>
  <c r="TO8" i="28"/>
  <c r="TO9" i="28"/>
  <c r="TO10" i="28"/>
  <c r="TO11" i="28"/>
  <c r="TO12" i="28"/>
  <c r="TO13" i="28"/>
  <c r="TO14" i="28"/>
  <c r="TO15" i="28"/>
  <c r="TO16" i="28"/>
  <c r="TO17" i="28"/>
  <c r="TO18" i="28"/>
  <c r="TO19" i="28"/>
  <c r="TO20" i="28"/>
  <c r="TO21" i="28"/>
  <c r="TO22" i="28"/>
  <c r="TO23" i="28"/>
  <c r="TO24" i="28"/>
  <c r="TO25" i="28"/>
  <c r="TO26" i="28"/>
  <c r="TO27" i="28"/>
  <c r="TO28" i="28"/>
  <c r="TO29" i="28"/>
  <c r="TO30" i="28"/>
  <c r="TO31" i="28"/>
  <c r="TO32" i="28"/>
  <c r="TO33" i="28"/>
  <c r="TO34" i="28"/>
  <c r="TK8" i="28"/>
  <c r="TK9" i="28"/>
  <c r="TK10" i="28"/>
  <c r="TK11" i="28"/>
  <c r="TK12" i="28"/>
  <c r="TK13" i="28"/>
  <c r="TK14" i="28"/>
  <c r="TK15" i="28"/>
  <c r="TK16" i="28"/>
  <c r="TK17" i="28"/>
  <c r="TK18" i="28"/>
  <c r="TK19" i="28"/>
  <c r="TK20" i="28"/>
  <c r="TK21" i="28"/>
  <c r="TK22" i="28"/>
  <c r="TK23" i="28"/>
  <c r="TK24" i="28"/>
  <c r="TK25" i="28"/>
  <c r="TK26" i="28"/>
  <c r="TK27" i="28"/>
  <c r="TK28" i="28"/>
  <c r="TK29" i="28"/>
  <c r="TK30" i="28"/>
  <c r="TK31" i="28"/>
  <c r="TK32" i="28"/>
  <c r="TK33" i="28"/>
  <c r="TK34" i="28"/>
  <c r="TG8" i="28"/>
  <c r="TG9" i="28"/>
  <c r="TG10" i="28"/>
  <c r="TG11" i="28"/>
  <c r="TG12" i="28"/>
  <c r="TG13" i="28"/>
  <c r="TG14" i="28"/>
  <c r="TG15" i="28"/>
  <c r="TG16" i="28"/>
  <c r="TG17" i="28"/>
  <c r="TG18" i="28"/>
  <c r="TG19" i="28"/>
  <c r="TG20" i="28"/>
  <c r="TG21" i="28"/>
  <c r="TG22" i="28"/>
  <c r="TG23" i="28"/>
  <c r="TG24" i="28"/>
  <c r="TG25" i="28"/>
  <c r="TG26" i="28"/>
  <c r="TG27" i="28"/>
  <c r="TG28" i="28"/>
  <c r="TG29" i="28"/>
  <c r="TG30" i="28"/>
  <c r="TG31" i="28"/>
  <c r="TG32" i="28"/>
  <c r="TG33" i="28"/>
  <c r="TG34" i="28"/>
  <c r="TC8" i="28"/>
  <c r="TC9" i="28"/>
  <c r="TC10" i="28"/>
  <c r="TC11" i="28"/>
  <c r="TC12" i="28"/>
  <c r="TC13" i="28"/>
  <c r="TC14" i="28"/>
  <c r="TC15" i="28"/>
  <c r="TC16" i="28"/>
  <c r="TC17" i="28"/>
  <c r="TC18" i="28"/>
  <c r="TC19" i="28"/>
  <c r="TC20" i="28"/>
  <c r="TC21" i="28"/>
  <c r="TC22" i="28"/>
  <c r="TC23" i="28"/>
  <c r="TC24" i="28"/>
  <c r="TC25" i="28"/>
  <c r="TC26" i="28"/>
  <c r="TC27" i="28"/>
  <c r="TC28" i="28"/>
  <c r="TC29" i="28"/>
  <c r="TC30" i="28"/>
  <c r="TC31" i="28"/>
  <c r="TC32" i="28"/>
  <c r="TC33" i="28"/>
  <c r="TC34" i="28"/>
  <c r="SY8" i="28"/>
  <c r="SY9" i="28"/>
  <c r="SY10" i="28"/>
  <c r="SY11" i="28"/>
  <c r="SY12" i="28"/>
  <c r="SY13" i="28"/>
  <c r="SY14" i="28"/>
  <c r="SY15" i="28"/>
  <c r="SY16" i="28"/>
  <c r="SY17" i="28"/>
  <c r="SY18" i="28"/>
  <c r="SY19" i="28"/>
  <c r="SY20" i="28"/>
  <c r="SY21" i="28"/>
  <c r="SY22" i="28"/>
  <c r="SY23" i="28"/>
  <c r="SY24" i="28"/>
  <c r="SY25" i="28"/>
  <c r="SY26" i="28"/>
  <c r="SY27" i="28"/>
  <c r="SY28" i="28"/>
  <c r="SY29" i="28"/>
  <c r="SY30" i="28"/>
  <c r="SY31" i="28"/>
  <c r="SY32" i="28"/>
  <c r="SY33" i="28"/>
  <c r="SY34" i="28"/>
  <c r="SU8" i="28"/>
  <c r="SU9" i="28"/>
  <c r="SU10" i="28"/>
  <c r="SU11" i="28"/>
  <c r="SU12" i="28"/>
  <c r="SU13" i="28"/>
  <c r="SU14" i="28"/>
  <c r="SU15" i="28"/>
  <c r="SU16" i="28"/>
  <c r="SU17" i="28"/>
  <c r="SU18" i="28"/>
  <c r="SU19" i="28"/>
  <c r="SU20" i="28"/>
  <c r="SU21" i="28"/>
  <c r="SU22" i="28"/>
  <c r="SU23" i="28"/>
  <c r="SU24" i="28"/>
  <c r="SU25" i="28"/>
  <c r="SU26" i="28"/>
  <c r="SU27" i="28"/>
  <c r="SU28" i="28"/>
  <c r="SU29" i="28"/>
  <c r="SU30" i="28"/>
  <c r="SU31" i="28"/>
  <c r="SU32" i="28"/>
  <c r="SU33" i="28"/>
  <c r="SU34" i="28"/>
  <c r="SM8" i="28"/>
  <c r="SM9" i="28"/>
  <c r="SM10" i="28"/>
  <c r="SM11" i="28"/>
  <c r="SM12" i="28"/>
  <c r="SM13" i="28"/>
  <c r="SM14" i="28"/>
  <c r="SM15" i="28"/>
  <c r="SM16" i="28"/>
  <c r="SM17" i="28"/>
  <c r="SM18" i="28"/>
  <c r="SM19" i="28"/>
  <c r="SM20" i="28"/>
  <c r="SM21" i="28"/>
  <c r="SM22" i="28"/>
  <c r="SM23" i="28"/>
  <c r="SM24" i="28"/>
  <c r="SM25" i="28"/>
  <c r="SM26" i="28"/>
  <c r="SM27" i="28"/>
  <c r="SM28" i="28"/>
  <c r="SM29" i="28"/>
  <c r="SM30" i="28"/>
  <c r="SM31" i="28"/>
  <c r="SM32" i="28"/>
  <c r="SM33" i="28"/>
  <c r="SM34" i="28"/>
  <c r="SI8" i="28"/>
  <c r="SI9" i="28"/>
  <c r="SI10" i="28"/>
  <c r="SI11" i="28"/>
  <c r="SI12" i="28"/>
  <c r="SI13" i="28"/>
  <c r="SI14" i="28"/>
  <c r="SI15" i="28"/>
  <c r="SI16" i="28"/>
  <c r="SI17" i="28"/>
  <c r="SI18" i="28"/>
  <c r="SI19" i="28"/>
  <c r="SI20" i="28"/>
  <c r="SI21" i="28"/>
  <c r="SI22" i="28"/>
  <c r="SI23" i="28"/>
  <c r="SI24" i="28"/>
  <c r="SI25" i="28"/>
  <c r="SI26" i="28"/>
  <c r="SI27" i="28"/>
  <c r="SI28" i="28"/>
  <c r="SI29" i="28"/>
  <c r="SI30" i="28"/>
  <c r="SI31" i="28"/>
  <c r="SI32" i="28"/>
  <c r="SI33" i="28"/>
  <c r="SI34" i="28"/>
  <c r="SE8" i="28"/>
  <c r="SE9" i="28"/>
  <c r="SE10" i="28"/>
  <c r="SE11" i="28"/>
  <c r="SE12" i="28"/>
  <c r="SE13" i="28"/>
  <c r="SE14" i="28"/>
  <c r="SE15" i="28"/>
  <c r="SE16" i="28"/>
  <c r="SE17" i="28"/>
  <c r="SE18" i="28"/>
  <c r="SE19" i="28"/>
  <c r="SE20" i="28"/>
  <c r="SE21" i="28"/>
  <c r="SE22" i="28"/>
  <c r="SE23" i="28"/>
  <c r="SE24" i="28"/>
  <c r="SE25" i="28"/>
  <c r="SE26" i="28"/>
  <c r="SE27" i="28"/>
  <c r="SE28" i="28"/>
  <c r="SE29" i="28"/>
  <c r="SE30" i="28"/>
  <c r="SE31" i="28"/>
  <c r="SE32" i="28"/>
  <c r="SE33" i="28"/>
  <c r="SE34" i="28"/>
  <c r="SA8" i="28"/>
  <c r="SA9" i="28"/>
  <c r="SA10" i="28"/>
  <c r="SA11" i="28"/>
  <c r="SA12" i="28"/>
  <c r="SA13" i="28"/>
  <c r="SA14" i="28"/>
  <c r="SA15" i="28"/>
  <c r="SA16" i="28"/>
  <c r="SA17" i="28"/>
  <c r="SA18" i="28"/>
  <c r="SA19" i="28"/>
  <c r="SA20" i="28"/>
  <c r="SA21" i="28"/>
  <c r="SA22" i="28"/>
  <c r="SA23" i="28"/>
  <c r="SA24" i="28"/>
  <c r="SA25" i="28"/>
  <c r="SA26" i="28"/>
  <c r="SA27" i="28"/>
  <c r="SA28" i="28"/>
  <c r="SA29" i="28"/>
  <c r="SA30" i="28"/>
  <c r="SA31" i="28"/>
  <c r="SA32" i="28"/>
  <c r="SA33" i="28"/>
  <c r="SA34" i="28"/>
  <c r="RW8" i="28"/>
  <c r="RW9" i="28"/>
  <c r="RW10" i="28"/>
  <c r="RW11" i="28"/>
  <c r="RW12" i="28"/>
  <c r="RW13" i="28"/>
  <c r="RW14" i="28"/>
  <c r="RW15" i="28"/>
  <c r="RW16" i="28"/>
  <c r="RW17" i="28"/>
  <c r="RW18" i="28"/>
  <c r="RW19" i="28"/>
  <c r="RW20" i="28"/>
  <c r="RW21" i="28"/>
  <c r="RW22" i="28"/>
  <c r="RW23" i="28"/>
  <c r="RW24" i="28"/>
  <c r="RW25" i="28"/>
  <c r="RW26" i="28"/>
  <c r="RW27" i="28"/>
  <c r="RW28" i="28"/>
  <c r="RW29" i="28"/>
  <c r="RW30" i="28"/>
  <c r="RW31" i="28"/>
  <c r="RW32" i="28"/>
  <c r="RW33" i="28"/>
  <c r="RW34" i="28"/>
  <c r="RS8" i="28"/>
  <c r="RS9" i="28"/>
  <c r="RS10" i="28"/>
  <c r="RS11" i="28"/>
  <c r="RS12" i="28"/>
  <c r="RS13" i="28"/>
  <c r="RS14" i="28"/>
  <c r="RS15" i="28"/>
  <c r="RS16" i="28"/>
  <c r="RS17" i="28"/>
  <c r="RS18" i="28"/>
  <c r="RS19" i="28"/>
  <c r="RS20" i="28"/>
  <c r="RS21" i="28"/>
  <c r="RS22" i="28"/>
  <c r="RS23" i="28"/>
  <c r="RS24" i="28"/>
  <c r="RS25" i="28"/>
  <c r="RS26" i="28"/>
  <c r="RS27" i="28"/>
  <c r="RS28" i="28"/>
  <c r="RS29" i="28"/>
  <c r="RS30" i="28"/>
  <c r="RS31" i="28"/>
  <c r="RS32" i="28"/>
  <c r="RS33" i="28"/>
  <c r="RS34" i="28"/>
  <c r="RO8" i="28"/>
  <c r="RO9" i="28"/>
  <c r="RO10" i="28"/>
  <c r="RO11" i="28"/>
  <c r="RO12" i="28"/>
  <c r="RO13" i="28"/>
  <c r="RO14" i="28"/>
  <c r="RO15" i="28"/>
  <c r="RO16" i="28"/>
  <c r="RO17" i="28"/>
  <c r="RO18" i="28"/>
  <c r="RO19" i="28"/>
  <c r="RO20" i="28"/>
  <c r="RO21" i="28"/>
  <c r="RO22" i="28"/>
  <c r="RO23" i="28"/>
  <c r="RO24" i="28"/>
  <c r="RO25" i="28"/>
  <c r="RO26" i="28"/>
  <c r="RO27" i="28"/>
  <c r="RO28" i="28"/>
  <c r="RO29" i="28"/>
  <c r="RO30" i="28"/>
  <c r="RO31" i="28"/>
  <c r="RO32" i="28"/>
  <c r="RO33" i="28"/>
  <c r="RO34" i="28"/>
  <c r="AKA8" i="28"/>
  <c r="AKA9" i="28"/>
  <c r="AKA10" i="28"/>
  <c r="AKA11" i="28"/>
  <c r="AKA12" i="28"/>
  <c r="AKA13" i="28"/>
  <c r="AKA14" i="28"/>
  <c r="AKA15" i="28"/>
  <c r="AKA16" i="28"/>
  <c r="AKA17" i="28"/>
  <c r="AKA18" i="28"/>
  <c r="AKA19" i="28"/>
  <c r="AKA20" i="28"/>
  <c r="AKA21" i="28"/>
  <c r="AKA22" i="28"/>
  <c r="AKA23" i="28"/>
  <c r="AKA24" i="28"/>
  <c r="AKA25" i="28"/>
  <c r="AKA26" i="28"/>
  <c r="AKA27" i="28"/>
  <c r="AKA28" i="28"/>
  <c r="AKA29" i="28"/>
  <c r="AKA30" i="28"/>
  <c r="AKA31" i="28"/>
  <c r="AKA32" i="28"/>
  <c r="AKA33" i="28"/>
  <c r="AKA34" i="28"/>
  <c r="AKE8" i="28"/>
  <c r="AKE9" i="28"/>
  <c r="AKE10" i="28"/>
  <c r="AKE11" i="28"/>
  <c r="AKE12" i="28"/>
  <c r="AKE13" i="28"/>
  <c r="AKE14" i="28"/>
  <c r="AKE15" i="28"/>
  <c r="AKE16" i="28"/>
  <c r="AKE17" i="28"/>
  <c r="AKE18" i="28"/>
  <c r="AKE19" i="28"/>
  <c r="AKE20" i="28"/>
  <c r="AKE21" i="28"/>
  <c r="AKE22" i="28"/>
  <c r="AKE23" i="28"/>
  <c r="AKE24" i="28"/>
  <c r="AKE25" i="28"/>
  <c r="AKE26" i="28"/>
  <c r="AKE27" i="28"/>
  <c r="AKE28" i="28"/>
  <c r="AKE29" i="28"/>
  <c r="AKE30" i="28"/>
  <c r="AKE31" i="28"/>
  <c r="AKE32" i="28"/>
  <c r="AKE33" i="28"/>
  <c r="AKE34" i="28"/>
  <c r="AKI8" i="28"/>
  <c r="AKI9" i="28"/>
  <c r="AKI10" i="28"/>
  <c r="AKI11" i="28"/>
  <c r="AKI12" i="28"/>
  <c r="AKI13" i="28"/>
  <c r="AKI14" i="28"/>
  <c r="AKI15" i="28"/>
  <c r="AKI16" i="28"/>
  <c r="AKI17" i="28"/>
  <c r="AKI18" i="28"/>
  <c r="AKI19" i="28"/>
  <c r="AKI20" i="28"/>
  <c r="AKI21" i="28"/>
  <c r="AKI22" i="28"/>
  <c r="AKI23" i="28"/>
  <c r="AKI24" i="28"/>
  <c r="AKI25" i="28"/>
  <c r="AKI26" i="28"/>
  <c r="AKI27" i="28"/>
  <c r="AKI28" i="28"/>
  <c r="AKI29" i="28"/>
  <c r="AKI30" i="28"/>
  <c r="AKI31" i="28"/>
  <c r="AKI32" i="28"/>
  <c r="AKI33" i="28"/>
  <c r="AKI34" i="28"/>
  <c r="AKM8" i="28"/>
  <c r="AKM9" i="28"/>
  <c r="AKM10" i="28"/>
  <c r="AKM11" i="28"/>
  <c r="AKM12" i="28"/>
  <c r="AKM13" i="28"/>
  <c r="AKM14" i="28"/>
  <c r="AKM15" i="28"/>
  <c r="AKM16" i="28"/>
  <c r="AKM17" i="28"/>
  <c r="AKM18" i="28"/>
  <c r="AKM19" i="28"/>
  <c r="AKM20" i="28"/>
  <c r="AKM21" i="28"/>
  <c r="AKM22" i="28"/>
  <c r="AKM23" i="28"/>
  <c r="AKM24" i="28"/>
  <c r="AKM25" i="28"/>
  <c r="AKM26" i="28"/>
  <c r="AKM27" i="28"/>
  <c r="AKM28" i="28"/>
  <c r="AKM29" i="28"/>
  <c r="AKM30" i="28"/>
  <c r="AKM31" i="28"/>
  <c r="AKM32" i="28"/>
  <c r="AKM33" i="28"/>
  <c r="AKM34" i="28"/>
  <c r="AKQ8" i="28"/>
  <c r="AKQ9" i="28"/>
  <c r="AKQ10" i="28"/>
  <c r="AKQ11" i="28"/>
  <c r="AKQ12" i="28"/>
  <c r="AKQ13" i="28"/>
  <c r="AKQ14" i="28"/>
  <c r="AKQ15" i="28"/>
  <c r="AKQ16" i="28"/>
  <c r="AKQ17" i="28"/>
  <c r="AKQ18" i="28"/>
  <c r="AKQ19" i="28"/>
  <c r="AKQ20" i="28"/>
  <c r="AKQ21" i="28"/>
  <c r="AKQ22" i="28"/>
  <c r="AKQ23" i="28"/>
  <c r="AKQ24" i="28"/>
  <c r="AKQ25" i="28"/>
  <c r="AKQ26" i="28"/>
  <c r="AKQ27" i="28"/>
  <c r="AKQ28" i="28"/>
  <c r="AKQ29" i="28"/>
  <c r="AKQ30" i="28"/>
  <c r="AKQ31" i="28"/>
  <c r="AKQ32" i="28"/>
  <c r="AKQ33" i="28"/>
  <c r="AKQ34" i="28"/>
  <c r="AKU8" i="28"/>
  <c r="AKU9" i="28"/>
  <c r="AKU10" i="28"/>
  <c r="AKU11" i="28"/>
  <c r="AKU12" i="28"/>
  <c r="AKU13" i="28"/>
  <c r="AKU14" i="28"/>
  <c r="AKU15" i="28"/>
  <c r="AKU16" i="28"/>
  <c r="AKU17" i="28"/>
  <c r="AKU18" i="28"/>
  <c r="AKU19" i="28"/>
  <c r="AKU20" i="28"/>
  <c r="AKU21" i="28"/>
  <c r="AKU22" i="28"/>
  <c r="AKU23" i="28"/>
  <c r="AKU24" i="28"/>
  <c r="AKU25" i="28"/>
  <c r="AKU26" i="28"/>
  <c r="AKU27" i="28"/>
  <c r="AKU28" i="28"/>
  <c r="AKU29" i="28"/>
  <c r="AKU30" i="28"/>
  <c r="AKU31" i="28"/>
  <c r="AKU32" i="28"/>
  <c r="AKU33" i="28"/>
  <c r="AKU34" i="28"/>
  <c r="AKY8" i="28"/>
  <c r="ALB8" i="28" s="1"/>
  <c r="AKY9" i="28"/>
  <c r="ALB9" i="28" s="1"/>
  <c r="AKY10" i="28"/>
  <c r="ALB10" i="28" s="1"/>
  <c r="AKY11" i="28"/>
  <c r="ALB11" i="28" s="1"/>
  <c r="AKY12" i="28"/>
  <c r="ALB12" i="28" s="1"/>
  <c r="AKY13" i="28"/>
  <c r="ALB13" i="28" s="1"/>
  <c r="AKY14" i="28"/>
  <c r="ALB14" i="28" s="1"/>
  <c r="AKY15" i="28"/>
  <c r="ALB15" i="28" s="1"/>
  <c r="AKY16" i="28"/>
  <c r="ALB16" i="28" s="1"/>
  <c r="AKY17" i="28"/>
  <c r="ALB17" i="28" s="1"/>
  <c r="AKY18" i="28"/>
  <c r="ALB18" i="28" s="1"/>
  <c r="AKY19" i="28"/>
  <c r="ALB19" i="28" s="1"/>
  <c r="AKY20" i="28"/>
  <c r="ALB20" i="28" s="1"/>
  <c r="AKY21" i="28"/>
  <c r="ALB21" i="28" s="1"/>
  <c r="AKY22" i="28"/>
  <c r="ALB22" i="28" s="1"/>
  <c r="AKY23" i="28"/>
  <c r="ALB23" i="28" s="1"/>
  <c r="AKY24" i="28"/>
  <c r="ALB24" i="28" s="1"/>
  <c r="AKY25" i="28"/>
  <c r="ALB25" i="28" s="1"/>
  <c r="AKY26" i="28"/>
  <c r="ALB26" i="28" s="1"/>
  <c r="AKY27" i="28"/>
  <c r="ALB27" i="28" s="1"/>
  <c r="AKY28" i="28"/>
  <c r="ALB28" i="28" s="1"/>
  <c r="AKY29" i="28"/>
  <c r="ALB29" i="28" s="1"/>
  <c r="AKY30" i="28"/>
  <c r="ALB30" i="28" s="1"/>
  <c r="AKY31" i="28"/>
  <c r="ALB31" i="28" s="1"/>
  <c r="AKY32" i="28"/>
  <c r="ALB32" i="28" s="1"/>
  <c r="AKY33" i="28"/>
  <c r="ALB33" i="28" s="1"/>
  <c r="AKY34" i="28"/>
  <c r="ALB34" i="28" s="1"/>
  <c r="AKY7" i="28"/>
  <c r="ALB7" i="28" s="1"/>
  <c r="AKU7" i="28"/>
  <c r="AKQ7" i="28"/>
  <c r="AKM7" i="28"/>
  <c r="AKI7" i="28"/>
  <c r="AKE7" i="28"/>
  <c r="AKA7" i="28"/>
  <c r="AJS7" i="28"/>
  <c r="AJO7" i="28"/>
  <c r="AJK7" i="28"/>
  <c r="AJG7" i="28"/>
  <c r="TS7" i="28"/>
  <c r="TO7" i="28"/>
  <c r="TK7" i="28"/>
  <c r="TG7" i="28"/>
  <c r="TC7" i="28"/>
  <c r="SY7" i="28"/>
  <c r="SU7" i="28"/>
  <c r="SM7" i="28"/>
  <c r="SI7" i="28"/>
  <c r="SE7" i="28"/>
  <c r="SA7" i="28"/>
  <c r="RW7" i="28"/>
  <c r="RS7" i="28"/>
  <c r="RO7" i="28"/>
  <c r="QQ8" i="28"/>
  <c r="QQ9" i="28"/>
  <c r="QQ10" i="28"/>
  <c r="QQ11" i="28"/>
  <c r="QQ12" i="28"/>
  <c r="QQ13" i="28"/>
  <c r="QQ14" i="28"/>
  <c r="QQ15" i="28"/>
  <c r="QQ16" i="28"/>
  <c r="QQ17" i="28"/>
  <c r="QQ18" i="28"/>
  <c r="QQ19" i="28"/>
  <c r="QQ20" i="28"/>
  <c r="QQ21" i="28"/>
  <c r="QQ22" i="28"/>
  <c r="QQ23" i="28"/>
  <c r="QQ24" i="28"/>
  <c r="QQ25" i="28"/>
  <c r="QQ26" i="28"/>
  <c r="QQ27" i="28"/>
  <c r="QQ28" i="28"/>
  <c r="QQ29" i="28"/>
  <c r="QQ30" i="28"/>
  <c r="QQ31" i="28"/>
  <c r="QQ32" i="28"/>
  <c r="QQ33" i="28"/>
  <c r="QQ34" i="28"/>
  <c r="QU8" i="28"/>
  <c r="QU9" i="28"/>
  <c r="QU10" i="28"/>
  <c r="QU11" i="28"/>
  <c r="QU12" i="28"/>
  <c r="QU13" i="28"/>
  <c r="QU14" i="28"/>
  <c r="QU15" i="28"/>
  <c r="QU16" i="28"/>
  <c r="QU17" i="28"/>
  <c r="QU18" i="28"/>
  <c r="QU19" i="28"/>
  <c r="QU20" i="28"/>
  <c r="QU21" i="28"/>
  <c r="QU22" i="28"/>
  <c r="QU23" i="28"/>
  <c r="QU24" i="28"/>
  <c r="QU25" i="28"/>
  <c r="QU26" i="28"/>
  <c r="QU27" i="28"/>
  <c r="QU28" i="28"/>
  <c r="QU29" i="28"/>
  <c r="QU30" i="28"/>
  <c r="QU31" i="28"/>
  <c r="QU32" i="28"/>
  <c r="QU33" i="28"/>
  <c r="QU34" i="28"/>
  <c r="QY8" i="28"/>
  <c r="QY9" i="28"/>
  <c r="QY10" i="28"/>
  <c r="QY11" i="28"/>
  <c r="QY12" i="28"/>
  <c r="QY13" i="28"/>
  <c r="QY14" i="28"/>
  <c r="QY15" i="28"/>
  <c r="QY16" i="28"/>
  <c r="QY17" i="28"/>
  <c r="QY18" i="28"/>
  <c r="QY19" i="28"/>
  <c r="QY20" i="28"/>
  <c r="QY21" i="28"/>
  <c r="QY22" i="28"/>
  <c r="QY23" i="28"/>
  <c r="QY24" i="28"/>
  <c r="QY25" i="28"/>
  <c r="QY26" i="28"/>
  <c r="QY27" i="28"/>
  <c r="QY28" i="28"/>
  <c r="QY29" i="28"/>
  <c r="QY30" i="28"/>
  <c r="QY31" i="28"/>
  <c r="QY32" i="28"/>
  <c r="QY33" i="28"/>
  <c r="QY34" i="28"/>
  <c r="RC8" i="28"/>
  <c r="RC9" i="28"/>
  <c r="RC10" i="28"/>
  <c r="RC11" i="28"/>
  <c r="RC12" i="28"/>
  <c r="RC13" i="28"/>
  <c r="RC14" i="28"/>
  <c r="RC15" i="28"/>
  <c r="RC16" i="28"/>
  <c r="RC17" i="28"/>
  <c r="RC18" i="28"/>
  <c r="RC19" i="28"/>
  <c r="RC20" i="28"/>
  <c r="RC21" i="28"/>
  <c r="RC22" i="28"/>
  <c r="RC23" i="28"/>
  <c r="RC24" i="28"/>
  <c r="RC25" i="28"/>
  <c r="RC26" i="28"/>
  <c r="RC27" i="28"/>
  <c r="RC28" i="28"/>
  <c r="RC29" i="28"/>
  <c r="RC30" i="28"/>
  <c r="RC31" i="28"/>
  <c r="RC32" i="28"/>
  <c r="RC33" i="28"/>
  <c r="RC34" i="28"/>
  <c r="RG8" i="28"/>
  <c r="RG9" i="28"/>
  <c r="RG10" i="28"/>
  <c r="RG11" i="28"/>
  <c r="RG12" i="28"/>
  <c r="RG13" i="28"/>
  <c r="RG14" i="28"/>
  <c r="RG15" i="28"/>
  <c r="RG16" i="28"/>
  <c r="RG17" i="28"/>
  <c r="RG18" i="28"/>
  <c r="RG19" i="28"/>
  <c r="RG20" i="28"/>
  <c r="RG21" i="28"/>
  <c r="RG22" i="28"/>
  <c r="RG23" i="28"/>
  <c r="RG24" i="28"/>
  <c r="RG25" i="28"/>
  <c r="RG26" i="28"/>
  <c r="RG27" i="28"/>
  <c r="RG28" i="28"/>
  <c r="RG29" i="28"/>
  <c r="RG30" i="28"/>
  <c r="RG31" i="28"/>
  <c r="RG32" i="28"/>
  <c r="RG33" i="28"/>
  <c r="RG34" i="28"/>
  <c r="RG7" i="28"/>
  <c r="RC7" i="28"/>
  <c r="QY7" i="28"/>
  <c r="QU7" i="28"/>
  <c r="QQ7" i="28"/>
  <c r="QM7" i="28"/>
  <c r="QI7" i="28"/>
  <c r="ALA36" i="28"/>
  <c r="ALA50" i="28" s="1"/>
  <c r="AKW36" i="28"/>
  <c r="AKW50" i="28" s="1"/>
  <c r="AKS36" i="28"/>
  <c r="AKS50" i="28" s="1"/>
  <c r="AKO36" i="28"/>
  <c r="AKO50" i="28" s="1"/>
  <c r="AKK36" i="28"/>
  <c r="AKK50" i="28" s="1"/>
  <c r="AKG36" i="28"/>
  <c r="AKG50" i="28" s="1"/>
  <c r="AKC36" i="28"/>
  <c r="AKC50" i="28" s="1"/>
  <c r="AJU36" i="28"/>
  <c r="AJU50" i="28" s="1"/>
  <c r="AJQ36" i="28"/>
  <c r="AJQ50" i="28" s="1"/>
  <c r="AJM36" i="28"/>
  <c r="AJM50" i="28" s="1"/>
  <c r="AJI36" i="28"/>
  <c r="AJI50" i="28" s="1"/>
  <c r="AJE36" i="28"/>
  <c r="AJE50" i="28" s="1"/>
  <c r="AJA36" i="28"/>
  <c r="AJA50" i="28" s="1"/>
  <c r="AIW36" i="28"/>
  <c r="AIW50" i="28" s="1"/>
  <c r="AIO36" i="28"/>
  <c r="AIO50" i="28" s="1"/>
  <c r="AIK36" i="28"/>
  <c r="AIK50" i="28" s="1"/>
  <c r="AIG36" i="28"/>
  <c r="AIG50" i="28" s="1"/>
  <c r="AIC36" i="28"/>
  <c r="AIC50" i="28" s="1"/>
  <c r="AHY36" i="28"/>
  <c r="AHY50" i="28" s="1"/>
  <c r="AHU36" i="28"/>
  <c r="AHU50" i="28" s="1"/>
  <c r="AHQ36" i="28"/>
  <c r="AHQ50" i="28" s="1"/>
  <c r="AHI36" i="28"/>
  <c r="AHI50" i="28" s="1"/>
  <c r="AHE36" i="28"/>
  <c r="AHE50" i="28" s="1"/>
  <c r="AHA36" i="28"/>
  <c r="AHA50" i="28" s="1"/>
  <c r="AGW36" i="28"/>
  <c r="AGW50" i="28" s="1"/>
  <c r="AGS36" i="28"/>
  <c r="AGS50" i="28" s="1"/>
  <c r="AGO36" i="28"/>
  <c r="AGO50" i="28" s="1"/>
  <c r="AGK36" i="28"/>
  <c r="AGK50" i="28" s="1"/>
  <c r="AGC36" i="28"/>
  <c r="AGC50" i="28" s="1"/>
  <c r="AFY36" i="28"/>
  <c r="AFY50" i="28" s="1"/>
  <c r="AFU36" i="28"/>
  <c r="AFU50" i="28" s="1"/>
  <c r="AFQ36" i="28"/>
  <c r="AFQ50" i="28" s="1"/>
  <c r="AFM36" i="28"/>
  <c r="AFM50" i="28" s="1"/>
  <c r="AFI36" i="28"/>
  <c r="AFI50" i="28" s="1"/>
  <c r="AFE36" i="28"/>
  <c r="AFE50" i="28" s="1"/>
  <c r="ALE35" i="28"/>
  <c r="KT34" i="25"/>
  <c r="KU34" i="25" s="1"/>
  <c r="AJY35" i="28"/>
  <c r="KO34" i="25"/>
  <c r="KP34" i="25" s="1"/>
  <c r="AJT35" i="28"/>
  <c r="AIS35" i="28"/>
  <c r="KJ34" i="25"/>
  <c r="KK34" i="25" s="1"/>
  <c r="AHM35" i="28"/>
  <c r="KE34" i="25"/>
  <c r="KF34" i="25" s="1"/>
  <c r="AGG35" i="28"/>
  <c r="JZ34" i="25"/>
  <c r="KA34" i="25" s="1"/>
  <c r="ALE34" i="28"/>
  <c r="KT33" i="25"/>
  <c r="KU33" i="25" s="1"/>
  <c r="AKX34" i="28"/>
  <c r="AKT34" i="28"/>
  <c r="AKP34" i="28"/>
  <c r="AKL34" i="28"/>
  <c r="AKH34" i="28"/>
  <c r="AJY34" i="28"/>
  <c r="KO33" i="25"/>
  <c r="AJV34" i="28"/>
  <c r="AJR34" i="28"/>
  <c r="AJN34" i="28"/>
  <c r="AJJ34" i="28"/>
  <c r="AJF34" i="28"/>
  <c r="AJB34" i="28"/>
  <c r="AIS34" i="28"/>
  <c r="KJ33" i="25"/>
  <c r="AIP34" i="28"/>
  <c r="AIL34" i="28"/>
  <c r="AIH34" i="28"/>
  <c r="AID34" i="28"/>
  <c r="AHZ34" i="28"/>
  <c r="AHV34" i="28"/>
  <c r="AHM34" i="28"/>
  <c r="KE33" i="25"/>
  <c r="AHJ34" i="28"/>
  <c r="AHF34" i="28"/>
  <c r="AHB34" i="28"/>
  <c r="AGX34" i="28"/>
  <c r="AGT34" i="28"/>
  <c r="AGP34" i="28"/>
  <c r="AGG34" i="28"/>
  <c r="JZ33" i="25"/>
  <c r="AGD34" i="28"/>
  <c r="AFZ34" i="28"/>
  <c r="AFV34" i="28"/>
  <c r="AFR34" i="28"/>
  <c r="AFN34" i="28"/>
  <c r="AFJ34" i="28"/>
  <c r="ALE33" i="28"/>
  <c r="KT32" i="25"/>
  <c r="AKX33" i="28"/>
  <c r="AKT33" i="28"/>
  <c r="AKP33" i="28"/>
  <c r="AKL33" i="28"/>
  <c r="AKH33" i="28"/>
  <c r="AJY33" i="28"/>
  <c r="KO32" i="25"/>
  <c r="AJV33" i="28"/>
  <c r="AJR33" i="28"/>
  <c r="AJN33" i="28"/>
  <c r="AJJ33" i="28"/>
  <c r="AJF33" i="28"/>
  <c r="AJB33" i="28"/>
  <c r="AIS33" i="28"/>
  <c r="KJ32" i="25"/>
  <c r="AIP33" i="28"/>
  <c r="AIL33" i="28"/>
  <c r="AIH33" i="28"/>
  <c r="AID33" i="28"/>
  <c r="AHZ33" i="28"/>
  <c r="AHV33" i="28"/>
  <c r="AHM33" i="28"/>
  <c r="KE32" i="25"/>
  <c r="AHJ33" i="28"/>
  <c r="AHF33" i="28"/>
  <c r="AHB33" i="28"/>
  <c r="AGX33" i="28"/>
  <c r="AGT33" i="28"/>
  <c r="AGP33" i="28"/>
  <c r="AGG33" i="28"/>
  <c r="JZ32" i="25"/>
  <c r="AGD33" i="28"/>
  <c r="AFZ33" i="28"/>
  <c r="AFV33" i="28"/>
  <c r="AFR33" i="28"/>
  <c r="AFN33" i="28"/>
  <c r="AFJ33" i="28"/>
  <c r="ALE32" i="28"/>
  <c r="KT31" i="25"/>
  <c r="AKX32" i="28"/>
  <c r="AKT32" i="28"/>
  <c r="AKP32" i="28"/>
  <c r="AKL32" i="28"/>
  <c r="AKH32" i="28"/>
  <c r="AJY32" i="28"/>
  <c r="KO31" i="25"/>
  <c r="AJV32" i="28"/>
  <c r="AJR32" i="28"/>
  <c r="AJN32" i="28"/>
  <c r="AJJ32" i="28"/>
  <c r="AJF32" i="28"/>
  <c r="AJB32" i="28"/>
  <c r="AIS32" i="28"/>
  <c r="KJ31" i="25"/>
  <c r="AIP32" i="28"/>
  <c r="AIL32" i="28"/>
  <c r="AIH32" i="28"/>
  <c r="AID32" i="28"/>
  <c r="AHZ32" i="28"/>
  <c r="AHV32" i="28"/>
  <c r="AHM32" i="28"/>
  <c r="KE31" i="25"/>
  <c r="AHJ32" i="28"/>
  <c r="AHF32" i="28"/>
  <c r="AHB32" i="28"/>
  <c r="AGX32" i="28"/>
  <c r="AGT32" i="28"/>
  <c r="AGP32" i="28"/>
  <c r="AGG32" i="28"/>
  <c r="JZ31" i="25"/>
  <c r="AGD32" i="28"/>
  <c r="AFZ32" i="28"/>
  <c r="AFV32" i="28"/>
  <c r="AFR32" i="28"/>
  <c r="AFN32" i="28"/>
  <c r="AFJ32" i="28"/>
  <c r="ALE31" i="28"/>
  <c r="ALE44" i="28" s="1"/>
  <c r="KT30" i="25"/>
  <c r="AKX31" i="28"/>
  <c r="AKT31" i="28"/>
  <c r="AKP31" i="28"/>
  <c r="AKL31" i="28"/>
  <c r="AKH31" i="28"/>
  <c r="AJY31" i="28"/>
  <c r="AJY44" i="28" s="1"/>
  <c r="KO30" i="25"/>
  <c r="AJV31" i="28"/>
  <c r="AJR31" i="28"/>
  <c r="AJN31" i="28"/>
  <c r="AJJ31" i="28"/>
  <c r="AJF31" i="28"/>
  <c r="AJB31" i="28"/>
  <c r="AIS31" i="28"/>
  <c r="AIS44" i="28" s="1"/>
  <c r="KJ30" i="25"/>
  <c r="AIP31" i="28"/>
  <c r="AIL31" i="28"/>
  <c r="AIH31" i="28"/>
  <c r="AID31" i="28"/>
  <c r="AHZ31" i="28"/>
  <c r="AHV31" i="28"/>
  <c r="AHM31" i="28"/>
  <c r="AHM44" i="28" s="1"/>
  <c r="KE30" i="25"/>
  <c r="AHJ31" i="28"/>
  <c r="AHF31" i="28"/>
  <c r="AHB31" i="28"/>
  <c r="AGX31" i="28"/>
  <c r="AGT31" i="28"/>
  <c r="AGP31" i="28"/>
  <c r="AGG31" i="28"/>
  <c r="AGG44" i="28" s="1"/>
  <c r="JZ30" i="25"/>
  <c r="ALE30" i="28"/>
  <c r="KT29" i="25"/>
  <c r="AKX30" i="28"/>
  <c r="AKT30" i="28"/>
  <c r="AKP30" i="28"/>
  <c r="AKL30" i="28"/>
  <c r="AKH30" i="28"/>
  <c r="AJY30" i="28"/>
  <c r="KO29" i="25"/>
  <c r="AJV30" i="28"/>
  <c r="AJR30" i="28"/>
  <c r="AJN30" i="28"/>
  <c r="AJJ30" i="28"/>
  <c r="AJF30" i="28"/>
  <c r="AJB30" i="28"/>
  <c r="AIS30" i="28"/>
  <c r="KJ29" i="25"/>
  <c r="AIP30" i="28"/>
  <c r="AIL30" i="28"/>
  <c r="AIH30" i="28"/>
  <c r="AID30" i="28"/>
  <c r="AHZ30" i="28"/>
  <c r="AHV30" i="28"/>
  <c r="AHM30" i="28"/>
  <c r="KE29" i="25"/>
  <c r="AHJ30" i="28"/>
  <c r="AHF30" i="28"/>
  <c r="AHB30" i="28"/>
  <c r="AGX30" i="28"/>
  <c r="AGT30" i="28"/>
  <c r="AGP30" i="28"/>
  <c r="AGG30" i="28"/>
  <c r="JZ29" i="25"/>
  <c r="AGD30" i="28"/>
  <c r="AFZ30" i="28"/>
  <c r="AFV30" i="28"/>
  <c r="AFR30" i="28"/>
  <c r="AFN30" i="28"/>
  <c r="AFJ30" i="28"/>
  <c r="ALE29" i="28"/>
  <c r="KT28" i="25"/>
  <c r="AKX29" i="28"/>
  <c r="AKT29" i="28"/>
  <c r="AKP29" i="28"/>
  <c r="AKL29" i="28"/>
  <c r="AKH29" i="28"/>
  <c r="AJY29" i="28"/>
  <c r="KO28" i="25"/>
  <c r="AJV29" i="28"/>
  <c r="AJR29" i="28"/>
  <c r="AJN29" i="28"/>
  <c r="AJJ29" i="28"/>
  <c r="AJF29" i="28"/>
  <c r="AJB29" i="28"/>
  <c r="AIS29" i="28"/>
  <c r="KJ28" i="25"/>
  <c r="AIP29" i="28"/>
  <c r="AIL29" i="28"/>
  <c r="AIH29" i="28"/>
  <c r="AID29" i="28"/>
  <c r="AHZ29" i="28"/>
  <c r="AHV29" i="28"/>
  <c r="AHM29" i="28"/>
  <c r="KE28" i="25"/>
  <c r="AHJ29" i="28"/>
  <c r="AHF29" i="28"/>
  <c r="AHB29" i="28"/>
  <c r="AGX29" i="28"/>
  <c r="AGT29" i="28"/>
  <c r="AGP29" i="28"/>
  <c r="AGG29" i="28"/>
  <c r="JZ28" i="25"/>
  <c r="AGD29" i="28"/>
  <c r="AFZ29" i="28"/>
  <c r="AFV29" i="28"/>
  <c r="AFR29" i="28"/>
  <c r="AFN29" i="28"/>
  <c r="AFJ29" i="28"/>
  <c r="ALE28" i="28"/>
  <c r="KT27" i="25"/>
  <c r="AKX28" i="28"/>
  <c r="AKT28" i="28"/>
  <c r="AKP28" i="28"/>
  <c r="AKL28" i="28"/>
  <c r="AKH28" i="28"/>
  <c r="AJY28" i="28"/>
  <c r="KO27" i="25"/>
  <c r="AJV28" i="28"/>
  <c r="AJR28" i="28"/>
  <c r="AJN28" i="28"/>
  <c r="AJJ28" i="28"/>
  <c r="AJF28" i="28"/>
  <c r="AJB28" i="28"/>
  <c r="AIS28" i="28"/>
  <c r="KJ27" i="25"/>
  <c r="AIP28" i="28"/>
  <c r="AIL28" i="28"/>
  <c r="AIH28" i="28"/>
  <c r="AID28" i="28"/>
  <c r="AHZ28" i="28"/>
  <c r="AHV28" i="28"/>
  <c r="AHM28" i="28"/>
  <c r="KE27" i="25"/>
  <c r="AHJ28" i="28"/>
  <c r="AHF28" i="28"/>
  <c r="AHB28" i="28"/>
  <c r="AGX28" i="28"/>
  <c r="AGT28" i="28"/>
  <c r="AGP28" i="28"/>
  <c r="AGG28" i="28"/>
  <c r="JZ27" i="25"/>
  <c r="AGD28" i="28"/>
  <c r="AFZ28" i="28"/>
  <c r="AFV28" i="28"/>
  <c r="AFR28" i="28"/>
  <c r="AFN28" i="28"/>
  <c r="AFJ28" i="28"/>
  <c r="ALE27" i="28"/>
  <c r="KT26" i="25"/>
  <c r="AKX27" i="28"/>
  <c r="AKT27" i="28"/>
  <c r="AKP27" i="28"/>
  <c r="AKL27" i="28"/>
  <c r="AKH27" i="28"/>
  <c r="AJY27" i="28"/>
  <c r="KO26" i="25"/>
  <c r="AJV27" i="28"/>
  <c r="AJR27" i="28"/>
  <c r="AJN27" i="28"/>
  <c r="AJJ27" i="28"/>
  <c r="AJF27" i="28"/>
  <c r="AJB27" i="28"/>
  <c r="AIS27" i="28"/>
  <c r="KJ26" i="25"/>
  <c r="AIP27" i="28"/>
  <c r="AIL27" i="28"/>
  <c r="AIH27" i="28"/>
  <c r="AID27" i="28"/>
  <c r="AHZ27" i="28"/>
  <c r="AHV27" i="28"/>
  <c r="AHM27" i="28"/>
  <c r="KE26" i="25"/>
  <c r="AHJ27" i="28"/>
  <c r="AHF27" i="28"/>
  <c r="AHB27" i="28"/>
  <c r="AGX27" i="28"/>
  <c r="AGT27" i="28"/>
  <c r="AGP27" i="28"/>
  <c r="AGG27" i="28"/>
  <c r="JZ26" i="25"/>
  <c r="AGD27" i="28"/>
  <c r="AFZ27" i="28"/>
  <c r="AFV27" i="28"/>
  <c r="AFR27" i="28"/>
  <c r="AFN27" i="28"/>
  <c r="AFJ27" i="28"/>
  <c r="ALE26" i="28"/>
  <c r="ALE43" i="28" s="1"/>
  <c r="KT25" i="25"/>
  <c r="AKX26" i="28"/>
  <c r="AKT26" i="28"/>
  <c r="AKP26" i="28"/>
  <c r="AKL26" i="28"/>
  <c r="AKH26" i="28"/>
  <c r="AJY26" i="28"/>
  <c r="AJY43" i="28" s="1"/>
  <c r="KO25" i="25"/>
  <c r="AJV26" i="28"/>
  <c r="AJR26" i="28"/>
  <c r="AJN26" i="28"/>
  <c r="AJJ26" i="28"/>
  <c r="AJF26" i="28"/>
  <c r="AJB26" i="28"/>
  <c r="AIS26" i="28"/>
  <c r="AIS43" i="28" s="1"/>
  <c r="KJ25" i="25"/>
  <c r="AIP26" i="28"/>
  <c r="AIL26" i="28"/>
  <c r="AIH26" i="28"/>
  <c r="AID26" i="28"/>
  <c r="AHZ26" i="28"/>
  <c r="AHV26" i="28"/>
  <c r="AHM26" i="28"/>
  <c r="AHM43" i="28" s="1"/>
  <c r="KE25" i="25"/>
  <c r="AHJ26" i="28"/>
  <c r="AHF26" i="28"/>
  <c r="AHB26" i="28"/>
  <c r="AGX26" i="28"/>
  <c r="AGT26" i="28"/>
  <c r="AGP26" i="28"/>
  <c r="AGG26" i="28"/>
  <c r="AGG43" i="28" s="1"/>
  <c r="JZ25" i="25"/>
  <c r="ALE25" i="28"/>
  <c r="KT24" i="25"/>
  <c r="AKX25" i="28"/>
  <c r="AKT25" i="28"/>
  <c r="AKP25" i="28"/>
  <c r="AKL25" i="28"/>
  <c r="AKH25" i="28"/>
  <c r="AJY25" i="28"/>
  <c r="KO24" i="25"/>
  <c r="AJV25" i="28"/>
  <c r="AJR25" i="28"/>
  <c r="AJN25" i="28"/>
  <c r="AJJ25" i="28"/>
  <c r="AJF25" i="28"/>
  <c r="AJB25" i="28"/>
  <c r="AIS25" i="28"/>
  <c r="KJ24" i="25"/>
  <c r="AIP25" i="28"/>
  <c r="AIL25" i="28"/>
  <c r="AIH25" i="28"/>
  <c r="AID25" i="28"/>
  <c r="AHZ25" i="28"/>
  <c r="AHV25" i="28"/>
  <c r="AHM25" i="28"/>
  <c r="KE24" i="25"/>
  <c r="AHJ25" i="28"/>
  <c r="AHF25" i="28"/>
  <c r="AHB25" i="28"/>
  <c r="AGX25" i="28"/>
  <c r="AGT25" i="28"/>
  <c r="AGP25" i="28"/>
  <c r="AGG25" i="28"/>
  <c r="JZ24" i="25"/>
  <c r="AGD25" i="28"/>
  <c r="AFZ25" i="28"/>
  <c r="AFV25" i="28"/>
  <c r="AFR25" i="28"/>
  <c r="AFN25" i="28"/>
  <c r="AFJ25" i="28"/>
  <c r="ALE24" i="28"/>
  <c r="KT23" i="25"/>
  <c r="AKX24" i="28"/>
  <c r="AKT24" i="28"/>
  <c r="AKP24" i="28"/>
  <c r="AKL24" i="28"/>
  <c r="AKH24" i="28"/>
  <c r="AJY24" i="28"/>
  <c r="KO23" i="25"/>
  <c r="AJV24" i="28"/>
  <c r="AJR24" i="28"/>
  <c r="AJN24" i="28"/>
  <c r="AJJ24" i="28"/>
  <c r="AJF24" i="28"/>
  <c r="AJB24" i="28"/>
  <c r="AIS24" i="28"/>
  <c r="KJ23" i="25"/>
  <c r="AIP24" i="28"/>
  <c r="AIL24" i="28"/>
  <c r="AIH24" i="28"/>
  <c r="AID24" i="28"/>
  <c r="AHZ24" i="28"/>
  <c r="AHV24" i="28"/>
  <c r="AHM24" i="28"/>
  <c r="KE23" i="25"/>
  <c r="AHJ24" i="28"/>
  <c r="AHF24" i="28"/>
  <c r="AHB24" i="28"/>
  <c r="AGX24" i="28"/>
  <c r="AGT24" i="28"/>
  <c r="AGP24" i="28"/>
  <c r="AGG24" i="28"/>
  <c r="JZ23" i="25"/>
  <c r="AGD24" i="28"/>
  <c r="AFZ24" i="28"/>
  <c r="AFV24" i="28"/>
  <c r="AFR24" i="28"/>
  <c r="AFN24" i="28"/>
  <c r="AFJ24" i="28"/>
  <c r="ALE23" i="28"/>
  <c r="KT22" i="25"/>
  <c r="AKX23" i="28"/>
  <c r="AKT23" i="28"/>
  <c r="AKP23" i="28"/>
  <c r="AKL23" i="28"/>
  <c r="AKH23" i="28"/>
  <c r="AJY23" i="28"/>
  <c r="KO22" i="25"/>
  <c r="AJV23" i="28"/>
  <c r="AJR23" i="28"/>
  <c r="AJN23" i="28"/>
  <c r="AJJ23" i="28"/>
  <c r="AJF23" i="28"/>
  <c r="AJB23" i="28"/>
  <c r="AIS23" i="28"/>
  <c r="KJ22" i="25"/>
  <c r="AIP23" i="28"/>
  <c r="AIL23" i="28"/>
  <c r="AIH23" i="28"/>
  <c r="AID23" i="28"/>
  <c r="AHZ23" i="28"/>
  <c r="AHV23" i="28"/>
  <c r="AHM23" i="28"/>
  <c r="KE22" i="25"/>
  <c r="AHJ23" i="28"/>
  <c r="AHF23" i="28"/>
  <c r="AHB23" i="28"/>
  <c r="AGX23" i="28"/>
  <c r="AGT23" i="28"/>
  <c r="AGP23" i="28"/>
  <c r="AGG23" i="28"/>
  <c r="JZ22" i="25"/>
  <c r="AGD23" i="28"/>
  <c r="AFZ23" i="28"/>
  <c r="AFV23" i="28"/>
  <c r="AFR23" i="28"/>
  <c r="AFN23" i="28"/>
  <c r="AFJ23" i="28"/>
  <c r="ALE22" i="28"/>
  <c r="KT21" i="25"/>
  <c r="AKX22" i="28"/>
  <c r="AKT22" i="28"/>
  <c r="AKP22" i="28"/>
  <c r="AKL22" i="28"/>
  <c r="AKH22" i="28"/>
  <c r="AJY22" i="28"/>
  <c r="KO21" i="25"/>
  <c r="AJV22" i="28"/>
  <c r="AJR22" i="28"/>
  <c r="AJN22" i="28"/>
  <c r="AJJ22" i="28"/>
  <c r="AJF22" i="28"/>
  <c r="AJB22" i="28"/>
  <c r="AIS22" i="28"/>
  <c r="KJ21" i="25"/>
  <c r="AIP22" i="28"/>
  <c r="AIL22" i="28"/>
  <c r="AIH22" i="28"/>
  <c r="AID22" i="28"/>
  <c r="AHZ22" i="28"/>
  <c r="AHV22" i="28"/>
  <c r="AHM22" i="28"/>
  <c r="KE21" i="25"/>
  <c r="AHJ22" i="28"/>
  <c r="AHF22" i="28"/>
  <c r="AHB22" i="28"/>
  <c r="AGX22" i="28"/>
  <c r="AGT22" i="28"/>
  <c r="AGP22" i="28"/>
  <c r="AGG22" i="28"/>
  <c r="JZ21" i="25"/>
  <c r="AGD22" i="28"/>
  <c r="AFZ22" i="28"/>
  <c r="AFV22" i="28"/>
  <c r="AFR22" i="28"/>
  <c r="AFN22" i="28"/>
  <c r="AFJ22" i="28"/>
  <c r="ALE21" i="28"/>
  <c r="KT20" i="25"/>
  <c r="AKX21" i="28"/>
  <c r="AKT21" i="28"/>
  <c r="AKP21" i="28"/>
  <c r="AKL21" i="28"/>
  <c r="AKH21" i="28"/>
  <c r="AJY21" i="28"/>
  <c r="KO20" i="25"/>
  <c r="AJV21" i="28"/>
  <c r="AJR21" i="28"/>
  <c r="AJN21" i="28"/>
  <c r="AJJ21" i="28"/>
  <c r="AJF21" i="28"/>
  <c r="AJB21" i="28"/>
  <c r="AIS21" i="28"/>
  <c r="KJ20" i="25"/>
  <c r="AIP21" i="28"/>
  <c r="AIL21" i="28"/>
  <c r="AIH21" i="28"/>
  <c r="AID21" i="28"/>
  <c r="AHZ21" i="28"/>
  <c r="AHV21" i="28"/>
  <c r="AHM21" i="28"/>
  <c r="KE20" i="25"/>
  <c r="AHJ21" i="28"/>
  <c r="AHF21" i="28"/>
  <c r="AHB21" i="28"/>
  <c r="AGX21" i="28"/>
  <c r="AGT21" i="28"/>
  <c r="AGP21" i="28"/>
  <c r="AGG21" i="28"/>
  <c r="JZ20" i="25"/>
  <c r="AGD21" i="28"/>
  <c r="AFZ21" i="28"/>
  <c r="AFV21" i="28"/>
  <c r="AFR21" i="28"/>
  <c r="AFN21" i="28"/>
  <c r="AFJ21" i="28"/>
  <c r="ALE20" i="28"/>
  <c r="KT19" i="25"/>
  <c r="AKX20" i="28"/>
  <c r="AKT20" i="28"/>
  <c r="AKP20" i="28"/>
  <c r="AKL20" i="28"/>
  <c r="AKH20" i="28"/>
  <c r="AJY20" i="28"/>
  <c r="KO19" i="25"/>
  <c r="AJV20" i="28"/>
  <c r="AJR20" i="28"/>
  <c r="AJN20" i="28"/>
  <c r="AJJ20" i="28"/>
  <c r="AJF20" i="28"/>
  <c r="AJB20" i="28"/>
  <c r="AIS20" i="28"/>
  <c r="KJ19" i="25"/>
  <c r="AIP20" i="28"/>
  <c r="AIL20" i="28"/>
  <c r="AIH20" i="28"/>
  <c r="AID20" i="28"/>
  <c r="AHZ20" i="28"/>
  <c r="AHV20" i="28"/>
  <c r="AHM20" i="28"/>
  <c r="KE19" i="25"/>
  <c r="AHJ20" i="28"/>
  <c r="AHF20" i="28"/>
  <c r="AHB20" i="28"/>
  <c r="AGX20" i="28"/>
  <c r="AGT20" i="28"/>
  <c r="AGP20" i="28"/>
  <c r="AGG20" i="28"/>
  <c r="JZ19" i="25"/>
  <c r="AGD20" i="28"/>
  <c r="AFZ20" i="28"/>
  <c r="AFV20" i="28"/>
  <c r="AFR20" i="28"/>
  <c r="AFN20" i="28"/>
  <c r="AFJ20" i="28"/>
  <c r="ALE19" i="28"/>
  <c r="KT18" i="25"/>
  <c r="AKX19" i="28"/>
  <c r="AKT19" i="28"/>
  <c r="AKP19" i="28"/>
  <c r="AKL19" i="28"/>
  <c r="AKH19" i="28"/>
  <c r="AJY19" i="28"/>
  <c r="KO18" i="25"/>
  <c r="AJV19" i="28"/>
  <c r="AJR19" i="28"/>
  <c r="AJN19" i="28"/>
  <c r="AJJ19" i="28"/>
  <c r="AJF19" i="28"/>
  <c r="AJB19" i="28"/>
  <c r="AIS19" i="28"/>
  <c r="KJ18" i="25"/>
  <c r="AIP19" i="28"/>
  <c r="AIL19" i="28"/>
  <c r="AIH19" i="28"/>
  <c r="AID19" i="28"/>
  <c r="AHZ19" i="28"/>
  <c r="AHV19" i="28"/>
  <c r="AHM19" i="28"/>
  <c r="KE18" i="25"/>
  <c r="AHJ19" i="28"/>
  <c r="AHF19" i="28"/>
  <c r="AHB19" i="28"/>
  <c r="AGX19" i="28"/>
  <c r="AGT19" i="28"/>
  <c r="AGP19" i="28"/>
  <c r="AGG19" i="28"/>
  <c r="JZ18" i="25"/>
  <c r="AGD19" i="28"/>
  <c r="AFZ19" i="28"/>
  <c r="AFV19" i="28"/>
  <c r="AFR19" i="28"/>
  <c r="AFN19" i="28"/>
  <c r="AFJ19" i="28"/>
  <c r="ALE18" i="28"/>
  <c r="KT17" i="25"/>
  <c r="AKX18" i="28"/>
  <c r="AKT18" i="28"/>
  <c r="AKP18" i="28"/>
  <c r="AKL18" i="28"/>
  <c r="AKH18" i="28"/>
  <c r="AJY18" i="28"/>
  <c r="KO17" i="25"/>
  <c r="AJV18" i="28"/>
  <c r="AJR18" i="28"/>
  <c r="AJN18" i="28"/>
  <c r="AJJ18" i="28"/>
  <c r="AJF18" i="28"/>
  <c r="AJB18" i="28"/>
  <c r="AIS18" i="28"/>
  <c r="KJ17" i="25"/>
  <c r="AIP18" i="28"/>
  <c r="AIL18" i="28"/>
  <c r="AIH18" i="28"/>
  <c r="AID18" i="28"/>
  <c r="AHZ18" i="28"/>
  <c r="AHV18" i="28"/>
  <c r="AHM18" i="28"/>
  <c r="KE17" i="25"/>
  <c r="AHJ18" i="28"/>
  <c r="AHF18" i="28"/>
  <c r="AHB18" i="28"/>
  <c r="AGX18" i="28"/>
  <c r="AGT18" i="28"/>
  <c r="AGP18" i="28"/>
  <c r="AGG18" i="28"/>
  <c r="JZ17" i="25"/>
  <c r="AGD18" i="28"/>
  <c r="AFZ18" i="28"/>
  <c r="AFV18" i="28"/>
  <c r="AFR18" i="28"/>
  <c r="AFN18" i="28"/>
  <c r="AFJ18" i="28"/>
  <c r="ALE17" i="28"/>
  <c r="KT16" i="25"/>
  <c r="AKX17" i="28"/>
  <c r="AKT17" i="28"/>
  <c r="AKP17" i="28"/>
  <c r="AKL17" i="28"/>
  <c r="AKH17" i="28"/>
  <c r="AJY17" i="28"/>
  <c r="KO16" i="25"/>
  <c r="AJV17" i="28"/>
  <c r="AJR17" i="28"/>
  <c r="AJN17" i="28"/>
  <c r="AJJ17" i="28"/>
  <c r="AJF17" i="28"/>
  <c r="AJB17" i="28"/>
  <c r="AIS17" i="28"/>
  <c r="KJ16" i="25"/>
  <c r="AIP17" i="28"/>
  <c r="AIL17" i="28"/>
  <c r="AIH17" i="28"/>
  <c r="AID17" i="28"/>
  <c r="AHZ17" i="28"/>
  <c r="AHV17" i="28"/>
  <c r="AHM17" i="28"/>
  <c r="KE16" i="25"/>
  <c r="AHJ17" i="28"/>
  <c r="AHF17" i="28"/>
  <c r="AHB17" i="28"/>
  <c r="AGX17" i="28"/>
  <c r="AGT17" i="28"/>
  <c r="AGP17" i="28"/>
  <c r="AGG17" i="28"/>
  <c r="JZ16" i="25"/>
  <c r="AGD17" i="28"/>
  <c r="AFZ17" i="28"/>
  <c r="AFV17" i="28"/>
  <c r="AFR17" i="28"/>
  <c r="AFN17" i="28"/>
  <c r="AFJ17" i="28"/>
  <c r="ALE16" i="28"/>
  <c r="KT15" i="25"/>
  <c r="AKX16" i="28"/>
  <c r="AKT16" i="28"/>
  <c r="AKP16" i="28"/>
  <c r="AKL16" i="28"/>
  <c r="AKH16" i="28"/>
  <c r="AJY16" i="28"/>
  <c r="KO15" i="25"/>
  <c r="AJV16" i="28"/>
  <c r="AJR16" i="28"/>
  <c r="AJN16" i="28"/>
  <c r="AJJ16" i="28"/>
  <c r="AJF16" i="28"/>
  <c r="AJB16" i="28"/>
  <c r="AIS16" i="28"/>
  <c r="KJ15" i="25"/>
  <c r="AIP16" i="28"/>
  <c r="AIL16" i="28"/>
  <c r="AIH16" i="28"/>
  <c r="AID16" i="28"/>
  <c r="AHZ16" i="28"/>
  <c r="AHV16" i="28"/>
  <c r="AHM16" i="28"/>
  <c r="KE15" i="25"/>
  <c r="AHJ16" i="28"/>
  <c r="AHF16" i="28"/>
  <c r="AHB16" i="28"/>
  <c r="AGX16" i="28"/>
  <c r="AGT16" i="28"/>
  <c r="AGP16" i="28"/>
  <c r="AGG16" i="28"/>
  <c r="JZ15" i="25"/>
  <c r="AGD16" i="28"/>
  <c r="AFZ16" i="28"/>
  <c r="AFV16" i="28"/>
  <c r="AFR16" i="28"/>
  <c r="AFN16" i="28"/>
  <c r="AFJ16" i="28"/>
  <c r="ALE15" i="28"/>
  <c r="KT14" i="25"/>
  <c r="AKX15" i="28"/>
  <c r="AKT15" i="28"/>
  <c r="AKP15" i="28"/>
  <c r="AKL15" i="28"/>
  <c r="AKH15" i="28"/>
  <c r="AJY15" i="28"/>
  <c r="KO14" i="25"/>
  <c r="AJV15" i="28"/>
  <c r="AJR15" i="28"/>
  <c r="AJN15" i="28"/>
  <c r="AJJ15" i="28"/>
  <c r="AJF15" i="28"/>
  <c r="AJB15" i="28"/>
  <c r="AIS15" i="28"/>
  <c r="KJ14" i="25"/>
  <c r="AIP15" i="28"/>
  <c r="AIL15" i="28"/>
  <c r="AIH15" i="28"/>
  <c r="AID15" i="28"/>
  <c r="AHZ15" i="28"/>
  <c r="AHV15" i="28"/>
  <c r="AHM15" i="28"/>
  <c r="KE14" i="25"/>
  <c r="AHJ15" i="28"/>
  <c r="AHF15" i="28"/>
  <c r="AHB15" i="28"/>
  <c r="AGX15" i="28"/>
  <c r="AGT15" i="28"/>
  <c r="AGP15" i="28"/>
  <c r="AGG15" i="28"/>
  <c r="JZ14" i="25"/>
  <c r="AGD15" i="28"/>
  <c r="AFZ15" i="28"/>
  <c r="AFV15" i="28"/>
  <c r="AFR15" i="28"/>
  <c r="AFN15" i="28"/>
  <c r="AFJ15" i="28"/>
  <c r="ALE14" i="28"/>
  <c r="KT13" i="25"/>
  <c r="AKX14" i="28"/>
  <c r="AKT14" i="28"/>
  <c r="AKP14" i="28"/>
  <c r="AKL14" i="28"/>
  <c r="AKH14" i="28"/>
  <c r="AJY14" i="28"/>
  <c r="KO13" i="25"/>
  <c r="AJV14" i="28"/>
  <c r="AJR14" i="28"/>
  <c r="AJN14" i="28"/>
  <c r="AJJ14" i="28"/>
  <c r="AJF14" i="28"/>
  <c r="AJB14" i="28"/>
  <c r="AIS14" i="28"/>
  <c r="KJ13" i="25"/>
  <c r="AIP14" i="28"/>
  <c r="AIL14" i="28"/>
  <c r="AIH14" i="28"/>
  <c r="AID14" i="28"/>
  <c r="AHZ14" i="28"/>
  <c r="AHV14" i="28"/>
  <c r="AHM14" i="28"/>
  <c r="KE13" i="25"/>
  <c r="AHJ14" i="28"/>
  <c r="AHF14" i="28"/>
  <c r="AHB14" i="28"/>
  <c r="AGX14" i="28"/>
  <c r="AGT14" i="28"/>
  <c r="AGP14" i="28"/>
  <c r="AGG14" i="28"/>
  <c r="JZ13" i="25"/>
  <c r="AGD14" i="28"/>
  <c r="AFZ14" i="28"/>
  <c r="AFV14" i="28"/>
  <c r="AFR14" i="28"/>
  <c r="AFN14" i="28"/>
  <c r="AFJ14" i="28"/>
  <c r="ALE13" i="28"/>
  <c r="KT12" i="25"/>
  <c r="AKX13" i="28"/>
  <c r="AKT13" i="28"/>
  <c r="AKP13" i="28"/>
  <c r="AKL13" i="28"/>
  <c r="AKH13" i="28"/>
  <c r="AJY13" i="28"/>
  <c r="KO12" i="25"/>
  <c r="AJV13" i="28"/>
  <c r="AJR13" i="28"/>
  <c r="AJN13" i="28"/>
  <c r="AJJ13" i="28"/>
  <c r="AJF13" i="28"/>
  <c r="AJB13" i="28"/>
  <c r="AIS13" i="28"/>
  <c r="KJ12" i="25"/>
  <c r="AIP13" i="28"/>
  <c r="AIL13" i="28"/>
  <c r="AIH13" i="28"/>
  <c r="AID13" i="28"/>
  <c r="AHZ13" i="28"/>
  <c r="AHV13" i="28"/>
  <c r="AHM13" i="28"/>
  <c r="KE12" i="25"/>
  <c r="AHJ13" i="28"/>
  <c r="AHF13" i="28"/>
  <c r="AHB13" i="28"/>
  <c r="AGX13" i="28"/>
  <c r="AGT13" i="28"/>
  <c r="AGP13" i="28"/>
  <c r="AGG13" i="28"/>
  <c r="JZ12" i="25"/>
  <c r="AGD13" i="28"/>
  <c r="AFZ13" i="28"/>
  <c r="AFV13" i="28"/>
  <c r="AFR13" i="28"/>
  <c r="AFN13" i="28"/>
  <c r="AFJ13" i="28"/>
  <c r="ALE12" i="28"/>
  <c r="ALE40" i="28" s="1"/>
  <c r="KT11" i="25"/>
  <c r="AKX12" i="28"/>
  <c r="AKT12" i="28"/>
  <c r="AKP12" i="28"/>
  <c r="AKL12" i="28"/>
  <c r="AKH12" i="28"/>
  <c r="AJY12" i="28"/>
  <c r="AJY40" i="28" s="1"/>
  <c r="KO11" i="25"/>
  <c r="AJV12" i="28"/>
  <c r="AJR12" i="28"/>
  <c r="AJN12" i="28"/>
  <c r="AJJ12" i="28"/>
  <c r="AJF12" i="28"/>
  <c r="AJB12" i="28"/>
  <c r="AIS12" i="28"/>
  <c r="AIS40" i="28" s="1"/>
  <c r="KJ11" i="25"/>
  <c r="AIP12" i="28"/>
  <c r="AIL12" i="28"/>
  <c r="AIH12" i="28"/>
  <c r="AID12" i="28"/>
  <c r="AHZ12" i="28"/>
  <c r="AHV12" i="28"/>
  <c r="AHM12" i="28"/>
  <c r="AHM40" i="28" s="1"/>
  <c r="KE11" i="25"/>
  <c r="AHJ12" i="28"/>
  <c r="AHF12" i="28"/>
  <c r="AHB12" i="28"/>
  <c r="AGX12" i="28"/>
  <c r="AGT12" i="28"/>
  <c r="AGP12" i="28"/>
  <c r="AGG12" i="28"/>
  <c r="AGG40" i="28" s="1"/>
  <c r="JZ11" i="25"/>
  <c r="ALE11" i="28"/>
  <c r="KT10" i="25"/>
  <c r="AKX11" i="28"/>
  <c r="AKT11" i="28"/>
  <c r="AKP11" i="28"/>
  <c r="AKL11" i="28"/>
  <c r="AKH11" i="28"/>
  <c r="AJY11" i="28"/>
  <c r="KO10" i="25"/>
  <c r="AJV11" i="28"/>
  <c r="AJR11" i="28"/>
  <c r="AJN11" i="28"/>
  <c r="AJJ11" i="28"/>
  <c r="AJF11" i="28"/>
  <c r="AJB11" i="28"/>
  <c r="AIS11" i="28"/>
  <c r="KJ10" i="25"/>
  <c r="AIP11" i="28"/>
  <c r="AIL11" i="28"/>
  <c r="AIH11" i="28"/>
  <c r="AID11" i="28"/>
  <c r="AHZ11" i="28"/>
  <c r="AHV11" i="28"/>
  <c r="AHM11" i="28"/>
  <c r="KE10" i="25"/>
  <c r="AHJ11" i="28"/>
  <c r="AHF11" i="28"/>
  <c r="AHB11" i="28"/>
  <c r="AGX11" i="28"/>
  <c r="AGT11" i="28"/>
  <c r="AGP11" i="28"/>
  <c r="AGG11" i="28"/>
  <c r="JZ10" i="25"/>
  <c r="AGD11" i="28"/>
  <c r="AFZ11" i="28"/>
  <c r="AFV11" i="28"/>
  <c r="AFR11" i="28"/>
  <c r="AFN11" i="28"/>
  <c r="AFJ11" i="28"/>
  <c r="ALE10" i="28"/>
  <c r="KT9" i="25"/>
  <c r="AKX10" i="28"/>
  <c r="AKT10" i="28"/>
  <c r="AKP10" i="28"/>
  <c r="AKL10" i="28"/>
  <c r="AKH10" i="28"/>
  <c r="AJY10" i="28"/>
  <c r="KO9" i="25"/>
  <c r="AJV10" i="28"/>
  <c r="AJR10" i="28"/>
  <c r="AJN10" i="28"/>
  <c r="AJJ10" i="28"/>
  <c r="AJF10" i="28"/>
  <c r="AJB10" i="28"/>
  <c r="AIS10" i="28"/>
  <c r="KJ9" i="25"/>
  <c r="AIP10" i="28"/>
  <c r="AIL10" i="28"/>
  <c r="AIH10" i="28"/>
  <c r="AID10" i="28"/>
  <c r="AHZ10" i="28"/>
  <c r="AHV10" i="28"/>
  <c r="AHM10" i="28"/>
  <c r="KE9" i="25"/>
  <c r="AHJ10" i="28"/>
  <c r="AHF10" i="28"/>
  <c r="AHB10" i="28"/>
  <c r="AGX10" i="28"/>
  <c r="AGT10" i="28"/>
  <c r="AGP10" i="28"/>
  <c r="AGG10" i="28"/>
  <c r="JZ9" i="25"/>
  <c r="AGD10" i="28"/>
  <c r="AFZ10" i="28"/>
  <c r="AFV10" i="28"/>
  <c r="AFR10" i="28"/>
  <c r="AFN10" i="28"/>
  <c r="AFJ10" i="28"/>
  <c r="ALE9" i="28"/>
  <c r="ALE39" i="28" s="1"/>
  <c r="KT8" i="25"/>
  <c r="AKX9" i="28"/>
  <c r="AKT9" i="28"/>
  <c r="AKP9" i="28"/>
  <c r="AKL9" i="28"/>
  <c r="AKH9" i="28"/>
  <c r="AJY9" i="28"/>
  <c r="AJY39" i="28" s="1"/>
  <c r="KO8" i="25"/>
  <c r="AJV9" i="28"/>
  <c r="AJR9" i="28"/>
  <c r="AJN9" i="28"/>
  <c r="AJJ9" i="28"/>
  <c r="AJF9" i="28"/>
  <c r="AJB9" i="28"/>
  <c r="AIS9" i="28"/>
  <c r="AIS39" i="28" s="1"/>
  <c r="KJ8" i="25"/>
  <c r="AIP9" i="28"/>
  <c r="AIL9" i="28"/>
  <c r="AIH9" i="28"/>
  <c r="AID9" i="28"/>
  <c r="AHZ9" i="28"/>
  <c r="AHV9" i="28"/>
  <c r="AHM9" i="28"/>
  <c r="AHM39" i="28" s="1"/>
  <c r="KE8" i="25"/>
  <c r="AHJ9" i="28"/>
  <c r="AHF9" i="28"/>
  <c r="AHB9" i="28"/>
  <c r="AGX9" i="28"/>
  <c r="AGT9" i="28"/>
  <c r="AGP9" i="28"/>
  <c r="AGG9" i="28"/>
  <c r="AGG39" i="28" s="1"/>
  <c r="JZ8" i="25"/>
  <c r="ALE8" i="28"/>
  <c r="KT7" i="25"/>
  <c r="AKX8" i="28"/>
  <c r="AKT8" i="28"/>
  <c r="AKP8" i="28"/>
  <c r="AKL8" i="28"/>
  <c r="AKH8" i="28"/>
  <c r="AJY8" i="28"/>
  <c r="KO7" i="25"/>
  <c r="AJV8" i="28"/>
  <c r="AJR8" i="28"/>
  <c r="AJN8" i="28"/>
  <c r="AJJ8" i="28"/>
  <c r="AJF8" i="28"/>
  <c r="AJB8" i="28"/>
  <c r="AIS8" i="28"/>
  <c r="KJ7" i="25"/>
  <c r="AIP8" i="28"/>
  <c r="AIL8" i="28"/>
  <c r="AIH8" i="28"/>
  <c r="AID8" i="28"/>
  <c r="AHZ8" i="28"/>
  <c r="AHV8" i="28"/>
  <c r="AHM8" i="28"/>
  <c r="KE7" i="25"/>
  <c r="AHJ8" i="28"/>
  <c r="AHF8" i="28"/>
  <c r="AHB8" i="28"/>
  <c r="AGX8" i="28"/>
  <c r="AGT8" i="28"/>
  <c r="AGP8" i="28"/>
  <c r="AGG8" i="28"/>
  <c r="JZ7" i="25"/>
  <c r="AGD8" i="28"/>
  <c r="AFZ8" i="28"/>
  <c r="AFV8" i="28"/>
  <c r="AFR8" i="28"/>
  <c r="AFN8" i="28"/>
  <c r="AFJ8" i="28"/>
  <c r="ALE7" i="28"/>
  <c r="KT6" i="25"/>
  <c r="AJY7" i="28"/>
  <c r="KO6" i="25"/>
  <c r="KP6" i="25"/>
  <c r="AIS7" i="28"/>
  <c r="KJ6" i="25"/>
  <c r="AHM7" i="28"/>
  <c r="KE6" i="25"/>
  <c r="AGG7" i="28"/>
  <c r="JZ6" i="25"/>
  <c r="ALF6" i="28"/>
  <c r="AJZ6" i="28"/>
  <c r="AIT6" i="28"/>
  <c r="AHN6" i="28"/>
  <c r="AGH6" i="28"/>
  <c r="ALF5" i="28"/>
  <c r="ALE5" i="28"/>
  <c r="ALC5" i="28"/>
  <c r="AJZ5" i="28"/>
  <c r="AJY5" i="28"/>
  <c r="AJW5" i="28"/>
  <c r="AIT5" i="28"/>
  <c r="AIS5" i="28"/>
  <c r="AIQ5" i="28"/>
  <c r="AHN5" i="28"/>
  <c r="AHM5" i="28"/>
  <c r="AHK5" i="28"/>
  <c r="AGH5" i="28"/>
  <c r="AGG5" i="28"/>
  <c r="AGE5" i="28"/>
  <c r="AEW36" i="28"/>
  <c r="AEW50" i="28" s="1"/>
  <c r="AES36" i="28"/>
  <c r="AES50" i="28" s="1"/>
  <c r="AEO36" i="28"/>
  <c r="AEO50" i="28" s="1"/>
  <c r="AEK36" i="28"/>
  <c r="AEK50" i="28" s="1"/>
  <c r="AEG36" i="28"/>
  <c r="AEG50" i="28" s="1"/>
  <c r="AEC36" i="28"/>
  <c r="AEC50" i="28" s="1"/>
  <c r="ADY36" i="28"/>
  <c r="ADY50" i="28" s="1"/>
  <c r="ADQ36" i="28"/>
  <c r="ADQ50" i="28" s="1"/>
  <c r="ADM36" i="28"/>
  <c r="ADM50" i="28" s="1"/>
  <c r="ADI36" i="28"/>
  <c r="ADI50" i="28" s="1"/>
  <c r="ADE36" i="28"/>
  <c r="ADE50" i="28" s="1"/>
  <c r="ADA36" i="28"/>
  <c r="ADA50" i="28" s="1"/>
  <c r="ACW36" i="28"/>
  <c r="ACW50" i="28" s="1"/>
  <c r="ACS36" i="28"/>
  <c r="ACS50" i="28" s="1"/>
  <c r="ACK36" i="28"/>
  <c r="ACK50" i="28" s="1"/>
  <c r="ACG36" i="28"/>
  <c r="ACG50" i="28" s="1"/>
  <c r="ACC36" i="28"/>
  <c r="ACC50" i="28" s="1"/>
  <c r="ABY36" i="28"/>
  <c r="ABY50" i="28" s="1"/>
  <c r="ABU36" i="28"/>
  <c r="ABU50" i="28" s="1"/>
  <c r="ABQ36" i="28"/>
  <c r="ABQ50" i="28" s="1"/>
  <c r="ABM36" i="28"/>
  <c r="ABM50" i="28" s="1"/>
  <c r="ABE36" i="28"/>
  <c r="ABE50" i="28" s="1"/>
  <c r="ABA36" i="28"/>
  <c r="ABA50" i="28" s="1"/>
  <c r="AAW36" i="28"/>
  <c r="AAW50" i="28" s="1"/>
  <c r="AAS36" i="28"/>
  <c r="AAS50" i="28" s="1"/>
  <c r="AAO36" i="28"/>
  <c r="AAO50" i="28" s="1"/>
  <c r="AAK36" i="28"/>
  <c r="AAK50" i="28" s="1"/>
  <c r="AAG36" i="28"/>
  <c r="AAG50" i="28" s="1"/>
  <c r="AFA35" i="28"/>
  <c r="JP34" i="25"/>
  <c r="ADU35" i="28"/>
  <c r="JK34" i="25"/>
  <c r="ACO35" i="28"/>
  <c r="JF34" i="25"/>
  <c r="ABI35" i="28"/>
  <c r="ABJ35" i="28" s="1"/>
  <c r="JA34" i="25"/>
  <c r="AFA34" i="28"/>
  <c r="JP33" i="25"/>
  <c r="AEX34" i="28"/>
  <c r="AET34" i="28"/>
  <c r="AEP34" i="28"/>
  <c r="AEL34" i="28"/>
  <c r="AEH34" i="28"/>
  <c r="AED34" i="28"/>
  <c r="ADU34" i="28"/>
  <c r="JK33" i="25"/>
  <c r="ADR34" i="28"/>
  <c r="ADN34" i="28"/>
  <c r="ADJ34" i="28"/>
  <c r="ADF34" i="28"/>
  <c r="ADB34" i="28"/>
  <c r="ACX34" i="28"/>
  <c r="ACO34" i="28"/>
  <c r="JF33" i="25"/>
  <c r="ACL34" i="28"/>
  <c r="ACH34" i="28"/>
  <c r="ACD34" i="28"/>
  <c r="ABZ34" i="28"/>
  <c r="ABV34" i="28"/>
  <c r="ABR34" i="28"/>
  <c r="ABI34" i="28"/>
  <c r="JA33" i="25"/>
  <c r="ABF34" i="28"/>
  <c r="ABB34" i="28"/>
  <c r="AAX34" i="28"/>
  <c r="AAT34" i="28"/>
  <c r="AAP34" i="28"/>
  <c r="AAL34" i="28"/>
  <c r="AFA33" i="28"/>
  <c r="JP32" i="25"/>
  <c r="AEX33" i="28"/>
  <c r="AET33" i="28"/>
  <c r="AEP33" i="28"/>
  <c r="AEL33" i="28"/>
  <c r="AEH33" i="28"/>
  <c r="AED33" i="28"/>
  <c r="ADU33" i="28"/>
  <c r="JK32" i="25"/>
  <c r="ADR33" i="28"/>
  <c r="ADN33" i="28"/>
  <c r="ADJ33" i="28"/>
  <c r="ADF33" i="28"/>
  <c r="ADB33" i="28"/>
  <c r="ACX33" i="28"/>
  <c r="ACO33" i="28"/>
  <c r="JF32" i="25"/>
  <c r="ACL33" i="28"/>
  <c r="ACH33" i="28"/>
  <c r="ACD33" i="28"/>
  <c r="ABZ33" i="28"/>
  <c r="ABV33" i="28"/>
  <c r="ABR33" i="28"/>
  <c r="ABI33" i="28"/>
  <c r="JA32" i="25"/>
  <c r="ABF33" i="28"/>
  <c r="ABB33" i="28"/>
  <c r="AAX33" i="28"/>
  <c r="AAT33" i="28"/>
  <c r="AAP33" i="28"/>
  <c r="AAL33" i="28"/>
  <c r="AFA32" i="28"/>
  <c r="JP31" i="25"/>
  <c r="AEX32" i="28"/>
  <c r="AET32" i="28"/>
  <c r="AEP32" i="28"/>
  <c r="AEL32" i="28"/>
  <c r="AEH32" i="28"/>
  <c r="AED32" i="28"/>
  <c r="ADU32" i="28"/>
  <c r="JK31" i="25"/>
  <c r="ADR32" i="28"/>
  <c r="ADN32" i="28"/>
  <c r="ADJ32" i="28"/>
  <c r="ADF32" i="28"/>
  <c r="ADB32" i="28"/>
  <c r="ACX32" i="28"/>
  <c r="ACO32" i="28"/>
  <c r="JF31" i="25"/>
  <c r="ACL32" i="28"/>
  <c r="ACH32" i="28"/>
  <c r="ACD32" i="28"/>
  <c r="ABZ32" i="28"/>
  <c r="ABV32" i="28"/>
  <c r="ABR32" i="28"/>
  <c r="ABI32" i="28"/>
  <c r="JA31" i="25"/>
  <c r="ABF32" i="28"/>
  <c r="ABB32" i="28"/>
  <c r="AAX32" i="28"/>
  <c r="AAT32" i="28"/>
  <c r="AAP32" i="28"/>
  <c r="AAL32" i="28"/>
  <c r="AFA31" i="28"/>
  <c r="AFA44" i="28" s="1"/>
  <c r="JP30" i="25"/>
  <c r="AEX31" i="28"/>
  <c r="AET31" i="28"/>
  <c r="AEP31" i="28"/>
  <c r="AEL31" i="28"/>
  <c r="AEH31" i="28"/>
  <c r="AED31" i="28"/>
  <c r="ADU31" i="28"/>
  <c r="ADU44" i="28" s="1"/>
  <c r="JK30" i="25"/>
  <c r="ADR31" i="28"/>
  <c r="ADN31" i="28"/>
  <c r="ADJ31" i="28"/>
  <c r="ADF31" i="28"/>
  <c r="ADB31" i="28"/>
  <c r="ACX31" i="28"/>
  <c r="ACO31" i="28"/>
  <c r="ACO44" i="28" s="1"/>
  <c r="JF30" i="25"/>
  <c r="ACL31" i="28"/>
  <c r="ACH31" i="28"/>
  <c r="ACD31" i="28"/>
  <c r="ABZ31" i="28"/>
  <c r="ABV31" i="28"/>
  <c r="ABR31" i="28"/>
  <c r="ABI31" i="28"/>
  <c r="ABI44" i="28" s="1"/>
  <c r="JA30" i="25"/>
  <c r="ABF31" i="28"/>
  <c r="ABB31" i="28"/>
  <c r="AAX31" i="28"/>
  <c r="AAT31" i="28"/>
  <c r="AAP31" i="28"/>
  <c r="AAL31" i="28"/>
  <c r="AFA30" i="28"/>
  <c r="JP29" i="25"/>
  <c r="AEX30" i="28"/>
  <c r="AET30" i="28"/>
  <c r="AEP30" i="28"/>
  <c r="AEL30" i="28"/>
  <c r="AEH30" i="28"/>
  <c r="AED30" i="28"/>
  <c r="ADU30" i="28"/>
  <c r="JK29" i="25"/>
  <c r="ADR30" i="28"/>
  <c r="ADN30" i="28"/>
  <c r="ADJ30" i="28"/>
  <c r="ADF30" i="28"/>
  <c r="ADB30" i="28"/>
  <c r="ACX30" i="28"/>
  <c r="ACO30" i="28"/>
  <c r="JF29" i="25"/>
  <c r="ACL30" i="28"/>
  <c r="ACH30" i="28"/>
  <c r="ACD30" i="28"/>
  <c r="ABZ30" i="28"/>
  <c r="ABV30" i="28"/>
  <c r="ABR30" i="28"/>
  <c r="ABI30" i="28"/>
  <c r="JA29" i="25"/>
  <c r="ABF30" i="28"/>
  <c r="ABB30" i="28"/>
  <c r="AAX30" i="28"/>
  <c r="AAT30" i="28"/>
  <c r="AAP30" i="28"/>
  <c r="AAL30" i="28"/>
  <c r="AFA29" i="28"/>
  <c r="JP28" i="25"/>
  <c r="AEX29" i="28"/>
  <c r="AET29" i="28"/>
  <c r="AEP29" i="28"/>
  <c r="AEL29" i="28"/>
  <c r="AEH29" i="28"/>
  <c r="AED29" i="28"/>
  <c r="ADU29" i="28"/>
  <c r="JK28" i="25"/>
  <c r="ADR29" i="28"/>
  <c r="ADN29" i="28"/>
  <c r="ADJ29" i="28"/>
  <c r="ADF29" i="28"/>
  <c r="ADB29" i="28"/>
  <c r="ACX29" i="28"/>
  <c r="ACO29" i="28"/>
  <c r="JF28" i="25"/>
  <c r="ACL29" i="28"/>
  <c r="ACH29" i="28"/>
  <c r="ACD29" i="28"/>
  <c r="ABZ29" i="28"/>
  <c r="ABV29" i="28"/>
  <c r="ABR29" i="28"/>
  <c r="ABI29" i="28"/>
  <c r="JA28" i="25"/>
  <c r="ABF29" i="28"/>
  <c r="ABB29" i="28"/>
  <c r="AAX29" i="28"/>
  <c r="AAT29" i="28"/>
  <c r="AAP29" i="28"/>
  <c r="AAL29" i="28"/>
  <c r="AFA28" i="28"/>
  <c r="JP27" i="25"/>
  <c r="AEX28" i="28"/>
  <c r="AET28" i="28"/>
  <c r="AEP28" i="28"/>
  <c r="AEL28" i="28"/>
  <c r="AEH28" i="28"/>
  <c r="AED28" i="28"/>
  <c r="ADU28" i="28"/>
  <c r="JK27" i="25"/>
  <c r="ADR28" i="28"/>
  <c r="ADN28" i="28"/>
  <c r="ADJ28" i="28"/>
  <c r="ADF28" i="28"/>
  <c r="ADB28" i="28"/>
  <c r="ACX28" i="28"/>
  <c r="ACO28" i="28"/>
  <c r="JF27" i="25"/>
  <c r="ACL28" i="28"/>
  <c r="ACH28" i="28"/>
  <c r="ACD28" i="28"/>
  <c r="ABZ28" i="28"/>
  <c r="ABV28" i="28"/>
  <c r="ABR28" i="28"/>
  <c r="ABI28" i="28"/>
  <c r="JA27" i="25"/>
  <c r="ABF28" i="28"/>
  <c r="ABB28" i="28"/>
  <c r="AAX28" i="28"/>
  <c r="AAT28" i="28"/>
  <c r="AAP28" i="28"/>
  <c r="AAL28" i="28"/>
  <c r="AFA27" i="28"/>
  <c r="JP26" i="25"/>
  <c r="AEX27" i="28"/>
  <c r="AET27" i="28"/>
  <c r="AEP27" i="28"/>
  <c r="AEL27" i="28"/>
  <c r="AEH27" i="28"/>
  <c r="AED27" i="28"/>
  <c r="ADU27" i="28"/>
  <c r="JK26" i="25"/>
  <c r="ADR27" i="28"/>
  <c r="ADN27" i="28"/>
  <c r="ADJ27" i="28"/>
  <c r="ADF27" i="28"/>
  <c r="ADB27" i="28"/>
  <c r="ACX27" i="28"/>
  <c r="ACO27" i="28"/>
  <c r="JF26" i="25"/>
  <c r="ACL27" i="28"/>
  <c r="ACH27" i="28"/>
  <c r="ACD27" i="28"/>
  <c r="ABZ27" i="28"/>
  <c r="ABV27" i="28"/>
  <c r="ABR27" i="28"/>
  <c r="ABI27" i="28"/>
  <c r="JA26" i="25"/>
  <c r="ABF27" i="28"/>
  <c r="ABB27" i="28"/>
  <c r="AAX27" i="28"/>
  <c r="AAT27" i="28"/>
  <c r="AAP27" i="28"/>
  <c r="AAL27" i="28"/>
  <c r="AFA26" i="28"/>
  <c r="AFA43" i="28" s="1"/>
  <c r="JP25" i="25"/>
  <c r="AEX26" i="28"/>
  <c r="AET26" i="28"/>
  <c r="AEP26" i="28"/>
  <c r="AEL26" i="28"/>
  <c r="AEH26" i="28"/>
  <c r="AED26" i="28"/>
  <c r="ADU26" i="28"/>
  <c r="ADU43" i="28" s="1"/>
  <c r="JK25" i="25"/>
  <c r="ADR26" i="28"/>
  <c r="ADN26" i="28"/>
  <c r="ADJ26" i="28"/>
  <c r="ADF26" i="28"/>
  <c r="ADB26" i="28"/>
  <c r="ACX26" i="28"/>
  <c r="ACO26" i="28"/>
  <c r="ACO43" i="28" s="1"/>
  <c r="JF25" i="25"/>
  <c r="ACL26" i="28"/>
  <c r="ACH26" i="28"/>
  <c r="ACD26" i="28"/>
  <c r="ABZ26" i="28"/>
  <c r="ABV26" i="28"/>
  <c r="ABR26" i="28"/>
  <c r="ABI26" i="28"/>
  <c r="ABI43" i="28" s="1"/>
  <c r="JA25" i="25"/>
  <c r="ABF26" i="28"/>
  <c r="ABB26" i="28"/>
  <c r="AAX26" i="28"/>
  <c r="AAT26" i="28"/>
  <c r="AAP26" i="28"/>
  <c r="AAL26" i="28"/>
  <c r="AFA25" i="28"/>
  <c r="JP24" i="25"/>
  <c r="AEX25" i="28"/>
  <c r="AET25" i="28"/>
  <c r="AEP25" i="28"/>
  <c r="AEL25" i="28"/>
  <c r="AEH25" i="28"/>
  <c r="AED25" i="28"/>
  <c r="ADU25" i="28"/>
  <c r="JK24" i="25"/>
  <c r="ADR25" i="28"/>
  <c r="ADN25" i="28"/>
  <c r="ADJ25" i="28"/>
  <c r="ADF25" i="28"/>
  <c r="ADB25" i="28"/>
  <c r="ACX25" i="28"/>
  <c r="ACO25" i="28"/>
  <c r="JF24" i="25"/>
  <c r="ACL25" i="28"/>
  <c r="ACH25" i="28"/>
  <c r="ACD25" i="28"/>
  <c r="ABZ25" i="28"/>
  <c r="ABV25" i="28"/>
  <c r="ABR25" i="28"/>
  <c r="ABI25" i="28"/>
  <c r="JA24" i="25"/>
  <c r="ABF25" i="28"/>
  <c r="ABB25" i="28"/>
  <c r="AAX25" i="28"/>
  <c r="AAT25" i="28"/>
  <c r="AAP25" i="28"/>
  <c r="AAL25" i="28"/>
  <c r="AFA24" i="28"/>
  <c r="JP23" i="25"/>
  <c r="AEX24" i="28"/>
  <c r="AET24" i="28"/>
  <c r="AEP24" i="28"/>
  <c r="AEL24" i="28"/>
  <c r="AEH24" i="28"/>
  <c r="AED24" i="28"/>
  <c r="ADU24" i="28"/>
  <c r="JK23" i="25"/>
  <c r="ADR24" i="28"/>
  <c r="ADN24" i="28"/>
  <c r="ADJ24" i="28"/>
  <c r="ADF24" i="28"/>
  <c r="ADB24" i="28"/>
  <c r="ACX24" i="28"/>
  <c r="ACO24" i="28"/>
  <c r="JF23" i="25"/>
  <c r="ACL24" i="28"/>
  <c r="ACH24" i="28"/>
  <c r="ACD24" i="28"/>
  <c r="ABZ24" i="28"/>
  <c r="ABV24" i="28"/>
  <c r="ABR24" i="28"/>
  <c r="ABI24" i="28"/>
  <c r="JA23" i="25"/>
  <c r="ABF24" i="28"/>
  <c r="ABB24" i="28"/>
  <c r="AAX24" i="28"/>
  <c r="AAT24" i="28"/>
  <c r="AAP24" i="28"/>
  <c r="AAL24" i="28"/>
  <c r="AFA23" i="28"/>
  <c r="JP22" i="25"/>
  <c r="AEX23" i="28"/>
  <c r="AET23" i="28"/>
  <c r="AEP23" i="28"/>
  <c r="AEL23" i="28"/>
  <c r="AEH23" i="28"/>
  <c r="AED23" i="28"/>
  <c r="ADU23" i="28"/>
  <c r="JK22" i="25"/>
  <c r="ADR23" i="28"/>
  <c r="ADN23" i="28"/>
  <c r="ADJ23" i="28"/>
  <c r="ADF23" i="28"/>
  <c r="ADB23" i="28"/>
  <c r="ACX23" i="28"/>
  <c r="ACO23" i="28"/>
  <c r="JF22" i="25"/>
  <c r="ACL23" i="28"/>
  <c r="ACH23" i="28"/>
  <c r="ACD23" i="28"/>
  <c r="ABZ23" i="28"/>
  <c r="ABV23" i="28"/>
  <c r="ABR23" i="28"/>
  <c r="ABI23" i="28"/>
  <c r="JA22" i="25"/>
  <c r="ABF23" i="28"/>
  <c r="ABB23" i="28"/>
  <c r="AAX23" i="28"/>
  <c r="AAT23" i="28"/>
  <c r="AAP23" i="28"/>
  <c r="AAL23" i="28"/>
  <c r="AFA22" i="28"/>
  <c r="JP21" i="25"/>
  <c r="AEX22" i="28"/>
  <c r="AET22" i="28"/>
  <c r="AEP22" i="28"/>
  <c r="AEL22" i="28"/>
  <c r="AEH22" i="28"/>
  <c r="AED22" i="28"/>
  <c r="ADU22" i="28"/>
  <c r="JK21" i="25"/>
  <c r="ADR22" i="28"/>
  <c r="ADN22" i="28"/>
  <c r="ADJ22" i="28"/>
  <c r="ADF22" i="28"/>
  <c r="ADB22" i="28"/>
  <c r="ACX22" i="28"/>
  <c r="ACO22" i="28"/>
  <c r="JF21" i="25"/>
  <c r="ACL22" i="28"/>
  <c r="ACH22" i="28"/>
  <c r="ACD22" i="28"/>
  <c r="ABZ22" i="28"/>
  <c r="ABV22" i="28"/>
  <c r="ABR22" i="28"/>
  <c r="ABI22" i="28"/>
  <c r="JA21" i="25"/>
  <c r="ABF22" i="28"/>
  <c r="ABB22" i="28"/>
  <c r="AAX22" i="28"/>
  <c r="AAT22" i="28"/>
  <c r="AAP22" i="28"/>
  <c r="AAL22" i="28"/>
  <c r="AFA21" i="28"/>
  <c r="JP20" i="25"/>
  <c r="AEX21" i="28"/>
  <c r="AET21" i="28"/>
  <c r="AEP21" i="28"/>
  <c r="AEL21" i="28"/>
  <c r="AEH21" i="28"/>
  <c r="AED21" i="28"/>
  <c r="ADU21" i="28"/>
  <c r="JK20" i="25"/>
  <c r="ADR21" i="28"/>
  <c r="ADN21" i="28"/>
  <c r="ADJ21" i="28"/>
  <c r="ADF21" i="28"/>
  <c r="ADB21" i="28"/>
  <c r="ACX21" i="28"/>
  <c r="ACO21" i="28"/>
  <c r="JF20" i="25"/>
  <c r="ACL21" i="28"/>
  <c r="ACH21" i="28"/>
  <c r="ACD21" i="28"/>
  <c r="ABZ21" i="28"/>
  <c r="ABV21" i="28"/>
  <c r="ABR21" i="28"/>
  <c r="ABI21" i="28"/>
  <c r="JA20" i="25"/>
  <c r="ABF21" i="28"/>
  <c r="ABB21" i="28"/>
  <c r="AAX21" i="28"/>
  <c r="AAT21" i="28"/>
  <c r="AAP21" i="28"/>
  <c r="AAL21" i="28"/>
  <c r="AFA20" i="28"/>
  <c r="JP19" i="25"/>
  <c r="AEX20" i="28"/>
  <c r="AET20" i="28"/>
  <c r="AEP20" i="28"/>
  <c r="AEL20" i="28"/>
  <c r="AEH20" i="28"/>
  <c r="AED20" i="28"/>
  <c r="ADU20" i="28"/>
  <c r="JK19" i="25"/>
  <c r="ADR20" i="28"/>
  <c r="ADN20" i="28"/>
  <c r="ADJ20" i="28"/>
  <c r="ADF20" i="28"/>
  <c r="ADB20" i="28"/>
  <c r="ACX20" i="28"/>
  <c r="ACO20" i="28"/>
  <c r="JF19" i="25"/>
  <c r="ACL20" i="28"/>
  <c r="ACH20" i="28"/>
  <c r="ACD20" i="28"/>
  <c r="ABZ20" i="28"/>
  <c r="ABV20" i="28"/>
  <c r="ABR20" i="28"/>
  <c r="ABI20" i="28"/>
  <c r="JA19" i="25"/>
  <c r="ABF20" i="28"/>
  <c r="ABB20" i="28"/>
  <c r="AAX20" i="28"/>
  <c r="AAT20" i="28"/>
  <c r="AAP20" i="28"/>
  <c r="AAL20" i="28"/>
  <c r="AFA19" i="28"/>
  <c r="JP18" i="25"/>
  <c r="AEX19" i="28"/>
  <c r="AET19" i="28"/>
  <c r="AEP19" i="28"/>
  <c r="AEL19" i="28"/>
  <c r="AEH19" i="28"/>
  <c r="AED19" i="28"/>
  <c r="ADU19" i="28"/>
  <c r="JK18" i="25"/>
  <c r="ADR19" i="28"/>
  <c r="ADN19" i="28"/>
  <c r="ADJ19" i="28"/>
  <c r="ADF19" i="28"/>
  <c r="ADB19" i="28"/>
  <c r="ACX19" i="28"/>
  <c r="ACO19" i="28"/>
  <c r="JF18" i="25"/>
  <c r="ACL19" i="28"/>
  <c r="ACH19" i="28"/>
  <c r="ACD19" i="28"/>
  <c r="ABZ19" i="28"/>
  <c r="ABV19" i="28"/>
  <c r="ABR19" i="28"/>
  <c r="ABI19" i="28"/>
  <c r="JA18" i="25"/>
  <c r="ABF19" i="28"/>
  <c r="ABB19" i="28"/>
  <c r="AAX19" i="28"/>
  <c r="AAT19" i="28"/>
  <c r="AAP19" i="28"/>
  <c r="AAL19" i="28"/>
  <c r="AFA18" i="28"/>
  <c r="JP17" i="25"/>
  <c r="AEX18" i="28"/>
  <c r="AET18" i="28"/>
  <c r="AEP18" i="28"/>
  <c r="AEL18" i="28"/>
  <c r="AEH18" i="28"/>
  <c r="AED18" i="28"/>
  <c r="ADU18" i="28"/>
  <c r="JK17" i="25"/>
  <c r="ADR18" i="28"/>
  <c r="ADN18" i="28"/>
  <c r="ADJ18" i="28"/>
  <c r="ADF18" i="28"/>
  <c r="ADB18" i="28"/>
  <c r="ACX18" i="28"/>
  <c r="ACO18" i="28"/>
  <c r="JF17" i="25"/>
  <c r="ACL18" i="28"/>
  <c r="ACH18" i="28"/>
  <c r="ACD18" i="28"/>
  <c r="ABZ18" i="28"/>
  <c r="ABV18" i="28"/>
  <c r="ABR18" i="28"/>
  <c r="ABI18" i="28"/>
  <c r="JA17" i="25"/>
  <c r="ABF18" i="28"/>
  <c r="ABB18" i="28"/>
  <c r="AAX18" i="28"/>
  <c r="AAT18" i="28"/>
  <c r="AAP18" i="28"/>
  <c r="AAL18" i="28"/>
  <c r="AFA17" i="28"/>
  <c r="JP16" i="25"/>
  <c r="AEX17" i="28"/>
  <c r="AET17" i="28"/>
  <c r="AEP17" i="28"/>
  <c r="AEL17" i="28"/>
  <c r="AEH17" i="28"/>
  <c r="AED17" i="28"/>
  <c r="ADU17" i="28"/>
  <c r="JK16" i="25"/>
  <c r="ADR17" i="28"/>
  <c r="ADN17" i="28"/>
  <c r="ADJ17" i="28"/>
  <c r="ADF17" i="28"/>
  <c r="ADB17" i="28"/>
  <c r="ACX17" i="28"/>
  <c r="ACO17" i="28"/>
  <c r="JF16" i="25"/>
  <c r="ACL17" i="28"/>
  <c r="ACH17" i="28"/>
  <c r="ACD17" i="28"/>
  <c r="ABZ17" i="28"/>
  <c r="ABV17" i="28"/>
  <c r="ABR17" i="28"/>
  <c r="ABI17" i="28"/>
  <c r="JA16" i="25"/>
  <c r="ABF17" i="28"/>
  <c r="ABB17" i="28"/>
  <c r="AAX17" i="28"/>
  <c r="AAT17" i="28"/>
  <c r="AAP17" i="28"/>
  <c r="AAL17" i="28"/>
  <c r="AFA16" i="28"/>
  <c r="JP15" i="25"/>
  <c r="AEX16" i="28"/>
  <c r="AET16" i="28"/>
  <c r="AEP16" i="28"/>
  <c r="AEL16" i="28"/>
  <c r="AEH16" i="28"/>
  <c r="AED16" i="28"/>
  <c r="ADU16" i="28"/>
  <c r="JK15" i="25"/>
  <c r="ADR16" i="28"/>
  <c r="ADN16" i="28"/>
  <c r="ADJ16" i="28"/>
  <c r="ADF16" i="28"/>
  <c r="ADB16" i="28"/>
  <c r="ACX16" i="28"/>
  <c r="ACO16" i="28"/>
  <c r="JF15" i="25"/>
  <c r="ACL16" i="28"/>
  <c r="ACH16" i="28"/>
  <c r="ACD16" i="28"/>
  <c r="ABZ16" i="28"/>
  <c r="ABV16" i="28"/>
  <c r="ABR16" i="28"/>
  <c r="ABI16" i="28"/>
  <c r="JA15" i="25"/>
  <c r="ABF16" i="28"/>
  <c r="ABB16" i="28"/>
  <c r="AAX16" i="28"/>
  <c r="AAT16" i="28"/>
  <c r="AAP16" i="28"/>
  <c r="AAL16" i="28"/>
  <c r="AFA15" i="28"/>
  <c r="JP14" i="25"/>
  <c r="AEX15" i="28"/>
  <c r="AET15" i="28"/>
  <c r="AEP15" i="28"/>
  <c r="AEL15" i="28"/>
  <c r="AEH15" i="28"/>
  <c r="AED15" i="28"/>
  <c r="ADU15" i="28"/>
  <c r="JK14" i="25"/>
  <c r="ADR15" i="28"/>
  <c r="ADN15" i="28"/>
  <c r="ADJ15" i="28"/>
  <c r="ADF15" i="28"/>
  <c r="ADB15" i="28"/>
  <c r="ACX15" i="28"/>
  <c r="ACO15" i="28"/>
  <c r="JF14" i="25"/>
  <c r="ACL15" i="28"/>
  <c r="ACH15" i="28"/>
  <c r="ACD15" i="28"/>
  <c r="ABZ15" i="28"/>
  <c r="ABV15" i="28"/>
  <c r="ABR15" i="28"/>
  <c r="ABI15" i="28"/>
  <c r="JA14" i="25"/>
  <c r="ABF15" i="28"/>
  <c r="ABB15" i="28"/>
  <c r="AAX15" i="28"/>
  <c r="AAT15" i="28"/>
  <c r="AAP15" i="28"/>
  <c r="AAL15" i="28"/>
  <c r="AFA14" i="28"/>
  <c r="JP13" i="25"/>
  <c r="AEX14" i="28"/>
  <c r="AET14" i="28"/>
  <c r="AEP14" i="28"/>
  <c r="AEL14" i="28"/>
  <c r="AEH14" i="28"/>
  <c r="AED14" i="28"/>
  <c r="ADU14" i="28"/>
  <c r="JK13" i="25"/>
  <c r="ADR14" i="28"/>
  <c r="ADN14" i="28"/>
  <c r="ADJ14" i="28"/>
  <c r="ADF14" i="28"/>
  <c r="ADB14" i="28"/>
  <c r="ACX14" i="28"/>
  <c r="ACO14" i="28"/>
  <c r="JF13" i="25"/>
  <c r="ACL14" i="28"/>
  <c r="ACH14" i="28"/>
  <c r="ACD14" i="28"/>
  <c r="ABZ14" i="28"/>
  <c r="ABV14" i="28"/>
  <c r="ABR14" i="28"/>
  <c r="ABI14" i="28"/>
  <c r="JA13" i="25"/>
  <c r="ABF14" i="28"/>
  <c r="ABB14" i="28"/>
  <c r="AAX14" i="28"/>
  <c r="AAT14" i="28"/>
  <c r="AAP14" i="28"/>
  <c r="AAL14" i="28"/>
  <c r="AFA13" i="28"/>
  <c r="JP12" i="25"/>
  <c r="AEX13" i="28"/>
  <c r="AET13" i="28"/>
  <c r="AEP13" i="28"/>
  <c r="AEL13" i="28"/>
  <c r="AEH13" i="28"/>
  <c r="AED13" i="28"/>
  <c r="ADU13" i="28"/>
  <c r="JK12" i="25"/>
  <c r="ADR13" i="28"/>
  <c r="ADN13" i="28"/>
  <c r="ADJ13" i="28"/>
  <c r="ADF13" i="28"/>
  <c r="ADB13" i="28"/>
  <c r="ACX13" i="28"/>
  <c r="ACO13" i="28"/>
  <c r="JF12" i="25"/>
  <c r="ACL13" i="28"/>
  <c r="ACH13" i="28"/>
  <c r="ACD13" i="28"/>
  <c r="ABZ13" i="28"/>
  <c r="ABV13" i="28"/>
  <c r="ABR13" i="28"/>
  <c r="ABI13" i="28"/>
  <c r="JA12" i="25"/>
  <c r="ABF13" i="28"/>
  <c r="ABB13" i="28"/>
  <c r="AAX13" i="28"/>
  <c r="AAT13" i="28"/>
  <c r="AAP13" i="28"/>
  <c r="AAL13" i="28"/>
  <c r="AFA12" i="28"/>
  <c r="AFA40" i="28" s="1"/>
  <c r="JP11" i="25"/>
  <c r="AEX12" i="28"/>
  <c r="AET12" i="28"/>
  <c r="AEP12" i="28"/>
  <c r="AEL12" i="28"/>
  <c r="AEH12" i="28"/>
  <c r="AED12" i="28"/>
  <c r="ADU12" i="28"/>
  <c r="ADU40" i="28" s="1"/>
  <c r="JK11" i="25"/>
  <c r="ADR12" i="28"/>
  <c r="ADN12" i="28"/>
  <c r="ADJ12" i="28"/>
  <c r="ADF12" i="28"/>
  <c r="ADB12" i="28"/>
  <c r="ACX12" i="28"/>
  <c r="ACO12" i="28"/>
  <c r="ACO40" i="28" s="1"/>
  <c r="JF11" i="25"/>
  <c r="ACL12" i="28"/>
  <c r="ACH12" i="28"/>
  <c r="ACD12" i="28"/>
  <c r="ABZ12" i="28"/>
  <c r="ABV12" i="28"/>
  <c r="ABR12" i="28"/>
  <c r="ABI12" i="28"/>
  <c r="ABI39" i="28" s="1"/>
  <c r="JA11" i="25"/>
  <c r="ABF12" i="28"/>
  <c r="ABB12" i="28"/>
  <c r="AAX12" i="28"/>
  <c r="AAT12" i="28"/>
  <c r="AAP12" i="28"/>
  <c r="AAL12" i="28"/>
  <c r="AFA11" i="28"/>
  <c r="JP10" i="25"/>
  <c r="AEX11" i="28"/>
  <c r="AET11" i="28"/>
  <c r="AEP11" i="28"/>
  <c r="AEL11" i="28"/>
  <c r="AEH11" i="28"/>
  <c r="AED11" i="28"/>
  <c r="ADU11" i="28"/>
  <c r="JK10" i="25"/>
  <c r="ADR11" i="28"/>
  <c r="ADN11" i="28"/>
  <c r="ADJ11" i="28"/>
  <c r="ADF11" i="28"/>
  <c r="ADB11" i="28"/>
  <c r="ACX11" i="28"/>
  <c r="ACO11" i="28"/>
  <c r="JF10" i="25"/>
  <c r="ACL11" i="28"/>
  <c r="ACH11" i="28"/>
  <c r="ACD11" i="28"/>
  <c r="ABZ11" i="28"/>
  <c r="ABV11" i="28"/>
  <c r="ABR11" i="28"/>
  <c r="ABI11" i="28"/>
  <c r="JA10" i="25"/>
  <c r="ABF11" i="28"/>
  <c r="ABB11" i="28"/>
  <c r="AAX11" i="28"/>
  <c r="AAT11" i="28"/>
  <c r="AAP11" i="28"/>
  <c r="AAL11" i="28"/>
  <c r="AFA10" i="28"/>
  <c r="JP9" i="25"/>
  <c r="AEX10" i="28"/>
  <c r="AET10" i="28"/>
  <c r="AEP10" i="28"/>
  <c r="AEL10" i="28"/>
  <c r="AEH10" i="28"/>
  <c r="AED10" i="28"/>
  <c r="ADU10" i="28"/>
  <c r="JK9" i="25"/>
  <c r="ADR10" i="28"/>
  <c r="ADN10" i="28"/>
  <c r="ADJ10" i="28"/>
  <c r="ADF10" i="28"/>
  <c r="ADB10" i="28"/>
  <c r="ACX10" i="28"/>
  <c r="ACO10" i="28"/>
  <c r="JF9" i="25"/>
  <c r="ACL10" i="28"/>
  <c r="ACH10" i="28"/>
  <c r="ACD10" i="28"/>
  <c r="ABZ10" i="28"/>
  <c r="ABV10" i="28"/>
  <c r="ABR10" i="28"/>
  <c r="ABI10" i="28"/>
  <c r="JA9" i="25"/>
  <c r="ABF10" i="28"/>
  <c r="ABB10" i="28"/>
  <c r="AAX10" i="28"/>
  <c r="AAT10" i="28"/>
  <c r="AAP10" i="28"/>
  <c r="AAL10" i="28"/>
  <c r="AFA9" i="28"/>
  <c r="AFA39" i="28" s="1"/>
  <c r="JP8" i="25"/>
  <c r="AEX9" i="28"/>
  <c r="AET9" i="28"/>
  <c r="AEP9" i="28"/>
  <c r="AEL9" i="28"/>
  <c r="AEH9" i="28"/>
  <c r="AED9" i="28"/>
  <c r="ADU9" i="28"/>
  <c r="ADU39" i="28" s="1"/>
  <c r="JK8" i="25"/>
  <c r="ADR9" i="28"/>
  <c r="ADN9" i="28"/>
  <c r="ADJ9" i="28"/>
  <c r="ADF9" i="28"/>
  <c r="ADB9" i="28"/>
  <c r="ACX9" i="28"/>
  <c r="ACO9" i="28"/>
  <c r="ACO39" i="28" s="1"/>
  <c r="JF8" i="25"/>
  <c r="ACL9" i="28"/>
  <c r="ACH9" i="28"/>
  <c r="ACD9" i="28"/>
  <c r="ABZ9" i="28"/>
  <c r="ABV9" i="28"/>
  <c r="ABR9" i="28"/>
  <c r="ABI9" i="28"/>
  <c r="ABI40" i="28" s="1"/>
  <c r="JA8" i="25"/>
  <c r="ABF9" i="28"/>
  <c r="ABB9" i="28"/>
  <c r="AAX9" i="28"/>
  <c r="AAT9" i="28"/>
  <c r="AAP9" i="28"/>
  <c r="AAL9" i="28"/>
  <c r="AFA8" i="28"/>
  <c r="JP7" i="25"/>
  <c r="AEX8" i="28"/>
  <c r="AET8" i="28"/>
  <c r="AEP8" i="28"/>
  <c r="AEL8" i="28"/>
  <c r="AEH8" i="28"/>
  <c r="AED8" i="28"/>
  <c r="ADU8" i="28"/>
  <c r="JK7" i="25"/>
  <c r="ADR8" i="28"/>
  <c r="ADN8" i="28"/>
  <c r="ADJ8" i="28"/>
  <c r="ADF8" i="28"/>
  <c r="ADB8" i="28"/>
  <c r="ACX8" i="28"/>
  <c r="ACO8" i="28"/>
  <c r="JF7" i="25"/>
  <c r="ACL8" i="28"/>
  <c r="ACH8" i="28"/>
  <c r="ACD8" i="28"/>
  <c r="ABZ8" i="28"/>
  <c r="ABV8" i="28"/>
  <c r="ABR8" i="28"/>
  <c r="ABI8" i="28"/>
  <c r="JA7" i="25"/>
  <c r="ABF8" i="28"/>
  <c r="ABB8" i="28"/>
  <c r="AAX8" i="28"/>
  <c r="AAT8" i="28"/>
  <c r="AAP8" i="28"/>
  <c r="AAL8" i="28"/>
  <c r="AFA7" i="28"/>
  <c r="JP6" i="25"/>
  <c r="ADU7" i="28"/>
  <c r="JK6" i="25"/>
  <c r="ACO7" i="28"/>
  <c r="JF6" i="25"/>
  <c r="JF35" i="25" s="1"/>
  <c r="ABI7" i="28"/>
  <c r="JA6" i="25"/>
  <c r="AFB6" i="28"/>
  <c r="ADV6" i="28"/>
  <c r="ACP6" i="28"/>
  <c r="ABJ6" i="28"/>
  <c r="AFB5" i="28"/>
  <c r="AFA5" i="28"/>
  <c r="AEY5" i="28"/>
  <c r="ADV5" i="28"/>
  <c r="ADU5" i="28"/>
  <c r="ADS5" i="28"/>
  <c r="ACP5" i="28"/>
  <c r="ACO5" i="28"/>
  <c r="ACM5" i="28"/>
  <c r="ABJ5" i="28"/>
  <c r="ABI5" i="28"/>
  <c r="ABG5" i="28"/>
  <c r="ZY36" i="28"/>
  <c r="ZY50" i="28" s="1"/>
  <c r="ZU36" i="28"/>
  <c r="ZU50" i="28" s="1"/>
  <c r="ZQ36" i="28"/>
  <c r="ZQ50" i="28" s="1"/>
  <c r="ZM36" i="28"/>
  <c r="ZM50" i="28" s="1"/>
  <c r="ZI36" i="28"/>
  <c r="ZI50" i="28" s="1"/>
  <c r="ZE36" i="28"/>
  <c r="ZE50" i="28" s="1"/>
  <c r="ZA36" i="28"/>
  <c r="ZA50" i="28" s="1"/>
  <c r="YS36" i="28"/>
  <c r="YS50" i="28" s="1"/>
  <c r="YO36" i="28"/>
  <c r="YO50" i="28" s="1"/>
  <c r="YK36" i="28"/>
  <c r="YK50" i="28" s="1"/>
  <c r="YG36" i="28"/>
  <c r="YG50" i="28" s="1"/>
  <c r="YC36" i="28"/>
  <c r="YC50" i="28" s="1"/>
  <c r="XY36" i="28"/>
  <c r="XY50" i="28" s="1"/>
  <c r="XU36" i="28"/>
  <c r="XU50" i="28" s="1"/>
  <c r="XM36" i="28"/>
  <c r="XM50" i="28" s="1"/>
  <c r="XI36" i="28"/>
  <c r="XI50" i="28" s="1"/>
  <c r="XE36" i="28"/>
  <c r="XE50" i="28" s="1"/>
  <c r="XA36" i="28"/>
  <c r="XA50" i="28" s="1"/>
  <c r="WW36" i="28"/>
  <c r="WW50" i="28" s="1"/>
  <c r="WS36" i="28"/>
  <c r="WS50" i="28" s="1"/>
  <c r="WO36" i="28"/>
  <c r="WO50" i="28" s="1"/>
  <c r="WG36" i="28"/>
  <c r="WG50" i="28" s="1"/>
  <c r="WC36" i="28"/>
  <c r="WC50" i="28" s="1"/>
  <c r="VY36" i="28"/>
  <c r="VY50" i="28" s="1"/>
  <c r="VU36" i="28"/>
  <c r="VU50" i="28" s="1"/>
  <c r="VQ36" i="28"/>
  <c r="VM36" i="28"/>
  <c r="VI36" i="28"/>
  <c r="AAC35" i="28"/>
  <c r="IR34" i="25"/>
  <c r="YW35" i="28"/>
  <c r="IM34" i="25"/>
  <c r="XT35" i="28"/>
  <c r="XQ35" i="28"/>
  <c r="IH34" i="25"/>
  <c r="II34" i="25" s="1"/>
  <c r="WK35" i="28"/>
  <c r="IC34" i="25"/>
  <c r="ID34" i="25" s="1"/>
  <c r="AAC34" i="28"/>
  <c r="IR33" i="25"/>
  <c r="ZZ34" i="28"/>
  <c r="ZV34" i="28"/>
  <c r="ZR34" i="28"/>
  <c r="ZN34" i="28"/>
  <c r="ZJ34" i="28"/>
  <c r="ZF34" i="28"/>
  <c r="YW34" i="28"/>
  <c r="IM33" i="25"/>
  <c r="YT34" i="28"/>
  <c r="YP34" i="28"/>
  <c r="YL34" i="28"/>
  <c r="YH34" i="28"/>
  <c r="YD34" i="28"/>
  <c r="XZ34" i="28"/>
  <c r="XQ34" i="28"/>
  <c r="IH33" i="25"/>
  <c r="XN34" i="28"/>
  <c r="XJ34" i="28"/>
  <c r="XF34" i="28"/>
  <c r="XB34" i="28"/>
  <c r="WX34" i="28"/>
  <c r="WT34" i="28"/>
  <c r="WK34" i="28"/>
  <c r="IC33" i="25"/>
  <c r="WH34" i="28"/>
  <c r="WD34" i="28"/>
  <c r="VZ34" i="28"/>
  <c r="VV34" i="28"/>
  <c r="VR34" i="28"/>
  <c r="VN34" i="28"/>
  <c r="AAC33" i="28"/>
  <c r="IR32" i="25"/>
  <c r="ZZ33" i="28"/>
  <c r="ZV33" i="28"/>
  <c r="ZR33" i="28"/>
  <c r="ZN33" i="28"/>
  <c r="ZJ33" i="28"/>
  <c r="ZF33" i="28"/>
  <c r="YW33" i="28"/>
  <c r="IM32" i="25"/>
  <c r="YT33" i="28"/>
  <c r="YP33" i="28"/>
  <c r="YL33" i="28"/>
  <c r="YH33" i="28"/>
  <c r="YD33" i="28"/>
  <c r="XZ33" i="28"/>
  <c r="XQ33" i="28"/>
  <c r="IH32" i="25"/>
  <c r="XN33" i="28"/>
  <c r="XJ33" i="28"/>
  <c r="XF33" i="28"/>
  <c r="XB33" i="28"/>
  <c r="WX33" i="28"/>
  <c r="WT33" i="28"/>
  <c r="WK33" i="28"/>
  <c r="IC32" i="25"/>
  <c r="WH33" i="28"/>
  <c r="WD33" i="28"/>
  <c r="VZ33" i="28"/>
  <c r="VV33" i="28"/>
  <c r="VR33" i="28"/>
  <c r="VN33" i="28"/>
  <c r="AAC32" i="28"/>
  <c r="IR31" i="25"/>
  <c r="ZZ32" i="28"/>
  <c r="ZV32" i="28"/>
  <c r="ZR32" i="28"/>
  <c r="ZN32" i="28"/>
  <c r="ZJ32" i="28"/>
  <c r="ZF32" i="28"/>
  <c r="YW32" i="28"/>
  <c r="IM31" i="25"/>
  <c r="YT32" i="28"/>
  <c r="YP32" i="28"/>
  <c r="YL32" i="28"/>
  <c r="YH32" i="28"/>
  <c r="YD32" i="28"/>
  <c r="XZ32" i="28"/>
  <c r="XQ32" i="28"/>
  <c r="IH31" i="25"/>
  <c r="XN32" i="28"/>
  <c r="XJ32" i="28"/>
  <c r="XF32" i="28"/>
  <c r="XB32" i="28"/>
  <c r="WX32" i="28"/>
  <c r="WT32" i="28"/>
  <c r="WK32" i="28"/>
  <c r="IC31" i="25"/>
  <c r="WH32" i="28"/>
  <c r="WD32" i="28"/>
  <c r="VZ32" i="28"/>
  <c r="VV32" i="28"/>
  <c r="VR32" i="28"/>
  <c r="VN32" i="28"/>
  <c r="AAC31" i="28"/>
  <c r="AAC44" i="28" s="1"/>
  <c r="IR30" i="25"/>
  <c r="ZZ31" i="28"/>
  <c r="ZV31" i="28"/>
  <c r="ZR31" i="28"/>
  <c r="ZN31" i="28"/>
  <c r="ZJ31" i="28"/>
  <c r="ZF31" i="28"/>
  <c r="YW31" i="28"/>
  <c r="YW44" i="28" s="1"/>
  <c r="IM30" i="25"/>
  <c r="YT31" i="28"/>
  <c r="YP31" i="28"/>
  <c r="YL31" i="28"/>
  <c r="YH31" i="28"/>
  <c r="YD31" i="28"/>
  <c r="XZ31" i="28"/>
  <c r="XQ31" i="28"/>
  <c r="XQ44" i="28" s="1"/>
  <c r="IH30" i="25"/>
  <c r="XN31" i="28"/>
  <c r="XJ31" i="28"/>
  <c r="XF31" i="28"/>
  <c r="XB31" i="28"/>
  <c r="WX31" i="28"/>
  <c r="WT31" i="28"/>
  <c r="WK31" i="28"/>
  <c r="WK44" i="28" s="1"/>
  <c r="IC30" i="25"/>
  <c r="IC44" i="25" s="1"/>
  <c r="WH31" i="28"/>
  <c r="WD31" i="28"/>
  <c r="VZ31" i="28"/>
  <c r="VV31" i="28"/>
  <c r="VR31" i="28"/>
  <c r="VN31" i="28"/>
  <c r="AAC30" i="28"/>
  <c r="IR29" i="25"/>
  <c r="ZZ30" i="28"/>
  <c r="ZV30" i="28"/>
  <c r="ZR30" i="28"/>
  <c r="ZN30" i="28"/>
  <c r="ZJ30" i="28"/>
  <c r="ZF30" i="28"/>
  <c r="YW30" i="28"/>
  <c r="IM29" i="25"/>
  <c r="YT30" i="28"/>
  <c r="YP30" i="28"/>
  <c r="YL30" i="28"/>
  <c r="YH30" i="28"/>
  <c r="YD30" i="28"/>
  <c r="XZ30" i="28"/>
  <c r="XQ30" i="28"/>
  <c r="IH29" i="25"/>
  <c r="XN30" i="28"/>
  <c r="XJ30" i="28"/>
  <c r="XF30" i="28"/>
  <c r="XB30" i="28"/>
  <c r="WX30" i="28"/>
  <c r="WT30" i="28"/>
  <c r="WK30" i="28"/>
  <c r="IC29" i="25"/>
  <c r="WH30" i="28"/>
  <c r="WD30" i="28"/>
  <c r="VZ30" i="28"/>
  <c r="VV30" i="28"/>
  <c r="VR30" i="28"/>
  <c r="VN30" i="28"/>
  <c r="AAC29" i="28"/>
  <c r="IR28" i="25"/>
  <c r="ZZ29" i="28"/>
  <c r="ZV29" i="28"/>
  <c r="ZR29" i="28"/>
  <c r="ZN29" i="28"/>
  <c r="ZJ29" i="28"/>
  <c r="ZF29" i="28"/>
  <c r="YW29" i="28"/>
  <c r="IM28" i="25"/>
  <c r="YT29" i="28"/>
  <c r="YP29" i="28"/>
  <c r="YL29" i="28"/>
  <c r="YH29" i="28"/>
  <c r="YD29" i="28"/>
  <c r="XZ29" i="28"/>
  <c r="XQ29" i="28"/>
  <c r="IH28" i="25"/>
  <c r="XN29" i="28"/>
  <c r="XJ29" i="28"/>
  <c r="XF29" i="28"/>
  <c r="XB29" i="28"/>
  <c r="WX29" i="28"/>
  <c r="WT29" i="28"/>
  <c r="WK29" i="28"/>
  <c r="IC28" i="25"/>
  <c r="WH29" i="28"/>
  <c r="WD29" i="28"/>
  <c r="VZ29" i="28"/>
  <c r="VV29" i="28"/>
  <c r="VR29" i="28"/>
  <c r="VN29" i="28"/>
  <c r="AAC28" i="28"/>
  <c r="IR27" i="25"/>
  <c r="ZZ28" i="28"/>
  <c r="ZV28" i="28"/>
  <c r="ZR28" i="28"/>
  <c r="ZN28" i="28"/>
  <c r="ZJ28" i="28"/>
  <c r="ZF28" i="28"/>
  <c r="YW28" i="28"/>
  <c r="IM27" i="25"/>
  <c r="YT28" i="28"/>
  <c r="YP28" i="28"/>
  <c r="YL28" i="28"/>
  <c r="YH28" i="28"/>
  <c r="YD28" i="28"/>
  <c r="XZ28" i="28"/>
  <c r="XQ28" i="28"/>
  <c r="IH27" i="25"/>
  <c r="XN28" i="28"/>
  <c r="XJ28" i="28"/>
  <c r="XF28" i="28"/>
  <c r="XB28" i="28"/>
  <c r="WX28" i="28"/>
  <c r="WT28" i="28"/>
  <c r="WK28" i="28"/>
  <c r="IC27" i="25"/>
  <c r="WH28" i="28"/>
  <c r="WD28" i="28"/>
  <c r="VZ28" i="28"/>
  <c r="VV28" i="28"/>
  <c r="VR28" i="28"/>
  <c r="VN28" i="28"/>
  <c r="AAC27" i="28"/>
  <c r="IR26" i="25"/>
  <c r="ZZ27" i="28"/>
  <c r="ZV27" i="28"/>
  <c r="ZR27" i="28"/>
  <c r="ZN27" i="28"/>
  <c r="ZJ27" i="28"/>
  <c r="ZF27" i="28"/>
  <c r="YW27" i="28"/>
  <c r="IM26" i="25"/>
  <c r="YT27" i="28"/>
  <c r="YP27" i="28"/>
  <c r="YL27" i="28"/>
  <c r="YH27" i="28"/>
  <c r="YD27" i="28"/>
  <c r="XZ27" i="28"/>
  <c r="XQ27" i="28"/>
  <c r="IH26" i="25"/>
  <c r="XN27" i="28"/>
  <c r="XJ27" i="28"/>
  <c r="XF27" i="28"/>
  <c r="XB27" i="28"/>
  <c r="WX27" i="28"/>
  <c r="WT27" i="28"/>
  <c r="WK27" i="28"/>
  <c r="IC26" i="25"/>
  <c r="WH27" i="28"/>
  <c r="WD27" i="28"/>
  <c r="VZ27" i="28"/>
  <c r="VV27" i="28"/>
  <c r="VR27" i="28"/>
  <c r="VN27" i="28"/>
  <c r="AAC26" i="28"/>
  <c r="AAC43" i="28" s="1"/>
  <c r="IR25" i="25"/>
  <c r="ZZ26" i="28"/>
  <c r="ZV26" i="28"/>
  <c r="ZR26" i="28"/>
  <c r="ZN26" i="28"/>
  <c r="ZJ26" i="28"/>
  <c r="ZF26" i="28"/>
  <c r="YW26" i="28"/>
  <c r="YW43" i="28" s="1"/>
  <c r="IM25" i="25"/>
  <c r="YT26" i="28"/>
  <c r="YP26" i="28"/>
  <c r="YL26" i="28"/>
  <c r="YH26" i="28"/>
  <c r="YD26" i="28"/>
  <c r="XZ26" i="28"/>
  <c r="XQ26" i="28"/>
  <c r="XQ43" i="28" s="1"/>
  <c r="IH25" i="25"/>
  <c r="XN26" i="28"/>
  <c r="XJ26" i="28"/>
  <c r="XF26" i="28"/>
  <c r="XB26" i="28"/>
  <c r="WX26" i="28"/>
  <c r="WT26" i="28"/>
  <c r="WK26" i="28"/>
  <c r="WK43" i="28" s="1"/>
  <c r="IC25" i="25"/>
  <c r="IC43" i="25" s="1"/>
  <c r="WH26" i="28"/>
  <c r="WD26" i="28"/>
  <c r="VZ26" i="28"/>
  <c r="VV26" i="28"/>
  <c r="VR26" i="28"/>
  <c r="VN26" i="28"/>
  <c r="AAC25" i="28"/>
  <c r="IR24" i="25"/>
  <c r="ZZ25" i="28"/>
  <c r="ZV25" i="28"/>
  <c r="ZR25" i="28"/>
  <c r="ZN25" i="28"/>
  <c r="ZJ25" i="28"/>
  <c r="ZF25" i="28"/>
  <c r="YW25" i="28"/>
  <c r="IM24" i="25"/>
  <c r="YT25" i="28"/>
  <c r="YP25" i="28"/>
  <c r="YL25" i="28"/>
  <c r="YH25" i="28"/>
  <c r="YD25" i="28"/>
  <c r="XZ25" i="28"/>
  <c r="XQ25" i="28"/>
  <c r="IH24" i="25"/>
  <c r="XN25" i="28"/>
  <c r="XJ25" i="28"/>
  <c r="XF25" i="28"/>
  <c r="XB25" i="28"/>
  <c r="WX25" i="28"/>
  <c r="WT25" i="28"/>
  <c r="WK25" i="28"/>
  <c r="IC24" i="25"/>
  <c r="WH25" i="28"/>
  <c r="WD25" i="28"/>
  <c r="VZ25" i="28"/>
  <c r="VV25" i="28"/>
  <c r="VR25" i="28"/>
  <c r="VN25" i="28"/>
  <c r="AAC24" i="28"/>
  <c r="IR23" i="25"/>
  <c r="ZZ24" i="28"/>
  <c r="ZV24" i="28"/>
  <c r="ZR24" i="28"/>
  <c r="ZN24" i="28"/>
  <c r="ZJ24" i="28"/>
  <c r="ZF24" i="28"/>
  <c r="YW24" i="28"/>
  <c r="IM23" i="25"/>
  <c r="YT24" i="28"/>
  <c r="YP24" i="28"/>
  <c r="YL24" i="28"/>
  <c r="YH24" i="28"/>
  <c r="YD24" i="28"/>
  <c r="XZ24" i="28"/>
  <c r="XQ24" i="28"/>
  <c r="IH23" i="25"/>
  <c r="XN24" i="28"/>
  <c r="XJ24" i="28"/>
  <c r="XF24" i="28"/>
  <c r="XB24" i="28"/>
  <c r="WX24" i="28"/>
  <c r="WT24" i="28"/>
  <c r="WK24" i="28"/>
  <c r="IC23" i="25"/>
  <c r="WH24" i="28"/>
  <c r="WD24" i="28"/>
  <c r="VZ24" i="28"/>
  <c r="VV24" i="28"/>
  <c r="VR24" i="28"/>
  <c r="VN24" i="28"/>
  <c r="AAC23" i="28"/>
  <c r="IR22" i="25"/>
  <c r="ZZ23" i="28"/>
  <c r="ZV23" i="28"/>
  <c r="ZR23" i="28"/>
  <c r="ZN23" i="28"/>
  <c r="ZJ23" i="28"/>
  <c r="ZF23" i="28"/>
  <c r="YW23" i="28"/>
  <c r="IM22" i="25"/>
  <c r="YT23" i="28"/>
  <c r="YP23" i="28"/>
  <c r="YL23" i="28"/>
  <c r="YH23" i="28"/>
  <c r="YD23" i="28"/>
  <c r="XZ23" i="28"/>
  <c r="XQ23" i="28"/>
  <c r="IH22" i="25"/>
  <c r="XN23" i="28"/>
  <c r="XJ23" i="28"/>
  <c r="XF23" i="28"/>
  <c r="XB23" i="28"/>
  <c r="WX23" i="28"/>
  <c r="WT23" i="28"/>
  <c r="WK23" i="28"/>
  <c r="IC22" i="25"/>
  <c r="WH23" i="28"/>
  <c r="WD23" i="28"/>
  <c r="VZ23" i="28"/>
  <c r="VV23" i="28"/>
  <c r="VR23" i="28"/>
  <c r="VN23" i="28"/>
  <c r="AAC22" i="28"/>
  <c r="IR21" i="25"/>
  <c r="ZZ22" i="28"/>
  <c r="ZV22" i="28"/>
  <c r="ZR22" i="28"/>
  <c r="ZN22" i="28"/>
  <c r="ZJ22" i="28"/>
  <c r="ZF22" i="28"/>
  <c r="YW22" i="28"/>
  <c r="IM21" i="25"/>
  <c r="YT22" i="28"/>
  <c r="YP22" i="28"/>
  <c r="YL22" i="28"/>
  <c r="YH22" i="28"/>
  <c r="YD22" i="28"/>
  <c r="XZ22" i="28"/>
  <c r="XQ22" i="28"/>
  <c r="IH21" i="25"/>
  <c r="XN22" i="28"/>
  <c r="XJ22" i="28"/>
  <c r="XF22" i="28"/>
  <c r="XB22" i="28"/>
  <c r="WX22" i="28"/>
  <c r="WT22" i="28"/>
  <c r="WK22" i="28"/>
  <c r="IC21" i="25"/>
  <c r="WH22" i="28"/>
  <c r="WD22" i="28"/>
  <c r="VZ22" i="28"/>
  <c r="VV22" i="28"/>
  <c r="VR22" i="28"/>
  <c r="VN22" i="28"/>
  <c r="AAC21" i="28"/>
  <c r="IR20" i="25"/>
  <c r="ZZ21" i="28"/>
  <c r="ZV21" i="28"/>
  <c r="ZR21" i="28"/>
  <c r="ZN21" i="28"/>
  <c r="ZJ21" i="28"/>
  <c r="ZF21" i="28"/>
  <c r="YW21" i="28"/>
  <c r="IM20" i="25"/>
  <c r="YT21" i="28"/>
  <c r="YP21" i="28"/>
  <c r="YL21" i="28"/>
  <c r="YH21" i="28"/>
  <c r="YD21" i="28"/>
  <c r="XZ21" i="28"/>
  <c r="XQ21" i="28"/>
  <c r="IH20" i="25"/>
  <c r="XN21" i="28"/>
  <c r="XJ21" i="28"/>
  <c r="XF21" i="28"/>
  <c r="XB21" i="28"/>
  <c r="WX21" i="28"/>
  <c r="WT21" i="28"/>
  <c r="WK21" i="28"/>
  <c r="IC20" i="25"/>
  <c r="WH21" i="28"/>
  <c r="WD21" i="28"/>
  <c r="VZ21" i="28"/>
  <c r="VV21" i="28"/>
  <c r="VR21" i="28"/>
  <c r="VN21" i="28"/>
  <c r="AAC20" i="28"/>
  <c r="IR19" i="25"/>
  <c r="ZZ20" i="28"/>
  <c r="ZV20" i="28"/>
  <c r="ZR20" i="28"/>
  <c r="ZN20" i="28"/>
  <c r="ZJ20" i="28"/>
  <c r="ZF20" i="28"/>
  <c r="YW20" i="28"/>
  <c r="IM19" i="25"/>
  <c r="YT20" i="28"/>
  <c r="YP20" i="28"/>
  <c r="YL20" i="28"/>
  <c r="YH20" i="28"/>
  <c r="YD20" i="28"/>
  <c r="XZ20" i="28"/>
  <c r="XQ20" i="28"/>
  <c r="IH19" i="25"/>
  <c r="XN20" i="28"/>
  <c r="XJ20" i="28"/>
  <c r="XF20" i="28"/>
  <c r="XB20" i="28"/>
  <c r="WX20" i="28"/>
  <c r="WT20" i="28"/>
  <c r="WK20" i="28"/>
  <c r="IC19" i="25"/>
  <c r="WH20" i="28"/>
  <c r="WD20" i="28"/>
  <c r="VZ20" i="28"/>
  <c r="VV20" i="28"/>
  <c r="VR20" i="28"/>
  <c r="VN20" i="28"/>
  <c r="AAC19" i="28"/>
  <c r="IR18" i="25"/>
  <c r="ZZ19" i="28"/>
  <c r="ZV19" i="28"/>
  <c r="ZR19" i="28"/>
  <c r="ZN19" i="28"/>
  <c r="ZJ19" i="28"/>
  <c r="ZF19" i="28"/>
  <c r="YW19" i="28"/>
  <c r="IM18" i="25"/>
  <c r="YT19" i="28"/>
  <c r="YP19" i="28"/>
  <c r="YL19" i="28"/>
  <c r="YH19" i="28"/>
  <c r="YD19" i="28"/>
  <c r="XZ19" i="28"/>
  <c r="XQ19" i="28"/>
  <c r="IH18" i="25"/>
  <c r="XN19" i="28"/>
  <c r="XJ19" i="28"/>
  <c r="XF19" i="28"/>
  <c r="XB19" i="28"/>
  <c r="WX19" i="28"/>
  <c r="WT19" i="28"/>
  <c r="WK19" i="28"/>
  <c r="IC18" i="25"/>
  <c r="WH19" i="28"/>
  <c r="WD19" i="28"/>
  <c r="VZ19" i="28"/>
  <c r="VV19" i="28"/>
  <c r="VR19" i="28"/>
  <c r="VN19" i="28"/>
  <c r="AAC18" i="28"/>
  <c r="IR17" i="25"/>
  <c r="ZZ18" i="28"/>
  <c r="ZV18" i="28"/>
  <c r="ZR18" i="28"/>
  <c r="ZN18" i="28"/>
  <c r="ZJ18" i="28"/>
  <c r="ZF18" i="28"/>
  <c r="YW18" i="28"/>
  <c r="IM17" i="25"/>
  <c r="YT18" i="28"/>
  <c r="YP18" i="28"/>
  <c r="YL18" i="28"/>
  <c r="YH18" i="28"/>
  <c r="YD18" i="28"/>
  <c r="XZ18" i="28"/>
  <c r="XQ18" i="28"/>
  <c r="IH17" i="25"/>
  <c r="XN18" i="28"/>
  <c r="XJ18" i="28"/>
  <c r="XF18" i="28"/>
  <c r="XB18" i="28"/>
  <c r="WX18" i="28"/>
  <c r="WT18" i="28"/>
  <c r="WK18" i="28"/>
  <c r="IC17" i="25"/>
  <c r="WH18" i="28"/>
  <c r="WD18" i="28"/>
  <c r="VZ18" i="28"/>
  <c r="VV18" i="28"/>
  <c r="VR18" i="28"/>
  <c r="VN18" i="28"/>
  <c r="AAC17" i="28"/>
  <c r="IR16" i="25"/>
  <c r="ZZ17" i="28"/>
  <c r="ZV17" i="28"/>
  <c r="ZR17" i="28"/>
  <c r="ZN17" i="28"/>
  <c r="ZJ17" i="28"/>
  <c r="ZF17" i="28"/>
  <c r="YW17" i="28"/>
  <c r="IM16" i="25"/>
  <c r="YT17" i="28"/>
  <c r="YP17" i="28"/>
  <c r="YL17" i="28"/>
  <c r="YH17" i="28"/>
  <c r="YD17" i="28"/>
  <c r="XZ17" i="28"/>
  <c r="XQ17" i="28"/>
  <c r="IH16" i="25"/>
  <c r="XN17" i="28"/>
  <c r="XJ17" i="28"/>
  <c r="XF17" i="28"/>
  <c r="XB17" i="28"/>
  <c r="WX17" i="28"/>
  <c r="WT17" i="28"/>
  <c r="WK17" i="28"/>
  <c r="IC16" i="25"/>
  <c r="WH17" i="28"/>
  <c r="WD17" i="28"/>
  <c r="VZ17" i="28"/>
  <c r="VV17" i="28"/>
  <c r="VR17" i="28"/>
  <c r="VN17" i="28"/>
  <c r="AAC16" i="28"/>
  <c r="IR15" i="25"/>
  <c r="ZZ16" i="28"/>
  <c r="ZV16" i="28"/>
  <c r="ZR16" i="28"/>
  <c r="ZN16" i="28"/>
  <c r="ZJ16" i="28"/>
  <c r="ZF16" i="28"/>
  <c r="YW16" i="28"/>
  <c r="IM15" i="25"/>
  <c r="YT16" i="28"/>
  <c r="YP16" i="28"/>
  <c r="YL16" i="28"/>
  <c r="YH16" i="28"/>
  <c r="YD16" i="28"/>
  <c r="XZ16" i="28"/>
  <c r="XQ16" i="28"/>
  <c r="IH15" i="25"/>
  <c r="XN16" i="28"/>
  <c r="XJ16" i="28"/>
  <c r="XF16" i="28"/>
  <c r="XB16" i="28"/>
  <c r="WX16" i="28"/>
  <c r="WT16" i="28"/>
  <c r="WK16" i="28"/>
  <c r="IC15" i="25"/>
  <c r="WH16" i="28"/>
  <c r="WD16" i="28"/>
  <c r="VZ16" i="28"/>
  <c r="VV16" i="28"/>
  <c r="VR16" i="28"/>
  <c r="VN16" i="28"/>
  <c r="AAC15" i="28"/>
  <c r="IR14" i="25"/>
  <c r="ZZ15" i="28"/>
  <c r="ZV15" i="28"/>
  <c r="ZR15" i="28"/>
  <c r="ZN15" i="28"/>
  <c r="ZJ15" i="28"/>
  <c r="ZF15" i="28"/>
  <c r="YW15" i="28"/>
  <c r="IM14" i="25"/>
  <c r="YT15" i="28"/>
  <c r="YP15" i="28"/>
  <c r="YL15" i="28"/>
  <c r="YH15" i="28"/>
  <c r="YD15" i="28"/>
  <c r="XZ15" i="28"/>
  <c r="XQ15" i="28"/>
  <c r="IH14" i="25"/>
  <c r="XN15" i="28"/>
  <c r="XJ15" i="28"/>
  <c r="XF15" i="28"/>
  <c r="XB15" i="28"/>
  <c r="WX15" i="28"/>
  <c r="WT15" i="28"/>
  <c r="WK15" i="28"/>
  <c r="IC14" i="25"/>
  <c r="WH15" i="28"/>
  <c r="WD15" i="28"/>
  <c r="VZ15" i="28"/>
  <c r="VV15" i="28"/>
  <c r="VR15" i="28"/>
  <c r="VN15" i="28"/>
  <c r="AAC14" i="28"/>
  <c r="IR13" i="25"/>
  <c r="ZZ14" i="28"/>
  <c r="ZV14" i="28"/>
  <c r="ZR14" i="28"/>
  <c r="ZN14" i="28"/>
  <c r="ZJ14" i="28"/>
  <c r="ZF14" i="28"/>
  <c r="YW14" i="28"/>
  <c r="IM13" i="25"/>
  <c r="YT14" i="28"/>
  <c r="YP14" i="28"/>
  <c r="YL14" i="28"/>
  <c r="YH14" i="28"/>
  <c r="YD14" i="28"/>
  <c r="XZ14" i="28"/>
  <c r="XQ14" i="28"/>
  <c r="IH13" i="25"/>
  <c r="XN14" i="28"/>
  <c r="XJ14" i="28"/>
  <c r="XF14" i="28"/>
  <c r="XB14" i="28"/>
  <c r="WX14" i="28"/>
  <c r="WT14" i="28"/>
  <c r="WK14" i="28"/>
  <c r="IC13" i="25"/>
  <c r="WH14" i="28"/>
  <c r="WD14" i="28"/>
  <c r="VZ14" i="28"/>
  <c r="VV14" i="28"/>
  <c r="VR14" i="28"/>
  <c r="VN14" i="28"/>
  <c r="AAC13" i="28"/>
  <c r="IR12" i="25"/>
  <c r="IS12" i="25" s="1"/>
  <c r="ZZ13" i="28"/>
  <c r="ZV13" i="28"/>
  <c r="ZR13" i="28"/>
  <c r="ZN13" i="28"/>
  <c r="ZJ13" i="28"/>
  <c r="ZF13" i="28"/>
  <c r="YW13" i="28"/>
  <c r="IM12" i="25"/>
  <c r="YT13" i="28"/>
  <c r="YP13" i="28"/>
  <c r="YL13" i="28"/>
  <c r="YH13" i="28"/>
  <c r="YD13" i="28"/>
  <c r="XZ13" i="28"/>
  <c r="XQ13" i="28"/>
  <c r="IH12" i="25"/>
  <c r="XN13" i="28"/>
  <c r="XJ13" i="28"/>
  <c r="XF13" i="28"/>
  <c r="XB13" i="28"/>
  <c r="WX13" i="28"/>
  <c r="WT13" i="28"/>
  <c r="WK13" i="28"/>
  <c r="IC12" i="25"/>
  <c r="WH13" i="28"/>
  <c r="WD13" i="28"/>
  <c r="VZ13" i="28"/>
  <c r="VV13" i="28"/>
  <c r="VR13" i="28"/>
  <c r="VN13" i="28"/>
  <c r="AAC12" i="28"/>
  <c r="AAC39" i="28" s="1"/>
  <c r="IR11" i="25"/>
  <c r="ZZ12" i="28"/>
  <c r="ZV12" i="28"/>
  <c r="ZR12" i="28"/>
  <c r="ZN12" i="28"/>
  <c r="ZJ12" i="28"/>
  <c r="ZF12" i="28"/>
  <c r="YW12" i="28"/>
  <c r="YW39" i="28" s="1"/>
  <c r="IM11" i="25"/>
  <c r="YT12" i="28"/>
  <c r="YP12" i="28"/>
  <c r="YL12" i="28"/>
  <c r="YH12" i="28"/>
  <c r="YD12" i="28"/>
  <c r="XZ12" i="28"/>
  <c r="XQ12" i="28"/>
  <c r="XQ39" i="28" s="1"/>
  <c r="IH11" i="25"/>
  <c r="XN12" i="28"/>
  <c r="XJ12" i="28"/>
  <c r="XF12" i="28"/>
  <c r="XB12" i="28"/>
  <c r="WX12" i="28"/>
  <c r="WT12" i="28"/>
  <c r="WK12" i="28"/>
  <c r="WK39" i="28" s="1"/>
  <c r="IC11" i="25"/>
  <c r="IC39" i="25" s="1"/>
  <c r="WH12" i="28"/>
  <c r="WD12" i="28"/>
  <c r="VZ12" i="28"/>
  <c r="VV12" i="28"/>
  <c r="VR12" i="28"/>
  <c r="VN12" i="28"/>
  <c r="AAC11" i="28"/>
  <c r="IR10" i="25"/>
  <c r="ZZ11" i="28"/>
  <c r="ZV11" i="28"/>
  <c r="ZR11" i="28"/>
  <c r="ZN11" i="28"/>
  <c r="ZJ11" i="28"/>
  <c r="ZF11" i="28"/>
  <c r="YW11" i="28"/>
  <c r="IM10" i="25"/>
  <c r="YT11" i="28"/>
  <c r="YP11" i="28"/>
  <c r="YL11" i="28"/>
  <c r="YH11" i="28"/>
  <c r="YD11" i="28"/>
  <c r="XZ11" i="28"/>
  <c r="XQ11" i="28"/>
  <c r="IH10" i="25"/>
  <c r="XN11" i="28"/>
  <c r="XJ11" i="28"/>
  <c r="XF11" i="28"/>
  <c r="XB11" i="28"/>
  <c r="WX11" i="28"/>
  <c r="WT11" i="28"/>
  <c r="WK11" i="28"/>
  <c r="IC10" i="25"/>
  <c r="WH11" i="28"/>
  <c r="WD11" i="28"/>
  <c r="VZ11" i="28"/>
  <c r="VV11" i="28"/>
  <c r="VR11" i="28"/>
  <c r="VN11" i="28"/>
  <c r="AAC10" i="28"/>
  <c r="IR9" i="25"/>
  <c r="ZZ10" i="28"/>
  <c r="ZV10" i="28"/>
  <c r="ZR10" i="28"/>
  <c r="ZN10" i="28"/>
  <c r="ZJ10" i="28"/>
  <c r="ZF10" i="28"/>
  <c r="YW10" i="28"/>
  <c r="IM9" i="25"/>
  <c r="YT10" i="28"/>
  <c r="YP10" i="28"/>
  <c r="YL10" i="28"/>
  <c r="YH10" i="28"/>
  <c r="YD10" i="28"/>
  <c r="XZ10" i="28"/>
  <c r="XQ10" i="28"/>
  <c r="IH9" i="25"/>
  <c r="XN10" i="28"/>
  <c r="XJ10" i="28"/>
  <c r="XF10" i="28"/>
  <c r="XB10" i="28"/>
  <c r="WX10" i="28"/>
  <c r="WT10" i="28"/>
  <c r="WK10" i="28"/>
  <c r="IC9" i="25"/>
  <c r="WH10" i="28"/>
  <c r="WD10" i="28"/>
  <c r="VZ10" i="28"/>
  <c r="VV10" i="28"/>
  <c r="VR10" i="28"/>
  <c r="VN10" i="28"/>
  <c r="AAC9" i="28"/>
  <c r="AAC40" i="28" s="1"/>
  <c r="IR8" i="25"/>
  <c r="ZZ9" i="28"/>
  <c r="ZV9" i="28"/>
  <c r="ZR9" i="28"/>
  <c r="ZN9" i="28"/>
  <c r="ZJ9" i="28"/>
  <c r="ZF9" i="28"/>
  <c r="YW9" i="28"/>
  <c r="YW40" i="28" s="1"/>
  <c r="IM8" i="25"/>
  <c r="YT9" i="28"/>
  <c r="YP9" i="28"/>
  <c r="YL9" i="28"/>
  <c r="YH9" i="28"/>
  <c r="YD9" i="28"/>
  <c r="XZ9" i="28"/>
  <c r="XQ9" i="28"/>
  <c r="XQ40" i="28" s="1"/>
  <c r="IH8" i="25"/>
  <c r="XN9" i="28"/>
  <c r="XJ9" i="28"/>
  <c r="XF9" i="28"/>
  <c r="XB9" i="28"/>
  <c r="WX9" i="28"/>
  <c r="WT9" i="28"/>
  <c r="WK9" i="28"/>
  <c r="WK40" i="28" s="1"/>
  <c r="IC8" i="25"/>
  <c r="IC40" i="25" s="1"/>
  <c r="WH9" i="28"/>
  <c r="WD9" i="28"/>
  <c r="VZ9" i="28"/>
  <c r="VV9" i="28"/>
  <c r="VR9" i="28"/>
  <c r="VN9" i="28"/>
  <c r="AAC8" i="28"/>
  <c r="IR7" i="25"/>
  <c r="ZZ8" i="28"/>
  <c r="ZV8" i="28"/>
  <c r="ZR8" i="28"/>
  <c r="ZN8" i="28"/>
  <c r="ZJ8" i="28"/>
  <c r="ZF8" i="28"/>
  <c r="YW8" i="28"/>
  <c r="IM7" i="25"/>
  <c r="YT8" i="28"/>
  <c r="YP8" i="28"/>
  <c r="YL8" i="28"/>
  <c r="YH8" i="28"/>
  <c r="YD8" i="28"/>
  <c r="XZ8" i="28"/>
  <c r="XQ8" i="28"/>
  <c r="IH7" i="25"/>
  <c r="XN8" i="28"/>
  <c r="XJ8" i="28"/>
  <c r="XF8" i="28"/>
  <c r="XB8" i="28"/>
  <c r="WX8" i="28"/>
  <c r="WT8" i="28"/>
  <c r="WK8" i="28"/>
  <c r="IC7" i="25"/>
  <c r="ID7" i="25" s="1"/>
  <c r="WH8" i="28"/>
  <c r="WD8" i="28"/>
  <c r="VZ8" i="28"/>
  <c r="VV8" i="28"/>
  <c r="VR8" i="28"/>
  <c r="VN8" i="28"/>
  <c r="AAC7" i="28"/>
  <c r="IR6" i="25"/>
  <c r="YW7" i="28"/>
  <c r="IM6" i="25"/>
  <c r="XQ7" i="28"/>
  <c r="IH6" i="25"/>
  <c r="WK7" i="28"/>
  <c r="IC6" i="25"/>
  <c r="AAD6" i="28"/>
  <c r="YX6" i="28"/>
  <c r="XR6" i="28"/>
  <c r="WL6" i="28"/>
  <c r="AAD5" i="28"/>
  <c r="AAC5" i="28"/>
  <c r="AAA5" i="28"/>
  <c r="YX5" i="28"/>
  <c r="YW5" i="28"/>
  <c r="YU5" i="28"/>
  <c r="XR5" i="28"/>
  <c r="XQ5" i="28"/>
  <c r="XO5" i="28"/>
  <c r="WL5" i="28"/>
  <c r="WK5" i="28"/>
  <c r="WI5" i="28"/>
  <c r="PC8" i="28"/>
  <c r="PC9" i="28"/>
  <c r="PC10" i="28"/>
  <c r="PC11" i="28"/>
  <c r="PC12" i="28"/>
  <c r="PC13" i="28"/>
  <c r="PC14" i="28"/>
  <c r="PC15" i="28"/>
  <c r="PC16" i="28"/>
  <c r="PC17" i="28"/>
  <c r="PC18" i="28"/>
  <c r="PC19" i="28"/>
  <c r="PC20" i="28"/>
  <c r="PC21" i="28"/>
  <c r="PC22" i="28"/>
  <c r="PC23" i="28"/>
  <c r="PC24" i="28"/>
  <c r="PC25" i="28"/>
  <c r="PC26" i="28"/>
  <c r="PC27" i="28"/>
  <c r="PC28" i="28"/>
  <c r="PC29" i="28"/>
  <c r="PC30" i="28"/>
  <c r="PC31" i="28"/>
  <c r="PC32" i="28"/>
  <c r="PC33" i="28"/>
  <c r="PC34" i="28"/>
  <c r="PG8" i="28"/>
  <c r="PG9" i="28"/>
  <c r="PG10" i="28"/>
  <c r="PG11" i="28"/>
  <c r="PG12" i="28"/>
  <c r="PG13" i="28"/>
  <c r="PG14" i="28"/>
  <c r="PG15" i="28"/>
  <c r="PG16" i="28"/>
  <c r="PG17" i="28"/>
  <c r="PG18" i="28"/>
  <c r="PG19" i="28"/>
  <c r="PG20" i="28"/>
  <c r="PG21" i="28"/>
  <c r="PG22" i="28"/>
  <c r="PG23" i="28"/>
  <c r="PG24" i="28"/>
  <c r="PG25" i="28"/>
  <c r="PG26" i="28"/>
  <c r="PG27" i="28"/>
  <c r="PG28" i="28"/>
  <c r="PG29" i="28"/>
  <c r="PG30" i="28"/>
  <c r="PG31" i="28"/>
  <c r="PG32" i="28"/>
  <c r="PG33" i="28"/>
  <c r="PG34" i="28"/>
  <c r="PK8" i="28"/>
  <c r="PK9" i="28"/>
  <c r="PK10" i="28"/>
  <c r="PK11" i="28"/>
  <c r="PK12" i="28"/>
  <c r="PK13" i="28"/>
  <c r="PK14" i="28"/>
  <c r="PK15" i="28"/>
  <c r="PK16" i="28"/>
  <c r="PK17" i="28"/>
  <c r="PK18" i="28"/>
  <c r="PK19" i="28"/>
  <c r="PK20" i="28"/>
  <c r="PK21" i="28"/>
  <c r="PK22" i="28"/>
  <c r="PK23" i="28"/>
  <c r="PK24" i="28"/>
  <c r="PK25" i="28"/>
  <c r="PK26" i="28"/>
  <c r="PK27" i="28"/>
  <c r="PK28" i="28"/>
  <c r="PK29" i="28"/>
  <c r="PK30" i="28"/>
  <c r="PK31" i="28"/>
  <c r="PK32" i="28"/>
  <c r="PK33" i="28"/>
  <c r="PK34" i="28"/>
  <c r="PO8" i="28"/>
  <c r="PO9" i="28"/>
  <c r="PO10" i="28"/>
  <c r="PO11" i="28"/>
  <c r="PO12" i="28"/>
  <c r="PO13" i="28"/>
  <c r="PO14" i="28"/>
  <c r="PO15" i="28"/>
  <c r="PO16" i="28"/>
  <c r="PO17" i="28"/>
  <c r="PO18" i="28"/>
  <c r="PO19" i="28"/>
  <c r="PO20" i="28"/>
  <c r="PO21" i="28"/>
  <c r="PO22" i="28"/>
  <c r="PO23" i="28"/>
  <c r="PO24" i="28"/>
  <c r="PO25" i="28"/>
  <c r="PO26" i="28"/>
  <c r="PO27" i="28"/>
  <c r="PO28" i="28"/>
  <c r="PO29" i="28"/>
  <c r="PO30" i="28"/>
  <c r="PO31" i="28"/>
  <c r="PO32" i="28"/>
  <c r="PO33" i="28"/>
  <c r="PO34" i="28"/>
  <c r="PS8" i="28"/>
  <c r="PS9" i="28"/>
  <c r="PS10" i="28"/>
  <c r="PS11" i="28"/>
  <c r="PS12" i="28"/>
  <c r="PS13" i="28"/>
  <c r="PS14" i="28"/>
  <c r="PS15" i="28"/>
  <c r="PS16" i="28"/>
  <c r="PS17" i="28"/>
  <c r="PS18" i="28"/>
  <c r="PS19" i="28"/>
  <c r="PS20" i="28"/>
  <c r="PS21" i="28"/>
  <c r="PS22" i="28"/>
  <c r="PS23" i="28"/>
  <c r="PS24" i="28"/>
  <c r="PS25" i="28"/>
  <c r="PS26" i="28"/>
  <c r="PS27" i="28"/>
  <c r="PS28" i="28"/>
  <c r="PS29" i="28"/>
  <c r="PS30" i="28"/>
  <c r="PS31" i="28"/>
  <c r="PS32" i="28"/>
  <c r="PS33" i="28"/>
  <c r="PS34" i="28"/>
  <c r="PW7" i="28"/>
  <c r="PW8" i="28"/>
  <c r="PW9" i="28"/>
  <c r="PW10" i="28"/>
  <c r="PW11" i="28"/>
  <c r="PW12" i="28"/>
  <c r="PW13" i="28"/>
  <c r="PW14" i="28"/>
  <c r="PW15" i="28"/>
  <c r="PW16" i="28"/>
  <c r="PW17" i="28"/>
  <c r="PW18" i="28"/>
  <c r="PW19" i="28"/>
  <c r="PW20" i="28"/>
  <c r="PW21" i="28"/>
  <c r="PW22" i="28"/>
  <c r="PW23" i="28"/>
  <c r="PW24" i="28"/>
  <c r="PW25" i="28"/>
  <c r="PW26" i="28"/>
  <c r="PW27" i="28"/>
  <c r="PW28" i="28"/>
  <c r="PW29" i="28"/>
  <c r="PW30" i="28"/>
  <c r="PW31" i="28"/>
  <c r="PW32" i="28"/>
  <c r="PW33" i="28"/>
  <c r="PW34" i="28"/>
  <c r="QA8" i="28"/>
  <c r="QA9" i="28"/>
  <c r="QA10" i="28"/>
  <c r="QA11" i="28"/>
  <c r="QA12" i="28"/>
  <c r="QA13" i="28"/>
  <c r="QA14" i="28"/>
  <c r="QA15" i="28"/>
  <c r="QA16" i="28"/>
  <c r="QA17" i="28"/>
  <c r="QA18" i="28"/>
  <c r="QA19" i="28"/>
  <c r="QA20" i="28"/>
  <c r="QA21" i="28"/>
  <c r="QA22" i="28"/>
  <c r="QA23" i="28"/>
  <c r="QA24" i="28"/>
  <c r="QA25" i="28"/>
  <c r="QA26" i="28"/>
  <c r="QA27" i="28"/>
  <c r="QA28" i="28"/>
  <c r="QA29" i="28"/>
  <c r="QA30" i="28"/>
  <c r="QA31" i="28"/>
  <c r="QA32" i="28"/>
  <c r="QA33" i="28"/>
  <c r="QA34" i="28"/>
  <c r="QA7" i="28"/>
  <c r="PS7" i="28"/>
  <c r="PO7" i="28"/>
  <c r="PK7" i="28"/>
  <c r="PG7" i="28"/>
  <c r="PC7" i="28"/>
  <c r="VA36" i="28"/>
  <c r="UW36" i="28"/>
  <c r="US36" i="28"/>
  <c r="UO36" i="28"/>
  <c r="UK36" i="28"/>
  <c r="UG36" i="28"/>
  <c r="UC36" i="28"/>
  <c r="TU36" i="28"/>
  <c r="TU50" i="28" s="1"/>
  <c r="TQ36" i="28"/>
  <c r="TQ50" i="28" s="1"/>
  <c r="TM36" i="28"/>
  <c r="TM50" i="28" s="1"/>
  <c r="TI36" i="28"/>
  <c r="TI50" i="28" s="1"/>
  <c r="TE36" i="28"/>
  <c r="TE50" i="28" s="1"/>
  <c r="TA36" i="28"/>
  <c r="TA50" i="28" s="1"/>
  <c r="SW36" i="28"/>
  <c r="SW50" i="28" s="1"/>
  <c r="SO36" i="28"/>
  <c r="SO50" i="28" s="1"/>
  <c r="SK36" i="28"/>
  <c r="SK50" i="28" s="1"/>
  <c r="SG36" i="28"/>
  <c r="SG50" i="28" s="1"/>
  <c r="SC36" i="28"/>
  <c r="SC50" i="28" s="1"/>
  <c r="RY36" i="28"/>
  <c r="RY50" i="28" s="1"/>
  <c r="RU36" i="28"/>
  <c r="RU50" i="28" s="1"/>
  <c r="RQ36" i="28"/>
  <c r="RQ50" i="28" s="1"/>
  <c r="RI36" i="28"/>
  <c r="RE36" i="28"/>
  <c r="RA36" i="28"/>
  <c r="QW36" i="28"/>
  <c r="QS36" i="28"/>
  <c r="QO36" i="28"/>
  <c r="QK36" i="28"/>
  <c r="QC36" i="28"/>
  <c r="PY36" i="28"/>
  <c r="PU36" i="28"/>
  <c r="PQ36" i="28"/>
  <c r="PM36" i="28"/>
  <c r="PI36" i="28"/>
  <c r="PE36" i="28"/>
  <c r="VE35" i="28"/>
  <c r="VF35" i="28" s="1"/>
  <c r="HT34" i="25"/>
  <c r="HU34" i="25" s="1"/>
  <c r="TY35" i="28"/>
  <c r="HO34" i="25"/>
  <c r="HP34" i="25" s="1"/>
  <c r="SS35" i="28"/>
  <c r="HJ34" i="25"/>
  <c r="HK34" i="25" s="1"/>
  <c r="RM35" i="28"/>
  <c r="HE34" i="25"/>
  <c r="HF34" i="25" s="1"/>
  <c r="QN35" i="28"/>
  <c r="QJ35" i="28"/>
  <c r="QG35" i="28"/>
  <c r="GZ34" i="25"/>
  <c r="HA34" i="25" s="1"/>
  <c r="VE34" i="28"/>
  <c r="HT33" i="25"/>
  <c r="VB34" i="28"/>
  <c r="UX34" i="28"/>
  <c r="UT34" i="28"/>
  <c r="UP34" i="28"/>
  <c r="UL34" i="28"/>
  <c r="UH34" i="28"/>
  <c r="TY34" i="28"/>
  <c r="HO33" i="25"/>
  <c r="TV34" i="28"/>
  <c r="TR34" i="28"/>
  <c r="TN34" i="28"/>
  <c r="TJ34" i="28"/>
  <c r="TF34" i="28"/>
  <c r="TB34" i="28"/>
  <c r="SS34" i="28"/>
  <c r="HJ33" i="25"/>
  <c r="SP34" i="28"/>
  <c r="SL34" i="28"/>
  <c r="SH34" i="28"/>
  <c r="SD34" i="28"/>
  <c r="RZ34" i="28"/>
  <c r="RV34" i="28"/>
  <c r="RM34" i="28"/>
  <c r="HE33" i="25"/>
  <c r="RJ34" i="28"/>
  <c r="RF34" i="28"/>
  <c r="RB34" i="28"/>
  <c r="QX34" i="28"/>
  <c r="QT34" i="28"/>
  <c r="QN34" i="28"/>
  <c r="QP34" i="28"/>
  <c r="QJ34" i="28"/>
  <c r="QG34" i="28"/>
  <c r="GZ33" i="25"/>
  <c r="QD34" i="28"/>
  <c r="PZ34" i="28"/>
  <c r="PV34" i="28"/>
  <c r="PR34" i="28"/>
  <c r="PN34" i="28"/>
  <c r="PJ34" i="28"/>
  <c r="VE33" i="28"/>
  <c r="HT32" i="25"/>
  <c r="VB33" i="28"/>
  <c r="UX33" i="28"/>
  <c r="UT33" i="28"/>
  <c r="UP33" i="28"/>
  <c r="UL33" i="28"/>
  <c r="UH33" i="28"/>
  <c r="TY33" i="28"/>
  <c r="HO32" i="25"/>
  <c r="TV33" i="28"/>
  <c r="TR33" i="28"/>
  <c r="TN33" i="28"/>
  <c r="TJ33" i="28"/>
  <c r="TF33" i="28"/>
  <c r="TB33" i="28"/>
  <c r="SS33" i="28"/>
  <c r="HJ32" i="25"/>
  <c r="SP33" i="28"/>
  <c r="SL33" i="28"/>
  <c r="SH33" i="28"/>
  <c r="SD33" i="28"/>
  <c r="RZ33" i="28"/>
  <c r="RV33" i="28"/>
  <c r="RM33" i="28"/>
  <c r="HE32" i="25"/>
  <c r="RJ33" i="28"/>
  <c r="RF33" i="28"/>
  <c r="RB33" i="28"/>
  <c r="QX33" i="28"/>
  <c r="QT33" i="28"/>
  <c r="QN33" i="28"/>
  <c r="QP33" i="28"/>
  <c r="QJ33" i="28"/>
  <c r="QG33" i="28"/>
  <c r="GZ32" i="25"/>
  <c r="QD33" i="28"/>
  <c r="PZ33" i="28"/>
  <c r="PV33" i="28"/>
  <c r="PR33" i="28"/>
  <c r="PN33" i="28"/>
  <c r="PJ33" i="28"/>
  <c r="VE32" i="28"/>
  <c r="HT31" i="25"/>
  <c r="VB32" i="28"/>
  <c r="UX32" i="28"/>
  <c r="UT32" i="28"/>
  <c r="UP32" i="28"/>
  <c r="UL32" i="28"/>
  <c r="UH32" i="28"/>
  <c r="TY32" i="28"/>
  <c r="HO31" i="25"/>
  <c r="TV32" i="28"/>
  <c r="TR32" i="28"/>
  <c r="TN32" i="28"/>
  <c r="TJ32" i="28"/>
  <c r="TF32" i="28"/>
  <c r="TB32" i="28"/>
  <c r="SS32" i="28"/>
  <c r="HJ31" i="25"/>
  <c r="SP32" i="28"/>
  <c r="SL32" i="28"/>
  <c r="SH32" i="28"/>
  <c r="SD32" i="28"/>
  <c r="RZ32" i="28"/>
  <c r="RV32" i="28"/>
  <c r="RM32" i="28"/>
  <c r="HE31" i="25"/>
  <c r="RJ32" i="28"/>
  <c r="RF32" i="28"/>
  <c r="RB32" i="28"/>
  <c r="QX32" i="28"/>
  <c r="QT32" i="28"/>
  <c r="QN32" i="28"/>
  <c r="QP32" i="28"/>
  <c r="QJ32" i="28"/>
  <c r="QG32" i="28"/>
  <c r="GZ31" i="25"/>
  <c r="QD32" i="28"/>
  <c r="PZ32" i="28"/>
  <c r="PV32" i="28"/>
  <c r="PR32" i="28"/>
  <c r="PN32" i="28"/>
  <c r="PJ32" i="28"/>
  <c r="VE31" i="28"/>
  <c r="VE44" i="28" s="1"/>
  <c r="HT30" i="25"/>
  <c r="VB31" i="28"/>
  <c r="UX31" i="28"/>
  <c r="UT31" i="28"/>
  <c r="UP31" i="28"/>
  <c r="UL31" i="28"/>
  <c r="UH31" i="28"/>
  <c r="TY31" i="28"/>
  <c r="TY44" i="28" s="1"/>
  <c r="HO30" i="25"/>
  <c r="TV31" i="28"/>
  <c r="TR31" i="28"/>
  <c r="TN31" i="28"/>
  <c r="TJ31" i="28"/>
  <c r="TF31" i="28"/>
  <c r="TB31" i="28"/>
  <c r="SS31" i="28"/>
  <c r="SS44" i="28" s="1"/>
  <c r="HJ30" i="25"/>
  <c r="SP31" i="28"/>
  <c r="SL31" i="28"/>
  <c r="SH31" i="28"/>
  <c r="SD31" i="28"/>
  <c r="RZ31" i="28"/>
  <c r="RV31" i="28"/>
  <c r="RM31" i="28"/>
  <c r="RM44" i="28" s="1"/>
  <c r="HE30" i="25"/>
  <c r="RJ31" i="28"/>
  <c r="RF31" i="28"/>
  <c r="RB31" i="28"/>
  <c r="QX31" i="28"/>
  <c r="QT31" i="28"/>
  <c r="QN31" i="28"/>
  <c r="QP31" i="28"/>
  <c r="QJ31" i="28"/>
  <c r="QG31" i="28"/>
  <c r="QG44" i="28" s="1"/>
  <c r="GZ30" i="25"/>
  <c r="VE30" i="28"/>
  <c r="HT29" i="25"/>
  <c r="VB30" i="28"/>
  <c r="UX30" i="28"/>
  <c r="UT30" i="28"/>
  <c r="UP30" i="28"/>
  <c r="UL30" i="28"/>
  <c r="UH30" i="28"/>
  <c r="TY30" i="28"/>
  <c r="HO29" i="25"/>
  <c r="TV30" i="28"/>
  <c r="TR30" i="28"/>
  <c r="TN30" i="28"/>
  <c r="TJ30" i="28"/>
  <c r="TF30" i="28"/>
  <c r="TB30" i="28"/>
  <c r="SS30" i="28"/>
  <c r="HJ29" i="25"/>
  <c r="SP30" i="28"/>
  <c r="SL30" i="28"/>
  <c r="SH30" i="28"/>
  <c r="SD30" i="28"/>
  <c r="RZ30" i="28"/>
  <c r="RV30" i="28"/>
  <c r="RM30" i="28"/>
  <c r="HE29" i="25"/>
  <c r="RJ30" i="28"/>
  <c r="RF30" i="28"/>
  <c r="RB30" i="28"/>
  <c r="QX30" i="28"/>
  <c r="QT30" i="28"/>
  <c r="QN30" i="28"/>
  <c r="QP30" i="28"/>
  <c r="QJ30" i="28"/>
  <c r="QG30" i="28"/>
  <c r="GZ29" i="25"/>
  <c r="HA29" i="25" s="1"/>
  <c r="QD30" i="28"/>
  <c r="PZ30" i="28"/>
  <c r="PV30" i="28"/>
  <c r="PR30" i="28"/>
  <c r="PN30" i="28"/>
  <c r="PJ30" i="28"/>
  <c r="VE29" i="28"/>
  <c r="HT28" i="25"/>
  <c r="VB29" i="28"/>
  <c r="UX29" i="28"/>
  <c r="UT29" i="28"/>
  <c r="UP29" i="28"/>
  <c r="UL29" i="28"/>
  <c r="UH29" i="28"/>
  <c r="TY29" i="28"/>
  <c r="HO28" i="25"/>
  <c r="TV29" i="28"/>
  <c r="TR29" i="28"/>
  <c r="TN29" i="28"/>
  <c r="TJ29" i="28"/>
  <c r="TF29" i="28"/>
  <c r="TB29" i="28"/>
  <c r="SS29" i="28"/>
  <c r="HJ28" i="25"/>
  <c r="SP29" i="28"/>
  <c r="SL29" i="28"/>
  <c r="SH29" i="28"/>
  <c r="SD29" i="28"/>
  <c r="RZ29" i="28"/>
  <c r="RV29" i="28"/>
  <c r="RM29" i="28"/>
  <c r="HE28" i="25"/>
  <c r="RJ29" i="28"/>
  <c r="RF29" i="28"/>
  <c r="RB29" i="28"/>
  <c r="QX29" i="28"/>
  <c r="QT29" i="28"/>
  <c r="QN29" i="28"/>
  <c r="QP29" i="28"/>
  <c r="QJ29" i="28"/>
  <c r="QG29" i="28"/>
  <c r="GZ28" i="25"/>
  <c r="QD29" i="28"/>
  <c r="PZ29" i="28"/>
  <c r="PV29" i="28"/>
  <c r="PR29" i="28"/>
  <c r="PN29" i="28"/>
  <c r="PJ29" i="28"/>
  <c r="VE28" i="28"/>
  <c r="HT27" i="25"/>
  <c r="VB28" i="28"/>
  <c r="UX28" i="28"/>
  <c r="UT28" i="28"/>
  <c r="UP28" i="28"/>
  <c r="UL28" i="28"/>
  <c r="UH28" i="28"/>
  <c r="TY28" i="28"/>
  <c r="HO27" i="25"/>
  <c r="TV28" i="28"/>
  <c r="TR28" i="28"/>
  <c r="TN28" i="28"/>
  <c r="TJ28" i="28"/>
  <c r="TF28" i="28"/>
  <c r="TB28" i="28"/>
  <c r="SS28" i="28"/>
  <c r="HJ27" i="25"/>
  <c r="SP28" i="28"/>
  <c r="SL28" i="28"/>
  <c r="SH28" i="28"/>
  <c r="SD28" i="28"/>
  <c r="RZ28" i="28"/>
  <c r="RV28" i="28"/>
  <c r="RM28" i="28"/>
  <c r="HE27" i="25"/>
  <c r="RJ28" i="28"/>
  <c r="RF28" i="28"/>
  <c r="RB28" i="28"/>
  <c r="QX28" i="28"/>
  <c r="QT28" i="28"/>
  <c r="QN28" i="28"/>
  <c r="QP28" i="28"/>
  <c r="QJ28" i="28"/>
  <c r="QG28" i="28"/>
  <c r="GZ27" i="25"/>
  <c r="QD28" i="28"/>
  <c r="PZ28" i="28"/>
  <c r="PV28" i="28"/>
  <c r="PR28" i="28"/>
  <c r="PN28" i="28"/>
  <c r="PJ28" i="28"/>
  <c r="VE27" i="28"/>
  <c r="HT26" i="25"/>
  <c r="VB27" i="28"/>
  <c r="UX27" i="28"/>
  <c r="UT27" i="28"/>
  <c r="UP27" i="28"/>
  <c r="UL27" i="28"/>
  <c r="UH27" i="28"/>
  <c r="TY27" i="28"/>
  <c r="HO26" i="25"/>
  <c r="TV27" i="28"/>
  <c r="TR27" i="28"/>
  <c r="TN27" i="28"/>
  <c r="TJ27" i="28"/>
  <c r="TF27" i="28"/>
  <c r="TB27" i="28"/>
  <c r="SS27" i="28"/>
  <c r="HJ26" i="25"/>
  <c r="SP27" i="28"/>
  <c r="SL27" i="28"/>
  <c r="SH27" i="28"/>
  <c r="SD27" i="28"/>
  <c r="RZ27" i="28"/>
  <c r="RV27" i="28"/>
  <c r="RM27" i="28"/>
  <c r="HE26" i="25"/>
  <c r="RJ27" i="28"/>
  <c r="RF27" i="28"/>
  <c r="RB27" i="28"/>
  <c r="QX27" i="28"/>
  <c r="QT27" i="28"/>
  <c r="QN27" i="28"/>
  <c r="QP27" i="28"/>
  <c r="QJ27" i="28"/>
  <c r="QG27" i="28"/>
  <c r="GZ26" i="25"/>
  <c r="QD27" i="28"/>
  <c r="PZ27" i="28"/>
  <c r="PV27" i="28"/>
  <c r="PR27" i="28"/>
  <c r="PN27" i="28"/>
  <c r="PJ27" i="28"/>
  <c r="VE26" i="28"/>
  <c r="VE43" i="28" s="1"/>
  <c r="HT25" i="25"/>
  <c r="VB26" i="28"/>
  <c r="UX26" i="28"/>
  <c r="UT26" i="28"/>
  <c r="UP26" i="28"/>
  <c r="UL26" i="28"/>
  <c r="UH26" i="28"/>
  <c r="TY26" i="28"/>
  <c r="TY43" i="28" s="1"/>
  <c r="HO25" i="25"/>
  <c r="TV26" i="28"/>
  <c r="TR26" i="28"/>
  <c r="TN26" i="28"/>
  <c r="TJ26" i="28"/>
  <c r="TF26" i="28"/>
  <c r="TB26" i="28"/>
  <c r="SS26" i="28"/>
  <c r="SS43" i="28" s="1"/>
  <c r="HJ25" i="25"/>
  <c r="SP26" i="28"/>
  <c r="SL26" i="28"/>
  <c r="SH26" i="28"/>
  <c r="SD26" i="28"/>
  <c r="RZ26" i="28"/>
  <c r="RV26" i="28"/>
  <c r="RM26" i="28"/>
  <c r="RM43" i="28" s="1"/>
  <c r="HE25" i="25"/>
  <c r="RJ26" i="28"/>
  <c r="RF26" i="28"/>
  <c r="RB26" i="28"/>
  <c r="QX26" i="28"/>
  <c r="QT26" i="28"/>
  <c r="QN26" i="28"/>
  <c r="QP26" i="28"/>
  <c r="QJ26" i="28"/>
  <c r="QG26" i="28"/>
  <c r="QG43" i="28" s="1"/>
  <c r="GZ25" i="25"/>
  <c r="VE25" i="28"/>
  <c r="HT24" i="25"/>
  <c r="VB25" i="28"/>
  <c r="UX25" i="28"/>
  <c r="UT25" i="28"/>
  <c r="UP25" i="28"/>
  <c r="UL25" i="28"/>
  <c r="UH25" i="28"/>
  <c r="TY25" i="28"/>
  <c r="HO24" i="25"/>
  <c r="TV25" i="28"/>
  <c r="TR25" i="28"/>
  <c r="TN25" i="28"/>
  <c r="TJ25" i="28"/>
  <c r="TF25" i="28"/>
  <c r="TB25" i="28"/>
  <c r="SS25" i="28"/>
  <c r="HJ24" i="25"/>
  <c r="SP25" i="28"/>
  <c r="SL25" i="28"/>
  <c r="SH25" i="28"/>
  <c r="SD25" i="28"/>
  <c r="RZ25" i="28"/>
  <c r="RV25" i="28"/>
  <c r="RM25" i="28"/>
  <c r="HE24" i="25"/>
  <c r="RJ25" i="28"/>
  <c r="RF25" i="28"/>
  <c r="RB25" i="28"/>
  <c r="QX25" i="28"/>
  <c r="QT25" i="28"/>
  <c r="QN25" i="28"/>
  <c r="QP25" i="28"/>
  <c r="QJ25" i="28"/>
  <c r="QG25" i="28"/>
  <c r="GZ24" i="25"/>
  <c r="QD25" i="28"/>
  <c r="PZ25" i="28"/>
  <c r="PV25" i="28"/>
  <c r="PR25" i="28"/>
  <c r="PN25" i="28"/>
  <c r="PJ25" i="28"/>
  <c r="VE24" i="28"/>
  <c r="HT23" i="25"/>
  <c r="VB24" i="28"/>
  <c r="UX24" i="28"/>
  <c r="UT24" i="28"/>
  <c r="UP24" i="28"/>
  <c r="UL24" i="28"/>
  <c r="UH24" i="28"/>
  <c r="TY24" i="28"/>
  <c r="HO23" i="25"/>
  <c r="TV24" i="28"/>
  <c r="TR24" i="28"/>
  <c r="TN24" i="28"/>
  <c r="TJ24" i="28"/>
  <c r="TF24" i="28"/>
  <c r="TB24" i="28"/>
  <c r="SS24" i="28"/>
  <c r="HJ23" i="25"/>
  <c r="SP24" i="28"/>
  <c r="SL24" i="28"/>
  <c r="SH24" i="28"/>
  <c r="SD24" i="28"/>
  <c r="RZ24" i="28"/>
  <c r="RV24" i="28"/>
  <c r="RM24" i="28"/>
  <c r="HE23" i="25"/>
  <c r="RJ24" i="28"/>
  <c r="RF24" i="28"/>
  <c r="RB24" i="28"/>
  <c r="QX24" i="28"/>
  <c r="QT24" i="28"/>
  <c r="QN24" i="28"/>
  <c r="QP24" i="28"/>
  <c r="QJ24" i="28"/>
  <c r="QG24" i="28"/>
  <c r="GZ23" i="25"/>
  <c r="QD24" i="28"/>
  <c r="PZ24" i="28"/>
  <c r="PV24" i="28"/>
  <c r="PR24" i="28"/>
  <c r="PN24" i="28"/>
  <c r="PJ24" i="28"/>
  <c r="VE23" i="28"/>
  <c r="HT22" i="25"/>
  <c r="VB23" i="28"/>
  <c r="UX23" i="28"/>
  <c r="UT23" i="28"/>
  <c r="UP23" i="28"/>
  <c r="UL23" i="28"/>
  <c r="UH23" i="28"/>
  <c r="TY23" i="28"/>
  <c r="HO22" i="25"/>
  <c r="TV23" i="28"/>
  <c r="TR23" i="28"/>
  <c r="TN23" i="28"/>
  <c r="TJ23" i="28"/>
  <c r="TF23" i="28"/>
  <c r="TB23" i="28"/>
  <c r="SS23" i="28"/>
  <c r="HJ22" i="25"/>
  <c r="SP23" i="28"/>
  <c r="SL23" i="28"/>
  <c r="SH23" i="28"/>
  <c r="SD23" i="28"/>
  <c r="RZ23" i="28"/>
  <c r="RV23" i="28"/>
  <c r="RM23" i="28"/>
  <c r="HE22" i="25"/>
  <c r="RJ23" i="28"/>
  <c r="RF23" i="28"/>
  <c r="RB23" i="28"/>
  <c r="QX23" i="28"/>
  <c r="QT23" i="28"/>
  <c r="QN23" i="28"/>
  <c r="QP23" i="28"/>
  <c r="QJ23" i="28"/>
  <c r="QG23" i="28"/>
  <c r="GZ22" i="25"/>
  <c r="QD23" i="28"/>
  <c r="PZ23" i="28"/>
  <c r="PV23" i="28"/>
  <c r="PR23" i="28"/>
  <c r="PN23" i="28"/>
  <c r="PJ23" i="28"/>
  <c r="VE22" i="28"/>
  <c r="HT21" i="25"/>
  <c r="VB22" i="28"/>
  <c r="UX22" i="28"/>
  <c r="UT22" i="28"/>
  <c r="UP22" i="28"/>
  <c r="UL22" i="28"/>
  <c r="UH22" i="28"/>
  <c r="TY22" i="28"/>
  <c r="HO21" i="25"/>
  <c r="TV22" i="28"/>
  <c r="TR22" i="28"/>
  <c r="TN22" i="28"/>
  <c r="TJ22" i="28"/>
  <c r="TF22" i="28"/>
  <c r="TB22" i="28"/>
  <c r="SS22" i="28"/>
  <c r="HJ21" i="25"/>
  <c r="SP22" i="28"/>
  <c r="SL22" i="28"/>
  <c r="SH22" i="28"/>
  <c r="SD22" i="28"/>
  <c r="RZ22" i="28"/>
  <c r="RV22" i="28"/>
  <c r="RM22" i="28"/>
  <c r="HE21" i="25"/>
  <c r="RJ22" i="28"/>
  <c r="RF22" i="28"/>
  <c r="RB22" i="28"/>
  <c r="QX22" i="28"/>
  <c r="QT22" i="28"/>
  <c r="QN22" i="28"/>
  <c r="QP22" i="28"/>
  <c r="QJ22" i="28"/>
  <c r="QG22" i="28"/>
  <c r="GZ21" i="25"/>
  <c r="QD22" i="28"/>
  <c r="PZ22" i="28"/>
  <c r="PV22" i="28"/>
  <c r="PR22" i="28"/>
  <c r="PN22" i="28"/>
  <c r="PJ22" i="28"/>
  <c r="VE21" i="28"/>
  <c r="VF21" i="28" s="1"/>
  <c r="HT20" i="25"/>
  <c r="VB21" i="28"/>
  <c r="UX21" i="28"/>
  <c r="UT21" i="28"/>
  <c r="UP21" i="28"/>
  <c r="UL21" i="28"/>
  <c r="UH21" i="28"/>
  <c r="TY21" i="28"/>
  <c r="HO20" i="25"/>
  <c r="TV21" i="28"/>
  <c r="TR21" i="28"/>
  <c r="TN21" i="28"/>
  <c r="TJ21" i="28"/>
  <c r="TF21" i="28"/>
  <c r="TB21" i="28"/>
  <c r="SS21" i="28"/>
  <c r="HJ20" i="25"/>
  <c r="SP21" i="28"/>
  <c r="SL21" i="28"/>
  <c r="SH21" i="28"/>
  <c r="SD21" i="28"/>
  <c r="RZ21" i="28"/>
  <c r="RV21" i="28"/>
  <c r="RM21" i="28"/>
  <c r="HE20" i="25"/>
  <c r="RJ21" i="28"/>
  <c r="RF21" i="28"/>
  <c r="RB21" i="28"/>
  <c r="QX21" i="28"/>
  <c r="QT21" i="28"/>
  <c r="QN21" i="28"/>
  <c r="QP21" i="28"/>
  <c r="QJ21" i="28"/>
  <c r="QG21" i="28"/>
  <c r="GZ20" i="25"/>
  <c r="QD21" i="28"/>
  <c r="PZ21" i="28"/>
  <c r="PV21" i="28"/>
  <c r="PR21" i="28"/>
  <c r="PN21" i="28"/>
  <c r="PJ21" i="28"/>
  <c r="VE20" i="28"/>
  <c r="HT19" i="25"/>
  <c r="VB20" i="28"/>
  <c r="UX20" i="28"/>
  <c r="UT20" i="28"/>
  <c r="UP20" i="28"/>
  <c r="UL20" i="28"/>
  <c r="UH20" i="28"/>
  <c r="TY20" i="28"/>
  <c r="HO19" i="25"/>
  <c r="TV20" i="28"/>
  <c r="TR20" i="28"/>
  <c r="TN20" i="28"/>
  <c r="TJ20" i="28"/>
  <c r="TF20" i="28"/>
  <c r="TB20" i="28"/>
  <c r="SS20" i="28"/>
  <c r="HJ19" i="25"/>
  <c r="SP20" i="28"/>
  <c r="SL20" i="28"/>
  <c r="SH20" i="28"/>
  <c r="SD20" i="28"/>
  <c r="RZ20" i="28"/>
  <c r="RV20" i="28"/>
  <c r="RM20" i="28"/>
  <c r="HE19" i="25"/>
  <c r="RJ20" i="28"/>
  <c r="RF20" i="28"/>
  <c r="RB20" i="28"/>
  <c r="QX20" i="28"/>
  <c r="QT20" i="28"/>
  <c r="QN20" i="28"/>
  <c r="QP20" i="28"/>
  <c r="QJ20" i="28"/>
  <c r="QG20" i="28"/>
  <c r="GZ19" i="25"/>
  <c r="QD20" i="28"/>
  <c r="PZ20" i="28"/>
  <c r="PV20" i="28"/>
  <c r="PR20" i="28"/>
  <c r="PN20" i="28"/>
  <c r="PJ20" i="28"/>
  <c r="VE19" i="28"/>
  <c r="HT18" i="25"/>
  <c r="VB19" i="28"/>
  <c r="UX19" i="28"/>
  <c r="UT19" i="28"/>
  <c r="UP19" i="28"/>
  <c r="UL19" i="28"/>
  <c r="UH19" i="28"/>
  <c r="TY19" i="28"/>
  <c r="HO18" i="25"/>
  <c r="TV19" i="28"/>
  <c r="TR19" i="28"/>
  <c r="TN19" i="28"/>
  <c r="TJ19" i="28"/>
  <c r="TF19" i="28"/>
  <c r="TB19" i="28"/>
  <c r="SS19" i="28"/>
  <c r="HJ18" i="25"/>
  <c r="SP19" i="28"/>
  <c r="SL19" i="28"/>
  <c r="SH19" i="28"/>
  <c r="SD19" i="28"/>
  <c r="RZ19" i="28"/>
  <c r="RV19" i="28"/>
  <c r="RM19" i="28"/>
  <c r="HE18" i="25"/>
  <c r="RJ19" i="28"/>
  <c r="RF19" i="28"/>
  <c r="RB19" i="28"/>
  <c r="QX19" i="28"/>
  <c r="QT19" i="28"/>
  <c r="QN19" i="28"/>
  <c r="QP19" i="28"/>
  <c r="QJ19" i="28"/>
  <c r="QG19" i="28"/>
  <c r="GZ18" i="25"/>
  <c r="QD19" i="28"/>
  <c r="PZ19" i="28"/>
  <c r="PV19" i="28"/>
  <c r="PR19" i="28"/>
  <c r="PN19" i="28"/>
  <c r="PJ19" i="28"/>
  <c r="VE18" i="28"/>
  <c r="HT17" i="25"/>
  <c r="VB18" i="28"/>
  <c r="UX18" i="28"/>
  <c r="UT18" i="28"/>
  <c r="UP18" i="28"/>
  <c r="UL18" i="28"/>
  <c r="UH18" i="28"/>
  <c r="TY18" i="28"/>
  <c r="HO17" i="25"/>
  <c r="TV18" i="28"/>
  <c r="TR18" i="28"/>
  <c r="TN18" i="28"/>
  <c r="TJ18" i="28"/>
  <c r="TF18" i="28"/>
  <c r="TB18" i="28"/>
  <c r="SS18" i="28"/>
  <c r="HJ17" i="25"/>
  <c r="SP18" i="28"/>
  <c r="SL18" i="28"/>
  <c r="SH18" i="28"/>
  <c r="SD18" i="28"/>
  <c r="RZ18" i="28"/>
  <c r="RV18" i="28"/>
  <c r="RM18" i="28"/>
  <c r="HE17" i="25"/>
  <c r="RJ18" i="28"/>
  <c r="RF18" i="28"/>
  <c r="RB18" i="28"/>
  <c r="QX18" i="28"/>
  <c r="QT18" i="28"/>
  <c r="QN18" i="28"/>
  <c r="QP18" i="28"/>
  <c r="QJ18" i="28"/>
  <c r="QG18" i="28"/>
  <c r="GZ17" i="25"/>
  <c r="QD18" i="28"/>
  <c r="PZ18" i="28"/>
  <c r="PV18" i="28"/>
  <c r="PR18" i="28"/>
  <c r="PN18" i="28"/>
  <c r="PJ18" i="28"/>
  <c r="VE17" i="28"/>
  <c r="HT16" i="25"/>
  <c r="VB17" i="28"/>
  <c r="UX17" i="28"/>
  <c r="UT17" i="28"/>
  <c r="UP17" i="28"/>
  <c r="UL17" i="28"/>
  <c r="UH17" i="28"/>
  <c r="TY17" i="28"/>
  <c r="HO16" i="25"/>
  <c r="TV17" i="28"/>
  <c r="TR17" i="28"/>
  <c r="TN17" i="28"/>
  <c r="TJ17" i="28"/>
  <c r="TF17" i="28"/>
  <c r="TB17" i="28"/>
  <c r="SS17" i="28"/>
  <c r="HJ16" i="25"/>
  <c r="SP17" i="28"/>
  <c r="SL17" i="28"/>
  <c r="SH17" i="28"/>
  <c r="SD17" i="28"/>
  <c r="RZ17" i="28"/>
  <c r="RV17" i="28"/>
  <c r="RM17" i="28"/>
  <c r="HE16" i="25"/>
  <c r="RJ17" i="28"/>
  <c r="RF17" i="28"/>
  <c r="RB17" i="28"/>
  <c r="QX17" i="28"/>
  <c r="QT17" i="28"/>
  <c r="QN17" i="28"/>
  <c r="QP17" i="28"/>
  <c r="QJ17" i="28"/>
  <c r="QG17" i="28"/>
  <c r="GZ16" i="25"/>
  <c r="QD17" i="28"/>
  <c r="PZ17" i="28"/>
  <c r="PV17" i="28"/>
  <c r="PR17" i="28"/>
  <c r="PN17" i="28"/>
  <c r="PJ17" i="28"/>
  <c r="VE16" i="28"/>
  <c r="HT15" i="25"/>
  <c r="VB16" i="28"/>
  <c r="UX16" i="28"/>
  <c r="UT16" i="28"/>
  <c r="UP16" i="28"/>
  <c r="UL16" i="28"/>
  <c r="UH16" i="28"/>
  <c r="TY16" i="28"/>
  <c r="HO15" i="25"/>
  <c r="TV16" i="28"/>
  <c r="TR16" i="28"/>
  <c r="TN16" i="28"/>
  <c r="TJ16" i="28"/>
  <c r="TF16" i="28"/>
  <c r="TB16" i="28"/>
  <c r="SS16" i="28"/>
  <c r="HJ15" i="25"/>
  <c r="SP16" i="28"/>
  <c r="SL16" i="28"/>
  <c r="SH16" i="28"/>
  <c r="SD16" i="28"/>
  <c r="RZ16" i="28"/>
  <c r="RV16" i="28"/>
  <c r="RM16" i="28"/>
  <c r="HE15" i="25"/>
  <c r="RJ16" i="28"/>
  <c r="RF16" i="28"/>
  <c r="RB16" i="28"/>
  <c r="QX16" i="28"/>
  <c r="QT16" i="28"/>
  <c r="QN16" i="28"/>
  <c r="QP16" i="28"/>
  <c r="QJ16" i="28"/>
  <c r="QG16" i="28"/>
  <c r="GZ15" i="25"/>
  <c r="QD16" i="28"/>
  <c r="PZ16" i="28"/>
  <c r="PV16" i="28"/>
  <c r="PR16" i="28"/>
  <c r="PN16" i="28"/>
  <c r="PJ16" i="28"/>
  <c r="VE15" i="28"/>
  <c r="HT14" i="25"/>
  <c r="VB15" i="28"/>
  <c r="UX15" i="28"/>
  <c r="UT15" i="28"/>
  <c r="UP15" i="28"/>
  <c r="UL15" i="28"/>
  <c r="UH15" i="28"/>
  <c r="TY15" i="28"/>
  <c r="HO14" i="25"/>
  <c r="TV15" i="28"/>
  <c r="TR15" i="28"/>
  <c r="TN15" i="28"/>
  <c r="TJ15" i="28"/>
  <c r="TF15" i="28"/>
  <c r="TB15" i="28"/>
  <c r="SS15" i="28"/>
  <c r="HJ14" i="25"/>
  <c r="SP15" i="28"/>
  <c r="SL15" i="28"/>
  <c r="SH15" i="28"/>
  <c r="SD15" i="28"/>
  <c r="RZ15" i="28"/>
  <c r="RV15" i="28"/>
  <c r="RM15" i="28"/>
  <c r="HE14" i="25"/>
  <c r="RJ15" i="28"/>
  <c r="RF15" i="28"/>
  <c r="RB15" i="28"/>
  <c r="QX15" i="28"/>
  <c r="QT15" i="28"/>
  <c r="QN15" i="28"/>
  <c r="QP15" i="28"/>
  <c r="QJ15" i="28"/>
  <c r="QG15" i="28"/>
  <c r="GZ14" i="25"/>
  <c r="QD15" i="28"/>
  <c r="PZ15" i="28"/>
  <c r="PV15" i="28"/>
  <c r="PR15" i="28"/>
  <c r="PN15" i="28"/>
  <c r="PJ15" i="28"/>
  <c r="VE14" i="28"/>
  <c r="HT13" i="25"/>
  <c r="VB14" i="28"/>
  <c r="UX14" i="28"/>
  <c r="UT14" i="28"/>
  <c r="UP14" i="28"/>
  <c r="UL14" i="28"/>
  <c r="UH14" i="28"/>
  <c r="TY14" i="28"/>
  <c r="HO13" i="25"/>
  <c r="TV14" i="28"/>
  <c r="TR14" i="28"/>
  <c r="TN14" i="28"/>
  <c r="TJ14" i="28"/>
  <c r="TF14" i="28"/>
  <c r="TB14" i="28"/>
  <c r="SS14" i="28"/>
  <c r="HJ13" i="25"/>
  <c r="SP14" i="28"/>
  <c r="SL14" i="28"/>
  <c r="SH14" i="28"/>
  <c r="SD14" i="28"/>
  <c r="RZ14" i="28"/>
  <c r="RV14" i="28"/>
  <c r="RM14" i="28"/>
  <c r="HE13" i="25"/>
  <c r="RJ14" i="28"/>
  <c r="RF14" i="28"/>
  <c r="RB14" i="28"/>
  <c r="QX14" i="28"/>
  <c r="QT14" i="28"/>
  <c r="QN14" i="28"/>
  <c r="QP14" i="28"/>
  <c r="QJ14" i="28"/>
  <c r="QG14" i="28"/>
  <c r="GZ13" i="25"/>
  <c r="QD14" i="28"/>
  <c r="PZ14" i="28"/>
  <c r="PV14" i="28"/>
  <c r="PR14" i="28"/>
  <c r="PN14" i="28"/>
  <c r="PJ14" i="28"/>
  <c r="VE13" i="28"/>
  <c r="HT12" i="25"/>
  <c r="VB13" i="28"/>
  <c r="UX13" i="28"/>
  <c r="UT13" i="28"/>
  <c r="UP13" i="28"/>
  <c r="UL13" i="28"/>
  <c r="UH13" i="28"/>
  <c r="TY13" i="28"/>
  <c r="HO12" i="25"/>
  <c r="TV13" i="28"/>
  <c r="TR13" i="28"/>
  <c r="TN13" i="28"/>
  <c r="TJ13" i="28"/>
  <c r="TF13" i="28"/>
  <c r="TB13" i="28"/>
  <c r="SS13" i="28"/>
  <c r="HJ12" i="25"/>
  <c r="SP13" i="28"/>
  <c r="SL13" i="28"/>
  <c r="SH13" i="28"/>
  <c r="SD13" i="28"/>
  <c r="RZ13" i="28"/>
  <c r="RV13" i="28"/>
  <c r="RM13" i="28"/>
  <c r="HE12" i="25"/>
  <c r="RJ13" i="28"/>
  <c r="RF13" i="28"/>
  <c r="RB13" i="28"/>
  <c r="QX13" i="28"/>
  <c r="QT13" i="28"/>
  <c r="QN13" i="28"/>
  <c r="QP13" i="28"/>
  <c r="QJ13" i="28"/>
  <c r="QG13" i="28"/>
  <c r="GZ12" i="25"/>
  <c r="QD13" i="28"/>
  <c r="PZ13" i="28"/>
  <c r="PV13" i="28"/>
  <c r="PR13" i="28"/>
  <c r="PN13" i="28"/>
  <c r="PJ13" i="28"/>
  <c r="VE12" i="28"/>
  <c r="VE39" i="28" s="1"/>
  <c r="HT11" i="25"/>
  <c r="VB12" i="28"/>
  <c r="UX12" i="28"/>
  <c r="UT12" i="28"/>
  <c r="UP12" i="28"/>
  <c r="UL12" i="28"/>
  <c r="UH12" i="28"/>
  <c r="TY12" i="28"/>
  <c r="TY39" i="28" s="1"/>
  <c r="HO11" i="25"/>
  <c r="TV12" i="28"/>
  <c r="TR12" i="28"/>
  <c r="TN12" i="28"/>
  <c r="TJ12" i="28"/>
  <c r="TF12" i="28"/>
  <c r="TB12" i="28"/>
  <c r="SS12" i="28"/>
  <c r="SS40" i="28" s="1"/>
  <c r="HJ11" i="25"/>
  <c r="SP12" i="28"/>
  <c r="SL12" i="28"/>
  <c r="SH12" i="28"/>
  <c r="SD12" i="28"/>
  <c r="RZ12" i="28"/>
  <c r="RV12" i="28"/>
  <c r="RM12" i="28"/>
  <c r="RM40" i="28" s="1"/>
  <c r="HE11" i="25"/>
  <c r="RJ12" i="28"/>
  <c r="RF12" i="28"/>
  <c r="RB12" i="28"/>
  <c r="QX12" i="28"/>
  <c r="QT12" i="28"/>
  <c r="QN12" i="28"/>
  <c r="QP12" i="28"/>
  <c r="QJ12" i="28"/>
  <c r="QG12" i="28"/>
  <c r="QG40" i="28" s="1"/>
  <c r="GZ11" i="25"/>
  <c r="VE11" i="28"/>
  <c r="HT10" i="25"/>
  <c r="VB11" i="28"/>
  <c r="UX11" i="28"/>
  <c r="UT11" i="28"/>
  <c r="UP11" i="28"/>
  <c r="UL11" i="28"/>
  <c r="UH11" i="28"/>
  <c r="TY11" i="28"/>
  <c r="HO10" i="25"/>
  <c r="TV11" i="28"/>
  <c r="TR11" i="28"/>
  <c r="TN11" i="28"/>
  <c r="TJ11" i="28"/>
  <c r="TF11" i="28"/>
  <c r="TB11" i="28"/>
  <c r="SS11" i="28"/>
  <c r="HJ10" i="25"/>
  <c r="SP11" i="28"/>
  <c r="SL11" i="28"/>
  <c r="SH11" i="28"/>
  <c r="SD11" i="28"/>
  <c r="RZ11" i="28"/>
  <c r="RV11" i="28"/>
  <c r="RM11" i="28"/>
  <c r="HE10" i="25"/>
  <c r="RJ11" i="28"/>
  <c r="RF11" i="28"/>
  <c r="RB11" i="28"/>
  <c r="QX11" i="28"/>
  <c r="QT11" i="28"/>
  <c r="QN11" i="28"/>
  <c r="QP11" i="28"/>
  <c r="QJ11" i="28"/>
  <c r="QG11" i="28"/>
  <c r="GZ10" i="25"/>
  <c r="QD11" i="28"/>
  <c r="PZ11" i="28"/>
  <c r="PV11" i="28"/>
  <c r="PR11" i="28"/>
  <c r="PN11" i="28"/>
  <c r="PJ11" i="28"/>
  <c r="VE10" i="28"/>
  <c r="HT9" i="25"/>
  <c r="VB10" i="28"/>
  <c r="UX10" i="28"/>
  <c r="UT10" i="28"/>
  <c r="UP10" i="28"/>
  <c r="UL10" i="28"/>
  <c r="UH10" i="28"/>
  <c r="TY10" i="28"/>
  <c r="HO9" i="25"/>
  <c r="TV10" i="28"/>
  <c r="TR10" i="28"/>
  <c r="TN10" i="28"/>
  <c r="TJ10" i="28"/>
  <c r="TF10" i="28"/>
  <c r="TB10" i="28"/>
  <c r="SS10" i="28"/>
  <c r="HJ9" i="25"/>
  <c r="SP10" i="28"/>
  <c r="SL10" i="28"/>
  <c r="SH10" i="28"/>
  <c r="SD10" i="28"/>
  <c r="RZ10" i="28"/>
  <c r="RV10" i="28"/>
  <c r="RM10" i="28"/>
  <c r="HE9" i="25"/>
  <c r="RJ10" i="28"/>
  <c r="RF10" i="28"/>
  <c r="RB10" i="28"/>
  <c r="QX10" i="28"/>
  <c r="QT10" i="28"/>
  <c r="QN10" i="28"/>
  <c r="QP10" i="28"/>
  <c r="QJ10" i="28"/>
  <c r="QG10" i="28"/>
  <c r="GZ9" i="25"/>
  <c r="QD10" i="28"/>
  <c r="PZ10" i="28"/>
  <c r="PV10" i="28"/>
  <c r="PR10" i="28"/>
  <c r="PN10" i="28"/>
  <c r="PJ10" i="28"/>
  <c r="VE9" i="28"/>
  <c r="VE40" i="28" s="1"/>
  <c r="HT8" i="25"/>
  <c r="VB9" i="28"/>
  <c r="UX9" i="28"/>
  <c r="UT9" i="28"/>
  <c r="UP9" i="28"/>
  <c r="UL9" i="28"/>
  <c r="UH9" i="28"/>
  <c r="TY9" i="28"/>
  <c r="TY40" i="28" s="1"/>
  <c r="HO8" i="25"/>
  <c r="TV9" i="28"/>
  <c r="TR9" i="28"/>
  <c r="TN9" i="28"/>
  <c r="TJ9" i="28"/>
  <c r="TF9" i="28"/>
  <c r="TB9" i="28"/>
  <c r="SS9" i="28"/>
  <c r="SS39" i="28" s="1"/>
  <c r="HJ8" i="25"/>
  <c r="SP9" i="28"/>
  <c r="SL9" i="28"/>
  <c r="SH9" i="28"/>
  <c r="SD9" i="28"/>
  <c r="RZ9" i="28"/>
  <c r="RV9" i="28"/>
  <c r="RM9" i="28"/>
  <c r="RM39" i="28" s="1"/>
  <c r="HE8" i="25"/>
  <c r="RJ9" i="28"/>
  <c r="RF9" i="28"/>
  <c r="RB9" i="28"/>
  <c r="QX9" i="28"/>
  <c r="QT9" i="28"/>
  <c r="QN9" i="28"/>
  <c r="QP9" i="28"/>
  <c r="QJ9" i="28"/>
  <c r="QG9" i="28"/>
  <c r="QG39" i="28" s="1"/>
  <c r="GZ8" i="25"/>
  <c r="VE8" i="28"/>
  <c r="HT7" i="25"/>
  <c r="VB8" i="28"/>
  <c r="UX8" i="28"/>
  <c r="UT8" i="28"/>
  <c r="UP8" i="28"/>
  <c r="UL8" i="28"/>
  <c r="UH8" i="28"/>
  <c r="TY8" i="28"/>
  <c r="HO7" i="25"/>
  <c r="TV8" i="28"/>
  <c r="TR8" i="28"/>
  <c r="TN8" i="28"/>
  <c r="TJ8" i="28"/>
  <c r="TF8" i="28"/>
  <c r="TB8" i="28"/>
  <c r="SS8" i="28"/>
  <c r="HJ7" i="25"/>
  <c r="SP8" i="28"/>
  <c r="SL8" i="28"/>
  <c r="SH8" i="28"/>
  <c r="SD8" i="28"/>
  <c r="RZ8" i="28"/>
  <c r="RV8" i="28"/>
  <c r="RM8" i="28"/>
  <c r="HE7" i="25"/>
  <c r="RJ8" i="28"/>
  <c r="RF8" i="28"/>
  <c r="RB8" i="28"/>
  <c r="QX8" i="28"/>
  <c r="QT8" i="28"/>
  <c r="QN8" i="28"/>
  <c r="QP8" i="28"/>
  <c r="QJ8" i="28"/>
  <c r="QG8" i="28"/>
  <c r="GZ7" i="25"/>
  <c r="QD8" i="28"/>
  <c r="PZ8" i="28"/>
  <c r="PV8" i="28"/>
  <c r="PR8" i="28"/>
  <c r="PN8" i="28"/>
  <c r="PJ8" i="28"/>
  <c r="HT6" i="25"/>
  <c r="TY38" i="28"/>
  <c r="HO6" i="25"/>
  <c r="SS7" i="28"/>
  <c r="HJ6" i="25"/>
  <c r="RM7" i="28"/>
  <c r="HE6" i="25"/>
  <c r="QN7" i="28"/>
  <c r="QN36" i="28"/>
  <c r="QJ7" i="28"/>
  <c r="QG7" i="28"/>
  <c r="GZ6" i="25"/>
  <c r="VF6" i="28"/>
  <c r="TZ6" i="28"/>
  <c r="ST6" i="28"/>
  <c r="RN6" i="28"/>
  <c r="QH6" i="28"/>
  <c r="VF5" i="28"/>
  <c r="VE5" i="28"/>
  <c r="VC5" i="28"/>
  <c r="TZ5" i="28"/>
  <c r="TY5" i="28"/>
  <c r="TW5" i="28"/>
  <c r="ST5" i="28"/>
  <c r="SS5" i="28"/>
  <c r="SQ5" i="28"/>
  <c r="RN5" i="28"/>
  <c r="RM5" i="28"/>
  <c r="RK5" i="28"/>
  <c r="QH5" i="28"/>
  <c r="QG5" i="28"/>
  <c r="QE5" i="28"/>
  <c r="NW8" i="28"/>
  <c r="NW9" i="28"/>
  <c r="NW10" i="28"/>
  <c r="NW11" i="28"/>
  <c r="NW12" i="28"/>
  <c r="NW13" i="28"/>
  <c r="NW14" i="28"/>
  <c r="NW15" i="28"/>
  <c r="NW16" i="28"/>
  <c r="NW17" i="28"/>
  <c r="NW18" i="28"/>
  <c r="NW19" i="28"/>
  <c r="NW20" i="28"/>
  <c r="NW21" i="28"/>
  <c r="NW22" i="28"/>
  <c r="NW23" i="28"/>
  <c r="NW24" i="28"/>
  <c r="NW25" i="28"/>
  <c r="NW26" i="28"/>
  <c r="NW27" i="28"/>
  <c r="NW28" i="28"/>
  <c r="NW29" i="28"/>
  <c r="NW30" i="28"/>
  <c r="NW31" i="28"/>
  <c r="NW32" i="28"/>
  <c r="NW33" i="28"/>
  <c r="NW34" i="28"/>
  <c r="OA8" i="28"/>
  <c r="OA9" i="28"/>
  <c r="OA10" i="28"/>
  <c r="OA11" i="28"/>
  <c r="OA12" i="28"/>
  <c r="OA13" i="28"/>
  <c r="OA14" i="28"/>
  <c r="OA15" i="28"/>
  <c r="OA16" i="28"/>
  <c r="OA17" i="28"/>
  <c r="OA18" i="28"/>
  <c r="OA19" i="28"/>
  <c r="OA20" i="28"/>
  <c r="OA21" i="28"/>
  <c r="OA22" i="28"/>
  <c r="OA23" i="28"/>
  <c r="OA24" i="28"/>
  <c r="OA25" i="28"/>
  <c r="OA26" i="28"/>
  <c r="OA27" i="28"/>
  <c r="OA28" i="28"/>
  <c r="OA29" i="28"/>
  <c r="OA30" i="28"/>
  <c r="OA31" i="28"/>
  <c r="OA32" i="28"/>
  <c r="OA33" i="28"/>
  <c r="OA34" i="28"/>
  <c r="OE8" i="28"/>
  <c r="OE9" i="28"/>
  <c r="OE10" i="28"/>
  <c r="OE11" i="28"/>
  <c r="OE12" i="28"/>
  <c r="OE13" i="28"/>
  <c r="OE14" i="28"/>
  <c r="OE15" i="28"/>
  <c r="OE16" i="28"/>
  <c r="OE17" i="28"/>
  <c r="OE18" i="28"/>
  <c r="OE19" i="28"/>
  <c r="OE20" i="28"/>
  <c r="OE21" i="28"/>
  <c r="OE22" i="28"/>
  <c r="OE23" i="28"/>
  <c r="OE24" i="28"/>
  <c r="OE25" i="28"/>
  <c r="OE26" i="28"/>
  <c r="OE27" i="28"/>
  <c r="OE28" i="28"/>
  <c r="OE29" i="28"/>
  <c r="OE30" i="28"/>
  <c r="OE31" i="28"/>
  <c r="OE32" i="28"/>
  <c r="OE33" i="28"/>
  <c r="OE34" i="28"/>
  <c r="OI8" i="28"/>
  <c r="OI9" i="28"/>
  <c r="OI10" i="28"/>
  <c r="OI11" i="28"/>
  <c r="OI12" i="28"/>
  <c r="OI13" i="28"/>
  <c r="OI14" i="28"/>
  <c r="OI15" i="28"/>
  <c r="OI16" i="28"/>
  <c r="OI17" i="28"/>
  <c r="OI18" i="28"/>
  <c r="OI19" i="28"/>
  <c r="OI20" i="28"/>
  <c r="OI21" i="28"/>
  <c r="OI22" i="28"/>
  <c r="OI23" i="28"/>
  <c r="OI24" i="28"/>
  <c r="OI25" i="28"/>
  <c r="OI26" i="28"/>
  <c r="OI27" i="28"/>
  <c r="OI28" i="28"/>
  <c r="OI29" i="28"/>
  <c r="OI30" i="28"/>
  <c r="OI31" i="28"/>
  <c r="OI32" i="28"/>
  <c r="OI33" i="28"/>
  <c r="OI34" i="28"/>
  <c r="OM8" i="28"/>
  <c r="OM9" i="28"/>
  <c r="OM10" i="28"/>
  <c r="OM11" i="28"/>
  <c r="OM12" i="28"/>
  <c r="OM13" i="28"/>
  <c r="OM14" i="28"/>
  <c r="OM15" i="28"/>
  <c r="OM16" i="28"/>
  <c r="OM17" i="28"/>
  <c r="OM18" i="28"/>
  <c r="OM19" i="28"/>
  <c r="OM20" i="28"/>
  <c r="OM21" i="28"/>
  <c r="OM22" i="28"/>
  <c r="OM23" i="28"/>
  <c r="OM24" i="28"/>
  <c r="OM25" i="28"/>
  <c r="OM26" i="28"/>
  <c r="OM27" i="28"/>
  <c r="OM28" i="28"/>
  <c r="OM29" i="28"/>
  <c r="OM30" i="28"/>
  <c r="OM31" i="28"/>
  <c r="OM32" i="28"/>
  <c r="OM33" i="28"/>
  <c r="OM34" i="28"/>
  <c r="OQ8" i="28"/>
  <c r="OQ9" i="28"/>
  <c r="OQ10" i="28"/>
  <c r="OQ11" i="28"/>
  <c r="OQ12" i="28"/>
  <c r="OQ13" i="28"/>
  <c r="OQ14" i="28"/>
  <c r="OQ15" i="28"/>
  <c r="OQ16" i="28"/>
  <c r="OQ17" i="28"/>
  <c r="OQ18" i="28"/>
  <c r="OQ19" i="28"/>
  <c r="OQ20" i="28"/>
  <c r="OQ21" i="28"/>
  <c r="OQ22" i="28"/>
  <c r="OQ23" i="28"/>
  <c r="OQ24" i="28"/>
  <c r="OQ25" i="28"/>
  <c r="OQ26" i="28"/>
  <c r="OQ27" i="28"/>
  <c r="OQ28" i="28"/>
  <c r="OQ29" i="28"/>
  <c r="OQ30" i="28"/>
  <c r="OQ31" i="28"/>
  <c r="OQ32" i="28"/>
  <c r="OQ33" i="28"/>
  <c r="OQ34" i="28"/>
  <c r="OU8" i="28"/>
  <c r="OU9" i="28"/>
  <c r="OU10" i="28"/>
  <c r="OU11" i="28"/>
  <c r="OU12" i="28"/>
  <c r="OU13" i="28"/>
  <c r="OU14" i="28"/>
  <c r="OU15" i="28"/>
  <c r="OU16" i="28"/>
  <c r="OU17" i="28"/>
  <c r="OU18" i="28"/>
  <c r="OU19" i="28"/>
  <c r="OU20" i="28"/>
  <c r="OU21" i="28"/>
  <c r="OU22" i="28"/>
  <c r="OU23" i="28"/>
  <c r="OU24" i="28"/>
  <c r="OU25" i="28"/>
  <c r="OU26" i="28"/>
  <c r="OU27" i="28"/>
  <c r="OU28" i="28"/>
  <c r="OU29" i="28"/>
  <c r="OU30" i="28"/>
  <c r="OU31" i="28"/>
  <c r="OU32" i="28"/>
  <c r="OU33" i="28"/>
  <c r="OU34" i="28"/>
  <c r="OU7" i="28"/>
  <c r="OM7" i="28"/>
  <c r="OI7" i="28"/>
  <c r="OE7" i="28"/>
  <c r="OA7" i="28"/>
  <c r="NW7" i="28"/>
  <c r="OQ7" i="28"/>
  <c r="NO8" i="28"/>
  <c r="NO9" i="28"/>
  <c r="NO10" i="28"/>
  <c r="NO11" i="28"/>
  <c r="NO12" i="28"/>
  <c r="NO13" i="28"/>
  <c r="NO14" i="28"/>
  <c r="NO15" i="28"/>
  <c r="NO16" i="28"/>
  <c r="NO17" i="28"/>
  <c r="NO18" i="28"/>
  <c r="NO19" i="28"/>
  <c r="NO20" i="28"/>
  <c r="NO21" i="28"/>
  <c r="NO22" i="28"/>
  <c r="NO23" i="28"/>
  <c r="NO24" i="28"/>
  <c r="NO25" i="28"/>
  <c r="NO26" i="28"/>
  <c r="NO27" i="28"/>
  <c r="NO28" i="28"/>
  <c r="NO29" i="28"/>
  <c r="NO30" i="28"/>
  <c r="NO31" i="28"/>
  <c r="NO32" i="28"/>
  <c r="NO33" i="28"/>
  <c r="NO34" i="28"/>
  <c r="NO7" i="28"/>
  <c r="NK8" i="28"/>
  <c r="NK9" i="28"/>
  <c r="NK10" i="28"/>
  <c r="NK11" i="28"/>
  <c r="NK12" i="28"/>
  <c r="NK13" i="28"/>
  <c r="NK14" i="28"/>
  <c r="NK15" i="28"/>
  <c r="NK16" i="28"/>
  <c r="NK17" i="28"/>
  <c r="NK18" i="28"/>
  <c r="NK19" i="28"/>
  <c r="NK20" i="28"/>
  <c r="NK21" i="28"/>
  <c r="NK22" i="28"/>
  <c r="NK23" i="28"/>
  <c r="NK24" i="28"/>
  <c r="NK25" i="28"/>
  <c r="NK26" i="28"/>
  <c r="NK27" i="28"/>
  <c r="NK28" i="28"/>
  <c r="NK29" i="28"/>
  <c r="NK30" i="28"/>
  <c r="NK31" i="28"/>
  <c r="NK32" i="28"/>
  <c r="NK33" i="28"/>
  <c r="NK34" i="28"/>
  <c r="NK7" i="28"/>
  <c r="NG8" i="28"/>
  <c r="NG9" i="28"/>
  <c r="NG10" i="28"/>
  <c r="NG11" i="28"/>
  <c r="NG12" i="28"/>
  <c r="NG13" i="28"/>
  <c r="NG14" i="28"/>
  <c r="NG15" i="28"/>
  <c r="NG16" i="28"/>
  <c r="NG17" i="28"/>
  <c r="NG18" i="28"/>
  <c r="NG19" i="28"/>
  <c r="NG20" i="28"/>
  <c r="NG21" i="28"/>
  <c r="NG22" i="28"/>
  <c r="NG23" i="28"/>
  <c r="NG24" i="28"/>
  <c r="NG25" i="28"/>
  <c r="NG26" i="28"/>
  <c r="NG27" i="28"/>
  <c r="NG28" i="28"/>
  <c r="NG29" i="28"/>
  <c r="NG30" i="28"/>
  <c r="NG31" i="28"/>
  <c r="NG32" i="28"/>
  <c r="NG33" i="28"/>
  <c r="NG34" i="28"/>
  <c r="NG7" i="28"/>
  <c r="NC8" i="28"/>
  <c r="NC9" i="28"/>
  <c r="NC10" i="28"/>
  <c r="NC11" i="28"/>
  <c r="NC12" i="28"/>
  <c r="NC13" i="28"/>
  <c r="NC14" i="28"/>
  <c r="NC15" i="28"/>
  <c r="NC16" i="28"/>
  <c r="NC17" i="28"/>
  <c r="NC18" i="28"/>
  <c r="NC19" i="28"/>
  <c r="NC20" i="28"/>
  <c r="NC21" i="28"/>
  <c r="NC22" i="28"/>
  <c r="NC23" i="28"/>
  <c r="NC24" i="28"/>
  <c r="NC25" i="28"/>
  <c r="NC26" i="28"/>
  <c r="NC27" i="28"/>
  <c r="NC28" i="28"/>
  <c r="NC29" i="28"/>
  <c r="NC30" i="28"/>
  <c r="NC31" i="28"/>
  <c r="NC32" i="28"/>
  <c r="NC33" i="28"/>
  <c r="NC34" i="28"/>
  <c r="NC7" i="28"/>
  <c r="MY8" i="28"/>
  <c r="MY9" i="28"/>
  <c r="MY10" i="28"/>
  <c r="MY11" i="28"/>
  <c r="MY12" i="28"/>
  <c r="MY13" i="28"/>
  <c r="MY14" i="28"/>
  <c r="MY15" i="28"/>
  <c r="MY16" i="28"/>
  <c r="MY17" i="28"/>
  <c r="MY18" i="28"/>
  <c r="MY19" i="28"/>
  <c r="MY20" i="28"/>
  <c r="MY21" i="28"/>
  <c r="MY22" i="28"/>
  <c r="MY23" i="28"/>
  <c r="MY24" i="28"/>
  <c r="MY25" i="28"/>
  <c r="MY26" i="28"/>
  <c r="MY27" i="28"/>
  <c r="MY28" i="28"/>
  <c r="MY29" i="28"/>
  <c r="MY30" i="28"/>
  <c r="MY31" i="28"/>
  <c r="MY32" i="28"/>
  <c r="MY33" i="28"/>
  <c r="MY34" i="28"/>
  <c r="MY7" i="28"/>
  <c r="MU8" i="28"/>
  <c r="MU9" i="28"/>
  <c r="MU10" i="28"/>
  <c r="MU11" i="28"/>
  <c r="MU12" i="28"/>
  <c r="MU13" i="28"/>
  <c r="MU14" i="28"/>
  <c r="MU15" i="28"/>
  <c r="MU16" i="28"/>
  <c r="MU17" i="28"/>
  <c r="MU18" i="28"/>
  <c r="MU19" i="28"/>
  <c r="MU20" i="28"/>
  <c r="MU21" i="28"/>
  <c r="MU22" i="28"/>
  <c r="MU23" i="28"/>
  <c r="MU24" i="28"/>
  <c r="MU25" i="28"/>
  <c r="MU26" i="28"/>
  <c r="MU27" i="28"/>
  <c r="MU28" i="28"/>
  <c r="MU29" i="28"/>
  <c r="MU30" i="28"/>
  <c r="MU31" i="28"/>
  <c r="MU32" i="28"/>
  <c r="MU33" i="28"/>
  <c r="MU34" i="28"/>
  <c r="MU7" i="28"/>
  <c r="MQ8" i="28"/>
  <c r="MQ9" i="28"/>
  <c r="MQ10" i="28"/>
  <c r="MQ11" i="28"/>
  <c r="MQ12" i="28"/>
  <c r="MQ13" i="28"/>
  <c r="MQ14" i="28"/>
  <c r="MQ15" i="28"/>
  <c r="MQ16" i="28"/>
  <c r="MQ17" i="28"/>
  <c r="MQ18" i="28"/>
  <c r="MQ19" i="28"/>
  <c r="MQ20" i="28"/>
  <c r="MQ21" i="28"/>
  <c r="MQ22" i="28"/>
  <c r="MQ23" i="28"/>
  <c r="MQ24" i="28"/>
  <c r="MQ25" i="28"/>
  <c r="MQ26" i="28"/>
  <c r="MQ27" i="28"/>
  <c r="MQ28" i="28"/>
  <c r="MQ29" i="28"/>
  <c r="MQ30" i="28"/>
  <c r="MQ31" i="28"/>
  <c r="MQ32" i="28"/>
  <c r="MQ33" i="28"/>
  <c r="MQ34" i="28"/>
  <c r="MQ7" i="28"/>
  <c r="MQ38" i="28" s="1"/>
  <c r="MI8" i="28"/>
  <c r="MI9" i="28"/>
  <c r="MI10" i="28"/>
  <c r="MI11" i="28"/>
  <c r="MI12" i="28"/>
  <c r="MI13" i="28"/>
  <c r="MI14" i="28"/>
  <c r="MI15" i="28"/>
  <c r="MI16" i="28"/>
  <c r="MI17" i="28"/>
  <c r="MI18" i="28"/>
  <c r="MI19" i="28"/>
  <c r="MI20" i="28"/>
  <c r="MI21" i="28"/>
  <c r="MI22" i="28"/>
  <c r="MI23" i="28"/>
  <c r="MI24" i="28"/>
  <c r="MI25" i="28"/>
  <c r="MI26" i="28"/>
  <c r="MI27" i="28"/>
  <c r="MI28" i="28"/>
  <c r="MI29" i="28"/>
  <c r="MI30" i="28"/>
  <c r="MI31" i="28"/>
  <c r="MI32" i="28"/>
  <c r="MI33" i="28"/>
  <c r="MI34" i="28"/>
  <c r="ME8" i="28"/>
  <c r="ME9" i="28"/>
  <c r="ME10" i="28"/>
  <c r="ME11" i="28"/>
  <c r="ME12" i="28"/>
  <c r="ME13" i="28"/>
  <c r="ME14" i="28"/>
  <c r="ME15" i="28"/>
  <c r="ME16" i="28"/>
  <c r="ME17" i="28"/>
  <c r="ME18" i="28"/>
  <c r="ME19" i="28"/>
  <c r="ME20" i="28"/>
  <c r="ME21" i="28"/>
  <c r="ME22" i="28"/>
  <c r="ME23" i="28"/>
  <c r="ME24" i="28"/>
  <c r="ME25" i="28"/>
  <c r="ME26" i="28"/>
  <c r="ME27" i="28"/>
  <c r="ME28" i="28"/>
  <c r="ME29" i="28"/>
  <c r="ME30" i="28"/>
  <c r="ME31" i="28"/>
  <c r="ME32" i="28"/>
  <c r="ME33" i="28"/>
  <c r="ME34" i="28"/>
  <c r="MA8" i="28"/>
  <c r="MA9" i="28"/>
  <c r="MA10" i="28"/>
  <c r="MA11" i="28"/>
  <c r="MA12" i="28"/>
  <c r="MA13" i="28"/>
  <c r="MA14" i="28"/>
  <c r="MA15" i="28"/>
  <c r="MA16" i="28"/>
  <c r="MA17" i="28"/>
  <c r="MA18" i="28"/>
  <c r="MA19" i="28"/>
  <c r="MA20" i="28"/>
  <c r="MA21" i="28"/>
  <c r="MA22" i="28"/>
  <c r="MA23" i="28"/>
  <c r="MA24" i="28"/>
  <c r="MA25" i="28"/>
  <c r="MA26" i="28"/>
  <c r="MA27" i="28"/>
  <c r="MA28" i="28"/>
  <c r="MA29" i="28"/>
  <c r="MA30" i="28"/>
  <c r="MA31" i="28"/>
  <c r="MA32" i="28"/>
  <c r="MA33" i="28"/>
  <c r="MA34" i="28"/>
  <c r="LW8" i="28"/>
  <c r="LW9" i="28"/>
  <c r="LW10" i="28"/>
  <c r="LW11" i="28"/>
  <c r="LW12" i="28"/>
  <c r="LW13" i="28"/>
  <c r="LW14" i="28"/>
  <c r="LW15" i="28"/>
  <c r="LW16" i="28"/>
  <c r="LW17" i="28"/>
  <c r="LW18" i="28"/>
  <c r="LW19" i="28"/>
  <c r="LW20" i="28"/>
  <c r="LW21" i="28"/>
  <c r="LW22" i="28"/>
  <c r="LW23" i="28"/>
  <c r="LW24" i="28"/>
  <c r="LW25" i="28"/>
  <c r="LW26" i="28"/>
  <c r="LW27" i="28"/>
  <c r="LW28" i="28"/>
  <c r="LW29" i="28"/>
  <c r="LW30" i="28"/>
  <c r="LW31" i="28"/>
  <c r="LW32" i="28"/>
  <c r="LW33" i="28"/>
  <c r="LW34" i="28"/>
  <c r="LS8" i="28"/>
  <c r="LS9" i="28"/>
  <c r="LS10" i="28"/>
  <c r="LS11" i="28"/>
  <c r="LS12" i="28"/>
  <c r="LS13" i="28"/>
  <c r="LS14" i="28"/>
  <c r="LS15" i="28"/>
  <c r="LS16" i="28"/>
  <c r="LS17" i="28"/>
  <c r="LS18" i="28"/>
  <c r="LS19" i="28"/>
  <c r="LS20" i="28"/>
  <c r="LS21" i="28"/>
  <c r="LS22" i="28"/>
  <c r="LS23" i="28"/>
  <c r="LS24" i="28"/>
  <c r="LS25" i="28"/>
  <c r="LS26" i="28"/>
  <c r="LS27" i="28"/>
  <c r="LS28" i="28"/>
  <c r="LS29" i="28"/>
  <c r="LS30" i="28"/>
  <c r="LS31" i="28"/>
  <c r="LS32" i="28"/>
  <c r="LS33" i="28"/>
  <c r="LS34" i="28"/>
  <c r="LO8" i="28"/>
  <c r="LO9" i="28"/>
  <c r="LO10" i="28"/>
  <c r="LO11" i="28"/>
  <c r="LO12" i="28"/>
  <c r="LO13" i="28"/>
  <c r="LO14" i="28"/>
  <c r="LO15" i="28"/>
  <c r="LO16" i="28"/>
  <c r="LO17" i="28"/>
  <c r="LO18" i="28"/>
  <c r="LO19" i="28"/>
  <c r="LO20" i="28"/>
  <c r="LO21" i="28"/>
  <c r="LO22" i="28"/>
  <c r="LO23" i="28"/>
  <c r="LO24" i="28"/>
  <c r="LO25" i="28"/>
  <c r="LO26" i="28"/>
  <c r="LO27" i="28"/>
  <c r="LO28" i="28"/>
  <c r="LO29" i="28"/>
  <c r="LO30" i="28"/>
  <c r="LO31" i="28"/>
  <c r="LO32" i="28"/>
  <c r="LO33" i="28"/>
  <c r="LO34" i="28"/>
  <c r="LK8" i="28"/>
  <c r="LK9" i="28"/>
  <c r="LK10" i="28"/>
  <c r="LK11" i="28"/>
  <c r="LK12" i="28"/>
  <c r="LK13" i="28"/>
  <c r="LK14" i="28"/>
  <c r="LK15" i="28"/>
  <c r="LK16" i="28"/>
  <c r="LK17" i="28"/>
  <c r="LK18" i="28"/>
  <c r="LK19" i="28"/>
  <c r="LK20" i="28"/>
  <c r="LK21" i="28"/>
  <c r="LK22" i="28"/>
  <c r="LK23" i="28"/>
  <c r="LK24" i="28"/>
  <c r="LK25" i="28"/>
  <c r="LK26" i="28"/>
  <c r="LK27" i="28"/>
  <c r="LK28" i="28"/>
  <c r="LK29" i="28"/>
  <c r="LK30" i="28"/>
  <c r="LK31" i="28"/>
  <c r="LK32" i="28"/>
  <c r="LK33" i="28"/>
  <c r="LK34" i="28"/>
  <c r="LK7" i="28"/>
  <c r="LO7" i="28"/>
  <c r="LS7" i="28"/>
  <c r="LW7" i="28"/>
  <c r="MA7" i="28"/>
  <c r="ME7" i="28"/>
  <c r="MI7" i="28"/>
  <c r="LC8" i="28"/>
  <c r="LC9" i="28"/>
  <c r="LC10" i="28"/>
  <c r="LC11" i="28"/>
  <c r="LC12" i="28"/>
  <c r="LC13" i="28"/>
  <c r="LC14" i="28"/>
  <c r="LC15" i="28"/>
  <c r="LC16" i="28"/>
  <c r="LC17" i="28"/>
  <c r="LC18" i="28"/>
  <c r="LC19" i="28"/>
  <c r="LC20" i="28"/>
  <c r="LC21" i="28"/>
  <c r="LC22" i="28"/>
  <c r="LC23" i="28"/>
  <c r="LC24" i="28"/>
  <c r="LC25" i="28"/>
  <c r="LC26" i="28"/>
  <c r="LC27" i="28"/>
  <c r="LC28" i="28"/>
  <c r="LC29" i="28"/>
  <c r="LC30" i="28"/>
  <c r="LC31" i="28"/>
  <c r="LC32" i="28"/>
  <c r="LC33" i="28"/>
  <c r="LC34" i="28"/>
  <c r="KY8" i="28"/>
  <c r="KY9" i="28"/>
  <c r="KY10" i="28"/>
  <c r="KY11" i="28"/>
  <c r="KY12" i="28"/>
  <c r="KY13" i="28"/>
  <c r="KY14" i="28"/>
  <c r="KY15" i="28"/>
  <c r="KY16" i="28"/>
  <c r="KY17" i="28"/>
  <c r="KY18" i="28"/>
  <c r="KY19" i="28"/>
  <c r="KY20" i="28"/>
  <c r="KY21" i="28"/>
  <c r="KY22" i="28"/>
  <c r="KY23" i="28"/>
  <c r="KY24" i="28"/>
  <c r="KY25" i="28"/>
  <c r="KY26" i="28"/>
  <c r="KY27" i="28"/>
  <c r="KY28" i="28"/>
  <c r="KY29" i="28"/>
  <c r="KY30" i="28"/>
  <c r="KY31" i="28"/>
  <c r="KY32" i="28"/>
  <c r="KY33" i="28"/>
  <c r="KY34" i="28"/>
  <c r="KU8" i="28"/>
  <c r="KU9" i="28"/>
  <c r="KU10" i="28"/>
  <c r="KU11" i="28"/>
  <c r="KU12" i="28"/>
  <c r="KU13" i="28"/>
  <c r="KU14" i="28"/>
  <c r="KU15" i="28"/>
  <c r="KU16" i="28"/>
  <c r="KU17" i="28"/>
  <c r="KU18" i="28"/>
  <c r="KU19" i="28"/>
  <c r="KU20" i="28"/>
  <c r="KU21" i="28"/>
  <c r="KU22" i="28"/>
  <c r="KU23" i="28"/>
  <c r="KU24" i="28"/>
  <c r="KU25" i="28"/>
  <c r="KU26" i="28"/>
  <c r="KU27" i="28"/>
  <c r="KU28" i="28"/>
  <c r="KU29" i="28"/>
  <c r="KU30" i="28"/>
  <c r="KU31" i="28"/>
  <c r="KU32" i="28"/>
  <c r="KU33" i="28"/>
  <c r="KU34" i="28"/>
  <c r="KQ8" i="28"/>
  <c r="KQ9" i="28"/>
  <c r="KQ10" i="28"/>
  <c r="KQ11" i="28"/>
  <c r="KQ12" i="28"/>
  <c r="KQ13" i="28"/>
  <c r="KQ14" i="28"/>
  <c r="KQ15" i="28"/>
  <c r="KQ16" i="28"/>
  <c r="KQ17" i="28"/>
  <c r="KQ18" i="28"/>
  <c r="KQ19" i="28"/>
  <c r="KQ20" i="28"/>
  <c r="KQ21" i="28"/>
  <c r="KQ22" i="28"/>
  <c r="KQ23" i="28"/>
  <c r="KQ24" i="28"/>
  <c r="KQ25" i="28"/>
  <c r="KQ26" i="28"/>
  <c r="KQ27" i="28"/>
  <c r="KQ28" i="28"/>
  <c r="KQ29" i="28"/>
  <c r="KQ30" i="28"/>
  <c r="KQ31" i="28"/>
  <c r="KQ32" i="28"/>
  <c r="KQ33" i="28"/>
  <c r="KQ34" i="28"/>
  <c r="KM8" i="28"/>
  <c r="KM9" i="28"/>
  <c r="KM10" i="28"/>
  <c r="KM11" i="28"/>
  <c r="KM12" i="28"/>
  <c r="KM13" i="28"/>
  <c r="KM14" i="28"/>
  <c r="KM15" i="28"/>
  <c r="KM16" i="28"/>
  <c r="KM17" i="28"/>
  <c r="KM18" i="28"/>
  <c r="KM19" i="28"/>
  <c r="KM20" i="28"/>
  <c r="KM21" i="28"/>
  <c r="KM22" i="28"/>
  <c r="KM23" i="28"/>
  <c r="KM24" i="28"/>
  <c r="KM25" i="28"/>
  <c r="KM26" i="28"/>
  <c r="KM27" i="28"/>
  <c r="KM28" i="28"/>
  <c r="KM29" i="28"/>
  <c r="KM30" i="28"/>
  <c r="KM31" i="28"/>
  <c r="KM32" i="28"/>
  <c r="KM33" i="28"/>
  <c r="KM34" i="28"/>
  <c r="KI8" i="28"/>
  <c r="KI9" i="28"/>
  <c r="KI10" i="28"/>
  <c r="KI11" i="28"/>
  <c r="KI12" i="28"/>
  <c r="KI13" i="28"/>
  <c r="KI14" i="28"/>
  <c r="KI15" i="28"/>
  <c r="KI16" i="28"/>
  <c r="KI17" i="28"/>
  <c r="KI18" i="28"/>
  <c r="KI19" i="28"/>
  <c r="KI20" i="28"/>
  <c r="KI21" i="28"/>
  <c r="KI22" i="28"/>
  <c r="KI23" i="28"/>
  <c r="KI24" i="28"/>
  <c r="KI25" i="28"/>
  <c r="KI26" i="28"/>
  <c r="KI27" i="28"/>
  <c r="KI28" i="28"/>
  <c r="KI29" i="28"/>
  <c r="KI30" i="28"/>
  <c r="KI31" i="28"/>
  <c r="KI32" i="28"/>
  <c r="KI33" i="28"/>
  <c r="KI34" i="28"/>
  <c r="KE8" i="28"/>
  <c r="KE9" i="28"/>
  <c r="KE10" i="28"/>
  <c r="KE11" i="28"/>
  <c r="KE12" i="28"/>
  <c r="KE13" i="28"/>
  <c r="KE14" i="28"/>
  <c r="KE15" i="28"/>
  <c r="KE16" i="28"/>
  <c r="KE17" i="28"/>
  <c r="KE18" i="28"/>
  <c r="KE19" i="28"/>
  <c r="KE20" i="28"/>
  <c r="KE21" i="28"/>
  <c r="KE22" i="28"/>
  <c r="KE23" i="28"/>
  <c r="KE24" i="28"/>
  <c r="KE25" i="28"/>
  <c r="KE26" i="28"/>
  <c r="KE27" i="28"/>
  <c r="KE28" i="28"/>
  <c r="KE29" i="28"/>
  <c r="KE30" i="28"/>
  <c r="KE31" i="28"/>
  <c r="KE32" i="28"/>
  <c r="KE33" i="28"/>
  <c r="KE34" i="28"/>
  <c r="KE7" i="28"/>
  <c r="KI7" i="28"/>
  <c r="KM7" i="28"/>
  <c r="KQ7" i="28"/>
  <c r="KU7" i="28"/>
  <c r="KY7" i="28"/>
  <c r="LC7" i="28"/>
  <c r="OW36" i="28"/>
  <c r="OS36" i="28"/>
  <c r="OO36" i="28"/>
  <c r="OK36" i="28"/>
  <c r="OG36" i="28"/>
  <c r="OC36" i="28"/>
  <c r="NY36" i="28"/>
  <c r="NQ36" i="28"/>
  <c r="NM36" i="28"/>
  <c r="NI36" i="28"/>
  <c r="NA36" i="28"/>
  <c r="MW36" i="28"/>
  <c r="MS36" i="28"/>
  <c r="MK36" i="28"/>
  <c r="MG36" i="28"/>
  <c r="MC36" i="28"/>
  <c r="LY36" i="28"/>
  <c r="LU36" i="28"/>
  <c r="LQ36" i="28"/>
  <c r="LM36" i="28"/>
  <c r="LE36" i="28"/>
  <c r="LA36" i="28"/>
  <c r="KW36" i="28"/>
  <c r="KS36" i="28"/>
  <c r="KO36" i="28"/>
  <c r="KK36" i="28"/>
  <c r="KG36" i="28"/>
  <c r="PA35" i="28"/>
  <c r="GQ34" i="25"/>
  <c r="GR34" i="25" s="1"/>
  <c r="NU35" i="28"/>
  <c r="GL34" i="25"/>
  <c r="GM34" i="25" s="1"/>
  <c r="MO35" i="28"/>
  <c r="GG34" i="25"/>
  <c r="LI35" i="28"/>
  <c r="GB34" i="25"/>
  <c r="GC34" i="25"/>
  <c r="PA34" i="28"/>
  <c r="GQ33" i="25"/>
  <c r="GR33" i="25" s="1"/>
  <c r="OX34" i="28"/>
  <c r="OT34" i="28"/>
  <c r="OP34" i="28"/>
  <c r="OL34" i="28"/>
  <c r="OH34" i="28"/>
  <c r="OD34" i="28"/>
  <c r="NU34" i="28"/>
  <c r="GL33" i="25"/>
  <c r="GM33" i="25"/>
  <c r="NR34" i="28"/>
  <c r="NN34" i="28"/>
  <c r="NJ34" i="28"/>
  <c r="NF34" i="28"/>
  <c r="NB34" i="28"/>
  <c r="MX34" i="28"/>
  <c r="MO34" i="28"/>
  <c r="GG33" i="25"/>
  <c r="GH33" i="25"/>
  <c r="ML34" i="28"/>
  <c r="MH34" i="28"/>
  <c r="MD34" i="28"/>
  <c r="LZ34" i="28"/>
  <c r="LV34" i="28"/>
  <c r="LR34" i="28"/>
  <c r="LI34" i="28"/>
  <c r="GB33" i="25"/>
  <c r="GC33" i="25"/>
  <c r="LF34" i="28"/>
  <c r="LB34" i="28"/>
  <c r="KX34" i="28"/>
  <c r="KT34" i="28"/>
  <c r="KP34" i="28"/>
  <c r="KL34" i="28"/>
  <c r="PA33" i="28"/>
  <c r="GQ32" i="25"/>
  <c r="GR32" i="25" s="1"/>
  <c r="OX33" i="28"/>
  <c r="OT33" i="28"/>
  <c r="OP33" i="28"/>
  <c r="OL33" i="28"/>
  <c r="OH33" i="28"/>
  <c r="OD33" i="28"/>
  <c r="NU33" i="28"/>
  <c r="GL32" i="25"/>
  <c r="GM32" i="25"/>
  <c r="NR33" i="28"/>
  <c r="NN33" i="28"/>
  <c r="NJ33" i="28"/>
  <c r="NF33" i="28"/>
  <c r="NB33" i="28"/>
  <c r="MX33" i="28"/>
  <c r="MO33" i="28"/>
  <c r="GG32" i="25"/>
  <c r="GH32" i="25"/>
  <c r="ML33" i="28"/>
  <c r="MH33" i="28"/>
  <c r="MD33" i="28"/>
  <c r="LZ33" i="28"/>
  <c r="LV33" i="28"/>
  <c r="LR33" i="28"/>
  <c r="LI33" i="28"/>
  <c r="GB32" i="25"/>
  <c r="GC32" i="25"/>
  <c r="LF33" i="28"/>
  <c r="LB33" i="28"/>
  <c r="KX33" i="28"/>
  <c r="KT33" i="28"/>
  <c r="KP33" i="28"/>
  <c r="KL33" i="28"/>
  <c r="PA32" i="28"/>
  <c r="GQ31" i="25"/>
  <c r="GR31" i="25" s="1"/>
  <c r="OX32" i="28"/>
  <c r="OT32" i="28"/>
  <c r="OP32" i="28"/>
  <c r="OL32" i="28"/>
  <c r="OH32" i="28"/>
  <c r="OD32" i="28"/>
  <c r="NU32" i="28"/>
  <c r="GL31" i="25"/>
  <c r="GM31" i="25"/>
  <c r="NR32" i="28"/>
  <c r="NN32" i="28"/>
  <c r="NJ32" i="28"/>
  <c r="NF32" i="28"/>
  <c r="NB32" i="28"/>
  <c r="MX32" i="28"/>
  <c r="MO32" i="28"/>
  <c r="GG31" i="25"/>
  <c r="GH31" i="25"/>
  <c r="ML32" i="28"/>
  <c r="MH32" i="28"/>
  <c r="MD32" i="28"/>
  <c r="LZ32" i="28"/>
  <c r="LV32" i="28"/>
  <c r="LR32" i="28"/>
  <c r="LI32" i="28"/>
  <c r="GB31" i="25"/>
  <c r="GC31" i="25"/>
  <c r="LF32" i="28"/>
  <c r="LB32" i="28"/>
  <c r="KX32" i="28"/>
  <c r="KT32" i="28"/>
  <c r="KP32" i="28"/>
  <c r="KL32" i="28"/>
  <c r="PA31" i="28"/>
  <c r="PA44" i="28" s="1"/>
  <c r="GQ30" i="25"/>
  <c r="OX31" i="28"/>
  <c r="OT31" i="28"/>
  <c r="OP31" i="28"/>
  <c r="OL31" i="28"/>
  <c r="OH31" i="28"/>
  <c r="OD31" i="28"/>
  <c r="NU31" i="28"/>
  <c r="NU44" i="28" s="1"/>
  <c r="GL30" i="25"/>
  <c r="GM30" i="25"/>
  <c r="NR31" i="28"/>
  <c r="NN31" i="28"/>
  <c r="NJ31" i="28"/>
  <c r="NF31" i="28"/>
  <c r="NB31" i="28"/>
  <c r="MX31" i="28"/>
  <c r="MO31" i="28"/>
  <c r="MO44" i="28" s="1"/>
  <c r="GG30" i="25"/>
  <c r="GH30" i="25"/>
  <c r="ML31" i="28"/>
  <c r="MH31" i="28"/>
  <c r="MD31" i="28"/>
  <c r="LZ31" i="28"/>
  <c r="LV31" i="28"/>
  <c r="LR31" i="28"/>
  <c r="LI31" i="28"/>
  <c r="GB30" i="25"/>
  <c r="GC30" i="25"/>
  <c r="LF31" i="28"/>
  <c r="LB31" i="28"/>
  <c r="KX31" i="28"/>
  <c r="KT31" i="28"/>
  <c r="KP31" i="28"/>
  <c r="KL31" i="28"/>
  <c r="PA30" i="28"/>
  <c r="GQ29" i="25"/>
  <c r="GR29" i="25" s="1"/>
  <c r="OX30" i="28"/>
  <c r="OT30" i="28"/>
  <c r="OP30" i="28"/>
  <c r="OL30" i="28"/>
  <c r="OH30" i="28"/>
  <c r="OD30" i="28"/>
  <c r="NU30" i="28"/>
  <c r="GL29" i="25"/>
  <c r="GM29" i="25"/>
  <c r="NR30" i="28"/>
  <c r="NN30" i="28"/>
  <c r="NJ30" i="28"/>
  <c r="NF30" i="28"/>
  <c r="NB30" i="28"/>
  <c r="MX30" i="28"/>
  <c r="MO30" i="28"/>
  <c r="GG29" i="25"/>
  <c r="GH29" i="25"/>
  <c r="ML30" i="28"/>
  <c r="MH30" i="28"/>
  <c r="MD30" i="28"/>
  <c r="LZ30" i="28"/>
  <c r="LV30" i="28"/>
  <c r="LR30" i="28"/>
  <c r="LI30" i="28"/>
  <c r="GB29" i="25"/>
  <c r="GC29" i="25"/>
  <c r="LF30" i="28"/>
  <c r="LB30" i="28"/>
  <c r="LB44" i="28" s="1"/>
  <c r="KX30" i="28"/>
  <c r="KX44" i="28" s="1"/>
  <c r="KT30" i="28"/>
  <c r="KT44" i="28" s="1"/>
  <c r="KP30" i="28"/>
  <c r="KL30" i="28"/>
  <c r="KL44" i="28" s="1"/>
  <c r="PA29" i="28"/>
  <c r="GQ28" i="25"/>
  <c r="GR28" i="25" s="1"/>
  <c r="OX29" i="28"/>
  <c r="OT29" i="28"/>
  <c r="OP29" i="28"/>
  <c r="OL29" i="28"/>
  <c r="OH29" i="28"/>
  <c r="OD29" i="28"/>
  <c r="NU29" i="28"/>
  <c r="GL28" i="25"/>
  <c r="GM28" i="25"/>
  <c r="NR29" i="28"/>
  <c r="NN29" i="28"/>
  <c r="NJ29" i="28"/>
  <c r="NF29" i="28"/>
  <c r="NB29" i="28"/>
  <c r="MX29" i="28"/>
  <c r="MO29" i="28"/>
  <c r="GG28" i="25"/>
  <c r="GH28" i="25"/>
  <c r="ML29" i="28"/>
  <c r="MH29" i="28"/>
  <c r="MD29" i="28"/>
  <c r="LZ29" i="28"/>
  <c r="LV29" i="28"/>
  <c r="LR29" i="28"/>
  <c r="LI29" i="28"/>
  <c r="GB28" i="25"/>
  <c r="GC28" i="25"/>
  <c r="LF29" i="28"/>
  <c r="LB29" i="28"/>
  <c r="KX29" i="28"/>
  <c r="KT29" i="28"/>
  <c r="KP29" i="28"/>
  <c r="KL29" i="28"/>
  <c r="PA28" i="28"/>
  <c r="GQ27" i="25"/>
  <c r="GR27" i="25" s="1"/>
  <c r="OX28" i="28"/>
  <c r="OT28" i="28"/>
  <c r="OP28" i="28"/>
  <c r="OL28" i="28"/>
  <c r="OH28" i="28"/>
  <c r="OD28" i="28"/>
  <c r="NU28" i="28"/>
  <c r="GL27" i="25"/>
  <c r="GM27" i="25"/>
  <c r="NR28" i="28"/>
  <c r="NN28" i="28"/>
  <c r="NJ28" i="28"/>
  <c r="NF28" i="28"/>
  <c r="NB28" i="28"/>
  <c r="MX28" i="28"/>
  <c r="MO28" i="28"/>
  <c r="GG27" i="25"/>
  <c r="GH27" i="25"/>
  <c r="ML28" i="28"/>
  <c r="MH28" i="28"/>
  <c r="MD28" i="28"/>
  <c r="LZ28" i="28"/>
  <c r="LV28" i="28"/>
  <c r="LR28" i="28"/>
  <c r="LI28" i="28"/>
  <c r="GB27" i="25"/>
  <c r="GC27" i="25"/>
  <c r="LF28" i="28"/>
  <c r="LB28" i="28"/>
  <c r="KX28" i="28"/>
  <c r="KT28" i="28"/>
  <c r="KP28" i="28"/>
  <c r="KL28" i="28"/>
  <c r="PA27" i="28"/>
  <c r="GQ26" i="25"/>
  <c r="GR26" i="25" s="1"/>
  <c r="OX27" i="28"/>
  <c r="OT27" i="28"/>
  <c r="OP27" i="28"/>
  <c r="OL27" i="28"/>
  <c r="OH27" i="28"/>
  <c r="OD27" i="28"/>
  <c r="NU27" i="28"/>
  <c r="GL26" i="25"/>
  <c r="GM26" i="25"/>
  <c r="NR27" i="28"/>
  <c r="NN27" i="28"/>
  <c r="NJ27" i="28"/>
  <c r="NF27" i="28"/>
  <c r="NB27" i="28"/>
  <c r="MX27" i="28"/>
  <c r="MO27" i="28"/>
  <c r="GG26" i="25"/>
  <c r="GH26" i="25"/>
  <c r="ML27" i="28"/>
  <c r="MH27" i="28"/>
  <c r="MD27" i="28"/>
  <c r="LZ27" i="28"/>
  <c r="LV27" i="28"/>
  <c r="LR27" i="28"/>
  <c r="LI27" i="28"/>
  <c r="GB26" i="25"/>
  <c r="GC26" i="25"/>
  <c r="LF27" i="28"/>
  <c r="LB27" i="28"/>
  <c r="KX27" i="28"/>
  <c r="KT27" i="28"/>
  <c r="KP27" i="28"/>
  <c r="KL27" i="28"/>
  <c r="PA26" i="28"/>
  <c r="PA43" i="28" s="1"/>
  <c r="GQ25" i="25"/>
  <c r="GR25" i="25" s="1"/>
  <c r="OX26" i="28"/>
  <c r="OT26" i="28"/>
  <c r="OP26" i="28"/>
  <c r="OL26" i="28"/>
  <c r="OH26" i="28"/>
  <c r="OD26" i="28"/>
  <c r="NU26" i="28"/>
  <c r="NU43" i="28" s="1"/>
  <c r="GL25" i="25"/>
  <c r="GM25" i="25"/>
  <c r="NR26" i="28"/>
  <c r="NN26" i="28"/>
  <c r="NJ26" i="28"/>
  <c r="NF26" i="28"/>
  <c r="NB26" i="28"/>
  <c r="MX26" i="28"/>
  <c r="MO26" i="28"/>
  <c r="MO43" i="28" s="1"/>
  <c r="GG25" i="25"/>
  <c r="GH25" i="25"/>
  <c r="ML26" i="28"/>
  <c r="MH26" i="28"/>
  <c r="MD26" i="28"/>
  <c r="LZ26" i="28"/>
  <c r="LV26" i="28"/>
  <c r="LR26" i="28"/>
  <c r="LI26" i="28"/>
  <c r="GB25" i="25"/>
  <c r="GC25" i="25"/>
  <c r="LF26" i="28"/>
  <c r="LB26" i="28"/>
  <c r="KX26" i="28"/>
  <c r="KT26" i="28"/>
  <c r="KP26" i="28"/>
  <c r="KL26" i="28"/>
  <c r="PA25" i="28"/>
  <c r="GQ24" i="25"/>
  <c r="GR24" i="25" s="1"/>
  <c r="OX25" i="28"/>
  <c r="OT25" i="28"/>
  <c r="OP25" i="28"/>
  <c r="OL25" i="28"/>
  <c r="OH25" i="28"/>
  <c r="OD25" i="28"/>
  <c r="NU25" i="28"/>
  <c r="GL24" i="25"/>
  <c r="GM24" i="25"/>
  <c r="NR25" i="28"/>
  <c r="NN25" i="28"/>
  <c r="NJ25" i="28"/>
  <c r="NF25" i="28"/>
  <c r="NB25" i="28"/>
  <c r="MX25" i="28"/>
  <c r="MO25" i="28"/>
  <c r="GG24" i="25"/>
  <c r="GH24" i="25"/>
  <c r="ML25" i="28"/>
  <c r="MH25" i="28"/>
  <c r="MD25" i="28"/>
  <c r="LZ25" i="28"/>
  <c r="LV25" i="28"/>
  <c r="LR25" i="28"/>
  <c r="LI25" i="28"/>
  <c r="GB24" i="25"/>
  <c r="GC24" i="25"/>
  <c r="LF25" i="28"/>
  <c r="LB25" i="28"/>
  <c r="LB43" i="28" s="1"/>
  <c r="LB45" i="28" s="1"/>
  <c r="KX25" i="28"/>
  <c r="KX43" i="28" s="1"/>
  <c r="KT25" i="28"/>
  <c r="KT43" i="28" s="1"/>
  <c r="KP25" i="28"/>
  <c r="KL25" i="28"/>
  <c r="KL43" i="28" s="1"/>
  <c r="KL45" i="28" s="1"/>
  <c r="PA24" i="28"/>
  <c r="GQ23" i="25"/>
  <c r="GR23" i="25" s="1"/>
  <c r="OX24" i="28"/>
  <c r="OT24" i="28"/>
  <c r="OP24" i="28"/>
  <c r="OL24" i="28"/>
  <c r="OH24" i="28"/>
  <c r="OD24" i="28"/>
  <c r="NU24" i="28"/>
  <c r="GL23" i="25"/>
  <c r="GM23" i="25"/>
  <c r="NR24" i="28"/>
  <c r="NN24" i="28"/>
  <c r="NJ24" i="28"/>
  <c r="NF24" i="28"/>
  <c r="NB24" i="28"/>
  <c r="MX24" i="28"/>
  <c r="MO24" i="28"/>
  <c r="GG23" i="25"/>
  <c r="GH23" i="25"/>
  <c r="ML24" i="28"/>
  <c r="MH24" i="28"/>
  <c r="MD24" i="28"/>
  <c r="LZ24" i="28"/>
  <c r="LV24" i="28"/>
  <c r="LR24" i="28"/>
  <c r="LI24" i="28"/>
  <c r="GB23" i="25"/>
  <c r="GC23" i="25"/>
  <c r="LF24" i="28"/>
  <c r="LB24" i="28"/>
  <c r="KX24" i="28"/>
  <c r="KT24" i="28"/>
  <c r="KP24" i="28"/>
  <c r="KL24" i="28"/>
  <c r="PA23" i="28"/>
  <c r="GQ22" i="25"/>
  <c r="GR22" i="25" s="1"/>
  <c r="OX23" i="28"/>
  <c r="OT23" i="28"/>
  <c r="OP23" i="28"/>
  <c r="OL23" i="28"/>
  <c r="OH23" i="28"/>
  <c r="OD23" i="28"/>
  <c r="NU23" i="28"/>
  <c r="GL22" i="25"/>
  <c r="GM22" i="25"/>
  <c r="NR23" i="28"/>
  <c r="NN23" i="28"/>
  <c r="NJ23" i="28"/>
  <c r="NF23" i="28"/>
  <c r="NB23" i="28"/>
  <c r="MX23" i="28"/>
  <c r="MO23" i="28"/>
  <c r="GG22" i="25"/>
  <c r="GH22" i="25"/>
  <c r="ML23" i="28"/>
  <c r="MH23" i="28"/>
  <c r="MD23" i="28"/>
  <c r="LZ23" i="28"/>
  <c r="LV23" i="28"/>
  <c r="LR23" i="28"/>
  <c r="LI23" i="28"/>
  <c r="GB22" i="25"/>
  <c r="GC22" i="25"/>
  <c r="LF23" i="28"/>
  <c r="LB23" i="28"/>
  <c r="KX23" i="28"/>
  <c r="KT23" i="28"/>
  <c r="KP23" i="28"/>
  <c r="KL23" i="28"/>
  <c r="PA22" i="28"/>
  <c r="GQ21" i="25"/>
  <c r="GR21" i="25" s="1"/>
  <c r="OX22" i="28"/>
  <c r="OT22" i="28"/>
  <c r="OP22" i="28"/>
  <c r="OL22" i="28"/>
  <c r="OH22" i="28"/>
  <c r="OD22" i="28"/>
  <c r="NU22" i="28"/>
  <c r="GL21" i="25"/>
  <c r="GM21" i="25"/>
  <c r="NR22" i="28"/>
  <c r="NN22" i="28"/>
  <c r="NJ22" i="28"/>
  <c r="NF22" i="28"/>
  <c r="NB22" i="28"/>
  <c r="MX22" i="28"/>
  <c r="MO22" i="28"/>
  <c r="GG21" i="25"/>
  <c r="GH21" i="25"/>
  <c r="ML22" i="28"/>
  <c r="MH22" i="28"/>
  <c r="MD22" i="28"/>
  <c r="LZ22" i="28"/>
  <c r="LV22" i="28"/>
  <c r="LR22" i="28"/>
  <c r="LI22" i="28"/>
  <c r="GB21" i="25"/>
  <c r="GC21" i="25"/>
  <c r="LF22" i="28"/>
  <c r="LB22" i="28"/>
  <c r="KX22" i="28"/>
  <c r="KT22" i="28"/>
  <c r="KP22" i="28"/>
  <c r="KL22" i="28"/>
  <c r="PA21" i="28"/>
  <c r="GQ20" i="25"/>
  <c r="GR20" i="25" s="1"/>
  <c r="OX21" i="28"/>
  <c r="OT21" i="28"/>
  <c r="OP21" i="28"/>
  <c r="OL21" i="28"/>
  <c r="OH21" i="28"/>
  <c r="OD21" i="28"/>
  <c r="NU21" i="28"/>
  <c r="GL20" i="25"/>
  <c r="GM20" i="25"/>
  <c r="NR21" i="28"/>
  <c r="NN21" i="28"/>
  <c r="NJ21" i="28"/>
  <c r="NF21" i="28"/>
  <c r="NB21" i="28"/>
  <c r="MX21" i="28"/>
  <c r="MO21" i="28"/>
  <c r="GG20" i="25"/>
  <c r="GH20" i="25"/>
  <c r="ML21" i="28"/>
  <c r="MH21" i="28"/>
  <c r="MD21" i="28"/>
  <c r="LZ21" i="28"/>
  <c r="LV21" i="28"/>
  <c r="LR21" i="28"/>
  <c r="LI21" i="28"/>
  <c r="GB20" i="25"/>
  <c r="GC20" i="25"/>
  <c r="LF21" i="28"/>
  <c r="LB21" i="28"/>
  <c r="KX21" i="28"/>
  <c r="KT21" i="28"/>
  <c r="KP21" i="28"/>
  <c r="KL21" i="28"/>
  <c r="PA20" i="28"/>
  <c r="GQ19" i="25"/>
  <c r="GR19" i="25" s="1"/>
  <c r="OX20" i="28"/>
  <c r="OT20" i="28"/>
  <c r="OP20" i="28"/>
  <c r="OL20" i="28"/>
  <c r="OH20" i="28"/>
  <c r="OD20" i="28"/>
  <c r="NU20" i="28"/>
  <c r="GL19" i="25"/>
  <c r="GM19" i="25"/>
  <c r="NR20" i="28"/>
  <c r="NN20" i="28"/>
  <c r="NJ20" i="28"/>
  <c r="NF20" i="28"/>
  <c r="NB20" i="28"/>
  <c r="MX20" i="28"/>
  <c r="MO20" i="28"/>
  <c r="GG19" i="25"/>
  <c r="GH19" i="25"/>
  <c r="ML20" i="28"/>
  <c r="MH20" i="28"/>
  <c r="MD20" i="28"/>
  <c r="LZ20" i="28"/>
  <c r="LV20" i="28"/>
  <c r="LR20" i="28"/>
  <c r="LI20" i="28"/>
  <c r="GB19" i="25"/>
  <c r="GC19" i="25"/>
  <c r="LF20" i="28"/>
  <c r="LB20" i="28"/>
  <c r="KX20" i="28"/>
  <c r="KT20" i="28"/>
  <c r="KP20" i="28"/>
  <c r="KL20" i="28"/>
  <c r="PA19" i="28"/>
  <c r="GQ18" i="25"/>
  <c r="GR18" i="25" s="1"/>
  <c r="OX19" i="28"/>
  <c r="OT19" i="28"/>
  <c r="OP19" i="28"/>
  <c r="OL19" i="28"/>
  <c r="OH19" i="28"/>
  <c r="OD19" i="28"/>
  <c r="NU19" i="28"/>
  <c r="GL18" i="25"/>
  <c r="GM18" i="25"/>
  <c r="NR19" i="28"/>
  <c r="NN19" i="28"/>
  <c r="NJ19" i="28"/>
  <c r="NF19" i="28"/>
  <c r="NB19" i="28"/>
  <c r="MX19" i="28"/>
  <c r="MO19" i="28"/>
  <c r="GG18" i="25"/>
  <c r="GH18" i="25"/>
  <c r="ML19" i="28"/>
  <c r="MH19" i="28"/>
  <c r="MD19" i="28"/>
  <c r="LZ19" i="28"/>
  <c r="LV19" i="28"/>
  <c r="LR19" i="28"/>
  <c r="LI19" i="28"/>
  <c r="GB18" i="25"/>
  <c r="GC18" i="25"/>
  <c r="LF19" i="28"/>
  <c r="LB19" i="28"/>
  <c r="KX19" i="28"/>
  <c r="KT19" i="28"/>
  <c r="KP19" i="28"/>
  <c r="KL19" i="28"/>
  <c r="PA18" i="28"/>
  <c r="GQ17" i="25"/>
  <c r="GR17" i="25" s="1"/>
  <c r="OX18" i="28"/>
  <c r="OT18" i="28"/>
  <c r="OP18" i="28"/>
  <c r="OL18" i="28"/>
  <c r="OH18" i="28"/>
  <c r="OD18" i="28"/>
  <c r="NU18" i="28"/>
  <c r="GL17" i="25"/>
  <c r="GM17" i="25"/>
  <c r="NR18" i="28"/>
  <c r="NN18" i="28"/>
  <c r="NJ18" i="28"/>
  <c r="NF18" i="28"/>
  <c r="NB18" i="28"/>
  <c r="MX18" i="28"/>
  <c r="MO18" i="28"/>
  <c r="GG17" i="25"/>
  <c r="GH17" i="25"/>
  <c r="ML18" i="28"/>
  <c r="MH18" i="28"/>
  <c r="MD18" i="28"/>
  <c r="LZ18" i="28"/>
  <c r="LV18" i="28"/>
  <c r="LR18" i="28"/>
  <c r="LI18" i="28"/>
  <c r="GB17" i="25"/>
  <c r="GC17" i="25"/>
  <c r="LF18" i="28"/>
  <c r="LB18" i="28"/>
  <c r="KX18" i="28"/>
  <c r="KT18" i="28"/>
  <c r="KP18" i="28"/>
  <c r="KL18" i="28"/>
  <c r="PA17" i="28"/>
  <c r="GQ16" i="25"/>
  <c r="GR16" i="25" s="1"/>
  <c r="OX17" i="28"/>
  <c r="OT17" i="28"/>
  <c r="OP17" i="28"/>
  <c r="OL17" i="28"/>
  <c r="OH17" i="28"/>
  <c r="OD17" i="28"/>
  <c r="NU17" i="28"/>
  <c r="GL16" i="25"/>
  <c r="GM16" i="25" s="1"/>
  <c r="NR17" i="28"/>
  <c r="NN17" i="28"/>
  <c r="NJ17" i="28"/>
  <c r="NF17" i="28"/>
  <c r="NB17" i="28"/>
  <c r="MX17" i="28"/>
  <c r="MO17" i="28"/>
  <c r="GG16" i="25"/>
  <c r="GH16" i="25"/>
  <c r="ML17" i="28"/>
  <c r="MH17" i="28"/>
  <c r="MD17" i="28"/>
  <c r="LZ17" i="28"/>
  <c r="LV17" i="28"/>
  <c r="LR17" i="28"/>
  <c r="LI17" i="28"/>
  <c r="LJ17" i="28" s="1"/>
  <c r="GB16" i="25"/>
  <c r="GC16" i="25"/>
  <c r="LF17" i="28"/>
  <c r="LB17" i="28"/>
  <c r="KX17" i="28"/>
  <c r="KP17" i="28"/>
  <c r="KL17" i="28"/>
  <c r="PA16" i="28"/>
  <c r="GQ15" i="25"/>
  <c r="GR15" i="25" s="1"/>
  <c r="OX16" i="28"/>
  <c r="OT16" i="28"/>
  <c r="OP16" i="28"/>
  <c r="OL16" i="28"/>
  <c r="OH16" i="28"/>
  <c r="OD16" i="28"/>
  <c r="NU16" i="28"/>
  <c r="GL15" i="25"/>
  <c r="GM15" i="25"/>
  <c r="NR16" i="28"/>
  <c r="NN16" i="28"/>
  <c r="NJ16" i="28"/>
  <c r="NF16" i="28"/>
  <c r="NB16" i="28"/>
  <c r="MX16" i="28"/>
  <c r="MO16" i="28"/>
  <c r="GG15" i="25"/>
  <c r="GH15" i="25"/>
  <c r="ML16" i="28"/>
  <c r="MH16" i="28"/>
  <c r="MD16" i="28"/>
  <c r="LZ16" i="28"/>
  <c r="LV16" i="28"/>
  <c r="LR16" i="28"/>
  <c r="LI16" i="28"/>
  <c r="GB15" i="25"/>
  <c r="GC15" i="25"/>
  <c r="LF16" i="28"/>
  <c r="LB16" i="28"/>
  <c r="KX16" i="28"/>
  <c r="KT16" i="28"/>
  <c r="KP16" i="28"/>
  <c r="KL16" i="28"/>
  <c r="PA15" i="28"/>
  <c r="GQ14" i="25"/>
  <c r="GR14" i="25" s="1"/>
  <c r="OX15" i="28"/>
  <c r="OT15" i="28"/>
  <c r="OP15" i="28"/>
  <c r="OL15" i="28"/>
  <c r="OH15" i="28"/>
  <c r="OD15" i="28"/>
  <c r="NU15" i="28"/>
  <c r="GL14" i="25"/>
  <c r="GM14" i="25"/>
  <c r="NR15" i="28"/>
  <c r="NN15" i="28"/>
  <c r="NJ15" i="28"/>
  <c r="NF15" i="28"/>
  <c r="NB15" i="28"/>
  <c r="MX15" i="28"/>
  <c r="MO15" i="28"/>
  <c r="GG14" i="25"/>
  <c r="GH14" i="25"/>
  <c r="ML15" i="28"/>
  <c r="MH15" i="28"/>
  <c r="MD15" i="28"/>
  <c r="LZ15" i="28"/>
  <c r="LV15" i="28"/>
  <c r="LR15" i="28"/>
  <c r="LI15" i="28"/>
  <c r="GB14" i="25"/>
  <c r="GC14" i="25"/>
  <c r="LF15" i="28"/>
  <c r="LB15" i="28"/>
  <c r="KX15" i="28"/>
  <c r="KT15" i="28"/>
  <c r="KP15" i="28"/>
  <c r="KL15" i="28"/>
  <c r="PA14" i="28"/>
  <c r="GQ13" i="25"/>
  <c r="GR13" i="25" s="1"/>
  <c r="OX14" i="28"/>
  <c r="OT14" i="28"/>
  <c r="OP14" i="28"/>
  <c r="OL14" i="28"/>
  <c r="OH14" i="28"/>
  <c r="OD14" i="28"/>
  <c r="NU14" i="28"/>
  <c r="GL13" i="25"/>
  <c r="GM13" i="25"/>
  <c r="NR14" i="28"/>
  <c r="NN14" i="28"/>
  <c r="NJ14" i="28"/>
  <c r="NF14" i="28"/>
  <c r="NB14" i="28"/>
  <c r="MX14" i="28"/>
  <c r="MO14" i="28"/>
  <c r="GG13" i="25"/>
  <c r="GH13" i="25"/>
  <c r="ML14" i="28"/>
  <c r="MH14" i="28"/>
  <c r="MD14" i="28"/>
  <c r="LZ14" i="28"/>
  <c r="LV14" i="28"/>
  <c r="LR14" i="28"/>
  <c r="LI14" i="28"/>
  <c r="GB13" i="25"/>
  <c r="GC13" i="25"/>
  <c r="LF14" i="28"/>
  <c r="LB14" i="28"/>
  <c r="KX14" i="28"/>
  <c r="KT14" i="28"/>
  <c r="KP14" i="28"/>
  <c r="KL14" i="28"/>
  <c r="PA13" i="28"/>
  <c r="GQ12" i="25"/>
  <c r="GR12" i="25" s="1"/>
  <c r="OX13" i="28"/>
  <c r="OT13" i="28"/>
  <c r="OP13" i="28"/>
  <c r="OL13" i="28"/>
  <c r="OH13" i="28"/>
  <c r="OD13" i="28"/>
  <c r="NU13" i="28"/>
  <c r="GL12" i="25"/>
  <c r="GM12" i="25"/>
  <c r="NR13" i="28"/>
  <c r="NN13" i="28"/>
  <c r="NJ13" i="28"/>
  <c r="NF13" i="28"/>
  <c r="NB13" i="28"/>
  <c r="MX13" i="28"/>
  <c r="MO13" i="28"/>
  <c r="GG12" i="25"/>
  <c r="GH12" i="25"/>
  <c r="ML13" i="28"/>
  <c r="MH13" i="28"/>
  <c r="MD13" i="28"/>
  <c r="LZ13" i="28"/>
  <c r="LV13" i="28"/>
  <c r="LR13" i="28"/>
  <c r="LI13" i="28"/>
  <c r="GB12" i="25"/>
  <c r="GC12" i="25"/>
  <c r="LF13" i="28"/>
  <c r="LB13" i="28"/>
  <c r="KX13" i="28"/>
  <c r="KT13" i="28"/>
  <c r="KP13" i="28"/>
  <c r="KL13" i="28"/>
  <c r="PA12" i="28"/>
  <c r="PA40" i="28" s="1"/>
  <c r="GQ11" i="25"/>
  <c r="OX12" i="28"/>
  <c r="OT12" i="28"/>
  <c r="OP12" i="28"/>
  <c r="OL12" i="28"/>
  <c r="OH12" i="28"/>
  <c r="OD12" i="28"/>
  <c r="NU12" i="28"/>
  <c r="NU40" i="28" s="1"/>
  <c r="GL11" i="25"/>
  <c r="GM11" i="25"/>
  <c r="NR12" i="28"/>
  <c r="NN12" i="28"/>
  <c r="NJ12" i="28"/>
  <c r="NF12" i="28"/>
  <c r="NB12" i="28"/>
  <c r="MX12" i="28"/>
  <c r="MO12" i="28"/>
  <c r="MO40" i="28" s="1"/>
  <c r="GG11" i="25"/>
  <c r="GH11" i="25"/>
  <c r="ML12" i="28"/>
  <c r="MH12" i="28"/>
  <c r="MD12" i="28"/>
  <c r="LZ12" i="28"/>
  <c r="LV12" i="28"/>
  <c r="LR12" i="28"/>
  <c r="LI12" i="28"/>
  <c r="GB11" i="25"/>
  <c r="GC11" i="25"/>
  <c r="LF12" i="28"/>
  <c r="LB12" i="28"/>
  <c r="KX12" i="28"/>
  <c r="KT12" i="28"/>
  <c r="KP12" i="28"/>
  <c r="KL12" i="28"/>
  <c r="PA11" i="28"/>
  <c r="GQ10" i="25"/>
  <c r="GR10" i="25" s="1"/>
  <c r="OX11" i="28"/>
  <c r="OT11" i="28"/>
  <c r="OP11" i="28"/>
  <c r="OL11" i="28"/>
  <c r="OH11" i="28"/>
  <c r="OD11" i="28"/>
  <c r="NU11" i="28"/>
  <c r="GL10" i="25"/>
  <c r="GM10" i="25"/>
  <c r="NR11" i="28"/>
  <c r="NN11" i="28"/>
  <c r="NJ11" i="28"/>
  <c r="NF11" i="28"/>
  <c r="NB11" i="28"/>
  <c r="MX11" i="28"/>
  <c r="MO11" i="28"/>
  <c r="GG10" i="25"/>
  <c r="GH10" i="25"/>
  <c r="ML11" i="28"/>
  <c r="MH11" i="28"/>
  <c r="MD11" i="28"/>
  <c r="LZ11" i="28"/>
  <c r="LV11" i="28"/>
  <c r="LR11" i="28"/>
  <c r="LI11" i="28"/>
  <c r="GB10" i="25"/>
  <c r="GC10" i="25"/>
  <c r="LF11" i="28"/>
  <c r="LB11" i="28"/>
  <c r="LB40" i="28" s="1"/>
  <c r="KX11" i="28"/>
  <c r="KX40" i="28" s="1"/>
  <c r="KT11" i="28"/>
  <c r="KT40" i="28" s="1"/>
  <c r="KP11" i="28"/>
  <c r="KL11" i="28"/>
  <c r="KL40" i="28" s="1"/>
  <c r="PA10" i="28"/>
  <c r="GQ9" i="25"/>
  <c r="GR9" i="25" s="1"/>
  <c r="OX10" i="28"/>
  <c r="OT10" i="28"/>
  <c r="OP10" i="28"/>
  <c r="OL10" i="28"/>
  <c r="OH10" i="28"/>
  <c r="OD10" i="28"/>
  <c r="NU10" i="28"/>
  <c r="GL9" i="25"/>
  <c r="GM9" i="25"/>
  <c r="NR10" i="28"/>
  <c r="NN10" i="28"/>
  <c r="NJ10" i="28"/>
  <c r="NF10" i="28"/>
  <c r="NB10" i="28"/>
  <c r="MX10" i="28"/>
  <c r="MO10" i="28"/>
  <c r="GG9" i="25"/>
  <c r="GH9" i="25"/>
  <c r="ML10" i="28"/>
  <c r="MH10" i="28"/>
  <c r="MD10" i="28"/>
  <c r="LZ10" i="28"/>
  <c r="LV10" i="28"/>
  <c r="LR10" i="28"/>
  <c r="LI10" i="28"/>
  <c r="GB9" i="25"/>
  <c r="GC9" i="25"/>
  <c r="LF10" i="28"/>
  <c r="LB10" i="28"/>
  <c r="KX10" i="28"/>
  <c r="KT10" i="28"/>
  <c r="KP10" i="28"/>
  <c r="KL10" i="28"/>
  <c r="PA9" i="28"/>
  <c r="PA39" i="28" s="1"/>
  <c r="GQ8" i="25"/>
  <c r="OX9" i="28"/>
  <c r="OT9" i="28"/>
  <c r="OP9" i="28"/>
  <c r="OL9" i="28"/>
  <c r="OH9" i="28"/>
  <c r="OD9" i="28"/>
  <c r="NU9" i="28"/>
  <c r="NU39" i="28" s="1"/>
  <c r="GL8" i="25"/>
  <c r="GM8" i="25"/>
  <c r="NR9" i="28"/>
  <c r="NN9" i="28"/>
  <c r="NJ9" i="28"/>
  <c r="NF9" i="28"/>
  <c r="NB9" i="28"/>
  <c r="MX9" i="28"/>
  <c r="MO9" i="28"/>
  <c r="MO39" i="28" s="1"/>
  <c r="GG8" i="25"/>
  <c r="GH8" i="25"/>
  <c r="ML9" i="28"/>
  <c r="MH9" i="28"/>
  <c r="MD9" i="28"/>
  <c r="LZ9" i="28"/>
  <c r="LV9" i="28"/>
  <c r="LR9" i="28"/>
  <c r="LI9" i="28"/>
  <c r="GB8" i="25"/>
  <c r="GC8" i="25"/>
  <c r="LF9" i="28"/>
  <c r="LB9" i="28"/>
  <c r="KX9" i="28"/>
  <c r="KT9" i="28"/>
  <c r="KP9" i="28"/>
  <c r="KL9" i="28"/>
  <c r="PA8" i="28"/>
  <c r="GQ7" i="25"/>
  <c r="GR7" i="25" s="1"/>
  <c r="OX8" i="28"/>
  <c r="OT8" i="28"/>
  <c r="OP8" i="28"/>
  <c r="OL8" i="28"/>
  <c r="OH8" i="28"/>
  <c r="OD8" i="28"/>
  <c r="NU8" i="28"/>
  <c r="GL7" i="25"/>
  <c r="GM7" i="25"/>
  <c r="NR8" i="28"/>
  <c r="NN8" i="28"/>
  <c r="NJ8" i="28"/>
  <c r="NF8" i="28"/>
  <c r="NB8" i="28"/>
  <c r="MX8" i="28"/>
  <c r="MO8" i="28"/>
  <c r="GG7" i="25"/>
  <c r="GH7" i="25"/>
  <c r="ML8" i="28"/>
  <c r="MH8" i="28"/>
  <c r="MD8" i="28"/>
  <c r="LZ8" i="28"/>
  <c r="LV8" i="28"/>
  <c r="LR8" i="28"/>
  <c r="LI8" i="28"/>
  <c r="GB7" i="25"/>
  <c r="GC7" i="25"/>
  <c r="LF8" i="28"/>
  <c r="LB8" i="28"/>
  <c r="LB39" i="28" s="1"/>
  <c r="KX8" i="28"/>
  <c r="KX39" i="28" s="1"/>
  <c r="KT8" i="28"/>
  <c r="KT39" i="28" s="1"/>
  <c r="KP8" i="28"/>
  <c r="KL8" i="28"/>
  <c r="KL39" i="28" s="1"/>
  <c r="GQ6" i="25"/>
  <c r="GR6" i="25"/>
  <c r="NU7" i="28"/>
  <c r="GL6" i="25"/>
  <c r="GM6" i="25"/>
  <c r="MO7" i="28"/>
  <c r="GG6" i="25"/>
  <c r="GH6" i="25"/>
  <c r="LI7" i="28"/>
  <c r="GB6" i="25"/>
  <c r="GC6" i="25"/>
  <c r="PB6" i="28"/>
  <c r="NV6" i="28"/>
  <c r="MP6" i="28"/>
  <c r="LJ6" i="28"/>
  <c r="PB5" i="28"/>
  <c r="PA5" i="28"/>
  <c r="OY5" i="28"/>
  <c r="NV5" i="28"/>
  <c r="NU5" i="28"/>
  <c r="NS5" i="28"/>
  <c r="MP5" i="28"/>
  <c r="MO5" i="28"/>
  <c r="MM5" i="28"/>
  <c r="LJ5" i="28"/>
  <c r="LI5" i="28"/>
  <c r="LG5" i="28"/>
  <c r="IY8" i="28"/>
  <c r="IY9" i="28"/>
  <c r="IY10" i="28"/>
  <c r="IY11" i="28"/>
  <c r="IY12" i="28"/>
  <c r="IY13" i="28"/>
  <c r="IY14" i="28"/>
  <c r="IY15" i="28"/>
  <c r="IY16" i="28"/>
  <c r="IY17" i="28"/>
  <c r="IY18" i="28"/>
  <c r="IY19" i="28"/>
  <c r="IY20" i="28"/>
  <c r="IY21" i="28"/>
  <c r="IY22" i="28"/>
  <c r="IY23" i="28"/>
  <c r="IY24" i="28"/>
  <c r="IY25" i="28"/>
  <c r="IY26" i="28"/>
  <c r="IY27" i="28"/>
  <c r="IY28" i="28"/>
  <c r="IY29" i="28"/>
  <c r="IY30" i="28"/>
  <c r="IY31" i="28"/>
  <c r="IY32" i="28"/>
  <c r="IY33" i="28"/>
  <c r="IY34" i="28"/>
  <c r="IY7" i="28"/>
  <c r="JC8" i="28"/>
  <c r="JC9" i="28"/>
  <c r="JC10" i="28"/>
  <c r="JC11" i="28"/>
  <c r="JC12" i="28"/>
  <c r="JC13" i="28"/>
  <c r="JC14" i="28"/>
  <c r="JC15" i="28"/>
  <c r="JC16" i="28"/>
  <c r="JC17" i="28"/>
  <c r="JC18" i="28"/>
  <c r="JC19" i="28"/>
  <c r="JC20" i="28"/>
  <c r="JC21" i="28"/>
  <c r="JC22" i="28"/>
  <c r="JC23" i="28"/>
  <c r="JC24" i="28"/>
  <c r="JC25" i="28"/>
  <c r="JC26" i="28"/>
  <c r="JC27" i="28"/>
  <c r="JC28" i="28"/>
  <c r="JC29" i="28"/>
  <c r="JC30" i="28"/>
  <c r="JC31" i="28"/>
  <c r="JC32" i="28"/>
  <c r="JC33" i="28"/>
  <c r="JC34" i="28"/>
  <c r="JC7" i="28"/>
  <c r="JG8" i="28"/>
  <c r="JG9" i="28"/>
  <c r="JG10" i="28"/>
  <c r="JG11" i="28"/>
  <c r="JG12" i="28"/>
  <c r="JG13" i="28"/>
  <c r="JG14" i="28"/>
  <c r="JG15" i="28"/>
  <c r="JG16" i="28"/>
  <c r="JG17" i="28"/>
  <c r="JG18" i="28"/>
  <c r="JG19" i="28"/>
  <c r="JG20" i="28"/>
  <c r="JG21" i="28"/>
  <c r="JG22" i="28"/>
  <c r="JG23" i="28"/>
  <c r="JG24" i="28"/>
  <c r="JG25" i="28"/>
  <c r="JG26" i="28"/>
  <c r="JG27" i="28"/>
  <c r="JG28" i="28"/>
  <c r="JG29" i="28"/>
  <c r="JG30" i="28"/>
  <c r="JG31" i="28"/>
  <c r="JG32" i="28"/>
  <c r="JG33" i="28"/>
  <c r="JG34" i="28"/>
  <c r="JG7" i="28"/>
  <c r="JK8" i="28"/>
  <c r="JK9" i="28"/>
  <c r="JK10" i="28"/>
  <c r="JK11" i="28"/>
  <c r="JK12" i="28"/>
  <c r="JK13" i="28"/>
  <c r="JK14" i="28"/>
  <c r="JK15" i="28"/>
  <c r="JK16" i="28"/>
  <c r="JK17" i="28"/>
  <c r="JK18" i="28"/>
  <c r="JK19" i="28"/>
  <c r="JK20" i="28"/>
  <c r="JK21" i="28"/>
  <c r="JK22" i="28"/>
  <c r="JK23" i="28"/>
  <c r="JK24" i="28"/>
  <c r="JK25" i="28"/>
  <c r="JK26" i="28"/>
  <c r="JK27" i="28"/>
  <c r="JK28" i="28"/>
  <c r="JK29" i="28"/>
  <c r="JK30" i="28"/>
  <c r="JK31" i="28"/>
  <c r="JK32" i="28"/>
  <c r="JK33" i="28"/>
  <c r="JK34" i="28"/>
  <c r="JK7" i="28"/>
  <c r="JO8" i="28"/>
  <c r="JO9" i="28"/>
  <c r="JO10" i="28"/>
  <c r="JO11" i="28"/>
  <c r="JO12" i="28"/>
  <c r="JO13" i="28"/>
  <c r="JO14" i="28"/>
  <c r="JO15" i="28"/>
  <c r="JO16" i="28"/>
  <c r="JO17" i="28"/>
  <c r="JO18" i="28"/>
  <c r="JO19" i="28"/>
  <c r="JO20" i="28"/>
  <c r="JO21" i="28"/>
  <c r="JO22" i="28"/>
  <c r="JO23" i="28"/>
  <c r="JO24" i="28"/>
  <c r="JO25" i="28"/>
  <c r="JO26" i="28"/>
  <c r="JO27" i="28"/>
  <c r="JO28" i="28"/>
  <c r="JO29" i="28"/>
  <c r="JO30" i="28"/>
  <c r="JO31" i="28"/>
  <c r="JO32" i="28"/>
  <c r="JO33" i="28"/>
  <c r="JO34" i="28"/>
  <c r="JO7" i="28"/>
  <c r="JS8" i="28"/>
  <c r="JS9" i="28"/>
  <c r="JS10" i="28"/>
  <c r="JS11" i="28"/>
  <c r="JS12" i="28"/>
  <c r="JS13" i="28"/>
  <c r="JS14" i="28"/>
  <c r="JS15" i="28"/>
  <c r="JS16" i="28"/>
  <c r="JS17" i="28"/>
  <c r="JS18" i="28"/>
  <c r="JS19" i="28"/>
  <c r="JS20" i="28"/>
  <c r="JS21" i="28"/>
  <c r="JS22" i="28"/>
  <c r="JS23" i="28"/>
  <c r="JS24" i="28"/>
  <c r="JS25" i="28"/>
  <c r="JS26" i="28"/>
  <c r="JS27" i="28"/>
  <c r="JS28" i="28"/>
  <c r="JS29" i="28"/>
  <c r="JS30" i="28"/>
  <c r="JS31" i="28"/>
  <c r="JS32" i="28"/>
  <c r="JS33" i="28"/>
  <c r="JS34" i="28"/>
  <c r="JS7" i="28"/>
  <c r="JW8" i="28"/>
  <c r="JW9" i="28"/>
  <c r="JW10" i="28"/>
  <c r="JW11" i="28"/>
  <c r="JW12" i="28"/>
  <c r="JW13" i="28"/>
  <c r="JW14" i="28"/>
  <c r="JW15" i="28"/>
  <c r="JW16" i="28"/>
  <c r="JW17" i="28"/>
  <c r="JW18" i="28"/>
  <c r="JW19" i="28"/>
  <c r="JW20" i="28"/>
  <c r="JW21" i="28"/>
  <c r="JW22" i="28"/>
  <c r="JW23" i="28"/>
  <c r="JW24" i="28"/>
  <c r="JW25" i="28"/>
  <c r="JW26" i="28"/>
  <c r="JW27" i="28"/>
  <c r="JW28" i="28"/>
  <c r="JW29" i="28"/>
  <c r="JW30" i="28"/>
  <c r="JW31" i="28"/>
  <c r="JW32" i="28"/>
  <c r="JW33" i="28"/>
  <c r="JW34" i="28"/>
  <c r="JW7" i="28"/>
  <c r="HS8" i="28"/>
  <c r="HS9" i="28"/>
  <c r="HS10" i="28"/>
  <c r="HS11" i="28"/>
  <c r="HS12" i="28"/>
  <c r="HS13" i="28"/>
  <c r="HS14" i="28"/>
  <c r="HS15" i="28"/>
  <c r="HS16" i="28"/>
  <c r="HS17" i="28"/>
  <c r="HS18" i="28"/>
  <c r="HS19" i="28"/>
  <c r="HS20" i="28"/>
  <c r="HS21" i="28"/>
  <c r="HS22" i="28"/>
  <c r="HS23" i="28"/>
  <c r="HS24" i="28"/>
  <c r="HS25" i="28"/>
  <c r="HS26" i="28"/>
  <c r="HS27" i="28"/>
  <c r="HS28" i="28"/>
  <c r="HS29" i="28"/>
  <c r="HS30" i="28"/>
  <c r="HS31" i="28"/>
  <c r="HS32" i="28"/>
  <c r="HS33" i="28"/>
  <c r="HS34" i="28"/>
  <c r="HW8" i="28"/>
  <c r="HW9" i="28"/>
  <c r="HW10" i="28"/>
  <c r="HW11" i="28"/>
  <c r="HW12" i="28"/>
  <c r="HW13" i="28"/>
  <c r="HW14" i="28"/>
  <c r="HW15" i="28"/>
  <c r="HW16" i="28"/>
  <c r="HW17" i="28"/>
  <c r="HW18" i="28"/>
  <c r="HW19" i="28"/>
  <c r="HW20" i="28"/>
  <c r="HW21" i="28"/>
  <c r="HW22" i="28"/>
  <c r="HW23" i="28"/>
  <c r="HW24" i="28"/>
  <c r="HW25" i="28"/>
  <c r="HW26" i="28"/>
  <c r="HW27" i="28"/>
  <c r="HW28" i="28"/>
  <c r="HW29" i="28"/>
  <c r="HW30" i="28"/>
  <c r="HW31" i="28"/>
  <c r="HW32" i="28"/>
  <c r="HW33" i="28"/>
  <c r="HW34" i="28"/>
  <c r="IA8" i="28"/>
  <c r="IA9" i="28"/>
  <c r="IA10" i="28"/>
  <c r="IA11" i="28"/>
  <c r="IA12" i="28"/>
  <c r="IA13" i="28"/>
  <c r="IA14" i="28"/>
  <c r="IA15" i="28"/>
  <c r="IA16" i="28"/>
  <c r="IA17" i="28"/>
  <c r="IA18" i="28"/>
  <c r="IA19" i="28"/>
  <c r="IA20" i="28"/>
  <c r="IA21" i="28"/>
  <c r="IA22" i="28"/>
  <c r="IA23" i="28"/>
  <c r="IA24" i="28"/>
  <c r="IA25" i="28"/>
  <c r="IA26" i="28"/>
  <c r="IA27" i="28"/>
  <c r="IA28" i="28"/>
  <c r="IA29" i="28"/>
  <c r="IA30" i="28"/>
  <c r="IA31" i="28"/>
  <c r="IA32" i="28"/>
  <c r="IA33" i="28"/>
  <c r="IA34" i="28"/>
  <c r="IE8" i="28"/>
  <c r="IE9" i="28"/>
  <c r="IE10" i="28"/>
  <c r="IE11" i="28"/>
  <c r="IE12" i="28"/>
  <c r="IE13" i="28"/>
  <c r="IE14" i="28"/>
  <c r="IE15" i="28"/>
  <c r="IE16" i="28"/>
  <c r="IE17" i="28"/>
  <c r="IE18" i="28"/>
  <c r="IE19" i="28"/>
  <c r="IE20" i="28"/>
  <c r="IE21" i="28"/>
  <c r="IE22" i="28"/>
  <c r="IE23" i="28"/>
  <c r="IE24" i="28"/>
  <c r="IE25" i="28"/>
  <c r="IE26" i="28"/>
  <c r="IE27" i="28"/>
  <c r="IE28" i="28"/>
  <c r="IE29" i="28"/>
  <c r="IE30" i="28"/>
  <c r="IE31" i="28"/>
  <c r="IE32" i="28"/>
  <c r="IE33" i="28"/>
  <c r="IE34" i="28"/>
  <c r="II8" i="28"/>
  <c r="II9" i="28"/>
  <c r="II10" i="28"/>
  <c r="II11" i="28"/>
  <c r="II12" i="28"/>
  <c r="II13" i="28"/>
  <c r="II14" i="28"/>
  <c r="II15" i="28"/>
  <c r="II16" i="28"/>
  <c r="II17" i="28"/>
  <c r="II18" i="28"/>
  <c r="II19" i="28"/>
  <c r="II20" i="28"/>
  <c r="II21" i="28"/>
  <c r="II22" i="28"/>
  <c r="II23" i="28"/>
  <c r="II24" i="28"/>
  <c r="II25" i="28"/>
  <c r="II26" i="28"/>
  <c r="II27" i="28"/>
  <c r="II28" i="28"/>
  <c r="II29" i="28"/>
  <c r="II30" i="28"/>
  <c r="II31" i="28"/>
  <c r="II32" i="28"/>
  <c r="II33" i="28"/>
  <c r="II34" i="28"/>
  <c r="IM8" i="28"/>
  <c r="IM9" i="28"/>
  <c r="IM10" i="28"/>
  <c r="IM11" i="28"/>
  <c r="IM12" i="28"/>
  <c r="IM13" i="28"/>
  <c r="IM14" i="28"/>
  <c r="IM15" i="28"/>
  <c r="IM16" i="28"/>
  <c r="IM17" i="28"/>
  <c r="IM18" i="28"/>
  <c r="IM19" i="28"/>
  <c r="IM20" i="28"/>
  <c r="IM21" i="28"/>
  <c r="IM22" i="28"/>
  <c r="IM23" i="28"/>
  <c r="IM24" i="28"/>
  <c r="IM25" i="28"/>
  <c r="IM26" i="28"/>
  <c r="IM27" i="28"/>
  <c r="IM28" i="28"/>
  <c r="IM29" i="28"/>
  <c r="IM30" i="28"/>
  <c r="IM31" i="28"/>
  <c r="IM32" i="28"/>
  <c r="IM33" i="28"/>
  <c r="IM34" i="28"/>
  <c r="IQ8" i="28"/>
  <c r="IQ9" i="28"/>
  <c r="IQ10" i="28"/>
  <c r="IQ11" i="28"/>
  <c r="IQ12" i="28"/>
  <c r="IQ13" i="28"/>
  <c r="IQ14" i="28"/>
  <c r="IQ15" i="28"/>
  <c r="IQ16" i="28"/>
  <c r="IQ17" i="28"/>
  <c r="IQ18" i="28"/>
  <c r="IQ19" i="28"/>
  <c r="IQ20" i="28"/>
  <c r="IQ21" i="28"/>
  <c r="IQ22" i="28"/>
  <c r="IQ23" i="28"/>
  <c r="IQ24" i="28"/>
  <c r="IQ25" i="28"/>
  <c r="IQ26" i="28"/>
  <c r="IQ27" i="28"/>
  <c r="IQ28" i="28"/>
  <c r="IQ29" i="28"/>
  <c r="IQ30" i="28"/>
  <c r="IQ31" i="28"/>
  <c r="IQ32" i="28"/>
  <c r="IQ33" i="28"/>
  <c r="IQ34" i="28"/>
  <c r="IQ7" i="28"/>
  <c r="IM7" i="28"/>
  <c r="II7" i="28"/>
  <c r="IE7" i="28"/>
  <c r="IA7" i="28"/>
  <c r="HW7" i="28"/>
  <c r="HS7" i="28"/>
  <c r="HK8" i="28"/>
  <c r="HK9" i="28"/>
  <c r="HK10" i="28"/>
  <c r="HK11" i="28"/>
  <c r="HK12" i="28"/>
  <c r="HK13" i="28"/>
  <c r="HK14" i="28"/>
  <c r="HK15" i="28"/>
  <c r="HK16" i="28"/>
  <c r="HK17" i="28"/>
  <c r="HK18" i="28"/>
  <c r="HK19" i="28"/>
  <c r="HK20" i="28"/>
  <c r="HK21" i="28"/>
  <c r="HK22" i="28"/>
  <c r="HK23" i="28"/>
  <c r="HK24" i="28"/>
  <c r="HK25" i="28"/>
  <c r="HK26" i="28"/>
  <c r="HK27" i="28"/>
  <c r="HK28" i="28"/>
  <c r="HK29" i="28"/>
  <c r="HK30" i="28"/>
  <c r="HK31" i="28"/>
  <c r="HK32" i="28"/>
  <c r="HK33" i="28"/>
  <c r="HK34" i="28"/>
  <c r="HG8" i="28"/>
  <c r="HG9" i="28"/>
  <c r="HG10" i="28"/>
  <c r="HG11" i="28"/>
  <c r="HG12" i="28"/>
  <c r="HG13" i="28"/>
  <c r="HG14" i="28"/>
  <c r="HG15" i="28"/>
  <c r="HG16" i="28"/>
  <c r="HG17" i="28"/>
  <c r="HG18" i="28"/>
  <c r="HG19" i="28"/>
  <c r="HG20" i="28"/>
  <c r="HG21" i="28"/>
  <c r="HG22" i="28"/>
  <c r="HG23" i="28"/>
  <c r="HG24" i="28"/>
  <c r="HG25" i="28"/>
  <c r="HG26" i="28"/>
  <c r="HG27" i="28"/>
  <c r="HG28" i="28"/>
  <c r="HG29" i="28"/>
  <c r="HG30" i="28"/>
  <c r="HG31" i="28"/>
  <c r="HG32" i="28"/>
  <c r="HG33" i="28"/>
  <c r="HG34" i="28"/>
  <c r="HC8" i="28"/>
  <c r="HC9" i="28"/>
  <c r="HC10" i="28"/>
  <c r="HC11" i="28"/>
  <c r="HC12" i="28"/>
  <c r="HC13" i="28"/>
  <c r="HC14" i="28"/>
  <c r="HC15" i="28"/>
  <c r="HC16" i="28"/>
  <c r="HC17" i="28"/>
  <c r="HC18" i="28"/>
  <c r="HC19" i="28"/>
  <c r="HC20" i="28"/>
  <c r="HC21" i="28"/>
  <c r="HC22" i="28"/>
  <c r="HC23" i="28"/>
  <c r="HC24" i="28"/>
  <c r="HC25" i="28"/>
  <c r="HC26" i="28"/>
  <c r="HC27" i="28"/>
  <c r="HC28" i="28"/>
  <c r="HC29" i="28"/>
  <c r="HC30" i="28"/>
  <c r="HC31" i="28"/>
  <c r="HC32" i="28"/>
  <c r="HC33" i="28"/>
  <c r="HC34" i="28"/>
  <c r="GY8" i="28"/>
  <c r="GY9" i="28"/>
  <c r="GY10" i="28"/>
  <c r="GY11" i="28"/>
  <c r="GY12" i="28"/>
  <c r="GY13" i="28"/>
  <c r="GY14" i="28"/>
  <c r="GY15" i="28"/>
  <c r="GY16" i="28"/>
  <c r="GY17" i="28"/>
  <c r="GY18" i="28"/>
  <c r="GY19" i="28"/>
  <c r="GY20" i="28"/>
  <c r="GY21" i="28"/>
  <c r="GY22" i="28"/>
  <c r="GY23" i="28"/>
  <c r="GY24" i="28"/>
  <c r="GY25" i="28"/>
  <c r="GY26" i="28"/>
  <c r="GY27" i="28"/>
  <c r="GY28" i="28"/>
  <c r="GY29" i="28"/>
  <c r="GY30" i="28"/>
  <c r="GY31" i="28"/>
  <c r="GY32" i="28"/>
  <c r="GY33" i="28"/>
  <c r="GY34" i="28"/>
  <c r="GU8" i="28"/>
  <c r="GU9" i="28"/>
  <c r="GU10" i="28"/>
  <c r="GU11" i="28"/>
  <c r="GU12" i="28"/>
  <c r="GU13" i="28"/>
  <c r="GU14" i="28"/>
  <c r="GU15" i="28"/>
  <c r="GU16" i="28"/>
  <c r="GU17" i="28"/>
  <c r="GU18" i="28"/>
  <c r="GU19" i="28"/>
  <c r="GU20" i="28"/>
  <c r="GU21" i="28"/>
  <c r="GU22" i="28"/>
  <c r="GU23" i="28"/>
  <c r="GU24" i="28"/>
  <c r="GU25" i="28"/>
  <c r="GU26" i="28"/>
  <c r="GU27" i="28"/>
  <c r="GU28" i="28"/>
  <c r="GU29" i="28"/>
  <c r="GU30" i="28"/>
  <c r="GU31" i="28"/>
  <c r="GU32" i="28"/>
  <c r="GU33" i="28"/>
  <c r="GU34" i="28"/>
  <c r="GQ8" i="28"/>
  <c r="GQ9" i="28"/>
  <c r="GQ10" i="28"/>
  <c r="GQ11" i="28"/>
  <c r="GQ12" i="28"/>
  <c r="GQ13" i="28"/>
  <c r="GQ14" i="28"/>
  <c r="GQ15" i="28"/>
  <c r="GQ16" i="28"/>
  <c r="GQ17" i="28"/>
  <c r="GQ18" i="28"/>
  <c r="GQ19" i="28"/>
  <c r="GQ20" i="28"/>
  <c r="GQ21" i="28"/>
  <c r="GQ22" i="28"/>
  <c r="GQ23" i="28"/>
  <c r="GQ24" i="28"/>
  <c r="GQ25" i="28"/>
  <c r="GQ26" i="28"/>
  <c r="GQ27" i="28"/>
  <c r="GQ28" i="28"/>
  <c r="GQ29" i="28"/>
  <c r="GQ30" i="28"/>
  <c r="GQ31" i="28"/>
  <c r="GQ32" i="28"/>
  <c r="GQ33" i="28"/>
  <c r="GQ34" i="28"/>
  <c r="GM8" i="28"/>
  <c r="GM9" i="28"/>
  <c r="GM10" i="28"/>
  <c r="GM11" i="28"/>
  <c r="GM12" i="28"/>
  <c r="GM13" i="28"/>
  <c r="GM14" i="28"/>
  <c r="GM15" i="28"/>
  <c r="GM16" i="28"/>
  <c r="GM17" i="28"/>
  <c r="GM18" i="28"/>
  <c r="GM19" i="28"/>
  <c r="GM20" i="28"/>
  <c r="GM21" i="28"/>
  <c r="GM22" i="28"/>
  <c r="GM23" i="28"/>
  <c r="GM24" i="28"/>
  <c r="GM25" i="28"/>
  <c r="GM26" i="28"/>
  <c r="GM27" i="28"/>
  <c r="GM28" i="28"/>
  <c r="GM29" i="28"/>
  <c r="GM30" i="28"/>
  <c r="GM31" i="28"/>
  <c r="GM32" i="28"/>
  <c r="GM33" i="28"/>
  <c r="GM34" i="28"/>
  <c r="GM7" i="28"/>
  <c r="GQ7" i="28"/>
  <c r="GU7" i="28"/>
  <c r="GY7" i="28"/>
  <c r="HC7" i="28"/>
  <c r="HG7" i="28"/>
  <c r="HK7" i="28"/>
  <c r="KD6" i="28"/>
  <c r="KD5" i="28"/>
  <c r="KC5" i="28"/>
  <c r="KA5" i="28"/>
  <c r="IX6" i="28"/>
  <c r="IX5" i="28"/>
  <c r="IW5" i="28"/>
  <c r="IU5" i="28"/>
  <c r="HR6" i="28"/>
  <c r="HR5" i="28"/>
  <c r="HQ5" i="28"/>
  <c r="HO5" i="28"/>
  <c r="GL6" i="28"/>
  <c r="GL5" i="28"/>
  <c r="GK5" i="28"/>
  <c r="GI5" i="28"/>
  <c r="FF6" i="28"/>
  <c r="FF5" i="28"/>
  <c r="FE5" i="28"/>
  <c r="FC5" i="28"/>
  <c r="DZ6" i="28"/>
  <c r="CT6" i="28"/>
  <c r="DZ5" i="28"/>
  <c r="DY5" i="28"/>
  <c r="DW5" i="28"/>
  <c r="CT5" i="28"/>
  <c r="CS5" i="28"/>
  <c r="CQ5" i="28"/>
  <c r="BN6" i="28"/>
  <c r="BN5" i="28"/>
  <c r="BM5" i="28"/>
  <c r="BK5" i="28"/>
  <c r="AH6" i="28"/>
  <c r="AH5" i="28"/>
  <c r="AG5" i="28"/>
  <c r="AE5" i="28"/>
  <c r="FK8" i="28"/>
  <c r="FK9" i="28"/>
  <c r="FK10" i="28"/>
  <c r="FK11" i="28"/>
  <c r="FK12" i="28"/>
  <c r="FK13" i="28"/>
  <c r="FK14" i="28"/>
  <c r="FK15" i="28"/>
  <c r="FK16" i="28"/>
  <c r="FK17" i="28"/>
  <c r="FK18" i="28"/>
  <c r="FK19" i="28"/>
  <c r="FK20" i="28"/>
  <c r="FK21" i="28"/>
  <c r="FK22" i="28"/>
  <c r="FK23" i="28"/>
  <c r="FK24" i="28"/>
  <c r="FK25" i="28"/>
  <c r="FK26" i="28"/>
  <c r="FK27" i="28"/>
  <c r="FK28" i="28"/>
  <c r="FK29" i="28"/>
  <c r="FK30" i="28"/>
  <c r="FK31" i="28"/>
  <c r="FK32" i="28"/>
  <c r="FK33" i="28"/>
  <c r="FK34" i="28"/>
  <c r="FO8" i="28"/>
  <c r="FO9" i="28"/>
  <c r="FO10" i="28"/>
  <c r="FO11" i="28"/>
  <c r="FO12" i="28"/>
  <c r="FO13" i="28"/>
  <c r="FO14" i="28"/>
  <c r="FO15" i="28"/>
  <c r="FO16" i="28"/>
  <c r="FO17" i="28"/>
  <c r="FO18" i="28"/>
  <c r="FO19" i="28"/>
  <c r="FO20" i="28"/>
  <c r="FO21" i="28"/>
  <c r="FO22" i="28"/>
  <c r="FO23" i="28"/>
  <c r="FO24" i="28"/>
  <c r="FO25" i="28"/>
  <c r="FO26" i="28"/>
  <c r="FO27" i="28"/>
  <c r="FO28" i="28"/>
  <c r="FO29" i="28"/>
  <c r="FO30" i="28"/>
  <c r="FO31" i="28"/>
  <c r="FO32" i="28"/>
  <c r="FO33" i="28"/>
  <c r="FO34" i="28"/>
  <c r="FS8" i="28"/>
  <c r="FS9" i="28"/>
  <c r="FS10" i="28"/>
  <c r="FS11" i="28"/>
  <c r="FS12" i="28"/>
  <c r="FS13" i="28"/>
  <c r="FS14" i="28"/>
  <c r="FS15" i="28"/>
  <c r="FS16" i="28"/>
  <c r="FS17" i="28"/>
  <c r="FS18" i="28"/>
  <c r="FS19" i="28"/>
  <c r="FS20" i="28"/>
  <c r="FS21" i="28"/>
  <c r="FS22" i="28"/>
  <c r="FS23" i="28"/>
  <c r="FS24" i="28"/>
  <c r="FS25" i="28"/>
  <c r="FS26" i="28"/>
  <c r="FS27" i="28"/>
  <c r="FS28" i="28"/>
  <c r="FS29" i="28"/>
  <c r="FS30" i="28"/>
  <c r="FS31" i="28"/>
  <c r="FS32" i="28"/>
  <c r="FS33" i="28"/>
  <c r="FS34" i="28"/>
  <c r="FW8" i="28"/>
  <c r="FW9" i="28"/>
  <c r="FW10" i="28"/>
  <c r="FW11" i="28"/>
  <c r="FW12" i="28"/>
  <c r="FW13" i="28"/>
  <c r="FW14" i="28"/>
  <c r="FW15" i="28"/>
  <c r="FW16" i="28"/>
  <c r="FW17" i="28"/>
  <c r="FW18" i="28"/>
  <c r="FW19" i="28"/>
  <c r="FW20" i="28"/>
  <c r="FW21" i="28"/>
  <c r="FW22" i="28"/>
  <c r="FW23" i="28"/>
  <c r="FW24" i="28"/>
  <c r="FW25" i="28"/>
  <c r="FW26" i="28"/>
  <c r="FW27" i="28"/>
  <c r="FW28" i="28"/>
  <c r="FW29" i="28"/>
  <c r="FW30" i="28"/>
  <c r="FW31" i="28"/>
  <c r="FW32" i="28"/>
  <c r="FW33" i="28"/>
  <c r="FW34" i="28"/>
  <c r="GA8" i="28"/>
  <c r="GA9" i="28"/>
  <c r="GA10" i="28"/>
  <c r="GA11" i="28"/>
  <c r="GA12" i="28"/>
  <c r="GA13" i="28"/>
  <c r="GA14" i="28"/>
  <c r="GA15" i="28"/>
  <c r="GA16" i="28"/>
  <c r="GA17" i="28"/>
  <c r="GA18" i="28"/>
  <c r="GA19" i="28"/>
  <c r="GA20" i="28"/>
  <c r="GA21" i="28"/>
  <c r="GA22" i="28"/>
  <c r="GA23" i="28"/>
  <c r="GA24" i="28"/>
  <c r="GA25" i="28"/>
  <c r="GA26" i="28"/>
  <c r="GA27" i="28"/>
  <c r="GA28" i="28"/>
  <c r="GA29" i="28"/>
  <c r="GA30" i="28"/>
  <c r="GA31" i="28"/>
  <c r="GA32" i="28"/>
  <c r="GA33" i="28"/>
  <c r="GA34" i="28"/>
  <c r="GE8" i="28"/>
  <c r="GE9" i="28"/>
  <c r="GE10" i="28"/>
  <c r="GE11" i="28"/>
  <c r="GE12" i="28"/>
  <c r="GE13" i="28"/>
  <c r="GE14" i="28"/>
  <c r="GE15" i="28"/>
  <c r="GE16" i="28"/>
  <c r="GE17" i="28"/>
  <c r="GE18" i="28"/>
  <c r="GE19" i="28"/>
  <c r="GE20" i="28"/>
  <c r="GE21" i="28"/>
  <c r="GE22" i="28"/>
  <c r="GE23" i="28"/>
  <c r="GE24" i="28"/>
  <c r="GE25" i="28"/>
  <c r="GE26" i="28"/>
  <c r="GE27" i="28"/>
  <c r="GE28" i="28"/>
  <c r="GE29" i="28"/>
  <c r="GE30" i="28"/>
  <c r="GE31" i="28"/>
  <c r="GE32" i="28"/>
  <c r="GE33" i="28"/>
  <c r="GE34" i="28"/>
  <c r="GE7" i="28"/>
  <c r="GA7" i="28"/>
  <c r="FW7" i="28"/>
  <c r="FS7" i="28"/>
  <c r="FO7" i="28"/>
  <c r="FK7" i="28"/>
  <c r="FG8" i="28"/>
  <c r="FG9" i="28"/>
  <c r="FG10" i="28"/>
  <c r="FG11" i="28"/>
  <c r="FG12" i="28"/>
  <c r="FG13" i="28"/>
  <c r="FG14" i="28"/>
  <c r="FG15" i="28"/>
  <c r="FG16" i="28"/>
  <c r="FG17" i="28"/>
  <c r="FG18" i="28"/>
  <c r="FG19" i="28"/>
  <c r="FG20" i="28"/>
  <c r="FG21" i="28"/>
  <c r="FG22" i="28"/>
  <c r="FG23" i="28"/>
  <c r="FG24" i="28"/>
  <c r="FG25" i="28"/>
  <c r="FG26" i="28"/>
  <c r="FG27" i="28"/>
  <c r="FG28" i="28"/>
  <c r="FG29" i="28"/>
  <c r="FG30" i="28"/>
  <c r="FG31" i="28"/>
  <c r="FG32" i="28"/>
  <c r="FG33" i="28"/>
  <c r="FG34" i="28"/>
  <c r="FG7" i="28"/>
  <c r="JY36" i="28"/>
  <c r="JU36" i="28"/>
  <c r="JQ36" i="28"/>
  <c r="JM36" i="28"/>
  <c r="JI36" i="28"/>
  <c r="JE36" i="28"/>
  <c r="JA36" i="28"/>
  <c r="IS36" i="28"/>
  <c r="IO36" i="28"/>
  <c r="IK36" i="28"/>
  <c r="IG36" i="28"/>
  <c r="IC36" i="28"/>
  <c r="HY36" i="28"/>
  <c r="HU36" i="28"/>
  <c r="HM36" i="28"/>
  <c r="HI36" i="28"/>
  <c r="HE36" i="28"/>
  <c r="HA36" i="28"/>
  <c r="GW36" i="28"/>
  <c r="GS36" i="28"/>
  <c r="GO36" i="28"/>
  <c r="GG36" i="28"/>
  <c r="GC36" i="28"/>
  <c r="FY36" i="28"/>
  <c r="FU36" i="28"/>
  <c r="FQ36" i="28"/>
  <c r="FM36" i="28"/>
  <c r="FI36" i="28"/>
  <c r="KC35" i="28"/>
  <c r="FS34" i="25"/>
  <c r="FT34" i="25"/>
  <c r="IW35" i="28"/>
  <c r="FN34" i="25"/>
  <c r="FO34" i="25"/>
  <c r="FJ34" i="25"/>
  <c r="KC34" i="28"/>
  <c r="FS33" i="25"/>
  <c r="FT33" i="25"/>
  <c r="JZ34" i="28"/>
  <c r="JV34" i="28"/>
  <c r="JR34" i="28"/>
  <c r="JN34" i="28"/>
  <c r="JJ34" i="28"/>
  <c r="JF34" i="28"/>
  <c r="IW34" i="28"/>
  <c r="FN33" i="25"/>
  <c r="FO33" i="25"/>
  <c r="IT34" i="28"/>
  <c r="IP34" i="28"/>
  <c r="IL34" i="28"/>
  <c r="IH34" i="28"/>
  <c r="ID34" i="28"/>
  <c r="HZ34" i="28"/>
  <c r="HN34" i="28"/>
  <c r="HJ34" i="28"/>
  <c r="HF34" i="28"/>
  <c r="HB34" i="28"/>
  <c r="GX34" i="28"/>
  <c r="GT34" i="28"/>
  <c r="GH34" i="28"/>
  <c r="GD34" i="28"/>
  <c r="FZ34" i="28"/>
  <c r="FV34" i="28"/>
  <c r="FR34" i="28"/>
  <c r="FN34" i="28"/>
  <c r="KC33" i="28"/>
  <c r="FS32" i="25"/>
  <c r="FT32" i="25"/>
  <c r="JZ33" i="28"/>
  <c r="JV33" i="28"/>
  <c r="JR33" i="28"/>
  <c r="JN33" i="28"/>
  <c r="JJ33" i="28"/>
  <c r="JF33" i="28"/>
  <c r="IW33" i="28"/>
  <c r="FN32" i="25"/>
  <c r="FO32" i="25"/>
  <c r="IT33" i="28"/>
  <c r="IP33" i="28"/>
  <c r="IL33" i="28"/>
  <c r="IH33" i="28"/>
  <c r="ID33" i="28"/>
  <c r="HZ33" i="28"/>
  <c r="HN33" i="28"/>
  <c r="HJ33" i="28"/>
  <c r="HF33" i="28"/>
  <c r="HB33" i="28"/>
  <c r="GX33" i="28"/>
  <c r="GT33" i="28"/>
  <c r="GH33" i="28"/>
  <c r="GD33" i="28"/>
  <c r="FZ33" i="28"/>
  <c r="FV33" i="28"/>
  <c r="FR33" i="28"/>
  <c r="FN33" i="28"/>
  <c r="KC32" i="28"/>
  <c r="FS31" i="25"/>
  <c r="FT31" i="25"/>
  <c r="JZ32" i="28"/>
  <c r="JV32" i="28"/>
  <c r="JR32" i="28"/>
  <c r="JN32" i="28"/>
  <c r="JJ32" i="28"/>
  <c r="JF32" i="28"/>
  <c r="IW32" i="28"/>
  <c r="FN31" i="25"/>
  <c r="FO31" i="25"/>
  <c r="IT32" i="28"/>
  <c r="IP32" i="28"/>
  <c r="IL32" i="28"/>
  <c r="IH32" i="28"/>
  <c r="ID32" i="28"/>
  <c r="HZ32" i="28"/>
  <c r="HN32" i="28"/>
  <c r="HJ32" i="28"/>
  <c r="HF32" i="28"/>
  <c r="HB32" i="28"/>
  <c r="GX32" i="28"/>
  <c r="GT32" i="28"/>
  <c r="GH32" i="28"/>
  <c r="GD32" i="28"/>
  <c r="FZ32" i="28"/>
  <c r="FV32" i="28"/>
  <c r="FR32" i="28"/>
  <c r="FN32" i="28"/>
  <c r="KC31" i="28"/>
  <c r="FS30" i="25"/>
  <c r="FS44" i="25" s="1"/>
  <c r="FT44" i="25" s="1"/>
  <c r="FT30" i="25"/>
  <c r="JZ31" i="28"/>
  <c r="JV31" i="28"/>
  <c r="JR31" i="28"/>
  <c r="JN31" i="28"/>
  <c r="JJ31" i="28"/>
  <c r="JF31" i="28"/>
  <c r="IW31" i="28"/>
  <c r="FN30" i="25"/>
  <c r="FN44" i="25" s="1"/>
  <c r="FO44" i="25" s="1"/>
  <c r="FO30" i="25"/>
  <c r="IT31" i="28"/>
  <c r="IP31" i="28"/>
  <c r="IL31" i="28"/>
  <c r="IH31" i="28"/>
  <c r="ID31" i="28"/>
  <c r="HZ31" i="28"/>
  <c r="HN31" i="28"/>
  <c r="HJ31" i="28"/>
  <c r="HF31" i="28"/>
  <c r="HB31" i="28"/>
  <c r="GX31" i="28"/>
  <c r="GT31" i="28"/>
  <c r="GH31" i="28"/>
  <c r="GD31" i="28"/>
  <c r="FZ31" i="28"/>
  <c r="FV31" i="28"/>
  <c r="FR31" i="28"/>
  <c r="FN31" i="28"/>
  <c r="KC30" i="28"/>
  <c r="KC44" i="28" s="1"/>
  <c r="FS29" i="25"/>
  <c r="FT29" i="25"/>
  <c r="JZ30" i="28"/>
  <c r="JZ44" i="28" s="1"/>
  <c r="JV30" i="28"/>
  <c r="JR30" i="28"/>
  <c r="JN30" i="28"/>
  <c r="JN44" i="28" s="1"/>
  <c r="JJ30" i="28"/>
  <c r="JF30" i="28"/>
  <c r="JF44" i="28" s="1"/>
  <c r="IW30" i="28"/>
  <c r="FN29" i="25"/>
  <c r="FO29" i="25"/>
  <c r="IT30" i="28"/>
  <c r="IT44" i="28" s="1"/>
  <c r="IP30" i="28"/>
  <c r="IP44" i="28" s="1"/>
  <c r="IL30" i="28"/>
  <c r="IH30" i="28"/>
  <c r="IH44" i="28" s="1"/>
  <c r="ID30" i="28"/>
  <c r="HZ30" i="28"/>
  <c r="HZ44" i="28" s="1"/>
  <c r="HN30" i="28"/>
  <c r="HJ30" i="28"/>
  <c r="HJ44" i="28" s="1"/>
  <c r="HF30" i="28"/>
  <c r="HB30" i="28"/>
  <c r="HB44" i="28" s="1"/>
  <c r="GX30" i="28"/>
  <c r="GX44" i="28" s="1"/>
  <c r="GT30" i="28"/>
  <c r="GT44" i="28" s="1"/>
  <c r="GH30" i="28"/>
  <c r="GD30" i="28"/>
  <c r="GD44" i="28" s="1"/>
  <c r="FZ30" i="28"/>
  <c r="FZ44" i="28" s="1"/>
  <c r="FV30" i="28"/>
  <c r="FV44" i="28" s="1"/>
  <c r="FR30" i="28"/>
  <c r="FN30" i="28"/>
  <c r="FN44" i="28" s="1"/>
  <c r="KC29" i="28"/>
  <c r="FS28" i="25"/>
  <c r="FT28" i="25"/>
  <c r="JZ29" i="28"/>
  <c r="JV29" i="28"/>
  <c r="JR29" i="28"/>
  <c r="JN29" i="28"/>
  <c r="JJ29" i="28"/>
  <c r="JF29" i="28"/>
  <c r="IW29" i="28"/>
  <c r="FN28" i="25"/>
  <c r="FO28" i="25"/>
  <c r="IT29" i="28"/>
  <c r="IP29" i="28"/>
  <c r="IL29" i="28"/>
  <c r="IH29" i="28"/>
  <c r="ID29" i="28"/>
  <c r="HZ29" i="28"/>
  <c r="HN29" i="28"/>
  <c r="HJ29" i="28"/>
  <c r="HF29" i="28"/>
  <c r="HB29" i="28"/>
  <c r="GX29" i="28"/>
  <c r="GT29" i="28"/>
  <c r="GH29" i="28"/>
  <c r="GD29" i="28"/>
  <c r="FZ29" i="28"/>
  <c r="FV29" i="28"/>
  <c r="FR29" i="28"/>
  <c r="FN29" i="28"/>
  <c r="KC28" i="28"/>
  <c r="FS27" i="25"/>
  <c r="FT27" i="25"/>
  <c r="JZ28" i="28"/>
  <c r="JV28" i="28"/>
  <c r="JR28" i="28"/>
  <c r="JN28" i="28"/>
  <c r="JJ28" i="28"/>
  <c r="JF28" i="28"/>
  <c r="IW28" i="28"/>
  <c r="FN27" i="25"/>
  <c r="FO27" i="25"/>
  <c r="IT28" i="28"/>
  <c r="IP28" i="28"/>
  <c r="IL28" i="28"/>
  <c r="IH28" i="28"/>
  <c r="ID28" i="28"/>
  <c r="HZ28" i="28"/>
  <c r="HN28" i="28"/>
  <c r="HJ28" i="28"/>
  <c r="HF28" i="28"/>
  <c r="HB28" i="28"/>
  <c r="GX28" i="28"/>
  <c r="GT28" i="28"/>
  <c r="GH28" i="28"/>
  <c r="GD28" i="28"/>
  <c r="FZ28" i="28"/>
  <c r="FV28" i="28"/>
  <c r="FR28" i="28"/>
  <c r="FN28" i="28"/>
  <c r="KC27" i="28"/>
  <c r="FS26" i="25"/>
  <c r="FT26" i="25"/>
  <c r="JZ27" i="28"/>
  <c r="JV27" i="28"/>
  <c r="JR27" i="28"/>
  <c r="JN27" i="28"/>
  <c r="JJ27" i="28"/>
  <c r="JF27" i="28"/>
  <c r="IW27" i="28"/>
  <c r="FN26" i="25"/>
  <c r="FO26" i="25"/>
  <c r="IT27" i="28"/>
  <c r="IP27" i="28"/>
  <c r="IL27" i="28"/>
  <c r="IH27" i="28"/>
  <c r="ID27" i="28"/>
  <c r="HZ27" i="28"/>
  <c r="HN27" i="28"/>
  <c r="HJ27" i="28"/>
  <c r="HF27" i="28"/>
  <c r="HB27" i="28"/>
  <c r="GX27" i="28"/>
  <c r="GT27" i="28"/>
  <c r="GH27" i="28"/>
  <c r="GD27" i="28"/>
  <c r="FZ27" i="28"/>
  <c r="FV27" i="28"/>
  <c r="FR27" i="28"/>
  <c r="FN27" i="28"/>
  <c r="KC26" i="28"/>
  <c r="FS25" i="25"/>
  <c r="FS43" i="25" s="1"/>
  <c r="FT25" i="25"/>
  <c r="JZ26" i="28"/>
  <c r="JV26" i="28"/>
  <c r="JR26" i="28"/>
  <c r="JN26" i="28"/>
  <c r="JJ26" i="28"/>
  <c r="JF26" i="28"/>
  <c r="IW26" i="28"/>
  <c r="FN25" i="25"/>
  <c r="FO25" i="25"/>
  <c r="IT26" i="28"/>
  <c r="IP26" i="28"/>
  <c r="IL26" i="28"/>
  <c r="IH26" i="28"/>
  <c r="ID26" i="28"/>
  <c r="HZ26" i="28"/>
  <c r="HN26" i="28"/>
  <c r="HJ26" i="28"/>
  <c r="HF26" i="28"/>
  <c r="HB26" i="28"/>
  <c r="GX26" i="28"/>
  <c r="GT26" i="28"/>
  <c r="GH26" i="28"/>
  <c r="GD26" i="28"/>
  <c r="FZ26" i="28"/>
  <c r="FV26" i="28"/>
  <c r="FR26" i="28"/>
  <c r="FN26" i="28"/>
  <c r="KC25" i="28"/>
  <c r="KC43" i="28" s="1"/>
  <c r="FS24" i="25"/>
  <c r="FT24" i="25"/>
  <c r="JZ25" i="28"/>
  <c r="JZ43" i="28" s="1"/>
  <c r="JV25" i="28"/>
  <c r="JR25" i="28"/>
  <c r="JN25" i="28"/>
  <c r="JN43" i="28" s="1"/>
  <c r="JJ25" i="28"/>
  <c r="JF25" i="28"/>
  <c r="JF43" i="28" s="1"/>
  <c r="IW25" i="28"/>
  <c r="FN24" i="25"/>
  <c r="FO24" i="25"/>
  <c r="IT25" i="28"/>
  <c r="IT43" i="28" s="1"/>
  <c r="IT45" i="28" s="1"/>
  <c r="IP25" i="28"/>
  <c r="IP43" i="28" s="1"/>
  <c r="IL25" i="28"/>
  <c r="IH25" i="28"/>
  <c r="IH43" i="28" s="1"/>
  <c r="ID25" i="28"/>
  <c r="HZ25" i="28"/>
  <c r="HZ43" i="28" s="1"/>
  <c r="HZ45" i="28" s="1"/>
  <c r="HN25" i="28"/>
  <c r="HJ25" i="28"/>
  <c r="HJ43" i="28" s="1"/>
  <c r="HF25" i="28"/>
  <c r="HB25" i="28"/>
  <c r="HB43" i="28" s="1"/>
  <c r="HB45" i="28" s="1"/>
  <c r="GX25" i="28"/>
  <c r="GX43" i="28" s="1"/>
  <c r="GT25" i="28"/>
  <c r="GT43" i="28" s="1"/>
  <c r="GT45" i="28" s="1"/>
  <c r="GH25" i="28"/>
  <c r="GD25" i="28"/>
  <c r="GD43" i="28" s="1"/>
  <c r="GD45" i="28" s="1"/>
  <c r="FZ25" i="28"/>
  <c r="FZ43" i="28" s="1"/>
  <c r="FV25" i="28"/>
  <c r="FV43" i="28" s="1"/>
  <c r="FV45" i="28" s="1"/>
  <c r="FR25" i="28"/>
  <c r="FN25" i="28"/>
  <c r="FN43" i="28" s="1"/>
  <c r="KC24" i="28"/>
  <c r="FS23" i="25"/>
  <c r="FT23" i="25"/>
  <c r="JZ24" i="28"/>
  <c r="JV24" i="28"/>
  <c r="JR24" i="28"/>
  <c r="JN24" i="28"/>
  <c r="JJ24" i="28"/>
  <c r="JF24" i="28"/>
  <c r="IW24" i="28"/>
  <c r="FN23" i="25"/>
  <c r="FO23" i="25"/>
  <c r="IT24" i="28"/>
  <c r="IP24" i="28"/>
  <c r="IL24" i="28"/>
  <c r="IH24" i="28"/>
  <c r="ID24" i="28"/>
  <c r="HZ24" i="28"/>
  <c r="HN24" i="28"/>
  <c r="HJ24" i="28"/>
  <c r="HF24" i="28"/>
  <c r="HB24" i="28"/>
  <c r="GX24" i="28"/>
  <c r="GT24" i="28"/>
  <c r="GH24" i="28"/>
  <c r="GD24" i="28"/>
  <c r="FZ24" i="28"/>
  <c r="FV24" i="28"/>
  <c r="FR24" i="28"/>
  <c r="FN24" i="28"/>
  <c r="KC23" i="28"/>
  <c r="FS22" i="25"/>
  <c r="FT22" i="25"/>
  <c r="JZ23" i="28"/>
  <c r="JV23" i="28"/>
  <c r="JR23" i="28"/>
  <c r="JN23" i="28"/>
  <c r="JJ23" i="28"/>
  <c r="JF23" i="28"/>
  <c r="IW23" i="28"/>
  <c r="FN22" i="25"/>
  <c r="FO22" i="25"/>
  <c r="IT23" i="28"/>
  <c r="IP23" i="28"/>
  <c r="IL23" i="28"/>
  <c r="IH23" i="28"/>
  <c r="ID23" i="28"/>
  <c r="HZ23" i="28"/>
  <c r="HN23" i="28"/>
  <c r="HJ23" i="28"/>
  <c r="HF23" i="28"/>
  <c r="HB23" i="28"/>
  <c r="GX23" i="28"/>
  <c r="GT23" i="28"/>
  <c r="GH23" i="28"/>
  <c r="GD23" i="28"/>
  <c r="FZ23" i="28"/>
  <c r="FV23" i="28"/>
  <c r="FR23" i="28"/>
  <c r="FN23" i="28"/>
  <c r="KC22" i="28"/>
  <c r="FS21" i="25"/>
  <c r="FT21" i="25"/>
  <c r="JZ22" i="28"/>
  <c r="JV22" i="28"/>
  <c r="JR22" i="28"/>
  <c r="JN22" i="28"/>
  <c r="JJ22" i="28"/>
  <c r="JF22" i="28"/>
  <c r="IW22" i="28"/>
  <c r="FN21" i="25"/>
  <c r="FO21" i="25"/>
  <c r="IT22" i="28"/>
  <c r="IP22" i="28"/>
  <c r="IL22" i="28"/>
  <c r="IH22" i="28"/>
  <c r="ID22" i="28"/>
  <c r="HZ22" i="28"/>
  <c r="HN22" i="28"/>
  <c r="HJ22" i="28"/>
  <c r="HF22" i="28"/>
  <c r="HB22" i="28"/>
  <c r="GX22" i="28"/>
  <c r="GT22" i="28"/>
  <c r="GH22" i="28"/>
  <c r="GD22" i="28"/>
  <c r="FZ22" i="28"/>
  <c r="FV22" i="28"/>
  <c r="FR22" i="28"/>
  <c r="FN22" i="28"/>
  <c r="KC21" i="28"/>
  <c r="FS20" i="25"/>
  <c r="FT20" i="25"/>
  <c r="JZ21" i="28"/>
  <c r="JV21" i="28"/>
  <c r="JR21" i="28"/>
  <c r="JN21" i="28"/>
  <c r="JJ21" i="28"/>
  <c r="JF21" i="28"/>
  <c r="IW21" i="28"/>
  <c r="FN20" i="25"/>
  <c r="FO20" i="25"/>
  <c r="IT21" i="28"/>
  <c r="IP21" i="28"/>
  <c r="IL21" i="28"/>
  <c r="IH21" i="28"/>
  <c r="ID21" i="28"/>
  <c r="HZ21" i="28"/>
  <c r="HN21" i="28"/>
  <c r="HJ21" i="28"/>
  <c r="HF21" i="28"/>
  <c r="HB21" i="28"/>
  <c r="GX21" i="28"/>
  <c r="GT21" i="28"/>
  <c r="GH21" i="28"/>
  <c r="GD21" i="28"/>
  <c r="FZ21" i="28"/>
  <c r="FV21" i="28"/>
  <c r="FR21" i="28"/>
  <c r="FN21" i="28"/>
  <c r="KC20" i="28"/>
  <c r="FS19" i="25"/>
  <c r="FT19" i="25"/>
  <c r="JZ20" i="28"/>
  <c r="JV20" i="28"/>
  <c r="JR20" i="28"/>
  <c r="JN20" i="28"/>
  <c r="JJ20" i="28"/>
  <c r="JF20" i="28"/>
  <c r="IW20" i="28"/>
  <c r="FN19" i="25"/>
  <c r="FO19" i="25"/>
  <c r="IT20" i="28"/>
  <c r="IP20" i="28"/>
  <c r="IL20" i="28"/>
  <c r="IH20" i="28"/>
  <c r="ID20" i="28"/>
  <c r="HZ20" i="28"/>
  <c r="HN20" i="28"/>
  <c r="HJ20" i="28"/>
  <c r="HF20" i="28"/>
  <c r="HB20" i="28"/>
  <c r="GX20" i="28"/>
  <c r="GT20" i="28"/>
  <c r="GH20" i="28"/>
  <c r="GD20" i="28"/>
  <c r="FZ20" i="28"/>
  <c r="FV20" i="28"/>
  <c r="FR20" i="28"/>
  <c r="FN20" i="28"/>
  <c r="KC19" i="28"/>
  <c r="FS18" i="25"/>
  <c r="FT18" i="25"/>
  <c r="JZ19" i="28"/>
  <c r="JV19" i="28"/>
  <c r="JR19" i="28"/>
  <c r="JN19" i="28"/>
  <c r="JJ19" i="28"/>
  <c r="JF19" i="28"/>
  <c r="IW19" i="28"/>
  <c r="FN18" i="25"/>
  <c r="FO18" i="25"/>
  <c r="IT19" i="28"/>
  <c r="IP19" i="28"/>
  <c r="IL19" i="28"/>
  <c r="IH19" i="28"/>
  <c r="ID19" i="28"/>
  <c r="HZ19" i="28"/>
  <c r="HN19" i="28"/>
  <c r="HJ19" i="28"/>
  <c r="HF19" i="28"/>
  <c r="HB19" i="28"/>
  <c r="GX19" i="28"/>
  <c r="GT19" i="28"/>
  <c r="GH19" i="28"/>
  <c r="GD19" i="28"/>
  <c r="FZ19" i="28"/>
  <c r="FV19" i="28"/>
  <c r="FR19" i="28"/>
  <c r="FN19" i="28"/>
  <c r="KC18" i="28"/>
  <c r="FS17" i="25"/>
  <c r="FT17" i="25"/>
  <c r="JZ18" i="28"/>
  <c r="JV18" i="28"/>
  <c r="JR18" i="28"/>
  <c r="JN18" i="28"/>
  <c r="JJ18" i="28"/>
  <c r="JF18" i="28"/>
  <c r="IW18" i="28"/>
  <c r="FN17" i="25"/>
  <c r="FO17" i="25"/>
  <c r="IT18" i="28"/>
  <c r="IP18" i="28"/>
  <c r="IL18" i="28"/>
  <c r="IH18" i="28"/>
  <c r="ID18" i="28"/>
  <c r="HZ18" i="28"/>
  <c r="HN18" i="28"/>
  <c r="HJ18" i="28"/>
  <c r="HF18" i="28"/>
  <c r="HB18" i="28"/>
  <c r="GX18" i="28"/>
  <c r="GT18" i="28"/>
  <c r="GH18" i="28"/>
  <c r="GD18" i="28"/>
  <c r="FZ18" i="28"/>
  <c r="FV18" i="28"/>
  <c r="FR18" i="28"/>
  <c r="FN18" i="28"/>
  <c r="KC17" i="28"/>
  <c r="KD17" i="28" s="1"/>
  <c r="FS16" i="25"/>
  <c r="FT16" i="25"/>
  <c r="IW17" i="28"/>
  <c r="FN16" i="25"/>
  <c r="IT17" i="28"/>
  <c r="IP17" i="28"/>
  <c r="IL17" i="28"/>
  <c r="IH17" i="28"/>
  <c r="ID17" i="28"/>
  <c r="HZ17" i="28"/>
  <c r="FJ16" i="25"/>
  <c r="KC16" i="28"/>
  <c r="FS15" i="25"/>
  <c r="FT15" i="25"/>
  <c r="JZ16" i="28"/>
  <c r="JV16" i="28"/>
  <c r="JR16" i="28"/>
  <c r="JN16" i="28"/>
  <c r="JJ16" i="28"/>
  <c r="JF16" i="28"/>
  <c r="IW16" i="28"/>
  <c r="FN15" i="25"/>
  <c r="FO15" i="25"/>
  <c r="IT16" i="28"/>
  <c r="IP16" i="28"/>
  <c r="IL16" i="28"/>
  <c r="IH16" i="28"/>
  <c r="ID16" i="28"/>
  <c r="HZ16" i="28"/>
  <c r="HN16" i="28"/>
  <c r="HJ16" i="28"/>
  <c r="HF16" i="28"/>
  <c r="HB16" i="28"/>
  <c r="GX16" i="28"/>
  <c r="GT16" i="28"/>
  <c r="GH16" i="28"/>
  <c r="GD16" i="28"/>
  <c r="FZ16" i="28"/>
  <c r="FV16" i="28"/>
  <c r="FR16" i="28"/>
  <c r="FN16" i="28"/>
  <c r="KC15" i="28"/>
  <c r="FS14" i="25"/>
  <c r="FT14" i="25"/>
  <c r="JZ15" i="28"/>
  <c r="JV15" i="28"/>
  <c r="JR15" i="28"/>
  <c r="JN15" i="28"/>
  <c r="JJ15" i="28"/>
  <c r="JF15" i="28"/>
  <c r="IW15" i="28"/>
  <c r="FN14" i="25"/>
  <c r="FO14" i="25"/>
  <c r="IT15" i="28"/>
  <c r="IP15" i="28"/>
  <c r="IL15" i="28"/>
  <c r="IH15" i="28"/>
  <c r="ID15" i="28"/>
  <c r="HZ15" i="28"/>
  <c r="HN15" i="28"/>
  <c r="HJ15" i="28"/>
  <c r="HF15" i="28"/>
  <c r="HB15" i="28"/>
  <c r="GX15" i="28"/>
  <c r="GT15" i="28"/>
  <c r="GH15" i="28"/>
  <c r="GD15" i="28"/>
  <c r="FZ15" i="28"/>
  <c r="FV15" i="28"/>
  <c r="FR15" i="28"/>
  <c r="FN15" i="28"/>
  <c r="KC14" i="28"/>
  <c r="FS13" i="25"/>
  <c r="FT13" i="25"/>
  <c r="JZ14" i="28"/>
  <c r="JV14" i="28"/>
  <c r="JR14" i="28"/>
  <c r="JN14" i="28"/>
  <c r="JJ14" i="28"/>
  <c r="JF14" i="28"/>
  <c r="IW14" i="28"/>
  <c r="FN13" i="25"/>
  <c r="FO13" i="25"/>
  <c r="IT14" i="28"/>
  <c r="IP14" i="28"/>
  <c r="IL14" i="28"/>
  <c r="IH14" i="28"/>
  <c r="ID14" i="28"/>
  <c r="HZ14" i="28"/>
  <c r="HN14" i="28"/>
  <c r="HJ14" i="28"/>
  <c r="HF14" i="28"/>
  <c r="HB14" i="28"/>
  <c r="GX14" i="28"/>
  <c r="GT14" i="28"/>
  <c r="GH14" i="28"/>
  <c r="GD14" i="28"/>
  <c r="FZ14" i="28"/>
  <c r="FV14" i="28"/>
  <c r="FR14" i="28"/>
  <c r="FN14" i="28"/>
  <c r="KC13" i="28"/>
  <c r="FS12" i="25"/>
  <c r="FT12" i="25"/>
  <c r="JZ13" i="28"/>
  <c r="JV13" i="28"/>
  <c r="JR13" i="28"/>
  <c r="JN13" i="28"/>
  <c r="JJ13" i="28"/>
  <c r="JF13" i="28"/>
  <c r="IW13" i="28"/>
  <c r="FN12" i="25"/>
  <c r="FO12" i="25"/>
  <c r="IT13" i="28"/>
  <c r="IP13" i="28"/>
  <c r="IL13" i="28"/>
  <c r="IH13" i="28"/>
  <c r="ID13" i="28"/>
  <c r="HZ13" i="28"/>
  <c r="HN13" i="28"/>
  <c r="HJ13" i="28"/>
  <c r="HF13" i="28"/>
  <c r="HB13" i="28"/>
  <c r="GX13" i="28"/>
  <c r="GT13" i="28"/>
  <c r="GH13" i="28"/>
  <c r="GD13" i="28"/>
  <c r="FZ13" i="28"/>
  <c r="FV13" i="28"/>
  <c r="FR13" i="28"/>
  <c r="FN13" i="28"/>
  <c r="KC12" i="28"/>
  <c r="FS11" i="25"/>
  <c r="FS40" i="25" s="1"/>
  <c r="FT40" i="25" s="1"/>
  <c r="FT11" i="25"/>
  <c r="JZ12" i="28"/>
  <c r="JV12" i="28"/>
  <c r="JR12" i="28"/>
  <c r="JN12" i="28"/>
  <c r="JJ12" i="28"/>
  <c r="JF12" i="28"/>
  <c r="IW12" i="28"/>
  <c r="FN11" i="25"/>
  <c r="FN40" i="25" s="1"/>
  <c r="FO40" i="25" s="1"/>
  <c r="FO11" i="25"/>
  <c r="IT12" i="28"/>
  <c r="IP12" i="28"/>
  <c r="IL12" i="28"/>
  <c r="IH12" i="28"/>
  <c r="ID12" i="28"/>
  <c r="HZ12" i="28"/>
  <c r="HN12" i="28"/>
  <c r="HJ12" i="28"/>
  <c r="HF12" i="28"/>
  <c r="HB12" i="28"/>
  <c r="GX12" i="28"/>
  <c r="GT12" i="28"/>
  <c r="GH12" i="28"/>
  <c r="GD12" i="28"/>
  <c r="FZ12" i="28"/>
  <c r="FV12" i="28"/>
  <c r="FR12" i="28"/>
  <c r="FN12" i="28"/>
  <c r="KC11" i="28"/>
  <c r="KC40" i="28" s="1"/>
  <c r="FS10" i="25"/>
  <c r="FT10" i="25"/>
  <c r="JZ11" i="28"/>
  <c r="JZ40" i="28" s="1"/>
  <c r="JV11" i="28"/>
  <c r="JR11" i="28"/>
  <c r="JN11" i="28"/>
  <c r="JN40" i="28" s="1"/>
  <c r="JJ11" i="28"/>
  <c r="JF11" i="28"/>
  <c r="JF40" i="28" s="1"/>
  <c r="IW11" i="28"/>
  <c r="FN10" i="25"/>
  <c r="FO10" i="25"/>
  <c r="IT11" i="28"/>
  <c r="IT40" i="28" s="1"/>
  <c r="IP11" i="28"/>
  <c r="IP40" i="28" s="1"/>
  <c r="IL11" i="28"/>
  <c r="IH11" i="28"/>
  <c r="IH40" i="28" s="1"/>
  <c r="ID11" i="28"/>
  <c r="HZ11" i="28"/>
  <c r="HZ40" i="28" s="1"/>
  <c r="HN11" i="28"/>
  <c r="HJ11" i="28"/>
  <c r="HJ40" i="28" s="1"/>
  <c r="HF11" i="28"/>
  <c r="HB11" i="28"/>
  <c r="HB40" i="28" s="1"/>
  <c r="GX11" i="28"/>
  <c r="GX40" i="28" s="1"/>
  <c r="GT11" i="28"/>
  <c r="GT40" i="28" s="1"/>
  <c r="GH11" i="28"/>
  <c r="GD11" i="28"/>
  <c r="GD40" i="28" s="1"/>
  <c r="FZ11" i="28"/>
  <c r="FZ40" i="28" s="1"/>
  <c r="FV11" i="28"/>
  <c r="FV40" i="28" s="1"/>
  <c r="FR11" i="28"/>
  <c r="FN11" i="28"/>
  <c r="FN40" i="28" s="1"/>
  <c r="KC10" i="28"/>
  <c r="FS9" i="25"/>
  <c r="FT9" i="25"/>
  <c r="JZ10" i="28"/>
  <c r="JV10" i="28"/>
  <c r="JR10" i="28"/>
  <c r="JN10" i="28"/>
  <c r="JJ10" i="28"/>
  <c r="JF10" i="28"/>
  <c r="IW10" i="28"/>
  <c r="FN9" i="25"/>
  <c r="FO9" i="25"/>
  <c r="IT10" i="28"/>
  <c r="IP10" i="28"/>
  <c r="IL10" i="28"/>
  <c r="IH10" i="28"/>
  <c r="ID10" i="28"/>
  <c r="HZ10" i="28"/>
  <c r="HN10" i="28"/>
  <c r="HJ10" i="28"/>
  <c r="HF10" i="28"/>
  <c r="HB10" i="28"/>
  <c r="GX10" i="28"/>
  <c r="GT10" i="28"/>
  <c r="GH10" i="28"/>
  <c r="GD10" i="28"/>
  <c r="FZ10" i="28"/>
  <c r="FV10" i="28"/>
  <c r="FR10" i="28"/>
  <c r="FN10" i="28"/>
  <c r="KC9" i="28"/>
  <c r="FS8" i="25"/>
  <c r="FS39" i="25" s="1"/>
  <c r="FT39" i="25" s="1"/>
  <c r="FT8" i="25"/>
  <c r="JZ9" i="28"/>
  <c r="JV9" i="28"/>
  <c r="JR9" i="28"/>
  <c r="JN9" i="28"/>
  <c r="JJ9" i="28"/>
  <c r="JF9" i="28"/>
  <c r="IW9" i="28"/>
  <c r="FN8" i="25"/>
  <c r="FN39" i="25" s="1"/>
  <c r="FO39" i="25" s="1"/>
  <c r="FO8" i="25"/>
  <c r="IT9" i="28"/>
  <c r="IP9" i="28"/>
  <c r="IL9" i="28"/>
  <c r="IH9" i="28"/>
  <c r="ID9" i="28"/>
  <c r="HZ9" i="28"/>
  <c r="HN9" i="28"/>
  <c r="HJ9" i="28"/>
  <c r="HF9" i="28"/>
  <c r="HB9" i="28"/>
  <c r="GX9" i="28"/>
  <c r="GT9" i="28"/>
  <c r="GH9" i="28"/>
  <c r="GD9" i="28"/>
  <c r="FZ9" i="28"/>
  <c r="FV9" i="28"/>
  <c r="FR9" i="28"/>
  <c r="FN9" i="28"/>
  <c r="KC8" i="28"/>
  <c r="KC39" i="28" s="1"/>
  <c r="FS7" i="25"/>
  <c r="FT7" i="25"/>
  <c r="JZ8" i="28"/>
  <c r="JZ39" i="28" s="1"/>
  <c r="JV8" i="28"/>
  <c r="JR8" i="28"/>
  <c r="JN8" i="28"/>
  <c r="JN39" i="28" s="1"/>
  <c r="JJ8" i="28"/>
  <c r="JF8" i="28"/>
  <c r="JF39" i="28" s="1"/>
  <c r="IW8" i="28"/>
  <c r="FN7" i="25"/>
  <c r="FO7" i="25"/>
  <c r="IT8" i="28"/>
  <c r="IT39" i="28" s="1"/>
  <c r="IP8" i="28"/>
  <c r="IP39" i="28" s="1"/>
  <c r="IL8" i="28"/>
  <c r="IH8" i="28"/>
  <c r="IH39" i="28" s="1"/>
  <c r="ID8" i="28"/>
  <c r="HZ8" i="28"/>
  <c r="HZ39" i="28" s="1"/>
  <c r="HN8" i="28"/>
  <c r="HJ8" i="28"/>
  <c r="HJ39" i="28" s="1"/>
  <c r="HF8" i="28"/>
  <c r="HB8" i="28"/>
  <c r="HB39" i="28" s="1"/>
  <c r="GX8" i="28"/>
  <c r="GX39" i="28" s="1"/>
  <c r="GT8" i="28"/>
  <c r="GT39" i="28" s="1"/>
  <c r="GH8" i="28"/>
  <c r="GD8" i="28"/>
  <c r="GD39" i="28" s="1"/>
  <c r="FZ8" i="28"/>
  <c r="FZ39" i="28" s="1"/>
  <c r="FV8" i="28"/>
  <c r="FV39" i="28" s="1"/>
  <c r="FR8" i="28"/>
  <c r="FN8" i="28"/>
  <c r="FN39" i="28" s="1"/>
  <c r="KC7" i="28"/>
  <c r="KC38" i="28" s="1"/>
  <c r="FS6" i="25"/>
  <c r="FT6" i="25"/>
  <c r="IW7" i="28"/>
  <c r="FN6" i="25"/>
  <c r="FO6" i="25"/>
  <c r="AG8" i="28"/>
  <c r="AG9" i="28"/>
  <c r="AG10" i="28"/>
  <c r="AG11" i="28"/>
  <c r="EA10" i="25"/>
  <c r="AG12" i="28"/>
  <c r="AG13" i="28"/>
  <c r="AG14" i="28"/>
  <c r="AG15" i="28"/>
  <c r="EA14" i="25"/>
  <c r="AG16" i="28"/>
  <c r="AG17" i="28"/>
  <c r="AG18" i="28"/>
  <c r="AG19" i="28"/>
  <c r="EA18" i="25"/>
  <c r="AG20" i="28"/>
  <c r="AG21" i="28"/>
  <c r="AG22" i="28"/>
  <c r="AG23" i="28"/>
  <c r="EA22" i="25"/>
  <c r="AG24" i="28"/>
  <c r="AG25" i="28"/>
  <c r="AG26" i="28"/>
  <c r="AG27" i="28"/>
  <c r="EA26" i="25"/>
  <c r="EB26" i="25"/>
  <c r="AG28" i="28"/>
  <c r="AG29" i="28"/>
  <c r="AG30" i="28"/>
  <c r="AG31" i="28"/>
  <c r="AG32" i="28"/>
  <c r="AG33" i="28"/>
  <c r="AG34" i="28"/>
  <c r="AG35" i="28"/>
  <c r="EA34" i="25"/>
  <c r="AG7" i="28"/>
  <c r="EA6" i="25"/>
  <c r="EY8" i="28"/>
  <c r="EY9" i="28"/>
  <c r="EY10" i="28"/>
  <c r="EY11" i="28"/>
  <c r="EY12" i="28"/>
  <c r="EY13" i="28"/>
  <c r="EY14" i="28"/>
  <c r="EY15" i="28"/>
  <c r="EY16" i="28"/>
  <c r="EY17" i="28"/>
  <c r="EY18" i="28"/>
  <c r="EY19" i="28"/>
  <c r="EY20" i="28"/>
  <c r="EY21" i="28"/>
  <c r="EY22" i="28"/>
  <c r="EY23" i="28"/>
  <c r="EY24" i="28"/>
  <c r="EY25" i="28"/>
  <c r="EY26" i="28"/>
  <c r="EY27" i="28"/>
  <c r="EY28" i="28"/>
  <c r="EY29" i="28"/>
  <c r="EY30" i="28"/>
  <c r="EY31" i="28"/>
  <c r="EY32" i="28"/>
  <c r="EY33" i="28"/>
  <c r="EY34" i="28"/>
  <c r="EY7" i="28"/>
  <c r="EU8" i="28"/>
  <c r="EU9" i="28"/>
  <c r="EU10" i="28"/>
  <c r="EU11" i="28"/>
  <c r="EU12" i="28"/>
  <c r="EU13" i="28"/>
  <c r="EU14" i="28"/>
  <c r="EU15" i="28"/>
  <c r="EU16" i="28"/>
  <c r="EU17" i="28"/>
  <c r="EU18" i="28"/>
  <c r="EU19" i="28"/>
  <c r="EU20" i="28"/>
  <c r="EU21" i="28"/>
  <c r="EU22" i="28"/>
  <c r="EU23" i="28"/>
  <c r="EU24" i="28"/>
  <c r="EU25" i="28"/>
  <c r="EU26" i="28"/>
  <c r="EU27" i="28"/>
  <c r="EU28" i="28"/>
  <c r="EU29" i="28"/>
  <c r="EU30" i="28"/>
  <c r="EU31" i="28"/>
  <c r="EU32" i="28"/>
  <c r="EU33" i="28"/>
  <c r="EU34" i="28"/>
  <c r="EU7" i="28"/>
  <c r="EQ8" i="28"/>
  <c r="EQ9" i="28"/>
  <c r="EQ10" i="28"/>
  <c r="EQ11" i="28"/>
  <c r="EQ12" i="28"/>
  <c r="EQ13" i="28"/>
  <c r="EQ14" i="28"/>
  <c r="EQ15" i="28"/>
  <c r="EQ16" i="28"/>
  <c r="EQ17" i="28"/>
  <c r="EQ18" i="28"/>
  <c r="EQ19" i="28"/>
  <c r="EQ20" i="28"/>
  <c r="EQ21" i="28"/>
  <c r="EQ22" i="28"/>
  <c r="EQ23" i="28"/>
  <c r="EQ24" i="28"/>
  <c r="EQ25" i="28"/>
  <c r="EQ26" i="28"/>
  <c r="EQ27" i="28"/>
  <c r="EQ28" i="28"/>
  <c r="EQ29" i="28"/>
  <c r="EQ30" i="28"/>
  <c r="EQ31" i="28"/>
  <c r="EQ32" i="28"/>
  <c r="EQ33" i="28"/>
  <c r="EQ34" i="28"/>
  <c r="EQ7" i="28"/>
  <c r="EM8" i="28"/>
  <c r="EM9" i="28"/>
  <c r="EM10" i="28"/>
  <c r="EM11" i="28"/>
  <c r="EM12" i="28"/>
  <c r="EM13" i="28"/>
  <c r="EM14" i="28"/>
  <c r="EM15" i="28"/>
  <c r="EM16" i="28"/>
  <c r="EM17" i="28"/>
  <c r="EM18" i="28"/>
  <c r="EM19" i="28"/>
  <c r="EM20" i="28"/>
  <c r="EM21" i="28"/>
  <c r="EM22" i="28"/>
  <c r="EM23" i="28"/>
  <c r="EM24" i="28"/>
  <c r="EM25" i="28"/>
  <c r="EM26" i="28"/>
  <c r="EM27" i="28"/>
  <c r="EM28" i="28"/>
  <c r="EM29" i="28"/>
  <c r="EM30" i="28"/>
  <c r="EM31" i="28"/>
  <c r="EM32" i="28"/>
  <c r="EM33" i="28"/>
  <c r="EM34" i="28"/>
  <c r="EM7" i="28"/>
  <c r="EI8" i="28"/>
  <c r="EI9" i="28"/>
  <c r="EI10" i="28"/>
  <c r="EI11" i="28"/>
  <c r="EI12" i="28"/>
  <c r="EI13" i="28"/>
  <c r="EI14" i="28"/>
  <c r="EI15" i="28"/>
  <c r="EI16" i="28"/>
  <c r="EI17" i="28"/>
  <c r="EI18" i="28"/>
  <c r="EI19" i="28"/>
  <c r="EI20" i="28"/>
  <c r="EI21" i="28"/>
  <c r="EI22" i="28"/>
  <c r="EI23" i="28"/>
  <c r="EI24" i="28"/>
  <c r="EI25" i="28"/>
  <c r="EI26" i="28"/>
  <c r="EI27" i="28"/>
  <c r="EI28" i="28"/>
  <c r="EI29" i="28"/>
  <c r="EI30" i="28"/>
  <c r="EI31" i="28"/>
  <c r="EI32" i="28"/>
  <c r="EI33" i="28"/>
  <c r="EI34" i="28"/>
  <c r="EI7" i="28"/>
  <c r="EE8" i="28"/>
  <c r="EE9" i="28"/>
  <c r="EE10" i="28"/>
  <c r="EE11" i="28"/>
  <c r="EE12" i="28"/>
  <c r="EE13" i="28"/>
  <c r="EE14" i="28"/>
  <c r="EE15" i="28"/>
  <c r="EE16" i="28"/>
  <c r="EE17" i="28"/>
  <c r="EE18" i="28"/>
  <c r="EE19" i="28"/>
  <c r="EE20" i="28"/>
  <c r="EE21" i="28"/>
  <c r="EE22" i="28"/>
  <c r="EE23" i="28"/>
  <c r="EE24" i="28"/>
  <c r="EE25" i="28"/>
  <c r="EE26" i="28"/>
  <c r="EE27" i="28"/>
  <c r="EE28" i="28"/>
  <c r="EE29" i="28"/>
  <c r="EE30" i="28"/>
  <c r="EE31" i="28"/>
  <c r="EE32" i="28"/>
  <c r="EE33" i="28"/>
  <c r="EE34" i="28"/>
  <c r="EE7" i="28"/>
  <c r="EA8" i="28"/>
  <c r="EA9" i="28"/>
  <c r="EA10" i="28"/>
  <c r="EA11" i="28"/>
  <c r="EA12" i="28"/>
  <c r="EA13" i="28"/>
  <c r="EA14" i="28"/>
  <c r="EA15" i="28"/>
  <c r="EA16" i="28"/>
  <c r="EA17" i="28"/>
  <c r="EA18" i="28"/>
  <c r="EA19" i="28"/>
  <c r="EA20" i="28"/>
  <c r="EA21" i="28"/>
  <c r="EA22" i="28"/>
  <c r="EA23" i="28"/>
  <c r="EA24" i="28"/>
  <c r="EA25" i="28"/>
  <c r="EA26" i="28"/>
  <c r="EA27" i="28"/>
  <c r="EA28" i="28"/>
  <c r="EA29" i="28"/>
  <c r="EA30" i="28"/>
  <c r="EA31" i="28"/>
  <c r="EA32" i="28"/>
  <c r="EA33" i="28"/>
  <c r="EA34" i="28"/>
  <c r="EA7" i="28"/>
  <c r="FC7" i="28"/>
  <c r="DO7" i="28"/>
  <c r="DK8" i="28"/>
  <c r="DK9" i="28"/>
  <c r="DK10" i="28"/>
  <c r="DK11" i="28"/>
  <c r="DK12" i="28"/>
  <c r="DK13" i="28"/>
  <c r="DK14" i="28"/>
  <c r="DK15" i="28"/>
  <c r="DK16" i="28"/>
  <c r="DK17" i="28"/>
  <c r="DK18" i="28"/>
  <c r="DK19" i="28"/>
  <c r="DK20" i="28"/>
  <c r="DK21" i="28"/>
  <c r="DK22" i="28"/>
  <c r="DK23" i="28"/>
  <c r="DK24" i="28"/>
  <c r="DK25" i="28"/>
  <c r="DK26" i="28"/>
  <c r="DK27" i="28"/>
  <c r="DK28" i="28"/>
  <c r="DK29" i="28"/>
  <c r="DK30" i="28"/>
  <c r="DK31" i="28"/>
  <c r="DK32" i="28"/>
  <c r="DK33" i="28"/>
  <c r="DK34" i="28"/>
  <c r="DK7" i="28"/>
  <c r="DG7" i="28"/>
  <c r="DG8" i="28"/>
  <c r="DG9" i="28"/>
  <c r="DG10" i="28"/>
  <c r="DG11" i="28"/>
  <c r="DG12" i="28"/>
  <c r="DG13" i="28"/>
  <c r="DG14" i="28"/>
  <c r="DG15" i="28"/>
  <c r="DG16" i="28"/>
  <c r="DG17" i="28"/>
  <c r="DG18" i="28"/>
  <c r="DG19" i="28"/>
  <c r="DG20" i="28"/>
  <c r="DG21" i="28"/>
  <c r="DG22" i="28"/>
  <c r="DG23" i="28"/>
  <c r="DG24" i="28"/>
  <c r="DG25" i="28"/>
  <c r="DG26" i="28"/>
  <c r="DG27" i="28"/>
  <c r="DG28" i="28"/>
  <c r="DG29" i="28"/>
  <c r="DG30" i="28"/>
  <c r="DG31" i="28"/>
  <c r="DG32" i="28"/>
  <c r="DG33" i="28"/>
  <c r="DG34" i="28"/>
  <c r="DC8" i="28"/>
  <c r="DC9" i="28"/>
  <c r="DC10" i="28"/>
  <c r="DC11" i="28"/>
  <c r="DC12" i="28"/>
  <c r="DC13" i="28"/>
  <c r="DC14" i="28"/>
  <c r="DC15" i="28"/>
  <c r="DC16" i="28"/>
  <c r="DC17" i="28"/>
  <c r="DC18" i="28"/>
  <c r="DC19" i="28"/>
  <c r="DC20" i="28"/>
  <c r="DC21" i="28"/>
  <c r="DC22" i="28"/>
  <c r="DC23" i="28"/>
  <c r="DC24" i="28"/>
  <c r="DC25" i="28"/>
  <c r="DC26" i="28"/>
  <c r="DC27" i="28"/>
  <c r="DC28" i="28"/>
  <c r="DC29" i="28"/>
  <c r="DC30" i="28"/>
  <c r="DC31" i="28"/>
  <c r="DC32" i="28"/>
  <c r="DC33" i="28"/>
  <c r="DC34" i="28"/>
  <c r="DC7" i="28"/>
  <c r="CY8" i="28"/>
  <c r="CY9" i="28"/>
  <c r="CY10" i="28"/>
  <c r="CY11" i="28"/>
  <c r="CY12" i="28"/>
  <c r="CY13" i="28"/>
  <c r="CY14" i="28"/>
  <c r="CY15" i="28"/>
  <c r="CY16" i="28"/>
  <c r="CY17" i="28"/>
  <c r="CY18" i="28"/>
  <c r="CY19" i="28"/>
  <c r="CY20" i="28"/>
  <c r="CY21" i="28"/>
  <c r="CY22" i="28"/>
  <c r="CY23" i="28"/>
  <c r="CY24" i="28"/>
  <c r="CY25" i="28"/>
  <c r="CY26" i="28"/>
  <c r="CY27" i="28"/>
  <c r="CY28" i="28"/>
  <c r="CY29" i="28"/>
  <c r="CY30" i="28"/>
  <c r="CY31" i="28"/>
  <c r="CY32" i="28"/>
  <c r="CY33" i="28"/>
  <c r="CY34" i="28"/>
  <c r="CY7" i="28"/>
  <c r="DO8" i="28"/>
  <c r="DO9" i="28"/>
  <c r="DO10" i="28"/>
  <c r="DO11" i="28"/>
  <c r="DO12" i="28"/>
  <c r="DO13" i="28"/>
  <c r="DO14" i="28"/>
  <c r="DO15" i="28"/>
  <c r="DO16" i="28"/>
  <c r="DO17" i="28"/>
  <c r="DO18" i="28"/>
  <c r="DO19" i="28"/>
  <c r="DO20" i="28"/>
  <c r="DO21" i="28"/>
  <c r="DO22" i="28"/>
  <c r="DO23" i="28"/>
  <c r="DO24" i="28"/>
  <c r="DO25" i="28"/>
  <c r="DO26" i="28"/>
  <c r="DO27" i="28"/>
  <c r="DO28" i="28"/>
  <c r="DO29" i="28"/>
  <c r="DO30" i="28"/>
  <c r="DO31" i="28"/>
  <c r="DO32" i="28"/>
  <c r="DO33" i="28"/>
  <c r="DO34" i="28"/>
  <c r="DS8" i="28"/>
  <c r="DS9" i="28"/>
  <c r="DS10" i="28"/>
  <c r="DS11" i="28"/>
  <c r="DS12" i="28"/>
  <c r="DS13" i="28"/>
  <c r="DS14" i="28"/>
  <c r="DS15" i="28"/>
  <c r="DS16" i="28"/>
  <c r="DS17" i="28"/>
  <c r="DS18" i="28"/>
  <c r="DS19" i="28"/>
  <c r="DS20" i="28"/>
  <c r="DS21" i="28"/>
  <c r="DS22" i="28"/>
  <c r="DS23" i="28"/>
  <c r="DS24" i="28"/>
  <c r="DS25" i="28"/>
  <c r="DS26" i="28"/>
  <c r="DS27" i="28"/>
  <c r="DS28" i="28"/>
  <c r="DS29" i="28"/>
  <c r="DS30" i="28"/>
  <c r="DS31" i="28"/>
  <c r="DS32" i="28"/>
  <c r="DS33" i="28"/>
  <c r="DS34" i="28"/>
  <c r="DS7" i="28"/>
  <c r="CU8" i="28"/>
  <c r="CU9" i="28"/>
  <c r="CU10" i="28"/>
  <c r="CU11" i="28"/>
  <c r="CU12" i="28"/>
  <c r="CU13" i="28"/>
  <c r="CU14" i="28"/>
  <c r="CU15" i="28"/>
  <c r="CU16" i="28"/>
  <c r="CU17" i="28"/>
  <c r="CU18" i="28"/>
  <c r="CU19" i="28"/>
  <c r="CU20" i="28"/>
  <c r="CU21" i="28"/>
  <c r="CU22" i="28"/>
  <c r="CU23" i="28"/>
  <c r="CU24" i="28"/>
  <c r="CU25" i="28"/>
  <c r="CU26" i="28"/>
  <c r="CU27" i="28"/>
  <c r="CU28" i="28"/>
  <c r="CU29" i="28"/>
  <c r="CU30" i="28"/>
  <c r="CU31" i="28"/>
  <c r="CU32" i="28"/>
  <c r="CU33" i="28"/>
  <c r="CU34" i="28"/>
  <c r="CU7" i="28"/>
  <c r="CM8" i="28"/>
  <c r="CM9" i="28"/>
  <c r="CM10" i="28"/>
  <c r="CM11" i="28"/>
  <c r="CM12" i="28"/>
  <c r="CM13" i="28"/>
  <c r="CM14" i="28"/>
  <c r="CM15" i="28"/>
  <c r="CM16" i="28"/>
  <c r="CM17" i="28"/>
  <c r="CM18" i="28"/>
  <c r="CM19" i="28"/>
  <c r="CM20" i="28"/>
  <c r="CM21" i="28"/>
  <c r="CM22" i="28"/>
  <c r="CM23" i="28"/>
  <c r="CM24" i="28"/>
  <c r="CM25" i="28"/>
  <c r="CM26" i="28"/>
  <c r="CM27" i="28"/>
  <c r="CM28" i="28"/>
  <c r="CM29" i="28"/>
  <c r="CM30" i="28"/>
  <c r="CM31" i="28"/>
  <c r="CM32" i="28"/>
  <c r="CM33" i="28"/>
  <c r="CM34" i="28"/>
  <c r="CM7" i="28"/>
  <c r="CI8" i="28"/>
  <c r="CI9" i="28"/>
  <c r="CI10" i="28"/>
  <c r="CI11" i="28"/>
  <c r="CI12" i="28"/>
  <c r="CI13" i="28"/>
  <c r="CI14" i="28"/>
  <c r="CI15" i="28"/>
  <c r="CI16" i="28"/>
  <c r="CI17" i="28"/>
  <c r="CI18" i="28"/>
  <c r="CI19" i="28"/>
  <c r="CI20" i="28"/>
  <c r="CI21" i="28"/>
  <c r="CI22" i="28"/>
  <c r="CI23" i="28"/>
  <c r="CI24" i="28"/>
  <c r="CI25" i="28"/>
  <c r="CI26" i="28"/>
  <c r="CI27" i="28"/>
  <c r="CI28" i="28"/>
  <c r="CI29" i="28"/>
  <c r="CI30" i="28"/>
  <c r="CI31" i="28"/>
  <c r="CI32" i="28"/>
  <c r="CI33" i="28"/>
  <c r="CI34" i="28"/>
  <c r="CI7" i="28"/>
  <c r="CE8" i="28"/>
  <c r="CE9" i="28"/>
  <c r="CE10" i="28"/>
  <c r="CE11" i="28"/>
  <c r="CE12" i="28"/>
  <c r="CE13" i="28"/>
  <c r="CE14" i="28"/>
  <c r="CE15" i="28"/>
  <c r="CE16" i="28"/>
  <c r="CE17" i="28"/>
  <c r="CE18" i="28"/>
  <c r="CE19" i="28"/>
  <c r="CE20" i="28"/>
  <c r="CE21" i="28"/>
  <c r="CE22" i="28"/>
  <c r="CE23" i="28"/>
  <c r="CE24" i="28"/>
  <c r="CE25" i="28"/>
  <c r="CE26" i="28"/>
  <c r="CE27" i="28"/>
  <c r="CE28" i="28"/>
  <c r="CE29" i="28"/>
  <c r="CE30" i="28"/>
  <c r="CE31" i="28"/>
  <c r="CE32" i="28"/>
  <c r="CE33" i="28"/>
  <c r="CE34" i="28"/>
  <c r="CE7" i="28"/>
  <c r="CA8" i="28"/>
  <c r="CA9" i="28"/>
  <c r="CA10" i="28"/>
  <c r="CA11" i="28"/>
  <c r="CA12" i="28"/>
  <c r="CA13" i="28"/>
  <c r="CA14" i="28"/>
  <c r="CA15" i="28"/>
  <c r="CA16" i="28"/>
  <c r="CA17" i="28"/>
  <c r="CA18" i="28"/>
  <c r="CA19" i="28"/>
  <c r="CA20" i="28"/>
  <c r="CA21" i="28"/>
  <c r="CA22" i="28"/>
  <c r="CA23" i="28"/>
  <c r="CA24" i="28"/>
  <c r="CA25" i="28"/>
  <c r="CA26" i="28"/>
  <c r="CA27" i="28"/>
  <c r="CA28" i="28"/>
  <c r="CA29" i="28"/>
  <c r="CA30" i="28"/>
  <c r="CA31" i="28"/>
  <c r="CA32" i="28"/>
  <c r="CA33" i="28"/>
  <c r="CA34" i="28"/>
  <c r="CA7" i="28"/>
  <c r="BW8" i="28"/>
  <c r="BW9" i="28"/>
  <c r="BW10" i="28"/>
  <c r="BW11" i="28"/>
  <c r="BW12" i="28"/>
  <c r="BW13" i="28"/>
  <c r="BW14" i="28"/>
  <c r="BW15" i="28"/>
  <c r="BW16" i="28"/>
  <c r="BW17" i="28"/>
  <c r="BW18" i="28"/>
  <c r="BW19" i="28"/>
  <c r="BW20" i="28"/>
  <c r="BW21" i="28"/>
  <c r="BW22" i="28"/>
  <c r="BW23" i="28"/>
  <c r="BW24" i="28"/>
  <c r="BW25" i="28"/>
  <c r="BW26" i="28"/>
  <c r="BW27" i="28"/>
  <c r="BW28" i="28"/>
  <c r="BW29" i="28"/>
  <c r="BW30" i="28"/>
  <c r="BW31" i="28"/>
  <c r="BW32" i="28"/>
  <c r="BW33" i="28"/>
  <c r="BW34" i="28"/>
  <c r="BW7" i="28"/>
  <c r="BS8" i="28"/>
  <c r="BS9" i="28"/>
  <c r="BS10" i="28"/>
  <c r="BS11" i="28"/>
  <c r="BS12" i="28"/>
  <c r="BS13" i="28"/>
  <c r="BS14" i="28"/>
  <c r="BS15" i="28"/>
  <c r="BS16" i="28"/>
  <c r="BS17" i="28"/>
  <c r="BS18" i="28"/>
  <c r="BS19" i="28"/>
  <c r="BS20" i="28"/>
  <c r="BS21" i="28"/>
  <c r="BS22" i="28"/>
  <c r="BS23" i="28"/>
  <c r="BS24" i="28"/>
  <c r="BS25" i="28"/>
  <c r="BS26" i="28"/>
  <c r="BS27" i="28"/>
  <c r="BS28" i="28"/>
  <c r="BS29" i="28"/>
  <c r="BS30" i="28"/>
  <c r="BS31" i="28"/>
  <c r="BS32" i="28"/>
  <c r="BS33" i="28"/>
  <c r="BS34" i="28"/>
  <c r="BS7" i="28"/>
  <c r="BO8" i="28"/>
  <c r="BO9" i="28"/>
  <c r="BO10" i="28"/>
  <c r="BO11" i="28"/>
  <c r="BO12" i="28"/>
  <c r="BO13" i="28"/>
  <c r="BO14" i="28"/>
  <c r="BO15" i="28"/>
  <c r="BR15" i="28"/>
  <c r="BO16" i="28"/>
  <c r="BO17" i="28"/>
  <c r="BO18" i="28"/>
  <c r="BO19" i="28"/>
  <c r="BO20" i="28"/>
  <c r="BO21" i="28"/>
  <c r="BO22" i="28"/>
  <c r="BO23" i="28"/>
  <c r="BR23" i="28"/>
  <c r="BO24" i="28"/>
  <c r="BO25" i="28"/>
  <c r="BO26" i="28"/>
  <c r="BO27" i="28"/>
  <c r="BR27" i="28"/>
  <c r="BO28" i="28"/>
  <c r="BO29" i="28"/>
  <c r="BO30" i="28"/>
  <c r="BO31" i="28"/>
  <c r="BR31" i="28"/>
  <c r="BO32" i="28"/>
  <c r="BO33" i="28"/>
  <c r="BO34" i="28"/>
  <c r="BO7" i="28"/>
  <c r="BR7" i="28"/>
  <c r="BG8" i="28"/>
  <c r="BG9" i="28"/>
  <c r="BG10" i="28"/>
  <c r="BG11" i="28"/>
  <c r="BG12" i="28"/>
  <c r="BG13" i="28"/>
  <c r="BG14" i="28"/>
  <c r="BG15" i="28"/>
  <c r="BG16" i="28"/>
  <c r="BG17" i="28"/>
  <c r="BG18" i="28"/>
  <c r="BG19" i="28"/>
  <c r="BG20" i="28"/>
  <c r="BG21" i="28"/>
  <c r="BG22" i="28"/>
  <c r="BG23" i="28"/>
  <c r="BG24" i="28"/>
  <c r="BG25" i="28"/>
  <c r="BG26" i="28"/>
  <c r="BG27" i="28"/>
  <c r="BG28" i="28"/>
  <c r="BG29" i="28"/>
  <c r="BG30" i="28"/>
  <c r="BG31" i="28"/>
  <c r="BG32" i="28"/>
  <c r="BG33" i="28"/>
  <c r="BG34" i="28"/>
  <c r="BC8" i="28"/>
  <c r="BC9" i="28"/>
  <c r="BC10" i="28"/>
  <c r="BC11" i="28"/>
  <c r="BC12" i="28"/>
  <c r="BC13" i="28"/>
  <c r="BC14" i="28"/>
  <c r="BC15" i="28"/>
  <c r="BC16" i="28"/>
  <c r="BC17" i="28"/>
  <c r="BC18" i="28"/>
  <c r="BC19" i="28"/>
  <c r="BC20" i="28"/>
  <c r="BC21" i="28"/>
  <c r="BC22" i="28"/>
  <c r="BC23" i="28"/>
  <c r="BC24" i="28"/>
  <c r="BC25" i="28"/>
  <c r="BC26" i="28"/>
  <c r="BC27" i="28"/>
  <c r="BC28" i="28"/>
  <c r="BC29" i="28"/>
  <c r="BC30" i="28"/>
  <c r="BC31" i="28"/>
  <c r="BC32" i="28"/>
  <c r="BC33" i="28"/>
  <c r="BC34" i="28"/>
  <c r="BG7" i="28"/>
  <c r="BC7" i="28"/>
  <c r="AY8" i="28"/>
  <c r="AY9" i="28"/>
  <c r="AY10" i="28"/>
  <c r="AY11" i="28"/>
  <c r="AY12" i="28"/>
  <c r="AY13" i="28"/>
  <c r="AY14" i="28"/>
  <c r="AY15" i="28"/>
  <c r="AY16" i="28"/>
  <c r="AY17" i="28"/>
  <c r="AY18" i="28"/>
  <c r="AY19" i="28"/>
  <c r="AY20" i="28"/>
  <c r="AY21" i="28"/>
  <c r="AY22" i="28"/>
  <c r="AY23" i="28"/>
  <c r="AY24" i="28"/>
  <c r="AY25" i="28"/>
  <c r="AY26" i="28"/>
  <c r="AY27" i="28"/>
  <c r="AY28" i="28"/>
  <c r="AY29" i="28"/>
  <c r="AY30" i="28"/>
  <c r="AY31" i="28"/>
  <c r="AY32" i="28"/>
  <c r="AY33" i="28"/>
  <c r="AY34" i="28"/>
  <c r="AY7" i="28"/>
  <c r="AU8" i="28"/>
  <c r="AU9" i="28"/>
  <c r="AU10" i="28"/>
  <c r="AU11" i="28"/>
  <c r="AU12" i="28"/>
  <c r="AU13" i="28"/>
  <c r="AU14" i="28"/>
  <c r="AU15" i="28"/>
  <c r="AU16" i="28"/>
  <c r="AU17" i="28"/>
  <c r="AU18" i="28"/>
  <c r="AU19" i="28"/>
  <c r="AU20" i="28"/>
  <c r="AU21" i="28"/>
  <c r="AU22" i="28"/>
  <c r="AU23" i="28"/>
  <c r="AU24" i="28"/>
  <c r="AU25" i="28"/>
  <c r="AU26" i="28"/>
  <c r="AU27" i="28"/>
  <c r="AU28" i="28"/>
  <c r="AU29" i="28"/>
  <c r="AU30" i="28"/>
  <c r="AU31" i="28"/>
  <c r="AU32" i="28"/>
  <c r="AU33" i="28"/>
  <c r="AU34" i="28"/>
  <c r="AU7" i="28"/>
  <c r="AQ8" i="28"/>
  <c r="AQ9" i="28"/>
  <c r="AQ10" i="28"/>
  <c r="AQ11" i="28"/>
  <c r="AQ12" i="28"/>
  <c r="AQ13" i="28"/>
  <c r="AQ14" i="28"/>
  <c r="AQ15" i="28"/>
  <c r="AQ16" i="28"/>
  <c r="AQ17" i="28"/>
  <c r="AQ18" i="28"/>
  <c r="AQ19" i="28"/>
  <c r="AQ20" i="28"/>
  <c r="AQ21" i="28"/>
  <c r="AQ22" i="28"/>
  <c r="AQ23" i="28"/>
  <c r="AQ24" i="28"/>
  <c r="AQ25" i="28"/>
  <c r="AQ26" i="28"/>
  <c r="AQ27" i="28"/>
  <c r="AQ28" i="28"/>
  <c r="AQ29" i="28"/>
  <c r="AQ30" i="28"/>
  <c r="AQ31" i="28"/>
  <c r="AQ32" i="28"/>
  <c r="AQ33" i="28"/>
  <c r="AQ34" i="28"/>
  <c r="AQ7" i="28"/>
  <c r="S7" i="28"/>
  <c r="V7" i="28"/>
  <c r="AM8" i="28"/>
  <c r="AM9" i="28"/>
  <c r="AM10" i="28"/>
  <c r="AM11" i="28"/>
  <c r="AM12" i="28"/>
  <c r="AM13" i="28"/>
  <c r="AM14" i="28"/>
  <c r="AM15" i="28"/>
  <c r="AM16" i="28"/>
  <c r="AM17" i="28"/>
  <c r="AM18" i="28"/>
  <c r="AM19" i="28"/>
  <c r="AM20" i="28"/>
  <c r="AM21" i="28"/>
  <c r="AM22" i="28"/>
  <c r="AM23" i="28"/>
  <c r="AM24" i="28"/>
  <c r="AM25" i="28"/>
  <c r="AM26" i="28"/>
  <c r="AM27" i="28"/>
  <c r="AM28" i="28"/>
  <c r="AM29" i="28"/>
  <c r="AM30" i="28"/>
  <c r="AM31" i="28"/>
  <c r="AM32" i="28"/>
  <c r="AM33" i="28"/>
  <c r="AM34" i="28"/>
  <c r="AM7" i="28"/>
  <c r="AP7" i="28"/>
  <c r="AI8" i="28"/>
  <c r="AI9" i="28"/>
  <c r="AI10" i="28"/>
  <c r="AI11" i="28"/>
  <c r="AI12" i="28"/>
  <c r="AI13" i="28"/>
  <c r="AI14" i="28"/>
  <c r="AI15" i="28"/>
  <c r="AI16" i="28"/>
  <c r="AI17" i="28"/>
  <c r="AI18" i="28"/>
  <c r="AI19" i="28"/>
  <c r="AI20" i="28"/>
  <c r="AI21" i="28"/>
  <c r="AI22" i="28"/>
  <c r="AI23" i="28"/>
  <c r="AI24" i="28"/>
  <c r="AI25" i="28"/>
  <c r="AI26" i="28"/>
  <c r="AI27" i="28"/>
  <c r="AI28" i="28"/>
  <c r="AI29" i="28"/>
  <c r="AI30" i="28"/>
  <c r="AI31" i="28"/>
  <c r="AI32" i="28"/>
  <c r="AI33" i="28"/>
  <c r="AI34" i="28"/>
  <c r="AI7" i="28"/>
  <c r="AL7" i="28"/>
  <c r="ED6" i="25"/>
  <c r="AL9" i="28"/>
  <c r="AL11" i="28"/>
  <c r="AL13" i="28"/>
  <c r="AL15" i="28"/>
  <c r="AL19" i="28"/>
  <c r="AL21" i="28"/>
  <c r="AL23" i="28"/>
  <c r="AL27" i="28"/>
  <c r="AL29" i="28"/>
  <c r="AL33" i="28"/>
  <c r="BR18" i="28"/>
  <c r="BR19" i="28"/>
  <c r="FA36" i="28"/>
  <c r="EW36" i="28"/>
  <c r="ES36" i="28"/>
  <c r="EO36" i="28"/>
  <c r="EK36" i="28"/>
  <c r="EG36" i="28"/>
  <c r="EC36" i="28"/>
  <c r="FE35" i="28"/>
  <c r="EU34" i="25"/>
  <c r="FE34" i="28"/>
  <c r="EU33" i="25"/>
  <c r="EV33" i="25"/>
  <c r="FE33" i="28"/>
  <c r="EU32" i="25"/>
  <c r="EV32" i="25"/>
  <c r="FE32" i="28"/>
  <c r="EU31" i="25"/>
  <c r="EV31" i="25"/>
  <c r="FE31" i="28"/>
  <c r="EU30" i="25"/>
  <c r="FE30" i="28"/>
  <c r="EU29" i="25"/>
  <c r="EV29" i="25"/>
  <c r="FE29" i="28"/>
  <c r="EU28" i="25"/>
  <c r="EV28" i="25"/>
  <c r="FE28" i="28"/>
  <c r="EU27" i="25"/>
  <c r="EV27" i="25"/>
  <c r="FE27" i="28"/>
  <c r="EU26" i="25"/>
  <c r="EV26" i="25"/>
  <c r="FE26" i="28"/>
  <c r="EU25" i="25"/>
  <c r="FE25" i="28"/>
  <c r="EU24" i="25"/>
  <c r="EV24" i="25"/>
  <c r="FE24" i="28"/>
  <c r="EU23" i="25"/>
  <c r="EV23" i="25"/>
  <c r="FE23" i="28"/>
  <c r="EU22" i="25"/>
  <c r="EV22" i="25"/>
  <c r="FE22" i="28"/>
  <c r="EU21" i="25"/>
  <c r="EV21" i="25"/>
  <c r="FE21" i="28"/>
  <c r="EU20" i="25"/>
  <c r="EV20" i="25"/>
  <c r="FE20" i="28"/>
  <c r="EU19" i="25"/>
  <c r="EV19" i="25"/>
  <c r="FE19" i="28"/>
  <c r="EU18" i="25"/>
  <c r="EV18" i="25"/>
  <c r="FE18" i="28"/>
  <c r="EU17" i="25"/>
  <c r="EV17" i="25"/>
  <c r="FE17" i="28"/>
  <c r="EU16" i="25"/>
  <c r="FE16" i="28"/>
  <c r="EU15" i="25"/>
  <c r="EV15" i="25"/>
  <c r="FE15" i="28"/>
  <c r="EU14" i="25"/>
  <c r="FE14" i="28"/>
  <c r="EU13" i="25"/>
  <c r="FE13" i="28"/>
  <c r="EU12" i="25"/>
  <c r="FE12" i="28"/>
  <c r="EU11" i="25"/>
  <c r="EU40" i="25"/>
  <c r="FE11" i="28"/>
  <c r="EU10" i="25"/>
  <c r="FE10" i="28"/>
  <c r="EU9" i="25"/>
  <c r="FE9" i="28"/>
  <c r="EU8" i="25"/>
  <c r="EU39" i="25"/>
  <c r="FE8" i="28"/>
  <c r="EU7" i="25"/>
  <c r="FE7" i="28"/>
  <c r="EU6" i="25"/>
  <c r="EU38" i="25"/>
  <c r="EU41" i="25"/>
  <c r="ET7" i="28"/>
  <c r="DU36" i="28"/>
  <c r="DQ36" i="28"/>
  <c r="DM36" i="28"/>
  <c r="DI36" i="28"/>
  <c r="DE36" i="28"/>
  <c r="DA36" i="28"/>
  <c r="CW36" i="28"/>
  <c r="DY35" i="28"/>
  <c r="EP34" i="25"/>
  <c r="DY34" i="28"/>
  <c r="EP33" i="25"/>
  <c r="EQ33" i="25"/>
  <c r="DY33" i="28"/>
  <c r="EP32" i="25"/>
  <c r="DY32" i="28"/>
  <c r="EP31" i="25"/>
  <c r="DY31" i="28"/>
  <c r="EP30" i="25"/>
  <c r="EP44" i="25"/>
  <c r="DY30" i="28"/>
  <c r="DY44" i="28" s="1"/>
  <c r="EP29" i="25"/>
  <c r="DY29" i="28"/>
  <c r="EP28" i="25"/>
  <c r="DY28" i="28"/>
  <c r="EP27" i="25"/>
  <c r="DY27" i="28"/>
  <c r="EP26" i="25"/>
  <c r="DY26" i="28"/>
  <c r="EP25" i="25"/>
  <c r="EP43" i="25"/>
  <c r="EP45" i="25"/>
  <c r="DY25" i="28"/>
  <c r="DY43" i="28" s="1"/>
  <c r="EP24" i="25"/>
  <c r="DY24" i="28"/>
  <c r="EP23" i="25"/>
  <c r="DY23" i="28"/>
  <c r="EP22" i="25"/>
  <c r="DY22" i="28"/>
  <c r="EP21" i="25"/>
  <c r="DY21" i="28"/>
  <c r="EP20" i="25"/>
  <c r="DY20" i="28"/>
  <c r="EP19" i="25"/>
  <c r="DY19" i="28"/>
  <c r="EP18" i="25"/>
  <c r="DY18" i="28"/>
  <c r="EP17" i="25"/>
  <c r="DY17" i="28"/>
  <c r="EP16" i="25"/>
  <c r="DY16" i="28"/>
  <c r="EP15" i="25"/>
  <c r="DY15" i="28"/>
  <c r="EP14" i="25"/>
  <c r="DY14" i="28"/>
  <c r="EP13" i="25"/>
  <c r="DY13" i="28"/>
  <c r="EP12" i="25"/>
  <c r="DY12" i="28"/>
  <c r="EP11" i="25"/>
  <c r="EP40" i="25"/>
  <c r="DY11" i="28"/>
  <c r="DY40" i="28" s="1"/>
  <c r="EP10" i="25"/>
  <c r="DY10" i="28"/>
  <c r="EP9" i="25"/>
  <c r="DY9" i="28"/>
  <c r="EP8" i="25"/>
  <c r="EP39" i="25"/>
  <c r="DY8" i="28"/>
  <c r="DY39" i="28" s="1"/>
  <c r="EP7" i="25"/>
  <c r="DY7" i="28"/>
  <c r="DY38" i="28" s="1"/>
  <c r="EP6" i="25"/>
  <c r="EP38" i="25"/>
  <c r="EP41" i="25"/>
  <c r="EP47" i="25"/>
  <c r="CO36" i="28"/>
  <c r="CK36" i="28"/>
  <c r="CG36" i="28"/>
  <c r="CC36" i="28"/>
  <c r="BY36" i="28"/>
  <c r="BU36" i="28"/>
  <c r="BQ36" i="28"/>
  <c r="CS35" i="28"/>
  <c r="EK34" i="25"/>
  <c r="CS34" i="28"/>
  <c r="EK33" i="25"/>
  <c r="EL33" i="25"/>
  <c r="BR34" i="28"/>
  <c r="CS33" i="28"/>
  <c r="EK32" i="25"/>
  <c r="BR33" i="28"/>
  <c r="CS32" i="28"/>
  <c r="EK31" i="25"/>
  <c r="BR32" i="28"/>
  <c r="CS31" i="28"/>
  <c r="CS30" i="28"/>
  <c r="EK29" i="25"/>
  <c r="BR30" i="28"/>
  <c r="CS29" i="28"/>
  <c r="EK28" i="25"/>
  <c r="BR29" i="28"/>
  <c r="CS28" i="28"/>
  <c r="EK27" i="25"/>
  <c r="BR28" i="28"/>
  <c r="CS27" i="28"/>
  <c r="EK26" i="25"/>
  <c r="CS26" i="28"/>
  <c r="BR26" i="28"/>
  <c r="CS25" i="28"/>
  <c r="EK24" i="25"/>
  <c r="BR25" i="28"/>
  <c r="CS24" i="28"/>
  <c r="EK23" i="25"/>
  <c r="BR24" i="28"/>
  <c r="CS23" i="28"/>
  <c r="EK22" i="25"/>
  <c r="CS22" i="28"/>
  <c r="EK21" i="25"/>
  <c r="CS21" i="28"/>
  <c r="EK20" i="25"/>
  <c r="BR21" i="28"/>
  <c r="CS20" i="28"/>
  <c r="EK19" i="25"/>
  <c r="BR20" i="28"/>
  <c r="CS19" i="28"/>
  <c r="EK18" i="25"/>
  <c r="CS18" i="28"/>
  <c r="EK17" i="25"/>
  <c r="CS17" i="28"/>
  <c r="EK16" i="25"/>
  <c r="CS16" i="28"/>
  <c r="EK15" i="25"/>
  <c r="CS15" i="28"/>
  <c r="EK14" i="25"/>
  <c r="CS14" i="28"/>
  <c r="EK13" i="25"/>
  <c r="BR14" i="28"/>
  <c r="CS13" i="28"/>
  <c r="EK12" i="25"/>
  <c r="BR13" i="28"/>
  <c r="CS12" i="28"/>
  <c r="CS11" i="28"/>
  <c r="EK10" i="25"/>
  <c r="BR11" i="28"/>
  <c r="CS10" i="28"/>
  <c r="EK9" i="25"/>
  <c r="BR10" i="28"/>
  <c r="CS9" i="28"/>
  <c r="BR9" i="28"/>
  <c r="CS8" i="28"/>
  <c r="EK7" i="25"/>
  <c r="CS7" i="28"/>
  <c r="AJ6" i="28"/>
  <c r="AK6" i="28"/>
  <c r="AL6" i="28"/>
  <c r="AI6" i="28"/>
  <c r="AM6" i="28"/>
  <c r="AQ6" i="28"/>
  <c r="AU6" i="28"/>
  <c r="AY6" i="28"/>
  <c r="BC6" i="28"/>
  <c r="BG6" i="28"/>
  <c r="BO6" i="28"/>
  <c r="BO38" i="28" s="1"/>
  <c r="BS6" i="28"/>
  <c r="BS38" i="28" s="1"/>
  <c r="BW6" i="28"/>
  <c r="CA6" i="28"/>
  <c r="CE6" i="28"/>
  <c r="CE38" i="28" s="1"/>
  <c r="CI6" i="28"/>
  <c r="CM6" i="28"/>
  <c r="CM38" i="28" s="1"/>
  <c r="BI36" i="28"/>
  <c r="BE36" i="28"/>
  <c r="BA36" i="28"/>
  <c r="AW36" i="28"/>
  <c r="AS36" i="28"/>
  <c r="AO36" i="28"/>
  <c r="AK36" i="28"/>
  <c r="BM35" i="28"/>
  <c r="EF34" i="25"/>
  <c r="BM34" i="28"/>
  <c r="EF33" i="25"/>
  <c r="EG33" i="25"/>
  <c r="BJ34" i="28"/>
  <c r="BF34" i="28"/>
  <c r="BB34" i="28"/>
  <c r="AX34" i="28"/>
  <c r="AT34" i="28"/>
  <c r="AP34" i="28"/>
  <c r="BM33" i="28"/>
  <c r="EF32" i="25"/>
  <c r="BJ33" i="28"/>
  <c r="BF33" i="28"/>
  <c r="BB33" i="28"/>
  <c r="AX33" i="28"/>
  <c r="AT33" i="28"/>
  <c r="AP33" i="28"/>
  <c r="BM32" i="28"/>
  <c r="EF31" i="25"/>
  <c r="BJ32" i="28"/>
  <c r="BF32" i="28"/>
  <c r="BB32" i="28"/>
  <c r="AX32" i="28"/>
  <c r="AT32" i="28"/>
  <c r="AP32" i="28"/>
  <c r="AL32" i="28"/>
  <c r="BM31" i="28"/>
  <c r="BJ31" i="28"/>
  <c r="BF31" i="28"/>
  <c r="BB31" i="28"/>
  <c r="AX31" i="28"/>
  <c r="AT31" i="28"/>
  <c r="AP31" i="28"/>
  <c r="AL31" i="28"/>
  <c r="BM30" i="28"/>
  <c r="EF29" i="25"/>
  <c r="BJ30" i="28"/>
  <c r="BF30" i="28"/>
  <c r="BB30" i="28"/>
  <c r="AX30" i="28"/>
  <c r="AT30" i="28"/>
  <c r="AP30" i="28"/>
  <c r="AL30" i="28"/>
  <c r="BM29" i="28"/>
  <c r="EF28" i="25"/>
  <c r="BJ29" i="28"/>
  <c r="BF29" i="28"/>
  <c r="BB29" i="28"/>
  <c r="AX29" i="28"/>
  <c r="AT29" i="28"/>
  <c r="AP29" i="28"/>
  <c r="BM28" i="28"/>
  <c r="EF27" i="25"/>
  <c r="BJ28" i="28"/>
  <c r="BF28" i="28"/>
  <c r="BB28" i="28"/>
  <c r="AX28" i="28"/>
  <c r="AT28" i="28"/>
  <c r="AP28" i="28"/>
  <c r="AL28" i="28"/>
  <c r="BM27" i="28"/>
  <c r="EF26" i="25"/>
  <c r="BJ27" i="28"/>
  <c r="BF27" i="28"/>
  <c r="BB27" i="28"/>
  <c r="AX27" i="28"/>
  <c r="AT27" i="28"/>
  <c r="AP27" i="28"/>
  <c r="BM26" i="28"/>
  <c r="BJ26" i="28"/>
  <c r="BF26" i="28"/>
  <c r="BB26" i="28"/>
  <c r="AX26" i="28"/>
  <c r="AT26" i="28"/>
  <c r="AP26" i="28"/>
  <c r="BM25" i="28"/>
  <c r="EF24" i="25"/>
  <c r="BJ25" i="28"/>
  <c r="BF25" i="28"/>
  <c r="BB25" i="28"/>
  <c r="AX25" i="28"/>
  <c r="AT25" i="28"/>
  <c r="AP25" i="28"/>
  <c r="AL25" i="28"/>
  <c r="BM24" i="28"/>
  <c r="EF23" i="25"/>
  <c r="BJ24" i="28"/>
  <c r="BF24" i="28"/>
  <c r="BB24" i="28"/>
  <c r="AX24" i="28"/>
  <c r="AT24" i="28"/>
  <c r="AP24" i="28"/>
  <c r="AL24" i="28"/>
  <c r="BM23" i="28"/>
  <c r="EF22" i="25"/>
  <c r="BJ23" i="28"/>
  <c r="BF23" i="28"/>
  <c r="BB23" i="28"/>
  <c r="AX23" i="28"/>
  <c r="AT23" i="28"/>
  <c r="AP23" i="28"/>
  <c r="BM22" i="28"/>
  <c r="EF21" i="25"/>
  <c r="BJ22" i="28"/>
  <c r="BF22" i="28"/>
  <c r="BB22" i="28"/>
  <c r="AX22" i="28"/>
  <c r="AT22" i="28"/>
  <c r="AP22" i="28"/>
  <c r="BM21" i="28"/>
  <c r="EF20" i="25"/>
  <c r="BJ21" i="28"/>
  <c r="BF21" i="28"/>
  <c r="BB21" i="28"/>
  <c r="AX21" i="28"/>
  <c r="AT21" i="28"/>
  <c r="AP21" i="28"/>
  <c r="BM20" i="28"/>
  <c r="EF19" i="25"/>
  <c r="BJ20" i="28"/>
  <c r="BF20" i="28"/>
  <c r="BB20" i="28"/>
  <c r="AX20" i="28"/>
  <c r="AT20" i="28"/>
  <c r="AP20" i="28"/>
  <c r="AL20" i="28"/>
  <c r="BM19" i="28"/>
  <c r="EF18" i="25"/>
  <c r="BJ19" i="28"/>
  <c r="BF19" i="28"/>
  <c r="BB19" i="28"/>
  <c r="AT19" i="28"/>
  <c r="AP19" i="28"/>
  <c r="BM18" i="28"/>
  <c r="EF17" i="25"/>
  <c r="BJ18" i="28"/>
  <c r="BF18" i="28"/>
  <c r="BB18" i="28"/>
  <c r="AX18" i="28"/>
  <c r="AT18" i="28"/>
  <c r="AP18" i="28"/>
  <c r="AL18" i="28"/>
  <c r="BM17" i="28"/>
  <c r="EF16" i="25"/>
  <c r="BJ17" i="28"/>
  <c r="BF17" i="28"/>
  <c r="BB17" i="28"/>
  <c r="AX17" i="28"/>
  <c r="AT17" i="28"/>
  <c r="BM16" i="28"/>
  <c r="EF15" i="25"/>
  <c r="BJ16" i="28"/>
  <c r="BF16" i="28"/>
  <c r="BB16" i="28"/>
  <c r="AX16" i="28"/>
  <c r="AT16" i="28"/>
  <c r="AP16" i="28"/>
  <c r="AL16" i="28"/>
  <c r="BM15" i="28"/>
  <c r="EF14" i="25"/>
  <c r="BJ15" i="28"/>
  <c r="BF15" i="28"/>
  <c r="BB15" i="28"/>
  <c r="AX15" i="28"/>
  <c r="AT15" i="28"/>
  <c r="AP15" i="28"/>
  <c r="BM14" i="28"/>
  <c r="EF13" i="25"/>
  <c r="BJ14" i="28"/>
  <c r="BF14" i="28"/>
  <c r="BB14" i="28"/>
  <c r="AX14" i="28"/>
  <c r="AT14" i="28"/>
  <c r="AP14" i="28"/>
  <c r="AL14" i="28"/>
  <c r="BM13" i="28"/>
  <c r="EF12" i="25"/>
  <c r="BJ13" i="28"/>
  <c r="BF13" i="28"/>
  <c r="BB13" i="28"/>
  <c r="AX13" i="28"/>
  <c r="AT13" i="28"/>
  <c r="AP13" i="28"/>
  <c r="BM12" i="28"/>
  <c r="BJ12" i="28"/>
  <c r="BF12" i="28"/>
  <c r="BB12" i="28"/>
  <c r="AX12" i="28"/>
  <c r="AT12" i="28"/>
  <c r="AP12" i="28"/>
  <c r="AL12" i="28"/>
  <c r="BM11" i="28"/>
  <c r="EF10" i="25"/>
  <c r="BJ11" i="28"/>
  <c r="BF11" i="28"/>
  <c r="BB11" i="28"/>
  <c r="AT11" i="28"/>
  <c r="AP11" i="28"/>
  <c r="BM10" i="28"/>
  <c r="EF9" i="25"/>
  <c r="BF10" i="28"/>
  <c r="BB10" i="28"/>
  <c r="AX10" i="28"/>
  <c r="AT10" i="28"/>
  <c r="AP10" i="28"/>
  <c r="BM9" i="28"/>
  <c r="BJ9" i="28"/>
  <c r="BF9" i="28"/>
  <c r="BB9" i="28"/>
  <c r="AX9" i="28"/>
  <c r="AT9" i="28"/>
  <c r="BM8" i="28"/>
  <c r="EF7" i="25"/>
  <c r="BJ8" i="28"/>
  <c r="BF8" i="28"/>
  <c r="BB8" i="28"/>
  <c r="AX8" i="28"/>
  <c r="AT8" i="28"/>
  <c r="AP8" i="28"/>
  <c r="AL8" i="28"/>
  <c r="BM7" i="28"/>
  <c r="BJ7" i="28"/>
  <c r="BF7" i="28"/>
  <c r="BB7" i="28"/>
  <c r="AT7" i="28"/>
  <c r="G7" i="28"/>
  <c r="DS25" i="25"/>
  <c r="DU25" i="25"/>
  <c r="DV25" i="25"/>
  <c r="G25" i="24"/>
  <c r="DY25" i="25"/>
  <c r="CX7" i="25"/>
  <c r="F7" i="24"/>
  <c r="CX8" i="25"/>
  <c r="F8" i="24"/>
  <c r="CX9" i="25"/>
  <c r="F9" i="24"/>
  <c r="CX10" i="25"/>
  <c r="F10" i="24"/>
  <c r="CX11" i="25"/>
  <c r="F11" i="24"/>
  <c r="CX12" i="25"/>
  <c r="F12" i="24"/>
  <c r="CX13" i="25"/>
  <c r="F13" i="24"/>
  <c r="CX14" i="25"/>
  <c r="F14" i="24"/>
  <c r="CX15" i="25"/>
  <c r="F15" i="24"/>
  <c r="CX16" i="25"/>
  <c r="F16" i="24"/>
  <c r="CX17" i="25"/>
  <c r="F17" i="24"/>
  <c r="CX18" i="25"/>
  <c r="F18" i="24"/>
  <c r="CX19" i="25"/>
  <c r="F19" i="24"/>
  <c r="CX20" i="25"/>
  <c r="F20" i="24"/>
  <c r="CX21" i="25"/>
  <c r="F21" i="24"/>
  <c r="CX22" i="25"/>
  <c r="F22" i="24"/>
  <c r="CX23" i="25"/>
  <c r="F23" i="24"/>
  <c r="CX24" i="25"/>
  <c r="F24" i="24"/>
  <c r="CX25" i="25"/>
  <c r="F25" i="24"/>
  <c r="CX26" i="25"/>
  <c r="F26" i="24"/>
  <c r="CX27" i="25"/>
  <c r="F27" i="24"/>
  <c r="CX28" i="25"/>
  <c r="F28" i="24"/>
  <c r="CX29" i="25"/>
  <c r="F29" i="24"/>
  <c r="CX30" i="25"/>
  <c r="F30" i="24"/>
  <c r="CX31" i="25"/>
  <c r="F31" i="24"/>
  <c r="CX32" i="25"/>
  <c r="F32" i="24"/>
  <c r="CX33" i="25"/>
  <c r="F33" i="24"/>
  <c r="CX34" i="25"/>
  <c r="F34" i="24"/>
  <c r="CX6" i="25"/>
  <c r="F6" i="24"/>
  <c r="CW6" i="25"/>
  <c r="CW7" i="25"/>
  <c r="CW8" i="25"/>
  <c r="CW9" i="25"/>
  <c r="CW10" i="25"/>
  <c r="CW11" i="25"/>
  <c r="CW12" i="25"/>
  <c r="CW13" i="25"/>
  <c r="CW14" i="25"/>
  <c r="CW15" i="25"/>
  <c r="CW16" i="25"/>
  <c r="CW17" i="25"/>
  <c r="CW18" i="25"/>
  <c r="CW19" i="25"/>
  <c r="CW20" i="25"/>
  <c r="CW21" i="25"/>
  <c r="CW22" i="25"/>
  <c r="CW23" i="25"/>
  <c r="CW24" i="25"/>
  <c r="CW25" i="25"/>
  <c r="CW26" i="25"/>
  <c r="CW27" i="25"/>
  <c r="CW28" i="25"/>
  <c r="CW29" i="25"/>
  <c r="CW30" i="25"/>
  <c r="CW31" i="25"/>
  <c r="CW32" i="25"/>
  <c r="BY7" i="25"/>
  <c r="BZ7" i="25"/>
  <c r="E7" i="24"/>
  <c r="BY8" i="25"/>
  <c r="BZ8" i="25"/>
  <c r="E8" i="24"/>
  <c r="BY9" i="25"/>
  <c r="BZ9" i="25"/>
  <c r="E9" i="24"/>
  <c r="BY10" i="25"/>
  <c r="BZ10" i="25"/>
  <c r="E10" i="24"/>
  <c r="BY11" i="25"/>
  <c r="BZ11" i="25"/>
  <c r="E11" i="24"/>
  <c r="BY12" i="25"/>
  <c r="BZ12" i="25"/>
  <c r="E12" i="24"/>
  <c r="BY13" i="25"/>
  <c r="BZ13" i="25"/>
  <c r="E13" i="24"/>
  <c r="BY14" i="25"/>
  <c r="BZ14" i="25"/>
  <c r="E14" i="24"/>
  <c r="BY15" i="25"/>
  <c r="BZ15" i="25"/>
  <c r="E15" i="24"/>
  <c r="BY16" i="25"/>
  <c r="BZ16" i="25"/>
  <c r="E16" i="24"/>
  <c r="BY17" i="25"/>
  <c r="BZ17" i="25"/>
  <c r="E17" i="24"/>
  <c r="BY18" i="25"/>
  <c r="BZ18" i="25"/>
  <c r="E18" i="24"/>
  <c r="BY19" i="25"/>
  <c r="BZ19" i="25"/>
  <c r="E19" i="24"/>
  <c r="BY20" i="25"/>
  <c r="BZ20" i="25"/>
  <c r="E20" i="24"/>
  <c r="BY21" i="25"/>
  <c r="BZ21" i="25"/>
  <c r="E21" i="24"/>
  <c r="BY22" i="25"/>
  <c r="BZ22" i="25"/>
  <c r="E22" i="24"/>
  <c r="BY23" i="25"/>
  <c r="BZ23" i="25"/>
  <c r="E23" i="24"/>
  <c r="BY24" i="25"/>
  <c r="BZ24" i="25"/>
  <c r="E24" i="24"/>
  <c r="BY25" i="25"/>
  <c r="BZ25" i="25"/>
  <c r="E25" i="24"/>
  <c r="BY26" i="25"/>
  <c r="BZ26" i="25"/>
  <c r="E26" i="24"/>
  <c r="BY27" i="25"/>
  <c r="BZ27" i="25"/>
  <c r="E27" i="24"/>
  <c r="BY28" i="25"/>
  <c r="BZ28" i="25"/>
  <c r="E28" i="24"/>
  <c r="BY29" i="25"/>
  <c r="BZ29" i="25"/>
  <c r="E29" i="24"/>
  <c r="BY30" i="25"/>
  <c r="BZ30" i="25"/>
  <c r="E30" i="24"/>
  <c r="BY31" i="25"/>
  <c r="BZ31" i="25"/>
  <c r="E31" i="24"/>
  <c r="BY32" i="25"/>
  <c r="BZ32" i="25"/>
  <c r="E32" i="24"/>
  <c r="DV6" i="25"/>
  <c r="G6" i="24"/>
  <c r="DU7" i="25"/>
  <c r="DU8" i="25"/>
  <c r="DU9" i="25"/>
  <c r="DU10" i="25"/>
  <c r="DU11" i="25"/>
  <c r="DU12" i="25"/>
  <c r="DU13" i="25"/>
  <c r="DU14" i="25"/>
  <c r="DU15" i="25"/>
  <c r="DU16" i="25"/>
  <c r="DU17" i="25"/>
  <c r="DU18" i="25"/>
  <c r="DU19" i="25"/>
  <c r="DU20" i="25"/>
  <c r="DU21" i="25"/>
  <c r="DU22" i="25"/>
  <c r="DU23" i="25"/>
  <c r="DU24" i="25"/>
  <c r="DU26" i="25"/>
  <c r="DU27" i="25"/>
  <c r="DU28" i="25"/>
  <c r="DU29" i="25"/>
  <c r="DU30" i="25"/>
  <c r="DU31" i="25"/>
  <c r="DU32" i="25"/>
  <c r="DU33" i="25"/>
  <c r="LB33" i="25"/>
  <c r="DU6" i="25"/>
  <c r="AW7" i="25"/>
  <c r="D7" i="24"/>
  <c r="AW8" i="25"/>
  <c r="D8" i="24"/>
  <c r="AW9" i="25"/>
  <c r="D9" i="24"/>
  <c r="AW10" i="25"/>
  <c r="D10" i="24"/>
  <c r="AW11" i="25"/>
  <c r="D11" i="24"/>
  <c r="AW12" i="25"/>
  <c r="D12" i="24"/>
  <c r="AW13" i="25"/>
  <c r="D13" i="24"/>
  <c r="AW14" i="25"/>
  <c r="D14" i="24"/>
  <c r="AW15" i="25"/>
  <c r="D15" i="24"/>
  <c r="AW16" i="25"/>
  <c r="D16" i="24"/>
  <c r="AW17" i="25"/>
  <c r="D17" i="24"/>
  <c r="AW18" i="25"/>
  <c r="D18" i="24"/>
  <c r="AW19" i="25"/>
  <c r="D19" i="24"/>
  <c r="AW20" i="25"/>
  <c r="D20" i="24"/>
  <c r="AW21" i="25"/>
  <c r="D21" i="24"/>
  <c r="AW22" i="25"/>
  <c r="D22" i="24"/>
  <c r="AW23" i="25"/>
  <c r="D23" i="24"/>
  <c r="AW24" i="25"/>
  <c r="D24" i="24"/>
  <c r="AW25" i="25"/>
  <c r="D25" i="24"/>
  <c r="AW26" i="25"/>
  <c r="D26" i="24"/>
  <c r="AW27" i="25"/>
  <c r="D27" i="24"/>
  <c r="AW28" i="25"/>
  <c r="D28" i="24"/>
  <c r="AW29" i="25"/>
  <c r="D29" i="24"/>
  <c r="AW30" i="25"/>
  <c r="D30" i="24"/>
  <c r="AW31" i="25"/>
  <c r="D31" i="24"/>
  <c r="AW32" i="25"/>
  <c r="D32" i="24"/>
  <c r="AW33" i="25"/>
  <c r="AW34" i="25"/>
  <c r="AW6" i="25"/>
  <c r="D6" i="24"/>
  <c r="AV7" i="25"/>
  <c r="AV8" i="25"/>
  <c r="AV9" i="25"/>
  <c r="AV10" i="25"/>
  <c r="AV11" i="25"/>
  <c r="AV12" i="25"/>
  <c r="AV13" i="25"/>
  <c r="AV14" i="25"/>
  <c r="AV15" i="25"/>
  <c r="AV16" i="25"/>
  <c r="AV17" i="25"/>
  <c r="AV18" i="25"/>
  <c r="AV19" i="25"/>
  <c r="AV20" i="25"/>
  <c r="AV21" i="25"/>
  <c r="AV22" i="25"/>
  <c r="AV23" i="25"/>
  <c r="AV24" i="25"/>
  <c r="AV25" i="25"/>
  <c r="AV26" i="25"/>
  <c r="AV27" i="25"/>
  <c r="AV28" i="25"/>
  <c r="AV29" i="25"/>
  <c r="AV30" i="25"/>
  <c r="AV31" i="25"/>
  <c r="AV32" i="25"/>
  <c r="AV6" i="25"/>
  <c r="AU7" i="25"/>
  <c r="AU8" i="25"/>
  <c r="AU9" i="25"/>
  <c r="AU10" i="25"/>
  <c r="AU11" i="25"/>
  <c r="AU12" i="25"/>
  <c r="AU13" i="25"/>
  <c r="AU14" i="25"/>
  <c r="AU15" i="25"/>
  <c r="AU16" i="25"/>
  <c r="AU17" i="25"/>
  <c r="AU18" i="25"/>
  <c r="AU19" i="25"/>
  <c r="AU20" i="25"/>
  <c r="AU21" i="25"/>
  <c r="AU22" i="25"/>
  <c r="AU23" i="25"/>
  <c r="AU24" i="25"/>
  <c r="AU25" i="25"/>
  <c r="AU26" i="25"/>
  <c r="AU27" i="25"/>
  <c r="AU28" i="25"/>
  <c r="AU29" i="25"/>
  <c r="AU30" i="25"/>
  <c r="AU31" i="25"/>
  <c r="AU32" i="25"/>
  <c r="AU33" i="25"/>
  <c r="AU34" i="25"/>
  <c r="AU6" i="25"/>
  <c r="Y7" i="25"/>
  <c r="Y8" i="25"/>
  <c r="Y9" i="25"/>
  <c r="Y10" i="25"/>
  <c r="Y11" i="25"/>
  <c r="Y12" i="25"/>
  <c r="Y13" i="25"/>
  <c r="Y14" i="25"/>
  <c r="Y15" i="25"/>
  <c r="Y16" i="25"/>
  <c r="Y17" i="25"/>
  <c r="Y18" i="25"/>
  <c r="Y19" i="25"/>
  <c r="Y20" i="25"/>
  <c r="Y21" i="25"/>
  <c r="Y22" i="25"/>
  <c r="Y23" i="25"/>
  <c r="Y24" i="25"/>
  <c r="Y25" i="25"/>
  <c r="Y26" i="25"/>
  <c r="Y27" i="25"/>
  <c r="Y28" i="25"/>
  <c r="Y29" i="25"/>
  <c r="Y30" i="25"/>
  <c r="Y31" i="25"/>
  <c r="Y32" i="25"/>
  <c r="Y33" i="25"/>
  <c r="Y34" i="25"/>
  <c r="Y6" i="25"/>
  <c r="X6" i="25"/>
  <c r="X7" i="25"/>
  <c r="X8" i="25"/>
  <c r="X9" i="25"/>
  <c r="X10" i="25"/>
  <c r="X11" i="25"/>
  <c r="X12" i="25"/>
  <c r="X13" i="25"/>
  <c r="X14" i="25"/>
  <c r="X15" i="25"/>
  <c r="X16" i="25"/>
  <c r="W6" i="25"/>
  <c r="W7" i="25"/>
  <c r="W8" i="25"/>
  <c r="W9" i="25"/>
  <c r="W10" i="25"/>
  <c r="W11" i="25"/>
  <c r="W12" i="25"/>
  <c r="W13" i="25"/>
  <c r="W14" i="25"/>
  <c r="W15" i="25"/>
  <c r="W16" i="25"/>
  <c r="W17" i="25"/>
  <c r="X18" i="25"/>
  <c r="X19" i="25"/>
  <c r="X20" i="25"/>
  <c r="X21" i="25"/>
  <c r="X22" i="25"/>
  <c r="X23" i="25"/>
  <c r="X24" i="25"/>
  <c r="X25" i="25"/>
  <c r="LB25" i="25" s="1"/>
  <c r="X26" i="25"/>
  <c r="X27" i="25"/>
  <c r="X28" i="25"/>
  <c r="X29" i="25"/>
  <c r="X30" i="25"/>
  <c r="X31" i="25"/>
  <c r="LB34" i="25"/>
  <c r="X17" i="25"/>
  <c r="W18" i="25"/>
  <c r="W19" i="25"/>
  <c r="W20" i="25"/>
  <c r="W21" i="25"/>
  <c r="W22" i="25"/>
  <c r="W23" i="25"/>
  <c r="W24" i="25"/>
  <c r="W25" i="25"/>
  <c r="W26" i="25"/>
  <c r="W27" i="25"/>
  <c r="W28" i="25"/>
  <c r="W29" i="25"/>
  <c r="W30" i="25"/>
  <c r="W31" i="25"/>
  <c r="W32" i="25"/>
  <c r="W33" i="25"/>
  <c r="W34" i="25"/>
  <c r="IV7" i="25"/>
  <c r="IW7" i="25"/>
  <c r="IV8" i="25"/>
  <c r="IW8" i="25"/>
  <c r="IV9" i="25"/>
  <c r="IW9" i="25"/>
  <c r="IV10" i="25"/>
  <c r="IW10" i="25"/>
  <c r="IV11" i="25"/>
  <c r="IW11" i="25"/>
  <c r="IV12" i="25"/>
  <c r="IW12" i="25"/>
  <c r="IV13" i="25"/>
  <c r="IW13" i="25"/>
  <c r="IV14" i="25"/>
  <c r="IW14" i="25"/>
  <c r="IV15" i="25"/>
  <c r="IW15" i="25"/>
  <c r="IV16" i="25"/>
  <c r="IW16" i="25"/>
  <c r="IV17" i="25"/>
  <c r="IW17" i="25"/>
  <c r="IV18" i="25"/>
  <c r="IW18" i="25"/>
  <c r="IV19" i="25"/>
  <c r="IW19" i="25"/>
  <c r="IV20" i="25"/>
  <c r="IW20" i="25"/>
  <c r="IV21" i="25"/>
  <c r="IW21" i="25"/>
  <c r="IV22" i="25"/>
  <c r="IW22" i="25"/>
  <c r="IV23" i="25"/>
  <c r="IW23" i="25"/>
  <c r="IV24" i="25"/>
  <c r="IW24" i="25"/>
  <c r="IV25" i="25"/>
  <c r="IW25" i="25"/>
  <c r="IV26" i="25"/>
  <c r="IW26" i="25"/>
  <c r="IV27" i="25"/>
  <c r="IW27" i="25"/>
  <c r="IV28" i="25"/>
  <c r="IW28" i="25"/>
  <c r="IV29" i="25"/>
  <c r="IW29" i="25" s="1"/>
  <c r="IV30" i="25"/>
  <c r="IW30" i="25"/>
  <c r="IV31" i="25"/>
  <c r="IW31" i="25"/>
  <c r="IV32" i="25"/>
  <c r="IW32" i="25"/>
  <c r="IV33" i="25"/>
  <c r="IW33" i="25"/>
  <c r="IV34" i="25"/>
  <c r="IW34" i="25"/>
  <c r="IV6" i="25"/>
  <c r="IW6" i="25"/>
  <c r="KX6" i="25"/>
  <c r="KY6" i="25"/>
  <c r="DI7" i="25"/>
  <c r="DI8" i="25"/>
  <c r="DI9" i="25"/>
  <c r="DI10" i="25"/>
  <c r="DI11" i="25"/>
  <c r="DI12" i="25"/>
  <c r="DI13" i="25"/>
  <c r="DI14" i="25"/>
  <c r="DI15" i="25"/>
  <c r="DI16" i="25"/>
  <c r="DI17" i="25"/>
  <c r="DI18" i="25"/>
  <c r="DI19" i="25"/>
  <c r="DI20" i="25"/>
  <c r="DI21" i="25"/>
  <c r="DI22" i="25"/>
  <c r="DI23" i="25"/>
  <c r="DI24" i="25"/>
  <c r="DI25" i="25"/>
  <c r="DI26" i="25"/>
  <c r="DI27" i="25"/>
  <c r="DI28" i="25"/>
  <c r="DI29" i="25"/>
  <c r="DI30" i="25"/>
  <c r="DI31" i="25"/>
  <c r="DI32" i="25"/>
  <c r="DI33" i="25"/>
  <c r="DI6" i="25"/>
  <c r="CU22" i="25"/>
  <c r="CT35" i="25"/>
  <c r="CN35" i="25"/>
  <c r="CK18" i="25"/>
  <c r="CI35" i="25"/>
  <c r="CF29" i="25"/>
  <c r="CD35" i="25"/>
  <c r="CB35" i="25"/>
  <c r="BW6" i="25"/>
  <c r="BU35" i="25"/>
  <c r="BR6" i="25"/>
  <c r="BP35" i="25"/>
  <c r="BM7" i="25"/>
  <c r="BM8" i="25"/>
  <c r="BM9" i="25"/>
  <c r="BM10" i="25"/>
  <c r="BM11" i="25"/>
  <c r="BM12" i="25"/>
  <c r="BM13" i="25"/>
  <c r="BM14" i="25"/>
  <c r="BM15" i="25"/>
  <c r="BM16" i="25"/>
  <c r="BM17" i="25"/>
  <c r="BM18" i="25"/>
  <c r="BM19" i="25"/>
  <c r="BM20" i="25"/>
  <c r="BM21" i="25"/>
  <c r="BM22" i="25"/>
  <c r="BM23" i="25"/>
  <c r="BM24" i="25"/>
  <c r="BM25" i="25"/>
  <c r="BM26" i="25"/>
  <c r="BM27" i="25"/>
  <c r="BM28" i="25"/>
  <c r="BM29" i="25"/>
  <c r="BM30" i="25"/>
  <c r="BM31" i="25"/>
  <c r="BM32" i="25"/>
  <c r="BM6" i="25"/>
  <c r="BJ35" i="25"/>
  <c r="BH7" i="25"/>
  <c r="BH8" i="25"/>
  <c r="BH9" i="25"/>
  <c r="BH10" i="25"/>
  <c r="BH11" i="25"/>
  <c r="BH12" i="25"/>
  <c r="BH13" i="25"/>
  <c r="BH14" i="25"/>
  <c r="BH15" i="25"/>
  <c r="BH16" i="25"/>
  <c r="BH17" i="25"/>
  <c r="BH18" i="25"/>
  <c r="BH19" i="25"/>
  <c r="BH20" i="25"/>
  <c r="BH21" i="25"/>
  <c r="BH22" i="25"/>
  <c r="BH23" i="25"/>
  <c r="BH24" i="25"/>
  <c r="BH25" i="25"/>
  <c r="BH26" i="25"/>
  <c r="BH27" i="25"/>
  <c r="BH28" i="25"/>
  <c r="BH29" i="25"/>
  <c r="BH30" i="25"/>
  <c r="BH31" i="25"/>
  <c r="BH32" i="25"/>
  <c r="BH6" i="25"/>
  <c r="BE35" i="25"/>
  <c r="BC7" i="25"/>
  <c r="BC8" i="25"/>
  <c r="BC9" i="25"/>
  <c r="BC10" i="25"/>
  <c r="BC11" i="25"/>
  <c r="BC12" i="25"/>
  <c r="BC13" i="25"/>
  <c r="BC14" i="25"/>
  <c r="BC15" i="25"/>
  <c r="BC16" i="25"/>
  <c r="BC17" i="25"/>
  <c r="BC18" i="25"/>
  <c r="BC19" i="25"/>
  <c r="BC20" i="25"/>
  <c r="BC21" i="25"/>
  <c r="BC22" i="25"/>
  <c r="BC23" i="25"/>
  <c r="BC24" i="25"/>
  <c r="BC25" i="25"/>
  <c r="BC26" i="25"/>
  <c r="BC27" i="25"/>
  <c r="BC28" i="25"/>
  <c r="BC29" i="25"/>
  <c r="BC30" i="25"/>
  <c r="BC31" i="25"/>
  <c r="BC32" i="25"/>
  <c r="BC6" i="25"/>
  <c r="BK35" i="25"/>
  <c r="BF35" i="25"/>
  <c r="BA35" i="25"/>
  <c r="AZ35" i="25"/>
  <c r="AY35" i="25"/>
  <c r="AS35" i="25"/>
  <c r="AR35" i="25"/>
  <c r="AQ35" i="25"/>
  <c r="AO7" i="25"/>
  <c r="AO8" i="25"/>
  <c r="AO9" i="25"/>
  <c r="AO10" i="25"/>
  <c r="AO11" i="25"/>
  <c r="AO12" i="25"/>
  <c r="AO13" i="25"/>
  <c r="AO14" i="25"/>
  <c r="AO15" i="25"/>
  <c r="AO16" i="25"/>
  <c r="AO17" i="25"/>
  <c r="AO18" i="25"/>
  <c r="AO19" i="25"/>
  <c r="AO20" i="25"/>
  <c r="AO21" i="25"/>
  <c r="AO22" i="25"/>
  <c r="AO23" i="25"/>
  <c r="AO24" i="25"/>
  <c r="AO25" i="25"/>
  <c r="AO26" i="25"/>
  <c r="AO27" i="25"/>
  <c r="AO28" i="25"/>
  <c r="AO29" i="25"/>
  <c r="AO30" i="25"/>
  <c r="AO31" i="25"/>
  <c r="AO32" i="25"/>
  <c r="AO6" i="25"/>
  <c r="AM35" i="25"/>
  <c r="AL35" i="25"/>
  <c r="AJ7" i="25"/>
  <c r="AJ8" i="25"/>
  <c r="AJ9" i="25"/>
  <c r="AJ10" i="25"/>
  <c r="AJ11" i="25"/>
  <c r="AJ12" i="25"/>
  <c r="AJ13" i="25"/>
  <c r="AJ14" i="25"/>
  <c r="AJ15" i="25"/>
  <c r="AJ16" i="25"/>
  <c r="AJ17" i="25"/>
  <c r="AJ18" i="25"/>
  <c r="AJ19" i="25"/>
  <c r="AJ20" i="25"/>
  <c r="AJ21" i="25"/>
  <c r="AJ22" i="25"/>
  <c r="AJ23" i="25"/>
  <c r="AJ24" i="25"/>
  <c r="AJ25" i="25"/>
  <c r="AJ26" i="25"/>
  <c r="AJ27" i="25"/>
  <c r="AJ28" i="25"/>
  <c r="AJ29" i="25"/>
  <c r="AJ30" i="25"/>
  <c r="AJ31" i="25"/>
  <c r="AJ32" i="25"/>
  <c r="AJ6" i="25"/>
  <c r="AH35" i="25"/>
  <c r="AG35" i="25"/>
  <c r="AE7" i="25"/>
  <c r="AE8" i="25"/>
  <c r="AE9" i="25"/>
  <c r="AE10" i="25"/>
  <c r="AE11" i="25"/>
  <c r="AE12" i="25"/>
  <c r="AE13" i="25"/>
  <c r="AE14" i="25"/>
  <c r="AE15" i="25"/>
  <c r="AE16" i="25"/>
  <c r="AE17" i="25"/>
  <c r="AE18" i="25"/>
  <c r="AE19" i="25"/>
  <c r="AE20" i="25"/>
  <c r="AE21" i="25"/>
  <c r="AE22" i="25"/>
  <c r="AE23" i="25"/>
  <c r="AE24" i="25"/>
  <c r="AE25" i="25"/>
  <c r="AE26" i="25"/>
  <c r="AE27" i="25"/>
  <c r="AE28" i="25"/>
  <c r="AE29" i="25"/>
  <c r="AE30" i="25"/>
  <c r="AE31" i="25"/>
  <c r="AE32" i="25"/>
  <c r="AE6" i="25"/>
  <c r="AC35" i="25"/>
  <c r="AB35" i="25"/>
  <c r="V7" i="25"/>
  <c r="V8" i="25"/>
  <c r="V9" i="25"/>
  <c r="V10" i="25"/>
  <c r="V11" i="25"/>
  <c r="V12" i="25"/>
  <c r="V13" i="25"/>
  <c r="V14" i="25"/>
  <c r="V15" i="25"/>
  <c r="V16" i="25"/>
  <c r="V17" i="25"/>
  <c r="V18" i="25"/>
  <c r="V19" i="25"/>
  <c r="V20" i="25"/>
  <c r="V21" i="25"/>
  <c r="V22" i="25"/>
  <c r="V23" i="25"/>
  <c r="V24" i="25"/>
  <c r="V25" i="25"/>
  <c r="V26" i="25"/>
  <c r="V27" i="25"/>
  <c r="V28" i="25"/>
  <c r="V29" i="25"/>
  <c r="V30" i="25"/>
  <c r="V31" i="25"/>
  <c r="V32" i="25"/>
  <c r="V6" i="25"/>
  <c r="T35" i="25"/>
  <c r="S35" i="25"/>
  <c r="Q7" i="25"/>
  <c r="Q8" i="25"/>
  <c r="Q9" i="25"/>
  <c r="Q10" i="25"/>
  <c r="Q11" i="25"/>
  <c r="Q12" i="25"/>
  <c r="Q13" i="25"/>
  <c r="Q14" i="25"/>
  <c r="Q15" i="25"/>
  <c r="Q16" i="25"/>
  <c r="Q17" i="25"/>
  <c r="Q18" i="25"/>
  <c r="Q19" i="25"/>
  <c r="Q20" i="25"/>
  <c r="Q21" i="25"/>
  <c r="Q22" i="25"/>
  <c r="Q23" i="25"/>
  <c r="Q24" i="25"/>
  <c r="Q25" i="25"/>
  <c r="Q26" i="25"/>
  <c r="Q27" i="25"/>
  <c r="Q28" i="25"/>
  <c r="Q29" i="25"/>
  <c r="Q30" i="25"/>
  <c r="Q31" i="25"/>
  <c r="Q32" i="25"/>
  <c r="Q6" i="25"/>
  <c r="O35" i="25"/>
  <c r="N35" i="25"/>
  <c r="L7" i="25"/>
  <c r="L8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27" i="25"/>
  <c r="L28" i="25"/>
  <c r="L29" i="25"/>
  <c r="L30" i="25"/>
  <c r="L31" i="25"/>
  <c r="L32" i="25"/>
  <c r="L6" i="25"/>
  <c r="G7" i="25"/>
  <c r="G8" i="25"/>
  <c r="G9" i="25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G25" i="25"/>
  <c r="G26" i="25"/>
  <c r="G27" i="25"/>
  <c r="G28" i="25"/>
  <c r="G29" i="25"/>
  <c r="G30" i="25"/>
  <c r="G31" i="25"/>
  <c r="G6" i="25"/>
  <c r="D35" i="25"/>
  <c r="I35" i="25"/>
  <c r="E35" i="25"/>
  <c r="C35" i="25"/>
  <c r="H35" i="25"/>
  <c r="EA7" i="25"/>
  <c r="EA9" i="25"/>
  <c r="EA12" i="25"/>
  <c r="EA13" i="25"/>
  <c r="EA15" i="25"/>
  <c r="EA16" i="25"/>
  <c r="EA17" i="25"/>
  <c r="EA19" i="25"/>
  <c r="EA20" i="25"/>
  <c r="EA21" i="25"/>
  <c r="EA23" i="25"/>
  <c r="EA24" i="25"/>
  <c r="EA25" i="25"/>
  <c r="EA27" i="25"/>
  <c r="EA28" i="25"/>
  <c r="EA29" i="25"/>
  <c r="EA31" i="25"/>
  <c r="EA32" i="25"/>
  <c r="EA33" i="25"/>
  <c r="EB33" i="25"/>
  <c r="E36" i="28"/>
  <c r="C7" i="28"/>
  <c r="F7" i="28"/>
  <c r="DY6" i="25"/>
  <c r="AA8" i="28"/>
  <c r="AD8" i="28"/>
  <c r="AA9" i="28"/>
  <c r="AD9" i="28"/>
  <c r="AA10" i="28"/>
  <c r="AD10" i="28"/>
  <c r="AA11" i="28"/>
  <c r="AD11" i="28"/>
  <c r="AA12" i="28"/>
  <c r="AA13" i="28"/>
  <c r="AD13" i="28"/>
  <c r="AA14" i="28"/>
  <c r="AD14" i="28"/>
  <c r="AA15" i="28"/>
  <c r="AD15" i="28"/>
  <c r="AA16" i="28"/>
  <c r="AD16" i="28"/>
  <c r="AA17" i="28"/>
  <c r="AD17" i="28"/>
  <c r="AA18" i="28"/>
  <c r="AD18" i="28"/>
  <c r="AA19" i="28"/>
  <c r="AD19" i="28"/>
  <c r="AA20" i="28"/>
  <c r="AD20" i="28"/>
  <c r="AA21" i="28"/>
  <c r="AD21" i="28"/>
  <c r="AA22" i="28"/>
  <c r="AD22" i="28"/>
  <c r="AA23" i="28"/>
  <c r="AD23" i="28"/>
  <c r="AA24" i="28"/>
  <c r="AD24" i="28"/>
  <c r="AA25" i="28"/>
  <c r="AD25" i="28"/>
  <c r="AA26" i="28"/>
  <c r="AD26" i="28"/>
  <c r="AA27" i="28"/>
  <c r="AD27" i="28"/>
  <c r="AA28" i="28"/>
  <c r="AD28" i="28"/>
  <c r="AA29" i="28"/>
  <c r="AD29" i="28"/>
  <c r="AA30" i="28"/>
  <c r="AD30" i="28"/>
  <c r="AA31" i="28"/>
  <c r="AD31" i="28"/>
  <c r="AA32" i="28"/>
  <c r="AD32" i="28"/>
  <c r="AA33" i="28"/>
  <c r="AD33" i="28"/>
  <c r="AA34" i="28"/>
  <c r="AD34" i="28"/>
  <c r="AA7" i="28"/>
  <c r="W8" i="28"/>
  <c r="Z8" i="28"/>
  <c r="W9" i="28"/>
  <c r="Z9" i="28"/>
  <c r="W10" i="28"/>
  <c r="Z10" i="28"/>
  <c r="W11" i="28"/>
  <c r="Z11" i="28"/>
  <c r="W12" i="28"/>
  <c r="Z12" i="28"/>
  <c r="W13" i="28"/>
  <c r="Z13" i="28"/>
  <c r="W14" i="28"/>
  <c r="Z14" i="28"/>
  <c r="W15" i="28"/>
  <c r="Z15" i="28"/>
  <c r="W16" i="28"/>
  <c r="Z16" i="28"/>
  <c r="W17" i="28"/>
  <c r="Z17" i="28"/>
  <c r="W18" i="28"/>
  <c r="Z18" i="28"/>
  <c r="W19" i="28"/>
  <c r="Z19" i="28"/>
  <c r="W20" i="28"/>
  <c r="Z20" i="28"/>
  <c r="W21" i="28"/>
  <c r="Z21" i="28"/>
  <c r="W22" i="28"/>
  <c r="Z22" i="28"/>
  <c r="W23" i="28"/>
  <c r="Z23" i="28"/>
  <c r="W24" i="28"/>
  <c r="Z24" i="28"/>
  <c r="W25" i="28"/>
  <c r="Z25" i="28"/>
  <c r="W26" i="28"/>
  <c r="Z26" i="28"/>
  <c r="W27" i="28"/>
  <c r="W28" i="28"/>
  <c r="Z28" i="28"/>
  <c r="W29" i="28"/>
  <c r="Z29" i="28"/>
  <c r="W30" i="28"/>
  <c r="Z30" i="28"/>
  <c r="W31" i="28"/>
  <c r="W32" i="28"/>
  <c r="Z32" i="28"/>
  <c r="W33" i="28"/>
  <c r="Z33" i="28"/>
  <c r="W34" i="28"/>
  <c r="Z34" i="28"/>
  <c r="W7" i="28"/>
  <c r="S8" i="28"/>
  <c r="V8" i="28"/>
  <c r="S9" i="28"/>
  <c r="S10" i="28"/>
  <c r="V10" i="28"/>
  <c r="S11" i="28"/>
  <c r="V11" i="28"/>
  <c r="S12" i="28"/>
  <c r="V12" i="28"/>
  <c r="S13" i="28"/>
  <c r="V13" i="28"/>
  <c r="S14" i="28"/>
  <c r="V14" i="28"/>
  <c r="S15" i="28"/>
  <c r="V15" i="28"/>
  <c r="S16" i="28"/>
  <c r="V16" i="28"/>
  <c r="S17" i="28"/>
  <c r="V17" i="28"/>
  <c r="S18" i="28"/>
  <c r="V18" i="28"/>
  <c r="S19" i="28"/>
  <c r="V19" i="28"/>
  <c r="S20" i="28"/>
  <c r="V20" i="28"/>
  <c r="S21" i="28"/>
  <c r="V21" i="28"/>
  <c r="S22" i="28"/>
  <c r="V22" i="28"/>
  <c r="S23" i="28"/>
  <c r="V23" i="28"/>
  <c r="S24" i="28"/>
  <c r="V24" i="28"/>
  <c r="S25" i="28"/>
  <c r="V25" i="28"/>
  <c r="S26" i="28"/>
  <c r="V26" i="28"/>
  <c r="S27" i="28"/>
  <c r="V27" i="28"/>
  <c r="S28" i="28"/>
  <c r="V28" i="28"/>
  <c r="S29" i="28"/>
  <c r="V29" i="28"/>
  <c r="S30" i="28"/>
  <c r="V30" i="28"/>
  <c r="S31" i="28"/>
  <c r="S32" i="28"/>
  <c r="V32" i="28"/>
  <c r="S33" i="28"/>
  <c r="V33" i="28"/>
  <c r="S34" i="28"/>
  <c r="V34" i="28"/>
  <c r="O8" i="28"/>
  <c r="R8" i="28"/>
  <c r="O9" i="28"/>
  <c r="R9" i="28"/>
  <c r="O10" i="28"/>
  <c r="R10" i="28"/>
  <c r="O11" i="28"/>
  <c r="R11" i="28"/>
  <c r="O12" i="28"/>
  <c r="O13" i="28"/>
  <c r="R13" i="28"/>
  <c r="O14" i="28"/>
  <c r="R14" i="28"/>
  <c r="O15" i="28"/>
  <c r="R15" i="28"/>
  <c r="O16" i="28"/>
  <c r="R16" i="28"/>
  <c r="O17" i="28"/>
  <c r="R17" i="28"/>
  <c r="O18" i="28"/>
  <c r="R18" i="28"/>
  <c r="O19" i="28"/>
  <c r="R19" i="28"/>
  <c r="O20" i="28"/>
  <c r="R20" i="28"/>
  <c r="O21" i="28"/>
  <c r="R21" i="28"/>
  <c r="O22" i="28"/>
  <c r="R22" i="28"/>
  <c r="O23" i="28"/>
  <c r="R23" i="28"/>
  <c r="O24" i="28"/>
  <c r="R24" i="28"/>
  <c r="O25" i="28"/>
  <c r="R25" i="28"/>
  <c r="O26" i="28"/>
  <c r="R26" i="28"/>
  <c r="O27" i="28"/>
  <c r="R27" i="28"/>
  <c r="O28" i="28"/>
  <c r="R28" i="28"/>
  <c r="O29" i="28"/>
  <c r="R29" i="28"/>
  <c r="O30" i="28"/>
  <c r="R30" i="28"/>
  <c r="O31" i="28"/>
  <c r="R31" i="28"/>
  <c r="O32" i="28"/>
  <c r="R32" i="28"/>
  <c r="O33" i="28"/>
  <c r="R33" i="28"/>
  <c r="O34" i="28"/>
  <c r="R34" i="28"/>
  <c r="O7" i="28"/>
  <c r="I36" i="28"/>
  <c r="M36" i="28"/>
  <c r="Q36" i="28"/>
  <c r="U36" i="28"/>
  <c r="Y36" i="28"/>
  <c r="AC36" i="28"/>
  <c r="K8" i="28"/>
  <c r="N8" i="28"/>
  <c r="K9" i="28"/>
  <c r="N9" i="28"/>
  <c r="K10" i="28"/>
  <c r="N10" i="28"/>
  <c r="K11" i="28"/>
  <c r="N11" i="28"/>
  <c r="K12" i="28"/>
  <c r="N12" i="28"/>
  <c r="K13" i="28"/>
  <c r="N13" i="28"/>
  <c r="K14" i="28"/>
  <c r="N14" i="28"/>
  <c r="K15" i="28"/>
  <c r="N15" i="28"/>
  <c r="K16" i="28"/>
  <c r="N16" i="28"/>
  <c r="K17" i="28"/>
  <c r="N17" i="28"/>
  <c r="K18" i="28"/>
  <c r="N18" i="28"/>
  <c r="K19" i="28"/>
  <c r="K20" i="28"/>
  <c r="N20" i="28"/>
  <c r="K21" i="28"/>
  <c r="N21" i="28"/>
  <c r="K22" i="28"/>
  <c r="N22" i="28"/>
  <c r="K23" i="28"/>
  <c r="N23" i="28"/>
  <c r="K24" i="28"/>
  <c r="N24" i="28"/>
  <c r="K25" i="28"/>
  <c r="N25" i="28"/>
  <c r="K26" i="28"/>
  <c r="K27" i="28"/>
  <c r="N27" i="28"/>
  <c r="K28" i="28"/>
  <c r="N28" i="28"/>
  <c r="K29" i="28"/>
  <c r="N29" i="28"/>
  <c r="K30" i="28"/>
  <c r="N30" i="28"/>
  <c r="K31" i="28"/>
  <c r="N31" i="28"/>
  <c r="K32" i="28"/>
  <c r="N32" i="28"/>
  <c r="K33" i="28"/>
  <c r="N33" i="28"/>
  <c r="K34" i="28"/>
  <c r="N34" i="28"/>
  <c r="K7" i="28"/>
  <c r="G8" i="28"/>
  <c r="J8" i="28"/>
  <c r="G9" i="28"/>
  <c r="J9" i="28"/>
  <c r="G10" i="28"/>
  <c r="J10" i="28"/>
  <c r="G11" i="28"/>
  <c r="J11" i="28"/>
  <c r="G12" i="28"/>
  <c r="J12" i="28"/>
  <c r="G13" i="28"/>
  <c r="J13" i="28"/>
  <c r="G14" i="28"/>
  <c r="J14" i="28"/>
  <c r="G15" i="28"/>
  <c r="J15" i="28"/>
  <c r="G16" i="28"/>
  <c r="J16" i="28"/>
  <c r="G17" i="28"/>
  <c r="J17" i="28"/>
  <c r="G18" i="28"/>
  <c r="J18" i="28"/>
  <c r="G19" i="28"/>
  <c r="J19" i="28"/>
  <c r="G20" i="28"/>
  <c r="J20" i="28"/>
  <c r="G21" i="28"/>
  <c r="J21" i="28"/>
  <c r="G22" i="28"/>
  <c r="J22" i="28"/>
  <c r="G23" i="28"/>
  <c r="J23" i="28"/>
  <c r="G24" i="28"/>
  <c r="J24" i="28"/>
  <c r="G25" i="28"/>
  <c r="J25" i="28"/>
  <c r="G26" i="28"/>
  <c r="G27" i="28"/>
  <c r="J27" i="28"/>
  <c r="G28" i="28"/>
  <c r="J28" i="28"/>
  <c r="G29" i="28"/>
  <c r="J29" i="28"/>
  <c r="G30" i="28"/>
  <c r="J30" i="28"/>
  <c r="G31" i="28"/>
  <c r="J31" i="28"/>
  <c r="G32" i="28"/>
  <c r="J32" i="28"/>
  <c r="G33" i="28"/>
  <c r="J33" i="28"/>
  <c r="G34" i="28"/>
  <c r="J34" i="28"/>
  <c r="J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DP30" i="25"/>
  <c r="O45" i="23"/>
  <c r="O36" i="23"/>
  <c r="O43" i="23"/>
  <c r="O37" i="23"/>
  <c r="O33" i="23"/>
  <c r="O47" i="23"/>
  <c r="O27" i="23"/>
  <c r="M43" i="23"/>
  <c r="M37" i="23"/>
  <c r="M45" i="23"/>
  <c r="M40" i="23"/>
  <c r="M39" i="23"/>
  <c r="M30" i="23"/>
  <c r="M27" i="23"/>
  <c r="DR40" i="25"/>
  <c r="DR39" i="25"/>
  <c r="DR38" i="25"/>
  <c r="DM40" i="25"/>
  <c r="DM39" i="25"/>
  <c r="DM38" i="25"/>
  <c r="DH40" i="25"/>
  <c r="DH39" i="25"/>
  <c r="DH38" i="25"/>
  <c r="DC40" i="25"/>
  <c r="DC39" i="25"/>
  <c r="DC38" i="25"/>
  <c r="DV7" i="25"/>
  <c r="G7" i="24"/>
  <c r="DV8" i="25"/>
  <c r="G8" i="24"/>
  <c r="DV9" i="25"/>
  <c r="G9" i="24"/>
  <c r="DV10" i="25"/>
  <c r="G10" i="24"/>
  <c r="DV11" i="25"/>
  <c r="G11" i="24"/>
  <c r="DV12" i="25"/>
  <c r="G12" i="24"/>
  <c r="DV13" i="25"/>
  <c r="G13" i="24"/>
  <c r="DV14" i="25"/>
  <c r="G14" i="24"/>
  <c r="DV15" i="25"/>
  <c r="G15" i="24"/>
  <c r="DV16" i="25"/>
  <c r="G16" i="24"/>
  <c r="DV17" i="25"/>
  <c r="G17" i="24"/>
  <c r="DV18" i="25"/>
  <c r="G18" i="24"/>
  <c r="DV19" i="25"/>
  <c r="G19" i="24"/>
  <c r="DV20" i="25"/>
  <c r="G20" i="24"/>
  <c r="DV21" i="25"/>
  <c r="G21" i="24"/>
  <c r="DV22" i="25"/>
  <c r="G22" i="24"/>
  <c r="DV23" i="25"/>
  <c r="G23" i="24"/>
  <c r="DV24" i="25"/>
  <c r="G24" i="24"/>
  <c r="DV26" i="25"/>
  <c r="G26" i="24"/>
  <c r="DV27" i="25"/>
  <c r="G27" i="24"/>
  <c r="DV28" i="25"/>
  <c r="G28" i="24"/>
  <c r="DV29" i="25"/>
  <c r="G29" i="24"/>
  <c r="DV30" i="25"/>
  <c r="G30" i="24"/>
  <c r="DV31" i="25"/>
  <c r="G31" i="24"/>
  <c r="DV32" i="25"/>
  <c r="G32" i="24"/>
  <c r="DV33" i="25"/>
  <c r="G33" i="24"/>
  <c r="DV34" i="25"/>
  <c r="G34" i="24"/>
  <c r="K27" i="23"/>
  <c r="K34" i="23"/>
  <c r="K32" i="23"/>
  <c r="CU7" i="25"/>
  <c r="CU8" i="25"/>
  <c r="CU9" i="25"/>
  <c r="CU10" i="25"/>
  <c r="CU11" i="25"/>
  <c r="CU12" i="25"/>
  <c r="CU13" i="25"/>
  <c r="CU14" i="25"/>
  <c r="CU15" i="25"/>
  <c r="CU16" i="25"/>
  <c r="CU17" i="25"/>
  <c r="CU18" i="25"/>
  <c r="CU19" i="25"/>
  <c r="CU20" i="25"/>
  <c r="CU21" i="25"/>
  <c r="CU23" i="25"/>
  <c r="CU24" i="25"/>
  <c r="CU25" i="25"/>
  <c r="CU26" i="25"/>
  <c r="CU27" i="25"/>
  <c r="CU28" i="25"/>
  <c r="CU29" i="25"/>
  <c r="CU30" i="25"/>
  <c r="CU31" i="25"/>
  <c r="CU32" i="25"/>
  <c r="CU33" i="25"/>
  <c r="CU6" i="25"/>
  <c r="DW6" i="29"/>
  <c r="DV35" i="29"/>
  <c r="DW35" i="29"/>
  <c r="CA6" i="29"/>
  <c r="BZ35" i="29"/>
  <c r="CA35" i="29"/>
  <c r="AX6" i="29"/>
  <c r="AW35" i="29"/>
  <c r="AX35" i="29"/>
  <c r="Z6" i="29"/>
  <c r="Y35" i="29"/>
  <c r="Z35" i="29"/>
  <c r="KM35" i="29"/>
  <c r="DC4" i="27"/>
  <c r="KC35" i="29"/>
  <c r="DA4" i="27"/>
  <c r="CZ11" i="27"/>
  <c r="CZ10" i="27"/>
  <c r="CZ9" i="27"/>
  <c r="CZ8" i="27"/>
  <c r="CZ7" i="27"/>
  <c r="CW11" i="27"/>
  <c r="CW10" i="27"/>
  <c r="CW9" i="27"/>
  <c r="CW8" i="27"/>
  <c r="CW7" i="27"/>
  <c r="CW12" i="27"/>
  <c r="JE35" i="29"/>
  <c r="CV4" i="27"/>
  <c r="CU11" i="27"/>
  <c r="CU10" i="27"/>
  <c r="CU9" i="27"/>
  <c r="CU8" i="27"/>
  <c r="CU7" i="27"/>
  <c r="IQ35" i="29"/>
  <c r="CS4" i="27"/>
  <c r="IG35" i="29"/>
  <c r="CQ4" i="27"/>
  <c r="HS35" i="29"/>
  <c r="CN4" i="27"/>
  <c r="HI35" i="29"/>
  <c r="CL4" i="27"/>
  <c r="GY35" i="29"/>
  <c r="CJ4" i="27"/>
  <c r="GK35" i="29"/>
  <c r="CG4" i="27"/>
  <c r="GA35" i="29"/>
  <c r="CE4" i="27"/>
  <c r="FM35" i="29"/>
  <c r="CB4" i="27"/>
  <c r="FC35" i="29"/>
  <c r="BZ4" i="27"/>
  <c r="EO35" i="29"/>
  <c r="BW4" i="27"/>
  <c r="EE35" i="29"/>
  <c r="BU4" i="27"/>
  <c r="DP35" i="29"/>
  <c r="BR4" i="27"/>
  <c r="DK35" i="29"/>
  <c r="BQ4" i="27"/>
  <c r="DF35" i="29"/>
  <c r="BP4" i="27"/>
  <c r="DA35" i="29"/>
  <c r="BO4" i="27"/>
  <c r="DT35" i="29"/>
  <c r="BS4" i="27"/>
  <c r="BO11" i="27"/>
  <c r="BO10" i="27"/>
  <c r="BO9" i="27"/>
  <c r="BO8" i="27"/>
  <c r="BO7" i="27"/>
  <c r="CR35" i="29"/>
  <c r="BM4" i="27"/>
  <c r="CH35" i="29"/>
  <c r="BK4" i="27"/>
  <c r="CX35" i="29"/>
  <c r="CY35" i="29"/>
  <c r="BT35" i="29"/>
  <c r="BH4" i="27"/>
  <c r="BO35" i="29"/>
  <c r="BG4" i="27"/>
  <c r="BJ35" i="29"/>
  <c r="BF4" i="27"/>
  <c r="BE35" i="29"/>
  <c r="BE4" i="27"/>
  <c r="AQ35" i="29"/>
  <c r="BB4" i="27"/>
  <c r="AB35" i="29"/>
  <c r="AY4" i="27"/>
  <c r="S35" i="29"/>
  <c r="AW4" i="27"/>
  <c r="N35" i="29"/>
  <c r="AV4" i="27"/>
  <c r="D35" i="29"/>
  <c r="AT4" i="27"/>
  <c r="AT11" i="27"/>
  <c r="AT10" i="27"/>
  <c r="AT9" i="27"/>
  <c r="AT8" i="27"/>
  <c r="AT7" i="27"/>
  <c r="ES40" i="25"/>
  <c r="ES38" i="25"/>
  <c r="EV25" i="25"/>
  <c r="EU43" i="25"/>
  <c r="EV30" i="25"/>
  <c r="EU44" i="25"/>
  <c r="AW87" i="32"/>
  <c r="AX87" i="32"/>
  <c r="AX83" i="32"/>
  <c r="J193" i="32"/>
  <c r="H193" i="32"/>
  <c r="I536" i="32"/>
  <c r="H536" i="32"/>
  <c r="I537" i="32"/>
  <c r="H537" i="32"/>
  <c r="I538" i="32"/>
  <c r="H538" i="32"/>
  <c r="I539" i="32"/>
  <c r="H539" i="32"/>
  <c r="I540" i="32"/>
  <c r="H540" i="32"/>
  <c r="I541" i="32"/>
  <c r="H541" i="32"/>
  <c r="I542" i="32"/>
  <c r="H542" i="32"/>
  <c r="I543" i="32"/>
  <c r="H543" i="32"/>
  <c r="I544" i="32"/>
  <c r="H544" i="32"/>
  <c r="I556" i="32"/>
  <c r="H556" i="32"/>
  <c r="I557" i="32"/>
  <c r="H557" i="32"/>
  <c r="I558" i="32"/>
  <c r="H558" i="32"/>
  <c r="I559" i="32"/>
  <c r="H559" i="32"/>
  <c r="I560" i="32"/>
  <c r="H560" i="32"/>
  <c r="I561" i="32"/>
  <c r="I564" i="32"/>
  <c r="H564" i="32"/>
  <c r="I565" i="32"/>
  <c r="H565" i="32"/>
  <c r="I566" i="32"/>
  <c r="H566" i="32"/>
  <c r="I567" i="32"/>
  <c r="I568" i="32"/>
  <c r="H568" i="32"/>
  <c r="I569" i="32"/>
  <c r="H569" i="32"/>
  <c r="I570" i="32"/>
  <c r="H570" i="32"/>
  <c r="I571" i="32"/>
  <c r="H571" i="32"/>
  <c r="I572" i="32"/>
  <c r="H572" i="32"/>
  <c r="I573" i="32"/>
  <c r="H573" i="32"/>
  <c r="I574" i="32"/>
  <c r="H574" i="32"/>
  <c r="I575" i="32"/>
  <c r="H575" i="32"/>
  <c r="I576" i="32"/>
  <c r="H576" i="32"/>
  <c r="I577" i="32"/>
  <c r="H577" i="32"/>
  <c r="I578" i="32"/>
  <c r="H578" i="32"/>
  <c r="I579" i="32"/>
  <c r="H579" i="32"/>
  <c r="I580" i="32"/>
  <c r="H580" i="32"/>
  <c r="I581" i="32"/>
  <c r="H581" i="32"/>
  <c r="I582" i="32"/>
  <c r="H582" i="32"/>
  <c r="I583" i="32"/>
  <c r="H583" i="32"/>
  <c r="I584" i="32"/>
  <c r="H584" i="32"/>
  <c r="I585" i="32"/>
  <c r="H585" i="32"/>
  <c r="I586" i="32"/>
  <c r="H586" i="32"/>
  <c r="I587" i="32"/>
  <c r="H587" i="32"/>
  <c r="I588" i="32"/>
  <c r="H588" i="32"/>
  <c r="I589" i="32"/>
  <c r="H589" i="32"/>
  <c r="I590" i="32"/>
  <c r="H590" i="32"/>
  <c r="I591" i="32"/>
  <c r="H591" i="32"/>
  <c r="I592" i="32"/>
  <c r="H592" i="32"/>
  <c r="I593" i="32"/>
  <c r="H593" i="32"/>
  <c r="I594" i="32"/>
  <c r="H594" i="32"/>
  <c r="I595" i="32"/>
  <c r="H595" i="32"/>
  <c r="I596" i="32"/>
  <c r="H596" i="32"/>
  <c r="I597" i="32"/>
  <c r="H597" i="32"/>
  <c r="I598" i="32"/>
  <c r="H598" i="32"/>
  <c r="I599" i="32"/>
  <c r="H599" i="32"/>
  <c r="I600" i="32"/>
  <c r="H600" i="32"/>
  <c r="I601" i="32"/>
  <c r="H601" i="32"/>
  <c r="I602" i="32"/>
  <c r="H602" i="32"/>
  <c r="I603" i="32"/>
  <c r="H603" i="32"/>
  <c r="I604" i="32"/>
  <c r="H604" i="32"/>
  <c r="I605" i="32"/>
  <c r="H605" i="32"/>
  <c r="I606" i="32"/>
  <c r="H606" i="32"/>
  <c r="I607" i="32"/>
  <c r="H607" i="32"/>
  <c r="I608" i="32"/>
  <c r="H608" i="32"/>
  <c r="I609" i="32"/>
  <c r="H609" i="32"/>
  <c r="I610" i="32"/>
  <c r="H610" i="32"/>
  <c r="I611" i="32"/>
  <c r="H611" i="32"/>
  <c r="I612" i="32"/>
  <c r="H612" i="32"/>
  <c r="I613" i="32"/>
  <c r="H613" i="32"/>
  <c r="I614" i="32"/>
  <c r="H614" i="32"/>
  <c r="I615" i="32"/>
  <c r="H615" i="32"/>
  <c r="I616" i="32"/>
  <c r="H616" i="32"/>
  <c r="I617" i="32"/>
  <c r="H617" i="32"/>
  <c r="EK6" i="25"/>
  <c r="EK38" i="25"/>
  <c r="EK8" i="25"/>
  <c r="EK39" i="25"/>
  <c r="EK11" i="25"/>
  <c r="EK40" i="25"/>
  <c r="EK25" i="25"/>
  <c r="EK43" i="25"/>
  <c r="EK30" i="25"/>
  <c r="EK44" i="25"/>
  <c r="CZ12" i="27"/>
  <c r="CU12" i="27"/>
  <c r="BO12" i="27"/>
  <c r="AT12" i="27"/>
  <c r="K26" i="27"/>
  <c r="K27" i="27"/>
  <c r="K28" i="27"/>
  <c r="K29" i="27"/>
  <c r="K30" i="27"/>
  <c r="EF6" i="25"/>
  <c r="EF8" i="25"/>
  <c r="EF39" i="25"/>
  <c r="EF11" i="25"/>
  <c r="EF40" i="25"/>
  <c r="EF25" i="25"/>
  <c r="EF43" i="25"/>
  <c r="EF30" i="25"/>
  <c r="EF44" i="25"/>
  <c r="DB35" i="29"/>
  <c r="DD35" i="29"/>
  <c r="DG35" i="29"/>
  <c r="DI35" i="29"/>
  <c r="DL35" i="29"/>
  <c r="DN35" i="29"/>
  <c r="DQ35" i="29"/>
  <c r="DS35" i="29"/>
  <c r="CF35" i="29"/>
  <c r="CI35" i="29"/>
  <c r="CK35" i="29"/>
  <c r="CP35" i="29"/>
  <c r="CS35" i="29"/>
  <c r="CU35" i="29"/>
  <c r="BC35" i="29"/>
  <c r="BF35" i="29"/>
  <c r="BH35" i="29"/>
  <c r="BK35" i="29"/>
  <c r="BM35" i="29"/>
  <c r="BP35" i="29"/>
  <c r="BR35" i="29"/>
  <c r="BU35" i="29"/>
  <c r="BW35" i="29"/>
  <c r="AC35" i="29"/>
  <c r="AE35" i="29"/>
  <c r="AJ35" i="29"/>
  <c r="AO35" i="29"/>
  <c r="AR35" i="29"/>
  <c r="AT35" i="29"/>
  <c r="E35" i="29"/>
  <c r="G35" i="29"/>
  <c r="L35" i="29"/>
  <c r="O35" i="29"/>
  <c r="Q35" i="29"/>
  <c r="T35" i="29"/>
  <c r="V35" i="29"/>
  <c r="DE23" i="27"/>
  <c r="CY23" i="27"/>
  <c r="CT23" i="27"/>
  <c r="CO23" i="27"/>
  <c r="CD23" i="27"/>
  <c r="BY23" i="27"/>
  <c r="BS23" i="27"/>
  <c r="BN23" i="27"/>
  <c r="BI23" i="27"/>
  <c r="BC23" i="27"/>
  <c r="AX23" i="27"/>
  <c r="KZ6" i="29"/>
  <c r="KZ44" i="25"/>
  <c r="KZ43" i="25"/>
  <c r="KZ45" i="25"/>
  <c r="KZ40" i="25"/>
  <c r="KZ39" i="25"/>
  <c r="KZ41" i="25"/>
  <c r="KZ47" i="25"/>
  <c r="HR24" i="25"/>
  <c r="HR16" i="25"/>
  <c r="HR34" i="25"/>
  <c r="HR33" i="25"/>
  <c r="HM24" i="25"/>
  <c r="HM16" i="25"/>
  <c r="HM34" i="25"/>
  <c r="HM33" i="25"/>
  <c r="HH24" i="25"/>
  <c r="HH16" i="25"/>
  <c r="HH34" i="25"/>
  <c r="HH33" i="25"/>
  <c r="HC24" i="25"/>
  <c r="HC16" i="25"/>
  <c r="HC34" i="25"/>
  <c r="HC33" i="25"/>
  <c r="GE34" i="25"/>
  <c r="GE33" i="25"/>
  <c r="GS33" i="25" s="1"/>
  <c r="FL24" i="25"/>
  <c r="FL16" i="25"/>
  <c r="FB24" i="25"/>
  <c r="FB16" i="25"/>
  <c r="FE16" i="25" s="1"/>
  <c r="FB34" i="25"/>
  <c r="FB33" i="25"/>
  <c r="FU33" i="25" s="1"/>
  <c r="ES24" i="25"/>
  <c r="ES16" i="25"/>
  <c r="ES34" i="25"/>
  <c r="EV34" i="25"/>
  <c r="ES33" i="25"/>
  <c r="ES44" i="25"/>
  <c r="ES45" i="25"/>
  <c r="EN24" i="25"/>
  <c r="EN16" i="25"/>
  <c r="EQ16" i="25" s="1"/>
  <c r="EN34" i="25"/>
  <c r="EQ34" i="25" s="1"/>
  <c r="EN33" i="25"/>
  <c r="EI24" i="25"/>
  <c r="EI16" i="25"/>
  <c r="EL16" i="25" s="1"/>
  <c r="EI34" i="25"/>
  <c r="EL34" i="25" s="1"/>
  <c r="EI33" i="25"/>
  <c r="C6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6" i="24"/>
  <c r="C15" i="24"/>
  <c r="C14" i="24"/>
  <c r="C13" i="24"/>
  <c r="C12" i="24"/>
  <c r="C11" i="24"/>
  <c r="C10" i="24"/>
  <c r="C9" i="24"/>
  <c r="C8" i="24"/>
  <c r="C7" i="24"/>
  <c r="D34" i="24"/>
  <c r="D33" i="24"/>
  <c r="DI69" i="29"/>
  <c r="DN69" i="29"/>
  <c r="DS69" i="29"/>
  <c r="EB64" i="29"/>
  <c r="DY58" i="29"/>
  <c r="EB58" i="29"/>
  <c r="LB63" i="29"/>
  <c r="LB61" i="29"/>
  <c r="LA59" i="29"/>
  <c r="HP58" i="29"/>
  <c r="GR56" i="29"/>
  <c r="GR55" i="29"/>
  <c r="GR54" i="29"/>
  <c r="GR53" i="29"/>
  <c r="GR52" i="29"/>
  <c r="FP56" i="29"/>
  <c r="FA56" i="29"/>
  <c r="JM56" i="29"/>
  <c r="ID51" i="29"/>
  <c r="IL46" i="29"/>
  <c r="GF46" i="29"/>
  <c r="FX46" i="29"/>
  <c r="EV46" i="29"/>
  <c r="KX45" i="29"/>
  <c r="JJ45" i="29"/>
  <c r="IZ45" i="29"/>
  <c r="IL45" i="29"/>
  <c r="IB45" i="29"/>
  <c r="HN45" i="29"/>
  <c r="HD45" i="29"/>
  <c r="GP45" i="29"/>
  <c r="GF45" i="29"/>
  <c r="EZ45" i="29"/>
  <c r="EJ45" i="29"/>
  <c r="DZ45" i="29"/>
  <c r="DL45" i="29"/>
  <c r="DB45" i="29"/>
  <c r="CP45" i="29"/>
  <c r="BU45" i="29"/>
  <c r="KX44" i="29"/>
  <c r="JH46" i="29"/>
  <c r="JH48" i="29"/>
  <c r="IX46" i="29"/>
  <c r="IL44" i="29"/>
  <c r="IB44" i="29"/>
  <c r="HN44" i="29"/>
  <c r="HD44" i="29"/>
  <c r="GT46" i="29"/>
  <c r="FX44" i="29"/>
  <c r="EV44" i="29"/>
  <c r="EJ44" i="29"/>
  <c r="DZ44" i="29"/>
  <c r="BS46" i="29"/>
  <c r="KY48" i="29"/>
  <c r="KX42" i="29"/>
  <c r="KH42" i="29"/>
  <c r="JJ42" i="29"/>
  <c r="HW48" i="29"/>
  <c r="JU40" i="29"/>
  <c r="JE40" i="29"/>
  <c r="IW40" i="29"/>
  <c r="IG40" i="29"/>
  <c r="HY40" i="29"/>
  <c r="HI40" i="29"/>
  <c r="GK40" i="29"/>
  <c r="FC40" i="29"/>
  <c r="EE40" i="29"/>
  <c r="DW40" i="29"/>
  <c r="DG40" i="29"/>
  <c r="CY40" i="29"/>
  <c r="CD40" i="29"/>
  <c r="BU40" i="29"/>
  <c r="IL39" i="29"/>
  <c r="HN39" i="29"/>
  <c r="FR39" i="29"/>
  <c r="DZ39" i="29"/>
  <c r="CN39" i="29"/>
  <c r="CD39" i="29"/>
  <c r="BU39" i="29"/>
  <c r="BR39" i="29"/>
  <c r="JZ35" i="29"/>
  <c r="JJ35" i="29"/>
  <c r="IZ35" i="29"/>
  <c r="ID35" i="29"/>
  <c r="HP35" i="29"/>
  <c r="GR35" i="29"/>
  <c r="FT35" i="29"/>
  <c r="EV35" i="29"/>
  <c r="KZ33" i="29"/>
  <c r="LA33" i="29"/>
  <c r="LB33" i="29"/>
  <c r="Z30" i="24"/>
  <c r="KU29" i="29"/>
  <c r="Z29" i="24"/>
  <c r="KQ26" i="29"/>
  <c r="JR29" i="29"/>
  <c r="Y29" i="24"/>
  <c r="JN26" i="29"/>
  <c r="JN44" i="29"/>
  <c r="JO44" i="29"/>
  <c r="IK35" i="29"/>
  <c r="IA35" i="29"/>
  <c r="HM35" i="29"/>
  <c r="CM4" i="27"/>
  <c r="HC35" i="29"/>
  <c r="EI35" i="29"/>
  <c r="AU28" i="29"/>
  <c r="KZ27" i="29"/>
  <c r="KZ25" i="29"/>
  <c r="BX24" i="29"/>
  <c r="W24" i="29"/>
  <c r="BX23" i="29"/>
  <c r="W23" i="29"/>
  <c r="BX22" i="29"/>
  <c r="AU22" i="29"/>
  <c r="W22" i="29"/>
  <c r="BX21" i="29"/>
  <c r="W21" i="29"/>
  <c r="BX20" i="29"/>
  <c r="W20" i="29"/>
  <c r="BX19" i="29"/>
  <c r="W19" i="29"/>
  <c r="BX18" i="29"/>
  <c r="W18" i="29"/>
  <c r="W17" i="29"/>
  <c r="BX15" i="29"/>
  <c r="BX14" i="29"/>
  <c r="W14" i="29"/>
  <c r="W13" i="29"/>
  <c r="W11" i="29"/>
  <c r="BX10" i="29"/>
  <c r="W10" i="29"/>
  <c r="BX9" i="29"/>
  <c r="W9" i="29"/>
  <c r="BX8" i="29"/>
  <c r="W8" i="29"/>
  <c r="BX7" i="29"/>
  <c r="W7" i="29"/>
  <c r="BX6" i="29"/>
  <c r="BFX46" i="30"/>
  <c r="BFX48" i="30"/>
  <c r="BFL46" i="30"/>
  <c r="BFH46" i="30"/>
  <c r="BFH48" i="30"/>
  <c r="APX46" i="30"/>
  <c r="APT46" i="30"/>
  <c r="APT48" i="30"/>
  <c r="APH46" i="30"/>
  <c r="APD46" i="30"/>
  <c r="APD48" i="30"/>
  <c r="ZT46" i="30"/>
  <c r="ZP46" i="30"/>
  <c r="ZP48" i="30"/>
  <c r="ZD46" i="30"/>
  <c r="YZ46" i="30"/>
  <c r="YZ48" i="30"/>
  <c r="JP46" i="30"/>
  <c r="JL46" i="30"/>
  <c r="JL48" i="30"/>
  <c r="IZ46" i="30"/>
  <c r="AB46" i="30"/>
  <c r="AB48" i="30"/>
  <c r="P46" i="30"/>
  <c r="L46" i="30"/>
  <c r="L48" i="30"/>
  <c r="BFT48" i="30"/>
  <c r="BFD48" i="30"/>
  <c r="APP48" i="30"/>
  <c r="AOZ48" i="30"/>
  <c r="ZL48" i="30"/>
  <c r="JX48" i="30"/>
  <c r="JH48" i="30"/>
  <c r="X48" i="30"/>
  <c r="H48" i="30"/>
  <c r="BFP42" i="30"/>
  <c r="BFP48" i="30"/>
  <c r="BEZ42" i="30"/>
  <c r="BEZ48" i="30"/>
  <c r="APL42" i="30"/>
  <c r="ZX42" i="30"/>
  <c r="ZX48" i="30"/>
  <c r="ZH42" i="30"/>
  <c r="ZH48" i="30"/>
  <c r="JT42" i="30"/>
  <c r="JD42" i="30"/>
  <c r="T42" i="30"/>
  <c r="D42" i="30"/>
  <c r="BFL42" i="30"/>
  <c r="APX42" i="30"/>
  <c r="APH42" i="30"/>
  <c r="ZT42" i="30"/>
  <c r="ZD42" i="30"/>
  <c r="JP42" i="30"/>
  <c r="JP48" i="30"/>
  <c r="IZ42" i="30"/>
  <c r="IZ48" i="30"/>
  <c r="P42" i="30"/>
  <c r="BKZ35" i="30"/>
  <c r="BJT35" i="30"/>
  <c r="BIN35" i="30"/>
  <c r="BGB35" i="30"/>
  <c r="BEV35" i="30"/>
  <c r="BDP35" i="30"/>
  <c r="BBD35" i="30"/>
  <c r="AZX35" i="30"/>
  <c r="AYR35" i="30"/>
  <c r="AWF35" i="30"/>
  <c r="AUZ35" i="30"/>
  <c r="ATT35" i="30"/>
  <c r="ARH35" i="30"/>
  <c r="AQB35" i="30"/>
  <c r="AOV35" i="30"/>
  <c r="AMJ35" i="30"/>
  <c r="ALD35" i="30"/>
  <c r="AJX35" i="30"/>
  <c r="AEZ35" i="30"/>
  <c r="ABH35" i="30"/>
  <c r="VD35" i="30"/>
  <c r="RL35" i="30"/>
  <c r="LH35" i="30"/>
  <c r="HP35" i="30"/>
  <c r="BL35" i="30"/>
  <c r="BKZ34" i="30"/>
  <c r="BJT34" i="30"/>
  <c r="BGB34" i="30"/>
  <c r="BEV34" i="30"/>
  <c r="BBD34" i="30"/>
  <c r="AZX34" i="30"/>
  <c r="AWF34" i="30"/>
  <c r="AUZ34" i="30"/>
  <c r="ARH34" i="30"/>
  <c r="AQB34" i="30"/>
  <c r="AMJ34" i="30"/>
  <c r="ALD34" i="30"/>
  <c r="AGV36" i="30"/>
  <c r="AHL34" i="30"/>
  <c r="AGB36" i="30"/>
  <c r="AGF34" i="30"/>
  <c r="AEV36" i="30"/>
  <c r="AEB36" i="30"/>
  <c r="ABX36" i="30"/>
  <c r="ACN34" i="30"/>
  <c r="ABD36" i="30"/>
  <c r="ABH34" i="30"/>
  <c r="ZX36" i="30"/>
  <c r="ZD36" i="30"/>
  <c r="XP34" i="30"/>
  <c r="WJ34" i="30"/>
  <c r="SR34" i="30"/>
  <c r="RL34" i="30"/>
  <c r="NT34" i="30"/>
  <c r="MN34" i="30"/>
  <c r="IV34" i="30"/>
  <c r="HP34" i="30"/>
  <c r="DX34" i="30"/>
  <c r="CR34" i="30"/>
  <c r="BKZ33" i="30"/>
  <c r="BJT33" i="30"/>
  <c r="BGB33" i="30"/>
  <c r="BEV33" i="30"/>
  <c r="BBD33" i="30"/>
  <c r="AZX33" i="30"/>
  <c r="AWF33" i="30"/>
  <c r="AUZ33" i="30"/>
  <c r="ARH33" i="30"/>
  <c r="AQB33" i="30"/>
  <c r="AMJ33" i="30"/>
  <c r="ALD33" i="30"/>
  <c r="AHL33" i="30"/>
  <c r="AGF33" i="30"/>
  <c r="ACN33" i="30"/>
  <c r="ABH33" i="30"/>
  <c r="XP33" i="30"/>
  <c r="WJ33" i="30"/>
  <c r="SR33" i="30"/>
  <c r="RL33" i="30"/>
  <c r="NT33" i="30"/>
  <c r="MN33" i="30"/>
  <c r="IV33" i="30"/>
  <c r="HP33" i="30"/>
  <c r="DX33" i="30"/>
  <c r="CR33" i="30"/>
  <c r="BKZ32" i="30"/>
  <c r="BJT32" i="30"/>
  <c r="BGB32" i="30"/>
  <c r="BEV32" i="30"/>
  <c r="BBD32" i="30"/>
  <c r="AZX32" i="30"/>
  <c r="AUZ32" i="30"/>
  <c r="ASN32" i="30"/>
  <c r="ARH32" i="30"/>
  <c r="AQB32" i="30"/>
  <c r="AOV32" i="30"/>
  <c r="AOU32" i="30"/>
  <c r="AOX32" i="30"/>
  <c r="ANR32" i="30"/>
  <c r="ANP32" i="30"/>
  <c r="AMI32" i="30"/>
  <c r="ALD32" i="30"/>
  <c r="AJX32" i="30"/>
  <c r="AJW32" i="30"/>
  <c r="AJZ32" i="30"/>
  <c r="AIT32" i="30"/>
  <c r="AIR32" i="30"/>
  <c r="AHK32" i="30"/>
  <c r="AGF32" i="30"/>
  <c r="AEZ32" i="30"/>
  <c r="AEY32" i="30"/>
  <c r="AFB32" i="30"/>
  <c r="ADV32" i="30"/>
  <c r="ADT32" i="30"/>
  <c r="ACM32" i="30"/>
  <c r="ABH32" i="30"/>
  <c r="AAB32" i="30"/>
  <c r="AAA32" i="30"/>
  <c r="AAD32" i="30"/>
  <c r="YX32" i="30"/>
  <c r="YV32" i="30"/>
  <c r="XO32" i="30"/>
  <c r="XR32" i="30"/>
  <c r="WJ32" i="30"/>
  <c r="VD32" i="30"/>
  <c r="VC32" i="30"/>
  <c r="VF32" i="30"/>
  <c r="TZ32" i="30"/>
  <c r="TX32" i="30"/>
  <c r="SQ32" i="30"/>
  <c r="ST32" i="30"/>
  <c r="RL32" i="30"/>
  <c r="QF32" i="30"/>
  <c r="QE32" i="30"/>
  <c r="QH32" i="30"/>
  <c r="PB32" i="30"/>
  <c r="OZ32" i="30"/>
  <c r="NS32" i="30"/>
  <c r="NV32" i="30"/>
  <c r="MN32" i="30"/>
  <c r="LH32" i="30"/>
  <c r="LG32" i="30"/>
  <c r="LJ32" i="30"/>
  <c r="KD32" i="30"/>
  <c r="KB32" i="30"/>
  <c r="IU32" i="30"/>
  <c r="HP32" i="30"/>
  <c r="GJ32" i="30"/>
  <c r="GI32" i="30"/>
  <c r="GL32" i="30"/>
  <c r="FF32" i="30"/>
  <c r="FD32" i="30"/>
  <c r="DW32" i="30"/>
  <c r="DZ32" i="30"/>
  <c r="CR32" i="30"/>
  <c r="BL32" i="30"/>
  <c r="BK32" i="30"/>
  <c r="BN32" i="30"/>
  <c r="AH32" i="30"/>
  <c r="AF32" i="30"/>
  <c r="BKY31" i="30"/>
  <c r="BJT31" i="30"/>
  <c r="BIN31" i="30"/>
  <c r="BIM31" i="30"/>
  <c r="BIP31" i="30"/>
  <c r="BHJ31" i="30"/>
  <c r="BHH31" i="30"/>
  <c r="BGA31" i="30"/>
  <c r="BEV31" i="30"/>
  <c r="BDP31" i="30"/>
  <c r="BDO31" i="30"/>
  <c r="BDR31" i="30"/>
  <c r="BCL31" i="30"/>
  <c r="BCJ31" i="30"/>
  <c r="BBC31" i="30"/>
  <c r="BBF31" i="30"/>
  <c r="AZX31" i="30"/>
  <c r="AYR31" i="30"/>
  <c r="AYQ31" i="30"/>
  <c r="AYT31" i="30"/>
  <c r="AXN31" i="30"/>
  <c r="AXL31" i="30"/>
  <c r="AWE31" i="30"/>
  <c r="AWH31" i="30"/>
  <c r="AUZ31" i="30"/>
  <c r="ATT31" i="30"/>
  <c r="ATS31" i="30"/>
  <c r="ATV31" i="30"/>
  <c r="ASP31" i="30"/>
  <c r="ASN31" i="30"/>
  <c r="ARG31" i="30"/>
  <c r="AQB31" i="30"/>
  <c r="AOV31" i="30"/>
  <c r="AOU31" i="30"/>
  <c r="AOX31" i="30"/>
  <c r="ANR31" i="30"/>
  <c r="ANP31" i="30"/>
  <c r="AMI31" i="30"/>
  <c r="AML31" i="30"/>
  <c r="ALD31" i="30"/>
  <c r="AJX31" i="30"/>
  <c r="AJW31" i="30"/>
  <c r="AJZ31" i="30"/>
  <c r="AIT31" i="30"/>
  <c r="AIR31" i="30"/>
  <c r="AHK31" i="30"/>
  <c r="AGF31" i="30"/>
  <c r="AEZ31" i="30"/>
  <c r="AEY31" i="30"/>
  <c r="AFB31" i="30"/>
  <c r="ADV31" i="30"/>
  <c r="ADT31" i="30"/>
  <c r="ACM31" i="30"/>
  <c r="ABH31" i="30"/>
  <c r="AAB31" i="30"/>
  <c r="AAA31" i="30"/>
  <c r="AAD31" i="30"/>
  <c r="YX31" i="30"/>
  <c r="YV31" i="30"/>
  <c r="XO31" i="30"/>
  <c r="WJ31" i="30"/>
  <c r="VD31" i="30"/>
  <c r="VC31" i="30"/>
  <c r="VF31" i="30"/>
  <c r="TZ31" i="30"/>
  <c r="TX31" i="30"/>
  <c r="SQ31" i="30"/>
  <c r="RL31" i="30"/>
  <c r="QF31" i="30"/>
  <c r="QE31" i="30"/>
  <c r="QH31" i="30"/>
  <c r="PB31" i="30"/>
  <c r="OZ31" i="30"/>
  <c r="NS31" i="30"/>
  <c r="MN31" i="30"/>
  <c r="LH31" i="30"/>
  <c r="LG31" i="30"/>
  <c r="LJ31" i="30"/>
  <c r="KD31" i="30"/>
  <c r="KB31" i="30"/>
  <c r="IU31" i="30"/>
  <c r="IX31" i="30"/>
  <c r="HP31" i="30"/>
  <c r="GJ31" i="30"/>
  <c r="GI31" i="30"/>
  <c r="GL31" i="30"/>
  <c r="FF31" i="30"/>
  <c r="FD31" i="30"/>
  <c r="DW31" i="30"/>
  <c r="CR31" i="30"/>
  <c r="BL31" i="30"/>
  <c r="BK31" i="30"/>
  <c r="BN31" i="30"/>
  <c r="AH31" i="30"/>
  <c r="AF31" i="30"/>
  <c r="BKY30" i="30"/>
  <c r="BLB30" i="30"/>
  <c r="BJT30" i="30"/>
  <c r="BIN30" i="30"/>
  <c r="BIM30" i="30"/>
  <c r="BIP30" i="30"/>
  <c r="BHJ30" i="30"/>
  <c r="BHH30" i="30"/>
  <c r="BGA30" i="30"/>
  <c r="BEV30" i="30"/>
  <c r="BDP30" i="30"/>
  <c r="BDO30" i="30"/>
  <c r="BDR30" i="30"/>
  <c r="BCL30" i="30"/>
  <c r="BCJ30" i="30"/>
  <c r="BBC30" i="30"/>
  <c r="AZX30" i="30"/>
  <c r="AYR30" i="30"/>
  <c r="AYQ30" i="30"/>
  <c r="AYT30" i="30"/>
  <c r="AXN30" i="30"/>
  <c r="AXL30" i="30"/>
  <c r="AWE30" i="30"/>
  <c r="AUZ30" i="30"/>
  <c r="ATT30" i="30"/>
  <c r="ATS30" i="30"/>
  <c r="ATV30" i="30"/>
  <c r="ASP30" i="30"/>
  <c r="ASN30" i="30"/>
  <c r="ARG30" i="30"/>
  <c r="AQB30" i="30"/>
  <c r="AOV30" i="30"/>
  <c r="AOU30" i="30"/>
  <c r="AOX30" i="30"/>
  <c r="ANR30" i="30"/>
  <c r="ANP30" i="30"/>
  <c r="AMI30" i="30"/>
  <c r="ALD30" i="30"/>
  <c r="AJX30" i="30"/>
  <c r="AJW30" i="30"/>
  <c r="AJZ30" i="30"/>
  <c r="AIT30" i="30"/>
  <c r="AIR30" i="30"/>
  <c r="AHK30" i="30"/>
  <c r="AGF30" i="30"/>
  <c r="AEZ30" i="30"/>
  <c r="AEY30" i="30"/>
  <c r="AFB30" i="30"/>
  <c r="ADV30" i="30"/>
  <c r="ADT30" i="30"/>
  <c r="ACM30" i="30"/>
  <c r="ABH30" i="30"/>
  <c r="AAB30" i="30"/>
  <c r="AAA30" i="30"/>
  <c r="YX30" i="30"/>
  <c r="YV30" i="30"/>
  <c r="XO30" i="30"/>
  <c r="XR30" i="30"/>
  <c r="WJ30" i="30"/>
  <c r="VD30" i="30"/>
  <c r="VC30" i="30"/>
  <c r="VF30" i="30"/>
  <c r="TZ30" i="30"/>
  <c r="TX30" i="30"/>
  <c r="SQ30" i="30"/>
  <c r="ST30" i="30"/>
  <c r="RN30" i="30"/>
  <c r="QH30" i="30"/>
  <c r="GJ30" i="30"/>
  <c r="FD30" i="30"/>
  <c r="BL30" i="30"/>
  <c r="AYR29" i="30"/>
  <c r="AXL29" i="30"/>
  <c r="ATT29" i="30"/>
  <c r="AEZ29" i="30"/>
  <c r="ADT29" i="30"/>
  <c r="AAD29" i="30"/>
  <c r="AAB29" i="30"/>
  <c r="VF29" i="30"/>
  <c r="LH29" i="30"/>
  <c r="KB29" i="30"/>
  <c r="GL29" i="30"/>
  <c r="GJ29" i="30"/>
  <c r="BN29" i="30"/>
  <c r="BDP28" i="30"/>
  <c r="ATV28" i="30"/>
  <c r="LH28" i="30"/>
  <c r="KB28" i="30"/>
  <c r="GJ28" i="30"/>
  <c r="FD28" i="30"/>
  <c r="BL28" i="30"/>
  <c r="AF28" i="30"/>
  <c r="BIN27" i="30"/>
  <c r="BHH27" i="30"/>
  <c r="BDP27" i="30"/>
  <c r="BCJ27" i="30"/>
  <c r="AYR27" i="30"/>
  <c r="AXL27" i="30"/>
  <c r="ATT27" i="30"/>
  <c r="ASN27" i="30"/>
  <c r="AOX27" i="30"/>
  <c r="AOV27" i="30"/>
  <c r="ANP27" i="30"/>
  <c r="AJZ27" i="30"/>
  <c r="AJX27" i="30"/>
  <c r="AIR27" i="30"/>
  <c r="AFB27" i="30"/>
  <c r="AEZ27" i="30"/>
  <c r="ADT27" i="30"/>
  <c r="AAD27" i="30"/>
  <c r="AAB27" i="30"/>
  <c r="YV27" i="30"/>
  <c r="VF27" i="30"/>
  <c r="VD27" i="30"/>
  <c r="TX27" i="30"/>
  <c r="QH27" i="30"/>
  <c r="QF27" i="30"/>
  <c r="OZ27" i="30"/>
  <c r="LJ27" i="30"/>
  <c r="LH27" i="30"/>
  <c r="KB27" i="30"/>
  <c r="GL27" i="30"/>
  <c r="GJ27" i="30"/>
  <c r="FD27" i="30"/>
  <c r="BL27" i="30"/>
  <c r="AF27" i="30"/>
  <c r="BIN26" i="30"/>
  <c r="BHH26" i="30"/>
  <c r="BDP26" i="30"/>
  <c r="BCJ26" i="30"/>
  <c r="AYR26" i="30"/>
  <c r="AXL26" i="30"/>
  <c r="ATT26" i="30"/>
  <c r="ASN26" i="30"/>
  <c r="AOV26" i="30"/>
  <c r="ANP26" i="30"/>
  <c r="AJX26" i="30"/>
  <c r="AIR26" i="30"/>
  <c r="AEZ26" i="30"/>
  <c r="ADT26" i="30"/>
  <c r="AAB26" i="30"/>
  <c r="YV26" i="30"/>
  <c r="VD26" i="30"/>
  <c r="TX26" i="30"/>
  <c r="QH26" i="30"/>
  <c r="QF26" i="30"/>
  <c r="OZ26" i="30"/>
  <c r="LJ26" i="30"/>
  <c r="LH26" i="30"/>
  <c r="KB26" i="30"/>
  <c r="KB44" i="30"/>
  <c r="GL26" i="30"/>
  <c r="GJ26" i="30"/>
  <c r="FD26" i="30"/>
  <c r="BL26" i="30"/>
  <c r="AF26" i="30"/>
  <c r="AF44" i="30"/>
  <c r="BIP25" i="30"/>
  <c r="BIN25" i="30"/>
  <c r="BHH25" i="30"/>
  <c r="BDP25" i="30"/>
  <c r="BCJ25" i="30"/>
  <c r="AYR25" i="30"/>
  <c r="AXL25" i="30"/>
  <c r="ATT25" i="30"/>
  <c r="ASN25" i="30"/>
  <c r="AOV25" i="30"/>
  <c r="ANP25" i="30"/>
  <c r="AJX25" i="30"/>
  <c r="AIR25" i="30"/>
  <c r="AEZ25" i="30"/>
  <c r="ADT25" i="30"/>
  <c r="AAB25" i="30"/>
  <c r="YV25" i="30"/>
  <c r="VD25" i="30"/>
  <c r="TX25" i="30"/>
  <c r="QF25" i="30"/>
  <c r="NT25" i="30"/>
  <c r="MP25" i="30"/>
  <c r="IV25" i="30"/>
  <c r="GJ25" i="30"/>
  <c r="FD25" i="30"/>
  <c r="CR25" i="30"/>
  <c r="BL25" i="30"/>
  <c r="AF25" i="30"/>
  <c r="BJV24" i="30"/>
  <c r="BJT24" i="30"/>
  <c r="BIN24" i="30"/>
  <c r="BGB24" i="30"/>
  <c r="BEX24" i="30"/>
  <c r="BBD24" i="30"/>
  <c r="AYR24" i="30"/>
  <c r="AXL24" i="30"/>
  <c r="AWF24" i="30"/>
  <c r="AWE24" i="30"/>
  <c r="AWH24" i="30"/>
  <c r="AVB24" i="30"/>
  <c r="AUZ24" i="30"/>
  <c r="ASN24" i="30"/>
  <c r="ARH24" i="30"/>
  <c r="ARG24" i="30"/>
  <c r="ARJ24" i="30"/>
  <c r="AQD24" i="30"/>
  <c r="AQB24" i="30"/>
  <c r="ANP24" i="30"/>
  <c r="AMJ24" i="30"/>
  <c r="AMI24" i="30"/>
  <c r="AML24" i="30"/>
  <c r="ALF24" i="30"/>
  <c r="ALD24" i="30"/>
  <c r="AIR24" i="30"/>
  <c r="AHL24" i="30"/>
  <c r="AHK24" i="30"/>
  <c r="AHN24" i="30"/>
  <c r="AGH24" i="30"/>
  <c r="AGF24" i="30"/>
  <c r="ADT24" i="30"/>
  <c r="ACN24" i="30"/>
  <c r="ACM24" i="30"/>
  <c r="ACP24" i="30"/>
  <c r="ABJ24" i="30"/>
  <c r="ABH24" i="30"/>
  <c r="YV24" i="30"/>
  <c r="XP24" i="30"/>
  <c r="XO24" i="30"/>
  <c r="XR24" i="30"/>
  <c r="WL24" i="30"/>
  <c r="WJ24" i="30"/>
  <c r="TX24" i="30"/>
  <c r="SR24" i="30"/>
  <c r="SQ24" i="30"/>
  <c r="ST24" i="30"/>
  <c r="RN24" i="30"/>
  <c r="RL24" i="30"/>
  <c r="OZ24" i="30"/>
  <c r="NT24" i="30"/>
  <c r="NS24" i="30"/>
  <c r="NV24" i="30"/>
  <c r="MP24" i="30"/>
  <c r="MN24" i="30"/>
  <c r="KB24" i="30"/>
  <c r="IV24" i="30"/>
  <c r="IU24" i="30"/>
  <c r="IX24" i="30"/>
  <c r="HR24" i="30"/>
  <c r="HP24" i="30"/>
  <c r="FD24" i="30"/>
  <c r="DX24" i="30"/>
  <c r="DW24" i="30"/>
  <c r="DZ24" i="30"/>
  <c r="CT24" i="30"/>
  <c r="CR24" i="30"/>
  <c r="AF24" i="30"/>
  <c r="BKZ23" i="30"/>
  <c r="BKY23" i="30"/>
  <c r="BLB23" i="30"/>
  <c r="BJV23" i="30"/>
  <c r="BJT23" i="30"/>
  <c r="BHH23" i="30"/>
  <c r="BGB23" i="30"/>
  <c r="BGA23" i="30"/>
  <c r="BGD23" i="30"/>
  <c r="BEX23" i="30"/>
  <c r="BEV23" i="30"/>
  <c r="BCJ23" i="30"/>
  <c r="BBD23" i="30"/>
  <c r="BBC23" i="30"/>
  <c r="BBF23" i="30"/>
  <c r="AZZ23" i="30"/>
  <c r="AZX23" i="30"/>
  <c r="AYR23" i="30"/>
  <c r="AUZ23" i="30"/>
  <c r="ATT23" i="30"/>
  <c r="AQB23" i="30"/>
  <c r="AOV23" i="30"/>
  <c r="AJZ23" i="30"/>
  <c r="TX23" i="30"/>
  <c r="BHH22" i="30"/>
  <c r="ANP22" i="30"/>
  <c r="AJZ22" i="30"/>
  <c r="AFB22" i="30"/>
  <c r="AAD22" i="30"/>
  <c r="AAB22" i="30"/>
  <c r="VF22" i="30"/>
  <c r="VD22" i="30"/>
  <c r="QH22" i="30"/>
  <c r="QF22" i="30"/>
  <c r="LH22" i="30"/>
  <c r="GL22" i="30"/>
  <c r="BIN21" i="30"/>
  <c r="BHH21" i="30"/>
  <c r="BDP21" i="30"/>
  <c r="BCJ21" i="30"/>
  <c r="AOV21" i="30"/>
  <c r="ANP21" i="30"/>
  <c r="AJZ21" i="30"/>
  <c r="AJX21" i="30"/>
  <c r="AIR21" i="30"/>
  <c r="VD21" i="30"/>
  <c r="TX21" i="30"/>
  <c r="QH21" i="30"/>
  <c r="QF21" i="30"/>
  <c r="OZ21" i="30"/>
  <c r="BL21" i="30"/>
  <c r="AF21" i="30"/>
  <c r="BIN20" i="30"/>
  <c r="BHH20" i="30"/>
  <c r="BDR20" i="30"/>
  <c r="ATT20" i="30"/>
  <c r="ASN20" i="30"/>
  <c r="AOV20" i="30"/>
  <c r="ANP20" i="30"/>
  <c r="AAB20" i="30"/>
  <c r="YV20" i="30"/>
  <c r="VD20" i="30"/>
  <c r="TX20" i="30"/>
  <c r="GJ20" i="30"/>
  <c r="FD20" i="30"/>
  <c r="BL20" i="30"/>
  <c r="AF20" i="30"/>
  <c r="AYR19" i="30"/>
  <c r="AXL19" i="30"/>
  <c r="ATT19" i="30"/>
  <c r="ASN19" i="30"/>
  <c r="AEZ19" i="30"/>
  <c r="ADT19" i="30"/>
  <c r="AAD19" i="30"/>
  <c r="AAB19" i="30"/>
  <c r="YV19" i="30"/>
  <c r="VF19" i="30"/>
  <c r="OZ19" i="30"/>
  <c r="MN19" i="30"/>
  <c r="KB19" i="30"/>
  <c r="IV19" i="30"/>
  <c r="GJ19" i="30"/>
  <c r="FD19" i="30"/>
  <c r="DX19" i="30"/>
  <c r="BN19" i="30"/>
  <c r="BL19" i="30"/>
  <c r="AF19" i="30"/>
  <c r="AF41" i="30"/>
  <c r="BIP18" i="30"/>
  <c r="BGA18" i="30"/>
  <c r="BCJ18" i="30"/>
  <c r="BBD18" i="30"/>
  <c r="AZX18" i="30"/>
  <c r="AYT18" i="30"/>
  <c r="AYR18" i="30"/>
  <c r="AWF18" i="30"/>
  <c r="ANP18" i="30"/>
  <c r="AML18" i="30"/>
  <c r="AGF18" i="30"/>
  <c r="ABH18" i="30"/>
  <c r="WJ18" i="30"/>
  <c r="SR18" i="30"/>
  <c r="IV18" i="30"/>
  <c r="AF18" i="30"/>
  <c r="BLB17" i="30"/>
  <c r="BEV17" i="30"/>
  <c r="BBD17" i="30"/>
  <c r="AZX17" i="30"/>
  <c r="AUZ17" i="30"/>
  <c r="ARH17" i="30"/>
  <c r="AIR17" i="30"/>
  <c r="AHN17" i="30"/>
  <c r="AHL17" i="30"/>
  <c r="YV17" i="30"/>
  <c r="XR17" i="30"/>
  <c r="VD17" i="30"/>
  <c r="TX17" i="30"/>
  <c r="SR17" i="30"/>
  <c r="RL17" i="30"/>
  <c r="LH17" i="30"/>
  <c r="IV17" i="30"/>
  <c r="BL17" i="30"/>
  <c r="AF17" i="30"/>
  <c r="BJT16" i="30"/>
  <c r="BDP16" i="30"/>
  <c r="BBD16" i="30"/>
  <c r="ATT16" i="30"/>
  <c r="ARH16" i="30"/>
  <c r="AQB16" i="30"/>
  <c r="AJX16" i="30"/>
  <c r="AHL16" i="30"/>
  <c r="AAB16" i="30"/>
  <c r="YU16" i="30"/>
  <c r="WJ16" i="30"/>
  <c r="QF16" i="30"/>
  <c r="NT16" i="30"/>
  <c r="GJ16" i="30"/>
  <c r="FD16" i="30"/>
  <c r="DX16" i="30"/>
  <c r="CR16" i="30"/>
  <c r="BIN15" i="30"/>
  <c r="BGB15" i="30"/>
  <c r="AYR15" i="30"/>
  <c r="AUZ15" i="30"/>
  <c r="AOV15" i="30"/>
  <c r="AMJ15" i="30"/>
  <c r="AIR15" i="30"/>
  <c r="AEZ15" i="30"/>
  <c r="ABH15" i="30"/>
  <c r="AAB15" i="30"/>
  <c r="XP15" i="30"/>
  <c r="TX15" i="30"/>
  <c r="SR15" i="30"/>
  <c r="OZ15" i="30"/>
  <c r="LH15" i="30"/>
  <c r="HP15" i="30"/>
  <c r="GJ15" i="30"/>
  <c r="DX15" i="30"/>
  <c r="AF15" i="30"/>
  <c r="BKZ14" i="30"/>
  <c r="BHH14" i="30"/>
  <c r="BDP14" i="30"/>
  <c r="AZX14" i="30"/>
  <c r="AYR14" i="30"/>
  <c r="AWF14" i="30"/>
  <c r="ASN14" i="30"/>
  <c r="ARH14" i="30"/>
  <c r="ANP14" i="30"/>
  <c r="AJX14" i="30"/>
  <c r="AGF14" i="30"/>
  <c r="AEZ14" i="30"/>
  <c r="ACN14" i="30"/>
  <c r="YV14" i="30"/>
  <c r="XP14" i="30"/>
  <c r="TX14" i="30"/>
  <c r="QF14" i="30"/>
  <c r="MN14" i="30"/>
  <c r="LH14" i="30"/>
  <c r="KB14" i="30"/>
  <c r="HR14" i="30"/>
  <c r="GJ14" i="30"/>
  <c r="BL14" i="30"/>
  <c r="BJV13" i="30"/>
  <c r="BIN13" i="30"/>
  <c r="AZZ13" i="30"/>
  <c r="AYR13" i="30"/>
  <c r="AUZ13" i="30"/>
  <c r="ASN13" i="30"/>
  <c r="AQD13" i="30"/>
  <c r="AOV13" i="30"/>
  <c r="ALD13" i="30"/>
  <c r="AJZ13" i="30"/>
  <c r="AHL13" i="30"/>
  <c r="AHK13" i="30"/>
  <c r="AHN13" i="30"/>
  <c r="ADT13" i="30"/>
  <c r="ACN13" i="30"/>
  <c r="ACM13" i="30"/>
  <c r="YV13" i="30"/>
  <c r="SR13" i="30"/>
  <c r="SQ13" i="30"/>
  <c r="ST13" i="30"/>
  <c r="KB13" i="30"/>
  <c r="IV13" i="30"/>
  <c r="IU13" i="30"/>
  <c r="FD13" i="30"/>
  <c r="BL13" i="30"/>
  <c r="BKZ12" i="30"/>
  <c r="BKY12" i="30"/>
  <c r="BLB12" i="30"/>
  <c r="BIN12" i="30"/>
  <c r="BCJ12" i="30"/>
  <c r="BBD12" i="30"/>
  <c r="BBC12" i="30"/>
  <c r="BBF12" i="30"/>
  <c r="AXL12" i="30"/>
  <c r="ATT12" i="30"/>
  <c r="ARH12" i="30"/>
  <c r="ARG12" i="30"/>
  <c r="ARJ12" i="30"/>
  <c r="AOV12" i="30"/>
  <c r="AIR12" i="30"/>
  <c r="AHL12" i="30"/>
  <c r="AHK12" i="30"/>
  <c r="AHN12" i="30"/>
  <c r="AEZ12" i="30"/>
  <c r="ABH12" i="30"/>
  <c r="YV12" i="30"/>
  <c r="XP12" i="30"/>
  <c r="WJ12" i="30"/>
  <c r="VD12" i="30"/>
  <c r="TX12" i="30"/>
  <c r="SQ12" i="30"/>
  <c r="ST12" i="30"/>
  <c r="RL12" i="30"/>
  <c r="OZ12" i="30"/>
  <c r="MN12" i="30"/>
  <c r="KB12" i="30"/>
  <c r="KB41" i="30"/>
  <c r="HP12" i="30"/>
  <c r="FD12" i="30"/>
  <c r="DX12" i="30"/>
  <c r="BL12" i="30"/>
  <c r="BJT11" i="30"/>
  <c r="BHH11" i="30"/>
  <c r="BEV11" i="30"/>
  <c r="BCJ11" i="30"/>
  <c r="AZX11" i="30"/>
  <c r="AYQ11" i="30"/>
  <c r="AXL11" i="30"/>
  <c r="AUZ11" i="30"/>
  <c r="ATT11" i="30"/>
  <c r="ASN11" i="30"/>
  <c r="ARG11" i="30"/>
  <c r="ARJ11" i="30"/>
  <c r="AQB11" i="30"/>
  <c r="ANP11" i="30"/>
  <c r="ALD11" i="30"/>
  <c r="AIR11" i="30"/>
  <c r="AEZ11" i="30"/>
  <c r="AAB11" i="30"/>
  <c r="YV11" i="30"/>
  <c r="YU11" i="30"/>
  <c r="YX11" i="30"/>
  <c r="WJ11" i="30"/>
  <c r="TX11" i="30"/>
  <c r="TW11" i="30"/>
  <c r="TZ11" i="30"/>
  <c r="SR11" i="30"/>
  <c r="RK11" i="30"/>
  <c r="RN11" i="30"/>
  <c r="QF11" i="30"/>
  <c r="OZ11" i="30"/>
  <c r="OY11" i="30"/>
  <c r="PB11" i="30"/>
  <c r="NT11" i="30"/>
  <c r="MM11" i="30"/>
  <c r="MP11" i="30"/>
  <c r="LH11" i="30"/>
  <c r="KB11" i="30"/>
  <c r="KA11" i="30"/>
  <c r="KD11" i="30"/>
  <c r="IV11" i="30"/>
  <c r="HO11" i="30"/>
  <c r="HR11" i="30"/>
  <c r="GJ11" i="30"/>
  <c r="FD11" i="30"/>
  <c r="FC11" i="30"/>
  <c r="FF11" i="30"/>
  <c r="DX11" i="30"/>
  <c r="CQ11" i="30"/>
  <c r="CT11" i="30"/>
  <c r="BL11" i="30"/>
  <c r="AF11" i="30"/>
  <c r="AE11" i="30"/>
  <c r="AH11" i="30"/>
  <c r="BKZ10" i="30"/>
  <c r="BJS10" i="30"/>
  <c r="BJV10" i="30"/>
  <c r="BIN10" i="30"/>
  <c r="BHH10" i="30"/>
  <c r="BHG10" i="30"/>
  <c r="BHJ10" i="30"/>
  <c r="BGB10" i="30"/>
  <c r="BEU10" i="30"/>
  <c r="BEX10" i="30"/>
  <c r="BDP10" i="30"/>
  <c r="BCJ10" i="30"/>
  <c r="BCI10" i="30"/>
  <c r="BCL10" i="30"/>
  <c r="BBD10" i="30"/>
  <c r="AZW10" i="30"/>
  <c r="AZZ10" i="30"/>
  <c r="AYR10" i="30"/>
  <c r="AXL10" i="30"/>
  <c r="AXK10" i="30"/>
  <c r="AXN10" i="30"/>
  <c r="AWF10" i="30"/>
  <c r="AUY10" i="30"/>
  <c r="AVB10" i="30"/>
  <c r="ATT10" i="30"/>
  <c r="ASN10" i="30"/>
  <c r="ASM10" i="30"/>
  <c r="ASP10" i="30"/>
  <c r="ARH10" i="30"/>
  <c r="AQA10" i="30"/>
  <c r="AQD10" i="30"/>
  <c r="AOV10" i="30"/>
  <c r="ANP10" i="30"/>
  <c r="ANO10" i="30"/>
  <c r="ANR10" i="30"/>
  <c r="AMJ10" i="30"/>
  <c r="ALC10" i="30"/>
  <c r="ALF10" i="30"/>
  <c r="AJX10" i="30"/>
  <c r="AIR10" i="30"/>
  <c r="AIQ10" i="30"/>
  <c r="AIT10" i="30"/>
  <c r="AHL10" i="30"/>
  <c r="AGE10" i="30"/>
  <c r="AGH10" i="30"/>
  <c r="AEZ10" i="30"/>
  <c r="ADT10" i="30"/>
  <c r="ADS10" i="30"/>
  <c r="ADV10" i="30"/>
  <c r="ACN10" i="30"/>
  <c r="ABG10" i="30"/>
  <c r="ABJ10" i="30"/>
  <c r="AAB10" i="30"/>
  <c r="YV10" i="30"/>
  <c r="YU10" i="30"/>
  <c r="YX10" i="30"/>
  <c r="XP10" i="30"/>
  <c r="WI10" i="30"/>
  <c r="WL10" i="30"/>
  <c r="VD10" i="30"/>
  <c r="TX10" i="30"/>
  <c r="TW10" i="30"/>
  <c r="TZ10" i="30"/>
  <c r="SR10" i="30"/>
  <c r="RK10" i="30"/>
  <c r="RN10" i="30"/>
  <c r="QF10" i="30"/>
  <c r="OZ10" i="30"/>
  <c r="OY10" i="30"/>
  <c r="PB10" i="30"/>
  <c r="NT10" i="30"/>
  <c r="MM10" i="30"/>
  <c r="MP10" i="30"/>
  <c r="LH10" i="30"/>
  <c r="KB10" i="30"/>
  <c r="KA10" i="30"/>
  <c r="KD10" i="30"/>
  <c r="IV10" i="30"/>
  <c r="HO10" i="30"/>
  <c r="HR10" i="30"/>
  <c r="GJ10" i="30"/>
  <c r="FD10" i="30"/>
  <c r="FC10" i="30"/>
  <c r="FF10" i="30"/>
  <c r="DX10" i="30"/>
  <c r="CQ10" i="30"/>
  <c r="CT10" i="30"/>
  <c r="BL10" i="30"/>
  <c r="AF10" i="30"/>
  <c r="AE10" i="30"/>
  <c r="AH10" i="30"/>
  <c r="BKZ9" i="30"/>
  <c r="BJS9" i="30"/>
  <c r="BJV9" i="30"/>
  <c r="BIN9" i="30"/>
  <c r="BHH9" i="30"/>
  <c r="BHG9" i="30"/>
  <c r="BHJ9" i="30"/>
  <c r="BGB9" i="30"/>
  <c r="BEU9" i="30"/>
  <c r="BEX9" i="30"/>
  <c r="BDP9" i="30"/>
  <c r="BCJ9" i="30"/>
  <c r="BCI9" i="30"/>
  <c r="BCL9" i="30"/>
  <c r="BBD9" i="30"/>
  <c r="AZW9" i="30"/>
  <c r="AZZ9" i="30"/>
  <c r="AYR9" i="30"/>
  <c r="AXL9" i="30"/>
  <c r="AXK9" i="30"/>
  <c r="AXN9" i="30"/>
  <c r="AWF9" i="30"/>
  <c r="AUY9" i="30"/>
  <c r="AVB9" i="30"/>
  <c r="ATT9" i="30"/>
  <c r="ASN9" i="30"/>
  <c r="ASM9" i="30"/>
  <c r="ASP9" i="30"/>
  <c r="ARH9" i="30"/>
  <c r="AQA9" i="30"/>
  <c r="AQD9" i="30"/>
  <c r="AOV9" i="30"/>
  <c r="ANP9" i="30"/>
  <c r="ANO9" i="30"/>
  <c r="ANR9" i="30"/>
  <c r="AMJ9" i="30"/>
  <c r="ALC9" i="30"/>
  <c r="ALF9" i="30"/>
  <c r="AJX9" i="30"/>
  <c r="AIR9" i="30"/>
  <c r="AIQ9" i="30"/>
  <c r="AIT9" i="30"/>
  <c r="AHL9" i="30"/>
  <c r="AGE9" i="30"/>
  <c r="AGH9" i="30"/>
  <c r="AEZ9" i="30"/>
  <c r="ADT9" i="30"/>
  <c r="ADS9" i="30"/>
  <c r="ADV9" i="30"/>
  <c r="ACN9" i="30"/>
  <c r="ABG9" i="30"/>
  <c r="ABJ9" i="30"/>
  <c r="AAB9" i="30"/>
  <c r="YV9" i="30"/>
  <c r="YU9" i="30"/>
  <c r="YX9" i="30"/>
  <c r="XP9" i="30"/>
  <c r="WJ9" i="30"/>
  <c r="VF9" i="30"/>
  <c r="QH9" i="30"/>
  <c r="MP9" i="30"/>
  <c r="IX9" i="30"/>
  <c r="BL9" i="30"/>
  <c r="BLB8" i="30"/>
  <c r="BIN8" i="30"/>
  <c r="BEV8" i="30"/>
  <c r="BBF8" i="30"/>
  <c r="AZX8" i="30"/>
  <c r="AYR8" i="30"/>
  <c r="AXL8" i="30"/>
  <c r="AVB8" i="30"/>
  <c r="ASN8" i="30"/>
  <c r="AQB8" i="30"/>
  <c r="AOV8" i="30"/>
  <c r="ANP8" i="30"/>
  <c r="AIR8" i="30"/>
  <c r="AGF8" i="30"/>
  <c r="AEZ8" i="30"/>
  <c r="ADT8" i="30"/>
  <c r="ABJ8" i="30"/>
  <c r="YV8" i="30"/>
  <c r="WJ8" i="30"/>
  <c r="VD8" i="30"/>
  <c r="TX8" i="30"/>
  <c r="OZ8" i="30"/>
  <c r="MN8" i="30"/>
  <c r="LH8" i="30"/>
  <c r="KB8" i="30"/>
  <c r="HR8" i="30"/>
  <c r="FD8" i="30"/>
  <c r="CR8" i="30"/>
  <c r="BL8" i="30"/>
  <c r="AF8" i="30"/>
  <c r="BHH7" i="30"/>
  <c r="BEV7" i="30"/>
  <c r="BDP7" i="30"/>
  <c r="BCJ7" i="30"/>
  <c r="AZZ7" i="30"/>
  <c r="AXL7" i="30"/>
  <c r="AUZ7" i="30"/>
  <c r="ATT7" i="30"/>
  <c r="ASN7" i="30"/>
  <c r="ANP7" i="30"/>
  <c r="ALD7" i="30"/>
  <c r="AJX7" i="30"/>
  <c r="AIR7" i="30"/>
  <c r="AGH7" i="30"/>
  <c r="ADT7" i="30"/>
  <c r="ABH7" i="30"/>
  <c r="AAB7" i="30"/>
  <c r="YV7" i="30"/>
  <c r="TX7" i="30"/>
  <c r="NT7" i="30"/>
  <c r="IV7" i="30"/>
  <c r="DX7" i="30"/>
  <c r="BEY48" i="30"/>
  <c r="BFB48" i="30"/>
  <c r="BFB42" i="30"/>
  <c r="ZG48" i="30"/>
  <c r="ZJ48" i="30"/>
  <c r="ZJ42" i="30"/>
  <c r="JS48" i="30"/>
  <c r="JV48" i="30"/>
  <c r="JV42" i="30"/>
  <c r="C48" i="30"/>
  <c r="F48" i="30"/>
  <c r="F42" i="30"/>
  <c r="D48" i="30"/>
  <c r="APH48" i="30"/>
  <c r="APL48" i="30"/>
  <c r="JT48" i="30"/>
  <c r="ZD48" i="30"/>
  <c r="P48" i="30"/>
  <c r="BFO48" i="30"/>
  <c r="BFR48" i="30"/>
  <c r="BFR42" i="30"/>
  <c r="ZW48" i="30"/>
  <c r="ZZ48" i="30"/>
  <c r="ZZ42" i="30"/>
  <c r="JC48" i="30"/>
  <c r="JF48" i="30"/>
  <c r="JF42" i="30"/>
  <c r="S48" i="30"/>
  <c r="V48" i="30"/>
  <c r="V42" i="30"/>
  <c r="T48" i="30"/>
  <c r="APX48" i="30"/>
  <c r="AQB45" i="30"/>
  <c r="APK48" i="30"/>
  <c r="APN48" i="30"/>
  <c r="APN42" i="30"/>
  <c r="JD48" i="30"/>
  <c r="BFL48" i="30"/>
  <c r="ZT48" i="30"/>
  <c r="BGB45" i="30"/>
  <c r="BGC46" i="30"/>
  <c r="BFS46" i="30"/>
  <c r="BFC46" i="30"/>
  <c r="APO46" i="30"/>
  <c r="AOY46" i="30"/>
  <c r="ZK46" i="30"/>
  <c r="JW46" i="30"/>
  <c r="JG46" i="30"/>
  <c r="AG46" i="30"/>
  <c r="W46" i="30"/>
  <c r="G46" i="30"/>
  <c r="BFW42" i="30"/>
  <c r="BFG42" i="30"/>
  <c r="AQC42" i="30"/>
  <c r="APS42" i="30"/>
  <c r="APC42" i="30"/>
  <c r="ZO42" i="30"/>
  <c r="YY42" i="30"/>
  <c r="JK42" i="30"/>
  <c r="AA42" i="30"/>
  <c r="K42" i="30"/>
  <c r="AQF36" i="30"/>
  <c r="ALH36" i="30"/>
  <c r="AGJ36" i="30"/>
  <c r="AFP36" i="30"/>
  <c r="ADX36" i="30"/>
  <c r="ABL36" i="30"/>
  <c r="AAR36" i="30"/>
  <c r="AIR35" i="30"/>
  <c r="YV35" i="30"/>
  <c r="OZ35" i="30"/>
  <c r="FD35" i="30"/>
  <c r="BHG34" i="30"/>
  <c r="BHJ34" i="30"/>
  <c r="BCI34" i="30"/>
  <c r="BCL34" i="30"/>
  <c r="AXK34" i="30"/>
  <c r="AXN34" i="30"/>
  <c r="ASM34" i="30"/>
  <c r="ASP34" i="30"/>
  <c r="ANO34" i="30"/>
  <c r="ANR34" i="30"/>
  <c r="AIQ34" i="30"/>
  <c r="AIT34" i="30"/>
  <c r="ADS34" i="30"/>
  <c r="ADV34" i="30"/>
  <c r="YU34" i="30"/>
  <c r="YX34" i="30"/>
  <c r="TW34" i="30"/>
  <c r="TZ34" i="30"/>
  <c r="OY34" i="30"/>
  <c r="PB34" i="30"/>
  <c r="KA34" i="30"/>
  <c r="KD34" i="30"/>
  <c r="FC34" i="30"/>
  <c r="FF34" i="30"/>
  <c r="AE34" i="30"/>
  <c r="AH34" i="30"/>
  <c r="BHG33" i="30"/>
  <c r="BHJ33" i="30"/>
  <c r="BCI33" i="30"/>
  <c r="BCL33" i="30"/>
  <c r="AXK33" i="30"/>
  <c r="AXN33" i="30"/>
  <c r="ASM33" i="30"/>
  <c r="ASP33" i="30"/>
  <c r="ANO33" i="30"/>
  <c r="ANR33" i="30"/>
  <c r="AIQ33" i="30"/>
  <c r="AIT33" i="30"/>
  <c r="ADS33" i="30"/>
  <c r="ADV33" i="30"/>
  <c r="YU33" i="30"/>
  <c r="YX33" i="30"/>
  <c r="TW33" i="30"/>
  <c r="TZ33" i="30"/>
  <c r="OY33" i="30"/>
  <c r="PB33" i="30"/>
  <c r="KA33" i="30"/>
  <c r="KA45" i="30" s="1"/>
  <c r="KD45" i="30" s="1"/>
  <c r="KD33" i="30"/>
  <c r="FC33" i="30"/>
  <c r="FF33" i="30"/>
  <c r="AE33" i="30"/>
  <c r="AE45" i="30" s="1"/>
  <c r="AH45" i="30" s="1"/>
  <c r="AH33" i="30"/>
  <c r="BHG32" i="30"/>
  <c r="BHJ32" i="30"/>
  <c r="BCI32" i="30"/>
  <c r="BCL32" i="30"/>
  <c r="AXK32" i="30"/>
  <c r="AXN32" i="30"/>
  <c r="AWE32" i="30"/>
  <c r="AVN32" i="30"/>
  <c r="ATT32" i="30"/>
  <c r="AML32" i="30"/>
  <c r="AHN32" i="30"/>
  <c r="ACP32" i="30"/>
  <c r="IX32" i="30"/>
  <c r="BLB31" i="30"/>
  <c r="BGD31" i="30"/>
  <c r="ARJ31" i="30"/>
  <c r="AHN31" i="30"/>
  <c r="ACP31" i="30"/>
  <c r="XR31" i="30"/>
  <c r="ST31" i="30"/>
  <c r="NV31" i="30"/>
  <c r="DZ31" i="30"/>
  <c r="BGD30" i="30"/>
  <c r="BBF30" i="30"/>
  <c r="AWH30" i="30"/>
  <c r="ARJ30" i="30"/>
  <c r="AML30" i="30"/>
  <c r="AHN30" i="30"/>
  <c r="ACP30" i="30"/>
  <c r="BFW46" i="30"/>
  <c r="BFZ46" i="30"/>
  <c r="BFG46" i="30"/>
  <c r="BFJ46" i="30"/>
  <c r="AQC46" i="30"/>
  <c r="APS46" i="30"/>
  <c r="APV46" i="30"/>
  <c r="APC46" i="30"/>
  <c r="APF46" i="30"/>
  <c r="ZO46" i="30"/>
  <c r="ZR46" i="30"/>
  <c r="YY46" i="30"/>
  <c r="ZB46" i="30"/>
  <c r="JK46" i="30"/>
  <c r="JN46" i="30"/>
  <c r="AA46" i="30"/>
  <c r="AD46" i="30"/>
  <c r="K46" i="30"/>
  <c r="N46" i="30"/>
  <c r="BFN45" i="30"/>
  <c r="APZ45" i="30"/>
  <c r="APJ45" i="30"/>
  <c r="ZV45" i="30"/>
  <c r="ZF45" i="30"/>
  <c r="JR45" i="30"/>
  <c r="JB45" i="30"/>
  <c r="R45" i="30"/>
  <c r="BFK42" i="30"/>
  <c r="APW42" i="30"/>
  <c r="APG42" i="30"/>
  <c r="AAC42" i="30"/>
  <c r="ZS42" i="30"/>
  <c r="ZC42" i="30"/>
  <c r="JO42" i="30"/>
  <c r="IY42" i="30"/>
  <c r="O42" i="30"/>
  <c r="BFR41" i="30"/>
  <c r="BFB41" i="30"/>
  <c r="APN41" i="30"/>
  <c r="ZZ41" i="30"/>
  <c r="ZJ41" i="30"/>
  <c r="JV41" i="30"/>
  <c r="JF41" i="30"/>
  <c r="V41" i="30"/>
  <c r="F41" i="30"/>
  <c r="ADC36" i="30"/>
  <c r="ADF36" i="30"/>
  <c r="ACQ36" i="30"/>
  <c r="ACT36" i="30"/>
  <c r="ACN35" i="30"/>
  <c r="SR35" i="30"/>
  <c r="IV35" i="30"/>
  <c r="BKY34" i="30"/>
  <c r="BIM34" i="30"/>
  <c r="BIP34" i="30"/>
  <c r="BHN34" i="30"/>
  <c r="BHH34" i="30"/>
  <c r="BGA34" i="30"/>
  <c r="BGD34" i="30"/>
  <c r="BDO34" i="30"/>
  <c r="BDR34" i="30"/>
  <c r="BCP34" i="30"/>
  <c r="BCJ34" i="30"/>
  <c r="BBC34" i="30"/>
  <c r="AYQ34" i="30"/>
  <c r="AYT34" i="30"/>
  <c r="AXR34" i="30"/>
  <c r="AXL34" i="30"/>
  <c r="AWE34" i="30"/>
  <c r="ATS34" i="30"/>
  <c r="ATV34" i="30"/>
  <c r="AST34" i="30"/>
  <c r="ASN34" i="30"/>
  <c r="ARG34" i="30"/>
  <c r="AOU34" i="30"/>
  <c r="AOX34" i="30"/>
  <c r="ANV34" i="30"/>
  <c r="ANP34" i="30"/>
  <c r="AMI34" i="30"/>
  <c r="AJW34" i="30"/>
  <c r="AJZ34" i="30"/>
  <c r="AIX34" i="30"/>
  <c r="AIR34" i="30"/>
  <c r="AHK34" i="30"/>
  <c r="AEY34" i="30"/>
  <c r="AFB34" i="30"/>
  <c r="ADZ34" i="30"/>
  <c r="ADT34" i="30"/>
  <c r="ACM34" i="30"/>
  <c r="AAA34" i="30"/>
  <c r="AAD34" i="30"/>
  <c r="ZB34" i="30"/>
  <c r="YV34" i="30"/>
  <c r="XO34" i="30"/>
  <c r="VC34" i="30"/>
  <c r="VF34" i="30"/>
  <c r="UD34" i="30"/>
  <c r="TX34" i="30"/>
  <c r="SQ34" i="30"/>
  <c r="ST34" i="30"/>
  <c r="QE34" i="30"/>
  <c r="QH34" i="30"/>
  <c r="PF34" i="30"/>
  <c r="OZ34" i="30"/>
  <c r="NS34" i="30"/>
  <c r="NV34" i="30"/>
  <c r="LG34" i="30"/>
  <c r="LJ34" i="30"/>
  <c r="KH34" i="30"/>
  <c r="KB34" i="30"/>
  <c r="IU34" i="30"/>
  <c r="GI34" i="30"/>
  <c r="GL34" i="30"/>
  <c r="FJ34" i="30"/>
  <c r="FD34" i="30"/>
  <c r="DW34" i="30"/>
  <c r="BK34" i="30"/>
  <c r="BN34" i="30"/>
  <c r="AL34" i="30"/>
  <c r="AF34" i="30"/>
  <c r="BKY33" i="30"/>
  <c r="BIM33" i="30"/>
  <c r="BIP33" i="30"/>
  <c r="BHN33" i="30"/>
  <c r="BHH33" i="30"/>
  <c r="BGA33" i="30"/>
  <c r="BDO33" i="30"/>
  <c r="BDR33" i="30"/>
  <c r="BCP33" i="30"/>
  <c r="BCJ33" i="30"/>
  <c r="BBC33" i="30"/>
  <c r="BBF33" i="30"/>
  <c r="AYQ33" i="30"/>
  <c r="AYT33" i="30"/>
  <c r="AXR33" i="30"/>
  <c r="AXL33" i="30"/>
  <c r="AWE33" i="30"/>
  <c r="ATS33" i="30"/>
  <c r="ATV33" i="30"/>
  <c r="AST33" i="30"/>
  <c r="ASN33" i="30"/>
  <c r="ARG33" i="30"/>
  <c r="AOU33" i="30"/>
  <c r="AOX33" i="30"/>
  <c r="ANV33" i="30"/>
  <c r="ANP33" i="30"/>
  <c r="AMI33" i="30"/>
  <c r="AJW33" i="30"/>
  <c r="AJZ33" i="30"/>
  <c r="AIX33" i="30"/>
  <c r="AIR33" i="30"/>
  <c r="AHK33" i="30"/>
  <c r="AEY33" i="30"/>
  <c r="AFB33" i="30"/>
  <c r="ADZ33" i="30"/>
  <c r="ADT33" i="30"/>
  <c r="ACM33" i="30"/>
  <c r="AAA33" i="30"/>
  <c r="ZB33" i="30"/>
  <c r="YV33" i="30"/>
  <c r="XO33" i="30"/>
  <c r="VC33" i="30"/>
  <c r="VF33" i="30"/>
  <c r="UD33" i="30"/>
  <c r="TX33" i="30"/>
  <c r="SQ33" i="30"/>
  <c r="QE33" i="30"/>
  <c r="QH33" i="30"/>
  <c r="PF33" i="30"/>
  <c r="OZ33" i="30"/>
  <c r="NS33" i="30"/>
  <c r="LG33" i="30"/>
  <c r="LJ33" i="30"/>
  <c r="KH33" i="30"/>
  <c r="KB33" i="30"/>
  <c r="IU33" i="30"/>
  <c r="GI33" i="30"/>
  <c r="GL33" i="30"/>
  <c r="FJ33" i="30"/>
  <c r="FD33" i="30"/>
  <c r="DW33" i="30"/>
  <c r="BK33" i="30"/>
  <c r="BN33" i="30"/>
  <c r="AL33" i="30"/>
  <c r="AF33" i="30"/>
  <c r="BKY32" i="30"/>
  <c r="BIM32" i="30"/>
  <c r="BIP32" i="30"/>
  <c r="BHN32" i="30"/>
  <c r="BHH32" i="30"/>
  <c r="BGA32" i="30"/>
  <c r="BGA45" i="30"/>
  <c r="BGD45" i="30"/>
  <c r="BDO32" i="30"/>
  <c r="BDR32" i="30"/>
  <c r="BCP32" i="30"/>
  <c r="BCJ32" i="30"/>
  <c r="BBC32" i="30"/>
  <c r="AYQ32" i="30"/>
  <c r="AYT32" i="30"/>
  <c r="AXR32" i="30"/>
  <c r="AXL32" i="30"/>
  <c r="AUD32" i="30"/>
  <c r="AUY32" i="30"/>
  <c r="ASM32" i="30"/>
  <c r="ASP32" i="30"/>
  <c r="ARG32" i="30"/>
  <c r="ARJ32" i="30"/>
  <c r="AQP32" i="30"/>
  <c r="AAC46" i="30"/>
  <c r="KC42" i="30"/>
  <c r="ADT35" i="30"/>
  <c r="TX35" i="30"/>
  <c r="KB35" i="30"/>
  <c r="AF35" i="30"/>
  <c r="BIN34" i="30"/>
  <c r="BDP34" i="30"/>
  <c r="AYR34" i="30"/>
  <c r="ATT34" i="30"/>
  <c r="AOV34" i="30"/>
  <c r="AJX34" i="30"/>
  <c r="AEZ34" i="30"/>
  <c r="AAB34" i="30"/>
  <c r="VD34" i="30"/>
  <c r="QF34" i="30"/>
  <c r="LH34" i="30"/>
  <c r="GJ34" i="30"/>
  <c r="BL34" i="30"/>
  <c r="BIN33" i="30"/>
  <c r="BDP33" i="30"/>
  <c r="AYR33" i="30"/>
  <c r="ATT33" i="30"/>
  <c r="AOV33" i="30"/>
  <c r="AJX33" i="30"/>
  <c r="AEZ33" i="30"/>
  <c r="AAB33" i="30"/>
  <c r="AAB45" i="30"/>
  <c r="VD33" i="30"/>
  <c r="QF33" i="30"/>
  <c r="LH33" i="30"/>
  <c r="GJ33" i="30"/>
  <c r="BL33" i="30"/>
  <c r="BIN32" i="30"/>
  <c r="BDP32" i="30"/>
  <c r="AYR32" i="30"/>
  <c r="AHL35" i="30"/>
  <c r="XP35" i="30"/>
  <c r="NT35" i="30"/>
  <c r="DX35" i="30"/>
  <c r="BLB34" i="30"/>
  <c r="BIX34" i="30"/>
  <c r="BJS34" i="30"/>
  <c r="BJV34" i="30"/>
  <c r="BDZ34" i="30"/>
  <c r="BEU34" i="30"/>
  <c r="BEX34" i="30"/>
  <c r="BBF34" i="30"/>
  <c r="AZB34" i="30"/>
  <c r="AZW34" i="30"/>
  <c r="AZZ34" i="30"/>
  <c r="AWH34" i="30"/>
  <c r="AUD34" i="30"/>
  <c r="AUY34" i="30"/>
  <c r="AVB34" i="30"/>
  <c r="ARJ34" i="30"/>
  <c r="APF34" i="30"/>
  <c r="AQA34" i="30"/>
  <c r="AQD34" i="30"/>
  <c r="AML34" i="30"/>
  <c r="AKH34" i="30"/>
  <c r="ALC34" i="30"/>
  <c r="ALF34" i="30"/>
  <c r="AHN34" i="30"/>
  <c r="AFJ34" i="30"/>
  <c r="AGE34" i="30"/>
  <c r="AGH34" i="30"/>
  <c r="ACP34" i="30"/>
  <c r="AAL34" i="30"/>
  <c r="ABG34" i="30"/>
  <c r="ABJ34" i="30"/>
  <c r="XR34" i="30"/>
  <c r="VN34" i="30"/>
  <c r="WI34" i="30"/>
  <c r="WL34" i="30"/>
  <c r="QP34" i="30"/>
  <c r="RK34" i="30"/>
  <c r="RN34" i="30"/>
  <c r="LR34" i="30"/>
  <c r="MM34" i="30"/>
  <c r="MP34" i="30"/>
  <c r="IX34" i="30"/>
  <c r="GT34" i="30"/>
  <c r="HO34" i="30"/>
  <c r="HR34" i="30"/>
  <c r="DZ34" i="30"/>
  <c r="BV34" i="30"/>
  <c r="CQ34" i="30"/>
  <c r="CT34" i="30"/>
  <c r="BLB33" i="30"/>
  <c r="BIX33" i="30"/>
  <c r="BJS33" i="30"/>
  <c r="BJV33" i="30"/>
  <c r="BGD33" i="30"/>
  <c r="BDZ33" i="30"/>
  <c r="BEU33" i="30"/>
  <c r="BEX33" i="30"/>
  <c r="AZB33" i="30"/>
  <c r="AZW33" i="30"/>
  <c r="AZZ33" i="30"/>
  <c r="AWH33" i="30"/>
  <c r="AUD33" i="30"/>
  <c r="AUY33" i="30"/>
  <c r="AVB33" i="30"/>
  <c r="ARJ33" i="30"/>
  <c r="APF33" i="30"/>
  <c r="AQA33" i="30"/>
  <c r="AQD33" i="30"/>
  <c r="AML33" i="30"/>
  <c r="AKH33" i="30"/>
  <c r="ALC33" i="30"/>
  <c r="ALF33" i="30"/>
  <c r="AHN33" i="30"/>
  <c r="AFJ33" i="30"/>
  <c r="AGE33" i="30"/>
  <c r="AGH33" i="30"/>
  <c r="ACP33" i="30"/>
  <c r="AAL33" i="30"/>
  <c r="ABG33" i="30"/>
  <c r="ABJ33" i="30"/>
  <c r="XR33" i="30"/>
  <c r="VN33" i="30"/>
  <c r="WI33" i="30"/>
  <c r="WL33" i="30"/>
  <c r="ST33" i="30"/>
  <c r="QP33" i="30"/>
  <c r="RK33" i="30"/>
  <c r="RN33" i="30"/>
  <c r="NV33" i="30"/>
  <c r="LR33" i="30"/>
  <c r="MM33" i="30"/>
  <c r="MP33" i="30"/>
  <c r="IX33" i="30"/>
  <c r="GT33" i="30"/>
  <c r="HO33" i="30"/>
  <c r="HR33" i="30"/>
  <c r="DZ33" i="30"/>
  <c r="BV33" i="30"/>
  <c r="CQ33" i="30"/>
  <c r="CT33" i="30"/>
  <c r="BLB32" i="30"/>
  <c r="BIX32" i="30"/>
  <c r="BJS32" i="30"/>
  <c r="BJV32" i="30"/>
  <c r="BGD32" i="30"/>
  <c r="BDZ32" i="30"/>
  <c r="BEU32" i="30"/>
  <c r="BEX32" i="30"/>
  <c r="BBF32" i="30"/>
  <c r="AZB32" i="30"/>
  <c r="AZW32" i="30"/>
  <c r="AZZ32" i="30"/>
  <c r="AWH32" i="30"/>
  <c r="AVB32" i="30"/>
  <c r="ATS32" i="30"/>
  <c r="ATV32" i="30"/>
  <c r="AST32" i="30"/>
  <c r="AQA32" i="30"/>
  <c r="AQD32" i="30"/>
  <c r="ANV32" i="30"/>
  <c r="ALR32" i="30"/>
  <c r="ALC32" i="30"/>
  <c r="ALF32" i="30"/>
  <c r="AIX32" i="30"/>
  <c r="AGT32" i="30"/>
  <c r="AGE32" i="30"/>
  <c r="AGH32" i="30"/>
  <c r="ADZ32" i="30"/>
  <c r="ABV32" i="30"/>
  <c r="ABG32" i="30"/>
  <c r="ABJ32" i="30"/>
  <c r="ZB32" i="30"/>
  <c r="WX32" i="30"/>
  <c r="WI32" i="30"/>
  <c r="WL32" i="30"/>
  <c r="UD32" i="30"/>
  <c r="RZ32" i="30"/>
  <c r="RK32" i="30"/>
  <c r="RN32" i="30"/>
  <c r="PF32" i="30"/>
  <c r="NB32" i="30"/>
  <c r="MM32" i="30"/>
  <c r="MP32" i="30"/>
  <c r="KH32" i="30"/>
  <c r="ID32" i="30"/>
  <c r="HO32" i="30"/>
  <c r="HR32" i="30"/>
  <c r="FJ32" i="30"/>
  <c r="DF32" i="30"/>
  <c r="CQ32" i="30"/>
  <c r="CT32" i="30"/>
  <c r="AL32" i="30"/>
  <c r="BKH31" i="30"/>
  <c r="BJS31" i="30"/>
  <c r="BJV31" i="30"/>
  <c r="BHN31" i="30"/>
  <c r="BFJ31" i="30"/>
  <c r="BEU31" i="30"/>
  <c r="BEX31" i="30"/>
  <c r="BCP31" i="30"/>
  <c r="BAL31" i="30"/>
  <c r="AZW31" i="30"/>
  <c r="AZZ31" i="30"/>
  <c r="AXR31" i="30"/>
  <c r="AVN31" i="30"/>
  <c r="AUY31" i="30"/>
  <c r="AVB31" i="30"/>
  <c r="AST31" i="30"/>
  <c r="AQP31" i="30"/>
  <c r="AQA31" i="30"/>
  <c r="ANV31" i="30"/>
  <c r="ALR31" i="30"/>
  <c r="ALC31" i="30"/>
  <c r="ALF31" i="30"/>
  <c r="AIX31" i="30"/>
  <c r="AGT31" i="30"/>
  <c r="AGE31" i="30"/>
  <c r="AGH31" i="30"/>
  <c r="ADZ31" i="30"/>
  <c r="ABV31" i="30"/>
  <c r="ABG31" i="30"/>
  <c r="ABJ31" i="30"/>
  <c r="ZB31" i="30"/>
  <c r="WX31" i="30"/>
  <c r="WI31" i="30"/>
  <c r="WL31" i="30"/>
  <c r="UD31" i="30"/>
  <c r="RZ31" i="30"/>
  <c r="RK31" i="30"/>
  <c r="RN31" i="30"/>
  <c r="PF31" i="30"/>
  <c r="NB31" i="30"/>
  <c r="MM31" i="30"/>
  <c r="MP31" i="30"/>
  <c r="KH31" i="30"/>
  <c r="ID31" i="30"/>
  <c r="HO31" i="30"/>
  <c r="HR31" i="30"/>
  <c r="FJ31" i="30"/>
  <c r="DF31" i="30"/>
  <c r="CQ31" i="30"/>
  <c r="CT31" i="30"/>
  <c r="AL31" i="30"/>
  <c r="BKH30" i="30"/>
  <c r="BJS30" i="30"/>
  <c r="BJV30" i="30"/>
  <c r="BHN30" i="30"/>
  <c r="BFJ30" i="30"/>
  <c r="BEU30" i="30"/>
  <c r="BEX30" i="30"/>
  <c r="BCP30" i="30"/>
  <c r="BAL30" i="30"/>
  <c r="AZW30" i="30"/>
  <c r="AZZ30" i="30"/>
  <c r="AXR30" i="30"/>
  <c r="AVN30" i="30"/>
  <c r="AUY30" i="30"/>
  <c r="AVB30" i="30"/>
  <c r="AST30" i="30"/>
  <c r="AQP30" i="30"/>
  <c r="AQA30" i="30"/>
  <c r="AQD30" i="30"/>
  <c r="ANV30" i="30"/>
  <c r="ALR30" i="30"/>
  <c r="ALC30" i="30"/>
  <c r="ALF30" i="30"/>
  <c r="AIX30" i="30"/>
  <c r="AGT30" i="30"/>
  <c r="AGE30" i="30"/>
  <c r="AGH30" i="30"/>
  <c r="ADZ30" i="30"/>
  <c r="ABV30" i="30"/>
  <c r="ABG30" i="30"/>
  <c r="ABJ30" i="30"/>
  <c r="ZB30" i="30"/>
  <c r="WX30" i="30"/>
  <c r="WI30" i="30"/>
  <c r="WL30" i="30"/>
  <c r="UD30" i="30"/>
  <c r="RZ30" i="30"/>
  <c r="LG30" i="30"/>
  <c r="IV30" i="30"/>
  <c r="CQ30" i="30"/>
  <c r="CT30" i="30"/>
  <c r="BR30" i="30"/>
  <c r="BJT29" i="30"/>
  <c r="BIN29" i="30"/>
  <c r="BDO29" i="30"/>
  <c r="BBD29" i="30"/>
  <c r="AUY29" i="30"/>
  <c r="AVB29" i="30"/>
  <c r="ATZ29" i="30"/>
  <c r="AQB29" i="30"/>
  <c r="AOV29" i="30"/>
  <c r="AJW29" i="30"/>
  <c r="AJZ29" i="30"/>
  <c r="AHL29" i="30"/>
  <c r="ABG29" i="30"/>
  <c r="ABJ29" i="30"/>
  <c r="AAH29" i="30"/>
  <c r="WJ29" i="30"/>
  <c r="VD29" i="30"/>
  <c r="QE29" i="30"/>
  <c r="QH29" i="30"/>
  <c r="NT29" i="30"/>
  <c r="HO29" i="30"/>
  <c r="HR29" i="30"/>
  <c r="GP29" i="30"/>
  <c r="CR29" i="30"/>
  <c r="BL29" i="30"/>
  <c r="BIM28" i="30"/>
  <c r="BIP28" i="30"/>
  <c r="BGB28" i="30"/>
  <c r="BBD28" i="30"/>
  <c r="AWF28" i="30"/>
  <c r="ARH28" i="30"/>
  <c r="AMJ28" i="30"/>
  <c r="AHL28" i="30"/>
  <c r="ACN28" i="30"/>
  <c r="XP28" i="30"/>
  <c r="SR28" i="30"/>
  <c r="NT28" i="30"/>
  <c r="MN30" i="30"/>
  <c r="LH30" i="30"/>
  <c r="GI30" i="30"/>
  <c r="GL30" i="30"/>
  <c r="DX30" i="30"/>
  <c r="BN30" i="30"/>
  <c r="BJS29" i="30"/>
  <c r="BJV29" i="30"/>
  <c r="BIT29" i="30"/>
  <c r="BEV29" i="30"/>
  <c r="BDP29" i="30"/>
  <c r="AYQ29" i="30"/>
  <c r="AYT29" i="30"/>
  <c r="AWF29" i="30"/>
  <c r="ATV29" i="30"/>
  <c r="AQA29" i="30"/>
  <c r="AQD29" i="30"/>
  <c r="APB29" i="30"/>
  <c r="ALD29" i="30"/>
  <c r="AJX29" i="30"/>
  <c r="AEY29" i="30"/>
  <c r="AFB29" i="30"/>
  <c r="ACN29" i="30"/>
  <c r="WI29" i="30"/>
  <c r="WL29" i="30"/>
  <c r="VJ29" i="30"/>
  <c r="RL29" i="30"/>
  <c r="QF29" i="30"/>
  <c r="LG29" i="30"/>
  <c r="LJ29" i="30"/>
  <c r="IV29" i="30"/>
  <c r="CQ29" i="30"/>
  <c r="CT29" i="30"/>
  <c r="BR29" i="30"/>
  <c r="BJT28" i="30"/>
  <c r="BIN28" i="30"/>
  <c r="BDO28" i="30"/>
  <c r="BDR28" i="30"/>
  <c r="BCJ28" i="30"/>
  <c r="AXL28" i="30"/>
  <c r="ASN28" i="30"/>
  <c r="ANP28" i="30"/>
  <c r="AIR28" i="30"/>
  <c r="ADT28" i="30"/>
  <c r="YV28" i="30"/>
  <c r="TX28" i="30"/>
  <c r="OZ28" i="30"/>
  <c r="MM30" i="30"/>
  <c r="MP30" i="30"/>
  <c r="LN30" i="30"/>
  <c r="HP30" i="30"/>
  <c r="BKZ29" i="30"/>
  <c r="BEU29" i="30"/>
  <c r="BEX29" i="30"/>
  <c r="BDV29" i="30"/>
  <c r="AZX29" i="30"/>
  <c r="ARH29" i="30"/>
  <c r="ALC29" i="30"/>
  <c r="ALF29" i="30"/>
  <c r="AKD29" i="30"/>
  <c r="AGF29" i="30"/>
  <c r="XP29" i="30"/>
  <c r="RK29" i="30"/>
  <c r="RN29" i="30"/>
  <c r="QL29" i="30"/>
  <c r="MN29" i="30"/>
  <c r="DX29" i="30"/>
  <c r="BJS28" i="30"/>
  <c r="BJV28" i="30"/>
  <c r="BIT28" i="30"/>
  <c r="BEV28" i="30"/>
  <c r="AYR28" i="30"/>
  <c r="ATT28" i="30"/>
  <c r="AOV28" i="30"/>
  <c r="AJX28" i="30"/>
  <c r="AEZ28" i="30"/>
  <c r="AAB28" i="30"/>
  <c r="AAB44" i="30"/>
  <c r="VD28" i="30"/>
  <c r="QF28" i="30"/>
  <c r="RL30" i="30"/>
  <c r="NT30" i="30"/>
  <c r="LJ30" i="30"/>
  <c r="HO30" i="30"/>
  <c r="HR30" i="30"/>
  <c r="GP30" i="30"/>
  <c r="CR30" i="30"/>
  <c r="BGB29" i="30"/>
  <c r="BDR29" i="30"/>
  <c r="AZW29" i="30"/>
  <c r="AZZ29" i="30"/>
  <c r="AYX29" i="30"/>
  <c r="AUZ29" i="30"/>
  <c r="AMJ29" i="30"/>
  <c r="AGE29" i="30"/>
  <c r="AGH29" i="30"/>
  <c r="AFF29" i="30"/>
  <c r="ABH29" i="30"/>
  <c r="SR29" i="30"/>
  <c r="MM29" i="30"/>
  <c r="MP29" i="30"/>
  <c r="LN29" i="30"/>
  <c r="HP29" i="30"/>
  <c r="BKZ28" i="30"/>
  <c r="BEU28" i="30"/>
  <c r="BEX28" i="30"/>
  <c r="BDV28" i="30"/>
  <c r="AYX28" i="30"/>
  <c r="AZW28" i="30"/>
  <c r="AZZ28" i="30"/>
  <c r="ATZ28" i="30"/>
  <c r="AUY28" i="30"/>
  <c r="AVB28" i="30"/>
  <c r="APB28" i="30"/>
  <c r="AQA28" i="30"/>
  <c r="AQD28" i="30"/>
  <c r="AKD28" i="30"/>
  <c r="ALC28" i="30"/>
  <c r="ALF28" i="30"/>
  <c r="AFF28" i="30"/>
  <c r="AGE28" i="30"/>
  <c r="AGH28" i="30"/>
  <c r="AAH28" i="30"/>
  <c r="ABG28" i="30"/>
  <c r="ABJ28" i="30"/>
  <c r="VJ28" i="30"/>
  <c r="WI28" i="30"/>
  <c r="WL28" i="30"/>
  <c r="QL28" i="30"/>
  <c r="RK28" i="30"/>
  <c r="RN28" i="30"/>
  <c r="LN28" i="30"/>
  <c r="MM28" i="30"/>
  <c r="MP28" i="30"/>
  <c r="NS30" i="30"/>
  <c r="NV30" i="30"/>
  <c r="IU30" i="30"/>
  <c r="IX30" i="30"/>
  <c r="DW30" i="30"/>
  <c r="DZ30" i="30"/>
  <c r="BKY29" i="30"/>
  <c r="BLB29" i="30"/>
  <c r="BGA29" i="30"/>
  <c r="BGD29" i="30"/>
  <c r="BBC29" i="30"/>
  <c r="BBF29" i="30"/>
  <c r="AWE29" i="30"/>
  <c r="AWH29" i="30"/>
  <c r="ARG29" i="30"/>
  <c r="ARJ29" i="30"/>
  <c r="AMI29" i="30"/>
  <c r="AML29" i="30"/>
  <c r="AHK29" i="30"/>
  <c r="AHN29" i="30"/>
  <c r="ACM29" i="30"/>
  <c r="ACP29" i="30"/>
  <c r="XO29" i="30"/>
  <c r="XR29" i="30"/>
  <c r="SQ29" i="30"/>
  <c r="ST29" i="30"/>
  <c r="NS29" i="30"/>
  <c r="NV29" i="30"/>
  <c r="IU29" i="30"/>
  <c r="IX29" i="30"/>
  <c r="DW29" i="30"/>
  <c r="DZ29" i="30"/>
  <c r="BKY28" i="30"/>
  <c r="BLB28" i="30"/>
  <c r="BGA28" i="30"/>
  <c r="BGD28" i="30"/>
  <c r="HO28" i="30"/>
  <c r="HR28" i="30"/>
  <c r="CQ28" i="30"/>
  <c r="CT28" i="30"/>
  <c r="BJS27" i="30"/>
  <c r="BJV27" i="30"/>
  <c r="BEU27" i="30"/>
  <c r="BEX27" i="30"/>
  <c r="AZW27" i="30"/>
  <c r="AZZ27" i="30"/>
  <c r="AUY27" i="30"/>
  <c r="AVB27" i="30"/>
  <c r="AQA27" i="30"/>
  <c r="AQD27" i="30"/>
  <c r="ALC27" i="30"/>
  <c r="ALF27" i="30"/>
  <c r="AGE27" i="30"/>
  <c r="AGH27" i="30"/>
  <c r="ABG27" i="30"/>
  <c r="ABJ27" i="30"/>
  <c r="WI27" i="30"/>
  <c r="WL27" i="30"/>
  <c r="RK27" i="30"/>
  <c r="RN27" i="30"/>
  <c r="MM27" i="30"/>
  <c r="MP27" i="30"/>
  <c r="HO27" i="30"/>
  <c r="HR27" i="30"/>
  <c r="CQ27" i="30"/>
  <c r="CT27" i="30"/>
  <c r="BJS26" i="30"/>
  <c r="BJV26" i="30"/>
  <c r="BEU26" i="30"/>
  <c r="BEX26" i="30"/>
  <c r="AZW26" i="30"/>
  <c r="AZZ26" i="30"/>
  <c r="AUY26" i="30"/>
  <c r="AVB26" i="30"/>
  <c r="AQA26" i="30"/>
  <c r="ALC26" i="30"/>
  <c r="ALF26" i="30"/>
  <c r="AGE26" i="30"/>
  <c r="AGH26" i="30"/>
  <c r="ABG26" i="30"/>
  <c r="ABJ26" i="30"/>
  <c r="XP26" i="30"/>
  <c r="WI26" i="30"/>
  <c r="WL26" i="30"/>
  <c r="RK26" i="30"/>
  <c r="RN26" i="30"/>
  <c r="MM26" i="30"/>
  <c r="MP26" i="30"/>
  <c r="HO26" i="30"/>
  <c r="HR26" i="30"/>
  <c r="CQ26" i="30"/>
  <c r="CT26" i="30"/>
  <c r="BJS25" i="30"/>
  <c r="BJV25" i="30"/>
  <c r="BEU25" i="30"/>
  <c r="BEX25" i="30"/>
  <c r="AZW25" i="30"/>
  <c r="AZZ25" i="30"/>
  <c r="AUY25" i="30"/>
  <c r="AVB25" i="30"/>
  <c r="AQA25" i="30"/>
  <c r="AQD25" i="30"/>
  <c r="ALC25" i="30"/>
  <c r="ALF25" i="30"/>
  <c r="AGE25" i="30"/>
  <c r="AGH25" i="30"/>
  <c r="ABG25" i="30"/>
  <c r="ABJ25" i="30"/>
  <c r="WI25" i="30"/>
  <c r="WL25" i="30"/>
  <c r="RK25" i="30"/>
  <c r="RN25" i="30"/>
  <c r="NS25" i="30"/>
  <c r="NV25" i="30"/>
  <c r="MT25" i="30"/>
  <c r="KB25" i="30"/>
  <c r="HP25" i="30"/>
  <c r="EH25" i="30"/>
  <c r="FC25" i="30"/>
  <c r="FF25" i="30"/>
  <c r="CQ25" i="30"/>
  <c r="CT25" i="30"/>
  <c r="AT25" i="30"/>
  <c r="BK25" i="30"/>
  <c r="BN25" i="30"/>
  <c r="BKZ24" i="30"/>
  <c r="BGA24" i="30"/>
  <c r="BGD24" i="30"/>
  <c r="BFB24" i="30"/>
  <c r="BCJ24" i="30"/>
  <c r="AZX24" i="30"/>
  <c r="AWP24" i="30"/>
  <c r="AXK24" i="30"/>
  <c r="AXN24" i="30"/>
  <c r="BBC28" i="30"/>
  <c r="BBF28" i="30"/>
  <c r="BAD28" i="30"/>
  <c r="AZX28" i="30"/>
  <c r="AWE28" i="30"/>
  <c r="AWH28" i="30"/>
  <c r="AVF28" i="30"/>
  <c r="AUZ28" i="30"/>
  <c r="ARG28" i="30"/>
  <c r="ARJ28" i="30"/>
  <c r="AQH28" i="30"/>
  <c r="AQB28" i="30"/>
  <c r="AMI28" i="30"/>
  <c r="AML28" i="30"/>
  <c r="ALJ28" i="30"/>
  <c r="ALD28" i="30"/>
  <c r="AHK28" i="30"/>
  <c r="AHN28" i="30"/>
  <c r="AGL28" i="30"/>
  <c r="AGF28" i="30"/>
  <c r="ACM28" i="30"/>
  <c r="ACP28" i="30"/>
  <c r="ABN28" i="30"/>
  <c r="ABH28" i="30"/>
  <c r="XO28" i="30"/>
  <c r="XR28" i="30"/>
  <c r="WP28" i="30"/>
  <c r="WJ28" i="30"/>
  <c r="SQ28" i="30"/>
  <c r="ST28" i="30"/>
  <c r="RR28" i="30"/>
  <c r="RL28" i="30"/>
  <c r="NS28" i="30"/>
  <c r="NV28" i="30"/>
  <c r="MT28" i="30"/>
  <c r="MN28" i="30"/>
  <c r="IU28" i="30"/>
  <c r="IX28" i="30"/>
  <c r="HV28" i="30"/>
  <c r="HP28" i="30"/>
  <c r="DW28" i="30"/>
  <c r="DZ28" i="30"/>
  <c r="CX28" i="30"/>
  <c r="CR28" i="30"/>
  <c r="BKY27" i="30"/>
  <c r="BLB27" i="30"/>
  <c r="BJZ27" i="30"/>
  <c r="BJT27" i="30"/>
  <c r="BGA27" i="30"/>
  <c r="BGD27" i="30"/>
  <c r="BFB27" i="30"/>
  <c r="BEV27" i="30"/>
  <c r="BBC27" i="30"/>
  <c r="BBF27" i="30"/>
  <c r="BAD27" i="30"/>
  <c r="AZX27" i="30"/>
  <c r="AWE27" i="30"/>
  <c r="AWH27" i="30"/>
  <c r="AVF27" i="30"/>
  <c r="AUZ27" i="30"/>
  <c r="ARG27" i="30"/>
  <c r="ARJ27" i="30"/>
  <c r="AQH27" i="30"/>
  <c r="AQB27" i="30"/>
  <c r="AMI27" i="30"/>
  <c r="AML27" i="30"/>
  <c r="ALJ27" i="30"/>
  <c r="ALD27" i="30"/>
  <c r="AHK27" i="30"/>
  <c r="AHN27" i="30"/>
  <c r="AGL27" i="30"/>
  <c r="AGF27" i="30"/>
  <c r="ACM27" i="30"/>
  <c r="ACP27" i="30"/>
  <c r="ABN27" i="30"/>
  <c r="ABH27" i="30"/>
  <c r="XO27" i="30"/>
  <c r="XR27" i="30"/>
  <c r="WP27" i="30"/>
  <c r="WJ27" i="30"/>
  <c r="SQ27" i="30"/>
  <c r="ST27" i="30"/>
  <c r="RR27" i="30"/>
  <c r="RL27" i="30"/>
  <c r="NS27" i="30"/>
  <c r="NV27" i="30"/>
  <c r="MT27" i="30"/>
  <c r="MN27" i="30"/>
  <c r="IU27" i="30"/>
  <c r="IX27" i="30"/>
  <c r="HV27" i="30"/>
  <c r="HP27" i="30"/>
  <c r="DW27" i="30"/>
  <c r="DZ27" i="30"/>
  <c r="CX27" i="30"/>
  <c r="CR27" i="30"/>
  <c r="BKY26" i="30"/>
  <c r="BLB26" i="30"/>
  <c r="BJZ26" i="30"/>
  <c r="BJT26" i="30"/>
  <c r="BGA26" i="30"/>
  <c r="BGA44" i="30"/>
  <c r="BGA46" i="30"/>
  <c r="BFB26" i="30"/>
  <c r="BEV26" i="30"/>
  <c r="BBC26" i="30"/>
  <c r="BBF26" i="30"/>
  <c r="BAD26" i="30"/>
  <c r="AZX26" i="30"/>
  <c r="AWE26" i="30"/>
  <c r="AWH26" i="30"/>
  <c r="AVF26" i="30"/>
  <c r="AUZ26" i="30"/>
  <c r="ARG26" i="30"/>
  <c r="ARJ26" i="30"/>
  <c r="AQH26" i="30"/>
  <c r="AQB26" i="30"/>
  <c r="AMI26" i="30"/>
  <c r="AML26" i="30"/>
  <c r="ALJ26" i="30"/>
  <c r="ALD26" i="30"/>
  <c r="AHK26" i="30"/>
  <c r="AHN26" i="30"/>
  <c r="AGL26" i="30"/>
  <c r="AGF26" i="30"/>
  <c r="ACM26" i="30"/>
  <c r="ACP26" i="30"/>
  <c r="ABN26" i="30"/>
  <c r="ABH26" i="30"/>
  <c r="XO26" i="30"/>
  <c r="XR26" i="30"/>
  <c r="WP26" i="30"/>
  <c r="WJ26" i="30"/>
  <c r="SQ26" i="30"/>
  <c r="ST26" i="30"/>
  <c r="RR26" i="30"/>
  <c r="RL26" i="30"/>
  <c r="NS26" i="30"/>
  <c r="NV26" i="30"/>
  <c r="MT26" i="30"/>
  <c r="MN26" i="30"/>
  <c r="IU26" i="30"/>
  <c r="IX26" i="30"/>
  <c r="HV26" i="30"/>
  <c r="HP26" i="30"/>
  <c r="DW26" i="30"/>
  <c r="DZ26" i="30"/>
  <c r="CX26" i="30"/>
  <c r="CR26" i="30"/>
  <c r="BKY25" i="30"/>
  <c r="BLB25" i="30"/>
  <c r="BJZ25" i="30"/>
  <c r="BJT25" i="30"/>
  <c r="BGA25" i="30"/>
  <c r="BGD25" i="30"/>
  <c r="BFB25" i="30"/>
  <c r="BEV25" i="30"/>
  <c r="BBC25" i="30"/>
  <c r="BBF25" i="30"/>
  <c r="BAD25" i="30"/>
  <c r="AZX25" i="30"/>
  <c r="AWE25" i="30"/>
  <c r="AWH25" i="30"/>
  <c r="AVF25" i="30"/>
  <c r="AUZ25" i="30"/>
  <c r="ARG25" i="30"/>
  <c r="ARJ25" i="30"/>
  <c r="AQH25" i="30"/>
  <c r="AQB25" i="30"/>
  <c r="AMI25" i="30"/>
  <c r="AML25" i="30"/>
  <c r="ALJ25" i="30"/>
  <c r="ALD25" i="30"/>
  <c r="AHK25" i="30"/>
  <c r="AHN25" i="30"/>
  <c r="AGL25" i="30"/>
  <c r="AGF25" i="30"/>
  <c r="ACM25" i="30"/>
  <c r="ACP25" i="30"/>
  <c r="ABN25" i="30"/>
  <c r="ABH25" i="30"/>
  <c r="XO25" i="30"/>
  <c r="XR25" i="30"/>
  <c r="WP25" i="30"/>
  <c r="WJ25" i="30"/>
  <c r="SQ25" i="30"/>
  <c r="ST25" i="30"/>
  <c r="RR25" i="30"/>
  <c r="RL25" i="30"/>
  <c r="IU25" i="30"/>
  <c r="IX25" i="30"/>
  <c r="HV25" i="30"/>
  <c r="J25" i="30"/>
  <c r="AE25" i="30"/>
  <c r="AH25" i="30"/>
  <c r="BHV24" i="30"/>
  <c r="BIM24" i="30"/>
  <c r="BIP24" i="30"/>
  <c r="BBC24" i="30"/>
  <c r="BBF24" i="30"/>
  <c r="BAD24" i="30"/>
  <c r="IV28" i="30"/>
  <c r="DX28" i="30"/>
  <c r="BKZ27" i="30"/>
  <c r="BGB27" i="30"/>
  <c r="BBD27" i="30"/>
  <c r="AWF27" i="30"/>
  <c r="ARH27" i="30"/>
  <c r="AMJ27" i="30"/>
  <c r="AHL27" i="30"/>
  <c r="ACN27" i="30"/>
  <c r="XP27" i="30"/>
  <c r="SR27" i="30"/>
  <c r="NT27" i="30"/>
  <c r="IV27" i="30"/>
  <c r="DX27" i="30"/>
  <c r="BKZ26" i="30"/>
  <c r="BGB26" i="30"/>
  <c r="BBD26" i="30"/>
  <c r="AWF26" i="30"/>
  <c r="ARH26" i="30"/>
  <c r="AMJ26" i="30"/>
  <c r="AHL26" i="30"/>
  <c r="ACN26" i="30"/>
  <c r="SR26" i="30"/>
  <c r="NT26" i="30"/>
  <c r="IV26" i="30"/>
  <c r="DX26" i="30"/>
  <c r="BKZ25" i="30"/>
  <c r="BGB25" i="30"/>
  <c r="BBD25" i="30"/>
  <c r="AWF25" i="30"/>
  <c r="ARH25" i="30"/>
  <c r="AMJ25" i="30"/>
  <c r="AHL25" i="30"/>
  <c r="ACN25" i="30"/>
  <c r="XP25" i="30"/>
  <c r="SR25" i="30"/>
  <c r="OD25" i="30"/>
  <c r="OY25" i="30"/>
  <c r="PB25" i="30"/>
  <c r="KP25" i="30"/>
  <c r="LG25" i="30"/>
  <c r="LJ25" i="30"/>
  <c r="DW25" i="30"/>
  <c r="DZ25" i="30"/>
  <c r="CX25" i="30"/>
  <c r="BGL24" i="30"/>
  <c r="BHG24" i="30"/>
  <c r="BHJ24" i="30"/>
  <c r="BCX24" i="30"/>
  <c r="BDO24" i="30"/>
  <c r="BDR24" i="30"/>
  <c r="OY30" i="30"/>
  <c r="PB30" i="30"/>
  <c r="KA30" i="30"/>
  <c r="KD30" i="30"/>
  <c r="FC30" i="30"/>
  <c r="FF30" i="30"/>
  <c r="AE30" i="30"/>
  <c r="AH30" i="30"/>
  <c r="BHG29" i="30"/>
  <c r="BHJ29" i="30"/>
  <c r="BCI29" i="30"/>
  <c r="BCL29" i="30"/>
  <c r="AXK29" i="30"/>
  <c r="AXN29" i="30"/>
  <c r="ASM29" i="30"/>
  <c r="ASP29" i="30"/>
  <c r="ANO29" i="30"/>
  <c r="ANR29" i="30"/>
  <c r="AIQ29" i="30"/>
  <c r="AIT29" i="30"/>
  <c r="ADS29" i="30"/>
  <c r="ADV29" i="30"/>
  <c r="YU29" i="30"/>
  <c r="YX29" i="30"/>
  <c r="TW29" i="30"/>
  <c r="TZ29" i="30"/>
  <c r="OY29" i="30"/>
  <c r="PB29" i="30"/>
  <c r="KA29" i="30"/>
  <c r="KD29" i="30"/>
  <c r="FC29" i="30"/>
  <c r="FF29" i="30"/>
  <c r="AE29" i="30"/>
  <c r="AH29" i="30"/>
  <c r="BHG28" i="30"/>
  <c r="BHJ28" i="30"/>
  <c r="BBN28" i="30"/>
  <c r="BCI28" i="30"/>
  <c r="BCL28" i="30"/>
  <c r="AYT28" i="30"/>
  <c r="AWP28" i="30"/>
  <c r="AXK28" i="30"/>
  <c r="AXN28" i="30"/>
  <c r="ARR28" i="30"/>
  <c r="ASM28" i="30"/>
  <c r="ASP28" i="30"/>
  <c r="AOX28" i="30"/>
  <c r="AMT28" i="30"/>
  <c r="ANO28" i="30"/>
  <c r="ANR28" i="30"/>
  <c r="AJZ28" i="30"/>
  <c r="AHV28" i="30"/>
  <c r="AIQ28" i="30"/>
  <c r="AIT28" i="30"/>
  <c r="AFB28" i="30"/>
  <c r="ACX28" i="30"/>
  <c r="ADS28" i="30"/>
  <c r="ADV28" i="30"/>
  <c r="AAD28" i="30"/>
  <c r="XZ28" i="30"/>
  <c r="YU28" i="30"/>
  <c r="YX28" i="30"/>
  <c r="VF28" i="30"/>
  <c r="TB28" i="30"/>
  <c r="TW28" i="30"/>
  <c r="TZ28" i="30"/>
  <c r="QH28" i="30"/>
  <c r="OD28" i="30"/>
  <c r="OY28" i="30"/>
  <c r="PB28" i="30"/>
  <c r="LJ28" i="30"/>
  <c r="JF28" i="30"/>
  <c r="KA28" i="30"/>
  <c r="KD28" i="30"/>
  <c r="GL28" i="30"/>
  <c r="EH28" i="30"/>
  <c r="FC28" i="30"/>
  <c r="FF28" i="30"/>
  <c r="BN28" i="30"/>
  <c r="J28" i="30"/>
  <c r="AE28" i="30"/>
  <c r="AH28" i="30"/>
  <c r="BIP27" i="30"/>
  <c r="BGL27" i="30"/>
  <c r="BHG27" i="30"/>
  <c r="BHJ27" i="30"/>
  <c r="BDR27" i="30"/>
  <c r="BBN27" i="30"/>
  <c r="BCI27" i="30"/>
  <c r="BCL27" i="30"/>
  <c r="AYT27" i="30"/>
  <c r="AWP27" i="30"/>
  <c r="AXK27" i="30"/>
  <c r="AXN27" i="30"/>
  <c r="ATV27" i="30"/>
  <c r="ARR27" i="30"/>
  <c r="ASM27" i="30"/>
  <c r="ASP27" i="30"/>
  <c r="AMT27" i="30"/>
  <c r="ANO27" i="30"/>
  <c r="ANR27" i="30"/>
  <c r="AHV27" i="30"/>
  <c r="AIQ27" i="30"/>
  <c r="AIT27" i="30"/>
  <c r="ACX27" i="30"/>
  <c r="ADS27" i="30"/>
  <c r="ADV27" i="30"/>
  <c r="XZ27" i="30"/>
  <c r="YU27" i="30"/>
  <c r="YX27" i="30"/>
  <c r="TB27" i="30"/>
  <c r="TW27" i="30"/>
  <c r="TZ27" i="30"/>
  <c r="OD27" i="30"/>
  <c r="OY27" i="30"/>
  <c r="PB27" i="30"/>
  <c r="JF27" i="30"/>
  <c r="KA27" i="30"/>
  <c r="KD27" i="30"/>
  <c r="EH27" i="30"/>
  <c r="FC27" i="30"/>
  <c r="FF27" i="30"/>
  <c r="BN27" i="30"/>
  <c r="J27" i="30"/>
  <c r="AE27" i="30"/>
  <c r="AH27" i="30"/>
  <c r="BIP26" i="30"/>
  <c r="BGL26" i="30"/>
  <c r="BHG26" i="30"/>
  <c r="BHJ26" i="30"/>
  <c r="BDR26" i="30"/>
  <c r="BBN26" i="30"/>
  <c r="BCI26" i="30"/>
  <c r="BCL26" i="30"/>
  <c r="AYT26" i="30"/>
  <c r="AWP26" i="30"/>
  <c r="AXK26" i="30"/>
  <c r="AXN26" i="30"/>
  <c r="ATV26" i="30"/>
  <c r="ARR26" i="30"/>
  <c r="ASM26" i="30"/>
  <c r="ASP26" i="30"/>
  <c r="AOX26" i="30"/>
  <c r="AMT26" i="30"/>
  <c r="ANO26" i="30"/>
  <c r="ANR26" i="30"/>
  <c r="AJZ26" i="30"/>
  <c r="AHV26" i="30"/>
  <c r="AIQ26" i="30"/>
  <c r="AIT26" i="30"/>
  <c r="AFB26" i="30"/>
  <c r="ACX26" i="30"/>
  <c r="ADS26" i="30"/>
  <c r="ADV26" i="30"/>
  <c r="AAD26" i="30"/>
  <c r="XZ26" i="30"/>
  <c r="YU26" i="30"/>
  <c r="YX26" i="30"/>
  <c r="VF26" i="30"/>
  <c r="TB26" i="30"/>
  <c r="TW26" i="30"/>
  <c r="TZ26" i="30"/>
  <c r="OD26" i="30"/>
  <c r="OY26" i="30"/>
  <c r="PB26" i="30"/>
  <c r="JF26" i="30"/>
  <c r="KA26" i="30"/>
  <c r="KA44" i="30"/>
  <c r="KA46" i="30"/>
  <c r="KD46" i="30"/>
  <c r="EH26" i="30"/>
  <c r="FC26" i="30"/>
  <c r="FF26" i="30"/>
  <c r="BN26" i="30"/>
  <c r="J26" i="30"/>
  <c r="AE26" i="30"/>
  <c r="AE44" i="30"/>
  <c r="BGL25" i="30"/>
  <c r="BHG25" i="30"/>
  <c r="BHJ25" i="30"/>
  <c r="BDR25" i="30"/>
  <c r="BBN25" i="30"/>
  <c r="BCI25" i="30"/>
  <c r="BCL25" i="30"/>
  <c r="AYT25" i="30"/>
  <c r="AWP25" i="30"/>
  <c r="AXK25" i="30"/>
  <c r="AXN25" i="30"/>
  <c r="ATV25" i="30"/>
  <c r="ARR25" i="30"/>
  <c r="ASM25" i="30"/>
  <c r="ASP25" i="30"/>
  <c r="AOX25" i="30"/>
  <c r="AMT25" i="30"/>
  <c r="ANO25" i="30"/>
  <c r="ANR25" i="30"/>
  <c r="AJZ25" i="30"/>
  <c r="AHV25" i="30"/>
  <c r="AIQ25" i="30"/>
  <c r="AIT25" i="30"/>
  <c r="AFB25" i="30"/>
  <c r="ACX25" i="30"/>
  <c r="ADS25" i="30"/>
  <c r="ADV25" i="30"/>
  <c r="AAD25" i="30"/>
  <c r="XZ25" i="30"/>
  <c r="YU25" i="30"/>
  <c r="YX25" i="30"/>
  <c r="VF25" i="30"/>
  <c r="TB25" i="30"/>
  <c r="TW25" i="30"/>
  <c r="TZ25" i="30"/>
  <c r="QH25" i="30"/>
  <c r="OZ25" i="30"/>
  <c r="MN25" i="30"/>
  <c r="JF25" i="30"/>
  <c r="KA25" i="30"/>
  <c r="KD25" i="30"/>
  <c r="HO25" i="30"/>
  <c r="HR25" i="30"/>
  <c r="FR25" i="30"/>
  <c r="GI25" i="30"/>
  <c r="GL25" i="30"/>
  <c r="DX25" i="30"/>
  <c r="BKY24" i="30"/>
  <c r="BLB24" i="30"/>
  <c r="BJZ24" i="30"/>
  <c r="BHH24" i="30"/>
  <c r="BEV24" i="30"/>
  <c r="BBN24" i="30"/>
  <c r="BCI24" i="30"/>
  <c r="BCL24" i="30"/>
  <c r="AZW24" i="30"/>
  <c r="AZZ24" i="30"/>
  <c r="AXZ24" i="30"/>
  <c r="AYQ24" i="30"/>
  <c r="AYT24" i="30"/>
  <c r="ATS24" i="30"/>
  <c r="ATV24" i="30"/>
  <c r="AOU24" i="30"/>
  <c r="AOX24" i="30"/>
  <c r="AJW24" i="30"/>
  <c r="AJZ24" i="30"/>
  <c r="AEY24" i="30"/>
  <c r="AFB24" i="30"/>
  <c r="AAA24" i="30"/>
  <c r="AAD24" i="30"/>
  <c r="VC24" i="30"/>
  <c r="VF24" i="30"/>
  <c r="QE24" i="30"/>
  <c r="QH24" i="30"/>
  <c r="LG24" i="30"/>
  <c r="LJ24" i="30"/>
  <c r="GI24" i="30"/>
  <c r="GL24" i="30"/>
  <c r="BK24" i="30"/>
  <c r="BN24" i="30"/>
  <c r="BIM23" i="30"/>
  <c r="BIP23" i="30"/>
  <c r="BDO23" i="30"/>
  <c r="BDR23" i="30"/>
  <c r="ASX23" i="30"/>
  <c r="ATS23" i="30"/>
  <c r="ATV23" i="30"/>
  <c r="ANZ23" i="30"/>
  <c r="AOU23" i="30"/>
  <c r="ALD23" i="30"/>
  <c r="AJX23" i="30"/>
  <c r="ACN23" i="30"/>
  <c r="XO23" i="30"/>
  <c r="XR23" i="30"/>
  <c r="WP23" i="30"/>
  <c r="VJ23" i="30"/>
  <c r="WI23" i="30"/>
  <c r="WL23" i="30"/>
  <c r="RL23" i="30"/>
  <c r="QF23" i="30"/>
  <c r="IV23" i="30"/>
  <c r="DW23" i="30"/>
  <c r="DZ23" i="30"/>
  <c r="CX23" i="30"/>
  <c r="BR23" i="30"/>
  <c r="CQ23" i="30"/>
  <c r="CT23" i="30"/>
  <c r="BJT22" i="30"/>
  <c r="BIN22" i="30"/>
  <c r="BBD22" i="30"/>
  <c r="AWE22" i="30"/>
  <c r="AWH22" i="30"/>
  <c r="AVF22" i="30"/>
  <c r="ATZ22" i="30"/>
  <c r="AUY22" i="30"/>
  <c r="AVB22" i="30"/>
  <c r="AQB22" i="30"/>
  <c r="AOV22" i="30"/>
  <c r="AHL22" i="30"/>
  <c r="ACM22" i="30"/>
  <c r="ACP22" i="30"/>
  <c r="ABN22" i="30"/>
  <c r="XO22" i="30"/>
  <c r="XR22" i="30"/>
  <c r="WP22" i="30"/>
  <c r="SQ22" i="30"/>
  <c r="ST22" i="30"/>
  <c r="RR22" i="30"/>
  <c r="NS22" i="30"/>
  <c r="NV22" i="30"/>
  <c r="MT22" i="30"/>
  <c r="AVF24" i="30"/>
  <c r="ASM24" i="30"/>
  <c r="ASP24" i="30"/>
  <c r="AQH24" i="30"/>
  <c r="ANO24" i="30"/>
  <c r="ANR24" i="30"/>
  <c r="ALJ24" i="30"/>
  <c r="AIQ24" i="30"/>
  <c r="AIT24" i="30"/>
  <c r="AGL24" i="30"/>
  <c r="ADS24" i="30"/>
  <c r="ADV24" i="30"/>
  <c r="ABN24" i="30"/>
  <c r="YU24" i="30"/>
  <c r="YX24" i="30"/>
  <c r="WP24" i="30"/>
  <c r="TW24" i="30"/>
  <c r="TZ24" i="30"/>
  <c r="RR24" i="30"/>
  <c r="OY24" i="30"/>
  <c r="PB24" i="30"/>
  <c r="MT24" i="30"/>
  <c r="KA24" i="30"/>
  <c r="KD24" i="30"/>
  <c r="HV24" i="30"/>
  <c r="FC24" i="30"/>
  <c r="FF24" i="30"/>
  <c r="CX24" i="30"/>
  <c r="AE24" i="30"/>
  <c r="AH24" i="30"/>
  <c r="BJZ23" i="30"/>
  <c r="BHG23" i="30"/>
  <c r="BHJ23" i="30"/>
  <c r="BFB23" i="30"/>
  <c r="BCI23" i="30"/>
  <c r="BCL23" i="30"/>
  <c r="BAD23" i="30"/>
  <c r="AWE23" i="30"/>
  <c r="AWH23" i="30"/>
  <c r="ARG23" i="30"/>
  <c r="ARJ23" i="30"/>
  <c r="AOX23" i="30"/>
  <c r="AMI23" i="30"/>
  <c r="AML23" i="30"/>
  <c r="ALJ23" i="30"/>
  <c r="AKD23" i="30"/>
  <c r="ALC23" i="30"/>
  <c r="ALF23" i="30"/>
  <c r="AGF23" i="30"/>
  <c r="AEZ23" i="30"/>
  <c r="XP23" i="30"/>
  <c r="SQ23" i="30"/>
  <c r="ST23" i="30"/>
  <c r="RR23" i="30"/>
  <c r="QL23" i="30"/>
  <c r="RK23" i="30"/>
  <c r="RN23" i="30"/>
  <c r="MN23" i="30"/>
  <c r="LH23" i="30"/>
  <c r="DX23" i="30"/>
  <c r="BKY22" i="30"/>
  <c r="BLB22" i="30"/>
  <c r="BJZ22" i="30"/>
  <c r="BIT22" i="30"/>
  <c r="BJS22" i="30"/>
  <c r="BJV22" i="30"/>
  <c r="BEV22" i="30"/>
  <c r="BDP22" i="30"/>
  <c r="AWF22" i="30"/>
  <c r="ARG22" i="30"/>
  <c r="ARJ22" i="30"/>
  <c r="AQH22" i="30"/>
  <c r="APB22" i="30"/>
  <c r="AQA22" i="30"/>
  <c r="AQD22" i="30"/>
  <c r="ALD22" i="30"/>
  <c r="AJX22" i="30"/>
  <c r="IV22" i="30"/>
  <c r="AYQ23" i="30"/>
  <c r="AYT23" i="30"/>
  <c r="AXK23" i="30"/>
  <c r="AXN23" i="30"/>
  <c r="AWL23" i="30"/>
  <c r="AWF23" i="30"/>
  <c r="AUY23" i="30"/>
  <c r="AVB23" i="30"/>
  <c r="ASM23" i="30"/>
  <c r="ASP23" i="30"/>
  <c r="ARN23" i="30"/>
  <c r="ARH23" i="30"/>
  <c r="AQA23" i="30"/>
  <c r="AQD23" i="30"/>
  <c r="ANO23" i="30"/>
  <c r="ANR23" i="30"/>
  <c r="AMP23" i="30"/>
  <c r="AMJ23" i="30"/>
  <c r="AHK23" i="30"/>
  <c r="AHN23" i="30"/>
  <c r="AGL23" i="30"/>
  <c r="AFF23" i="30"/>
  <c r="AGE23" i="30"/>
  <c r="AGH23" i="30"/>
  <c r="ABH23" i="30"/>
  <c r="AAB23" i="30"/>
  <c r="SR23" i="30"/>
  <c r="NS23" i="30"/>
  <c r="NV23" i="30"/>
  <c r="MT23" i="30"/>
  <c r="LN23" i="30"/>
  <c r="MM23" i="30"/>
  <c r="MP23" i="30"/>
  <c r="HP23" i="30"/>
  <c r="GJ23" i="30"/>
  <c r="BKZ22" i="30"/>
  <c r="BGA22" i="30"/>
  <c r="BGD22" i="30"/>
  <c r="BFB22" i="30"/>
  <c r="BDV22" i="30"/>
  <c r="BEU22" i="30"/>
  <c r="BEX22" i="30"/>
  <c r="AZX22" i="30"/>
  <c r="AYR22" i="30"/>
  <c r="ARH22" i="30"/>
  <c r="AMI22" i="30"/>
  <c r="AML22" i="30"/>
  <c r="ALJ22" i="30"/>
  <c r="AKD22" i="30"/>
  <c r="ALC22" i="30"/>
  <c r="ALF22" i="30"/>
  <c r="AGF22" i="30"/>
  <c r="AEZ22" i="30"/>
  <c r="ABH22" i="30"/>
  <c r="WJ22" i="30"/>
  <c r="RL22" i="30"/>
  <c r="MN22" i="30"/>
  <c r="AXL23" i="30"/>
  <c r="ASN23" i="30"/>
  <c r="ANP23" i="30"/>
  <c r="AHL23" i="30"/>
  <c r="ACM23" i="30"/>
  <c r="ACP23" i="30"/>
  <c r="ABN23" i="30"/>
  <c r="AAH23" i="30"/>
  <c r="ABG23" i="30"/>
  <c r="ABJ23" i="30"/>
  <c r="WJ23" i="30"/>
  <c r="VD23" i="30"/>
  <c r="NT23" i="30"/>
  <c r="IU23" i="30"/>
  <c r="IX23" i="30"/>
  <c r="HV23" i="30"/>
  <c r="GP23" i="30"/>
  <c r="HO23" i="30"/>
  <c r="HR23" i="30"/>
  <c r="CR23" i="30"/>
  <c r="BL23" i="30"/>
  <c r="BGB22" i="30"/>
  <c r="BBC22" i="30"/>
  <c r="BBF22" i="30"/>
  <c r="BAD22" i="30"/>
  <c r="AYX22" i="30"/>
  <c r="AZW22" i="30"/>
  <c r="AZZ22" i="30"/>
  <c r="AUZ22" i="30"/>
  <c r="ATT22" i="30"/>
  <c r="AMJ22" i="30"/>
  <c r="AHK22" i="30"/>
  <c r="AHN22" i="30"/>
  <c r="AGL22" i="30"/>
  <c r="AFF22" i="30"/>
  <c r="AGE22" i="30"/>
  <c r="AGH22" i="30"/>
  <c r="AHV23" i="30"/>
  <c r="AIQ23" i="30"/>
  <c r="AFB23" i="30"/>
  <c r="ACX23" i="30"/>
  <c r="ADS23" i="30"/>
  <c r="ADV23" i="30"/>
  <c r="AAD23" i="30"/>
  <c r="XZ23" i="30"/>
  <c r="YU23" i="30"/>
  <c r="YX23" i="30"/>
  <c r="VF23" i="30"/>
  <c r="TB23" i="30"/>
  <c r="TW23" i="30"/>
  <c r="QH23" i="30"/>
  <c r="OD23" i="30"/>
  <c r="OY23" i="30"/>
  <c r="LJ23" i="30"/>
  <c r="JF23" i="30"/>
  <c r="KA23" i="30"/>
  <c r="KD23" i="30"/>
  <c r="GL23" i="30"/>
  <c r="EH23" i="30"/>
  <c r="FC23" i="30"/>
  <c r="FF23" i="30"/>
  <c r="BN23" i="30"/>
  <c r="J23" i="30"/>
  <c r="AE23" i="30"/>
  <c r="BIP22" i="30"/>
  <c r="BGL22" i="30"/>
  <c r="BHG22" i="30"/>
  <c r="BDR22" i="30"/>
  <c r="BBN22" i="30"/>
  <c r="BCI22" i="30"/>
  <c r="BCL22" i="30"/>
  <c r="AYT22" i="30"/>
  <c r="AWP22" i="30"/>
  <c r="AXK22" i="30"/>
  <c r="AXN22" i="30"/>
  <c r="ATV22" i="30"/>
  <c r="ARR22" i="30"/>
  <c r="ASM22" i="30"/>
  <c r="AOX22" i="30"/>
  <c r="AMT22" i="30"/>
  <c r="ANO22" i="30"/>
  <c r="AHV22" i="30"/>
  <c r="AIQ22" i="30"/>
  <c r="AIT22" i="30"/>
  <c r="ACX22" i="30"/>
  <c r="ADS22" i="30"/>
  <c r="ADV22" i="30"/>
  <c r="XZ22" i="30"/>
  <c r="YU22" i="30"/>
  <c r="TB22" i="30"/>
  <c r="TW22" i="30"/>
  <c r="TZ22" i="30"/>
  <c r="OD22" i="30"/>
  <c r="OY22" i="30"/>
  <c r="LJ22" i="30"/>
  <c r="HP22" i="30"/>
  <c r="GJ22" i="30"/>
  <c r="BK22" i="30"/>
  <c r="BN22" i="30"/>
  <c r="BKZ21" i="30"/>
  <c r="BGA21" i="30"/>
  <c r="BGD21" i="30"/>
  <c r="BEU21" i="30"/>
  <c r="BEX21" i="30"/>
  <c r="BDV21" i="30"/>
  <c r="AZX21" i="30"/>
  <c r="AYR21" i="30"/>
  <c r="ATS21" i="30"/>
  <c r="ARH21" i="30"/>
  <c r="AMI21" i="30"/>
  <c r="AML21" i="30"/>
  <c r="ALC21" i="30"/>
  <c r="ALF21" i="30"/>
  <c r="AKD21" i="30"/>
  <c r="AGF21" i="30"/>
  <c r="AEZ21" i="30"/>
  <c r="AAA21" i="30"/>
  <c r="AAD21" i="30"/>
  <c r="XP21" i="30"/>
  <c r="SQ21" i="30"/>
  <c r="RK21" i="30"/>
  <c r="RN21" i="30"/>
  <c r="QL21" i="30"/>
  <c r="MN21" i="30"/>
  <c r="LH21" i="30"/>
  <c r="GI21" i="30"/>
  <c r="GL21" i="30"/>
  <c r="DX21" i="30"/>
  <c r="BKY20" i="30"/>
  <c r="BLB20" i="30"/>
  <c r="BJS20" i="30"/>
  <c r="BJV20" i="30"/>
  <c r="BIT20" i="30"/>
  <c r="BEV20" i="30"/>
  <c r="BDP20" i="30"/>
  <c r="AYQ20" i="30"/>
  <c r="AYT20" i="30"/>
  <c r="AWF20" i="30"/>
  <c r="ARG20" i="30"/>
  <c r="AQA20" i="30"/>
  <c r="AQD20" i="30"/>
  <c r="APB20" i="30"/>
  <c r="ALD20" i="30"/>
  <c r="AJX20" i="30"/>
  <c r="AEY20" i="30"/>
  <c r="ACN20" i="30"/>
  <c r="XO20" i="30"/>
  <c r="XR20" i="30"/>
  <c r="WI20" i="30"/>
  <c r="WL20" i="30"/>
  <c r="VJ20" i="30"/>
  <c r="SR20" i="30"/>
  <c r="RL20" i="30"/>
  <c r="QF20" i="30"/>
  <c r="OY20" i="30"/>
  <c r="LG20" i="30"/>
  <c r="LJ20" i="30"/>
  <c r="IV20" i="30"/>
  <c r="DW20" i="30"/>
  <c r="CQ20" i="30"/>
  <c r="CT20" i="30"/>
  <c r="BR20" i="30"/>
  <c r="BJT19" i="30"/>
  <c r="BIN19" i="30"/>
  <c r="BDO19" i="30"/>
  <c r="BBD19" i="30"/>
  <c r="AWE19" i="30"/>
  <c r="AUY19" i="30"/>
  <c r="AVB19" i="30"/>
  <c r="ATZ19" i="30"/>
  <c r="AQB19" i="30"/>
  <c r="AOV19" i="30"/>
  <c r="AJW19" i="30"/>
  <c r="AHL19" i="30"/>
  <c r="ACM19" i="30"/>
  <c r="ABG19" i="30"/>
  <c r="ABJ19" i="30"/>
  <c r="AAH19" i="30"/>
  <c r="WJ19" i="30"/>
  <c r="VD19" i="30"/>
  <c r="QE19" i="30"/>
  <c r="QH19" i="30"/>
  <c r="NT19" i="30"/>
  <c r="LG19" i="30"/>
  <c r="LJ19" i="30"/>
  <c r="JJ19" i="30"/>
  <c r="KA19" i="30"/>
  <c r="KD19" i="30"/>
  <c r="HP19" i="30"/>
  <c r="CQ19" i="30"/>
  <c r="CT19" i="30"/>
  <c r="BR19" i="30"/>
  <c r="BKZ18" i="30"/>
  <c r="BJT18" i="30"/>
  <c r="BIN18" i="30"/>
  <c r="BDO18" i="30"/>
  <c r="BDR18" i="30"/>
  <c r="BBR18" i="30"/>
  <c r="BCI18" i="30"/>
  <c r="BBC18" i="30"/>
  <c r="BBF18" i="30"/>
  <c r="AZW18" i="30"/>
  <c r="AZZ18" i="30"/>
  <c r="AYX18" i="30"/>
  <c r="AQP18" i="30"/>
  <c r="ARG18" i="30"/>
  <c r="ARJ18" i="30"/>
  <c r="VV18" i="30"/>
  <c r="WI18" i="30"/>
  <c r="QP18" i="30"/>
  <c r="RK18" i="30"/>
  <c r="RN18" i="30"/>
  <c r="AMJ17" i="30"/>
  <c r="AYR16" i="30"/>
  <c r="AIT23" i="30"/>
  <c r="TZ23" i="30"/>
  <c r="PB23" i="30"/>
  <c r="AH23" i="30"/>
  <c r="BHJ22" i="30"/>
  <c r="ASP22" i="30"/>
  <c r="ANR22" i="30"/>
  <c r="ABG22" i="30"/>
  <c r="ABJ22" i="30"/>
  <c r="YX22" i="30"/>
  <c r="WI22" i="30"/>
  <c r="WL22" i="30"/>
  <c r="RK22" i="30"/>
  <c r="RN22" i="30"/>
  <c r="PB22" i="30"/>
  <c r="MM22" i="30"/>
  <c r="MP22" i="30"/>
  <c r="IU22" i="30"/>
  <c r="IX22" i="30"/>
  <c r="HO22" i="30"/>
  <c r="HR22" i="30"/>
  <c r="GP22" i="30"/>
  <c r="CR22" i="30"/>
  <c r="BL22" i="30"/>
  <c r="BIM21" i="30"/>
  <c r="BIP21" i="30"/>
  <c r="BGB21" i="30"/>
  <c r="BDR21" i="30"/>
  <c r="BBC21" i="30"/>
  <c r="BBF21" i="30"/>
  <c r="AZW21" i="30"/>
  <c r="AZZ21" i="30"/>
  <c r="AYX21" i="30"/>
  <c r="AUZ21" i="30"/>
  <c r="ATT21" i="30"/>
  <c r="AOU21" i="30"/>
  <c r="AOX21" i="30"/>
  <c r="AMJ21" i="30"/>
  <c r="AHK21" i="30"/>
  <c r="AHN21" i="30"/>
  <c r="AGE21" i="30"/>
  <c r="AGH21" i="30"/>
  <c r="AFF21" i="30"/>
  <c r="ABH21" i="30"/>
  <c r="AAB21" i="30"/>
  <c r="VC21" i="30"/>
  <c r="VF21" i="30"/>
  <c r="SR21" i="30"/>
  <c r="NS21" i="30"/>
  <c r="NV21" i="30"/>
  <c r="MM21" i="30"/>
  <c r="MP21" i="30"/>
  <c r="LN21" i="30"/>
  <c r="HP21" i="30"/>
  <c r="GJ21" i="30"/>
  <c r="BK21" i="30"/>
  <c r="BN21" i="30"/>
  <c r="BKZ20" i="30"/>
  <c r="BIP20" i="30"/>
  <c r="BGA20" i="30"/>
  <c r="BGD20" i="30"/>
  <c r="BEU20" i="30"/>
  <c r="BEX20" i="30"/>
  <c r="BDV20" i="30"/>
  <c r="AZX20" i="30"/>
  <c r="AYR20" i="30"/>
  <c r="ATS20" i="30"/>
  <c r="ATV20" i="30"/>
  <c r="ARH20" i="30"/>
  <c r="AOX20" i="30"/>
  <c r="AMI20" i="30"/>
  <c r="AML20" i="30"/>
  <c r="ALC20" i="30"/>
  <c r="ALF20" i="30"/>
  <c r="AKD20" i="30"/>
  <c r="AGF20" i="30"/>
  <c r="AEZ20" i="30"/>
  <c r="AAA20" i="30"/>
  <c r="AAD20" i="30"/>
  <c r="XP20" i="30"/>
  <c r="VF20" i="30"/>
  <c r="SQ20" i="30"/>
  <c r="ST20" i="30"/>
  <c r="RK20" i="30"/>
  <c r="RN20" i="30"/>
  <c r="QL20" i="30"/>
  <c r="NT20" i="30"/>
  <c r="MN20" i="30"/>
  <c r="LH20" i="30"/>
  <c r="GI20" i="30"/>
  <c r="GL20" i="30"/>
  <c r="DX20" i="30"/>
  <c r="BN20" i="30"/>
  <c r="BKY19" i="30"/>
  <c r="BLB19" i="30"/>
  <c r="BJS19" i="30"/>
  <c r="BJV19" i="30"/>
  <c r="BIT19" i="30"/>
  <c r="BEV19" i="30"/>
  <c r="BDP19" i="30"/>
  <c r="AYQ19" i="30"/>
  <c r="AYT19" i="30"/>
  <c r="AWF19" i="30"/>
  <c r="ATV19" i="30"/>
  <c r="ARG19" i="30"/>
  <c r="ARJ19" i="30"/>
  <c r="AQA19" i="30"/>
  <c r="AQD19" i="30"/>
  <c r="APB19" i="30"/>
  <c r="ALD19" i="30"/>
  <c r="AJX19" i="30"/>
  <c r="AEY19" i="30"/>
  <c r="AFB19" i="30"/>
  <c r="ACN19" i="30"/>
  <c r="XO19" i="30"/>
  <c r="XR19" i="30"/>
  <c r="WI19" i="30"/>
  <c r="WL19" i="30"/>
  <c r="VJ19" i="30"/>
  <c r="RL19" i="30"/>
  <c r="QF19" i="30"/>
  <c r="LH19" i="30"/>
  <c r="HZ19" i="30"/>
  <c r="IU19" i="30"/>
  <c r="IX19" i="30"/>
  <c r="GI19" i="30"/>
  <c r="GL19" i="30"/>
  <c r="EL19" i="30"/>
  <c r="FC19" i="30"/>
  <c r="FF19" i="30"/>
  <c r="CR19" i="30"/>
  <c r="BJS18" i="30"/>
  <c r="BJV18" i="30"/>
  <c r="BIT18" i="30"/>
  <c r="BGB18" i="30"/>
  <c r="BEV18" i="30"/>
  <c r="BDP18" i="30"/>
  <c r="RR18" i="30"/>
  <c r="SQ18" i="30"/>
  <c r="ST18" i="30"/>
  <c r="JB18" i="30"/>
  <c r="KA18" i="30"/>
  <c r="KD18" i="30"/>
  <c r="DF18" i="30"/>
  <c r="DW18" i="30"/>
  <c r="DZ18" i="30"/>
  <c r="AUL17" i="30"/>
  <c r="AUY17" i="30"/>
  <c r="AVB17" i="30"/>
  <c r="APF17" i="30"/>
  <c r="AQA17" i="30"/>
  <c r="AAA16" i="30"/>
  <c r="AAD16" i="30"/>
  <c r="ZB16" i="30"/>
  <c r="TJ16" i="30"/>
  <c r="TW16" i="30"/>
  <c r="BCI15" i="30"/>
  <c r="BBN15" i="30"/>
  <c r="AWE15" i="30"/>
  <c r="AWH15" i="30"/>
  <c r="AVF15" i="30"/>
  <c r="ARH15" i="30"/>
  <c r="APN15" i="30"/>
  <c r="AQA15" i="30"/>
  <c r="AQD15" i="30"/>
  <c r="DW22" i="30"/>
  <c r="DZ22" i="30"/>
  <c r="CQ22" i="30"/>
  <c r="CT22" i="30"/>
  <c r="BR22" i="30"/>
  <c r="BJT21" i="30"/>
  <c r="BBD21" i="30"/>
  <c r="AYT21" i="30"/>
  <c r="AWE21" i="30"/>
  <c r="AWH21" i="30"/>
  <c r="AUY21" i="30"/>
  <c r="AVB21" i="30"/>
  <c r="ATZ21" i="30"/>
  <c r="AQB21" i="30"/>
  <c r="AHL21" i="30"/>
  <c r="AFB21" i="30"/>
  <c r="ACM21" i="30"/>
  <c r="ACP21" i="30"/>
  <c r="ABG21" i="30"/>
  <c r="ABJ21" i="30"/>
  <c r="AAH21" i="30"/>
  <c r="WJ21" i="30"/>
  <c r="NT21" i="30"/>
  <c r="LJ21" i="30"/>
  <c r="IU21" i="30"/>
  <c r="IX21" i="30"/>
  <c r="HO21" i="30"/>
  <c r="HR21" i="30"/>
  <c r="GP21" i="30"/>
  <c r="CR21" i="30"/>
  <c r="BGB20" i="30"/>
  <c r="BBC20" i="30"/>
  <c r="BBF20" i="30"/>
  <c r="AZW20" i="30"/>
  <c r="AZZ20" i="30"/>
  <c r="AYX20" i="30"/>
  <c r="AUZ20" i="30"/>
  <c r="AMJ20" i="30"/>
  <c r="AJZ20" i="30"/>
  <c r="AHK20" i="30"/>
  <c r="AHN20" i="30"/>
  <c r="AGE20" i="30"/>
  <c r="AGH20" i="30"/>
  <c r="AFF20" i="30"/>
  <c r="ABH20" i="30"/>
  <c r="QH20" i="30"/>
  <c r="PB20" i="30"/>
  <c r="NS20" i="30"/>
  <c r="NV20" i="30"/>
  <c r="MM20" i="30"/>
  <c r="MP20" i="30"/>
  <c r="LN20" i="30"/>
  <c r="HP20" i="30"/>
  <c r="BKZ19" i="30"/>
  <c r="BIP19" i="30"/>
  <c r="BGA19" i="30"/>
  <c r="BGD19" i="30"/>
  <c r="BEU19" i="30"/>
  <c r="BEX19" i="30"/>
  <c r="BDV19" i="30"/>
  <c r="AZX19" i="30"/>
  <c r="ARH19" i="30"/>
  <c r="AOX19" i="30"/>
  <c r="AMI19" i="30"/>
  <c r="AML19" i="30"/>
  <c r="ALC19" i="30"/>
  <c r="ALF19" i="30"/>
  <c r="AKD19" i="30"/>
  <c r="AGF19" i="30"/>
  <c r="XP19" i="30"/>
  <c r="SQ19" i="30"/>
  <c r="ST19" i="30"/>
  <c r="RK19" i="30"/>
  <c r="RN19" i="30"/>
  <c r="QL19" i="30"/>
  <c r="MM19" i="30"/>
  <c r="MP19" i="30"/>
  <c r="LN19" i="30"/>
  <c r="DB19" i="30"/>
  <c r="DW19" i="30"/>
  <c r="DZ19" i="30"/>
  <c r="N19" i="30"/>
  <c r="AE19" i="30"/>
  <c r="AH19" i="30"/>
  <c r="BGD18" i="30"/>
  <c r="BEU18" i="30"/>
  <c r="BEX18" i="30"/>
  <c r="BDV18" i="30"/>
  <c r="AJX18" i="30"/>
  <c r="AAA18" i="30"/>
  <c r="AAD18" i="30"/>
  <c r="ZB18" i="30"/>
  <c r="MN18" i="30"/>
  <c r="AQH17" i="30"/>
  <c r="ARG17" i="30"/>
  <c r="ARJ17" i="30"/>
  <c r="AHR17" i="30"/>
  <c r="AIQ17" i="30"/>
  <c r="AIT17" i="30"/>
  <c r="WJ17" i="30"/>
  <c r="FC17" i="30"/>
  <c r="FF17" i="30"/>
  <c r="EH17" i="30"/>
  <c r="BKY16" i="30"/>
  <c r="BLB16" i="30"/>
  <c r="BJZ16" i="30"/>
  <c r="BGB16" i="30"/>
  <c r="BEH16" i="30"/>
  <c r="BEU16" i="30"/>
  <c r="EP15" i="30"/>
  <c r="FC15" i="30"/>
  <c r="BIX14" i="30"/>
  <c r="BJS14" i="30"/>
  <c r="BJV14" i="30"/>
  <c r="ACN22" i="30"/>
  <c r="XP22" i="30"/>
  <c r="SR22" i="30"/>
  <c r="NT22" i="30"/>
  <c r="DX22" i="30"/>
  <c r="BKY21" i="30"/>
  <c r="BLB21" i="30"/>
  <c r="BJS21" i="30"/>
  <c r="BJV21" i="30"/>
  <c r="BIT21" i="30"/>
  <c r="BEV21" i="30"/>
  <c r="AWF21" i="30"/>
  <c r="ATV21" i="30"/>
  <c r="ARG21" i="30"/>
  <c r="ARJ21" i="30"/>
  <c r="AQA21" i="30"/>
  <c r="AQD21" i="30"/>
  <c r="APB21" i="30"/>
  <c r="ALD21" i="30"/>
  <c r="ACN21" i="30"/>
  <c r="XO21" i="30"/>
  <c r="XR21" i="30"/>
  <c r="WI21" i="30"/>
  <c r="WL21" i="30"/>
  <c r="VJ21" i="30"/>
  <c r="ST21" i="30"/>
  <c r="RL21" i="30"/>
  <c r="IV21" i="30"/>
  <c r="DW21" i="30"/>
  <c r="DZ21" i="30"/>
  <c r="CQ21" i="30"/>
  <c r="CT21" i="30"/>
  <c r="BR21" i="30"/>
  <c r="BJT20" i="30"/>
  <c r="BBD20" i="30"/>
  <c r="AWE20" i="30"/>
  <c r="AWH20" i="30"/>
  <c r="AUY20" i="30"/>
  <c r="AVB20" i="30"/>
  <c r="ATZ20" i="30"/>
  <c r="ARJ20" i="30"/>
  <c r="AQB20" i="30"/>
  <c r="AHL20" i="30"/>
  <c r="AFB20" i="30"/>
  <c r="ACM20" i="30"/>
  <c r="ACP20" i="30"/>
  <c r="ABG20" i="30"/>
  <c r="ABJ20" i="30"/>
  <c r="AAH20" i="30"/>
  <c r="WJ20" i="30"/>
  <c r="IU20" i="30"/>
  <c r="IX20" i="30"/>
  <c r="HO20" i="30"/>
  <c r="HR20" i="30"/>
  <c r="GP20" i="30"/>
  <c r="DZ20" i="30"/>
  <c r="CR20" i="30"/>
  <c r="BGB19" i="30"/>
  <c r="BDR19" i="30"/>
  <c r="BBC19" i="30"/>
  <c r="BBF19" i="30"/>
  <c r="AZW19" i="30"/>
  <c r="AZZ19" i="30"/>
  <c r="AYX19" i="30"/>
  <c r="AWH19" i="30"/>
  <c r="AUZ19" i="30"/>
  <c r="AMJ19" i="30"/>
  <c r="AJZ19" i="30"/>
  <c r="AHK19" i="30"/>
  <c r="AHN19" i="30"/>
  <c r="AGE19" i="30"/>
  <c r="AGH19" i="30"/>
  <c r="AFF19" i="30"/>
  <c r="ACP19" i="30"/>
  <c r="ABH19" i="30"/>
  <c r="SR19" i="30"/>
  <c r="NS19" i="30"/>
  <c r="NV19" i="30"/>
  <c r="HO19" i="30"/>
  <c r="HR19" i="30"/>
  <c r="GP19" i="30"/>
  <c r="BKD18" i="30"/>
  <c r="BKY18" i="30"/>
  <c r="BLB18" i="30"/>
  <c r="BGP18" i="30"/>
  <c r="BHG18" i="30"/>
  <c r="BHJ18" i="30"/>
  <c r="BCL18" i="30"/>
  <c r="AWT18" i="30"/>
  <c r="AXK18" i="30"/>
  <c r="AXN18" i="30"/>
  <c r="NT18" i="30"/>
  <c r="BIN17" i="30"/>
  <c r="AYQ17" i="30"/>
  <c r="AYT17" i="30"/>
  <c r="AXR17" i="30"/>
  <c r="ALD17" i="30"/>
  <c r="ABV17" i="30"/>
  <c r="ACM17" i="30"/>
  <c r="ACP17" i="30"/>
  <c r="LR16" i="30"/>
  <c r="MM16" i="30"/>
  <c r="MP16" i="30"/>
  <c r="HO16" i="30"/>
  <c r="HJ16" i="30"/>
  <c r="AAA15" i="30"/>
  <c r="AAD15" i="30"/>
  <c r="ZB15" i="30"/>
  <c r="AWE14" i="30"/>
  <c r="AWH14" i="30"/>
  <c r="FD14" i="30"/>
  <c r="BHF13" i="30"/>
  <c r="BHG13" i="30"/>
  <c r="ARH13" i="30"/>
  <c r="ANB12" i="30"/>
  <c r="ANO12" i="30"/>
  <c r="ALD12" i="30"/>
  <c r="AJB11" i="30"/>
  <c r="AJW11" i="30"/>
  <c r="AJZ11" i="30"/>
  <c r="AGE11" i="30"/>
  <c r="AGH11" i="30"/>
  <c r="AFF11" i="30"/>
  <c r="KA22" i="30"/>
  <c r="KD22" i="30"/>
  <c r="HV22" i="30"/>
  <c r="FC22" i="30"/>
  <c r="FF22" i="30"/>
  <c r="CX22" i="30"/>
  <c r="AE22" i="30"/>
  <c r="AH22" i="30"/>
  <c r="BJZ21" i="30"/>
  <c r="BHG21" i="30"/>
  <c r="BHJ21" i="30"/>
  <c r="BFB21" i="30"/>
  <c r="BCI21" i="30"/>
  <c r="BCL21" i="30"/>
  <c r="BAD21" i="30"/>
  <c r="AXK21" i="30"/>
  <c r="AXN21" i="30"/>
  <c r="AVF21" i="30"/>
  <c r="ASM21" i="30"/>
  <c r="ASP21" i="30"/>
  <c r="AQH21" i="30"/>
  <c r="ANO21" i="30"/>
  <c r="ANR21" i="30"/>
  <c r="ALJ21" i="30"/>
  <c r="AIQ21" i="30"/>
  <c r="AIT21" i="30"/>
  <c r="AGL21" i="30"/>
  <c r="ADS21" i="30"/>
  <c r="ADV21" i="30"/>
  <c r="ABN21" i="30"/>
  <c r="YU21" i="30"/>
  <c r="YX21" i="30"/>
  <c r="WP21" i="30"/>
  <c r="TW21" i="30"/>
  <c r="TZ21" i="30"/>
  <c r="RR21" i="30"/>
  <c r="OY21" i="30"/>
  <c r="PB21" i="30"/>
  <c r="MT21" i="30"/>
  <c r="KA21" i="30"/>
  <c r="KD21" i="30"/>
  <c r="HV21" i="30"/>
  <c r="FC21" i="30"/>
  <c r="FF21" i="30"/>
  <c r="CX21" i="30"/>
  <c r="AE21" i="30"/>
  <c r="AH21" i="30"/>
  <c r="BJZ20" i="30"/>
  <c r="BHG20" i="30"/>
  <c r="BHJ20" i="30"/>
  <c r="BFB20" i="30"/>
  <c r="BCI20" i="30"/>
  <c r="BCL20" i="30"/>
  <c r="BAD20" i="30"/>
  <c r="AXK20" i="30"/>
  <c r="AXN20" i="30"/>
  <c r="AVF20" i="30"/>
  <c r="ASM20" i="30"/>
  <c r="ASP20" i="30"/>
  <c r="AQH20" i="30"/>
  <c r="ANO20" i="30"/>
  <c r="ANR20" i="30"/>
  <c r="ALJ20" i="30"/>
  <c r="AIQ20" i="30"/>
  <c r="AIT20" i="30"/>
  <c r="AGL20" i="30"/>
  <c r="ADS20" i="30"/>
  <c r="ADV20" i="30"/>
  <c r="ABN20" i="30"/>
  <c r="YU20" i="30"/>
  <c r="YX20" i="30"/>
  <c r="WP20" i="30"/>
  <c r="TW20" i="30"/>
  <c r="TZ20" i="30"/>
  <c r="RR20" i="30"/>
  <c r="MT20" i="30"/>
  <c r="KA20" i="30"/>
  <c r="KD20" i="30"/>
  <c r="HV20" i="30"/>
  <c r="FC20" i="30"/>
  <c r="FF20" i="30"/>
  <c r="CX20" i="30"/>
  <c r="AE20" i="30"/>
  <c r="AH20" i="30"/>
  <c r="BJZ19" i="30"/>
  <c r="BHG19" i="30"/>
  <c r="BHJ19" i="30"/>
  <c r="BFB19" i="30"/>
  <c r="BCI19" i="30"/>
  <c r="BCL19" i="30"/>
  <c r="BAD19" i="30"/>
  <c r="AXK19" i="30"/>
  <c r="AXN19" i="30"/>
  <c r="AVF19" i="30"/>
  <c r="ASM19" i="30"/>
  <c r="ASP19" i="30"/>
  <c r="AQH19" i="30"/>
  <c r="ANO19" i="30"/>
  <c r="ANR19" i="30"/>
  <c r="ALJ19" i="30"/>
  <c r="AIQ19" i="30"/>
  <c r="AIT19" i="30"/>
  <c r="AGL19" i="30"/>
  <c r="ADS19" i="30"/>
  <c r="ADV19" i="30"/>
  <c r="ABN19" i="30"/>
  <c r="YU19" i="30"/>
  <c r="YX19" i="30"/>
  <c r="WP19" i="30"/>
  <c r="TW19" i="30"/>
  <c r="TZ19" i="30"/>
  <c r="RR19" i="30"/>
  <c r="OY19" i="30"/>
  <c r="PB19" i="30"/>
  <c r="MT19" i="30"/>
  <c r="ARH18" i="30"/>
  <c r="AMP18" i="30"/>
  <c r="ANO18" i="30"/>
  <c r="ANR18" i="30"/>
  <c r="AGT18" i="30"/>
  <c r="AHK18" i="30"/>
  <c r="AHN18" i="30"/>
  <c r="ADT18" i="30"/>
  <c r="ACM18" i="30"/>
  <c r="ACP18" i="30"/>
  <c r="ABG18" i="30"/>
  <c r="AAB18" i="30"/>
  <c r="YX18" i="30"/>
  <c r="WL18" i="30"/>
  <c r="RL18" i="30"/>
  <c r="QE18" i="30"/>
  <c r="QH18" i="30"/>
  <c r="PF18" i="30"/>
  <c r="LZ18" i="30"/>
  <c r="MM18" i="30"/>
  <c r="DX18" i="30"/>
  <c r="F18" i="30"/>
  <c r="AE18" i="30"/>
  <c r="AH18" i="30"/>
  <c r="BFJ17" i="30"/>
  <c r="BGA17" i="30"/>
  <c r="BGD17" i="30"/>
  <c r="BCJ17" i="30"/>
  <c r="BBC17" i="30"/>
  <c r="BBF17" i="30"/>
  <c r="AZW17" i="30"/>
  <c r="AYR17" i="30"/>
  <c r="AXN17" i="30"/>
  <c r="AQB17" i="30"/>
  <c r="AOU17" i="30"/>
  <c r="AOX17" i="30"/>
  <c r="ANV17" i="30"/>
  <c r="AKP17" i="30"/>
  <c r="ALC17" i="30"/>
  <c r="ACN17" i="30"/>
  <c r="XV17" i="30"/>
  <c r="YU17" i="30"/>
  <c r="YX17" i="30"/>
  <c r="TJ17" i="30"/>
  <c r="TW17" i="30"/>
  <c r="TZ17" i="30"/>
  <c r="SQ17" i="30"/>
  <c r="ST17" i="30"/>
  <c r="RR17" i="30"/>
  <c r="NT17" i="30"/>
  <c r="LZ17" i="30"/>
  <c r="MM17" i="30"/>
  <c r="HO17" i="30"/>
  <c r="GJ17" i="30"/>
  <c r="ATS16" i="30"/>
  <c r="ATV16" i="30"/>
  <c r="AST16" i="30"/>
  <c r="ANB16" i="30"/>
  <c r="ANO16" i="30"/>
  <c r="ANR16" i="30"/>
  <c r="ABG16" i="30"/>
  <c r="ABB16" i="30"/>
  <c r="YV16" i="30"/>
  <c r="KA16" i="30"/>
  <c r="KD16" i="30"/>
  <c r="JF16" i="30"/>
  <c r="DW16" i="30"/>
  <c r="DZ16" i="30"/>
  <c r="CX16" i="30"/>
  <c r="BKZ15" i="30"/>
  <c r="BJF15" i="30"/>
  <c r="BJS15" i="30"/>
  <c r="BDP15" i="30"/>
  <c r="GI15" i="30"/>
  <c r="GL15" i="30"/>
  <c r="FJ15" i="30"/>
  <c r="AWX14" i="30"/>
  <c r="AXK14" i="30"/>
  <c r="APF14" i="30"/>
  <c r="AQA14" i="30"/>
  <c r="ACM14" i="30"/>
  <c r="ACP14" i="30"/>
  <c r="J14" i="30"/>
  <c r="AE14" i="30"/>
  <c r="AH14" i="30"/>
  <c r="BIM12" i="30"/>
  <c r="BIP12" i="30"/>
  <c r="BHN12" i="30"/>
  <c r="AZB12" i="30"/>
  <c r="AZW12" i="30"/>
  <c r="AWE18" i="30"/>
  <c r="AWH18" i="30"/>
  <c r="AUZ18" i="30"/>
  <c r="ATS18" i="30"/>
  <c r="ATV18" i="30"/>
  <c r="AST18" i="30"/>
  <c r="APN18" i="30"/>
  <c r="AQA18" i="30"/>
  <c r="AHL18" i="30"/>
  <c r="ACT18" i="30"/>
  <c r="ADS18" i="30"/>
  <c r="ADV18" i="30"/>
  <c r="WX18" i="30"/>
  <c r="XO18" i="30"/>
  <c r="XR18" i="30"/>
  <c r="TX18" i="30"/>
  <c r="QF18" i="30"/>
  <c r="PB18" i="30"/>
  <c r="MP18" i="30"/>
  <c r="HP18" i="30"/>
  <c r="GI18" i="30"/>
  <c r="GL18" i="30"/>
  <c r="FJ18" i="30"/>
  <c r="CD18" i="30"/>
  <c r="CQ18" i="30"/>
  <c r="BGB17" i="30"/>
  <c r="BBJ17" i="30"/>
  <c r="BCI17" i="30"/>
  <c r="BCL17" i="30"/>
  <c r="AVN17" i="30"/>
  <c r="AWE17" i="30"/>
  <c r="AWH17" i="30"/>
  <c r="ASN17" i="30"/>
  <c r="AOV17" i="30"/>
  <c r="ANR17" i="30"/>
  <c r="ALF17" i="30"/>
  <c r="AGF17" i="30"/>
  <c r="AEY17" i="30"/>
  <c r="AFB17" i="30"/>
  <c r="ADZ17" i="30"/>
  <c r="AAT17" i="30"/>
  <c r="ABG17" i="30"/>
  <c r="BK17" i="30"/>
  <c r="BN17" i="30"/>
  <c r="AL17" i="30"/>
  <c r="BGT16" i="30"/>
  <c r="BHG16" i="30"/>
  <c r="BHJ16" i="30"/>
  <c r="BEX16" i="30"/>
  <c r="AUY16" i="30"/>
  <c r="AUT16" i="30"/>
  <c r="ASN16" i="30"/>
  <c r="ADS16" i="30"/>
  <c r="ADV16" i="30"/>
  <c r="ACX16" i="30"/>
  <c r="XO16" i="30"/>
  <c r="XR16" i="30"/>
  <c r="WP16" i="30"/>
  <c r="TZ16" i="30"/>
  <c r="SR16" i="30"/>
  <c r="QX16" i="30"/>
  <c r="RK16" i="30"/>
  <c r="RN16" i="30"/>
  <c r="LH16" i="30"/>
  <c r="AYQ15" i="30"/>
  <c r="AYT15" i="30"/>
  <c r="AXR15" i="30"/>
  <c r="AXK15" i="30"/>
  <c r="ARZ15" i="30"/>
  <c r="ASM15" i="30"/>
  <c r="ASP15" i="30"/>
  <c r="XO15" i="30"/>
  <c r="XR15" i="30"/>
  <c r="AYQ14" i="30"/>
  <c r="AYT14" i="30"/>
  <c r="AXR14" i="30"/>
  <c r="ADF14" i="30"/>
  <c r="ADS14" i="30"/>
  <c r="ADV14" i="30"/>
  <c r="VN14" i="30"/>
  <c r="WI14" i="30"/>
  <c r="AX14" i="30"/>
  <c r="BK14" i="30"/>
  <c r="BN14" i="30"/>
  <c r="RK13" i="30"/>
  <c r="ATT18" i="30"/>
  <c r="ASP18" i="30"/>
  <c r="AQD18" i="30"/>
  <c r="ALD18" i="30"/>
  <c r="AJW18" i="30"/>
  <c r="AJZ18" i="30"/>
  <c r="AIX18" i="30"/>
  <c r="AFR18" i="30"/>
  <c r="AGE18" i="30"/>
  <c r="AGH18" i="30"/>
  <c r="XP18" i="30"/>
  <c r="SX18" i="30"/>
  <c r="TW18" i="30"/>
  <c r="TZ18" i="30"/>
  <c r="NB18" i="30"/>
  <c r="NS18" i="30"/>
  <c r="NV18" i="30"/>
  <c r="KB18" i="30"/>
  <c r="IU18" i="30"/>
  <c r="IX18" i="30"/>
  <c r="GJ18" i="30"/>
  <c r="FF18" i="30"/>
  <c r="CT18" i="30"/>
  <c r="BJT17" i="30"/>
  <c r="BIM17" i="30"/>
  <c r="BIP17" i="30"/>
  <c r="BHN17" i="30"/>
  <c r="BEH17" i="30"/>
  <c r="BEU17" i="30"/>
  <c r="BEX17" i="30"/>
  <c r="AWF17" i="30"/>
  <c r="ARN17" i="30"/>
  <c r="ASM17" i="30"/>
  <c r="ASP17" i="30"/>
  <c r="ALR17" i="30"/>
  <c r="AMI17" i="30"/>
  <c r="AML17" i="30"/>
  <c r="AEZ17" i="30"/>
  <c r="ADV17" i="30"/>
  <c r="ABJ17" i="30"/>
  <c r="WI17" i="30"/>
  <c r="WD17" i="30"/>
  <c r="VC17" i="30"/>
  <c r="VF17" i="30"/>
  <c r="UD17" i="30"/>
  <c r="OL17" i="30"/>
  <c r="OY17" i="30"/>
  <c r="PB17" i="30"/>
  <c r="MP17" i="30"/>
  <c r="CQ17" i="30"/>
  <c r="CL17" i="30"/>
  <c r="AXK16" i="30"/>
  <c r="AWP16" i="30"/>
  <c r="ARG16" i="30"/>
  <c r="ARJ16" i="30"/>
  <c r="AQH16" i="30"/>
  <c r="AMJ16" i="30"/>
  <c r="AKP16" i="30"/>
  <c r="ALC16" i="30"/>
  <c r="ALF16" i="30"/>
  <c r="AEZ16" i="30"/>
  <c r="GI16" i="30"/>
  <c r="GL16" i="30"/>
  <c r="FJ16" i="30"/>
  <c r="FC16" i="30"/>
  <c r="R16" i="30"/>
  <c r="AE16" i="30"/>
  <c r="AH16" i="30"/>
  <c r="BJV15" i="30"/>
  <c r="AZW15" i="30"/>
  <c r="AZZ15" i="30"/>
  <c r="AZR15" i="30"/>
  <c r="AXL15" i="30"/>
  <c r="YH15" i="30"/>
  <c r="YU15" i="30"/>
  <c r="QP15" i="30"/>
  <c r="RK15" i="30"/>
  <c r="DW15" i="30"/>
  <c r="DZ15" i="30"/>
  <c r="AEY14" i="30"/>
  <c r="AFB14" i="30"/>
  <c r="ADZ14" i="30"/>
  <c r="CL14" i="30"/>
  <c r="CQ14" i="30"/>
  <c r="CT14" i="30"/>
  <c r="AEZ13" i="30"/>
  <c r="GI17" i="30"/>
  <c r="GL17" i="30"/>
  <c r="FD17" i="30"/>
  <c r="DW17" i="30"/>
  <c r="DZ17" i="30"/>
  <c r="CR17" i="30"/>
  <c r="AYQ16" i="30"/>
  <c r="AYT16" i="30"/>
  <c r="AXL16" i="30"/>
  <c r="AWE16" i="30"/>
  <c r="AWH16" i="30"/>
  <c r="AUZ16" i="30"/>
  <c r="AEY16" i="30"/>
  <c r="AFB16" i="30"/>
  <c r="ADT16" i="30"/>
  <c r="ACM16" i="30"/>
  <c r="ACP16" i="30"/>
  <c r="ABH16" i="30"/>
  <c r="YX16" i="30"/>
  <c r="LG16" i="30"/>
  <c r="LJ16" i="30"/>
  <c r="KB16" i="30"/>
  <c r="IU16" i="30"/>
  <c r="IX16" i="30"/>
  <c r="HP16" i="30"/>
  <c r="FF16" i="30"/>
  <c r="BDO15" i="30"/>
  <c r="BDR15" i="30"/>
  <c r="BCJ15" i="30"/>
  <c r="BBC15" i="30"/>
  <c r="BBF15" i="30"/>
  <c r="AZX15" i="30"/>
  <c r="AXN15" i="30"/>
  <c r="AFJ15" i="30"/>
  <c r="AGE15" i="30"/>
  <c r="YX15" i="30"/>
  <c r="WJ15" i="30"/>
  <c r="VC15" i="30"/>
  <c r="VF15" i="30"/>
  <c r="UD15" i="30"/>
  <c r="SQ15" i="30"/>
  <c r="ST15" i="30"/>
  <c r="LR15" i="30"/>
  <c r="MM15" i="30"/>
  <c r="FF15" i="30"/>
  <c r="CR15" i="30"/>
  <c r="BK15" i="30"/>
  <c r="BN15" i="30"/>
  <c r="AL15" i="30"/>
  <c r="BKY14" i="30"/>
  <c r="BLB14" i="30"/>
  <c r="BDZ14" i="30"/>
  <c r="BEU14" i="30"/>
  <c r="AXN14" i="30"/>
  <c r="AUZ14" i="30"/>
  <c r="ATS14" i="30"/>
  <c r="ATV14" i="30"/>
  <c r="AST14" i="30"/>
  <c r="ARG14" i="30"/>
  <c r="ARJ14" i="30"/>
  <c r="AKH14" i="30"/>
  <c r="ALC14" i="30"/>
  <c r="ABH14" i="30"/>
  <c r="AAA14" i="30"/>
  <c r="AAD14" i="30"/>
  <c r="ZB14" i="30"/>
  <c r="XO14" i="30"/>
  <c r="XR14" i="30"/>
  <c r="QP14" i="30"/>
  <c r="RK14" i="30"/>
  <c r="OZ14" i="30"/>
  <c r="MH14" i="30"/>
  <c r="MM14" i="30"/>
  <c r="MP14" i="30"/>
  <c r="KT14" i="30"/>
  <c r="LG14" i="30"/>
  <c r="LJ14" i="30"/>
  <c r="FB14" i="30"/>
  <c r="FC14" i="30"/>
  <c r="BCJ13" i="30"/>
  <c r="BBD13" i="30"/>
  <c r="ANP13" i="30"/>
  <c r="AKX13" i="30"/>
  <c r="ALC13" i="30"/>
  <c r="ALF13" i="30"/>
  <c r="AGF13" i="30"/>
  <c r="LH13" i="30"/>
  <c r="AOU12" i="30"/>
  <c r="AOX12" i="30"/>
  <c r="ANV12" i="30"/>
  <c r="AFJ12" i="30"/>
  <c r="AGE12" i="30"/>
  <c r="AVB18" i="30"/>
  <c r="ASN18" i="30"/>
  <c r="ALF18" i="30"/>
  <c r="AIR18" i="30"/>
  <c r="ABJ18" i="30"/>
  <c r="YV18" i="30"/>
  <c r="OZ18" i="30"/>
  <c r="HR18" i="30"/>
  <c r="FD18" i="30"/>
  <c r="BJV17" i="30"/>
  <c r="BHH17" i="30"/>
  <c r="AZZ17" i="30"/>
  <c r="AXL17" i="30"/>
  <c r="AQD17" i="30"/>
  <c r="ANP17" i="30"/>
  <c r="AGH17" i="30"/>
  <c r="ADT17" i="30"/>
  <c r="WL17" i="30"/>
  <c r="RK17" i="30"/>
  <c r="RN17" i="30"/>
  <c r="LG17" i="30"/>
  <c r="LJ17" i="30"/>
  <c r="KB17" i="30"/>
  <c r="IU17" i="30"/>
  <c r="IX17" i="30"/>
  <c r="HP17" i="30"/>
  <c r="CT17" i="30"/>
  <c r="AE17" i="30"/>
  <c r="AH17" i="30"/>
  <c r="BJS16" i="30"/>
  <c r="BJV16" i="30"/>
  <c r="BDO16" i="30"/>
  <c r="BDR16" i="30"/>
  <c r="BCJ16" i="30"/>
  <c r="BBC16" i="30"/>
  <c r="BBF16" i="30"/>
  <c r="AZX16" i="30"/>
  <c r="AXN16" i="30"/>
  <c r="AVB16" i="30"/>
  <c r="ASM16" i="30"/>
  <c r="ASP16" i="30"/>
  <c r="AQA16" i="30"/>
  <c r="AQD16" i="30"/>
  <c r="AJW16" i="30"/>
  <c r="AJZ16" i="30"/>
  <c r="AIR16" i="30"/>
  <c r="AHK16" i="30"/>
  <c r="AHN16" i="30"/>
  <c r="AGF16" i="30"/>
  <c r="ABJ16" i="30"/>
  <c r="WI16" i="30"/>
  <c r="WL16" i="30"/>
  <c r="QE16" i="30"/>
  <c r="QH16" i="30"/>
  <c r="OZ16" i="30"/>
  <c r="NS16" i="30"/>
  <c r="NV16" i="30"/>
  <c r="MN16" i="30"/>
  <c r="HR16" i="30"/>
  <c r="CQ16" i="30"/>
  <c r="CT16" i="30"/>
  <c r="BIM15" i="30"/>
  <c r="BIP15" i="30"/>
  <c r="BHH15" i="30"/>
  <c r="BGA15" i="30"/>
  <c r="BGD15" i="30"/>
  <c r="BEV15" i="30"/>
  <c r="BCL15" i="30"/>
  <c r="AUY15" i="30"/>
  <c r="AVB15" i="30"/>
  <c r="AOU15" i="30"/>
  <c r="AOX15" i="30"/>
  <c r="ANP15" i="30"/>
  <c r="AMI15" i="30"/>
  <c r="AML15" i="30"/>
  <c r="ALD15" i="30"/>
  <c r="AJW15" i="30"/>
  <c r="AJZ15" i="30"/>
  <c r="AIX15" i="30"/>
  <c r="AHK15" i="30"/>
  <c r="AHN15" i="30"/>
  <c r="ADT15" i="30"/>
  <c r="AAL15" i="30"/>
  <c r="ABG15" i="30"/>
  <c r="ABJ15" i="30"/>
  <c r="VD15" i="30"/>
  <c r="RN15" i="30"/>
  <c r="RL15" i="30"/>
  <c r="QE15" i="30"/>
  <c r="QH15" i="30"/>
  <c r="PF15" i="30"/>
  <c r="NS15" i="30"/>
  <c r="NV15" i="30"/>
  <c r="KB15" i="30"/>
  <c r="GT15" i="30"/>
  <c r="HO15" i="30"/>
  <c r="HR15" i="30"/>
  <c r="BL15" i="30"/>
  <c r="BJT14" i="30"/>
  <c r="BIM14" i="30"/>
  <c r="BIP14" i="30"/>
  <c r="BHN14" i="30"/>
  <c r="BGA14" i="30"/>
  <c r="BGD14" i="30"/>
  <c r="BCJ14" i="30"/>
  <c r="AZB14" i="30"/>
  <c r="AZW14" i="30"/>
  <c r="AZZ14" i="30"/>
  <c r="ATT14" i="30"/>
  <c r="AQD14" i="30"/>
  <c r="AQB14" i="30"/>
  <c r="AOU14" i="30"/>
  <c r="AOX14" i="30"/>
  <c r="ANV14" i="30"/>
  <c r="AMI14" i="30"/>
  <c r="AML14" i="30"/>
  <c r="AIR14" i="30"/>
  <c r="AFJ14" i="30"/>
  <c r="AGE14" i="30"/>
  <c r="AGH14" i="30"/>
  <c r="AAB14" i="30"/>
  <c r="WL14" i="30"/>
  <c r="WJ14" i="30"/>
  <c r="VC14" i="30"/>
  <c r="VF14" i="30"/>
  <c r="UD14" i="30"/>
  <c r="SQ14" i="30"/>
  <c r="ST14" i="30"/>
  <c r="OX14" i="30"/>
  <c r="OY14" i="30"/>
  <c r="PB14" i="30"/>
  <c r="AF14" i="30"/>
  <c r="BKZ13" i="30"/>
  <c r="BHJ13" i="30"/>
  <c r="BEV13" i="30"/>
  <c r="AXL13" i="30"/>
  <c r="AUT13" i="30"/>
  <c r="AUY13" i="30"/>
  <c r="AVB13" i="30"/>
  <c r="ATF13" i="30"/>
  <c r="ATS13" i="30"/>
  <c r="ATV13" i="30"/>
  <c r="ANN13" i="30"/>
  <c r="ANO13" i="30"/>
  <c r="ANR13" i="30"/>
  <c r="OL13" i="30"/>
  <c r="OY13" i="30"/>
  <c r="MN13" i="30"/>
  <c r="AOU18" i="30"/>
  <c r="AOX18" i="30"/>
  <c r="AEY18" i="30"/>
  <c r="AFB18" i="30"/>
  <c r="VC18" i="30"/>
  <c r="VF18" i="30"/>
  <c r="LG18" i="30"/>
  <c r="LJ18" i="30"/>
  <c r="BK18" i="30"/>
  <c r="BN18" i="30"/>
  <c r="BDO17" i="30"/>
  <c r="BDR17" i="30"/>
  <c r="ATS17" i="30"/>
  <c r="ATV17" i="30"/>
  <c r="AJW17" i="30"/>
  <c r="AJZ17" i="30"/>
  <c r="AAA17" i="30"/>
  <c r="AAD17" i="30"/>
  <c r="QE17" i="30"/>
  <c r="QH17" i="30"/>
  <c r="OZ17" i="30"/>
  <c r="NS17" i="30"/>
  <c r="NV17" i="30"/>
  <c r="MN17" i="30"/>
  <c r="KD17" i="30"/>
  <c r="HR17" i="30"/>
  <c r="FJ17" i="30"/>
  <c r="CX17" i="30"/>
  <c r="BIM16" i="30"/>
  <c r="BIP16" i="30"/>
  <c r="BHH16" i="30"/>
  <c r="BGA16" i="30"/>
  <c r="BGD16" i="30"/>
  <c r="BEV16" i="30"/>
  <c r="BCL16" i="30"/>
  <c r="AZZ16" i="30"/>
  <c r="AXR16" i="30"/>
  <c r="AVF16" i="30"/>
  <c r="AOU16" i="30"/>
  <c r="AOX16" i="30"/>
  <c r="ANP16" i="30"/>
  <c r="AMI16" i="30"/>
  <c r="AML16" i="30"/>
  <c r="ALD16" i="30"/>
  <c r="AIT16" i="30"/>
  <c r="AGH16" i="30"/>
  <c r="ADZ16" i="30"/>
  <c r="ABN16" i="30"/>
  <c r="VC16" i="30"/>
  <c r="VF16" i="30"/>
  <c r="TX16" i="30"/>
  <c r="SQ16" i="30"/>
  <c r="ST16" i="30"/>
  <c r="RL16" i="30"/>
  <c r="PB16" i="30"/>
  <c r="KH16" i="30"/>
  <c r="HV16" i="30"/>
  <c r="BK16" i="30"/>
  <c r="BN16" i="30"/>
  <c r="AF16" i="30"/>
  <c r="BKY15" i="30"/>
  <c r="BLB15" i="30"/>
  <c r="BJT15" i="30"/>
  <c r="BHJ15" i="30"/>
  <c r="BEX15" i="30"/>
  <c r="BCP15" i="30"/>
  <c r="BAD15" i="30"/>
  <c r="ATS15" i="30"/>
  <c r="ATV15" i="30"/>
  <c r="ASN15" i="30"/>
  <c r="ARG15" i="30"/>
  <c r="ARJ15" i="30"/>
  <c r="AQB15" i="30"/>
  <c r="ANR15" i="30"/>
  <c r="ALF15" i="30"/>
  <c r="AJX15" i="30"/>
  <c r="AIT15" i="30"/>
  <c r="AGH15" i="30"/>
  <c r="AGF15" i="30"/>
  <c r="AEY15" i="30"/>
  <c r="AFB15" i="30"/>
  <c r="ADZ15" i="30"/>
  <c r="ACM15" i="30"/>
  <c r="ACP15" i="30"/>
  <c r="YV15" i="30"/>
  <c r="YV36" i="30" s="1"/>
  <c r="VN15" i="30"/>
  <c r="WI15" i="30"/>
  <c r="WL15" i="30"/>
  <c r="TW15" i="30"/>
  <c r="TZ15" i="30"/>
  <c r="QF15" i="30"/>
  <c r="PB15" i="30"/>
  <c r="MP15" i="30"/>
  <c r="MN15" i="30"/>
  <c r="LG15" i="30"/>
  <c r="LJ15" i="30"/>
  <c r="KH15" i="30"/>
  <c r="IU15" i="30"/>
  <c r="IX15" i="30"/>
  <c r="FD15" i="30"/>
  <c r="BV15" i="30"/>
  <c r="CQ15" i="30"/>
  <c r="CT15" i="30"/>
  <c r="AE15" i="30"/>
  <c r="AH15" i="30"/>
  <c r="BIN14" i="30"/>
  <c r="BHJ14" i="30"/>
  <c r="BEX14" i="30"/>
  <c r="BEV14" i="30"/>
  <c r="BDO14" i="30"/>
  <c r="BDR14" i="30"/>
  <c r="BCP14" i="30"/>
  <c r="BBC14" i="30"/>
  <c r="BBF14" i="30"/>
  <c r="AXL14" i="30"/>
  <c r="AUD14" i="30"/>
  <c r="AUY14" i="30"/>
  <c r="AVB14" i="30"/>
  <c r="ASM14" i="30"/>
  <c r="ASP14" i="30"/>
  <c r="AOV14" i="30"/>
  <c r="ANR14" i="30"/>
  <c r="ALF14" i="30"/>
  <c r="ALD14" i="30"/>
  <c r="AJW14" i="30"/>
  <c r="AJZ14" i="30"/>
  <c r="AIX14" i="30"/>
  <c r="AHK14" i="30"/>
  <c r="AHN14" i="30"/>
  <c r="ADT14" i="30"/>
  <c r="AAL14" i="30"/>
  <c r="ABG14" i="30"/>
  <c r="ABJ14" i="30"/>
  <c r="YU14" i="30"/>
  <c r="YX14" i="30"/>
  <c r="VD14" i="30"/>
  <c r="TZ14" i="30"/>
  <c r="RN14" i="30"/>
  <c r="RL14" i="30"/>
  <c r="KA14" i="30"/>
  <c r="IV14" i="30"/>
  <c r="FF14" i="30"/>
  <c r="CR14" i="30"/>
  <c r="BHH13" i="30"/>
  <c r="BEP13" i="30"/>
  <c r="BEU13" i="30"/>
  <c r="BEX13" i="30"/>
  <c r="BDB13" i="30"/>
  <c r="BDO13" i="30"/>
  <c r="BDR13" i="30"/>
  <c r="AXJ13" i="30"/>
  <c r="AXK13" i="30"/>
  <c r="AXN13" i="30"/>
  <c r="QE13" i="30"/>
  <c r="QH13" i="30"/>
  <c r="PF13" i="30"/>
  <c r="BGT12" i="30"/>
  <c r="BHG12" i="30"/>
  <c r="BEV12" i="30"/>
  <c r="DR12" i="30"/>
  <c r="DW12" i="30"/>
  <c r="CQ12" i="30"/>
  <c r="CT12" i="30"/>
  <c r="BR12" i="30"/>
  <c r="IU14" i="30"/>
  <c r="IX14" i="30"/>
  <c r="BKY13" i="30"/>
  <c r="BLB13" i="30"/>
  <c r="BBC13" i="30"/>
  <c r="BBF13" i="30"/>
  <c r="ARG13" i="30"/>
  <c r="ARJ13" i="30"/>
  <c r="AJX13" i="30"/>
  <c r="AGE13" i="30"/>
  <c r="AGH13" i="30"/>
  <c r="AEY13" i="30"/>
  <c r="AFB13" i="30"/>
  <c r="ADZ13" i="30"/>
  <c r="ABH13" i="30"/>
  <c r="AAB13" i="30"/>
  <c r="AAB40" i="30"/>
  <c r="XO13" i="30"/>
  <c r="XR13" i="30"/>
  <c r="PB13" i="30"/>
  <c r="MM13" i="30"/>
  <c r="MP13" i="30"/>
  <c r="LG13" i="30"/>
  <c r="LJ13" i="30"/>
  <c r="KH13" i="30"/>
  <c r="HP13" i="30"/>
  <c r="GJ13" i="30"/>
  <c r="DW13" i="30"/>
  <c r="BV13" i="30"/>
  <c r="CQ13" i="30"/>
  <c r="CT13" i="30"/>
  <c r="BHJ12" i="30"/>
  <c r="BDO12" i="30"/>
  <c r="BDR12" i="30"/>
  <c r="BCP12" i="30"/>
  <c r="AZZ12" i="30"/>
  <c r="AZX12" i="30"/>
  <c r="AWE12" i="30"/>
  <c r="AWH12" i="30"/>
  <c r="AUD12" i="30"/>
  <c r="AUY12" i="30"/>
  <c r="ANR12" i="30"/>
  <c r="AJW12" i="30"/>
  <c r="AJZ12" i="30"/>
  <c r="AIX12" i="30"/>
  <c r="AGH12" i="30"/>
  <c r="AGF12" i="30"/>
  <c r="XJ12" i="30"/>
  <c r="XO12" i="30"/>
  <c r="WI12" i="30"/>
  <c r="WL12" i="30"/>
  <c r="VJ12" i="30"/>
  <c r="BBC11" i="30"/>
  <c r="BAH11" i="30"/>
  <c r="AXK11" i="30"/>
  <c r="AXN11" i="30"/>
  <c r="AWL11" i="30"/>
  <c r="AOH11" i="30"/>
  <c r="AOU11" i="30"/>
  <c r="AHF11" i="30"/>
  <c r="AHK11" i="30"/>
  <c r="WT11" i="30"/>
  <c r="XO11" i="30"/>
  <c r="XR11" i="30"/>
  <c r="KD14" i="30"/>
  <c r="HP14" i="30"/>
  <c r="BJT13" i="30"/>
  <c r="BCL13" i="30"/>
  <c r="AZX13" i="30"/>
  <c r="ASP13" i="30"/>
  <c r="AQB13" i="30"/>
  <c r="AQB40" i="30"/>
  <c r="ACP13" i="30"/>
  <c r="ABG13" i="30"/>
  <c r="ABJ13" i="30"/>
  <c r="AAA13" i="30"/>
  <c r="AAD13" i="30"/>
  <c r="ZB13" i="30"/>
  <c r="WJ13" i="30"/>
  <c r="VD13" i="30"/>
  <c r="TX13" i="30"/>
  <c r="TX36" i="30" s="1"/>
  <c r="IX13" i="30"/>
  <c r="HO13" i="30"/>
  <c r="HR13" i="30"/>
  <c r="GI13" i="30"/>
  <c r="GL13" i="30"/>
  <c r="FJ13" i="30"/>
  <c r="CR13" i="30"/>
  <c r="AF13" i="30"/>
  <c r="BIX12" i="30"/>
  <c r="BJS12" i="30"/>
  <c r="BDP12" i="30"/>
  <c r="AYQ12" i="30"/>
  <c r="AYT12" i="30"/>
  <c r="AXR12" i="30"/>
  <c r="AVB12" i="30"/>
  <c r="AUZ12" i="30"/>
  <c r="ASN12" i="30"/>
  <c r="APF12" i="30"/>
  <c r="AQA12" i="30"/>
  <c r="AQD12" i="30"/>
  <c r="AJX12" i="30"/>
  <c r="ADT12" i="30"/>
  <c r="IU12" i="30"/>
  <c r="HZ12" i="30"/>
  <c r="GI12" i="30"/>
  <c r="FC12" i="30"/>
  <c r="FF12" i="30"/>
  <c r="ED12" i="30"/>
  <c r="BKY11" i="30"/>
  <c r="BLB11" i="30"/>
  <c r="BHZ11" i="30"/>
  <c r="BIM11" i="30"/>
  <c r="BIP11" i="30"/>
  <c r="AWF11" i="30"/>
  <c r="QE14" i="30"/>
  <c r="QH14" i="30"/>
  <c r="NS14" i="30"/>
  <c r="NV14" i="30"/>
  <c r="HV14" i="30"/>
  <c r="GI14" i="30"/>
  <c r="GL14" i="30"/>
  <c r="DW14" i="30"/>
  <c r="DZ14" i="30"/>
  <c r="BJZ13" i="30"/>
  <c r="BIM13" i="30"/>
  <c r="BIP13" i="30"/>
  <c r="BGA13" i="30"/>
  <c r="BAD13" i="30"/>
  <c r="AYQ13" i="30"/>
  <c r="AYT13" i="30"/>
  <c r="AWE13" i="30"/>
  <c r="AWH13" i="30"/>
  <c r="AQH13" i="30"/>
  <c r="AOU13" i="30"/>
  <c r="AOX13" i="30"/>
  <c r="AMI13" i="30"/>
  <c r="AML13" i="30"/>
  <c r="AIT13" i="30"/>
  <c r="ADS13" i="30"/>
  <c r="ADV13" i="30"/>
  <c r="YX13" i="30"/>
  <c r="WI13" i="30"/>
  <c r="WL13" i="30"/>
  <c r="VC13" i="30"/>
  <c r="VF13" i="30"/>
  <c r="UD13" i="30"/>
  <c r="RN13" i="30"/>
  <c r="RL13" i="30"/>
  <c r="QF13" i="30"/>
  <c r="OZ13" i="30"/>
  <c r="NS13" i="30"/>
  <c r="NV13" i="30"/>
  <c r="KA13" i="30"/>
  <c r="KD13" i="30"/>
  <c r="FF13" i="30"/>
  <c r="DZ13" i="30"/>
  <c r="BK13" i="30"/>
  <c r="BN13" i="30"/>
  <c r="AL13" i="30"/>
  <c r="BJV12" i="30"/>
  <c r="BJT12" i="30"/>
  <c r="BHH12" i="30"/>
  <c r="BGA12" i="30"/>
  <c r="BDZ12" i="30"/>
  <c r="BEU12" i="30"/>
  <c r="BEX12" i="30"/>
  <c r="BCI12" i="30"/>
  <c r="BCL12" i="30"/>
  <c r="AYR12" i="30"/>
  <c r="AXN12" i="30"/>
  <c r="ATS12" i="30"/>
  <c r="ATV12" i="30"/>
  <c r="AST12" i="30"/>
  <c r="AQB12" i="30"/>
  <c r="ANP12" i="30"/>
  <c r="ANP36" i="30"/>
  <c r="AMI12" i="30"/>
  <c r="AML12" i="30"/>
  <c r="AKH12" i="30"/>
  <c r="ALC12" i="30"/>
  <c r="ALF12" i="30"/>
  <c r="AIQ12" i="30"/>
  <c r="AIT12" i="30"/>
  <c r="AEY12" i="30"/>
  <c r="AFB12" i="30"/>
  <c r="AED12" i="30"/>
  <c r="ACM12" i="30"/>
  <c r="ACP12" i="30"/>
  <c r="ABR12" i="30"/>
  <c r="AAA12" i="30"/>
  <c r="AAA41" i="30"/>
  <c r="AAD41" i="30"/>
  <c r="YU12" i="30"/>
  <c r="YX12" i="30"/>
  <c r="XV12" i="30"/>
  <c r="PR12" i="30"/>
  <c r="QE12" i="30"/>
  <c r="QH12" i="30"/>
  <c r="BDO11" i="30"/>
  <c r="AVZ11" i="30"/>
  <c r="AWE11" i="30"/>
  <c r="AUY11" i="30"/>
  <c r="AVB11" i="30"/>
  <c r="ATZ11" i="30"/>
  <c r="AOX11" i="30"/>
  <c r="AEL11" i="30"/>
  <c r="AEY11" i="30"/>
  <c r="ACN11" i="30"/>
  <c r="AFF13" i="30"/>
  <c r="AAH13" i="30"/>
  <c r="VJ13" i="30"/>
  <c r="QL13" i="30"/>
  <c r="LN13" i="30"/>
  <c r="GP13" i="30"/>
  <c r="ADS12" i="30"/>
  <c r="ADV12" i="30"/>
  <c r="ACN12" i="30"/>
  <c r="ABG12" i="30"/>
  <c r="ABJ12" i="30"/>
  <c r="AAB12" i="30"/>
  <c r="AAB41" i="30"/>
  <c r="XR12" i="30"/>
  <c r="VF12" i="30"/>
  <c r="KA12" i="30"/>
  <c r="IV12" i="30"/>
  <c r="HO12" i="30"/>
  <c r="HR12" i="30"/>
  <c r="GJ12" i="30"/>
  <c r="DZ12" i="30"/>
  <c r="BN12" i="30"/>
  <c r="BCI11" i="30"/>
  <c r="BCL11" i="30"/>
  <c r="BBD11" i="30"/>
  <c r="AZW11" i="30"/>
  <c r="AZZ11" i="30"/>
  <c r="AYR11" i="30"/>
  <c r="AWH11" i="30"/>
  <c r="ATV11" i="30"/>
  <c r="AIQ11" i="30"/>
  <c r="AIT11" i="30"/>
  <c r="AGF11" i="30"/>
  <c r="AFB11" i="30"/>
  <c r="ABG11" i="30"/>
  <c r="ABJ11" i="30"/>
  <c r="AAH11" i="30"/>
  <c r="XP11" i="30"/>
  <c r="VD11" i="30"/>
  <c r="AAD12" i="30"/>
  <c r="OY12" i="30"/>
  <c r="PB12" i="30"/>
  <c r="NT12" i="30"/>
  <c r="MM12" i="30"/>
  <c r="MP12" i="30"/>
  <c r="LH12" i="30"/>
  <c r="IX12" i="30"/>
  <c r="GL12" i="30"/>
  <c r="BHG11" i="30"/>
  <c r="BHJ11" i="30"/>
  <c r="BGB11" i="30"/>
  <c r="BEU11" i="30"/>
  <c r="BEX11" i="30"/>
  <c r="BDP11" i="30"/>
  <c r="BBF11" i="30"/>
  <c r="AYT11" i="30"/>
  <c r="ANO11" i="30"/>
  <c r="ANR11" i="30"/>
  <c r="AMJ11" i="30"/>
  <c r="ALC11" i="30"/>
  <c r="ALF11" i="30"/>
  <c r="AJX11" i="30"/>
  <c r="AHN11" i="30"/>
  <c r="ABH11" i="30"/>
  <c r="WI11" i="30"/>
  <c r="WL11" i="30"/>
  <c r="VJ11" i="30"/>
  <c r="TW12" i="30"/>
  <c r="TZ12" i="30"/>
  <c r="SR12" i="30"/>
  <c r="RK12" i="30"/>
  <c r="RN12" i="30"/>
  <c r="QF12" i="30"/>
  <c r="NV12" i="30"/>
  <c r="LJ12" i="30"/>
  <c r="AE12" i="30"/>
  <c r="BKZ11" i="30"/>
  <c r="BJS11" i="30"/>
  <c r="BJV11" i="30"/>
  <c r="BIN11" i="30"/>
  <c r="BGD11" i="30"/>
  <c r="BDR11" i="30"/>
  <c r="ASM11" i="30"/>
  <c r="ASP11" i="30"/>
  <c r="ARH11" i="30"/>
  <c r="AQA11" i="30"/>
  <c r="AOV11" i="30"/>
  <c r="AML11" i="30"/>
  <c r="AHL11" i="30"/>
  <c r="ADS11" i="30"/>
  <c r="ADV11" i="30"/>
  <c r="ABR11" i="30"/>
  <c r="ACM11" i="30"/>
  <c r="ACP11" i="30"/>
  <c r="VF11" i="30"/>
  <c r="RV9" i="30"/>
  <c r="SQ9" i="30"/>
  <c r="KA9" i="30"/>
  <c r="KD9" i="30"/>
  <c r="JB9" i="30"/>
  <c r="FV9" i="30"/>
  <c r="GI9" i="30"/>
  <c r="BJT8" i="30"/>
  <c r="BFB8" i="30"/>
  <c r="BGA8" i="30"/>
  <c r="BGD8" i="30"/>
  <c r="ATT8" i="30"/>
  <c r="ALJ8" i="30"/>
  <c r="AMI8" i="30"/>
  <c r="AML8" i="30"/>
  <c r="AIQ8" i="30"/>
  <c r="AIT8" i="30"/>
  <c r="AHR8" i="30"/>
  <c r="AHK8" i="30"/>
  <c r="AHN8" i="30"/>
  <c r="AGP8" i="30"/>
  <c r="AAB8" i="30"/>
  <c r="RR8" i="30"/>
  <c r="SQ8" i="30"/>
  <c r="OY8" i="30"/>
  <c r="PB8" i="30"/>
  <c r="NZ8" i="30"/>
  <c r="NS8" i="30"/>
  <c r="NV8" i="30"/>
  <c r="MX8" i="30"/>
  <c r="GJ8" i="30"/>
  <c r="BJZ7" i="30"/>
  <c r="BKY7" i="30"/>
  <c r="BHG7" i="30"/>
  <c r="BGH7" i="30"/>
  <c r="BGA7" i="30"/>
  <c r="BFF7" i="30"/>
  <c r="AYR7" i="30"/>
  <c r="AQH7" i="30"/>
  <c r="ARG7" i="30"/>
  <c r="ANO7" i="30"/>
  <c r="ANR7" i="30"/>
  <c r="AMP7" i="30"/>
  <c r="AMI7" i="30"/>
  <c r="ALN7" i="30"/>
  <c r="AEZ7" i="30"/>
  <c r="WP7" i="30"/>
  <c r="XO7" i="30"/>
  <c r="TW7" i="30"/>
  <c r="SX7" i="30"/>
  <c r="SQ7" i="30"/>
  <c r="RV7" i="30"/>
  <c r="RL7" i="30"/>
  <c r="JN7" i="30"/>
  <c r="R7" i="30"/>
  <c r="AE7" i="30"/>
  <c r="WI9" i="30"/>
  <c r="WL9" i="30"/>
  <c r="ST9" i="30"/>
  <c r="LH9" i="30"/>
  <c r="KB9" i="30"/>
  <c r="GL9" i="30"/>
  <c r="AE9" i="30"/>
  <c r="F9" i="30"/>
  <c r="BHZ8" i="30"/>
  <c r="BIM8" i="30"/>
  <c r="BIP8" i="30"/>
  <c r="AYD8" i="30"/>
  <c r="AYQ8" i="30"/>
  <c r="APJ8" i="30"/>
  <c r="AQA8" i="30"/>
  <c r="AQD8" i="30"/>
  <c r="ALD8" i="30"/>
  <c r="AJF8" i="30"/>
  <c r="AJW8" i="30"/>
  <c r="AJZ8" i="30"/>
  <c r="AEL8" i="30"/>
  <c r="AEY8" i="30"/>
  <c r="VR8" i="30"/>
  <c r="WI8" i="30"/>
  <c r="WL8" i="30"/>
  <c r="RL8" i="30"/>
  <c r="PN8" i="30"/>
  <c r="QE8" i="30"/>
  <c r="KT8" i="30"/>
  <c r="LG8" i="30"/>
  <c r="BZ8" i="30"/>
  <c r="CQ8" i="30"/>
  <c r="CT8" i="30"/>
  <c r="BJT7" i="30"/>
  <c r="BHV7" i="30"/>
  <c r="BIM7" i="30"/>
  <c r="BIP7" i="30"/>
  <c r="BDB7" i="30"/>
  <c r="BDO7" i="30"/>
  <c r="AUH7" i="30"/>
  <c r="AUY7" i="30"/>
  <c r="AQB7" i="30"/>
  <c r="AOD7" i="30"/>
  <c r="AOU7" i="30"/>
  <c r="AOX7" i="30"/>
  <c r="AJJ7" i="30"/>
  <c r="AJW7" i="30"/>
  <c r="AAP7" i="30"/>
  <c r="ABG7" i="30"/>
  <c r="WJ7" i="30"/>
  <c r="WJ36" i="30"/>
  <c r="UL7" i="30"/>
  <c r="VC7" i="30"/>
  <c r="SX11" i="30"/>
  <c r="QE11" i="30"/>
  <c r="QH11" i="30"/>
  <c r="NZ11" i="30"/>
  <c r="LG11" i="30"/>
  <c r="LJ11" i="30"/>
  <c r="JB11" i="30"/>
  <c r="GI11" i="30"/>
  <c r="GL11" i="30"/>
  <c r="ED11" i="30"/>
  <c r="BK11" i="30"/>
  <c r="BN11" i="30"/>
  <c r="F11" i="30"/>
  <c r="BIM10" i="30"/>
  <c r="BIP10" i="30"/>
  <c r="BGH10" i="30"/>
  <c r="BDO10" i="30"/>
  <c r="BDR10" i="30"/>
  <c r="BBJ10" i="30"/>
  <c r="AYQ10" i="30"/>
  <c r="AYT10" i="30"/>
  <c r="AWL10" i="30"/>
  <c r="ATS10" i="30"/>
  <c r="ATV10" i="30"/>
  <c r="ARN10" i="30"/>
  <c r="AOU10" i="30"/>
  <c r="AOX10" i="30"/>
  <c r="AMP10" i="30"/>
  <c r="AJW10" i="30"/>
  <c r="AJZ10" i="30"/>
  <c r="AHR10" i="30"/>
  <c r="AEY10" i="30"/>
  <c r="AFB10" i="30"/>
  <c r="ACT10" i="30"/>
  <c r="AAA10" i="30"/>
  <c r="AAD10" i="30"/>
  <c r="XV10" i="30"/>
  <c r="VC10" i="30"/>
  <c r="VF10" i="30"/>
  <c r="SX10" i="30"/>
  <c r="QE10" i="30"/>
  <c r="QH10" i="30"/>
  <c r="NZ10" i="30"/>
  <c r="LG10" i="30"/>
  <c r="LJ10" i="30"/>
  <c r="JB10" i="30"/>
  <c r="GI10" i="30"/>
  <c r="GL10" i="30"/>
  <c r="ED10" i="30"/>
  <c r="BK10" i="30"/>
  <c r="BN10" i="30"/>
  <c r="F10" i="30"/>
  <c r="BIM9" i="30"/>
  <c r="BIP9" i="30"/>
  <c r="BGH9" i="30"/>
  <c r="BDO9" i="30"/>
  <c r="BDR9" i="30"/>
  <c r="BBJ9" i="30"/>
  <c r="AYQ9" i="30"/>
  <c r="AYT9" i="30"/>
  <c r="AWL9" i="30"/>
  <c r="ATS9" i="30"/>
  <c r="ATV9" i="30"/>
  <c r="ARN9" i="30"/>
  <c r="AOU9" i="30"/>
  <c r="AOX9" i="30"/>
  <c r="AMP9" i="30"/>
  <c r="AJW9" i="30"/>
  <c r="AJZ9" i="30"/>
  <c r="AHR9" i="30"/>
  <c r="AEY9" i="30"/>
  <c r="AFB9" i="30"/>
  <c r="ACT9" i="30"/>
  <c r="AAA9" i="30"/>
  <c r="XV9" i="30"/>
  <c r="VD9" i="30"/>
  <c r="TW9" i="30"/>
  <c r="TZ9" i="30"/>
  <c r="RK9" i="30"/>
  <c r="RN9" i="30"/>
  <c r="QL9" i="30"/>
  <c r="QF9" i="30"/>
  <c r="OY9" i="30"/>
  <c r="PB9" i="30"/>
  <c r="MT9" i="30"/>
  <c r="NS9" i="30"/>
  <c r="NV9" i="30"/>
  <c r="GX9" i="30"/>
  <c r="HO9" i="30"/>
  <c r="HR9" i="30"/>
  <c r="DX9" i="30"/>
  <c r="CQ9" i="30"/>
  <c r="CT9" i="30"/>
  <c r="BK9" i="30"/>
  <c r="AF9" i="30"/>
  <c r="AF40" i="30"/>
  <c r="BCI8" i="30"/>
  <c r="BCL8" i="30"/>
  <c r="BBJ8" i="30"/>
  <c r="AVF8" i="30"/>
  <c r="AWE8" i="30"/>
  <c r="AWH8" i="30"/>
  <c r="ASM8" i="30"/>
  <c r="ASP8" i="30"/>
  <c r="ARN8" i="30"/>
  <c r="ARG8" i="30"/>
  <c r="ARJ8" i="30"/>
  <c r="AQL8" i="30"/>
  <c r="ALC8" i="30"/>
  <c r="ALF8" i="30"/>
  <c r="AJX8" i="30"/>
  <c r="ABN8" i="30"/>
  <c r="ACM8" i="30"/>
  <c r="ACP8" i="30"/>
  <c r="YU8" i="30"/>
  <c r="YX8" i="30"/>
  <c r="XV8" i="30"/>
  <c r="XO8" i="30"/>
  <c r="XO36" i="30" s="1"/>
  <c r="XR36" i="30" s="1"/>
  <c r="XR8" i="30"/>
  <c r="WT8" i="30"/>
  <c r="ST8" i="30"/>
  <c r="RK8" i="30"/>
  <c r="RN8" i="30"/>
  <c r="QF8" i="30"/>
  <c r="HV8" i="30"/>
  <c r="IU8" i="30"/>
  <c r="IX8" i="30"/>
  <c r="FC8" i="30"/>
  <c r="FF8" i="30"/>
  <c r="ED8" i="30"/>
  <c r="DW8" i="30"/>
  <c r="DZ8" i="30"/>
  <c r="DB8" i="30"/>
  <c r="BLB7" i="30"/>
  <c r="BJS7" i="30"/>
  <c r="BIN7" i="30"/>
  <c r="BAD7" i="30"/>
  <c r="BBC7" i="30"/>
  <c r="BBF7" i="30"/>
  <c r="AXK7" i="30"/>
  <c r="AXN7" i="30"/>
  <c r="AWL7" i="30"/>
  <c r="AWE7" i="30"/>
  <c r="AVJ7" i="30"/>
  <c r="AQA7" i="30"/>
  <c r="AOV7" i="30"/>
  <c r="AGL7" i="30"/>
  <c r="AHK7" i="30"/>
  <c r="ADS7" i="30"/>
  <c r="ACT7" i="30"/>
  <c r="ACM7" i="30"/>
  <c r="ABR7" i="30"/>
  <c r="WI7" i="30"/>
  <c r="VD7" i="30"/>
  <c r="VD36" i="30"/>
  <c r="OL7" i="30"/>
  <c r="OY7" i="30"/>
  <c r="EP7" i="30"/>
  <c r="FC7" i="30"/>
  <c r="VJ9" i="30"/>
  <c r="RL9" i="30"/>
  <c r="HP9" i="30"/>
  <c r="CX9" i="30"/>
  <c r="DW9" i="30"/>
  <c r="DZ9" i="30"/>
  <c r="BJB8" i="30"/>
  <c r="BJS8" i="30"/>
  <c r="BJV8" i="30"/>
  <c r="BGB8" i="30"/>
  <c r="BEU8" i="30"/>
  <c r="BEX8" i="30"/>
  <c r="BDO8" i="30"/>
  <c r="BDR8" i="30"/>
  <c r="BDP8" i="30"/>
  <c r="BDP36" i="30"/>
  <c r="BCJ8" i="30"/>
  <c r="AZF8" i="30"/>
  <c r="AZW8" i="30"/>
  <c r="AUZ8" i="30"/>
  <c r="AUZ36" i="30"/>
  <c r="ATB8" i="30"/>
  <c r="ATS8" i="30"/>
  <c r="AOH8" i="30"/>
  <c r="AOU8" i="30"/>
  <c r="AOX8" i="30"/>
  <c r="AFN8" i="30"/>
  <c r="AGE8" i="30"/>
  <c r="ABH8" i="30"/>
  <c r="ZJ8" i="30"/>
  <c r="AAA8" i="30"/>
  <c r="UP8" i="30"/>
  <c r="VC8" i="30"/>
  <c r="VC36" i="30" s="1"/>
  <c r="VF36" i="30" s="1"/>
  <c r="VF8" i="30"/>
  <c r="LV8" i="30"/>
  <c r="MM8" i="30"/>
  <c r="MP8" i="30"/>
  <c r="HP8" i="30"/>
  <c r="FR8" i="30"/>
  <c r="GI8" i="30"/>
  <c r="AX8" i="30"/>
  <c r="BK8" i="30"/>
  <c r="BED7" i="30"/>
  <c r="BEU7" i="30"/>
  <c r="AZX7" i="30"/>
  <c r="AXZ7" i="30"/>
  <c r="AYQ7" i="30"/>
  <c r="ATF7" i="30"/>
  <c r="ATS7" i="30"/>
  <c r="ATV7" i="30"/>
  <c r="AKL7" i="30"/>
  <c r="ALC7" i="30"/>
  <c r="AGF7" i="30"/>
  <c r="AGF36" i="30"/>
  <c r="AEH7" i="30"/>
  <c r="AEY7" i="30"/>
  <c r="ZN7" i="30"/>
  <c r="AAA7" i="30"/>
  <c r="QF7" i="30"/>
  <c r="QF36" i="30"/>
  <c r="LJ9" i="30"/>
  <c r="IV9" i="30"/>
  <c r="BN9" i="30"/>
  <c r="BKZ8" i="30"/>
  <c r="BBD8" i="30"/>
  <c r="ATV8" i="30"/>
  <c r="ARH8" i="30"/>
  <c r="AHL8" i="30"/>
  <c r="AAD8" i="30"/>
  <c r="XP8" i="30"/>
  <c r="QH8" i="30"/>
  <c r="NT8" i="30"/>
  <c r="NT36" i="30" s="1"/>
  <c r="GL8" i="30"/>
  <c r="DX8" i="30"/>
  <c r="DX36" i="30" s="1"/>
  <c r="BGB7" i="30"/>
  <c r="AYT7" i="30"/>
  <c r="AWF7" i="30"/>
  <c r="AMJ7" i="30"/>
  <c r="AFB7" i="30"/>
  <c r="ACN7" i="30"/>
  <c r="SR7" i="30"/>
  <c r="PJ7" i="30"/>
  <c r="QE7" i="30"/>
  <c r="QE36" i="30"/>
  <c r="QH36" i="30"/>
  <c r="KH7" i="30"/>
  <c r="LG7" i="30"/>
  <c r="FJ7" i="30"/>
  <c r="GI7" i="30"/>
  <c r="AL7" i="30"/>
  <c r="BK7" i="30"/>
  <c r="FC9" i="30"/>
  <c r="FC36" i="30" s="1"/>
  <c r="FF36" i="30" s="1"/>
  <c r="FF9" i="30"/>
  <c r="BHG8" i="30"/>
  <c r="BHJ8" i="30"/>
  <c r="AXK8" i="30"/>
  <c r="AXN8" i="30"/>
  <c r="ANO8" i="30"/>
  <c r="ANR8" i="30"/>
  <c r="ADS8" i="30"/>
  <c r="ADV8" i="30"/>
  <c r="TW8" i="30"/>
  <c r="TZ8" i="30"/>
  <c r="KA8" i="30"/>
  <c r="KD8" i="30"/>
  <c r="AE8" i="30"/>
  <c r="AH8" i="30"/>
  <c r="BCI7" i="30"/>
  <c r="ASM7" i="30"/>
  <c r="AIQ7" i="30"/>
  <c r="YU7" i="30"/>
  <c r="RK7" i="30"/>
  <c r="QH7" i="30"/>
  <c r="MN7" i="30"/>
  <c r="MN36" i="30"/>
  <c r="HP7" i="30"/>
  <c r="HP36" i="30"/>
  <c r="FF7" i="30"/>
  <c r="CR7" i="30"/>
  <c r="CR36" i="30"/>
  <c r="AH7" i="30"/>
  <c r="AYT8" i="30"/>
  <c r="AWF8" i="30"/>
  <c r="AMJ8" i="30"/>
  <c r="AFB8" i="30"/>
  <c r="ACN8" i="30"/>
  <c r="SR8" i="30"/>
  <c r="SR36" i="30" s="1"/>
  <c r="LJ8" i="30"/>
  <c r="IV8" i="30"/>
  <c r="IV36" i="30" s="1"/>
  <c r="BN8" i="30"/>
  <c r="BKZ7" i="30"/>
  <c r="BDR7" i="30"/>
  <c r="BBD7" i="30"/>
  <c r="ARH7" i="30"/>
  <c r="AJZ7" i="30"/>
  <c r="AHL7" i="30"/>
  <c r="XP7" i="30"/>
  <c r="XP36" i="30"/>
  <c r="OZ7" i="30"/>
  <c r="OZ36" i="30"/>
  <c r="MX7" i="30"/>
  <c r="NS7" i="30"/>
  <c r="NS36" i="30"/>
  <c r="NV36" i="30"/>
  <c r="KB7" i="30"/>
  <c r="HZ7" i="30"/>
  <c r="IU7" i="30"/>
  <c r="IU36" i="30"/>
  <c r="IX36" i="30"/>
  <c r="FD7" i="30"/>
  <c r="FD36" i="30"/>
  <c r="DB7" i="30"/>
  <c r="DW7" i="30"/>
  <c r="DW36" i="30"/>
  <c r="DZ36" i="30"/>
  <c r="AF7" i="30"/>
  <c r="NV7" i="30"/>
  <c r="IX7" i="30"/>
  <c r="MM7" i="30"/>
  <c r="LN7" i="30"/>
  <c r="LH7" i="30"/>
  <c r="LH36" i="30"/>
  <c r="HO7" i="30"/>
  <c r="GP7" i="30"/>
  <c r="GJ7" i="30"/>
  <c r="GJ36" i="30"/>
  <c r="CQ7" i="30"/>
  <c r="BR7" i="30"/>
  <c r="BL7" i="30"/>
  <c r="BL36" i="30"/>
  <c r="AJ6" i="30"/>
  <c r="KJ58" i="29"/>
  <c r="IK58" i="29"/>
  <c r="IN58" i="29"/>
  <c r="IN64" i="29"/>
  <c r="GO58" i="29"/>
  <c r="GR58" i="29"/>
  <c r="GR64" i="29"/>
  <c r="HE56" i="29"/>
  <c r="IA58" i="29"/>
  <c r="ID64" i="29"/>
  <c r="EG68" i="29"/>
  <c r="EG69" i="29"/>
  <c r="EL69" i="29"/>
  <c r="CU68" i="29"/>
  <c r="EB67" i="29"/>
  <c r="BT58" i="29"/>
  <c r="BW58" i="29"/>
  <c r="BW64" i="29"/>
  <c r="BT67" i="29"/>
  <c r="BT68" i="29"/>
  <c r="HX58" i="29"/>
  <c r="HY58" i="29"/>
  <c r="JA56" i="29"/>
  <c r="FK56" i="29"/>
  <c r="KJ64" i="29"/>
  <c r="HQ56" i="29"/>
  <c r="EQ68" i="29"/>
  <c r="BW68" i="29"/>
  <c r="BW69" i="29"/>
  <c r="KW58" i="29"/>
  <c r="CX60" i="29"/>
  <c r="CY60" i="29"/>
  <c r="IA56" i="29"/>
  <c r="DM56" i="29"/>
  <c r="JL58" i="29"/>
  <c r="DV58" i="29"/>
  <c r="DW58" i="29"/>
  <c r="JP55" i="29"/>
  <c r="JH55" i="29"/>
  <c r="IF55" i="29"/>
  <c r="JP54" i="29"/>
  <c r="JH54" i="29"/>
  <c r="JH64" i="29"/>
  <c r="JH58" i="29"/>
  <c r="IF54" i="29"/>
  <c r="IF64" i="29"/>
  <c r="JP53" i="29"/>
  <c r="JH53" i="29"/>
  <c r="IF53" i="29"/>
  <c r="JP52" i="29"/>
  <c r="JH52" i="29"/>
  <c r="JP51" i="29"/>
  <c r="IJ51" i="29"/>
  <c r="IJ52" i="29"/>
  <c r="IJ53" i="29"/>
  <c r="IJ54" i="29"/>
  <c r="IJ64" i="29"/>
  <c r="IJ58" i="29"/>
  <c r="IJ55" i="29"/>
  <c r="IQ46" i="29"/>
  <c r="IP48" i="29"/>
  <c r="GP46" i="29"/>
  <c r="FE46" i="29"/>
  <c r="FD48" i="29"/>
  <c r="JZ48" i="29"/>
  <c r="JV51" i="29"/>
  <c r="JV52" i="29"/>
  <c r="JV53" i="29"/>
  <c r="JV54" i="29"/>
  <c r="JV64" i="29"/>
  <c r="JV58" i="29"/>
  <c r="JV55" i="29"/>
  <c r="HK48" i="29"/>
  <c r="HJ51" i="29"/>
  <c r="CB51" i="29"/>
  <c r="CF48" i="29"/>
  <c r="CB52" i="29"/>
  <c r="CB53" i="29"/>
  <c r="CB54" i="29"/>
  <c r="CB64" i="29"/>
  <c r="CB58" i="29"/>
  <c r="CB55" i="29"/>
  <c r="KT48" i="29"/>
  <c r="KP51" i="29"/>
  <c r="KP52" i="29"/>
  <c r="KP53" i="29"/>
  <c r="KP54" i="29"/>
  <c r="KP64" i="29"/>
  <c r="KP58" i="29"/>
  <c r="KP55" i="29"/>
  <c r="JG46" i="29"/>
  <c r="JF48" i="29"/>
  <c r="IW46" i="29"/>
  <c r="IV48" i="29"/>
  <c r="IW48" i="29"/>
  <c r="HZ51" i="29"/>
  <c r="ID48" i="29"/>
  <c r="HZ52" i="29"/>
  <c r="HZ53" i="29"/>
  <c r="HZ54" i="29"/>
  <c r="HZ64" i="29"/>
  <c r="HZ58" i="29"/>
  <c r="HZ55" i="29"/>
  <c r="IB48" i="29"/>
  <c r="DS46" i="29"/>
  <c r="DR48" i="29"/>
  <c r="DI46" i="29"/>
  <c r="DH48" i="29"/>
  <c r="CI46" i="29"/>
  <c r="CH48" i="29"/>
  <c r="JJ46" i="29"/>
  <c r="JL46" i="29"/>
  <c r="IZ46" i="29"/>
  <c r="JB46" i="29"/>
  <c r="ED64" i="29"/>
  <c r="CE58" i="29"/>
  <c r="JT58" i="29"/>
  <c r="JU58" i="29"/>
  <c r="FW58" i="29"/>
  <c r="FX58" i="29"/>
  <c r="DD58" i="29"/>
  <c r="KB55" i="29"/>
  <c r="HT55" i="29"/>
  <c r="FN55" i="29"/>
  <c r="KB54" i="29"/>
  <c r="KB64" i="29"/>
  <c r="HT54" i="29"/>
  <c r="FN54" i="29"/>
  <c r="KB53" i="29"/>
  <c r="HT53" i="29"/>
  <c r="FN53" i="29"/>
  <c r="KB52" i="29"/>
  <c r="HT52" i="29"/>
  <c r="FN52" i="29"/>
  <c r="KF51" i="29"/>
  <c r="KF52" i="29"/>
  <c r="KF53" i="29"/>
  <c r="KF54" i="29"/>
  <c r="KF64" i="29"/>
  <c r="KF55" i="29"/>
  <c r="IX48" i="29"/>
  <c r="IL48" i="29"/>
  <c r="FJ48" i="29"/>
  <c r="FF51" i="29"/>
  <c r="FF56" i="29"/>
  <c r="EH51" i="29"/>
  <c r="EH52" i="29"/>
  <c r="EH53" i="29"/>
  <c r="EH54" i="29"/>
  <c r="EH64" i="29"/>
  <c r="EH58" i="29"/>
  <c r="EH55" i="29"/>
  <c r="EL48" i="29"/>
  <c r="CK48" i="29"/>
  <c r="CJ51" i="29"/>
  <c r="CJ52" i="29"/>
  <c r="CJ53" i="29"/>
  <c r="CJ54" i="29"/>
  <c r="CJ55" i="29"/>
  <c r="KM46" i="29"/>
  <c r="KL48" i="29"/>
  <c r="GN51" i="29"/>
  <c r="GR48" i="29"/>
  <c r="GP48" i="29"/>
  <c r="GN52" i="29"/>
  <c r="GN53" i="29"/>
  <c r="GN54" i="29"/>
  <c r="GN64" i="29"/>
  <c r="GN58" i="29"/>
  <c r="GN55" i="29"/>
  <c r="HX51" i="29"/>
  <c r="HY51" i="29"/>
  <c r="GD51" i="29"/>
  <c r="GH48" i="29"/>
  <c r="GD52" i="29"/>
  <c r="GD53" i="29"/>
  <c r="GD54" i="29"/>
  <c r="GD64" i="29"/>
  <c r="GD58" i="29"/>
  <c r="GD55" i="29"/>
  <c r="FB51" i="29"/>
  <c r="FC48" i="29"/>
  <c r="FB52" i="29"/>
  <c r="FB53" i="29"/>
  <c r="FB54" i="29"/>
  <c r="FB55" i="29"/>
  <c r="ER51" i="29"/>
  <c r="ER52" i="29"/>
  <c r="ER53" i="29"/>
  <c r="ER54" i="29"/>
  <c r="ER64" i="29"/>
  <c r="ER58" i="29"/>
  <c r="ER55" i="29"/>
  <c r="EE48" i="29"/>
  <c r="ED51" i="29"/>
  <c r="DX51" i="29"/>
  <c r="DX52" i="29"/>
  <c r="DX53" i="29"/>
  <c r="DX54" i="29"/>
  <c r="DX64" i="29"/>
  <c r="DX58" i="29"/>
  <c r="DX55" i="29"/>
  <c r="DZ48" i="29"/>
  <c r="CL51" i="29"/>
  <c r="CL52" i="29"/>
  <c r="CL53" i="29"/>
  <c r="CL54" i="29"/>
  <c r="CL64" i="29"/>
  <c r="CL58" i="29"/>
  <c r="CL55" i="29"/>
  <c r="CA46" i="29"/>
  <c r="BZ48" i="29"/>
  <c r="CA48" i="29"/>
  <c r="BQ48" i="29"/>
  <c r="KY54" i="29"/>
  <c r="KY53" i="29"/>
  <c r="KY52" i="29"/>
  <c r="GZ48" i="29"/>
  <c r="GJ48" i="29"/>
  <c r="FL48" i="29"/>
  <c r="IR46" i="29"/>
  <c r="IH46" i="29"/>
  <c r="HX46" i="29"/>
  <c r="HR46" i="29"/>
  <c r="HH46" i="29"/>
  <c r="GX46" i="29"/>
  <c r="DJ46" i="29"/>
  <c r="CZ46" i="29"/>
  <c r="CT46" i="29"/>
  <c r="BO46" i="29"/>
  <c r="CN44" i="29"/>
  <c r="KJ42" i="29"/>
  <c r="KI48" i="29"/>
  <c r="JX42" i="29"/>
  <c r="JW48" i="29"/>
  <c r="II42" i="29"/>
  <c r="IE48" i="29"/>
  <c r="GF42" i="29"/>
  <c r="GE48" i="29"/>
  <c r="EV42" i="29"/>
  <c r="EU48" i="29"/>
  <c r="DL42" i="29"/>
  <c r="DK48" i="29"/>
  <c r="BW44" i="29"/>
  <c r="BV46" i="29"/>
  <c r="KE42" i="29"/>
  <c r="KA48" i="29"/>
  <c r="HD42" i="29"/>
  <c r="HC48" i="29"/>
  <c r="FT42" i="29"/>
  <c r="FS48" i="29"/>
  <c r="EQ42" i="29"/>
  <c r="EM48" i="29"/>
  <c r="EB42" i="29"/>
  <c r="EA48" i="29"/>
  <c r="CN42" i="29"/>
  <c r="KV48" i="29"/>
  <c r="KN46" i="29"/>
  <c r="KD46" i="29"/>
  <c r="JT46" i="29"/>
  <c r="JN46" i="29"/>
  <c r="JO46" i="29"/>
  <c r="JD46" i="29"/>
  <c r="HL46" i="29"/>
  <c r="HB46" i="29"/>
  <c r="GL46" i="29"/>
  <c r="GB46" i="29"/>
  <c r="EP46" i="29"/>
  <c r="EF46" i="29"/>
  <c r="DV46" i="29"/>
  <c r="DP46" i="29"/>
  <c r="DF46" i="29"/>
  <c r="BR44" i="29"/>
  <c r="BN46" i="29"/>
  <c r="BN48" i="29"/>
  <c r="JL42" i="29"/>
  <c r="JK48" i="29"/>
  <c r="IZ42" i="29"/>
  <c r="IY48" i="29"/>
  <c r="DS42" i="29"/>
  <c r="DO48" i="29"/>
  <c r="DD42" i="29"/>
  <c r="DC48" i="29"/>
  <c r="CP44" i="29"/>
  <c r="CO46" i="29"/>
  <c r="JG42" i="29"/>
  <c r="JC48" i="29"/>
  <c r="IN42" i="29"/>
  <c r="IM48" i="29"/>
  <c r="EJ42" i="29"/>
  <c r="EI48" i="29"/>
  <c r="CU42" i="29"/>
  <c r="CQ48" i="29"/>
  <c r="CS48" i="29"/>
  <c r="KC42" i="29"/>
  <c r="HY42" i="29"/>
  <c r="DQ42" i="29"/>
  <c r="BU44" i="29"/>
  <c r="BP44" i="29"/>
  <c r="JE42" i="29"/>
  <c r="IL42" i="29"/>
  <c r="IG42" i="29"/>
  <c r="EO42" i="29"/>
  <c r="CS42" i="29"/>
  <c r="JE39" i="29"/>
  <c r="HY39" i="29"/>
  <c r="GK39" i="29"/>
  <c r="EO39" i="29"/>
  <c r="HV26" i="29"/>
  <c r="W26" i="24"/>
  <c r="GO35" i="29"/>
  <c r="GS26" i="29"/>
  <c r="GE35" i="29"/>
  <c r="CV26" i="29"/>
  <c r="AU26" i="29"/>
  <c r="IG39" i="29"/>
  <c r="HN35" i="29"/>
  <c r="KZ34" i="29"/>
  <c r="LA34" i="29"/>
  <c r="LB34" i="29"/>
  <c r="FU34" i="29"/>
  <c r="CU34" i="29"/>
  <c r="KZ31" i="29"/>
  <c r="KZ30" i="29"/>
  <c r="GS35" i="29"/>
  <c r="BP40" i="29"/>
  <c r="JU39" i="29"/>
  <c r="HI39" i="29"/>
  <c r="FM39" i="29"/>
  <c r="DQ39" i="29"/>
  <c r="DY35" i="29"/>
  <c r="LA27" i="29"/>
  <c r="LB27" i="29"/>
  <c r="GU35" i="29"/>
  <c r="GV35" i="29"/>
  <c r="KG35" i="29"/>
  <c r="KW35" i="29"/>
  <c r="KX35" i="29"/>
  <c r="LA25" i="29"/>
  <c r="LB25" i="29"/>
  <c r="FW35" i="29"/>
  <c r="FX35" i="29"/>
  <c r="EA35" i="29"/>
  <c r="EB35" i="29"/>
  <c r="AG34" i="29"/>
  <c r="AG35" i="29"/>
  <c r="CM33" i="29"/>
  <c r="CM34" i="29"/>
  <c r="CP34" i="29"/>
  <c r="CC33" i="29"/>
  <c r="CC34" i="29"/>
  <c r="CF34" i="29"/>
  <c r="BX30" i="29"/>
  <c r="W29" i="29"/>
  <c r="EW28" i="29"/>
  <c r="EW25" i="29"/>
  <c r="EW23" i="29"/>
  <c r="EY44" i="29"/>
  <c r="CV29" i="29"/>
  <c r="BX29" i="29"/>
  <c r="KZ28" i="29"/>
  <c r="W28" i="29"/>
  <c r="JR26" i="29"/>
  <c r="W25" i="29"/>
  <c r="EW30" i="29"/>
  <c r="ES34" i="29"/>
  <c r="W26" i="29"/>
  <c r="BX28" i="29"/>
  <c r="W27" i="29"/>
  <c r="BX25" i="29"/>
  <c r="KZ24" i="29"/>
  <c r="KZ23" i="29"/>
  <c r="AL33" i="29"/>
  <c r="AL34" i="29"/>
  <c r="W30" i="29"/>
  <c r="I33" i="29"/>
  <c r="I34" i="29"/>
  <c r="W34" i="29"/>
  <c r="BX27" i="29"/>
  <c r="ES26" i="29"/>
  <c r="AZ26" i="29"/>
  <c r="BX26" i="29"/>
  <c r="LA21" i="29"/>
  <c r="LB21" i="29"/>
  <c r="KZ15" i="29"/>
  <c r="KZ19" i="29"/>
  <c r="KZ14" i="29"/>
  <c r="BX11" i="29"/>
  <c r="FQ24" i="29"/>
  <c r="FG24" i="29"/>
  <c r="KZ17" i="29"/>
  <c r="JN16" i="29"/>
  <c r="FQ16" i="29"/>
  <c r="EB16" i="29"/>
  <c r="AZ16" i="29"/>
  <c r="AZ35" i="29"/>
  <c r="KZ13" i="29"/>
  <c r="EB12" i="29"/>
  <c r="KZ16" i="29"/>
  <c r="EB15" i="29"/>
  <c r="KZ12" i="29"/>
  <c r="EB11" i="29"/>
  <c r="KZ11" i="29"/>
  <c r="KZ10" i="29"/>
  <c r="KZ9" i="29"/>
  <c r="KZ8" i="29"/>
  <c r="KZ7" i="29"/>
  <c r="AKB25" i="28"/>
  <c r="AKF25" i="28"/>
  <c r="AKJ25" i="28"/>
  <c r="AKN25" i="28"/>
  <c r="AKR25" i="28"/>
  <c r="AKV25" i="28"/>
  <c r="AKZ25" i="28"/>
  <c r="DW6" i="25"/>
  <c r="C30" i="27"/>
  <c r="C29" i="27"/>
  <c r="C28" i="27"/>
  <c r="C27" i="27"/>
  <c r="C26" i="27"/>
  <c r="C31" i="27"/>
  <c r="D30" i="27"/>
  <c r="D29" i="27"/>
  <c r="D28" i="27"/>
  <c r="D27" i="27"/>
  <c r="D26" i="27"/>
  <c r="D31" i="27"/>
  <c r="E30" i="27"/>
  <c r="E29" i="27"/>
  <c r="E28" i="27"/>
  <c r="E27" i="27"/>
  <c r="E26" i="27"/>
  <c r="E31" i="27"/>
  <c r="F30" i="27"/>
  <c r="F29" i="27"/>
  <c r="F28" i="27"/>
  <c r="F27" i="27"/>
  <c r="F26" i="27"/>
  <c r="F31" i="27"/>
  <c r="G30" i="27"/>
  <c r="G29" i="27"/>
  <c r="G28" i="27"/>
  <c r="G27" i="27"/>
  <c r="G26" i="27"/>
  <c r="G31" i="27"/>
  <c r="AX30" i="27"/>
  <c r="AX29" i="27"/>
  <c r="AX28" i="27"/>
  <c r="AX27" i="27"/>
  <c r="AX26" i="27"/>
  <c r="AX31" i="27"/>
  <c r="BC30" i="27"/>
  <c r="BC29" i="27"/>
  <c r="BC28" i="27"/>
  <c r="BC27" i="27"/>
  <c r="BC26" i="27"/>
  <c r="BC31" i="27"/>
  <c r="BI30" i="27"/>
  <c r="BI29" i="27"/>
  <c r="BI28" i="27"/>
  <c r="BI27" i="27"/>
  <c r="BI26" i="27"/>
  <c r="BI31" i="27"/>
  <c r="BN30" i="27"/>
  <c r="BN29" i="27"/>
  <c r="BN28" i="27"/>
  <c r="BN27" i="27"/>
  <c r="BN26" i="27"/>
  <c r="BN31" i="27"/>
  <c r="BS30" i="27"/>
  <c r="BS29" i="27"/>
  <c r="BS28" i="27"/>
  <c r="BS27" i="27"/>
  <c r="BS26" i="27"/>
  <c r="BS31" i="27"/>
  <c r="BY30" i="27"/>
  <c r="BY29" i="27"/>
  <c r="BY28" i="27"/>
  <c r="BY27" i="27"/>
  <c r="BY26" i="27"/>
  <c r="BY31" i="27"/>
  <c r="CD30" i="27"/>
  <c r="CD29" i="27"/>
  <c r="CD28" i="27"/>
  <c r="CD27" i="27"/>
  <c r="CD26" i="27"/>
  <c r="CD31" i="27"/>
  <c r="CO30" i="27"/>
  <c r="CO29" i="27"/>
  <c r="CO28" i="27"/>
  <c r="CO27" i="27"/>
  <c r="CO26" i="27"/>
  <c r="CO31" i="27"/>
  <c r="CT30" i="27"/>
  <c r="CT29" i="27"/>
  <c r="CT28" i="27"/>
  <c r="CT27" i="27"/>
  <c r="CT26" i="27"/>
  <c r="CT31" i="27"/>
  <c r="CY30" i="27"/>
  <c r="CY29" i="27"/>
  <c r="CY28" i="27"/>
  <c r="CY27" i="27"/>
  <c r="CY26" i="27"/>
  <c r="CY31" i="27"/>
  <c r="DE30" i="27"/>
  <c r="DE29" i="27"/>
  <c r="DE28" i="27"/>
  <c r="DE27" i="27"/>
  <c r="DE26" i="27"/>
  <c r="DE31" i="27"/>
  <c r="CU6" i="28"/>
  <c r="CY6" i="28"/>
  <c r="DC6" i="28"/>
  <c r="DC38" i="28" s="1"/>
  <c r="DG6" i="28"/>
  <c r="DK6" i="28"/>
  <c r="DK38" i="28" s="1"/>
  <c r="DO6" i="28"/>
  <c r="DO38" i="28" s="1"/>
  <c r="DS6" i="28"/>
  <c r="EA6" i="28"/>
  <c r="EA38" i="28" s="1"/>
  <c r="EE6" i="28"/>
  <c r="EI6" i="28"/>
  <c r="EI38" i="28" s="1"/>
  <c r="EM6" i="28"/>
  <c r="EM38" i="28" s="1"/>
  <c r="EQ6" i="28"/>
  <c r="EU6" i="28"/>
  <c r="EU38" i="28" s="1"/>
  <c r="EY6" i="28"/>
  <c r="EY38" i="28" s="1"/>
  <c r="FG6" i="28"/>
  <c r="FG38" i="28" s="1"/>
  <c r="FK6" i="28"/>
  <c r="FK38" i="28" s="1"/>
  <c r="FO6" i="28"/>
  <c r="FS6" i="28"/>
  <c r="FS38" i="28" s="1"/>
  <c r="FW6" i="28"/>
  <c r="FW38" i="28" s="1"/>
  <c r="GA6" i="28"/>
  <c r="GE6" i="28"/>
  <c r="GE38" i="28" s="1"/>
  <c r="GM6" i="28"/>
  <c r="GQ6" i="28"/>
  <c r="GQ38" i="28" s="1"/>
  <c r="GU6" i="28"/>
  <c r="GU38" i="28" s="1"/>
  <c r="GY6" i="28"/>
  <c r="HC6" i="28"/>
  <c r="HC38" i="28" s="1"/>
  <c r="HG6" i="28"/>
  <c r="HG38" i="28" s="1"/>
  <c r="HK6" i="28"/>
  <c r="HS6" i="28"/>
  <c r="HW6" i="28"/>
  <c r="HW38" i="28" s="1"/>
  <c r="IA6" i="28"/>
  <c r="IA38" i="28" s="1"/>
  <c r="IE6" i="28"/>
  <c r="IE38" i="28" s="1"/>
  <c r="II6" i="28"/>
  <c r="IM6" i="28"/>
  <c r="IM38" i="28" s="1"/>
  <c r="IQ6" i="28"/>
  <c r="IY6" i="28"/>
  <c r="IY38" i="28" s="1"/>
  <c r="JC6" i="28"/>
  <c r="JC38" i="28" s="1"/>
  <c r="JG6" i="28"/>
  <c r="JK6" i="28"/>
  <c r="JK38" i="28" s="1"/>
  <c r="JO6" i="28"/>
  <c r="JS6" i="28"/>
  <c r="JS38" i="28" s="1"/>
  <c r="JW6" i="28"/>
  <c r="JW38" i="28" s="1"/>
  <c r="KE6" i="28"/>
  <c r="KE38" i="28" s="1"/>
  <c r="KI6" i="28"/>
  <c r="KM6" i="28"/>
  <c r="KM38" i="28" s="1"/>
  <c r="KQ6" i="28"/>
  <c r="KQ38" i="28" s="1"/>
  <c r="KU6" i="28"/>
  <c r="KY6" i="28"/>
  <c r="LC6" i="28"/>
  <c r="LC38" i="28" s="1"/>
  <c r="LK6" i="28"/>
  <c r="LO6" i="28"/>
  <c r="LS6" i="28"/>
  <c r="LW6" i="28"/>
  <c r="MA6" i="28"/>
  <c r="ME6" i="28"/>
  <c r="MI6" i="28"/>
  <c r="MQ6" i="28"/>
  <c r="MU6" i="28"/>
  <c r="MY6" i="28"/>
  <c r="NC6" i="28"/>
  <c r="NG6" i="28"/>
  <c r="NK6" i="28"/>
  <c r="NO6" i="28"/>
  <c r="NW6" i="28"/>
  <c r="OA6" i="28"/>
  <c r="OE6" i="28"/>
  <c r="OI6" i="28"/>
  <c r="OM6" i="28"/>
  <c r="OQ6" i="28"/>
  <c r="OU6" i="28"/>
  <c r="PC6" i="28"/>
  <c r="PG6" i="28"/>
  <c r="PK6" i="28"/>
  <c r="PO6" i="28"/>
  <c r="PS6" i="28"/>
  <c r="PW6" i="28"/>
  <c r="QA6" i="28"/>
  <c r="QI6" i="28"/>
  <c r="QM6" i="28"/>
  <c r="QQ6" i="28"/>
  <c r="QU6" i="28"/>
  <c r="QY6" i="28"/>
  <c r="RC6" i="28"/>
  <c r="RG6" i="28"/>
  <c r="RO6" i="28"/>
  <c r="RS6" i="28"/>
  <c r="RW6" i="28"/>
  <c r="SA6" i="28"/>
  <c r="SE6" i="28"/>
  <c r="SI6" i="28"/>
  <c r="SM6" i="28"/>
  <c r="SU6" i="28"/>
  <c r="SY6" i="28"/>
  <c r="TC6" i="28"/>
  <c r="TG6" i="28"/>
  <c r="TK6" i="28"/>
  <c r="TO6" i="28"/>
  <c r="TS6" i="28"/>
  <c r="UA6" i="28"/>
  <c r="UE6" i="28"/>
  <c r="UI6" i="28"/>
  <c r="UM6" i="28"/>
  <c r="UQ6" i="28"/>
  <c r="UU6" i="28"/>
  <c r="UY6" i="28"/>
  <c r="VG6" i="28"/>
  <c r="VK6" i="28"/>
  <c r="VO6" i="28"/>
  <c r="VS6" i="28"/>
  <c r="VW6" i="28"/>
  <c r="WA6" i="28"/>
  <c r="WE6" i="28"/>
  <c r="WM6" i="28"/>
  <c r="WQ6" i="28"/>
  <c r="WU6" i="28"/>
  <c r="WY6" i="28"/>
  <c r="XC6" i="28"/>
  <c r="XG6" i="28"/>
  <c r="XK6" i="28"/>
  <c r="XS6" i="28"/>
  <c r="XW6" i="28"/>
  <c r="YA6" i="28"/>
  <c r="YE6" i="28"/>
  <c r="YI6" i="28"/>
  <c r="YM6" i="28"/>
  <c r="YQ6" i="28"/>
  <c r="YY6" i="28"/>
  <c r="ZC6" i="28"/>
  <c r="ZG6" i="28"/>
  <c r="ZK6" i="28"/>
  <c r="ZO6" i="28"/>
  <c r="ZS6" i="28"/>
  <c r="ZW6" i="28"/>
  <c r="AAE6" i="28"/>
  <c r="AAI6" i="28"/>
  <c r="AAM6" i="28"/>
  <c r="AAQ6" i="28"/>
  <c r="AAU6" i="28"/>
  <c r="AAY6" i="28"/>
  <c r="ABC6" i="28"/>
  <c r="ABK6" i="28"/>
  <c r="ABO6" i="28"/>
  <c r="ABS6" i="28"/>
  <c r="ABW6" i="28"/>
  <c r="ACA6" i="28"/>
  <c r="ACE6" i="28"/>
  <c r="ACI6" i="28"/>
  <c r="ACQ6" i="28"/>
  <c r="ACU6" i="28"/>
  <c r="ACY6" i="28"/>
  <c r="ADC6" i="28"/>
  <c r="ADG6" i="28"/>
  <c r="ADK6" i="28"/>
  <c r="ADO6" i="28"/>
  <c r="ADW6" i="28"/>
  <c r="AEA6" i="28"/>
  <c r="AEE6" i="28"/>
  <c r="AEI6" i="28"/>
  <c r="AEM6" i="28"/>
  <c r="AEQ6" i="28"/>
  <c r="AEU6" i="28"/>
  <c r="AFC6" i="28"/>
  <c r="AFG6" i="28"/>
  <c r="AFK6" i="28"/>
  <c r="AFO6" i="28"/>
  <c r="AFS6" i="28"/>
  <c r="AFW6" i="28"/>
  <c r="AGA6" i="28"/>
  <c r="AGI6" i="28"/>
  <c r="AGM6" i="28"/>
  <c r="AGQ6" i="28"/>
  <c r="AGU6" i="28"/>
  <c r="AGY6" i="28"/>
  <c r="AHC6" i="28"/>
  <c r="AHG6" i="28"/>
  <c r="AHO6" i="28"/>
  <c r="AHS6" i="28"/>
  <c r="AHW6" i="28"/>
  <c r="AIA6" i="28"/>
  <c r="AIE6" i="28"/>
  <c r="AII6" i="28"/>
  <c r="AIM6" i="28"/>
  <c r="AIU6" i="28"/>
  <c r="AIY6" i="28"/>
  <c r="AJC6" i="28"/>
  <c r="AJG6" i="28"/>
  <c r="AJK6" i="28"/>
  <c r="AJO6" i="28"/>
  <c r="AJS6" i="28"/>
  <c r="AKA6" i="28"/>
  <c r="AKE6" i="28"/>
  <c r="AKI6" i="28"/>
  <c r="AKM6" i="28"/>
  <c r="AKQ6" i="28"/>
  <c r="AKU6" i="28"/>
  <c r="AKY6" i="28"/>
  <c r="T7" i="28"/>
  <c r="AFC36" i="28"/>
  <c r="AGE7" i="28"/>
  <c r="AFF7" i="28"/>
  <c r="AFG36" i="28"/>
  <c r="AFJ7" i="28"/>
  <c r="AFK36" i="28"/>
  <c r="AFN7" i="28"/>
  <c r="AFO36" i="28"/>
  <c r="AFR7" i="28"/>
  <c r="AFS36" i="28"/>
  <c r="AFV7" i="28"/>
  <c r="AFW36" i="28"/>
  <c r="AFZ7" i="28"/>
  <c r="AGA36" i="28"/>
  <c r="AGD7" i="28"/>
  <c r="AGG36" i="28"/>
  <c r="AGG50" i="28" s="1"/>
  <c r="AGH7" i="28"/>
  <c r="AGI36" i="28"/>
  <c r="AHK7" i="28"/>
  <c r="AGL7" i="28"/>
  <c r="AGM36" i="28"/>
  <c r="AGP7" i="28"/>
  <c r="AGQ36" i="28"/>
  <c r="AGT7" i="28"/>
  <c r="AGU36" i="28"/>
  <c r="AGX7" i="28"/>
  <c r="AGY36" i="28"/>
  <c r="AHB7" i="28"/>
  <c r="AHC36" i="28"/>
  <c r="AHF7" i="28"/>
  <c r="AHG36" i="28"/>
  <c r="AHJ7" i="28"/>
  <c r="AHM36" i="28"/>
  <c r="AHM50" i="28" s="1"/>
  <c r="AHN7" i="28"/>
  <c r="AHO36" i="28"/>
  <c r="AIQ7" i="28"/>
  <c r="AHR7" i="28"/>
  <c r="AHS36" i="28"/>
  <c r="AHV7" i="28"/>
  <c r="AHW36" i="28"/>
  <c r="AHZ7" i="28"/>
  <c r="AIA36" i="28"/>
  <c r="AID7" i="28"/>
  <c r="AIE36" i="28"/>
  <c r="AIH7" i="28"/>
  <c r="AII36" i="28"/>
  <c r="AIL7" i="28"/>
  <c r="AIM36" i="28"/>
  <c r="AIP7" i="28"/>
  <c r="AIS36" i="28"/>
  <c r="AIS50" i="28" s="1"/>
  <c r="AIT7" i="28"/>
  <c r="AIU36" i="28"/>
  <c r="AIU50" i="28" s="1"/>
  <c r="AJW7" i="28"/>
  <c r="AIX7" i="28"/>
  <c r="AIY36" i="28"/>
  <c r="AIY50" i="28" s="1"/>
  <c r="AJB7" i="28"/>
  <c r="AJC36" i="28"/>
  <c r="AJC50" i="28" s="1"/>
  <c r="AJF7" i="28"/>
  <c r="AJG36" i="28"/>
  <c r="AJG50" i="28" s="1"/>
  <c r="AJJ7" i="28"/>
  <c r="AJK36" i="28"/>
  <c r="AJK50" i="28" s="1"/>
  <c r="AJN7" i="28"/>
  <c r="AJO36" i="28"/>
  <c r="AJO50" i="28" s="1"/>
  <c r="AJR7" i="28"/>
  <c r="AJS36" i="28"/>
  <c r="AJS50" i="28" s="1"/>
  <c r="AJV7" i="28"/>
  <c r="AJY36" i="28"/>
  <c r="AJY50" i="28" s="1"/>
  <c r="AJZ7" i="28"/>
  <c r="AKA36" i="28"/>
  <c r="AKA50" i="28" s="1"/>
  <c r="ALC7" i="28"/>
  <c r="AKD7" i="28"/>
  <c r="AKE36" i="28"/>
  <c r="AKE50" i="28" s="1"/>
  <c r="AKH7" i="28"/>
  <c r="AKI36" i="28"/>
  <c r="AKI50" i="28" s="1"/>
  <c r="AKL7" i="28"/>
  <c r="AKM36" i="28"/>
  <c r="AKM50" i="28" s="1"/>
  <c r="AKP7" i="28"/>
  <c r="AKQ36" i="28"/>
  <c r="AKQ50" i="28" s="1"/>
  <c r="AKT7" i="28"/>
  <c r="AKU36" i="28"/>
  <c r="AKU50" i="28" s="1"/>
  <c r="AKX7" i="28"/>
  <c r="AKY36" i="28"/>
  <c r="AKY50" i="28" s="1"/>
  <c r="ALE36" i="28"/>
  <c r="ALE50" i="28" s="1"/>
  <c r="ALF7" i="28"/>
  <c r="AGE8" i="28"/>
  <c r="AFF8" i="28"/>
  <c r="AGH8" i="28"/>
  <c r="AHK8" i="28"/>
  <c r="AGL8" i="28"/>
  <c r="AHN8" i="28"/>
  <c r="AIQ8" i="28"/>
  <c r="AHR8" i="28"/>
  <c r="AIT8" i="28"/>
  <c r="AJW8" i="28"/>
  <c r="AIX8" i="28"/>
  <c r="AJZ8" i="28"/>
  <c r="ALC8" i="28"/>
  <c r="AKD8" i="28"/>
  <c r="ALF8" i="28"/>
  <c r="AGE9" i="28"/>
  <c r="AFF9" i="28"/>
  <c r="AFJ9" i="28"/>
  <c r="AFN9" i="28"/>
  <c r="AFR9" i="28"/>
  <c r="AFV9" i="28"/>
  <c r="AFZ9" i="28"/>
  <c r="AGD9" i="28"/>
  <c r="AGH9" i="28"/>
  <c r="AHK9" i="28"/>
  <c r="AGL9" i="28"/>
  <c r="AHN9" i="28"/>
  <c r="AIQ9" i="28"/>
  <c r="AHR9" i="28"/>
  <c r="AIT9" i="28"/>
  <c r="AJW9" i="28"/>
  <c r="AIX9" i="28"/>
  <c r="AJZ9" i="28"/>
  <c r="ALC9" i="28"/>
  <c r="AKD9" i="28"/>
  <c r="ALF9" i="28"/>
  <c r="AGE10" i="28"/>
  <c r="AFF10" i="28"/>
  <c r="AGH10" i="28"/>
  <c r="AHK10" i="28"/>
  <c r="AGL10" i="28"/>
  <c r="AHN10" i="28"/>
  <c r="AIQ10" i="28"/>
  <c r="AHR10" i="28"/>
  <c r="AIT10" i="28"/>
  <c r="AJW10" i="28"/>
  <c r="AIX10" i="28"/>
  <c r="AJZ10" i="28"/>
  <c r="ALC10" i="28"/>
  <c r="AKD10" i="28"/>
  <c r="ALF10" i="28"/>
  <c r="AGE11" i="28"/>
  <c r="AFF11" i="28"/>
  <c r="AGH11" i="28"/>
  <c r="AHK11" i="28"/>
  <c r="AGL11" i="28"/>
  <c r="AHN11" i="28"/>
  <c r="AIQ11" i="28"/>
  <c r="AHR11" i="28"/>
  <c r="AIT11" i="28"/>
  <c r="AJW11" i="28"/>
  <c r="AIX11" i="28"/>
  <c r="AJZ11" i="28"/>
  <c r="ALC11" i="28"/>
  <c r="AKD11" i="28"/>
  <c r="ALF11" i="28"/>
  <c r="AGE12" i="28"/>
  <c r="AFF12" i="28"/>
  <c r="AFJ12" i="28"/>
  <c r="AFN12" i="28"/>
  <c r="AFR12" i="28"/>
  <c r="AFV12" i="28"/>
  <c r="AFZ12" i="28"/>
  <c r="AGD12" i="28"/>
  <c r="AGH12" i="28"/>
  <c r="AHK12" i="28"/>
  <c r="AGL12" i="28"/>
  <c r="AHN12" i="28"/>
  <c r="AIQ12" i="28"/>
  <c r="AHR12" i="28"/>
  <c r="AIT12" i="28"/>
  <c r="AJW12" i="28"/>
  <c r="AIX12" i="28"/>
  <c r="AJZ12" i="28"/>
  <c r="ALC12" i="28"/>
  <c r="AKD12" i="28"/>
  <c r="ALF12" i="28"/>
  <c r="AGE13" i="28"/>
  <c r="AFF13" i="28"/>
  <c r="AGH13" i="28"/>
  <c r="AHK13" i="28"/>
  <c r="AGL13" i="28"/>
  <c r="AHN13" i="28"/>
  <c r="AIQ13" i="28"/>
  <c r="AHR13" i="28"/>
  <c r="AIT13" i="28"/>
  <c r="AJW13" i="28"/>
  <c r="AIX13" i="28"/>
  <c r="AJZ13" i="28"/>
  <c r="ALC13" i="28"/>
  <c r="AKD13" i="28"/>
  <c r="ALF13" i="28"/>
  <c r="AGE14" i="28"/>
  <c r="AFF14" i="28"/>
  <c r="AGH14" i="28"/>
  <c r="AHK14" i="28"/>
  <c r="AGL14" i="28"/>
  <c r="AHN14" i="28"/>
  <c r="AIQ14" i="28"/>
  <c r="AHR14" i="28"/>
  <c r="AIT14" i="28"/>
  <c r="AJW14" i="28"/>
  <c r="AIX14" i="28"/>
  <c r="AJZ14" i="28"/>
  <c r="ALC14" i="28"/>
  <c r="AKD14" i="28"/>
  <c r="ALF14" i="28"/>
  <c r="AGE15" i="28"/>
  <c r="AFF15" i="28"/>
  <c r="AGH15" i="28"/>
  <c r="AHK15" i="28"/>
  <c r="AGL15" i="28"/>
  <c r="AHN15" i="28"/>
  <c r="AIQ15" i="28"/>
  <c r="AHR15" i="28"/>
  <c r="AIT15" i="28"/>
  <c r="AJW15" i="28"/>
  <c r="AIX15" i="28"/>
  <c r="AJZ15" i="28"/>
  <c r="ALC15" i="28"/>
  <c r="AKD15" i="28"/>
  <c r="ALF15" i="28"/>
  <c r="AGE16" i="28"/>
  <c r="AFF16" i="28"/>
  <c r="AGH16" i="28"/>
  <c r="AHK16" i="28"/>
  <c r="AGL16" i="28"/>
  <c r="AHN16" i="28"/>
  <c r="AIQ16" i="28"/>
  <c r="AHR16" i="28"/>
  <c r="AIT16" i="28"/>
  <c r="AJW16" i="28"/>
  <c r="AIX16" i="28"/>
  <c r="AJZ16" i="28"/>
  <c r="ALC16" i="28"/>
  <c r="AKD16" i="28"/>
  <c r="ALF16" i="28"/>
  <c r="AGE17" i="28"/>
  <c r="AFF17" i="28"/>
  <c r="AGH17" i="28"/>
  <c r="AHK17" i="28"/>
  <c r="AGL17" i="28"/>
  <c r="AHN17" i="28"/>
  <c r="AIQ17" i="28"/>
  <c r="AHR17" i="28"/>
  <c r="AIT17" i="28"/>
  <c r="AJW17" i="28"/>
  <c r="AIX17" i="28"/>
  <c r="AJZ17" i="28"/>
  <c r="ALC17" i="28"/>
  <c r="AKD17" i="28"/>
  <c r="ALF17" i="28"/>
  <c r="AGE18" i="28"/>
  <c r="AFF18" i="28"/>
  <c r="AGH18" i="28"/>
  <c r="AHK18" i="28"/>
  <c r="AGL18" i="28"/>
  <c r="AHN18" i="28"/>
  <c r="AIQ18" i="28"/>
  <c r="AHR18" i="28"/>
  <c r="AIT18" i="28"/>
  <c r="AJW18" i="28"/>
  <c r="AIX18" i="28"/>
  <c r="AJZ18" i="28"/>
  <c r="ALC18" i="28"/>
  <c r="AKD18" i="28"/>
  <c r="ALF18" i="28"/>
  <c r="AGE19" i="28"/>
  <c r="AFF19" i="28"/>
  <c r="AGH19" i="28"/>
  <c r="AHK19" i="28"/>
  <c r="AGL19" i="28"/>
  <c r="AHN19" i="28"/>
  <c r="AIQ19" i="28"/>
  <c r="AHR19" i="28"/>
  <c r="AIT19" i="28"/>
  <c r="AJW19" i="28"/>
  <c r="AIX19" i="28"/>
  <c r="AJZ19" i="28"/>
  <c r="ALC19" i="28"/>
  <c r="AKD19" i="28"/>
  <c r="ALF19" i="28"/>
  <c r="AGE20" i="28"/>
  <c r="AFF20" i="28"/>
  <c r="AGH20" i="28"/>
  <c r="AHK20" i="28"/>
  <c r="AGL20" i="28"/>
  <c r="AHN20" i="28"/>
  <c r="AIQ20" i="28"/>
  <c r="AHR20" i="28"/>
  <c r="AIT20" i="28"/>
  <c r="AJW20" i="28"/>
  <c r="AIX20" i="28"/>
  <c r="AJZ20" i="28"/>
  <c r="ALC20" i="28"/>
  <c r="AKD20" i="28"/>
  <c r="ALF20" i="28"/>
  <c r="AGE21" i="28"/>
  <c r="AFF21" i="28"/>
  <c r="AGH21" i="28"/>
  <c r="AHK21" i="28"/>
  <c r="AGL21" i="28"/>
  <c r="AHN21" i="28"/>
  <c r="AIQ21" i="28"/>
  <c r="AHR21" i="28"/>
  <c r="AIT21" i="28"/>
  <c r="AJW21" i="28"/>
  <c r="AIX21" i="28"/>
  <c r="AJZ21" i="28"/>
  <c r="ALC21" i="28"/>
  <c r="AKD21" i="28"/>
  <c r="ALF21" i="28"/>
  <c r="AGE22" i="28"/>
  <c r="AFF22" i="28"/>
  <c r="AGH22" i="28"/>
  <c r="AHK22" i="28"/>
  <c r="AGL22" i="28"/>
  <c r="AHN22" i="28"/>
  <c r="AIQ22" i="28"/>
  <c r="AHR22" i="28"/>
  <c r="AIT22" i="28"/>
  <c r="AJW22" i="28"/>
  <c r="AIX22" i="28"/>
  <c r="AJZ22" i="28"/>
  <c r="ALC22" i="28"/>
  <c r="AKD22" i="28"/>
  <c r="ALF22" i="28"/>
  <c r="AGE23" i="28"/>
  <c r="AFF23" i="28"/>
  <c r="AGH23" i="28"/>
  <c r="AHK23" i="28"/>
  <c r="AGL23" i="28"/>
  <c r="AHN23" i="28"/>
  <c r="AIQ23" i="28"/>
  <c r="AHR23" i="28"/>
  <c r="AIT23" i="28"/>
  <c r="AJW23" i="28"/>
  <c r="AIX23" i="28"/>
  <c r="AJZ23" i="28"/>
  <c r="ALC23" i="28"/>
  <c r="AKD23" i="28"/>
  <c r="ALF23" i="28"/>
  <c r="AGE24" i="28"/>
  <c r="AFF24" i="28"/>
  <c r="AGH24" i="28"/>
  <c r="AHK24" i="28"/>
  <c r="AGL24" i="28"/>
  <c r="AHN24" i="28"/>
  <c r="AIQ24" i="28"/>
  <c r="AHR24" i="28"/>
  <c r="AIT24" i="28"/>
  <c r="AJW24" i="28"/>
  <c r="AIX24" i="28"/>
  <c r="AJZ24" i="28"/>
  <c r="ALC24" i="28"/>
  <c r="AKD24" i="28"/>
  <c r="ALF24" i="28"/>
  <c r="AGE25" i="28"/>
  <c r="AFF25" i="28"/>
  <c r="AGH25" i="28"/>
  <c r="AHK25" i="28"/>
  <c r="AGL25" i="28"/>
  <c r="AHN25" i="28"/>
  <c r="AIQ25" i="28"/>
  <c r="AHR25" i="28"/>
  <c r="AIT25" i="28"/>
  <c r="AJW25" i="28"/>
  <c r="AIX25" i="28"/>
  <c r="AJZ25" i="28"/>
  <c r="ALC25" i="28"/>
  <c r="AKD25" i="28"/>
  <c r="ALF25" i="28"/>
  <c r="AGE26" i="28"/>
  <c r="AFF26" i="28"/>
  <c r="AFJ26" i="28"/>
  <c r="AFN26" i="28"/>
  <c r="AFR26" i="28"/>
  <c r="AFV26" i="28"/>
  <c r="AFZ26" i="28"/>
  <c r="AGD26" i="28"/>
  <c r="AGH26" i="28"/>
  <c r="AHK26" i="28"/>
  <c r="AGL26" i="28"/>
  <c r="AHN26" i="28"/>
  <c r="AIQ26" i="28"/>
  <c r="AHR26" i="28"/>
  <c r="AIT26" i="28"/>
  <c r="AJW26" i="28"/>
  <c r="AIX26" i="28"/>
  <c r="AJZ26" i="28"/>
  <c r="ALC26" i="28"/>
  <c r="AKD26" i="28"/>
  <c r="ALF26" i="28"/>
  <c r="AGE27" i="28"/>
  <c r="AFF27" i="28"/>
  <c r="AGH27" i="28"/>
  <c r="AHK27" i="28"/>
  <c r="AGL27" i="28"/>
  <c r="AHN27" i="28"/>
  <c r="AIQ27" i="28"/>
  <c r="AHR27" i="28"/>
  <c r="AIT27" i="28"/>
  <c r="AJW27" i="28"/>
  <c r="AIX27" i="28"/>
  <c r="AJZ27" i="28"/>
  <c r="ALC27" i="28"/>
  <c r="AKD27" i="28"/>
  <c r="ALF27" i="28"/>
  <c r="AGE28" i="28"/>
  <c r="AFF28" i="28"/>
  <c r="AGH28" i="28"/>
  <c r="AHK28" i="28"/>
  <c r="AGL28" i="28"/>
  <c r="AHN28" i="28"/>
  <c r="AIQ28" i="28"/>
  <c r="AHR28" i="28"/>
  <c r="AIT28" i="28"/>
  <c r="AJW28" i="28"/>
  <c r="AIX28" i="28"/>
  <c r="AJZ28" i="28"/>
  <c r="ALC28" i="28"/>
  <c r="AKD28" i="28"/>
  <c r="ALF28" i="28"/>
  <c r="AGE29" i="28"/>
  <c r="AFF29" i="28"/>
  <c r="AGH29" i="28"/>
  <c r="AHK29" i="28"/>
  <c r="AGL29" i="28"/>
  <c r="AHN29" i="28"/>
  <c r="AIQ29" i="28"/>
  <c r="AHR29" i="28"/>
  <c r="AIT29" i="28"/>
  <c r="AJW29" i="28"/>
  <c r="AIX29" i="28"/>
  <c r="AJZ29" i="28"/>
  <c r="ALC29" i="28"/>
  <c r="AKD29" i="28"/>
  <c r="ALF29" i="28"/>
  <c r="AGE30" i="28"/>
  <c r="AFF30" i="28"/>
  <c r="AGH30" i="28"/>
  <c r="AHK30" i="28"/>
  <c r="AGL30" i="28"/>
  <c r="AHN30" i="28"/>
  <c r="AIQ30" i="28"/>
  <c r="AHR30" i="28"/>
  <c r="AIT30" i="28"/>
  <c r="AJW30" i="28"/>
  <c r="AIX30" i="28"/>
  <c r="AJZ30" i="28"/>
  <c r="ALC30" i="28"/>
  <c r="AKD30" i="28"/>
  <c r="ALF30" i="28"/>
  <c r="AGE31" i="28"/>
  <c r="AFF31" i="28"/>
  <c r="AFJ31" i="28"/>
  <c r="AFN31" i="28"/>
  <c r="AFR31" i="28"/>
  <c r="AFV31" i="28"/>
  <c r="AFZ31" i="28"/>
  <c r="AGD31" i="28"/>
  <c r="AGH31" i="28"/>
  <c r="AHK31" i="28"/>
  <c r="AGL31" i="28"/>
  <c r="AHN31" i="28"/>
  <c r="AIQ31" i="28"/>
  <c r="AHR31" i="28"/>
  <c r="AIT31" i="28"/>
  <c r="AJW31" i="28"/>
  <c r="AIX31" i="28"/>
  <c r="AJZ31" i="28"/>
  <c r="ALC31" i="28"/>
  <c r="AKD31" i="28"/>
  <c r="ALF31" i="28"/>
  <c r="AGE32" i="28"/>
  <c r="AFF32" i="28"/>
  <c r="AGH32" i="28"/>
  <c r="AHK32" i="28"/>
  <c r="AGL32" i="28"/>
  <c r="AHN32" i="28"/>
  <c r="AIQ32" i="28"/>
  <c r="AHR32" i="28"/>
  <c r="AIT32" i="28"/>
  <c r="AJW32" i="28"/>
  <c r="AIX32" i="28"/>
  <c r="AJZ32" i="28"/>
  <c r="ALC32" i="28"/>
  <c r="AKD32" i="28"/>
  <c r="ALF32" i="28"/>
  <c r="AGE33" i="28"/>
  <c r="AFF33" i="28"/>
  <c r="AGH33" i="28"/>
  <c r="AHK33" i="28"/>
  <c r="AGL33" i="28"/>
  <c r="AHN33" i="28"/>
  <c r="AIQ33" i="28"/>
  <c r="AHR33" i="28"/>
  <c r="AIT33" i="28"/>
  <c r="AJW33" i="28"/>
  <c r="AIX33" i="28"/>
  <c r="AJZ33" i="28"/>
  <c r="ALC33" i="28"/>
  <c r="AKD33" i="28"/>
  <c r="ALF33" i="28"/>
  <c r="AGE34" i="28"/>
  <c r="AFF34" i="28"/>
  <c r="AGH34" i="28"/>
  <c r="AHK34" i="28"/>
  <c r="AGL34" i="28"/>
  <c r="AHN34" i="28"/>
  <c r="AIQ34" i="28"/>
  <c r="AHR34" i="28"/>
  <c r="AIT34" i="28"/>
  <c r="AJW34" i="28"/>
  <c r="AIX34" i="28"/>
  <c r="AJZ34" i="28"/>
  <c r="ALC34" i="28"/>
  <c r="AKD34" i="28"/>
  <c r="ALF34" i="28"/>
  <c r="AFF36" i="28"/>
  <c r="AFJ36" i="28"/>
  <c r="AFN36" i="28"/>
  <c r="AFR36" i="28"/>
  <c r="AFV36" i="28"/>
  <c r="AFZ36" i="28"/>
  <c r="AGD36" i="28"/>
  <c r="AGL36" i="28"/>
  <c r="AGP36" i="28"/>
  <c r="AGT36" i="28"/>
  <c r="AGX36" i="28"/>
  <c r="AHB36" i="28"/>
  <c r="AHF36" i="28"/>
  <c r="AHJ36" i="28"/>
  <c r="AHR36" i="28"/>
  <c r="AHV36" i="28"/>
  <c r="AHZ36" i="28"/>
  <c r="AID36" i="28"/>
  <c r="AIH36" i="28"/>
  <c r="AIL36" i="28"/>
  <c r="AIP36" i="28"/>
  <c r="AIX36" i="28"/>
  <c r="AJB36" i="28"/>
  <c r="AJF36" i="28"/>
  <c r="AJJ36" i="28"/>
  <c r="AJN36" i="28"/>
  <c r="AJR36" i="28"/>
  <c r="AJV36" i="28"/>
  <c r="AKD36" i="28"/>
  <c r="AKH36" i="28"/>
  <c r="AKL36" i="28"/>
  <c r="AKP36" i="28"/>
  <c r="AKT36" i="28"/>
  <c r="AKX36" i="28"/>
  <c r="ALB36" i="28"/>
  <c r="AAE36" i="28"/>
  <c r="ABG7" i="28"/>
  <c r="AAI36" i="28"/>
  <c r="AAL7" i="28"/>
  <c r="AAM36" i="28"/>
  <c r="AAP7" i="28"/>
  <c r="AAQ36" i="28"/>
  <c r="AAT7" i="28"/>
  <c r="AAU36" i="28"/>
  <c r="AAX7" i="28"/>
  <c r="AAY36" i="28"/>
  <c r="ABB7" i="28"/>
  <c r="ABC36" i="28"/>
  <c r="ABF7" i="28"/>
  <c r="ABI36" i="28"/>
  <c r="ABI50" i="28" s="1"/>
  <c r="ABJ7" i="28"/>
  <c r="ABK36" i="28"/>
  <c r="ACM7" i="28"/>
  <c r="ABN7" i="28"/>
  <c r="ABO36" i="28"/>
  <c r="ABR7" i="28"/>
  <c r="ABS36" i="28"/>
  <c r="ABV7" i="28"/>
  <c r="ABW36" i="28"/>
  <c r="ABZ7" i="28"/>
  <c r="ACA36" i="28"/>
  <c r="ACD7" i="28"/>
  <c r="ACE36" i="28"/>
  <c r="ACH7" i="28"/>
  <c r="ACI36" i="28"/>
  <c r="ACL7" i="28"/>
  <c r="ACO36" i="28"/>
  <c r="ACO50" i="28" s="1"/>
  <c r="ACP7" i="28"/>
  <c r="ACQ36" i="28"/>
  <c r="ADS7" i="28"/>
  <c r="ACT7" i="28"/>
  <c r="ACU36" i="28"/>
  <c r="ACX7" i="28"/>
  <c r="ACY36" i="28"/>
  <c r="ADB7" i="28"/>
  <c r="ADC36" i="28"/>
  <c r="ADF7" i="28"/>
  <c r="ADG36" i="28"/>
  <c r="ADJ7" i="28"/>
  <c r="ADK36" i="28"/>
  <c r="ADN7" i="28"/>
  <c r="ADO36" i="28"/>
  <c r="ADR7" i="28"/>
  <c r="ADU36" i="28"/>
  <c r="ADU50" i="28" s="1"/>
  <c r="ADV7" i="28"/>
  <c r="ADW36" i="28"/>
  <c r="AEY7" i="28"/>
  <c r="ADZ7" i="28"/>
  <c r="AEA36" i="28"/>
  <c r="AED7" i="28"/>
  <c r="AEE36" i="28"/>
  <c r="AEH7" i="28"/>
  <c r="AEI36" i="28"/>
  <c r="AEL7" i="28"/>
  <c r="AEM36" i="28"/>
  <c r="AEP7" i="28"/>
  <c r="AEQ36" i="28"/>
  <c r="AET7" i="28"/>
  <c r="AEU36" i="28"/>
  <c r="AEX7" i="28"/>
  <c r="AFA36" i="28"/>
  <c r="AFA50" i="28" s="1"/>
  <c r="AFB7" i="28"/>
  <c r="ABG8" i="28"/>
  <c r="AAH8" i="28"/>
  <c r="ABJ8" i="28"/>
  <c r="ACM8" i="28"/>
  <c r="ABN8" i="28"/>
  <c r="ACP8" i="28"/>
  <c r="ADS8" i="28"/>
  <c r="ACT8" i="28"/>
  <c r="ADV8" i="28"/>
  <c r="AEY8" i="28"/>
  <c r="ADZ8" i="28"/>
  <c r="AFB8" i="28"/>
  <c r="ABG9" i="28"/>
  <c r="AAH9" i="28"/>
  <c r="ABJ9" i="28"/>
  <c r="ACM9" i="28"/>
  <c r="ABN9" i="28"/>
  <c r="ACP9" i="28"/>
  <c r="ADS9" i="28"/>
  <c r="ACT9" i="28"/>
  <c r="ADV9" i="28"/>
  <c r="AEY9" i="28"/>
  <c r="ADZ9" i="28"/>
  <c r="AFB9" i="28"/>
  <c r="ABG10" i="28"/>
  <c r="AAH10" i="28"/>
  <c r="ABJ10" i="28"/>
  <c r="ACM10" i="28"/>
  <c r="ABN10" i="28"/>
  <c r="ACP10" i="28"/>
  <c r="ADS10" i="28"/>
  <c r="ACT10" i="28"/>
  <c r="ADV10" i="28"/>
  <c r="AEY10" i="28"/>
  <c r="ADZ10" i="28"/>
  <c r="AFB10" i="28"/>
  <c r="ABG11" i="28"/>
  <c r="AAH11" i="28"/>
  <c r="ABJ11" i="28"/>
  <c r="ACM11" i="28"/>
  <c r="ABN11" i="28"/>
  <c r="ACP11" i="28"/>
  <c r="ADS11" i="28"/>
  <c r="ACT11" i="28"/>
  <c r="ADV11" i="28"/>
  <c r="AEY11" i="28"/>
  <c r="ADZ11" i="28"/>
  <c r="AFB11" i="28"/>
  <c r="ABG12" i="28"/>
  <c r="AAH12" i="28"/>
  <c r="ABJ12" i="28"/>
  <c r="ACM12" i="28"/>
  <c r="ABN12" i="28"/>
  <c r="ACP12" i="28"/>
  <c r="ADS12" i="28"/>
  <c r="ACT12" i="28"/>
  <c r="ADV12" i="28"/>
  <c r="AEY12" i="28"/>
  <c r="ADZ12" i="28"/>
  <c r="AFB12" i="28"/>
  <c r="ABG13" i="28"/>
  <c r="AAH13" i="28"/>
  <c r="ABJ13" i="28"/>
  <c r="ACM13" i="28"/>
  <c r="ABN13" i="28"/>
  <c r="ACP13" i="28"/>
  <c r="ADS13" i="28"/>
  <c r="ACT13" i="28"/>
  <c r="ADV13" i="28"/>
  <c r="AEY13" i="28"/>
  <c r="ADZ13" i="28"/>
  <c r="AFB13" i="28"/>
  <c r="ABG14" i="28"/>
  <c r="AAH14" i="28"/>
  <c r="ABJ14" i="28"/>
  <c r="ACM14" i="28"/>
  <c r="ABN14" i="28"/>
  <c r="ACP14" i="28"/>
  <c r="ADS14" i="28"/>
  <c r="ACT14" i="28"/>
  <c r="ADV14" i="28"/>
  <c r="AEY14" i="28"/>
  <c r="ADZ14" i="28"/>
  <c r="AFB14" i="28"/>
  <c r="ABG15" i="28"/>
  <c r="AAH15" i="28"/>
  <c r="ABJ15" i="28"/>
  <c r="ACM15" i="28"/>
  <c r="ABN15" i="28"/>
  <c r="ACP15" i="28"/>
  <c r="ADS15" i="28"/>
  <c r="ACT15" i="28"/>
  <c r="ADV15" i="28"/>
  <c r="AEY15" i="28"/>
  <c r="ADZ15" i="28"/>
  <c r="AFB15" i="28"/>
  <c r="ABG16" i="28"/>
  <c r="AAH16" i="28"/>
  <c r="ABJ16" i="28"/>
  <c r="ACM16" i="28"/>
  <c r="ABN16" i="28"/>
  <c r="ACP16" i="28"/>
  <c r="ADS16" i="28"/>
  <c r="ACT16" i="28"/>
  <c r="ADV16" i="28"/>
  <c r="AEY16" i="28"/>
  <c r="ADZ16" i="28"/>
  <c r="AFB16" i="28"/>
  <c r="ABG17" i="28"/>
  <c r="AAH17" i="28"/>
  <c r="ABJ17" i="28"/>
  <c r="ACM17" i="28"/>
  <c r="ABN17" i="28"/>
  <c r="ACP17" i="28"/>
  <c r="ADS17" i="28"/>
  <c r="ACT17" i="28"/>
  <c r="ADV17" i="28"/>
  <c r="AEY17" i="28"/>
  <c r="ADZ17" i="28"/>
  <c r="AFB17" i="28"/>
  <c r="ABG18" i="28"/>
  <c r="AAH18" i="28"/>
  <c r="ABJ18" i="28"/>
  <c r="ACM18" i="28"/>
  <c r="ABN18" i="28"/>
  <c r="ACP18" i="28"/>
  <c r="ADS18" i="28"/>
  <c r="ACT18" i="28"/>
  <c r="ADV18" i="28"/>
  <c r="AEY18" i="28"/>
  <c r="ADZ18" i="28"/>
  <c r="AFB18" i="28"/>
  <c r="ABG19" i="28"/>
  <c r="AAH19" i="28"/>
  <c r="ABJ19" i="28"/>
  <c r="ACM19" i="28"/>
  <c r="ABN19" i="28"/>
  <c r="ACP19" i="28"/>
  <c r="ADS19" i="28"/>
  <c r="ACT19" i="28"/>
  <c r="ADV19" i="28"/>
  <c r="AEY19" i="28"/>
  <c r="ADZ19" i="28"/>
  <c r="AFB19" i="28"/>
  <c r="ABG20" i="28"/>
  <c r="AAH20" i="28"/>
  <c r="ABJ20" i="28"/>
  <c r="ACM20" i="28"/>
  <c r="ABN20" i="28"/>
  <c r="ACP20" i="28"/>
  <c r="ADS20" i="28"/>
  <c r="ACT20" i="28"/>
  <c r="ADV20" i="28"/>
  <c r="AEY20" i="28"/>
  <c r="ADZ20" i="28"/>
  <c r="AFB20" i="28"/>
  <c r="ABG21" i="28"/>
  <c r="AAH21" i="28"/>
  <c r="ABJ21" i="28"/>
  <c r="ACM21" i="28"/>
  <c r="ABN21" i="28"/>
  <c r="ACP21" i="28"/>
  <c r="ADS21" i="28"/>
  <c r="ACT21" i="28"/>
  <c r="ADV21" i="28"/>
  <c r="AEY21" i="28"/>
  <c r="ADZ21" i="28"/>
  <c r="AFB21" i="28"/>
  <c r="ABG22" i="28"/>
  <c r="AAH22" i="28"/>
  <c r="ABJ22" i="28"/>
  <c r="ACM22" i="28"/>
  <c r="ABN22" i="28"/>
  <c r="ACP22" i="28"/>
  <c r="ADS22" i="28"/>
  <c r="ACT22" i="28"/>
  <c r="ADV22" i="28"/>
  <c r="AEY22" i="28"/>
  <c r="ADZ22" i="28"/>
  <c r="AFB22" i="28"/>
  <c r="ABG23" i="28"/>
  <c r="AAH23" i="28"/>
  <c r="ABJ23" i="28"/>
  <c r="ACM23" i="28"/>
  <c r="ABN23" i="28"/>
  <c r="ACP23" i="28"/>
  <c r="ADS23" i="28"/>
  <c r="ACT23" i="28"/>
  <c r="ADV23" i="28"/>
  <c r="AEY23" i="28"/>
  <c r="ADZ23" i="28"/>
  <c r="AFB23" i="28"/>
  <c r="ABG24" i="28"/>
  <c r="AAH24" i="28"/>
  <c r="ABJ24" i="28"/>
  <c r="ACM24" i="28"/>
  <c r="ABN24" i="28"/>
  <c r="ACP24" i="28"/>
  <c r="ADS24" i="28"/>
  <c r="ACT24" i="28"/>
  <c r="ADV24" i="28"/>
  <c r="AEY24" i="28"/>
  <c r="ADZ24" i="28"/>
  <c r="AFB24" i="28"/>
  <c r="ABG25" i="28"/>
  <c r="AAH25" i="28"/>
  <c r="ABJ25" i="28"/>
  <c r="ACM25" i="28"/>
  <c r="ABN25" i="28"/>
  <c r="ACP25" i="28"/>
  <c r="ADS25" i="28"/>
  <c r="ACT25" i="28"/>
  <c r="ADV25" i="28"/>
  <c r="AEY25" i="28"/>
  <c r="ADZ25" i="28"/>
  <c r="AFB25" i="28"/>
  <c r="ABG26" i="28"/>
  <c r="AAH26" i="28"/>
  <c r="ABJ26" i="28"/>
  <c r="ACM26" i="28"/>
  <c r="ABN26" i="28"/>
  <c r="ACP26" i="28"/>
  <c r="ADS26" i="28"/>
  <c r="ACT26" i="28"/>
  <c r="ADV26" i="28"/>
  <c r="AEY26" i="28"/>
  <c r="ADZ26" i="28"/>
  <c r="AFB26" i="28"/>
  <c r="ABG27" i="28"/>
  <c r="AAH27" i="28"/>
  <c r="ABJ27" i="28"/>
  <c r="ACM27" i="28"/>
  <c r="ABN27" i="28"/>
  <c r="ACP27" i="28"/>
  <c r="ADS27" i="28"/>
  <c r="ACT27" i="28"/>
  <c r="ADV27" i="28"/>
  <c r="AEY27" i="28"/>
  <c r="ADZ27" i="28"/>
  <c r="AFB27" i="28"/>
  <c r="ABG28" i="28"/>
  <c r="AAH28" i="28"/>
  <c r="ABJ28" i="28"/>
  <c r="ACM28" i="28"/>
  <c r="ABN28" i="28"/>
  <c r="ACP28" i="28"/>
  <c r="ADS28" i="28"/>
  <c r="ACT28" i="28"/>
  <c r="ADV28" i="28"/>
  <c r="AEY28" i="28"/>
  <c r="ADZ28" i="28"/>
  <c r="AFB28" i="28"/>
  <c r="ABG29" i="28"/>
  <c r="AAH29" i="28"/>
  <c r="ABJ29" i="28"/>
  <c r="ACM29" i="28"/>
  <c r="ABN29" i="28"/>
  <c r="ACP29" i="28"/>
  <c r="ADS29" i="28"/>
  <c r="ACT29" i="28"/>
  <c r="ADV29" i="28"/>
  <c r="AEY29" i="28"/>
  <c r="ADZ29" i="28"/>
  <c r="AFB29" i="28"/>
  <c r="ABG30" i="28"/>
  <c r="AAH30" i="28"/>
  <c r="ABJ30" i="28"/>
  <c r="ACM30" i="28"/>
  <c r="ABN30" i="28"/>
  <c r="ACP30" i="28"/>
  <c r="ADS30" i="28"/>
  <c r="ACT30" i="28"/>
  <c r="ADV30" i="28"/>
  <c r="AEY30" i="28"/>
  <c r="ADZ30" i="28"/>
  <c r="AFB30" i="28"/>
  <c r="ABG31" i="28"/>
  <c r="AAH31" i="28"/>
  <c r="ABJ31" i="28"/>
  <c r="ACM31" i="28"/>
  <c r="ABN31" i="28"/>
  <c r="ACP31" i="28"/>
  <c r="ADS31" i="28"/>
  <c r="ACT31" i="28"/>
  <c r="ADV31" i="28"/>
  <c r="AEY31" i="28"/>
  <c r="ADZ31" i="28"/>
  <c r="AFB31" i="28"/>
  <c r="ABG32" i="28"/>
  <c r="AAH32" i="28"/>
  <c r="ABJ32" i="28"/>
  <c r="ACM32" i="28"/>
  <c r="ABN32" i="28"/>
  <c r="ACP32" i="28"/>
  <c r="ADS32" i="28"/>
  <c r="ACT32" i="28"/>
  <c r="ADV32" i="28"/>
  <c r="AEY32" i="28"/>
  <c r="ADZ32" i="28"/>
  <c r="AFB32" i="28"/>
  <c r="ABG33" i="28"/>
  <c r="AAH33" i="28"/>
  <c r="ABJ33" i="28"/>
  <c r="ACM33" i="28"/>
  <c r="ABN33" i="28"/>
  <c r="ACP33" i="28"/>
  <c r="ADS33" i="28"/>
  <c r="ACT33" i="28"/>
  <c r="ADV33" i="28"/>
  <c r="AEY33" i="28"/>
  <c r="ADZ33" i="28"/>
  <c r="AFB33" i="28"/>
  <c r="ABG34" i="28"/>
  <c r="AAH34" i="28"/>
  <c r="ABJ34" i="28"/>
  <c r="ACM34" i="28"/>
  <c r="ABN34" i="28"/>
  <c r="ACP34" i="28"/>
  <c r="ADS34" i="28"/>
  <c r="ACT34" i="28"/>
  <c r="ADV34" i="28"/>
  <c r="AEY34" i="28"/>
  <c r="ADZ34" i="28"/>
  <c r="AFB34" i="28"/>
  <c r="AAH36" i="28"/>
  <c r="AAL36" i="28"/>
  <c r="AAP36" i="28"/>
  <c r="AAT36" i="28"/>
  <c r="AAX36" i="28"/>
  <c r="ABB36" i="28"/>
  <c r="ABF36" i="28"/>
  <c r="ABN36" i="28"/>
  <c r="ABR36" i="28"/>
  <c r="ABV36" i="28"/>
  <c r="ABZ36" i="28"/>
  <c r="ACD36" i="28"/>
  <c r="ACH36" i="28"/>
  <c r="ACL36" i="28"/>
  <c r="ACT36" i="28"/>
  <c r="ACX36" i="28"/>
  <c r="ADB36" i="28"/>
  <c r="ADF36" i="28"/>
  <c r="ADJ36" i="28"/>
  <c r="ADN36" i="28"/>
  <c r="ADR36" i="28"/>
  <c r="ADZ36" i="28"/>
  <c r="AED36" i="28"/>
  <c r="AEH36" i="28"/>
  <c r="AEL36" i="28"/>
  <c r="AEP36" i="28"/>
  <c r="AET36" i="28"/>
  <c r="AEX36" i="28"/>
  <c r="VG36" i="28"/>
  <c r="VJ7" i="28"/>
  <c r="VK36" i="28"/>
  <c r="VN7" i="28"/>
  <c r="VO36" i="28"/>
  <c r="VR7" i="28"/>
  <c r="VS36" i="28"/>
  <c r="VV7" i="28"/>
  <c r="VW36" i="28"/>
  <c r="VZ7" i="28"/>
  <c r="WA36" i="28"/>
  <c r="WD7" i="28"/>
  <c r="WE36" i="28"/>
  <c r="WH7" i="28"/>
  <c r="WK36" i="28"/>
  <c r="WK50" i="28" s="1"/>
  <c r="WL7" i="28"/>
  <c r="WM36" i="28"/>
  <c r="XO7" i="28"/>
  <c r="WP7" i="28"/>
  <c r="WQ36" i="28"/>
  <c r="WT7" i="28"/>
  <c r="WU36" i="28"/>
  <c r="WX7" i="28"/>
  <c r="WY36" i="28"/>
  <c r="XB7" i="28"/>
  <c r="XC36" i="28"/>
  <c r="XF7" i="28"/>
  <c r="XG36" i="28"/>
  <c r="XJ7" i="28"/>
  <c r="XK36" i="28"/>
  <c r="XN7" i="28"/>
  <c r="XQ36" i="28"/>
  <c r="XQ50" i="28" s="1"/>
  <c r="XR7" i="28"/>
  <c r="XS36" i="28"/>
  <c r="YU7" i="28"/>
  <c r="XV7" i="28"/>
  <c r="XW36" i="28"/>
  <c r="XW50" i="28" s="1"/>
  <c r="XZ7" i="28"/>
  <c r="YA36" i="28"/>
  <c r="YD7" i="28"/>
  <c r="YE36" i="28"/>
  <c r="YH7" i="28"/>
  <c r="YI36" i="28"/>
  <c r="YL7" i="28"/>
  <c r="YM36" i="28"/>
  <c r="YP7" i="28"/>
  <c r="YQ36" i="28"/>
  <c r="YT7" i="28"/>
  <c r="YW36" i="28"/>
  <c r="YW50" i="28" s="1"/>
  <c r="YX7" i="28"/>
  <c r="YY36" i="28"/>
  <c r="AAA7" i="28"/>
  <c r="ZB7" i="28"/>
  <c r="ZC36" i="28"/>
  <c r="ZF7" i="28"/>
  <c r="ZG36" i="28"/>
  <c r="ZJ7" i="28"/>
  <c r="ZK36" i="28"/>
  <c r="ZN7" i="28"/>
  <c r="ZO36" i="28"/>
  <c r="ZR7" i="28"/>
  <c r="ZS36" i="28"/>
  <c r="ZV7" i="28"/>
  <c r="ZW36" i="28"/>
  <c r="ZZ7" i="28"/>
  <c r="AAC36" i="28"/>
  <c r="AAC50" i="28" s="1"/>
  <c r="AAD7" i="28"/>
  <c r="VJ8" i="28"/>
  <c r="WL8" i="28"/>
  <c r="XO8" i="28"/>
  <c r="WP8" i="28"/>
  <c r="XR8" i="28"/>
  <c r="YU8" i="28"/>
  <c r="XV8" i="28"/>
  <c r="YX8" i="28"/>
  <c r="AAA8" i="28"/>
  <c r="ZB8" i="28"/>
  <c r="AAD8" i="28"/>
  <c r="VJ9" i="28"/>
  <c r="WL9" i="28"/>
  <c r="XO9" i="28"/>
  <c r="WP9" i="28"/>
  <c r="XR9" i="28"/>
  <c r="YU9" i="28"/>
  <c r="XV9" i="28"/>
  <c r="YX9" i="28"/>
  <c r="AAA9" i="28"/>
  <c r="ZB9" i="28"/>
  <c r="AAD9" i="28"/>
  <c r="VJ10" i="28"/>
  <c r="WL10" i="28"/>
  <c r="XO10" i="28"/>
  <c r="WP10" i="28"/>
  <c r="XR10" i="28"/>
  <c r="YU10" i="28"/>
  <c r="XV10" i="28"/>
  <c r="YX10" i="28"/>
  <c r="AAA10" i="28"/>
  <c r="ZB10" i="28"/>
  <c r="AAD10" i="28"/>
  <c r="VJ11" i="28"/>
  <c r="WL11" i="28"/>
  <c r="XO11" i="28"/>
  <c r="WP11" i="28"/>
  <c r="XR11" i="28"/>
  <c r="YU11" i="28"/>
  <c r="XV11" i="28"/>
  <c r="YX11" i="28"/>
  <c r="AAA11" i="28"/>
  <c r="ZB11" i="28"/>
  <c r="AAD11" i="28"/>
  <c r="VJ12" i="28"/>
  <c r="WL12" i="28"/>
  <c r="XO12" i="28"/>
  <c r="WP12" i="28"/>
  <c r="XR12" i="28"/>
  <c r="YU12" i="28"/>
  <c r="XV12" i="28"/>
  <c r="YX12" i="28"/>
  <c r="AAA12" i="28"/>
  <c r="ZB12" i="28"/>
  <c r="AAD12" i="28"/>
  <c r="VJ13" i="28"/>
  <c r="WL13" i="28"/>
  <c r="XO13" i="28"/>
  <c r="WP13" i="28"/>
  <c r="XR13" i="28"/>
  <c r="YU13" i="28"/>
  <c r="XV13" i="28"/>
  <c r="YX13" i="28"/>
  <c r="AAA13" i="28"/>
  <c r="ZB13" i="28"/>
  <c r="AAD13" i="28"/>
  <c r="VJ14" i="28"/>
  <c r="WL14" i="28"/>
  <c r="XO14" i="28"/>
  <c r="WP14" i="28"/>
  <c r="XR14" i="28"/>
  <c r="YU14" i="28"/>
  <c r="XV14" i="28"/>
  <c r="YX14" i="28"/>
  <c r="AAA14" i="28"/>
  <c r="ZB14" i="28"/>
  <c r="AAD14" i="28"/>
  <c r="VJ15" i="28"/>
  <c r="WL15" i="28"/>
  <c r="XO15" i="28"/>
  <c r="WP15" i="28"/>
  <c r="XR15" i="28"/>
  <c r="YU15" i="28"/>
  <c r="XV15" i="28"/>
  <c r="YX15" i="28"/>
  <c r="AAA15" i="28"/>
  <c r="ZB15" i="28"/>
  <c r="AAD15" i="28"/>
  <c r="VJ16" i="28"/>
  <c r="WL16" i="28"/>
  <c r="XO16" i="28"/>
  <c r="WP16" i="28"/>
  <c r="XR16" i="28"/>
  <c r="YU16" i="28"/>
  <c r="XV16" i="28"/>
  <c r="YX16" i="28"/>
  <c r="AAA16" i="28"/>
  <c r="ZB16" i="28"/>
  <c r="AAD16" i="28"/>
  <c r="VJ17" i="28"/>
  <c r="WL17" i="28"/>
  <c r="XO17" i="28"/>
  <c r="WP17" i="28"/>
  <c r="XR17" i="28"/>
  <c r="YU17" i="28"/>
  <c r="XV17" i="28"/>
  <c r="YX17" i="28"/>
  <c r="AAA17" i="28"/>
  <c r="ZB17" i="28"/>
  <c r="AAD17" i="28"/>
  <c r="VJ18" i="28"/>
  <c r="WL18" i="28"/>
  <c r="XO18" i="28"/>
  <c r="WP18" i="28"/>
  <c r="XR18" i="28"/>
  <c r="YU18" i="28"/>
  <c r="XV18" i="28"/>
  <c r="YX18" i="28"/>
  <c r="AAA18" i="28"/>
  <c r="ZB18" i="28"/>
  <c r="AAD18" i="28"/>
  <c r="VJ19" i="28"/>
  <c r="WL19" i="28"/>
  <c r="XO19" i="28"/>
  <c r="WP19" i="28"/>
  <c r="XR19" i="28"/>
  <c r="YU19" i="28"/>
  <c r="XV19" i="28"/>
  <c r="YX19" i="28"/>
  <c r="AAA19" i="28"/>
  <c r="ZB19" i="28"/>
  <c r="AAD19" i="28"/>
  <c r="VJ20" i="28"/>
  <c r="WL20" i="28"/>
  <c r="XO20" i="28"/>
  <c r="WP20" i="28"/>
  <c r="XR20" i="28"/>
  <c r="YU20" i="28"/>
  <c r="XV20" i="28"/>
  <c r="YX20" i="28"/>
  <c r="AAA20" i="28"/>
  <c r="ZB20" i="28"/>
  <c r="AAD20" i="28"/>
  <c r="VJ21" i="28"/>
  <c r="WL21" i="28"/>
  <c r="XO21" i="28"/>
  <c r="WP21" i="28"/>
  <c r="XR21" i="28"/>
  <c r="YU21" i="28"/>
  <c r="XV21" i="28"/>
  <c r="YX21" i="28"/>
  <c r="AAA21" i="28"/>
  <c r="ZB21" i="28"/>
  <c r="AAD21" i="28"/>
  <c r="VJ22" i="28"/>
  <c r="WL22" i="28"/>
  <c r="XO22" i="28"/>
  <c r="WP22" i="28"/>
  <c r="XR22" i="28"/>
  <c r="YU22" i="28"/>
  <c r="XV22" i="28"/>
  <c r="YX22" i="28"/>
  <c r="AAA22" i="28"/>
  <c r="ZB22" i="28"/>
  <c r="AAD22" i="28"/>
  <c r="VJ23" i="28"/>
  <c r="WL23" i="28"/>
  <c r="XO23" i="28"/>
  <c r="WP23" i="28"/>
  <c r="XR23" i="28"/>
  <c r="YU23" i="28"/>
  <c r="XV23" i="28"/>
  <c r="YX23" i="28"/>
  <c r="AAA23" i="28"/>
  <c r="ZB23" i="28"/>
  <c r="AAD23" i="28"/>
  <c r="VJ24" i="28"/>
  <c r="WL24" i="28"/>
  <c r="XO24" i="28"/>
  <c r="WP24" i="28"/>
  <c r="XR24" i="28"/>
  <c r="YU24" i="28"/>
  <c r="XV24" i="28"/>
  <c r="YX24" i="28"/>
  <c r="AAA24" i="28"/>
  <c r="ZB24" i="28"/>
  <c r="AAD24" i="28"/>
  <c r="VJ25" i="28"/>
  <c r="WL25" i="28"/>
  <c r="XO25" i="28"/>
  <c r="WP25" i="28"/>
  <c r="XR25" i="28"/>
  <c r="YU25" i="28"/>
  <c r="XV25" i="28"/>
  <c r="YX25" i="28"/>
  <c r="AAA25" i="28"/>
  <c r="ZB25" i="28"/>
  <c r="AAD25" i="28"/>
  <c r="VJ26" i="28"/>
  <c r="WL26" i="28"/>
  <c r="XO26" i="28"/>
  <c r="WP26" i="28"/>
  <c r="XR26" i="28"/>
  <c r="YU26" i="28"/>
  <c r="XV26" i="28"/>
  <c r="YX26" i="28"/>
  <c r="AAA26" i="28"/>
  <c r="ZB26" i="28"/>
  <c r="AAD26" i="28"/>
  <c r="VJ27" i="28"/>
  <c r="WL27" i="28"/>
  <c r="XO27" i="28"/>
  <c r="WP27" i="28"/>
  <c r="XR27" i="28"/>
  <c r="YU27" i="28"/>
  <c r="XV27" i="28"/>
  <c r="YX27" i="28"/>
  <c r="AAA27" i="28"/>
  <c r="ZB27" i="28"/>
  <c r="AAD27" i="28"/>
  <c r="VJ28" i="28"/>
  <c r="WL28" i="28"/>
  <c r="XO28" i="28"/>
  <c r="WP28" i="28"/>
  <c r="XR28" i="28"/>
  <c r="YU28" i="28"/>
  <c r="XV28" i="28"/>
  <c r="YX28" i="28"/>
  <c r="AAA28" i="28"/>
  <c r="ZB28" i="28"/>
  <c r="AAD28" i="28"/>
  <c r="VJ29" i="28"/>
  <c r="WL29" i="28"/>
  <c r="XO29" i="28"/>
  <c r="WP29" i="28"/>
  <c r="XR29" i="28"/>
  <c r="YU29" i="28"/>
  <c r="XV29" i="28"/>
  <c r="YX29" i="28"/>
  <c r="AAA29" i="28"/>
  <c r="ZB29" i="28"/>
  <c r="AAD29" i="28"/>
  <c r="VJ30" i="28"/>
  <c r="WL30" i="28"/>
  <c r="XO30" i="28"/>
  <c r="WP30" i="28"/>
  <c r="XR30" i="28"/>
  <c r="YU30" i="28"/>
  <c r="XV30" i="28"/>
  <c r="YX30" i="28"/>
  <c r="AAA30" i="28"/>
  <c r="ZB30" i="28"/>
  <c r="AAD30" i="28"/>
  <c r="VJ31" i="28"/>
  <c r="WL31" i="28"/>
  <c r="XO31" i="28"/>
  <c r="WP31" i="28"/>
  <c r="XR31" i="28"/>
  <c r="YU31" i="28"/>
  <c r="XV31" i="28"/>
  <c r="YX31" i="28"/>
  <c r="AAA31" i="28"/>
  <c r="ZB31" i="28"/>
  <c r="AAD31" i="28"/>
  <c r="VJ32" i="28"/>
  <c r="WL32" i="28"/>
  <c r="XO32" i="28"/>
  <c r="WP32" i="28"/>
  <c r="XR32" i="28"/>
  <c r="YU32" i="28"/>
  <c r="XV32" i="28"/>
  <c r="YX32" i="28"/>
  <c r="AAA32" i="28"/>
  <c r="ZB32" i="28"/>
  <c r="AAD32" i="28"/>
  <c r="VJ33" i="28"/>
  <c r="WL33" i="28"/>
  <c r="XO33" i="28"/>
  <c r="WP33" i="28"/>
  <c r="XR33" i="28"/>
  <c r="YU33" i="28"/>
  <c r="XV33" i="28"/>
  <c r="YX33" i="28"/>
  <c r="AAA33" i="28"/>
  <c r="ZB33" i="28"/>
  <c r="AAD33" i="28"/>
  <c r="VJ34" i="28"/>
  <c r="WL34" i="28"/>
  <c r="XO34" i="28"/>
  <c r="WP34" i="28"/>
  <c r="XR34" i="28"/>
  <c r="YU34" i="28"/>
  <c r="XV34" i="28"/>
  <c r="YX34" i="28"/>
  <c r="AAA34" i="28"/>
  <c r="ZB34" i="28"/>
  <c r="AAD34" i="28"/>
  <c r="VJ36" i="28"/>
  <c r="VN36" i="28"/>
  <c r="VR36" i="28"/>
  <c r="VV36" i="28"/>
  <c r="VZ36" i="28"/>
  <c r="WD36" i="28"/>
  <c r="WH36" i="28"/>
  <c r="WP36" i="28"/>
  <c r="WT36" i="28"/>
  <c r="WX36" i="28"/>
  <c r="XB36" i="28"/>
  <c r="XF36" i="28"/>
  <c r="XJ36" i="28"/>
  <c r="XN36" i="28"/>
  <c r="XV36" i="28"/>
  <c r="XZ36" i="28"/>
  <c r="YD36" i="28"/>
  <c r="YH36" i="28"/>
  <c r="YL36" i="28"/>
  <c r="YP36" i="28"/>
  <c r="YT36" i="28"/>
  <c r="ZB36" i="28"/>
  <c r="ZF36" i="28"/>
  <c r="ZJ36" i="28"/>
  <c r="ZN36" i="28"/>
  <c r="ZR36" i="28"/>
  <c r="ZV36" i="28"/>
  <c r="ZZ36" i="28"/>
  <c r="PC36" i="28"/>
  <c r="PC50" i="28" s="1"/>
  <c r="QE7" i="28"/>
  <c r="PF7" i="28"/>
  <c r="PG36" i="28"/>
  <c r="PG50" i="28" s="1"/>
  <c r="PJ7" i="28"/>
  <c r="PK36" i="28"/>
  <c r="PK50" i="28" s="1"/>
  <c r="PN7" i="28"/>
  <c r="PO36" i="28"/>
  <c r="PO50" i="28" s="1"/>
  <c r="PR7" i="28"/>
  <c r="PS36" i="28"/>
  <c r="PS50" i="28" s="1"/>
  <c r="PV7" i="28"/>
  <c r="PW36" i="28"/>
  <c r="PW50" i="28" s="1"/>
  <c r="PZ7" i="28"/>
  <c r="QA36" i="28"/>
  <c r="QA50" i="28" s="1"/>
  <c r="QD7" i="28"/>
  <c r="QH7" i="28"/>
  <c r="QI36" i="28"/>
  <c r="QI50" i="28" s="1"/>
  <c r="RK7" i="28"/>
  <c r="QL7" i="28"/>
  <c r="QJ36" i="28"/>
  <c r="QM36" i="28"/>
  <c r="QM50" i="28" s="1"/>
  <c r="QP7" i="28"/>
  <c r="QQ36" i="28"/>
  <c r="QQ50" i="28" s="1"/>
  <c r="QT7" i="28"/>
  <c r="QU36" i="28"/>
  <c r="QU50" i="28" s="1"/>
  <c r="QX7" i="28"/>
  <c r="QY36" i="28"/>
  <c r="QY50" i="28" s="1"/>
  <c r="RB7" i="28"/>
  <c r="RC36" i="28"/>
  <c r="RC50" i="28" s="1"/>
  <c r="RF7" i="28"/>
  <c r="RG36" i="28"/>
  <c r="RG50" i="28" s="1"/>
  <c r="RJ7" i="28"/>
  <c r="RM36" i="28"/>
  <c r="RN7" i="28"/>
  <c r="RO36" i="28"/>
  <c r="RO50" i="28" s="1"/>
  <c r="SQ7" i="28"/>
  <c r="RR7" i="28"/>
  <c r="RS36" i="28"/>
  <c r="RS50" i="28" s="1"/>
  <c r="RV7" i="28"/>
  <c r="RW36" i="28"/>
  <c r="RW50" i="28" s="1"/>
  <c r="RZ7" i="28"/>
  <c r="SA36" i="28"/>
  <c r="SA50" i="28" s="1"/>
  <c r="SD7" i="28"/>
  <c r="SE36" i="28"/>
  <c r="SE50" i="28" s="1"/>
  <c r="SH7" i="28"/>
  <c r="SI36" i="28"/>
  <c r="SI50" i="28" s="1"/>
  <c r="SL7" i="28"/>
  <c r="SM36" i="28"/>
  <c r="SM50" i="28" s="1"/>
  <c r="SP7" i="28"/>
  <c r="SS36" i="28"/>
  <c r="ST7" i="28"/>
  <c r="SU36" i="28"/>
  <c r="SU50" i="28" s="1"/>
  <c r="TW7" i="28"/>
  <c r="SX7" i="28"/>
  <c r="SY36" i="28"/>
  <c r="SY50" i="28" s="1"/>
  <c r="TB7" i="28"/>
  <c r="TC36" i="28"/>
  <c r="TC50" i="28" s="1"/>
  <c r="TF7" i="28"/>
  <c r="TG36" i="28"/>
  <c r="TG50" i="28" s="1"/>
  <c r="TJ7" i="28"/>
  <c r="TK36" i="28"/>
  <c r="TK50" i="28" s="1"/>
  <c r="TN7" i="28"/>
  <c r="TO36" i="28"/>
  <c r="TO50" i="28" s="1"/>
  <c r="TR7" i="28"/>
  <c r="TS36" i="28"/>
  <c r="TS50" i="28" s="1"/>
  <c r="TV7" i="28"/>
  <c r="TY36" i="28"/>
  <c r="TZ7" i="28"/>
  <c r="UA36" i="28"/>
  <c r="UD7" i="28"/>
  <c r="UE36" i="28"/>
  <c r="UH7" i="28"/>
  <c r="UI36" i="28"/>
  <c r="UL7" i="28"/>
  <c r="UM36" i="28"/>
  <c r="UP7" i="28"/>
  <c r="UQ36" i="28"/>
  <c r="UT7" i="28"/>
  <c r="UU36" i="28"/>
  <c r="UX7" i="28"/>
  <c r="UY36" i="28"/>
  <c r="VB7" i="28"/>
  <c r="VE36" i="28"/>
  <c r="VF7" i="28"/>
  <c r="QE8" i="28"/>
  <c r="PF8" i="28"/>
  <c r="QH8" i="28"/>
  <c r="RK8" i="28"/>
  <c r="QL8" i="28"/>
  <c r="RN8" i="28"/>
  <c r="SQ8" i="28"/>
  <c r="RR8" i="28"/>
  <c r="ST8" i="28"/>
  <c r="TW8" i="28"/>
  <c r="SX8" i="28"/>
  <c r="TZ8" i="28"/>
  <c r="UD8" i="28"/>
  <c r="VF8" i="28"/>
  <c r="QE9" i="28"/>
  <c r="PF9" i="28"/>
  <c r="PJ9" i="28"/>
  <c r="PN9" i="28"/>
  <c r="PR9" i="28"/>
  <c r="PV9" i="28"/>
  <c r="PZ9" i="28"/>
  <c r="QD9" i="28"/>
  <c r="QH9" i="28"/>
  <c r="RK9" i="28"/>
  <c r="QL9" i="28"/>
  <c r="RN9" i="28"/>
  <c r="SQ9" i="28"/>
  <c r="RR9" i="28"/>
  <c r="ST9" i="28"/>
  <c r="TW9" i="28"/>
  <c r="SX9" i="28"/>
  <c r="TZ9" i="28"/>
  <c r="UD9" i="28"/>
  <c r="VF9" i="28"/>
  <c r="QE10" i="28"/>
  <c r="PF10" i="28"/>
  <c r="QH10" i="28"/>
  <c r="RK10" i="28"/>
  <c r="QL10" i="28"/>
  <c r="RN10" i="28"/>
  <c r="SQ10" i="28"/>
  <c r="RR10" i="28"/>
  <c r="ST10" i="28"/>
  <c r="TW10" i="28"/>
  <c r="SX10" i="28"/>
  <c r="TZ10" i="28"/>
  <c r="UD10" i="28"/>
  <c r="VF10" i="28"/>
  <c r="QE11" i="28"/>
  <c r="PF11" i="28"/>
  <c r="QH11" i="28"/>
  <c r="RK11" i="28"/>
  <c r="QL11" i="28"/>
  <c r="RN11" i="28"/>
  <c r="SQ11" i="28"/>
  <c r="RR11" i="28"/>
  <c r="ST11" i="28"/>
  <c r="TW11" i="28"/>
  <c r="SX11" i="28"/>
  <c r="TZ11" i="28"/>
  <c r="UD11" i="28"/>
  <c r="VF11" i="28"/>
  <c r="QE12" i="28"/>
  <c r="PF12" i="28"/>
  <c r="PJ12" i="28"/>
  <c r="PN12" i="28"/>
  <c r="PR12" i="28"/>
  <c r="PV12" i="28"/>
  <c r="PZ12" i="28"/>
  <c r="QD12" i="28"/>
  <c r="QH12" i="28"/>
  <c r="RK12" i="28"/>
  <c r="QL12" i="28"/>
  <c r="RN12" i="28"/>
  <c r="SQ12" i="28"/>
  <c r="RR12" i="28"/>
  <c r="ST12" i="28"/>
  <c r="TW12" i="28"/>
  <c r="SX12" i="28"/>
  <c r="TZ12" i="28"/>
  <c r="UD12" i="28"/>
  <c r="VF12" i="28"/>
  <c r="QE13" i="28"/>
  <c r="PF13" i="28"/>
  <c r="QH13" i="28"/>
  <c r="RK13" i="28"/>
  <c r="QL13" i="28"/>
  <c r="RN13" i="28"/>
  <c r="SQ13" i="28"/>
  <c r="RR13" i="28"/>
  <c r="ST13" i="28"/>
  <c r="TW13" i="28"/>
  <c r="SX13" i="28"/>
  <c r="TZ13" i="28"/>
  <c r="UD13" i="28"/>
  <c r="VF13" i="28"/>
  <c r="QE14" i="28"/>
  <c r="PF14" i="28"/>
  <c r="QH14" i="28"/>
  <c r="RK14" i="28"/>
  <c r="QL14" i="28"/>
  <c r="RN14" i="28"/>
  <c r="SQ14" i="28"/>
  <c r="RR14" i="28"/>
  <c r="ST14" i="28"/>
  <c r="TW14" i="28"/>
  <c r="SX14" i="28"/>
  <c r="TZ14" i="28"/>
  <c r="UD14" i="28"/>
  <c r="VF14" i="28"/>
  <c r="QE15" i="28"/>
  <c r="PF15" i="28"/>
  <c r="QH15" i="28"/>
  <c r="RK15" i="28"/>
  <c r="QL15" i="28"/>
  <c r="RN15" i="28"/>
  <c r="SQ15" i="28"/>
  <c r="RR15" i="28"/>
  <c r="ST15" i="28"/>
  <c r="TW15" i="28"/>
  <c r="SX15" i="28"/>
  <c r="TZ15" i="28"/>
  <c r="UD15" i="28"/>
  <c r="VF15" i="28"/>
  <c r="QE16" i="28"/>
  <c r="PF16" i="28"/>
  <c r="QH16" i="28"/>
  <c r="RK16" i="28"/>
  <c r="QL16" i="28"/>
  <c r="RN16" i="28"/>
  <c r="SQ16" i="28"/>
  <c r="RR16" i="28"/>
  <c r="ST16" i="28"/>
  <c r="TW16" i="28"/>
  <c r="SX16" i="28"/>
  <c r="TZ16" i="28"/>
  <c r="UD16" i="28"/>
  <c r="VF16" i="28"/>
  <c r="QE17" i="28"/>
  <c r="PF17" i="28"/>
  <c r="QH17" i="28"/>
  <c r="RK17" i="28"/>
  <c r="QL17" i="28"/>
  <c r="RN17" i="28"/>
  <c r="SQ17" i="28"/>
  <c r="RR17" i="28"/>
  <c r="ST17" i="28"/>
  <c r="TW17" i="28"/>
  <c r="SX17" i="28"/>
  <c r="TZ17" i="28"/>
  <c r="UD17" i="28"/>
  <c r="VF17" i="28"/>
  <c r="QE18" i="28"/>
  <c r="PF18" i="28"/>
  <c r="QH18" i="28"/>
  <c r="RK18" i="28"/>
  <c r="QL18" i="28"/>
  <c r="RN18" i="28"/>
  <c r="SQ18" i="28"/>
  <c r="RR18" i="28"/>
  <c r="ST18" i="28"/>
  <c r="TW18" i="28"/>
  <c r="SX18" i="28"/>
  <c r="TZ18" i="28"/>
  <c r="UD18" i="28"/>
  <c r="VF18" i="28"/>
  <c r="QE19" i="28"/>
  <c r="PF19" i="28"/>
  <c r="QH19" i="28"/>
  <c r="RK19" i="28"/>
  <c r="QL19" i="28"/>
  <c r="RN19" i="28"/>
  <c r="SQ19" i="28"/>
  <c r="RR19" i="28"/>
  <c r="ST19" i="28"/>
  <c r="TW19" i="28"/>
  <c r="SX19" i="28"/>
  <c r="TZ19" i="28"/>
  <c r="UD19" i="28"/>
  <c r="VF19" i="28"/>
  <c r="QE20" i="28"/>
  <c r="PF20" i="28"/>
  <c r="QH20" i="28"/>
  <c r="RK20" i="28"/>
  <c r="QL20" i="28"/>
  <c r="RN20" i="28"/>
  <c r="SQ20" i="28"/>
  <c r="RR20" i="28"/>
  <c r="ST20" i="28"/>
  <c r="TW20" i="28"/>
  <c r="SX20" i="28"/>
  <c r="TZ20" i="28"/>
  <c r="UD20" i="28"/>
  <c r="VF20" i="28"/>
  <c r="QE21" i="28"/>
  <c r="PF21" i="28"/>
  <c r="QH21" i="28"/>
  <c r="RK21" i="28"/>
  <c r="QL21" i="28"/>
  <c r="RN21" i="28"/>
  <c r="SQ21" i="28"/>
  <c r="RR21" i="28"/>
  <c r="ST21" i="28"/>
  <c r="TW21" i="28"/>
  <c r="SX21" i="28"/>
  <c r="TZ21" i="28"/>
  <c r="UD21" i="28"/>
  <c r="QE22" i="28"/>
  <c r="PF22" i="28"/>
  <c r="QH22" i="28"/>
  <c r="RK22" i="28"/>
  <c r="QL22" i="28"/>
  <c r="RN22" i="28"/>
  <c r="SQ22" i="28"/>
  <c r="RR22" i="28"/>
  <c r="ST22" i="28"/>
  <c r="TW22" i="28"/>
  <c r="SX22" i="28"/>
  <c r="TZ22" i="28"/>
  <c r="UD22" i="28"/>
  <c r="VF22" i="28"/>
  <c r="QE23" i="28"/>
  <c r="PF23" i="28"/>
  <c r="QH23" i="28"/>
  <c r="RK23" i="28"/>
  <c r="QL23" i="28"/>
  <c r="RN23" i="28"/>
  <c r="SQ23" i="28"/>
  <c r="RR23" i="28"/>
  <c r="ST23" i="28"/>
  <c r="TW23" i="28"/>
  <c r="SX23" i="28"/>
  <c r="TZ23" i="28"/>
  <c r="UD23" i="28"/>
  <c r="VF23" i="28"/>
  <c r="QE24" i="28"/>
  <c r="PF24" i="28"/>
  <c r="QH24" i="28"/>
  <c r="RK24" i="28"/>
  <c r="QL24" i="28"/>
  <c r="RN24" i="28"/>
  <c r="SQ24" i="28"/>
  <c r="RR24" i="28"/>
  <c r="ST24" i="28"/>
  <c r="TW24" i="28"/>
  <c r="SX24" i="28"/>
  <c r="TZ24" i="28"/>
  <c r="UD24" i="28"/>
  <c r="VF24" i="28"/>
  <c r="QE25" i="28"/>
  <c r="PF25" i="28"/>
  <c r="QH25" i="28"/>
  <c r="RK25" i="28"/>
  <c r="QL25" i="28"/>
  <c r="RN25" i="28"/>
  <c r="SQ25" i="28"/>
  <c r="RR25" i="28"/>
  <c r="ST25" i="28"/>
  <c r="TW25" i="28"/>
  <c r="SX25" i="28"/>
  <c r="TZ25" i="28"/>
  <c r="UD25" i="28"/>
  <c r="VF25" i="28"/>
  <c r="QE26" i="28"/>
  <c r="PF26" i="28"/>
  <c r="PJ26" i="28"/>
  <c r="PN26" i="28"/>
  <c r="PR26" i="28"/>
  <c r="PV26" i="28"/>
  <c r="PZ26" i="28"/>
  <c r="QD26" i="28"/>
  <c r="QH26" i="28"/>
  <c r="RK26" i="28"/>
  <c r="QL26" i="28"/>
  <c r="RN26" i="28"/>
  <c r="SQ26" i="28"/>
  <c r="RR26" i="28"/>
  <c r="ST26" i="28"/>
  <c r="TW26" i="28"/>
  <c r="SX26" i="28"/>
  <c r="TZ26" i="28"/>
  <c r="UD26" i="28"/>
  <c r="VF26" i="28"/>
  <c r="QE27" i="28"/>
  <c r="PF27" i="28"/>
  <c r="QH27" i="28"/>
  <c r="RK27" i="28"/>
  <c r="QL27" i="28"/>
  <c r="RN27" i="28"/>
  <c r="SQ27" i="28"/>
  <c r="RR27" i="28"/>
  <c r="ST27" i="28"/>
  <c r="TW27" i="28"/>
  <c r="SX27" i="28"/>
  <c r="TZ27" i="28"/>
  <c r="UD27" i="28"/>
  <c r="VF27" i="28"/>
  <c r="QE28" i="28"/>
  <c r="PF28" i="28"/>
  <c r="QH28" i="28"/>
  <c r="RK28" i="28"/>
  <c r="QL28" i="28"/>
  <c r="RN28" i="28"/>
  <c r="SQ28" i="28"/>
  <c r="RR28" i="28"/>
  <c r="ST28" i="28"/>
  <c r="TW28" i="28"/>
  <c r="SX28" i="28"/>
  <c r="TZ28" i="28"/>
  <c r="UD28" i="28"/>
  <c r="VF28" i="28"/>
  <c r="QE29" i="28"/>
  <c r="PF29" i="28"/>
  <c r="QH29" i="28"/>
  <c r="RK29" i="28"/>
  <c r="QL29" i="28"/>
  <c r="RN29" i="28"/>
  <c r="SQ29" i="28"/>
  <c r="RR29" i="28"/>
  <c r="ST29" i="28"/>
  <c r="TW29" i="28"/>
  <c r="SX29" i="28"/>
  <c r="TZ29" i="28"/>
  <c r="UD29" i="28"/>
  <c r="VF29" i="28"/>
  <c r="QE30" i="28"/>
  <c r="PF30" i="28"/>
  <c r="QH30" i="28"/>
  <c r="RK30" i="28"/>
  <c r="QL30" i="28"/>
  <c r="RN30" i="28"/>
  <c r="SQ30" i="28"/>
  <c r="RR30" i="28"/>
  <c r="ST30" i="28"/>
  <c r="TW30" i="28"/>
  <c r="SX30" i="28"/>
  <c r="TZ30" i="28"/>
  <c r="UD30" i="28"/>
  <c r="VF30" i="28"/>
  <c r="QE31" i="28"/>
  <c r="PF31" i="28"/>
  <c r="PJ31" i="28"/>
  <c r="PN31" i="28"/>
  <c r="PR31" i="28"/>
  <c r="PV31" i="28"/>
  <c r="PZ31" i="28"/>
  <c r="QD31" i="28"/>
  <c r="QH31" i="28"/>
  <c r="RK31" i="28"/>
  <c r="QL31" i="28"/>
  <c r="RN31" i="28"/>
  <c r="SQ31" i="28"/>
  <c r="RR31" i="28"/>
  <c r="ST31" i="28"/>
  <c r="TW31" i="28"/>
  <c r="SX31" i="28"/>
  <c r="TZ31" i="28"/>
  <c r="UD31" i="28"/>
  <c r="VF31" i="28"/>
  <c r="QE32" i="28"/>
  <c r="PF32" i="28"/>
  <c r="QH32" i="28"/>
  <c r="RK32" i="28"/>
  <c r="QL32" i="28"/>
  <c r="RN32" i="28"/>
  <c r="SQ32" i="28"/>
  <c r="RR32" i="28"/>
  <c r="ST32" i="28"/>
  <c r="TW32" i="28"/>
  <c r="SX32" i="28"/>
  <c r="TZ32" i="28"/>
  <c r="UD32" i="28"/>
  <c r="VF32" i="28"/>
  <c r="QE33" i="28"/>
  <c r="PF33" i="28"/>
  <c r="QH33" i="28"/>
  <c r="RK33" i="28"/>
  <c r="QL33" i="28"/>
  <c r="RN33" i="28"/>
  <c r="SQ33" i="28"/>
  <c r="RR33" i="28"/>
  <c r="ST33" i="28"/>
  <c r="TW33" i="28"/>
  <c r="SX33" i="28"/>
  <c r="TZ33" i="28"/>
  <c r="UD33" i="28"/>
  <c r="VF33" i="28"/>
  <c r="QE34" i="28"/>
  <c r="PF34" i="28"/>
  <c r="QH34" i="28"/>
  <c r="RK34" i="28"/>
  <c r="QL34" i="28"/>
  <c r="RN34" i="28"/>
  <c r="SQ34" i="28"/>
  <c r="RR34" i="28"/>
  <c r="ST34" i="28"/>
  <c r="TW34" i="28"/>
  <c r="SX34" i="28"/>
  <c r="TZ34" i="28"/>
  <c r="UD34" i="28"/>
  <c r="VF34" i="28"/>
  <c r="PF36" i="28"/>
  <c r="PJ36" i="28"/>
  <c r="PN36" i="28"/>
  <c r="PR36" i="28"/>
  <c r="PV36" i="28"/>
  <c r="PZ36" i="28"/>
  <c r="QD36" i="28"/>
  <c r="QL36" i="28"/>
  <c r="QP36" i="28"/>
  <c r="QT36" i="28"/>
  <c r="QX36" i="28"/>
  <c r="RB36" i="28"/>
  <c r="RF36" i="28"/>
  <c r="RJ36" i="28"/>
  <c r="RR36" i="28"/>
  <c r="RV36" i="28"/>
  <c r="RZ36" i="28"/>
  <c r="SD36" i="28"/>
  <c r="SH36" i="28"/>
  <c r="SL36" i="28"/>
  <c r="SP36" i="28"/>
  <c r="SX36" i="28"/>
  <c r="TB36" i="28"/>
  <c r="TF36" i="28"/>
  <c r="TJ36" i="28"/>
  <c r="TN36" i="28"/>
  <c r="TR36" i="28"/>
  <c r="TV36" i="28"/>
  <c r="UD36" i="28"/>
  <c r="UH36" i="28"/>
  <c r="UL36" i="28"/>
  <c r="UP36" i="28"/>
  <c r="UT36" i="28"/>
  <c r="UX36" i="28"/>
  <c r="VB36" i="28"/>
  <c r="KE36" i="28"/>
  <c r="KE50" i="28" s="1"/>
  <c r="KE55" i="28" s="1"/>
  <c r="LG7" i="28"/>
  <c r="KH7" i="28"/>
  <c r="KI36" i="28"/>
  <c r="KI50" i="28" s="1"/>
  <c r="KI55" i="28" s="1"/>
  <c r="KL7" i="28"/>
  <c r="KM36" i="28"/>
  <c r="KM50" i="28" s="1"/>
  <c r="KM55" i="28" s="1"/>
  <c r="KP7" i="28"/>
  <c r="KQ36" i="28"/>
  <c r="KQ50" i="28" s="1"/>
  <c r="KQ55" i="28" s="1"/>
  <c r="KT7" i="28"/>
  <c r="KU36" i="28"/>
  <c r="KU50" i="28" s="1"/>
  <c r="KU55" i="28" s="1"/>
  <c r="KX7" i="28"/>
  <c r="KY36" i="28"/>
  <c r="KY50" i="28" s="1"/>
  <c r="KY55" i="28" s="1"/>
  <c r="LB7" i="28"/>
  <c r="LC36" i="28"/>
  <c r="LC50" i="28" s="1"/>
  <c r="LC55" i="28" s="1"/>
  <c r="LF7" i="28"/>
  <c r="LI36" i="28"/>
  <c r="LJ7" i="28"/>
  <c r="LK36" i="28"/>
  <c r="LK50" i="28" s="1"/>
  <c r="LK55" i="28" s="1"/>
  <c r="MM7" i="28"/>
  <c r="LN7" i="28"/>
  <c r="LO36" i="28"/>
  <c r="LO50" i="28" s="1"/>
  <c r="LO55" i="28" s="1"/>
  <c r="LR7" i="28"/>
  <c r="LS36" i="28"/>
  <c r="LS50" i="28" s="1"/>
  <c r="LS55" i="28" s="1"/>
  <c r="LV7" i="28"/>
  <c r="LW36" i="28"/>
  <c r="LW50" i="28" s="1"/>
  <c r="LW55" i="28" s="1"/>
  <c r="LZ7" i="28"/>
  <c r="MA36" i="28"/>
  <c r="MA50" i="28" s="1"/>
  <c r="MA55" i="28" s="1"/>
  <c r="MD7" i="28"/>
  <c r="ME36" i="28"/>
  <c r="ME50" i="28" s="1"/>
  <c r="ME55" i="28" s="1"/>
  <c r="MH7" i="28"/>
  <c r="MI36" i="28"/>
  <c r="MI50" i="28" s="1"/>
  <c r="MI55" i="28" s="1"/>
  <c r="ML7" i="28"/>
  <c r="MO36" i="28"/>
  <c r="MP7" i="28"/>
  <c r="MQ36" i="28"/>
  <c r="MQ50" i="28" s="1"/>
  <c r="NS7" i="28"/>
  <c r="MT7" i="28"/>
  <c r="MU36" i="28"/>
  <c r="MU50" i="28" s="1"/>
  <c r="MX7" i="28"/>
  <c r="MY36" i="28"/>
  <c r="MY50" i="28" s="1"/>
  <c r="NB7" i="28"/>
  <c r="NC36" i="28"/>
  <c r="NC50" i="28" s="1"/>
  <c r="NF7" i="28"/>
  <c r="NG36" i="28"/>
  <c r="NG50" i="28" s="1"/>
  <c r="NJ7" i="28"/>
  <c r="NK36" i="28"/>
  <c r="NK50" i="28" s="1"/>
  <c r="NN7" i="28"/>
  <c r="NO36" i="28"/>
  <c r="NO50" i="28" s="1"/>
  <c r="NR7" i="28"/>
  <c r="NU36" i="28"/>
  <c r="NV7" i="28"/>
  <c r="NW36" i="28"/>
  <c r="NW50" i="28" s="1"/>
  <c r="NZ7" i="28"/>
  <c r="OA36" i="28"/>
  <c r="OA50" i="28" s="1"/>
  <c r="OD7" i="28"/>
  <c r="OE36" i="28"/>
  <c r="OE50" i="28" s="1"/>
  <c r="OH7" i="28"/>
  <c r="OI36" i="28"/>
  <c r="OI50" i="28" s="1"/>
  <c r="OL7" i="28"/>
  <c r="OM36" i="28"/>
  <c r="OM50" i="28" s="1"/>
  <c r="OP7" i="28"/>
  <c r="OQ36" i="28"/>
  <c r="OQ50" i="28" s="1"/>
  <c r="OT7" i="28"/>
  <c r="OU36" i="28"/>
  <c r="OU50" i="28" s="1"/>
  <c r="OX7" i="28"/>
  <c r="LG8" i="28"/>
  <c r="KH8" i="28"/>
  <c r="LJ8" i="28"/>
  <c r="MM8" i="28"/>
  <c r="LN8" i="28"/>
  <c r="MP8" i="28"/>
  <c r="NS8" i="28"/>
  <c r="MT8" i="28"/>
  <c r="NV8" i="28"/>
  <c r="OY8" i="28"/>
  <c r="NZ8" i="28"/>
  <c r="PB8" i="28"/>
  <c r="LG9" i="28"/>
  <c r="KH9" i="28"/>
  <c r="LJ9" i="28"/>
  <c r="MM9" i="28"/>
  <c r="LN9" i="28"/>
  <c r="MP9" i="28"/>
  <c r="NS9" i="28"/>
  <c r="MT9" i="28"/>
  <c r="NV9" i="28"/>
  <c r="OY9" i="28"/>
  <c r="NZ9" i="28"/>
  <c r="PB9" i="28"/>
  <c r="LG10" i="28"/>
  <c r="KH10" i="28"/>
  <c r="LJ10" i="28"/>
  <c r="MM10" i="28"/>
  <c r="LN10" i="28"/>
  <c r="MP10" i="28"/>
  <c r="NS10" i="28"/>
  <c r="MT10" i="28"/>
  <c r="NV10" i="28"/>
  <c r="OY10" i="28"/>
  <c r="NZ10" i="28"/>
  <c r="PB10" i="28"/>
  <c r="LG11" i="28"/>
  <c r="KH11" i="28"/>
  <c r="LJ11" i="28"/>
  <c r="MM11" i="28"/>
  <c r="LN11" i="28"/>
  <c r="MP11" i="28"/>
  <c r="NS11" i="28"/>
  <c r="MT11" i="28"/>
  <c r="NV11" i="28"/>
  <c r="OY11" i="28"/>
  <c r="NZ11" i="28"/>
  <c r="PB11" i="28"/>
  <c r="LG12" i="28"/>
  <c r="KH12" i="28"/>
  <c r="LJ12" i="28"/>
  <c r="MM12" i="28"/>
  <c r="LN12" i="28"/>
  <c r="MP12" i="28"/>
  <c r="NS12" i="28"/>
  <c r="MT12" i="28"/>
  <c r="NV12" i="28"/>
  <c r="OY12" i="28"/>
  <c r="NZ12" i="28"/>
  <c r="PB12" i="28"/>
  <c r="LG13" i="28"/>
  <c r="KH13" i="28"/>
  <c r="LJ13" i="28"/>
  <c r="MM13" i="28"/>
  <c r="LN13" i="28"/>
  <c r="MP13" i="28"/>
  <c r="NS13" i="28"/>
  <c r="MT13" i="28"/>
  <c r="NV13" i="28"/>
  <c r="OY13" i="28"/>
  <c r="NZ13" i="28"/>
  <c r="PB13" i="28"/>
  <c r="LG14" i="28"/>
  <c r="KH14" i="28"/>
  <c r="LJ14" i="28"/>
  <c r="MM14" i="28"/>
  <c r="LN14" i="28"/>
  <c r="MP14" i="28"/>
  <c r="NS14" i="28"/>
  <c r="MT14" i="28"/>
  <c r="NV14" i="28"/>
  <c r="OY14" i="28"/>
  <c r="NZ14" i="28"/>
  <c r="PB14" i="28"/>
  <c r="LG15" i="28"/>
  <c r="KH15" i="28"/>
  <c r="LJ15" i="28"/>
  <c r="MM15" i="28"/>
  <c r="LN15" i="28"/>
  <c r="MP15" i="28"/>
  <c r="NS15" i="28"/>
  <c r="MT15" i="28"/>
  <c r="NV15" i="28"/>
  <c r="OY15" i="28"/>
  <c r="NZ15" i="28"/>
  <c r="PB15" i="28"/>
  <c r="LG16" i="28"/>
  <c r="KH16" i="28"/>
  <c r="LJ16" i="28"/>
  <c r="MM16" i="28"/>
  <c r="LN16" i="28"/>
  <c r="MP16" i="28"/>
  <c r="NS16" i="28"/>
  <c r="MT16" i="28"/>
  <c r="NV16" i="28"/>
  <c r="OY16" i="28"/>
  <c r="NZ16" i="28"/>
  <c r="PB16" i="28"/>
  <c r="LG17" i="28"/>
  <c r="KH17" i="28"/>
  <c r="MM17" i="28"/>
  <c r="LN17" i="28"/>
  <c r="MP17" i="28"/>
  <c r="NS17" i="28"/>
  <c r="MT17" i="28"/>
  <c r="NV17" i="28"/>
  <c r="OY17" i="28"/>
  <c r="NZ17" i="28"/>
  <c r="PB17" i="28"/>
  <c r="LG18" i="28"/>
  <c r="KH18" i="28"/>
  <c r="LJ18" i="28"/>
  <c r="MM18" i="28"/>
  <c r="LN18" i="28"/>
  <c r="MP18" i="28"/>
  <c r="NS18" i="28"/>
  <c r="MT18" i="28"/>
  <c r="NV18" i="28"/>
  <c r="OY18" i="28"/>
  <c r="NZ18" i="28"/>
  <c r="PB18" i="28"/>
  <c r="LG19" i="28"/>
  <c r="KH19" i="28"/>
  <c r="LJ19" i="28"/>
  <c r="MM19" i="28"/>
  <c r="LN19" i="28"/>
  <c r="MP19" i="28"/>
  <c r="NS19" i="28"/>
  <c r="MT19" i="28"/>
  <c r="NV19" i="28"/>
  <c r="OY19" i="28"/>
  <c r="NZ19" i="28"/>
  <c r="PB19" i="28"/>
  <c r="LG20" i="28"/>
  <c r="KH20" i="28"/>
  <c r="LJ20" i="28"/>
  <c r="MM20" i="28"/>
  <c r="LN20" i="28"/>
  <c r="MP20" i="28"/>
  <c r="NS20" i="28"/>
  <c r="MT20" i="28"/>
  <c r="NV20" i="28"/>
  <c r="OY20" i="28"/>
  <c r="NZ20" i="28"/>
  <c r="PB20" i="28"/>
  <c r="LG21" i="28"/>
  <c r="KH21" i="28"/>
  <c r="LJ21" i="28"/>
  <c r="MM21" i="28"/>
  <c r="LN21" i="28"/>
  <c r="MP21" i="28"/>
  <c r="NS21" i="28"/>
  <c r="MT21" i="28"/>
  <c r="NV21" i="28"/>
  <c r="OY21" i="28"/>
  <c r="NZ21" i="28"/>
  <c r="PB21" i="28"/>
  <c r="LG22" i="28"/>
  <c r="KH22" i="28"/>
  <c r="LJ22" i="28"/>
  <c r="MM22" i="28"/>
  <c r="LN22" i="28"/>
  <c r="MP22" i="28"/>
  <c r="NS22" i="28"/>
  <c r="MT22" i="28"/>
  <c r="NV22" i="28"/>
  <c r="OY22" i="28"/>
  <c r="NZ22" i="28"/>
  <c r="PB22" i="28"/>
  <c r="LG23" i="28"/>
  <c r="KH23" i="28"/>
  <c r="LJ23" i="28"/>
  <c r="MM23" i="28"/>
  <c r="LN23" i="28"/>
  <c r="MP23" i="28"/>
  <c r="NS23" i="28"/>
  <c r="MT23" i="28"/>
  <c r="NV23" i="28"/>
  <c r="OY23" i="28"/>
  <c r="NZ23" i="28"/>
  <c r="PB23" i="28"/>
  <c r="LG24" i="28"/>
  <c r="KH24" i="28"/>
  <c r="LJ24" i="28"/>
  <c r="MM24" i="28"/>
  <c r="LN24" i="28"/>
  <c r="MP24" i="28"/>
  <c r="NS24" i="28"/>
  <c r="MT24" i="28"/>
  <c r="NV24" i="28"/>
  <c r="OY24" i="28"/>
  <c r="NZ24" i="28"/>
  <c r="PB24" i="28"/>
  <c r="LG25" i="28"/>
  <c r="KH25" i="28"/>
  <c r="LJ25" i="28"/>
  <c r="MM25" i="28"/>
  <c r="LN25" i="28"/>
  <c r="MP25" i="28"/>
  <c r="NS25" i="28"/>
  <c r="MT25" i="28"/>
  <c r="NV25" i="28"/>
  <c r="OY25" i="28"/>
  <c r="NZ25" i="28"/>
  <c r="PB25" i="28"/>
  <c r="LG26" i="28"/>
  <c r="KH26" i="28"/>
  <c r="LJ26" i="28"/>
  <c r="MM26" i="28"/>
  <c r="LN26" i="28"/>
  <c r="MP26" i="28"/>
  <c r="NS26" i="28"/>
  <c r="MT26" i="28"/>
  <c r="NV26" i="28"/>
  <c r="OY26" i="28"/>
  <c r="NZ26" i="28"/>
  <c r="PB26" i="28"/>
  <c r="LG27" i="28"/>
  <c r="KH27" i="28"/>
  <c r="LJ27" i="28"/>
  <c r="MM27" i="28"/>
  <c r="LN27" i="28"/>
  <c r="MP27" i="28"/>
  <c r="NS27" i="28"/>
  <c r="MT27" i="28"/>
  <c r="NV27" i="28"/>
  <c r="OY27" i="28"/>
  <c r="NZ27" i="28"/>
  <c r="PB27" i="28"/>
  <c r="LG28" i="28"/>
  <c r="KH28" i="28"/>
  <c r="LJ28" i="28"/>
  <c r="MM28" i="28"/>
  <c r="LN28" i="28"/>
  <c r="MP28" i="28"/>
  <c r="NS28" i="28"/>
  <c r="NV28" i="28" s="1"/>
  <c r="MT28" i="28"/>
  <c r="OY28" i="28"/>
  <c r="NZ28" i="28"/>
  <c r="PB28" i="28"/>
  <c r="LG29" i="28"/>
  <c r="KH29" i="28"/>
  <c r="LJ29" i="28"/>
  <c r="MM29" i="28"/>
  <c r="LN29" i="28"/>
  <c r="MP29" i="28"/>
  <c r="NS29" i="28"/>
  <c r="MT29" i="28"/>
  <c r="NV29" i="28"/>
  <c r="OY29" i="28"/>
  <c r="NZ29" i="28"/>
  <c r="PB29" i="28"/>
  <c r="LG30" i="28"/>
  <c r="KH30" i="28"/>
  <c r="LJ30" i="28"/>
  <c r="MM30" i="28"/>
  <c r="LN30" i="28"/>
  <c r="MP30" i="28"/>
  <c r="NS30" i="28"/>
  <c r="MT30" i="28"/>
  <c r="NV30" i="28"/>
  <c r="OY30" i="28"/>
  <c r="NZ30" i="28"/>
  <c r="PB30" i="28"/>
  <c r="LG31" i="28"/>
  <c r="KH31" i="28"/>
  <c r="LJ31" i="28"/>
  <c r="MM31" i="28"/>
  <c r="LN31" i="28"/>
  <c r="MP31" i="28"/>
  <c r="NS31" i="28"/>
  <c r="MT31" i="28"/>
  <c r="NV31" i="28"/>
  <c r="OY31" i="28"/>
  <c r="NZ31" i="28"/>
  <c r="PB31" i="28"/>
  <c r="LG32" i="28"/>
  <c r="KH32" i="28"/>
  <c r="LJ32" i="28"/>
  <c r="MM32" i="28"/>
  <c r="LN32" i="28"/>
  <c r="MP32" i="28"/>
  <c r="NS32" i="28"/>
  <c r="MT32" i="28"/>
  <c r="NV32" i="28"/>
  <c r="OY32" i="28"/>
  <c r="NZ32" i="28"/>
  <c r="PB32" i="28"/>
  <c r="LG33" i="28"/>
  <c r="KH33" i="28"/>
  <c r="LJ33" i="28"/>
  <c r="MM33" i="28"/>
  <c r="LN33" i="28"/>
  <c r="MP33" i="28"/>
  <c r="NS33" i="28"/>
  <c r="MT33" i="28"/>
  <c r="NV33" i="28"/>
  <c r="OY33" i="28"/>
  <c r="NZ33" i="28"/>
  <c r="PB33" i="28"/>
  <c r="LG34" i="28"/>
  <c r="KH34" i="28"/>
  <c r="LJ34" i="28"/>
  <c r="MM34" i="28"/>
  <c r="LN34" i="28"/>
  <c r="MP34" i="28"/>
  <c r="NS34" i="28"/>
  <c r="MT34" i="28"/>
  <c r="NV34" i="28"/>
  <c r="OY34" i="28"/>
  <c r="NZ34" i="28"/>
  <c r="PB34" i="28"/>
  <c r="KH36" i="28"/>
  <c r="KL36" i="28"/>
  <c r="KP36" i="28"/>
  <c r="KT36" i="28"/>
  <c r="KX36" i="28"/>
  <c r="LB36" i="28"/>
  <c r="LF36" i="28"/>
  <c r="LN36" i="28"/>
  <c r="LR36" i="28"/>
  <c r="LV36" i="28"/>
  <c r="LZ36" i="28"/>
  <c r="MD36" i="28"/>
  <c r="MH36" i="28"/>
  <c r="ML36" i="28"/>
  <c r="MT36" i="28"/>
  <c r="MX36" i="28"/>
  <c r="NB36" i="28"/>
  <c r="NF36" i="28"/>
  <c r="NJ36" i="28"/>
  <c r="NN36" i="28"/>
  <c r="NR36" i="28"/>
  <c r="NZ36" i="28"/>
  <c r="OD36" i="28"/>
  <c r="OH36" i="28"/>
  <c r="OL36" i="28"/>
  <c r="OP36" i="28"/>
  <c r="OT36" i="28"/>
  <c r="OX36" i="28"/>
  <c r="FG36" i="28"/>
  <c r="FG50" i="28" s="1"/>
  <c r="FG55" i="28" s="1"/>
  <c r="GI7" i="28"/>
  <c r="FJ7" i="28"/>
  <c r="FK36" i="28"/>
  <c r="FK50" i="28" s="1"/>
  <c r="FK55" i="28" s="1"/>
  <c r="FN7" i="28"/>
  <c r="FO36" i="28"/>
  <c r="FO50" i="28" s="1"/>
  <c r="FO55" i="28" s="1"/>
  <c r="FR7" i="28"/>
  <c r="FS36" i="28"/>
  <c r="FS50" i="28" s="1"/>
  <c r="FS55" i="28" s="1"/>
  <c r="FV7" i="28"/>
  <c r="FW36" i="28"/>
  <c r="FW50" i="28" s="1"/>
  <c r="FW55" i="28" s="1"/>
  <c r="FZ7" i="28"/>
  <c r="GA36" i="28"/>
  <c r="GA50" i="28" s="1"/>
  <c r="GA55" i="28" s="1"/>
  <c r="GD7" i="28"/>
  <c r="GE36" i="28"/>
  <c r="GE50" i="28" s="1"/>
  <c r="GE55" i="28" s="1"/>
  <c r="GH7" i="28"/>
  <c r="GK36" i="28"/>
  <c r="GL7" i="28"/>
  <c r="GM36" i="28"/>
  <c r="GM50" i="28" s="1"/>
  <c r="GM55" i="28" s="1"/>
  <c r="HO7" i="28"/>
  <c r="GP7" i="28"/>
  <c r="GQ36" i="28"/>
  <c r="GQ50" i="28" s="1"/>
  <c r="GQ55" i="28" s="1"/>
  <c r="GT7" i="28"/>
  <c r="GU36" i="28"/>
  <c r="GU50" i="28" s="1"/>
  <c r="GU55" i="28" s="1"/>
  <c r="GX7" i="28"/>
  <c r="GY36" i="28"/>
  <c r="GY50" i="28" s="1"/>
  <c r="GY55" i="28" s="1"/>
  <c r="HB7" i="28"/>
  <c r="HC36" i="28"/>
  <c r="HC50" i="28" s="1"/>
  <c r="HC55" i="28" s="1"/>
  <c r="HF7" i="28"/>
  <c r="HG36" i="28"/>
  <c r="HG50" i="28" s="1"/>
  <c r="HG55" i="28" s="1"/>
  <c r="HJ7" i="28"/>
  <c r="HK36" i="28"/>
  <c r="HK50" i="28" s="1"/>
  <c r="HK55" i="28" s="1"/>
  <c r="HN7" i="28"/>
  <c r="HQ36" i="28"/>
  <c r="HR7" i="28"/>
  <c r="HS36" i="28"/>
  <c r="HS50" i="28" s="1"/>
  <c r="HS55" i="28" s="1"/>
  <c r="IU7" i="28"/>
  <c r="HV7" i="28"/>
  <c r="HW36" i="28"/>
  <c r="HW50" i="28" s="1"/>
  <c r="HW55" i="28" s="1"/>
  <c r="HZ7" i="28"/>
  <c r="IA36" i="28"/>
  <c r="IA50" i="28" s="1"/>
  <c r="IA55" i="28" s="1"/>
  <c r="ID7" i="28"/>
  <c r="IE36" i="28"/>
  <c r="IE50" i="28" s="1"/>
  <c r="IE55" i="28" s="1"/>
  <c r="IH7" i="28"/>
  <c r="II36" i="28"/>
  <c r="II50" i="28" s="1"/>
  <c r="II55" i="28" s="1"/>
  <c r="IL7" i="28"/>
  <c r="IM36" i="28"/>
  <c r="IM50" i="28" s="1"/>
  <c r="IM55" i="28" s="1"/>
  <c r="IP7" i="28"/>
  <c r="IQ36" i="28"/>
  <c r="IQ50" i="28" s="1"/>
  <c r="IQ55" i="28" s="1"/>
  <c r="IT7" i="28"/>
  <c r="IW36" i="28"/>
  <c r="IX7" i="28"/>
  <c r="IY36" i="28"/>
  <c r="IY50" i="28" s="1"/>
  <c r="IY55" i="28" s="1"/>
  <c r="KA7" i="28"/>
  <c r="JB7" i="28"/>
  <c r="JC36" i="28"/>
  <c r="JC50" i="28" s="1"/>
  <c r="JC55" i="28" s="1"/>
  <c r="JF7" i="28"/>
  <c r="JG36" i="28"/>
  <c r="JG50" i="28" s="1"/>
  <c r="JG55" i="28" s="1"/>
  <c r="JJ7" i="28"/>
  <c r="JK36" i="28"/>
  <c r="JK50" i="28" s="1"/>
  <c r="JK55" i="28" s="1"/>
  <c r="JN7" i="28"/>
  <c r="JO36" i="28"/>
  <c r="JO50" i="28" s="1"/>
  <c r="JO55" i="28" s="1"/>
  <c r="JR7" i="28"/>
  <c r="JS36" i="28"/>
  <c r="JS50" i="28" s="1"/>
  <c r="JS55" i="28" s="1"/>
  <c r="JV7" i="28"/>
  <c r="JW36" i="28"/>
  <c r="JW50" i="28" s="1"/>
  <c r="JW55" i="28" s="1"/>
  <c r="JZ7" i="28"/>
  <c r="KC36" i="28"/>
  <c r="KD7" i="28"/>
  <c r="GI8" i="28"/>
  <c r="FJ8" i="28"/>
  <c r="GL8" i="28"/>
  <c r="HO8" i="28"/>
  <c r="GP8" i="28"/>
  <c r="HR8" i="28"/>
  <c r="IU8" i="28"/>
  <c r="HV8" i="28"/>
  <c r="IX8" i="28"/>
  <c r="KA8" i="28"/>
  <c r="JB8" i="28"/>
  <c r="KD8" i="28"/>
  <c r="GI9" i="28"/>
  <c r="FJ9" i="28"/>
  <c r="GL9" i="28"/>
  <c r="HO9" i="28"/>
  <c r="GP9" i="28"/>
  <c r="HR9" i="28"/>
  <c r="IU9" i="28"/>
  <c r="HV9" i="28"/>
  <c r="IX9" i="28"/>
  <c r="KA9" i="28"/>
  <c r="JB9" i="28"/>
  <c r="KD9" i="28"/>
  <c r="GI10" i="28"/>
  <c r="FJ10" i="28"/>
  <c r="GL10" i="28"/>
  <c r="HO10" i="28"/>
  <c r="GP10" i="28"/>
  <c r="HR10" i="28"/>
  <c r="IU10" i="28"/>
  <c r="HV10" i="28"/>
  <c r="IX10" i="28"/>
  <c r="KA10" i="28"/>
  <c r="JB10" i="28"/>
  <c r="KD10" i="28"/>
  <c r="GI11" i="28"/>
  <c r="FJ11" i="28"/>
  <c r="GL11" i="28"/>
  <c r="HO11" i="28"/>
  <c r="GP11" i="28"/>
  <c r="HR11" i="28"/>
  <c r="IU11" i="28"/>
  <c r="HV11" i="28"/>
  <c r="IX11" i="28"/>
  <c r="KA11" i="28"/>
  <c r="JB11" i="28"/>
  <c r="KD11" i="28"/>
  <c r="GI12" i="28"/>
  <c r="FJ12" i="28"/>
  <c r="GL12" i="28"/>
  <c r="HO12" i="28"/>
  <c r="GP12" i="28"/>
  <c r="HR12" i="28"/>
  <c r="IU12" i="28"/>
  <c r="HV12" i="28"/>
  <c r="IX12" i="28"/>
  <c r="KA12" i="28"/>
  <c r="JB12" i="28"/>
  <c r="KD12" i="28"/>
  <c r="GI13" i="28"/>
  <c r="FJ13" i="28"/>
  <c r="GL13" i="28"/>
  <c r="HO13" i="28"/>
  <c r="GP13" i="28"/>
  <c r="HR13" i="28"/>
  <c r="IU13" i="28"/>
  <c r="HV13" i="28"/>
  <c r="IX13" i="28"/>
  <c r="KA13" i="28"/>
  <c r="JB13" i="28"/>
  <c r="KD13" i="28"/>
  <c r="GI14" i="28"/>
  <c r="FJ14" i="28"/>
  <c r="GL14" i="28"/>
  <c r="HO14" i="28"/>
  <c r="GP14" i="28"/>
  <c r="HR14" i="28"/>
  <c r="IU14" i="28"/>
  <c r="HV14" i="28"/>
  <c r="IX14" i="28"/>
  <c r="KA14" i="28"/>
  <c r="JB14" i="28"/>
  <c r="KD14" i="28"/>
  <c r="GI15" i="28"/>
  <c r="FJ15" i="28"/>
  <c r="GL15" i="28"/>
  <c r="HO15" i="28"/>
  <c r="GP15" i="28"/>
  <c r="HR15" i="28"/>
  <c r="IU15" i="28"/>
  <c r="HV15" i="28"/>
  <c r="IX15" i="28"/>
  <c r="KA15" i="28"/>
  <c r="JB15" i="28"/>
  <c r="KD15" i="28"/>
  <c r="GI16" i="28"/>
  <c r="FJ16" i="28"/>
  <c r="GL16" i="28"/>
  <c r="HO16" i="28"/>
  <c r="GP16" i="28"/>
  <c r="HR16" i="28"/>
  <c r="IU16" i="28"/>
  <c r="HV16" i="28"/>
  <c r="IX16" i="28"/>
  <c r="KA16" i="28"/>
  <c r="JB16" i="28"/>
  <c r="KD16" i="28"/>
  <c r="GI17" i="28"/>
  <c r="GL17" i="28"/>
  <c r="HO17" i="28"/>
  <c r="GP17" i="28"/>
  <c r="IU17" i="28"/>
  <c r="HV17" i="28"/>
  <c r="KA17" i="28"/>
  <c r="GI18" i="28"/>
  <c r="FJ18" i="28"/>
  <c r="GL18" i="28"/>
  <c r="HO18" i="28"/>
  <c r="GP18" i="28"/>
  <c r="HR18" i="28"/>
  <c r="IU18" i="28"/>
  <c r="HV18" i="28"/>
  <c r="IX18" i="28"/>
  <c r="KA18" i="28"/>
  <c r="JB18" i="28"/>
  <c r="KD18" i="28"/>
  <c r="GI19" i="28"/>
  <c r="FJ19" i="28"/>
  <c r="GL19" i="28"/>
  <c r="HO19" i="28"/>
  <c r="GP19" i="28"/>
  <c r="HR19" i="28"/>
  <c r="IU19" i="28"/>
  <c r="HV19" i="28"/>
  <c r="IX19" i="28"/>
  <c r="KA19" i="28"/>
  <c r="JB19" i="28"/>
  <c r="KD19" i="28"/>
  <c r="GI20" i="28"/>
  <c r="FJ20" i="28"/>
  <c r="GL20" i="28"/>
  <c r="HO20" i="28"/>
  <c r="GP20" i="28"/>
  <c r="HR20" i="28"/>
  <c r="IU20" i="28"/>
  <c r="HV20" i="28"/>
  <c r="IX20" i="28"/>
  <c r="KA20" i="28"/>
  <c r="JB20" i="28"/>
  <c r="KD20" i="28"/>
  <c r="GI21" i="28"/>
  <c r="FJ21" i="28"/>
  <c r="GL21" i="28"/>
  <c r="HO21" i="28"/>
  <c r="GP21" i="28"/>
  <c r="HR21" i="28"/>
  <c r="IU21" i="28"/>
  <c r="HV21" i="28"/>
  <c r="IX21" i="28"/>
  <c r="KA21" i="28"/>
  <c r="JB21" i="28"/>
  <c r="KD21" i="28"/>
  <c r="GI22" i="28"/>
  <c r="FJ22" i="28"/>
  <c r="GL22" i="28"/>
  <c r="HO22" i="28"/>
  <c r="GP22" i="28"/>
  <c r="HR22" i="28"/>
  <c r="IU22" i="28"/>
  <c r="HV22" i="28"/>
  <c r="IX22" i="28"/>
  <c r="KA22" i="28"/>
  <c r="JB22" i="28"/>
  <c r="KD22" i="28"/>
  <c r="GI23" i="28"/>
  <c r="FJ23" i="28"/>
  <c r="GL23" i="28"/>
  <c r="HO23" i="28"/>
  <c r="GP23" i="28"/>
  <c r="HR23" i="28"/>
  <c r="IU23" i="28"/>
  <c r="HV23" i="28"/>
  <c r="IX23" i="28"/>
  <c r="KA23" i="28"/>
  <c r="JB23" i="28"/>
  <c r="KD23" i="28"/>
  <c r="GI24" i="28"/>
  <c r="FJ24" i="28"/>
  <c r="GL24" i="28"/>
  <c r="HO24" i="28"/>
  <c r="GP24" i="28"/>
  <c r="HR24" i="28"/>
  <c r="IU24" i="28"/>
  <c r="HV24" i="28"/>
  <c r="IX24" i="28"/>
  <c r="KA24" i="28"/>
  <c r="JB24" i="28"/>
  <c r="KD24" i="28"/>
  <c r="GI25" i="28"/>
  <c r="FJ25" i="28"/>
  <c r="GL25" i="28"/>
  <c r="HO25" i="28"/>
  <c r="GP25" i="28"/>
  <c r="HR25" i="28"/>
  <c r="IU25" i="28"/>
  <c r="HV25" i="28"/>
  <c r="IX25" i="28"/>
  <c r="KA25" i="28"/>
  <c r="JB25" i="28"/>
  <c r="KD25" i="28"/>
  <c r="GI26" i="28"/>
  <c r="FJ26" i="28"/>
  <c r="GL26" i="28"/>
  <c r="HO26" i="28"/>
  <c r="GP26" i="28"/>
  <c r="HR26" i="28"/>
  <c r="IU26" i="28"/>
  <c r="HV26" i="28"/>
  <c r="IX26" i="28"/>
  <c r="KA26" i="28"/>
  <c r="JB26" i="28"/>
  <c r="KD26" i="28"/>
  <c r="GI27" i="28"/>
  <c r="FJ27" i="28"/>
  <c r="GL27" i="28"/>
  <c r="HO27" i="28"/>
  <c r="GP27" i="28"/>
  <c r="HR27" i="28"/>
  <c r="IU27" i="28"/>
  <c r="HV27" i="28"/>
  <c r="IX27" i="28"/>
  <c r="KA27" i="28"/>
  <c r="JB27" i="28"/>
  <c r="KD27" i="28"/>
  <c r="GI28" i="28"/>
  <c r="FJ28" i="28"/>
  <c r="GL28" i="28"/>
  <c r="HO28" i="28"/>
  <c r="GP28" i="28"/>
  <c r="HR28" i="28"/>
  <c r="IU28" i="28"/>
  <c r="HV28" i="28"/>
  <c r="IX28" i="28"/>
  <c r="KA28" i="28"/>
  <c r="JB28" i="28"/>
  <c r="KD28" i="28"/>
  <c r="GI29" i="28"/>
  <c r="FJ29" i="28"/>
  <c r="GL29" i="28"/>
  <c r="HO29" i="28"/>
  <c r="GP29" i="28"/>
  <c r="HR29" i="28"/>
  <c r="IU29" i="28"/>
  <c r="HV29" i="28"/>
  <c r="IX29" i="28"/>
  <c r="KA29" i="28"/>
  <c r="JB29" i="28"/>
  <c r="KD29" i="28"/>
  <c r="GI30" i="28"/>
  <c r="FJ30" i="28"/>
  <c r="GL30" i="28"/>
  <c r="HO30" i="28"/>
  <c r="GP30" i="28"/>
  <c r="HR30" i="28"/>
  <c r="IU30" i="28"/>
  <c r="HV30" i="28"/>
  <c r="IX30" i="28"/>
  <c r="KA30" i="28"/>
  <c r="JB30" i="28"/>
  <c r="KD30" i="28"/>
  <c r="GI31" i="28"/>
  <c r="FJ31" i="28"/>
  <c r="GL31" i="28"/>
  <c r="HO31" i="28"/>
  <c r="GP31" i="28"/>
  <c r="HR31" i="28"/>
  <c r="IU31" i="28"/>
  <c r="HV31" i="28"/>
  <c r="IX31" i="28"/>
  <c r="KA31" i="28"/>
  <c r="JB31" i="28"/>
  <c r="KD31" i="28"/>
  <c r="GI32" i="28"/>
  <c r="FJ32" i="28"/>
  <c r="GL32" i="28"/>
  <c r="HO32" i="28"/>
  <c r="GP32" i="28"/>
  <c r="HR32" i="28"/>
  <c r="IU32" i="28"/>
  <c r="HV32" i="28"/>
  <c r="IX32" i="28"/>
  <c r="KA32" i="28"/>
  <c r="JB32" i="28"/>
  <c r="KD32" i="28"/>
  <c r="GI33" i="28"/>
  <c r="FJ33" i="28"/>
  <c r="GL33" i="28"/>
  <c r="HO33" i="28"/>
  <c r="GP33" i="28"/>
  <c r="HR33" i="28"/>
  <c r="IU33" i="28"/>
  <c r="HV33" i="28"/>
  <c r="IX33" i="28"/>
  <c r="KA33" i="28"/>
  <c r="JB33" i="28"/>
  <c r="KD33" i="28"/>
  <c r="GI34" i="28"/>
  <c r="FJ34" i="28"/>
  <c r="GL34" i="28"/>
  <c r="HO34" i="28"/>
  <c r="GP34" i="28"/>
  <c r="HR34" i="28"/>
  <c r="IU34" i="28"/>
  <c r="HV34" i="28"/>
  <c r="IX34" i="28"/>
  <c r="KA34" i="28"/>
  <c r="JB34" i="28"/>
  <c r="KD34" i="28"/>
  <c r="FJ36" i="28"/>
  <c r="FN36" i="28"/>
  <c r="FR36" i="28"/>
  <c r="FV36" i="28"/>
  <c r="FZ36" i="28"/>
  <c r="GD36" i="28"/>
  <c r="GH36" i="28"/>
  <c r="GP36" i="28"/>
  <c r="GT36" i="28"/>
  <c r="GX36" i="28"/>
  <c r="HB36" i="28"/>
  <c r="HF36" i="28"/>
  <c r="HJ36" i="28"/>
  <c r="HN36" i="28"/>
  <c r="HV36" i="28"/>
  <c r="HZ36" i="28"/>
  <c r="ID36" i="28"/>
  <c r="IH36" i="28"/>
  <c r="IL36" i="28"/>
  <c r="IP36" i="28"/>
  <c r="IT36" i="28"/>
  <c r="JB36" i="28"/>
  <c r="JF36" i="28"/>
  <c r="JJ36" i="28"/>
  <c r="JN36" i="28"/>
  <c r="JR36" i="28"/>
  <c r="JV36" i="28"/>
  <c r="JZ36" i="28"/>
  <c r="Z31" i="25"/>
  <c r="Z27" i="25"/>
  <c r="Z24" i="25"/>
  <c r="Z20" i="25"/>
  <c r="Z19" i="25"/>
  <c r="Z16" i="25"/>
  <c r="Z12" i="25"/>
  <c r="Z8" i="25"/>
  <c r="LB27" i="25"/>
  <c r="BH7" i="28"/>
  <c r="BD7" i="28"/>
  <c r="AZ7" i="28"/>
  <c r="AV7" i="28"/>
  <c r="AR7" i="28"/>
  <c r="AN7" i="28"/>
  <c r="AJ7" i="28"/>
  <c r="EL34" i="28"/>
  <c r="EX34" i="28"/>
  <c r="EP34" i="28"/>
  <c r="EH34" i="28"/>
  <c r="FB34" i="28"/>
  <c r="ET34" i="28"/>
  <c r="EX30" i="28"/>
  <c r="EP30" i="28"/>
  <c r="EH30" i="28"/>
  <c r="FB30" i="28"/>
  <c r="ET30" i="28"/>
  <c r="EL30" i="28"/>
  <c r="EX26" i="28"/>
  <c r="EP26" i="28"/>
  <c r="EH26" i="28"/>
  <c r="FB26" i="28"/>
  <c r="ET26" i="28"/>
  <c r="EL26" i="28"/>
  <c r="EP22" i="28"/>
  <c r="EH22" i="28"/>
  <c r="FB22" i="28"/>
  <c r="ET22" i="28"/>
  <c r="EX22" i="28"/>
  <c r="EL22" i="28"/>
  <c r="FB18" i="28"/>
  <c r="EP18" i="28"/>
  <c r="EX18" i="28"/>
  <c r="EL18" i="28"/>
  <c r="ET18" i="28"/>
  <c r="EH18" i="28"/>
  <c r="FB14" i="28"/>
  <c r="ET14" i="28"/>
  <c r="EH14" i="28"/>
  <c r="EX14" i="28"/>
  <c r="EP14" i="28"/>
  <c r="EL14" i="28"/>
  <c r="ET10" i="28"/>
  <c r="EX10" i="28"/>
  <c r="EP10" i="28"/>
  <c r="EH10" i="28"/>
  <c r="FB33" i="28"/>
  <c r="ET33" i="28"/>
  <c r="EL33" i="28"/>
  <c r="EH33" i="28"/>
  <c r="EX33" i="28"/>
  <c r="EP33" i="28"/>
  <c r="EX29" i="28"/>
  <c r="EP29" i="28"/>
  <c r="EH29" i="28"/>
  <c r="FB29" i="28"/>
  <c r="ET29" i="28"/>
  <c r="EL29" i="28"/>
  <c r="EP25" i="28"/>
  <c r="FB25" i="28"/>
  <c r="EX25" i="28"/>
  <c r="EL25" i="28"/>
  <c r="ET25" i="28"/>
  <c r="EH25" i="28"/>
  <c r="EP21" i="28"/>
  <c r="FB21" i="28"/>
  <c r="EL21" i="28"/>
  <c r="EH21" i="28"/>
  <c r="EX21" i="28"/>
  <c r="ET21" i="28"/>
  <c r="FB17" i="28"/>
  <c r="ET17" i="28"/>
  <c r="EL17" i="28"/>
  <c r="EP17" i="28"/>
  <c r="EX17" i="28"/>
  <c r="FB13" i="28"/>
  <c r="ET13" i="28"/>
  <c r="EL13" i="28"/>
  <c r="EH13" i="28"/>
  <c r="EX13" i="28"/>
  <c r="EP13" i="28"/>
  <c r="EP9" i="28"/>
  <c r="FB9" i="28"/>
  <c r="ET9" i="28"/>
  <c r="EU36" i="28"/>
  <c r="EU50" i="28" s="1"/>
  <c r="EU55" i="28" s="1"/>
  <c r="EX36" i="28"/>
  <c r="EL9" i="28"/>
  <c r="P7" i="28"/>
  <c r="EX7" i="28"/>
  <c r="FF7" i="28"/>
  <c r="FB7" i="28"/>
  <c r="EH7" i="28"/>
  <c r="EL7" i="28"/>
  <c r="FB32" i="28"/>
  <c r="EH32" i="28"/>
  <c r="ET32" i="28"/>
  <c r="EL32" i="28"/>
  <c r="EP32" i="28"/>
  <c r="EX32" i="28"/>
  <c r="EX28" i="28"/>
  <c r="EP28" i="28"/>
  <c r="EH28" i="28"/>
  <c r="EL28" i="28"/>
  <c r="FB28" i="28"/>
  <c r="ET28" i="28"/>
  <c r="EX24" i="28"/>
  <c r="FB24" i="28"/>
  <c r="ET24" i="28"/>
  <c r="EL24" i="28"/>
  <c r="EP24" i="28"/>
  <c r="EH24" i="28"/>
  <c r="EX20" i="28"/>
  <c r="EP20" i="28"/>
  <c r="EL20" i="28"/>
  <c r="ET20" i="28"/>
  <c r="FB20" i="28"/>
  <c r="EH20" i="28"/>
  <c r="EL16" i="28"/>
  <c r="FB16" i="28"/>
  <c r="EP16" i="28"/>
  <c r="EH16" i="28"/>
  <c r="EX16" i="28"/>
  <c r="ET16" i="28"/>
  <c r="FB12" i="28"/>
  <c r="ET12" i="28"/>
  <c r="EL12" i="28"/>
  <c r="EP12" i="28"/>
  <c r="EH12" i="28"/>
  <c r="EX12" i="28"/>
  <c r="EX8" i="28"/>
  <c r="EP8" i="28"/>
  <c r="EH8" i="28"/>
  <c r="FB8" i="28"/>
  <c r="EL8" i="28"/>
  <c r="AX30" i="25"/>
  <c r="AX26" i="25"/>
  <c r="AX22" i="25"/>
  <c r="AX18" i="25"/>
  <c r="AX14" i="25"/>
  <c r="AX10" i="25"/>
  <c r="D7" i="28"/>
  <c r="EH31" i="28"/>
  <c r="FB31" i="28"/>
  <c r="ET31" i="28"/>
  <c r="EL31" i="28"/>
  <c r="EP31" i="28"/>
  <c r="EX31" i="28"/>
  <c r="EX27" i="28"/>
  <c r="EP27" i="28"/>
  <c r="EH27" i="28"/>
  <c r="FB27" i="28"/>
  <c r="ET27" i="28"/>
  <c r="EL27" i="28"/>
  <c r="FB23" i="28"/>
  <c r="EH23" i="28"/>
  <c r="EX23" i="28"/>
  <c r="EP23" i="28"/>
  <c r="EL23" i="28"/>
  <c r="ET23" i="28"/>
  <c r="EX19" i="28"/>
  <c r="EP19" i="28"/>
  <c r="EH19" i="28"/>
  <c r="EL19" i="28"/>
  <c r="ET19" i="28"/>
  <c r="FB19" i="28"/>
  <c r="FB15" i="28"/>
  <c r="EP15" i="28"/>
  <c r="EH15" i="28"/>
  <c r="EX15" i="28"/>
  <c r="EL15" i="28"/>
  <c r="ET15" i="28"/>
  <c r="FB11" i="28"/>
  <c r="FB40" i="28" s="1"/>
  <c r="EH11" i="28"/>
  <c r="EH40" i="28" s="1"/>
  <c r="ET11" i="28"/>
  <c r="EL11" i="28"/>
  <c r="EX11" i="28"/>
  <c r="EX40" i="28" s="1"/>
  <c r="EP11" i="28"/>
  <c r="EP40" i="28" s="1"/>
  <c r="LB23" i="25"/>
  <c r="LB19" i="25"/>
  <c r="AU35" i="25"/>
  <c r="DW25" i="25"/>
  <c r="ED9" i="28"/>
  <c r="ED7" i="28"/>
  <c r="BK7" i="28"/>
  <c r="BK11" i="28"/>
  <c r="BN11" i="28"/>
  <c r="ET8" i="28"/>
  <c r="FE36" i="28"/>
  <c r="EL10" i="28"/>
  <c r="EP7" i="28"/>
  <c r="ED8" i="28"/>
  <c r="FC8" i="28"/>
  <c r="FF8" i="28"/>
  <c r="EH9" i="28"/>
  <c r="FB10" i="28"/>
  <c r="FC9" i="28"/>
  <c r="BK26" i="28"/>
  <c r="BN26" i="28"/>
  <c r="AL26" i="28"/>
  <c r="BM36" i="28"/>
  <c r="AM36" i="28"/>
  <c r="AM50" i="28" s="1"/>
  <c r="AM55" i="28" s="1"/>
  <c r="AP36" i="28"/>
  <c r="BK10" i="28"/>
  <c r="BN10" i="28"/>
  <c r="BK22" i="28"/>
  <c r="BN22" i="28"/>
  <c r="AL22" i="28"/>
  <c r="AL10" i="28"/>
  <c r="BK14" i="28"/>
  <c r="BN14" i="28"/>
  <c r="BR22" i="28"/>
  <c r="AU36" i="28"/>
  <c r="AU50" i="28" s="1"/>
  <c r="AU55" i="28" s="1"/>
  <c r="AX36" i="28"/>
  <c r="BG36" i="28"/>
  <c r="BG50" i="28" s="1"/>
  <c r="BG55" i="28" s="1"/>
  <c r="BK34" i="28"/>
  <c r="BN34" i="28"/>
  <c r="AL34" i="28"/>
  <c r="BK18" i="28"/>
  <c r="BN18" i="28"/>
  <c r="BK30" i="28"/>
  <c r="BN30" i="28"/>
  <c r="AN6" i="28"/>
  <c r="BK19" i="28"/>
  <c r="BN19" i="28"/>
  <c r="DY36" i="28"/>
  <c r="BR8" i="28"/>
  <c r="BO36" i="28"/>
  <c r="BO50" i="28" s="1"/>
  <c r="BO55" i="28" s="1"/>
  <c r="BR36" i="28"/>
  <c r="BR12" i="28"/>
  <c r="BR16" i="28"/>
  <c r="CS36" i="28"/>
  <c r="BJ36" i="28"/>
  <c r="BK15" i="28"/>
  <c r="BN15" i="28"/>
  <c r="BK23" i="28"/>
  <c r="BN23" i="28"/>
  <c r="BK31" i="28"/>
  <c r="BN31" i="28"/>
  <c r="AI36" i="28"/>
  <c r="AI50" i="28" s="1"/>
  <c r="AI55" i="28" s="1"/>
  <c r="AL36" i="28"/>
  <c r="AQ36" i="28"/>
  <c r="AQ50" i="28" s="1"/>
  <c r="AQ55" i="28" s="1"/>
  <c r="AT36" i="28"/>
  <c r="AY36" i="28"/>
  <c r="AY50" i="28" s="1"/>
  <c r="AY55" i="28" s="1"/>
  <c r="BB36" i="28"/>
  <c r="BK8" i="28"/>
  <c r="BN8" i="28"/>
  <c r="BK12" i="28"/>
  <c r="BN12" i="28"/>
  <c r="BK16" i="28"/>
  <c r="BN16" i="28"/>
  <c r="BK20" i="28"/>
  <c r="BN20" i="28"/>
  <c r="BK24" i="28"/>
  <c r="BN24" i="28"/>
  <c r="BK28" i="28"/>
  <c r="BN28" i="28"/>
  <c r="BK32" i="28"/>
  <c r="BN32" i="28"/>
  <c r="BK27" i="28"/>
  <c r="BN27" i="28"/>
  <c r="BC36" i="28"/>
  <c r="BC50" i="28" s="1"/>
  <c r="BC55" i="28" s="1"/>
  <c r="BF36" i="28"/>
  <c r="AX7" i="28"/>
  <c r="AP9" i="28"/>
  <c r="BK9" i="28"/>
  <c r="BN9" i="28"/>
  <c r="BJ10" i="28"/>
  <c r="AX11" i="28"/>
  <c r="BK13" i="28"/>
  <c r="BN13" i="28"/>
  <c r="BK17" i="28"/>
  <c r="BN17" i="28"/>
  <c r="AX19" i="28"/>
  <c r="BK21" i="28"/>
  <c r="BN21" i="28"/>
  <c r="BK25" i="28"/>
  <c r="BN25" i="28"/>
  <c r="BK29" i="28"/>
  <c r="BN29" i="28"/>
  <c r="BK33" i="28"/>
  <c r="BN33" i="28"/>
  <c r="Z23" i="25"/>
  <c r="Y35" i="25"/>
  <c r="AV35" i="25"/>
  <c r="AX29" i="25"/>
  <c r="AX21" i="25"/>
  <c r="AX9" i="25"/>
  <c r="Z30" i="25"/>
  <c r="Z26" i="25"/>
  <c r="Z22" i="25"/>
  <c r="Z18" i="25"/>
  <c r="Z14" i="25"/>
  <c r="Z10" i="25"/>
  <c r="AX32" i="25"/>
  <c r="AX24" i="25"/>
  <c r="AX20" i="25"/>
  <c r="AX16" i="25"/>
  <c r="AX12" i="25"/>
  <c r="AX8" i="25"/>
  <c r="LB31" i="25"/>
  <c r="W35" i="25"/>
  <c r="AX25" i="25"/>
  <c r="AX17" i="25"/>
  <c r="AX13" i="25"/>
  <c r="LB15" i="25"/>
  <c r="LB11" i="25"/>
  <c r="LB7" i="25"/>
  <c r="Z29" i="25"/>
  <c r="Z25" i="25"/>
  <c r="Z21" i="25"/>
  <c r="Z17" i="25"/>
  <c r="Z13" i="25"/>
  <c r="Z9" i="25"/>
  <c r="AX6" i="25"/>
  <c r="AX31" i="25"/>
  <c r="AX27" i="25"/>
  <c r="AX23" i="25"/>
  <c r="AX19" i="25"/>
  <c r="AX15" i="25"/>
  <c r="AX11" i="25"/>
  <c r="AX7" i="25"/>
  <c r="Z15" i="25"/>
  <c r="Z11" i="25"/>
  <c r="Z7" i="25"/>
  <c r="LB21" i="25"/>
  <c r="X35" i="25"/>
  <c r="Z35" i="25"/>
  <c r="LB32" i="25"/>
  <c r="LB9" i="25"/>
  <c r="LB16" i="25"/>
  <c r="LB12" i="25"/>
  <c r="LB8" i="25"/>
  <c r="Z6" i="25"/>
  <c r="LB30" i="25"/>
  <c r="LB26" i="25"/>
  <c r="LB22" i="25"/>
  <c r="LB18" i="25"/>
  <c r="LB14" i="25"/>
  <c r="LB10" i="25"/>
  <c r="LB28" i="25"/>
  <c r="LB24" i="25"/>
  <c r="LB20" i="25"/>
  <c r="LB29" i="25"/>
  <c r="LB17" i="25"/>
  <c r="LB13" i="25"/>
  <c r="AW35" i="25"/>
  <c r="AX35" i="25"/>
  <c r="AE34" i="28"/>
  <c r="AH34" i="28"/>
  <c r="AE30" i="28"/>
  <c r="AH30" i="28"/>
  <c r="AE26" i="28"/>
  <c r="AH26" i="28"/>
  <c r="AE22" i="28"/>
  <c r="AH22" i="28"/>
  <c r="AE18" i="28"/>
  <c r="AH18" i="28"/>
  <c r="AE14" i="28"/>
  <c r="AH14" i="28"/>
  <c r="AE10" i="28"/>
  <c r="AH10" i="28"/>
  <c r="O48" i="23"/>
  <c r="AB7" i="28"/>
  <c r="H7" i="28"/>
  <c r="X7" i="28"/>
  <c r="L7" i="28"/>
  <c r="AE27" i="28"/>
  <c r="AH27" i="28"/>
  <c r="AE23" i="28"/>
  <c r="AH23" i="28"/>
  <c r="AE19" i="28"/>
  <c r="AH19" i="28"/>
  <c r="AE15" i="28"/>
  <c r="AH15" i="28"/>
  <c r="AE11" i="28"/>
  <c r="AH11" i="28"/>
  <c r="J26" i="28"/>
  <c r="R12" i="28"/>
  <c r="AD12" i="28"/>
  <c r="F30" i="28"/>
  <c r="F22" i="28"/>
  <c r="F14" i="28"/>
  <c r="N26" i="28"/>
  <c r="AE33" i="28"/>
  <c r="AH33" i="28"/>
  <c r="F33" i="28"/>
  <c r="AE29" i="28"/>
  <c r="AH29" i="28"/>
  <c r="F29" i="28"/>
  <c r="AE25" i="28"/>
  <c r="AH25" i="28"/>
  <c r="F25" i="28"/>
  <c r="AE21" i="28"/>
  <c r="AH21" i="28"/>
  <c r="F21" i="28"/>
  <c r="AE17" i="28"/>
  <c r="AH17" i="28"/>
  <c r="F17" i="28"/>
  <c r="AE13" i="28"/>
  <c r="AH13" i="28"/>
  <c r="F13" i="28"/>
  <c r="AE9" i="28"/>
  <c r="AH9" i="28"/>
  <c r="F9" i="28"/>
  <c r="O36" i="28"/>
  <c r="R36" i="28"/>
  <c r="R7" i="28"/>
  <c r="S36" i="28"/>
  <c r="V36" i="28"/>
  <c r="V31" i="28"/>
  <c r="W36" i="28"/>
  <c r="Z36" i="28"/>
  <c r="Z7" i="28"/>
  <c r="Z31" i="28"/>
  <c r="Z27" i="28"/>
  <c r="F27" i="28"/>
  <c r="F19" i="28"/>
  <c r="F11" i="28"/>
  <c r="AE32" i="28"/>
  <c r="AH32" i="28"/>
  <c r="F32" i="28"/>
  <c r="AE28" i="28"/>
  <c r="AH28" i="28"/>
  <c r="F28" i="28"/>
  <c r="AE24" i="28"/>
  <c r="AH24" i="28"/>
  <c r="F24" i="28"/>
  <c r="F34" i="28"/>
  <c r="F26" i="28"/>
  <c r="F18" i="28"/>
  <c r="F10" i="28"/>
  <c r="AE31" i="28"/>
  <c r="AH31" i="28"/>
  <c r="G36" i="28"/>
  <c r="J36" i="28"/>
  <c r="K36" i="28"/>
  <c r="N36" i="28"/>
  <c r="N7" i="28"/>
  <c r="N19" i="28"/>
  <c r="V9" i="28"/>
  <c r="F31" i="28"/>
  <c r="F23" i="28"/>
  <c r="F15" i="28"/>
  <c r="AA36" i="28"/>
  <c r="AD36" i="28"/>
  <c r="AD7" i="28"/>
  <c r="AE20" i="28"/>
  <c r="AH20" i="28"/>
  <c r="AE16" i="28"/>
  <c r="AH16" i="28"/>
  <c r="AE12" i="28"/>
  <c r="AH12" i="28"/>
  <c r="AE8" i="28"/>
  <c r="AH8" i="28"/>
  <c r="F20" i="28"/>
  <c r="F16" i="28"/>
  <c r="F12" i="28"/>
  <c r="F8" i="28"/>
  <c r="AG36" i="28"/>
  <c r="EA30" i="25"/>
  <c r="EA44" i="25"/>
  <c r="EA11" i="25"/>
  <c r="EA40" i="25"/>
  <c r="EA8" i="25"/>
  <c r="EA39" i="25"/>
  <c r="C36" i="28"/>
  <c r="F36" i="28"/>
  <c r="AE7" i="28"/>
  <c r="AH7" i="28"/>
  <c r="I45" i="23"/>
  <c r="I27" i="23"/>
  <c r="I33" i="23"/>
  <c r="CP7" i="25"/>
  <c r="CP8" i="25"/>
  <c r="CP9" i="25"/>
  <c r="CP10" i="25"/>
  <c r="CP11" i="25"/>
  <c r="CP12" i="25"/>
  <c r="CP13" i="25"/>
  <c r="CP14" i="25"/>
  <c r="CP15" i="25"/>
  <c r="CP16" i="25"/>
  <c r="CP17" i="25"/>
  <c r="CP18" i="25"/>
  <c r="CP19" i="25"/>
  <c r="CP20" i="25"/>
  <c r="CP21" i="25"/>
  <c r="CP22" i="25"/>
  <c r="CP23" i="25"/>
  <c r="CP24" i="25"/>
  <c r="CP25" i="25"/>
  <c r="CP26" i="25"/>
  <c r="CP27" i="25"/>
  <c r="CP28" i="25"/>
  <c r="CP29" i="25"/>
  <c r="CP30" i="25"/>
  <c r="CP31" i="25"/>
  <c r="CP32" i="25"/>
  <c r="CP6" i="25"/>
  <c r="HD35" i="29"/>
  <c r="CK4" i="27"/>
  <c r="DC11" i="27"/>
  <c r="DC10" i="27"/>
  <c r="DC9" i="27"/>
  <c r="DC8" i="27"/>
  <c r="DC7" i="27"/>
  <c r="DC12" i="27"/>
  <c r="KH35" i="29"/>
  <c r="DB4" i="27"/>
  <c r="DA11" i="27"/>
  <c r="DA10" i="27"/>
  <c r="DA9" i="27"/>
  <c r="DA8" i="27"/>
  <c r="DA7" i="27"/>
  <c r="CV11" i="27"/>
  <c r="CV10" i="27"/>
  <c r="CV9" i="27"/>
  <c r="CV8" i="27"/>
  <c r="CV7" i="27"/>
  <c r="CS11" i="27"/>
  <c r="CS10" i="27"/>
  <c r="CS9" i="27"/>
  <c r="CS8" i="27"/>
  <c r="CS7" i="27"/>
  <c r="CS12" i="27"/>
  <c r="IL35" i="29"/>
  <c r="CR4" i="27"/>
  <c r="CQ11" i="27"/>
  <c r="CQ10" i="27"/>
  <c r="CQ9" i="27"/>
  <c r="CQ8" i="27"/>
  <c r="CQ7" i="27"/>
  <c r="CQ12" i="27"/>
  <c r="IB35" i="29"/>
  <c r="IT3" i="29"/>
  <c r="CP4" i="27"/>
  <c r="CN11" i="27"/>
  <c r="CN10" i="27"/>
  <c r="CN9" i="27"/>
  <c r="CN8" i="27"/>
  <c r="CN7" i="27"/>
  <c r="CN12" i="27"/>
  <c r="CM11" i="27"/>
  <c r="CM10" i="27"/>
  <c r="CM9" i="27"/>
  <c r="CM8" i="27"/>
  <c r="CM7" i="27"/>
  <c r="CM12" i="27"/>
  <c r="HV3" i="29"/>
  <c r="CJ1" i="27"/>
  <c r="CL11" i="27"/>
  <c r="CL10" i="27"/>
  <c r="CL9" i="27"/>
  <c r="CL8" i="27"/>
  <c r="CL7" i="27"/>
  <c r="CL12" i="27"/>
  <c r="CO4" i="27"/>
  <c r="CJ11" i="27"/>
  <c r="CJ10" i="27"/>
  <c r="CJ9" i="27"/>
  <c r="CJ8" i="27"/>
  <c r="CJ7" i="27"/>
  <c r="Q69" i="31"/>
  <c r="Q68" i="31"/>
  <c r="Q64" i="31"/>
  <c r="Q65" i="31"/>
  <c r="Q66" i="31"/>
  <c r="Q67" i="31"/>
  <c r="Q60" i="31"/>
  <c r="Q61" i="31"/>
  <c r="Q62" i="31"/>
  <c r="Q63" i="31"/>
  <c r="Q56" i="31"/>
  <c r="Q57" i="31"/>
  <c r="Q58" i="31"/>
  <c r="Q59" i="31"/>
  <c r="Q51" i="31"/>
  <c r="Q52" i="31"/>
  <c r="Q53" i="31"/>
  <c r="Q54" i="31"/>
  <c r="Q55" i="31"/>
  <c r="Q47" i="31"/>
  <c r="Q48" i="31"/>
  <c r="Q49" i="31"/>
  <c r="Q50" i="31"/>
  <c r="Q43" i="31"/>
  <c r="Q44" i="31"/>
  <c r="Q45" i="31"/>
  <c r="Q46" i="31"/>
  <c r="Q38" i="31"/>
  <c r="Q39" i="31"/>
  <c r="Q40" i="31"/>
  <c r="Q41" i="31"/>
  <c r="Q42" i="31"/>
  <c r="Q35" i="31"/>
  <c r="Q36" i="31"/>
  <c r="Q37" i="31"/>
  <c r="Q31" i="31"/>
  <c r="Q32" i="31"/>
  <c r="Q33" i="31"/>
  <c r="Q34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GP35" i="29"/>
  <c r="CH4" i="27"/>
  <c r="CG11" i="27"/>
  <c r="CG10" i="27"/>
  <c r="CG9" i="27"/>
  <c r="CG8" i="27"/>
  <c r="CG7" i="27"/>
  <c r="CG12" i="27"/>
  <c r="GF35" i="29"/>
  <c r="CF4" i="27"/>
  <c r="GS3" i="29"/>
  <c r="CI4" i="27"/>
  <c r="CE11" i="27"/>
  <c r="CE10" i="27"/>
  <c r="CE9" i="27"/>
  <c r="CE8" i="27"/>
  <c r="CE7" i="27"/>
  <c r="P64" i="31"/>
  <c r="P60" i="31"/>
  <c r="P61" i="31"/>
  <c r="P62" i="31"/>
  <c r="P63" i="31"/>
  <c r="P56" i="31"/>
  <c r="P57" i="31"/>
  <c r="P58" i="31"/>
  <c r="P59" i="31"/>
  <c r="P51" i="31"/>
  <c r="P52" i="31"/>
  <c r="P53" i="31"/>
  <c r="P54" i="31"/>
  <c r="P55" i="31"/>
  <c r="P47" i="31"/>
  <c r="P48" i="31"/>
  <c r="P49" i="31"/>
  <c r="P50" i="31"/>
  <c r="P43" i="31"/>
  <c r="P44" i="31"/>
  <c r="P45" i="31"/>
  <c r="P46" i="31"/>
  <c r="P38" i="31"/>
  <c r="P39" i="31"/>
  <c r="P40" i="31"/>
  <c r="P41" i="31"/>
  <c r="P42" i="31"/>
  <c r="P35" i="31"/>
  <c r="P36" i="31"/>
  <c r="P37" i="31"/>
  <c r="P31" i="31"/>
  <c r="P32" i="31"/>
  <c r="P33" i="31"/>
  <c r="P34" i="31"/>
  <c r="P13" i="31"/>
  <c r="P14" i="31"/>
  <c r="P15" i="31"/>
  <c r="P16" i="31"/>
  <c r="P17" i="31"/>
  <c r="P18" i="31"/>
  <c r="P19" i="31"/>
  <c r="P20" i="31"/>
  <c r="P21" i="31"/>
  <c r="P22" i="31"/>
  <c r="P23" i="31"/>
  <c r="P24" i="31"/>
  <c r="P25" i="31"/>
  <c r="P26" i="31"/>
  <c r="P27" i="31"/>
  <c r="P28" i="31"/>
  <c r="P29" i="31"/>
  <c r="P30" i="31"/>
  <c r="CE1" i="27"/>
  <c r="CB11" i="27"/>
  <c r="CB10" i="27"/>
  <c r="CB9" i="27"/>
  <c r="CB8" i="27"/>
  <c r="CB7" i="27"/>
  <c r="CB12" i="27"/>
  <c r="BZ11" i="27"/>
  <c r="BZ10" i="27"/>
  <c r="BZ9" i="27"/>
  <c r="BZ8" i="27"/>
  <c r="BZ7" i="27"/>
  <c r="BW11" i="27"/>
  <c r="BW10" i="27"/>
  <c r="BW9" i="27"/>
  <c r="BW8" i="27"/>
  <c r="BW7" i="27"/>
  <c r="BW12" i="27"/>
  <c r="EJ35" i="29"/>
  <c r="BV4" i="27"/>
  <c r="BU11" i="27"/>
  <c r="BU10" i="27"/>
  <c r="BU9" i="27"/>
  <c r="BU8" i="27"/>
  <c r="BU7" i="27"/>
  <c r="BU12" i="27"/>
  <c r="DZ35" i="29"/>
  <c r="BT4" i="27"/>
  <c r="BR11" i="27"/>
  <c r="BR10" i="27"/>
  <c r="BR9" i="27"/>
  <c r="BR8" i="27"/>
  <c r="BR7" i="27"/>
  <c r="BR12" i="27"/>
  <c r="BQ11" i="27"/>
  <c r="BQ10" i="27"/>
  <c r="BQ9" i="27"/>
  <c r="BQ8" i="27"/>
  <c r="BQ7" i="27"/>
  <c r="BQ12" i="27"/>
  <c r="BP11" i="27"/>
  <c r="BS11" i="27"/>
  <c r="BP10" i="27"/>
  <c r="BS10" i="27"/>
  <c r="BP9" i="27"/>
  <c r="BS9" i="27"/>
  <c r="BP8" i="27"/>
  <c r="BS8" i="27"/>
  <c r="BP7" i="27"/>
  <c r="BM11" i="27"/>
  <c r="BM10" i="27"/>
  <c r="BM9" i="27"/>
  <c r="BM8" i="27"/>
  <c r="BM7" i="27"/>
  <c r="BM12" i="27"/>
  <c r="CM35" i="29"/>
  <c r="BK11" i="27"/>
  <c r="BK10" i="27"/>
  <c r="BK9" i="27"/>
  <c r="BK8" i="27"/>
  <c r="BK7" i="27"/>
  <c r="BK12" i="27"/>
  <c r="CC35" i="29"/>
  <c r="BH11" i="27"/>
  <c r="BH10" i="27"/>
  <c r="BH9" i="27"/>
  <c r="BH8" i="27"/>
  <c r="BH7" i="27"/>
  <c r="BH12" i="27"/>
  <c r="BG11" i="27"/>
  <c r="BG10" i="27"/>
  <c r="BG9" i="27"/>
  <c r="BG8" i="27"/>
  <c r="BG7" i="27"/>
  <c r="BG12" i="27"/>
  <c r="BF11" i="27"/>
  <c r="BF10" i="27"/>
  <c r="BF9" i="27"/>
  <c r="BF8" i="27"/>
  <c r="BF7" i="27"/>
  <c r="BF12" i="27"/>
  <c r="BE11" i="27"/>
  <c r="BE10" i="27"/>
  <c r="BE9" i="27"/>
  <c r="BE8" i="27"/>
  <c r="BE7" i="27"/>
  <c r="BE12" i="27"/>
  <c r="BD4" i="27"/>
  <c r="BA35" i="29"/>
  <c r="BB11" i="27"/>
  <c r="BB10" i="27"/>
  <c r="BB9" i="27"/>
  <c r="BB8" i="27"/>
  <c r="BB7" i="27"/>
  <c r="BB12" i="27"/>
  <c r="AL35" i="29"/>
  <c r="AZ4" i="27"/>
  <c r="AH35" i="29"/>
  <c r="AY11" i="27"/>
  <c r="AY10" i="27"/>
  <c r="AY9" i="27"/>
  <c r="AY8" i="27"/>
  <c r="AY7" i="27"/>
  <c r="AW11" i="27"/>
  <c r="AW10" i="27"/>
  <c r="AW9" i="27"/>
  <c r="AW8" i="27"/>
  <c r="AW7" i="27"/>
  <c r="AW12" i="27"/>
  <c r="AV11" i="27"/>
  <c r="AV10" i="27"/>
  <c r="AV9" i="27"/>
  <c r="AV8" i="27"/>
  <c r="AV7" i="27"/>
  <c r="AV12" i="27"/>
  <c r="I35" i="29"/>
  <c r="EV16" i="25"/>
  <c r="ES39" i="25"/>
  <c r="ES41" i="25"/>
  <c r="ES47" i="25"/>
  <c r="EU45" i="25"/>
  <c r="EU47" i="25"/>
  <c r="K31" i="27"/>
  <c r="DT3" i="29"/>
  <c r="BX3" i="29"/>
  <c r="CI23" i="27"/>
  <c r="FU24" i="29"/>
  <c r="U24" i="24"/>
  <c r="W33" i="29"/>
  <c r="JR44" i="29"/>
  <c r="JR46" i="29"/>
  <c r="Y26" i="24"/>
  <c r="CV33" i="29"/>
  <c r="FU45" i="29"/>
  <c r="FU46" i="29"/>
  <c r="U34" i="24"/>
  <c r="GS44" i="29"/>
  <c r="GS46" i="29"/>
  <c r="GS48" i="29"/>
  <c r="V26" i="24"/>
  <c r="DX56" i="29"/>
  <c r="TW36" i="30"/>
  <c r="TZ36" i="30"/>
  <c r="TZ7" i="30"/>
  <c r="BHG36" i="30"/>
  <c r="BHJ36" i="30"/>
  <c r="AE46" i="30"/>
  <c r="AH44" i="30"/>
  <c r="AAD30" i="30"/>
  <c r="AAA44" i="30"/>
  <c r="AAD44" i="30"/>
  <c r="KU26" i="29"/>
  <c r="KQ35" i="29"/>
  <c r="KQ44" i="29"/>
  <c r="KY51" i="29"/>
  <c r="KY55" i="29"/>
  <c r="BU46" i="29"/>
  <c r="BS48" i="29"/>
  <c r="GV46" i="29"/>
  <c r="GT48" i="29"/>
  <c r="GV48" i="29"/>
  <c r="JH51" i="29"/>
  <c r="JJ48" i="29"/>
  <c r="AAA39" i="30"/>
  <c r="AAA36" i="30"/>
  <c r="AAD36" i="30"/>
  <c r="BJV7" i="30"/>
  <c r="BJS36" i="30"/>
  <c r="BJV36" i="30"/>
  <c r="ABJ7" i="30"/>
  <c r="ABG36" i="30"/>
  <c r="ABJ36" i="30"/>
  <c r="KA39" i="30"/>
  <c r="KA36" i="30"/>
  <c r="KD36" i="30"/>
  <c r="ST7" i="30"/>
  <c r="SQ36" i="30"/>
  <c r="ST36" i="30"/>
  <c r="AQD26" i="30"/>
  <c r="AQA44" i="30"/>
  <c r="APJ42" i="30"/>
  <c r="APG48" i="30"/>
  <c r="APJ48" i="30"/>
  <c r="AQC48" i="30"/>
  <c r="BCL7" i="30"/>
  <c r="BCI36" i="30"/>
  <c r="BCL36" i="30"/>
  <c r="JR42" i="30"/>
  <c r="JO48" i="30"/>
  <c r="JR48" i="30"/>
  <c r="ZB42" i="30"/>
  <c r="YY48" i="30"/>
  <c r="ZB48" i="30"/>
  <c r="ZK48" i="30"/>
  <c r="ZN48" i="30"/>
  <c r="ZN46" i="30"/>
  <c r="CT7" i="30"/>
  <c r="CQ36" i="30"/>
  <c r="CT36" i="30"/>
  <c r="BKZ36" i="30"/>
  <c r="KD7" i="30"/>
  <c r="LJ7" i="30"/>
  <c r="LG36" i="30"/>
  <c r="LJ36" i="30"/>
  <c r="AMJ36" i="30"/>
  <c r="AYQ36" i="30"/>
  <c r="AYT36" i="30"/>
  <c r="AZZ8" i="30"/>
  <c r="AZW36" i="30"/>
  <c r="AZZ36" i="30"/>
  <c r="ADS36" i="30"/>
  <c r="ADV36" i="30"/>
  <c r="BBC36" i="30"/>
  <c r="BBF36" i="30"/>
  <c r="BDO36" i="30"/>
  <c r="BDR36" i="30"/>
  <c r="ARG36" i="30"/>
  <c r="ARJ36" i="30"/>
  <c r="BHJ7" i="30"/>
  <c r="AAB39" i="30"/>
  <c r="AAB42" i="30"/>
  <c r="AAB36" i="30"/>
  <c r="AH12" i="30"/>
  <c r="AE41" i="30"/>
  <c r="AH41" i="30"/>
  <c r="BGB40" i="30"/>
  <c r="BGD13" i="30"/>
  <c r="BGA40" i="30"/>
  <c r="BGD40" i="30"/>
  <c r="BGD26" i="30"/>
  <c r="AAB46" i="30"/>
  <c r="AQA45" i="30"/>
  <c r="AQD45" i="30"/>
  <c r="KC48" i="30"/>
  <c r="ZF42" i="30"/>
  <c r="ZC48" i="30"/>
  <c r="ZF48" i="30"/>
  <c r="APZ42" i="30"/>
  <c r="APW48" i="30"/>
  <c r="APZ48" i="30"/>
  <c r="N42" i="30"/>
  <c r="K48" i="30"/>
  <c r="N48" i="30"/>
  <c r="ZR42" i="30"/>
  <c r="ZO48" i="30"/>
  <c r="ZR48" i="30"/>
  <c r="BFJ42" i="30"/>
  <c r="BFG48" i="30"/>
  <c r="BFJ48" i="30"/>
  <c r="AH46" i="30"/>
  <c r="AG48" i="30"/>
  <c r="AOY48" i="30"/>
  <c r="APB48" i="30"/>
  <c r="APB46" i="30"/>
  <c r="BGD46" i="30"/>
  <c r="BGC48" i="30"/>
  <c r="BGD44" i="30"/>
  <c r="AN6" i="30"/>
  <c r="AK6" i="30"/>
  <c r="AL6" i="30"/>
  <c r="AAD7" i="30"/>
  <c r="AIT7" i="30"/>
  <c r="AIQ36" i="30"/>
  <c r="AIT36" i="30"/>
  <c r="VF7" i="30"/>
  <c r="AEY36" i="30"/>
  <c r="AFB36" i="30"/>
  <c r="AGH8" i="30"/>
  <c r="AGE36" i="30"/>
  <c r="AGH36" i="30"/>
  <c r="ADV7" i="30"/>
  <c r="AQD7" i="30"/>
  <c r="AQA36" i="30"/>
  <c r="AQD36" i="30"/>
  <c r="AQA39" i="30"/>
  <c r="AJW36" i="30"/>
  <c r="AJZ36" i="30"/>
  <c r="AQB36" i="30"/>
  <c r="AQB39" i="30"/>
  <c r="AE36" i="30"/>
  <c r="AH36" i="30"/>
  <c r="AE39" i="30"/>
  <c r="AEZ36" i="30"/>
  <c r="BGD7" i="30"/>
  <c r="BGA36" i="30"/>
  <c r="BGD36" i="30"/>
  <c r="BGA39" i="30"/>
  <c r="BKY36" i="30"/>
  <c r="BLB36" i="30"/>
  <c r="ATT36" i="30"/>
  <c r="KA40" i="30"/>
  <c r="KD40" i="30"/>
  <c r="BGD12" i="30"/>
  <c r="BGA41" i="30"/>
  <c r="BGD41" i="30"/>
  <c r="ADT36" i="30"/>
  <c r="BGB41" i="30"/>
  <c r="BGB44" i="30"/>
  <c r="BGB46" i="30"/>
  <c r="AH26" i="30"/>
  <c r="KD26" i="30"/>
  <c r="AAD33" i="30"/>
  <c r="AAA45" i="30"/>
  <c r="R42" i="30"/>
  <c r="O48" i="30"/>
  <c r="R48" i="30"/>
  <c r="ZV42" i="30"/>
  <c r="ZS48" i="30"/>
  <c r="ZV48" i="30"/>
  <c r="BFN42" i="30"/>
  <c r="BFK48" i="30"/>
  <c r="BFN48" i="30"/>
  <c r="AD42" i="30"/>
  <c r="AA48" i="30"/>
  <c r="AD48" i="30"/>
  <c r="APF42" i="30"/>
  <c r="APC48" i="30"/>
  <c r="APF48" i="30"/>
  <c r="BFZ42" i="30"/>
  <c r="BFW48" i="30"/>
  <c r="BFZ48" i="30"/>
  <c r="JG48" i="30"/>
  <c r="JJ48" i="30"/>
  <c r="JJ46" i="30"/>
  <c r="APO48" i="30"/>
  <c r="APR48" i="30"/>
  <c r="APR46" i="30"/>
  <c r="KD44" i="30"/>
  <c r="HR7" i="30"/>
  <c r="HO36" i="30"/>
  <c r="HR36" i="30"/>
  <c r="DZ7" i="30"/>
  <c r="RN7" i="30"/>
  <c r="RK36" i="30"/>
  <c r="RN36" i="30"/>
  <c r="BEX7" i="30"/>
  <c r="BEU36" i="30"/>
  <c r="BEX36" i="30"/>
  <c r="WL7" i="30"/>
  <c r="WI36" i="30"/>
  <c r="WL36" i="30"/>
  <c r="AOU36" i="30"/>
  <c r="AOX36" i="30"/>
  <c r="W48" i="30"/>
  <c r="Z48" i="30"/>
  <c r="Z46" i="30"/>
  <c r="BFS48" i="30"/>
  <c r="BFV48" i="30"/>
  <c r="BFV46" i="30"/>
  <c r="KB39" i="30"/>
  <c r="KB36" i="30"/>
  <c r="ARH36" i="30"/>
  <c r="YX7" i="30"/>
  <c r="YU36" i="30"/>
  <c r="YX36" i="30"/>
  <c r="BN7" i="30"/>
  <c r="BK36" i="30"/>
  <c r="BN36" i="30"/>
  <c r="BGB39" i="30"/>
  <c r="BGB36" i="30"/>
  <c r="ALF7" i="30"/>
  <c r="ALC36" i="30"/>
  <c r="ALF36" i="30"/>
  <c r="ABH36" i="30"/>
  <c r="PB7" i="30"/>
  <c r="OY36" i="30"/>
  <c r="PB36" i="30"/>
  <c r="XR7" i="30"/>
  <c r="AOV36" i="30"/>
  <c r="AWH7" i="30"/>
  <c r="AWE36" i="30"/>
  <c r="AWH36" i="30"/>
  <c r="BJT36" i="30"/>
  <c r="KB40" i="30"/>
  <c r="AML7" i="30"/>
  <c r="AMI36" i="30"/>
  <c r="AML36" i="30"/>
  <c r="AQD11" i="30"/>
  <c r="AQA40" i="30"/>
  <c r="AQD40" i="30"/>
  <c r="AQB41" i="30"/>
  <c r="AQA41" i="30"/>
  <c r="AQD41" i="30"/>
  <c r="BEV36" i="30"/>
  <c r="AQB44" i="30"/>
  <c r="AQB46" i="30"/>
  <c r="MP7" i="30"/>
  <c r="MM36" i="30"/>
  <c r="MP36" i="30"/>
  <c r="AF39" i="30"/>
  <c r="AF42" i="30"/>
  <c r="AF36" i="30"/>
  <c r="AHL36" i="30"/>
  <c r="BBD36" i="30"/>
  <c r="ASP7" i="30"/>
  <c r="ASM36" i="30"/>
  <c r="ASP36" i="30"/>
  <c r="GL7" i="30"/>
  <c r="GI36" i="30"/>
  <c r="GL36" i="30"/>
  <c r="ACN36" i="30"/>
  <c r="AWF36" i="30"/>
  <c r="ATS36" i="30"/>
  <c r="ATV36" i="30"/>
  <c r="AZX36" i="30"/>
  <c r="BCJ36" i="30"/>
  <c r="ACP7" i="30"/>
  <c r="ACM36" i="30"/>
  <c r="ACP36" i="30"/>
  <c r="AHK36" i="30"/>
  <c r="AHN36" i="30"/>
  <c r="ARJ7" i="30"/>
  <c r="AXK36" i="30"/>
  <c r="AXN36" i="30"/>
  <c r="BIN36" i="30"/>
  <c r="AJX36" i="30"/>
  <c r="AAA40" i="30"/>
  <c r="AAD40" i="30"/>
  <c r="AVB7" i="30"/>
  <c r="AUY36" i="30"/>
  <c r="AVB36" i="30"/>
  <c r="BIM36" i="30"/>
  <c r="BIP36" i="30"/>
  <c r="ALD36" i="30"/>
  <c r="AH9" i="30"/>
  <c r="AE40" i="30"/>
  <c r="AH40" i="30"/>
  <c r="AHN7" i="30"/>
  <c r="ANO36" i="30"/>
  <c r="ANR36" i="30"/>
  <c r="AYR36" i="30"/>
  <c r="AAD9" i="30"/>
  <c r="KD12" i="30"/>
  <c r="KA41" i="30"/>
  <c r="KD41" i="30"/>
  <c r="BHH36" i="30"/>
  <c r="ASN36" i="30"/>
  <c r="AXL36" i="30"/>
  <c r="AIR36" i="30"/>
  <c r="JB42" i="30"/>
  <c r="IY48" i="30"/>
  <c r="JB48" i="30"/>
  <c r="AAC48" i="30"/>
  <c r="AQD31" i="30"/>
  <c r="JN42" i="30"/>
  <c r="JK48" i="30"/>
  <c r="JN48" i="30"/>
  <c r="APV42" i="30"/>
  <c r="APS48" i="30"/>
  <c r="APV48" i="30"/>
  <c r="G48" i="30"/>
  <c r="J48" i="30"/>
  <c r="J46" i="30"/>
  <c r="JW48" i="30"/>
  <c r="JZ48" i="30"/>
  <c r="JZ46" i="30"/>
  <c r="BFC48" i="30"/>
  <c r="BFF48" i="30"/>
  <c r="BFF46" i="30"/>
  <c r="LA28" i="29"/>
  <c r="LB28" i="29"/>
  <c r="GC46" i="29"/>
  <c r="GB48" i="29"/>
  <c r="BV48" i="29"/>
  <c r="BW46" i="29"/>
  <c r="GY46" i="29"/>
  <c r="GX48" i="29"/>
  <c r="CJ56" i="29"/>
  <c r="KF56" i="29"/>
  <c r="HX54" i="29"/>
  <c r="HY54" i="29"/>
  <c r="CI48" i="29"/>
  <c r="CH51" i="29"/>
  <c r="CK51" i="29"/>
  <c r="CH52" i="29"/>
  <c r="CH53" i="29"/>
  <c r="CH54" i="29"/>
  <c r="CH64" i="29"/>
  <c r="CH55" i="29"/>
  <c r="CK55" i="29"/>
  <c r="DS48" i="29"/>
  <c r="DR51" i="29"/>
  <c r="DR52" i="29"/>
  <c r="DR53" i="29"/>
  <c r="DR54" i="29"/>
  <c r="DR55" i="29"/>
  <c r="HZ56" i="29"/>
  <c r="JP56" i="29"/>
  <c r="IF58" i="29"/>
  <c r="II58" i="29"/>
  <c r="II64" i="29"/>
  <c r="ID56" i="29"/>
  <c r="LA16" i="29"/>
  <c r="LB16" i="29"/>
  <c r="JR16" i="29"/>
  <c r="Y16" i="24"/>
  <c r="JN40" i="29"/>
  <c r="JN35" i="29"/>
  <c r="KZ18" i="29"/>
  <c r="EY35" i="29"/>
  <c r="EZ35" i="29"/>
  <c r="EY41" i="29"/>
  <c r="DQ46" i="29"/>
  <c r="DP48" i="29"/>
  <c r="KO46" i="29"/>
  <c r="KN48" i="29"/>
  <c r="EM51" i="29"/>
  <c r="EM52" i="29"/>
  <c r="EM53" i="29"/>
  <c r="EM54" i="29"/>
  <c r="EM64" i="29"/>
  <c r="EM58" i="29"/>
  <c r="EM55" i="29"/>
  <c r="HC51" i="29"/>
  <c r="HC52" i="29"/>
  <c r="HC53" i="29"/>
  <c r="HC54" i="29"/>
  <c r="HC55" i="29"/>
  <c r="IE51" i="29"/>
  <c r="IE52" i="29"/>
  <c r="IE53" i="29"/>
  <c r="IE54" i="29"/>
  <c r="IE64" i="29"/>
  <c r="IE58" i="29"/>
  <c r="IE55" i="29"/>
  <c r="BP46" i="29"/>
  <c r="BO48" i="29"/>
  <c r="HA48" i="29"/>
  <c r="GZ51" i="29"/>
  <c r="GZ52" i="29"/>
  <c r="GZ53" i="29"/>
  <c r="GZ54" i="29"/>
  <c r="GZ55" i="29"/>
  <c r="LA9" i="29"/>
  <c r="LB9" i="29"/>
  <c r="LA17" i="29"/>
  <c r="LB17" i="29"/>
  <c r="JC52" i="29"/>
  <c r="JC53" i="29"/>
  <c r="JC54" i="29"/>
  <c r="JC64" i="29"/>
  <c r="JC58" i="29"/>
  <c r="JC55" i="29"/>
  <c r="JC51" i="29"/>
  <c r="BN51" i="29"/>
  <c r="BN52" i="29"/>
  <c r="BN53" i="29"/>
  <c r="BN54" i="29"/>
  <c r="BN64" i="29"/>
  <c r="BN58" i="29"/>
  <c r="BN55" i="29"/>
  <c r="GM46" i="29"/>
  <c r="GL48" i="29"/>
  <c r="KX48" i="29"/>
  <c r="KV51" i="29"/>
  <c r="KV52" i="29"/>
  <c r="KV53" i="29"/>
  <c r="KV55" i="29"/>
  <c r="KV54" i="29"/>
  <c r="KV64" i="29"/>
  <c r="KV58" i="29"/>
  <c r="CU46" i="29"/>
  <c r="CT48" i="29"/>
  <c r="IS46" i="29"/>
  <c r="IR48" i="29"/>
  <c r="GN56" i="29"/>
  <c r="KB58" i="29"/>
  <c r="KE58" i="29"/>
  <c r="KE64" i="29"/>
  <c r="KP56" i="29"/>
  <c r="IG48" i="29"/>
  <c r="EO48" i="29"/>
  <c r="LA6" i="29"/>
  <c r="LB6" i="29"/>
  <c r="KZ39" i="29"/>
  <c r="LA10" i="29"/>
  <c r="LB10" i="29"/>
  <c r="LA14" i="29"/>
  <c r="LB14" i="29"/>
  <c r="LA15" i="29"/>
  <c r="LB15" i="29"/>
  <c r="EW26" i="29"/>
  <c r="ES35" i="29"/>
  <c r="ES44" i="29"/>
  <c r="LA23" i="29"/>
  <c r="LB23" i="29"/>
  <c r="EW44" i="29"/>
  <c r="CF33" i="29"/>
  <c r="CC45" i="29"/>
  <c r="LA30" i="29"/>
  <c r="LB30" i="29"/>
  <c r="KZ45" i="29"/>
  <c r="CV44" i="29"/>
  <c r="EG46" i="29"/>
  <c r="EF48" i="29"/>
  <c r="HF46" i="29"/>
  <c r="HD46" i="29"/>
  <c r="HB48" i="29"/>
  <c r="JU46" i="29"/>
  <c r="JT48" i="29"/>
  <c r="JU48" i="29"/>
  <c r="EA51" i="29"/>
  <c r="EA52" i="29"/>
  <c r="EB52" i="29"/>
  <c r="EA53" i="29"/>
  <c r="EB53" i="29"/>
  <c r="EA54" i="29"/>
  <c r="EB54" i="29"/>
  <c r="EA55" i="29"/>
  <c r="EB55" i="29"/>
  <c r="EB48" i="29"/>
  <c r="FT48" i="29"/>
  <c r="FS51" i="29"/>
  <c r="FS52" i="29"/>
  <c r="FS53" i="29"/>
  <c r="FS54" i="29"/>
  <c r="FS55" i="29"/>
  <c r="KA51" i="29"/>
  <c r="KA52" i="29"/>
  <c r="KA53" i="29"/>
  <c r="KA54" i="29"/>
  <c r="KA64" i="29"/>
  <c r="KA58" i="29"/>
  <c r="KA55" i="29"/>
  <c r="DK51" i="29"/>
  <c r="DK52" i="29"/>
  <c r="DN52" i="29"/>
  <c r="DK53" i="29"/>
  <c r="DN53" i="29"/>
  <c r="DK54" i="29"/>
  <c r="DK55" i="29"/>
  <c r="DN55" i="29"/>
  <c r="GF48" i="29"/>
  <c r="GE51" i="29"/>
  <c r="GE52" i="29"/>
  <c r="GE53" i="29"/>
  <c r="GE54" i="29"/>
  <c r="GE55" i="29"/>
  <c r="JX48" i="29"/>
  <c r="JW51" i="29"/>
  <c r="JW52" i="29"/>
  <c r="JZ52" i="29"/>
  <c r="JW53" i="29"/>
  <c r="JZ53" i="29"/>
  <c r="JW54" i="29"/>
  <c r="JW55" i="29"/>
  <c r="JZ55" i="29"/>
  <c r="DB46" i="29"/>
  <c r="CZ48" i="29"/>
  <c r="DD46" i="29"/>
  <c r="HS46" i="29"/>
  <c r="HR48" i="29"/>
  <c r="FM48" i="29"/>
  <c r="FL51" i="29"/>
  <c r="FL52" i="29"/>
  <c r="FO52" i="29"/>
  <c r="FL53" i="29"/>
  <c r="FO53" i="29"/>
  <c r="FL54" i="29"/>
  <c r="FL64" i="29"/>
  <c r="FL55" i="29"/>
  <c r="BQ51" i="29"/>
  <c r="BR48" i="29"/>
  <c r="BQ52" i="29"/>
  <c r="BQ53" i="29"/>
  <c r="BQ54" i="29"/>
  <c r="BQ55" i="29"/>
  <c r="CL56" i="29"/>
  <c r="KC48" i="29"/>
  <c r="KM48" i="29"/>
  <c r="KL51" i="29"/>
  <c r="KL52" i="29"/>
  <c r="KL53" i="29"/>
  <c r="KL54" i="29"/>
  <c r="KL64" i="29"/>
  <c r="KL55" i="29"/>
  <c r="CK53" i="29"/>
  <c r="HX52" i="29"/>
  <c r="HY52" i="29"/>
  <c r="HT56" i="29"/>
  <c r="FO55" i="29"/>
  <c r="ED58" i="29"/>
  <c r="ED67" i="29"/>
  <c r="EG64" i="29"/>
  <c r="DI48" i="29"/>
  <c r="DH51" i="29"/>
  <c r="DH52" i="29"/>
  <c r="DH53" i="29"/>
  <c r="DH54" i="29"/>
  <c r="DH55" i="29"/>
  <c r="CB56" i="29"/>
  <c r="JV56" i="29"/>
  <c r="IQ48" i="29"/>
  <c r="IP51" i="29"/>
  <c r="IP52" i="29"/>
  <c r="IT52" i="29"/>
  <c r="IP53" i="29"/>
  <c r="IT53" i="29"/>
  <c r="IP54" i="29"/>
  <c r="IP64" i="29"/>
  <c r="IT64" i="29"/>
  <c r="IP55" i="29"/>
  <c r="IT55" i="29"/>
  <c r="IJ56" i="29"/>
  <c r="BW67" i="29"/>
  <c r="LA8" i="29"/>
  <c r="LB8" i="29"/>
  <c r="KZ40" i="29"/>
  <c r="EW34" i="29"/>
  <c r="ES45" i="29"/>
  <c r="ET45" i="29"/>
  <c r="CP33" i="29"/>
  <c r="CM45" i="29"/>
  <c r="AU33" i="29"/>
  <c r="JE46" i="29"/>
  <c r="JD48" i="29"/>
  <c r="EU51" i="29"/>
  <c r="EU52" i="29"/>
  <c r="EU53" i="29"/>
  <c r="EU54" i="29"/>
  <c r="EU55" i="29"/>
  <c r="EV48" i="29"/>
  <c r="KI51" i="29"/>
  <c r="KI52" i="29"/>
  <c r="KJ52" i="29"/>
  <c r="KI53" i="29"/>
  <c r="KJ53" i="29"/>
  <c r="KI54" i="29"/>
  <c r="KJ54" i="29"/>
  <c r="KI55" i="29"/>
  <c r="KJ55" i="29"/>
  <c r="KJ48" i="29"/>
  <c r="II46" i="29"/>
  <c r="IH48" i="29"/>
  <c r="LA12" i="29"/>
  <c r="LB12" i="29"/>
  <c r="BX16" i="29"/>
  <c r="BX35" i="29"/>
  <c r="LA19" i="29"/>
  <c r="LB19" i="29"/>
  <c r="EW35" i="29"/>
  <c r="EW40" i="29"/>
  <c r="EW42" i="29"/>
  <c r="EJ48" i="29"/>
  <c r="EI51" i="29"/>
  <c r="EI52" i="29"/>
  <c r="EI53" i="29"/>
  <c r="EI54" i="29"/>
  <c r="EI55" i="29"/>
  <c r="DC51" i="29"/>
  <c r="DD48" i="29"/>
  <c r="DC52" i="29"/>
  <c r="DD52" i="29"/>
  <c r="DC53" i="29"/>
  <c r="DD53" i="29"/>
  <c r="DC54" i="29"/>
  <c r="DD54" i="29"/>
  <c r="DC55" i="29"/>
  <c r="DD55" i="29"/>
  <c r="IY51" i="29"/>
  <c r="IY52" i="29"/>
  <c r="IY53" i="29"/>
  <c r="IY54" i="29"/>
  <c r="IY55" i="29"/>
  <c r="IZ48" i="29"/>
  <c r="DW46" i="29"/>
  <c r="DV48" i="29"/>
  <c r="DW48" i="29"/>
  <c r="HI46" i="29"/>
  <c r="HH48" i="29"/>
  <c r="ER56" i="29"/>
  <c r="GD56" i="29"/>
  <c r="KF58" i="29"/>
  <c r="FN56" i="29"/>
  <c r="HX53" i="29"/>
  <c r="HY53" i="29"/>
  <c r="CX58" i="29"/>
  <c r="CY58" i="29"/>
  <c r="CE67" i="29"/>
  <c r="LA7" i="29"/>
  <c r="LB7" i="29"/>
  <c r="LA11" i="29"/>
  <c r="LB11" i="29"/>
  <c r="LA13" i="29"/>
  <c r="LB13" i="29"/>
  <c r="FU16" i="29"/>
  <c r="U16" i="24"/>
  <c r="FQ35" i="29"/>
  <c r="FQ40" i="29"/>
  <c r="FG35" i="29"/>
  <c r="FG40" i="29"/>
  <c r="LA24" i="29"/>
  <c r="LB24" i="29"/>
  <c r="EY46" i="29"/>
  <c r="EZ46" i="29"/>
  <c r="EZ44" i="29"/>
  <c r="KZ29" i="29"/>
  <c r="AU34" i="29"/>
  <c r="LA31" i="29"/>
  <c r="LB31" i="29"/>
  <c r="CV34" i="29"/>
  <c r="HV35" i="29"/>
  <c r="HV44" i="29"/>
  <c r="HV46" i="29"/>
  <c r="HV48" i="29"/>
  <c r="CQ51" i="29"/>
  <c r="CQ52" i="29"/>
  <c r="CQ53" i="29"/>
  <c r="CQ54" i="29"/>
  <c r="CQ64" i="29"/>
  <c r="CQ58" i="29"/>
  <c r="CQ55" i="29"/>
  <c r="IM51" i="29"/>
  <c r="IN48" i="29"/>
  <c r="IM52" i="29"/>
  <c r="IN52" i="29"/>
  <c r="IM53" i="29"/>
  <c r="IN53" i="29"/>
  <c r="IM54" i="29"/>
  <c r="IN54" i="29"/>
  <c r="IM55" i="29"/>
  <c r="IN55" i="29"/>
  <c r="CO48" i="29"/>
  <c r="CP46" i="29"/>
  <c r="DO51" i="29"/>
  <c r="DO52" i="29"/>
  <c r="DO53" i="29"/>
  <c r="DO54" i="29"/>
  <c r="DO64" i="29"/>
  <c r="DO58" i="29"/>
  <c r="DO55" i="29"/>
  <c r="JL48" i="29"/>
  <c r="JK51" i="29"/>
  <c r="JK52" i="29"/>
  <c r="JL52" i="29"/>
  <c r="JK53" i="29"/>
  <c r="JL53" i="29"/>
  <c r="JK54" i="29"/>
  <c r="JL54" i="29"/>
  <c r="JK55" i="29"/>
  <c r="JL55" i="29"/>
  <c r="DG46" i="29"/>
  <c r="DF48" i="29"/>
  <c r="EQ46" i="29"/>
  <c r="EP48" i="29"/>
  <c r="HP46" i="29"/>
  <c r="HN46" i="29"/>
  <c r="HL48" i="29"/>
  <c r="KE46" i="29"/>
  <c r="KD48" i="29"/>
  <c r="DL46" i="29"/>
  <c r="DN46" i="29"/>
  <c r="DJ48" i="29"/>
  <c r="DL48" i="29"/>
  <c r="HY46" i="29"/>
  <c r="HX48" i="29"/>
  <c r="HY48" i="29"/>
  <c r="GK48" i="29"/>
  <c r="GJ51" i="29"/>
  <c r="GJ52" i="29"/>
  <c r="GJ53" i="29"/>
  <c r="GJ54" i="29"/>
  <c r="GJ64" i="29"/>
  <c r="GJ55" i="29"/>
  <c r="BR46" i="29"/>
  <c r="ED56" i="29"/>
  <c r="FB64" i="29"/>
  <c r="FB56" i="29"/>
  <c r="CK52" i="29"/>
  <c r="EH56" i="29"/>
  <c r="JB48" i="29"/>
  <c r="IX51" i="29"/>
  <c r="IX52" i="29"/>
  <c r="IX53" i="29"/>
  <c r="IX54" i="29"/>
  <c r="IX64" i="29"/>
  <c r="IX58" i="29"/>
  <c r="IX55" i="29"/>
  <c r="KB56" i="29"/>
  <c r="FO54" i="29"/>
  <c r="HX55" i="29"/>
  <c r="HY55" i="29"/>
  <c r="JG48" i="29"/>
  <c r="JF51" i="29"/>
  <c r="JF52" i="29"/>
  <c r="JF53" i="29"/>
  <c r="JF54" i="29"/>
  <c r="JF55" i="29"/>
  <c r="HJ56" i="29"/>
  <c r="FE48" i="29"/>
  <c r="FD52" i="29"/>
  <c r="FE52" i="29"/>
  <c r="FD53" i="29"/>
  <c r="FE53" i="29"/>
  <c r="FD54" i="29"/>
  <c r="FE54" i="29"/>
  <c r="FD55" i="29"/>
  <c r="FE55" i="29"/>
  <c r="FD51" i="29"/>
  <c r="JH56" i="29"/>
  <c r="IF56" i="29"/>
  <c r="JT55" i="29"/>
  <c r="JU55" i="29"/>
  <c r="EQ69" i="29"/>
  <c r="EV69" i="29"/>
  <c r="ID58" i="29"/>
  <c r="ALD25" i="28"/>
  <c r="ALC36" i="28"/>
  <c r="ALC50" i="28" s="1"/>
  <c r="ALF36" i="28"/>
  <c r="AJW36" i="28"/>
  <c r="AJW50" i="28" s="1"/>
  <c r="AJZ36" i="28"/>
  <c r="AIQ36" i="28"/>
  <c r="AIT36" i="28"/>
  <c r="AHK36" i="28"/>
  <c r="AHN36" i="28"/>
  <c r="AGE36" i="28"/>
  <c r="AGH36" i="28"/>
  <c r="AEY36" i="28"/>
  <c r="AFB36" i="28"/>
  <c r="ADS36" i="28"/>
  <c r="ADV36" i="28"/>
  <c r="ACM36" i="28"/>
  <c r="ACP36" i="28"/>
  <c r="ABG36" i="28"/>
  <c r="ABJ36" i="28"/>
  <c r="AAA36" i="28"/>
  <c r="AAD36" i="28"/>
  <c r="YU36" i="28"/>
  <c r="YU50" i="28" s="1"/>
  <c r="YX36" i="28"/>
  <c r="XO36" i="28"/>
  <c r="XR36" i="28"/>
  <c r="WI36" i="28"/>
  <c r="WI50" i="28" s="1"/>
  <c r="WL36" i="28"/>
  <c r="VC36" i="28"/>
  <c r="VF36" i="28"/>
  <c r="TW36" i="28"/>
  <c r="TW50" i="28" s="1"/>
  <c r="TZ36" i="28"/>
  <c r="SQ36" i="28"/>
  <c r="SQ50" i="28" s="1"/>
  <c r="ST36" i="28"/>
  <c r="QE36" i="28"/>
  <c r="QE50" i="28" s="1"/>
  <c r="QH36" i="28"/>
  <c r="MM36" i="28"/>
  <c r="MM50" i="28" s="1"/>
  <c r="MM55" i="28" s="1"/>
  <c r="MP36" i="28"/>
  <c r="LG36" i="28"/>
  <c r="LG50" i="28" s="1"/>
  <c r="LG55" i="28" s="1"/>
  <c r="LJ36" i="28"/>
  <c r="KA36" i="28"/>
  <c r="KA50" i="28" s="1"/>
  <c r="KA55" i="28" s="1"/>
  <c r="KD36" i="28"/>
  <c r="IU36" i="28"/>
  <c r="IU50" i="28" s="1"/>
  <c r="IU55" i="28" s="1"/>
  <c r="IX36" i="28"/>
  <c r="HO36" i="28"/>
  <c r="HO50" i="28" s="1"/>
  <c r="HO55" i="28" s="1"/>
  <c r="HR36" i="28"/>
  <c r="GI36" i="28"/>
  <c r="GI50" i="28" s="1"/>
  <c r="GI55" i="28" s="1"/>
  <c r="GL36" i="28"/>
  <c r="W35" i="24"/>
  <c r="X35" i="24"/>
  <c r="U35" i="24"/>
  <c r="Y35" i="24"/>
  <c r="FC10" i="28"/>
  <c r="FF10" i="28"/>
  <c r="ED11" i="28"/>
  <c r="ED12" i="28"/>
  <c r="BL7" i="28"/>
  <c r="EA36" i="28"/>
  <c r="EA50" i="28" s="1"/>
  <c r="EA55" i="28" s="1"/>
  <c r="ED36" i="28"/>
  <c r="EE36" i="28"/>
  <c r="EE50" i="28" s="1"/>
  <c r="EE55" i="28" s="1"/>
  <c r="EH36" i="28"/>
  <c r="EX9" i="28"/>
  <c r="EI36" i="28"/>
  <c r="EI50" i="28" s="1"/>
  <c r="EI55" i="28" s="1"/>
  <c r="EL36" i="28"/>
  <c r="EY36" i="28"/>
  <c r="EY50" i="28" s="1"/>
  <c r="EY55" i="28" s="1"/>
  <c r="FB36" i="28"/>
  <c r="EM36" i="28"/>
  <c r="EM50" i="28" s="1"/>
  <c r="EM55" i="28" s="1"/>
  <c r="EP36" i="28"/>
  <c r="EQ36" i="28"/>
  <c r="EQ50" i="28" s="1"/>
  <c r="EQ55" i="28" s="1"/>
  <c r="ET36" i="28"/>
  <c r="FF9" i="28"/>
  <c r="AO6" i="28"/>
  <c r="AP6" i="28"/>
  <c r="AR6" i="28"/>
  <c r="BN7" i="28"/>
  <c r="BK36" i="28"/>
  <c r="BK50" i="28" s="1"/>
  <c r="BK55" i="28" s="1"/>
  <c r="BN36" i="28"/>
  <c r="V35" i="24"/>
  <c r="AF7" i="28"/>
  <c r="AE36" i="28"/>
  <c r="AE50" i="28" s="1"/>
  <c r="AE55" i="28" s="1"/>
  <c r="AH36" i="28"/>
  <c r="B3" i="22"/>
  <c r="Q10" i="22"/>
  <c r="P10" i="22"/>
  <c r="Q9" i="22"/>
  <c r="P9" i="22"/>
  <c r="Q8" i="22"/>
  <c r="P8" i="22"/>
  <c r="Q5" i="22"/>
  <c r="P5" i="22"/>
  <c r="AA10" i="22"/>
  <c r="Z10" i="22"/>
  <c r="Y10" i="22"/>
  <c r="X10" i="22"/>
  <c r="W10" i="22"/>
  <c r="V10" i="22"/>
  <c r="U10" i="22"/>
  <c r="T10" i="22"/>
  <c r="S10" i="22"/>
  <c r="R10" i="22"/>
  <c r="AA9" i="22"/>
  <c r="Z9" i="22"/>
  <c r="Y9" i="22"/>
  <c r="X9" i="22"/>
  <c r="W9" i="22"/>
  <c r="V9" i="22"/>
  <c r="U9" i="22"/>
  <c r="T9" i="22"/>
  <c r="S9" i="22"/>
  <c r="R9" i="22"/>
  <c r="AA8" i="22"/>
  <c r="Z8" i="22"/>
  <c r="Y8" i="22"/>
  <c r="X8" i="22"/>
  <c r="W8" i="22"/>
  <c r="V8" i="22"/>
  <c r="U8" i="22"/>
  <c r="T8" i="22"/>
  <c r="S8" i="22"/>
  <c r="R8" i="22"/>
  <c r="AA5" i="22"/>
  <c r="Z5" i="22"/>
  <c r="Y5" i="22"/>
  <c r="X5" i="22"/>
  <c r="W5" i="22"/>
  <c r="V5" i="22"/>
  <c r="U5" i="22"/>
  <c r="T5" i="22"/>
  <c r="S5" i="22"/>
  <c r="R5" i="22"/>
  <c r="M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O4" i="22"/>
  <c r="O12" i="22"/>
  <c r="P4" i="22"/>
  <c r="P12" i="22"/>
  <c r="Q4" i="22"/>
  <c r="Q12" i="22"/>
  <c r="R4" i="22"/>
  <c r="R12" i="22"/>
  <c r="S4" i="22"/>
  <c r="S12" i="22"/>
  <c r="T4" i="22"/>
  <c r="T12" i="22"/>
  <c r="U4" i="22"/>
  <c r="U12" i="22"/>
  <c r="V4" i="22"/>
  <c r="V12" i="22"/>
  <c r="W4" i="22"/>
  <c r="W12" i="22"/>
  <c r="X4" i="22"/>
  <c r="X12" i="22"/>
  <c r="Y4" i="22"/>
  <c r="Y12" i="22"/>
  <c r="Z4" i="22"/>
  <c r="Z12" i="22"/>
  <c r="AA4" i="22"/>
  <c r="AA12" i="22"/>
  <c r="AH47" i="23"/>
  <c r="AI47" i="23"/>
  <c r="AJ47" i="23"/>
  <c r="AK47" i="23"/>
  <c r="AH48" i="23"/>
  <c r="AI48" i="23"/>
  <c r="AJ48" i="23"/>
  <c r="AK48" i="23"/>
  <c r="J47" i="23"/>
  <c r="K47" i="23"/>
  <c r="K48" i="23"/>
  <c r="M47" i="23"/>
  <c r="Q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AF47" i="23"/>
  <c r="AG47" i="23"/>
  <c r="M48" i="23"/>
  <c r="Q48" i="23"/>
  <c r="S48" i="23"/>
  <c r="T48" i="23"/>
  <c r="U48" i="23"/>
  <c r="V48" i="23"/>
  <c r="W48" i="23"/>
  <c r="X48" i="23"/>
  <c r="Y48" i="23"/>
  <c r="Z48" i="23"/>
  <c r="AA48" i="23"/>
  <c r="AB48" i="23"/>
  <c r="AC48" i="23"/>
  <c r="AD48" i="23"/>
  <c r="AE48" i="23"/>
  <c r="AF48" i="23"/>
  <c r="AG48" i="23"/>
  <c r="I47" i="23"/>
  <c r="I48" i="23"/>
  <c r="G43" i="23"/>
  <c r="G39" i="23"/>
  <c r="G45" i="23"/>
  <c r="G31" i="23"/>
  <c r="G27" i="23"/>
  <c r="G37" i="23"/>
  <c r="G42" i="23"/>
  <c r="G47" i="23"/>
  <c r="CK11" i="27"/>
  <c r="CO11" i="27"/>
  <c r="CK10" i="27"/>
  <c r="CO10" i="27"/>
  <c r="CK9" i="27"/>
  <c r="CO9" i="27"/>
  <c r="CK8" i="27"/>
  <c r="CO8" i="27"/>
  <c r="CK7" i="27"/>
  <c r="CK12" i="27"/>
  <c r="KR35" i="29"/>
  <c r="DD4" i="27"/>
  <c r="KU3" i="29"/>
  <c r="DB11" i="27"/>
  <c r="DB10" i="27"/>
  <c r="DB9" i="27"/>
  <c r="DB8" i="27"/>
  <c r="DB7" i="27"/>
  <c r="DB12" i="27"/>
  <c r="DE4" i="27"/>
  <c r="T78" i="31"/>
  <c r="T79" i="31"/>
  <c r="T80" i="31"/>
  <c r="T81" i="31"/>
  <c r="T82" i="31"/>
  <c r="T77" i="31"/>
  <c r="T73" i="31"/>
  <c r="T74" i="31"/>
  <c r="T75" i="31"/>
  <c r="T76" i="31"/>
  <c r="T69" i="31"/>
  <c r="T70" i="31"/>
  <c r="T71" i="31"/>
  <c r="T72" i="31"/>
  <c r="T68" i="31"/>
  <c r="T64" i="31"/>
  <c r="T65" i="31"/>
  <c r="T66" i="31"/>
  <c r="T67" i="31"/>
  <c r="T60" i="31"/>
  <c r="T61" i="31"/>
  <c r="T62" i="31"/>
  <c r="T63" i="31"/>
  <c r="T56" i="31"/>
  <c r="T57" i="31"/>
  <c r="T58" i="31"/>
  <c r="T59" i="31"/>
  <c r="T51" i="31"/>
  <c r="T52" i="31"/>
  <c r="T53" i="31"/>
  <c r="T54" i="31"/>
  <c r="T55" i="31"/>
  <c r="T47" i="31"/>
  <c r="T48" i="31"/>
  <c r="T49" i="31"/>
  <c r="T50" i="31"/>
  <c r="T43" i="31"/>
  <c r="T44" i="31"/>
  <c r="T45" i="31"/>
  <c r="T46" i="31"/>
  <c r="T38" i="31"/>
  <c r="T39" i="31"/>
  <c r="T40" i="31"/>
  <c r="T41" i="31"/>
  <c r="T42" i="31"/>
  <c r="T35" i="31"/>
  <c r="T36" i="31"/>
  <c r="T37" i="31"/>
  <c r="T31" i="31"/>
  <c r="T32" i="31"/>
  <c r="T33" i="31"/>
  <c r="T34" i="31"/>
  <c r="T13" i="31"/>
  <c r="T14" i="31"/>
  <c r="T15" i="31"/>
  <c r="T16" i="31"/>
  <c r="T17" i="31"/>
  <c r="T18" i="31"/>
  <c r="T19" i="31"/>
  <c r="T20" i="31"/>
  <c r="T21" i="31"/>
  <c r="T22" i="31"/>
  <c r="T23" i="31"/>
  <c r="T24" i="31"/>
  <c r="T25" i="31"/>
  <c r="T26" i="31"/>
  <c r="T27" i="31"/>
  <c r="T28" i="31"/>
  <c r="T29" i="31"/>
  <c r="T30" i="31"/>
  <c r="CZ1" i="27"/>
  <c r="DA12" i="27"/>
  <c r="JO35" i="29"/>
  <c r="JR3" i="29"/>
  <c r="CX4" i="27"/>
  <c r="CV12" i="27"/>
  <c r="CR11" i="27"/>
  <c r="CR10" i="27"/>
  <c r="CR9" i="27"/>
  <c r="CR8" i="27"/>
  <c r="CR7" i="27"/>
  <c r="CR12" i="27"/>
  <c r="CT4" i="27"/>
  <c r="CP11" i="27"/>
  <c r="CT11" i="27"/>
  <c r="CP10" i="27"/>
  <c r="CT10" i="27"/>
  <c r="CP9" i="27"/>
  <c r="CT9" i="27"/>
  <c r="CP8" i="27"/>
  <c r="CT8" i="27"/>
  <c r="CP7" i="27"/>
  <c r="R73" i="31"/>
  <c r="R69" i="31"/>
  <c r="R70" i="31"/>
  <c r="R71" i="31"/>
  <c r="R72" i="31"/>
  <c r="R68" i="31"/>
  <c r="R64" i="31"/>
  <c r="R65" i="31"/>
  <c r="R66" i="31"/>
  <c r="R67" i="31"/>
  <c r="R60" i="31"/>
  <c r="R61" i="31"/>
  <c r="R62" i="31"/>
  <c r="R63" i="31"/>
  <c r="R56" i="31"/>
  <c r="R57" i="31"/>
  <c r="R58" i="31"/>
  <c r="R59" i="31"/>
  <c r="R51" i="31"/>
  <c r="R52" i="31"/>
  <c r="R53" i="31"/>
  <c r="R54" i="31"/>
  <c r="R55" i="31"/>
  <c r="R47" i="31"/>
  <c r="R48" i="31"/>
  <c r="R49" i="31"/>
  <c r="R50" i="31"/>
  <c r="R43" i="31"/>
  <c r="R44" i="31"/>
  <c r="R45" i="31"/>
  <c r="R46" i="31"/>
  <c r="R38" i="31"/>
  <c r="R39" i="31"/>
  <c r="R40" i="31"/>
  <c r="R41" i="31"/>
  <c r="R42" i="31"/>
  <c r="R35" i="31"/>
  <c r="R36" i="31"/>
  <c r="R37" i="31"/>
  <c r="R31" i="31"/>
  <c r="R32" i="31"/>
  <c r="R33" i="31"/>
  <c r="R34" i="31"/>
  <c r="R13" i="31"/>
  <c r="R14" i="31"/>
  <c r="R1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CP1" i="27"/>
  <c r="CJ12" i="27"/>
  <c r="CO7" i="27"/>
  <c r="CO12" i="27"/>
  <c r="CH11" i="27"/>
  <c r="CH10" i="27"/>
  <c r="CH9" i="27"/>
  <c r="CH8" i="27"/>
  <c r="CH7" i="27"/>
  <c r="CH12" i="27"/>
  <c r="CF11" i="27"/>
  <c r="CI11" i="27"/>
  <c r="CF10" i="27"/>
  <c r="CI10" i="27"/>
  <c r="CF9" i="27"/>
  <c r="CI9" i="27"/>
  <c r="CF8" i="27"/>
  <c r="CI8" i="27"/>
  <c r="CF7" i="27"/>
  <c r="CF12" i="27"/>
  <c r="CE12" i="27"/>
  <c r="CI7" i="27"/>
  <c r="CI12" i="27"/>
  <c r="FR35" i="29"/>
  <c r="CC4" i="27"/>
  <c r="FH35" i="29"/>
  <c r="FU3" i="29"/>
  <c r="CA4" i="27"/>
  <c r="BZ12" i="27"/>
  <c r="ET35" i="29"/>
  <c r="BX4" i="27"/>
  <c r="EW3" i="29"/>
  <c r="BV11" i="27"/>
  <c r="BV10" i="27"/>
  <c r="BV9" i="27"/>
  <c r="BV8" i="27"/>
  <c r="BV7" i="27"/>
  <c r="BV12" i="27"/>
  <c r="BY4" i="27"/>
  <c r="BT11" i="27"/>
  <c r="BT10" i="27"/>
  <c r="BT9" i="27"/>
  <c r="BT8" i="27"/>
  <c r="BT7" i="27"/>
  <c r="N56" i="31"/>
  <c r="N51" i="31"/>
  <c r="N52" i="31"/>
  <c r="N53" i="31"/>
  <c r="N54" i="31"/>
  <c r="N55" i="31"/>
  <c r="N47" i="31"/>
  <c r="N48" i="31"/>
  <c r="N49" i="31"/>
  <c r="N50" i="31"/>
  <c r="N43" i="31"/>
  <c r="N44" i="31"/>
  <c r="N45" i="31"/>
  <c r="N46" i="31"/>
  <c r="N38" i="31"/>
  <c r="N39" i="31"/>
  <c r="N40" i="31"/>
  <c r="N41" i="31"/>
  <c r="N42" i="31"/>
  <c r="N35" i="31"/>
  <c r="N36" i="31"/>
  <c r="N37" i="31"/>
  <c r="N31" i="31"/>
  <c r="N32" i="31"/>
  <c r="N33" i="31"/>
  <c r="N34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N27" i="31"/>
  <c r="N28" i="31"/>
  <c r="N29" i="31"/>
  <c r="N30" i="31"/>
  <c r="BT1" i="27"/>
  <c r="BP12" i="27"/>
  <c r="BS7" i="27"/>
  <c r="BS12" i="27"/>
  <c r="M51" i="31"/>
  <c r="M47" i="31"/>
  <c r="M48" i="31"/>
  <c r="M49" i="31"/>
  <c r="M50" i="31"/>
  <c r="M43" i="31"/>
  <c r="M44" i="31"/>
  <c r="M45" i="31"/>
  <c r="M46" i="31"/>
  <c r="M38" i="31"/>
  <c r="M39" i="31"/>
  <c r="M40" i="31"/>
  <c r="M41" i="31"/>
  <c r="M42" i="31"/>
  <c r="M35" i="31"/>
  <c r="M36" i="31"/>
  <c r="M37" i="31"/>
  <c r="M31" i="31"/>
  <c r="M32" i="31"/>
  <c r="M33" i="31"/>
  <c r="M34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BO1" i="27"/>
  <c r="BL4" i="27"/>
  <c r="CN35" i="29"/>
  <c r="CV35" i="29"/>
  <c r="BJ4" i="27"/>
  <c r="CD35" i="29"/>
  <c r="CV3" i="29"/>
  <c r="BD1" i="27"/>
  <c r="K43" i="31"/>
  <c r="K38" i="31"/>
  <c r="K39" i="31"/>
  <c r="K40" i="31"/>
  <c r="K41" i="31"/>
  <c r="K42" i="31"/>
  <c r="K35" i="31"/>
  <c r="K36" i="31"/>
  <c r="K37" i="31"/>
  <c r="K31" i="31"/>
  <c r="K32" i="31"/>
  <c r="K33" i="31"/>
  <c r="K34" i="31"/>
  <c r="K13" i="31"/>
  <c r="K14" i="31"/>
  <c r="K15" i="31"/>
  <c r="K16" i="31"/>
  <c r="K17" i="31"/>
  <c r="K18" i="31"/>
  <c r="K19" i="31"/>
  <c r="K20" i="31"/>
  <c r="K21" i="31"/>
  <c r="K22" i="31"/>
  <c r="K23" i="31"/>
  <c r="K24" i="31"/>
  <c r="K25" i="31"/>
  <c r="K26" i="31"/>
  <c r="K27" i="31"/>
  <c r="K28" i="31"/>
  <c r="K29" i="31"/>
  <c r="K30" i="31"/>
  <c r="BI4" i="27"/>
  <c r="BD11" i="27"/>
  <c r="BI11" i="27"/>
  <c r="BD10" i="27"/>
  <c r="BI10" i="27"/>
  <c r="BD9" i="27"/>
  <c r="BI9" i="27"/>
  <c r="BD8" i="27"/>
  <c r="BI8" i="27"/>
  <c r="BD7" i="27"/>
  <c r="BA4" i="27"/>
  <c r="AM35" i="29"/>
  <c r="AU3" i="29"/>
  <c r="AZ11" i="27"/>
  <c r="AZ10" i="27"/>
  <c r="AZ9" i="27"/>
  <c r="AZ8" i="27"/>
  <c r="AZ7" i="27"/>
  <c r="AZ12" i="27"/>
  <c r="AU35" i="29"/>
  <c r="AY1" i="27"/>
  <c r="J38" i="31"/>
  <c r="J35" i="31"/>
  <c r="J36" i="31"/>
  <c r="J37" i="31"/>
  <c r="J31" i="31"/>
  <c r="J32" i="31"/>
  <c r="J33" i="31"/>
  <c r="J34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26" i="31"/>
  <c r="J27" i="31"/>
  <c r="J28" i="31"/>
  <c r="J29" i="31"/>
  <c r="J30" i="31"/>
  <c r="AY12" i="27"/>
  <c r="AU4" i="27"/>
  <c r="J35" i="29"/>
  <c r="W3" i="29"/>
  <c r="W35" i="29"/>
  <c r="AT1" i="27"/>
  <c r="I31" i="31"/>
  <c r="I32" i="31"/>
  <c r="I33" i="31"/>
  <c r="I34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29" i="31"/>
  <c r="I30" i="31"/>
  <c r="CI30" i="27"/>
  <c r="CI29" i="27"/>
  <c r="CI28" i="27"/>
  <c r="CI27" i="27"/>
  <c r="CI26" i="27"/>
  <c r="CI31" i="27"/>
  <c r="JT51" i="29"/>
  <c r="JU51" i="29"/>
  <c r="EW45" i="29"/>
  <c r="KB42" i="30"/>
  <c r="BS51" i="29"/>
  <c r="BS52" i="29"/>
  <c r="BS53" i="29"/>
  <c r="BS54" i="29"/>
  <c r="BS64" i="29"/>
  <c r="BS58" i="29"/>
  <c r="BS55" i="29"/>
  <c r="BU48" i="29"/>
  <c r="KY56" i="29"/>
  <c r="KR44" i="29"/>
  <c r="KQ46" i="29"/>
  <c r="Z26" i="24"/>
  <c r="Z35" i="24"/>
  <c r="KU44" i="29"/>
  <c r="KU46" i="29"/>
  <c r="KU48" i="29"/>
  <c r="KU35" i="29"/>
  <c r="AQA46" i="30"/>
  <c r="AQD46" i="30"/>
  <c r="AQD44" i="30"/>
  <c r="AAA46" i="30"/>
  <c r="AAD46" i="30"/>
  <c r="AAD45" i="30"/>
  <c r="KA42" i="30"/>
  <c r="KD39" i="30"/>
  <c r="BGA42" i="30"/>
  <c r="BGD39" i="30"/>
  <c r="AE42" i="30"/>
  <c r="AH39" i="30"/>
  <c r="AQB42" i="30"/>
  <c r="AQB48" i="30"/>
  <c r="AAB48" i="30"/>
  <c r="BGB42" i="30"/>
  <c r="BGB48" i="30"/>
  <c r="AQA42" i="30"/>
  <c r="AQD39" i="30"/>
  <c r="AR6" i="30"/>
  <c r="AO6" i="30"/>
  <c r="AP6" i="30"/>
  <c r="AAD39" i="30"/>
  <c r="AAA42" i="30"/>
  <c r="BQ56" i="29"/>
  <c r="DG48" i="29"/>
  <c r="DF51" i="29"/>
  <c r="DF52" i="29"/>
  <c r="DF53" i="29"/>
  <c r="DI53" i="29"/>
  <c r="DF54" i="29"/>
  <c r="DI54" i="29"/>
  <c r="DF55" i="29"/>
  <c r="DO56" i="29"/>
  <c r="IN51" i="29"/>
  <c r="IM56" i="29"/>
  <c r="IN56" i="29"/>
  <c r="FQ42" i="29"/>
  <c r="FR40" i="29"/>
  <c r="CK54" i="29"/>
  <c r="HI48" i="29"/>
  <c r="HH51" i="29"/>
  <c r="HH52" i="29"/>
  <c r="HK52" i="29"/>
  <c r="HH53" i="29"/>
  <c r="HK53" i="29"/>
  <c r="HH54" i="29"/>
  <c r="HH55" i="29"/>
  <c r="HK55" i="29"/>
  <c r="JB52" i="29"/>
  <c r="EL55" i="29"/>
  <c r="EL51" i="29"/>
  <c r="EI56" i="29"/>
  <c r="EL56" i="29"/>
  <c r="JE48" i="29"/>
  <c r="JD51" i="29"/>
  <c r="JD52" i="29"/>
  <c r="JG52" i="29"/>
  <c r="JD53" i="29"/>
  <c r="JD54" i="29"/>
  <c r="JD64" i="29"/>
  <c r="JD55" i="29"/>
  <c r="JG55" i="29"/>
  <c r="JT54" i="29"/>
  <c r="JU54" i="29"/>
  <c r="FL56" i="29"/>
  <c r="FO56" i="29"/>
  <c r="FO51" i="29"/>
  <c r="JZ54" i="29"/>
  <c r="JW64" i="29"/>
  <c r="GH52" i="29"/>
  <c r="GS52" i="29"/>
  <c r="DK64" i="29"/>
  <c r="DN54" i="29"/>
  <c r="DK56" i="29"/>
  <c r="DN56" i="29"/>
  <c r="DN51" i="29"/>
  <c r="FW53" i="29"/>
  <c r="FX53" i="29"/>
  <c r="HF48" i="29"/>
  <c r="HB51" i="29"/>
  <c r="HB52" i="29"/>
  <c r="HB53" i="29"/>
  <c r="HB54" i="29"/>
  <c r="HB64" i="29"/>
  <c r="HB58" i="29"/>
  <c r="HB55" i="29"/>
  <c r="ES46" i="29"/>
  <c r="ET44" i="29"/>
  <c r="KX51" i="29"/>
  <c r="KX56" i="29"/>
  <c r="KX52" i="29"/>
  <c r="KX53" i="29"/>
  <c r="KX54" i="29"/>
  <c r="KX55" i="29"/>
  <c r="JC56" i="29"/>
  <c r="GZ56" i="29"/>
  <c r="IE56" i="29"/>
  <c r="HF52" i="29"/>
  <c r="KO48" i="29"/>
  <c r="KN51" i="29"/>
  <c r="KN52" i="29"/>
  <c r="KO52" i="29"/>
  <c r="KN53" i="29"/>
  <c r="KO53" i="29"/>
  <c r="KN54" i="29"/>
  <c r="KO54" i="29"/>
  <c r="KN55" i="29"/>
  <c r="KO55" i="29"/>
  <c r="DV55" i="29"/>
  <c r="DW55" i="29"/>
  <c r="DV51" i="29"/>
  <c r="DW51" i="29"/>
  <c r="DR56" i="29"/>
  <c r="GY48" i="29"/>
  <c r="GX51" i="29"/>
  <c r="GX52" i="29"/>
  <c r="GX53" i="29"/>
  <c r="GX54" i="29"/>
  <c r="GX64" i="29"/>
  <c r="GX55" i="29"/>
  <c r="HA55" i="29"/>
  <c r="GC48" i="29"/>
  <c r="GB51" i="29"/>
  <c r="GB52" i="29"/>
  <c r="GC52" i="29"/>
  <c r="GB53" i="29"/>
  <c r="GC53" i="29"/>
  <c r="GB54" i="29"/>
  <c r="GC54" i="29"/>
  <c r="GB55" i="29"/>
  <c r="GC55" i="29"/>
  <c r="JG53" i="29"/>
  <c r="IX56" i="29"/>
  <c r="HN48" i="29"/>
  <c r="HP48" i="29"/>
  <c r="HL51" i="29"/>
  <c r="HL52" i="29"/>
  <c r="HL53" i="29"/>
  <c r="HL54" i="29"/>
  <c r="HL64" i="29"/>
  <c r="HL58" i="29"/>
  <c r="HL55" i="29"/>
  <c r="CF68" i="29"/>
  <c r="CF69" i="29"/>
  <c r="CK69" i="29"/>
  <c r="CP69" i="29"/>
  <c r="CU69" i="29"/>
  <c r="CX67" i="29"/>
  <c r="DD51" i="29"/>
  <c r="DC56" i="29"/>
  <c r="DD56" i="29"/>
  <c r="EL52" i="29"/>
  <c r="EU56" i="29"/>
  <c r="LA40" i="29"/>
  <c r="LB40" i="29"/>
  <c r="EG58" i="29"/>
  <c r="JZ51" i="29"/>
  <c r="JW56" i="29"/>
  <c r="JZ56" i="29"/>
  <c r="GH53" i="29"/>
  <c r="GS53" i="29"/>
  <c r="FW54" i="29"/>
  <c r="FX54" i="29"/>
  <c r="EG48" i="29"/>
  <c r="EF51" i="29"/>
  <c r="EF52" i="29"/>
  <c r="EG52" i="29"/>
  <c r="EF53" i="29"/>
  <c r="EG53" i="29"/>
  <c r="EF54" i="29"/>
  <c r="EG54" i="29"/>
  <c r="EF55" i="29"/>
  <c r="EG55" i="29"/>
  <c r="CC46" i="29"/>
  <c r="CD45" i="29"/>
  <c r="JT53" i="29"/>
  <c r="JU53" i="29"/>
  <c r="IS48" i="29"/>
  <c r="IR51" i="29"/>
  <c r="IR52" i="29"/>
  <c r="IR53" i="29"/>
  <c r="IR54" i="29"/>
  <c r="IR55" i="29"/>
  <c r="KV56" i="29"/>
  <c r="BN56" i="29"/>
  <c r="HA52" i="29"/>
  <c r="LA18" i="29"/>
  <c r="LB18" i="29"/>
  <c r="DV52" i="29"/>
  <c r="DW52" i="29"/>
  <c r="BV51" i="29"/>
  <c r="BV52" i="29"/>
  <c r="BW52" i="29"/>
  <c r="BV53" i="29"/>
  <c r="BW53" i="29"/>
  <c r="BV54" i="29"/>
  <c r="BW54" i="29"/>
  <c r="BV55" i="29"/>
  <c r="BW55" i="29"/>
  <c r="BW48" i="29"/>
  <c r="FE51" i="29"/>
  <c r="FD56" i="29"/>
  <c r="FE56" i="29"/>
  <c r="JF56" i="29"/>
  <c r="FB58" i="29"/>
  <c r="FE64" i="29"/>
  <c r="KE48" i="29"/>
  <c r="KD51" i="29"/>
  <c r="KD52" i="29"/>
  <c r="KE52" i="29"/>
  <c r="KD53" i="29"/>
  <c r="KE53" i="29"/>
  <c r="KD54" i="29"/>
  <c r="KE54" i="29"/>
  <c r="KD55" i="29"/>
  <c r="KE55" i="29"/>
  <c r="CQ56" i="29"/>
  <c r="LA29" i="29"/>
  <c r="LB29" i="29"/>
  <c r="KZ41" i="29"/>
  <c r="JB55" i="29"/>
  <c r="IY56" i="29"/>
  <c r="JB51" i="29"/>
  <c r="EL54" i="29"/>
  <c r="EI64" i="29"/>
  <c r="KI56" i="29"/>
  <c r="KJ56" i="29"/>
  <c r="KJ51" i="29"/>
  <c r="DI52" i="29"/>
  <c r="HX56" i="29"/>
  <c r="HY56" i="29"/>
  <c r="KL56" i="29"/>
  <c r="FL58" i="29"/>
  <c r="FO58" i="29"/>
  <c r="FO64" i="29"/>
  <c r="CZ51" i="29"/>
  <c r="DB48" i="29"/>
  <c r="CZ52" i="29"/>
  <c r="CZ53" i="29"/>
  <c r="CZ54" i="29"/>
  <c r="CZ64" i="29"/>
  <c r="CZ58" i="29"/>
  <c r="CZ55" i="29"/>
  <c r="GH55" i="29"/>
  <c r="GS55" i="29"/>
  <c r="GH51" i="29"/>
  <c r="GE56" i="29"/>
  <c r="GS51" i="29"/>
  <c r="KA56" i="29"/>
  <c r="FW52" i="29"/>
  <c r="FX52" i="29"/>
  <c r="EB51" i="29"/>
  <c r="EA56" i="29"/>
  <c r="EB56" i="29"/>
  <c r="EW46" i="29"/>
  <c r="LA39" i="29"/>
  <c r="LB39" i="29"/>
  <c r="KZ42" i="29"/>
  <c r="CT51" i="29"/>
  <c r="CU48" i="29"/>
  <c r="CT52" i="29"/>
  <c r="CT53" i="29"/>
  <c r="CT54" i="29"/>
  <c r="CT55" i="29"/>
  <c r="GL51" i="29"/>
  <c r="GM48" i="29"/>
  <c r="GL52" i="29"/>
  <c r="GL53" i="29"/>
  <c r="GL54" i="29"/>
  <c r="GL55" i="29"/>
  <c r="HF55" i="29"/>
  <c r="HD48" i="29"/>
  <c r="EZ41" i="29"/>
  <c r="EY42" i="29"/>
  <c r="JN42" i="29"/>
  <c r="JO40" i="29"/>
  <c r="DV54" i="29"/>
  <c r="DW54" i="29"/>
  <c r="CV45" i="29"/>
  <c r="CV46" i="29"/>
  <c r="CV48" i="29"/>
  <c r="GJ58" i="29"/>
  <c r="GM58" i="29"/>
  <c r="GM64" i="29"/>
  <c r="JB53" i="29"/>
  <c r="CN45" i="29"/>
  <c r="CM46" i="29"/>
  <c r="IP58" i="29"/>
  <c r="IS64" i="29"/>
  <c r="LA45" i="29"/>
  <c r="LB45" i="29"/>
  <c r="HF53" i="29"/>
  <c r="EM56" i="29"/>
  <c r="CH67" i="29"/>
  <c r="CK64" i="29"/>
  <c r="CH58" i="29"/>
  <c r="CK58" i="29"/>
  <c r="JG54" i="29"/>
  <c r="GJ56" i="29"/>
  <c r="DN48" i="29"/>
  <c r="DJ52" i="29"/>
  <c r="DJ53" i="29"/>
  <c r="DJ54" i="29"/>
  <c r="DJ64" i="29"/>
  <c r="DJ58" i="29"/>
  <c r="DJ55" i="29"/>
  <c r="DJ51" i="29"/>
  <c r="EQ48" i="29"/>
  <c r="EP51" i="29"/>
  <c r="EP52" i="29"/>
  <c r="EQ52" i="29"/>
  <c r="EP53" i="29"/>
  <c r="EQ53" i="29"/>
  <c r="EP54" i="29"/>
  <c r="EQ54" i="29"/>
  <c r="EP55" i="29"/>
  <c r="EQ55" i="29"/>
  <c r="JL51" i="29"/>
  <c r="JK56" i="29"/>
  <c r="JL56" i="29"/>
  <c r="CO51" i="29"/>
  <c r="CO52" i="29"/>
  <c r="CO53" i="29"/>
  <c r="CO54" i="29"/>
  <c r="CO55" i="29"/>
  <c r="CP48" i="29"/>
  <c r="FH40" i="29"/>
  <c r="FG42" i="29"/>
  <c r="FU35" i="29"/>
  <c r="FU40" i="29"/>
  <c r="FU42" i="29"/>
  <c r="FU48" i="29"/>
  <c r="IY64" i="29"/>
  <c r="JB54" i="29"/>
  <c r="EL53" i="29"/>
  <c r="EW48" i="29"/>
  <c r="II48" i="29"/>
  <c r="IH51" i="29"/>
  <c r="IH52" i="29"/>
  <c r="II52" i="29"/>
  <c r="IH53" i="29"/>
  <c r="II53" i="29"/>
  <c r="IH54" i="29"/>
  <c r="II54" i="29"/>
  <c r="IH55" i="29"/>
  <c r="II55" i="29"/>
  <c r="IP56" i="29"/>
  <c r="IT56" i="29"/>
  <c r="IT51" i="29"/>
  <c r="DI55" i="29"/>
  <c r="DI51" i="29"/>
  <c r="DH56" i="29"/>
  <c r="ED68" i="29"/>
  <c r="EG67" i="29"/>
  <c r="KL58" i="29"/>
  <c r="KO64" i="29"/>
  <c r="HS48" i="29"/>
  <c r="HR51" i="29"/>
  <c r="HR52" i="29"/>
  <c r="HU52" i="29"/>
  <c r="HR53" i="29"/>
  <c r="HU53" i="29"/>
  <c r="HR54" i="29"/>
  <c r="HR55" i="29"/>
  <c r="HU55" i="29"/>
  <c r="GH54" i="29"/>
  <c r="GE64" i="29"/>
  <c r="GS54" i="29"/>
  <c r="FW55" i="29"/>
  <c r="FX55" i="29"/>
  <c r="FW51" i="29"/>
  <c r="FX51" i="29"/>
  <c r="FS56" i="29"/>
  <c r="KZ35" i="29"/>
  <c r="IT54" i="29"/>
  <c r="HA53" i="29"/>
  <c r="BP48" i="29"/>
  <c r="BO52" i="29"/>
  <c r="BR52" i="29"/>
  <c r="BO53" i="29"/>
  <c r="BR53" i="29"/>
  <c r="BO54" i="29"/>
  <c r="BO64" i="29"/>
  <c r="BO55" i="29"/>
  <c r="BR55" i="29"/>
  <c r="BO51" i="29"/>
  <c r="BR51" i="29"/>
  <c r="HC64" i="29"/>
  <c r="HV54" i="29"/>
  <c r="HF54" i="29"/>
  <c r="HC56" i="29"/>
  <c r="HF51" i="29"/>
  <c r="DQ48" i="29"/>
  <c r="DP51" i="29"/>
  <c r="DS51" i="29"/>
  <c r="DP52" i="29"/>
  <c r="DS52" i="29"/>
  <c r="DP53" i="29"/>
  <c r="DS53" i="29"/>
  <c r="DP54" i="29"/>
  <c r="DP64" i="29"/>
  <c r="DP55" i="29"/>
  <c r="DS55" i="29"/>
  <c r="JR35" i="29"/>
  <c r="JR40" i="29"/>
  <c r="JR42" i="29"/>
  <c r="JR48" i="29"/>
  <c r="JT52" i="29"/>
  <c r="JU52" i="29"/>
  <c r="DV53" i="29"/>
  <c r="DW53" i="29"/>
  <c r="CH56" i="29"/>
  <c r="CK56" i="29"/>
  <c r="KZ44" i="29"/>
  <c r="ED10" i="28"/>
  <c r="ED15" i="28"/>
  <c r="FC15" i="28"/>
  <c r="FF15" i="28"/>
  <c r="ED14" i="28"/>
  <c r="FC14" i="28"/>
  <c r="FF14" i="28"/>
  <c r="FC12" i="28"/>
  <c r="FF12" i="28"/>
  <c r="FC11" i="28"/>
  <c r="AS6" i="28"/>
  <c r="AT6" i="28"/>
  <c r="AV6" i="28"/>
  <c r="G48" i="23"/>
  <c r="G49" i="23"/>
  <c r="I49" i="23"/>
  <c r="K49" i="23"/>
  <c r="M49" i="23"/>
  <c r="O49" i="23"/>
  <c r="Q49" i="23"/>
  <c r="S49" i="23"/>
  <c r="U49" i="23"/>
  <c r="W49" i="23"/>
  <c r="Y49" i="23"/>
  <c r="AA49" i="23"/>
  <c r="AC49" i="23"/>
  <c r="AE49" i="23"/>
  <c r="AG49" i="23"/>
  <c r="AI49" i="23"/>
  <c r="AK49" i="23"/>
  <c r="CW44" i="25"/>
  <c r="CW43" i="25"/>
  <c r="CW40" i="25"/>
  <c r="CW39" i="25"/>
  <c r="CW38" i="25"/>
  <c r="CT44" i="25"/>
  <c r="CT43" i="25"/>
  <c r="CT40" i="25"/>
  <c r="CT39" i="25"/>
  <c r="CT38" i="25"/>
  <c r="CO44" i="25"/>
  <c r="CO43" i="25"/>
  <c r="CO40" i="25"/>
  <c r="CO39" i="25"/>
  <c r="CO38" i="25"/>
  <c r="CJ38" i="25"/>
  <c r="CK32" i="25"/>
  <c r="CK31" i="25"/>
  <c r="CK30" i="25"/>
  <c r="CK29" i="25"/>
  <c r="CK28" i="25"/>
  <c r="CK27" i="25"/>
  <c r="CK26" i="25"/>
  <c r="CK25" i="25"/>
  <c r="CK24" i="25"/>
  <c r="CK23" i="25"/>
  <c r="CK22" i="25"/>
  <c r="CK21" i="25"/>
  <c r="CK20" i="25"/>
  <c r="CK19" i="25"/>
  <c r="CK17" i="25"/>
  <c r="CK16" i="25"/>
  <c r="CK15" i="25"/>
  <c r="CK14" i="25"/>
  <c r="CK13" i="25"/>
  <c r="CK12" i="25"/>
  <c r="CK11" i="25"/>
  <c r="CK10" i="25"/>
  <c r="CK9" i="25"/>
  <c r="CK8" i="25"/>
  <c r="CK7" i="25"/>
  <c r="CK6" i="25"/>
  <c r="DD11" i="27"/>
  <c r="DE11" i="27"/>
  <c r="DD10" i="27"/>
  <c r="DE10" i="27"/>
  <c r="DD9" i="27"/>
  <c r="DE9" i="27"/>
  <c r="DD8" i="27"/>
  <c r="DE8" i="27"/>
  <c r="DD7" i="27"/>
  <c r="CX11" i="27"/>
  <c r="CY11" i="27"/>
  <c r="CX10" i="27"/>
  <c r="CY10" i="27"/>
  <c r="CX9" i="27"/>
  <c r="CY9" i="27"/>
  <c r="CX8" i="27"/>
  <c r="CY8" i="27"/>
  <c r="CX7" i="27"/>
  <c r="CY4" i="27"/>
  <c r="S77" i="31"/>
  <c r="S73" i="31"/>
  <c r="S74" i="31"/>
  <c r="S75" i="31"/>
  <c r="S76" i="31"/>
  <c r="S69" i="31"/>
  <c r="S70" i="31"/>
  <c r="S71" i="31"/>
  <c r="S72" i="31"/>
  <c r="S68" i="31"/>
  <c r="S64" i="31"/>
  <c r="S65" i="31"/>
  <c r="S66" i="31"/>
  <c r="S67" i="31"/>
  <c r="S60" i="31"/>
  <c r="S61" i="31"/>
  <c r="S62" i="31"/>
  <c r="S63" i="31"/>
  <c r="S56" i="31"/>
  <c r="S57" i="31"/>
  <c r="S58" i="31"/>
  <c r="S59" i="31"/>
  <c r="S51" i="31"/>
  <c r="S52" i="31"/>
  <c r="S53" i="31"/>
  <c r="S54" i="31"/>
  <c r="S55" i="31"/>
  <c r="S47" i="31"/>
  <c r="S48" i="31"/>
  <c r="S49" i="31"/>
  <c r="S50" i="31"/>
  <c r="S43" i="31"/>
  <c r="S44" i="31"/>
  <c r="S45" i="31"/>
  <c r="S46" i="31"/>
  <c r="S38" i="31"/>
  <c r="S39" i="31"/>
  <c r="S40" i="31"/>
  <c r="S41" i="31"/>
  <c r="S42" i="31"/>
  <c r="S35" i="31"/>
  <c r="S36" i="31"/>
  <c r="S37" i="31"/>
  <c r="S31" i="31"/>
  <c r="S32" i="31"/>
  <c r="S33" i="31"/>
  <c r="S34" i="31"/>
  <c r="S13" i="31"/>
  <c r="S14" i="31"/>
  <c r="S15" i="31"/>
  <c r="S16" i="31"/>
  <c r="S17" i="31"/>
  <c r="S18" i="31"/>
  <c r="S19" i="31"/>
  <c r="S20" i="31"/>
  <c r="S21" i="31"/>
  <c r="S22" i="31"/>
  <c r="S23" i="31"/>
  <c r="S24" i="31"/>
  <c r="S25" i="31"/>
  <c r="S26" i="31"/>
  <c r="S27" i="31"/>
  <c r="S28" i="31"/>
  <c r="S29" i="31"/>
  <c r="S30" i="31"/>
  <c r="CU1" i="27"/>
  <c r="CP12" i="27"/>
  <c r="CT7" i="27"/>
  <c r="CT12" i="27"/>
  <c r="CC11" i="27"/>
  <c r="CC10" i="27"/>
  <c r="CC9" i="27"/>
  <c r="CC8" i="27"/>
  <c r="CC7" i="27"/>
  <c r="CC12" i="27"/>
  <c r="CA11" i="27"/>
  <c r="CD11" i="27"/>
  <c r="CA10" i="27"/>
  <c r="CD10" i="27"/>
  <c r="CA9" i="27"/>
  <c r="CD9" i="27"/>
  <c r="CA8" i="27"/>
  <c r="CD8" i="27"/>
  <c r="CA7" i="27"/>
  <c r="CD4" i="27"/>
  <c r="O60" i="31"/>
  <c r="O56" i="31"/>
  <c r="O57" i="31"/>
  <c r="O58" i="31"/>
  <c r="O59" i="31"/>
  <c r="O51" i="31"/>
  <c r="O52" i="31"/>
  <c r="O53" i="31"/>
  <c r="O54" i="31"/>
  <c r="O55" i="31"/>
  <c r="O47" i="31"/>
  <c r="O48" i="31"/>
  <c r="O49" i="31"/>
  <c r="O50" i="31"/>
  <c r="O43" i="31"/>
  <c r="O44" i="31"/>
  <c r="O45" i="31"/>
  <c r="O46" i="31"/>
  <c r="O38" i="31"/>
  <c r="O39" i="31"/>
  <c r="O40" i="31"/>
  <c r="O41" i="31"/>
  <c r="O42" i="31"/>
  <c r="O35" i="31"/>
  <c r="O36" i="31"/>
  <c r="O37" i="31"/>
  <c r="O31" i="31"/>
  <c r="O32" i="31"/>
  <c r="O33" i="31"/>
  <c r="O34" i="31"/>
  <c r="O13" i="31"/>
  <c r="O14" i="31"/>
  <c r="O15" i="31"/>
  <c r="O16" i="31"/>
  <c r="O17" i="31"/>
  <c r="O18" i="31"/>
  <c r="O19" i="31"/>
  <c r="O20" i="31"/>
  <c r="O21" i="31"/>
  <c r="O22" i="31"/>
  <c r="O23" i="31"/>
  <c r="O24" i="31"/>
  <c r="O25" i="31"/>
  <c r="O26" i="31"/>
  <c r="O27" i="31"/>
  <c r="O28" i="31"/>
  <c r="O29" i="31"/>
  <c r="O30" i="31"/>
  <c r="BZ1" i="27"/>
  <c r="BX11" i="27"/>
  <c r="BY11" i="27"/>
  <c r="BX10" i="27"/>
  <c r="BY10" i="27"/>
  <c r="BX9" i="27"/>
  <c r="BY9" i="27"/>
  <c r="BX8" i="27"/>
  <c r="BY8" i="27"/>
  <c r="BX7" i="27"/>
  <c r="BX12" i="27"/>
  <c r="BT12" i="27"/>
  <c r="BY7" i="27"/>
  <c r="BY12" i="27"/>
  <c r="BL11" i="27"/>
  <c r="BL10" i="27"/>
  <c r="BL9" i="27"/>
  <c r="BL8" i="27"/>
  <c r="BL7" i="27"/>
  <c r="BL12" i="27"/>
  <c r="BJ1" i="27"/>
  <c r="L47" i="31"/>
  <c r="L43" i="31"/>
  <c r="L44" i="31"/>
  <c r="L45" i="31"/>
  <c r="L46" i="31"/>
  <c r="L38" i="31"/>
  <c r="L39" i="31"/>
  <c r="L40" i="31"/>
  <c r="L41" i="31"/>
  <c r="L42" i="31"/>
  <c r="L35" i="31"/>
  <c r="L36" i="31"/>
  <c r="L37" i="31"/>
  <c r="L31" i="31"/>
  <c r="L32" i="31"/>
  <c r="L33" i="31"/>
  <c r="L34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BN4" i="27"/>
  <c r="BJ11" i="27"/>
  <c r="BN11" i="27"/>
  <c r="BJ10" i="27"/>
  <c r="BN10" i="27"/>
  <c r="BJ9" i="27"/>
  <c r="BN9" i="27"/>
  <c r="BJ8" i="27"/>
  <c r="BN8" i="27"/>
  <c r="BJ7" i="27"/>
  <c r="BD12" i="27"/>
  <c r="BI7" i="27"/>
  <c r="BI12" i="27"/>
  <c r="BA11" i="27"/>
  <c r="BC11" i="27"/>
  <c r="BA10" i="27"/>
  <c r="BC10" i="27"/>
  <c r="BA9" i="27"/>
  <c r="BC9" i="27"/>
  <c r="BA8" i="27"/>
  <c r="BC8" i="27"/>
  <c r="BA7" i="27"/>
  <c r="BC4" i="27"/>
  <c r="AU11" i="27"/>
  <c r="AX11" i="27"/>
  <c r="AU10" i="27"/>
  <c r="AX10" i="27"/>
  <c r="AU9" i="27"/>
  <c r="AX9" i="27"/>
  <c r="AU8" i="27"/>
  <c r="AX8" i="27"/>
  <c r="AU7" i="27"/>
  <c r="AX4" i="27"/>
  <c r="KU51" i="29"/>
  <c r="KU52" i="29"/>
  <c r="KU53" i="29"/>
  <c r="KU54" i="29"/>
  <c r="KU64" i="29"/>
  <c r="KU55" i="29"/>
  <c r="KQ48" i="29"/>
  <c r="KR46" i="29"/>
  <c r="BS56" i="29"/>
  <c r="AAA48" i="30"/>
  <c r="AAD48" i="30"/>
  <c r="AAD42" i="30"/>
  <c r="AQA48" i="30"/>
  <c r="AQD48" i="30"/>
  <c r="AQD42" i="30"/>
  <c r="AE48" i="30"/>
  <c r="AH48" i="30"/>
  <c r="AH42" i="30"/>
  <c r="KA48" i="30"/>
  <c r="KD48" i="30"/>
  <c r="KD42" i="30"/>
  <c r="AV6" i="30"/>
  <c r="AS6" i="30"/>
  <c r="AT6" i="30"/>
  <c r="BGA48" i="30"/>
  <c r="BGD48" i="30"/>
  <c r="BGD42" i="30"/>
  <c r="HR64" i="29"/>
  <c r="HU54" i="29"/>
  <c r="IY58" i="29"/>
  <c r="JB64" i="29"/>
  <c r="CN46" i="29"/>
  <c r="CM48" i="29"/>
  <c r="EY48" i="29"/>
  <c r="EZ48" i="29"/>
  <c r="EZ42" i="29"/>
  <c r="GM53" i="29"/>
  <c r="GU53" i="29"/>
  <c r="GV53" i="29"/>
  <c r="EF56" i="29"/>
  <c r="EG56" i="29"/>
  <c r="EG51" i="29"/>
  <c r="EY51" i="29"/>
  <c r="EZ51" i="29"/>
  <c r="HF56" i="29"/>
  <c r="HC58" i="29"/>
  <c r="HF64" i="29"/>
  <c r="GE58" i="29"/>
  <c r="GH64" i="29"/>
  <c r="GS64" i="29"/>
  <c r="HV53" i="29"/>
  <c r="DS54" i="29"/>
  <c r="HA54" i="29"/>
  <c r="GM52" i="29"/>
  <c r="GU52" i="29"/>
  <c r="GV52" i="29"/>
  <c r="CU54" i="29"/>
  <c r="CX54" i="29"/>
  <c r="CY54" i="29"/>
  <c r="CT56" i="29"/>
  <c r="CU51" i="29"/>
  <c r="CX51" i="29"/>
  <c r="CY51" i="29"/>
  <c r="GH56" i="29"/>
  <c r="GS56" i="29"/>
  <c r="BW51" i="29"/>
  <c r="BV56" i="29"/>
  <c r="BW56" i="29"/>
  <c r="JT56" i="29"/>
  <c r="JU56" i="29"/>
  <c r="IS53" i="29"/>
  <c r="IV53" i="29"/>
  <c r="IW53" i="29"/>
  <c r="GC51" i="29"/>
  <c r="GB56" i="29"/>
  <c r="GC56" i="29"/>
  <c r="DV56" i="29"/>
  <c r="DW56" i="29"/>
  <c r="HV52" i="29"/>
  <c r="ES48" i="29"/>
  <c r="ET46" i="29"/>
  <c r="DK58" i="29"/>
  <c r="DN58" i="29"/>
  <c r="DN64" i="29"/>
  <c r="DK67" i="29"/>
  <c r="EY54" i="29"/>
  <c r="EZ54" i="29"/>
  <c r="HH56" i="29"/>
  <c r="HK56" i="29"/>
  <c r="HK51" i="29"/>
  <c r="DT52" i="29"/>
  <c r="LA44" i="29"/>
  <c r="LB44" i="29"/>
  <c r="KZ46" i="29"/>
  <c r="DP58" i="29"/>
  <c r="DS58" i="29"/>
  <c r="DS64" i="29"/>
  <c r="DP67" i="29"/>
  <c r="FW56" i="29"/>
  <c r="FX56" i="29"/>
  <c r="HR56" i="29"/>
  <c r="HU56" i="29"/>
  <c r="HU51" i="29"/>
  <c r="CO56" i="29"/>
  <c r="IS58" i="29"/>
  <c r="IT58" i="29"/>
  <c r="JO42" i="29"/>
  <c r="JN48" i="29"/>
  <c r="GM54" i="29"/>
  <c r="GU54" i="29"/>
  <c r="GV54" i="29"/>
  <c r="GL56" i="29"/>
  <c r="GM51" i="29"/>
  <c r="GU51" i="29"/>
  <c r="GV51" i="29"/>
  <c r="CU52" i="29"/>
  <c r="CX52" i="29"/>
  <c r="CY52" i="29"/>
  <c r="EL64" i="29"/>
  <c r="EI58" i="29"/>
  <c r="EI67" i="29"/>
  <c r="JB56" i="29"/>
  <c r="IS55" i="29"/>
  <c r="IV55" i="29"/>
  <c r="IW55" i="29"/>
  <c r="IV51" i="29"/>
  <c r="IW51" i="29"/>
  <c r="IR56" i="29"/>
  <c r="IS51" i="29"/>
  <c r="CC48" i="29"/>
  <c r="CD46" i="29"/>
  <c r="CY68" i="29"/>
  <c r="GX56" i="29"/>
  <c r="HA56" i="29"/>
  <c r="JD56" i="29"/>
  <c r="DT54" i="29"/>
  <c r="DF64" i="29"/>
  <c r="BR64" i="29"/>
  <c r="BO67" i="29"/>
  <c r="BO58" i="29"/>
  <c r="BR58" i="29"/>
  <c r="KO58" i="29"/>
  <c r="EY52" i="29"/>
  <c r="EZ52" i="29"/>
  <c r="FH42" i="29"/>
  <c r="FG48" i="29"/>
  <c r="DJ56" i="29"/>
  <c r="BR54" i="29"/>
  <c r="HV55" i="29"/>
  <c r="CX55" i="29"/>
  <c r="CY55" i="29"/>
  <c r="CU55" i="29"/>
  <c r="JG51" i="29"/>
  <c r="IS54" i="29"/>
  <c r="IV54" i="29"/>
  <c r="IW54" i="29"/>
  <c r="GX58" i="29"/>
  <c r="HA58" i="29"/>
  <c r="HA64" i="29"/>
  <c r="HA51" i="29"/>
  <c r="JZ64" i="29"/>
  <c r="JW58" i="29"/>
  <c r="JZ58" i="29"/>
  <c r="JD58" i="29"/>
  <c r="JG58" i="29"/>
  <c r="JG64" i="29"/>
  <c r="DT53" i="29"/>
  <c r="EY55" i="29"/>
  <c r="EZ55" i="29"/>
  <c r="DP56" i="29"/>
  <c r="DS56" i="29"/>
  <c r="HV51" i="29"/>
  <c r="BO56" i="29"/>
  <c r="LA35" i="29"/>
  <c r="LB35" i="29"/>
  <c r="II51" i="29"/>
  <c r="IH56" i="29"/>
  <c r="II56" i="29"/>
  <c r="EQ51" i="29"/>
  <c r="EP56" i="29"/>
  <c r="CH68" i="29"/>
  <c r="CK67" i="29"/>
  <c r="GM55" i="29"/>
  <c r="GU55" i="29"/>
  <c r="GV55" i="29"/>
  <c r="CU53" i="29"/>
  <c r="CX53" i="29"/>
  <c r="CY53" i="29"/>
  <c r="LA42" i="29"/>
  <c r="LB42" i="29"/>
  <c r="KZ48" i="29"/>
  <c r="CZ56" i="29"/>
  <c r="EY53" i="29"/>
  <c r="EZ53" i="29"/>
  <c r="LA41" i="29"/>
  <c r="LB41" i="29"/>
  <c r="KD56" i="29"/>
  <c r="KE56" i="29"/>
  <c r="KE51" i="29"/>
  <c r="FE58" i="29"/>
  <c r="IS52" i="29"/>
  <c r="IV52" i="29"/>
  <c r="IW52" i="29"/>
  <c r="HL56" i="29"/>
  <c r="KN56" i="29"/>
  <c r="KO56" i="29"/>
  <c r="KO51" i="29"/>
  <c r="HB56" i="29"/>
  <c r="HH64" i="29"/>
  <c r="HK54" i="29"/>
  <c r="FR42" i="29"/>
  <c r="FQ48" i="29"/>
  <c r="DT55" i="29"/>
  <c r="DF56" i="29"/>
  <c r="DI56" i="29"/>
  <c r="DT51" i="29"/>
  <c r="BR56" i="29"/>
  <c r="FF11" i="28"/>
  <c r="ED13" i="28"/>
  <c r="FC13" i="28"/>
  <c r="FF13" i="28"/>
  <c r="FC17" i="28"/>
  <c r="ED18" i="28"/>
  <c r="FC18" i="28"/>
  <c r="FF18" i="28"/>
  <c r="AZ6" i="28"/>
  <c r="AW6" i="28"/>
  <c r="AX6" i="28"/>
  <c r="CO45" i="25"/>
  <c r="CT45" i="25"/>
  <c r="CT41" i="25"/>
  <c r="CW45" i="25"/>
  <c r="CW41" i="25"/>
  <c r="CO41" i="25"/>
  <c r="CC32" i="25"/>
  <c r="CC31" i="25"/>
  <c r="CC30" i="25"/>
  <c r="CC29" i="25"/>
  <c r="CC28" i="25"/>
  <c r="CC27" i="25"/>
  <c r="CC26" i="25"/>
  <c r="CC25" i="25"/>
  <c r="CC24" i="25"/>
  <c r="CC23" i="25"/>
  <c r="CC22" i="25"/>
  <c r="CC21" i="25"/>
  <c r="CC20" i="25"/>
  <c r="CC19" i="25"/>
  <c r="CC18" i="25"/>
  <c r="CC17" i="25"/>
  <c r="CC16" i="25"/>
  <c r="CC15" i="25"/>
  <c r="CC14" i="25"/>
  <c r="CC13" i="25"/>
  <c r="CC12" i="25"/>
  <c r="CC11" i="25"/>
  <c r="CC10" i="25"/>
  <c r="CC9" i="25"/>
  <c r="CC8" i="25"/>
  <c r="CC7" i="25"/>
  <c r="CC6" i="25"/>
  <c r="CF7" i="25"/>
  <c r="CF8" i="25"/>
  <c r="CF9" i="25"/>
  <c r="CF10" i="25"/>
  <c r="CF11" i="25"/>
  <c r="CF12" i="25"/>
  <c r="CF13" i="25"/>
  <c r="CF14" i="25"/>
  <c r="CF15" i="25"/>
  <c r="CF16" i="25"/>
  <c r="CF17" i="25"/>
  <c r="CF18" i="25"/>
  <c r="CF19" i="25"/>
  <c r="CF20" i="25"/>
  <c r="CF21" i="25"/>
  <c r="CF22" i="25"/>
  <c r="CF23" i="25"/>
  <c r="CF24" i="25"/>
  <c r="CF25" i="25"/>
  <c r="CF26" i="25"/>
  <c r="CF27" i="25"/>
  <c r="CF28" i="25"/>
  <c r="CF30" i="25"/>
  <c r="CF31" i="25"/>
  <c r="CF32" i="25"/>
  <c r="CF6" i="25"/>
  <c r="H47" i="23"/>
  <c r="F47" i="23"/>
  <c r="LB44" i="25"/>
  <c r="F35" i="25"/>
  <c r="G35" i="25"/>
  <c r="K35" i="25"/>
  <c r="L35" i="25"/>
  <c r="M35" i="25"/>
  <c r="P35" i="25"/>
  <c r="R35" i="25"/>
  <c r="U35" i="25"/>
  <c r="AA35" i="25"/>
  <c r="AD35" i="25"/>
  <c r="AF35" i="25"/>
  <c r="AI35" i="25"/>
  <c r="AK35" i="25"/>
  <c r="AN35" i="25"/>
  <c r="AP35" i="25"/>
  <c r="AT35" i="25"/>
  <c r="KW44" i="25"/>
  <c r="KW43" i="25"/>
  <c r="KW40" i="25"/>
  <c r="KW39" i="25"/>
  <c r="KW38" i="25"/>
  <c r="KW35" i="25"/>
  <c r="KX34" i="25"/>
  <c r="KY34" i="25"/>
  <c r="KX33" i="25"/>
  <c r="KY33" i="25"/>
  <c r="KX32" i="25"/>
  <c r="KY32" i="25"/>
  <c r="KX31" i="25"/>
  <c r="KY31" i="25"/>
  <c r="KX30" i="25"/>
  <c r="KY30" i="25"/>
  <c r="KX29" i="25"/>
  <c r="KY29" i="25"/>
  <c r="KX28" i="25"/>
  <c r="KY28" i="25"/>
  <c r="KX27" i="25"/>
  <c r="KY27" i="25"/>
  <c r="KX26" i="25"/>
  <c r="KY26" i="25"/>
  <c r="KX25" i="25"/>
  <c r="KY25" i="25"/>
  <c r="KX24" i="25"/>
  <c r="KY24" i="25"/>
  <c r="KX23" i="25"/>
  <c r="KY23" i="25"/>
  <c r="KX22" i="25"/>
  <c r="KY22" i="25"/>
  <c r="KX21" i="25"/>
  <c r="KY21" i="25"/>
  <c r="KX20" i="25"/>
  <c r="KY20" i="25"/>
  <c r="KX19" i="25"/>
  <c r="KY19" i="25"/>
  <c r="KX18" i="25"/>
  <c r="KY18" i="25"/>
  <c r="KX17" i="25"/>
  <c r="KY17" i="25"/>
  <c r="KX16" i="25"/>
  <c r="KY16" i="25"/>
  <c r="KX15" i="25"/>
  <c r="KY15" i="25"/>
  <c r="KX14" i="25"/>
  <c r="KY14" i="25"/>
  <c r="KX13" i="25"/>
  <c r="KY13" i="25"/>
  <c r="KX12" i="25"/>
  <c r="KY12" i="25"/>
  <c r="KX11" i="25"/>
  <c r="KY11" i="25"/>
  <c r="KX10" i="25"/>
  <c r="KY10" i="25"/>
  <c r="KX9" i="25"/>
  <c r="KY9" i="25"/>
  <c r="KX8" i="25"/>
  <c r="KY8" i="25"/>
  <c r="KX7" i="25"/>
  <c r="KY7" i="25"/>
  <c r="KT44" i="25"/>
  <c r="KQ44" i="25"/>
  <c r="KT43" i="25"/>
  <c r="KQ43" i="25"/>
  <c r="KT40" i="25"/>
  <c r="KQ40" i="25"/>
  <c r="KT39" i="25"/>
  <c r="KQ39" i="25"/>
  <c r="KT38" i="25"/>
  <c r="KQ38" i="25"/>
  <c r="KT35" i="25"/>
  <c r="KQ35" i="25"/>
  <c r="KU32" i="25"/>
  <c r="KU31" i="25"/>
  <c r="KU30" i="25"/>
  <c r="KU29" i="25"/>
  <c r="KU28" i="25"/>
  <c r="KU27" i="25"/>
  <c r="KU26" i="25"/>
  <c r="KU25" i="25"/>
  <c r="KU24" i="25"/>
  <c r="KU23" i="25"/>
  <c r="KU22" i="25"/>
  <c r="KU21" i="25"/>
  <c r="KU20" i="25"/>
  <c r="KU19" i="25"/>
  <c r="KU18" i="25"/>
  <c r="KU17" i="25"/>
  <c r="KU16" i="25"/>
  <c r="KU15" i="25"/>
  <c r="KU14" i="25"/>
  <c r="KU13" i="25"/>
  <c r="KU12" i="25"/>
  <c r="KU11" i="25"/>
  <c r="KU10" i="25"/>
  <c r="KU9" i="25"/>
  <c r="KU8" i="25"/>
  <c r="KU7" i="25"/>
  <c r="KU6" i="25"/>
  <c r="KO44" i="25"/>
  <c r="KL44" i="25"/>
  <c r="KO43" i="25"/>
  <c r="KL43" i="25"/>
  <c r="KO40" i="25"/>
  <c r="KL40" i="25"/>
  <c r="KO39" i="25"/>
  <c r="KL39" i="25"/>
  <c r="KO38" i="25"/>
  <c r="KL38" i="25"/>
  <c r="KO35" i="25"/>
  <c r="KL35" i="25"/>
  <c r="KP33" i="25"/>
  <c r="KP32" i="25"/>
  <c r="KP31" i="25"/>
  <c r="KP30" i="25"/>
  <c r="KP29" i="25"/>
  <c r="KP28" i="25"/>
  <c r="KP27" i="25"/>
  <c r="KP26" i="25"/>
  <c r="KP25" i="25"/>
  <c r="KP24" i="25"/>
  <c r="KP23" i="25"/>
  <c r="KP22" i="25"/>
  <c r="KP21" i="25"/>
  <c r="KP20" i="25"/>
  <c r="KP19" i="25"/>
  <c r="KP18" i="25"/>
  <c r="KP17" i="25"/>
  <c r="KP16" i="25"/>
  <c r="KP15" i="25"/>
  <c r="KP14" i="25"/>
  <c r="KP13" i="25"/>
  <c r="KP12" i="25"/>
  <c r="KP11" i="25"/>
  <c r="KP10" i="25"/>
  <c r="KP9" i="25"/>
  <c r="KP8" i="25"/>
  <c r="KP7" i="25"/>
  <c r="KJ44" i="25"/>
  <c r="KG44" i="25"/>
  <c r="KJ43" i="25"/>
  <c r="KJ45" i="25"/>
  <c r="KG43" i="25"/>
  <c r="KJ40" i="25"/>
  <c r="KG40" i="25"/>
  <c r="KJ39" i="25"/>
  <c r="KG39" i="25"/>
  <c r="KJ38" i="25"/>
  <c r="KG38" i="25"/>
  <c r="KJ35" i="25"/>
  <c r="KG35" i="25"/>
  <c r="KK33" i="25"/>
  <c r="KK32" i="25"/>
  <c r="KK31" i="25"/>
  <c r="KK30" i="25"/>
  <c r="KK29" i="25"/>
  <c r="KK28" i="25"/>
  <c r="KK27" i="25"/>
  <c r="KK26" i="25"/>
  <c r="KK25" i="25"/>
  <c r="KK24" i="25"/>
  <c r="KK23" i="25"/>
  <c r="KK22" i="25"/>
  <c r="KK21" i="25"/>
  <c r="KK20" i="25"/>
  <c r="KK19" i="25"/>
  <c r="KK18" i="25"/>
  <c r="KK17" i="25"/>
  <c r="KK16" i="25"/>
  <c r="KK15" i="25"/>
  <c r="KK14" i="25"/>
  <c r="KK13" i="25"/>
  <c r="KK12" i="25"/>
  <c r="KK11" i="25"/>
  <c r="KK10" i="25"/>
  <c r="KK9" i="25"/>
  <c r="KK8" i="25"/>
  <c r="KK7" i="25"/>
  <c r="KK6" i="25"/>
  <c r="KF6" i="25"/>
  <c r="KF7" i="25"/>
  <c r="KF8" i="25"/>
  <c r="KF9" i="25"/>
  <c r="KF10" i="25"/>
  <c r="KF11" i="25"/>
  <c r="KF12" i="25"/>
  <c r="KF13" i="25"/>
  <c r="KF14" i="25"/>
  <c r="KF15" i="25"/>
  <c r="KF16" i="25"/>
  <c r="KF17" i="25"/>
  <c r="KF18" i="25"/>
  <c r="KF19" i="25"/>
  <c r="KF20" i="25"/>
  <c r="KF21" i="25"/>
  <c r="KF22" i="25"/>
  <c r="KF23" i="25"/>
  <c r="KF24" i="25"/>
  <c r="KF25" i="25"/>
  <c r="KF26" i="25"/>
  <c r="KF27" i="25"/>
  <c r="KF28" i="25"/>
  <c r="KF29" i="25"/>
  <c r="KF30" i="25"/>
  <c r="KF31" i="25"/>
  <c r="KF32" i="25"/>
  <c r="KF33" i="25"/>
  <c r="KE44" i="25"/>
  <c r="KB44" i="25"/>
  <c r="KE43" i="25"/>
  <c r="KB43" i="25"/>
  <c r="KE40" i="25"/>
  <c r="KB40" i="25"/>
  <c r="KE39" i="25"/>
  <c r="KB39" i="25"/>
  <c r="KE38" i="25"/>
  <c r="KB38" i="25"/>
  <c r="KE35" i="25"/>
  <c r="KB35" i="25"/>
  <c r="JZ44" i="25"/>
  <c r="JW44" i="25"/>
  <c r="JZ43" i="25"/>
  <c r="JZ45" i="25"/>
  <c r="JW43" i="25"/>
  <c r="JZ40" i="25"/>
  <c r="JW40" i="25"/>
  <c r="JZ39" i="25"/>
  <c r="JW39" i="25"/>
  <c r="JZ38" i="25"/>
  <c r="JW38" i="25"/>
  <c r="JZ35" i="25"/>
  <c r="JW35" i="25"/>
  <c r="AS23" i="27"/>
  <c r="KA33" i="25"/>
  <c r="KA32" i="25"/>
  <c r="KA31" i="25"/>
  <c r="KA30" i="25"/>
  <c r="KA29" i="25"/>
  <c r="KA28" i="25"/>
  <c r="KA27" i="25"/>
  <c r="KA26" i="25"/>
  <c r="KA25" i="25"/>
  <c r="KA24" i="25"/>
  <c r="KA23" i="25"/>
  <c r="KA22" i="25"/>
  <c r="KA21" i="25"/>
  <c r="KA20" i="25"/>
  <c r="KA19" i="25"/>
  <c r="KA18" i="25"/>
  <c r="KA17" i="25"/>
  <c r="KA16" i="25"/>
  <c r="KA15" i="25"/>
  <c r="KA14" i="25"/>
  <c r="KA13" i="25"/>
  <c r="KA12" i="25"/>
  <c r="KA11" i="25"/>
  <c r="KA10" i="25"/>
  <c r="KA9" i="25"/>
  <c r="KA8" i="25"/>
  <c r="KA7" i="25"/>
  <c r="KA6" i="25"/>
  <c r="JT44" i="25"/>
  <c r="JT43" i="25"/>
  <c r="JT40" i="25"/>
  <c r="JT39" i="25"/>
  <c r="JT38" i="25"/>
  <c r="JT35" i="25"/>
  <c r="JU34" i="25"/>
  <c r="JV34" i="25"/>
  <c r="JU33" i="25"/>
  <c r="JV33" i="25"/>
  <c r="JU32" i="25"/>
  <c r="JV32" i="25"/>
  <c r="JU31" i="25"/>
  <c r="JV31" i="25"/>
  <c r="JU30" i="25"/>
  <c r="JV30" i="25"/>
  <c r="JU29" i="25"/>
  <c r="JV29" i="25"/>
  <c r="JU28" i="25"/>
  <c r="JV28" i="25"/>
  <c r="JU27" i="25"/>
  <c r="JV27" i="25"/>
  <c r="JU26" i="25"/>
  <c r="JV26" i="25"/>
  <c r="JU25" i="25"/>
  <c r="JV25" i="25"/>
  <c r="JU24" i="25"/>
  <c r="JV24" i="25"/>
  <c r="JU23" i="25"/>
  <c r="JV23" i="25"/>
  <c r="JU22" i="25"/>
  <c r="JV22" i="25"/>
  <c r="JU21" i="25"/>
  <c r="JV21" i="25"/>
  <c r="JU20" i="25"/>
  <c r="JV20" i="25"/>
  <c r="JU19" i="25"/>
  <c r="JV19" i="25"/>
  <c r="JU18" i="25"/>
  <c r="JV18" i="25"/>
  <c r="JU17" i="25"/>
  <c r="JV17" i="25"/>
  <c r="JU16" i="25"/>
  <c r="JV16" i="25"/>
  <c r="JU15" i="25"/>
  <c r="JV15" i="25"/>
  <c r="JU14" i="25"/>
  <c r="JV14" i="25"/>
  <c r="JU13" i="25"/>
  <c r="JV13" i="25"/>
  <c r="JU12" i="25"/>
  <c r="JV12" i="25"/>
  <c r="JU11" i="25"/>
  <c r="JV11" i="25"/>
  <c r="JU10" i="25"/>
  <c r="JV10" i="25"/>
  <c r="JU9" i="25"/>
  <c r="JV9" i="25"/>
  <c r="JU8" i="25"/>
  <c r="JV8" i="25"/>
  <c r="JU7" i="25"/>
  <c r="JV7" i="25"/>
  <c r="JU6" i="25"/>
  <c r="JV6" i="25"/>
  <c r="JP44" i="25"/>
  <c r="JM44" i="25"/>
  <c r="JP43" i="25"/>
  <c r="JM43" i="25"/>
  <c r="JP40" i="25"/>
  <c r="JM40" i="25"/>
  <c r="JP39" i="25"/>
  <c r="JM39" i="25"/>
  <c r="JP38" i="25"/>
  <c r="JM38" i="25"/>
  <c r="JP35" i="25"/>
  <c r="JM35" i="25"/>
  <c r="JQ33" i="25"/>
  <c r="JQ32" i="25"/>
  <c r="JQ31" i="25"/>
  <c r="JQ30" i="25"/>
  <c r="JQ29" i="25"/>
  <c r="JQ28" i="25"/>
  <c r="JQ27" i="25"/>
  <c r="JQ26" i="25"/>
  <c r="JQ25" i="25"/>
  <c r="JQ24" i="25"/>
  <c r="JQ23" i="25"/>
  <c r="JQ22" i="25"/>
  <c r="JQ21" i="25"/>
  <c r="JQ20" i="25"/>
  <c r="JQ19" i="25"/>
  <c r="JQ18" i="25"/>
  <c r="JQ17" i="25"/>
  <c r="JQ16" i="25"/>
  <c r="JQ15" i="25"/>
  <c r="JQ14" i="25"/>
  <c r="JQ13" i="25"/>
  <c r="JQ12" i="25"/>
  <c r="JQ11" i="25"/>
  <c r="JQ10" i="25"/>
  <c r="JQ9" i="25"/>
  <c r="JQ8" i="25"/>
  <c r="JQ7" i="25"/>
  <c r="JQ6" i="25"/>
  <c r="JK44" i="25"/>
  <c r="JH44" i="25"/>
  <c r="JK43" i="25"/>
  <c r="JH43" i="25"/>
  <c r="JK40" i="25"/>
  <c r="JH40" i="25"/>
  <c r="JK39" i="25"/>
  <c r="JH39" i="25"/>
  <c r="JK38" i="25"/>
  <c r="JH38" i="25"/>
  <c r="JK35" i="25"/>
  <c r="JH35" i="25"/>
  <c r="JL33" i="25"/>
  <c r="JL32" i="25"/>
  <c r="JL31" i="25"/>
  <c r="JL30" i="25"/>
  <c r="JL29" i="25"/>
  <c r="JL28" i="25"/>
  <c r="JL27" i="25"/>
  <c r="JL26" i="25"/>
  <c r="JL25" i="25"/>
  <c r="JL24" i="25"/>
  <c r="JL23" i="25"/>
  <c r="JL22" i="25"/>
  <c r="JL21" i="25"/>
  <c r="JL20" i="25"/>
  <c r="JL19" i="25"/>
  <c r="JL18" i="25"/>
  <c r="JL17" i="25"/>
  <c r="JL16" i="25"/>
  <c r="JL15" i="25"/>
  <c r="JL14" i="25"/>
  <c r="JL13" i="25"/>
  <c r="JL12" i="25"/>
  <c r="JL11" i="25"/>
  <c r="JL10" i="25"/>
  <c r="JL9" i="25"/>
  <c r="JL8" i="25"/>
  <c r="JL7" i="25"/>
  <c r="JL6" i="25"/>
  <c r="JF44" i="25"/>
  <c r="JC44" i="25"/>
  <c r="JF43" i="25"/>
  <c r="JC43" i="25"/>
  <c r="JF40" i="25"/>
  <c r="JC40" i="25"/>
  <c r="JF39" i="25"/>
  <c r="JC39" i="25"/>
  <c r="JF38" i="25"/>
  <c r="JC38" i="25"/>
  <c r="JC35" i="25"/>
  <c r="JG33" i="25"/>
  <c r="JG32" i="25"/>
  <c r="JG31" i="25"/>
  <c r="JG30" i="25"/>
  <c r="JG29" i="25"/>
  <c r="JG28" i="25"/>
  <c r="JG27" i="25"/>
  <c r="JG26" i="25"/>
  <c r="JG25" i="25"/>
  <c r="JG24" i="25"/>
  <c r="JG23" i="25"/>
  <c r="JG22" i="25"/>
  <c r="JG21" i="25"/>
  <c r="JG20" i="25"/>
  <c r="JG19" i="25"/>
  <c r="JG18" i="25"/>
  <c r="JG17" i="25"/>
  <c r="JG16" i="25"/>
  <c r="JG15" i="25"/>
  <c r="JG14" i="25"/>
  <c r="JG13" i="25"/>
  <c r="JG12" i="25"/>
  <c r="JG11" i="25"/>
  <c r="JG10" i="25"/>
  <c r="JG9" i="25"/>
  <c r="JG8" i="25"/>
  <c r="JG7" i="25"/>
  <c r="JG6" i="25"/>
  <c r="JA44" i="25"/>
  <c r="IX44" i="25"/>
  <c r="JA43" i="25"/>
  <c r="IX43" i="25"/>
  <c r="JA40" i="25"/>
  <c r="IX40" i="25"/>
  <c r="JA39" i="25"/>
  <c r="IX39" i="25"/>
  <c r="JA38" i="25"/>
  <c r="IX38" i="25"/>
  <c r="JA35" i="25"/>
  <c r="IX35" i="25"/>
  <c r="AM23" i="27"/>
  <c r="JB33" i="25"/>
  <c r="JB32" i="25"/>
  <c r="JB31" i="25"/>
  <c r="JB30" i="25"/>
  <c r="JB29" i="25"/>
  <c r="JB28" i="25"/>
  <c r="JB27" i="25"/>
  <c r="JB26" i="25"/>
  <c r="JB25" i="25"/>
  <c r="JB24" i="25"/>
  <c r="JB23" i="25"/>
  <c r="JB22" i="25"/>
  <c r="JB21" i="25"/>
  <c r="JB20" i="25"/>
  <c r="JB19" i="25"/>
  <c r="JB18" i="25"/>
  <c r="JB17" i="25"/>
  <c r="JB16" i="25"/>
  <c r="JB15" i="25"/>
  <c r="JB14" i="25"/>
  <c r="JB13" i="25"/>
  <c r="JB12" i="25"/>
  <c r="JB11" i="25"/>
  <c r="JB10" i="25"/>
  <c r="JB9" i="25"/>
  <c r="JB8" i="25"/>
  <c r="JB7" i="25"/>
  <c r="JB6" i="25"/>
  <c r="IU35" i="25"/>
  <c r="IR35" i="25"/>
  <c r="IO35" i="25"/>
  <c r="IS33" i="25"/>
  <c r="IS32" i="25"/>
  <c r="IS31" i="25"/>
  <c r="IS30" i="25"/>
  <c r="IS29" i="25"/>
  <c r="IS28" i="25"/>
  <c r="IS27" i="25"/>
  <c r="IS26" i="25"/>
  <c r="IS25" i="25"/>
  <c r="IS24" i="25"/>
  <c r="IS23" i="25"/>
  <c r="IS22" i="25"/>
  <c r="IS21" i="25"/>
  <c r="IS20" i="25"/>
  <c r="IS19" i="25"/>
  <c r="IS18" i="25"/>
  <c r="IS17" i="25"/>
  <c r="IS16" i="25"/>
  <c r="IS15" i="25"/>
  <c r="IS14" i="25"/>
  <c r="IS13" i="25"/>
  <c r="IS11" i="25"/>
  <c r="IS10" i="25"/>
  <c r="IS9" i="25"/>
  <c r="IS8" i="25"/>
  <c r="IS7" i="25"/>
  <c r="IS6" i="25"/>
  <c r="IM35" i="25"/>
  <c r="IJ35" i="25"/>
  <c r="IN33" i="25"/>
  <c r="IN32" i="25"/>
  <c r="IN31" i="25"/>
  <c r="IN30" i="25"/>
  <c r="IN29" i="25"/>
  <c r="IN28" i="25"/>
  <c r="IN27" i="25"/>
  <c r="IN26" i="25"/>
  <c r="IN25" i="25"/>
  <c r="IN24" i="25"/>
  <c r="IN23" i="25"/>
  <c r="IN22" i="25"/>
  <c r="IN21" i="25"/>
  <c r="IN20" i="25"/>
  <c r="IN19" i="25"/>
  <c r="IN18" i="25"/>
  <c r="IN17" i="25"/>
  <c r="IN16" i="25"/>
  <c r="IN15" i="25"/>
  <c r="IN14" i="25"/>
  <c r="IN13" i="25"/>
  <c r="IN12" i="25"/>
  <c r="IN11" i="25"/>
  <c r="IN10" i="25"/>
  <c r="IN9" i="25"/>
  <c r="IN8" i="25"/>
  <c r="IN7" i="25"/>
  <c r="IN6" i="25"/>
  <c r="IH35" i="25"/>
  <c r="IE35" i="25"/>
  <c r="II33" i="25"/>
  <c r="II32" i="25"/>
  <c r="II31" i="25"/>
  <c r="II30" i="25"/>
  <c r="II29" i="25"/>
  <c r="II28" i="25"/>
  <c r="II27" i="25"/>
  <c r="II26" i="25"/>
  <c r="II25" i="25"/>
  <c r="II24" i="25"/>
  <c r="II23" i="25"/>
  <c r="II22" i="25"/>
  <c r="II21" i="25"/>
  <c r="II20" i="25"/>
  <c r="II19" i="25"/>
  <c r="II18" i="25"/>
  <c r="II17" i="25"/>
  <c r="II16" i="25"/>
  <c r="II15" i="25"/>
  <c r="II14" i="25"/>
  <c r="II13" i="25"/>
  <c r="II12" i="25"/>
  <c r="II11" i="25"/>
  <c r="II10" i="25"/>
  <c r="II9" i="25"/>
  <c r="II8" i="25"/>
  <c r="II7" i="25"/>
  <c r="II6" i="25"/>
  <c r="IC35" i="25"/>
  <c r="HZ35" i="25"/>
  <c r="AH23" i="27"/>
  <c r="ID33" i="25"/>
  <c r="ID32" i="25"/>
  <c r="ID31" i="25"/>
  <c r="ID30" i="25"/>
  <c r="ID29" i="25"/>
  <c r="ID28" i="25"/>
  <c r="ID27" i="25"/>
  <c r="ID26" i="25"/>
  <c r="ID25" i="25"/>
  <c r="ID24" i="25"/>
  <c r="ID23" i="25"/>
  <c r="ID22" i="25"/>
  <c r="ID21" i="25"/>
  <c r="ID20" i="25"/>
  <c r="ID19" i="25"/>
  <c r="ID18" i="25"/>
  <c r="ID17" i="25"/>
  <c r="ID16" i="25"/>
  <c r="ID15" i="25"/>
  <c r="ID14" i="25"/>
  <c r="ID13" i="25"/>
  <c r="ID12" i="25"/>
  <c r="ID11" i="25"/>
  <c r="ID10" i="25"/>
  <c r="ID9" i="25"/>
  <c r="ID8" i="25"/>
  <c r="HW44" i="25"/>
  <c r="HW43" i="25"/>
  <c r="HW35" i="25"/>
  <c r="HX34" i="25"/>
  <c r="HY34" i="25"/>
  <c r="HX33" i="25"/>
  <c r="HY33" i="25"/>
  <c r="HX32" i="25"/>
  <c r="HY32" i="25"/>
  <c r="HX31" i="25"/>
  <c r="HY31" i="25"/>
  <c r="HX30" i="25"/>
  <c r="HY30" i="25"/>
  <c r="HX29" i="25"/>
  <c r="HY29" i="25"/>
  <c r="HX28" i="25"/>
  <c r="HY28" i="25"/>
  <c r="HX27" i="25"/>
  <c r="HY27" i="25"/>
  <c r="HX26" i="25"/>
  <c r="HY26" i="25"/>
  <c r="HX25" i="25"/>
  <c r="HY25" i="25"/>
  <c r="HX24" i="25"/>
  <c r="HY24" i="25"/>
  <c r="HX23" i="25"/>
  <c r="HY23" i="25"/>
  <c r="HX22" i="25"/>
  <c r="HY22" i="25"/>
  <c r="HX21" i="25"/>
  <c r="HY21" i="25"/>
  <c r="HX20" i="25"/>
  <c r="HY20" i="25"/>
  <c r="HX19" i="25"/>
  <c r="HY19" i="25"/>
  <c r="HX18" i="25"/>
  <c r="HY18" i="25"/>
  <c r="HX17" i="25"/>
  <c r="HY17" i="25"/>
  <c r="HX16" i="25"/>
  <c r="HY16" i="25"/>
  <c r="HX15" i="25"/>
  <c r="HY15" i="25"/>
  <c r="HX14" i="25"/>
  <c r="HY14" i="25"/>
  <c r="HX13" i="25"/>
  <c r="HY13" i="25"/>
  <c r="HX12" i="25"/>
  <c r="HY12" i="25"/>
  <c r="HX11" i="25"/>
  <c r="HY11" i="25"/>
  <c r="HX10" i="25"/>
  <c r="HY10" i="25"/>
  <c r="HX9" i="25"/>
  <c r="HY9" i="25"/>
  <c r="HX8" i="25"/>
  <c r="HY8" i="25"/>
  <c r="HX7" i="25"/>
  <c r="HY7" i="25"/>
  <c r="HT44" i="25"/>
  <c r="HQ44" i="25"/>
  <c r="HT43" i="25"/>
  <c r="HQ43" i="25"/>
  <c r="HU33" i="25"/>
  <c r="HU32" i="25"/>
  <c r="HU31" i="25"/>
  <c r="HU30" i="25"/>
  <c r="HU29" i="25"/>
  <c r="HU28" i="25"/>
  <c r="HU27" i="25"/>
  <c r="HU26" i="25"/>
  <c r="HU25" i="25"/>
  <c r="HU24" i="25"/>
  <c r="HU23" i="25"/>
  <c r="HU22" i="25"/>
  <c r="HU21" i="25"/>
  <c r="HU20" i="25"/>
  <c r="HU19" i="25"/>
  <c r="HU18" i="25"/>
  <c r="HU17" i="25"/>
  <c r="HU16" i="25"/>
  <c r="HU15" i="25"/>
  <c r="HU14" i="25"/>
  <c r="HU13" i="25"/>
  <c r="HU12" i="25"/>
  <c r="HU11" i="25"/>
  <c r="HU10" i="25"/>
  <c r="HU9" i="25"/>
  <c r="HU8" i="25"/>
  <c r="HU7" i="25"/>
  <c r="HU6" i="25"/>
  <c r="HT35" i="25"/>
  <c r="HQ35" i="25"/>
  <c r="HO35" i="25"/>
  <c r="HL35" i="25"/>
  <c r="HP33" i="25"/>
  <c r="HP32" i="25"/>
  <c r="HP31" i="25"/>
  <c r="HP30" i="25"/>
  <c r="HP29" i="25"/>
  <c r="HP28" i="25"/>
  <c r="HP27" i="25"/>
  <c r="HP26" i="25"/>
  <c r="HP25" i="25"/>
  <c r="HP24" i="25"/>
  <c r="HP23" i="25"/>
  <c r="HP22" i="25"/>
  <c r="HP21" i="25"/>
  <c r="HP20" i="25"/>
  <c r="HP19" i="25"/>
  <c r="HP18" i="25"/>
  <c r="HP17" i="25"/>
  <c r="HP16" i="25"/>
  <c r="HP15" i="25"/>
  <c r="HP14" i="25"/>
  <c r="HP13" i="25"/>
  <c r="HP12" i="25"/>
  <c r="HP11" i="25"/>
  <c r="HP10" i="25"/>
  <c r="HP9" i="25"/>
  <c r="HP8" i="25"/>
  <c r="HP7" i="25"/>
  <c r="HP6" i="25"/>
  <c r="HJ35" i="25"/>
  <c r="HG35" i="25"/>
  <c r="HK33" i="25"/>
  <c r="HK32" i="25"/>
  <c r="HK31" i="25"/>
  <c r="HK30" i="25"/>
  <c r="HK29" i="25"/>
  <c r="HK28" i="25"/>
  <c r="HK27" i="25"/>
  <c r="HK26" i="25"/>
  <c r="HK25" i="25"/>
  <c r="HK24" i="25"/>
  <c r="HK23" i="25"/>
  <c r="HK22" i="25"/>
  <c r="HK21" i="25"/>
  <c r="HK20" i="25"/>
  <c r="HK19" i="25"/>
  <c r="HK18" i="25"/>
  <c r="HK17" i="25"/>
  <c r="HK16" i="25"/>
  <c r="HK15" i="25"/>
  <c r="HK14" i="25"/>
  <c r="HK13" i="25"/>
  <c r="HK12" i="25"/>
  <c r="HK11" i="25"/>
  <c r="HK10" i="25"/>
  <c r="HK9" i="25"/>
  <c r="HK8" i="25"/>
  <c r="HK7" i="25"/>
  <c r="HK6" i="25"/>
  <c r="HE35" i="25"/>
  <c r="HB35" i="25"/>
  <c r="HF33" i="25"/>
  <c r="HF32" i="25"/>
  <c r="HF31" i="25"/>
  <c r="HF30" i="25"/>
  <c r="HF29" i="25"/>
  <c r="HF28" i="25"/>
  <c r="HF27" i="25"/>
  <c r="HF26" i="25"/>
  <c r="HF25" i="25"/>
  <c r="HF24" i="25"/>
  <c r="HF23" i="25"/>
  <c r="HF22" i="25"/>
  <c r="HF21" i="25"/>
  <c r="HF20" i="25"/>
  <c r="HF19" i="25"/>
  <c r="HF18" i="25"/>
  <c r="HF17" i="25"/>
  <c r="HF16" i="25"/>
  <c r="HF15" i="25"/>
  <c r="HF14" i="25"/>
  <c r="HF13" i="25"/>
  <c r="HF12" i="25"/>
  <c r="HF11" i="25"/>
  <c r="HF10" i="25"/>
  <c r="HF9" i="25"/>
  <c r="HF8" i="25"/>
  <c r="HF7" i="25"/>
  <c r="HF6" i="25"/>
  <c r="GZ35" i="25"/>
  <c r="GW35" i="25"/>
  <c r="AC23" i="27"/>
  <c r="HA33" i="25"/>
  <c r="HA32" i="25"/>
  <c r="HA31" i="25"/>
  <c r="HA30" i="25"/>
  <c r="HA28" i="25"/>
  <c r="HA27" i="25"/>
  <c r="HA26" i="25"/>
  <c r="HA25" i="25"/>
  <c r="HA24" i="25"/>
  <c r="HA23" i="25"/>
  <c r="HA22" i="25"/>
  <c r="HA21" i="25"/>
  <c r="HA20" i="25"/>
  <c r="HA19" i="25"/>
  <c r="HA18" i="25"/>
  <c r="HA17" i="25"/>
  <c r="HA16" i="25"/>
  <c r="HA15" i="25"/>
  <c r="HA14" i="25"/>
  <c r="HA13" i="25"/>
  <c r="HA12" i="25"/>
  <c r="HA11" i="25"/>
  <c r="HA10" i="25"/>
  <c r="HA9" i="25"/>
  <c r="HA8" i="25"/>
  <c r="HA7" i="25"/>
  <c r="HA6" i="25"/>
  <c r="DD12" i="27"/>
  <c r="DE7" i="27"/>
  <c r="DE12" i="27"/>
  <c r="CX12" i="27"/>
  <c r="CY7" i="27"/>
  <c r="CY12" i="27"/>
  <c r="CA12" i="27"/>
  <c r="CD7" i="27"/>
  <c r="CD12" i="27"/>
  <c r="BJ12" i="27"/>
  <c r="BN7" i="27"/>
  <c r="BN12" i="27"/>
  <c r="BA12" i="27"/>
  <c r="BC7" i="27"/>
  <c r="BC12" i="27"/>
  <c r="AU12" i="27"/>
  <c r="AX7" i="27"/>
  <c r="AX12" i="27"/>
  <c r="EQ56" i="29"/>
  <c r="EY56" i="29"/>
  <c r="EZ56" i="29"/>
  <c r="KQ51" i="29"/>
  <c r="KQ52" i="29"/>
  <c r="KT52" i="29"/>
  <c r="KQ53" i="29"/>
  <c r="KT53" i="29"/>
  <c r="KQ54" i="29"/>
  <c r="KQ55" i="29"/>
  <c r="KT55" i="29"/>
  <c r="KR48" i="29"/>
  <c r="KU58" i="29"/>
  <c r="KX64" i="29"/>
  <c r="KY64" i="29"/>
  <c r="KU56" i="29"/>
  <c r="AZ6" i="30"/>
  <c r="AW6" i="30"/>
  <c r="AX6" i="30"/>
  <c r="HH58" i="29"/>
  <c r="HK58" i="29"/>
  <c r="HK64" i="29"/>
  <c r="GM56" i="29"/>
  <c r="GU56" i="29"/>
  <c r="GV56" i="29"/>
  <c r="FQ51" i="29"/>
  <c r="FQ52" i="29"/>
  <c r="FT52" i="29"/>
  <c r="FQ53" i="29"/>
  <c r="FT53" i="29"/>
  <c r="FQ54" i="29"/>
  <c r="FQ55" i="29"/>
  <c r="FT55" i="29"/>
  <c r="FR48" i="29"/>
  <c r="BO68" i="29"/>
  <c r="BO69" i="29"/>
  <c r="BT69" i="29"/>
  <c r="BR67" i="29"/>
  <c r="IV56" i="29"/>
  <c r="IW56" i="29"/>
  <c r="IS56" i="29"/>
  <c r="JG56" i="29"/>
  <c r="EI68" i="29"/>
  <c r="EL67" i="29"/>
  <c r="DK68" i="29"/>
  <c r="DN67" i="29"/>
  <c r="ET48" i="29"/>
  <c r="ES51" i="29"/>
  <c r="ES52" i="29"/>
  <c r="ES53" i="29"/>
  <c r="ES54" i="29"/>
  <c r="ES55" i="29"/>
  <c r="HV56" i="29"/>
  <c r="CN48" i="29"/>
  <c r="CM51" i="29"/>
  <c r="CM52" i="29"/>
  <c r="CP52" i="29"/>
  <c r="CM53" i="29"/>
  <c r="CP53" i="29"/>
  <c r="CM54" i="29"/>
  <c r="CM55" i="29"/>
  <c r="CP55" i="29"/>
  <c r="JB58" i="29"/>
  <c r="EL58" i="29"/>
  <c r="LA46" i="29"/>
  <c r="LB46" i="29"/>
  <c r="HV64" i="29"/>
  <c r="LA48" i="29"/>
  <c r="LB48" i="29"/>
  <c r="KZ51" i="29"/>
  <c r="KZ52" i="29"/>
  <c r="KZ53" i="29"/>
  <c r="KZ54" i="29"/>
  <c r="KZ55" i="29"/>
  <c r="CU56" i="29"/>
  <c r="CX56" i="29"/>
  <c r="CY56" i="29"/>
  <c r="GH58" i="29"/>
  <c r="GS58" i="29"/>
  <c r="DT56" i="29"/>
  <c r="FG51" i="29"/>
  <c r="FG52" i="29"/>
  <c r="FG53" i="29"/>
  <c r="FG54" i="29"/>
  <c r="FG55" i="29"/>
  <c r="FH48" i="29"/>
  <c r="DF58" i="29"/>
  <c r="DF67" i="29"/>
  <c r="DI64" i="29"/>
  <c r="DT64" i="29"/>
  <c r="CD48" i="29"/>
  <c r="CC51" i="29"/>
  <c r="CC52" i="29"/>
  <c r="CC53" i="29"/>
  <c r="CC54" i="29"/>
  <c r="CC55" i="29"/>
  <c r="JO48" i="29"/>
  <c r="JN51" i="29"/>
  <c r="JN52" i="29"/>
  <c r="JN53" i="29"/>
  <c r="JN54" i="29"/>
  <c r="JN55" i="29"/>
  <c r="DP68" i="29"/>
  <c r="DU67" i="29"/>
  <c r="DS67" i="29"/>
  <c r="HF58" i="29"/>
  <c r="HR58" i="29"/>
  <c r="HU58" i="29"/>
  <c r="HU64" i="29"/>
  <c r="AC30" i="27"/>
  <c r="AC29" i="27"/>
  <c r="AC28" i="27"/>
  <c r="AC27" i="27"/>
  <c r="AC26" i="27"/>
  <c r="AC31" i="27"/>
  <c r="QR7" i="28"/>
  <c r="QV7" i="28"/>
  <c r="QZ7" i="28"/>
  <c r="RD7" i="28"/>
  <c r="RH7" i="28"/>
  <c r="QR8" i="28"/>
  <c r="QV8" i="28"/>
  <c r="QZ8" i="28"/>
  <c r="RD8" i="28"/>
  <c r="RH8" i="28"/>
  <c r="QR9" i="28"/>
  <c r="QV9" i="28"/>
  <c r="QZ9" i="28"/>
  <c r="RD9" i="28"/>
  <c r="RH9" i="28"/>
  <c r="QR10" i="28"/>
  <c r="QV10" i="28"/>
  <c r="QZ10" i="28"/>
  <c r="RD10" i="28"/>
  <c r="RH10" i="28"/>
  <c r="QR11" i="28"/>
  <c r="QV11" i="28"/>
  <c r="QZ11" i="28"/>
  <c r="RD11" i="28"/>
  <c r="RH11" i="28"/>
  <c r="QR12" i="28"/>
  <c r="QV12" i="28"/>
  <c r="QZ12" i="28"/>
  <c r="RD12" i="28"/>
  <c r="RH12" i="28"/>
  <c r="QR13" i="28"/>
  <c r="QV13" i="28"/>
  <c r="QZ13" i="28"/>
  <c r="RD13" i="28"/>
  <c r="RH13" i="28"/>
  <c r="QR14" i="28"/>
  <c r="QV14" i="28"/>
  <c r="QZ14" i="28"/>
  <c r="RD14" i="28"/>
  <c r="RH14" i="28"/>
  <c r="QR15" i="28"/>
  <c r="QV15" i="28"/>
  <c r="QZ15" i="28"/>
  <c r="RD15" i="28"/>
  <c r="RH15" i="28"/>
  <c r="QR16" i="28"/>
  <c r="QV16" i="28"/>
  <c r="QZ16" i="28"/>
  <c r="RD16" i="28"/>
  <c r="RH16" i="28"/>
  <c r="QR18" i="28"/>
  <c r="QV18" i="28"/>
  <c r="QZ18" i="28"/>
  <c r="RD18" i="28"/>
  <c r="RH18" i="28"/>
  <c r="QR19" i="28"/>
  <c r="QV19" i="28"/>
  <c r="QZ19" i="28"/>
  <c r="RD19" i="28"/>
  <c r="RH19" i="28"/>
  <c r="QR20" i="28"/>
  <c r="QV20" i="28"/>
  <c r="QZ20" i="28"/>
  <c r="RD20" i="28"/>
  <c r="RH20" i="28"/>
  <c r="QR21" i="28"/>
  <c r="QV21" i="28"/>
  <c r="QZ21" i="28"/>
  <c r="RD21" i="28"/>
  <c r="RH21" i="28"/>
  <c r="QR22" i="28"/>
  <c r="QV22" i="28"/>
  <c r="QZ22" i="28"/>
  <c r="RD22" i="28"/>
  <c r="RH22" i="28"/>
  <c r="QR23" i="28"/>
  <c r="QV23" i="28"/>
  <c r="QZ23" i="28"/>
  <c r="RD23" i="28"/>
  <c r="RH23" i="28"/>
  <c r="QR24" i="28"/>
  <c r="QV24" i="28"/>
  <c r="QZ24" i="28"/>
  <c r="RD24" i="28"/>
  <c r="RH24" i="28"/>
  <c r="QR25" i="28"/>
  <c r="QV25" i="28"/>
  <c r="QZ25" i="28"/>
  <c r="RD25" i="28"/>
  <c r="RH25" i="28"/>
  <c r="QR26" i="28"/>
  <c r="QV26" i="28"/>
  <c r="QZ26" i="28"/>
  <c r="RD26" i="28"/>
  <c r="RH26" i="28"/>
  <c r="QR27" i="28"/>
  <c r="QV27" i="28"/>
  <c r="QZ27" i="28"/>
  <c r="RD27" i="28"/>
  <c r="RH27" i="28"/>
  <c r="QR28" i="28"/>
  <c r="QV28" i="28"/>
  <c r="QZ28" i="28"/>
  <c r="RD28" i="28"/>
  <c r="RH28" i="28"/>
  <c r="QR29" i="28"/>
  <c r="QV29" i="28"/>
  <c r="QZ29" i="28"/>
  <c r="RD29" i="28"/>
  <c r="RH29" i="28"/>
  <c r="QR30" i="28"/>
  <c r="QV30" i="28"/>
  <c r="QZ30" i="28"/>
  <c r="RD30" i="28"/>
  <c r="RH30" i="28"/>
  <c r="QR31" i="28"/>
  <c r="QV31" i="28"/>
  <c r="QZ31" i="28"/>
  <c r="RD31" i="28"/>
  <c r="RH31" i="28"/>
  <c r="QR32" i="28"/>
  <c r="QV32" i="28"/>
  <c r="QZ32" i="28"/>
  <c r="RD32" i="28"/>
  <c r="RH32" i="28"/>
  <c r="QR33" i="28"/>
  <c r="QV33" i="28"/>
  <c r="QZ33" i="28"/>
  <c r="RD33" i="28"/>
  <c r="RH33" i="28"/>
  <c r="SN7" i="28"/>
  <c r="SJ7" i="28"/>
  <c r="SF7" i="28"/>
  <c r="SB7" i="28"/>
  <c r="RX7" i="28"/>
  <c r="RT7" i="28"/>
  <c r="RP7" i="28"/>
  <c r="SN8" i="28"/>
  <c r="SJ8" i="28"/>
  <c r="SF8" i="28"/>
  <c r="SB8" i="28"/>
  <c r="RX8" i="28"/>
  <c r="RT8" i="28"/>
  <c r="RP8" i="28"/>
  <c r="SR8" i="28"/>
  <c r="SN9" i="28"/>
  <c r="SJ9" i="28"/>
  <c r="SF9" i="28"/>
  <c r="SB9" i="28"/>
  <c r="RX9" i="28"/>
  <c r="RT9" i="28"/>
  <c r="RP9" i="28"/>
  <c r="SR9" i="28"/>
  <c r="SN10" i="28"/>
  <c r="SJ10" i="28"/>
  <c r="SF10" i="28"/>
  <c r="SB10" i="28"/>
  <c r="RX10" i="28"/>
  <c r="RT10" i="28"/>
  <c r="RP10" i="28"/>
  <c r="SR10" i="28"/>
  <c r="SN11" i="28"/>
  <c r="SJ11" i="28"/>
  <c r="SF11" i="28"/>
  <c r="SB11" i="28"/>
  <c r="RX11" i="28"/>
  <c r="RT11" i="28"/>
  <c r="RP11" i="28"/>
  <c r="SR11" i="28"/>
  <c r="SN12" i="28"/>
  <c r="SJ12" i="28"/>
  <c r="SF12" i="28"/>
  <c r="SB12" i="28"/>
  <c r="RX12" i="28"/>
  <c r="RT12" i="28"/>
  <c r="RP12" i="28"/>
  <c r="SR12" i="28"/>
  <c r="SN13" i="28"/>
  <c r="SJ13" i="28"/>
  <c r="SF13" i="28"/>
  <c r="SB13" i="28"/>
  <c r="RX13" i="28"/>
  <c r="RT13" i="28"/>
  <c r="RP13" i="28"/>
  <c r="SR13" i="28"/>
  <c r="SN14" i="28"/>
  <c r="SJ14" i="28"/>
  <c r="SF14" i="28"/>
  <c r="SB14" i="28"/>
  <c r="RX14" i="28"/>
  <c r="RT14" i="28"/>
  <c r="RP14" i="28"/>
  <c r="SR14" i="28"/>
  <c r="SN15" i="28"/>
  <c r="SJ15" i="28"/>
  <c r="SF15" i="28"/>
  <c r="SB15" i="28"/>
  <c r="RX15" i="28"/>
  <c r="RT15" i="28"/>
  <c r="RP15" i="28"/>
  <c r="SR15" i="28"/>
  <c r="SN16" i="28"/>
  <c r="SJ16" i="28"/>
  <c r="SF16" i="28"/>
  <c r="SB16" i="28"/>
  <c r="RX16" i="28"/>
  <c r="RT16" i="28"/>
  <c r="RP16" i="28"/>
  <c r="SR16" i="28"/>
  <c r="SN18" i="28"/>
  <c r="SJ18" i="28"/>
  <c r="SF18" i="28"/>
  <c r="SB18" i="28"/>
  <c r="RX18" i="28"/>
  <c r="RT18" i="28"/>
  <c r="RP18" i="28"/>
  <c r="SR18" i="28"/>
  <c r="SN19" i="28"/>
  <c r="SJ19" i="28"/>
  <c r="SF19" i="28"/>
  <c r="SB19" i="28"/>
  <c r="RX19" i="28"/>
  <c r="RT19" i="28"/>
  <c r="RP19" i="28"/>
  <c r="SR19" i="28"/>
  <c r="SN20" i="28"/>
  <c r="SJ20" i="28"/>
  <c r="SF20" i="28"/>
  <c r="SB20" i="28"/>
  <c r="RX20" i="28"/>
  <c r="RT20" i="28"/>
  <c r="RP20" i="28"/>
  <c r="SR20" i="28"/>
  <c r="SN21" i="28"/>
  <c r="SJ21" i="28"/>
  <c r="SF21" i="28"/>
  <c r="SB21" i="28"/>
  <c r="RX21" i="28"/>
  <c r="RT21" i="28"/>
  <c r="RP21" i="28"/>
  <c r="SR21" i="28"/>
  <c r="SN22" i="28"/>
  <c r="SJ22" i="28"/>
  <c r="SF22" i="28"/>
  <c r="SB22" i="28"/>
  <c r="RX22" i="28"/>
  <c r="RT22" i="28"/>
  <c r="RP22" i="28"/>
  <c r="SR22" i="28"/>
  <c r="SN23" i="28"/>
  <c r="SJ23" i="28"/>
  <c r="SF23" i="28"/>
  <c r="SB23" i="28"/>
  <c r="RX23" i="28"/>
  <c r="RT23" i="28"/>
  <c r="RP23" i="28"/>
  <c r="SR23" i="28"/>
  <c r="SN24" i="28"/>
  <c r="SJ24" i="28"/>
  <c r="SF24" i="28"/>
  <c r="SB24" i="28"/>
  <c r="RX24" i="28"/>
  <c r="RT24" i="28"/>
  <c r="RP24" i="28"/>
  <c r="SR24" i="28"/>
  <c r="SN25" i="28"/>
  <c r="SJ25" i="28"/>
  <c r="SF25" i="28"/>
  <c r="SB25" i="28"/>
  <c r="RX25" i="28"/>
  <c r="RT25" i="28"/>
  <c r="RP25" i="28"/>
  <c r="SR25" i="28"/>
  <c r="SN26" i="28"/>
  <c r="SJ26" i="28"/>
  <c r="SF26" i="28"/>
  <c r="SB26" i="28"/>
  <c r="RX26" i="28"/>
  <c r="RT26" i="28"/>
  <c r="RP26" i="28"/>
  <c r="SR26" i="28"/>
  <c r="SN27" i="28"/>
  <c r="SJ27" i="28"/>
  <c r="SF27" i="28"/>
  <c r="SB27" i="28"/>
  <c r="RX27" i="28"/>
  <c r="RT27" i="28"/>
  <c r="RP27" i="28"/>
  <c r="SR27" i="28"/>
  <c r="SN28" i="28"/>
  <c r="SJ28" i="28"/>
  <c r="SF28" i="28"/>
  <c r="SB28" i="28"/>
  <c r="RX28" i="28"/>
  <c r="RT28" i="28"/>
  <c r="RP28" i="28"/>
  <c r="SR28" i="28"/>
  <c r="SN29" i="28"/>
  <c r="SJ29" i="28"/>
  <c r="SF29" i="28"/>
  <c r="SB29" i="28"/>
  <c r="RX29" i="28"/>
  <c r="RT29" i="28"/>
  <c r="RP29" i="28"/>
  <c r="SR29" i="28"/>
  <c r="SN30" i="28"/>
  <c r="SJ30" i="28"/>
  <c r="SF30" i="28"/>
  <c r="SB30" i="28"/>
  <c r="RX30" i="28"/>
  <c r="RT30" i="28"/>
  <c r="RP30" i="28"/>
  <c r="SR30" i="28"/>
  <c r="SN31" i="28"/>
  <c r="SJ31" i="28"/>
  <c r="SF31" i="28"/>
  <c r="SB31" i="28"/>
  <c r="RX31" i="28"/>
  <c r="RT31" i="28"/>
  <c r="RP31" i="28"/>
  <c r="SR31" i="28"/>
  <c r="SN32" i="28"/>
  <c r="SJ32" i="28"/>
  <c r="SF32" i="28"/>
  <c r="SB32" i="28"/>
  <c r="RX32" i="28"/>
  <c r="RT32" i="28"/>
  <c r="RP32" i="28"/>
  <c r="SR32" i="28"/>
  <c r="SN33" i="28"/>
  <c r="SJ33" i="28"/>
  <c r="SF33" i="28"/>
  <c r="SB33" i="28"/>
  <c r="RX33" i="28"/>
  <c r="RT33" i="28"/>
  <c r="RP33" i="28"/>
  <c r="SR33" i="28"/>
  <c r="TT7" i="28"/>
  <c r="TP7" i="28"/>
  <c r="TL7" i="28"/>
  <c r="TH7" i="28"/>
  <c r="TD7" i="28"/>
  <c r="SZ7" i="28"/>
  <c r="SV7" i="28"/>
  <c r="TT8" i="28"/>
  <c r="TP8" i="28"/>
  <c r="TL8" i="28"/>
  <c r="TH8" i="28"/>
  <c r="TD8" i="28"/>
  <c r="SZ8" i="28"/>
  <c r="SV8" i="28"/>
  <c r="TX8" i="28"/>
  <c r="TT9" i="28"/>
  <c r="TP9" i="28"/>
  <c r="TL9" i="28"/>
  <c r="TH9" i="28"/>
  <c r="TD9" i="28"/>
  <c r="SZ9" i="28"/>
  <c r="SV9" i="28"/>
  <c r="TX9" i="28"/>
  <c r="TT10" i="28"/>
  <c r="TP10" i="28"/>
  <c r="TL10" i="28"/>
  <c r="TH10" i="28"/>
  <c r="TD10" i="28"/>
  <c r="SZ10" i="28"/>
  <c r="SV10" i="28"/>
  <c r="TX10" i="28"/>
  <c r="TT11" i="28"/>
  <c r="TP11" i="28"/>
  <c r="TL11" i="28"/>
  <c r="TH11" i="28"/>
  <c r="TD11" i="28"/>
  <c r="SZ11" i="28"/>
  <c r="SV11" i="28"/>
  <c r="TX11" i="28"/>
  <c r="TT12" i="28"/>
  <c r="TP12" i="28"/>
  <c r="TL12" i="28"/>
  <c r="TH12" i="28"/>
  <c r="TD12" i="28"/>
  <c r="SZ12" i="28"/>
  <c r="SV12" i="28"/>
  <c r="TX12" i="28"/>
  <c r="TT13" i="28"/>
  <c r="TP13" i="28"/>
  <c r="TL13" i="28"/>
  <c r="TH13" i="28"/>
  <c r="TD13" i="28"/>
  <c r="SZ13" i="28"/>
  <c r="SV13" i="28"/>
  <c r="TX13" i="28"/>
  <c r="TT14" i="28"/>
  <c r="TP14" i="28"/>
  <c r="TL14" i="28"/>
  <c r="TH14" i="28"/>
  <c r="TD14" i="28"/>
  <c r="SZ14" i="28"/>
  <c r="SV14" i="28"/>
  <c r="TX14" i="28"/>
  <c r="TT15" i="28"/>
  <c r="TP15" i="28"/>
  <c r="TL15" i="28"/>
  <c r="TH15" i="28"/>
  <c r="TD15" i="28"/>
  <c r="SZ15" i="28"/>
  <c r="SV15" i="28"/>
  <c r="TX15" i="28"/>
  <c r="TT16" i="28"/>
  <c r="TP16" i="28"/>
  <c r="TL16" i="28"/>
  <c r="TH16" i="28"/>
  <c r="TD16" i="28"/>
  <c r="SZ16" i="28"/>
  <c r="SV16" i="28"/>
  <c r="TX16" i="28"/>
  <c r="TT18" i="28"/>
  <c r="TP18" i="28"/>
  <c r="TL18" i="28"/>
  <c r="TH18" i="28"/>
  <c r="TD18" i="28"/>
  <c r="SZ18" i="28"/>
  <c r="SV18" i="28"/>
  <c r="TX18" i="28"/>
  <c r="TT19" i="28"/>
  <c r="TP19" i="28"/>
  <c r="TL19" i="28"/>
  <c r="TH19" i="28"/>
  <c r="TD19" i="28"/>
  <c r="SZ19" i="28"/>
  <c r="SV19" i="28"/>
  <c r="TX19" i="28"/>
  <c r="TT20" i="28"/>
  <c r="TP20" i="28"/>
  <c r="TL20" i="28"/>
  <c r="TH20" i="28"/>
  <c r="TD20" i="28"/>
  <c r="SZ20" i="28"/>
  <c r="SV20" i="28"/>
  <c r="TX20" i="28"/>
  <c r="TT21" i="28"/>
  <c r="TP21" i="28"/>
  <c r="TL21" i="28"/>
  <c r="TH21" i="28"/>
  <c r="TD21" i="28"/>
  <c r="SZ21" i="28"/>
  <c r="SV21" i="28"/>
  <c r="TX21" i="28"/>
  <c r="TT22" i="28"/>
  <c r="TP22" i="28"/>
  <c r="TL22" i="28"/>
  <c r="TH22" i="28"/>
  <c r="TD22" i="28"/>
  <c r="SZ22" i="28"/>
  <c r="SV22" i="28"/>
  <c r="TX22" i="28"/>
  <c r="TT23" i="28"/>
  <c r="TP23" i="28"/>
  <c r="TL23" i="28"/>
  <c r="TH23" i="28"/>
  <c r="TD23" i="28"/>
  <c r="SZ23" i="28"/>
  <c r="SV23" i="28"/>
  <c r="TX23" i="28"/>
  <c r="TT24" i="28"/>
  <c r="TP24" i="28"/>
  <c r="TL24" i="28"/>
  <c r="TH24" i="28"/>
  <c r="TD24" i="28"/>
  <c r="SZ24" i="28"/>
  <c r="SV24" i="28"/>
  <c r="TX24" i="28"/>
  <c r="TT25" i="28"/>
  <c r="TP25" i="28"/>
  <c r="TL25" i="28"/>
  <c r="TH25" i="28"/>
  <c r="TD25" i="28"/>
  <c r="SZ25" i="28"/>
  <c r="SV25" i="28"/>
  <c r="TX25" i="28"/>
  <c r="TT26" i="28"/>
  <c r="TP26" i="28"/>
  <c r="TL26" i="28"/>
  <c r="TH26" i="28"/>
  <c r="TD26" i="28"/>
  <c r="SZ26" i="28"/>
  <c r="SV26" i="28"/>
  <c r="TX26" i="28"/>
  <c r="TT27" i="28"/>
  <c r="TP27" i="28"/>
  <c r="TL27" i="28"/>
  <c r="TH27" i="28"/>
  <c r="TD27" i="28"/>
  <c r="SZ27" i="28"/>
  <c r="SV27" i="28"/>
  <c r="TX27" i="28"/>
  <c r="TT28" i="28"/>
  <c r="TP28" i="28"/>
  <c r="TL28" i="28"/>
  <c r="TH28" i="28"/>
  <c r="TD28" i="28"/>
  <c r="SZ28" i="28"/>
  <c r="SV28" i="28"/>
  <c r="TX28" i="28"/>
  <c r="TT29" i="28"/>
  <c r="TP29" i="28"/>
  <c r="TL29" i="28"/>
  <c r="TH29" i="28"/>
  <c r="TD29" i="28"/>
  <c r="SZ29" i="28"/>
  <c r="SV29" i="28"/>
  <c r="TX29" i="28"/>
  <c r="TT30" i="28"/>
  <c r="TP30" i="28"/>
  <c r="TL30" i="28"/>
  <c r="TH30" i="28"/>
  <c r="TD30" i="28"/>
  <c r="SZ30" i="28"/>
  <c r="SV30" i="28"/>
  <c r="TX30" i="28"/>
  <c r="TT31" i="28"/>
  <c r="TP31" i="28"/>
  <c r="TL31" i="28"/>
  <c r="TH31" i="28"/>
  <c r="TD31" i="28"/>
  <c r="SZ31" i="28"/>
  <c r="SV31" i="28"/>
  <c r="TX31" i="28"/>
  <c r="TT32" i="28"/>
  <c r="TP32" i="28"/>
  <c r="TL32" i="28"/>
  <c r="TH32" i="28"/>
  <c r="TD32" i="28"/>
  <c r="SZ32" i="28"/>
  <c r="SV32" i="28"/>
  <c r="TX32" i="28"/>
  <c r="TT33" i="28"/>
  <c r="TP33" i="28"/>
  <c r="TL33" i="28"/>
  <c r="TH33" i="28"/>
  <c r="TD33" i="28"/>
  <c r="SZ33" i="28"/>
  <c r="SV33" i="28"/>
  <c r="TX33" i="28"/>
  <c r="UZ7" i="28"/>
  <c r="UV7" i="28"/>
  <c r="UR7" i="28"/>
  <c r="UN7" i="28"/>
  <c r="UJ7" i="28"/>
  <c r="UF7" i="28"/>
  <c r="UB7" i="28"/>
  <c r="UZ8" i="28"/>
  <c r="UV8" i="28"/>
  <c r="UR8" i="28"/>
  <c r="UN8" i="28"/>
  <c r="UJ8" i="28"/>
  <c r="UF8" i="28"/>
  <c r="UB8" i="28"/>
  <c r="VD8" i="28"/>
  <c r="UZ9" i="28"/>
  <c r="UV9" i="28"/>
  <c r="UR9" i="28"/>
  <c r="UN9" i="28"/>
  <c r="UJ9" i="28"/>
  <c r="UF9" i="28"/>
  <c r="UB9" i="28"/>
  <c r="VD9" i="28"/>
  <c r="UZ10" i="28"/>
  <c r="UV10" i="28"/>
  <c r="UR10" i="28"/>
  <c r="UN10" i="28"/>
  <c r="UJ10" i="28"/>
  <c r="UF10" i="28"/>
  <c r="UB10" i="28"/>
  <c r="VD10" i="28"/>
  <c r="UZ11" i="28"/>
  <c r="UV11" i="28"/>
  <c r="UR11" i="28"/>
  <c r="UN11" i="28"/>
  <c r="UJ11" i="28"/>
  <c r="UF11" i="28"/>
  <c r="UB11" i="28"/>
  <c r="VD11" i="28"/>
  <c r="UZ12" i="28"/>
  <c r="UV12" i="28"/>
  <c r="UR12" i="28"/>
  <c r="UN12" i="28"/>
  <c r="UJ12" i="28"/>
  <c r="UF12" i="28"/>
  <c r="UB12" i="28"/>
  <c r="VD12" i="28"/>
  <c r="UZ13" i="28"/>
  <c r="UV13" i="28"/>
  <c r="UR13" i="28"/>
  <c r="UN13" i="28"/>
  <c r="UJ13" i="28"/>
  <c r="UF13" i="28"/>
  <c r="UB13" i="28"/>
  <c r="VD13" i="28"/>
  <c r="UZ14" i="28"/>
  <c r="UV14" i="28"/>
  <c r="UR14" i="28"/>
  <c r="UN14" i="28"/>
  <c r="UJ14" i="28"/>
  <c r="UF14" i="28"/>
  <c r="UB14" i="28"/>
  <c r="VD14" i="28"/>
  <c r="UZ15" i="28"/>
  <c r="UV15" i="28"/>
  <c r="UR15" i="28"/>
  <c r="UN15" i="28"/>
  <c r="UJ15" i="28"/>
  <c r="UF15" i="28"/>
  <c r="UB15" i="28"/>
  <c r="VD15" i="28"/>
  <c r="UZ16" i="28"/>
  <c r="UV16" i="28"/>
  <c r="UR16" i="28"/>
  <c r="UN16" i="28"/>
  <c r="UJ16" i="28"/>
  <c r="UF16" i="28"/>
  <c r="UB16" i="28"/>
  <c r="VD16" i="28"/>
  <c r="UZ18" i="28"/>
  <c r="UV18" i="28"/>
  <c r="UR18" i="28"/>
  <c r="UN18" i="28"/>
  <c r="UJ18" i="28"/>
  <c r="UF18" i="28"/>
  <c r="UB18" i="28"/>
  <c r="VD18" i="28"/>
  <c r="UZ19" i="28"/>
  <c r="UV19" i="28"/>
  <c r="UR19" i="28"/>
  <c r="UN19" i="28"/>
  <c r="UJ19" i="28"/>
  <c r="UF19" i="28"/>
  <c r="UB19" i="28"/>
  <c r="VD19" i="28"/>
  <c r="UZ20" i="28"/>
  <c r="UV20" i="28"/>
  <c r="UR20" i="28"/>
  <c r="UN20" i="28"/>
  <c r="UJ20" i="28"/>
  <c r="UF20" i="28"/>
  <c r="UB20" i="28"/>
  <c r="VD20" i="28"/>
  <c r="UZ21" i="28"/>
  <c r="UV21" i="28"/>
  <c r="UR21" i="28"/>
  <c r="UN21" i="28"/>
  <c r="UJ21" i="28"/>
  <c r="UF21" i="28"/>
  <c r="UB21" i="28"/>
  <c r="VD21" i="28"/>
  <c r="UZ22" i="28"/>
  <c r="UV22" i="28"/>
  <c r="UR22" i="28"/>
  <c r="UN22" i="28"/>
  <c r="UJ22" i="28"/>
  <c r="UF22" i="28"/>
  <c r="UB22" i="28"/>
  <c r="VD22" i="28"/>
  <c r="UZ23" i="28"/>
  <c r="UV23" i="28"/>
  <c r="UR23" i="28"/>
  <c r="UN23" i="28"/>
  <c r="UJ23" i="28"/>
  <c r="UF23" i="28"/>
  <c r="UB23" i="28"/>
  <c r="VD23" i="28"/>
  <c r="UZ24" i="28"/>
  <c r="UV24" i="28"/>
  <c r="UR24" i="28"/>
  <c r="UN24" i="28"/>
  <c r="UJ24" i="28"/>
  <c r="UF24" i="28"/>
  <c r="UB24" i="28"/>
  <c r="VD24" i="28"/>
  <c r="UZ25" i="28"/>
  <c r="UV25" i="28"/>
  <c r="UR25" i="28"/>
  <c r="UN25" i="28"/>
  <c r="UJ25" i="28"/>
  <c r="UF25" i="28"/>
  <c r="UB25" i="28"/>
  <c r="VD25" i="28"/>
  <c r="UZ26" i="28"/>
  <c r="UV26" i="28"/>
  <c r="UR26" i="28"/>
  <c r="UN26" i="28"/>
  <c r="UJ26" i="28"/>
  <c r="UF26" i="28"/>
  <c r="UB26" i="28"/>
  <c r="VD26" i="28"/>
  <c r="UZ27" i="28"/>
  <c r="UV27" i="28"/>
  <c r="UR27" i="28"/>
  <c r="UN27" i="28"/>
  <c r="UJ27" i="28"/>
  <c r="UF27" i="28"/>
  <c r="UB27" i="28"/>
  <c r="VD27" i="28"/>
  <c r="UZ28" i="28"/>
  <c r="UV28" i="28"/>
  <c r="UR28" i="28"/>
  <c r="UN28" i="28"/>
  <c r="UJ28" i="28"/>
  <c r="UF28" i="28"/>
  <c r="UB28" i="28"/>
  <c r="VD28" i="28"/>
  <c r="UZ29" i="28"/>
  <c r="UV29" i="28"/>
  <c r="UR29" i="28"/>
  <c r="UN29" i="28"/>
  <c r="UJ29" i="28"/>
  <c r="UF29" i="28"/>
  <c r="UB29" i="28"/>
  <c r="VD29" i="28"/>
  <c r="UZ30" i="28"/>
  <c r="UV30" i="28"/>
  <c r="UR30" i="28"/>
  <c r="UN30" i="28"/>
  <c r="UJ30" i="28"/>
  <c r="UF30" i="28"/>
  <c r="UB30" i="28"/>
  <c r="VD30" i="28"/>
  <c r="UZ31" i="28"/>
  <c r="UV31" i="28"/>
  <c r="UR31" i="28"/>
  <c r="UN31" i="28"/>
  <c r="UJ31" i="28"/>
  <c r="UF31" i="28"/>
  <c r="UB31" i="28"/>
  <c r="VD31" i="28"/>
  <c r="UZ32" i="28"/>
  <c r="UV32" i="28"/>
  <c r="UR32" i="28"/>
  <c r="UN32" i="28"/>
  <c r="UJ32" i="28"/>
  <c r="UF32" i="28"/>
  <c r="UB32" i="28"/>
  <c r="VD32" i="28"/>
  <c r="UZ33" i="28"/>
  <c r="UV33" i="28"/>
  <c r="UR33" i="28"/>
  <c r="UN33" i="28"/>
  <c r="UJ33" i="28"/>
  <c r="UF33" i="28"/>
  <c r="UB33" i="28"/>
  <c r="VD33" i="28"/>
  <c r="WF7" i="28"/>
  <c r="WB7" i="28"/>
  <c r="VX7" i="28"/>
  <c r="VT7" i="28"/>
  <c r="VP7" i="28"/>
  <c r="VL7" i="28"/>
  <c r="VH7" i="28"/>
  <c r="WF8" i="28"/>
  <c r="WB8" i="28"/>
  <c r="VX8" i="28"/>
  <c r="VT8" i="28"/>
  <c r="VP8" i="28"/>
  <c r="VL8" i="28"/>
  <c r="VH8" i="28"/>
  <c r="WJ8" i="28"/>
  <c r="WF9" i="28"/>
  <c r="WB9" i="28"/>
  <c r="VX9" i="28"/>
  <c r="VT9" i="28"/>
  <c r="VP9" i="28"/>
  <c r="VL9" i="28"/>
  <c r="VH9" i="28"/>
  <c r="WJ9" i="28"/>
  <c r="WF10" i="28"/>
  <c r="WB10" i="28"/>
  <c r="VX10" i="28"/>
  <c r="VT10" i="28"/>
  <c r="VP10" i="28"/>
  <c r="VL10" i="28"/>
  <c r="VH10" i="28"/>
  <c r="WJ10" i="28"/>
  <c r="WF11" i="28"/>
  <c r="WB11" i="28"/>
  <c r="VX11" i="28"/>
  <c r="VT11" i="28"/>
  <c r="VP11" i="28"/>
  <c r="VL11" i="28"/>
  <c r="VH11" i="28"/>
  <c r="WJ11" i="28"/>
  <c r="WF12" i="28"/>
  <c r="WB12" i="28"/>
  <c r="VX12" i="28"/>
  <c r="VT12" i="28"/>
  <c r="VP12" i="28"/>
  <c r="VL12" i="28"/>
  <c r="VH12" i="28"/>
  <c r="WJ12" i="28"/>
  <c r="WF13" i="28"/>
  <c r="WB13" i="28"/>
  <c r="VX13" i="28"/>
  <c r="VT13" i="28"/>
  <c r="VP13" i="28"/>
  <c r="VL13" i="28"/>
  <c r="VH13" i="28"/>
  <c r="WJ13" i="28"/>
  <c r="WF14" i="28"/>
  <c r="WB14" i="28"/>
  <c r="VX14" i="28"/>
  <c r="VT14" i="28"/>
  <c r="VP14" i="28"/>
  <c r="VL14" i="28"/>
  <c r="VH14" i="28"/>
  <c r="WJ14" i="28"/>
  <c r="WF15" i="28"/>
  <c r="WB15" i="28"/>
  <c r="VX15" i="28"/>
  <c r="VT15" i="28"/>
  <c r="VP15" i="28"/>
  <c r="VL15" i="28"/>
  <c r="VH15" i="28"/>
  <c r="WJ15" i="28"/>
  <c r="WF16" i="28"/>
  <c r="WB16" i="28"/>
  <c r="VX16" i="28"/>
  <c r="VT16" i="28"/>
  <c r="VP16" i="28"/>
  <c r="VL16" i="28"/>
  <c r="VH16" i="28"/>
  <c r="WJ16" i="28"/>
  <c r="WF18" i="28"/>
  <c r="WB18" i="28"/>
  <c r="VX18" i="28"/>
  <c r="VT18" i="28"/>
  <c r="VP18" i="28"/>
  <c r="VL18" i="28"/>
  <c r="VH18" i="28"/>
  <c r="WJ18" i="28"/>
  <c r="WF19" i="28"/>
  <c r="WB19" i="28"/>
  <c r="VX19" i="28"/>
  <c r="VT19" i="28"/>
  <c r="VP19" i="28"/>
  <c r="VL19" i="28"/>
  <c r="VH19" i="28"/>
  <c r="WJ19" i="28"/>
  <c r="WF20" i="28"/>
  <c r="WB20" i="28"/>
  <c r="VX20" i="28"/>
  <c r="VT20" i="28"/>
  <c r="VP20" i="28"/>
  <c r="VL20" i="28"/>
  <c r="VH20" i="28"/>
  <c r="WJ20" i="28"/>
  <c r="WF21" i="28"/>
  <c r="WB21" i="28"/>
  <c r="VX21" i="28"/>
  <c r="VT21" i="28"/>
  <c r="VP21" i="28"/>
  <c r="VL21" i="28"/>
  <c r="VH21" i="28"/>
  <c r="WJ21" i="28"/>
  <c r="WF22" i="28"/>
  <c r="WB22" i="28"/>
  <c r="VX22" i="28"/>
  <c r="VT22" i="28"/>
  <c r="VP22" i="28"/>
  <c r="VL22" i="28"/>
  <c r="VH22" i="28"/>
  <c r="WJ22" i="28"/>
  <c r="WF23" i="28"/>
  <c r="WB23" i="28"/>
  <c r="VX23" i="28"/>
  <c r="VT23" i="28"/>
  <c r="VP23" i="28"/>
  <c r="VL23" i="28"/>
  <c r="VH23" i="28"/>
  <c r="WJ23" i="28"/>
  <c r="WF24" i="28"/>
  <c r="WB24" i="28"/>
  <c r="VX24" i="28"/>
  <c r="VT24" i="28"/>
  <c r="VP24" i="28"/>
  <c r="VL24" i="28"/>
  <c r="VH24" i="28"/>
  <c r="WJ24" i="28"/>
  <c r="WF25" i="28"/>
  <c r="WB25" i="28"/>
  <c r="VX25" i="28"/>
  <c r="VT25" i="28"/>
  <c r="VP25" i="28"/>
  <c r="VL25" i="28"/>
  <c r="VH25" i="28"/>
  <c r="WJ25" i="28"/>
  <c r="WF26" i="28"/>
  <c r="WB26" i="28"/>
  <c r="VX26" i="28"/>
  <c r="VT26" i="28"/>
  <c r="VP26" i="28"/>
  <c r="VL26" i="28"/>
  <c r="VH26" i="28"/>
  <c r="WJ26" i="28"/>
  <c r="WF27" i="28"/>
  <c r="WB27" i="28"/>
  <c r="VX27" i="28"/>
  <c r="VT27" i="28"/>
  <c r="VP27" i="28"/>
  <c r="VL27" i="28"/>
  <c r="VH27" i="28"/>
  <c r="WJ27" i="28"/>
  <c r="WF28" i="28"/>
  <c r="WB28" i="28"/>
  <c r="VX28" i="28"/>
  <c r="VT28" i="28"/>
  <c r="VP28" i="28"/>
  <c r="VL28" i="28"/>
  <c r="VH28" i="28"/>
  <c r="WJ28" i="28"/>
  <c r="WF29" i="28"/>
  <c r="WB29" i="28"/>
  <c r="VX29" i="28"/>
  <c r="VT29" i="28"/>
  <c r="VP29" i="28"/>
  <c r="VL29" i="28"/>
  <c r="VH29" i="28"/>
  <c r="WJ29" i="28"/>
  <c r="WF30" i="28"/>
  <c r="WB30" i="28"/>
  <c r="VX30" i="28"/>
  <c r="VT30" i="28"/>
  <c r="VP30" i="28"/>
  <c r="VL30" i="28"/>
  <c r="VH30" i="28"/>
  <c r="WJ30" i="28"/>
  <c r="WF31" i="28"/>
  <c r="WB31" i="28"/>
  <c r="VX31" i="28"/>
  <c r="VT31" i="28"/>
  <c r="VP31" i="28"/>
  <c r="VL31" i="28"/>
  <c r="VH31" i="28"/>
  <c r="WJ31" i="28"/>
  <c r="WF32" i="28"/>
  <c r="WB32" i="28"/>
  <c r="VX32" i="28"/>
  <c r="VT32" i="28"/>
  <c r="VP32" i="28"/>
  <c r="VL32" i="28"/>
  <c r="VH32" i="28"/>
  <c r="WJ32" i="28"/>
  <c r="WF33" i="28"/>
  <c r="WB33" i="28"/>
  <c r="VX33" i="28"/>
  <c r="VT33" i="28"/>
  <c r="VP33" i="28"/>
  <c r="VL33" i="28"/>
  <c r="VH33" i="28"/>
  <c r="WJ33" i="28"/>
  <c r="AH30" i="27"/>
  <c r="AH29" i="27"/>
  <c r="AH28" i="27"/>
  <c r="AH27" i="27"/>
  <c r="AH26" i="27"/>
  <c r="AH31" i="27"/>
  <c r="XL7" i="28"/>
  <c r="XH7" i="28"/>
  <c r="XD7" i="28"/>
  <c r="WZ7" i="28"/>
  <c r="WV7" i="28"/>
  <c r="WR7" i="28"/>
  <c r="WN7" i="28"/>
  <c r="XL8" i="28"/>
  <c r="XH8" i="28"/>
  <c r="XD8" i="28"/>
  <c r="WZ8" i="28"/>
  <c r="WV8" i="28"/>
  <c r="WR8" i="28"/>
  <c r="WN8" i="28"/>
  <c r="XP8" i="28"/>
  <c r="XL9" i="28"/>
  <c r="XH9" i="28"/>
  <c r="XD9" i="28"/>
  <c r="WZ9" i="28"/>
  <c r="WV9" i="28"/>
  <c r="WR9" i="28"/>
  <c r="WN9" i="28"/>
  <c r="XP9" i="28"/>
  <c r="XL10" i="28"/>
  <c r="XH10" i="28"/>
  <c r="XD10" i="28"/>
  <c r="WZ10" i="28"/>
  <c r="WV10" i="28"/>
  <c r="WR10" i="28"/>
  <c r="WN10" i="28"/>
  <c r="XP10" i="28"/>
  <c r="XL11" i="28"/>
  <c r="XH11" i="28"/>
  <c r="XD11" i="28"/>
  <c r="WZ11" i="28"/>
  <c r="WV11" i="28"/>
  <c r="WR11" i="28"/>
  <c r="WN11" i="28"/>
  <c r="XP11" i="28"/>
  <c r="XL12" i="28"/>
  <c r="XH12" i="28"/>
  <c r="XD12" i="28"/>
  <c r="WZ12" i="28"/>
  <c r="WV12" i="28"/>
  <c r="WR12" i="28"/>
  <c r="WN12" i="28"/>
  <c r="XP12" i="28"/>
  <c r="XL13" i="28"/>
  <c r="XH13" i="28"/>
  <c r="XD13" i="28"/>
  <c r="WZ13" i="28"/>
  <c r="WV13" i="28"/>
  <c r="WR13" i="28"/>
  <c r="WN13" i="28"/>
  <c r="XP13" i="28"/>
  <c r="XL14" i="28"/>
  <c r="XH14" i="28"/>
  <c r="XD14" i="28"/>
  <c r="WZ14" i="28"/>
  <c r="WV14" i="28"/>
  <c r="WR14" i="28"/>
  <c r="WN14" i="28"/>
  <c r="XP14" i="28"/>
  <c r="XL15" i="28"/>
  <c r="XH15" i="28"/>
  <c r="XD15" i="28"/>
  <c r="WZ15" i="28"/>
  <c r="WV15" i="28"/>
  <c r="WR15" i="28"/>
  <c r="WN15" i="28"/>
  <c r="XP15" i="28"/>
  <c r="XL16" i="28"/>
  <c r="XH16" i="28"/>
  <c r="XD16" i="28"/>
  <c r="WZ16" i="28"/>
  <c r="WV16" i="28"/>
  <c r="WR16" i="28"/>
  <c r="WN16" i="28"/>
  <c r="XP16" i="28"/>
  <c r="XL18" i="28"/>
  <c r="XH18" i="28"/>
  <c r="XD18" i="28"/>
  <c r="WZ18" i="28"/>
  <c r="WV18" i="28"/>
  <c r="WR18" i="28"/>
  <c r="WN18" i="28"/>
  <c r="XP18" i="28"/>
  <c r="XL19" i="28"/>
  <c r="XH19" i="28"/>
  <c r="XD19" i="28"/>
  <c r="WZ19" i="28"/>
  <c r="WV19" i="28"/>
  <c r="WR19" i="28"/>
  <c r="WN19" i="28"/>
  <c r="XP19" i="28"/>
  <c r="XL20" i="28"/>
  <c r="XH20" i="28"/>
  <c r="XD20" i="28"/>
  <c r="WZ20" i="28"/>
  <c r="WV20" i="28"/>
  <c r="WR20" i="28"/>
  <c r="WN20" i="28"/>
  <c r="XP20" i="28"/>
  <c r="XL21" i="28"/>
  <c r="XH21" i="28"/>
  <c r="XD21" i="28"/>
  <c r="WZ21" i="28"/>
  <c r="WV21" i="28"/>
  <c r="WR21" i="28"/>
  <c r="WN21" i="28"/>
  <c r="XP21" i="28"/>
  <c r="XL22" i="28"/>
  <c r="XH22" i="28"/>
  <c r="XD22" i="28"/>
  <c r="WZ22" i="28"/>
  <c r="WV22" i="28"/>
  <c r="WR22" i="28"/>
  <c r="WN22" i="28"/>
  <c r="XP22" i="28"/>
  <c r="XL23" i="28"/>
  <c r="XH23" i="28"/>
  <c r="XD23" i="28"/>
  <c r="WZ23" i="28"/>
  <c r="WV23" i="28"/>
  <c r="WR23" i="28"/>
  <c r="WN23" i="28"/>
  <c r="XP23" i="28"/>
  <c r="XL24" i="28"/>
  <c r="XH24" i="28"/>
  <c r="XD24" i="28"/>
  <c r="WZ24" i="28"/>
  <c r="WV24" i="28"/>
  <c r="WR24" i="28"/>
  <c r="WN24" i="28"/>
  <c r="XP24" i="28"/>
  <c r="XL25" i="28"/>
  <c r="XH25" i="28"/>
  <c r="XD25" i="28"/>
  <c r="WZ25" i="28"/>
  <c r="WV25" i="28"/>
  <c r="WR25" i="28"/>
  <c r="WN25" i="28"/>
  <c r="XP25" i="28"/>
  <c r="XL26" i="28"/>
  <c r="XH26" i="28"/>
  <c r="XD26" i="28"/>
  <c r="WZ26" i="28"/>
  <c r="WV26" i="28"/>
  <c r="WR26" i="28"/>
  <c r="WN26" i="28"/>
  <c r="XP26" i="28"/>
  <c r="XL27" i="28"/>
  <c r="XH27" i="28"/>
  <c r="XD27" i="28"/>
  <c r="WZ27" i="28"/>
  <c r="WV27" i="28"/>
  <c r="WR27" i="28"/>
  <c r="WN27" i="28"/>
  <c r="XP27" i="28"/>
  <c r="XL28" i="28"/>
  <c r="XH28" i="28"/>
  <c r="XD28" i="28"/>
  <c r="WZ28" i="28"/>
  <c r="WV28" i="28"/>
  <c r="WR28" i="28"/>
  <c r="WN28" i="28"/>
  <c r="XP28" i="28"/>
  <c r="XL29" i="28"/>
  <c r="XH29" i="28"/>
  <c r="XD29" i="28"/>
  <c r="WZ29" i="28"/>
  <c r="WV29" i="28"/>
  <c r="WR29" i="28"/>
  <c r="WN29" i="28"/>
  <c r="XP29" i="28"/>
  <c r="XL30" i="28"/>
  <c r="XH30" i="28"/>
  <c r="XD30" i="28"/>
  <c r="WZ30" i="28"/>
  <c r="WV30" i="28"/>
  <c r="WR30" i="28"/>
  <c r="WN30" i="28"/>
  <c r="XP30" i="28"/>
  <c r="XL31" i="28"/>
  <c r="XH31" i="28"/>
  <c r="XD31" i="28"/>
  <c r="WZ31" i="28"/>
  <c r="WV31" i="28"/>
  <c r="WR31" i="28"/>
  <c r="WN31" i="28"/>
  <c r="XP31" i="28"/>
  <c r="XL32" i="28"/>
  <c r="XH32" i="28"/>
  <c r="XD32" i="28"/>
  <c r="WZ32" i="28"/>
  <c r="WV32" i="28"/>
  <c r="WR32" i="28"/>
  <c r="WN32" i="28"/>
  <c r="XP32" i="28"/>
  <c r="XL33" i="28"/>
  <c r="XH33" i="28"/>
  <c r="XD33" i="28"/>
  <c r="WZ33" i="28"/>
  <c r="WV33" i="28"/>
  <c r="WR33" i="28"/>
  <c r="WN33" i="28"/>
  <c r="XP33" i="28"/>
  <c r="YR7" i="28"/>
  <c r="YN7" i="28"/>
  <c r="YJ7" i="28"/>
  <c r="YF7" i="28"/>
  <c r="YB7" i="28"/>
  <c r="XX7" i="28"/>
  <c r="XT7" i="28"/>
  <c r="YR8" i="28"/>
  <c r="YN8" i="28"/>
  <c r="YJ8" i="28"/>
  <c r="YF8" i="28"/>
  <c r="YB8" i="28"/>
  <c r="XX8" i="28"/>
  <c r="XT8" i="28"/>
  <c r="YV8" i="28"/>
  <c r="YR9" i="28"/>
  <c r="YN9" i="28"/>
  <c r="YJ9" i="28"/>
  <c r="YF9" i="28"/>
  <c r="YB9" i="28"/>
  <c r="XX9" i="28"/>
  <c r="XT9" i="28"/>
  <c r="YV9" i="28"/>
  <c r="YR10" i="28"/>
  <c r="YN10" i="28"/>
  <c r="YJ10" i="28"/>
  <c r="YF10" i="28"/>
  <c r="YB10" i="28"/>
  <c r="XX10" i="28"/>
  <c r="XT10" i="28"/>
  <c r="YV10" i="28"/>
  <c r="YR11" i="28"/>
  <c r="YN11" i="28"/>
  <c r="YJ11" i="28"/>
  <c r="YF11" i="28"/>
  <c r="YB11" i="28"/>
  <c r="XX11" i="28"/>
  <c r="XT11" i="28"/>
  <c r="YV11" i="28"/>
  <c r="YR12" i="28"/>
  <c r="YN12" i="28"/>
  <c r="YJ12" i="28"/>
  <c r="YF12" i="28"/>
  <c r="YB12" i="28"/>
  <c r="XX12" i="28"/>
  <c r="XT12" i="28"/>
  <c r="YV12" i="28"/>
  <c r="YR13" i="28"/>
  <c r="YN13" i="28"/>
  <c r="YJ13" i="28"/>
  <c r="YF13" i="28"/>
  <c r="YB13" i="28"/>
  <c r="XX13" i="28"/>
  <c r="XT13" i="28"/>
  <c r="YV13" i="28"/>
  <c r="YR14" i="28"/>
  <c r="YN14" i="28"/>
  <c r="YJ14" i="28"/>
  <c r="YF14" i="28"/>
  <c r="YB14" i="28"/>
  <c r="XX14" i="28"/>
  <c r="XT14" i="28"/>
  <c r="YV14" i="28"/>
  <c r="YR15" i="28"/>
  <c r="YN15" i="28"/>
  <c r="YJ15" i="28"/>
  <c r="YF15" i="28"/>
  <c r="YB15" i="28"/>
  <c r="XX15" i="28"/>
  <c r="XT15" i="28"/>
  <c r="YV15" i="28"/>
  <c r="YR16" i="28"/>
  <c r="YN16" i="28"/>
  <c r="YJ16" i="28"/>
  <c r="YF16" i="28"/>
  <c r="YB16" i="28"/>
  <c r="XX16" i="28"/>
  <c r="XT16" i="28"/>
  <c r="YV16" i="28"/>
  <c r="YR19" i="28"/>
  <c r="YN19" i="28"/>
  <c r="YJ19" i="28"/>
  <c r="YF19" i="28"/>
  <c r="YB19" i="28"/>
  <c r="XX19" i="28"/>
  <c r="XT19" i="28"/>
  <c r="YV19" i="28"/>
  <c r="YR20" i="28"/>
  <c r="YN20" i="28"/>
  <c r="YJ20" i="28"/>
  <c r="YF20" i="28"/>
  <c r="YB20" i="28"/>
  <c r="XX20" i="28"/>
  <c r="XT20" i="28"/>
  <c r="YV20" i="28"/>
  <c r="YR21" i="28"/>
  <c r="YN21" i="28"/>
  <c r="YJ21" i="28"/>
  <c r="YF21" i="28"/>
  <c r="YB21" i="28"/>
  <c r="XX21" i="28"/>
  <c r="XT21" i="28"/>
  <c r="YV21" i="28"/>
  <c r="YR22" i="28"/>
  <c r="YN22" i="28"/>
  <c r="YJ22" i="28"/>
  <c r="YF22" i="28"/>
  <c r="YB22" i="28"/>
  <c r="XX22" i="28"/>
  <c r="XT22" i="28"/>
  <c r="YV22" i="28"/>
  <c r="YR23" i="28"/>
  <c r="YN23" i="28"/>
  <c r="YJ23" i="28"/>
  <c r="YF23" i="28"/>
  <c r="YB23" i="28"/>
  <c r="XX23" i="28"/>
  <c r="XT23" i="28"/>
  <c r="YV23" i="28"/>
  <c r="YR24" i="28"/>
  <c r="YN24" i="28"/>
  <c r="YJ24" i="28"/>
  <c r="YF24" i="28"/>
  <c r="YB24" i="28"/>
  <c r="XX24" i="28"/>
  <c r="XT24" i="28"/>
  <c r="YV24" i="28"/>
  <c r="YR25" i="28"/>
  <c r="YN25" i="28"/>
  <c r="YJ25" i="28"/>
  <c r="YF25" i="28"/>
  <c r="YB25" i="28"/>
  <c r="XX25" i="28"/>
  <c r="XT25" i="28"/>
  <c r="YV25" i="28"/>
  <c r="YR26" i="28"/>
  <c r="YN26" i="28"/>
  <c r="YJ26" i="28"/>
  <c r="YF26" i="28"/>
  <c r="YB26" i="28"/>
  <c r="XX26" i="28"/>
  <c r="XT26" i="28"/>
  <c r="YV26" i="28"/>
  <c r="YR27" i="28"/>
  <c r="YN27" i="28"/>
  <c r="YJ27" i="28"/>
  <c r="YF27" i="28"/>
  <c r="YB27" i="28"/>
  <c r="XX27" i="28"/>
  <c r="XT27" i="28"/>
  <c r="YV27" i="28"/>
  <c r="YR28" i="28"/>
  <c r="YN28" i="28"/>
  <c r="YJ28" i="28"/>
  <c r="YF28" i="28"/>
  <c r="YB28" i="28"/>
  <c r="XX28" i="28"/>
  <c r="XT28" i="28"/>
  <c r="YV28" i="28"/>
  <c r="YR29" i="28"/>
  <c r="YN29" i="28"/>
  <c r="YJ29" i="28"/>
  <c r="YF29" i="28"/>
  <c r="YB29" i="28"/>
  <c r="XX29" i="28"/>
  <c r="XT29" i="28"/>
  <c r="YV29" i="28"/>
  <c r="YR30" i="28"/>
  <c r="YN30" i="28"/>
  <c r="YJ30" i="28"/>
  <c r="YF30" i="28"/>
  <c r="YB30" i="28"/>
  <c r="XX30" i="28"/>
  <c r="XT30" i="28"/>
  <c r="YV30" i="28"/>
  <c r="YR31" i="28"/>
  <c r="YN31" i="28"/>
  <c r="YJ31" i="28"/>
  <c r="YF31" i="28"/>
  <c r="YB31" i="28"/>
  <c r="XX31" i="28"/>
  <c r="XT31" i="28"/>
  <c r="YV31" i="28"/>
  <c r="YR32" i="28"/>
  <c r="YN32" i="28"/>
  <c r="YJ32" i="28"/>
  <c r="YF32" i="28"/>
  <c r="YB32" i="28"/>
  <c r="XX32" i="28"/>
  <c r="XT32" i="28"/>
  <c r="YV32" i="28"/>
  <c r="YR33" i="28"/>
  <c r="YN33" i="28"/>
  <c r="YJ33" i="28"/>
  <c r="YF33" i="28"/>
  <c r="YB33" i="28"/>
  <c r="XX33" i="28"/>
  <c r="XT33" i="28"/>
  <c r="YV33" i="28"/>
  <c r="ZX7" i="28"/>
  <c r="ZT7" i="28"/>
  <c r="ZP7" i="28"/>
  <c r="ZL7" i="28"/>
  <c r="ZH7" i="28"/>
  <c r="ZD7" i="28"/>
  <c r="YZ7" i="28"/>
  <c r="ZX8" i="28"/>
  <c r="ZT8" i="28"/>
  <c r="ZP8" i="28"/>
  <c r="ZL8" i="28"/>
  <c r="ZH8" i="28"/>
  <c r="ZD8" i="28"/>
  <c r="YZ8" i="28"/>
  <c r="AAB8" i="28"/>
  <c r="ZX9" i="28"/>
  <c r="ZT9" i="28"/>
  <c r="ZP9" i="28"/>
  <c r="ZL9" i="28"/>
  <c r="ZH9" i="28"/>
  <c r="ZD9" i="28"/>
  <c r="YZ9" i="28"/>
  <c r="AAB9" i="28"/>
  <c r="ZX10" i="28"/>
  <c r="ZT10" i="28"/>
  <c r="ZP10" i="28"/>
  <c r="ZL10" i="28"/>
  <c r="ZH10" i="28"/>
  <c r="ZD10" i="28"/>
  <c r="YZ10" i="28"/>
  <c r="AAB10" i="28"/>
  <c r="ZX11" i="28"/>
  <c r="ZT11" i="28"/>
  <c r="ZP11" i="28"/>
  <c r="ZL11" i="28"/>
  <c r="ZH11" i="28"/>
  <c r="ZD11" i="28"/>
  <c r="YZ11" i="28"/>
  <c r="AAB11" i="28"/>
  <c r="ZX12" i="28"/>
  <c r="ZT12" i="28"/>
  <c r="ZP12" i="28"/>
  <c r="ZL12" i="28"/>
  <c r="ZH12" i="28"/>
  <c r="ZD12" i="28"/>
  <c r="YZ12" i="28"/>
  <c r="AAB12" i="28"/>
  <c r="ZX13" i="28"/>
  <c r="ZT13" i="28"/>
  <c r="ZP13" i="28"/>
  <c r="ZL13" i="28"/>
  <c r="ZH13" i="28"/>
  <c r="ZD13" i="28"/>
  <c r="YZ13" i="28"/>
  <c r="AAB13" i="28"/>
  <c r="ZX14" i="28"/>
  <c r="ZT14" i="28"/>
  <c r="ZP14" i="28"/>
  <c r="ZL14" i="28"/>
  <c r="ZH14" i="28"/>
  <c r="ZD14" i="28"/>
  <c r="YZ14" i="28"/>
  <c r="AAB14" i="28"/>
  <c r="ZX15" i="28"/>
  <c r="ZT15" i="28"/>
  <c r="ZP15" i="28"/>
  <c r="ZL15" i="28"/>
  <c r="ZH15" i="28"/>
  <c r="ZD15" i="28"/>
  <c r="YZ15" i="28"/>
  <c r="AAB15" i="28"/>
  <c r="ZX16" i="28"/>
  <c r="ZT16" i="28"/>
  <c r="ZP16" i="28"/>
  <c r="ZL16" i="28"/>
  <c r="ZH16" i="28"/>
  <c r="ZD16" i="28"/>
  <c r="YZ16" i="28"/>
  <c r="AAB16" i="28"/>
  <c r="ZX19" i="28"/>
  <c r="ZT19" i="28"/>
  <c r="ZP19" i="28"/>
  <c r="ZL19" i="28"/>
  <c r="ZH19" i="28"/>
  <c r="ZD19" i="28"/>
  <c r="YZ19" i="28"/>
  <c r="AAB19" i="28"/>
  <c r="ZX20" i="28"/>
  <c r="ZT20" i="28"/>
  <c r="ZP20" i="28"/>
  <c r="ZL20" i="28"/>
  <c r="ZH20" i="28"/>
  <c r="ZD20" i="28"/>
  <c r="YZ20" i="28"/>
  <c r="AAB20" i="28"/>
  <c r="ZX21" i="28"/>
  <c r="ZT21" i="28"/>
  <c r="ZP21" i="28"/>
  <c r="ZL21" i="28"/>
  <c r="ZH21" i="28"/>
  <c r="ZD21" i="28"/>
  <c r="YZ21" i="28"/>
  <c r="AAB21" i="28"/>
  <c r="ZX22" i="28"/>
  <c r="ZT22" i="28"/>
  <c r="ZP22" i="28"/>
  <c r="ZL22" i="28"/>
  <c r="ZH22" i="28"/>
  <c r="ZD22" i="28"/>
  <c r="YZ22" i="28"/>
  <c r="AAB22" i="28"/>
  <c r="ZX23" i="28"/>
  <c r="ZT23" i="28"/>
  <c r="ZP23" i="28"/>
  <c r="ZL23" i="28"/>
  <c r="ZH23" i="28"/>
  <c r="ZD23" i="28"/>
  <c r="YZ23" i="28"/>
  <c r="AAB23" i="28"/>
  <c r="ZX24" i="28"/>
  <c r="ZT24" i="28"/>
  <c r="ZP24" i="28"/>
  <c r="ZL24" i="28"/>
  <c r="ZH24" i="28"/>
  <c r="ZD24" i="28"/>
  <c r="YZ24" i="28"/>
  <c r="AAB24" i="28"/>
  <c r="ZX25" i="28"/>
  <c r="ZT25" i="28"/>
  <c r="ZP25" i="28"/>
  <c r="ZL25" i="28"/>
  <c r="ZH25" i="28"/>
  <c r="ZD25" i="28"/>
  <c r="YZ25" i="28"/>
  <c r="AAB25" i="28"/>
  <c r="ZX26" i="28"/>
  <c r="ZT26" i="28"/>
  <c r="ZP26" i="28"/>
  <c r="ZL26" i="28"/>
  <c r="ZH26" i="28"/>
  <c r="ZD26" i="28"/>
  <c r="YZ26" i="28"/>
  <c r="AAB26" i="28"/>
  <c r="ZX27" i="28"/>
  <c r="ZT27" i="28"/>
  <c r="ZP27" i="28"/>
  <c r="ZL27" i="28"/>
  <c r="ZH27" i="28"/>
  <c r="ZD27" i="28"/>
  <c r="YZ27" i="28"/>
  <c r="AAB27" i="28"/>
  <c r="ZX28" i="28"/>
  <c r="ZT28" i="28"/>
  <c r="ZP28" i="28"/>
  <c r="ZL28" i="28"/>
  <c r="ZH28" i="28"/>
  <c r="ZD28" i="28"/>
  <c r="YZ28" i="28"/>
  <c r="AAB28" i="28"/>
  <c r="ZX29" i="28"/>
  <c r="ZT29" i="28"/>
  <c r="ZP29" i="28"/>
  <c r="ZL29" i="28"/>
  <c r="ZH29" i="28"/>
  <c r="ZD29" i="28"/>
  <c r="YZ29" i="28"/>
  <c r="AAB29" i="28"/>
  <c r="ZX30" i="28"/>
  <c r="ZT30" i="28"/>
  <c r="ZP30" i="28"/>
  <c r="ZL30" i="28"/>
  <c r="ZH30" i="28"/>
  <c r="ZD30" i="28"/>
  <c r="YZ30" i="28"/>
  <c r="AAB30" i="28"/>
  <c r="ZX31" i="28"/>
  <c r="ZT31" i="28"/>
  <c r="ZP31" i="28"/>
  <c r="ZL31" i="28"/>
  <c r="ZH31" i="28"/>
  <c r="ZD31" i="28"/>
  <c r="YZ31" i="28"/>
  <c r="AAB31" i="28"/>
  <c r="ZX32" i="28"/>
  <c r="ZT32" i="28"/>
  <c r="ZP32" i="28"/>
  <c r="ZL32" i="28"/>
  <c r="ZH32" i="28"/>
  <c r="ZD32" i="28"/>
  <c r="YZ32" i="28"/>
  <c r="AAB32" i="28"/>
  <c r="ZX33" i="28"/>
  <c r="ZT33" i="28"/>
  <c r="ZP33" i="28"/>
  <c r="ZL33" i="28"/>
  <c r="ZH33" i="28"/>
  <c r="ZD33" i="28"/>
  <c r="YZ33" i="28"/>
  <c r="AAB33" i="28"/>
  <c r="ABD7" i="28"/>
  <c r="AAZ7" i="28"/>
  <c r="AAV7" i="28"/>
  <c r="AAR7" i="28"/>
  <c r="AAN7" i="28"/>
  <c r="AAJ7" i="28"/>
  <c r="AAF7" i="28"/>
  <c r="ABD8" i="28"/>
  <c r="AAZ8" i="28"/>
  <c r="AAV8" i="28"/>
  <c r="AAR8" i="28"/>
  <c r="AAN8" i="28"/>
  <c r="AAJ8" i="28"/>
  <c r="AAF8" i="28"/>
  <c r="ABH8" i="28"/>
  <c r="ABD9" i="28"/>
  <c r="AAZ9" i="28"/>
  <c r="AAV9" i="28"/>
  <c r="AAR9" i="28"/>
  <c r="AAN9" i="28"/>
  <c r="AAJ9" i="28"/>
  <c r="AAF9" i="28"/>
  <c r="ABH9" i="28"/>
  <c r="ABD10" i="28"/>
  <c r="AAZ10" i="28"/>
  <c r="AAV10" i="28"/>
  <c r="AAR10" i="28"/>
  <c r="AAN10" i="28"/>
  <c r="AAJ10" i="28"/>
  <c r="AAF10" i="28"/>
  <c r="ABH10" i="28"/>
  <c r="ABD11" i="28"/>
  <c r="AAZ11" i="28"/>
  <c r="AAV11" i="28"/>
  <c r="AAR11" i="28"/>
  <c r="AAN11" i="28"/>
  <c r="AAJ11" i="28"/>
  <c r="AAF11" i="28"/>
  <c r="ABH11" i="28"/>
  <c r="ABD12" i="28"/>
  <c r="AAZ12" i="28"/>
  <c r="AAV12" i="28"/>
  <c r="AAR12" i="28"/>
  <c r="AAN12" i="28"/>
  <c r="AAJ12" i="28"/>
  <c r="AAF12" i="28"/>
  <c r="ABH12" i="28"/>
  <c r="ABD13" i="28"/>
  <c r="AAZ13" i="28"/>
  <c r="AAV13" i="28"/>
  <c r="AAR13" i="28"/>
  <c r="AAN13" i="28"/>
  <c r="AAJ13" i="28"/>
  <c r="AAF13" i="28"/>
  <c r="ABH13" i="28"/>
  <c r="ABD14" i="28"/>
  <c r="AAZ14" i="28"/>
  <c r="AAV14" i="28"/>
  <c r="AAR14" i="28"/>
  <c r="AAN14" i="28"/>
  <c r="AAJ14" i="28"/>
  <c r="AAF14" i="28"/>
  <c r="ABH14" i="28"/>
  <c r="ABD15" i="28"/>
  <c r="AAZ15" i="28"/>
  <c r="AAV15" i="28"/>
  <c r="AAR15" i="28"/>
  <c r="AAN15" i="28"/>
  <c r="AAJ15" i="28"/>
  <c r="AAF15" i="28"/>
  <c r="ABH15" i="28"/>
  <c r="ABD16" i="28"/>
  <c r="AAZ16" i="28"/>
  <c r="AAV16" i="28"/>
  <c r="AAR16" i="28"/>
  <c r="AAN16" i="28"/>
  <c r="AAJ16" i="28"/>
  <c r="AAF16" i="28"/>
  <c r="ABH16" i="28"/>
  <c r="ABD19" i="28"/>
  <c r="AAZ19" i="28"/>
  <c r="AAV19" i="28"/>
  <c r="AAR19" i="28"/>
  <c r="AAN19" i="28"/>
  <c r="AAJ19" i="28"/>
  <c r="AAF19" i="28"/>
  <c r="ABH19" i="28"/>
  <c r="ABD20" i="28"/>
  <c r="AAZ20" i="28"/>
  <c r="AAV20" i="28"/>
  <c r="AAR20" i="28"/>
  <c r="AAN20" i="28"/>
  <c r="AAJ20" i="28"/>
  <c r="AAF20" i="28"/>
  <c r="ABH20" i="28"/>
  <c r="ABD21" i="28"/>
  <c r="AAZ21" i="28"/>
  <c r="AAV21" i="28"/>
  <c r="AAR21" i="28"/>
  <c r="AAN21" i="28"/>
  <c r="AAJ21" i="28"/>
  <c r="AAF21" i="28"/>
  <c r="ABH21" i="28"/>
  <c r="ABD22" i="28"/>
  <c r="AAZ22" i="28"/>
  <c r="AAV22" i="28"/>
  <c r="AAR22" i="28"/>
  <c r="AAN22" i="28"/>
  <c r="AAJ22" i="28"/>
  <c r="AAF22" i="28"/>
  <c r="ABH22" i="28"/>
  <c r="ABD23" i="28"/>
  <c r="AAZ23" i="28"/>
  <c r="AAV23" i="28"/>
  <c r="AAR23" i="28"/>
  <c r="AAN23" i="28"/>
  <c r="AAJ23" i="28"/>
  <c r="AAF23" i="28"/>
  <c r="ABH23" i="28"/>
  <c r="ABD24" i="28"/>
  <c r="AAZ24" i="28"/>
  <c r="AAV24" i="28"/>
  <c r="AAR24" i="28"/>
  <c r="AAN24" i="28"/>
  <c r="AAJ24" i="28"/>
  <c r="AAF24" i="28"/>
  <c r="ABH24" i="28"/>
  <c r="ABD25" i="28"/>
  <c r="AAZ25" i="28"/>
  <c r="AAV25" i="28"/>
  <c r="AAR25" i="28"/>
  <c r="AAN25" i="28"/>
  <c r="AAJ25" i="28"/>
  <c r="AAF25" i="28"/>
  <c r="ABH25" i="28"/>
  <c r="ABD26" i="28"/>
  <c r="AAZ26" i="28"/>
  <c r="AAV26" i="28"/>
  <c r="AAR26" i="28"/>
  <c r="AAN26" i="28"/>
  <c r="AAJ26" i="28"/>
  <c r="AAF26" i="28"/>
  <c r="ABH26" i="28"/>
  <c r="ABD27" i="28"/>
  <c r="AAZ27" i="28"/>
  <c r="AAV27" i="28"/>
  <c r="AAR27" i="28"/>
  <c r="AAN27" i="28"/>
  <c r="AAJ27" i="28"/>
  <c r="AAF27" i="28"/>
  <c r="ABH27" i="28"/>
  <c r="ABD28" i="28"/>
  <c r="AAZ28" i="28"/>
  <c r="AAV28" i="28"/>
  <c r="AAR28" i="28"/>
  <c r="AAN28" i="28"/>
  <c r="AAJ28" i="28"/>
  <c r="AAF28" i="28"/>
  <c r="ABH28" i="28"/>
  <c r="ABD29" i="28"/>
  <c r="AAZ29" i="28"/>
  <c r="AAV29" i="28"/>
  <c r="AAR29" i="28"/>
  <c r="AAN29" i="28"/>
  <c r="AAJ29" i="28"/>
  <c r="AAF29" i="28"/>
  <c r="ABH29" i="28"/>
  <c r="ABD30" i="28"/>
  <c r="AAZ30" i="28"/>
  <c r="AAV30" i="28"/>
  <c r="AAR30" i="28"/>
  <c r="AAN30" i="28"/>
  <c r="AAJ30" i="28"/>
  <c r="AAF30" i="28"/>
  <c r="ABH30" i="28"/>
  <c r="ABD31" i="28"/>
  <c r="AAZ31" i="28"/>
  <c r="AAV31" i="28"/>
  <c r="AAR31" i="28"/>
  <c r="AAN31" i="28"/>
  <c r="AAJ31" i="28"/>
  <c r="AAF31" i="28"/>
  <c r="ABH31" i="28"/>
  <c r="ABD32" i="28"/>
  <c r="AAZ32" i="28"/>
  <c r="AAV32" i="28"/>
  <c r="AAR32" i="28"/>
  <c r="AAN32" i="28"/>
  <c r="AAJ32" i="28"/>
  <c r="AAF32" i="28"/>
  <c r="ABH32" i="28"/>
  <c r="ABD33" i="28"/>
  <c r="AAZ33" i="28"/>
  <c r="AAV33" i="28"/>
  <c r="AAR33" i="28"/>
  <c r="AAN33" i="28"/>
  <c r="AAJ33" i="28"/>
  <c r="AAF33" i="28"/>
  <c r="ABH33" i="28"/>
  <c r="AM30" i="27"/>
  <c r="AM29" i="27"/>
  <c r="AM28" i="27"/>
  <c r="AM27" i="27"/>
  <c r="AM26" i="27"/>
  <c r="AM31" i="27"/>
  <c r="ACJ7" i="28"/>
  <c r="ACF7" i="28"/>
  <c r="ACB7" i="28"/>
  <c r="ABX7" i="28"/>
  <c r="ABT7" i="28"/>
  <c r="ABP7" i="28"/>
  <c r="ABL7" i="28"/>
  <c r="ACJ8" i="28"/>
  <c r="ACF8" i="28"/>
  <c r="ACB8" i="28"/>
  <c r="ABX8" i="28"/>
  <c r="ABT8" i="28"/>
  <c r="ABP8" i="28"/>
  <c r="ABL8" i="28"/>
  <c r="ACN8" i="28"/>
  <c r="ACJ9" i="28"/>
  <c r="ACF9" i="28"/>
  <c r="ACB9" i="28"/>
  <c r="ABX9" i="28"/>
  <c r="ABT9" i="28"/>
  <c r="ABP9" i="28"/>
  <c r="ABL9" i="28"/>
  <c r="ACN9" i="28"/>
  <c r="ACJ10" i="28"/>
  <c r="ACF10" i="28"/>
  <c r="ACB10" i="28"/>
  <c r="ABX10" i="28"/>
  <c r="ABT10" i="28"/>
  <c r="ABP10" i="28"/>
  <c r="ABL10" i="28"/>
  <c r="ACN10" i="28"/>
  <c r="ACJ11" i="28"/>
  <c r="ACF11" i="28"/>
  <c r="ACB11" i="28"/>
  <c r="ABX11" i="28"/>
  <c r="ABT11" i="28"/>
  <c r="ABP11" i="28"/>
  <c r="ABL11" i="28"/>
  <c r="ACN11" i="28"/>
  <c r="ACJ12" i="28"/>
  <c r="ACF12" i="28"/>
  <c r="ACB12" i="28"/>
  <c r="ABX12" i="28"/>
  <c r="ABT12" i="28"/>
  <c r="ABP12" i="28"/>
  <c r="ABL12" i="28"/>
  <c r="ACN12" i="28"/>
  <c r="ACJ13" i="28"/>
  <c r="ACF13" i="28"/>
  <c r="ACB13" i="28"/>
  <c r="ABX13" i="28"/>
  <c r="ABT13" i="28"/>
  <c r="ABP13" i="28"/>
  <c r="ABL13" i="28"/>
  <c r="ACN13" i="28"/>
  <c r="ACJ14" i="28"/>
  <c r="ACF14" i="28"/>
  <c r="ACB14" i="28"/>
  <c r="ABX14" i="28"/>
  <c r="ABT14" i="28"/>
  <c r="ABP14" i="28"/>
  <c r="ABL14" i="28"/>
  <c r="ACN14" i="28"/>
  <c r="ACJ15" i="28"/>
  <c r="ACF15" i="28"/>
  <c r="ACB15" i="28"/>
  <c r="ABX15" i="28"/>
  <c r="ABT15" i="28"/>
  <c r="ABP15" i="28"/>
  <c r="ABL15" i="28"/>
  <c r="ACN15" i="28"/>
  <c r="ACJ16" i="28"/>
  <c r="ACF16" i="28"/>
  <c r="ACB16" i="28"/>
  <c r="ABX16" i="28"/>
  <c r="ABT16" i="28"/>
  <c r="ABP16" i="28"/>
  <c r="ABL16" i="28"/>
  <c r="ACN16" i="28"/>
  <c r="ACJ19" i="28"/>
  <c r="ACF19" i="28"/>
  <c r="ACB19" i="28"/>
  <c r="ABX19" i="28"/>
  <c r="ABT19" i="28"/>
  <c r="ABP19" i="28"/>
  <c r="ABL19" i="28"/>
  <c r="ACN19" i="28"/>
  <c r="ACJ20" i="28"/>
  <c r="ACF20" i="28"/>
  <c r="ACB20" i="28"/>
  <c r="ABX20" i="28"/>
  <c r="ABT20" i="28"/>
  <c r="ABP20" i="28"/>
  <c r="ABL20" i="28"/>
  <c r="ACN20" i="28"/>
  <c r="ACJ21" i="28"/>
  <c r="ACF21" i="28"/>
  <c r="ACB21" i="28"/>
  <c r="ABX21" i="28"/>
  <c r="ABT21" i="28"/>
  <c r="ABP21" i="28"/>
  <c r="ABL21" i="28"/>
  <c r="ACN21" i="28"/>
  <c r="ACJ22" i="28"/>
  <c r="ACF22" i="28"/>
  <c r="ACB22" i="28"/>
  <c r="ABX22" i="28"/>
  <c r="ABT22" i="28"/>
  <c r="ABP22" i="28"/>
  <c r="ABL22" i="28"/>
  <c r="ACN22" i="28"/>
  <c r="ACJ23" i="28"/>
  <c r="ACF23" i="28"/>
  <c r="ACB23" i="28"/>
  <c r="ABX23" i="28"/>
  <c r="ABT23" i="28"/>
  <c r="ABP23" i="28"/>
  <c r="ABL23" i="28"/>
  <c r="ACN23" i="28"/>
  <c r="ACJ24" i="28"/>
  <c r="ACF24" i="28"/>
  <c r="ACB24" i="28"/>
  <c r="ABX24" i="28"/>
  <c r="ABT24" i="28"/>
  <c r="ABP24" i="28"/>
  <c r="ABL24" i="28"/>
  <c r="ACN24" i="28"/>
  <c r="ACJ25" i="28"/>
  <c r="ACF25" i="28"/>
  <c r="ACB25" i="28"/>
  <c r="ABX25" i="28"/>
  <c r="ABT25" i="28"/>
  <c r="ABP25" i="28"/>
  <c r="ABL25" i="28"/>
  <c r="ACN25" i="28"/>
  <c r="ACJ26" i="28"/>
  <c r="ACF26" i="28"/>
  <c r="ACB26" i="28"/>
  <c r="ABX26" i="28"/>
  <c r="ABT26" i="28"/>
  <c r="ABP26" i="28"/>
  <c r="ABL26" i="28"/>
  <c r="ACN26" i="28"/>
  <c r="ACJ27" i="28"/>
  <c r="ACF27" i="28"/>
  <c r="ACB27" i="28"/>
  <c r="ABX27" i="28"/>
  <c r="ABT27" i="28"/>
  <c r="ABP27" i="28"/>
  <c r="ABL27" i="28"/>
  <c r="ACN27" i="28"/>
  <c r="ACJ28" i="28"/>
  <c r="ACF28" i="28"/>
  <c r="ACB28" i="28"/>
  <c r="ABX28" i="28"/>
  <c r="ABT28" i="28"/>
  <c r="ABP28" i="28"/>
  <c r="ABL28" i="28"/>
  <c r="ACN28" i="28"/>
  <c r="ACJ29" i="28"/>
  <c r="ACF29" i="28"/>
  <c r="ACB29" i="28"/>
  <c r="ABX29" i="28"/>
  <c r="ABT29" i="28"/>
  <c r="ABP29" i="28"/>
  <c r="ABL29" i="28"/>
  <c r="ACN29" i="28"/>
  <c r="ACJ30" i="28"/>
  <c r="ACF30" i="28"/>
  <c r="ACB30" i="28"/>
  <c r="ABX30" i="28"/>
  <c r="ABT30" i="28"/>
  <c r="ABP30" i="28"/>
  <c r="ABL30" i="28"/>
  <c r="ACN30" i="28"/>
  <c r="ACJ31" i="28"/>
  <c r="ACF31" i="28"/>
  <c r="ACB31" i="28"/>
  <c r="ABX31" i="28"/>
  <c r="ABT31" i="28"/>
  <c r="ABP31" i="28"/>
  <c r="ABL31" i="28"/>
  <c r="ACN31" i="28"/>
  <c r="ACJ32" i="28"/>
  <c r="ACF32" i="28"/>
  <c r="ACB32" i="28"/>
  <c r="ABX32" i="28"/>
  <c r="ABT32" i="28"/>
  <c r="ABP32" i="28"/>
  <c r="ABL32" i="28"/>
  <c r="ACN32" i="28"/>
  <c r="ACJ33" i="28"/>
  <c r="ACF33" i="28"/>
  <c r="ACB33" i="28"/>
  <c r="ABX33" i="28"/>
  <c r="ABT33" i="28"/>
  <c r="ABP33" i="28"/>
  <c r="ABL33" i="28"/>
  <c r="ACN33" i="28"/>
  <c r="ADP7" i="28"/>
  <c r="ADL7" i="28"/>
  <c r="ADH7" i="28"/>
  <c r="ADD7" i="28"/>
  <c r="ACZ7" i="28"/>
  <c r="ACV7" i="28"/>
  <c r="ACR7" i="28"/>
  <c r="ADP8" i="28"/>
  <c r="ADL8" i="28"/>
  <c r="ADH8" i="28"/>
  <c r="ADD8" i="28"/>
  <c r="ACZ8" i="28"/>
  <c r="ACV8" i="28"/>
  <c r="ACR8" i="28"/>
  <c r="ADT8" i="28"/>
  <c r="ADP9" i="28"/>
  <c r="ADL9" i="28"/>
  <c r="ADH9" i="28"/>
  <c r="ADD9" i="28"/>
  <c r="ACZ9" i="28"/>
  <c r="ACV9" i="28"/>
  <c r="ACR9" i="28"/>
  <c r="ADT9" i="28"/>
  <c r="ADP10" i="28"/>
  <c r="ADL10" i="28"/>
  <c r="ADH10" i="28"/>
  <c r="ADD10" i="28"/>
  <c r="ACZ10" i="28"/>
  <c r="ACV10" i="28"/>
  <c r="ACR10" i="28"/>
  <c r="ADT10" i="28"/>
  <c r="ADP11" i="28"/>
  <c r="ADL11" i="28"/>
  <c r="ADH11" i="28"/>
  <c r="ADD11" i="28"/>
  <c r="ACZ11" i="28"/>
  <c r="ACV11" i="28"/>
  <c r="ACR11" i="28"/>
  <c r="ADT11" i="28"/>
  <c r="ADP12" i="28"/>
  <c r="ADL12" i="28"/>
  <c r="ADH12" i="28"/>
  <c r="ADD12" i="28"/>
  <c r="ACZ12" i="28"/>
  <c r="ACV12" i="28"/>
  <c r="ACR12" i="28"/>
  <c r="ADT12" i="28"/>
  <c r="ADP13" i="28"/>
  <c r="ADL13" i="28"/>
  <c r="ADH13" i="28"/>
  <c r="ADD13" i="28"/>
  <c r="ACZ13" i="28"/>
  <c r="ACV13" i="28"/>
  <c r="ACR13" i="28"/>
  <c r="ADT13" i="28"/>
  <c r="ADP14" i="28"/>
  <c r="ADL14" i="28"/>
  <c r="ADH14" i="28"/>
  <c r="ADD14" i="28"/>
  <c r="ACZ14" i="28"/>
  <c r="ACV14" i="28"/>
  <c r="ACR14" i="28"/>
  <c r="ADT14" i="28"/>
  <c r="ADP15" i="28"/>
  <c r="ADL15" i="28"/>
  <c r="ADH15" i="28"/>
  <c r="ADD15" i="28"/>
  <c r="ACZ15" i="28"/>
  <c r="ACV15" i="28"/>
  <c r="ACR15" i="28"/>
  <c r="ADT15" i="28"/>
  <c r="ADP16" i="28"/>
  <c r="ADL16" i="28"/>
  <c r="ADH16" i="28"/>
  <c r="ADD16" i="28"/>
  <c r="ACZ16" i="28"/>
  <c r="ACV16" i="28"/>
  <c r="ACR16" i="28"/>
  <c r="ADT16" i="28"/>
  <c r="ADP19" i="28"/>
  <c r="ADL19" i="28"/>
  <c r="ADH19" i="28"/>
  <c r="ADD19" i="28"/>
  <c r="ACZ19" i="28"/>
  <c r="ACV19" i="28"/>
  <c r="ACR19" i="28"/>
  <c r="ADT19" i="28"/>
  <c r="ADP20" i="28"/>
  <c r="ADL20" i="28"/>
  <c r="ADH20" i="28"/>
  <c r="ADD20" i="28"/>
  <c r="ACZ20" i="28"/>
  <c r="ACV20" i="28"/>
  <c r="ACR20" i="28"/>
  <c r="ADT20" i="28"/>
  <c r="ADP21" i="28"/>
  <c r="ADL21" i="28"/>
  <c r="ADH21" i="28"/>
  <c r="ADD21" i="28"/>
  <c r="ACZ21" i="28"/>
  <c r="ACV21" i="28"/>
  <c r="ACR21" i="28"/>
  <c r="ADT21" i="28"/>
  <c r="ADP22" i="28"/>
  <c r="ADL22" i="28"/>
  <c r="ADH22" i="28"/>
  <c r="ADD22" i="28"/>
  <c r="ACZ22" i="28"/>
  <c r="ACV22" i="28"/>
  <c r="ACR22" i="28"/>
  <c r="ADT22" i="28"/>
  <c r="ADP23" i="28"/>
  <c r="ADL23" i="28"/>
  <c r="ADH23" i="28"/>
  <c r="ADD23" i="28"/>
  <c r="ACZ23" i="28"/>
  <c r="ACV23" i="28"/>
  <c r="ACR23" i="28"/>
  <c r="ADT23" i="28"/>
  <c r="ADP24" i="28"/>
  <c r="ADL24" i="28"/>
  <c r="ADH24" i="28"/>
  <c r="ADD24" i="28"/>
  <c r="ACZ24" i="28"/>
  <c r="ACV24" i="28"/>
  <c r="ACR24" i="28"/>
  <c r="ADT24" i="28"/>
  <c r="ADP25" i="28"/>
  <c r="ADL25" i="28"/>
  <c r="ADH25" i="28"/>
  <c r="ADD25" i="28"/>
  <c r="ACZ25" i="28"/>
  <c r="ACV25" i="28"/>
  <c r="ACR25" i="28"/>
  <c r="ADT25" i="28"/>
  <c r="ADP26" i="28"/>
  <c r="ADL26" i="28"/>
  <c r="ADH26" i="28"/>
  <c r="ADD26" i="28"/>
  <c r="ACZ26" i="28"/>
  <c r="ACV26" i="28"/>
  <c r="ACR26" i="28"/>
  <c r="ADT26" i="28"/>
  <c r="ADP27" i="28"/>
  <c r="ADL27" i="28"/>
  <c r="ADH27" i="28"/>
  <c r="ADD27" i="28"/>
  <c r="ACZ27" i="28"/>
  <c r="ACV27" i="28"/>
  <c r="ACR27" i="28"/>
  <c r="ADT27" i="28"/>
  <c r="ADP28" i="28"/>
  <c r="ADL28" i="28"/>
  <c r="ADH28" i="28"/>
  <c r="ADD28" i="28"/>
  <c r="ACZ28" i="28"/>
  <c r="ACV28" i="28"/>
  <c r="ACR28" i="28"/>
  <c r="ADT28" i="28"/>
  <c r="ADP29" i="28"/>
  <c r="ADL29" i="28"/>
  <c r="ADH29" i="28"/>
  <c r="ADD29" i="28"/>
  <c r="ACZ29" i="28"/>
  <c r="ACV29" i="28"/>
  <c r="ACR29" i="28"/>
  <c r="ADT29" i="28"/>
  <c r="ADP30" i="28"/>
  <c r="ADL30" i="28"/>
  <c r="ADH30" i="28"/>
  <c r="ADD30" i="28"/>
  <c r="ACZ30" i="28"/>
  <c r="ACV30" i="28"/>
  <c r="ACR30" i="28"/>
  <c r="ADT30" i="28"/>
  <c r="ADP31" i="28"/>
  <c r="ADL31" i="28"/>
  <c r="ADH31" i="28"/>
  <c r="ADD31" i="28"/>
  <c r="ACZ31" i="28"/>
  <c r="ACV31" i="28"/>
  <c r="ACR31" i="28"/>
  <c r="ADT31" i="28"/>
  <c r="ADP32" i="28"/>
  <c r="ADL32" i="28"/>
  <c r="ADH32" i="28"/>
  <c r="ADD32" i="28"/>
  <c r="ACZ32" i="28"/>
  <c r="ACV32" i="28"/>
  <c r="ACR32" i="28"/>
  <c r="ADT32" i="28"/>
  <c r="ADP33" i="28"/>
  <c r="ADL33" i="28"/>
  <c r="ADH33" i="28"/>
  <c r="ADD33" i="28"/>
  <c r="ACZ33" i="28"/>
  <c r="ACV33" i="28"/>
  <c r="ACR33" i="28"/>
  <c r="ADT33" i="28"/>
  <c r="AEV7" i="28"/>
  <c r="AER7" i="28"/>
  <c r="AEN7" i="28"/>
  <c r="AEJ7" i="28"/>
  <c r="AEF7" i="28"/>
  <c r="AEB7" i="28"/>
  <c r="ADX7" i="28"/>
  <c r="JR6" i="25"/>
  <c r="AEV8" i="28"/>
  <c r="AER8" i="28"/>
  <c r="AEN8" i="28"/>
  <c r="AEJ8" i="28"/>
  <c r="AEF8" i="28"/>
  <c r="AEB8" i="28"/>
  <c r="ADX8" i="28"/>
  <c r="AEZ8" i="28"/>
  <c r="JR7" i="25"/>
  <c r="AEV9" i="28"/>
  <c r="AER9" i="28"/>
  <c r="AEN9" i="28"/>
  <c r="AEJ9" i="28"/>
  <c r="AEF9" i="28"/>
  <c r="AEB9" i="28"/>
  <c r="ADX9" i="28"/>
  <c r="AEZ9" i="28"/>
  <c r="JR8" i="25"/>
  <c r="AEV10" i="28"/>
  <c r="AER10" i="28"/>
  <c r="AEN10" i="28"/>
  <c r="AEJ10" i="28"/>
  <c r="AEF10" i="28"/>
  <c r="AEB10" i="28"/>
  <c r="ADX10" i="28"/>
  <c r="AEZ10" i="28"/>
  <c r="JR9" i="25"/>
  <c r="AEV11" i="28"/>
  <c r="AER11" i="28"/>
  <c r="AEN11" i="28"/>
  <c r="AEJ11" i="28"/>
  <c r="AEF11" i="28"/>
  <c r="AEB11" i="28"/>
  <c r="ADX11" i="28"/>
  <c r="AEZ11" i="28"/>
  <c r="JR10" i="25"/>
  <c r="AEV12" i="28"/>
  <c r="AER12" i="28"/>
  <c r="AEN12" i="28"/>
  <c r="AEJ12" i="28"/>
  <c r="AEF12" i="28"/>
  <c r="AEB12" i="28"/>
  <c r="ADX12" i="28"/>
  <c r="AEZ12" i="28"/>
  <c r="JR11" i="25"/>
  <c r="AEV13" i="28"/>
  <c r="AER13" i="28"/>
  <c r="AEN13" i="28"/>
  <c r="AEJ13" i="28"/>
  <c r="AEF13" i="28"/>
  <c r="AEB13" i="28"/>
  <c r="ADX13" i="28"/>
  <c r="AEZ13" i="28"/>
  <c r="JR12" i="25"/>
  <c r="AEV14" i="28"/>
  <c r="AER14" i="28"/>
  <c r="AEN14" i="28"/>
  <c r="AEJ14" i="28"/>
  <c r="AEF14" i="28"/>
  <c r="AEB14" i="28"/>
  <c r="ADX14" i="28"/>
  <c r="AEZ14" i="28"/>
  <c r="JR13" i="25"/>
  <c r="AEV15" i="28"/>
  <c r="AER15" i="28"/>
  <c r="AEN15" i="28"/>
  <c r="AEJ15" i="28"/>
  <c r="AEF15" i="28"/>
  <c r="AEB15" i="28"/>
  <c r="ADX15" i="28"/>
  <c r="AEZ15" i="28"/>
  <c r="JR14" i="25"/>
  <c r="AEV16" i="28"/>
  <c r="AER16" i="28"/>
  <c r="AEN16" i="28"/>
  <c r="AEJ16" i="28"/>
  <c r="AEF16" i="28"/>
  <c r="AEB16" i="28"/>
  <c r="ADX16" i="28"/>
  <c r="AEZ16" i="28"/>
  <c r="JR15" i="25"/>
  <c r="AEV19" i="28"/>
  <c r="AER19" i="28"/>
  <c r="AEN19" i="28"/>
  <c r="AEJ19" i="28"/>
  <c r="AEF19" i="28"/>
  <c r="AEB19" i="28"/>
  <c r="ADX19" i="28"/>
  <c r="AEZ19" i="28"/>
  <c r="JR18" i="25"/>
  <c r="AEV20" i="28"/>
  <c r="AER20" i="28"/>
  <c r="AEN20" i="28"/>
  <c r="AEJ20" i="28"/>
  <c r="AEF20" i="28"/>
  <c r="AEB20" i="28"/>
  <c r="ADX20" i="28"/>
  <c r="AEZ20" i="28"/>
  <c r="JR19" i="25"/>
  <c r="AEV21" i="28"/>
  <c r="AER21" i="28"/>
  <c r="AEN21" i="28"/>
  <c r="AEJ21" i="28"/>
  <c r="AEF21" i="28"/>
  <c r="AEB21" i="28"/>
  <c r="ADX21" i="28"/>
  <c r="AEZ21" i="28"/>
  <c r="JR20" i="25"/>
  <c r="AEV22" i="28"/>
  <c r="AER22" i="28"/>
  <c r="AEN22" i="28"/>
  <c r="AEJ22" i="28"/>
  <c r="AEF22" i="28"/>
  <c r="AEB22" i="28"/>
  <c r="ADX22" i="28"/>
  <c r="AEZ22" i="28"/>
  <c r="JR21" i="25"/>
  <c r="AEV23" i="28"/>
  <c r="AER23" i="28"/>
  <c r="AEN23" i="28"/>
  <c r="AEJ23" i="28"/>
  <c r="AEF23" i="28"/>
  <c r="AEB23" i="28"/>
  <c r="ADX23" i="28"/>
  <c r="AEZ23" i="28"/>
  <c r="JR22" i="25"/>
  <c r="AEV24" i="28"/>
  <c r="AER24" i="28"/>
  <c r="AEN24" i="28"/>
  <c r="AEJ24" i="28"/>
  <c r="AEF24" i="28"/>
  <c r="AEB24" i="28"/>
  <c r="ADX24" i="28"/>
  <c r="AEZ24" i="28"/>
  <c r="JR23" i="25"/>
  <c r="AEV25" i="28"/>
  <c r="AER25" i="28"/>
  <c r="AEN25" i="28"/>
  <c r="AEJ25" i="28"/>
  <c r="AEF25" i="28"/>
  <c r="AEB25" i="28"/>
  <c r="ADX25" i="28"/>
  <c r="AEZ25" i="28"/>
  <c r="JR24" i="25"/>
  <c r="AEV26" i="28"/>
  <c r="AER26" i="28"/>
  <c r="AEN26" i="28"/>
  <c r="AEJ26" i="28"/>
  <c r="AEF26" i="28"/>
  <c r="AEB26" i="28"/>
  <c r="ADX26" i="28"/>
  <c r="AEZ26" i="28"/>
  <c r="JR25" i="25"/>
  <c r="AEV27" i="28"/>
  <c r="AER27" i="28"/>
  <c r="AEN27" i="28"/>
  <c r="AEJ27" i="28"/>
  <c r="AEF27" i="28"/>
  <c r="AEB27" i="28"/>
  <c r="ADX27" i="28"/>
  <c r="AEZ27" i="28"/>
  <c r="JR26" i="25"/>
  <c r="AEV28" i="28"/>
  <c r="AER28" i="28"/>
  <c r="AEN28" i="28"/>
  <c r="AEJ28" i="28"/>
  <c r="AEF28" i="28"/>
  <c r="AEB28" i="28"/>
  <c r="ADX28" i="28"/>
  <c r="AEZ28" i="28"/>
  <c r="JR27" i="25"/>
  <c r="AEV29" i="28"/>
  <c r="AER29" i="28"/>
  <c r="AEN29" i="28"/>
  <c r="AEJ29" i="28"/>
  <c r="AEF29" i="28"/>
  <c r="AEB29" i="28"/>
  <c r="ADX29" i="28"/>
  <c r="AEZ29" i="28"/>
  <c r="JR28" i="25"/>
  <c r="AEV30" i="28"/>
  <c r="AER30" i="28"/>
  <c r="AEN30" i="28"/>
  <c r="AEJ30" i="28"/>
  <c r="AEF30" i="28"/>
  <c r="AEB30" i="28"/>
  <c r="ADX30" i="28"/>
  <c r="AEZ30" i="28"/>
  <c r="JR29" i="25"/>
  <c r="AEV31" i="28"/>
  <c r="AER31" i="28"/>
  <c r="AEN31" i="28"/>
  <c r="AEJ31" i="28"/>
  <c r="AEF31" i="28"/>
  <c r="AEB31" i="28"/>
  <c r="ADX31" i="28"/>
  <c r="AEZ31" i="28"/>
  <c r="JR30" i="25"/>
  <c r="AEV32" i="28"/>
  <c r="AER32" i="28"/>
  <c r="AEN32" i="28"/>
  <c r="AEJ32" i="28"/>
  <c r="AEF32" i="28"/>
  <c r="AEB32" i="28"/>
  <c r="ADX32" i="28"/>
  <c r="AEZ32" i="28"/>
  <c r="JR31" i="25"/>
  <c r="AEV33" i="28"/>
  <c r="AER33" i="28"/>
  <c r="AEN33" i="28"/>
  <c r="AEJ33" i="28"/>
  <c r="AEF33" i="28"/>
  <c r="AEB33" i="28"/>
  <c r="ADX33" i="28"/>
  <c r="AEZ33" i="28"/>
  <c r="JR32" i="25"/>
  <c r="AGB7" i="28"/>
  <c r="AFX7" i="28"/>
  <c r="AFT7" i="28"/>
  <c r="AFP7" i="28"/>
  <c r="AFL7" i="28"/>
  <c r="AFH7" i="28"/>
  <c r="AFD7" i="28"/>
  <c r="AGF7" i="28"/>
  <c r="AGB8" i="28"/>
  <c r="AFX8" i="28"/>
  <c r="AFT8" i="28"/>
  <c r="AFP8" i="28"/>
  <c r="AFL8" i="28"/>
  <c r="AFH8" i="28"/>
  <c r="AFD8" i="28"/>
  <c r="AGB9" i="28"/>
  <c r="AFX9" i="28"/>
  <c r="AFT9" i="28"/>
  <c r="AFP9" i="28"/>
  <c r="AFL9" i="28"/>
  <c r="AFH9" i="28"/>
  <c r="AFD9" i="28"/>
  <c r="AGB10" i="28"/>
  <c r="AFX10" i="28"/>
  <c r="AFT10" i="28"/>
  <c r="AFP10" i="28"/>
  <c r="AFL10" i="28"/>
  <c r="AFH10" i="28"/>
  <c r="AFD10" i="28"/>
  <c r="AGB11" i="28"/>
  <c r="AFX11" i="28"/>
  <c r="AFT11" i="28"/>
  <c r="AFP11" i="28"/>
  <c r="AFL11" i="28"/>
  <c r="AFH11" i="28"/>
  <c r="AFD11" i="28"/>
  <c r="AGB12" i="28"/>
  <c r="AFX12" i="28"/>
  <c r="AFT12" i="28"/>
  <c r="AFP12" i="28"/>
  <c r="AFL12" i="28"/>
  <c r="AFH12" i="28"/>
  <c r="AFD12" i="28"/>
  <c r="AGB13" i="28"/>
  <c r="AFX13" i="28"/>
  <c r="AFT13" i="28"/>
  <c r="AFP13" i="28"/>
  <c r="AFL13" i="28"/>
  <c r="AFH13" i="28"/>
  <c r="AFD13" i="28"/>
  <c r="AGB14" i="28"/>
  <c r="AFX14" i="28"/>
  <c r="AFT14" i="28"/>
  <c r="AFP14" i="28"/>
  <c r="AFL14" i="28"/>
  <c r="AFH14" i="28"/>
  <c r="AFD14" i="28"/>
  <c r="AGB15" i="28"/>
  <c r="AFX15" i="28"/>
  <c r="AFT15" i="28"/>
  <c r="AFP15" i="28"/>
  <c r="AFL15" i="28"/>
  <c r="AFH15" i="28"/>
  <c r="AFD15" i="28"/>
  <c r="AGB16" i="28"/>
  <c r="AFX16" i="28"/>
  <c r="AFT16" i="28"/>
  <c r="AFP16" i="28"/>
  <c r="AFL16" i="28"/>
  <c r="AFH16" i="28"/>
  <c r="AFD16" i="28"/>
  <c r="AGB19" i="28"/>
  <c r="AFX19" i="28"/>
  <c r="AFT19" i="28"/>
  <c r="AFP19" i="28"/>
  <c r="AFL19" i="28"/>
  <c r="AFH19" i="28"/>
  <c r="AFD19" i="28"/>
  <c r="AGB20" i="28"/>
  <c r="AFX20" i="28"/>
  <c r="AFT20" i="28"/>
  <c r="AFP20" i="28"/>
  <c r="AFL20" i="28"/>
  <c r="AFH20" i="28"/>
  <c r="AFD20" i="28"/>
  <c r="AGB21" i="28"/>
  <c r="AFX21" i="28"/>
  <c r="AFT21" i="28"/>
  <c r="AFP21" i="28"/>
  <c r="AFL21" i="28"/>
  <c r="AFH21" i="28"/>
  <c r="AFD21" i="28"/>
  <c r="AGB22" i="28"/>
  <c r="AFX22" i="28"/>
  <c r="AFT22" i="28"/>
  <c r="AFP22" i="28"/>
  <c r="AFL22" i="28"/>
  <c r="AFH22" i="28"/>
  <c r="AFD22" i="28"/>
  <c r="AGB23" i="28"/>
  <c r="AFX23" i="28"/>
  <c r="AFT23" i="28"/>
  <c r="AFP23" i="28"/>
  <c r="AFL23" i="28"/>
  <c r="AFH23" i="28"/>
  <c r="AFD23" i="28"/>
  <c r="AGB24" i="28"/>
  <c r="AFX24" i="28"/>
  <c r="AFT24" i="28"/>
  <c r="AFP24" i="28"/>
  <c r="AFL24" i="28"/>
  <c r="AFH24" i="28"/>
  <c r="AFD24" i="28"/>
  <c r="AGB25" i="28"/>
  <c r="AFX25" i="28"/>
  <c r="AFT25" i="28"/>
  <c r="AFP25" i="28"/>
  <c r="AFL25" i="28"/>
  <c r="AFH25" i="28"/>
  <c r="AFD25" i="28"/>
  <c r="AGB26" i="28"/>
  <c r="AFX26" i="28"/>
  <c r="AFT26" i="28"/>
  <c r="AFP26" i="28"/>
  <c r="AFL26" i="28"/>
  <c r="AFH26" i="28"/>
  <c r="AFD26" i="28"/>
  <c r="AGF26" i="28"/>
  <c r="AGB27" i="28"/>
  <c r="AFX27" i="28"/>
  <c r="AFT27" i="28"/>
  <c r="AFP27" i="28"/>
  <c r="AFL27" i="28"/>
  <c r="AFH27" i="28"/>
  <c r="AFD27" i="28"/>
  <c r="AGB28" i="28"/>
  <c r="AFX28" i="28"/>
  <c r="AFT28" i="28"/>
  <c r="AFP28" i="28"/>
  <c r="AFL28" i="28"/>
  <c r="AFH28" i="28"/>
  <c r="AFD28" i="28"/>
  <c r="AGB29" i="28"/>
  <c r="AFX29" i="28"/>
  <c r="AFT29" i="28"/>
  <c r="AFP29" i="28"/>
  <c r="AFL29" i="28"/>
  <c r="AFH29" i="28"/>
  <c r="AFD29" i="28"/>
  <c r="AGB30" i="28"/>
  <c r="AFX30" i="28"/>
  <c r="AFT30" i="28"/>
  <c r="AFP30" i="28"/>
  <c r="AFL30" i="28"/>
  <c r="AFH30" i="28"/>
  <c r="AFD30" i="28"/>
  <c r="AGB31" i="28"/>
  <c r="AFX31" i="28"/>
  <c r="AFT31" i="28"/>
  <c r="AFP31" i="28"/>
  <c r="AFL31" i="28"/>
  <c r="AFH31" i="28"/>
  <c r="AFD31" i="28"/>
  <c r="AGB32" i="28"/>
  <c r="AFX32" i="28"/>
  <c r="AFT32" i="28"/>
  <c r="AFP32" i="28"/>
  <c r="AFL32" i="28"/>
  <c r="AFH32" i="28"/>
  <c r="AFD32" i="28"/>
  <c r="AGB33" i="28"/>
  <c r="AFX33" i="28"/>
  <c r="AFT33" i="28"/>
  <c r="AFP33" i="28"/>
  <c r="AFL33" i="28"/>
  <c r="AFH33" i="28"/>
  <c r="AFD33" i="28"/>
  <c r="AS30" i="27"/>
  <c r="AS29" i="27"/>
  <c r="AS28" i="27"/>
  <c r="AS27" i="27"/>
  <c r="AS26" i="27"/>
  <c r="AS31" i="27"/>
  <c r="AHH7" i="28"/>
  <c r="AHD7" i="28"/>
  <c r="AGZ7" i="28"/>
  <c r="AGV7" i="28"/>
  <c r="AGR7" i="28"/>
  <c r="AGN7" i="28"/>
  <c r="AGJ7" i="28"/>
  <c r="AHH8" i="28"/>
  <c r="AHD8" i="28"/>
  <c r="AGZ8" i="28"/>
  <c r="AGV8" i="28"/>
  <c r="AGR8" i="28"/>
  <c r="AGN8" i="28"/>
  <c r="AGJ8" i="28"/>
  <c r="AHL8" i="28"/>
  <c r="AHH9" i="28"/>
  <c r="AHD9" i="28"/>
  <c r="AGZ9" i="28"/>
  <c r="AGV9" i="28"/>
  <c r="AGR9" i="28"/>
  <c r="AGN9" i="28"/>
  <c r="AGJ9" i="28"/>
  <c r="AHL9" i="28"/>
  <c r="AHH10" i="28"/>
  <c r="AHD10" i="28"/>
  <c r="AGZ10" i="28"/>
  <c r="AGV10" i="28"/>
  <c r="AGR10" i="28"/>
  <c r="AGN10" i="28"/>
  <c r="AGJ10" i="28"/>
  <c r="AHL10" i="28"/>
  <c r="AHH11" i="28"/>
  <c r="AHD11" i="28"/>
  <c r="AGZ11" i="28"/>
  <c r="AGV11" i="28"/>
  <c r="AGR11" i="28"/>
  <c r="AGN11" i="28"/>
  <c r="AGJ11" i="28"/>
  <c r="AHL11" i="28"/>
  <c r="AHH12" i="28"/>
  <c r="AHD12" i="28"/>
  <c r="AGZ12" i="28"/>
  <c r="AGV12" i="28"/>
  <c r="AGR12" i="28"/>
  <c r="AGN12" i="28"/>
  <c r="AGJ12" i="28"/>
  <c r="AHL12" i="28"/>
  <c r="AHH13" i="28"/>
  <c r="AHD13" i="28"/>
  <c r="AGZ13" i="28"/>
  <c r="AGV13" i="28"/>
  <c r="AGR13" i="28"/>
  <c r="AGN13" i="28"/>
  <c r="AGJ13" i="28"/>
  <c r="AHL13" i="28"/>
  <c r="AHH14" i="28"/>
  <c r="AHD14" i="28"/>
  <c r="AGZ14" i="28"/>
  <c r="AGV14" i="28"/>
  <c r="AGR14" i="28"/>
  <c r="AGN14" i="28"/>
  <c r="AGJ14" i="28"/>
  <c r="AHL14" i="28"/>
  <c r="AHH15" i="28"/>
  <c r="AHD15" i="28"/>
  <c r="AGZ15" i="28"/>
  <c r="AGV15" i="28"/>
  <c r="AGR15" i="28"/>
  <c r="AGN15" i="28"/>
  <c r="AGJ15" i="28"/>
  <c r="AHL15" i="28"/>
  <c r="AHH16" i="28"/>
  <c r="AHD16" i="28"/>
  <c r="AGZ16" i="28"/>
  <c r="AGV16" i="28"/>
  <c r="AGR16" i="28"/>
  <c r="AGN16" i="28"/>
  <c r="AGJ16" i="28"/>
  <c r="AHL16" i="28"/>
  <c r="AHH19" i="28"/>
  <c r="AHD19" i="28"/>
  <c r="AGZ19" i="28"/>
  <c r="AGV19" i="28"/>
  <c r="AGR19" i="28"/>
  <c r="AGN19" i="28"/>
  <c r="AGJ19" i="28"/>
  <c r="AHL19" i="28"/>
  <c r="AHH20" i="28"/>
  <c r="AHD20" i="28"/>
  <c r="AGZ20" i="28"/>
  <c r="AGV20" i="28"/>
  <c r="AGR20" i="28"/>
  <c r="AGN20" i="28"/>
  <c r="AGJ20" i="28"/>
  <c r="AHL20" i="28"/>
  <c r="AHH21" i="28"/>
  <c r="AHD21" i="28"/>
  <c r="AGZ21" i="28"/>
  <c r="AGV21" i="28"/>
  <c r="AGR21" i="28"/>
  <c r="AGN21" i="28"/>
  <c r="AGJ21" i="28"/>
  <c r="AHL21" i="28"/>
  <c r="AHH22" i="28"/>
  <c r="AHD22" i="28"/>
  <c r="AGZ22" i="28"/>
  <c r="AGV22" i="28"/>
  <c r="AGR22" i="28"/>
  <c r="AGN22" i="28"/>
  <c r="AGJ22" i="28"/>
  <c r="AHL22" i="28"/>
  <c r="AHH23" i="28"/>
  <c r="AHD23" i="28"/>
  <c r="AGZ23" i="28"/>
  <c r="AGV23" i="28"/>
  <c r="AGR23" i="28"/>
  <c r="AGN23" i="28"/>
  <c r="AGJ23" i="28"/>
  <c r="AHL23" i="28"/>
  <c r="AHH24" i="28"/>
  <c r="AHD24" i="28"/>
  <c r="AGZ24" i="28"/>
  <c r="AGV24" i="28"/>
  <c r="AGR24" i="28"/>
  <c r="AGN24" i="28"/>
  <c r="AGJ24" i="28"/>
  <c r="AHL24" i="28"/>
  <c r="AHH25" i="28"/>
  <c r="AHD25" i="28"/>
  <c r="AGZ25" i="28"/>
  <c r="AGV25" i="28"/>
  <c r="AGR25" i="28"/>
  <c r="AGN25" i="28"/>
  <c r="AGJ25" i="28"/>
  <c r="AHL25" i="28"/>
  <c r="AHH26" i="28"/>
  <c r="AHD26" i="28"/>
  <c r="AGZ26" i="28"/>
  <c r="AGV26" i="28"/>
  <c r="AGR26" i="28"/>
  <c r="AGN26" i="28"/>
  <c r="AGJ26" i="28"/>
  <c r="AHL26" i="28"/>
  <c r="AHH27" i="28"/>
  <c r="AHD27" i="28"/>
  <c r="AGZ27" i="28"/>
  <c r="AGV27" i="28"/>
  <c r="AGR27" i="28"/>
  <c r="AGN27" i="28"/>
  <c r="AGJ27" i="28"/>
  <c r="AHL27" i="28"/>
  <c r="AHH28" i="28"/>
  <c r="AHD28" i="28"/>
  <c r="AGZ28" i="28"/>
  <c r="AGV28" i="28"/>
  <c r="AGR28" i="28"/>
  <c r="AGN28" i="28"/>
  <c r="AGJ28" i="28"/>
  <c r="AHL28" i="28"/>
  <c r="AHH29" i="28"/>
  <c r="AHD29" i="28"/>
  <c r="AGZ29" i="28"/>
  <c r="AGV29" i="28"/>
  <c r="AGR29" i="28"/>
  <c r="AGN29" i="28"/>
  <c r="AGJ29" i="28"/>
  <c r="AHL29" i="28"/>
  <c r="AHH30" i="28"/>
  <c r="AHD30" i="28"/>
  <c r="AGZ30" i="28"/>
  <c r="AGV30" i="28"/>
  <c r="AGR30" i="28"/>
  <c r="AGN30" i="28"/>
  <c r="AGJ30" i="28"/>
  <c r="AHL30" i="28"/>
  <c r="AHH31" i="28"/>
  <c r="AHD31" i="28"/>
  <c r="AGZ31" i="28"/>
  <c r="AGV31" i="28"/>
  <c r="AGR31" i="28"/>
  <c r="AGN31" i="28"/>
  <c r="AGJ31" i="28"/>
  <c r="AHL31" i="28"/>
  <c r="AHH32" i="28"/>
  <c r="AHD32" i="28"/>
  <c r="AGZ32" i="28"/>
  <c r="AGV32" i="28"/>
  <c r="AGR32" i="28"/>
  <c r="AGN32" i="28"/>
  <c r="AGJ32" i="28"/>
  <c r="AHL32" i="28"/>
  <c r="AHH33" i="28"/>
  <c r="AHD33" i="28"/>
  <c r="AGZ33" i="28"/>
  <c r="AGV33" i="28"/>
  <c r="AGR33" i="28"/>
  <c r="AGN33" i="28"/>
  <c r="AGJ33" i="28"/>
  <c r="AHL33" i="28"/>
  <c r="AIN7" i="28"/>
  <c r="AIJ7" i="28"/>
  <c r="AIF7" i="28"/>
  <c r="AIB7" i="28"/>
  <c r="AHX7" i="28"/>
  <c r="AHT7" i="28"/>
  <c r="AHP7" i="28"/>
  <c r="AIN8" i="28"/>
  <c r="AIJ8" i="28"/>
  <c r="AIF8" i="28"/>
  <c r="AIB8" i="28"/>
  <c r="AHX8" i="28"/>
  <c r="AHT8" i="28"/>
  <c r="AHP8" i="28"/>
  <c r="AIR8" i="28"/>
  <c r="AIN9" i="28"/>
  <c r="AIJ9" i="28"/>
  <c r="AIF9" i="28"/>
  <c r="AIB9" i="28"/>
  <c r="AHX9" i="28"/>
  <c r="AHT9" i="28"/>
  <c r="AHP9" i="28"/>
  <c r="AIR9" i="28"/>
  <c r="AIN10" i="28"/>
  <c r="AIJ10" i="28"/>
  <c r="AIF10" i="28"/>
  <c r="AIB10" i="28"/>
  <c r="AHX10" i="28"/>
  <c r="AHT10" i="28"/>
  <c r="AHP10" i="28"/>
  <c r="AIR10" i="28"/>
  <c r="AIN11" i="28"/>
  <c r="AIJ11" i="28"/>
  <c r="AIF11" i="28"/>
  <c r="AIB11" i="28"/>
  <c r="AHX11" i="28"/>
  <c r="AHT11" i="28"/>
  <c r="AHP11" i="28"/>
  <c r="AIR11" i="28"/>
  <c r="AIN12" i="28"/>
  <c r="AIJ12" i="28"/>
  <c r="AIF12" i="28"/>
  <c r="AIB12" i="28"/>
  <c r="AHX12" i="28"/>
  <c r="AHT12" i="28"/>
  <c r="AHP12" i="28"/>
  <c r="AIR12" i="28"/>
  <c r="AIN13" i="28"/>
  <c r="AIJ13" i="28"/>
  <c r="AIF13" i="28"/>
  <c r="AIB13" i="28"/>
  <c r="AHX13" i="28"/>
  <c r="AHT13" i="28"/>
  <c r="AHP13" i="28"/>
  <c r="AIR13" i="28"/>
  <c r="AIN14" i="28"/>
  <c r="AIJ14" i="28"/>
  <c r="AIF14" i="28"/>
  <c r="AIB14" i="28"/>
  <c r="AHX14" i="28"/>
  <c r="AHT14" i="28"/>
  <c r="AHP14" i="28"/>
  <c r="AIR14" i="28"/>
  <c r="AIN15" i="28"/>
  <c r="AIJ15" i="28"/>
  <c r="AIF15" i="28"/>
  <c r="AIB15" i="28"/>
  <c r="AHX15" i="28"/>
  <c r="AHT15" i="28"/>
  <c r="AHP15" i="28"/>
  <c r="AIR15" i="28"/>
  <c r="AIN16" i="28"/>
  <c r="AIJ16" i="28"/>
  <c r="AIF16" i="28"/>
  <c r="AIB16" i="28"/>
  <c r="AHX16" i="28"/>
  <c r="AHT16" i="28"/>
  <c r="AHP16" i="28"/>
  <c r="AIR16" i="28"/>
  <c r="AIN19" i="28"/>
  <c r="AIJ19" i="28"/>
  <c r="AIF19" i="28"/>
  <c r="AIB19" i="28"/>
  <c r="AHX19" i="28"/>
  <c r="AHT19" i="28"/>
  <c r="AHP19" i="28"/>
  <c r="AIR19" i="28"/>
  <c r="AIN20" i="28"/>
  <c r="AIJ20" i="28"/>
  <c r="AIF20" i="28"/>
  <c r="AIB20" i="28"/>
  <c r="AHX20" i="28"/>
  <c r="AHT20" i="28"/>
  <c r="AHP20" i="28"/>
  <c r="AIR20" i="28"/>
  <c r="AIN21" i="28"/>
  <c r="AIJ21" i="28"/>
  <c r="AIF21" i="28"/>
  <c r="AIB21" i="28"/>
  <c r="AHX21" i="28"/>
  <c r="AHT21" i="28"/>
  <c r="AHP21" i="28"/>
  <c r="AIR21" i="28"/>
  <c r="AIN22" i="28"/>
  <c r="AIJ22" i="28"/>
  <c r="AIF22" i="28"/>
  <c r="AIB22" i="28"/>
  <c r="AHX22" i="28"/>
  <c r="AHT22" i="28"/>
  <c r="AHP22" i="28"/>
  <c r="AIR22" i="28"/>
  <c r="AIN23" i="28"/>
  <c r="AIJ23" i="28"/>
  <c r="AIF23" i="28"/>
  <c r="AIB23" i="28"/>
  <c r="AHX23" i="28"/>
  <c r="AHT23" i="28"/>
  <c r="AHP23" i="28"/>
  <c r="AIR23" i="28"/>
  <c r="AIN24" i="28"/>
  <c r="AIJ24" i="28"/>
  <c r="AIF24" i="28"/>
  <c r="AIB24" i="28"/>
  <c r="AHX24" i="28"/>
  <c r="AHT24" i="28"/>
  <c r="AHP24" i="28"/>
  <c r="AIR24" i="28"/>
  <c r="AIN25" i="28"/>
  <c r="AIJ25" i="28"/>
  <c r="AIF25" i="28"/>
  <c r="AIB25" i="28"/>
  <c r="AHX25" i="28"/>
  <c r="AHT25" i="28"/>
  <c r="AHP25" i="28"/>
  <c r="AIR25" i="28"/>
  <c r="AIN26" i="28"/>
  <c r="AIJ26" i="28"/>
  <c r="AIF26" i="28"/>
  <c r="AIB26" i="28"/>
  <c r="AHX26" i="28"/>
  <c r="AHT26" i="28"/>
  <c r="AHP26" i="28"/>
  <c r="AIR26" i="28"/>
  <c r="AIN27" i="28"/>
  <c r="AIJ27" i="28"/>
  <c r="AIF27" i="28"/>
  <c r="AIB27" i="28"/>
  <c r="AHX27" i="28"/>
  <c r="AHT27" i="28"/>
  <c r="AHP27" i="28"/>
  <c r="AIR27" i="28"/>
  <c r="AIN28" i="28"/>
  <c r="AIJ28" i="28"/>
  <c r="AIF28" i="28"/>
  <c r="AIB28" i="28"/>
  <c r="AHX28" i="28"/>
  <c r="AHT28" i="28"/>
  <c r="AHP28" i="28"/>
  <c r="AIR28" i="28"/>
  <c r="AIN29" i="28"/>
  <c r="AIJ29" i="28"/>
  <c r="AIF29" i="28"/>
  <c r="AIB29" i="28"/>
  <c r="AHX29" i="28"/>
  <c r="AHT29" i="28"/>
  <c r="AHP29" i="28"/>
  <c r="AIR29" i="28"/>
  <c r="AIN30" i="28"/>
  <c r="AIJ30" i="28"/>
  <c r="AIF30" i="28"/>
  <c r="AIB30" i="28"/>
  <c r="AHX30" i="28"/>
  <c r="AHT30" i="28"/>
  <c r="AHP30" i="28"/>
  <c r="AIR30" i="28"/>
  <c r="AIN31" i="28"/>
  <c r="AIJ31" i="28"/>
  <c r="AIF31" i="28"/>
  <c r="AIB31" i="28"/>
  <c r="AHX31" i="28"/>
  <c r="AHT31" i="28"/>
  <c r="AHP31" i="28"/>
  <c r="AIR31" i="28"/>
  <c r="AIN32" i="28"/>
  <c r="AIJ32" i="28"/>
  <c r="AIF32" i="28"/>
  <c r="AIB32" i="28"/>
  <c r="AHX32" i="28"/>
  <c r="AHT32" i="28"/>
  <c r="AHP32" i="28"/>
  <c r="AIR32" i="28"/>
  <c r="AIN33" i="28"/>
  <c r="AIJ33" i="28"/>
  <c r="AIF33" i="28"/>
  <c r="AIB33" i="28"/>
  <c r="AHX33" i="28"/>
  <c r="AHT33" i="28"/>
  <c r="AHP33" i="28"/>
  <c r="AIR33" i="28"/>
  <c r="AJT7" i="28"/>
  <c r="AJP7" i="28"/>
  <c r="AJL7" i="28"/>
  <c r="AJH7" i="28"/>
  <c r="AJD7" i="28"/>
  <c r="AIZ7" i="28"/>
  <c r="AIV7" i="28"/>
  <c r="AJT8" i="28"/>
  <c r="AJP8" i="28"/>
  <c r="AIV8" i="28"/>
  <c r="AIZ8" i="28"/>
  <c r="AJD8" i="28"/>
  <c r="AJH8" i="28"/>
  <c r="AJL8" i="28"/>
  <c r="AJT9" i="28"/>
  <c r="AJP9" i="28"/>
  <c r="AIV9" i="28"/>
  <c r="AIZ9" i="28"/>
  <c r="AJD9" i="28"/>
  <c r="AJH9" i="28"/>
  <c r="AJL9" i="28"/>
  <c r="AJT10" i="28"/>
  <c r="AJP10" i="28"/>
  <c r="AIV10" i="28"/>
  <c r="AIZ10" i="28"/>
  <c r="AJD10" i="28"/>
  <c r="AJH10" i="28"/>
  <c r="AJL10" i="28"/>
  <c r="AJT11" i="28"/>
  <c r="AJP11" i="28"/>
  <c r="AIV11" i="28"/>
  <c r="AIZ11" i="28"/>
  <c r="AJD11" i="28"/>
  <c r="AJH11" i="28"/>
  <c r="AJL11" i="28"/>
  <c r="AJT12" i="28"/>
  <c r="AJP12" i="28"/>
  <c r="AIV12" i="28"/>
  <c r="AIZ12" i="28"/>
  <c r="AJD12" i="28"/>
  <c r="AJH12" i="28"/>
  <c r="AJL12" i="28"/>
  <c r="AJT13" i="28"/>
  <c r="AJP13" i="28"/>
  <c r="AIV13" i="28"/>
  <c r="AIZ13" i="28"/>
  <c r="AJD13" i="28"/>
  <c r="AJH13" i="28"/>
  <c r="AJL13" i="28"/>
  <c r="AJT14" i="28"/>
  <c r="AJP14" i="28"/>
  <c r="AIV14" i="28"/>
  <c r="AIZ14" i="28"/>
  <c r="AJD14" i="28"/>
  <c r="AJH14" i="28"/>
  <c r="AJL14" i="28"/>
  <c r="AJT15" i="28"/>
  <c r="AJP15" i="28"/>
  <c r="AIV15" i="28"/>
  <c r="AIZ15" i="28"/>
  <c r="AJD15" i="28"/>
  <c r="AJH15" i="28"/>
  <c r="AJL15" i="28"/>
  <c r="AJT16" i="28"/>
  <c r="AJP16" i="28"/>
  <c r="AIV16" i="28"/>
  <c r="AIZ16" i="28"/>
  <c r="AJD16" i="28"/>
  <c r="AJH16" i="28"/>
  <c r="AJL16" i="28"/>
  <c r="AJT19" i="28"/>
  <c r="AJP19" i="28"/>
  <c r="AIV19" i="28"/>
  <c r="AIZ19" i="28"/>
  <c r="AJD19" i="28"/>
  <c r="AJH19" i="28"/>
  <c r="AJL19" i="28"/>
  <c r="AJT20" i="28"/>
  <c r="AJP20" i="28"/>
  <c r="AIV20" i="28"/>
  <c r="AIZ20" i="28"/>
  <c r="AJD20" i="28"/>
  <c r="AJH20" i="28"/>
  <c r="AJL20" i="28"/>
  <c r="AJT21" i="28"/>
  <c r="AJP21" i="28"/>
  <c r="AIV21" i="28"/>
  <c r="AIZ21" i="28"/>
  <c r="AJD21" i="28"/>
  <c r="AJH21" i="28"/>
  <c r="AJL21" i="28"/>
  <c r="AJT22" i="28"/>
  <c r="AJP22" i="28"/>
  <c r="AIV22" i="28"/>
  <c r="AIZ22" i="28"/>
  <c r="AJD22" i="28"/>
  <c r="AJH22" i="28"/>
  <c r="AJL22" i="28"/>
  <c r="AJT23" i="28"/>
  <c r="AJP23" i="28"/>
  <c r="AIV23" i="28"/>
  <c r="AIZ23" i="28"/>
  <c r="AJD23" i="28"/>
  <c r="AJH23" i="28"/>
  <c r="AJL23" i="28"/>
  <c r="AJT24" i="28"/>
  <c r="AJP24" i="28"/>
  <c r="AIV24" i="28"/>
  <c r="AIZ24" i="28"/>
  <c r="AJD24" i="28"/>
  <c r="AJH24" i="28"/>
  <c r="AJL24" i="28"/>
  <c r="AJT25" i="28"/>
  <c r="AJP25" i="28"/>
  <c r="AIV25" i="28"/>
  <c r="AIZ25" i="28"/>
  <c r="AJD25" i="28"/>
  <c r="AJH25" i="28"/>
  <c r="AJL25" i="28"/>
  <c r="AJT26" i="28"/>
  <c r="AJP26" i="28"/>
  <c r="AIV26" i="28"/>
  <c r="AIZ26" i="28"/>
  <c r="AJD26" i="28"/>
  <c r="AJH26" i="28"/>
  <c r="AJL26" i="28"/>
  <c r="AJT27" i="28"/>
  <c r="AJP27" i="28"/>
  <c r="AIV27" i="28"/>
  <c r="AIZ27" i="28"/>
  <c r="AJD27" i="28"/>
  <c r="AJH27" i="28"/>
  <c r="AJL27" i="28"/>
  <c r="AJT28" i="28"/>
  <c r="AJP28" i="28"/>
  <c r="AIV28" i="28"/>
  <c r="AIZ28" i="28"/>
  <c r="AJD28" i="28"/>
  <c r="AJH28" i="28"/>
  <c r="AJL28" i="28"/>
  <c r="AJT29" i="28"/>
  <c r="AJP29" i="28"/>
  <c r="AIV29" i="28"/>
  <c r="AIZ29" i="28"/>
  <c r="AJD29" i="28"/>
  <c r="AJH29" i="28"/>
  <c r="AJL29" i="28"/>
  <c r="AJT30" i="28"/>
  <c r="AJP30" i="28"/>
  <c r="AIV30" i="28"/>
  <c r="AIZ30" i="28"/>
  <c r="AJD30" i="28"/>
  <c r="AJH30" i="28"/>
  <c r="AJL30" i="28"/>
  <c r="AJT31" i="28"/>
  <c r="AJP31" i="28"/>
  <c r="AIV31" i="28"/>
  <c r="AIZ31" i="28"/>
  <c r="AJD31" i="28"/>
  <c r="AJH31" i="28"/>
  <c r="AJL31" i="28"/>
  <c r="AJT32" i="28"/>
  <c r="AJP32" i="28"/>
  <c r="AIV32" i="28"/>
  <c r="AIZ32" i="28"/>
  <c r="AJD32" i="28"/>
  <c r="AJH32" i="28"/>
  <c r="AJL32" i="28"/>
  <c r="AJT33" i="28"/>
  <c r="AJP33" i="28"/>
  <c r="AIV33" i="28"/>
  <c r="AIZ33" i="28"/>
  <c r="AJD33" i="28"/>
  <c r="AJH33" i="28"/>
  <c r="AJL33" i="28"/>
  <c r="AKB7" i="28"/>
  <c r="AKF7" i="28"/>
  <c r="AKJ7" i="28"/>
  <c r="AKN7" i="28"/>
  <c r="AKR7" i="28"/>
  <c r="AKV7" i="28"/>
  <c r="AKZ7" i="28"/>
  <c r="AKB8" i="28"/>
  <c r="AKF8" i="28"/>
  <c r="AKJ8" i="28"/>
  <c r="AKN8" i="28"/>
  <c r="AKR8" i="28"/>
  <c r="AKV8" i="28"/>
  <c r="AKZ8" i="28"/>
  <c r="AKB9" i="28"/>
  <c r="AKF9" i="28"/>
  <c r="AKJ9" i="28"/>
  <c r="AKN9" i="28"/>
  <c r="AKR9" i="28"/>
  <c r="AKV9" i="28"/>
  <c r="AKZ9" i="28"/>
  <c r="AKB10" i="28"/>
  <c r="AKF10" i="28"/>
  <c r="AKJ10" i="28"/>
  <c r="AKN10" i="28"/>
  <c r="AKR10" i="28"/>
  <c r="AKV10" i="28"/>
  <c r="AKZ10" i="28"/>
  <c r="AKB11" i="28"/>
  <c r="AKF11" i="28"/>
  <c r="AKJ11" i="28"/>
  <c r="AKN11" i="28"/>
  <c r="AKR11" i="28"/>
  <c r="AKV11" i="28"/>
  <c r="AKZ11" i="28"/>
  <c r="AKB12" i="28"/>
  <c r="AKF12" i="28"/>
  <c r="AKJ12" i="28"/>
  <c r="AKN12" i="28"/>
  <c r="AKR12" i="28"/>
  <c r="AKV12" i="28"/>
  <c r="AKZ12" i="28"/>
  <c r="AKB13" i="28"/>
  <c r="AKF13" i="28"/>
  <c r="AKJ13" i="28"/>
  <c r="AKN13" i="28"/>
  <c r="AKR13" i="28"/>
  <c r="AKV13" i="28"/>
  <c r="AKZ13" i="28"/>
  <c r="AKB14" i="28"/>
  <c r="AKF14" i="28"/>
  <c r="AKJ14" i="28"/>
  <c r="AKN14" i="28"/>
  <c r="AKR14" i="28"/>
  <c r="AKV14" i="28"/>
  <c r="AKZ14" i="28"/>
  <c r="AKB15" i="28"/>
  <c r="AKF15" i="28"/>
  <c r="AKJ15" i="28"/>
  <c r="AKN15" i="28"/>
  <c r="AKR15" i="28"/>
  <c r="AKV15" i="28"/>
  <c r="AKZ15" i="28"/>
  <c r="AKB16" i="28"/>
  <c r="AKF16" i="28"/>
  <c r="AKJ16" i="28"/>
  <c r="AKN16" i="28"/>
  <c r="AKR16" i="28"/>
  <c r="AKV16" i="28"/>
  <c r="AKZ16" i="28"/>
  <c r="AKB18" i="28"/>
  <c r="AKF18" i="28"/>
  <c r="AKJ18" i="28"/>
  <c r="AKN18" i="28"/>
  <c r="AKR18" i="28"/>
  <c r="AKV18" i="28"/>
  <c r="AKZ18" i="28"/>
  <c r="AKB19" i="28"/>
  <c r="AKF19" i="28"/>
  <c r="AKJ19" i="28"/>
  <c r="AKN19" i="28"/>
  <c r="AKR19" i="28"/>
  <c r="AKV19" i="28"/>
  <c r="AKZ19" i="28"/>
  <c r="AKB20" i="28"/>
  <c r="AKF20" i="28"/>
  <c r="AKJ20" i="28"/>
  <c r="AKN20" i="28"/>
  <c r="AKR20" i="28"/>
  <c r="AKV20" i="28"/>
  <c r="AKZ20" i="28"/>
  <c r="AKB21" i="28"/>
  <c r="AKF21" i="28"/>
  <c r="AKJ21" i="28"/>
  <c r="AKN21" i="28"/>
  <c r="AKR21" i="28"/>
  <c r="AKV21" i="28"/>
  <c r="AKZ21" i="28"/>
  <c r="AKB22" i="28"/>
  <c r="AKF22" i="28"/>
  <c r="AKJ22" i="28"/>
  <c r="AKN22" i="28"/>
  <c r="AKR22" i="28"/>
  <c r="AKV22" i="28"/>
  <c r="AKZ22" i="28"/>
  <c r="AKB23" i="28"/>
  <c r="AKF23" i="28"/>
  <c r="AKJ23" i="28"/>
  <c r="AKN23" i="28"/>
  <c r="AKR23" i="28"/>
  <c r="AKV23" i="28"/>
  <c r="AKZ23" i="28"/>
  <c r="AKB24" i="28"/>
  <c r="AKF24" i="28"/>
  <c r="AKJ24" i="28"/>
  <c r="AKN24" i="28"/>
  <c r="AKR24" i="28"/>
  <c r="AKV24" i="28"/>
  <c r="AKZ24" i="28"/>
  <c r="AKB26" i="28"/>
  <c r="AKF26" i="28"/>
  <c r="AKJ26" i="28"/>
  <c r="AKN26" i="28"/>
  <c r="AKR26" i="28"/>
  <c r="AKV26" i="28"/>
  <c r="AKZ26" i="28"/>
  <c r="AKB27" i="28"/>
  <c r="AKF27" i="28"/>
  <c r="AKJ27" i="28"/>
  <c r="AKN27" i="28"/>
  <c r="AKR27" i="28"/>
  <c r="AKV27" i="28"/>
  <c r="AKZ27" i="28"/>
  <c r="AKB28" i="28"/>
  <c r="AKF28" i="28"/>
  <c r="AKJ28" i="28"/>
  <c r="AKN28" i="28"/>
  <c r="AKR28" i="28"/>
  <c r="AKV28" i="28"/>
  <c r="AKZ28" i="28"/>
  <c r="AKB29" i="28"/>
  <c r="AKF29" i="28"/>
  <c r="AKJ29" i="28"/>
  <c r="AKN29" i="28"/>
  <c r="AKR29" i="28"/>
  <c r="AKV29" i="28"/>
  <c r="AKZ29" i="28"/>
  <c r="AKB30" i="28"/>
  <c r="AKF30" i="28"/>
  <c r="AKJ30" i="28"/>
  <c r="AKN30" i="28"/>
  <c r="AKR30" i="28"/>
  <c r="AKV30" i="28"/>
  <c r="AKZ30" i="28"/>
  <c r="AKB31" i="28"/>
  <c r="AKF31" i="28"/>
  <c r="AKJ31" i="28"/>
  <c r="AKN31" i="28"/>
  <c r="AKR31" i="28"/>
  <c r="AKV31" i="28"/>
  <c r="AKZ31" i="28"/>
  <c r="AKB32" i="28"/>
  <c r="AKF32" i="28"/>
  <c r="AKJ32" i="28"/>
  <c r="AKN32" i="28"/>
  <c r="AKR32" i="28"/>
  <c r="AKV32" i="28"/>
  <c r="AKZ32" i="28"/>
  <c r="AKB33" i="28"/>
  <c r="AKF33" i="28"/>
  <c r="AKJ33" i="28"/>
  <c r="AKN33" i="28"/>
  <c r="AKR33" i="28"/>
  <c r="AKV33" i="28"/>
  <c r="AKZ33" i="28"/>
  <c r="PD7" i="28"/>
  <c r="PH7" i="28"/>
  <c r="PL7" i="28"/>
  <c r="PP7" i="28"/>
  <c r="PT7" i="28"/>
  <c r="PX7" i="28"/>
  <c r="QB7" i="28"/>
  <c r="PD8" i="28"/>
  <c r="PH8" i="28"/>
  <c r="PL8" i="28"/>
  <c r="PP8" i="28"/>
  <c r="PT8" i="28"/>
  <c r="PX8" i="28"/>
  <c r="QB8" i="28"/>
  <c r="PD9" i="28"/>
  <c r="PH9" i="28"/>
  <c r="PL9" i="28"/>
  <c r="PP9" i="28"/>
  <c r="PT9" i="28"/>
  <c r="PX9" i="28"/>
  <c r="QB9" i="28"/>
  <c r="PD10" i="28"/>
  <c r="PH10" i="28"/>
  <c r="PL10" i="28"/>
  <c r="PP10" i="28"/>
  <c r="PT10" i="28"/>
  <c r="PX10" i="28"/>
  <c r="QB10" i="28"/>
  <c r="PD11" i="28"/>
  <c r="PH11" i="28"/>
  <c r="PL11" i="28"/>
  <c r="PP11" i="28"/>
  <c r="PT11" i="28"/>
  <c r="PX11" i="28"/>
  <c r="QB11" i="28"/>
  <c r="PD12" i="28"/>
  <c r="PH12" i="28"/>
  <c r="PL12" i="28"/>
  <c r="PP12" i="28"/>
  <c r="PT12" i="28"/>
  <c r="PX12" i="28"/>
  <c r="QB12" i="28"/>
  <c r="PD13" i="28"/>
  <c r="PH13" i="28"/>
  <c r="PL13" i="28"/>
  <c r="PP13" i="28"/>
  <c r="PT13" i="28"/>
  <c r="PX13" i="28"/>
  <c r="QB13" i="28"/>
  <c r="PD14" i="28"/>
  <c r="PH14" i="28"/>
  <c r="PL14" i="28"/>
  <c r="PP14" i="28"/>
  <c r="PT14" i="28"/>
  <c r="PX14" i="28"/>
  <c r="QB14" i="28"/>
  <c r="PD15" i="28"/>
  <c r="PH15" i="28"/>
  <c r="PL15" i="28"/>
  <c r="PP15" i="28"/>
  <c r="PT15" i="28"/>
  <c r="PX15" i="28"/>
  <c r="QB15" i="28"/>
  <c r="PD16" i="28"/>
  <c r="PH16" i="28"/>
  <c r="PL16" i="28"/>
  <c r="PP16" i="28"/>
  <c r="PT16" i="28"/>
  <c r="PX16" i="28"/>
  <c r="QB16" i="28"/>
  <c r="PD19" i="28"/>
  <c r="PH19" i="28"/>
  <c r="PL19" i="28"/>
  <c r="PP19" i="28"/>
  <c r="PT19" i="28"/>
  <c r="PX19" i="28"/>
  <c r="QB19" i="28"/>
  <c r="PD20" i="28"/>
  <c r="PH20" i="28"/>
  <c r="PL20" i="28"/>
  <c r="PP20" i="28"/>
  <c r="PT20" i="28"/>
  <c r="PX20" i="28"/>
  <c r="QB20" i="28"/>
  <c r="PD21" i="28"/>
  <c r="PH21" i="28"/>
  <c r="PL21" i="28"/>
  <c r="PP21" i="28"/>
  <c r="PT21" i="28"/>
  <c r="PX21" i="28"/>
  <c r="QB21" i="28"/>
  <c r="PD22" i="28"/>
  <c r="PH22" i="28"/>
  <c r="PL22" i="28"/>
  <c r="PP22" i="28"/>
  <c r="PT22" i="28"/>
  <c r="PX22" i="28"/>
  <c r="QB22" i="28"/>
  <c r="PD23" i="28"/>
  <c r="PH23" i="28"/>
  <c r="PL23" i="28"/>
  <c r="PP23" i="28"/>
  <c r="PT23" i="28"/>
  <c r="PX23" i="28"/>
  <c r="QB23" i="28"/>
  <c r="PD24" i="28"/>
  <c r="PH24" i="28"/>
  <c r="PL24" i="28"/>
  <c r="PP24" i="28"/>
  <c r="PT24" i="28"/>
  <c r="PX24" i="28"/>
  <c r="QB24" i="28"/>
  <c r="PD25" i="28"/>
  <c r="PH25" i="28"/>
  <c r="PL25" i="28"/>
  <c r="PP25" i="28"/>
  <c r="PT25" i="28"/>
  <c r="PX25" i="28"/>
  <c r="QB25" i="28"/>
  <c r="PD26" i="28"/>
  <c r="PH26" i="28"/>
  <c r="PL26" i="28"/>
  <c r="PP26" i="28"/>
  <c r="PT26" i="28"/>
  <c r="PX26" i="28"/>
  <c r="QB26" i="28"/>
  <c r="PD27" i="28"/>
  <c r="PH27" i="28"/>
  <c r="PL27" i="28"/>
  <c r="PP27" i="28"/>
  <c r="PT27" i="28"/>
  <c r="PX27" i="28"/>
  <c r="QB27" i="28"/>
  <c r="PD28" i="28"/>
  <c r="PH28" i="28"/>
  <c r="PL28" i="28"/>
  <c r="PP28" i="28"/>
  <c r="PT28" i="28"/>
  <c r="PX28" i="28"/>
  <c r="QB28" i="28"/>
  <c r="PD29" i="28"/>
  <c r="PH29" i="28"/>
  <c r="PL29" i="28"/>
  <c r="PP29" i="28"/>
  <c r="PT29" i="28"/>
  <c r="PX29" i="28"/>
  <c r="QB29" i="28"/>
  <c r="PD30" i="28"/>
  <c r="PH30" i="28"/>
  <c r="PL30" i="28"/>
  <c r="PP30" i="28"/>
  <c r="PT30" i="28"/>
  <c r="PX30" i="28"/>
  <c r="QB30" i="28"/>
  <c r="PD31" i="28"/>
  <c r="PH31" i="28"/>
  <c r="PL31" i="28"/>
  <c r="PP31" i="28"/>
  <c r="PT31" i="28"/>
  <c r="PX31" i="28"/>
  <c r="QB31" i="28"/>
  <c r="PD32" i="28"/>
  <c r="PH32" i="28"/>
  <c r="PL32" i="28"/>
  <c r="PP32" i="28"/>
  <c r="PT32" i="28"/>
  <c r="PX32" i="28"/>
  <c r="QB32" i="28"/>
  <c r="PD33" i="28"/>
  <c r="PH33" i="28"/>
  <c r="PL33" i="28"/>
  <c r="PP33" i="28"/>
  <c r="PT33" i="28"/>
  <c r="PX33" i="28"/>
  <c r="QB33" i="28"/>
  <c r="FC16" i="28"/>
  <c r="ED16" i="28"/>
  <c r="FC21" i="28"/>
  <c r="FF21" i="28"/>
  <c r="ED17" i="28"/>
  <c r="DV20" i="28"/>
  <c r="DN20" i="28"/>
  <c r="DR20" i="28"/>
  <c r="DF20" i="28"/>
  <c r="DJ20" i="28"/>
  <c r="DB20" i="28"/>
  <c r="DR30" i="28"/>
  <c r="DJ30" i="28"/>
  <c r="DF30" i="28"/>
  <c r="DN30" i="28"/>
  <c r="DV30" i="28"/>
  <c r="DB30" i="28"/>
  <c r="DR8" i="28"/>
  <c r="DJ8" i="28"/>
  <c r="DN8" i="28"/>
  <c r="DF8" i="28"/>
  <c r="DV8" i="28"/>
  <c r="DB8" i="28"/>
  <c r="DR10" i="28"/>
  <c r="DJ10" i="28"/>
  <c r="DB10" i="28"/>
  <c r="DF10" i="28"/>
  <c r="DN10" i="28"/>
  <c r="DV10" i="28"/>
  <c r="DN12" i="28"/>
  <c r="DF12" i="28"/>
  <c r="DJ12" i="28"/>
  <c r="DR12" i="28"/>
  <c r="DB12" i="28"/>
  <c r="DV12" i="28"/>
  <c r="DN14" i="28"/>
  <c r="DR14" i="28"/>
  <c r="DB14" i="28"/>
  <c r="DJ14" i="28"/>
  <c r="DF14" i="28"/>
  <c r="DV14" i="28"/>
  <c r="DF16" i="28"/>
  <c r="DR16" i="28"/>
  <c r="DV16" i="28"/>
  <c r="DN16" i="28"/>
  <c r="DJ16" i="28"/>
  <c r="DB16" i="28"/>
  <c r="DF18" i="28"/>
  <c r="DN18" i="28"/>
  <c r="DV18" i="28"/>
  <c r="DB18" i="28"/>
  <c r="DJ18" i="28"/>
  <c r="DR18" i="28"/>
  <c r="DV24" i="28"/>
  <c r="DN24" i="28"/>
  <c r="DR24" i="28"/>
  <c r="DF24" i="28"/>
  <c r="DJ24" i="28"/>
  <c r="DB24" i="28"/>
  <c r="DF26" i="28"/>
  <c r="DN26" i="28"/>
  <c r="DV26" i="28"/>
  <c r="DB26" i="28"/>
  <c r="DJ26" i="28"/>
  <c r="DR26" i="28"/>
  <c r="DR32" i="28"/>
  <c r="DJ32" i="28"/>
  <c r="DB32" i="28"/>
  <c r="DN32" i="28"/>
  <c r="DF32" i="28"/>
  <c r="DV32" i="28"/>
  <c r="DF17" i="28"/>
  <c r="DN17" i="28"/>
  <c r="DB17" i="28"/>
  <c r="DV17" i="28"/>
  <c r="DJ17" i="28"/>
  <c r="DR17" i="28"/>
  <c r="DV19" i="28"/>
  <c r="DN19" i="28"/>
  <c r="DF19" i="28"/>
  <c r="DR19" i="28"/>
  <c r="DB19" i="28"/>
  <c r="DJ19" i="28"/>
  <c r="DJ21" i="28"/>
  <c r="DR21" i="28"/>
  <c r="DF21" i="28"/>
  <c r="DN21" i="28"/>
  <c r="DV21" i="28"/>
  <c r="DB21" i="28"/>
  <c r="DV23" i="28"/>
  <c r="DN23" i="28"/>
  <c r="DF23" i="28"/>
  <c r="DR23" i="28"/>
  <c r="DB23" i="28"/>
  <c r="DJ23" i="28"/>
  <c r="DJ25" i="28"/>
  <c r="DR25" i="28"/>
  <c r="DF25" i="28"/>
  <c r="DN25" i="28"/>
  <c r="DB25" i="28"/>
  <c r="DV25" i="28"/>
  <c r="DN27" i="28"/>
  <c r="DF27" i="28"/>
  <c r="DR27" i="28"/>
  <c r="DV27" i="28"/>
  <c r="DB27" i="28"/>
  <c r="DJ27" i="28"/>
  <c r="DR29" i="28"/>
  <c r="DJ29" i="28"/>
  <c r="DV29" i="28"/>
  <c r="DB29" i="28"/>
  <c r="DN29" i="28"/>
  <c r="DF29" i="28"/>
  <c r="DV31" i="28"/>
  <c r="DB31" i="28"/>
  <c r="DN31" i="28"/>
  <c r="DJ31" i="28"/>
  <c r="DF31" i="28"/>
  <c r="DR31" i="28"/>
  <c r="DV33" i="28"/>
  <c r="DR33" i="28"/>
  <c r="DJ33" i="28"/>
  <c r="DB33" i="28"/>
  <c r="DN33" i="28"/>
  <c r="DF33" i="28"/>
  <c r="DF22" i="28"/>
  <c r="DN22" i="28"/>
  <c r="DV22" i="28"/>
  <c r="DB22" i="28"/>
  <c r="DJ22" i="28"/>
  <c r="DR22" i="28"/>
  <c r="DF28" i="28"/>
  <c r="DN28" i="28"/>
  <c r="DV28" i="28"/>
  <c r="DJ28" i="28"/>
  <c r="DB28" i="28"/>
  <c r="DR28" i="28"/>
  <c r="DN9" i="28"/>
  <c r="DB9" i="28"/>
  <c r="DV9" i="28"/>
  <c r="DJ9" i="28"/>
  <c r="DR9" i="28"/>
  <c r="DF9" i="28"/>
  <c r="DR11" i="28"/>
  <c r="DR40" i="28" s="1"/>
  <c r="DF11" i="28"/>
  <c r="DF40" i="28" s="1"/>
  <c r="DN11" i="28"/>
  <c r="DB11" i="28"/>
  <c r="DJ11" i="28"/>
  <c r="DJ40" i="28" s="1"/>
  <c r="DV11" i="28"/>
  <c r="DV40" i="28" s="1"/>
  <c r="DV13" i="28"/>
  <c r="DN13" i="28"/>
  <c r="DF13" i="28"/>
  <c r="DJ13" i="28"/>
  <c r="DR13" i="28"/>
  <c r="DB13" i="28"/>
  <c r="DR15" i="28"/>
  <c r="DF15" i="28"/>
  <c r="DN15" i="28"/>
  <c r="DB15" i="28"/>
  <c r="DJ15" i="28"/>
  <c r="DV15" i="28"/>
  <c r="DV34" i="28"/>
  <c r="DN34" i="28"/>
  <c r="DF34" i="28"/>
  <c r="DJ34" i="28"/>
  <c r="DR34" i="28"/>
  <c r="DB34" i="28"/>
  <c r="BA6" i="28"/>
  <c r="BB6" i="28"/>
  <c r="BD6" i="28"/>
  <c r="JC45" i="25"/>
  <c r="JM45" i="25"/>
  <c r="KO45" i="25"/>
  <c r="HW45" i="25"/>
  <c r="KP40" i="25"/>
  <c r="KW45" i="25"/>
  <c r="AO35" i="25"/>
  <c r="AE35" i="25"/>
  <c r="Q35" i="25"/>
  <c r="JH45" i="25"/>
  <c r="IX45" i="25"/>
  <c r="KT45" i="25"/>
  <c r="AJ35" i="25"/>
  <c r="V35" i="25"/>
  <c r="KB41" i="25"/>
  <c r="HT45" i="25"/>
  <c r="JA41" i="25"/>
  <c r="JF41" i="25"/>
  <c r="JK41" i="25"/>
  <c r="JP41" i="25"/>
  <c r="JW45" i="25"/>
  <c r="KA45" i="25"/>
  <c r="KB45" i="25"/>
  <c r="KG45" i="25"/>
  <c r="KK45" i="25"/>
  <c r="KL45" i="25"/>
  <c r="KQ45" i="25"/>
  <c r="KU45" i="25"/>
  <c r="JA45" i="25"/>
  <c r="JK45" i="25"/>
  <c r="JL45" i="25"/>
  <c r="JP45" i="25"/>
  <c r="JQ45" i="25"/>
  <c r="KG41" i="25"/>
  <c r="KL41" i="25"/>
  <c r="IX41" i="25"/>
  <c r="JC41" i="25"/>
  <c r="JH41" i="25"/>
  <c r="JH47" i="25"/>
  <c r="JM41" i="25"/>
  <c r="JZ41" i="25"/>
  <c r="JZ47" i="25"/>
  <c r="KJ41" i="25"/>
  <c r="KO41" i="25"/>
  <c r="KT41" i="25"/>
  <c r="JT45" i="25"/>
  <c r="IY40" i="25"/>
  <c r="IZ40" i="25"/>
  <c r="JD40" i="25"/>
  <c r="JE40" i="25"/>
  <c r="JI40" i="25"/>
  <c r="JJ40" i="25"/>
  <c r="JU39" i="25"/>
  <c r="JV39" i="25"/>
  <c r="JT41" i="25"/>
  <c r="JW41" i="25"/>
  <c r="KQ41" i="25"/>
  <c r="HU43" i="25"/>
  <c r="KW41" i="25"/>
  <c r="KM39" i="25"/>
  <c r="KN39" i="25"/>
  <c r="IY39" i="25"/>
  <c r="IZ39" i="25"/>
  <c r="JD39" i="25"/>
  <c r="JE39" i="25"/>
  <c r="JI39" i="25"/>
  <c r="JJ39" i="25"/>
  <c r="JX43" i="25"/>
  <c r="JY43" i="25"/>
  <c r="KH43" i="25"/>
  <c r="KI43" i="25"/>
  <c r="KM43" i="25"/>
  <c r="KN43" i="25"/>
  <c r="KX39" i="25"/>
  <c r="KY39" i="25"/>
  <c r="JX39" i="25"/>
  <c r="JY39" i="25"/>
  <c r="KH39" i="25"/>
  <c r="KI39" i="25"/>
  <c r="IY43" i="25"/>
  <c r="IZ43" i="25"/>
  <c r="JD43" i="25"/>
  <c r="JE43" i="25"/>
  <c r="JI43" i="25"/>
  <c r="JJ43" i="25"/>
  <c r="JU40" i="25"/>
  <c r="JV40" i="25"/>
  <c r="JX40" i="25"/>
  <c r="JY40" i="25"/>
  <c r="KH40" i="25"/>
  <c r="KI40" i="25"/>
  <c r="KM40" i="25"/>
  <c r="KN40" i="25"/>
  <c r="KX43" i="25"/>
  <c r="KY43" i="25"/>
  <c r="CC34" i="25"/>
  <c r="CF34" i="25"/>
  <c r="CC33" i="25"/>
  <c r="CF33" i="25"/>
  <c r="HA35" i="25"/>
  <c r="HF35" i="25"/>
  <c r="HK35" i="25"/>
  <c r="HP35" i="25"/>
  <c r="HU35" i="25"/>
  <c r="HR43" i="25"/>
  <c r="HS43" i="25"/>
  <c r="HU44" i="25"/>
  <c r="HX43" i="25"/>
  <c r="HY43" i="25"/>
  <c r="HX44" i="25"/>
  <c r="HY44" i="25"/>
  <c r="ID35" i="25"/>
  <c r="II35" i="25"/>
  <c r="IN35" i="25"/>
  <c r="IS35" i="25"/>
  <c r="JB35" i="25"/>
  <c r="JB39" i="25"/>
  <c r="JB40" i="25"/>
  <c r="JB44" i="25"/>
  <c r="JG35" i="25"/>
  <c r="JG39" i="25"/>
  <c r="JG40" i="25"/>
  <c r="JF45" i="25"/>
  <c r="JL35" i="25"/>
  <c r="JL39" i="25"/>
  <c r="JL40" i="25"/>
  <c r="JL44" i="25"/>
  <c r="JS6" i="25"/>
  <c r="M6" i="24" s="1"/>
  <c r="JS7" i="25"/>
  <c r="M7" i="24" s="1"/>
  <c r="JS8" i="25"/>
  <c r="M8" i="24" s="1"/>
  <c r="JS9" i="25"/>
  <c r="M9" i="24" s="1"/>
  <c r="JS10" i="25"/>
  <c r="M10" i="24" s="1"/>
  <c r="JS11" i="25"/>
  <c r="M11" i="24" s="1"/>
  <c r="JN40" i="25"/>
  <c r="JO40" i="25"/>
  <c r="JS12" i="25"/>
  <c r="M12" i="24" s="1"/>
  <c r="JS13" i="25"/>
  <c r="M13" i="24" s="1"/>
  <c r="JS14" i="25"/>
  <c r="M14" i="24" s="1"/>
  <c r="JS15" i="25"/>
  <c r="M15" i="24" s="1"/>
  <c r="JS18" i="25"/>
  <c r="M18" i="24" s="1"/>
  <c r="JS19" i="25"/>
  <c r="M19" i="24" s="1"/>
  <c r="JS20" i="25"/>
  <c r="M20" i="24" s="1"/>
  <c r="JS21" i="25"/>
  <c r="M21" i="24" s="1"/>
  <c r="JS22" i="25"/>
  <c r="M22" i="24" s="1"/>
  <c r="JS23" i="25"/>
  <c r="M23" i="24" s="1"/>
  <c r="JS24" i="25"/>
  <c r="M24" i="24" s="1"/>
  <c r="JS25" i="25"/>
  <c r="M25" i="24" s="1"/>
  <c r="JN43" i="25"/>
  <c r="JO43" i="25"/>
  <c r="JS26" i="25"/>
  <c r="M26" i="24" s="1"/>
  <c r="JS27" i="25"/>
  <c r="M27" i="24" s="1"/>
  <c r="JS28" i="25"/>
  <c r="M28" i="24" s="1"/>
  <c r="JS29" i="25"/>
  <c r="M29" i="24" s="1"/>
  <c r="JS30" i="25"/>
  <c r="M30" i="24" s="1"/>
  <c r="JS31" i="25"/>
  <c r="M31" i="24" s="1"/>
  <c r="JS32" i="25"/>
  <c r="M32" i="24" s="1"/>
  <c r="JQ35" i="25"/>
  <c r="JQ39" i="25"/>
  <c r="JQ40" i="25"/>
  <c r="JQ44" i="25"/>
  <c r="JU38" i="25"/>
  <c r="JV38" i="25" s="1"/>
  <c r="JU43" i="25"/>
  <c r="JV43" i="25"/>
  <c r="KA35" i="25"/>
  <c r="KA39" i="25"/>
  <c r="KA40" i="25"/>
  <c r="KA44" i="25"/>
  <c r="KF35" i="25"/>
  <c r="KF39" i="25"/>
  <c r="KF40" i="25"/>
  <c r="KF44" i="25"/>
  <c r="KK35" i="25"/>
  <c r="KK39" i="25"/>
  <c r="KK40" i="25"/>
  <c r="KK44" i="25"/>
  <c r="KP35" i="25"/>
  <c r="KP39" i="25"/>
  <c r="KP44" i="25"/>
  <c r="KV6" i="25"/>
  <c r="N6" i="24" s="1"/>
  <c r="KR38" i="25"/>
  <c r="KV7" i="25"/>
  <c r="N7" i="24" s="1"/>
  <c r="KV8" i="25"/>
  <c r="N8" i="24" s="1"/>
  <c r="KV9" i="25"/>
  <c r="N9" i="24" s="1"/>
  <c r="KV10" i="25"/>
  <c r="N10" i="24" s="1"/>
  <c r="KV11" i="25"/>
  <c r="N11" i="24" s="1"/>
  <c r="KR40" i="25"/>
  <c r="KS40" i="25"/>
  <c r="KV12" i="25"/>
  <c r="N12" i="24" s="1"/>
  <c r="KV13" i="25"/>
  <c r="N13" i="24" s="1"/>
  <c r="KV14" i="25"/>
  <c r="N14" i="24" s="1"/>
  <c r="KV15" i="25"/>
  <c r="N15" i="24" s="1"/>
  <c r="KV18" i="25"/>
  <c r="N18" i="24" s="1"/>
  <c r="KV19" i="25"/>
  <c r="N19" i="24" s="1"/>
  <c r="KV20" i="25"/>
  <c r="N20" i="24" s="1"/>
  <c r="KV21" i="25"/>
  <c r="N21" i="24" s="1"/>
  <c r="KV22" i="25"/>
  <c r="N22" i="24" s="1"/>
  <c r="KV23" i="25"/>
  <c r="N23" i="24" s="1"/>
  <c r="KV24" i="25"/>
  <c r="N24" i="24" s="1"/>
  <c r="KV25" i="25"/>
  <c r="N25" i="24" s="1"/>
  <c r="KR43" i="25"/>
  <c r="KS43" i="25"/>
  <c r="KV26" i="25"/>
  <c r="N26" i="24" s="1"/>
  <c r="KV27" i="25"/>
  <c r="N27" i="24" s="1"/>
  <c r="KV28" i="25"/>
  <c r="N28" i="24" s="1"/>
  <c r="KV29" i="25"/>
  <c r="N29" i="24" s="1"/>
  <c r="KV30" i="25"/>
  <c r="N30" i="24" s="1"/>
  <c r="KV31" i="25"/>
  <c r="N31" i="24" s="1"/>
  <c r="KV32" i="25"/>
  <c r="N32" i="24" s="1"/>
  <c r="KU35" i="25"/>
  <c r="KU39" i="25"/>
  <c r="KU40" i="25"/>
  <c r="KU44" i="25"/>
  <c r="KX38" i="25"/>
  <c r="KX40" i="25"/>
  <c r="KY40" i="25"/>
  <c r="KX44" i="25"/>
  <c r="KY44" i="25"/>
  <c r="LB43" i="25"/>
  <c r="LB45" i="25"/>
  <c r="LB40" i="25"/>
  <c r="LB39" i="25"/>
  <c r="KX35" i="25"/>
  <c r="KY35" i="25"/>
  <c r="KU38" i="25"/>
  <c r="KU43" i="25"/>
  <c r="KP38" i="25"/>
  <c r="KP43" i="25"/>
  <c r="KK38" i="25"/>
  <c r="KK43" i="25"/>
  <c r="KC39" i="25"/>
  <c r="KD39" i="25"/>
  <c r="KC43" i="25"/>
  <c r="KD43" i="25"/>
  <c r="KC40" i="25"/>
  <c r="KD40" i="25"/>
  <c r="KE45" i="25"/>
  <c r="KE41" i="25"/>
  <c r="KF38" i="25"/>
  <c r="KF43" i="25"/>
  <c r="KA38" i="25"/>
  <c r="KA43" i="25"/>
  <c r="JU35" i="25"/>
  <c r="JV35" i="25"/>
  <c r="JU44" i="25"/>
  <c r="JQ38" i="25"/>
  <c r="JQ43" i="25"/>
  <c r="JL43" i="25"/>
  <c r="JL38" i="25"/>
  <c r="JC47" i="25"/>
  <c r="JG43" i="25"/>
  <c r="JG44" i="25"/>
  <c r="JG38" i="25"/>
  <c r="JB43" i="25"/>
  <c r="JB38" i="25"/>
  <c r="IV35" i="25"/>
  <c r="IW35" i="25" s="1"/>
  <c r="HQ45" i="25"/>
  <c r="GT44" i="25"/>
  <c r="GT43" i="25"/>
  <c r="GT40" i="25"/>
  <c r="GT39" i="25"/>
  <c r="GT38" i="25"/>
  <c r="GT35" i="25"/>
  <c r="GU34" i="25"/>
  <c r="GV34" i="25"/>
  <c r="GU33" i="25"/>
  <c r="GV33" i="25"/>
  <c r="GU32" i="25"/>
  <c r="GV32" i="25"/>
  <c r="GU31" i="25"/>
  <c r="GV31" i="25"/>
  <c r="GU30" i="25"/>
  <c r="GV30" i="25"/>
  <c r="GU29" i="25"/>
  <c r="GV29" i="25"/>
  <c r="GU28" i="25"/>
  <c r="GV28" i="25"/>
  <c r="GU27" i="25"/>
  <c r="GV27" i="25"/>
  <c r="GU26" i="25"/>
  <c r="GV26" i="25"/>
  <c r="GU25" i="25"/>
  <c r="GV25" i="25"/>
  <c r="GU24" i="25"/>
  <c r="GV24" i="25"/>
  <c r="GU23" i="25"/>
  <c r="GV23" i="25"/>
  <c r="GU22" i="25"/>
  <c r="GV22" i="25"/>
  <c r="GU21" i="25"/>
  <c r="GV21" i="25"/>
  <c r="GU20" i="25"/>
  <c r="GV20" i="25"/>
  <c r="GU19" i="25"/>
  <c r="GV19" i="25"/>
  <c r="GU18" i="25"/>
  <c r="GV18" i="25"/>
  <c r="GU17" i="25"/>
  <c r="GV17" i="25"/>
  <c r="GU16" i="25"/>
  <c r="GV16" i="25"/>
  <c r="GU15" i="25"/>
  <c r="GV15" i="25"/>
  <c r="GU14" i="25"/>
  <c r="GV14" i="25"/>
  <c r="GU13" i="25"/>
  <c r="GV13" i="25"/>
  <c r="GU12" i="25"/>
  <c r="GV12" i="25"/>
  <c r="GU11" i="25"/>
  <c r="GV11" i="25"/>
  <c r="GU10" i="25"/>
  <c r="GV10" i="25"/>
  <c r="GU9" i="25"/>
  <c r="GV9" i="25"/>
  <c r="GU8" i="25"/>
  <c r="GV8" i="25"/>
  <c r="GU7" i="25"/>
  <c r="GV7" i="25"/>
  <c r="GQ35" i="25"/>
  <c r="GN35" i="25"/>
  <c r="GL35" i="25"/>
  <c r="GI35" i="25"/>
  <c r="GG35" i="25"/>
  <c r="GD35" i="25"/>
  <c r="GB35" i="25"/>
  <c r="FY35" i="25"/>
  <c r="W23" i="27"/>
  <c r="KX58" i="29"/>
  <c r="KY58" i="29"/>
  <c r="KT54" i="29"/>
  <c r="KQ64" i="29"/>
  <c r="KQ56" i="29"/>
  <c r="KT56" i="29"/>
  <c r="KT51" i="29"/>
  <c r="BD6" i="30"/>
  <c r="BA6" i="30"/>
  <c r="BB6" i="30"/>
  <c r="JQ55" i="29"/>
  <c r="JR55" i="29"/>
  <c r="JN56" i="29"/>
  <c r="JQ51" i="29"/>
  <c r="JR51" i="29"/>
  <c r="CV53" i="29"/>
  <c r="CF53" i="29"/>
  <c r="FJ52" i="29"/>
  <c r="FU52" i="29"/>
  <c r="LA54" i="29"/>
  <c r="LB54" i="29"/>
  <c r="CM64" i="29"/>
  <c r="CP54" i="29"/>
  <c r="EV53" i="29"/>
  <c r="EW53" i="29"/>
  <c r="DU68" i="29"/>
  <c r="DW67" i="29"/>
  <c r="JN64" i="29"/>
  <c r="JQ54" i="29"/>
  <c r="JR54" i="29"/>
  <c r="CV52" i="29"/>
  <c r="CF52" i="29"/>
  <c r="FJ55" i="29"/>
  <c r="FU55" i="29"/>
  <c r="FG56" i="29"/>
  <c r="FJ51" i="29"/>
  <c r="FU51" i="29"/>
  <c r="LA53" i="29"/>
  <c r="LB53" i="29"/>
  <c r="EW52" i="29"/>
  <c r="EV52" i="29"/>
  <c r="JQ53" i="29"/>
  <c r="JR53" i="29"/>
  <c r="CV55" i="29"/>
  <c r="CF55" i="29"/>
  <c r="CV51" i="29"/>
  <c r="CF51" i="29"/>
  <c r="CC56" i="29"/>
  <c r="DF68" i="29"/>
  <c r="DI67" i="29"/>
  <c r="FG64" i="29"/>
  <c r="FJ54" i="29"/>
  <c r="FU54" i="29"/>
  <c r="LA52" i="29"/>
  <c r="LB52" i="29"/>
  <c r="EV55" i="29"/>
  <c r="EW55" i="29"/>
  <c r="ES56" i="29"/>
  <c r="EW51" i="29"/>
  <c r="EV51" i="29"/>
  <c r="FQ56" i="29"/>
  <c r="FT56" i="29"/>
  <c r="FT51" i="29"/>
  <c r="HV58" i="29"/>
  <c r="JQ52" i="29"/>
  <c r="JR52" i="29"/>
  <c r="CV54" i="29"/>
  <c r="CF54" i="29"/>
  <c r="CC64" i="29"/>
  <c r="DT58" i="29"/>
  <c r="DI58" i="29"/>
  <c r="FJ53" i="29"/>
  <c r="FU53" i="29"/>
  <c r="LA55" i="29"/>
  <c r="LB55" i="29"/>
  <c r="LA51" i="29"/>
  <c r="LB51" i="29"/>
  <c r="KZ56" i="29"/>
  <c r="CM56" i="29"/>
  <c r="CP56" i="29"/>
  <c r="CP51" i="29"/>
  <c r="ES64" i="29"/>
  <c r="EV54" i="29"/>
  <c r="EW54" i="29"/>
  <c r="FQ64" i="29"/>
  <c r="FT54" i="29"/>
  <c r="W30" i="27"/>
  <c r="W29" i="27"/>
  <c r="W28" i="27"/>
  <c r="W27" i="27"/>
  <c r="W26" i="27"/>
  <c r="W31" i="27"/>
  <c r="QR35" i="28"/>
  <c r="QV35" i="28"/>
  <c r="QZ35" i="28"/>
  <c r="RD35" i="28"/>
  <c r="RH35" i="28"/>
  <c r="TT34" i="28"/>
  <c r="TP34" i="28"/>
  <c r="TL34" i="28"/>
  <c r="TH34" i="28"/>
  <c r="TD34" i="28"/>
  <c r="SZ34" i="28"/>
  <c r="SV34" i="28"/>
  <c r="TX34" i="28"/>
  <c r="UZ34" i="28"/>
  <c r="UV34" i="28"/>
  <c r="UR34" i="28"/>
  <c r="UN34" i="28"/>
  <c r="UJ34" i="28"/>
  <c r="UF34" i="28"/>
  <c r="UB34" i="28"/>
  <c r="VD34" i="28"/>
  <c r="XL34" i="28"/>
  <c r="XH34" i="28"/>
  <c r="XD34" i="28"/>
  <c r="WZ34" i="28"/>
  <c r="WV34" i="28"/>
  <c r="WR34" i="28"/>
  <c r="WN34" i="28"/>
  <c r="XP34" i="28"/>
  <c r="YR34" i="28"/>
  <c r="YN34" i="28"/>
  <c r="YJ34" i="28"/>
  <c r="YF34" i="28"/>
  <c r="YB34" i="28"/>
  <c r="XX34" i="28"/>
  <c r="XT34" i="28"/>
  <c r="YV34" i="28"/>
  <c r="ABD34" i="28"/>
  <c r="AAZ34" i="28"/>
  <c r="AAV34" i="28"/>
  <c r="AAR34" i="28"/>
  <c r="AAN34" i="28"/>
  <c r="AAJ34" i="28"/>
  <c r="AAF34" i="28"/>
  <c r="ABH34" i="28"/>
  <c r="ADP35" i="28"/>
  <c r="ADL35" i="28"/>
  <c r="ADH35" i="28"/>
  <c r="ADD35" i="28"/>
  <c r="ACZ35" i="28"/>
  <c r="ACV35" i="28"/>
  <c r="ACR35" i="28"/>
  <c r="ADT35" i="28"/>
  <c r="AGB34" i="28"/>
  <c r="AFX34" i="28"/>
  <c r="AFT34" i="28"/>
  <c r="AFP34" i="28"/>
  <c r="AFL34" i="28"/>
  <c r="AFH34" i="28"/>
  <c r="AFD34" i="28"/>
  <c r="KC44" i="25"/>
  <c r="KD44" i="25"/>
  <c r="AHH34" i="28"/>
  <c r="AHD34" i="28"/>
  <c r="AGZ34" i="28"/>
  <c r="AGV34" i="28"/>
  <c r="AGR34" i="28"/>
  <c r="AGN34" i="28"/>
  <c r="AGJ34" i="28"/>
  <c r="AHL34" i="28"/>
  <c r="AJT34" i="28"/>
  <c r="AJP34" i="28"/>
  <c r="AIV34" i="28"/>
  <c r="AIZ34" i="28"/>
  <c r="AJD34" i="28"/>
  <c r="AJH34" i="28"/>
  <c r="AJL34" i="28"/>
  <c r="AKB34" i="28"/>
  <c r="AKF34" i="28"/>
  <c r="AKJ34" i="28"/>
  <c r="AKN34" i="28"/>
  <c r="AKR34" i="28"/>
  <c r="AKV34" i="28"/>
  <c r="AKZ34" i="28"/>
  <c r="AKB35" i="28"/>
  <c r="AKF35" i="28"/>
  <c r="AKJ35" i="28"/>
  <c r="AKN35" i="28"/>
  <c r="AKR35" i="28"/>
  <c r="AKV35" i="28"/>
  <c r="AKZ35" i="28"/>
  <c r="AKB17" i="28"/>
  <c r="AKF17" i="28"/>
  <c r="AKJ17" i="28"/>
  <c r="AKN17" i="28"/>
  <c r="AKR17" i="28"/>
  <c r="AKV17" i="28"/>
  <c r="AKZ17" i="28"/>
  <c r="AJP35" i="28"/>
  <c r="AIV35" i="28"/>
  <c r="AIZ35" i="28"/>
  <c r="AJD35" i="28"/>
  <c r="AJH35" i="28"/>
  <c r="AJL35" i="28"/>
  <c r="AIN34" i="28"/>
  <c r="AIJ34" i="28"/>
  <c r="AIF34" i="28"/>
  <c r="AIB34" i="28"/>
  <c r="AHX34" i="28"/>
  <c r="AHT34" i="28"/>
  <c r="AHP34" i="28"/>
  <c r="AIR34" i="28"/>
  <c r="AIN35" i="28"/>
  <c r="AIJ35" i="28"/>
  <c r="AIF35" i="28"/>
  <c r="AIB35" i="28"/>
  <c r="AHX35" i="28"/>
  <c r="AHT35" i="28"/>
  <c r="AHP35" i="28"/>
  <c r="AIR35" i="28"/>
  <c r="AGB35" i="28"/>
  <c r="AFX35" i="28"/>
  <c r="AFT35" i="28"/>
  <c r="AFP35" i="28"/>
  <c r="AFL35" i="28"/>
  <c r="AFH35" i="28"/>
  <c r="AFD35" i="28"/>
  <c r="AEV34" i="28"/>
  <c r="AER34" i="28"/>
  <c r="AEN34" i="28"/>
  <c r="AEJ34" i="28"/>
  <c r="AEF34" i="28"/>
  <c r="AEB34" i="28"/>
  <c r="ADX34" i="28"/>
  <c r="AEZ34" i="28"/>
  <c r="JR33" i="25"/>
  <c r="AEV35" i="28"/>
  <c r="AER35" i="28"/>
  <c r="AEN35" i="28"/>
  <c r="AEJ35" i="28"/>
  <c r="AEF35" i="28"/>
  <c r="AEB35" i="28"/>
  <c r="ADX35" i="28"/>
  <c r="AEZ35" i="28"/>
  <c r="AEV17" i="28"/>
  <c r="AER17" i="28"/>
  <c r="AEN17" i="28"/>
  <c r="AEJ17" i="28"/>
  <c r="AEF17" i="28"/>
  <c r="AEB17" i="28"/>
  <c r="ADX17" i="28"/>
  <c r="AEZ17" i="28"/>
  <c r="JR16" i="25"/>
  <c r="ADP34" i="28"/>
  <c r="ADL34" i="28"/>
  <c r="ADH34" i="28"/>
  <c r="ADD34" i="28"/>
  <c r="ACZ34" i="28"/>
  <c r="ACV34" i="28"/>
  <c r="ACR34" i="28"/>
  <c r="ADT34" i="28"/>
  <c r="ACJ34" i="28"/>
  <c r="ACF34" i="28"/>
  <c r="ACB34" i="28"/>
  <c r="ABX34" i="28"/>
  <c r="ABT34" i="28"/>
  <c r="ABP34" i="28"/>
  <c r="ABL34" i="28"/>
  <c r="ACN34" i="28"/>
  <c r="ACJ35" i="28"/>
  <c r="ACF35" i="28"/>
  <c r="ACB35" i="28"/>
  <c r="ABX35" i="28"/>
  <c r="ABT35" i="28"/>
  <c r="ABP35" i="28"/>
  <c r="ABL35" i="28"/>
  <c r="ACN35" i="28"/>
  <c r="ABD35" i="28"/>
  <c r="AAZ35" i="28"/>
  <c r="AAV35" i="28"/>
  <c r="AAR35" i="28"/>
  <c r="AAN35" i="28"/>
  <c r="AAJ35" i="28"/>
  <c r="AAF35" i="28"/>
  <c r="ABH35" i="28"/>
  <c r="ZX34" i="28"/>
  <c r="ZT34" i="28"/>
  <c r="ZP34" i="28"/>
  <c r="ZL34" i="28"/>
  <c r="ZH34" i="28"/>
  <c r="ZD34" i="28"/>
  <c r="YZ34" i="28"/>
  <c r="AAB34" i="28"/>
  <c r="ZX35" i="28"/>
  <c r="ZT35" i="28"/>
  <c r="ZP35" i="28"/>
  <c r="ZL35" i="28"/>
  <c r="ZH35" i="28"/>
  <c r="ZD35" i="28"/>
  <c r="YZ35" i="28"/>
  <c r="AAB35" i="28"/>
  <c r="ZX17" i="28"/>
  <c r="ZT17" i="28"/>
  <c r="ZP17" i="28"/>
  <c r="ZL17" i="28"/>
  <c r="ZH17" i="28"/>
  <c r="ZD17" i="28"/>
  <c r="YZ17" i="28"/>
  <c r="AAB17" i="28"/>
  <c r="YR35" i="28"/>
  <c r="YN35" i="28"/>
  <c r="YJ35" i="28"/>
  <c r="YF35" i="28"/>
  <c r="YB35" i="28"/>
  <c r="XX35" i="28"/>
  <c r="YV35" i="28"/>
  <c r="XL35" i="28"/>
  <c r="XH35" i="28"/>
  <c r="XD35" i="28"/>
  <c r="WZ35" i="28"/>
  <c r="WV35" i="28"/>
  <c r="WR35" i="28"/>
  <c r="WN35" i="28"/>
  <c r="XP35" i="28"/>
  <c r="WF34" i="28"/>
  <c r="WB34" i="28"/>
  <c r="VX34" i="28"/>
  <c r="VT34" i="28"/>
  <c r="VP34" i="28"/>
  <c r="VL34" i="28"/>
  <c r="VH34" i="28"/>
  <c r="WJ34" i="28"/>
  <c r="WF35" i="28"/>
  <c r="WB35" i="28"/>
  <c r="VX35" i="28"/>
  <c r="VT35" i="28"/>
  <c r="VP35" i="28"/>
  <c r="VL35" i="28"/>
  <c r="VH35" i="28"/>
  <c r="WJ35" i="28"/>
  <c r="UZ35" i="28"/>
  <c r="UV35" i="28"/>
  <c r="UR35" i="28"/>
  <c r="UN35" i="28"/>
  <c r="UJ35" i="28"/>
  <c r="UF35" i="28"/>
  <c r="UB35" i="28"/>
  <c r="VD35" i="28"/>
  <c r="UZ17" i="28"/>
  <c r="UV17" i="28"/>
  <c r="UR17" i="28"/>
  <c r="UN17" i="28"/>
  <c r="UJ17" i="28"/>
  <c r="UF17" i="28"/>
  <c r="UB17" i="28"/>
  <c r="VD17" i="28"/>
  <c r="TT35" i="28"/>
  <c r="TP35" i="28"/>
  <c r="TL35" i="28"/>
  <c r="TH35" i="28"/>
  <c r="TD35" i="28"/>
  <c r="SZ35" i="28"/>
  <c r="SV35" i="28"/>
  <c r="TX35" i="28"/>
  <c r="SN34" i="28"/>
  <c r="SJ34" i="28"/>
  <c r="SF34" i="28"/>
  <c r="SB34" i="28"/>
  <c r="RX34" i="28"/>
  <c r="RT34" i="28"/>
  <c r="RP34" i="28"/>
  <c r="SR34" i="28" s="1"/>
  <c r="SN35" i="28"/>
  <c r="SJ35" i="28"/>
  <c r="SF35" i="28"/>
  <c r="SB35" i="28"/>
  <c r="RX35" i="28"/>
  <c r="RT35" i="28"/>
  <c r="RP35" i="28"/>
  <c r="SR35" i="28"/>
  <c r="QR34" i="28"/>
  <c r="QV34" i="28"/>
  <c r="QZ34" i="28"/>
  <c r="RD34" i="28"/>
  <c r="RH34" i="28"/>
  <c r="ALD33" i="28"/>
  <c r="ALD32" i="28"/>
  <c r="ALD31" i="28"/>
  <c r="ALD30" i="28"/>
  <c r="ALD29" i="28"/>
  <c r="ALD28" i="28"/>
  <c r="ALD27" i="28"/>
  <c r="ALD26" i="28"/>
  <c r="ALD24" i="28"/>
  <c r="ALD23" i="28"/>
  <c r="ALD22" i="28"/>
  <c r="ALD21" i="28"/>
  <c r="ALD20" i="28"/>
  <c r="ALD19" i="28"/>
  <c r="ALD18" i="28"/>
  <c r="ALD16" i="28"/>
  <c r="ALD15" i="28"/>
  <c r="ALD14" i="28"/>
  <c r="ALD13" i="28"/>
  <c r="ALD12" i="28"/>
  <c r="ALD11" i="28"/>
  <c r="ALD10" i="28"/>
  <c r="ALD9" i="28"/>
  <c r="ALD8" i="28"/>
  <c r="AKZ36" i="28"/>
  <c r="AKV36" i="28"/>
  <c r="AKR36" i="28"/>
  <c r="AKN36" i="28"/>
  <c r="AKJ36" i="28"/>
  <c r="AKF36" i="28"/>
  <c r="AKB36" i="28"/>
  <c r="ALD7" i="28"/>
  <c r="AJX33" i="28"/>
  <c r="AJX32" i="28"/>
  <c r="AJX31" i="28"/>
  <c r="AJX30" i="28"/>
  <c r="AJX29" i="28"/>
  <c r="AJX28" i="28"/>
  <c r="AJX27" i="28"/>
  <c r="AJX26" i="28"/>
  <c r="AJX25" i="28"/>
  <c r="AJX24" i="28"/>
  <c r="AJX23" i="28"/>
  <c r="AJX22" i="28"/>
  <c r="AJX21" i="28"/>
  <c r="AJX20" i="28"/>
  <c r="AJX19" i="28"/>
  <c r="AJX16" i="28"/>
  <c r="AJX15" i="28"/>
  <c r="AJT17" i="28"/>
  <c r="AJP17" i="28"/>
  <c r="AIV17" i="28"/>
  <c r="AIZ17" i="28"/>
  <c r="AJD17" i="28"/>
  <c r="AJH17" i="28"/>
  <c r="AJL17" i="28"/>
  <c r="AJX14" i="28"/>
  <c r="AJX13" i="28"/>
  <c r="AJX12" i="28"/>
  <c r="AJX11" i="28"/>
  <c r="AJX10" i="28"/>
  <c r="AJX9" i="28"/>
  <c r="AJX8" i="28"/>
  <c r="AJX7" i="28"/>
  <c r="AIN17" i="28"/>
  <c r="AIJ17" i="28"/>
  <c r="AIF17" i="28"/>
  <c r="AIB17" i="28"/>
  <c r="AHX17" i="28"/>
  <c r="AHT17" i="28"/>
  <c r="AHP17" i="28"/>
  <c r="AIR17" i="28"/>
  <c r="AIR7" i="28"/>
  <c r="AHH35" i="28"/>
  <c r="AHD35" i="28"/>
  <c r="AGZ35" i="28"/>
  <c r="AGV35" i="28"/>
  <c r="AGR35" i="28"/>
  <c r="AGN35" i="28"/>
  <c r="AGJ35" i="28"/>
  <c r="AHL35" i="28"/>
  <c r="AHH17" i="28"/>
  <c r="AHD17" i="28"/>
  <c r="AGZ17" i="28"/>
  <c r="AGV17" i="28"/>
  <c r="AGR17" i="28"/>
  <c r="AGN17" i="28"/>
  <c r="AGJ17" i="28"/>
  <c r="AHL17" i="28"/>
  <c r="AHL7" i="28"/>
  <c r="AGB17" i="28"/>
  <c r="AFX17" i="28"/>
  <c r="AFT17" i="28"/>
  <c r="AFP17" i="28"/>
  <c r="AFL17" i="28"/>
  <c r="AFH17" i="28"/>
  <c r="AFD17" i="28"/>
  <c r="AEZ7" i="28"/>
  <c r="ADP17" i="28"/>
  <c r="ADL17" i="28"/>
  <c r="ADH17" i="28"/>
  <c r="ADD17" i="28"/>
  <c r="ACZ17" i="28"/>
  <c r="ACV17" i="28"/>
  <c r="ACR17" i="28"/>
  <c r="ADT17" i="28"/>
  <c r="ADT7" i="28"/>
  <c r="ACJ17" i="28"/>
  <c r="ACF17" i="28"/>
  <c r="ACB17" i="28"/>
  <c r="ABX17" i="28"/>
  <c r="ABT17" i="28"/>
  <c r="ABP17" i="28"/>
  <c r="ABL17" i="28"/>
  <c r="ACN17" i="28"/>
  <c r="ACN7" i="28"/>
  <c r="ABD17" i="28"/>
  <c r="AAZ17" i="28"/>
  <c r="AAV17" i="28"/>
  <c r="AAR17" i="28"/>
  <c r="AAN17" i="28"/>
  <c r="AAJ17" i="28"/>
  <c r="AAF17" i="28"/>
  <c r="ABH17" i="28"/>
  <c r="ABH7" i="28"/>
  <c r="AAB7" i="28"/>
  <c r="YR17" i="28"/>
  <c r="YN17" i="28"/>
  <c r="YJ17" i="28"/>
  <c r="YF17" i="28"/>
  <c r="YB17" i="28"/>
  <c r="XX17" i="28"/>
  <c r="XT17" i="28"/>
  <c r="YV17" i="28"/>
  <c r="YV7" i="28"/>
  <c r="XL17" i="28"/>
  <c r="XH17" i="28"/>
  <c r="XD17" i="28"/>
  <c r="WZ17" i="28"/>
  <c r="WV17" i="28"/>
  <c r="WR17" i="28"/>
  <c r="WN17" i="28"/>
  <c r="XP17" i="28"/>
  <c r="WN36" i="28"/>
  <c r="XP7" i="28"/>
  <c r="XP36" i="28"/>
  <c r="WR36" i="28"/>
  <c r="WV36" i="28"/>
  <c r="WZ36" i="28"/>
  <c r="XD36" i="28"/>
  <c r="XH36" i="28"/>
  <c r="XL36" i="28"/>
  <c r="WF17" i="28"/>
  <c r="WB17" i="28"/>
  <c r="VX17" i="28"/>
  <c r="VT17" i="28"/>
  <c r="VP17" i="28"/>
  <c r="VL17" i="28"/>
  <c r="VH17" i="28"/>
  <c r="WJ17" i="28"/>
  <c r="VH36" i="28"/>
  <c r="WJ7" i="28"/>
  <c r="WJ36" i="28"/>
  <c r="VL36" i="28"/>
  <c r="VP36" i="28"/>
  <c r="VT36" i="28"/>
  <c r="VX36" i="28"/>
  <c r="WB36" i="28"/>
  <c r="WF36" i="28"/>
  <c r="UB36" i="28"/>
  <c r="VD7" i="28"/>
  <c r="VD36" i="28"/>
  <c r="UF36" i="28"/>
  <c r="UJ36" i="28"/>
  <c r="UN36" i="28"/>
  <c r="UR36" i="28"/>
  <c r="UV36" i="28"/>
  <c r="UZ36" i="28"/>
  <c r="TT17" i="28"/>
  <c r="TP17" i="28"/>
  <c r="TL17" i="28"/>
  <c r="TH17" i="28"/>
  <c r="TD17" i="28"/>
  <c r="SZ17" i="28"/>
  <c r="SV17" i="28"/>
  <c r="TX17" i="28"/>
  <c r="SV36" i="28"/>
  <c r="TX7" i="28"/>
  <c r="TX36" i="28"/>
  <c r="SZ36" i="28"/>
  <c r="TD36" i="28"/>
  <c r="TH36" i="28"/>
  <c r="TL36" i="28"/>
  <c r="TP36" i="28"/>
  <c r="TT36" i="28"/>
  <c r="SN17" i="28"/>
  <c r="SJ17" i="28"/>
  <c r="SF17" i="28"/>
  <c r="SB17" i="28"/>
  <c r="RX17" i="28"/>
  <c r="RT17" i="28"/>
  <c r="RP17" i="28"/>
  <c r="SR17" i="28"/>
  <c r="RP36" i="28"/>
  <c r="SR7" i="28"/>
  <c r="SR36" i="28"/>
  <c r="RT36" i="28"/>
  <c r="RX36" i="28"/>
  <c r="SB36" i="28"/>
  <c r="SF36" i="28"/>
  <c r="SJ36" i="28"/>
  <c r="SN36" i="28"/>
  <c r="RL33" i="28"/>
  <c r="RL32" i="28"/>
  <c r="RL31" i="28"/>
  <c r="RL30" i="28"/>
  <c r="RL29" i="28"/>
  <c r="RL28" i="28"/>
  <c r="RL27" i="28"/>
  <c r="RL26" i="28"/>
  <c r="RL25" i="28"/>
  <c r="RL24" i="28"/>
  <c r="RL23" i="28"/>
  <c r="RL22" i="28"/>
  <c r="RL21" i="28"/>
  <c r="RL20" i="28"/>
  <c r="RL19" i="28"/>
  <c r="RL18" i="28"/>
  <c r="RL16" i="28"/>
  <c r="RL15" i="28"/>
  <c r="QR17" i="28"/>
  <c r="QV17" i="28"/>
  <c r="QZ17" i="28"/>
  <c r="RD17" i="28"/>
  <c r="RH17" i="28"/>
  <c r="RL14" i="28"/>
  <c r="RL13" i="28"/>
  <c r="RL12" i="28"/>
  <c r="RL11" i="28"/>
  <c r="RL10" i="28"/>
  <c r="RL9" i="28"/>
  <c r="RL8" i="28"/>
  <c r="RH36" i="28"/>
  <c r="RD36" i="28"/>
  <c r="QZ36" i="28"/>
  <c r="QV36" i="28"/>
  <c r="QR36" i="28"/>
  <c r="RL7" i="28"/>
  <c r="MJ7" i="28"/>
  <c r="MF7" i="28"/>
  <c r="MB7" i="28"/>
  <c r="LX7" i="28"/>
  <c r="LT7" i="28"/>
  <c r="LP7" i="28"/>
  <c r="LL7" i="28"/>
  <c r="MJ8" i="28"/>
  <c r="MF8" i="28"/>
  <c r="MB8" i="28"/>
  <c r="LX8" i="28"/>
  <c r="LT8" i="28"/>
  <c r="LP8" i="28"/>
  <c r="LL8" i="28"/>
  <c r="MN8" i="28"/>
  <c r="MJ9" i="28"/>
  <c r="MF9" i="28"/>
  <c r="MB9" i="28"/>
  <c r="LX9" i="28"/>
  <c r="LT9" i="28"/>
  <c r="LP9" i="28"/>
  <c r="LL9" i="28"/>
  <c r="MN9" i="28"/>
  <c r="MJ10" i="28"/>
  <c r="MF10" i="28"/>
  <c r="MB10" i="28"/>
  <c r="LX10" i="28"/>
  <c r="LT10" i="28"/>
  <c r="LP10" i="28"/>
  <c r="LL10" i="28"/>
  <c r="MN10" i="28"/>
  <c r="MJ11" i="28"/>
  <c r="MF11" i="28"/>
  <c r="MB11" i="28"/>
  <c r="LX11" i="28"/>
  <c r="LT11" i="28"/>
  <c r="LP11" i="28"/>
  <c r="LL11" i="28"/>
  <c r="MN11" i="28"/>
  <c r="MJ12" i="28"/>
  <c r="MF12" i="28"/>
  <c r="MB12" i="28"/>
  <c r="LX12" i="28"/>
  <c r="LT12" i="28"/>
  <c r="LP12" i="28"/>
  <c r="LL12" i="28"/>
  <c r="MN12" i="28"/>
  <c r="MJ13" i="28"/>
  <c r="MF13" i="28"/>
  <c r="MB13" i="28"/>
  <c r="LX13" i="28"/>
  <c r="LT13" i="28"/>
  <c r="LP13" i="28"/>
  <c r="LL13" i="28"/>
  <c r="MN13" i="28"/>
  <c r="MJ14" i="28"/>
  <c r="MF14" i="28"/>
  <c r="MB14" i="28"/>
  <c r="LX14" i="28"/>
  <c r="LT14" i="28"/>
  <c r="LP14" i="28"/>
  <c r="LL14" i="28"/>
  <c r="MN14" i="28"/>
  <c r="MJ15" i="28"/>
  <c r="MF15" i="28"/>
  <c r="MB15" i="28"/>
  <c r="LX15" i="28"/>
  <c r="LT15" i="28"/>
  <c r="LP15" i="28"/>
  <c r="LL15" i="28"/>
  <c r="MN15" i="28"/>
  <c r="MJ16" i="28"/>
  <c r="MF16" i="28"/>
  <c r="MB16" i="28"/>
  <c r="LX16" i="28"/>
  <c r="LT16" i="28"/>
  <c r="LP16" i="28"/>
  <c r="LL16" i="28"/>
  <c r="MN16" i="28"/>
  <c r="MJ18" i="28"/>
  <c r="MF18" i="28"/>
  <c r="MB18" i="28"/>
  <c r="LX18" i="28"/>
  <c r="LT18" i="28"/>
  <c r="LP18" i="28"/>
  <c r="LL18" i="28"/>
  <c r="MN18" i="28"/>
  <c r="MJ19" i="28"/>
  <c r="MF19" i="28"/>
  <c r="MB19" i="28"/>
  <c r="LX19" i="28"/>
  <c r="LT19" i="28"/>
  <c r="LP19" i="28"/>
  <c r="LL19" i="28"/>
  <c r="MN19" i="28"/>
  <c r="MJ20" i="28"/>
  <c r="MF20" i="28"/>
  <c r="MB20" i="28"/>
  <c r="LX20" i="28"/>
  <c r="LT20" i="28"/>
  <c r="LP20" i="28"/>
  <c r="LL20" i="28"/>
  <c r="MN20" i="28"/>
  <c r="MJ21" i="28"/>
  <c r="MF21" i="28"/>
  <c r="MB21" i="28"/>
  <c r="LX21" i="28"/>
  <c r="LT21" i="28"/>
  <c r="LP21" i="28"/>
  <c r="LL21" i="28"/>
  <c r="MN21" i="28"/>
  <c r="MJ22" i="28"/>
  <c r="MF22" i="28"/>
  <c r="MB22" i="28"/>
  <c r="LX22" i="28"/>
  <c r="LT22" i="28"/>
  <c r="LP22" i="28"/>
  <c r="LL22" i="28"/>
  <c r="MN22" i="28"/>
  <c r="MJ23" i="28"/>
  <c r="MF23" i="28"/>
  <c r="MB23" i="28"/>
  <c r="LX23" i="28"/>
  <c r="LT23" i="28"/>
  <c r="LP23" i="28"/>
  <c r="LL23" i="28"/>
  <c r="MN23" i="28"/>
  <c r="MJ24" i="28"/>
  <c r="MF24" i="28"/>
  <c r="MB24" i="28"/>
  <c r="LX24" i="28"/>
  <c r="LT24" i="28"/>
  <c r="LP24" i="28"/>
  <c r="LL24" i="28"/>
  <c r="MN24" i="28"/>
  <c r="MJ25" i="28"/>
  <c r="MF25" i="28"/>
  <c r="MB25" i="28"/>
  <c r="LX25" i="28"/>
  <c r="LT25" i="28"/>
  <c r="LP25" i="28"/>
  <c r="LL25" i="28"/>
  <c r="MN25" i="28"/>
  <c r="MJ26" i="28"/>
  <c r="MF26" i="28"/>
  <c r="MB26" i="28"/>
  <c r="LX26" i="28"/>
  <c r="LT26" i="28"/>
  <c r="LP26" i="28"/>
  <c r="LL26" i="28"/>
  <c r="MN26" i="28"/>
  <c r="MJ27" i="28"/>
  <c r="MF27" i="28"/>
  <c r="MB27" i="28"/>
  <c r="LX27" i="28"/>
  <c r="LT27" i="28"/>
  <c r="LP27" i="28"/>
  <c r="LL27" i="28"/>
  <c r="MN27" i="28"/>
  <c r="MJ28" i="28"/>
  <c r="MF28" i="28"/>
  <c r="MB28" i="28"/>
  <c r="LX28" i="28"/>
  <c r="LT28" i="28"/>
  <c r="LP28" i="28"/>
  <c r="LL28" i="28"/>
  <c r="MN28" i="28"/>
  <c r="MJ29" i="28"/>
  <c r="MF29" i="28"/>
  <c r="MB29" i="28"/>
  <c r="LX29" i="28"/>
  <c r="LT29" i="28"/>
  <c r="LP29" i="28"/>
  <c r="LL29" i="28"/>
  <c r="MN29" i="28"/>
  <c r="MJ30" i="28"/>
  <c r="MF30" i="28"/>
  <c r="MB30" i="28"/>
  <c r="LX30" i="28"/>
  <c r="LT30" i="28"/>
  <c r="LP30" i="28"/>
  <c r="LL30" i="28"/>
  <c r="MN30" i="28"/>
  <c r="MJ31" i="28"/>
  <c r="MF31" i="28"/>
  <c r="MB31" i="28"/>
  <c r="LX31" i="28"/>
  <c r="LT31" i="28"/>
  <c r="LP31" i="28"/>
  <c r="LL31" i="28"/>
  <c r="MN31" i="28"/>
  <c r="MJ32" i="28"/>
  <c r="MF32" i="28"/>
  <c r="MB32" i="28"/>
  <c r="LX32" i="28"/>
  <c r="LT32" i="28"/>
  <c r="LP32" i="28"/>
  <c r="LL32" i="28"/>
  <c r="MN32" i="28"/>
  <c r="MJ33" i="28"/>
  <c r="MF33" i="28"/>
  <c r="MB33" i="28"/>
  <c r="LX33" i="28"/>
  <c r="LT33" i="28"/>
  <c r="LP33" i="28"/>
  <c r="LL33" i="28"/>
  <c r="MN33" i="28"/>
  <c r="NP7" i="28"/>
  <c r="NL7" i="28"/>
  <c r="NH7" i="28"/>
  <c r="ND7" i="28"/>
  <c r="MZ7" i="28"/>
  <c r="MV7" i="28"/>
  <c r="MR7" i="28"/>
  <c r="NP8" i="28"/>
  <c r="NL8" i="28"/>
  <c r="NH8" i="28"/>
  <c r="ND8" i="28"/>
  <c r="MZ8" i="28"/>
  <c r="MV8" i="28"/>
  <c r="MR8" i="28"/>
  <c r="NT8" i="28"/>
  <c r="NP9" i="28"/>
  <c r="NL9" i="28"/>
  <c r="NH9" i="28"/>
  <c r="ND9" i="28"/>
  <c r="MZ9" i="28"/>
  <c r="MV9" i="28"/>
  <c r="MR9" i="28"/>
  <c r="NT9" i="28"/>
  <c r="NP10" i="28"/>
  <c r="NL10" i="28"/>
  <c r="NH10" i="28"/>
  <c r="ND10" i="28"/>
  <c r="MZ10" i="28"/>
  <c r="MV10" i="28"/>
  <c r="MR10" i="28"/>
  <c r="NT10" i="28"/>
  <c r="NP11" i="28"/>
  <c r="NL11" i="28"/>
  <c r="NH11" i="28"/>
  <c r="ND11" i="28"/>
  <c r="MZ11" i="28"/>
  <c r="MV11" i="28"/>
  <c r="MR11" i="28"/>
  <c r="NT11" i="28"/>
  <c r="NP12" i="28"/>
  <c r="NL12" i="28"/>
  <c r="NH12" i="28"/>
  <c r="ND12" i="28"/>
  <c r="MZ12" i="28"/>
  <c r="MV12" i="28"/>
  <c r="MR12" i="28"/>
  <c r="NT12" i="28"/>
  <c r="NP13" i="28"/>
  <c r="NL13" i="28"/>
  <c r="NH13" i="28"/>
  <c r="ND13" i="28"/>
  <c r="MZ13" i="28"/>
  <c r="MV13" i="28"/>
  <c r="MR13" i="28"/>
  <c r="NT13" i="28"/>
  <c r="NP14" i="28"/>
  <c r="NL14" i="28"/>
  <c r="NH14" i="28"/>
  <c r="ND14" i="28"/>
  <c r="MZ14" i="28"/>
  <c r="MV14" i="28"/>
  <c r="MR14" i="28"/>
  <c r="NT14" i="28"/>
  <c r="NP15" i="28"/>
  <c r="NL15" i="28"/>
  <c r="NH15" i="28"/>
  <c r="ND15" i="28"/>
  <c r="MZ15" i="28"/>
  <c r="MV15" i="28"/>
  <c r="MR15" i="28"/>
  <c r="NT15" i="28"/>
  <c r="NP16" i="28"/>
  <c r="NL16" i="28"/>
  <c r="NH16" i="28"/>
  <c r="ND16" i="28"/>
  <c r="MZ16" i="28"/>
  <c r="MV16" i="28"/>
  <c r="MR16" i="28"/>
  <c r="NT16" i="28"/>
  <c r="NP18" i="28"/>
  <c r="NL18" i="28"/>
  <c r="NH18" i="28"/>
  <c r="ND18" i="28"/>
  <c r="MZ18" i="28"/>
  <c r="MV18" i="28"/>
  <c r="MR18" i="28"/>
  <c r="NT18" i="28"/>
  <c r="NP19" i="28"/>
  <c r="NL19" i="28"/>
  <c r="NH19" i="28"/>
  <c r="ND19" i="28"/>
  <c r="MZ19" i="28"/>
  <c r="MV19" i="28"/>
  <c r="MR19" i="28"/>
  <c r="NT19" i="28"/>
  <c r="NP20" i="28"/>
  <c r="NL20" i="28"/>
  <c r="NH20" i="28"/>
  <c r="ND20" i="28"/>
  <c r="MZ20" i="28"/>
  <c r="MV20" i="28"/>
  <c r="MR20" i="28"/>
  <c r="NT20" i="28"/>
  <c r="NP21" i="28"/>
  <c r="NL21" i="28"/>
  <c r="NH21" i="28"/>
  <c r="ND21" i="28"/>
  <c r="MZ21" i="28"/>
  <c r="MV21" i="28"/>
  <c r="MR21" i="28"/>
  <c r="NT21" i="28"/>
  <c r="NP22" i="28"/>
  <c r="NL22" i="28"/>
  <c r="NH22" i="28"/>
  <c r="ND22" i="28"/>
  <c r="MZ22" i="28"/>
  <c r="MV22" i="28"/>
  <c r="MR22" i="28"/>
  <c r="NT22" i="28"/>
  <c r="NP23" i="28"/>
  <c r="NL23" i="28"/>
  <c r="NH23" i="28"/>
  <c r="ND23" i="28"/>
  <c r="MZ23" i="28"/>
  <c r="MV23" i="28"/>
  <c r="MR23" i="28"/>
  <c r="NT23" i="28"/>
  <c r="NP24" i="28"/>
  <c r="NL24" i="28"/>
  <c r="NH24" i="28"/>
  <c r="ND24" i="28"/>
  <c r="MZ24" i="28"/>
  <c r="MV24" i="28"/>
  <c r="MR24" i="28"/>
  <c r="NT24" i="28"/>
  <c r="NP25" i="28"/>
  <c r="NL25" i="28"/>
  <c r="NH25" i="28"/>
  <c r="ND25" i="28"/>
  <c r="MZ25" i="28"/>
  <c r="MV25" i="28"/>
  <c r="MR25" i="28"/>
  <c r="NT25" i="28"/>
  <c r="NP26" i="28"/>
  <c r="NL26" i="28"/>
  <c r="NH26" i="28"/>
  <c r="ND26" i="28"/>
  <c r="MZ26" i="28"/>
  <c r="MV26" i="28"/>
  <c r="MR26" i="28"/>
  <c r="NT26" i="28"/>
  <c r="NP27" i="28"/>
  <c r="NL27" i="28"/>
  <c r="NH27" i="28"/>
  <c r="ND27" i="28"/>
  <c r="MZ27" i="28"/>
  <c r="MV27" i="28"/>
  <c r="MR27" i="28"/>
  <c r="NT27" i="28"/>
  <c r="NP28" i="28"/>
  <c r="NL28" i="28"/>
  <c r="NH28" i="28"/>
  <c r="ND28" i="28"/>
  <c r="MZ28" i="28"/>
  <c r="MV28" i="28"/>
  <c r="MR28" i="28"/>
  <c r="NT28" i="28"/>
  <c r="NP29" i="28"/>
  <c r="NL29" i="28"/>
  <c r="NH29" i="28"/>
  <c r="ND29" i="28"/>
  <c r="MZ29" i="28"/>
  <c r="MV29" i="28"/>
  <c r="MR29" i="28"/>
  <c r="NT29" i="28"/>
  <c r="NP30" i="28"/>
  <c r="NL30" i="28"/>
  <c r="NH30" i="28"/>
  <c r="ND30" i="28"/>
  <c r="MZ30" i="28"/>
  <c r="MV30" i="28"/>
  <c r="MR30" i="28"/>
  <c r="NT30" i="28"/>
  <c r="NP31" i="28"/>
  <c r="NL31" i="28"/>
  <c r="NH31" i="28"/>
  <c r="ND31" i="28"/>
  <c r="MZ31" i="28"/>
  <c r="MV31" i="28"/>
  <c r="MR31" i="28"/>
  <c r="NT31" i="28"/>
  <c r="NP32" i="28"/>
  <c r="NL32" i="28"/>
  <c r="NH32" i="28"/>
  <c r="ND32" i="28"/>
  <c r="MZ32" i="28"/>
  <c r="MV32" i="28"/>
  <c r="MR32" i="28"/>
  <c r="NT32" i="28"/>
  <c r="NP33" i="28"/>
  <c r="NL33" i="28"/>
  <c r="NH33" i="28"/>
  <c r="ND33" i="28"/>
  <c r="MZ33" i="28"/>
  <c r="MV33" i="28"/>
  <c r="MR33" i="28"/>
  <c r="NT33" i="28"/>
  <c r="NX7" i="28"/>
  <c r="OB7" i="28"/>
  <c r="OF7" i="28"/>
  <c r="OJ7" i="28"/>
  <c r="ON7" i="28"/>
  <c r="OR7" i="28"/>
  <c r="OV7" i="28"/>
  <c r="NX8" i="28"/>
  <c r="OB8" i="28"/>
  <c r="OF8" i="28"/>
  <c r="OJ8" i="28"/>
  <c r="ON8" i="28"/>
  <c r="OR8" i="28"/>
  <c r="OV8" i="28"/>
  <c r="NX9" i="28"/>
  <c r="OB9" i="28"/>
  <c r="OF9" i="28"/>
  <c r="OJ9" i="28"/>
  <c r="ON9" i="28"/>
  <c r="OR9" i="28"/>
  <c r="OV9" i="28"/>
  <c r="NX10" i="28"/>
  <c r="OB10" i="28"/>
  <c r="OF10" i="28"/>
  <c r="OJ10" i="28"/>
  <c r="ON10" i="28"/>
  <c r="OR10" i="28"/>
  <c r="OV10" i="28"/>
  <c r="NX11" i="28"/>
  <c r="OB11" i="28"/>
  <c r="OF11" i="28"/>
  <c r="OJ11" i="28"/>
  <c r="ON11" i="28"/>
  <c r="OR11" i="28"/>
  <c r="OV11" i="28"/>
  <c r="NX12" i="28"/>
  <c r="OB12" i="28"/>
  <c r="OF12" i="28"/>
  <c r="OJ12" i="28"/>
  <c r="ON12" i="28"/>
  <c r="OR12" i="28"/>
  <c r="OV12" i="28"/>
  <c r="NX13" i="28"/>
  <c r="OB13" i="28"/>
  <c r="OF13" i="28"/>
  <c r="OJ13" i="28"/>
  <c r="ON13" i="28"/>
  <c r="OR13" i="28"/>
  <c r="OV13" i="28"/>
  <c r="NX14" i="28"/>
  <c r="OB14" i="28"/>
  <c r="OF14" i="28"/>
  <c r="OJ14" i="28"/>
  <c r="ON14" i="28"/>
  <c r="OR14" i="28"/>
  <c r="OV14" i="28"/>
  <c r="NX15" i="28"/>
  <c r="OB15" i="28"/>
  <c r="OF15" i="28"/>
  <c r="OJ15" i="28"/>
  <c r="ON15" i="28"/>
  <c r="OR15" i="28"/>
  <c r="OV15" i="28"/>
  <c r="NX16" i="28"/>
  <c r="OB16" i="28"/>
  <c r="OF16" i="28"/>
  <c r="OJ16" i="28"/>
  <c r="ON16" i="28"/>
  <c r="OR16" i="28"/>
  <c r="OV16" i="28"/>
  <c r="NX18" i="28"/>
  <c r="OB18" i="28"/>
  <c r="OF18" i="28"/>
  <c r="OJ18" i="28"/>
  <c r="ON18" i="28"/>
  <c r="OR18" i="28"/>
  <c r="OV18" i="28"/>
  <c r="NX19" i="28"/>
  <c r="OB19" i="28"/>
  <c r="OF19" i="28"/>
  <c r="OJ19" i="28"/>
  <c r="ON19" i="28"/>
  <c r="OR19" i="28"/>
  <c r="OV19" i="28"/>
  <c r="NX20" i="28"/>
  <c r="OB20" i="28"/>
  <c r="OF20" i="28"/>
  <c r="OJ20" i="28"/>
  <c r="ON20" i="28"/>
  <c r="OR20" i="28"/>
  <c r="OV20" i="28"/>
  <c r="NX21" i="28"/>
  <c r="OB21" i="28"/>
  <c r="OF21" i="28"/>
  <c r="OJ21" i="28"/>
  <c r="ON21" i="28"/>
  <c r="OR21" i="28"/>
  <c r="OV21" i="28"/>
  <c r="NX22" i="28"/>
  <c r="OB22" i="28"/>
  <c r="OF22" i="28"/>
  <c r="OJ22" i="28"/>
  <c r="ON22" i="28"/>
  <c r="OR22" i="28"/>
  <c r="OV22" i="28"/>
  <c r="NX23" i="28"/>
  <c r="OB23" i="28"/>
  <c r="OF23" i="28"/>
  <c r="OJ23" i="28"/>
  <c r="ON23" i="28"/>
  <c r="OR23" i="28"/>
  <c r="OV23" i="28"/>
  <c r="NX24" i="28"/>
  <c r="OB24" i="28"/>
  <c r="OF24" i="28"/>
  <c r="OJ24" i="28"/>
  <c r="ON24" i="28"/>
  <c r="OR24" i="28"/>
  <c r="OV24" i="28"/>
  <c r="NX25" i="28"/>
  <c r="OB25" i="28"/>
  <c r="OF25" i="28"/>
  <c r="OJ25" i="28"/>
  <c r="ON25" i="28"/>
  <c r="OR25" i="28"/>
  <c r="OV25" i="28"/>
  <c r="NX26" i="28"/>
  <c r="OB26" i="28"/>
  <c r="OF26" i="28"/>
  <c r="OJ26" i="28"/>
  <c r="ON26" i="28"/>
  <c r="OR26" i="28"/>
  <c r="OV26" i="28"/>
  <c r="NX27" i="28"/>
  <c r="OB27" i="28"/>
  <c r="OF27" i="28"/>
  <c r="OJ27" i="28"/>
  <c r="ON27" i="28"/>
  <c r="OR27" i="28"/>
  <c r="OV27" i="28"/>
  <c r="NX28" i="28"/>
  <c r="OB28" i="28"/>
  <c r="OF28" i="28"/>
  <c r="OJ28" i="28"/>
  <c r="ON28" i="28"/>
  <c r="OR28" i="28"/>
  <c r="OV28" i="28"/>
  <c r="NX29" i="28"/>
  <c r="OB29" i="28"/>
  <c r="OF29" i="28"/>
  <c r="OJ29" i="28"/>
  <c r="ON29" i="28"/>
  <c r="OR29" i="28"/>
  <c r="OV29" i="28"/>
  <c r="NX30" i="28"/>
  <c r="OB30" i="28"/>
  <c r="OF30" i="28"/>
  <c r="OJ30" i="28"/>
  <c r="ON30" i="28"/>
  <c r="OR30" i="28"/>
  <c r="OV30" i="28"/>
  <c r="NX31" i="28"/>
  <c r="OB31" i="28"/>
  <c r="OF31" i="28"/>
  <c r="OJ31" i="28"/>
  <c r="ON31" i="28"/>
  <c r="OR31" i="28"/>
  <c r="OV31" i="28"/>
  <c r="NX32" i="28"/>
  <c r="OB32" i="28"/>
  <c r="OF32" i="28"/>
  <c r="OJ32" i="28"/>
  <c r="ON32" i="28"/>
  <c r="OR32" i="28"/>
  <c r="OV32" i="28"/>
  <c r="NX33" i="28"/>
  <c r="OB33" i="28"/>
  <c r="OF33" i="28"/>
  <c r="OJ33" i="28"/>
  <c r="ON33" i="28"/>
  <c r="OR33" i="28"/>
  <c r="OV33" i="28"/>
  <c r="PD34" i="28"/>
  <c r="PH34" i="28"/>
  <c r="PL34" i="28"/>
  <c r="PP34" i="28"/>
  <c r="PT34" i="28"/>
  <c r="PX34" i="28"/>
  <c r="QB34" i="28"/>
  <c r="PD35" i="28"/>
  <c r="PH35" i="28"/>
  <c r="PL35" i="28"/>
  <c r="PP35" i="28"/>
  <c r="PT35" i="28"/>
  <c r="PX35" i="28"/>
  <c r="QB35" i="28"/>
  <c r="QF33" i="28"/>
  <c r="QF32" i="28"/>
  <c r="QF31" i="28"/>
  <c r="QF30" i="28"/>
  <c r="QF29" i="28"/>
  <c r="QF28" i="28"/>
  <c r="QF27" i="28"/>
  <c r="QF26" i="28"/>
  <c r="QF25" i="28"/>
  <c r="QF24" i="28"/>
  <c r="QF23" i="28"/>
  <c r="QF22" i="28"/>
  <c r="QF21" i="28"/>
  <c r="QF20" i="28"/>
  <c r="QF19" i="28"/>
  <c r="QF16" i="28"/>
  <c r="QF15" i="28"/>
  <c r="PD17" i="28"/>
  <c r="PH17" i="28"/>
  <c r="PL17" i="28"/>
  <c r="PP17" i="28"/>
  <c r="PT17" i="28"/>
  <c r="PX17" i="28"/>
  <c r="QB17" i="28"/>
  <c r="QF14" i="28"/>
  <c r="QF13" i="28"/>
  <c r="QF12" i="28"/>
  <c r="QF11" i="28"/>
  <c r="QF10" i="28"/>
  <c r="QF9" i="28"/>
  <c r="QF8" i="28"/>
  <c r="QF7" i="28"/>
  <c r="FF16" i="28"/>
  <c r="FC19" i="28"/>
  <c r="FF19" i="28"/>
  <c r="ED19" i="28"/>
  <c r="FC22" i="28"/>
  <c r="FF22" i="28"/>
  <c r="ED21" i="28"/>
  <c r="FC20" i="28"/>
  <c r="FF20" i="28"/>
  <c r="BZ22" i="28"/>
  <c r="CD22" i="28"/>
  <c r="CH22" i="28"/>
  <c r="CP22" i="28"/>
  <c r="CL22" i="28"/>
  <c r="CL26" i="28"/>
  <c r="CD26" i="28"/>
  <c r="CP26" i="28"/>
  <c r="BZ26" i="28"/>
  <c r="CH26" i="28"/>
  <c r="CL32" i="28"/>
  <c r="BZ32" i="28"/>
  <c r="CH32" i="28"/>
  <c r="CD32" i="28"/>
  <c r="CP32" i="28"/>
  <c r="DB7" i="28"/>
  <c r="CY36" i="28"/>
  <c r="CY50" i="28" s="1"/>
  <c r="CY55" i="28" s="1"/>
  <c r="DB36" i="28"/>
  <c r="DF7" i="28"/>
  <c r="DC36" i="28"/>
  <c r="DC50" i="28" s="1"/>
  <c r="DC55" i="28" s="1"/>
  <c r="DF36" i="28"/>
  <c r="DW28" i="28"/>
  <c r="DZ28" i="28"/>
  <c r="CX28" i="28"/>
  <c r="DW24" i="28"/>
  <c r="DZ24" i="28"/>
  <c r="CX24" i="28"/>
  <c r="DW16" i="28"/>
  <c r="DZ16" i="28"/>
  <c r="CX16" i="28"/>
  <c r="CX20" i="28"/>
  <c r="DW20" i="28"/>
  <c r="DZ20" i="28"/>
  <c r="CP8" i="28"/>
  <c r="CH8" i="28"/>
  <c r="BZ8" i="28"/>
  <c r="CL8" i="28"/>
  <c r="CD8" i="28"/>
  <c r="CD10" i="28"/>
  <c r="CH10" i="28"/>
  <c r="BZ10" i="28"/>
  <c r="CP10" i="28"/>
  <c r="CL10" i="28"/>
  <c r="CL12" i="28"/>
  <c r="CP12" i="28"/>
  <c r="BZ12" i="28"/>
  <c r="CH12" i="28"/>
  <c r="CD12" i="28"/>
  <c r="CP14" i="28"/>
  <c r="CH14" i="28"/>
  <c r="BZ14" i="28"/>
  <c r="CD14" i="28"/>
  <c r="CL14" i="28"/>
  <c r="CP16" i="28"/>
  <c r="CH16" i="28"/>
  <c r="BZ16" i="28"/>
  <c r="CD16" i="28"/>
  <c r="CL16" i="28"/>
  <c r="CX15" i="28"/>
  <c r="DW15" i="28"/>
  <c r="DZ15" i="28"/>
  <c r="CX13" i="28"/>
  <c r="DW13" i="28"/>
  <c r="DZ13" i="28"/>
  <c r="CX9" i="28"/>
  <c r="DW9" i="28"/>
  <c r="DZ9" i="28"/>
  <c r="DV7" i="28"/>
  <c r="DS36" i="28"/>
  <c r="DS50" i="28" s="1"/>
  <c r="DS55" i="28" s="1"/>
  <c r="DV36" i="28"/>
  <c r="DN7" i="28"/>
  <c r="DK36" i="28"/>
  <c r="DK50" i="28" s="1"/>
  <c r="DK55" i="28" s="1"/>
  <c r="DN36" i="28"/>
  <c r="CX27" i="28"/>
  <c r="DW27" i="28"/>
  <c r="DZ27" i="28"/>
  <c r="CX25" i="28"/>
  <c r="DW25" i="28"/>
  <c r="DZ25" i="28"/>
  <c r="CX18" i="28"/>
  <c r="DW18" i="28"/>
  <c r="DZ18" i="28"/>
  <c r="CX12" i="28"/>
  <c r="DW12" i="28"/>
  <c r="DZ12" i="28"/>
  <c r="CL18" i="28"/>
  <c r="CD18" i="28"/>
  <c r="CH18" i="28"/>
  <c r="CP18" i="28"/>
  <c r="BZ18" i="28"/>
  <c r="CL24" i="28"/>
  <c r="CD24" i="28"/>
  <c r="CP24" i="28"/>
  <c r="BZ24" i="28"/>
  <c r="CH24" i="28"/>
  <c r="CL30" i="28"/>
  <c r="CP30" i="28"/>
  <c r="CH30" i="28"/>
  <c r="CD30" i="28"/>
  <c r="BZ30" i="28"/>
  <c r="CX29" i="28"/>
  <c r="DW29" i="28"/>
  <c r="DZ29" i="28"/>
  <c r="CX19" i="28"/>
  <c r="DW19" i="28"/>
  <c r="DZ19" i="28"/>
  <c r="CX17" i="28"/>
  <c r="DW17" i="28"/>
  <c r="DZ17" i="28"/>
  <c r="CX14" i="28"/>
  <c r="DW14" i="28"/>
  <c r="DZ14" i="28"/>
  <c r="CP19" i="28"/>
  <c r="CH19" i="28"/>
  <c r="BZ19" i="28"/>
  <c r="CD19" i="28"/>
  <c r="CL19" i="28"/>
  <c r="CD21" i="28"/>
  <c r="CP21" i="28"/>
  <c r="CL21" i="28"/>
  <c r="BZ21" i="28"/>
  <c r="CH21" i="28"/>
  <c r="CD23" i="28"/>
  <c r="CP23" i="28"/>
  <c r="BZ23" i="28"/>
  <c r="CL23" i="28"/>
  <c r="CH23" i="28"/>
  <c r="CL25" i="28"/>
  <c r="CD25" i="28"/>
  <c r="CH25" i="28"/>
  <c r="CP25" i="28"/>
  <c r="BZ25" i="28"/>
  <c r="CP27" i="28"/>
  <c r="CD27" i="28"/>
  <c r="BZ27" i="28"/>
  <c r="CH27" i="28"/>
  <c r="CL27" i="28"/>
  <c r="CL29" i="28"/>
  <c r="CD29" i="28"/>
  <c r="CH29" i="28"/>
  <c r="BZ29" i="28"/>
  <c r="CP29" i="28"/>
  <c r="CP31" i="28"/>
  <c r="CH31" i="28"/>
  <c r="BZ31" i="28"/>
  <c r="CD31" i="28"/>
  <c r="CL31" i="28"/>
  <c r="CD33" i="28"/>
  <c r="CL33" i="28"/>
  <c r="BZ33" i="28"/>
  <c r="CH33" i="28"/>
  <c r="CP33" i="28"/>
  <c r="CX11" i="28"/>
  <c r="DW11" i="28"/>
  <c r="DZ11" i="28"/>
  <c r="DR7" i="28"/>
  <c r="DO36" i="28"/>
  <c r="DO50" i="28" s="1"/>
  <c r="DO55" i="28" s="1"/>
  <c r="DR36" i="28"/>
  <c r="CX22" i="28"/>
  <c r="DW22" i="28"/>
  <c r="DZ22" i="28"/>
  <c r="CX33" i="28"/>
  <c r="DW33" i="28"/>
  <c r="DZ33" i="28"/>
  <c r="CX31" i="28"/>
  <c r="DW31" i="28"/>
  <c r="DZ31" i="28"/>
  <c r="CX23" i="28"/>
  <c r="DW23" i="28"/>
  <c r="DZ23" i="28"/>
  <c r="CX10" i="28"/>
  <c r="DW10" i="28"/>
  <c r="DZ10" i="28"/>
  <c r="CX30" i="28"/>
  <c r="DW30" i="28"/>
  <c r="DZ30" i="28"/>
  <c r="CP20" i="28"/>
  <c r="CH20" i="28"/>
  <c r="CL20" i="28"/>
  <c r="CD20" i="28"/>
  <c r="BZ20" i="28"/>
  <c r="CP28" i="28"/>
  <c r="BZ28" i="28"/>
  <c r="CL28" i="28"/>
  <c r="CH28" i="28"/>
  <c r="CD28" i="28"/>
  <c r="CH9" i="28"/>
  <c r="CP9" i="28"/>
  <c r="BZ9" i="28"/>
  <c r="CD9" i="28"/>
  <c r="CL9" i="28"/>
  <c r="CH11" i="28"/>
  <c r="CH40" i="28" s="1"/>
  <c r="CP11" i="28"/>
  <c r="BZ11" i="28"/>
  <c r="BZ40" i="28" s="1"/>
  <c r="CD11" i="28"/>
  <c r="CL11" i="28"/>
  <c r="CL40" i="28" s="1"/>
  <c r="BZ13" i="28"/>
  <c r="CL13" i="28"/>
  <c r="CH13" i="28"/>
  <c r="CD13" i="28"/>
  <c r="CP13" i="28"/>
  <c r="CL15" i="28"/>
  <c r="CD15" i="28"/>
  <c r="CP15" i="28"/>
  <c r="BZ15" i="28"/>
  <c r="CH15" i="28"/>
  <c r="CX34" i="28"/>
  <c r="DW34" i="28"/>
  <c r="DZ34" i="28"/>
  <c r="DG36" i="28"/>
  <c r="DG50" i="28" s="1"/>
  <c r="DG55" i="28" s="1"/>
  <c r="DJ36" i="28"/>
  <c r="DJ7" i="28"/>
  <c r="CX7" i="28"/>
  <c r="DW7" i="28"/>
  <c r="CU36" i="28"/>
  <c r="CU50" i="28" s="1"/>
  <c r="CU55" i="28" s="1"/>
  <c r="CX36" i="28"/>
  <c r="CX21" i="28"/>
  <c r="DW21" i="28"/>
  <c r="DZ21" i="28"/>
  <c r="CX32" i="28"/>
  <c r="DW32" i="28"/>
  <c r="DZ32" i="28"/>
  <c r="CX26" i="28"/>
  <c r="DW26" i="28"/>
  <c r="DZ26" i="28"/>
  <c r="CX8" i="28"/>
  <c r="CX39" i="28" s="1"/>
  <c r="DW8" i="28"/>
  <c r="DZ8" i="28"/>
  <c r="BH6" i="28"/>
  <c r="BE6" i="28"/>
  <c r="BF6" i="28"/>
  <c r="KP45" i="25"/>
  <c r="KT47" i="25"/>
  <c r="JM47" i="25"/>
  <c r="KW47" i="25"/>
  <c r="JG45" i="25"/>
  <c r="IX47" i="25"/>
  <c r="JB45" i="25"/>
  <c r="HQ47" i="25"/>
  <c r="JQ41" i="25"/>
  <c r="KB47" i="25"/>
  <c r="KL47" i="25"/>
  <c r="JK47" i="25"/>
  <c r="JL47" i="25"/>
  <c r="KG47" i="25"/>
  <c r="KF45" i="25"/>
  <c r="KV34" i="25"/>
  <c r="N34" i="24" s="1"/>
  <c r="KU41" i="25"/>
  <c r="KP41" i="25"/>
  <c r="JA47" i="25"/>
  <c r="KA41" i="25"/>
  <c r="JT47" i="25"/>
  <c r="KK41" i="25"/>
  <c r="JG41" i="25"/>
  <c r="JW47" i="25"/>
  <c r="GT41" i="25"/>
  <c r="KE47" i="25"/>
  <c r="JB41" i="25"/>
  <c r="JF47" i="25"/>
  <c r="JL41" i="25"/>
  <c r="KQ47" i="25"/>
  <c r="KJ47" i="25"/>
  <c r="JP47" i="25"/>
  <c r="KO47" i="25"/>
  <c r="GT45" i="25"/>
  <c r="KX45" i="25"/>
  <c r="KY45" i="25"/>
  <c r="KF41" i="25"/>
  <c r="KX41" i="25"/>
  <c r="JI44" i="25"/>
  <c r="JJ44" i="25"/>
  <c r="KY38" i="25"/>
  <c r="JU41" i="25"/>
  <c r="JV41" i="25"/>
  <c r="HX45" i="25"/>
  <c r="HY45" i="25"/>
  <c r="HM35" i="25"/>
  <c r="HR44" i="25"/>
  <c r="HS44" i="25"/>
  <c r="HR35" i="25"/>
  <c r="IF35" i="25"/>
  <c r="IY44" i="25"/>
  <c r="JV44" i="25"/>
  <c r="JU45" i="25"/>
  <c r="JV45" i="25"/>
  <c r="JX44" i="25"/>
  <c r="KM44" i="25"/>
  <c r="KV33" i="25"/>
  <c r="N33" i="24" s="1"/>
  <c r="KR44" i="25"/>
  <c r="KS44" i="25"/>
  <c r="KV43" i="25"/>
  <c r="KV16" i="25"/>
  <c r="N16" i="24" s="1"/>
  <c r="KR35" i="25"/>
  <c r="KR39" i="25"/>
  <c r="KS39" i="25"/>
  <c r="KV40" i="25"/>
  <c r="KS38" i="25"/>
  <c r="KH44" i="25"/>
  <c r="JS33" i="25"/>
  <c r="M33" i="24" s="1"/>
  <c r="JN44" i="25"/>
  <c r="JO44" i="25"/>
  <c r="JS34" i="25"/>
  <c r="M34" i="24" s="1"/>
  <c r="JS43" i="25"/>
  <c r="JS16" i="25"/>
  <c r="M16" i="24" s="1"/>
  <c r="JN39" i="25"/>
  <c r="JO39" i="25"/>
  <c r="JS40" i="25"/>
  <c r="JD44" i="25"/>
  <c r="IA35" i="25"/>
  <c r="HH35" i="25"/>
  <c r="HI35" i="25" s="1"/>
  <c r="HC35" i="25"/>
  <c r="KC45" i="25"/>
  <c r="KD45" i="25"/>
  <c r="HU45" i="25"/>
  <c r="GU39" i="25"/>
  <c r="GV39" i="25"/>
  <c r="GU40" i="25"/>
  <c r="GV40" i="25"/>
  <c r="GU43" i="25"/>
  <c r="GU44" i="25"/>
  <c r="GV44" i="25"/>
  <c r="GR35" i="25"/>
  <c r="GM35" i="25"/>
  <c r="GH35" i="25"/>
  <c r="GC35" i="25"/>
  <c r="IG35" i="25"/>
  <c r="AE4" i="27"/>
  <c r="IB35" i="25"/>
  <c r="AD4" i="27"/>
  <c r="HS35" i="25"/>
  <c r="AB4" i="27"/>
  <c r="HN35" i="25"/>
  <c r="AA4" i="27"/>
  <c r="Z4" i="27"/>
  <c r="HD35" i="25"/>
  <c r="Y4" i="27"/>
  <c r="KS35" i="25"/>
  <c r="AR4" i="27"/>
  <c r="KT64" i="29"/>
  <c r="KQ58" i="29"/>
  <c r="KZ64" i="29"/>
  <c r="BH6" i="30"/>
  <c r="BE6" i="30"/>
  <c r="BF6" i="30"/>
  <c r="EV64" i="29"/>
  <c r="ES67" i="29"/>
  <c r="ES58" i="29"/>
  <c r="EW64" i="29"/>
  <c r="CV64" i="29"/>
  <c r="CC58" i="29"/>
  <c r="CC67" i="29"/>
  <c r="CF64" i="29"/>
  <c r="CV56" i="29"/>
  <c r="CF56" i="29"/>
  <c r="JN58" i="29"/>
  <c r="JQ64" i="29"/>
  <c r="JR64" i="29"/>
  <c r="JQ56" i="29"/>
  <c r="JR56" i="29"/>
  <c r="FQ58" i="29"/>
  <c r="FT58" i="29"/>
  <c r="FT64" i="29"/>
  <c r="FG58" i="29"/>
  <c r="FJ64" i="29"/>
  <c r="FU64" i="29"/>
  <c r="FJ56" i="29"/>
  <c r="FU56" i="29"/>
  <c r="LA56" i="29"/>
  <c r="LB56" i="29"/>
  <c r="CM58" i="29"/>
  <c r="CP58" i="29"/>
  <c r="CP64" i="29"/>
  <c r="CM67" i="29"/>
  <c r="EW56" i="29"/>
  <c r="EV56" i="29"/>
  <c r="RL17" i="28"/>
  <c r="AJX17" i="28"/>
  <c r="RL34" i="28"/>
  <c r="AJX35" i="28"/>
  <c r="ALD17" i="28"/>
  <c r="ALD35" i="28"/>
  <c r="ALD34" i="28"/>
  <c r="AJX34" i="28"/>
  <c r="RL35" i="28"/>
  <c r="KF7" i="28"/>
  <c r="KJ7" i="28"/>
  <c r="KN7" i="28"/>
  <c r="KR7" i="28"/>
  <c r="KV7" i="28"/>
  <c r="KZ7" i="28"/>
  <c r="LD7" i="28"/>
  <c r="LD8" i="28"/>
  <c r="KZ8" i="28"/>
  <c r="KV8" i="28"/>
  <c r="KR8" i="28"/>
  <c r="KN8" i="28"/>
  <c r="KJ8" i="28"/>
  <c r="KF8" i="28"/>
  <c r="LH8" i="28"/>
  <c r="LD9" i="28"/>
  <c r="KZ9" i="28"/>
  <c r="KV9" i="28"/>
  <c r="KR9" i="28"/>
  <c r="KN9" i="28"/>
  <c r="KJ9" i="28"/>
  <c r="KF9" i="28"/>
  <c r="LH9" i="28"/>
  <c r="LD10" i="28"/>
  <c r="KZ10" i="28"/>
  <c r="KV10" i="28"/>
  <c r="KR10" i="28"/>
  <c r="KN10" i="28"/>
  <c r="KJ10" i="28"/>
  <c r="KF10" i="28"/>
  <c r="LH10" i="28"/>
  <c r="LD11" i="28"/>
  <c r="KZ11" i="28"/>
  <c r="KV11" i="28"/>
  <c r="KR11" i="28"/>
  <c r="KN11" i="28"/>
  <c r="KJ11" i="28"/>
  <c r="KF11" i="28"/>
  <c r="LH11" i="28"/>
  <c r="LD12" i="28"/>
  <c r="KZ12" i="28"/>
  <c r="KV12" i="28"/>
  <c r="KR12" i="28"/>
  <c r="KN12" i="28"/>
  <c r="KJ12" i="28"/>
  <c r="KF12" i="28"/>
  <c r="LH12" i="28"/>
  <c r="LD13" i="28"/>
  <c r="KZ13" i="28"/>
  <c r="KV13" i="28"/>
  <c r="KR13" i="28"/>
  <c r="KN13" i="28"/>
  <c r="KJ13" i="28"/>
  <c r="KF13" i="28"/>
  <c r="LH13" i="28"/>
  <c r="LD14" i="28"/>
  <c r="KZ14" i="28"/>
  <c r="KV14" i="28"/>
  <c r="KR14" i="28"/>
  <c r="KN14" i="28"/>
  <c r="KJ14" i="28"/>
  <c r="KF14" i="28"/>
  <c r="LH14" i="28"/>
  <c r="LD15" i="28"/>
  <c r="KZ15" i="28"/>
  <c r="KV15" i="28"/>
  <c r="KR15" i="28"/>
  <c r="KN15" i="28"/>
  <c r="KJ15" i="28"/>
  <c r="KF15" i="28"/>
  <c r="LH15" i="28"/>
  <c r="LD16" i="28"/>
  <c r="KZ16" i="28"/>
  <c r="KV16" i="28"/>
  <c r="KR16" i="28"/>
  <c r="KN16" i="28"/>
  <c r="KJ16" i="28"/>
  <c r="KF16" i="28"/>
  <c r="LH16" i="28"/>
  <c r="LD18" i="28"/>
  <c r="KZ18" i="28"/>
  <c r="KV18" i="28"/>
  <c r="KR18" i="28"/>
  <c r="KN18" i="28"/>
  <c r="KJ18" i="28"/>
  <c r="KF18" i="28"/>
  <c r="LH18" i="28"/>
  <c r="LD19" i="28"/>
  <c r="KZ19" i="28"/>
  <c r="KV19" i="28"/>
  <c r="KR19" i="28"/>
  <c r="KN19" i="28"/>
  <c r="KJ19" i="28"/>
  <c r="KF19" i="28"/>
  <c r="LH19" i="28"/>
  <c r="LD20" i="28"/>
  <c r="KZ20" i="28"/>
  <c r="KV20" i="28"/>
  <c r="KR20" i="28"/>
  <c r="KN20" i="28"/>
  <c r="KJ20" i="28"/>
  <c r="KF20" i="28"/>
  <c r="LH20" i="28"/>
  <c r="LD21" i="28"/>
  <c r="KZ21" i="28"/>
  <c r="KV21" i="28"/>
  <c r="KR21" i="28"/>
  <c r="KN21" i="28"/>
  <c r="KJ21" i="28"/>
  <c r="KF21" i="28"/>
  <c r="LH21" i="28"/>
  <c r="LD22" i="28"/>
  <c r="KZ22" i="28"/>
  <c r="KV22" i="28"/>
  <c r="KR22" i="28"/>
  <c r="KN22" i="28"/>
  <c r="KJ22" i="28"/>
  <c r="KF22" i="28"/>
  <c r="LH22" i="28"/>
  <c r="LD23" i="28"/>
  <c r="KZ23" i="28"/>
  <c r="KV23" i="28"/>
  <c r="KR23" i="28"/>
  <c r="KN23" i="28"/>
  <c r="KJ23" i="28"/>
  <c r="KF23" i="28"/>
  <c r="LH23" i="28"/>
  <c r="LD24" i="28"/>
  <c r="KZ24" i="28"/>
  <c r="KV24" i="28"/>
  <c r="KR24" i="28"/>
  <c r="KN24" i="28"/>
  <c r="KJ24" i="28"/>
  <c r="KF24" i="28"/>
  <c r="LH24" i="28"/>
  <c r="LD25" i="28"/>
  <c r="KZ25" i="28"/>
  <c r="KV25" i="28"/>
  <c r="KR25" i="28"/>
  <c r="KN25" i="28"/>
  <c r="KJ25" i="28"/>
  <c r="KF25" i="28"/>
  <c r="LH25" i="28"/>
  <c r="LD26" i="28"/>
  <c r="KZ26" i="28"/>
  <c r="KV26" i="28"/>
  <c r="KR26" i="28"/>
  <c r="KN26" i="28"/>
  <c r="KJ26" i="28"/>
  <c r="KF26" i="28"/>
  <c r="LH26" i="28"/>
  <c r="LD27" i="28"/>
  <c r="KZ27" i="28"/>
  <c r="KV27" i="28"/>
  <c r="KR27" i="28"/>
  <c r="KN27" i="28"/>
  <c r="KJ27" i="28"/>
  <c r="KF27" i="28"/>
  <c r="LH27" i="28"/>
  <c r="LD28" i="28"/>
  <c r="KZ28" i="28"/>
  <c r="KV28" i="28"/>
  <c r="KR28" i="28"/>
  <c r="KN28" i="28"/>
  <c r="KJ28" i="28"/>
  <c r="KF28" i="28"/>
  <c r="LH28" i="28"/>
  <c r="LD29" i="28"/>
  <c r="KZ29" i="28"/>
  <c r="KV29" i="28"/>
  <c r="KR29" i="28"/>
  <c r="KN29" i="28"/>
  <c r="KJ29" i="28"/>
  <c r="KF29" i="28"/>
  <c r="LH29" i="28"/>
  <c r="LD30" i="28"/>
  <c r="KZ30" i="28"/>
  <c r="KV30" i="28"/>
  <c r="KR30" i="28"/>
  <c r="KN30" i="28"/>
  <c r="KJ30" i="28"/>
  <c r="KF30" i="28"/>
  <c r="LH30" i="28"/>
  <c r="LD31" i="28"/>
  <c r="KZ31" i="28"/>
  <c r="KV31" i="28"/>
  <c r="KR31" i="28"/>
  <c r="KN31" i="28"/>
  <c r="KJ31" i="28"/>
  <c r="KF31" i="28"/>
  <c r="LH31" i="28"/>
  <c r="LD32" i="28"/>
  <c r="KZ32" i="28"/>
  <c r="KV32" i="28"/>
  <c r="KR32" i="28"/>
  <c r="KN32" i="28"/>
  <c r="KJ32" i="28"/>
  <c r="KF32" i="28"/>
  <c r="LH32" i="28"/>
  <c r="LD33" i="28"/>
  <c r="KZ33" i="28"/>
  <c r="KV33" i="28"/>
  <c r="KR33" i="28"/>
  <c r="KN33" i="28"/>
  <c r="KJ33" i="28"/>
  <c r="KF33" i="28"/>
  <c r="LH33" i="28"/>
  <c r="MJ34" i="28"/>
  <c r="MF34" i="28"/>
  <c r="MB34" i="28"/>
  <c r="LX34" i="28"/>
  <c r="LT34" i="28"/>
  <c r="LP34" i="28"/>
  <c r="LL34" i="28"/>
  <c r="MN34" i="28"/>
  <c r="MJ35" i="28"/>
  <c r="MF35" i="28"/>
  <c r="MB35" i="28"/>
  <c r="LX35" i="28"/>
  <c r="LT35" i="28"/>
  <c r="LP35" i="28"/>
  <c r="LL35" i="28"/>
  <c r="MN35" i="28"/>
  <c r="NP34" i="28"/>
  <c r="NH34" i="28"/>
  <c r="ND34" i="28"/>
  <c r="MZ34" i="28"/>
  <c r="MV34" i="28"/>
  <c r="MR34" i="28"/>
  <c r="NT34" i="28"/>
  <c r="NP35" i="28"/>
  <c r="NL35" i="28"/>
  <c r="NH35" i="28"/>
  <c r="ND35" i="28"/>
  <c r="MZ35" i="28"/>
  <c r="MV35" i="28"/>
  <c r="MR35" i="28"/>
  <c r="NT35" i="28"/>
  <c r="NX34" i="28"/>
  <c r="OB34" i="28"/>
  <c r="OF34" i="28"/>
  <c r="OJ34" i="28"/>
  <c r="ON34" i="28"/>
  <c r="OR34" i="28"/>
  <c r="OV34" i="28"/>
  <c r="NX35" i="28"/>
  <c r="OB35" i="28"/>
  <c r="OF35" i="28"/>
  <c r="OJ35" i="28"/>
  <c r="ON35" i="28"/>
  <c r="OR35" i="28"/>
  <c r="OV35" i="28"/>
  <c r="NX17" i="28"/>
  <c r="OB17" i="28"/>
  <c r="OF17" i="28"/>
  <c r="OJ17" i="28"/>
  <c r="ON17" i="28"/>
  <c r="OR17" i="28"/>
  <c r="OV17" i="28"/>
  <c r="NP17" i="28"/>
  <c r="NL17" i="28"/>
  <c r="NH17" i="28"/>
  <c r="ND17" i="28"/>
  <c r="MZ17" i="28"/>
  <c r="MV17" i="28"/>
  <c r="MR17" i="28"/>
  <c r="NT17" i="28"/>
  <c r="QF17" i="28"/>
  <c r="QF35" i="28"/>
  <c r="QF34" i="28"/>
  <c r="OZ33" i="28"/>
  <c r="OZ32" i="28"/>
  <c r="OZ31" i="28"/>
  <c r="OZ30" i="28"/>
  <c r="OZ29" i="28"/>
  <c r="OZ28" i="28"/>
  <c r="OZ27" i="28"/>
  <c r="OZ26" i="28"/>
  <c r="OZ25" i="28"/>
  <c r="OZ24" i="28"/>
  <c r="OZ23" i="28"/>
  <c r="OZ22" i="28"/>
  <c r="OZ21" i="28"/>
  <c r="OZ20" i="28"/>
  <c r="OZ19" i="28"/>
  <c r="OZ18" i="28"/>
  <c r="OZ16" i="28"/>
  <c r="OZ15" i="28"/>
  <c r="OZ14" i="28"/>
  <c r="OZ13" i="28"/>
  <c r="OZ12" i="28"/>
  <c r="OZ11" i="28"/>
  <c r="OZ10" i="28"/>
  <c r="OZ9" i="28"/>
  <c r="OZ8" i="28"/>
  <c r="OV36" i="28"/>
  <c r="OR36" i="28"/>
  <c r="ON36" i="28"/>
  <c r="OJ36" i="28"/>
  <c r="OF36" i="28"/>
  <c r="OB36" i="28"/>
  <c r="NX36" i="28"/>
  <c r="MR36" i="28"/>
  <c r="NT7" i="28"/>
  <c r="NT36" i="28"/>
  <c r="MV36" i="28"/>
  <c r="MZ36" i="28"/>
  <c r="ND36" i="28"/>
  <c r="NH36" i="28"/>
  <c r="NL36" i="28"/>
  <c r="NP36" i="28"/>
  <c r="MJ17" i="28"/>
  <c r="MF17" i="28"/>
  <c r="MB17" i="28"/>
  <c r="LX17" i="28"/>
  <c r="LT17" i="28"/>
  <c r="LP17" i="28"/>
  <c r="LL17" i="28"/>
  <c r="MN17" i="28"/>
  <c r="LL36" i="28"/>
  <c r="MN7" i="28"/>
  <c r="MN36" i="28"/>
  <c r="LP36" i="28"/>
  <c r="LT36" i="28"/>
  <c r="LX36" i="28"/>
  <c r="MB36" i="28"/>
  <c r="MF36" i="28"/>
  <c r="MJ36" i="28"/>
  <c r="ED22" i="28"/>
  <c r="ED25" i="28"/>
  <c r="ED20" i="28"/>
  <c r="ED24" i="28"/>
  <c r="FC24" i="28"/>
  <c r="FF24" i="28"/>
  <c r="CL34" i="28"/>
  <c r="CD34" i="28"/>
  <c r="CP34" i="28"/>
  <c r="BZ34" i="28"/>
  <c r="CH34" i="28"/>
  <c r="CL7" i="28"/>
  <c r="CI36" i="28"/>
  <c r="CI50" i="28" s="1"/>
  <c r="CI55" i="28" s="1"/>
  <c r="CL36" i="28"/>
  <c r="BV28" i="28"/>
  <c r="CQ28" i="28"/>
  <c r="CT28" i="28"/>
  <c r="BV33" i="28"/>
  <c r="CQ33" i="28"/>
  <c r="CT33" i="28"/>
  <c r="BV14" i="28"/>
  <c r="CQ14" i="28"/>
  <c r="CT14" i="28"/>
  <c r="BV7" i="28"/>
  <c r="CQ7" i="28"/>
  <c r="BV24" i="28"/>
  <c r="CQ24" i="28"/>
  <c r="CT24" i="28"/>
  <c r="BV12" i="28"/>
  <c r="CQ12" i="28"/>
  <c r="CT12" i="28"/>
  <c r="BV26" i="28"/>
  <c r="CQ26" i="28"/>
  <c r="CT26" i="28"/>
  <c r="BV15" i="28"/>
  <c r="CQ15" i="28"/>
  <c r="CT15" i="28"/>
  <c r="BV31" i="28"/>
  <c r="CQ31" i="28"/>
  <c r="CT31" i="28"/>
  <c r="BV16" i="28"/>
  <c r="CQ16" i="28"/>
  <c r="CT16" i="28"/>
  <c r="CH7" i="28"/>
  <c r="CD7" i="28"/>
  <c r="BV20" i="28"/>
  <c r="CQ20" i="28"/>
  <c r="CT20" i="28"/>
  <c r="BV27" i="28"/>
  <c r="CQ27" i="28"/>
  <c r="CT27" i="28"/>
  <c r="BV25" i="28"/>
  <c r="CQ25" i="28"/>
  <c r="CT25" i="28"/>
  <c r="BV23" i="28"/>
  <c r="CQ23" i="28"/>
  <c r="CT23" i="28"/>
  <c r="BV30" i="28"/>
  <c r="CQ30" i="28"/>
  <c r="CT30" i="28"/>
  <c r="BV10" i="28"/>
  <c r="CQ10" i="28"/>
  <c r="CT10" i="28"/>
  <c r="BV32" i="28"/>
  <c r="CQ32" i="28"/>
  <c r="CT32" i="28"/>
  <c r="BV22" i="28"/>
  <c r="CQ22" i="28"/>
  <c r="CT22" i="28"/>
  <c r="BV13" i="28"/>
  <c r="CQ13" i="28"/>
  <c r="CT13" i="28"/>
  <c r="BV21" i="28"/>
  <c r="CQ21" i="28"/>
  <c r="CT21" i="28"/>
  <c r="DZ7" i="28"/>
  <c r="DW36" i="28"/>
  <c r="DW50" i="28" s="1"/>
  <c r="DW55" i="28" s="1"/>
  <c r="DZ36" i="28"/>
  <c r="CP17" i="28"/>
  <c r="CH17" i="28"/>
  <c r="CL17" i="28"/>
  <c r="BS36" i="28"/>
  <c r="BS50" i="28" s="1"/>
  <c r="BS55" i="28" s="1"/>
  <c r="BV36" i="28"/>
  <c r="BV11" i="28"/>
  <c r="CQ11" i="28"/>
  <c r="CT11" i="28"/>
  <c r="CQ9" i="28"/>
  <c r="CT9" i="28"/>
  <c r="BV9" i="28"/>
  <c r="BZ7" i="28"/>
  <c r="CP7" i="28"/>
  <c r="CM36" i="28"/>
  <c r="CM50" i="28" s="1"/>
  <c r="CM55" i="28" s="1"/>
  <c r="CP36" i="28"/>
  <c r="BV29" i="28"/>
  <c r="CQ29" i="28"/>
  <c r="CT29" i="28"/>
  <c r="BV19" i="28"/>
  <c r="CQ19" i="28"/>
  <c r="CT19" i="28"/>
  <c r="BV18" i="28"/>
  <c r="CQ18" i="28"/>
  <c r="CT18" i="28"/>
  <c r="BV8" i="28"/>
  <c r="BV39" i="28" s="1"/>
  <c r="CQ8" i="28"/>
  <c r="CQ39" i="28" s="1"/>
  <c r="CT8" i="28"/>
  <c r="CT39" i="28" s="1"/>
  <c r="BI6" i="28"/>
  <c r="BJ6" i="28"/>
  <c r="BP6" i="28"/>
  <c r="KV44" i="25"/>
  <c r="KV45" i="25"/>
  <c r="JB47" i="25"/>
  <c r="JG47" i="25"/>
  <c r="KF47" i="25"/>
  <c r="HR45" i="25"/>
  <c r="HS45" i="25"/>
  <c r="GT47" i="25"/>
  <c r="JQ47" i="25"/>
  <c r="KK47" i="25"/>
  <c r="KR41" i="25"/>
  <c r="KS41" i="25"/>
  <c r="KP47" i="25"/>
  <c r="KA47" i="25"/>
  <c r="KX47" i="25"/>
  <c r="KY47" i="25"/>
  <c r="KY41" i="25"/>
  <c r="KU47" i="25"/>
  <c r="KR45" i="25"/>
  <c r="KS45" i="25"/>
  <c r="JN45" i="25"/>
  <c r="JO45" i="25"/>
  <c r="JU47" i="25"/>
  <c r="JV47" i="25"/>
  <c r="JI45" i="25"/>
  <c r="JJ45" i="25"/>
  <c r="KV39" i="25"/>
  <c r="GE35" i="25"/>
  <c r="GJ35" i="25"/>
  <c r="JE44" i="25"/>
  <c r="JD45" i="25"/>
  <c r="JS39" i="25"/>
  <c r="JS44" i="25"/>
  <c r="JS45" i="25"/>
  <c r="KI44" i="25"/>
  <c r="KH45" i="25"/>
  <c r="KM45" i="25"/>
  <c r="KN44" i="25"/>
  <c r="JY44" i="25"/>
  <c r="JX45" i="25"/>
  <c r="IZ44" i="25"/>
  <c r="IY45" i="25"/>
  <c r="GO35" i="25"/>
  <c r="GU45" i="25"/>
  <c r="GV45" i="25"/>
  <c r="GV43" i="25"/>
  <c r="BB35" i="25"/>
  <c r="BC35" i="25"/>
  <c r="BD35" i="25"/>
  <c r="BG35" i="25"/>
  <c r="BH35" i="25"/>
  <c r="BI35" i="25"/>
  <c r="BL35" i="25"/>
  <c r="BM35" i="25"/>
  <c r="BZ33" i="25"/>
  <c r="BZ34" i="25"/>
  <c r="BZ6" i="25"/>
  <c r="BY6" i="25"/>
  <c r="BW32" i="25"/>
  <c r="BW31" i="25"/>
  <c r="BW30" i="25"/>
  <c r="BW29" i="25"/>
  <c r="BW28" i="25"/>
  <c r="BW27" i="25"/>
  <c r="BW26" i="25"/>
  <c r="BW25" i="25"/>
  <c r="BW24" i="25"/>
  <c r="BW23" i="25"/>
  <c r="BW22" i="25"/>
  <c r="BW21" i="25"/>
  <c r="BW20" i="25"/>
  <c r="BW19" i="25"/>
  <c r="BW18" i="25"/>
  <c r="BW17" i="25"/>
  <c r="BW16" i="25"/>
  <c r="BW15" i="25"/>
  <c r="BW14" i="25"/>
  <c r="BW13" i="25"/>
  <c r="BW12" i="25"/>
  <c r="BW11" i="25"/>
  <c r="BW10" i="25"/>
  <c r="BW9" i="25"/>
  <c r="BW8" i="25"/>
  <c r="BW7" i="25"/>
  <c r="AE11" i="27"/>
  <c r="AE10" i="27"/>
  <c r="AE9" i="27"/>
  <c r="AE8" i="27"/>
  <c r="AE7" i="27"/>
  <c r="AE12" i="27"/>
  <c r="GP35" i="25"/>
  <c r="V4" i="27"/>
  <c r="AD11" i="27"/>
  <c r="AD10" i="27"/>
  <c r="AD9" i="27"/>
  <c r="AD8" i="27"/>
  <c r="AD7" i="27"/>
  <c r="AB11" i="27"/>
  <c r="AB10" i="27"/>
  <c r="AB9" i="27"/>
  <c r="AB8" i="27"/>
  <c r="AB7" i="27"/>
  <c r="AB12" i="27"/>
  <c r="AA11" i="27"/>
  <c r="AA10" i="27"/>
  <c r="AA9" i="27"/>
  <c r="AA8" i="27"/>
  <c r="AA7" i="27"/>
  <c r="AA12" i="27"/>
  <c r="Z11" i="27"/>
  <c r="Z10" i="27"/>
  <c r="Z9" i="27"/>
  <c r="Z8" i="27"/>
  <c r="Z7" i="27"/>
  <c r="Z12" i="27"/>
  <c r="Y11" i="27"/>
  <c r="Y10" i="27"/>
  <c r="Y9" i="27"/>
  <c r="Y8" i="27"/>
  <c r="Y7" i="27"/>
  <c r="Y12" i="27"/>
  <c r="AR11" i="27"/>
  <c r="AR10" i="27"/>
  <c r="AR9" i="27"/>
  <c r="AR8" i="27"/>
  <c r="AR7" i="27"/>
  <c r="AR12" i="27"/>
  <c r="GF35" i="25"/>
  <c r="T4" i="27"/>
  <c r="GK35" i="25"/>
  <c r="U4" i="27"/>
  <c r="E6" i="24"/>
  <c r="E34" i="24"/>
  <c r="E33" i="24"/>
  <c r="GS40" i="25"/>
  <c r="LB64" i="29"/>
  <c r="LA64" i="29"/>
  <c r="KT58" i="29"/>
  <c r="KZ58" i="29"/>
  <c r="BI6" i="30"/>
  <c r="BJ6" i="30"/>
  <c r="BP6" i="30"/>
  <c r="CM68" i="29"/>
  <c r="CW67" i="29"/>
  <c r="CP67" i="29"/>
  <c r="JQ58" i="29"/>
  <c r="JR58" i="29"/>
  <c r="EV58" i="29"/>
  <c r="EW58" i="29"/>
  <c r="FJ58" i="29"/>
  <c r="FU58" i="29"/>
  <c r="CV58" i="29"/>
  <c r="CF58" i="29"/>
  <c r="ES68" i="29"/>
  <c r="EV67" i="29"/>
  <c r="CC68" i="29"/>
  <c r="CC69" i="29"/>
  <c r="CH69" i="29"/>
  <c r="CF67" i="29"/>
  <c r="ALD36" i="28"/>
  <c r="RL36" i="28"/>
  <c r="LD35" i="28"/>
  <c r="KZ35" i="28"/>
  <c r="KV35" i="28"/>
  <c r="KR35" i="28"/>
  <c r="KT35" i="28" s="1"/>
  <c r="KN35" i="28"/>
  <c r="KJ35" i="28"/>
  <c r="KF35" i="28"/>
  <c r="LH35" i="28"/>
  <c r="LD34" i="28"/>
  <c r="KZ34" i="28"/>
  <c r="KV34" i="28"/>
  <c r="KR34" i="28"/>
  <c r="KN34" i="28"/>
  <c r="KJ34" i="28"/>
  <c r="KF34" i="28"/>
  <c r="LH34" i="28"/>
  <c r="OZ17" i="28"/>
  <c r="OZ35" i="28"/>
  <c r="OZ34" i="28"/>
  <c r="LD36" i="28"/>
  <c r="KZ36" i="28"/>
  <c r="KV36" i="28"/>
  <c r="KR36" i="28"/>
  <c r="KN36" i="28"/>
  <c r="KJ36" i="28"/>
  <c r="KF36" i="28"/>
  <c r="LH7" i="28"/>
  <c r="LH36" i="28"/>
  <c r="FC25" i="28"/>
  <c r="FF25" i="28"/>
  <c r="FC27" i="28"/>
  <c r="FF27" i="28"/>
  <c r="ED28" i="28"/>
  <c r="FC28" i="28"/>
  <c r="FF28" i="28"/>
  <c r="FC23" i="28"/>
  <c r="CE36" i="28"/>
  <c r="CE50" i="28" s="1"/>
  <c r="CE55" i="28" s="1"/>
  <c r="CH36" i="28"/>
  <c r="BW36" i="28"/>
  <c r="BW50" i="28" s="1"/>
  <c r="BW55" i="28" s="1"/>
  <c r="BZ36" i="28"/>
  <c r="CQ17" i="28"/>
  <c r="CT17" i="28"/>
  <c r="CT7" i="28"/>
  <c r="BV34" i="28"/>
  <c r="CQ34" i="28"/>
  <c r="CT34" i="28"/>
  <c r="CA36" i="28"/>
  <c r="CA50" i="28" s="1"/>
  <c r="CA55" i="28" s="1"/>
  <c r="CD36" i="28"/>
  <c r="BQ6" i="28"/>
  <c r="BQ38" i="28" s="1"/>
  <c r="BR6" i="28"/>
  <c r="BT6" i="28"/>
  <c r="CA6" i="25"/>
  <c r="KR47" i="25"/>
  <c r="BY38" i="25"/>
  <c r="IZ45" i="25"/>
  <c r="JY45" i="25"/>
  <c r="KN45" i="25"/>
  <c r="KI45" i="25"/>
  <c r="JE45" i="25"/>
  <c r="FZ35" i="25"/>
  <c r="GS39" i="25"/>
  <c r="GS38" i="25"/>
  <c r="BY44" i="25"/>
  <c r="BY43" i="25"/>
  <c r="BY40" i="25"/>
  <c r="BY39" i="25"/>
  <c r="BZ35" i="25"/>
  <c r="BZ38" i="25"/>
  <c r="CA32" i="25"/>
  <c r="CA31" i="25"/>
  <c r="BZ44" i="25"/>
  <c r="CA30" i="25"/>
  <c r="CA29" i="25"/>
  <c r="CA28" i="25"/>
  <c r="CA27" i="25"/>
  <c r="CA26" i="25"/>
  <c r="BZ43" i="25"/>
  <c r="CA25" i="25"/>
  <c r="CA24" i="25"/>
  <c r="CA23" i="25"/>
  <c r="CA22" i="25"/>
  <c r="CA21" i="25"/>
  <c r="CA20" i="25"/>
  <c r="CA19" i="25"/>
  <c r="CA18" i="25"/>
  <c r="CA17" i="25"/>
  <c r="CA16" i="25"/>
  <c r="CA15" i="25"/>
  <c r="CA14" i="25"/>
  <c r="CA13" i="25"/>
  <c r="CA12" i="25"/>
  <c r="BZ40" i="25"/>
  <c r="CA11" i="25"/>
  <c r="CA10" i="25"/>
  <c r="CA9" i="25"/>
  <c r="BZ39" i="25"/>
  <c r="CA8" i="25"/>
  <c r="CA7" i="25"/>
  <c r="BY35" i="25"/>
  <c r="FV44" i="25"/>
  <c r="FV43" i="25"/>
  <c r="FV40" i="25"/>
  <c r="FV39" i="25"/>
  <c r="FV38" i="25"/>
  <c r="FV35" i="25"/>
  <c r="FW34" i="25"/>
  <c r="I34" i="24" s="1"/>
  <c r="FW33" i="25"/>
  <c r="I33" i="24" s="1"/>
  <c r="FX33" i="25"/>
  <c r="FW32" i="25"/>
  <c r="I32" i="24" s="1"/>
  <c r="FX32" i="25"/>
  <c r="FW31" i="25"/>
  <c r="I31" i="24" s="1"/>
  <c r="FX31" i="25"/>
  <c r="FW30" i="25"/>
  <c r="I30" i="24" s="1"/>
  <c r="FX30" i="25"/>
  <c r="FW29" i="25"/>
  <c r="I29" i="24" s="1"/>
  <c r="FX29" i="25"/>
  <c r="FW28" i="25"/>
  <c r="I28" i="24" s="1"/>
  <c r="FX28" i="25"/>
  <c r="FW27" i="25"/>
  <c r="I27" i="24" s="1"/>
  <c r="FX27" i="25"/>
  <c r="FW26" i="25"/>
  <c r="I26" i="24" s="1"/>
  <c r="FX26" i="25"/>
  <c r="FW24" i="25"/>
  <c r="I24" i="24" s="1"/>
  <c r="FX24" i="25"/>
  <c r="FW23" i="25"/>
  <c r="I23" i="24" s="1"/>
  <c r="FX23" i="25"/>
  <c r="FW22" i="25"/>
  <c r="I22" i="24" s="1"/>
  <c r="FX22" i="25"/>
  <c r="FW21" i="25"/>
  <c r="I21" i="24" s="1"/>
  <c r="FX21" i="25"/>
  <c r="FW20" i="25"/>
  <c r="I20" i="24" s="1"/>
  <c r="FX20" i="25"/>
  <c r="FW19" i="25"/>
  <c r="I19" i="24" s="1"/>
  <c r="FX19" i="25"/>
  <c r="FW18" i="25"/>
  <c r="I18" i="24" s="1"/>
  <c r="FX18" i="25"/>
  <c r="FW17" i="25"/>
  <c r="I17" i="24" s="1"/>
  <c r="FX17" i="25"/>
  <c r="FW16" i="25"/>
  <c r="I16" i="24" s="1"/>
  <c r="FW15" i="25"/>
  <c r="I15" i="24" s="1"/>
  <c r="FX15" i="25"/>
  <c r="FW14" i="25"/>
  <c r="I14" i="24" s="1"/>
  <c r="FX14" i="25"/>
  <c r="FW13" i="25"/>
  <c r="I13" i="24" s="1"/>
  <c r="FX13" i="25"/>
  <c r="FW12" i="25"/>
  <c r="I12" i="24" s="1"/>
  <c r="FX12" i="25"/>
  <c r="FW11" i="25"/>
  <c r="I11" i="24" s="1"/>
  <c r="FX11" i="25"/>
  <c r="FW10" i="25"/>
  <c r="I10" i="24" s="1"/>
  <c r="FX10" i="25"/>
  <c r="FW9" i="25"/>
  <c r="I9" i="24" s="1"/>
  <c r="FX9" i="25"/>
  <c r="FW8" i="25"/>
  <c r="I8" i="24" s="1"/>
  <c r="FX8" i="25"/>
  <c r="FW7" i="25"/>
  <c r="I7" i="24" s="1"/>
  <c r="FX7" i="25"/>
  <c r="FS35" i="25"/>
  <c r="FP35" i="25"/>
  <c r="FN35" i="25"/>
  <c r="FK35" i="25"/>
  <c r="FI35" i="25"/>
  <c r="FF35" i="25"/>
  <c r="FJ33" i="25"/>
  <c r="FJ32" i="25"/>
  <c r="FJ31" i="25"/>
  <c r="FJ30" i="25"/>
  <c r="FJ29" i="25"/>
  <c r="FJ28" i="25"/>
  <c r="FJ27" i="25"/>
  <c r="FJ26" i="25"/>
  <c r="FJ25" i="25"/>
  <c r="FJ24" i="25"/>
  <c r="FJ23" i="25"/>
  <c r="FJ22" i="25"/>
  <c r="FJ21" i="25"/>
  <c r="FJ20" i="25"/>
  <c r="FJ19" i="25"/>
  <c r="FJ18" i="25"/>
  <c r="FJ17" i="25"/>
  <c r="FJ15" i="25"/>
  <c r="FJ14" i="25"/>
  <c r="FJ13" i="25"/>
  <c r="FJ12" i="25"/>
  <c r="FJ11" i="25"/>
  <c r="FJ10" i="25"/>
  <c r="FJ9" i="25"/>
  <c r="FJ8" i="25"/>
  <c r="FJ7" i="25"/>
  <c r="FJ6" i="25"/>
  <c r="FD35" i="25"/>
  <c r="FA35" i="25"/>
  <c r="R23" i="27" s="1"/>
  <c r="R26" i="27" s="1"/>
  <c r="FE33" i="25"/>
  <c r="FE32" i="25"/>
  <c r="FE31" i="25"/>
  <c r="FE30" i="25"/>
  <c r="FE29" i="25"/>
  <c r="FE28" i="25"/>
  <c r="FE27" i="25"/>
  <c r="FE26" i="25"/>
  <c r="FE25" i="25"/>
  <c r="FE24" i="25"/>
  <c r="FE23" i="25"/>
  <c r="FE22" i="25"/>
  <c r="FE21" i="25"/>
  <c r="FE20" i="25"/>
  <c r="FE19" i="25"/>
  <c r="FE18" i="25"/>
  <c r="FE17" i="25"/>
  <c r="FE15" i="25"/>
  <c r="FE14" i="25"/>
  <c r="FE13" i="25"/>
  <c r="FE12" i="25"/>
  <c r="FE11" i="25"/>
  <c r="FE10" i="25"/>
  <c r="FE9" i="25"/>
  <c r="FE8" i="25"/>
  <c r="FE7" i="25"/>
  <c r="FE6" i="25"/>
  <c r="EX44" i="25"/>
  <c r="EX43" i="25"/>
  <c r="EX40" i="25"/>
  <c r="EX39" i="25"/>
  <c r="EX38" i="25"/>
  <c r="EX35" i="25"/>
  <c r="EY7" i="25"/>
  <c r="H7" i="24" s="1"/>
  <c r="EY8" i="25"/>
  <c r="H8" i="24" s="1"/>
  <c r="EY9" i="25"/>
  <c r="H9" i="24" s="1"/>
  <c r="EY10" i="25"/>
  <c r="H10" i="24" s="1"/>
  <c r="EZ10" i="25"/>
  <c r="EY11" i="25"/>
  <c r="H11" i="24" s="1"/>
  <c r="EY12" i="25"/>
  <c r="EY13" i="25"/>
  <c r="H13" i="24" s="1"/>
  <c r="EY14" i="25"/>
  <c r="H14" i="24" s="1"/>
  <c r="EZ14" i="25"/>
  <c r="EY15" i="25"/>
  <c r="H15" i="24" s="1"/>
  <c r="EY16" i="25"/>
  <c r="H16" i="24" s="1"/>
  <c r="EY17" i="25"/>
  <c r="H17" i="24" s="1"/>
  <c r="EY18" i="25"/>
  <c r="H18" i="24" s="1"/>
  <c r="EZ18" i="25"/>
  <c r="EY19" i="25"/>
  <c r="H19" i="24" s="1"/>
  <c r="EY20" i="25"/>
  <c r="H20" i="24" s="1"/>
  <c r="EY21" i="25"/>
  <c r="H21" i="24" s="1"/>
  <c r="EY22" i="25"/>
  <c r="H22" i="24" s="1"/>
  <c r="EZ22" i="25"/>
  <c r="EY23" i="25"/>
  <c r="H23" i="24" s="1"/>
  <c r="EY24" i="25"/>
  <c r="H24" i="24" s="1"/>
  <c r="EY25" i="25"/>
  <c r="H25" i="24" s="1"/>
  <c r="EY26" i="25"/>
  <c r="H26" i="24" s="1"/>
  <c r="EZ26" i="25"/>
  <c r="EY27" i="25"/>
  <c r="H27" i="24" s="1"/>
  <c r="EY28" i="25"/>
  <c r="H28" i="24" s="1"/>
  <c r="EY29" i="25"/>
  <c r="H29" i="24" s="1"/>
  <c r="EY30" i="25"/>
  <c r="H30" i="24" s="1"/>
  <c r="EZ30" i="25"/>
  <c r="EY31" i="25"/>
  <c r="H31" i="24" s="1"/>
  <c r="EY32" i="25"/>
  <c r="H32" i="24" s="1"/>
  <c r="EY33" i="25"/>
  <c r="H33" i="24" s="1"/>
  <c r="EY34" i="25"/>
  <c r="H34" i="24" s="1"/>
  <c r="ER44" i="25"/>
  <c r="ER43" i="25"/>
  <c r="ER40" i="25"/>
  <c r="ER39" i="25"/>
  <c r="ER38" i="25"/>
  <c r="EU35" i="25"/>
  <c r="ER35" i="25"/>
  <c r="L23" i="27" s="1"/>
  <c r="EV14" i="25"/>
  <c r="EV13" i="25"/>
  <c r="EV12" i="25"/>
  <c r="EV11" i="25"/>
  <c r="EV10" i="25"/>
  <c r="EV9" i="25"/>
  <c r="EV8" i="25"/>
  <c r="EV7" i="25"/>
  <c r="EV6" i="25"/>
  <c r="EM44" i="25"/>
  <c r="EM43" i="25"/>
  <c r="EM40" i="25"/>
  <c r="EM39" i="25"/>
  <c r="EM38" i="25"/>
  <c r="EP35" i="25"/>
  <c r="EQ32" i="25"/>
  <c r="EQ31" i="25"/>
  <c r="EQ30" i="25"/>
  <c r="EQ29" i="25"/>
  <c r="EQ28" i="25"/>
  <c r="EQ27" i="25"/>
  <c r="EQ26" i="25"/>
  <c r="EQ25" i="25"/>
  <c r="EQ24" i="25"/>
  <c r="EQ23" i="25"/>
  <c r="EQ22" i="25"/>
  <c r="EQ21" i="25"/>
  <c r="EQ20" i="25"/>
  <c r="EQ19" i="25"/>
  <c r="EQ18" i="25"/>
  <c r="EQ17" i="25"/>
  <c r="EQ15" i="25"/>
  <c r="EQ14" i="25"/>
  <c r="EQ13" i="25"/>
  <c r="EQ12" i="25"/>
  <c r="EQ11" i="25"/>
  <c r="EQ10" i="25"/>
  <c r="EQ9" i="25"/>
  <c r="EQ8" i="25"/>
  <c r="EQ7" i="25"/>
  <c r="EQ6" i="25"/>
  <c r="EL17" i="25"/>
  <c r="EL18" i="25"/>
  <c r="EL19" i="25"/>
  <c r="EL20" i="25"/>
  <c r="EL21" i="25"/>
  <c r="EH44" i="25"/>
  <c r="EH43" i="25"/>
  <c r="EH40" i="25"/>
  <c r="EH39" i="25"/>
  <c r="EH38" i="25"/>
  <c r="EK35" i="25"/>
  <c r="EH35" i="25"/>
  <c r="J23" i="27" s="1"/>
  <c r="EL32" i="25"/>
  <c r="EL31" i="25"/>
  <c r="EL30" i="25"/>
  <c r="EL29" i="25"/>
  <c r="EL28" i="25"/>
  <c r="EL27" i="25"/>
  <c r="EL26" i="25"/>
  <c r="EL25" i="25"/>
  <c r="EL24" i="25"/>
  <c r="EL23" i="25"/>
  <c r="EL22" i="25"/>
  <c r="EL15" i="25"/>
  <c r="EL14" i="25"/>
  <c r="EL13" i="25"/>
  <c r="EL12" i="25"/>
  <c r="EL11" i="25"/>
  <c r="EL10" i="25"/>
  <c r="EL9" i="25"/>
  <c r="EL8" i="25"/>
  <c r="EL7" i="25"/>
  <c r="EL6" i="25"/>
  <c r="EG32" i="25"/>
  <c r="ED32" i="25"/>
  <c r="EG31" i="25"/>
  <c r="ED31" i="25"/>
  <c r="EG30" i="25"/>
  <c r="ED30" i="25"/>
  <c r="EG29" i="25"/>
  <c r="ED29" i="25"/>
  <c r="ED26" i="25"/>
  <c r="EG28" i="25"/>
  <c r="ED28" i="25"/>
  <c r="EG27" i="25"/>
  <c r="ED27" i="25"/>
  <c r="EG26" i="25"/>
  <c r="EG25" i="25"/>
  <c r="ED25" i="25"/>
  <c r="EG24" i="25"/>
  <c r="EG23" i="25"/>
  <c r="ED23" i="25"/>
  <c r="EG22" i="25"/>
  <c r="ED22" i="25"/>
  <c r="EG21" i="25"/>
  <c r="ED21" i="25"/>
  <c r="EG20" i="25"/>
  <c r="ED20" i="25"/>
  <c r="EG19" i="25"/>
  <c r="ED19" i="25"/>
  <c r="EG18" i="25"/>
  <c r="ED18" i="25"/>
  <c r="EG17" i="25"/>
  <c r="ED17" i="25"/>
  <c r="EG15" i="25"/>
  <c r="ED15" i="25"/>
  <c r="EG14" i="25"/>
  <c r="ED14" i="25"/>
  <c r="ED24" i="25"/>
  <c r="EG13" i="25"/>
  <c r="ED13" i="25"/>
  <c r="EG12" i="25"/>
  <c r="ED12" i="25"/>
  <c r="EG11" i="25"/>
  <c r="ED11" i="25"/>
  <c r="EG10" i="25"/>
  <c r="ED10" i="25"/>
  <c r="EG9" i="25"/>
  <c r="EG8" i="25"/>
  <c r="ED8" i="25"/>
  <c r="EG7" i="25"/>
  <c r="ED7" i="25"/>
  <c r="EG6" i="25"/>
  <c r="EC44" i="25"/>
  <c r="EC43" i="25"/>
  <c r="EC40" i="25"/>
  <c r="EC39" i="25"/>
  <c r="EC38" i="25"/>
  <c r="EF35" i="25"/>
  <c r="EC35" i="25"/>
  <c r="I23" i="27" s="1"/>
  <c r="DX44" i="25"/>
  <c r="DX43" i="25"/>
  <c r="DX40" i="25"/>
  <c r="DX39" i="25"/>
  <c r="DX38" i="25"/>
  <c r="EA35" i="25"/>
  <c r="H23" i="27"/>
  <c r="DX35" i="25"/>
  <c r="M23" i="27"/>
  <c r="EB32" i="25"/>
  <c r="DY32" i="25"/>
  <c r="EB31" i="25"/>
  <c r="DY31" i="25"/>
  <c r="EB30" i="25"/>
  <c r="DY30" i="25"/>
  <c r="EB29" i="25"/>
  <c r="DY29" i="25"/>
  <c r="EB28" i="25"/>
  <c r="DY28" i="25"/>
  <c r="EB27" i="25"/>
  <c r="DY27" i="25"/>
  <c r="EB25" i="25"/>
  <c r="EB24" i="25"/>
  <c r="DY24" i="25"/>
  <c r="EB23" i="25"/>
  <c r="DY23" i="25"/>
  <c r="EB22" i="25"/>
  <c r="DY22" i="25"/>
  <c r="EB21" i="25"/>
  <c r="DY21" i="25"/>
  <c r="EB20" i="25"/>
  <c r="DY20" i="25"/>
  <c r="EB19" i="25"/>
  <c r="DY19" i="25"/>
  <c r="EB18" i="25"/>
  <c r="DY18" i="25"/>
  <c r="EB17" i="25"/>
  <c r="DY17" i="25"/>
  <c r="EB16" i="25"/>
  <c r="EB15" i="25"/>
  <c r="DY15" i="25"/>
  <c r="EB14" i="25"/>
  <c r="DY14" i="25"/>
  <c r="EB13" i="25"/>
  <c r="DY13" i="25"/>
  <c r="EB12" i="25"/>
  <c r="EB11" i="25"/>
  <c r="DY11" i="25"/>
  <c r="EB10" i="25"/>
  <c r="DY10" i="25"/>
  <c r="EB9" i="25"/>
  <c r="DY9" i="25"/>
  <c r="EB8" i="25"/>
  <c r="DY8" i="25"/>
  <c r="EB7" i="25"/>
  <c r="DY7" i="25"/>
  <c r="EB6" i="25"/>
  <c r="DU44" i="25"/>
  <c r="DU43" i="25"/>
  <c r="DU40" i="25"/>
  <c r="DU39" i="25"/>
  <c r="DU38" i="25"/>
  <c r="DU35" i="25"/>
  <c r="DW33" i="25"/>
  <c r="DW32" i="25"/>
  <c r="DW31" i="25"/>
  <c r="DW30" i="25"/>
  <c r="DW29" i="25"/>
  <c r="DW28" i="25"/>
  <c r="DW27" i="25"/>
  <c r="DW26" i="25"/>
  <c r="DW24" i="25"/>
  <c r="DW23" i="25"/>
  <c r="DW22" i="25"/>
  <c r="DW21" i="25"/>
  <c r="DW20" i="25"/>
  <c r="DW19" i="25"/>
  <c r="DW18" i="25"/>
  <c r="DW17" i="25"/>
  <c r="DW16" i="25"/>
  <c r="DW15" i="25"/>
  <c r="DW14" i="25"/>
  <c r="DW13" i="25"/>
  <c r="DW12" i="25"/>
  <c r="DV40" i="25"/>
  <c r="DW10" i="25"/>
  <c r="DW9" i="25"/>
  <c r="DW7" i="25"/>
  <c r="DR44" i="25"/>
  <c r="DO44" i="25"/>
  <c r="DR43" i="25"/>
  <c r="DO43" i="25"/>
  <c r="DO40" i="25"/>
  <c r="DO39" i="25"/>
  <c r="DR41" i="25"/>
  <c r="DO38" i="25"/>
  <c r="DR35" i="25"/>
  <c r="DO35" i="25"/>
  <c r="DS32" i="25"/>
  <c r="DP32" i="25"/>
  <c r="DS31" i="25"/>
  <c r="DP31" i="25"/>
  <c r="DS30" i="25"/>
  <c r="DP34" i="25"/>
  <c r="DS29" i="25"/>
  <c r="DP29" i="25"/>
  <c r="DS28" i="25"/>
  <c r="DP28" i="25"/>
  <c r="DS27" i="25"/>
  <c r="DP27" i="25"/>
  <c r="DS26" i="25"/>
  <c r="DP26" i="25"/>
  <c r="DP25" i="25"/>
  <c r="DS24" i="25"/>
  <c r="DP24" i="25"/>
  <c r="DS23" i="25"/>
  <c r="DP23" i="25"/>
  <c r="DS22" i="25"/>
  <c r="DP22" i="25"/>
  <c r="DS21" i="25"/>
  <c r="DP21" i="25"/>
  <c r="DS20" i="25"/>
  <c r="DP20" i="25"/>
  <c r="DS19" i="25"/>
  <c r="DP19" i="25"/>
  <c r="DS18" i="25"/>
  <c r="DP18" i="25"/>
  <c r="DS17" i="25"/>
  <c r="DP17" i="25"/>
  <c r="DS16" i="25"/>
  <c r="DS15" i="25"/>
  <c r="DP15" i="25"/>
  <c r="DS14" i="25"/>
  <c r="DP14" i="25"/>
  <c r="A16" i="25"/>
  <c r="DS13" i="25"/>
  <c r="DP13" i="25"/>
  <c r="DS12" i="25"/>
  <c r="DP12" i="25"/>
  <c r="DS11" i="25"/>
  <c r="DP11" i="25"/>
  <c r="DS10" i="25"/>
  <c r="DP10" i="25"/>
  <c r="DS9" i="25"/>
  <c r="DP9" i="25"/>
  <c r="DS8" i="25"/>
  <c r="DP8" i="25"/>
  <c r="DS7" i="25"/>
  <c r="DP7" i="25"/>
  <c r="DS6" i="25"/>
  <c r="DP6" i="25"/>
  <c r="DM35" i="25"/>
  <c r="DN32" i="25"/>
  <c r="DK32" i="25"/>
  <c r="DN31" i="25"/>
  <c r="DK31" i="25"/>
  <c r="DN30" i="25"/>
  <c r="DK30" i="25"/>
  <c r="DK33" i="25"/>
  <c r="DN33" i="25"/>
  <c r="DN29" i="25"/>
  <c r="DK29" i="25"/>
  <c r="DN28" i="25"/>
  <c r="DK28" i="25"/>
  <c r="DN27" i="25"/>
  <c r="DK27" i="25"/>
  <c r="DN26" i="25"/>
  <c r="DK26" i="25"/>
  <c r="DN25" i="25"/>
  <c r="DK25" i="25"/>
  <c r="DN24" i="25"/>
  <c r="DK24" i="25"/>
  <c r="DN23" i="25"/>
  <c r="DK23" i="25"/>
  <c r="DN22" i="25"/>
  <c r="DK22" i="25"/>
  <c r="DN21" i="25"/>
  <c r="DK21" i="25"/>
  <c r="DN20" i="25"/>
  <c r="DK20" i="25"/>
  <c r="DN19" i="25"/>
  <c r="DK19" i="25"/>
  <c r="DN18" i="25"/>
  <c r="DK18" i="25"/>
  <c r="DN17" i="25"/>
  <c r="DK17" i="25"/>
  <c r="DN16" i="25"/>
  <c r="DK16" i="25"/>
  <c r="DN15" i="25"/>
  <c r="DK15" i="25"/>
  <c r="DN14" i="25"/>
  <c r="DK14" i="25"/>
  <c r="DN13" i="25"/>
  <c r="DK13" i="25"/>
  <c r="DN12" i="25"/>
  <c r="DK12" i="25"/>
  <c r="DN11" i="25"/>
  <c r="DK11" i="25"/>
  <c r="DN10" i="25"/>
  <c r="DK10" i="25"/>
  <c r="DN9" i="25"/>
  <c r="DK9" i="25"/>
  <c r="DN8" i="25"/>
  <c r="DK8" i="25"/>
  <c r="DN7" i="25"/>
  <c r="DK7" i="25"/>
  <c r="DN6" i="25"/>
  <c r="DK6" i="25"/>
  <c r="DH35" i="25"/>
  <c r="DF32" i="25"/>
  <c r="DF31" i="25"/>
  <c r="DF30" i="25"/>
  <c r="DF34" i="25"/>
  <c r="DI34" i="25"/>
  <c r="DF29" i="25"/>
  <c r="DF28" i="25"/>
  <c r="DF27" i="25"/>
  <c r="DF26" i="25"/>
  <c r="DF25" i="25"/>
  <c r="DF24" i="25"/>
  <c r="DF23" i="25"/>
  <c r="DF22" i="25"/>
  <c r="DF21" i="25"/>
  <c r="DF20" i="25"/>
  <c r="DF19" i="25"/>
  <c r="DF18" i="25"/>
  <c r="DF17" i="25"/>
  <c r="DF16" i="25"/>
  <c r="DF15" i="25"/>
  <c r="DF14" i="25"/>
  <c r="DF13" i="25"/>
  <c r="DF12" i="25"/>
  <c r="DF11" i="25"/>
  <c r="DF10" i="25"/>
  <c r="DF9" i="25"/>
  <c r="DF8" i="25"/>
  <c r="DF7" i="25"/>
  <c r="DF6" i="25"/>
  <c r="DC35" i="25"/>
  <c r="DD32" i="25"/>
  <c r="DA32" i="25"/>
  <c r="DD31" i="25"/>
  <c r="DA31" i="25"/>
  <c r="DD30" i="25"/>
  <c r="DA30" i="25"/>
  <c r="DA33" i="25"/>
  <c r="DD33" i="25"/>
  <c r="DD29" i="25"/>
  <c r="DA29" i="25"/>
  <c r="DD28" i="25"/>
  <c r="DA28" i="25"/>
  <c r="DD27" i="25"/>
  <c r="DA27" i="25"/>
  <c r="DD26" i="25"/>
  <c r="DA26" i="25"/>
  <c r="DD25" i="25"/>
  <c r="DA25" i="25"/>
  <c r="DD24" i="25"/>
  <c r="DA24" i="25"/>
  <c r="DD23" i="25"/>
  <c r="DA23" i="25"/>
  <c r="DD22" i="25"/>
  <c r="DA22" i="25"/>
  <c r="DD21" i="25"/>
  <c r="DA21" i="25"/>
  <c r="DD20" i="25"/>
  <c r="DA20" i="25"/>
  <c r="DD19" i="25"/>
  <c r="DA19" i="25"/>
  <c r="DD18" i="25"/>
  <c r="DA18" i="25"/>
  <c r="DD17" i="25"/>
  <c r="DA17" i="25"/>
  <c r="DD16" i="25"/>
  <c r="DA16" i="25"/>
  <c r="DD15" i="25"/>
  <c r="DA15" i="25"/>
  <c r="DD14" i="25"/>
  <c r="DA14" i="25"/>
  <c r="DD13" i="25"/>
  <c r="DA13" i="25"/>
  <c r="DD12" i="25"/>
  <c r="DA12" i="25"/>
  <c r="DD11" i="25"/>
  <c r="DA11" i="25"/>
  <c r="DD10" i="25"/>
  <c r="DA10" i="25"/>
  <c r="DD9" i="25"/>
  <c r="DA9" i="25"/>
  <c r="DD8" i="25"/>
  <c r="DA8" i="25"/>
  <c r="DD7" i="25"/>
  <c r="DA7" i="25"/>
  <c r="DD6" i="25"/>
  <c r="DA6" i="25"/>
  <c r="DM44" i="25"/>
  <c r="DJ44" i="25"/>
  <c r="DM43" i="25"/>
  <c r="DJ43" i="25"/>
  <c r="DJ40" i="25"/>
  <c r="DJ39" i="25"/>
  <c r="DJ38" i="25"/>
  <c r="DJ35" i="25"/>
  <c r="DH44" i="25"/>
  <c r="DE44" i="25"/>
  <c r="DH43" i="25"/>
  <c r="DE43" i="25"/>
  <c r="DE40" i="25"/>
  <c r="DI40" i="25"/>
  <c r="DE39" i="25"/>
  <c r="DE38" i="25"/>
  <c r="DE35" i="25"/>
  <c r="DC44" i="25"/>
  <c r="CZ44" i="25"/>
  <c r="DC43" i="25"/>
  <c r="CZ43" i="25"/>
  <c r="CZ40" i="25"/>
  <c r="CZ39" i="25"/>
  <c r="CZ38" i="25"/>
  <c r="CZ35" i="25"/>
  <c r="CW35" i="25"/>
  <c r="CQ44" i="25"/>
  <c r="CQ43" i="25"/>
  <c r="CQ40" i="25"/>
  <c r="CQ39" i="25"/>
  <c r="CQ38" i="25"/>
  <c r="CQ35" i="25"/>
  <c r="CU35" i="25"/>
  <c r="CL44" i="25"/>
  <c r="CL43" i="25"/>
  <c r="CL40" i="25"/>
  <c r="CL39" i="25"/>
  <c r="CL38" i="25"/>
  <c r="CO35" i="25"/>
  <c r="CL35" i="25"/>
  <c r="CJ40" i="25"/>
  <c r="CG40" i="25"/>
  <c r="CJ39" i="25"/>
  <c r="CG39" i="25"/>
  <c r="CG38" i="25"/>
  <c r="CJ44" i="25"/>
  <c r="CG44" i="25"/>
  <c r="CJ43" i="25"/>
  <c r="CG43" i="25"/>
  <c r="CJ35" i="25"/>
  <c r="CG35" i="25"/>
  <c r="CE44" i="25"/>
  <c r="CB44" i="25"/>
  <c r="CE43" i="25"/>
  <c r="CB43" i="25"/>
  <c r="CE40" i="25"/>
  <c r="CB40" i="25"/>
  <c r="CE39" i="25"/>
  <c r="CB39" i="25"/>
  <c r="CE38" i="25"/>
  <c r="CB38" i="25"/>
  <c r="CE35" i="25"/>
  <c r="BV35" i="25"/>
  <c r="BV40" i="25"/>
  <c r="BV39" i="25"/>
  <c r="BV38" i="25"/>
  <c r="BS35" i="25"/>
  <c r="BV44" i="25"/>
  <c r="BS44" i="25"/>
  <c r="BV43" i="25"/>
  <c r="BS43" i="25"/>
  <c r="BS40" i="25"/>
  <c r="BS39" i="25"/>
  <c r="BS38" i="25"/>
  <c r="BQ35" i="25"/>
  <c r="BN35" i="25"/>
  <c r="V11" i="27"/>
  <c r="V10" i="27"/>
  <c r="V9" i="27"/>
  <c r="V8" i="27"/>
  <c r="V7" i="27"/>
  <c r="V12" i="27"/>
  <c r="AD12" i="27"/>
  <c r="GA35" i="25"/>
  <c r="S4" i="27"/>
  <c r="GS3" i="25"/>
  <c r="T11" i="27"/>
  <c r="T10" i="27"/>
  <c r="T9" i="27"/>
  <c r="T8" i="27"/>
  <c r="T7" i="27"/>
  <c r="T12" i="27"/>
  <c r="W4" i="27"/>
  <c r="U11" i="27"/>
  <c r="U10" i="27"/>
  <c r="U9" i="27"/>
  <c r="U8" i="27"/>
  <c r="U7" i="27"/>
  <c r="S1" i="27"/>
  <c r="LC11" i="25"/>
  <c r="LE11" i="25" s="1"/>
  <c r="EZ11" i="25"/>
  <c r="LC33" i="25"/>
  <c r="EZ33" i="25"/>
  <c r="ED34" i="25"/>
  <c r="EG34" i="25" s="1"/>
  <c r="ED33" i="25"/>
  <c r="LA58" i="29"/>
  <c r="LB58" i="29"/>
  <c r="BQ6" i="30"/>
  <c r="BR6" i="30"/>
  <c r="BT6" i="30"/>
  <c r="CM69" i="29"/>
  <c r="CR69" i="29"/>
  <c r="CW69" i="29"/>
  <c r="DA69" i="29"/>
  <c r="DF69" i="29"/>
  <c r="DK69" i="29"/>
  <c r="DP69" i="29"/>
  <c r="DU69" i="29"/>
  <c r="DY69" i="29"/>
  <c r="ED69" i="29"/>
  <c r="EI69" i="29"/>
  <c r="EN69" i="29"/>
  <c r="ES69" i="29"/>
  <c r="CW68" i="29"/>
  <c r="CY67" i="29"/>
  <c r="M30" i="27"/>
  <c r="M29" i="27"/>
  <c r="M28" i="27"/>
  <c r="M27" i="27"/>
  <c r="M26" i="27"/>
  <c r="M31" i="27"/>
  <c r="FB35" i="25"/>
  <c r="R30" i="27"/>
  <c r="R29" i="27"/>
  <c r="R28" i="27"/>
  <c r="R27" i="27"/>
  <c r="R31" i="27"/>
  <c r="AGF10" i="28"/>
  <c r="AGF11" i="28"/>
  <c r="AGF13" i="28"/>
  <c r="AGF14" i="28"/>
  <c r="AGF15" i="28"/>
  <c r="AGF16" i="28"/>
  <c r="AGF19" i="28"/>
  <c r="AGF20" i="28"/>
  <c r="AGF21" i="28"/>
  <c r="AGF22" i="28"/>
  <c r="AGF23" i="28"/>
  <c r="AGF24" i="28"/>
  <c r="AGF25" i="28"/>
  <c r="AGF28" i="28"/>
  <c r="AGF29" i="28"/>
  <c r="AGF30" i="28"/>
  <c r="AGF32" i="28"/>
  <c r="AGF33" i="28"/>
  <c r="LC32" i="25"/>
  <c r="EZ32" i="25"/>
  <c r="LC31" i="25"/>
  <c r="EZ31" i="25"/>
  <c r="LC29" i="25"/>
  <c r="EZ29" i="25"/>
  <c r="LC28" i="25"/>
  <c r="EZ28" i="25"/>
  <c r="LC27" i="25"/>
  <c r="EZ27" i="25"/>
  <c r="EZ25" i="25"/>
  <c r="LC24" i="25"/>
  <c r="LE24" i="25" s="1"/>
  <c r="EZ24" i="25"/>
  <c r="LC23" i="25"/>
  <c r="LE23" i="25" s="1"/>
  <c r="EZ23" i="25"/>
  <c r="LC21" i="25"/>
  <c r="LE21" i="25" s="1"/>
  <c r="EZ21" i="25"/>
  <c r="LC20" i="25"/>
  <c r="LE20" i="25" s="1"/>
  <c r="LD20" i="25"/>
  <c r="EZ20" i="25"/>
  <c r="LC19" i="25"/>
  <c r="LE19" i="25" s="1"/>
  <c r="EZ19" i="25"/>
  <c r="LC17" i="25"/>
  <c r="LE17" i="25" s="1"/>
  <c r="EZ17" i="25"/>
  <c r="LC16" i="25"/>
  <c r="LE16" i="25" s="1"/>
  <c r="LC15" i="25"/>
  <c r="LE15" i="25" s="1"/>
  <c r="EZ15" i="25"/>
  <c r="LC13" i="25"/>
  <c r="LE13" i="25" s="1"/>
  <c r="EZ13" i="25"/>
  <c r="LC12" i="25"/>
  <c r="LE12" i="25" s="1"/>
  <c r="LC9" i="25"/>
  <c r="LE9" i="25" s="1"/>
  <c r="EZ9" i="25"/>
  <c r="LC8" i="25"/>
  <c r="LE8" i="25" s="1"/>
  <c r="EZ8" i="25"/>
  <c r="LC7" i="25"/>
  <c r="LE7" i="25" s="1"/>
  <c r="EZ7" i="25"/>
  <c r="FL7" i="28"/>
  <c r="FP7" i="28"/>
  <c r="FT7" i="28"/>
  <c r="FX7" i="28"/>
  <c r="GB7" i="28"/>
  <c r="GF7" i="28"/>
  <c r="FH7" i="28"/>
  <c r="FL8" i="28"/>
  <c r="FP8" i="28"/>
  <c r="FT8" i="28"/>
  <c r="FX8" i="28"/>
  <c r="GB8" i="28"/>
  <c r="GF8" i="28"/>
  <c r="FH8" i="28"/>
  <c r="GJ8" i="28"/>
  <c r="FL9" i="28"/>
  <c r="FP9" i="28"/>
  <c r="FT9" i="28"/>
  <c r="FX9" i="28"/>
  <c r="GB9" i="28"/>
  <c r="GF9" i="28"/>
  <c r="FH9" i="28"/>
  <c r="GJ9" i="28"/>
  <c r="FL10" i="28"/>
  <c r="FP10" i="28"/>
  <c r="FT10" i="28"/>
  <c r="FX10" i="28"/>
  <c r="GB10" i="28"/>
  <c r="GF10" i="28"/>
  <c r="FH10" i="28"/>
  <c r="GJ10" i="28"/>
  <c r="FL11" i="28"/>
  <c r="FP11" i="28"/>
  <c r="FT11" i="28"/>
  <c r="FX11" i="28"/>
  <c r="GB11" i="28"/>
  <c r="GF11" i="28"/>
  <c r="FH11" i="28"/>
  <c r="GJ11" i="28"/>
  <c r="FL12" i="28"/>
  <c r="FP12" i="28"/>
  <c r="FT12" i="28"/>
  <c r="FX12" i="28"/>
  <c r="GB12" i="28"/>
  <c r="GF12" i="28"/>
  <c r="FH12" i="28"/>
  <c r="GJ12" i="28"/>
  <c r="FL13" i="28"/>
  <c r="FP13" i="28"/>
  <c r="FT13" i="28"/>
  <c r="FX13" i="28"/>
  <c r="GB13" i="28"/>
  <c r="GF13" i="28"/>
  <c r="FH13" i="28"/>
  <c r="GJ13" i="28"/>
  <c r="FL14" i="28"/>
  <c r="FP14" i="28"/>
  <c r="FT14" i="28"/>
  <c r="FX14" i="28"/>
  <c r="GB14" i="28"/>
  <c r="GF14" i="28"/>
  <c r="FH14" i="28"/>
  <c r="GJ14" i="28"/>
  <c r="FL15" i="28"/>
  <c r="FP15" i="28"/>
  <c r="FT15" i="28"/>
  <c r="FX15" i="28"/>
  <c r="GB15" i="28"/>
  <c r="GF15" i="28"/>
  <c r="FH15" i="28"/>
  <c r="GJ15" i="28"/>
  <c r="FL16" i="28"/>
  <c r="FP16" i="28"/>
  <c r="FT16" i="28"/>
  <c r="FX16" i="28"/>
  <c r="GB16" i="28"/>
  <c r="GF16" i="28"/>
  <c r="FH16" i="28"/>
  <c r="GJ16" i="28"/>
  <c r="FL18" i="28"/>
  <c r="FP18" i="28"/>
  <c r="FT18" i="28"/>
  <c r="FX18" i="28"/>
  <c r="GB18" i="28"/>
  <c r="GF18" i="28"/>
  <c r="FH18" i="28"/>
  <c r="GJ18" i="28"/>
  <c r="FL19" i="28"/>
  <c r="FP19" i="28"/>
  <c r="FT19" i="28"/>
  <c r="FX19" i="28"/>
  <c r="GB19" i="28"/>
  <c r="GF19" i="28"/>
  <c r="FH19" i="28"/>
  <c r="GJ19" i="28"/>
  <c r="FL20" i="28"/>
  <c r="FP20" i="28"/>
  <c r="FT20" i="28"/>
  <c r="FX20" i="28"/>
  <c r="GB20" i="28"/>
  <c r="GF20" i="28"/>
  <c r="FH20" i="28"/>
  <c r="GJ20" i="28"/>
  <c r="FL21" i="28"/>
  <c r="FP21" i="28"/>
  <c r="FT21" i="28"/>
  <c r="FX21" i="28"/>
  <c r="GB21" i="28"/>
  <c r="GF21" i="28"/>
  <c r="FH21" i="28"/>
  <c r="GJ21" i="28"/>
  <c r="FL22" i="28"/>
  <c r="FP22" i="28"/>
  <c r="FT22" i="28"/>
  <c r="FX22" i="28"/>
  <c r="GB22" i="28"/>
  <c r="GF22" i="28"/>
  <c r="FH22" i="28"/>
  <c r="GJ22" i="28"/>
  <c r="FL23" i="28"/>
  <c r="FP23" i="28"/>
  <c r="FT23" i="28"/>
  <c r="FX23" i="28"/>
  <c r="GB23" i="28"/>
  <c r="GF23" i="28"/>
  <c r="FH23" i="28"/>
  <c r="GJ23" i="28"/>
  <c r="FL24" i="28"/>
  <c r="FP24" i="28"/>
  <c r="FT24" i="28"/>
  <c r="FX24" i="28"/>
  <c r="GB24" i="28"/>
  <c r="GF24" i="28"/>
  <c r="FH24" i="28"/>
  <c r="GJ24" i="28"/>
  <c r="FL25" i="28"/>
  <c r="FP25" i="28"/>
  <c r="FT25" i="28"/>
  <c r="FX25" i="28"/>
  <c r="GB25" i="28"/>
  <c r="GF25" i="28"/>
  <c r="FH25" i="28"/>
  <c r="GJ25" i="28"/>
  <c r="FL26" i="28"/>
  <c r="FP26" i="28"/>
  <c r="FT26" i="28"/>
  <c r="FX26" i="28"/>
  <c r="GB26" i="28"/>
  <c r="GF26" i="28"/>
  <c r="FH26" i="28"/>
  <c r="GJ26" i="28"/>
  <c r="FL27" i="28"/>
  <c r="FP27" i="28"/>
  <c r="FT27" i="28"/>
  <c r="FX27" i="28"/>
  <c r="GB27" i="28"/>
  <c r="GF27" i="28"/>
  <c r="FH27" i="28"/>
  <c r="GJ27" i="28"/>
  <c r="FL28" i="28"/>
  <c r="FP28" i="28"/>
  <c r="FT28" i="28"/>
  <c r="FX28" i="28"/>
  <c r="GB28" i="28"/>
  <c r="GF28" i="28"/>
  <c r="FH28" i="28"/>
  <c r="GJ28" i="28"/>
  <c r="FL29" i="28"/>
  <c r="FP29" i="28"/>
  <c r="FT29" i="28"/>
  <c r="FX29" i="28"/>
  <c r="GB29" i="28"/>
  <c r="GF29" i="28"/>
  <c r="FH29" i="28"/>
  <c r="GJ29" i="28"/>
  <c r="FL30" i="28"/>
  <c r="FP30" i="28"/>
  <c r="FT30" i="28"/>
  <c r="FX30" i="28"/>
  <c r="GB30" i="28"/>
  <c r="GF30" i="28"/>
  <c r="FH30" i="28"/>
  <c r="GJ30" i="28"/>
  <c r="FL31" i="28"/>
  <c r="FP31" i="28"/>
  <c r="FT31" i="28"/>
  <c r="FX31" i="28"/>
  <c r="GB31" i="28"/>
  <c r="GF31" i="28"/>
  <c r="FH31" i="28"/>
  <c r="GJ31" i="28"/>
  <c r="FL32" i="28"/>
  <c r="FP32" i="28"/>
  <c r="FT32" i="28"/>
  <c r="FX32" i="28"/>
  <c r="GB32" i="28"/>
  <c r="GF32" i="28"/>
  <c r="FH32" i="28"/>
  <c r="GJ32" i="28"/>
  <c r="FL33" i="28"/>
  <c r="FP33" i="28"/>
  <c r="FT33" i="28"/>
  <c r="FX33" i="28"/>
  <c r="GB33" i="28"/>
  <c r="GF33" i="28"/>
  <c r="FH33" i="28"/>
  <c r="GJ33" i="28"/>
  <c r="HL7" i="28"/>
  <c r="HH7" i="28"/>
  <c r="HD7" i="28"/>
  <c r="GZ7" i="28"/>
  <c r="GV7" i="28"/>
  <c r="GR7" i="28"/>
  <c r="GN7" i="28"/>
  <c r="HL8" i="28"/>
  <c r="HH8" i="28"/>
  <c r="HD8" i="28"/>
  <c r="GZ8" i="28"/>
  <c r="GV8" i="28"/>
  <c r="GR8" i="28"/>
  <c r="GN8" i="28"/>
  <c r="HP8" i="28"/>
  <c r="HL9" i="28"/>
  <c r="HH9" i="28"/>
  <c r="HD9" i="28"/>
  <c r="GZ9" i="28"/>
  <c r="GV9" i="28"/>
  <c r="GR9" i="28"/>
  <c r="GN9" i="28"/>
  <c r="HP9" i="28"/>
  <c r="HL10" i="28"/>
  <c r="HH10" i="28"/>
  <c r="HD10" i="28"/>
  <c r="GZ10" i="28"/>
  <c r="GV10" i="28"/>
  <c r="GR10" i="28"/>
  <c r="GN10" i="28"/>
  <c r="HP10" i="28"/>
  <c r="HL11" i="28"/>
  <c r="HH11" i="28"/>
  <c r="HD11" i="28"/>
  <c r="GZ11" i="28"/>
  <c r="GV11" i="28"/>
  <c r="GR11" i="28"/>
  <c r="GN11" i="28"/>
  <c r="HP11" i="28"/>
  <c r="HL12" i="28"/>
  <c r="HH12" i="28"/>
  <c r="HD12" i="28"/>
  <c r="GZ12" i="28"/>
  <c r="GV12" i="28"/>
  <c r="GR12" i="28"/>
  <c r="GN12" i="28"/>
  <c r="HP12" i="28"/>
  <c r="HL13" i="28"/>
  <c r="HH13" i="28"/>
  <c r="HD13" i="28"/>
  <c r="GZ13" i="28"/>
  <c r="GV13" i="28"/>
  <c r="GR13" i="28"/>
  <c r="GN13" i="28"/>
  <c r="HP13" i="28"/>
  <c r="HL14" i="28"/>
  <c r="HH14" i="28"/>
  <c r="HD14" i="28"/>
  <c r="GZ14" i="28"/>
  <c r="GV14" i="28"/>
  <c r="GR14" i="28"/>
  <c r="GN14" i="28"/>
  <c r="HP14" i="28"/>
  <c r="HL15" i="28"/>
  <c r="HH15" i="28"/>
  <c r="HD15" i="28"/>
  <c r="GZ15" i="28"/>
  <c r="GV15" i="28"/>
  <c r="GR15" i="28"/>
  <c r="GN15" i="28"/>
  <c r="HP15" i="28"/>
  <c r="HL16" i="28"/>
  <c r="HH16" i="28"/>
  <c r="HD16" i="28"/>
  <c r="GZ16" i="28"/>
  <c r="GV16" i="28"/>
  <c r="GR16" i="28"/>
  <c r="GN16" i="28"/>
  <c r="HP16" i="28"/>
  <c r="HL18" i="28"/>
  <c r="HH18" i="28"/>
  <c r="HD18" i="28"/>
  <c r="GZ18" i="28"/>
  <c r="GV18" i="28"/>
  <c r="GR18" i="28"/>
  <c r="GN18" i="28"/>
  <c r="HP18" i="28"/>
  <c r="HL19" i="28"/>
  <c r="HH19" i="28"/>
  <c r="HD19" i="28"/>
  <c r="GZ19" i="28"/>
  <c r="GV19" i="28"/>
  <c r="GR19" i="28"/>
  <c r="GN19" i="28"/>
  <c r="HP19" i="28"/>
  <c r="HL20" i="28"/>
  <c r="HH20" i="28"/>
  <c r="HD20" i="28"/>
  <c r="GZ20" i="28"/>
  <c r="GV20" i="28"/>
  <c r="GR20" i="28"/>
  <c r="GN20" i="28"/>
  <c r="HP20" i="28"/>
  <c r="HL21" i="28"/>
  <c r="HH21" i="28"/>
  <c r="HD21" i="28"/>
  <c r="GZ21" i="28"/>
  <c r="GV21" i="28"/>
  <c r="GR21" i="28"/>
  <c r="GN21" i="28"/>
  <c r="HP21" i="28"/>
  <c r="HL22" i="28"/>
  <c r="HH22" i="28"/>
  <c r="HD22" i="28"/>
  <c r="GZ22" i="28"/>
  <c r="GV22" i="28"/>
  <c r="GR22" i="28"/>
  <c r="GN22" i="28"/>
  <c r="HP22" i="28"/>
  <c r="HL23" i="28"/>
  <c r="HH23" i="28"/>
  <c r="HD23" i="28"/>
  <c r="GZ23" i="28"/>
  <c r="GV23" i="28"/>
  <c r="GR23" i="28"/>
  <c r="GN23" i="28"/>
  <c r="HP23" i="28"/>
  <c r="HL24" i="28"/>
  <c r="HH24" i="28"/>
  <c r="HD24" i="28"/>
  <c r="GZ24" i="28"/>
  <c r="GV24" i="28"/>
  <c r="GR24" i="28"/>
  <c r="GN24" i="28"/>
  <c r="HP24" i="28"/>
  <c r="HL25" i="28"/>
  <c r="HH25" i="28"/>
  <c r="HD25" i="28"/>
  <c r="GZ25" i="28"/>
  <c r="GV25" i="28"/>
  <c r="GR25" i="28"/>
  <c r="GN25" i="28"/>
  <c r="HP25" i="28"/>
  <c r="HL26" i="28"/>
  <c r="HH26" i="28"/>
  <c r="HD26" i="28"/>
  <c r="GZ26" i="28"/>
  <c r="GV26" i="28"/>
  <c r="GR26" i="28"/>
  <c r="GN26" i="28"/>
  <c r="HP26" i="28"/>
  <c r="HL27" i="28"/>
  <c r="HH27" i="28"/>
  <c r="HD27" i="28"/>
  <c r="GZ27" i="28"/>
  <c r="GV27" i="28"/>
  <c r="GR27" i="28"/>
  <c r="GN27" i="28"/>
  <c r="HP27" i="28"/>
  <c r="HL28" i="28"/>
  <c r="HH28" i="28"/>
  <c r="HD28" i="28"/>
  <c r="GZ28" i="28"/>
  <c r="GV28" i="28"/>
  <c r="GR28" i="28"/>
  <c r="GN28" i="28"/>
  <c r="HP28" i="28"/>
  <c r="HL29" i="28"/>
  <c r="HH29" i="28"/>
  <c r="HD29" i="28"/>
  <c r="GZ29" i="28"/>
  <c r="GV29" i="28"/>
  <c r="GR29" i="28"/>
  <c r="GN29" i="28"/>
  <c r="HP29" i="28"/>
  <c r="HL30" i="28"/>
  <c r="HH30" i="28"/>
  <c r="HD30" i="28"/>
  <c r="GZ30" i="28"/>
  <c r="GV30" i="28"/>
  <c r="GR30" i="28"/>
  <c r="GN30" i="28"/>
  <c r="HP30" i="28"/>
  <c r="HL31" i="28"/>
  <c r="HH31" i="28"/>
  <c r="HD31" i="28"/>
  <c r="GZ31" i="28"/>
  <c r="GV31" i="28"/>
  <c r="GR31" i="28"/>
  <c r="GN31" i="28"/>
  <c r="HP31" i="28"/>
  <c r="HL32" i="28"/>
  <c r="HH32" i="28"/>
  <c r="HD32" i="28"/>
  <c r="GZ32" i="28"/>
  <c r="GV32" i="28"/>
  <c r="GR32" i="28"/>
  <c r="GN32" i="28"/>
  <c r="HP32" i="28"/>
  <c r="HL33" i="28"/>
  <c r="HH33" i="28"/>
  <c r="HD33" i="28"/>
  <c r="GZ33" i="28"/>
  <c r="GV33" i="28"/>
  <c r="GR33" i="28"/>
  <c r="GN33" i="28"/>
  <c r="HP33" i="28"/>
  <c r="HT7" i="28"/>
  <c r="HX7" i="28"/>
  <c r="IB7" i="28"/>
  <c r="IF7" i="28"/>
  <c r="IJ7" i="28"/>
  <c r="IN7" i="28"/>
  <c r="IR7" i="28"/>
  <c r="HT8" i="28"/>
  <c r="HX8" i="28"/>
  <c r="IB8" i="28"/>
  <c r="IF8" i="28"/>
  <c r="IJ8" i="28"/>
  <c r="IN8" i="28"/>
  <c r="IR8" i="28"/>
  <c r="HT9" i="28"/>
  <c r="HX9" i="28"/>
  <c r="IB9" i="28"/>
  <c r="IF9" i="28"/>
  <c r="IJ9" i="28"/>
  <c r="IN9" i="28"/>
  <c r="IR9" i="28"/>
  <c r="HT10" i="28"/>
  <c r="HX10" i="28"/>
  <c r="IB10" i="28"/>
  <c r="IF10" i="28"/>
  <c r="IJ10" i="28"/>
  <c r="IN10" i="28"/>
  <c r="IR10" i="28"/>
  <c r="HT11" i="28"/>
  <c r="HX11" i="28"/>
  <c r="IB11" i="28"/>
  <c r="IF11" i="28"/>
  <c r="IJ11" i="28"/>
  <c r="IN11" i="28"/>
  <c r="IR11" i="28"/>
  <c r="HT12" i="28"/>
  <c r="HX12" i="28"/>
  <c r="IB12" i="28"/>
  <c r="IF12" i="28"/>
  <c r="IJ12" i="28"/>
  <c r="IN12" i="28"/>
  <c r="IR12" i="28"/>
  <c r="HT13" i="28"/>
  <c r="HX13" i="28"/>
  <c r="IB13" i="28"/>
  <c r="IF13" i="28"/>
  <c r="IJ13" i="28"/>
  <c r="IN13" i="28"/>
  <c r="IR13" i="28"/>
  <c r="HT14" i="28"/>
  <c r="HX14" i="28"/>
  <c r="IB14" i="28"/>
  <c r="IF14" i="28"/>
  <c r="IJ14" i="28"/>
  <c r="IN14" i="28"/>
  <c r="IR14" i="28"/>
  <c r="HT15" i="28"/>
  <c r="HX15" i="28"/>
  <c r="IB15" i="28"/>
  <c r="IF15" i="28"/>
  <c r="IJ15" i="28"/>
  <c r="IN15" i="28"/>
  <c r="IR15" i="28"/>
  <c r="HT16" i="28"/>
  <c r="HX16" i="28"/>
  <c r="IB16" i="28"/>
  <c r="IF16" i="28"/>
  <c r="IJ16" i="28"/>
  <c r="IN16" i="28"/>
  <c r="IR16" i="28"/>
  <c r="HT18" i="28"/>
  <c r="HX18" i="28"/>
  <c r="IB18" i="28"/>
  <c r="IF18" i="28"/>
  <c r="IJ18" i="28"/>
  <c r="IN18" i="28"/>
  <c r="IR18" i="28"/>
  <c r="HT19" i="28"/>
  <c r="HX19" i="28"/>
  <c r="IB19" i="28"/>
  <c r="IF19" i="28"/>
  <c r="IJ19" i="28"/>
  <c r="IN19" i="28"/>
  <c r="IR19" i="28"/>
  <c r="HT20" i="28"/>
  <c r="HX20" i="28"/>
  <c r="IB20" i="28"/>
  <c r="IF20" i="28"/>
  <c r="IJ20" i="28"/>
  <c r="IN20" i="28"/>
  <c r="IR20" i="28"/>
  <c r="HT21" i="28"/>
  <c r="HX21" i="28"/>
  <c r="IB21" i="28"/>
  <c r="IF21" i="28"/>
  <c r="IJ21" i="28"/>
  <c r="IN21" i="28"/>
  <c r="IR21" i="28"/>
  <c r="HT22" i="28"/>
  <c r="HX22" i="28"/>
  <c r="IB22" i="28"/>
  <c r="IF22" i="28"/>
  <c r="IJ22" i="28"/>
  <c r="IN22" i="28"/>
  <c r="IR22" i="28"/>
  <c r="HT23" i="28"/>
  <c r="HX23" i="28"/>
  <c r="IB23" i="28"/>
  <c r="IF23" i="28"/>
  <c r="IJ23" i="28"/>
  <c r="IN23" i="28"/>
  <c r="IR23" i="28"/>
  <c r="HT24" i="28"/>
  <c r="HX24" i="28"/>
  <c r="IB24" i="28"/>
  <c r="IF24" i="28"/>
  <c r="IJ24" i="28"/>
  <c r="IN24" i="28"/>
  <c r="IR24" i="28"/>
  <c r="HT25" i="28"/>
  <c r="HX25" i="28"/>
  <c r="IB25" i="28"/>
  <c r="IF25" i="28"/>
  <c r="IJ25" i="28"/>
  <c r="IN25" i="28"/>
  <c r="IR25" i="28"/>
  <c r="HT26" i="28"/>
  <c r="HX26" i="28"/>
  <c r="IB26" i="28"/>
  <c r="IF26" i="28"/>
  <c r="IJ26" i="28"/>
  <c r="IN26" i="28"/>
  <c r="IR26" i="28"/>
  <c r="HT27" i="28"/>
  <c r="HX27" i="28"/>
  <c r="IB27" i="28"/>
  <c r="IF27" i="28"/>
  <c r="IJ27" i="28"/>
  <c r="IN27" i="28"/>
  <c r="IR27" i="28"/>
  <c r="HT28" i="28"/>
  <c r="HX28" i="28"/>
  <c r="IB28" i="28"/>
  <c r="IF28" i="28"/>
  <c r="IJ28" i="28"/>
  <c r="IN28" i="28"/>
  <c r="IR28" i="28"/>
  <c r="HT29" i="28"/>
  <c r="HX29" i="28"/>
  <c r="IB29" i="28"/>
  <c r="IF29" i="28"/>
  <c r="IJ29" i="28"/>
  <c r="IN29" i="28"/>
  <c r="IR29" i="28"/>
  <c r="HT30" i="28"/>
  <c r="HX30" i="28"/>
  <c r="IB30" i="28"/>
  <c r="IF30" i="28"/>
  <c r="IJ30" i="28"/>
  <c r="IN30" i="28"/>
  <c r="IR30" i="28"/>
  <c r="HT31" i="28"/>
  <c r="HX31" i="28"/>
  <c r="IB31" i="28"/>
  <c r="IF31" i="28"/>
  <c r="IJ31" i="28"/>
  <c r="IN31" i="28"/>
  <c r="IR31" i="28"/>
  <c r="HT32" i="28"/>
  <c r="HX32" i="28"/>
  <c r="IB32" i="28"/>
  <c r="IF32" i="28"/>
  <c r="IJ32" i="28"/>
  <c r="IN32" i="28"/>
  <c r="IR32" i="28"/>
  <c r="HT33" i="28"/>
  <c r="HX33" i="28"/>
  <c r="IB33" i="28"/>
  <c r="IF33" i="28"/>
  <c r="IJ33" i="28"/>
  <c r="IN33" i="28"/>
  <c r="IR33" i="28"/>
  <c r="IZ7" i="28"/>
  <c r="JD7" i="28"/>
  <c r="JH7" i="28"/>
  <c r="JL7" i="28"/>
  <c r="JP7" i="28"/>
  <c r="JT7" i="28"/>
  <c r="JX7" i="28"/>
  <c r="IZ8" i="28"/>
  <c r="JD8" i="28"/>
  <c r="JH8" i="28"/>
  <c r="JL8" i="28"/>
  <c r="JP8" i="28"/>
  <c r="JT8" i="28"/>
  <c r="JX8" i="28"/>
  <c r="IZ9" i="28"/>
  <c r="JD9" i="28"/>
  <c r="JH9" i="28"/>
  <c r="JL9" i="28"/>
  <c r="JP9" i="28"/>
  <c r="JT9" i="28"/>
  <c r="JX9" i="28"/>
  <c r="IZ10" i="28"/>
  <c r="JD10" i="28"/>
  <c r="JH10" i="28"/>
  <c r="JL10" i="28"/>
  <c r="JP10" i="28"/>
  <c r="JT10" i="28"/>
  <c r="JX10" i="28"/>
  <c r="IZ11" i="28"/>
  <c r="JD11" i="28"/>
  <c r="JH11" i="28"/>
  <c r="JL11" i="28"/>
  <c r="JP11" i="28"/>
  <c r="JT11" i="28"/>
  <c r="JX11" i="28"/>
  <c r="IZ12" i="28"/>
  <c r="JD12" i="28"/>
  <c r="JH12" i="28"/>
  <c r="JL12" i="28"/>
  <c r="JP12" i="28"/>
  <c r="JT12" i="28"/>
  <c r="JX12" i="28"/>
  <c r="IZ13" i="28"/>
  <c r="JD13" i="28"/>
  <c r="JH13" i="28"/>
  <c r="JL13" i="28"/>
  <c r="JP13" i="28"/>
  <c r="JT13" i="28"/>
  <c r="JX13" i="28"/>
  <c r="IZ14" i="28"/>
  <c r="JD14" i="28"/>
  <c r="JH14" i="28"/>
  <c r="JL14" i="28"/>
  <c r="JP14" i="28"/>
  <c r="JT14" i="28"/>
  <c r="JX14" i="28"/>
  <c r="IZ15" i="28"/>
  <c r="JD15" i="28"/>
  <c r="JH15" i="28"/>
  <c r="JL15" i="28"/>
  <c r="JP15" i="28"/>
  <c r="JT15" i="28"/>
  <c r="JX15" i="28"/>
  <c r="IZ16" i="28"/>
  <c r="JD16" i="28"/>
  <c r="JH16" i="28"/>
  <c r="JL16" i="28"/>
  <c r="JP16" i="28"/>
  <c r="JT16" i="28"/>
  <c r="JX16" i="28"/>
  <c r="IZ18" i="28"/>
  <c r="JD18" i="28"/>
  <c r="JH18" i="28"/>
  <c r="JL18" i="28"/>
  <c r="JP18" i="28"/>
  <c r="JT18" i="28"/>
  <c r="JX18" i="28"/>
  <c r="IZ19" i="28"/>
  <c r="JD19" i="28"/>
  <c r="JH19" i="28"/>
  <c r="JL19" i="28"/>
  <c r="JP19" i="28"/>
  <c r="JT19" i="28"/>
  <c r="JX19" i="28"/>
  <c r="IZ20" i="28"/>
  <c r="JD20" i="28"/>
  <c r="JH20" i="28"/>
  <c r="JL20" i="28"/>
  <c r="JP20" i="28"/>
  <c r="JT20" i="28"/>
  <c r="JX20" i="28"/>
  <c r="IZ21" i="28"/>
  <c r="JD21" i="28"/>
  <c r="JH21" i="28"/>
  <c r="JL21" i="28"/>
  <c r="JP21" i="28"/>
  <c r="JT21" i="28"/>
  <c r="JX21" i="28"/>
  <c r="IZ22" i="28"/>
  <c r="JD22" i="28"/>
  <c r="JH22" i="28"/>
  <c r="JL22" i="28"/>
  <c r="JP22" i="28"/>
  <c r="JT22" i="28"/>
  <c r="JX22" i="28"/>
  <c r="IZ23" i="28"/>
  <c r="JD23" i="28"/>
  <c r="JH23" i="28"/>
  <c r="JL23" i="28"/>
  <c r="JP23" i="28"/>
  <c r="JT23" i="28"/>
  <c r="JX23" i="28"/>
  <c r="IZ24" i="28"/>
  <c r="JD24" i="28"/>
  <c r="JH24" i="28"/>
  <c r="JL24" i="28"/>
  <c r="JP24" i="28"/>
  <c r="JT24" i="28"/>
  <c r="JX24" i="28"/>
  <c r="IZ25" i="28"/>
  <c r="JD25" i="28"/>
  <c r="JH25" i="28"/>
  <c r="JL25" i="28"/>
  <c r="JP25" i="28"/>
  <c r="JT25" i="28"/>
  <c r="JX25" i="28"/>
  <c r="IZ26" i="28"/>
  <c r="JD26" i="28"/>
  <c r="JH26" i="28"/>
  <c r="JL26" i="28"/>
  <c r="JP26" i="28"/>
  <c r="JT26" i="28"/>
  <c r="JX26" i="28"/>
  <c r="IZ27" i="28"/>
  <c r="JD27" i="28"/>
  <c r="JH27" i="28"/>
  <c r="JL27" i="28"/>
  <c r="JP27" i="28"/>
  <c r="JT27" i="28"/>
  <c r="JX27" i="28"/>
  <c r="IZ28" i="28"/>
  <c r="JD28" i="28"/>
  <c r="JH28" i="28"/>
  <c r="JL28" i="28"/>
  <c r="JP28" i="28"/>
  <c r="JT28" i="28"/>
  <c r="JX28" i="28"/>
  <c r="IZ29" i="28"/>
  <c r="JD29" i="28"/>
  <c r="JH29" i="28"/>
  <c r="JL29" i="28"/>
  <c r="JP29" i="28"/>
  <c r="JT29" i="28"/>
  <c r="JX29" i="28"/>
  <c r="IZ30" i="28"/>
  <c r="JD30" i="28"/>
  <c r="JH30" i="28"/>
  <c r="JL30" i="28"/>
  <c r="JP30" i="28"/>
  <c r="JT30" i="28"/>
  <c r="JX30" i="28"/>
  <c r="IZ31" i="28"/>
  <c r="JD31" i="28"/>
  <c r="JH31" i="28"/>
  <c r="JL31" i="28"/>
  <c r="JP31" i="28"/>
  <c r="JT31" i="28"/>
  <c r="JX31" i="28"/>
  <c r="IZ32" i="28"/>
  <c r="JD32" i="28"/>
  <c r="JH32" i="28"/>
  <c r="JL32" i="28"/>
  <c r="JP32" i="28"/>
  <c r="JT32" i="28"/>
  <c r="JX32" i="28"/>
  <c r="IZ33" i="28"/>
  <c r="JD33" i="28"/>
  <c r="JH33" i="28"/>
  <c r="JL33" i="28"/>
  <c r="JP33" i="28"/>
  <c r="JT33" i="28"/>
  <c r="JX33" i="28"/>
  <c r="BR35" i="25"/>
  <c r="BH8" i="28"/>
  <c r="BD8" i="28"/>
  <c r="AZ8" i="28"/>
  <c r="AV8" i="28"/>
  <c r="AR8" i="28"/>
  <c r="AN8" i="28"/>
  <c r="AJ8" i="28"/>
  <c r="BH9" i="28"/>
  <c r="BD9" i="28"/>
  <c r="AZ9" i="28"/>
  <c r="AV9" i="28"/>
  <c r="AR9" i="28"/>
  <c r="AN9" i="28"/>
  <c r="AJ9" i="28"/>
  <c r="BH10" i="28"/>
  <c r="BD10" i="28"/>
  <c r="AZ10" i="28"/>
  <c r="AV10" i="28"/>
  <c r="AR10" i="28"/>
  <c r="AN10" i="28"/>
  <c r="AJ10" i="28"/>
  <c r="BH11" i="28"/>
  <c r="BD11" i="28"/>
  <c r="AZ11" i="28"/>
  <c r="AV11" i="28"/>
  <c r="AR11" i="28"/>
  <c r="AN11" i="28"/>
  <c r="AJ11" i="28"/>
  <c r="BH12" i="28"/>
  <c r="BD12" i="28"/>
  <c r="AZ12" i="28"/>
  <c r="AV12" i="28"/>
  <c r="AR12" i="28"/>
  <c r="AN12" i="28"/>
  <c r="AJ12" i="28"/>
  <c r="BH13" i="28"/>
  <c r="BD13" i="28"/>
  <c r="AZ13" i="28"/>
  <c r="AV13" i="28"/>
  <c r="AR13" i="28"/>
  <c r="AN13" i="28"/>
  <c r="AJ13" i="28"/>
  <c r="BH14" i="28"/>
  <c r="BD14" i="28"/>
  <c r="AZ14" i="28"/>
  <c r="AV14" i="28"/>
  <c r="AR14" i="28"/>
  <c r="AN14" i="28"/>
  <c r="AJ14" i="28"/>
  <c r="ED16" i="25"/>
  <c r="EG16" i="25" s="1"/>
  <c r="BH15" i="28"/>
  <c r="BD15" i="28"/>
  <c r="AZ15" i="28"/>
  <c r="AV15" i="28"/>
  <c r="AR15" i="28"/>
  <c r="AN15" i="28"/>
  <c r="AJ15" i="28"/>
  <c r="BH16" i="28"/>
  <c r="BD16" i="28"/>
  <c r="AZ16" i="28"/>
  <c r="AV16" i="28"/>
  <c r="AR16" i="28"/>
  <c r="AN16" i="28"/>
  <c r="AJ16" i="28"/>
  <c r="BH18" i="28"/>
  <c r="BD18" i="28"/>
  <c r="AZ18" i="28"/>
  <c r="AV18" i="28"/>
  <c r="AR18" i="28"/>
  <c r="AN18" i="28"/>
  <c r="AJ18" i="28"/>
  <c r="BH19" i="28"/>
  <c r="BD19" i="28"/>
  <c r="AZ19" i="28"/>
  <c r="AV19" i="28"/>
  <c r="AR19" i="28"/>
  <c r="AN19" i="28"/>
  <c r="AJ19" i="28"/>
  <c r="BH20" i="28"/>
  <c r="BD20" i="28"/>
  <c r="AZ20" i="28"/>
  <c r="AV20" i="28"/>
  <c r="AR20" i="28"/>
  <c r="AN20" i="28"/>
  <c r="AJ20" i="28"/>
  <c r="BH21" i="28"/>
  <c r="BD21" i="28"/>
  <c r="AZ21" i="28"/>
  <c r="AV21" i="28"/>
  <c r="AR21" i="28"/>
  <c r="AN21" i="28"/>
  <c r="AJ21" i="28"/>
  <c r="BH22" i="28"/>
  <c r="BD22" i="28"/>
  <c r="AZ22" i="28"/>
  <c r="AV22" i="28"/>
  <c r="AR22" i="28"/>
  <c r="AN22" i="28"/>
  <c r="AJ22" i="28"/>
  <c r="BH23" i="28"/>
  <c r="BD23" i="28"/>
  <c r="AZ23" i="28"/>
  <c r="AV23" i="28"/>
  <c r="AR23" i="28"/>
  <c r="AN23" i="28"/>
  <c r="AJ23" i="28"/>
  <c r="BH24" i="28"/>
  <c r="BD24" i="28"/>
  <c r="AZ24" i="28"/>
  <c r="AV24" i="28"/>
  <c r="AR24" i="28"/>
  <c r="AN24" i="28"/>
  <c r="AJ24" i="28"/>
  <c r="BH25" i="28"/>
  <c r="BD25" i="28"/>
  <c r="AZ25" i="28"/>
  <c r="AV25" i="28"/>
  <c r="AR25" i="28"/>
  <c r="AN25" i="28"/>
  <c r="AJ25" i="28"/>
  <c r="BH26" i="28"/>
  <c r="BD26" i="28"/>
  <c r="AZ26" i="28"/>
  <c r="AV26" i="28"/>
  <c r="AR26" i="28"/>
  <c r="AN26" i="28"/>
  <c r="AJ26" i="28"/>
  <c r="BL26" i="28"/>
  <c r="BH27" i="28"/>
  <c r="BD27" i="28"/>
  <c r="AZ27" i="28"/>
  <c r="AV27" i="28"/>
  <c r="AR27" i="28"/>
  <c r="AN27" i="28"/>
  <c r="AJ27" i="28"/>
  <c r="BH28" i="28"/>
  <c r="BD28" i="28"/>
  <c r="AZ28" i="28"/>
  <c r="AV28" i="28"/>
  <c r="AR28" i="28"/>
  <c r="AN28" i="28"/>
  <c r="AJ28" i="28"/>
  <c r="BH29" i="28"/>
  <c r="BD29" i="28"/>
  <c r="AZ29" i="28"/>
  <c r="AV29" i="28"/>
  <c r="AR29" i="28"/>
  <c r="AN29" i="28"/>
  <c r="AJ29" i="28"/>
  <c r="BH30" i="28"/>
  <c r="BD30" i="28"/>
  <c r="AZ30" i="28"/>
  <c r="AV30" i="28"/>
  <c r="AR30" i="28"/>
  <c r="AN30" i="28"/>
  <c r="AJ30" i="28"/>
  <c r="BH31" i="28"/>
  <c r="BD31" i="28"/>
  <c r="AZ31" i="28"/>
  <c r="AV31" i="28"/>
  <c r="AR31" i="28"/>
  <c r="AN31" i="28"/>
  <c r="AJ31" i="28"/>
  <c r="BH32" i="28"/>
  <c r="BD32" i="28"/>
  <c r="AZ32" i="28"/>
  <c r="AV32" i="28"/>
  <c r="AR32" i="28"/>
  <c r="AN32" i="28"/>
  <c r="AJ32" i="28"/>
  <c r="BH33" i="28"/>
  <c r="BD33" i="28"/>
  <c r="AZ33" i="28"/>
  <c r="AV33" i="28"/>
  <c r="AR33" i="28"/>
  <c r="AN33" i="28"/>
  <c r="AJ33" i="28"/>
  <c r="CN7" i="28"/>
  <c r="CJ7" i="28"/>
  <c r="CF7" i="28"/>
  <c r="CB7" i="28"/>
  <c r="BX7" i="28"/>
  <c r="BT7" i="28"/>
  <c r="BP7" i="28"/>
  <c r="CR7" i="28"/>
  <c r="CN8" i="28"/>
  <c r="CJ8" i="28"/>
  <c r="CF8" i="28"/>
  <c r="CB8" i="28"/>
  <c r="BX8" i="28"/>
  <c r="BT8" i="28"/>
  <c r="BP8" i="28"/>
  <c r="CN9" i="28"/>
  <c r="CJ9" i="28"/>
  <c r="CF9" i="28"/>
  <c r="CB9" i="28"/>
  <c r="BX9" i="28"/>
  <c r="BT9" i="28"/>
  <c r="BP9" i="28"/>
  <c r="CN10" i="28"/>
  <c r="CJ10" i="28"/>
  <c r="CF10" i="28"/>
  <c r="CB10" i="28"/>
  <c r="BX10" i="28"/>
  <c r="BT10" i="28"/>
  <c r="BP10" i="28"/>
  <c r="CN11" i="28"/>
  <c r="CJ11" i="28"/>
  <c r="CF11" i="28"/>
  <c r="CB11" i="28"/>
  <c r="BX11" i="28"/>
  <c r="BT11" i="28"/>
  <c r="BP11" i="28"/>
  <c r="CN12" i="28"/>
  <c r="CJ12" i="28"/>
  <c r="CF12" i="28"/>
  <c r="CB12" i="28"/>
  <c r="BX12" i="28"/>
  <c r="BT12" i="28"/>
  <c r="BP12" i="28"/>
  <c r="CN13" i="28"/>
  <c r="CJ13" i="28"/>
  <c r="CF13" i="28"/>
  <c r="CB13" i="28"/>
  <c r="BX13" i="28"/>
  <c r="BT13" i="28"/>
  <c r="BP13" i="28"/>
  <c r="CN14" i="28"/>
  <c r="CJ14" i="28"/>
  <c r="CF14" i="28"/>
  <c r="CB14" i="28"/>
  <c r="BX14" i="28"/>
  <c r="BT14" i="28"/>
  <c r="BP14" i="28"/>
  <c r="CN15" i="28"/>
  <c r="CJ15" i="28"/>
  <c r="CF15" i="28"/>
  <c r="CB15" i="28"/>
  <c r="BX15" i="28"/>
  <c r="BT15" i="28"/>
  <c r="BP15" i="28"/>
  <c r="CN16" i="28"/>
  <c r="CJ16" i="28"/>
  <c r="CF16" i="28"/>
  <c r="CB16" i="28"/>
  <c r="BX16" i="28"/>
  <c r="BT16" i="28"/>
  <c r="BP16" i="28"/>
  <c r="CN18" i="28"/>
  <c r="CJ18" i="28"/>
  <c r="CF18" i="28"/>
  <c r="CB18" i="28"/>
  <c r="BX18" i="28"/>
  <c r="BT18" i="28"/>
  <c r="BP18" i="28"/>
  <c r="CN19" i="28"/>
  <c r="CJ19" i="28"/>
  <c r="CF19" i="28"/>
  <c r="CB19" i="28"/>
  <c r="BX19" i="28"/>
  <c r="BT19" i="28"/>
  <c r="BP19" i="28"/>
  <c r="CN20" i="28"/>
  <c r="CJ20" i="28"/>
  <c r="CF20" i="28"/>
  <c r="CB20" i="28"/>
  <c r="BX20" i="28"/>
  <c r="BT20" i="28"/>
  <c r="BP20" i="28"/>
  <c r="CN21" i="28"/>
  <c r="CJ21" i="28"/>
  <c r="CF21" i="28"/>
  <c r="CB21" i="28"/>
  <c r="BX21" i="28"/>
  <c r="BT21" i="28"/>
  <c r="BP21" i="28"/>
  <c r="CN22" i="28"/>
  <c r="CJ22" i="28"/>
  <c r="CF22" i="28"/>
  <c r="CB22" i="28"/>
  <c r="BX22" i="28"/>
  <c r="BT22" i="28"/>
  <c r="BP22" i="28"/>
  <c r="CN23" i="28"/>
  <c r="CJ23" i="28"/>
  <c r="CF23" i="28"/>
  <c r="CB23" i="28"/>
  <c r="BX23" i="28"/>
  <c r="BT23" i="28"/>
  <c r="BP23" i="28"/>
  <c r="CN24" i="28"/>
  <c r="CJ24" i="28"/>
  <c r="CF24" i="28"/>
  <c r="CB24" i="28"/>
  <c r="BX24" i="28"/>
  <c r="BT24" i="28"/>
  <c r="BP24" i="28"/>
  <c r="CN25" i="28"/>
  <c r="CJ25" i="28"/>
  <c r="CF25" i="28"/>
  <c r="CB25" i="28"/>
  <c r="BX25" i="28"/>
  <c r="BT25" i="28"/>
  <c r="BP25" i="28"/>
  <c r="CN26" i="28"/>
  <c r="CJ26" i="28"/>
  <c r="CF26" i="28"/>
  <c r="CB26" i="28"/>
  <c r="BX26" i="28"/>
  <c r="BT26" i="28"/>
  <c r="BP26" i="28"/>
  <c r="CR26" i="28"/>
  <c r="CN27" i="28"/>
  <c r="CJ27" i="28"/>
  <c r="CF27" i="28"/>
  <c r="CB27" i="28"/>
  <c r="BX27" i="28"/>
  <c r="BT27" i="28"/>
  <c r="BP27" i="28"/>
  <c r="CN28" i="28"/>
  <c r="CJ28" i="28"/>
  <c r="CF28" i="28"/>
  <c r="CB28" i="28"/>
  <c r="BX28" i="28"/>
  <c r="BT28" i="28"/>
  <c r="BP28" i="28"/>
  <c r="CN29" i="28"/>
  <c r="CJ29" i="28"/>
  <c r="CF29" i="28"/>
  <c r="CB29" i="28"/>
  <c r="BX29" i="28"/>
  <c r="BT29" i="28"/>
  <c r="BP29" i="28"/>
  <c r="CN30" i="28"/>
  <c r="CJ30" i="28"/>
  <c r="CF30" i="28"/>
  <c r="CB30" i="28"/>
  <c r="BX30" i="28"/>
  <c r="BT30" i="28"/>
  <c r="BP30" i="28"/>
  <c r="CN31" i="28"/>
  <c r="CJ31" i="28"/>
  <c r="CF31" i="28"/>
  <c r="CB31" i="28"/>
  <c r="BX31" i="28"/>
  <c r="BT31" i="28"/>
  <c r="BP31" i="28"/>
  <c r="CN32" i="28"/>
  <c r="CJ32" i="28"/>
  <c r="CF32" i="28"/>
  <c r="CB32" i="28"/>
  <c r="BX32" i="28"/>
  <c r="BT32" i="28"/>
  <c r="BP32" i="28"/>
  <c r="CN33" i="28"/>
  <c r="CJ33" i="28"/>
  <c r="CF33" i="28"/>
  <c r="CB33" i="28"/>
  <c r="BX33" i="28"/>
  <c r="BT33" i="28"/>
  <c r="BP33" i="28"/>
  <c r="DP7" i="28"/>
  <c r="DL7" i="28"/>
  <c r="DH7" i="28"/>
  <c r="DD7" i="28"/>
  <c r="CZ7" i="28"/>
  <c r="DT7" i="28"/>
  <c r="CV7" i="28"/>
  <c r="DX7" i="28"/>
  <c r="DP8" i="28"/>
  <c r="DL8" i="28"/>
  <c r="DH8" i="28"/>
  <c r="DD8" i="28"/>
  <c r="CZ8" i="28"/>
  <c r="DT8" i="28"/>
  <c r="CV8" i="28"/>
  <c r="DP9" i="28"/>
  <c r="DL9" i="28"/>
  <c r="DH9" i="28"/>
  <c r="DD9" i="28"/>
  <c r="CZ9" i="28"/>
  <c r="DT9" i="28"/>
  <c r="CV9" i="28"/>
  <c r="DP10" i="28"/>
  <c r="DL10" i="28"/>
  <c r="DH10" i="28"/>
  <c r="DD10" i="28"/>
  <c r="CZ10" i="28"/>
  <c r="DT10" i="28"/>
  <c r="CV10" i="28"/>
  <c r="DP11" i="28"/>
  <c r="DL11" i="28"/>
  <c r="DH11" i="28"/>
  <c r="DD11" i="28"/>
  <c r="CZ11" i="28"/>
  <c r="DT11" i="28"/>
  <c r="CV11" i="28"/>
  <c r="DP12" i="28"/>
  <c r="DL12" i="28"/>
  <c r="DH12" i="28"/>
  <c r="DD12" i="28"/>
  <c r="CZ12" i="28"/>
  <c r="DT12" i="28"/>
  <c r="CV12" i="28"/>
  <c r="DP13" i="28"/>
  <c r="DL13" i="28"/>
  <c r="DH13" i="28"/>
  <c r="DD13" i="28"/>
  <c r="CZ13" i="28"/>
  <c r="DT13" i="28"/>
  <c r="CV13" i="28"/>
  <c r="DP14" i="28"/>
  <c r="DL14" i="28"/>
  <c r="DH14" i="28"/>
  <c r="DD14" i="28"/>
  <c r="CZ14" i="28"/>
  <c r="DT14" i="28"/>
  <c r="CV14" i="28"/>
  <c r="DP15" i="28"/>
  <c r="DL15" i="28"/>
  <c r="DH15" i="28"/>
  <c r="DD15" i="28"/>
  <c r="CZ15" i="28"/>
  <c r="DT15" i="28"/>
  <c r="CV15" i="28"/>
  <c r="DP16" i="28"/>
  <c r="DL16" i="28"/>
  <c r="DH16" i="28"/>
  <c r="DD16" i="28"/>
  <c r="CZ16" i="28"/>
  <c r="DT16" i="28"/>
  <c r="CV16" i="28"/>
  <c r="DP18" i="28"/>
  <c r="DL18" i="28"/>
  <c r="DH18" i="28"/>
  <c r="DD18" i="28"/>
  <c r="CZ18" i="28"/>
  <c r="DT18" i="28"/>
  <c r="CV18" i="28"/>
  <c r="DP19" i="28"/>
  <c r="DL19" i="28"/>
  <c r="DH19" i="28"/>
  <c r="DD19" i="28"/>
  <c r="CZ19" i="28"/>
  <c r="DT19" i="28"/>
  <c r="CV19" i="28"/>
  <c r="DP20" i="28"/>
  <c r="DL20" i="28"/>
  <c r="DH20" i="28"/>
  <c r="DD20" i="28"/>
  <c r="CZ20" i="28"/>
  <c r="DT20" i="28"/>
  <c r="CV20" i="28"/>
  <c r="DP21" i="28"/>
  <c r="DL21" i="28"/>
  <c r="DH21" i="28"/>
  <c r="DD21" i="28"/>
  <c r="CZ21" i="28"/>
  <c r="DT21" i="28"/>
  <c r="CV21" i="28"/>
  <c r="DP22" i="28"/>
  <c r="DL22" i="28"/>
  <c r="DH22" i="28"/>
  <c r="DD22" i="28"/>
  <c r="CZ22" i="28"/>
  <c r="DT22" i="28"/>
  <c r="CV22" i="28"/>
  <c r="DP23" i="28"/>
  <c r="DL23" i="28"/>
  <c r="DH23" i="28"/>
  <c r="DD23" i="28"/>
  <c r="CZ23" i="28"/>
  <c r="DT23" i="28"/>
  <c r="CV23" i="28"/>
  <c r="DP24" i="28"/>
  <c r="DL24" i="28"/>
  <c r="DH24" i="28"/>
  <c r="DD24" i="28"/>
  <c r="CZ24" i="28"/>
  <c r="DT24" i="28"/>
  <c r="CV24" i="28"/>
  <c r="DP25" i="28"/>
  <c r="DL25" i="28"/>
  <c r="DH25" i="28"/>
  <c r="DD25" i="28"/>
  <c r="CZ25" i="28"/>
  <c r="DT25" i="28"/>
  <c r="CV25" i="28"/>
  <c r="DP26" i="28"/>
  <c r="DL26" i="28"/>
  <c r="DH26" i="28"/>
  <c r="DD26" i="28"/>
  <c r="CZ26" i="28"/>
  <c r="DT26" i="28"/>
  <c r="CV26" i="28"/>
  <c r="DX26" i="28"/>
  <c r="DP27" i="28"/>
  <c r="DL27" i="28"/>
  <c r="DH27" i="28"/>
  <c r="DD27" i="28"/>
  <c r="CZ27" i="28"/>
  <c r="DT27" i="28"/>
  <c r="CV27" i="28"/>
  <c r="DP28" i="28"/>
  <c r="DL28" i="28"/>
  <c r="DH28" i="28"/>
  <c r="DD28" i="28"/>
  <c r="CZ28" i="28"/>
  <c r="DT28" i="28"/>
  <c r="CV28" i="28"/>
  <c r="DP29" i="28"/>
  <c r="DL29" i="28"/>
  <c r="DH29" i="28"/>
  <c r="DD29" i="28"/>
  <c r="CZ29" i="28"/>
  <c r="DT29" i="28"/>
  <c r="CV29" i="28"/>
  <c r="DP30" i="28"/>
  <c r="DL30" i="28"/>
  <c r="DH30" i="28"/>
  <c r="DD30" i="28"/>
  <c r="CZ30" i="28"/>
  <c r="DT30" i="28"/>
  <c r="CV30" i="28"/>
  <c r="DP31" i="28"/>
  <c r="DL31" i="28"/>
  <c r="DH31" i="28"/>
  <c r="DD31" i="28"/>
  <c r="CZ31" i="28"/>
  <c r="DT31" i="28"/>
  <c r="CV31" i="28"/>
  <c r="DP32" i="28"/>
  <c r="DL32" i="28"/>
  <c r="DH32" i="28"/>
  <c r="DD32" i="28"/>
  <c r="CZ32" i="28"/>
  <c r="DT32" i="28"/>
  <c r="CV32" i="28"/>
  <c r="DP33" i="28"/>
  <c r="DL33" i="28"/>
  <c r="DH33" i="28"/>
  <c r="DD33" i="28"/>
  <c r="CZ33" i="28"/>
  <c r="DT33" i="28"/>
  <c r="CV33" i="28"/>
  <c r="EZ7" i="28"/>
  <c r="EV7" i="28"/>
  <c r="ER7" i="28"/>
  <c r="EN7" i="28"/>
  <c r="EJ7" i="28"/>
  <c r="EF7" i="28"/>
  <c r="EB7" i="28"/>
  <c r="EZ8" i="28"/>
  <c r="EV8" i="28"/>
  <c r="ER8" i="28"/>
  <c r="EN8" i="28"/>
  <c r="EJ8" i="28"/>
  <c r="EF8" i="28"/>
  <c r="EB8" i="28"/>
  <c r="EZ9" i="28"/>
  <c r="EV9" i="28"/>
  <c r="ER9" i="28"/>
  <c r="EN9" i="28"/>
  <c r="EJ9" i="28"/>
  <c r="EF9" i="28"/>
  <c r="EB9" i="28"/>
  <c r="EZ10" i="28"/>
  <c r="EV10" i="28"/>
  <c r="ER10" i="28"/>
  <c r="EN10" i="28"/>
  <c r="EJ10" i="28"/>
  <c r="EF10" i="28"/>
  <c r="EB10" i="28"/>
  <c r="EZ11" i="28"/>
  <c r="EV11" i="28"/>
  <c r="ER11" i="28"/>
  <c r="EN11" i="28"/>
  <c r="EJ11" i="28"/>
  <c r="EF11" i="28"/>
  <c r="EB11" i="28"/>
  <c r="EZ12" i="28"/>
  <c r="EV12" i="28"/>
  <c r="ER12" i="28"/>
  <c r="EN12" i="28"/>
  <c r="EJ12" i="28"/>
  <c r="EF12" i="28"/>
  <c r="EB12" i="28"/>
  <c r="EZ13" i="28"/>
  <c r="EV13" i="28"/>
  <c r="ER13" i="28"/>
  <c r="EN13" i="28"/>
  <c r="EJ13" i="28"/>
  <c r="EF13" i="28"/>
  <c r="EB13" i="28"/>
  <c r="EZ14" i="28"/>
  <c r="EV14" i="28"/>
  <c r="ER14" i="28"/>
  <c r="EN14" i="28"/>
  <c r="EJ14" i="28"/>
  <c r="EF14" i="28"/>
  <c r="EB14" i="28"/>
  <c r="EZ15" i="28"/>
  <c r="EV15" i="28"/>
  <c r="ER15" i="28"/>
  <c r="EN15" i="28"/>
  <c r="EJ15" i="28"/>
  <c r="EF15" i="28"/>
  <c r="EB15" i="28"/>
  <c r="EZ16" i="28"/>
  <c r="EV16" i="28"/>
  <c r="ER16" i="28"/>
  <c r="EN16" i="28"/>
  <c r="EJ16" i="28"/>
  <c r="EF16" i="28"/>
  <c r="EB16" i="28"/>
  <c r="EZ18" i="28"/>
  <c r="EV18" i="28"/>
  <c r="ER18" i="28"/>
  <c r="EN18" i="28"/>
  <c r="EJ18" i="28"/>
  <c r="EF18" i="28"/>
  <c r="EB18" i="28"/>
  <c r="EZ19" i="28"/>
  <c r="EV19" i="28"/>
  <c r="ER19" i="28"/>
  <c r="EN19" i="28"/>
  <c r="EJ19" i="28"/>
  <c r="EF19" i="28"/>
  <c r="EB19" i="28"/>
  <c r="EZ20" i="28"/>
  <c r="EV20" i="28"/>
  <c r="ER20" i="28"/>
  <c r="EN20" i="28"/>
  <c r="EJ20" i="28"/>
  <c r="EF20" i="28"/>
  <c r="EB20" i="28"/>
  <c r="EZ21" i="28"/>
  <c r="EV21" i="28"/>
  <c r="ER21" i="28"/>
  <c r="EN21" i="28"/>
  <c r="EJ21" i="28"/>
  <c r="EF21" i="28"/>
  <c r="EB21" i="28"/>
  <c r="EZ22" i="28"/>
  <c r="EV22" i="28"/>
  <c r="ER22" i="28"/>
  <c r="EN22" i="28"/>
  <c r="EJ22" i="28"/>
  <c r="EF22" i="28"/>
  <c r="EB22" i="28"/>
  <c r="EZ23" i="28"/>
  <c r="EV23" i="28"/>
  <c r="ER23" i="28"/>
  <c r="EN23" i="28"/>
  <c r="EJ23" i="28"/>
  <c r="EF23" i="28"/>
  <c r="EB23" i="28"/>
  <c r="EZ24" i="28"/>
  <c r="EV24" i="28"/>
  <c r="ER24" i="28"/>
  <c r="EN24" i="28"/>
  <c r="EJ24" i="28"/>
  <c r="EF24" i="28"/>
  <c r="EB24" i="28"/>
  <c r="EZ25" i="28"/>
  <c r="EV25" i="28"/>
  <c r="ER25" i="28"/>
  <c r="EN25" i="28"/>
  <c r="EJ25" i="28"/>
  <c r="EF25" i="28"/>
  <c r="EB25" i="28"/>
  <c r="EZ26" i="28"/>
  <c r="EV26" i="28"/>
  <c r="ER26" i="28"/>
  <c r="EN26" i="28"/>
  <c r="EJ26" i="28"/>
  <c r="EF26" i="28"/>
  <c r="EB26" i="28"/>
  <c r="FD26" i="28"/>
  <c r="EZ27" i="28"/>
  <c r="EV27" i="28"/>
  <c r="ER27" i="28"/>
  <c r="EN27" i="28"/>
  <c r="EJ27" i="28"/>
  <c r="EF27" i="28"/>
  <c r="EB27" i="28"/>
  <c r="EZ28" i="28"/>
  <c r="EV28" i="28"/>
  <c r="ER28" i="28"/>
  <c r="EN28" i="28"/>
  <c r="EJ28" i="28"/>
  <c r="EF28" i="28"/>
  <c r="EB28" i="28"/>
  <c r="EZ29" i="28"/>
  <c r="EV29" i="28"/>
  <c r="ER29" i="28"/>
  <c r="EN29" i="28"/>
  <c r="EJ29" i="28"/>
  <c r="EF29" i="28"/>
  <c r="EB29" i="28"/>
  <c r="EZ30" i="28"/>
  <c r="EV30" i="28"/>
  <c r="ER30" i="28"/>
  <c r="EN30" i="28"/>
  <c r="EJ30" i="28"/>
  <c r="EF30" i="28"/>
  <c r="EB30" i="28"/>
  <c r="EZ31" i="28"/>
  <c r="EV31" i="28"/>
  <c r="ER31" i="28"/>
  <c r="EN31" i="28"/>
  <c r="EJ31" i="28"/>
  <c r="EF31" i="28"/>
  <c r="EB31" i="28"/>
  <c r="EZ32" i="28"/>
  <c r="EV32" i="28"/>
  <c r="ER32" i="28"/>
  <c r="EN32" i="28"/>
  <c r="EJ32" i="28"/>
  <c r="EF32" i="28"/>
  <c r="EB32" i="28"/>
  <c r="EZ33" i="28"/>
  <c r="EV33" i="28"/>
  <c r="ER33" i="28"/>
  <c r="EN33" i="28"/>
  <c r="EJ33" i="28"/>
  <c r="EF33" i="28"/>
  <c r="EB33" i="28"/>
  <c r="FF23" i="28"/>
  <c r="ED31" i="28"/>
  <c r="FC31" i="28"/>
  <c r="FF31" i="28"/>
  <c r="ED23" i="28"/>
  <c r="ED27" i="28"/>
  <c r="CQ36" i="28"/>
  <c r="CQ50" i="28" s="1"/>
  <c r="CQ55" i="28" s="1"/>
  <c r="CT36" i="28"/>
  <c r="DX33" i="28"/>
  <c r="BL31" i="28"/>
  <c r="DX19" i="28"/>
  <c r="BL23" i="28"/>
  <c r="BL25" i="28"/>
  <c r="FD8" i="28"/>
  <c r="DX16" i="28"/>
  <c r="FD27" i="28"/>
  <c r="DX13" i="28"/>
  <c r="BL13" i="28"/>
  <c r="DX28" i="28"/>
  <c r="FD30" i="28"/>
  <c r="BL30" i="28"/>
  <c r="DX14" i="28"/>
  <c r="CR14" i="28"/>
  <c r="FD29" i="28"/>
  <c r="FD18" i="28"/>
  <c r="DX18" i="28"/>
  <c r="FD22" i="28"/>
  <c r="BL22" i="28"/>
  <c r="BU6" i="28"/>
  <c r="BV6" i="28"/>
  <c r="BV38" i="28" s="1"/>
  <c r="BX6" i="28"/>
  <c r="LC34" i="25"/>
  <c r="LC30" i="25"/>
  <c r="LD30" i="25"/>
  <c r="LC26" i="25"/>
  <c r="LD26" i="25"/>
  <c r="LC22" i="25"/>
  <c r="LE22" i="25" s="1"/>
  <c r="LD22" i="25"/>
  <c r="LC18" i="25"/>
  <c r="LE18" i="25" s="1"/>
  <c r="LC14" i="25"/>
  <c r="LE14" i="25" s="1"/>
  <c r="LC10" i="25"/>
  <c r="LE10" i="25" s="1"/>
  <c r="LD23" i="25"/>
  <c r="LD7" i="25"/>
  <c r="EG35" i="25"/>
  <c r="LD31" i="25"/>
  <c r="LD19" i="25"/>
  <c r="LD11" i="25"/>
  <c r="LD29" i="25"/>
  <c r="LD21" i="25"/>
  <c r="LD17" i="25"/>
  <c r="LD13" i="25"/>
  <c r="LD9" i="25"/>
  <c r="LD27" i="25"/>
  <c r="LD15" i="25"/>
  <c r="BW35" i="25"/>
  <c r="DT25" i="25"/>
  <c r="LD28" i="25"/>
  <c r="LD24" i="25"/>
  <c r="LD16" i="25"/>
  <c r="LD12" i="25"/>
  <c r="LD8" i="25"/>
  <c r="CA40" i="25"/>
  <c r="DP40" i="25"/>
  <c r="DQ40" i="25"/>
  <c r="DP43" i="25"/>
  <c r="DQ43" i="25"/>
  <c r="ED43" i="25"/>
  <c r="EE43" i="25"/>
  <c r="EJ38" i="25"/>
  <c r="EO43" i="25"/>
  <c r="EM45" i="25"/>
  <c r="DE45" i="25"/>
  <c r="DX41" i="25"/>
  <c r="EC45" i="25"/>
  <c r="ER41" i="25"/>
  <c r="GS41" i="25"/>
  <c r="KS47" i="25"/>
  <c r="CZ45" i="25"/>
  <c r="DK39" i="25"/>
  <c r="DL39" i="25"/>
  <c r="DR45" i="25"/>
  <c r="DR47" i="25"/>
  <c r="DX45" i="25"/>
  <c r="EJ43" i="25"/>
  <c r="BY45" i="25"/>
  <c r="CA39" i="25"/>
  <c r="DO41" i="25"/>
  <c r="DS41" i="25"/>
  <c r="DU45" i="25"/>
  <c r="EM41" i="25"/>
  <c r="ET39" i="25"/>
  <c r="FV41" i="25"/>
  <c r="CZ41" i="25"/>
  <c r="DJ41" i="25"/>
  <c r="DW40" i="25"/>
  <c r="EQ35" i="25"/>
  <c r="ET40" i="25"/>
  <c r="EX41" i="25"/>
  <c r="EW18" i="25"/>
  <c r="H19" i="28"/>
  <c r="X19" i="28"/>
  <c r="L19" i="28"/>
  <c r="AB19" i="28"/>
  <c r="P19" i="28"/>
  <c r="D19" i="28"/>
  <c r="T19" i="28"/>
  <c r="EW20" i="25"/>
  <c r="P21" i="28"/>
  <c r="D21" i="28"/>
  <c r="T21" i="28"/>
  <c r="H21" i="28"/>
  <c r="X21" i="28"/>
  <c r="L21" i="28"/>
  <c r="AB21" i="28"/>
  <c r="EW22" i="25"/>
  <c r="H23" i="28"/>
  <c r="X23" i="28"/>
  <c r="L23" i="28"/>
  <c r="AB23" i="28"/>
  <c r="P23" i="28"/>
  <c r="D23" i="28"/>
  <c r="T23" i="28"/>
  <c r="P25" i="28"/>
  <c r="D25" i="28"/>
  <c r="T25" i="28"/>
  <c r="H25" i="28"/>
  <c r="X25" i="28"/>
  <c r="L25" i="28"/>
  <c r="AB25" i="28"/>
  <c r="H27" i="28"/>
  <c r="X27" i="28"/>
  <c r="L27" i="28"/>
  <c r="AB27" i="28"/>
  <c r="P27" i="28"/>
  <c r="D27" i="28"/>
  <c r="T27" i="28"/>
  <c r="EW28" i="25"/>
  <c r="P29" i="28"/>
  <c r="D29" i="28"/>
  <c r="T29" i="28"/>
  <c r="H29" i="28"/>
  <c r="X29" i="28"/>
  <c r="L29" i="28"/>
  <c r="AB29" i="28"/>
  <c r="DY34" i="25"/>
  <c r="EB34" i="25" s="1"/>
  <c r="H31" i="28"/>
  <c r="X31" i="28"/>
  <c r="L31" i="28"/>
  <c r="AB31" i="28"/>
  <c r="P31" i="28"/>
  <c r="D31" i="28"/>
  <c r="T31" i="28"/>
  <c r="EW32" i="25"/>
  <c r="P33" i="28"/>
  <c r="D33" i="28"/>
  <c r="T33" i="28"/>
  <c r="H33" i="28"/>
  <c r="X33" i="28"/>
  <c r="L33" i="28"/>
  <c r="AB33" i="28"/>
  <c r="FV45" i="25"/>
  <c r="DO45" i="25"/>
  <c r="L9" i="28"/>
  <c r="AB9" i="28"/>
  <c r="P9" i="28"/>
  <c r="D9" i="28"/>
  <c r="T9" i="28"/>
  <c r="H9" i="28"/>
  <c r="X9" i="28"/>
  <c r="T11" i="28"/>
  <c r="H11" i="28"/>
  <c r="X11" i="28"/>
  <c r="L11" i="28"/>
  <c r="AB11" i="28"/>
  <c r="P11" i="28"/>
  <c r="D11" i="28"/>
  <c r="H15" i="28"/>
  <c r="X15" i="28"/>
  <c r="L15" i="28"/>
  <c r="AB15" i="28"/>
  <c r="P15" i="28"/>
  <c r="D15" i="28"/>
  <c r="T15" i="28"/>
  <c r="DE41" i="25"/>
  <c r="DF40" i="25"/>
  <c r="DG40" i="25"/>
  <c r="DN43" i="25"/>
  <c r="DU41" i="25"/>
  <c r="L18" i="28"/>
  <c r="AB18" i="28"/>
  <c r="P18" i="28"/>
  <c r="D18" i="28"/>
  <c r="T18" i="28"/>
  <c r="H18" i="28"/>
  <c r="X18" i="28"/>
  <c r="T20" i="28"/>
  <c r="H20" i="28"/>
  <c r="X20" i="28"/>
  <c r="L20" i="28"/>
  <c r="AB20" i="28"/>
  <c r="P20" i="28"/>
  <c r="D20" i="28"/>
  <c r="L22" i="28"/>
  <c r="AB22" i="28"/>
  <c r="P22" i="28"/>
  <c r="D22" i="28"/>
  <c r="T22" i="28"/>
  <c r="H22" i="28"/>
  <c r="X22" i="28"/>
  <c r="T24" i="28"/>
  <c r="H24" i="28"/>
  <c r="X24" i="28"/>
  <c r="L24" i="28"/>
  <c r="AB24" i="28"/>
  <c r="P24" i="28"/>
  <c r="D24" i="28"/>
  <c r="L26" i="28"/>
  <c r="AB26" i="28"/>
  <c r="P26" i="28"/>
  <c r="D26" i="28"/>
  <c r="T26" i="28"/>
  <c r="H26" i="28"/>
  <c r="X26" i="28"/>
  <c r="T28" i="28"/>
  <c r="H28" i="28"/>
  <c r="X28" i="28"/>
  <c r="L28" i="28"/>
  <c r="AB28" i="28"/>
  <c r="P28" i="28"/>
  <c r="D28" i="28"/>
  <c r="L30" i="28"/>
  <c r="AB30" i="28"/>
  <c r="P30" i="28"/>
  <c r="D30" i="28"/>
  <c r="T30" i="28"/>
  <c r="H30" i="28"/>
  <c r="X30" i="28"/>
  <c r="T32" i="28"/>
  <c r="H32" i="28"/>
  <c r="X32" i="28"/>
  <c r="L32" i="28"/>
  <c r="AB32" i="28"/>
  <c r="P32" i="28"/>
  <c r="D32" i="28"/>
  <c r="EL43" i="25"/>
  <c r="EV43" i="25"/>
  <c r="EX45" i="25"/>
  <c r="P8" i="28"/>
  <c r="D8" i="28"/>
  <c r="T8" i="28"/>
  <c r="H8" i="28"/>
  <c r="X8" i="28"/>
  <c r="L8" i="28"/>
  <c r="AB8" i="28"/>
  <c r="H10" i="28"/>
  <c r="X10" i="28"/>
  <c r="L10" i="28"/>
  <c r="AB10" i="28"/>
  <c r="P10" i="28"/>
  <c r="D10" i="28"/>
  <c r="T10" i="28"/>
  <c r="P12" i="28"/>
  <c r="D12" i="28"/>
  <c r="T12" i="28"/>
  <c r="H12" i="28"/>
  <c r="X12" i="28"/>
  <c r="L12" i="28"/>
  <c r="AB12" i="28"/>
  <c r="L14" i="28"/>
  <c r="AB14" i="28"/>
  <c r="P14" i="28"/>
  <c r="D14" i="28"/>
  <c r="T14" i="28"/>
  <c r="H14" i="28"/>
  <c r="X14" i="28"/>
  <c r="T16" i="28"/>
  <c r="H16" i="28"/>
  <c r="X16" i="28"/>
  <c r="L16" i="28"/>
  <c r="AB16" i="28"/>
  <c r="P16" i="28"/>
  <c r="D16" i="28"/>
  <c r="H13" i="28"/>
  <c r="L13" i="28"/>
  <c r="P13" i="28"/>
  <c r="T13" i="28"/>
  <c r="X13" i="28"/>
  <c r="AB13" i="28"/>
  <c r="D13" i="28"/>
  <c r="M3" i="22"/>
  <c r="CX35" i="25"/>
  <c r="CY35" i="25" s="1"/>
  <c r="CX38" i="25"/>
  <c r="CX44" i="25"/>
  <c r="CX43" i="25"/>
  <c r="CX40" i="25"/>
  <c r="CX39" i="25"/>
  <c r="DK40" i="25"/>
  <c r="BZ45" i="25"/>
  <c r="CA38" i="25"/>
  <c r="DV39" i="25"/>
  <c r="DW39" i="25"/>
  <c r="EW10" i="25"/>
  <c r="ED40" i="25"/>
  <c r="EE40" i="25"/>
  <c r="EO40" i="25"/>
  <c r="CA44" i="25"/>
  <c r="DK43" i="25"/>
  <c r="DL43" i="25"/>
  <c r="EJ40" i="25"/>
  <c r="CA43" i="25"/>
  <c r="BY41" i="25"/>
  <c r="DA39" i="25"/>
  <c r="EW7" i="25"/>
  <c r="EW9" i="25"/>
  <c r="EW13" i="25"/>
  <c r="EW15" i="25"/>
  <c r="BZ41" i="25"/>
  <c r="CA35" i="25"/>
  <c r="CP40" i="25"/>
  <c r="CU40" i="25"/>
  <c r="DD39" i="25"/>
  <c r="DD40" i="25"/>
  <c r="DC45" i="25"/>
  <c r="DI44" i="25"/>
  <c r="DN39" i="25"/>
  <c r="DL40" i="25"/>
  <c r="DN40" i="25"/>
  <c r="DM45" i="25"/>
  <c r="DB39" i="25"/>
  <c r="DA40" i="25"/>
  <c r="DB40" i="25"/>
  <c r="DD35" i="25"/>
  <c r="DT16" i="25"/>
  <c r="DT24" i="25"/>
  <c r="DF43" i="25"/>
  <c r="DG43" i="25"/>
  <c r="DT32" i="25"/>
  <c r="DI35" i="25"/>
  <c r="DN35" i="25"/>
  <c r="DP38" i="25"/>
  <c r="DQ38" i="25"/>
  <c r="DS35" i="25"/>
  <c r="DS39" i="25"/>
  <c r="DS40" i="25"/>
  <c r="DS44" i="25"/>
  <c r="DV43" i="25"/>
  <c r="DW43" i="25"/>
  <c r="EW14" i="25"/>
  <c r="DY16" i="25"/>
  <c r="EB35" i="25"/>
  <c r="EB39" i="25"/>
  <c r="EB40" i="25"/>
  <c r="EB44" i="25"/>
  <c r="EG39" i="25"/>
  <c r="EG40" i="25"/>
  <c r="EG44" i="25"/>
  <c r="EW26" i="25"/>
  <c r="EW24" i="25"/>
  <c r="EL35" i="25"/>
  <c r="EL40" i="25"/>
  <c r="EL44" i="25"/>
  <c r="EQ39" i="25"/>
  <c r="EQ40" i="25"/>
  <c r="EQ44" i="25"/>
  <c r="EV35" i="25"/>
  <c r="EV39" i="25"/>
  <c r="EV40" i="25"/>
  <c r="EV44" i="25"/>
  <c r="EY44" i="25"/>
  <c r="EZ44" i="25"/>
  <c r="EY43" i="25"/>
  <c r="EZ43" i="25"/>
  <c r="EY40" i="25"/>
  <c r="EZ40" i="25"/>
  <c r="EY39" i="25"/>
  <c r="EZ39" i="25"/>
  <c r="FE35" i="25"/>
  <c r="FJ35" i="25"/>
  <c r="FT35" i="25"/>
  <c r="FW39" i="25"/>
  <c r="FX39" i="25"/>
  <c r="FW40" i="25"/>
  <c r="FX40" i="25"/>
  <c r="FW44" i="25"/>
  <c r="FX44" i="25"/>
  <c r="FO35" i="25"/>
  <c r="EW8" i="25"/>
  <c r="EW6" i="25"/>
  <c r="EW12" i="25"/>
  <c r="EW17" i="25"/>
  <c r="EW19" i="25"/>
  <c r="EW21" i="25"/>
  <c r="EW23" i="25"/>
  <c r="EW30" i="25"/>
  <c r="EW25" i="25"/>
  <c r="EW27" i="25"/>
  <c r="EW29" i="25"/>
  <c r="EW31" i="25"/>
  <c r="DY43" i="25"/>
  <c r="DZ43" i="25"/>
  <c r="DY40" i="25"/>
  <c r="DZ40" i="25"/>
  <c r="EW11" i="25"/>
  <c r="DY38" i="25"/>
  <c r="DZ38" i="25"/>
  <c r="DK38" i="25"/>
  <c r="DL38" i="25"/>
  <c r="DP39" i="25"/>
  <c r="DQ39" i="25"/>
  <c r="DT10" i="25"/>
  <c r="DT12" i="25"/>
  <c r="DT14" i="25"/>
  <c r="DT20" i="25"/>
  <c r="DT22" i="25"/>
  <c r="DT28" i="25"/>
  <c r="DA34" i="25"/>
  <c r="DA44" i="25"/>
  <c r="DB44" i="25"/>
  <c r="DT9" i="25"/>
  <c r="DT11" i="25"/>
  <c r="DT31" i="25"/>
  <c r="DT7" i="25"/>
  <c r="DT13" i="25"/>
  <c r="DT15" i="25"/>
  <c r="DT17" i="25"/>
  <c r="DT19" i="25"/>
  <c r="DT21" i="25"/>
  <c r="DT27" i="25"/>
  <c r="DT29" i="25"/>
  <c r="DK34" i="25"/>
  <c r="DF38" i="25"/>
  <c r="DG38" i="25"/>
  <c r="DF39" i="25"/>
  <c r="DG39" i="25"/>
  <c r="DF33" i="25"/>
  <c r="DF35" i="25"/>
  <c r="DG35" i="25"/>
  <c r="DT23" i="25"/>
  <c r="DT30" i="25"/>
  <c r="DT26" i="25"/>
  <c r="DA43" i="25"/>
  <c r="DB43" i="25"/>
  <c r="DT18" i="25"/>
  <c r="DA38" i="25"/>
  <c r="DB38" i="25"/>
  <c r="DT8" i="25"/>
  <c r="DT6" i="25"/>
  <c r="ET43" i="25"/>
  <c r="ER45" i="25"/>
  <c r="EV38" i="25"/>
  <c r="EQ43" i="25"/>
  <c r="EQ38" i="25"/>
  <c r="EH41" i="25"/>
  <c r="EL39" i="25"/>
  <c r="EL38" i="25"/>
  <c r="EH45" i="25"/>
  <c r="ED39" i="25"/>
  <c r="EE39" i="25"/>
  <c r="EC41" i="25"/>
  <c r="ED38" i="25"/>
  <c r="ED44" i="25"/>
  <c r="EE44" i="25"/>
  <c r="EG43" i="25"/>
  <c r="DY33" i="25"/>
  <c r="DW8" i="25"/>
  <c r="DW11" i="25"/>
  <c r="DV35" i="25"/>
  <c r="DW35" i="25"/>
  <c r="DV38" i="25"/>
  <c r="DV44" i="25"/>
  <c r="DW44" i="25"/>
  <c r="DS38" i="25"/>
  <c r="DS43" i="25"/>
  <c r="DP33" i="25"/>
  <c r="DP44" i="25"/>
  <c r="DM41" i="25"/>
  <c r="DH45" i="25"/>
  <c r="DH41" i="25"/>
  <c r="DJ45" i="25"/>
  <c r="DN38" i="25"/>
  <c r="DN44" i="25"/>
  <c r="DI38" i="25"/>
  <c r="DI43" i="25"/>
  <c r="DI39" i="25"/>
  <c r="DC41" i="25"/>
  <c r="DD38" i="25"/>
  <c r="DD43" i="25"/>
  <c r="DD44" i="25"/>
  <c r="CK35" i="25"/>
  <c r="CP39" i="25"/>
  <c r="BV45" i="25"/>
  <c r="CB45" i="25"/>
  <c r="CF43" i="25"/>
  <c r="CU39" i="25"/>
  <c r="BW43" i="25"/>
  <c r="CF40" i="25"/>
  <c r="CJ45" i="25"/>
  <c r="CJ41" i="25"/>
  <c r="CW47" i="25"/>
  <c r="CF35" i="25"/>
  <c r="CG45" i="25"/>
  <c r="CK45" i="25"/>
  <c r="CK39" i="25"/>
  <c r="CK40" i="25"/>
  <c r="CP35" i="25"/>
  <c r="CP43" i="25"/>
  <c r="CQ45" i="25"/>
  <c r="CU45" i="25"/>
  <c r="CG41" i="25"/>
  <c r="BS41" i="25"/>
  <c r="CB41" i="25"/>
  <c r="CK44" i="25"/>
  <c r="CL41" i="25"/>
  <c r="CP44" i="25"/>
  <c r="CQ41" i="25"/>
  <c r="CU44" i="25"/>
  <c r="CU38" i="25"/>
  <c r="CU43" i="25"/>
  <c r="CO47" i="25"/>
  <c r="CL45" i="25"/>
  <c r="CP38" i="25"/>
  <c r="CK38" i="25"/>
  <c r="CK43" i="25"/>
  <c r="CE41" i="25"/>
  <c r="CE45" i="25"/>
  <c r="CF38" i="25"/>
  <c r="CF44" i="25"/>
  <c r="CF39" i="25"/>
  <c r="BV41" i="25"/>
  <c r="BW38" i="25"/>
  <c r="BW40" i="25"/>
  <c r="BW39" i="25"/>
  <c r="BS45" i="25"/>
  <c r="BW44" i="25"/>
  <c r="BQ44" i="25"/>
  <c r="BQ43" i="25"/>
  <c r="BQ40" i="25"/>
  <c r="BQ39" i="25"/>
  <c r="BQ38" i="25"/>
  <c r="BR7" i="25"/>
  <c r="BR8" i="25"/>
  <c r="BR9" i="25"/>
  <c r="BR10" i="25"/>
  <c r="BR11" i="25"/>
  <c r="BR12" i="25"/>
  <c r="BR13" i="25"/>
  <c r="BR14" i="25"/>
  <c r="BR15" i="25"/>
  <c r="BR16" i="25"/>
  <c r="BR17" i="25"/>
  <c r="BR18" i="25"/>
  <c r="BR19" i="25"/>
  <c r="BR20" i="25"/>
  <c r="BR21" i="25"/>
  <c r="BR22" i="25"/>
  <c r="BR23" i="25"/>
  <c r="BR24" i="25"/>
  <c r="BR25" i="25"/>
  <c r="BR26" i="25"/>
  <c r="BR27" i="25"/>
  <c r="BR28" i="25"/>
  <c r="BR29" i="25"/>
  <c r="BR30" i="25"/>
  <c r="BR31" i="25"/>
  <c r="BR32" i="25"/>
  <c r="BN44" i="25"/>
  <c r="BN43" i="25"/>
  <c r="BN40" i="25"/>
  <c r="BN39" i="25"/>
  <c r="BN38" i="25"/>
  <c r="BT32" i="25"/>
  <c r="BT31" i="25"/>
  <c r="BT30" i="25"/>
  <c r="BT29" i="25"/>
  <c r="BT28" i="25"/>
  <c r="BT27" i="25"/>
  <c r="BT25" i="25"/>
  <c r="BT24" i="25"/>
  <c r="BT23" i="25"/>
  <c r="BT22" i="25"/>
  <c r="BT21" i="25"/>
  <c r="BT20" i="25"/>
  <c r="BT19" i="25"/>
  <c r="BT18" i="25"/>
  <c r="BT17" i="25"/>
  <c r="BT16" i="25"/>
  <c r="BT15" i="25"/>
  <c r="BT14" i="25"/>
  <c r="BT13" i="25"/>
  <c r="BT12" i="25"/>
  <c r="BT11" i="25"/>
  <c r="BT10" i="25"/>
  <c r="BT9" i="25"/>
  <c r="BT8" i="25"/>
  <c r="BT7" i="25"/>
  <c r="BT6" i="25"/>
  <c r="BO32" i="25"/>
  <c r="BX32" i="25"/>
  <c r="BO31" i="25"/>
  <c r="BO30" i="25"/>
  <c r="BO29" i="25"/>
  <c r="BO28" i="25"/>
  <c r="BX28" i="25"/>
  <c r="BO27" i="25"/>
  <c r="BO26" i="25"/>
  <c r="BO25" i="25"/>
  <c r="BO24" i="25"/>
  <c r="BX24" i="25"/>
  <c r="BO23" i="25"/>
  <c r="BO22" i="25"/>
  <c r="BO21" i="25"/>
  <c r="BO20" i="25"/>
  <c r="BX20" i="25"/>
  <c r="BO19" i="25"/>
  <c r="BO18" i="25"/>
  <c r="BO17" i="25"/>
  <c r="BO16" i="25"/>
  <c r="BX16" i="25"/>
  <c r="BO15" i="25"/>
  <c r="BO14" i="25"/>
  <c r="BO13" i="25"/>
  <c r="BO12" i="25"/>
  <c r="BX12" i="25"/>
  <c r="BO11" i="25"/>
  <c r="BO10" i="25"/>
  <c r="BO9" i="25"/>
  <c r="BO8" i="25"/>
  <c r="BX8" i="25"/>
  <c r="BO7" i="25"/>
  <c r="BO6" i="25"/>
  <c r="S11" i="27"/>
  <c r="W11" i="27"/>
  <c r="S10" i="27"/>
  <c r="W10" i="27"/>
  <c r="S9" i="27"/>
  <c r="W9" i="27"/>
  <c r="S8" i="27"/>
  <c r="W8" i="27"/>
  <c r="S7" i="27"/>
  <c r="S12" i="27"/>
  <c r="U12" i="27"/>
  <c r="W7" i="27"/>
  <c r="FC35" i="25"/>
  <c r="N4" i="27"/>
  <c r="LD34" i="25"/>
  <c r="LD32" i="25"/>
  <c r="LD33" i="25"/>
  <c r="BU6" i="30"/>
  <c r="BV6" i="30"/>
  <c r="BX6" i="30"/>
  <c r="AGF34" i="28"/>
  <c r="HT34" i="28"/>
  <c r="HX34" i="28"/>
  <c r="IB34" i="28"/>
  <c r="IF34" i="28"/>
  <c r="IJ34" i="28"/>
  <c r="IN34" i="28"/>
  <c r="IR34" i="28"/>
  <c r="FL34" i="28"/>
  <c r="FP34" i="28"/>
  <c r="FT34" i="28"/>
  <c r="FX34" i="28"/>
  <c r="GB34" i="28"/>
  <c r="GF34" i="28"/>
  <c r="FH34" i="28"/>
  <c r="GJ34" i="28"/>
  <c r="FQ35" i="25"/>
  <c r="IZ34" i="28"/>
  <c r="JD34" i="28"/>
  <c r="JH34" i="28"/>
  <c r="JL34" i="28"/>
  <c r="JP34" i="28"/>
  <c r="JT34" i="28"/>
  <c r="JX34" i="28"/>
  <c r="HL34" i="28"/>
  <c r="HH34" i="28"/>
  <c r="HD34" i="28"/>
  <c r="GZ34" i="28"/>
  <c r="GV34" i="28"/>
  <c r="GR34" i="28"/>
  <c r="GN34" i="28"/>
  <c r="HP34" i="28"/>
  <c r="HP35" i="28"/>
  <c r="AGF17" i="28"/>
  <c r="AGF35" i="28"/>
  <c r="KB33" i="28"/>
  <c r="KB32" i="28"/>
  <c r="KB31" i="28"/>
  <c r="IZ35" i="28"/>
  <c r="JB35" i="28" s="1"/>
  <c r="JD35" i="28"/>
  <c r="JF35" i="28" s="1"/>
  <c r="JH35" i="28"/>
  <c r="JJ35" i="28" s="1"/>
  <c r="JL35" i="28"/>
  <c r="JN35" i="28" s="1"/>
  <c r="JP35" i="28"/>
  <c r="JR35" i="28" s="1"/>
  <c r="JT35" i="28"/>
  <c r="JV35" i="28" s="1"/>
  <c r="JX35" i="28"/>
  <c r="JZ35" i="28" s="1"/>
  <c r="KB30" i="28"/>
  <c r="KB29" i="28"/>
  <c r="KB28" i="28"/>
  <c r="KB27" i="28"/>
  <c r="KB26" i="28"/>
  <c r="KB25" i="28"/>
  <c r="KB43" i="28" s="1"/>
  <c r="KB24" i="28"/>
  <c r="KB23" i="28"/>
  <c r="KB22" i="28"/>
  <c r="KB21" i="28"/>
  <c r="KB20" i="28"/>
  <c r="KB19" i="28"/>
  <c r="KB18" i="28"/>
  <c r="KB16" i="28"/>
  <c r="KB15" i="28"/>
  <c r="KB14" i="28"/>
  <c r="KB13" i="28"/>
  <c r="KB12" i="28"/>
  <c r="KB11" i="28"/>
  <c r="KB40" i="28" s="1"/>
  <c r="KB10" i="28"/>
  <c r="KB9" i="28"/>
  <c r="KB8" i="28"/>
  <c r="KB39" i="28" s="1"/>
  <c r="JX36" i="28"/>
  <c r="JT36" i="28"/>
  <c r="JP36" i="28"/>
  <c r="JL36" i="28"/>
  <c r="JH36" i="28"/>
  <c r="JD36" i="28"/>
  <c r="IZ36" i="28"/>
  <c r="KB7" i="28"/>
  <c r="KB38" i="28" s="1"/>
  <c r="KB41" i="28" s="1"/>
  <c r="IV33" i="28"/>
  <c r="IV32" i="28"/>
  <c r="IV31" i="28"/>
  <c r="HT35" i="28"/>
  <c r="HX35" i="28"/>
  <c r="IB35" i="28"/>
  <c r="IF35" i="28"/>
  <c r="IJ35" i="28"/>
  <c r="IN35" i="28"/>
  <c r="IR35" i="28"/>
  <c r="IV30" i="28"/>
  <c r="IV29" i="28"/>
  <c r="IV28" i="28"/>
  <c r="IV27" i="28"/>
  <c r="IV26" i="28"/>
  <c r="IV25" i="28"/>
  <c r="IV43" i="28" s="1"/>
  <c r="IV24" i="28"/>
  <c r="IV23" i="28"/>
  <c r="IV22" i="28"/>
  <c r="IV21" i="28"/>
  <c r="IV20" i="28"/>
  <c r="IV19" i="28"/>
  <c r="IV18" i="28"/>
  <c r="IV16" i="28"/>
  <c r="IV15" i="28"/>
  <c r="HT17" i="28"/>
  <c r="HX17" i="28"/>
  <c r="IB17" i="28"/>
  <c r="IF17" i="28"/>
  <c r="IJ17" i="28"/>
  <c r="IN17" i="28"/>
  <c r="IR17" i="28"/>
  <c r="IV14" i="28"/>
  <c r="IV13" i="28"/>
  <c r="IV12" i="28"/>
  <c r="IV11" i="28"/>
  <c r="IV40" i="28" s="1"/>
  <c r="IV10" i="28"/>
  <c r="IV9" i="28"/>
  <c r="IV8" i="28"/>
  <c r="IV39" i="28" s="1"/>
  <c r="IR36" i="28"/>
  <c r="IN36" i="28"/>
  <c r="IJ36" i="28"/>
  <c r="IF36" i="28"/>
  <c r="IB36" i="28"/>
  <c r="HX36" i="28"/>
  <c r="HT36" i="28"/>
  <c r="IV7" i="28"/>
  <c r="GN36" i="28"/>
  <c r="HP7" i="28"/>
  <c r="HP36" i="28"/>
  <c r="GR36" i="28"/>
  <c r="GV36" i="28"/>
  <c r="GZ36" i="28"/>
  <c r="HD36" i="28"/>
  <c r="HH36" i="28"/>
  <c r="HL36" i="28"/>
  <c r="FL35" i="28"/>
  <c r="FN35" i="28"/>
  <c r="FP35" i="28"/>
  <c r="FR35" i="28"/>
  <c r="FT35" i="28"/>
  <c r="FV35" i="28"/>
  <c r="FX35" i="28"/>
  <c r="FZ35" i="28" s="1"/>
  <c r="GB35" i="28"/>
  <c r="GD35" i="28" s="1"/>
  <c r="GF35" i="28"/>
  <c r="GH35" i="28" s="1"/>
  <c r="FH35" i="28"/>
  <c r="FJ35" i="28"/>
  <c r="GJ35" i="28"/>
  <c r="FL17" i="28"/>
  <c r="FN17" i="28"/>
  <c r="FP17" i="28"/>
  <c r="FR17" i="28"/>
  <c r="FT17" i="28"/>
  <c r="FV17" i="28"/>
  <c r="FX17" i="28"/>
  <c r="FZ17" i="28"/>
  <c r="GB17" i="28"/>
  <c r="GD17" i="28"/>
  <c r="GF17" i="28"/>
  <c r="GH17" i="28" s="1"/>
  <c r="FH17" i="28"/>
  <c r="FJ17" i="28"/>
  <c r="GJ17" i="28"/>
  <c r="FH36" i="28"/>
  <c r="GJ7" i="28"/>
  <c r="GJ38" i="28" s="1"/>
  <c r="GJ36" i="28"/>
  <c r="GF36" i="28"/>
  <c r="GB36" i="28"/>
  <c r="FX36" i="28"/>
  <c r="FT36" i="28"/>
  <c r="FP36" i="28"/>
  <c r="FL36" i="28"/>
  <c r="AGF31" i="28"/>
  <c r="AGF27" i="28"/>
  <c r="AGF12" i="28"/>
  <c r="AGF9" i="28"/>
  <c r="AGF8" i="28"/>
  <c r="BH34" i="28"/>
  <c r="BD34" i="28"/>
  <c r="AZ34" i="28"/>
  <c r="AV34" i="28"/>
  <c r="AR34" i="28"/>
  <c r="AN34" i="28"/>
  <c r="AJ34" i="28"/>
  <c r="EI35" i="25"/>
  <c r="CN34" i="28"/>
  <c r="CJ34" i="28"/>
  <c r="CF34" i="28"/>
  <c r="CB34" i="28"/>
  <c r="BX34" i="28"/>
  <c r="BT34" i="28"/>
  <c r="BP34" i="28"/>
  <c r="ES35" i="25"/>
  <c r="EZ34" i="28"/>
  <c r="EV34" i="28"/>
  <c r="ER34" i="28"/>
  <c r="EN34" i="28"/>
  <c r="EJ34" i="28"/>
  <c r="EF34" i="28"/>
  <c r="EB34" i="28"/>
  <c r="DP34" i="28"/>
  <c r="DL34" i="28"/>
  <c r="DH34" i="28"/>
  <c r="DD34" i="28"/>
  <c r="CZ34" i="28"/>
  <c r="DT34" i="28"/>
  <c r="CV34" i="28"/>
  <c r="EW34" i="25"/>
  <c r="EZ34" i="25"/>
  <c r="DP35" i="28"/>
  <c r="DL35" i="28"/>
  <c r="DH35" i="28"/>
  <c r="DD35" i="28"/>
  <c r="CZ35" i="28"/>
  <c r="DT35" i="28"/>
  <c r="CV35" i="28"/>
  <c r="EZ35" i="28"/>
  <c r="EV35" i="28"/>
  <c r="ER35" i="28"/>
  <c r="EN35" i="28"/>
  <c r="EJ35" i="28"/>
  <c r="EL35" i="28"/>
  <c r="EF35" i="28"/>
  <c r="EH35" i="28"/>
  <c r="EB35" i="28"/>
  <c r="EZ17" i="28"/>
  <c r="EV17" i="28"/>
  <c r="ER17" i="28"/>
  <c r="EN17" i="28"/>
  <c r="EJ17" i="28"/>
  <c r="EF17" i="28"/>
  <c r="EH17" i="28"/>
  <c r="EB17" i="28"/>
  <c r="FD7" i="28"/>
  <c r="EB36" i="28"/>
  <c r="DP17" i="28"/>
  <c r="DL17" i="28"/>
  <c r="DH17" i="28"/>
  <c r="DD17" i="28"/>
  <c r="CZ17" i="28"/>
  <c r="DT17" i="28"/>
  <c r="CV17" i="28"/>
  <c r="CN35" i="28"/>
  <c r="CJ35" i="28"/>
  <c r="CF35" i="28"/>
  <c r="CB35" i="28"/>
  <c r="BX35" i="28"/>
  <c r="BT35" i="28"/>
  <c r="BP35" i="28"/>
  <c r="CN17" i="28"/>
  <c r="CJ17" i="28"/>
  <c r="CF17" i="28"/>
  <c r="CB17" i="28"/>
  <c r="BX17" i="28"/>
  <c r="BT17" i="28"/>
  <c r="BP17" i="28"/>
  <c r="BH35" i="28"/>
  <c r="BD35" i="28"/>
  <c r="AZ35" i="28"/>
  <c r="AV35" i="28"/>
  <c r="AJ35" i="28"/>
  <c r="AR35" i="28"/>
  <c r="AN35" i="28"/>
  <c r="BH17" i="28"/>
  <c r="BD17" i="28"/>
  <c r="AZ17" i="28"/>
  <c r="AV17" i="28"/>
  <c r="AR17" i="28"/>
  <c r="AN17" i="28"/>
  <c r="AJ17" i="28"/>
  <c r="FC30" i="28"/>
  <c r="FF30" i="28"/>
  <c r="FC26" i="28"/>
  <c r="FC34" i="28"/>
  <c r="FF34" i="28"/>
  <c r="ED34" i="28"/>
  <c r="DX22" i="28"/>
  <c r="BL24" i="28"/>
  <c r="DX20" i="28"/>
  <c r="CR10" i="28"/>
  <c r="DX12" i="28"/>
  <c r="DX8" i="28"/>
  <c r="CR8" i="28"/>
  <c r="CR25" i="28"/>
  <c r="CR24" i="28"/>
  <c r="BL18" i="28"/>
  <c r="DX29" i="28"/>
  <c r="BL14" i="28"/>
  <c r="BL32" i="28"/>
  <c r="CR32" i="28"/>
  <c r="CR30" i="28"/>
  <c r="CR15" i="28"/>
  <c r="BL15" i="28"/>
  <c r="DX15" i="28"/>
  <c r="FD13" i="28"/>
  <c r="BL11" i="28"/>
  <c r="CR11" i="28"/>
  <c r="DX11" i="28"/>
  <c r="FD11" i="28"/>
  <c r="BL9" i="28"/>
  <c r="DX9" i="28"/>
  <c r="DX27" i="28"/>
  <c r="BL12" i="28"/>
  <c r="BL8" i="28"/>
  <c r="FD19" i="28"/>
  <c r="CR31" i="28"/>
  <c r="BL33" i="28"/>
  <c r="FD33" i="28"/>
  <c r="DX24" i="28"/>
  <c r="FD24" i="28"/>
  <c r="DY39" i="25"/>
  <c r="DZ39" i="25"/>
  <c r="EJ36" i="28"/>
  <c r="EF36" i="28"/>
  <c r="BX36" i="28"/>
  <c r="DT36" i="28"/>
  <c r="DX17" i="28"/>
  <c r="CF36" i="28"/>
  <c r="AJ36" i="28"/>
  <c r="BD36" i="28"/>
  <c r="BT36" i="28"/>
  <c r="AV36" i="28"/>
  <c r="BL20" i="28"/>
  <c r="CR20" i="28"/>
  <c r="BL29" i="28"/>
  <c r="BL10" i="28"/>
  <c r="FD10" i="28"/>
  <c r="DX30" i="28"/>
  <c r="CR28" i="28"/>
  <c r="CR9" i="28"/>
  <c r="DH36" i="28"/>
  <c r="BH36" i="28"/>
  <c r="AR36" i="28"/>
  <c r="CR22" i="28"/>
  <c r="FD20" i="28"/>
  <c r="CR18" i="28"/>
  <c r="CR29" i="28"/>
  <c r="FD14" i="28"/>
  <c r="DX10" i="28"/>
  <c r="DX32" i="28"/>
  <c r="FD32" i="28"/>
  <c r="BL28" i="28"/>
  <c r="FD28" i="28"/>
  <c r="FD15" i="28"/>
  <c r="CR13" i="28"/>
  <c r="BL27" i="28"/>
  <c r="BL16" i="28"/>
  <c r="CR16" i="28"/>
  <c r="FD16" i="28"/>
  <c r="CR12" i="28"/>
  <c r="FD12" i="28"/>
  <c r="DL36" i="28"/>
  <c r="CB36" i="28"/>
  <c r="CN36" i="28"/>
  <c r="DP36" i="28"/>
  <c r="EN36" i="28"/>
  <c r="ER36" i="28"/>
  <c r="DX25" i="28"/>
  <c r="DX43" i="28" s="1"/>
  <c r="DX23" i="28"/>
  <c r="CR23" i="28"/>
  <c r="CR21" i="28"/>
  <c r="DX21" i="28"/>
  <c r="CR33" i="28"/>
  <c r="FD9" i="28"/>
  <c r="CR27" i="28"/>
  <c r="AN36" i="28"/>
  <c r="CJ36" i="28"/>
  <c r="AZ36" i="28"/>
  <c r="DD36" i="28"/>
  <c r="CZ36" i="28"/>
  <c r="EV36" i="28"/>
  <c r="EZ36" i="28"/>
  <c r="FD25" i="28"/>
  <c r="FD43" i="28" s="1"/>
  <c r="FD23" i="28"/>
  <c r="BL21" i="28"/>
  <c r="FD21" i="28"/>
  <c r="BL19" i="28"/>
  <c r="CR19" i="28"/>
  <c r="DX31" i="28"/>
  <c r="FD31" i="28"/>
  <c r="BY6" i="28"/>
  <c r="BY38" i="28" s="1"/>
  <c r="BY41" i="28" s="1"/>
  <c r="BZ6" i="28"/>
  <c r="BZ38" i="28" s="1"/>
  <c r="CB6" i="28"/>
  <c r="CB38" i="28" s="1"/>
  <c r="LD18" i="25"/>
  <c r="LC44" i="25"/>
  <c r="LE44" i="25"/>
  <c r="LD14" i="25"/>
  <c r="LC40" i="25"/>
  <c r="LE40" i="25"/>
  <c r="ER47" i="25"/>
  <c r="DM47" i="25"/>
  <c r="EQ41" i="25"/>
  <c r="BX6" i="25"/>
  <c r="BX10" i="25"/>
  <c r="BX18" i="25"/>
  <c r="BX22" i="25"/>
  <c r="BX26" i="25"/>
  <c r="DI41" i="25"/>
  <c r="BX14" i="25"/>
  <c r="LD10" i="25"/>
  <c r="EC47" i="25"/>
  <c r="EX47" i="25"/>
  <c r="LC39" i="25"/>
  <c r="BX9" i="25"/>
  <c r="BX13" i="25"/>
  <c r="BX17" i="25"/>
  <c r="BX21" i="25"/>
  <c r="BX25" i="25"/>
  <c r="BX29" i="25"/>
  <c r="CF45" i="25"/>
  <c r="EW16" i="25"/>
  <c r="EZ16" i="25"/>
  <c r="BO34" i="25"/>
  <c r="BX30" i="25"/>
  <c r="LD44" i="25"/>
  <c r="BX7" i="25"/>
  <c r="BX11" i="25"/>
  <c r="BX15" i="25"/>
  <c r="BX19" i="25"/>
  <c r="BX23" i="25"/>
  <c r="BX27" i="25"/>
  <c r="BX31" i="25"/>
  <c r="FV47" i="25"/>
  <c r="DC47" i="25"/>
  <c r="DI45" i="25"/>
  <c r="DX47" i="25"/>
  <c r="EM47" i="25"/>
  <c r="BY47" i="25"/>
  <c r="DU47" i="25"/>
  <c r="DE47" i="25"/>
  <c r="DF44" i="25"/>
  <c r="DG44" i="25"/>
  <c r="EV41" i="25"/>
  <c r="DO47" i="25"/>
  <c r="DK41" i="25"/>
  <c r="CX45" i="25"/>
  <c r="EQ45" i="25"/>
  <c r="DL41" i="25"/>
  <c r="DS45" i="25"/>
  <c r="CK41" i="25"/>
  <c r="DN41" i="25"/>
  <c r="CZ47" i="25"/>
  <c r="DD45" i="25"/>
  <c r="EH47" i="25"/>
  <c r="CA45" i="25"/>
  <c r="DY41" i="25"/>
  <c r="DZ41" i="25"/>
  <c r="AF16" i="28"/>
  <c r="AF30" i="28"/>
  <c r="AF28" i="28"/>
  <c r="AF22" i="28"/>
  <c r="AF20" i="28"/>
  <c r="AF23" i="28"/>
  <c r="AF19" i="28"/>
  <c r="CJ47" i="25"/>
  <c r="DH47" i="25"/>
  <c r="DD41" i="25"/>
  <c r="P17" i="28"/>
  <c r="D17" i="28"/>
  <c r="T17" i="28"/>
  <c r="H17" i="28"/>
  <c r="X17" i="28"/>
  <c r="L17" i="28"/>
  <c r="AB17" i="28"/>
  <c r="AF12" i="28"/>
  <c r="AF15" i="28"/>
  <c r="AF9" i="28"/>
  <c r="H35" i="28"/>
  <c r="X35" i="28"/>
  <c r="L35" i="28"/>
  <c r="AB35" i="28"/>
  <c r="P35" i="28"/>
  <c r="D35" i="28"/>
  <c r="T35" i="28"/>
  <c r="AF21" i="28"/>
  <c r="DK35" i="25"/>
  <c r="DL35" i="25"/>
  <c r="DN34" i="25"/>
  <c r="BQ41" i="25"/>
  <c r="L34" i="28"/>
  <c r="AB34" i="28"/>
  <c r="P34" i="28"/>
  <c r="D34" i="28"/>
  <c r="T34" i="28"/>
  <c r="H34" i="28"/>
  <c r="X34" i="28"/>
  <c r="EN35" i="25"/>
  <c r="BZ47" i="25"/>
  <c r="AF13" i="28"/>
  <c r="AF8" i="28"/>
  <c r="AF11" i="28"/>
  <c r="AF25" i="28"/>
  <c r="AF14" i="28"/>
  <c r="AF10" i="28"/>
  <c r="AF32" i="28"/>
  <c r="AF26" i="28"/>
  <c r="AF24" i="28"/>
  <c r="AF18" i="28"/>
  <c r="AF33" i="28"/>
  <c r="AF31" i="28"/>
  <c r="AF29" i="28"/>
  <c r="AF27" i="28"/>
  <c r="DA35" i="25"/>
  <c r="DB35" i="25"/>
  <c r="DD34" i="25"/>
  <c r="CX41" i="25"/>
  <c r="EW38" i="25"/>
  <c r="EY45" i="25"/>
  <c r="EZ45" i="25"/>
  <c r="FG35" i="25"/>
  <c r="CA41" i="25"/>
  <c r="DK44" i="25"/>
  <c r="DL44" i="25"/>
  <c r="L3" i="22"/>
  <c r="K3" i="22"/>
  <c r="BV47" i="25"/>
  <c r="BW41" i="25"/>
  <c r="CU41" i="25"/>
  <c r="CQ47" i="25"/>
  <c r="ET38" i="25"/>
  <c r="EW43" i="25"/>
  <c r="EW40" i="25"/>
  <c r="EO38" i="25"/>
  <c r="EW39" i="25"/>
  <c r="EW33" i="25"/>
  <c r="DY35" i="25"/>
  <c r="H4" i="27" s="1"/>
  <c r="DY44" i="25"/>
  <c r="DZ44" i="25"/>
  <c r="DP41" i="25"/>
  <c r="DQ41" i="25"/>
  <c r="DF41" i="25"/>
  <c r="DG41" i="25"/>
  <c r="DT34" i="25"/>
  <c r="DP35" i="25"/>
  <c r="DQ35" i="25"/>
  <c r="DT39" i="25"/>
  <c r="DA45" i="25"/>
  <c r="DB45" i="25"/>
  <c r="DA41" i="25"/>
  <c r="DB41" i="25"/>
  <c r="DQ44" i="25"/>
  <c r="DP45" i="25"/>
  <c r="DT40" i="25"/>
  <c r="DT43" i="25"/>
  <c r="DT33" i="25"/>
  <c r="DT38" i="25"/>
  <c r="EV45" i="25"/>
  <c r="ED45" i="25"/>
  <c r="EE45" i="25"/>
  <c r="EE38" i="25"/>
  <c r="ED41" i="25"/>
  <c r="DV45" i="25"/>
  <c r="DW45" i="25"/>
  <c r="DW38" i="25"/>
  <c r="DV41" i="25"/>
  <c r="DJ47" i="25"/>
  <c r="DN47" i="25"/>
  <c r="DN45" i="25"/>
  <c r="DI47" i="25"/>
  <c r="CB47" i="25"/>
  <c r="CG47" i="25"/>
  <c r="CP45" i="25"/>
  <c r="CP41" i="25"/>
  <c r="BS47" i="25"/>
  <c r="CT47" i="25"/>
  <c r="CF41" i="25"/>
  <c r="CE47" i="25"/>
  <c r="BT40" i="25"/>
  <c r="BU40" i="25"/>
  <c r="BQ45" i="25"/>
  <c r="CL47" i="25"/>
  <c r="BT39" i="25"/>
  <c r="BU39" i="25"/>
  <c r="BT43" i="25"/>
  <c r="BT38" i="25"/>
  <c r="BW45" i="25"/>
  <c r="BN45" i="25"/>
  <c r="BN41" i="25"/>
  <c r="BR43" i="25"/>
  <c r="BT34" i="25"/>
  <c r="BR39" i="25"/>
  <c r="BR44" i="25"/>
  <c r="BO39" i="25"/>
  <c r="BP39" i="25"/>
  <c r="BO40" i="25"/>
  <c r="BP40" i="25"/>
  <c r="BO43" i="25"/>
  <c r="BO38" i="25"/>
  <c r="BR38" i="25"/>
  <c r="BR40" i="25"/>
  <c r="BT33" i="25"/>
  <c r="BO33" i="25"/>
  <c r="CY7" i="25"/>
  <c r="CY9" i="25"/>
  <c r="CY10" i="25"/>
  <c r="CY13" i="25"/>
  <c r="CY14" i="25"/>
  <c r="CY15" i="25"/>
  <c r="CY16" i="25"/>
  <c r="CY17" i="25"/>
  <c r="CY18" i="25"/>
  <c r="CY19" i="25"/>
  <c r="CY20" i="25"/>
  <c r="CY21" i="25"/>
  <c r="CY22" i="25"/>
  <c r="CY23" i="25"/>
  <c r="CY24" i="25"/>
  <c r="CY26" i="25"/>
  <c r="CY27" i="25"/>
  <c r="CY28" i="25"/>
  <c r="CY29" i="25"/>
  <c r="CY31" i="25"/>
  <c r="CY32" i="25"/>
  <c r="CM32" i="25"/>
  <c r="CM31" i="25"/>
  <c r="CM30" i="25"/>
  <c r="CM29" i="25"/>
  <c r="CM28" i="25"/>
  <c r="CM27" i="25"/>
  <c r="CM26" i="25"/>
  <c r="CM25" i="25"/>
  <c r="CM24" i="25"/>
  <c r="CM23" i="25"/>
  <c r="CM22" i="25"/>
  <c r="CM21" i="25"/>
  <c r="CM20" i="25"/>
  <c r="CM19" i="25"/>
  <c r="CM18" i="25"/>
  <c r="CM17" i="25"/>
  <c r="CM16" i="25"/>
  <c r="CM15" i="25"/>
  <c r="CM14" i="25"/>
  <c r="CM13" i="25"/>
  <c r="CM12" i="25"/>
  <c r="CM11" i="25"/>
  <c r="CM10" i="25"/>
  <c r="CM9" i="25"/>
  <c r="CM8" i="25"/>
  <c r="CM7" i="25"/>
  <c r="CM6" i="25"/>
  <c r="CH32" i="25"/>
  <c r="CH31" i="25"/>
  <c r="CH30" i="25"/>
  <c r="CH29" i="25"/>
  <c r="CH28" i="25"/>
  <c r="CH27" i="25"/>
  <c r="CH26" i="25"/>
  <c r="CH25" i="25"/>
  <c r="CH24" i="25"/>
  <c r="CH23" i="25"/>
  <c r="CH22" i="25"/>
  <c r="CH21" i="25"/>
  <c r="CH20" i="25"/>
  <c r="CH19" i="25"/>
  <c r="CH18" i="25"/>
  <c r="CH17" i="25"/>
  <c r="CH16" i="25"/>
  <c r="CH15" i="25"/>
  <c r="CH14" i="25"/>
  <c r="CH13" i="25"/>
  <c r="CH12" i="25"/>
  <c r="CH11" i="25"/>
  <c r="CH10" i="25"/>
  <c r="CH9" i="25"/>
  <c r="CH8" i="25"/>
  <c r="CH7" i="25"/>
  <c r="CH6" i="25"/>
  <c r="FR35" i="25"/>
  <c r="Q4" i="27"/>
  <c r="FH35" i="25"/>
  <c r="O4" i="27"/>
  <c r="N11" i="27"/>
  <c r="N10" i="27"/>
  <c r="N9" i="27"/>
  <c r="N8" i="27"/>
  <c r="N7" i="27"/>
  <c r="ET35" i="25"/>
  <c r="L4" i="27"/>
  <c r="EO35" i="25"/>
  <c r="K4" i="27"/>
  <c r="EJ35" i="25"/>
  <c r="J4" i="27"/>
  <c r="BY6" i="30"/>
  <c r="BZ6" i="30"/>
  <c r="CB6" i="30"/>
  <c r="EW44" i="25"/>
  <c r="DZ35" i="25"/>
  <c r="IV17" i="28"/>
  <c r="IV35" i="28"/>
  <c r="KB35" i="28"/>
  <c r="KB34" i="28"/>
  <c r="IV34" i="28"/>
  <c r="DX35" i="28"/>
  <c r="FF26" i="28"/>
  <c r="ED26" i="28"/>
  <c r="ED30" i="28"/>
  <c r="CR34" i="28"/>
  <c r="DX34" i="28"/>
  <c r="DX36" i="28"/>
  <c r="FD34" i="28"/>
  <c r="CR17" i="28"/>
  <c r="BL35" i="28"/>
  <c r="CR35" i="28"/>
  <c r="FD17" i="28"/>
  <c r="FD35" i="28"/>
  <c r="CV36" i="28"/>
  <c r="BL34" i="28"/>
  <c r="BL17" i="28"/>
  <c r="BL36" i="28"/>
  <c r="BP36" i="28"/>
  <c r="CC6" i="28"/>
  <c r="CC38" i="28" s="1"/>
  <c r="CD6" i="28"/>
  <c r="CF6" i="28"/>
  <c r="LD40" i="25"/>
  <c r="LE39" i="25"/>
  <c r="EQ47" i="25"/>
  <c r="BR41" i="25"/>
  <c r="LD39" i="25"/>
  <c r="BO44" i="25"/>
  <c r="BP44" i="25"/>
  <c r="BX33" i="25"/>
  <c r="DS47" i="25"/>
  <c r="DK45" i="25"/>
  <c r="DL45" i="25"/>
  <c r="BX34" i="25"/>
  <c r="EV47" i="25"/>
  <c r="CA47" i="25"/>
  <c r="DF45" i="25"/>
  <c r="DG45" i="25"/>
  <c r="D36" i="28"/>
  <c r="DD47" i="25"/>
  <c r="AB36" i="28"/>
  <c r="EW45" i="25"/>
  <c r="CM38" i="25"/>
  <c r="DT44" i="25"/>
  <c r="AF35" i="28"/>
  <c r="X36" i="28"/>
  <c r="P36" i="28"/>
  <c r="T36" i="28"/>
  <c r="L36" i="28"/>
  <c r="H36" i="28"/>
  <c r="AF34" i="28"/>
  <c r="EW41" i="25"/>
  <c r="AF17" i="28"/>
  <c r="CM33" i="25"/>
  <c r="CP33" i="25"/>
  <c r="CM34" i="25"/>
  <c r="CP34" i="25"/>
  <c r="BT44" i="25"/>
  <c r="BU44" i="25"/>
  <c r="CP47" i="25"/>
  <c r="CF47" i="25"/>
  <c r="CU47" i="25"/>
  <c r="BW47" i="25"/>
  <c r="CK47" i="25"/>
  <c r="ET41" i="25"/>
  <c r="ET44" i="25"/>
  <c r="ET45" i="25"/>
  <c r="EW35" i="25"/>
  <c r="DY45" i="25"/>
  <c r="DA47" i="25"/>
  <c r="DT41" i="25"/>
  <c r="DT45" i="25"/>
  <c r="DQ45" i="25"/>
  <c r="DP47" i="25"/>
  <c r="DT35" i="25"/>
  <c r="EE41" i="25"/>
  <c r="ED47" i="25"/>
  <c r="DW41" i="25"/>
  <c r="DV47" i="25"/>
  <c r="DW47" i="25"/>
  <c r="CY43" i="25"/>
  <c r="CM40" i="25"/>
  <c r="CN40" i="25"/>
  <c r="CY40" i="25"/>
  <c r="CC40" i="25"/>
  <c r="CD40" i="25"/>
  <c r="CH38" i="25"/>
  <c r="BQ47" i="25"/>
  <c r="BR45" i="25"/>
  <c r="CH40" i="25"/>
  <c r="CI40" i="25"/>
  <c r="CM39" i="25"/>
  <c r="CN39" i="25"/>
  <c r="CC43" i="25"/>
  <c r="CH39" i="25"/>
  <c r="CI39" i="25"/>
  <c r="CM43" i="25"/>
  <c r="CC38" i="25"/>
  <c r="CC39" i="25"/>
  <c r="CD39" i="25"/>
  <c r="CH43" i="25"/>
  <c r="BT35" i="25"/>
  <c r="BT41" i="25"/>
  <c r="BU38" i="25"/>
  <c r="BU43" i="25"/>
  <c r="BP43" i="25"/>
  <c r="BO45" i="25"/>
  <c r="BP45" i="25"/>
  <c r="BN47" i="25"/>
  <c r="BO35" i="25"/>
  <c r="BP38" i="25"/>
  <c r="BO41" i="25"/>
  <c r="CY6" i="25"/>
  <c r="CY38" i="25"/>
  <c r="CH34" i="25"/>
  <c r="CK34" i="25"/>
  <c r="CY30" i="25"/>
  <c r="CY44" i="25"/>
  <c r="CY25" i="25"/>
  <c r="CY11" i="25"/>
  <c r="CY8" i="25"/>
  <c r="CY39" i="25"/>
  <c r="CH33" i="25"/>
  <c r="CC44" i="25"/>
  <c r="CD44" i="25"/>
  <c r="Q11" i="27"/>
  <c r="Q10" i="27"/>
  <c r="Q9" i="27"/>
  <c r="Q8" i="27"/>
  <c r="Q7" i="27"/>
  <c r="Q12" i="27"/>
  <c r="O11" i="27"/>
  <c r="O10" i="27"/>
  <c r="O9" i="27"/>
  <c r="O8" i="27"/>
  <c r="O7" i="27"/>
  <c r="O12" i="27"/>
  <c r="N12" i="27"/>
  <c r="L7" i="27"/>
  <c r="L8" i="27"/>
  <c r="L9" i="27"/>
  <c r="L10" i="27"/>
  <c r="L11" i="27"/>
  <c r="K7" i="27"/>
  <c r="K8" i="27"/>
  <c r="K9" i="27"/>
  <c r="K10" i="27"/>
  <c r="K11" i="27"/>
  <c r="J7" i="27"/>
  <c r="J8" i="27"/>
  <c r="J9" i="27"/>
  <c r="J10" i="27"/>
  <c r="J11" i="27"/>
  <c r="CC6" i="30"/>
  <c r="CD6" i="30"/>
  <c r="CF6" i="30"/>
  <c r="KB36" i="28"/>
  <c r="IV36" i="28"/>
  <c r="FD36" i="28"/>
  <c r="FC33" i="28"/>
  <c r="FC29" i="28"/>
  <c r="FF29" i="28"/>
  <c r="CR36" i="28"/>
  <c r="DF47" i="25"/>
  <c r="CJ6" i="28"/>
  <c r="CJ38" i="28" s="1"/>
  <c r="CG6" i="28"/>
  <c r="CG38" i="28" s="1"/>
  <c r="CG41" i="28" s="1"/>
  <c r="CH6" i="28"/>
  <c r="CH38" i="28" s="1"/>
  <c r="EW47" i="25"/>
  <c r="DK47" i="25"/>
  <c r="BX35" i="25"/>
  <c r="AF36" i="28"/>
  <c r="L27" i="23"/>
  <c r="CK33" i="25"/>
  <c r="CH35" i="25"/>
  <c r="CM44" i="25"/>
  <c r="CN44" i="25"/>
  <c r="BT45" i="25"/>
  <c r="BU45" i="25"/>
  <c r="BR47" i="25"/>
  <c r="DZ45" i="25"/>
  <c r="DY47" i="25"/>
  <c r="DB47" i="25"/>
  <c r="DT47" i="25"/>
  <c r="DQ47" i="25"/>
  <c r="EE47" i="25"/>
  <c r="CY45" i="25"/>
  <c r="CM35" i="25"/>
  <c r="CC35" i="25"/>
  <c r="CI43" i="25"/>
  <c r="CH44" i="25"/>
  <c r="CI44" i="25"/>
  <c r="CN43" i="25"/>
  <c r="CI38" i="25"/>
  <c r="CH41" i="25"/>
  <c r="CN38" i="25"/>
  <c r="CM41" i="25"/>
  <c r="CD38" i="25"/>
  <c r="CC41" i="25"/>
  <c r="CC45" i="25"/>
  <c r="CD45" i="25"/>
  <c r="CD43" i="25"/>
  <c r="BU41" i="25"/>
  <c r="BP41" i="25"/>
  <c r="BO47" i="25"/>
  <c r="W59" i="15"/>
  <c r="W56" i="15"/>
  <c r="W53" i="15"/>
  <c r="W52" i="15"/>
  <c r="W54" i="15"/>
  <c r="W55" i="15"/>
  <c r="W57" i="15"/>
  <c r="W58" i="15"/>
  <c r="W51" i="15"/>
  <c r="IB44" i="16"/>
  <c r="IA44" i="16"/>
  <c r="IB43" i="16"/>
  <c r="IA43" i="16"/>
  <c r="IB42" i="16"/>
  <c r="IA42" i="16"/>
  <c r="IB41" i="16"/>
  <c r="IA41" i="16"/>
  <c r="IB40" i="16"/>
  <c r="IA40" i="16"/>
  <c r="IB39" i="16"/>
  <c r="IA39" i="16"/>
  <c r="IB38" i="16"/>
  <c r="IA38" i="16"/>
  <c r="IB37" i="16"/>
  <c r="IA37" i="16"/>
  <c r="IB36" i="16"/>
  <c r="IA36" i="16"/>
  <c r="IB35" i="16"/>
  <c r="IA35" i="16"/>
  <c r="IB34" i="16"/>
  <c r="IA34" i="16"/>
  <c r="HY44" i="16"/>
  <c r="HX44" i="16"/>
  <c r="HY43" i="16"/>
  <c r="HX43" i="16"/>
  <c r="HY42" i="16"/>
  <c r="HX42" i="16"/>
  <c r="HY41" i="16"/>
  <c r="HX41" i="16"/>
  <c r="HY40" i="16"/>
  <c r="HX40" i="16"/>
  <c r="HY39" i="16"/>
  <c r="HX39" i="16"/>
  <c r="HY38" i="16"/>
  <c r="HX38" i="16"/>
  <c r="HY37" i="16"/>
  <c r="HX37" i="16"/>
  <c r="HY36" i="16"/>
  <c r="HX36" i="16"/>
  <c r="HY35" i="16"/>
  <c r="HX35" i="16"/>
  <c r="HY34" i="16"/>
  <c r="HX34" i="16"/>
  <c r="HV44" i="16"/>
  <c r="HU44" i="16"/>
  <c r="HV43" i="16"/>
  <c r="HU43" i="16"/>
  <c r="HV42" i="16"/>
  <c r="HU42" i="16"/>
  <c r="HV41" i="16"/>
  <c r="HU41" i="16"/>
  <c r="HV40" i="16"/>
  <c r="HU40" i="16"/>
  <c r="HV39" i="16"/>
  <c r="HU39" i="16"/>
  <c r="HV38" i="16"/>
  <c r="HU38" i="16"/>
  <c r="HV37" i="16"/>
  <c r="HU37" i="16"/>
  <c r="HV36" i="16"/>
  <c r="HU36" i="16"/>
  <c r="HV35" i="16"/>
  <c r="HU35" i="16"/>
  <c r="HV34" i="16"/>
  <c r="HU34" i="16"/>
  <c r="IC32" i="16"/>
  <c r="IC31" i="16"/>
  <c r="IC30" i="16"/>
  <c r="IC29" i="16"/>
  <c r="IC28" i="16"/>
  <c r="IC27" i="16"/>
  <c r="IC26" i="16"/>
  <c r="IC25" i="16"/>
  <c r="IC24" i="16"/>
  <c r="IC23" i="16"/>
  <c r="IC22" i="16"/>
  <c r="IC21" i="16"/>
  <c r="IC20" i="16"/>
  <c r="IC19" i="16"/>
  <c r="IC18" i="16"/>
  <c r="IC17" i="16"/>
  <c r="IC16" i="16"/>
  <c r="IC15" i="16"/>
  <c r="IC14" i="16"/>
  <c r="IC13" i="16"/>
  <c r="IC12" i="16"/>
  <c r="IC11" i="16"/>
  <c r="IC10" i="16"/>
  <c r="IC9" i="16"/>
  <c r="IC8" i="16"/>
  <c r="IC7" i="16"/>
  <c r="IC6" i="16"/>
  <c r="IC5" i="16"/>
  <c r="IC4" i="16"/>
  <c r="JD9" i="8"/>
  <c r="JD10" i="8"/>
  <c r="JD11" i="8"/>
  <c r="JD12" i="8"/>
  <c r="JD13" i="8"/>
  <c r="JD14" i="8"/>
  <c r="JD15" i="8"/>
  <c r="JD16" i="8"/>
  <c r="JD17" i="8"/>
  <c r="JD18" i="8"/>
  <c r="JD19" i="8"/>
  <c r="JD20" i="8"/>
  <c r="JD21" i="8"/>
  <c r="JD22" i="8"/>
  <c r="JD23" i="8"/>
  <c r="JD24" i="8"/>
  <c r="JD25" i="8"/>
  <c r="JD26" i="8"/>
  <c r="JD27" i="8"/>
  <c r="JD28" i="8"/>
  <c r="JD29" i="8"/>
  <c r="JD30" i="8"/>
  <c r="JD31" i="8"/>
  <c r="JD32" i="8"/>
  <c r="JD33" i="8"/>
  <c r="JD34" i="8"/>
  <c r="JD35" i="8"/>
  <c r="JD36" i="8"/>
  <c r="JE9" i="8"/>
  <c r="JE10" i="8"/>
  <c r="JE11" i="8"/>
  <c r="JE12" i="8"/>
  <c r="JE13" i="8"/>
  <c r="JE14" i="8"/>
  <c r="JE15" i="8"/>
  <c r="JE16" i="8"/>
  <c r="JE17" i="8"/>
  <c r="JE18" i="8"/>
  <c r="JE19" i="8"/>
  <c r="JE20" i="8"/>
  <c r="JE21" i="8"/>
  <c r="JE22" i="8"/>
  <c r="JE23" i="8"/>
  <c r="JE24" i="8"/>
  <c r="JE25" i="8"/>
  <c r="JE26" i="8"/>
  <c r="JE27" i="8"/>
  <c r="JE28" i="8"/>
  <c r="JE29" i="8"/>
  <c r="JE30" i="8"/>
  <c r="JE31" i="8"/>
  <c r="JE32" i="8"/>
  <c r="JE33" i="8"/>
  <c r="JE34" i="8"/>
  <c r="JE35" i="8"/>
  <c r="JE36" i="8"/>
  <c r="JE8" i="8"/>
  <c r="JD8" i="8"/>
  <c r="BF36" i="8"/>
  <c r="BF32" i="8"/>
  <c r="BF33" i="8"/>
  <c r="BF34" i="8"/>
  <c r="BF35" i="8"/>
  <c r="IV5" i="16"/>
  <c r="IV6" i="16"/>
  <c r="IV7" i="16"/>
  <c r="IV8" i="16"/>
  <c r="IV9" i="16"/>
  <c r="IV10" i="16"/>
  <c r="IV11" i="16"/>
  <c r="IV12" i="16"/>
  <c r="IV13" i="16"/>
  <c r="IV14" i="16"/>
  <c r="IV15" i="16"/>
  <c r="IV16" i="16"/>
  <c r="IV17" i="16"/>
  <c r="IV18" i="16"/>
  <c r="IV19" i="16"/>
  <c r="IV20" i="16"/>
  <c r="IV21" i="16"/>
  <c r="IV22" i="16"/>
  <c r="IV23" i="16"/>
  <c r="IV24" i="16"/>
  <c r="IV25" i="16"/>
  <c r="IV26" i="16"/>
  <c r="IV27" i="16"/>
  <c r="IV28" i="16"/>
  <c r="IV29" i="16"/>
  <c r="IV30" i="16"/>
  <c r="IV31" i="16"/>
  <c r="IV32" i="16"/>
  <c r="IU5" i="16"/>
  <c r="IU6" i="16"/>
  <c r="IU7" i="16"/>
  <c r="IU8" i="16"/>
  <c r="IU9" i="16"/>
  <c r="IU10" i="16"/>
  <c r="IU11" i="16"/>
  <c r="IU12" i="16"/>
  <c r="IU13" i="16"/>
  <c r="IU14" i="16"/>
  <c r="IU15" i="16"/>
  <c r="IU16" i="16"/>
  <c r="IU17" i="16"/>
  <c r="IU18" i="16"/>
  <c r="IU19" i="16"/>
  <c r="IU20" i="16"/>
  <c r="IU21" i="16"/>
  <c r="IU22" i="16"/>
  <c r="IU23" i="16"/>
  <c r="IU24" i="16"/>
  <c r="IU25" i="16"/>
  <c r="IU26" i="16"/>
  <c r="IU27" i="16"/>
  <c r="IU28" i="16"/>
  <c r="IU29" i="16"/>
  <c r="IU30" i="16"/>
  <c r="IU31" i="16"/>
  <c r="IU32" i="16"/>
  <c r="IV4" i="16"/>
  <c r="IU4" i="16"/>
  <c r="IR5" i="16"/>
  <c r="IR6" i="16"/>
  <c r="IR7" i="16"/>
  <c r="IR8" i="16"/>
  <c r="IR9" i="16"/>
  <c r="IR10" i="16"/>
  <c r="IR11" i="16"/>
  <c r="IR12" i="16"/>
  <c r="IR13" i="16"/>
  <c r="IR14" i="16"/>
  <c r="IR15" i="16"/>
  <c r="IR16" i="16"/>
  <c r="IR17" i="16"/>
  <c r="IR18" i="16"/>
  <c r="IR19" i="16"/>
  <c r="IR20" i="16"/>
  <c r="IR21" i="16"/>
  <c r="IR22" i="16"/>
  <c r="IR23" i="16"/>
  <c r="IR24" i="16"/>
  <c r="IR25" i="16"/>
  <c r="IR26" i="16"/>
  <c r="IR27" i="16"/>
  <c r="IR28" i="16"/>
  <c r="IR29" i="16"/>
  <c r="IR30" i="16"/>
  <c r="IR31" i="16"/>
  <c r="IR32" i="16"/>
  <c r="IR4" i="16"/>
  <c r="IQ5" i="16"/>
  <c r="IQ6" i="16"/>
  <c r="IQ7" i="16"/>
  <c r="IQ8" i="16"/>
  <c r="IQ9" i="16"/>
  <c r="IQ10" i="16"/>
  <c r="IQ11" i="16"/>
  <c r="IQ12" i="16"/>
  <c r="IQ13" i="16"/>
  <c r="IQ14" i="16"/>
  <c r="IQ15" i="16"/>
  <c r="IQ16" i="16"/>
  <c r="IQ17" i="16"/>
  <c r="IQ18" i="16"/>
  <c r="IQ19" i="16"/>
  <c r="IQ20" i="16"/>
  <c r="IQ21" i="16"/>
  <c r="IQ22" i="16"/>
  <c r="IQ23" i="16"/>
  <c r="IQ24" i="16"/>
  <c r="IQ25" i="16"/>
  <c r="IQ26" i="16"/>
  <c r="IQ27" i="16"/>
  <c r="IQ28" i="16"/>
  <c r="IQ29" i="16"/>
  <c r="IQ30" i="16"/>
  <c r="IQ31" i="16"/>
  <c r="IQ32" i="16"/>
  <c r="IQ4" i="16"/>
  <c r="HZ32" i="16"/>
  <c r="HZ31" i="16"/>
  <c r="HZ30" i="16"/>
  <c r="HZ29" i="16"/>
  <c r="HZ28" i="16"/>
  <c r="HZ27" i="16"/>
  <c r="HZ26" i="16"/>
  <c r="HZ25" i="16"/>
  <c r="HZ24" i="16"/>
  <c r="HZ23" i="16"/>
  <c r="HZ22" i="16"/>
  <c r="HZ21" i="16"/>
  <c r="HZ20" i="16"/>
  <c r="HZ19" i="16"/>
  <c r="HZ18" i="16"/>
  <c r="HZ17" i="16"/>
  <c r="HZ16" i="16"/>
  <c r="HZ15" i="16"/>
  <c r="HZ14" i="16"/>
  <c r="HZ13" i="16"/>
  <c r="HZ12" i="16"/>
  <c r="HZ11" i="16"/>
  <c r="HZ10" i="16"/>
  <c r="HZ9" i="16"/>
  <c r="HZ8" i="16"/>
  <c r="HZ7" i="16"/>
  <c r="HZ6" i="16"/>
  <c r="HZ5" i="16"/>
  <c r="HZ4" i="16"/>
  <c r="HW32" i="16"/>
  <c r="HW31" i="16"/>
  <c r="HW30" i="16"/>
  <c r="HW29" i="16"/>
  <c r="HW28" i="16"/>
  <c r="HW27" i="16"/>
  <c r="HW26" i="16"/>
  <c r="HW25" i="16"/>
  <c r="HW24" i="16"/>
  <c r="HW23" i="16"/>
  <c r="HW22" i="16"/>
  <c r="HW21" i="16"/>
  <c r="HW20" i="16"/>
  <c r="HW19" i="16"/>
  <c r="HW18" i="16"/>
  <c r="HW17" i="16"/>
  <c r="HW16" i="16"/>
  <c r="HW15" i="16"/>
  <c r="HW14" i="16"/>
  <c r="HW13" i="16"/>
  <c r="HW12" i="16"/>
  <c r="HW11" i="16"/>
  <c r="HW10" i="16"/>
  <c r="HW9" i="16"/>
  <c r="HW8" i="16"/>
  <c r="HW7" i="16"/>
  <c r="HW6" i="16"/>
  <c r="HW5" i="16"/>
  <c r="HW4" i="16"/>
  <c r="AC36" i="24"/>
  <c r="HS44" i="16"/>
  <c r="HR44" i="16"/>
  <c r="HS43" i="16"/>
  <c r="HR43" i="16"/>
  <c r="HS42" i="16"/>
  <c r="HR42" i="16"/>
  <c r="HS41" i="16"/>
  <c r="HR41" i="16"/>
  <c r="HS40" i="16"/>
  <c r="HR40" i="16"/>
  <c r="HS39" i="16"/>
  <c r="HR39" i="16"/>
  <c r="HS38" i="16"/>
  <c r="HR38" i="16"/>
  <c r="HS37" i="16"/>
  <c r="HR37" i="16"/>
  <c r="HS36" i="16"/>
  <c r="HR36" i="16"/>
  <c r="HS35" i="16"/>
  <c r="HR35" i="16"/>
  <c r="HS34" i="16"/>
  <c r="HR34" i="16"/>
  <c r="HT32" i="16"/>
  <c r="HT31" i="16"/>
  <c r="HT30" i="16"/>
  <c r="HT29" i="16"/>
  <c r="HT28" i="16"/>
  <c r="HT27" i="16"/>
  <c r="HT26" i="16"/>
  <c r="HT25" i="16"/>
  <c r="HT24" i="16"/>
  <c r="HT23" i="16"/>
  <c r="HT22" i="16"/>
  <c r="HT21" i="16"/>
  <c r="HT20" i="16"/>
  <c r="HT19" i="16"/>
  <c r="HT18" i="16"/>
  <c r="HT17" i="16"/>
  <c r="HT16" i="16"/>
  <c r="HT15" i="16"/>
  <c r="HT14" i="16"/>
  <c r="HT13" i="16"/>
  <c r="HT12" i="16"/>
  <c r="HT11" i="16"/>
  <c r="HT10" i="16"/>
  <c r="HT9" i="16"/>
  <c r="HT8" i="16"/>
  <c r="HT7" i="16"/>
  <c r="HT6" i="16"/>
  <c r="HT5" i="16"/>
  <c r="HT4" i="16"/>
  <c r="HP44" i="16"/>
  <c r="HO44" i="16"/>
  <c r="HP43" i="16"/>
  <c r="HO43" i="16"/>
  <c r="HP42" i="16"/>
  <c r="HO42" i="16"/>
  <c r="HP41" i="16"/>
  <c r="HO41" i="16"/>
  <c r="HP40" i="16"/>
  <c r="HO40" i="16"/>
  <c r="HP39" i="16"/>
  <c r="HO39" i="16"/>
  <c r="HP38" i="16"/>
  <c r="HO38" i="16"/>
  <c r="HP37" i="16"/>
  <c r="HO37" i="16"/>
  <c r="HP36" i="16"/>
  <c r="HO36" i="16"/>
  <c r="HP35" i="16"/>
  <c r="HO35" i="16"/>
  <c r="HP34" i="16"/>
  <c r="HO34" i="16"/>
  <c r="HM44" i="16"/>
  <c r="HL44" i="16"/>
  <c r="HM43" i="16"/>
  <c r="HL43" i="16"/>
  <c r="HM42" i="16"/>
  <c r="HL42" i="16"/>
  <c r="HM41" i="16"/>
  <c r="HL41" i="16"/>
  <c r="HM40" i="16"/>
  <c r="HL40" i="16"/>
  <c r="HM39" i="16"/>
  <c r="HL39" i="16"/>
  <c r="HM38" i="16"/>
  <c r="HL38" i="16"/>
  <c r="HM37" i="16"/>
  <c r="HL37" i="16"/>
  <c r="HM36" i="16"/>
  <c r="HL36" i="16"/>
  <c r="HM35" i="16"/>
  <c r="HL35" i="16"/>
  <c r="HM34" i="16"/>
  <c r="HL34" i="16"/>
  <c r="HJ44" i="16"/>
  <c r="HI44" i="16"/>
  <c r="HJ43" i="16"/>
  <c r="HI43" i="16"/>
  <c r="HJ42" i="16"/>
  <c r="HI42" i="16"/>
  <c r="HJ41" i="16"/>
  <c r="HI41" i="16"/>
  <c r="HJ40" i="16"/>
  <c r="HI40" i="16"/>
  <c r="HJ39" i="16"/>
  <c r="HI39" i="16"/>
  <c r="HJ38" i="16"/>
  <c r="HI38" i="16"/>
  <c r="HJ37" i="16"/>
  <c r="HI37" i="16"/>
  <c r="HJ36" i="16"/>
  <c r="HI36" i="16"/>
  <c r="HJ35" i="16"/>
  <c r="HI35" i="16"/>
  <c r="HJ34" i="16"/>
  <c r="HI34" i="16"/>
  <c r="HG44" i="16"/>
  <c r="HF44" i="16"/>
  <c r="HG43" i="16"/>
  <c r="HF43" i="16"/>
  <c r="HG42" i="16"/>
  <c r="HF42" i="16"/>
  <c r="HG41" i="16"/>
  <c r="HF41" i="16"/>
  <c r="HG40" i="16"/>
  <c r="HF40" i="16"/>
  <c r="HG39" i="16"/>
  <c r="HF39" i="16"/>
  <c r="HG38" i="16"/>
  <c r="HF38" i="16"/>
  <c r="HG37" i="16"/>
  <c r="HF37" i="16"/>
  <c r="HG36" i="16"/>
  <c r="HF36" i="16"/>
  <c r="HG35" i="16"/>
  <c r="HF35" i="16"/>
  <c r="HG34" i="16"/>
  <c r="HF34" i="16"/>
  <c r="HQ32" i="16"/>
  <c r="HQ31" i="16"/>
  <c r="HQ30" i="16"/>
  <c r="HQ29" i="16"/>
  <c r="HQ28" i="16"/>
  <c r="HQ27" i="16"/>
  <c r="HQ26" i="16"/>
  <c r="HQ25" i="16"/>
  <c r="HQ24" i="16"/>
  <c r="HQ23" i="16"/>
  <c r="HQ22" i="16"/>
  <c r="HQ21" i="16"/>
  <c r="HQ20" i="16"/>
  <c r="HQ19" i="16"/>
  <c r="HQ18" i="16"/>
  <c r="HQ17" i="16"/>
  <c r="HQ16" i="16"/>
  <c r="HQ15" i="16"/>
  <c r="HQ14" i="16"/>
  <c r="HQ13" i="16"/>
  <c r="HQ12" i="16"/>
  <c r="HQ11" i="16"/>
  <c r="HQ10" i="16"/>
  <c r="HQ9" i="16"/>
  <c r="HQ8" i="16"/>
  <c r="HQ7" i="16"/>
  <c r="HQ6" i="16"/>
  <c r="HQ5" i="16"/>
  <c r="HQ4" i="16"/>
  <c r="HN32" i="16"/>
  <c r="HN31" i="16"/>
  <c r="HN30" i="16"/>
  <c r="HN29" i="16"/>
  <c r="HN28" i="16"/>
  <c r="HN27" i="16"/>
  <c r="HN26" i="16"/>
  <c r="HN25" i="16"/>
  <c r="HN24" i="16"/>
  <c r="HN23" i="16"/>
  <c r="HN22" i="16"/>
  <c r="HN21" i="16"/>
  <c r="HN20" i="16"/>
  <c r="HN19" i="16"/>
  <c r="HN18" i="16"/>
  <c r="HN17" i="16"/>
  <c r="HN16" i="16"/>
  <c r="HN15" i="16"/>
  <c r="HN14" i="16"/>
  <c r="HN13" i="16"/>
  <c r="HN12" i="16"/>
  <c r="HN11" i="16"/>
  <c r="HN10" i="16"/>
  <c r="HN9" i="16"/>
  <c r="HN8" i="16"/>
  <c r="HN7" i="16"/>
  <c r="HN6" i="16"/>
  <c r="HN5" i="16"/>
  <c r="HN4" i="16"/>
  <c r="HK32" i="16"/>
  <c r="HK31" i="16"/>
  <c r="HK30" i="16"/>
  <c r="HK29" i="16"/>
  <c r="HK28" i="16"/>
  <c r="HK27" i="16"/>
  <c r="HK26" i="16"/>
  <c r="HK25" i="16"/>
  <c r="HK24" i="16"/>
  <c r="HK23" i="16"/>
  <c r="HK22" i="16"/>
  <c r="HK21" i="16"/>
  <c r="HK20" i="16"/>
  <c r="HK19" i="16"/>
  <c r="HK18" i="16"/>
  <c r="HK17" i="16"/>
  <c r="HK16" i="16"/>
  <c r="HK15" i="16"/>
  <c r="HK14" i="16"/>
  <c r="HK13" i="16"/>
  <c r="HK12" i="16"/>
  <c r="HK11" i="16"/>
  <c r="HK10" i="16"/>
  <c r="HK9" i="16"/>
  <c r="HK8" i="16"/>
  <c r="HK7" i="16"/>
  <c r="HK6" i="16"/>
  <c r="HK5" i="16"/>
  <c r="HK4" i="16"/>
  <c r="HH32" i="16"/>
  <c r="HH31" i="16"/>
  <c r="HH30" i="16"/>
  <c r="HH29" i="16"/>
  <c r="HH28" i="16"/>
  <c r="HH27" i="16"/>
  <c r="HH26" i="16"/>
  <c r="HH25" i="16"/>
  <c r="HH24" i="16"/>
  <c r="HH23" i="16"/>
  <c r="HH22" i="16"/>
  <c r="HH21" i="16"/>
  <c r="HH20" i="16"/>
  <c r="HH19" i="16"/>
  <c r="HH18" i="16"/>
  <c r="HH17" i="16"/>
  <c r="HH16" i="16"/>
  <c r="HH15" i="16"/>
  <c r="HH14" i="16"/>
  <c r="HH13" i="16"/>
  <c r="HH12" i="16"/>
  <c r="HH11" i="16"/>
  <c r="HH10" i="16"/>
  <c r="HH9" i="16"/>
  <c r="HH8" i="16"/>
  <c r="HH7" i="16"/>
  <c r="HH6" i="16"/>
  <c r="HH5" i="16"/>
  <c r="HH4" i="16"/>
  <c r="D35" i="24"/>
  <c r="C35" i="24"/>
  <c r="BK31" i="8"/>
  <c r="BK32" i="8"/>
  <c r="BK33" i="8"/>
  <c r="BK34" i="8"/>
  <c r="HD44" i="16"/>
  <c r="HC44" i="16"/>
  <c r="HD43" i="16"/>
  <c r="HC43" i="16"/>
  <c r="HD42" i="16"/>
  <c r="HC42" i="16"/>
  <c r="HD41" i="16"/>
  <c r="HC41" i="16"/>
  <c r="HD40" i="16"/>
  <c r="HC40" i="16"/>
  <c r="HD39" i="16"/>
  <c r="HC39" i="16"/>
  <c r="HD38" i="16"/>
  <c r="HC38" i="16"/>
  <c r="HD37" i="16"/>
  <c r="HC37" i="16"/>
  <c r="HE37" i="16"/>
  <c r="HD36" i="16"/>
  <c r="HC36" i="16"/>
  <c r="HD35" i="16"/>
  <c r="HC35" i="16"/>
  <c r="HD34" i="16"/>
  <c r="HC34" i="16"/>
  <c r="HA44" i="16"/>
  <c r="GZ44" i="16"/>
  <c r="HA43" i="16"/>
  <c r="GZ43" i="16"/>
  <c r="HA42" i="16"/>
  <c r="GZ42" i="16"/>
  <c r="HA41" i="16"/>
  <c r="GZ41" i="16"/>
  <c r="HA40" i="16"/>
  <c r="GZ40" i="16"/>
  <c r="HA39" i="16"/>
  <c r="GZ39" i="16"/>
  <c r="HA38" i="16"/>
  <c r="GZ38" i="16"/>
  <c r="HA37" i="16"/>
  <c r="GZ37" i="16"/>
  <c r="HA36" i="16"/>
  <c r="GZ36" i="16"/>
  <c r="HB36" i="16"/>
  <c r="HA35" i="16"/>
  <c r="GZ35" i="16"/>
  <c r="HA34" i="16"/>
  <c r="GZ34" i="16"/>
  <c r="GX44" i="16"/>
  <c r="GW44" i="16"/>
  <c r="GX43" i="16"/>
  <c r="GW43" i="16"/>
  <c r="GX42" i="16"/>
  <c r="GW42" i="16"/>
  <c r="GX41" i="16"/>
  <c r="GW41" i="16"/>
  <c r="GX40" i="16"/>
  <c r="GW40" i="16"/>
  <c r="GX39" i="16"/>
  <c r="GW39" i="16"/>
  <c r="GX38" i="16"/>
  <c r="GW38" i="16"/>
  <c r="GX37" i="16"/>
  <c r="GW37" i="16"/>
  <c r="GY37" i="16"/>
  <c r="GX36" i="16"/>
  <c r="GW36" i="16"/>
  <c r="GX35" i="16"/>
  <c r="GW35" i="16"/>
  <c r="GX34" i="16"/>
  <c r="GW34" i="16"/>
  <c r="HE32" i="16"/>
  <c r="HE31" i="16"/>
  <c r="HE30" i="16"/>
  <c r="HE29" i="16"/>
  <c r="HE28" i="16"/>
  <c r="HE27" i="16"/>
  <c r="HE26" i="16"/>
  <c r="HE25" i="16"/>
  <c r="HE24" i="16"/>
  <c r="HE23" i="16"/>
  <c r="HE22" i="16"/>
  <c r="HE21" i="16"/>
  <c r="HE20" i="16"/>
  <c r="HE19" i="16"/>
  <c r="HE18" i="16"/>
  <c r="HE17" i="16"/>
  <c r="HE16" i="16"/>
  <c r="HE15" i="16"/>
  <c r="HE14" i="16"/>
  <c r="HE13" i="16"/>
  <c r="HE12" i="16"/>
  <c r="HE11" i="16"/>
  <c r="HE10" i="16"/>
  <c r="HE9" i="16"/>
  <c r="HE8" i="16"/>
  <c r="HE7" i="16"/>
  <c r="HE6" i="16"/>
  <c r="HE5" i="16"/>
  <c r="HE4" i="16"/>
  <c r="HB32" i="16"/>
  <c r="HB31" i="16"/>
  <c r="HB30" i="16"/>
  <c r="HB29" i="16"/>
  <c r="HB28" i="16"/>
  <c r="HB27" i="16"/>
  <c r="HB26" i="16"/>
  <c r="HB25" i="16"/>
  <c r="HB24" i="16"/>
  <c r="HB23" i="16"/>
  <c r="HB22" i="16"/>
  <c r="HB21" i="16"/>
  <c r="HB20" i="16"/>
  <c r="HB19" i="16"/>
  <c r="HB18" i="16"/>
  <c r="HB17" i="16"/>
  <c r="HB16" i="16"/>
  <c r="HB15" i="16"/>
  <c r="HB14" i="16"/>
  <c r="HB13" i="16"/>
  <c r="HB12" i="16"/>
  <c r="HB11" i="16"/>
  <c r="HB10" i="16"/>
  <c r="HB9" i="16"/>
  <c r="HB8" i="16"/>
  <c r="HB7" i="16"/>
  <c r="HB6" i="16"/>
  <c r="HB5" i="16"/>
  <c r="HB4" i="16"/>
  <c r="GY32" i="16"/>
  <c r="GY31" i="16"/>
  <c r="GY30" i="16"/>
  <c r="GY29" i="16"/>
  <c r="GY28" i="16"/>
  <c r="GY27" i="16"/>
  <c r="GY26" i="16"/>
  <c r="GY25" i="16"/>
  <c r="GY24" i="16"/>
  <c r="GY23" i="16"/>
  <c r="GY22" i="16"/>
  <c r="GY21" i="16"/>
  <c r="GY20" i="16"/>
  <c r="GY19" i="16"/>
  <c r="GY18" i="16"/>
  <c r="GY17" i="16"/>
  <c r="GY16" i="16"/>
  <c r="GY15" i="16"/>
  <c r="GY14" i="16"/>
  <c r="GY13" i="16"/>
  <c r="GY12" i="16"/>
  <c r="GY11" i="16"/>
  <c r="GY10" i="16"/>
  <c r="GY9" i="16"/>
  <c r="GY8" i="16"/>
  <c r="GY7" i="16"/>
  <c r="GY6" i="16"/>
  <c r="GY5" i="16"/>
  <c r="GY4" i="16"/>
  <c r="BA32" i="8"/>
  <c r="BA33" i="8"/>
  <c r="BA34" i="8"/>
  <c r="BA35" i="8"/>
  <c r="BA36" i="8"/>
  <c r="L12" i="27"/>
  <c r="K12" i="27"/>
  <c r="J12" i="27"/>
  <c r="CG6" i="30"/>
  <c r="CH6" i="30"/>
  <c r="CJ6" i="30"/>
  <c r="FF33" i="28"/>
  <c r="ED29" i="28"/>
  <c r="ED33" i="28"/>
  <c r="DG47" i="25"/>
  <c r="N27" i="23"/>
  <c r="CK6" i="28"/>
  <c r="CL6" i="28"/>
  <c r="CL38" i="28" s="1"/>
  <c r="CN6" i="28"/>
  <c r="CV6" i="28"/>
  <c r="CV38" i="28" s="1"/>
  <c r="DL47" i="25"/>
  <c r="CM45" i="25"/>
  <c r="CN45" i="25"/>
  <c r="BT47" i="25"/>
  <c r="L47" i="23"/>
  <c r="L48" i="23"/>
  <c r="R27" i="23"/>
  <c r="BP47" i="25"/>
  <c r="ET47" i="25"/>
  <c r="DZ47" i="25"/>
  <c r="F3" i="22"/>
  <c r="CH45" i="25"/>
  <c r="CI45" i="25"/>
  <c r="CY41" i="25"/>
  <c r="CX47" i="25"/>
  <c r="CY47" i="25"/>
  <c r="CN41" i="25"/>
  <c r="CI41" i="25"/>
  <c r="CC47" i="25"/>
  <c r="CD41" i="25"/>
  <c r="IC34" i="16"/>
  <c r="IC35" i="16"/>
  <c r="IC36" i="16"/>
  <c r="IC37" i="16"/>
  <c r="IC38" i="16"/>
  <c r="IC39" i="16"/>
  <c r="IC40" i="16"/>
  <c r="IC41" i="16"/>
  <c r="IC42" i="16"/>
  <c r="IC43" i="16"/>
  <c r="IC44" i="16"/>
  <c r="HZ34" i="16"/>
  <c r="HZ35" i="16"/>
  <c r="HZ36" i="16"/>
  <c r="HZ37" i="16"/>
  <c r="HZ38" i="16"/>
  <c r="HZ39" i="16"/>
  <c r="HZ40" i="16"/>
  <c r="HZ41" i="16"/>
  <c r="HZ42" i="16"/>
  <c r="HZ43" i="16"/>
  <c r="HZ44" i="16"/>
  <c r="HW34" i="16"/>
  <c r="HW35" i="16"/>
  <c r="HW36" i="16"/>
  <c r="HW37" i="16"/>
  <c r="HW38" i="16"/>
  <c r="HW39" i="16"/>
  <c r="HW40" i="16"/>
  <c r="HW41" i="16"/>
  <c r="HW42" i="16"/>
  <c r="HW43" i="16"/>
  <c r="HW44" i="16"/>
  <c r="HT34" i="16"/>
  <c r="HT35" i="16"/>
  <c r="HT36" i="16"/>
  <c r="HT37" i="16"/>
  <c r="HT38" i="16"/>
  <c r="HT39" i="16"/>
  <c r="HT40" i="16"/>
  <c r="HT41" i="16"/>
  <c r="HT42" i="16"/>
  <c r="HT43" i="16"/>
  <c r="HT44" i="16"/>
  <c r="HQ34" i="16"/>
  <c r="HQ35" i="16"/>
  <c r="HQ36" i="16"/>
  <c r="HQ37" i="16"/>
  <c r="HQ38" i="16"/>
  <c r="HQ39" i="16"/>
  <c r="HQ40" i="16"/>
  <c r="HQ41" i="16"/>
  <c r="HQ42" i="16"/>
  <c r="HQ43" i="16"/>
  <c r="HQ44" i="16"/>
  <c r="HN34" i="16"/>
  <c r="HN35" i="16"/>
  <c r="HN36" i="16"/>
  <c r="HN37" i="16"/>
  <c r="HN38" i="16"/>
  <c r="HN39" i="16"/>
  <c r="HN40" i="16"/>
  <c r="HN41" i="16"/>
  <c r="HN42" i="16"/>
  <c r="HN43" i="16"/>
  <c r="HN44" i="16"/>
  <c r="HK34" i="16"/>
  <c r="HK35" i="16"/>
  <c r="HK36" i="16"/>
  <c r="HK37" i="16"/>
  <c r="HK38" i="16"/>
  <c r="HK39" i="16"/>
  <c r="HK40" i="16"/>
  <c r="HK41" i="16"/>
  <c r="HK42" i="16"/>
  <c r="HK43" i="16"/>
  <c r="HK44" i="16"/>
  <c r="HH34" i="16"/>
  <c r="HH35" i="16"/>
  <c r="HH36" i="16"/>
  <c r="HH37" i="16"/>
  <c r="HH38" i="16"/>
  <c r="HH39" i="16"/>
  <c r="HH40" i="16"/>
  <c r="HH41" i="16"/>
  <c r="HH42" i="16"/>
  <c r="HH43" i="16"/>
  <c r="HH44" i="16"/>
  <c r="GY34" i="16"/>
  <c r="GY35" i="16"/>
  <c r="GY36" i="16"/>
  <c r="GY38" i="16"/>
  <c r="GY39" i="16"/>
  <c r="GY40" i="16"/>
  <c r="GY41" i="16"/>
  <c r="GY42" i="16"/>
  <c r="GY43" i="16"/>
  <c r="GY44" i="16"/>
  <c r="HB34" i="16"/>
  <c r="HB35" i="16"/>
  <c r="HB37" i="16"/>
  <c r="HB38" i="16"/>
  <c r="HB39" i="16"/>
  <c r="HB40" i="16"/>
  <c r="HB41" i="16"/>
  <c r="HB42" i="16"/>
  <c r="HB43" i="16"/>
  <c r="HB44" i="16"/>
  <c r="HE34" i="16"/>
  <c r="HE35" i="16"/>
  <c r="HE36" i="16"/>
  <c r="HE38" i="16"/>
  <c r="HE39" i="16"/>
  <c r="HE40" i="16"/>
  <c r="HE41" i="16"/>
  <c r="HE42" i="16"/>
  <c r="HE43" i="16"/>
  <c r="HE44" i="16"/>
  <c r="IU35" i="16"/>
  <c r="GU35" i="16"/>
  <c r="GT35" i="16"/>
  <c r="GU44" i="16"/>
  <c r="GT44" i="16"/>
  <c r="GU43" i="16"/>
  <c r="GT43" i="16"/>
  <c r="GU42" i="16"/>
  <c r="GT42" i="16"/>
  <c r="GU41" i="16"/>
  <c r="GT41" i="16"/>
  <c r="GU40" i="16"/>
  <c r="GT40" i="16"/>
  <c r="GU39" i="16"/>
  <c r="GT39" i="16"/>
  <c r="GU38" i="16"/>
  <c r="GT38" i="16"/>
  <c r="GU37" i="16"/>
  <c r="GT37" i="16"/>
  <c r="GU36" i="16"/>
  <c r="GT36" i="16"/>
  <c r="GU34" i="16"/>
  <c r="GT34" i="16"/>
  <c r="GV32" i="16"/>
  <c r="GV31" i="16"/>
  <c r="GV30" i="16"/>
  <c r="GV29" i="16"/>
  <c r="GV28" i="16"/>
  <c r="GV27" i="16"/>
  <c r="GV26" i="16"/>
  <c r="GV25" i="16"/>
  <c r="GV24" i="16"/>
  <c r="GV23" i="16"/>
  <c r="GV22" i="16"/>
  <c r="GV21" i="16"/>
  <c r="GV20" i="16"/>
  <c r="GV19" i="16"/>
  <c r="GV18" i="16"/>
  <c r="GV17" i="16"/>
  <c r="GV16" i="16"/>
  <c r="GV15" i="16"/>
  <c r="GV14" i="16"/>
  <c r="GV13" i="16"/>
  <c r="GV12" i="16"/>
  <c r="GV11" i="16"/>
  <c r="GV10" i="16"/>
  <c r="GV9" i="16"/>
  <c r="GV8" i="16"/>
  <c r="GV7" i="16"/>
  <c r="GV6" i="16"/>
  <c r="GV5" i="16"/>
  <c r="GV4" i="16"/>
  <c r="IV35" i="16"/>
  <c r="GR44" i="16"/>
  <c r="GQ44" i="16"/>
  <c r="GR43" i="16"/>
  <c r="GQ43" i="16"/>
  <c r="GR42" i="16"/>
  <c r="GQ42" i="16"/>
  <c r="GR41" i="16"/>
  <c r="GQ41" i="16"/>
  <c r="GR40" i="16"/>
  <c r="GQ40" i="16"/>
  <c r="GR39" i="16"/>
  <c r="GQ39" i="16"/>
  <c r="GR38" i="16"/>
  <c r="GQ38" i="16"/>
  <c r="GR37" i="16"/>
  <c r="GQ37" i="16"/>
  <c r="GR36" i="16"/>
  <c r="GQ36" i="16"/>
  <c r="GR35" i="16"/>
  <c r="GQ35" i="16"/>
  <c r="GR34" i="16"/>
  <c r="GQ34" i="16"/>
  <c r="GO44" i="16"/>
  <c r="GN44" i="16"/>
  <c r="GO43" i="16"/>
  <c r="GN43" i="16"/>
  <c r="GO42" i="16"/>
  <c r="GN42" i="16"/>
  <c r="GO41" i="16"/>
  <c r="GN41" i="16"/>
  <c r="GO40" i="16"/>
  <c r="GN40" i="16"/>
  <c r="GO39" i="16"/>
  <c r="GN39" i="16"/>
  <c r="GO38" i="16"/>
  <c r="GN38" i="16"/>
  <c r="GO37" i="16"/>
  <c r="GN37" i="16"/>
  <c r="GP37" i="16"/>
  <c r="GO36" i="16"/>
  <c r="GN36" i="16"/>
  <c r="GO35" i="16"/>
  <c r="GN35" i="16"/>
  <c r="GO34" i="16"/>
  <c r="GN34" i="16"/>
  <c r="GL44" i="16"/>
  <c r="GK44" i="16"/>
  <c r="GL43" i="16"/>
  <c r="GK43" i="16"/>
  <c r="GL42" i="16"/>
  <c r="GK42" i="16"/>
  <c r="GL41" i="16"/>
  <c r="GK41" i="16"/>
  <c r="GL40" i="16"/>
  <c r="GK40" i="16"/>
  <c r="GL39" i="16"/>
  <c r="GK39" i="16"/>
  <c r="GL38" i="16"/>
  <c r="GK38" i="16"/>
  <c r="GL37" i="16"/>
  <c r="GK37" i="16"/>
  <c r="GL36" i="16"/>
  <c r="GK36" i="16"/>
  <c r="GL35" i="16"/>
  <c r="GK35" i="16"/>
  <c r="GL34" i="16"/>
  <c r="GK34" i="16"/>
  <c r="GS32" i="16"/>
  <c r="GS31" i="16"/>
  <c r="GS30" i="16"/>
  <c r="GS29" i="16"/>
  <c r="GS28" i="16"/>
  <c r="GS27" i="16"/>
  <c r="GS26" i="16"/>
  <c r="GS25" i="16"/>
  <c r="GS24" i="16"/>
  <c r="GS23" i="16"/>
  <c r="GS22" i="16"/>
  <c r="GS21" i="16"/>
  <c r="GS20" i="16"/>
  <c r="GS19" i="16"/>
  <c r="GS18" i="16"/>
  <c r="GS17" i="16"/>
  <c r="GS16" i="16"/>
  <c r="GS15" i="16"/>
  <c r="GS14" i="16"/>
  <c r="GS13" i="16"/>
  <c r="GS12" i="16"/>
  <c r="GS11" i="16"/>
  <c r="GS10" i="16"/>
  <c r="GS9" i="16"/>
  <c r="GS8" i="16"/>
  <c r="GS7" i="16"/>
  <c r="GS6" i="16"/>
  <c r="GS5" i="16"/>
  <c r="GS4" i="16"/>
  <c r="GP32" i="16"/>
  <c r="GP31" i="16"/>
  <c r="GP30" i="16"/>
  <c r="GP29" i="16"/>
  <c r="GP28" i="16"/>
  <c r="GP27" i="16"/>
  <c r="GP26" i="16"/>
  <c r="GP25" i="16"/>
  <c r="GP24" i="16"/>
  <c r="GP23" i="16"/>
  <c r="GP22" i="16"/>
  <c r="GP21" i="16"/>
  <c r="GP20" i="16"/>
  <c r="GP19" i="16"/>
  <c r="GP18" i="16"/>
  <c r="GP17" i="16"/>
  <c r="GP16" i="16"/>
  <c r="GP15" i="16"/>
  <c r="GP14" i="16"/>
  <c r="GP13" i="16"/>
  <c r="GP12" i="16"/>
  <c r="GP11" i="16"/>
  <c r="GP10" i="16"/>
  <c r="GP9" i="16"/>
  <c r="GP8" i="16"/>
  <c r="GP7" i="16"/>
  <c r="GP6" i="16"/>
  <c r="GP5" i="16"/>
  <c r="GP4" i="16"/>
  <c r="GM32" i="16"/>
  <c r="GM31" i="16"/>
  <c r="GM30" i="16"/>
  <c r="GM29" i="16"/>
  <c r="GM28" i="16"/>
  <c r="GM27" i="16"/>
  <c r="GM26" i="16"/>
  <c r="GM25" i="16"/>
  <c r="GM24" i="16"/>
  <c r="GM23" i="16"/>
  <c r="GM22" i="16"/>
  <c r="GM21" i="16"/>
  <c r="GM20" i="16"/>
  <c r="GM19" i="16"/>
  <c r="GM18" i="16"/>
  <c r="GM17" i="16"/>
  <c r="GM16" i="16"/>
  <c r="GM15" i="16"/>
  <c r="GM14" i="16"/>
  <c r="GM13" i="16"/>
  <c r="GM12" i="16"/>
  <c r="GM11" i="16"/>
  <c r="GM10" i="16"/>
  <c r="GM9" i="16"/>
  <c r="GM8" i="16"/>
  <c r="GM7" i="16"/>
  <c r="GM6" i="16"/>
  <c r="GM5" i="16"/>
  <c r="GM4" i="16"/>
  <c r="CK6" i="30"/>
  <c r="CL6" i="30"/>
  <c r="CN6" i="30"/>
  <c r="CZ6" i="28"/>
  <c r="CZ38" i="28" s="1"/>
  <c r="CW6" i="28"/>
  <c r="CW38" i="28" s="1"/>
  <c r="CW41" i="28" s="1"/>
  <c r="CX6" i="28"/>
  <c r="CX38" i="28" s="1"/>
  <c r="FC32" i="28"/>
  <c r="CM47" i="25"/>
  <c r="CO6" i="28"/>
  <c r="CO38" i="28" s="1"/>
  <c r="CP6" i="28"/>
  <c r="P27" i="23"/>
  <c r="P32" i="23"/>
  <c r="P47" i="23"/>
  <c r="P48" i="23"/>
  <c r="BU47" i="25"/>
  <c r="R32" i="23"/>
  <c r="R47" i="23"/>
  <c r="R48" i="23"/>
  <c r="N32" i="23"/>
  <c r="N47" i="23"/>
  <c r="N48" i="23"/>
  <c r="CD47" i="25"/>
  <c r="E27" i="23"/>
  <c r="CN47" i="25"/>
  <c r="G3" i="22"/>
  <c r="CH47" i="25"/>
  <c r="GM37" i="16"/>
  <c r="GM41" i="16"/>
  <c r="GS41" i="16"/>
  <c r="GV34" i="16"/>
  <c r="GV35" i="16"/>
  <c r="GV36" i="16"/>
  <c r="GV37" i="16"/>
  <c r="GV38" i="16"/>
  <c r="GV39" i="16"/>
  <c r="GV40" i="16"/>
  <c r="GV41" i="16"/>
  <c r="GV42" i="16"/>
  <c r="GV43" i="16"/>
  <c r="GV44" i="16"/>
  <c r="GM34" i="16"/>
  <c r="GM35" i="16"/>
  <c r="GM36" i="16"/>
  <c r="GM38" i="16"/>
  <c r="GM39" i="16"/>
  <c r="GM40" i="16"/>
  <c r="GM42" i="16"/>
  <c r="GM43" i="16"/>
  <c r="GM44" i="16"/>
  <c r="GP34" i="16"/>
  <c r="GP35" i="16"/>
  <c r="GP36" i="16"/>
  <c r="GP38" i="16"/>
  <c r="GP39" i="16"/>
  <c r="GP40" i="16"/>
  <c r="GP41" i="16"/>
  <c r="GP42" i="16"/>
  <c r="GP43" i="16"/>
  <c r="GP44" i="16"/>
  <c r="GS34" i="16"/>
  <c r="GS35" i="16"/>
  <c r="GS36" i="16"/>
  <c r="GS37" i="16"/>
  <c r="GS38" i="16"/>
  <c r="GS39" i="16"/>
  <c r="GS40" i="16"/>
  <c r="GS42" i="16"/>
  <c r="GS43" i="16"/>
  <c r="GS44" i="16"/>
  <c r="P10" i="15"/>
  <c r="P11" i="15"/>
  <c r="P12" i="15"/>
  <c r="P13" i="15"/>
  <c r="P14" i="15"/>
  <c r="P15" i="15"/>
  <c r="P16" i="15"/>
  <c r="P17" i="15"/>
  <c r="P18" i="15"/>
  <c r="P19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35" i="15"/>
  <c r="P36" i="15"/>
  <c r="P37" i="15"/>
  <c r="P9" i="15"/>
  <c r="AV36" i="8"/>
  <c r="AV35" i="8"/>
  <c r="AV34" i="8"/>
  <c r="AV33" i="8"/>
  <c r="AV32" i="8"/>
  <c r="AV31" i="8"/>
  <c r="AV30" i="8"/>
  <c r="AV29" i="8"/>
  <c r="AV28" i="8"/>
  <c r="AV27" i="8"/>
  <c r="AV26" i="8"/>
  <c r="AV25" i="8"/>
  <c r="AV24" i="8"/>
  <c r="AV23" i="8"/>
  <c r="AV22" i="8"/>
  <c r="AV21" i="8"/>
  <c r="AV20" i="8"/>
  <c r="AV19" i="8"/>
  <c r="AV18" i="8"/>
  <c r="AV17" i="8"/>
  <c r="AV16" i="8"/>
  <c r="AV15" i="8"/>
  <c r="AV14" i="8"/>
  <c r="AV13" i="8"/>
  <c r="AV12" i="8"/>
  <c r="AV11" i="8"/>
  <c r="AV10" i="8"/>
  <c r="AV9" i="8"/>
  <c r="AV8" i="8"/>
  <c r="CO6" i="30"/>
  <c r="CP6" i="30"/>
  <c r="CV6" i="30"/>
  <c r="DD6" i="28"/>
  <c r="DA6" i="28"/>
  <c r="DA38" i="28" s="1"/>
  <c r="DB6" i="28"/>
  <c r="FF32" i="28"/>
  <c r="FC36" i="28"/>
  <c r="FC50" i="28" s="1"/>
  <c r="FC55" i="28" s="1"/>
  <c r="FF36" i="28"/>
  <c r="ED32" i="28"/>
  <c r="H27" i="23"/>
  <c r="H48" i="23"/>
  <c r="CI47" i="25"/>
  <c r="F27" i="23"/>
  <c r="IV42" i="16"/>
  <c r="IR43" i="16"/>
  <c r="GJ32" i="16"/>
  <c r="GJ31" i="16"/>
  <c r="GJ30" i="16"/>
  <c r="GJ29" i="16"/>
  <c r="GJ28" i="16"/>
  <c r="GJ27" i="16"/>
  <c r="GJ26" i="16"/>
  <c r="GJ25" i="16"/>
  <c r="GJ24" i="16"/>
  <c r="GJ23" i="16"/>
  <c r="GJ22" i="16"/>
  <c r="GJ21" i="16"/>
  <c r="GJ20" i="16"/>
  <c r="GJ19" i="16"/>
  <c r="GJ18" i="16"/>
  <c r="GJ17" i="16"/>
  <c r="GJ16" i="16"/>
  <c r="GJ15" i="16"/>
  <c r="GJ14" i="16"/>
  <c r="GJ13" i="16"/>
  <c r="GJ12" i="16"/>
  <c r="GJ11" i="16"/>
  <c r="GJ10" i="16"/>
  <c r="GJ9" i="16"/>
  <c r="GJ8" i="16"/>
  <c r="GJ7" i="16"/>
  <c r="GJ6" i="16"/>
  <c r="GJ5" i="16"/>
  <c r="GJ4" i="16"/>
  <c r="GG32" i="16"/>
  <c r="GG31" i="16"/>
  <c r="GG30" i="16"/>
  <c r="GG29" i="16"/>
  <c r="GG28" i="16"/>
  <c r="GG27" i="16"/>
  <c r="GG26" i="16"/>
  <c r="GG25" i="16"/>
  <c r="GG24" i="16"/>
  <c r="GG23" i="16"/>
  <c r="GG22" i="16"/>
  <c r="GG21" i="16"/>
  <c r="GG20" i="16"/>
  <c r="GG19" i="16"/>
  <c r="GG18" i="16"/>
  <c r="GG17" i="16"/>
  <c r="GG16" i="16"/>
  <c r="GG15" i="16"/>
  <c r="GG14" i="16"/>
  <c r="GG13" i="16"/>
  <c r="GG12" i="16"/>
  <c r="GG11" i="16"/>
  <c r="GG10" i="16"/>
  <c r="GG9" i="16"/>
  <c r="GG8" i="16"/>
  <c r="GG7" i="16"/>
  <c r="GG6" i="16"/>
  <c r="GG5" i="16"/>
  <c r="GG4" i="16"/>
  <c r="M10" i="22"/>
  <c r="L10" i="22"/>
  <c r="K10" i="22"/>
  <c r="J10" i="22"/>
  <c r="I10" i="22"/>
  <c r="H10" i="22"/>
  <c r="G10" i="22"/>
  <c r="F10" i="22"/>
  <c r="E10" i="22"/>
  <c r="D10" i="22"/>
  <c r="M9" i="22"/>
  <c r="L9" i="22"/>
  <c r="K9" i="22"/>
  <c r="J9" i="22"/>
  <c r="I9" i="22"/>
  <c r="H9" i="22"/>
  <c r="G9" i="22"/>
  <c r="F9" i="22"/>
  <c r="E9" i="22"/>
  <c r="D9" i="22"/>
  <c r="M8" i="22"/>
  <c r="L8" i="22"/>
  <c r="K8" i="22"/>
  <c r="J8" i="22"/>
  <c r="I8" i="22"/>
  <c r="H8" i="22"/>
  <c r="G8" i="22"/>
  <c r="F8" i="22"/>
  <c r="E8" i="22"/>
  <c r="D8" i="22"/>
  <c r="N10" i="22"/>
  <c r="N9" i="22"/>
  <c r="N8" i="22"/>
  <c r="N7" i="22"/>
  <c r="N6" i="22"/>
  <c r="M4" i="22"/>
  <c r="M12" i="22"/>
  <c r="L5" i="22"/>
  <c r="L4" i="22"/>
  <c r="L12" i="22"/>
  <c r="K5" i="22"/>
  <c r="K4" i="22"/>
  <c r="K12" i="22"/>
  <c r="J5" i="22"/>
  <c r="J4" i="22"/>
  <c r="I5" i="22"/>
  <c r="I4" i="22"/>
  <c r="H5" i="22"/>
  <c r="H4" i="22"/>
  <c r="G5" i="22"/>
  <c r="G4" i="22"/>
  <c r="G12" i="22"/>
  <c r="F5" i="22"/>
  <c r="F4" i="22"/>
  <c r="F12" i="22"/>
  <c r="E5" i="22"/>
  <c r="E4" i="22"/>
  <c r="D5" i="22"/>
  <c r="D4" i="22"/>
  <c r="GD32" i="16"/>
  <c r="GD31" i="16"/>
  <c r="GD30" i="16"/>
  <c r="GD29" i="16"/>
  <c r="GD28" i="16"/>
  <c r="GD27" i="16"/>
  <c r="GD26" i="16"/>
  <c r="GD25" i="16"/>
  <c r="GD24" i="16"/>
  <c r="GD23" i="16"/>
  <c r="GD22" i="16"/>
  <c r="GD21" i="16"/>
  <c r="GD20" i="16"/>
  <c r="GD19" i="16"/>
  <c r="GD18" i="16"/>
  <c r="GD17" i="16"/>
  <c r="GD16" i="16"/>
  <c r="GD15" i="16"/>
  <c r="GD14" i="16"/>
  <c r="GD13" i="16"/>
  <c r="GD12" i="16"/>
  <c r="GD11" i="16"/>
  <c r="GD10" i="16"/>
  <c r="GD9" i="16"/>
  <c r="GD8" i="16"/>
  <c r="GD7" i="16"/>
  <c r="GD6" i="16"/>
  <c r="GD5" i="16"/>
  <c r="GD4" i="16"/>
  <c r="W43" i="15"/>
  <c r="AB43" i="15"/>
  <c r="AG43" i="15"/>
  <c r="AL43" i="15"/>
  <c r="AQ43" i="15"/>
  <c r="AV43" i="15"/>
  <c r="BA43" i="15"/>
  <c r="BF43" i="15"/>
  <c r="IU43" i="16"/>
  <c r="GI44" i="16"/>
  <c r="GH44" i="16"/>
  <c r="GI43" i="16"/>
  <c r="GH43" i="16"/>
  <c r="GI42" i="16"/>
  <c r="GH42" i="16"/>
  <c r="GI41" i="16"/>
  <c r="GH41" i="16"/>
  <c r="GI40" i="16"/>
  <c r="GH40" i="16"/>
  <c r="GI39" i="16"/>
  <c r="GH39" i="16"/>
  <c r="GI38" i="16"/>
  <c r="GH38" i="16"/>
  <c r="GI37" i="16"/>
  <c r="GH37" i="16"/>
  <c r="GI36" i="16"/>
  <c r="GH36" i="16"/>
  <c r="GI35" i="16"/>
  <c r="GH35" i="16"/>
  <c r="GI34" i="16"/>
  <c r="GH34" i="16"/>
  <c r="GF44" i="16"/>
  <c r="GE44" i="16"/>
  <c r="GF43" i="16"/>
  <c r="GE43" i="16"/>
  <c r="GF42" i="16"/>
  <c r="GE42" i="16"/>
  <c r="GF41" i="16"/>
  <c r="GE41" i="16"/>
  <c r="GF40" i="16"/>
  <c r="GE40" i="16"/>
  <c r="GF39" i="16"/>
  <c r="GE39" i="16"/>
  <c r="GF38" i="16"/>
  <c r="GE38" i="16"/>
  <c r="GF37" i="16"/>
  <c r="GE37" i="16"/>
  <c r="GF36" i="16"/>
  <c r="GE36" i="16"/>
  <c r="GF35" i="16"/>
  <c r="GE35" i="16"/>
  <c r="GF34" i="16"/>
  <c r="GE34" i="16"/>
  <c r="GC44" i="16"/>
  <c r="GB44" i="16"/>
  <c r="GC43" i="16"/>
  <c r="GB43" i="16"/>
  <c r="GC42" i="16"/>
  <c r="GB42" i="16"/>
  <c r="GC41" i="16"/>
  <c r="GB41" i="16"/>
  <c r="GC40" i="16"/>
  <c r="GB40" i="16"/>
  <c r="GC39" i="16"/>
  <c r="GB39" i="16"/>
  <c r="GC38" i="16"/>
  <c r="GB38" i="16"/>
  <c r="GC37" i="16"/>
  <c r="GB37" i="16"/>
  <c r="GC36" i="16"/>
  <c r="GB36" i="16"/>
  <c r="GC35" i="16"/>
  <c r="GB35" i="16"/>
  <c r="GC34" i="16"/>
  <c r="GB34" i="16"/>
  <c r="FZ44" i="16"/>
  <c r="FY44" i="16"/>
  <c r="FZ43" i="16"/>
  <c r="FY43" i="16"/>
  <c r="FZ42" i="16"/>
  <c r="FY42" i="16"/>
  <c r="FZ41" i="16"/>
  <c r="FY41" i="16"/>
  <c r="FZ40" i="16"/>
  <c r="FY40" i="16"/>
  <c r="FZ39" i="16"/>
  <c r="FY39" i="16"/>
  <c r="FZ38" i="16"/>
  <c r="FY38" i="16"/>
  <c r="FZ37" i="16"/>
  <c r="FY37" i="16"/>
  <c r="FZ36" i="16"/>
  <c r="FY36" i="16"/>
  <c r="FZ35" i="16"/>
  <c r="FY35" i="16"/>
  <c r="FZ34" i="16"/>
  <c r="FY34" i="16"/>
  <c r="FW44" i="16"/>
  <c r="FV44" i="16"/>
  <c r="FW43" i="16"/>
  <c r="FV43" i="16"/>
  <c r="FW42" i="16"/>
  <c r="FV42" i="16"/>
  <c r="FW41" i="16"/>
  <c r="FV41" i="16"/>
  <c r="FW40" i="16"/>
  <c r="FV40" i="16"/>
  <c r="FW39" i="16"/>
  <c r="FV39" i="16"/>
  <c r="FW38" i="16"/>
  <c r="FV38" i="16"/>
  <c r="FW37" i="16"/>
  <c r="FV37" i="16"/>
  <c r="FW36" i="16"/>
  <c r="FV36" i="16"/>
  <c r="FW35" i="16"/>
  <c r="FV35" i="16"/>
  <c r="FW34" i="16"/>
  <c r="FV34" i="16"/>
  <c r="FT44" i="16"/>
  <c r="FS44" i="16"/>
  <c r="FT43" i="16"/>
  <c r="FS43" i="16"/>
  <c r="FT42" i="16"/>
  <c r="FS42" i="16"/>
  <c r="FT41" i="16"/>
  <c r="FS41" i="16"/>
  <c r="FT40" i="16"/>
  <c r="FS40" i="16"/>
  <c r="FT39" i="16"/>
  <c r="FS39" i="16"/>
  <c r="FT38" i="16"/>
  <c r="FS38" i="16"/>
  <c r="FT37" i="16"/>
  <c r="FS37" i="16"/>
  <c r="FT36" i="16"/>
  <c r="FS36" i="16"/>
  <c r="FT35" i="16"/>
  <c r="FS35" i="16"/>
  <c r="FT34" i="16"/>
  <c r="FS34" i="16"/>
  <c r="GA32" i="16"/>
  <c r="GA31" i="16"/>
  <c r="GA30" i="16"/>
  <c r="GA29" i="16"/>
  <c r="GA28" i="16"/>
  <c r="GA27" i="16"/>
  <c r="GA26" i="16"/>
  <c r="GA25" i="16"/>
  <c r="GA24" i="16"/>
  <c r="GA23" i="16"/>
  <c r="GA22" i="16"/>
  <c r="GA21" i="16"/>
  <c r="GA20" i="16"/>
  <c r="GA19" i="16"/>
  <c r="GA18" i="16"/>
  <c r="GA17" i="16"/>
  <c r="GA16" i="16"/>
  <c r="GA15" i="16"/>
  <c r="GA14" i="16"/>
  <c r="GA13" i="16"/>
  <c r="GA12" i="16"/>
  <c r="GA11" i="16"/>
  <c r="GA10" i="16"/>
  <c r="GA9" i="16"/>
  <c r="GA8" i="16"/>
  <c r="GA7" i="16"/>
  <c r="GA6" i="16"/>
  <c r="GA5" i="16"/>
  <c r="GA4" i="16"/>
  <c r="FX32" i="16"/>
  <c r="FX31" i="16"/>
  <c r="FX30" i="16"/>
  <c r="FX29" i="16"/>
  <c r="FX28" i="16"/>
  <c r="FX27" i="16"/>
  <c r="FX26" i="16"/>
  <c r="FX25" i="16"/>
  <c r="FX24" i="16"/>
  <c r="FX23" i="16"/>
  <c r="FX22" i="16"/>
  <c r="FX21" i="16"/>
  <c r="FX20" i="16"/>
  <c r="FX19" i="16"/>
  <c r="FX18" i="16"/>
  <c r="FX17" i="16"/>
  <c r="FX16" i="16"/>
  <c r="FX15" i="16"/>
  <c r="FX14" i="16"/>
  <c r="FX13" i="16"/>
  <c r="FX12" i="16"/>
  <c r="FX11" i="16"/>
  <c r="FX10" i="16"/>
  <c r="FX9" i="16"/>
  <c r="FX8" i="16"/>
  <c r="FX7" i="16"/>
  <c r="FX6" i="16"/>
  <c r="FX5" i="16"/>
  <c r="FX4" i="16"/>
  <c r="FU32" i="16"/>
  <c r="FU31" i="16"/>
  <c r="FU30" i="16"/>
  <c r="FU29" i="16"/>
  <c r="FU28" i="16"/>
  <c r="FU27" i="16"/>
  <c r="FU26" i="16"/>
  <c r="FU25" i="16"/>
  <c r="FU24" i="16"/>
  <c r="FU23" i="16"/>
  <c r="FU22" i="16"/>
  <c r="FU21" i="16"/>
  <c r="FU20" i="16"/>
  <c r="FU19" i="16"/>
  <c r="FU18" i="16"/>
  <c r="FU17" i="16"/>
  <c r="FU16" i="16"/>
  <c r="FU15" i="16"/>
  <c r="FU14" i="16"/>
  <c r="FU13" i="16"/>
  <c r="FU12" i="16"/>
  <c r="FU11" i="16"/>
  <c r="FU10" i="16"/>
  <c r="FU9" i="16"/>
  <c r="FU8" i="16"/>
  <c r="FU7" i="16"/>
  <c r="FU6" i="16"/>
  <c r="FU5" i="16"/>
  <c r="FU4" i="16"/>
  <c r="H4" i="20"/>
  <c r="D11" i="20"/>
  <c r="R22" i="20"/>
  <c r="V50" i="20"/>
  <c r="U50" i="20"/>
  <c r="T50" i="20"/>
  <c r="P50" i="20"/>
  <c r="Q50" i="20"/>
  <c r="O50" i="20"/>
  <c r="L50" i="20"/>
  <c r="K50" i="20"/>
  <c r="J50" i="20"/>
  <c r="G50" i="20"/>
  <c r="F50" i="20"/>
  <c r="W49" i="20"/>
  <c r="W48" i="20"/>
  <c r="W47" i="20"/>
  <c r="W46" i="20"/>
  <c r="W45" i="20"/>
  <c r="W44" i="20"/>
  <c r="W43" i="20"/>
  <c r="W42" i="20"/>
  <c r="W41" i="20"/>
  <c r="W40" i="20"/>
  <c r="W39" i="20"/>
  <c r="W38" i="20"/>
  <c r="W37" i="20"/>
  <c r="W36" i="20"/>
  <c r="W35" i="20"/>
  <c r="W34" i="20"/>
  <c r="W33" i="20"/>
  <c r="W32" i="20"/>
  <c r="W31" i="20"/>
  <c r="W30" i="20"/>
  <c r="W29" i="20"/>
  <c r="W28" i="20"/>
  <c r="W27" i="20"/>
  <c r="W26" i="20"/>
  <c r="W25" i="20"/>
  <c r="W24" i="20"/>
  <c r="W23" i="20"/>
  <c r="W22" i="20"/>
  <c r="W21" i="20"/>
  <c r="W20" i="20"/>
  <c r="W19" i="20"/>
  <c r="W18" i="20"/>
  <c r="W17" i="20"/>
  <c r="W16" i="20"/>
  <c r="W15" i="20"/>
  <c r="W14" i="20"/>
  <c r="W13" i="20"/>
  <c r="R14" i="20"/>
  <c r="R49" i="20"/>
  <c r="R48" i="20"/>
  <c r="R47" i="20"/>
  <c r="R46" i="20"/>
  <c r="R45" i="20"/>
  <c r="R44" i="20"/>
  <c r="R43" i="20"/>
  <c r="R42" i="20"/>
  <c r="R41" i="20"/>
  <c r="R40" i="20"/>
  <c r="R39" i="20"/>
  <c r="R38" i="20"/>
  <c r="R37" i="20"/>
  <c r="R36" i="20"/>
  <c r="R35" i="20"/>
  <c r="R34" i="20"/>
  <c r="R33" i="20"/>
  <c r="R32" i="20"/>
  <c r="R31" i="20"/>
  <c r="R30" i="20"/>
  <c r="R29" i="20"/>
  <c r="R28" i="20"/>
  <c r="R27" i="20"/>
  <c r="R26" i="20"/>
  <c r="R25" i="20"/>
  <c r="R24" i="20"/>
  <c r="R23" i="20"/>
  <c r="R21" i="20"/>
  <c r="R20" i="20"/>
  <c r="R19" i="20"/>
  <c r="R18" i="20"/>
  <c r="R17" i="20"/>
  <c r="R16" i="20"/>
  <c r="R15" i="20"/>
  <c r="R13" i="20"/>
  <c r="R50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13" i="20"/>
  <c r="H50" i="20"/>
  <c r="H7" i="20"/>
  <c r="H6" i="20"/>
  <c r="H5" i="20"/>
  <c r="IZ36" i="8"/>
  <c r="IZ35" i="8"/>
  <c r="IZ34" i="8"/>
  <c r="IZ33" i="8"/>
  <c r="IZ32" i="8"/>
  <c r="IZ31" i="8"/>
  <c r="IZ30" i="8"/>
  <c r="IZ29" i="8"/>
  <c r="IZ28" i="8"/>
  <c r="IZ27" i="8"/>
  <c r="IZ26" i="8"/>
  <c r="IZ25" i="8"/>
  <c r="IZ24" i="8"/>
  <c r="IZ23" i="8"/>
  <c r="IZ22" i="8"/>
  <c r="IZ21" i="8"/>
  <c r="IZ20" i="8"/>
  <c r="IZ19" i="8"/>
  <c r="IZ18" i="8"/>
  <c r="IZ17" i="8"/>
  <c r="IZ16" i="8"/>
  <c r="IZ15" i="8"/>
  <c r="IZ14" i="8"/>
  <c r="IZ13" i="8"/>
  <c r="IZ12" i="8"/>
  <c r="IZ11" i="8"/>
  <c r="IZ10" i="8"/>
  <c r="IZ9" i="8"/>
  <c r="IZ8" i="8"/>
  <c r="IU36" i="8"/>
  <c r="IU35" i="8"/>
  <c r="IU34" i="8"/>
  <c r="IU33" i="8"/>
  <c r="IU32" i="8"/>
  <c r="IU31" i="8"/>
  <c r="IU30" i="8"/>
  <c r="IU29" i="8"/>
  <c r="IU28" i="8"/>
  <c r="IU27" i="8"/>
  <c r="IU26" i="8"/>
  <c r="IU25" i="8"/>
  <c r="IU24" i="8"/>
  <c r="IU23" i="8"/>
  <c r="IU22" i="8"/>
  <c r="IU21" i="8"/>
  <c r="IU20" i="8"/>
  <c r="IU19" i="8"/>
  <c r="IU18" i="8"/>
  <c r="IU17" i="8"/>
  <c r="IU16" i="8"/>
  <c r="IU15" i="8"/>
  <c r="IU14" i="8"/>
  <c r="IU13" i="8"/>
  <c r="IU12" i="8"/>
  <c r="IU11" i="8"/>
  <c r="IU10" i="8"/>
  <c r="IU9" i="8"/>
  <c r="IU8" i="8"/>
  <c r="IP36" i="8"/>
  <c r="IP35" i="8"/>
  <c r="IP34" i="8"/>
  <c r="IP33" i="8"/>
  <c r="IP32" i="8"/>
  <c r="IP31" i="8"/>
  <c r="IP30" i="8"/>
  <c r="IP29" i="8"/>
  <c r="IP28" i="8"/>
  <c r="IP27" i="8"/>
  <c r="IP26" i="8"/>
  <c r="IP25" i="8"/>
  <c r="IP24" i="8"/>
  <c r="IP23" i="8"/>
  <c r="IP22" i="8"/>
  <c r="IP21" i="8"/>
  <c r="IP20" i="8"/>
  <c r="IP19" i="8"/>
  <c r="IP18" i="8"/>
  <c r="IP17" i="8"/>
  <c r="IP16" i="8"/>
  <c r="IP15" i="8"/>
  <c r="IP14" i="8"/>
  <c r="IP13" i="8"/>
  <c r="IP12" i="8"/>
  <c r="IP11" i="8"/>
  <c r="IP10" i="8"/>
  <c r="IP9" i="8"/>
  <c r="IP8" i="8"/>
  <c r="IK36" i="8"/>
  <c r="IK35" i="8"/>
  <c r="IK34" i="8"/>
  <c r="IK33" i="8"/>
  <c r="IK32" i="8"/>
  <c r="IK31" i="8"/>
  <c r="IK30" i="8"/>
  <c r="IK29" i="8"/>
  <c r="IK28" i="8"/>
  <c r="IK27" i="8"/>
  <c r="IK26" i="8"/>
  <c r="IK25" i="8"/>
  <c r="IK24" i="8"/>
  <c r="IK23" i="8"/>
  <c r="IK22" i="8"/>
  <c r="IK21" i="8"/>
  <c r="IK20" i="8"/>
  <c r="IK19" i="8"/>
  <c r="IK18" i="8"/>
  <c r="IK17" i="8"/>
  <c r="IK16" i="8"/>
  <c r="IK15" i="8"/>
  <c r="IK14" i="8"/>
  <c r="IK13" i="8"/>
  <c r="IK12" i="8"/>
  <c r="IK11" i="8"/>
  <c r="IK10" i="8"/>
  <c r="IK9" i="8"/>
  <c r="IK8" i="8"/>
  <c r="IF36" i="8"/>
  <c r="IF35" i="8"/>
  <c r="IF34" i="8"/>
  <c r="IF33" i="8"/>
  <c r="IF32" i="8"/>
  <c r="IF31" i="8"/>
  <c r="IF30" i="8"/>
  <c r="IF29" i="8"/>
  <c r="IF28" i="8"/>
  <c r="IF27" i="8"/>
  <c r="IF26" i="8"/>
  <c r="IF25" i="8"/>
  <c r="IF24" i="8"/>
  <c r="IF23" i="8"/>
  <c r="IF22" i="8"/>
  <c r="IF21" i="8"/>
  <c r="IF20" i="8"/>
  <c r="IF19" i="8"/>
  <c r="IF18" i="8"/>
  <c r="IF17" i="8"/>
  <c r="IF16" i="8"/>
  <c r="IF15" i="8"/>
  <c r="IF14" i="8"/>
  <c r="IF13" i="8"/>
  <c r="IF12" i="8"/>
  <c r="IF11" i="8"/>
  <c r="IF10" i="8"/>
  <c r="IF9" i="8"/>
  <c r="IF8" i="8"/>
  <c r="IA36" i="8"/>
  <c r="IA35" i="8"/>
  <c r="IA34" i="8"/>
  <c r="IA33" i="8"/>
  <c r="IA32" i="8"/>
  <c r="IA31" i="8"/>
  <c r="IA30" i="8"/>
  <c r="IA29" i="8"/>
  <c r="IA28" i="8"/>
  <c r="IA27" i="8"/>
  <c r="IA26" i="8"/>
  <c r="IA25" i="8"/>
  <c r="IA24" i="8"/>
  <c r="IA23" i="8"/>
  <c r="IA22" i="8"/>
  <c r="IA21" i="8"/>
  <c r="IA20" i="8"/>
  <c r="IA19" i="8"/>
  <c r="IA18" i="8"/>
  <c r="IA17" i="8"/>
  <c r="IA16" i="8"/>
  <c r="IA15" i="8"/>
  <c r="IA14" i="8"/>
  <c r="IA13" i="8"/>
  <c r="IA12" i="8"/>
  <c r="IA11" i="8"/>
  <c r="IA10" i="8"/>
  <c r="IA9" i="8"/>
  <c r="IA8" i="8"/>
  <c r="HV36" i="8"/>
  <c r="HV35" i="8"/>
  <c r="HV34" i="8"/>
  <c r="HV33" i="8"/>
  <c r="HV32" i="8"/>
  <c r="HV31" i="8"/>
  <c r="HV30" i="8"/>
  <c r="HV29" i="8"/>
  <c r="HV28" i="8"/>
  <c r="HV27" i="8"/>
  <c r="HV26" i="8"/>
  <c r="HV25" i="8"/>
  <c r="HV24" i="8"/>
  <c r="HV23" i="8"/>
  <c r="HV22" i="8"/>
  <c r="HV21" i="8"/>
  <c r="HV20" i="8"/>
  <c r="HV19" i="8"/>
  <c r="HV18" i="8"/>
  <c r="HV17" i="8"/>
  <c r="HV16" i="8"/>
  <c r="HV15" i="8"/>
  <c r="HV14" i="8"/>
  <c r="HV13" i="8"/>
  <c r="HV12" i="8"/>
  <c r="HV11" i="8"/>
  <c r="HV10" i="8"/>
  <c r="HV9" i="8"/>
  <c r="HV8" i="8"/>
  <c r="HQ36" i="8"/>
  <c r="HQ35" i="8"/>
  <c r="HQ34" i="8"/>
  <c r="HQ33" i="8"/>
  <c r="HQ32" i="8"/>
  <c r="HQ31" i="8"/>
  <c r="HQ30" i="8"/>
  <c r="HQ29" i="8"/>
  <c r="HQ28" i="8"/>
  <c r="HQ27" i="8"/>
  <c r="HQ26" i="8"/>
  <c r="HQ25" i="8"/>
  <c r="HQ24" i="8"/>
  <c r="HQ23" i="8"/>
  <c r="HQ22" i="8"/>
  <c r="HQ21" i="8"/>
  <c r="HQ20" i="8"/>
  <c r="HQ19" i="8"/>
  <c r="HQ18" i="8"/>
  <c r="HQ17" i="8"/>
  <c r="HQ16" i="8"/>
  <c r="HQ15" i="8"/>
  <c r="HQ14" i="8"/>
  <c r="HQ13" i="8"/>
  <c r="HQ12" i="8"/>
  <c r="HQ11" i="8"/>
  <c r="HQ10" i="8"/>
  <c r="HQ9" i="8"/>
  <c r="HQ8" i="8"/>
  <c r="HL36" i="8"/>
  <c r="HL35" i="8"/>
  <c r="HL34" i="8"/>
  <c r="HL33" i="8"/>
  <c r="HL32" i="8"/>
  <c r="HL31" i="8"/>
  <c r="HL30" i="8"/>
  <c r="HL29" i="8"/>
  <c r="HL28" i="8"/>
  <c r="HL27" i="8"/>
  <c r="HL26" i="8"/>
  <c r="HL25" i="8"/>
  <c r="HL24" i="8"/>
  <c r="HL23" i="8"/>
  <c r="HL22" i="8"/>
  <c r="HL21" i="8"/>
  <c r="HL20" i="8"/>
  <c r="HL19" i="8"/>
  <c r="HL18" i="8"/>
  <c r="HL17" i="8"/>
  <c r="HL16" i="8"/>
  <c r="HL15" i="8"/>
  <c r="HL14" i="8"/>
  <c r="HL13" i="8"/>
  <c r="HL12" i="8"/>
  <c r="HL11" i="8"/>
  <c r="HL10" i="8"/>
  <c r="HL9" i="8"/>
  <c r="HL8" i="8"/>
  <c r="HG36" i="8"/>
  <c r="HG35" i="8"/>
  <c r="HG34" i="8"/>
  <c r="HG33" i="8"/>
  <c r="HG32" i="8"/>
  <c r="HG31" i="8"/>
  <c r="HG30" i="8"/>
  <c r="HG29" i="8"/>
  <c r="HG28" i="8"/>
  <c r="HG27" i="8"/>
  <c r="HG26" i="8"/>
  <c r="HG25" i="8"/>
  <c r="HG24" i="8"/>
  <c r="HG23" i="8"/>
  <c r="HG22" i="8"/>
  <c r="HG21" i="8"/>
  <c r="HG20" i="8"/>
  <c r="HG19" i="8"/>
  <c r="HG18" i="8"/>
  <c r="HG17" i="8"/>
  <c r="HG16" i="8"/>
  <c r="HG15" i="8"/>
  <c r="HG14" i="8"/>
  <c r="HG13" i="8"/>
  <c r="HG12" i="8"/>
  <c r="HG11" i="8"/>
  <c r="HG10" i="8"/>
  <c r="HG9" i="8"/>
  <c r="HG8" i="8"/>
  <c r="HB36" i="8"/>
  <c r="HB35" i="8"/>
  <c r="HB34" i="8"/>
  <c r="HB33" i="8"/>
  <c r="HB32" i="8"/>
  <c r="HB31" i="8"/>
  <c r="HB30" i="8"/>
  <c r="HB29" i="8"/>
  <c r="HB28" i="8"/>
  <c r="HB27" i="8"/>
  <c r="HB26" i="8"/>
  <c r="HB25" i="8"/>
  <c r="HB24" i="8"/>
  <c r="HB23" i="8"/>
  <c r="HB22" i="8"/>
  <c r="HB21" i="8"/>
  <c r="HB20" i="8"/>
  <c r="HB19" i="8"/>
  <c r="HB18" i="8"/>
  <c r="HB17" i="8"/>
  <c r="HB16" i="8"/>
  <c r="HB15" i="8"/>
  <c r="HB14" i="8"/>
  <c r="HB13" i="8"/>
  <c r="HB12" i="8"/>
  <c r="HB11" i="8"/>
  <c r="HB10" i="8"/>
  <c r="HB9" i="8"/>
  <c r="HB8" i="8"/>
  <c r="GW36" i="8"/>
  <c r="GW35" i="8"/>
  <c r="GW34" i="8"/>
  <c r="GW33" i="8"/>
  <c r="GW32" i="8"/>
  <c r="GW31" i="8"/>
  <c r="GW30" i="8"/>
  <c r="GW29" i="8"/>
  <c r="GW28" i="8"/>
  <c r="GW27" i="8"/>
  <c r="GW26" i="8"/>
  <c r="GW25" i="8"/>
  <c r="GW24" i="8"/>
  <c r="GW23" i="8"/>
  <c r="GW22" i="8"/>
  <c r="GW21" i="8"/>
  <c r="GW20" i="8"/>
  <c r="GW19" i="8"/>
  <c r="GW18" i="8"/>
  <c r="GW17" i="8"/>
  <c r="GW16" i="8"/>
  <c r="GW15" i="8"/>
  <c r="GW14" i="8"/>
  <c r="GW13" i="8"/>
  <c r="GW12" i="8"/>
  <c r="GW11" i="8"/>
  <c r="GW10" i="8"/>
  <c r="GW9" i="8"/>
  <c r="GW8" i="8"/>
  <c r="GR36" i="8"/>
  <c r="GR35" i="8"/>
  <c r="GR34" i="8"/>
  <c r="GR33" i="8"/>
  <c r="GR32" i="8"/>
  <c r="GR31" i="8"/>
  <c r="GR30" i="8"/>
  <c r="GR29" i="8"/>
  <c r="GR28" i="8"/>
  <c r="GR27" i="8"/>
  <c r="GR26" i="8"/>
  <c r="GR25" i="8"/>
  <c r="GR24" i="8"/>
  <c r="GR23" i="8"/>
  <c r="GR22" i="8"/>
  <c r="GR21" i="8"/>
  <c r="GR20" i="8"/>
  <c r="GR19" i="8"/>
  <c r="GR18" i="8"/>
  <c r="GR17" i="8"/>
  <c r="GR16" i="8"/>
  <c r="GR15" i="8"/>
  <c r="GR14" i="8"/>
  <c r="GR13" i="8"/>
  <c r="GR12" i="8"/>
  <c r="GR11" i="8"/>
  <c r="GR10" i="8"/>
  <c r="GR9" i="8"/>
  <c r="GR8" i="8"/>
  <c r="GM36" i="8"/>
  <c r="GM35" i="8"/>
  <c r="GM34" i="8"/>
  <c r="GM33" i="8"/>
  <c r="GM32" i="8"/>
  <c r="GM31" i="8"/>
  <c r="GM30" i="8"/>
  <c r="GM29" i="8"/>
  <c r="GM28" i="8"/>
  <c r="GM27" i="8"/>
  <c r="GM26" i="8"/>
  <c r="GM25" i="8"/>
  <c r="GM24" i="8"/>
  <c r="GM23" i="8"/>
  <c r="GM22" i="8"/>
  <c r="GM21" i="8"/>
  <c r="GM20" i="8"/>
  <c r="GM19" i="8"/>
  <c r="GM18" i="8"/>
  <c r="GM17" i="8"/>
  <c r="GM16" i="8"/>
  <c r="GM15" i="8"/>
  <c r="GM14" i="8"/>
  <c r="GM13" i="8"/>
  <c r="GM12" i="8"/>
  <c r="GM11" i="8"/>
  <c r="GM10" i="8"/>
  <c r="GM9" i="8"/>
  <c r="GM8" i="8"/>
  <c r="GH36" i="8"/>
  <c r="GH35" i="8"/>
  <c r="GH34" i="8"/>
  <c r="GH33" i="8"/>
  <c r="GH32" i="8"/>
  <c r="GH31" i="8"/>
  <c r="GH30" i="8"/>
  <c r="GH29" i="8"/>
  <c r="GH28" i="8"/>
  <c r="GH27" i="8"/>
  <c r="GH26" i="8"/>
  <c r="GH25" i="8"/>
  <c r="GH24" i="8"/>
  <c r="GH23" i="8"/>
  <c r="GH22" i="8"/>
  <c r="GH21" i="8"/>
  <c r="GH20" i="8"/>
  <c r="GH19" i="8"/>
  <c r="GH18" i="8"/>
  <c r="GH17" i="8"/>
  <c r="GH16" i="8"/>
  <c r="GH15" i="8"/>
  <c r="GH14" i="8"/>
  <c r="GH13" i="8"/>
  <c r="GH12" i="8"/>
  <c r="GH11" i="8"/>
  <c r="GH10" i="8"/>
  <c r="GH9" i="8"/>
  <c r="GH8" i="8"/>
  <c r="GC36" i="8"/>
  <c r="GC35" i="8"/>
  <c r="GC34" i="8"/>
  <c r="GC33" i="8"/>
  <c r="GC32" i="8"/>
  <c r="GC31" i="8"/>
  <c r="GC30" i="8"/>
  <c r="GC29" i="8"/>
  <c r="GC28" i="8"/>
  <c r="GC27" i="8"/>
  <c r="GC26" i="8"/>
  <c r="GC25" i="8"/>
  <c r="GC24" i="8"/>
  <c r="GC23" i="8"/>
  <c r="GC22" i="8"/>
  <c r="GC21" i="8"/>
  <c r="GC20" i="8"/>
  <c r="GC19" i="8"/>
  <c r="GC18" i="8"/>
  <c r="GC17" i="8"/>
  <c r="GC16" i="8"/>
  <c r="GC15" i="8"/>
  <c r="GC14" i="8"/>
  <c r="GC13" i="8"/>
  <c r="GC12" i="8"/>
  <c r="GC11" i="8"/>
  <c r="GC10" i="8"/>
  <c r="GC9" i="8"/>
  <c r="GC8" i="8"/>
  <c r="FX36" i="8"/>
  <c r="FX35" i="8"/>
  <c r="FX34" i="8"/>
  <c r="FX33" i="8"/>
  <c r="FX32" i="8"/>
  <c r="FX31" i="8"/>
  <c r="FX30" i="8"/>
  <c r="FX29" i="8"/>
  <c r="FX28" i="8"/>
  <c r="FX27" i="8"/>
  <c r="FX26" i="8"/>
  <c r="FX25" i="8"/>
  <c r="FX24" i="8"/>
  <c r="FX23" i="8"/>
  <c r="FX22" i="8"/>
  <c r="FX21" i="8"/>
  <c r="FX20" i="8"/>
  <c r="FX19" i="8"/>
  <c r="FX18" i="8"/>
  <c r="FX17" i="8"/>
  <c r="FX16" i="8"/>
  <c r="FX15" i="8"/>
  <c r="FX14" i="8"/>
  <c r="FX13" i="8"/>
  <c r="FX12" i="8"/>
  <c r="FX11" i="8"/>
  <c r="FX10" i="8"/>
  <c r="FX9" i="8"/>
  <c r="FX8" i="8"/>
  <c r="FS36" i="8"/>
  <c r="FS35" i="8"/>
  <c r="FS34" i="8"/>
  <c r="FS33" i="8"/>
  <c r="FS32" i="8"/>
  <c r="FS31" i="8"/>
  <c r="FS30" i="8"/>
  <c r="FS29" i="8"/>
  <c r="FS28" i="8"/>
  <c r="FS27" i="8"/>
  <c r="FS26" i="8"/>
  <c r="FS25" i="8"/>
  <c r="FS24" i="8"/>
  <c r="FS23" i="8"/>
  <c r="FS22" i="8"/>
  <c r="FS21" i="8"/>
  <c r="FS20" i="8"/>
  <c r="FS19" i="8"/>
  <c r="FS18" i="8"/>
  <c r="FS17" i="8"/>
  <c r="FS16" i="8"/>
  <c r="FS15" i="8"/>
  <c r="FS14" i="8"/>
  <c r="FS13" i="8"/>
  <c r="FS12" i="8"/>
  <c r="FS11" i="8"/>
  <c r="FS10" i="8"/>
  <c r="FS9" i="8"/>
  <c r="FS8" i="8"/>
  <c r="FN36" i="8"/>
  <c r="FN35" i="8"/>
  <c r="FN34" i="8"/>
  <c r="FN33" i="8"/>
  <c r="FN32" i="8"/>
  <c r="FN31" i="8"/>
  <c r="FN30" i="8"/>
  <c r="FN29" i="8"/>
  <c r="FN28" i="8"/>
  <c r="FN27" i="8"/>
  <c r="FN26" i="8"/>
  <c r="FN25" i="8"/>
  <c r="FN24" i="8"/>
  <c r="FN23" i="8"/>
  <c r="FN22" i="8"/>
  <c r="FN21" i="8"/>
  <c r="FN20" i="8"/>
  <c r="FN19" i="8"/>
  <c r="FN18" i="8"/>
  <c r="FN17" i="8"/>
  <c r="FN16" i="8"/>
  <c r="FN15" i="8"/>
  <c r="FN14" i="8"/>
  <c r="FN13" i="8"/>
  <c r="FN12" i="8"/>
  <c r="FN11" i="8"/>
  <c r="FN10" i="8"/>
  <c r="FN9" i="8"/>
  <c r="FN8" i="8"/>
  <c r="FI36" i="8"/>
  <c r="FI35" i="8"/>
  <c r="FI34" i="8"/>
  <c r="FI33" i="8"/>
  <c r="FI32" i="8"/>
  <c r="FI31" i="8"/>
  <c r="FI30" i="8"/>
  <c r="FI29" i="8"/>
  <c r="FI28" i="8"/>
  <c r="FI27" i="8"/>
  <c r="FI26" i="8"/>
  <c r="FI25" i="8"/>
  <c r="FI24" i="8"/>
  <c r="FI23" i="8"/>
  <c r="FI22" i="8"/>
  <c r="FI21" i="8"/>
  <c r="FI20" i="8"/>
  <c r="FI19" i="8"/>
  <c r="FI18" i="8"/>
  <c r="FI17" i="8"/>
  <c r="FI16" i="8"/>
  <c r="FI15" i="8"/>
  <c r="FI14" i="8"/>
  <c r="FI13" i="8"/>
  <c r="FI12" i="8"/>
  <c r="FI11" i="8"/>
  <c r="FI10" i="8"/>
  <c r="FI9" i="8"/>
  <c r="FI8" i="8"/>
  <c r="FD36" i="8"/>
  <c r="FD35" i="8"/>
  <c r="FD34" i="8"/>
  <c r="FD33" i="8"/>
  <c r="FD32" i="8"/>
  <c r="FD31" i="8"/>
  <c r="FD30" i="8"/>
  <c r="FD29" i="8"/>
  <c r="FD28" i="8"/>
  <c r="FD27" i="8"/>
  <c r="FD26" i="8"/>
  <c r="FD25" i="8"/>
  <c r="FD24" i="8"/>
  <c r="FD23" i="8"/>
  <c r="FD22" i="8"/>
  <c r="FD21" i="8"/>
  <c r="FD20" i="8"/>
  <c r="FD19" i="8"/>
  <c r="FD18" i="8"/>
  <c r="FD17" i="8"/>
  <c r="FD16" i="8"/>
  <c r="FD15" i="8"/>
  <c r="FD14" i="8"/>
  <c r="FD13" i="8"/>
  <c r="FD12" i="8"/>
  <c r="FD11" i="8"/>
  <c r="FD10" i="8"/>
  <c r="FD9" i="8"/>
  <c r="FD8" i="8"/>
  <c r="EY36" i="8"/>
  <c r="EY35" i="8"/>
  <c r="EY34" i="8"/>
  <c r="EY33" i="8"/>
  <c r="EY32" i="8"/>
  <c r="EY31" i="8"/>
  <c r="EY30" i="8"/>
  <c r="EY29" i="8"/>
  <c r="EY28" i="8"/>
  <c r="EY27" i="8"/>
  <c r="EY26" i="8"/>
  <c r="EY25" i="8"/>
  <c r="EY24" i="8"/>
  <c r="EY23" i="8"/>
  <c r="EY22" i="8"/>
  <c r="EY21" i="8"/>
  <c r="EY20" i="8"/>
  <c r="EY19" i="8"/>
  <c r="EY18" i="8"/>
  <c r="EY17" i="8"/>
  <c r="EY16" i="8"/>
  <c r="EY15" i="8"/>
  <c r="EY14" i="8"/>
  <c r="EY13" i="8"/>
  <c r="EY12" i="8"/>
  <c r="EY11" i="8"/>
  <c r="EY10" i="8"/>
  <c r="EY9" i="8"/>
  <c r="EY8" i="8"/>
  <c r="ET36" i="8"/>
  <c r="ET35" i="8"/>
  <c r="ET34" i="8"/>
  <c r="ET33" i="8"/>
  <c r="ET32" i="8"/>
  <c r="ET31" i="8"/>
  <c r="ET30" i="8"/>
  <c r="ET29" i="8"/>
  <c r="ET28" i="8"/>
  <c r="ET27" i="8"/>
  <c r="ET26" i="8"/>
  <c r="ET25" i="8"/>
  <c r="ET24" i="8"/>
  <c r="ET23" i="8"/>
  <c r="ET22" i="8"/>
  <c r="ET21" i="8"/>
  <c r="ET20" i="8"/>
  <c r="ET19" i="8"/>
  <c r="ET18" i="8"/>
  <c r="ET17" i="8"/>
  <c r="ET16" i="8"/>
  <c r="ET15" i="8"/>
  <c r="ET14" i="8"/>
  <c r="ET13" i="8"/>
  <c r="ET12" i="8"/>
  <c r="ET11" i="8"/>
  <c r="ET10" i="8"/>
  <c r="ET9" i="8"/>
  <c r="ET8" i="8"/>
  <c r="EO36" i="8"/>
  <c r="EO35" i="8"/>
  <c r="EO34" i="8"/>
  <c r="EO33" i="8"/>
  <c r="EO32" i="8"/>
  <c r="EO31" i="8"/>
  <c r="EO30" i="8"/>
  <c r="EO29" i="8"/>
  <c r="EO28" i="8"/>
  <c r="EO27" i="8"/>
  <c r="EO26" i="8"/>
  <c r="EO25" i="8"/>
  <c r="EO24" i="8"/>
  <c r="EO23" i="8"/>
  <c r="EO22" i="8"/>
  <c r="EO21" i="8"/>
  <c r="EO20" i="8"/>
  <c r="EO19" i="8"/>
  <c r="EO18" i="8"/>
  <c r="EO17" i="8"/>
  <c r="EO16" i="8"/>
  <c r="EO15" i="8"/>
  <c r="EO14" i="8"/>
  <c r="EO13" i="8"/>
  <c r="EO12" i="8"/>
  <c r="EO11" i="8"/>
  <c r="EO10" i="8"/>
  <c r="EO9" i="8"/>
  <c r="EO8" i="8"/>
  <c r="EJ36" i="8"/>
  <c r="EJ35" i="8"/>
  <c r="EJ34" i="8"/>
  <c r="EJ33" i="8"/>
  <c r="EJ32" i="8"/>
  <c r="EJ31" i="8"/>
  <c r="EJ30" i="8"/>
  <c r="EJ29" i="8"/>
  <c r="EJ28" i="8"/>
  <c r="EJ27" i="8"/>
  <c r="EJ26" i="8"/>
  <c r="EJ25" i="8"/>
  <c r="EJ24" i="8"/>
  <c r="EJ23" i="8"/>
  <c r="EJ22" i="8"/>
  <c r="EJ21" i="8"/>
  <c r="EJ20" i="8"/>
  <c r="EJ19" i="8"/>
  <c r="EJ18" i="8"/>
  <c r="EJ17" i="8"/>
  <c r="EJ16" i="8"/>
  <c r="EJ15" i="8"/>
  <c r="EJ14" i="8"/>
  <c r="EJ13" i="8"/>
  <c r="EJ12" i="8"/>
  <c r="EJ11" i="8"/>
  <c r="EJ10" i="8"/>
  <c r="EJ9" i="8"/>
  <c r="EJ8" i="8"/>
  <c r="EE36" i="8"/>
  <c r="EE35" i="8"/>
  <c r="EE34" i="8"/>
  <c r="EE33" i="8"/>
  <c r="EE32" i="8"/>
  <c r="EE31" i="8"/>
  <c r="EE30" i="8"/>
  <c r="EE29" i="8"/>
  <c r="EE28" i="8"/>
  <c r="EE27" i="8"/>
  <c r="EE26" i="8"/>
  <c r="EE25" i="8"/>
  <c r="EE24" i="8"/>
  <c r="EE23" i="8"/>
  <c r="EE22" i="8"/>
  <c r="EE21" i="8"/>
  <c r="EE20" i="8"/>
  <c r="EE19" i="8"/>
  <c r="EE18" i="8"/>
  <c r="EE17" i="8"/>
  <c r="EE16" i="8"/>
  <c r="EE15" i="8"/>
  <c r="EE14" i="8"/>
  <c r="EE13" i="8"/>
  <c r="EE12" i="8"/>
  <c r="EE11" i="8"/>
  <c r="EE10" i="8"/>
  <c r="EE9" i="8"/>
  <c r="EE8" i="8"/>
  <c r="R34" i="15"/>
  <c r="R35" i="15"/>
  <c r="DZ36" i="8"/>
  <c r="DZ35" i="8"/>
  <c r="DZ34" i="8"/>
  <c r="DZ33" i="8"/>
  <c r="DZ32" i="8"/>
  <c r="DZ31" i="8"/>
  <c r="DZ30" i="8"/>
  <c r="DZ29" i="8"/>
  <c r="DZ28" i="8"/>
  <c r="DZ27" i="8"/>
  <c r="DZ26" i="8"/>
  <c r="DZ25" i="8"/>
  <c r="DZ24" i="8"/>
  <c r="DZ23" i="8"/>
  <c r="DZ22" i="8"/>
  <c r="DZ21" i="8"/>
  <c r="DZ20" i="8"/>
  <c r="DZ19" i="8"/>
  <c r="DZ18" i="8"/>
  <c r="DZ17" i="8"/>
  <c r="DZ16" i="8"/>
  <c r="DZ15" i="8"/>
  <c r="DZ14" i="8"/>
  <c r="DZ13" i="8"/>
  <c r="DZ12" i="8"/>
  <c r="DZ11" i="8"/>
  <c r="DZ10" i="8"/>
  <c r="DZ9" i="8"/>
  <c r="DZ8" i="8"/>
  <c r="DU36" i="8"/>
  <c r="DU35" i="8"/>
  <c r="DU34" i="8"/>
  <c r="DU33" i="8"/>
  <c r="DU32" i="8"/>
  <c r="DU31" i="8"/>
  <c r="DU30" i="8"/>
  <c r="DU29" i="8"/>
  <c r="DU28" i="8"/>
  <c r="DU27" i="8"/>
  <c r="DU26" i="8"/>
  <c r="DU25" i="8"/>
  <c r="DU24" i="8"/>
  <c r="DU23" i="8"/>
  <c r="DU22" i="8"/>
  <c r="DU21" i="8"/>
  <c r="DU20" i="8"/>
  <c r="DU19" i="8"/>
  <c r="DU18" i="8"/>
  <c r="DU17" i="8"/>
  <c r="DU16" i="8"/>
  <c r="DU15" i="8"/>
  <c r="DU14" i="8"/>
  <c r="DU13" i="8"/>
  <c r="DU12" i="8"/>
  <c r="DU11" i="8"/>
  <c r="DU10" i="8"/>
  <c r="DU9" i="8"/>
  <c r="DU8" i="8"/>
  <c r="DP36" i="8"/>
  <c r="DP35" i="8"/>
  <c r="DP34" i="8"/>
  <c r="DP33" i="8"/>
  <c r="DP32" i="8"/>
  <c r="DP31" i="8"/>
  <c r="DP30" i="8"/>
  <c r="DP29" i="8"/>
  <c r="DP28" i="8"/>
  <c r="DP27" i="8"/>
  <c r="DP26" i="8"/>
  <c r="DP25" i="8"/>
  <c r="DP24" i="8"/>
  <c r="DP23" i="8"/>
  <c r="DP22" i="8"/>
  <c r="DP21" i="8"/>
  <c r="DP20" i="8"/>
  <c r="DP19" i="8"/>
  <c r="DP18" i="8"/>
  <c r="DP17" i="8"/>
  <c r="DP16" i="8"/>
  <c r="DP15" i="8"/>
  <c r="DP14" i="8"/>
  <c r="DP13" i="8"/>
  <c r="DP12" i="8"/>
  <c r="DP11" i="8"/>
  <c r="DP10" i="8"/>
  <c r="DP9" i="8"/>
  <c r="DP8" i="8"/>
  <c r="DK36" i="8"/>
  <c r="DK35" i="8"/>
  <c r="DK34" i="8"/>
  <c r="DK33" i="8"/>
  <c r="DK32" i="8"/>
  <c r="DK31" i="8"/>
  <c r="DK30" i="8"/>
  <c r="DK29" i="8"/>
  <c r="DK28" i="8"/>
  <c r="DK27" i="8"/>
  <c r="DK26" i="8"/>
  <c r="DK25" i="8"/>
  <c r="DK24" i="8"/>
  <c r="DK23" i="8"/>
  <c r="DK22" i="8"/>
  <c r="DK21" i="8"/>
  <c r="DK20" i="8"/>
  <c r="DK19" i="8"/>
  <c r="DK18" i="8"/>
  <c r="DK17" i="8"/>
  <c r="DK16" i="8"/>
  <c r="DK15" i="8"/>
  <c r="DK14" i="8"/>
  <c r="DK13" i="8"/>
  <c r="DK12" i="8"/>
  <c r="DK11" i="8"/>
  <c r="DK10" i="8"/>
  <c r="DK9" i="8"/>
  <c r="DK8" i="8"/>
  <c r="DF36" i="8"/>
  <c r="DF35" i="8"/>
  <c r="DF34" i="8"/>
  <c r="DF33" i="8"/>
  <c r="DF32" i="8"/>
  <c r="DF31" i="8"/>
  <c r="DF30" i="8"/>
  <c r="DF29" i="8"/>
  <c r="DF28" i="8"/>
  <c r="DF27" i="8"/>
  <c r="DF26" i="8"/>
  <c r="DF25" i="8"/>
  <c r="DF24" i="8"/>
  <c r="DF23" i="8"/>
  <c r="DF22" i="8"/>
  <c r="DF21" i="8"/>
  <c r="DF20" i="8"/>
  <c r="DF19" i="8"/>
  <c r="DF18" i="8"/>
  <c r="DF17" i="8"/>
  <c r="DF16" i="8"/>
  <c r="DF15" i="8"/>
  <c r="DF14" i="8"/>
  <c r="DF13" i="8"/>
  <c r="DF12" i="8"/>
  <c r="DF11" i="8"/>
  <c r="DF10" i="8"/>
  <c r="DF9" i="8"/>
  <c r="DF8" i="8"/>
  <c r="DA36" i="8"/>
  <c r="DA35" i="8"/>
  <c r="DA34" i="8"/>
  <c r="DA33" i="8"/>
  <c r="DA32" i="8"/>
  <c r="DA31" i="8"/>
  <c r="DA30" i="8"/>
  <c r="DA29" i="8"/>
  <c r="DA28" i="8"/>
  <c r="DA27" i="8"/>
  <c r="DA26" i="8"/>
  <c r="DA25" i="8"/>
  <c r="DA24" i="8"/>
  <c r="DA23" i="8"/>
  <c r="DA22" i="8"/>
  <c r="DA21" i="8"/>
  <c r="DA20" i="8"/>
  <c r="DA19" i="8"/>
  <c r="DA18" i="8"/>
  <c r="DA17" i="8"/>
  <c r="DA16" i="8"/>
  <c r="DA15" i="8"/>
  <c r="DA14" i="8"/>
  <c r="DA13" i="8"/>
  <c r="DA12" i="8"/>
  <c r="DA11" i="8"/>
  <c r="DA10" i="8"/>
  <c r="DA9" i="8"/>
  <c r="DA8" i="8"/>
  <c r="CV36" i="8"/>
  <c r="CV35" i="8"/>
  <c r="CV34" i="8"/>
  <c r="CV33" i="8"/>
  <c r="CV32" i="8"/>
  <c r="CV31" i="8"/>
  <c r="CV30" i="8"/>
  <c r="CV29" i="8"/>
  <c r="CV28" i="8"/>
  <c r="CV27" i="8"/>
  <c r="CV26" i="8"/>
  <c r="CV25" i="8"/>
  <c r="CV24" i="8"/>
  <c r="CV23" i="8"/>
  <c r="CV22" i="8"/>
  <c r="CV21" i="8"/>
  <c r="CV20" i="8"/>
  <c r="CV19" i="8"/>
  <c r="CV18" i="8"/>
  <c r="CV17" i="8"/>
  <c r="CV16" i="8"/>
  <c r="CV15" i="8"/>
  <c r="CV14" i="8"/>
  <c r="CV13" i="8"/>
  <c r="CV12" i="8"/>
  <c r="CV11" i="8"/>
  <c r="CV10" i="8"/>
  <c r="CV9" i="8"/>
  <c r="CV8" i="8"/>
  <c r="CQ36" i="8"/>
  <c r="CQ35" i="8"/>
  <c r="CQ34" i="8"/>
  <c r="CQ33" i="8"/>
  <c r="CQ32" i="8"/>
  <c r="CQ31" i="8"/>
  <c r="CQ30" i="8"/>
  <c r="CQ29" i="8"/>
  <c r="CQ28" i="8"/>
  <c r="CQ27" i="8"/>
  <c r="CQ26" i="8"/>
  <c r="CQ25" i="8"/>
  <c r="CQ24" i="8"/>
  <c r="CQ23" i="8"/>
  <c r="CQ22" i="8"/>
  <c r="CQ21" i="8"/>
  <c r="CQ20" i="8"/>
  <c r="CQ19" i="8"/>
  <c r="CQ18" i="8"/>
  <c r="CQ17" i="8"/>
  <c r="CQ16" i="8"/>
  <c r="CQ15" i="8"/>
  <c r="CQ14" i="8"/>
  <c r="CQ13" i="8"/>
  <c r="CQ12" i="8"/>
  <c r="CQ11" i="8"/>
  <c r="CQ10" i="8"/>
  <c r="CQ9" i="8"/>
  <c r="CQ8" i="8"/>
  <c r="CL36" i="8"/>
  <c r="CL35" i="8"/>
  <c r="CL34" i="8"/>
  <c r="CL33" i="8"/>
  <c r="CL32" i="8"/>
  <c r="CL31" i="8"/>
  <c r="CL30" i="8"/>
  <c r="CL29" i="8"/>
  <c r="CL28" i="8"/>
  <c r="CL27" i="8"/>
  <c r="CL26" i="8"/>
  <c r="CL25" i="8"/>
  <c r="CL24" i="8"/>
  <c r="CL23" i="8"/>
  <c r="CL22" i="8"/>
  <c r="CL21" i="8"/>
  <c r="CL20" i="8"/>
  <c r="CL19" i="8"/>
  <c r="CL18" i="8"/>
  <c r="CL17" i="8"/>
  <c r="CL16" i="8"/>
  <c r="CL15" i="8"/>
  <c r="CL14" i="8"/>
  <c r="CL13" i="8"/>
  <c r="CL12" i="8"/>
  <c r="CL11" i="8"/>
  <c r="CL10" i="8"/>
  <c r="CL9" i="8"/>
  <c r="CL8" i="8"/>
  <c r="BR36" i="8"/>
  <c r="BR35" i="8"/>
  <c r="BR34" i="8"/>
  <c r="BR33" i="8"/>
  <c r="BR32" i="8"/>
  <c r="BR31" i="8"/>
  <c r="BR30" i="8"/>
  <c r="BR29" i="8"/>
  <c r="BR28" i="8"/>
  <c r="BR27" i="8"/>
  <c r="BR26" i="8"/>
  <c r="BR25" i="8"/>
  <c r="BR24" i="8"/>
  <c r="BR23" i="8"/>
  <c r="BR22" i="8"/>
  <c r="BR21" i="8"/>
  <c r="BR20" i="8"/>
  <c r="BR19" i="8"/>
  <c r="BR18" i="8"/>
  <c r="BR17" i="8"/>
  <c r="BR16" i="8"/>
  <c r="BR15" i="8"/>
  <c r="BR14" i="8"/>
  <c r="BR13" i="8"/>
  <c r="BR12" i="8"/>
  <c r="BR11" i="8"/>
  <c r="BR10" i="8"/>
  <c r="BR9" i="8"/>
  <c r="BR8" i="8"/>
  <c r="CZ6" i="30"/>
  <c r="CW6" i="30"/>
  <c r="CX6" i="30"/>
  <c r="DH6" i="28"/>
  <c r="DH38" i="28" s="1"/>
  <c r="DE6" i="28"/>
  <c r="DE38" i="28" s="1"/>
  <c r="DE41" i="28" s="1"/>
  <c r="DF6" i="28"/>
  <c r="DF38" i="28" s="1"/>
  <c r="N5" i="22"/>
  <c r="N4" i="22"/>
  <c r="N12" i="22"/>
  <c r="F48" i="23"/>
  <c r="R43" i="15"/>
  <c r="M43" i="15"/>
  <c r="C43" i="15"/>
  <c r="IR42" i="16"/>
  <c r="IQ42" i="16"/>
  <c r="IR35" i="16"/>
  <c r="IR44" i="16"/>
  <c r="IU42" i="16"/>
  <c r="IV43" i="16"/>
  <c r="IQ35" i="16"/>
  <c r="M50" i="20"/>
  <c r="W50" i="20"/>
  <c r="H43" i="15"/>
  <c r="GJ34" i="16"/>
  <c r="GJ35" i="16"/>
  <c r="GJ36" i="16"/>
  <c r="GJ37" i="16"/>
  <c r="GJ38" i="16"/>
  <c r="GJ39" i="16"/>
  <c r="GJ40" i="16"/>
  <c r="GJ41" i="16"/>
  <c r="GJ42" i="16"/>
  <c r="GJ43" i="16"/>
  <c r="GJ44" i="16"/>
  <c r="GG34" i="16"/>
  <c r="GG35" i="16"/>
  <c r="GG36" i="16"/>
  <c r="GG37" i="16"/>
  <c r="GG38" i="16"/>
  <c r="GG39" i="16"/>
  <c r="GG40" i="16"/>
  <c r="GG41" i="16"/>
  <c r="GG42" i="16"/>
  <c r="GG43" i="16"/>
  <c r="GG44" i="16"/>
  <c r="GD34" i="16"/>
  <c r="GD35" i="16"/>
  <c r="GD36" i="16"/>
  <c r="GD37" i="16"/>
  <c r="GD38" i="16"/>
  <c r="GD39" i="16"/>
  <c r="GD40" i="16"/>
  <c r="GD41" i="16"/>
  <c r="GD42" i="16"/>
  <c r="GD43" i="16"/>
  <c r="GD44" i="16"/>
  <c r="GA34" i="16"/>
  <c r="GA35" i="16"/>
  <c r="GA36" i="16"/>
  <c r="GA37" i="16"/>
  <c r="GA38" i="16"/>
  <c r="GA39" i="16"/>
  <c r="GA40" i="16"/>
  <c r="GA41" i="16"/>
  <c r="GA42" i="16"/>
  <c r="GA43" i="16"/>
  <c r="GA44" i="16"/>
  <c r="FX34" i="16"/>
  <c r="FX35" i="16"/>
  <c r="FX36" i="16"/>
  <c r="FX37" i="16"/>
  <c r="FX38" i="16"/>
  <c r="FX39" i="16"/>
  <c r="FX40" i="16"/>
  <c r="FX41" i="16"/>
  <c r="FX42" i="16"/>
  <c r="FX43" i="16"/>
  <c r="FX44" i="16"/>
  <c r="FU34" i="16"/>
  <c r="FU35" i="16"/>
  <c r="FU36" i="16"/>
  <c r="FU37" i="16"/>
  <c r="FU38" i="16"/>
  <c r="FU39" i="16"/>
  <c r="FU40" i="16"/>
  <c r="FU41" i="16"/>
  <c r="FU42" i="16"/>
  <c r="FU43" i="16"/>
  <c r="FU44" i="16"/>
  <c r="FQ44" i="16"/>
  <c r="FP44" i="16"/>
  <c r="FQ43" i="16"/>
  <c r="FP43" i="16"/>
  <c r="FQ42" i="16"/>
  <c r="FP42" i="16"/>
  <c r="FQ41" i="16"/>
  <c r="FP41" i="16"/>
  <c r="FQ40" i="16"/>
  <c r="FP40" i="16"/>
  <c r="FQ39" i="16"/>
  <c r="FP39" i="16"/>
  <c r="FQ38" i="16"/>
  <c r="FP38" i="16"/>
  <c r="FQ37" i="16"/>
  <c r="FP37" i="16"/>
  <c r="FQ36" i="16"/>
  <c r="FP36" i="16"/>
  <c r="FQ35" i="16"/>
  <c r="FP35" i="16"/>
  <c r="FQ34" i="16"/>
  <c r="FP34" i="16"/>
  <c r="FR32" i="16"/>
  <c r="FR31" i="16"/>
  <c r="FR30" i="16"/>
  <c r="FR29" i="16"/>
  <c r="FR28" i="16"/>
  <c r="FR27" i="16"/>
  <c r="FR26" i="16"/>
  <c r="FR25" i="16"/>
  <c r="FR24" i="16"/>
  <c r="FR23" i="16"/>
  <c r="FR22" i="16"/>
  <c r="FR21" i="16"/>
  <c r="FR20" i="16"/>
  <c r="FR19" i="16"/>
  <c r="FR18" i="16"/>
  <c r="FR17" i="16"/>
  <c r="FR16" i="16"/>
  <c r="FR15" i="16"/>
  <c r="FR14" i="16"/>
  <c r="FR13" i="16"/>
  <c r="FR12" i="16"/>
  <c r="FR11" i="16"/>
  <c r="FR10" i="16"/>
  <c r="FR9" i="16"/>
  <c r="FR8" i="16"/>
  <c r="FR7" i="16"/>
  <c r="FR6" i="16"/>
  <c r="FR5" i="16"/>
  <c r="FR4" i="16"/>
  <c r="FO32" i="16"/>
  <c r="FO31" i="16"/>
  <c r="FO30" i="16"/>
  <c r="FO29" i="16"/>
  <c r="FO28" i="16"/>
  <c r="FO27" i="16"/>
  <c r="FO26" i="16"/>
  <c r="FO25" i="16"/>
  <c r="FO24" i="16"/>
  <c r="FO23" i="16"/>
  <c r="FO22" i="16"/>
  <c r="FO21" i="16"/>
  <c r="FO20" i="16"/>
  <c r="FO19" i="16"/>
  <c r="FO18" i="16"/>
  <c r="FO17" i="16"/>
  <c r="FO16" i="16"/>
  <c r="FO15" i="16"/>
  <c r="FO14" i="16"/>
  <c r="FO13" i="16"/>
  <c r="FO12" i="16"/>
  <c r="FO11" i="16"/>
  <c r="FO10" i="16"/>
  <c r="FO9" i="16"/>
  <c r="FO8" i="16"/>
  <c r="FO7" i="16"/>
  <c r="FO6" i="16"/>
  <c r="FO5" i="16"/>
  <c r="FO4" i="16"/>
  <c r="FL32" i="16"/>
  <c r="FL31" i="16"/>
  <c r="FL30" i="16"/>
  <c r="FL29" i="16"/>
  <c r="FL28" i="16"/>
  <c r="FL27" i="16"/>
  <c r="FL26" i="16"/>
  <c r="FL25" i="16"/>
  <c r="FL24" i="16"/>
  <c r="FL23" i="16"/>
  <c r="FL22" i="16"/>
  <c r="FL21" i="16"/>
  <c r="FL20" i="16"/>
  <c r="FL19" i="16"/>
  <c r="FL18" i="16"/>
  <c r="FL17" i="16"/>
  <c r="FL16" i="16"/>
  <c r="FL15" i="16"/>
  <c r="FL14" i="16"/>
  <c r="FL13" i="16"/>
  <c r="FL12" i="16"/>
  <c r="FL11" i="16"/>
  <c r="FL10" i="16"/>
  <c r="FL9" i="16"/>
  <c r="FL8" i="16"/>
  <c r="FL7" i="16"/>
  <c r="FL6" i="16"/>
  <c r="FL5" i="16"/>
  <c r="FL4" i="16"/>
  <c r="DD6" i="30"/>
  <c r="DA6" i="30"/>
  <c r="DB6" i="30"/>
  <c r="DL6" i="28"/>
  <c r="DI6" i="28"/>
  <c r="DJ6" i="28"/>
  <c r="DJ38" i="28" s="1"/>
  <c r="FR34" i="16"/>
  <c r="FR35" i="16"/>
  <c r="FR36" i="16"/>
  <c r="FR37" i="16"/>
  <c r="FR38" i="16"/>
  <c r="FR39" i="16"/>
  <c r="FR40" i="16"/>
  <c r="FR41" i="16"/>
  <c r="FR42" i="16"/>
  <c r="FR43" i="16"/>
  <c r="FR44" i="16"/>
  <c r="AQ36" i="8"/>
  <c r="AQ32" i="8"/>
  <c r="AQ33" i="8"/>
  <c r="AQ34" i="8"/>
  <c r="AQ35" i="8"/>
  <c r="DH6" i="30"/>
  <c r="DE6" i="30"/>
  <c r="DF6" i="30"/>
  <c r="DP6" i="28"/>
  <c r="DP38" i="28" s="1"/>
  <c r="DM6" i="28"/>
  <c r="DM38" i="28" s="1"/>
  <c r="DN6" i="28"/>
  <c r="DL6" i="30"/>
  <c r="DI6" i="30"/>
  <c r="DJ6" i="30"/>
  <c r="DT6" i="28"/>
  <c r="DT38" i="28" s="1"/>
  <c r="DU6" i="28"/>
  <c r="DU38" i="28" s="1"/>
  <c r="DU41" i="28" s="1"/>
  <c r="DV6" i="28"/>
  <c r="DV38" i="28" s="1"/>
  <c r="DQ6" i="28"/>
  <c r="DR6" i="28"/>
  <c r="DR38" i="28" s="1"/>
  <c r="FN44" i="16"/>
  <c r="FM44" i="16"/>
  <c r="FN43" i="16"/>
  <c r="FM43" i="16"/>
  <c r="FN42" i="16"/>
  <c r="FM42" i="16"/>
  <c r="FN41" i="16"/>
  <c r="FM41" i="16"/>
  <c r="FN40" i="16"/>
  <c r="FM40" i="16"/>
  <c r="FN39" i="16"/>
  <c r="FM39" i="16"/>
  <c r="FN38" i="16"/>
  <c r="FM38" i="16"/>
  <c r="FN37" i="16"/>
  <c r="FM37" i="16"/>
  <c r="FN36" i="16"/>
  <c r="FM36" i="16"/>
  <c r="FO36" i="16"/>
  <c r="FN35" i="16"/>
  <c r="FM35" i="16"/>
  <c r="FN34" i="16"/>
  <c r="FM34" i="16"/>
  <c r="FK44" i="16"/>
  <c r="FJ44" i="16"/>
  <c r="FL44" i="16"/>
  <c r="FK43" i="16"/>
  <c r="FJ43" i="16"/>
  <c r="FK42" i="16"/>
  <c r="FJ42" i="16"/>
  <c r="FK41" i="16"/>
  <c r="FJ41" i="16"/>
  <c r="FK40" i="16"/>
  <c r="FJ40" i="16"/>
  <c r="FK39" i="16"/>
  <c r="FJ39" i="16"/>
  <c r="FK38" i="16"/>
  <c r="FJ38" i="16"/>
  <c r="FK37" i="16"/>
  <c r="FJ37" i="16"/>
  <c r="FK36" i="16"/>
  <c r="FJ36" i="16"/>
  <c r="FK35" i="16"/>
  <c r="FJ35" i="16"/>
  <c r="FK34" i="16"/>
  <c r="FJ34" i="16"/>
  <c r="DP6" i="30"/>
  <c r="DM6" i="30"/>
  <c r="DN6" i="30"/>
  <c r="FL36" i="16"/>
  <c r="FL38" i="16"/>
  <c r="FL39" i="16"/>
  <c r="FL40" i="16"/>
  <c r="FO34" i="16"/>
  <c r="FO35" i="16"/>
  <c r="FO38" i="16"/>
  <c r="FO39" i="16"/>
  <c r="FO40" i="16"/>
  <c r="FO43" i="16"/>
  <c r="FO44" i="16"/>
  <c r="FL35" i="16"/>
  <c r="FL37" i="16"/>
  <c r="FL42" i="16"/>
  <c r="FO41" i="16"/>
  <c r="FL34" i="16"/>
  <c r="FL41" i="16"/>
  <c r="FL43" i="16"/>
  <c r="FO37" i="16"/>
  <c r="FO42" i="16"/>
  <c r="AZ42" i="8"/>
  <c r="AZ41" i="8"/>
  <c r="AZ40" i="8"/>
  <c r="BE42" i="8"/>
  <c r="BE41" i="8"/>
  <c r="BE40" i="8"/>
  <c r="BJ42" i="8"/>
  <c r="BJ41" i="8"/>
  <c r="BJ40" i="8"/>
  <c r="BL42" i="8"/>
  <c r="BL41" i="8"/>
  <c r="BL40" i="8"/>
  <c r="BG42" i="8"/>
  <c r="BG41" i="8"/>
  <c r="BG40" i="8"/>
  <c r="BB42" i="8"/>
  <c r="BB41" i="8"/>
  <c r="BB40" i="8"/>
  <c r="AW42" i="8"/>
  <c r="AW41" i="8"/>
  <c r="AW40" i="8"/>
  <c r="BM36" i="8"/>
  <c r="BM35" i="8"/>
  <c r="BM34" i="8"/>
  <c r="BM33" i="8"/>
  <c r="BM32" i="8"/>
  <c r="BM31" i="8"/>
  <c r="BM30" i="8"/>
  <c r="BM29" i="8"/>
  <c r="BM28" i="8"/>
  <c r="BM27" i="8"/>
  <c r="BM26" i="8"/>
  <c r="BM25" i="8"/>
  <c r="BM24" i="8"/>
  <c r="BM23" i="8"/>
  <c r="BM22" i="8"/>
  <c r="BM21" i="8"/>
  <c r="BM20" i="8"/>
  <c r="BM19" i="8"/>
  <c r="BM18" i="8"/>
  <c r="BM17" i="8"/>
  <c r="BM16" i="8"/>
  <c r="BM15" i="8"/>
  <c r="BM14" i="8"/>
  <c r="BM13" i="8"/>
  <c r="BM42" i="8"/>
  <c r="BM12" i="8"/>
  <c r="BM11" i="8"/>
  <c r="BM10" i="8"/>
  <c r="BM41" i="8"/>
  <c r="BM9" i="8"/>
  <c r="BM8" i="8"/>
  <c r="BM40" i="8"/>
  <c r="BH36" i="8"/>
  <c r="BH35" i="8"/>
  <c r="BH34" i="8"/>
  <c r="BH33" i="8"/>
  <c r="BH32" i="8"/>
  <c r="BH31" i="8"/>
  <c r="BH30" i="8"/>
  <c r="BH29" i="8"/>
  <c r="BH28" i="8"/>
  <c r="BH27" i="8"/>
  <c r="BH26" i="8"/>
  <c r="BH25" i="8"/>
  <c r="BH24" i="8"/>
  <c r="BH23" i="8"/>
  <c r="BH22" i="8"/>
  <c r="BH21" i="8"/>
  <c r="BH20" i="8"/>
  <c r="BH19" i="8"/>
  <c r="BH18" i="8"/>
  <c r="BH17" i="8"/>
  <c r="BH16" i="8"/>
  <c r="BH15" i="8"/>
  <c r="BH14" i="8"/>
  <c r="BH13" i="8"/>
  <c r="BH42" i="8"/>
  <c r="BH12" i="8"/>
  <c r="BH11" i="8"/>
  <c r="BH10" i="8"/>
  <c r="BH41" i="8"/>
  <c r="BH9" i="8"/>
  <c r="BH8" i="8"/>
  <c r="BH40" i="8"/>
  <c r="BC36" i="8"/>
  <c r="BC35" i="8"/>
  <c r="BC34" i="8"/>
  <c r="BC33" i="8"/>
  <c r="BC32" i="8"/>
  <c r="BC31" i="8"/>
  <c r="BC30" i="8"/>
  <c r="BC29" i="8"/>
  <c r="BC28" i="8"/>
  <c r="BC27" i="8"/>
  <c r="BC26" i="8"/>
  <c r="BC25" i="8"/>
  <c r="BC24" i="8"/>
  <c r="BC23" i="8"/>
  <c r="BC22" i="8"/>
  <c r="BC21" i="8"/>
  <c r="BC20" i="8"/>
  <c r="BC19" i="8"/>
  <c r="BC18" i="8"/>
  <c r="BC17" i="8"/>
  <c r="BC16" i="8"/>
  <c r="BC15" i="8"/>
  <c r="BC14" i="8"/>
  <c r="BC13" i="8"/>
  <c r="BC42" i="8"/>
  <c r="BC12" i="8"/>
  <c r="BC11" i="8"/>
  <c r="BC10" i="8"/>
  <c r="BC41" i="8"/>
  <c r="BC9" i="8"/>
  <c r="BC8" i="8"/>
  <c r="BC40" i="8"/>
  <c r="AX36" i="8"/>
  <c r="AX35" i="8"/>
  <c r="AX34" i="8"/>
  <c r="AX33" i="8"/>
  <c r="AX32" i="8"/>
  <c r="AX31" i="8"/>
  <c r="AX30" i="8"/>
  <c r="AX29" i="8"/>
  <c r="AX28" i="8"/>
  <c r="AX27" i="8"/>
  <c r="AX26" i="8"/>
  <c r="AX25" i="8"/>
  <c r="AX24" i="8"/>
  <c r="AX23" i="8"/>
  <c r="AX22" i="8"/>
  <c r="AX21" i="8"/>
  <c r="AX20" i="8"/>
  <c r="AX19" i="8"/>
  <c r="AX18" i="8"/>
  <c r="AX17" i="8"/>
  <c r="AX16" i="8"/>
  <c r="AX15" i="8"/>
  <c r="AX14" i="8"/>
  <c r="AX13" i="8"/>
  <c r="AX42" i="8"/>
  <c r="AX12" i="8"/>
  <c r="AX11" i="8"/>
  <c r="AX10" i="8"/>
  <c r="AX41" i="8"/>
  <c r="AX9" i="8"/>
  <c r="AX8" i="8"/>
  <c r="AX40" i="8"/>
  <c r="AS9" i="8"/>
  <c r="AS10" i="8"/>
  <c r="AS11" i="8"/>
  <c r="AS12" i="8"/>
  <c r="AS13" i="8"/>
  <c r="AS14" i="8"/>
  <c r="AS15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28" i="8"/>
  <c r="AS29" i="8"/>
  <c r="AS30" i="8"/>
  <c r="AS31" i="8"/>
  <c r="AS32" i="8"/>
  <c r="AS33" i="8"/>
  <c r="AS34" i="8"/>
  <c r="AS35" i="8"/>
  <c r="AS36" i="8"/>
  <c r="BT45" i="8"/>
  <c r="BT44" i="8"/>
  <c r="BT43" i="8"/>
  <c r="BQ45" i="8"/>
  <c r="BQ44" i="8"/>
  <c r="BQ43" i="8"/>
  <c r="BO45" i="8"/>
  <c r="BO44" i="8"/>
  <c r="BO43" i="8"/>
  <c r="BM45" i="8"/>
  <c r="BL45" i="8"/>
  <c r="BM44" i="8"/>
  <c r="BL44" i="8"/>
  <c r="BM43" i="8"/>
  <c r="BL43" i="8"/>
  <c r="BJ45" i="8"/>
  <c r="BJ44" i="8"/>
  <c r="BJ43" i="8"/>
  <c r="BH45" i="8"/>
  <c r="BG45" i="8"/>
  <c r="BH44" i="8"/>
  <c r="BG44" i="8"/>
  <c r="BH43" i="8"/>
  <c r="BG43" i="8"/>
  <c r="BE45" i="8"/>
  <c r="BE44" i="8"/>
  <c r="BE43" i="8"/>
  <c r="BC45" i="8"/>
  <c r="BB45" i="8"/>
  <c r="BC44" i="8"/>
  <c r="BB44" i="8"/>
  <c r="BC43" i="8"/>
  <c r="BB43" i="8"/>
  <c r="AZ45" i="8"/>
  <c r="AZ44" i="8"/>
  <c r="AZ43" i="8"/>
  <c r="AX45" i="8"/>
  <c r="AW45" i="8"/>
  <c r="AX44" i="8"/>
  <c r="AW44" i="8"/>
  <c r="AX43" i="8"/>
  <c r="AW43" i="8"/>
  <c r="AU45" i="8"/>
  <c r="AU44" i="8"/>
  <c r="AU43" i="8"/>
  <c r="AR44" i="8"/>
  <c r="AR43" i="8"/>
  <c r="AU47" i="8"/>
  <c r="AR47" i="8"/>
  <c r="AP47" i="8"/>
  <c r="AM47" i="8"/>
  <c r="AU42" i="8"/>
  <c r="AU41" i="8"/>
  <c r="AU40" i="8"/>
  <c r="AU39" i="8"/>
  <c r="AV43" i="8"/>
  <c r="AV44" i="8"/>
  <c r="AS42" i="8"/>
  <c r="AS41" i="8"/>
  <c r="AR45" i="8"/>
  <c r="AR42" i="8"/>
  <c r="AR41" i="8"/>
  <c r="AV41" i="8"/>
  <c r="AR40" i="8"/>
  <c r="AV40" i="8"/>
  <c r="AR39" i="8"/>
  <c r="AP45" i="8"/>
  <c r="AP44" i="8"/>
  <c r="AP43" i="8"/>
  <c r="AP42" i="8"/>
  <c r="AP41" i="8"/>
  <c r="AP40" i="8"/>
  <c r="AP39" i="8"/>
  <c r="AM45" i="8"/>
  <c r="AM44" i="8"/>
  <c r="AM43" i="8"/>
  <c r="AM42" i="8"/>
  <c r="AM41" i="8"/>
  <c r="AM40" i="8"/>
  <c r="AM39" i="8"/>
  <c r="AK45" i="8"/>
  <c r="AK44" i="8"/>
  <c r="AK43" i="8"/>
  <c r="AK42" i="8"/>
  <c r="AK41" i="8"/>
  <c r="AK40" i="8"/>
  <c r="AK39" i="8"/>
  <c r="FH44" i="16"/>
  <c r="FG44" i="16"/>
  <c r="FH43" i="16"/>
  <c r="FG43" i="16"/>
  <c r="FH42" i="16"/>
  <c r="FG42" i="16"/>
  <c r="FH41" i="16"/>
  <c r="FG41" i="16"/>
  <c r="FH40" i="16"/>
  <c r="FG40" i="16"/>
  <c r="FH39" i="16"/>
  <c r="FG39" i="16"/>
  <c r="FH38" i="16"/>
  <c r="FG38" i="16"/>
  <c r="FH37" i="16"/>
  <c r="FG37" i="16"/>
  <c r="FH36" i="16"/>
  <c r="FG36" i="16"/>
  <c r="FH35" i="16"/>
  <c r="FG35" i="16"/>
  <c r="FH34" i="16"/>
  <c r="FG34" i="16"/>
  <c r="FI32" i="16"/>
  <c r="FI31" i="16"/>
  <c r="FI30" i="16"/>
  <c r="FI29" i="16"/>
  <c r="FI28" i="16"/>
  <c r="FI27" i="16"/>
  <c r="FI26" i="16"/>
  <c r="FI25" i="16"/>
  <c r="FI24" i="16"/>
  <c r="FI23" i="16"/>
  <c r="FI22" i="16"/>
  <c r="FI21" i="16"/>
  <c r="FI20" i="16"/>
  <c r="FI19" i="16"/>
  <c r="FI18" i="16"/>
  <c r="FI17" i="16"/>
  <c r="FI16" i="16"/>
  <c r="FI15" i="16"/>
  <c r="FI14" i="16"/>
  <c r="FI13" i="16"/>
  <c r="FI12" i="16"/>
  <c r="FI11" i="16"/>
  <c r="FI10" i="16"/>
  <c r="FI9" i="16"/>
  <c r="FI8" i="16"/>
  <c r="FI7" i="16"/>
  <c r="FI6" i="16"/>
  <c r="FI5" i="16"/>
  <c r="FI4" i="16"/>
  <c r="FE42" i="16"/>
  <c r="FD42" i="16"/>
  <c r="FE44" i="16"/>
  <c r="FD44" i="16"/>
  <c r="FE43" i="16"/>
  <c r="FD43" i="16"/>
  <c r="FE41" i="16"/>
  <c r="FD41" i="16"/>
  <c r="FE40" i="16"/>
  <c r="FD40" i="16"/>
  <c r="FE39" i="16"/>
  <c r="FD39" i="16"/>
  <c r="FE38" i="16"/>
  <c r="FD38" i="16"/>
  <c r="FE37" i="16"/>
  <c r="FD37" i="16"/>
  <c r="FE36" i="16"/>
  <c r="FD36" i="16"/>
  <c r="FE35" i="16"/>
  <c r="FD35" i="16"/>
  <c r="FE34" i="16"/>
  <c r="FD34" i="16"/>
  <c r="FB44" i="16"/>
  <c r="FA44" i="16"/>
  <c r="FB43" i="16"/>
  <c r="FA43" i="16"/>
  <c r="FB42" i="16"/>
  <c r="FA42" i="16"/>
  <c r="FB41" i="16"/>
  <c r="FA41" i="16"/>
  <c r="FB40" i="16"/>
  <c r="FA40" i="16"/>
  <c r="FB39" i="16"/>
  <c r="FA39" i="16"/>
  <c r="FB38" i="16"/>
  <c r="FA38" i="16"/>
  <c r="FB37" i="16"/>
  <c r="FA37" i="16"/>
  <c r="FB36" i="16"/>
  <c r="FA36" i="16"/>
  <c r="FB35" i="16"/>
  <c r="FA35" i="16"/>
  <c r="FB34" i="16"/>
  <c r="FA34" i="16"/>
  <c r="FF32" i="16"/>
  <c r="FF31" i="16"/>
  <c r="FF30" i="16"/>
  <c r="FF29" i="16"/>
  <c r="FF28" i="16"/>
  <c r="FF27" i="16"/>
  <c r="FF26" i="16"/>
  <c r="FF25" i="16"/>
  <c r="FF24" i="16"/>
  <c r="FF23" i="16"/>
  <c r="FF22" i="16"/>
  <c r="FF21" i="16"/>
  <c r="FF20" i="16"/>
  <c r="FF19" i="16"/>
  <c r="FF18" i="16"/>
  <c r="FF17" i="16"/>
  <c r="FF16" i="16"/>
  <c r="FF15" i="16"/>
  <c r="FF14" i="16"/>
  <c r="FF13" i="16"/>
  <c r="FF12" i="16"/>
  <c r="FF11" i="16"/>
  <c r="FF10" i="16"/>
  <c r="FF9" i="16"/>
  <c r="FF8" i="16"/>
  <c r="FF7" i="16"/>
  <c r="FF6" i="16"/>
  <c r="FF5" i="16"/>
  <c r="FF4" i="16"/>
  <c r="FC32" i="16"/>
  <c r="FC31" i="16"/>
  <c r="FC30" i="16"/>
  <c r="FC29" i="16"/>
  <c r="FC28" i="16"/>
  <c r="FC27" i="16"/>
  <c r="FC26" i="16"/>
  <c r="FC25" i="16"/>
  <c r="FC24" i="16"/>
  <c r="FC23" i="16"/>
  <c r="FC22" i="16"/>
  <c r="FC21" i="16"/>
  <c r="FC20" i="16"/>
  <c r="FC19" i="16"/>
  <c r="FC18" i="16"/>
  <c r="FC17" i="16"/>
  <c r="FC16" i="16"/>
  <c r="FC15" i="16"/>
  <c r="FC14" i="16"/>
  <c r="FC13" i="16"/>
  <c r="FC12" i="16"/>
  <c r="FC11" i="16"/>
  <c r="FC10" i="16"/>
  <c r="FC9" i="16"/>
  <c r="FC8" i="16"/>
  <c r="FC7" i="16"/>
  <c r="FC6" i="16"/>
  <c r="FC5" i="16"/>
  <c r="FC4" i="16"/>
  <c r="CG36" i="8"/>
  <c r="CG35" i="8"/>
  <c r="CG34" i="8"/>
  <c r="CG33" i="8"/>
  <c r="CG32" i="8"/>
  <c r="CG31" i="8"/>
  <c r="CG30" i="8"/>
  <c r="CG29" i="8"/>
  <c r="CG28" i="8"/>
  <c r="CG27" i="8"/>
  <c r="CG26" i="8"/>
  <c r="CG25" i="8"/>
  <c r="CG24" i="8"/>
  <c r="CG23" i="8"/>
  <c r="CG22" i="8"/>
  <c r="CG21" i="8"/>
  <c r="CG20" i="8"/>
  <c r="CG19" i="8"/>
  <c r="CG18" i="8"/>
  <c r="CG17" i="8"/>
  <c r="CG16" i="8"/>
  <c r="CG15" i="8"/>
  <c r="CG14" i="8"/>
  <c r="CG13" i="8"/>
  <c r="CG12" i="8"/>
  <c r="CG11" i="8"/>
  <c r="CG10" i="8"/>
  <c r="CG9" i="8"/>
  <c r="CG8" i="8"/>
  <c r="CB36" i="8"/>
  <c r="CB35" i="8"/>
  <c r="CB34" i="8"/>
  <c r="CB33" i="8"/>
  <c r="CB32" i="8"/>
  <c r="CB31" i="8"/>
  <c r="CB30" i="8"/>
  <c r="CB29" i="8"/>
  <c r="CB28" i="8"/>
  <c r="CB27" i="8"/>
  <c r="CB26" i="8"/>
  <c r="CB25" i="8"/>
  <c r="CB24" i="8"/>
  <c r="CB23" i="8"/>
  <c r="CB22" i="8"/>
  <c r="CB21" i="8"/>
  <c r="CB20" i="8"/>
  <c r="CB19" i="8"/>
  <c r="CB18" i="8"/>
  <c r="CB17" i="8"/>
  <c r="CB16" i="8"/>
  <c r="CB15" i="8"/>
  <c r="CB14" i="8"/>
  <c r="CB13" i="8"/>
  <c r="CB12" i="8"/>
  <c r="CB11" i="8"/>
  <c r="CB10" i="8"/>
  <c r="CB9" i="8"/>
  <c r="CB8" i="8"/>
  <c r="BW36" i="8"/>
  <c r="BW35" i="8"/>
  <c r="BW34" i="8"/>
  <c r="BW33" i="8"/>
  <c r="BW32" i="8"/>
  <c r="BW31" i="8"/>
  <c r="BW30" i="8"/>
  <c r="BW29" i="8"/>
  <c r="BW28" i="8"/>
  <c r="BW27" i="8"/>
  <c r="BW26" i="8"/>
  <c r="BW25" i="8"/>
  <c r="BW24" i="8"/>
  <c r="BW23" i="8"/>
  <c r="BW22" i="8"/>
  <c r="BW21" i="8"/>
  <c r="BW20" i="8"/>
  <c r="BW19" i="8"/>
  <c r="BW18" i="8"/>
  <c r="BW17" i="8"/>
  <c r="BW16" i="8"/>
  <c r="BW15" i="8"/>
  <c r="BW14" i="8"/>
  <c r="BW13" i="8"/>
  <c r="BW12" i="8"/>
  <c r="BW11" i="8"/>
  <c r="BW10" i="8"/>
  <c r="BW9" i="8"/>
  <c r="BW8" i="8"/>
  <c r="BR45" i="8"/>
  <c r="BR44" i="8"/>
  <c r="AS44" i="8"/>
  <c r="AT44" i="8"/>
  <c r="AS8" i="8"/>
  <c r="DT6" i="30"/>
  <c r="DQ6" i="30"/>
  <c r="DR6" i="30"/>
  <c r="EB6" i="28"/>
  <c r="AV45" i="8"/>
  <c r="AV42" i="8"/>
  <c r="AS40" i="8"/>
  <c r="AT40" i="8"/>
  <c r="AS39" i="8"/>
  <c r="BR43" i="8"/>
  <c r="AQ40" i="8"/>
  <c r="AQ41" i="8"/>
  <c r="AQ42" i="8"/>
  <c r="AQ43" i="8"/>
  <c r="AQ44" i="8"/>
  <c r="AQ45" i="8"/>
  <c r="AT41" i="8"/>
  <c r="AT42" i="8"/>
  <c r="AS45" i="8"/>
  <c r="AT45" i="8"/>
  <c r="AS43" i="8"/>
  <c r="AT43" i="8"/>
  <c r="AS47" i="8"/>
  <c r="AT47" i="8"/>
  <c r="AV47" i="8"/>
  <c r="AQ47" i="8"/>
  <c r="FI34" i="16"/>
  <c r="FI35" i="16"/>
  <c r="FI36" i="16"/>
  <c r="FI37" i="16"/>
  <c r="FI38" i="16"/>
  <c r="FI39" i="16"/>
  <c r="FI40" i="16"/>
  <c r="FI41" i="16"/>
  <c r="FI42" i="16"/>
  <c r="FI43" i="16"/>
  <c r="FI44" i="16"/>
  <c r="FF34" i="16"/>
  <c r="FF35" i="16"/>
  <c r="FF36" i="16"/>
  <c r="FF37" i="16"/>
  <c r="FF38" i="16"/>
  <c r="FF39" i="16"/>
  <c r="FF40" i="16"/>
  <c r="FF41" i="16"/>
  <c r="FF42" i="16"/>
  <c r="FF43" i="16"/>
  <c r="FF44" i="16"/>
  <c r="FC34" i="16"/>
  <c r="FC35" i="16"/>
  <c r="FC36" i="16"/>
  <c r="FC37" i="16"/>
  <c r="FC38" i="16"/>
  <c r="FC39" i="16"/>
  <c r="FC40" i="16"/>
  <c r="FC41" i="16"/>
  <c r="FC42" i="16"/>
  <c r="FC43" i="16"/>
  <c r="FC44" i="16"/>
  <c r="EY44" i="16"/>
  <c r="EX44" i="16"/>
  <c r="EY43" i="16"/>
  <c r="EX43" i="16"/>
  <c r="EY42" i="16"/>
  <c r="EX42" i="16"/>
  <c r="EY41" i="16"/>
  <c r="EX41" i="16"/>
  <c r="EY40" i="16"/>
  <c r="EX40" i="16"/>
  <c r="EY39" i="16"/>
  <c r="EX39" i="16"/>
  <c r="EY38" i="16"/>
  <c r="EX38" i="16"/>
  <c r="EY37" i="16"/>
  <c r="EX37" i="16"/>
  <c r="EY36" i="16"/>
  <c r="EX36" i="16"/>
  <c r="EY35" i="16"/>
  <c r="EX35" i="16"/>
  <c r="EY34" i="16"/>
  <c r="EX34" i="16"/>
  <c r="EV44" i="16"/>
  <c r="EU44" i="16"/>
  <c r="EV43" i="16"/>
  <c r="EU43" i="16"/>
  <c r="EV42" i="16"/>
  <c r="EU42" i="16"/>
  <c r="EV41" i="16"/>
  <c r="EU41" i="16"/>
  <c r="EV40" i="16"/>
  <c r="EU40" i="16"/>
  <c r="EV39" i="16"/>
  <c r="EU39" i="16"/>
  <c r="EV38" i="16"/>
  <c r="EU38" i="16"/>
  <c r="EV37" i="16"/>
  <c r="EU37" i="16"/>
  <c r="EV36" i="16"/>
  <c r="EU36" i="16"/>
  <c r="EV35" i="16"/>
  <c r="EU35" i="16"/>
  <c r="EV34" i="16"/>
  <c r="EU34" i="16"/>
  <c r="ES44" i="16"/>
  <c r="ER44" i="16"/>
  <c r="ES43" i="16"/>
  <c r="ER43" i="16"/>
  <c r="ES42" i="16"/>
  <c r="ER42" i="16"/>
  <c r="ES41" i="16"/>
  <c r="ER41" i="16"/>
  <c r="ES40" i="16"/>
  <c r="ER40" i="16"/>
  <c r="ES39" i="16"/>
  <c r="ER39" i="16"/>
  <c r="ES38" i="16"/>
  <c r="ER38" i="16"/>
  <c r="ES37" i="16"/>
  <c r="ER37" i="16"/>
  <c r="ES36" i="16"/>
  <c r="ER36" i="16"/>
  <c r="ES35" i="16"/>
  <c r="ER35" i="16"/>
  <c r="ES34" i="16"/>
  <c r="ER34" i="16"/>
  <c r="EP44" i="16"/>
  <c r="EO44" i="16"/>
  <c r="EP43" i="16"/>
  <c r="EO43" i="16"/>
  <c r="EP42" i="16"/>
  <c r="EO42" i="16"/>
  <c r="EP41" i="16"/>
  <c r="EO41" i="16"/>
  <c r="EP40" i="16"/>
  <c r="EO40" i="16"/>
  <c r="EP39" i="16"/>
  <c r="EO39" i="16"/>
  <c r="EP38" i="16"/>
  <c r="EO38" i="16"/>
  <c r="EP37" i="16"/>
  <c r="EO37" i="16"/>
  <c r="EP36" i="16"/>
  <c r="EO36" i="16"/>
  <c r="EP35" i="16"/>
  <c r="EO35" i="16"/>
  <c r="EP34" i="16"/>
  <c r="EO34" i="16"/>
  <c r="EZ32" i="16"/>
  <c r="EZ31" i="16"/>
  <c r="EZ30" i="16"/>
  <c r="EZ29" i="16"/>
  <c r="EZ28" i="16"/>
  <c r="EZ27" i="16"/>
  <c r="EZ26" i="16"/>
  <c r="EZ25" i="16"/>
  <c r="EZ24" i="16"/>
  <c r="EZ23" i="16"/>
  <c r="EZ22" i="16"/>
  <c r="EZ21" i="16"/>
  <c r="EZ20" i="16"/>
  <c r="EZ19" i="16"/>
  <c r="EZ18" i="16"/>
  <c r="EZ17" i="16"/>
  <c r="EZ16" i="16"/>
  <c r="EZ15" i="16"/>
  <c r="EZ14" i="16"/>
  <c r="EZ13" i="16"/>
  <c r="EZ12" i="16"/>
  <c r="EZ11" i="16"/>
  <c r="EZ10" i="16"/>
  <c r="EZ9" i="16"/>
  <c r="EZ8" i="16"/>
  <c r="EZ7" i="16"/>
  <c r="EZ6" i="16"/>
  <c r="EZ5" i="16"/>
  <c r="EZ4" i="16"/>
  <c r="EW32" i="16"/>
  <c r="EW31" i="16"/>
  <c r="EW30" i="16"/>
  <c r="EW29" i="16"/>
  <c r="EW28" i="16"/>
  <c r="EW27" i="16"/>
  <c r="EW26" i="16"/>
  <c r="EW25" i="16"/>
  <c r="EW24" i="16"/>
  <c r="EW23" i="16"/>
  <c r="EW22" i="16"/>
  <c r="EW21" i="16"/>
  <c r="EW20" i="16"/>
  <c r="EW19" i="16"/>
  <c r="EW18" i="16"/>
  <c r="EW17" i="16"/>
  <c r="EW16" i="16"/>
  <c r="EW15" i="16"/>
  <c r="EW14" i="16"/>
  <c r="EW13" i="16"/>
  <c r="EW12" i="16"/>
  <c r="EW11" i="16"/>
  <c r="EW10" i="16"/>
  <c r="EW9" i="16"/>
  <c r="EW8" i="16"/>
  <c r="EW7" i="16"/>
  <c r="EW6" i="16"/>
  <c r="EW5" i="16"/>
  <c r="EW4" i="16"/>
  <c r="ET32" i="16"/>
  <c r="ET31" i="16"/>
  <c r="ET30" i="16"/>
  <c r="ET29" i="16"/>
  <c r="ET28" i="16"/>
  <c r="ET27" i="16"/>
  <c r="ET26" i="16"/>
  <c r="ET25" i="16"/>
  <c r="ET24" i="16"/>
  <c r="ET23" i="16"/>
  <c r="ET22" i="16"/>
  <c r="ET21" i="16"/>
  <c r="ET20" i="16"/>
  <c r="ET19" i="16"/>
  <c r="ET18" i="16"/>
  <c r="ET17" i="16"/>
  <c r="ET16" i="16"/>
  <c r="ET15" i="16"/>
  <c r="ET14" i="16"/>
  <c r="ET13" i="16"/>
  <c r="ET12" i="16"/>
  <c r="ET11" i="16"/>
  <c r="ET10" i="16"/>
  <c r="ET9" i="16"/>
  <c r="ET8" i="16"/>
  <c r="ET7" i="16"/>
  <c r="ET6" i="16"/>
  <c r="ET5" i="16"/>
  <c r="ET4" i="16"/>
  <c r="EQ32" i="16"/>
  <c r="EQ31" i="16"/>
  <c r="EQ30" i="16"/>
  <c r="EQ29" i="16"/>
  <c r="EQ28" i="16"/>
  <c r="EQ27" i="16"/>
  <c r="EQ26" i="16"/>
  <c r="EQ25" i="16"/>
  <c r="EQ24" i="16"/>
  <c r="EQ23" i="16"/>
  <c r="EQ22" i="16"/>
  <c r="EQ21" i="16"/>
  <c r="EQ20" i="16"/>
  <c r="EQ19" i="16"/>
  <c r="EQ18" i="16"/>
  <c r="EQ17" i="16"/>
  <c r="EQ16" i="16"/>
  <c r="EQ15" i="16"/>
  <c r="EQ14" i="16"/>
  <c r="EQ13" i="16"/>
  <c r="EQ12" i="16"/>
  <c r="EQ11" i="16"/>
  <c r="EQ10" i="16"/>
  <c r="EQ9" i="16"/>
  <c r="EQ8" i="16"/>
  <c r="EQ7" i="16"/>
  <c r="EQ6" i="16"/>
  <c r="EQ5" i="16"/>
  <c r="EQ4" i="16"/>
  <c r="DU6" i="30"/>
  <c r="DV6" i="30"/>
  <c r="EB6" i="30"/>
  <c r="EC6" i="28"/>
  <c r="EC38" i="28" s="1"/>
  <c r="EC41" i="28" s="1"/>
  <c r="ED6" i="28"/>
  <c r="ED38" i="28" s="1"/>
  <c r="EF6" i="28"/>
  <c r="EF38" i="28" s="1"/>
  <c r="EZ34" i="16"/>
  <c r="EZ35" i="16"/>
  <c r="EZ36" i="16"/>
  <c r="EZ37" i="16"/>
  <c r="EZ38" i="16"/>
  <c r="EZ39" i="16"/>
  <c r="EZ40" i="16"/>
  <c r="EZ41" i="16"/>
  <c r="EZ42" i="16"/>
  <c r="EZ43" i="16"/>
  <c r="EZ44" i="16"/>
  <c r="EW34" i="16"/>
  <c r="EW35" i="16"/>
  <c r="EW36" i="16"/>
  <c r="EW37" i="16"/>
  <c r="EW38" i="16"/>
  <c r="EW39" i="16"/>
  <c r="EW40" i="16"/>
  <c r="EW41" i="16"/>
  <c r="EW42" i="16"/>
  <c r="EW43" i="16"/>
  <c r="EW44" i="16"/>
  <c r="ET34" i="16"/>
  <c r="ET35" i="16"/>
  <c r="ET36" i="16"/>
  <c r="ET37" i="16"/>
  <c r="ET38" i="16"/>
  <c r="ET39" i="16"/>
  <c r="ET40" i="16"/>
  <c r="ET41" i="16"/>
  <c r="ET42" i="16"/>
  <c r="ET43" i="16"/>
  <c r="ET44" i="16"/>
  <c r="EQ34" i="16"/>
  <c r="EQ35" i="16"/>
  <c r="EQ36" i="16"/>
  <c r="EQ37" i="16"/>
  <c r="EQ38" i="16"/>
  <c r="EQ39" i="16"/>
  <c r="EQ40" i="16"/>
  <c r="EQ41" i="16"/>
  <c r="EQ42" i="16"/>
  <c r="EQ43" i="16"/>
  <c r="EQ44" i="16"/>
  <c r="EF6" i="30"/>
  <c r="EC6" i="30"/>
  <c r="ED6" i="30"/>
  <c r="EG6" i="28"/>
  <c r="EH6" i="28"/>
  <c r="EH38" i="28" s="1"/>
  <c r="EJ6" i="28"/>
  <c r="AK47" i="8"/>
  <c r="AL32" i="8"/>
  <c r="AL33" i="8"/>
  <c r="AL34" i="8"/>
  <c r="AL35" i="8"/>
  <c r="AL36" i="8"/>
  <c r="EJ6" i="30"/>
  <c r="EG6" i="30"/>
  <c r="EH6" i="30"/>
  <c r="EK6" i="28"/>
  <c r="EK38" i="28" s="1"/>
  <c r="EL6" i="28"/>
  <c r="EN6" i="28"/>
  <c r="EN38" i="28" s="1"/>
  <c r="EM44" i="16"/>
  <c r="EL44" i="16"/>
  <c r="EM43" i="16"/>
  <c r="EL43" i="16"/>
  <c r="EM42" i="16"/>
  <c r="EL42" i="16"/>
  <c r="EM41" i="16"/>
  <c r="EL41" i="16"/>
  <c r="EM40" i="16"/>
  <c r="EL40" i="16"/>
  <c r="EM39" i="16"/>
  <c r="EL39" i="16"/>
  <c r="EM38" i="16"/>
  <c r="EL38" i="16"/>
  <c r="EM37" i="16"/>
  <c r="EL37" i="16"/>
  <c r="EM36" i="16"/>
  <c r="EL36" i="16"/>
  <c r="EM35" i="16"/>
  <c r="EL35" i="16"/>
  <c r="EM34" i="16"/>
  <c r="EL34" i="16"/>
  <c r="EJ44" i="16"/>
  <c r="EI44" i="16"/>
  <c r="EJ43" i="16"/>
  <c r="EI43" i="16"/>
  <c r="EJ42" i="16"/>
  <c r="EI42" i="16"/>
  <c r="EJ41" i="16"/>
  <c r="EI41" i="16"/>
  <c r="EJ40" i="16"/>
  <c r="EI40" i="16"/>
  <c r="EJ39" i="16"/>
  <c r="EI39" i="16"/>
  <c r="EJ38" i="16"/>
  <c r="EI38" i="16"/>
  <c r="EJ37" i="16"/>
  <c r="EI37" i="16"/>
  <c r="EJ36" i="16"/>
  <c r="EI36" i="16"/>
  <c r="EJ35" i="16"/>
  <c r="EI35" i="16"/>
  <c r="EJ34" i="16"/>
  <c r="EI34" i="16"/>
  <c r="EN5" i="16"/>
  <c r="EN6" i="16"/>
  <c r="EN7" i="16"/>
  <c r="EN8" i="16"/>
  <c r="EN9" i="16"/>
  <c r="EN10" i="16"/>
  <c r="EN11" i="16"/>
  <c r="EN12" i="16"/>
  <c r="EN13" i="16"/>
  <c r="EN14" i="16"/>
  <c r="EN15" i="16"/>
  <c r="EN16" i="16"/>
  <c r="EN17" i="16"/>
  <c r="EN18" i="16"/>
  <c r="EN19" i="16"/>
  <c r="EN20" i="16"/>
  <c r="EN21" i="16"/>
  <c r="EN22" i="16"/>
  <c r="EN23" i="16"/>
  <c r="EN24" i="16"/>
  <c r="EN25" i="16"/>
  <c r="EN26" i="16"/>
  <c r="EN27" i="16"/>
  <c r="EN28" i="16"/>
  <c r="EN29" i="16"/>
  <c r="EN30" i="16"/>
  <c r="EN31" i="16"/>
  <c r="EN32" i="16"/>
  <c r="EN4" i="16"/>
  <c r="EK32" i="16"/>
  <c r="EK31" i="16"/>
  <c r="EK30" i="16"/>
  <c r="EK29" i="16"/>
  <c r="EK28" i="16"/>
  <c r="EK27" i="16"/>
  <c r="EK26" i="16"/>
  <c r="EK25" i="16"/>
  <c r="EK24" i="16"/>
  <c r="EK23" i="16"/>
  <c r="EK22" i="16"/>
  <c r="EK21" i="16"/>
  <c r="EK20" i="16"/>
  <c r="EK19" i="16"/>
  <c r="EK18" i="16"/>
  <c r="EK17" i="16"/>
  <c r="EK16" i="16"/>
  <c r="EK15" i="16"/>
  <c r="EK14" i="16"/>
  <c r="EK13" i="16"/>
  <c r="EK12" i="16"/>
  <c r="EK11" i="16"/>
  <c r="EK10" i="16"/>
  <c r="EK9" i="16"/>
  <c r="EK8" i="16"/>
  <c r="EK7" i="16"/>
  <c r="EK6" i="16"/>
  <c r="EK5" i="16"/>
  <c r="EK4" i="16"/>
  <c r="EG44" i="16"/>
  <c r="EF44" i="16"/>
  <c r="EG43" i="16"/>
  <c r="EF43" i="16"/>
  <c r="EG42" i="16"/>
  <c r="EF42" i="16"/>
  <c r="EG41" i="16"/>
  <c r="EF41" i="16"/>
  <c r="EG40" i="16"/>
  <c r="EF40" i="16"/>
  <c r="EG39" i="16"/>
  <c r="EF39" i="16"/>
  <c r="EG38" i="16"/>
  <c r="EF38" i="16"/>
  <c r="EG37" i="16"/>
  <c r="EF37" i="16"/>
  <c r="EG36" i="16"/>
  <c r="EF36" i="16"/>
  <c r="EG35" i="16"/>
  <c r="EF35" i="16"/>
  <c r="EG34" i="16"/>
  <c r="EF34" i="16"/>
  <c r="EH32" i="16"/>
  <c r="EH31" i="16"/>
  <c r="EH30" i="16"/>
  <c r="EH29" i="16"/>
  <c r="EH28" i="16"/>
  <c r="EH27" i="16"/>
  <c r="EH26" i="16"/>
  <c r="EH25" i="16"/>
  <c r="EH24" i="16"/>
  <c r="EH23" i="16"/>
  <c r="EH22" i="16"/>
  <c r="EH21" i="16"/>
  <c r="EH20" i="16"/>
  <c r="EH19" i="16"/>
  <c r="EH18" i="16"/>
  <c r="EH17" i="16"/>
  <c r="EH16" i="16"/>
  <c r="EH15" i="16"/>
  <c r="EH14" i="16"/>
  <c r="EH13" i="16"/>
  <c r="EH12" i="16"/>
  <c r="EH11" i="16"/>
  <c r="EH10" i="16"/>
  <c r="EH9" i="16"/>
  <c r="EH8" i="16"/>
  <c r="EH7" i="16"/>
  <c r="EH6" i="16"/>
  <c r="EH5" i="16"/>
  <c r="EH4" i="16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9" i="15"/>
  <c r="ED44" i="16"/>
  <c r="EC44" i="16"/>
  <c r="ED43" i="16"/>
  <c r="EC43" i="16"/>
  <c r="ED42" i="16"/>
  <c r="EC42" i="16"/>
  <c r="ED41" i="16"/>
  <c r="EC41" i="16"/>
  <c r="ED40" i="16"/>
  <c r="EC40" i="16"/>
  <c r="ED39" i="16"/>
  <c r="EC39" i="16"/>
  <c r="ED38" i="16"/>
  <c r="EC38" i="16"/>
  <c r="ED37" i="16"/>
  <c r="EC37" i="16"/>
  <c r="ED36" i="16"/>
  <c r="EC36" i="16"/>
  <c r="ED35" i="16"/>
  <c r="EC35" i="16"/>
  <c r="ED34" i="16"/>
  <c r="EC34" i="16"/>
  <c r="EA44" i="16"/>
  <c r="DZ44" i="16"/>
  <c r="EA43" i="16"/>
  <c r="DZ43" i="16"/>
  <c r="EA42" i="16"/>
  <c r="DZ42" i="16"/>
  <c r="EA41" i="16"/>
  <c r="DZ41" i="16"/>
  <c r="EA40" i="16"/>
  <c r="DZ40" i="16"/>
  <c r="EA39" i="16"/>
  <c r="DZ39" i="16"/>
  <c r="EA38" i="16"/>
  <c r="DZ38" i="16"/>
  <c r="EA37" i="16"/>
  <c r="DZ37" i="16"/>
  <c r="EA36" i="16"/>
  <c r="DZ36" i="16"/>
  <c r="EA35" i="16"/>
  <c r="DZ35" i="16"/>
  <c r="EA34" i="16"/>
  <c r="DZ34" i="16"/>
  <c r="EE32" i="16"/>
  <c r="EE31" i="16"/>
  <c r="EE30" i="16"/>
  <c r="EE29" i="16"/>
  <c r="EE28" i="16"/>
  <c r="EE27" i="16"/>
  <c r="EE26" i="16"/>
  <c r="EE25" i="16"/>
  <c r="EE24" i="16"/>
  <c r="EE23" i="16"/>
  <c r="EE22" i="16"/>
  <c r="EE21" i="16"/>
  <c r="EE20" i="16"/>
  <c r="EE19" i="16"/>
  <c r="EE18" i="16"/>
  <c r="EE17" i="16"/>
  <c r="EE16" i="16"/>
  <c r="EE15" i="16"/>
  <c r="EE14" i="16"/>
  <c r="EE13" i="16"/>
  <c r="EE12" i="16"/>
  <c r="EE11" i="16"/>
  <c r="EE10" i="16"/>
  <c r="EE9" i="16"/>
  <c r="EE8" i="16"/>
  <c r="EE7" i="16"/>
  <c r="EE6" i="16"/>
  <c r="EE5" i="16"/>
  <c r="EE4" i="16"/>
  <c r="EB5" i="16"/>
  <c r="EB6" i="16"/>
  <c r="EB7" i="16"/>
  <c r="EB8" i="16"/>
  <c r="EB9" i="16"/>
  <c r="EB10" i="16"/>
  <c r="EB11" i="16"/>
  <c r="EB12" i="16"/>
  <c r="EB13" i="16"/>
  <c r="EB14" i="16"/>
  <c r="EB15" i="16"/>
  <c r="EB16" i="16"/>
  <c r="EB17" i="16"/>
  <c r="EB18" i="16"/>
  <c r="EB19" i="16"/>
  <c r="EB20" i="16"/>
  <c r="EB21" i="16"/>
  <c r="EB22" i="16"/>
  <c r="EB23" i="16"/>
  <c r="EB24" i="16"/>
  <c r="EB25" i="16"/>
  <c r="EB26" i="16"/>
  <c r="EB27" i="16"/>
  <c r="EB28" i="16"/>
  <c r="EB29" i="16"/>
  <c r="EB30" i="16"/>
  <c r="EB31" i="16"/>
  <c r="EB32" i="16"/>
  <c r="EB4" i="16"/>
  <c r="AF47" i="8"/>
  <c r="AF45" i="8"/>
  <c r="AF44" i="8"/>
  <c r="AF43" i="8"/>
  <c r="AF42" i="8"/>
  <c r="AF41" i="8"/>
  <c r="AF40" i="8"/>
  <c r="AF39" i="8"/>
  <c r="AG32" i="8"/>
  <c r="AG33" i="8"/>
  <c r="AG34" i="8"/>
  <c r="AG35" i="8"/>
  <c r="AG36" i="8"/>
  <c r="DW34" i="16"/>
  <c r="DX34" i="16"/>
  <c r="DW35" i="16"/>
  <c r="DX35" i="16"/>
  <c r="DY35" i="16"/>
  <c r="DW36" i="16"/>
  <c r="DX36" i="16"/>
  <c r="DW37" i="16"/>
  <c r="DX37" i="16"/>
  <c r="DY37" i="16"/>
  <c r="DW38" i="16"/>
  <c r="DX38" i="16"/>
  <c r="DW39" i="16"/>
  <c r="DX39" i="16"/>
  <c r="DY39" i="16"/>
  <c r="DW40" i="16"/>
  <c r="DX40" i="16"/>
  <c r="DW41" i="16"/>
  <c r="DX41" i="16"/>
  <c r="DY41" i="16"/>
  <c r="DW42" i="16"/>
  <c r="DX42" i="16"/>
  <c r="DW43" i="16"/>
  <c r="DX43" i="16"/>
  <c r="DW44" i="16"/>
  <c r="DX44" i="16"/>
  <c r="DY5" i="16"/>
  <c r="DY6" i="16"/>
  <c r="DY7" i="16"/>
  <c r="DY8" i="16"/>
  <c r="DY9" i="16"/>
  <c r="DY10" i="16"/>
  <c r="DY11" i="16"/>
  <c r="DY12" i="16"/>
  <c r="DY13" i="16"/>
  <c r="DY14" i="16"/>
  <c r="DY15" i="16"/>
  <c r="DY16" i="16"/>
  <c r="DY17" i="16"/>
  <c r="DY18" i="16"/>
  <c r="DY19" i="16"/>
  <c r="DY20" i="16"/>
  <c r="DY21" i="16"/>
  <c r="DY22" i="16"/>
  <c r="DY23" i="16"/>
  <c r="DY24" i="16"/>
  <c r="DY25" i="16"/>
  <c r="DY26" i="16"/>
  <c r="DY27" i="16"/>
  <c r="DY28" i="16"/>
  <c r="DY29" i="16"/>
  <c r="DY30" i="16"/>
  <c r="DY31" i="16"/>
  <c r="DY32" i="16"/>
  <c r="DY4" i="16"/>
  <c r="DU44" i="16"/>
  <c r="DT44" i="16"/>
  <c r="DU43" i="16"/>
  <c r="DT43" i="16"/>
  <c r="DU42" i="16"/>
  <c r="DT42" i="16"/>
  <c r="DU41" i="16"/>
  <c r="DT41" i="16"/>
  <c r="DU40" i="16"/>
  <c r="DT40" i="16"/>
  <c r="DU39" i="16"/>
  <c r="DT39" i="16"/>
  <c r="DU38" i="16"/>
  <c r="DT38" i="16"/>
  <c r="DU37" i="16"/>
  <c r="DT37" i="16"/>
  <c r="DU36" i="16"/>
  <c r="DT36" i="16"/>
  <c r="DU35" i="16"/>
  <c r="DT35" i="16"/>
  <c r="DU34" i="16"/>
  <c r="DT34" i="16"/>
  <c r="DV32" i="16"/>
  <c r="DV31" i="16"/>
  <c r="DV30" i="16"/>
  <c r="DV29" i="16"/>
  <c r="DV28" i="16"/>
  <c r="DV27" i="16"/>
  <c r="DV26" i="16"/>
  <c r="DV25" i="16"/>
  <c r="DV24" i="16"/>
  <c r="DV23" i="16"/>
  <c r="DV22" i="16"/>
  <c r="DV21" i="16"/>
  <c r="DV20" i="16"/>
  <c r="DV19" i="16"/>
  <c r="DV18" i="16"/>
  <c r="DV17" i="16"/>
  <c r="DV16" i="16"/>
  <c r="DV15" i="16"/>
  <c r="DV14" i="16"/>
  <c r="DV13" i="16"/>
  <c r="DV12" i="16"/>
  <c r="DV11" i="16"/>
  <c r="DV10" i="16"/>
  <c r="DV9" i="16"/>
  <c r="DV8" i="16"/>
  <c r="DV7" i="16"/>
  <c r="DV6" i="16"/>
  <c r="DV5" i="16"/>
  <c r="DV4" i="16"/>
  <c r="AH47" i="8"/>
  <c r="AL47" i="8"/>
  <c r="AH46" i="8"/>
  <c r="AH49" i="8"/>
  <c r="AH45" i="8"/>
  <c r="AL45" i="8"/>
  <c r="AH44" i="8"/>
  <c r="AL44" i="8"/>
  <c r="AH43" i="8"/>
  <c r="AL43" i="8"/>
  <c r="AH42" i="8"/>
  <c r="AL42" i="8"/>
  <c r="AH41" i="8"/>
  <c r="AL41" i="8"/>
  <c r="AH40" i="8"/>
  <c r="AL40" i="8"/>
  <c r="AH39" i="8"/>
  <c r="AC46" i="8"/>
  <c r="AC49" i="8"/>
  <c r="AC47" i="8"/>
  <c r="AC45" i="8"/>
  <c r="AC44" i="8"/>
  <c r="AC43" i="8"/>
  <c r="AC42" i="8"/>
  <c r="AC41" i="8"/>
  <c r="AC40" i="8"/>
  <c r="AC39" i="8"/>
  <c r="DR44" i="16"/>
  <c r="DQ44" i="16"/>
  <c r="DR43" i="16"/>
  <c r="DQ43" i="16"/>
  <c r="DR42" i="16"/>
  <c r="DQ42" i="16"/>
  <c r="DR41" i="16"/>
  <c r="DQ41" i="16"/>
  <c r="DR40" i="16"/>
  <c r="DQ40" i="16"/>
  <c r="DR39" i="16"/>
  <c r="DQ39" i="16"/>
  <c r="DR38" i="16"/>
  <c r="DQ38" i="16"/>
  <c r="DR37" i="16"/>
  <c r="DQ37" i="16"/>
  <c r="DR36" i="16"/>
  <c r="DQ36" i="16"/>
  <c r="DR35" i="16"/>
  <c r="DQ35" i="16"/>
  <c r="DR34" i="16"/>
  <c r="DQ34" i="16"/>
  <c r="DS32" i="16"/>
  <c r="DS31" i="16"/>
  <c r="DS30" i="16"/>
  <c r="DS29" i="16"/>
  <c r="DS28" i="16"/>
  <c r="DS27" i="16"/>
  <c r="DS26" i="16"/>
  <c r="DS25" i="16"/>
  <c r="DS24" i="16"/>
  <c r="DS23" i="16"/>
  <c r="DS22" i="16"/>
  <c r="DS21" i="16"/>
  <c r="DS20" i="16"/>
  <c r="DS19" i="16"/>
  <c r="DS18" i="16"/>
  <c r="DS17" i="16"/>
  <c r="DS16" i="16"/>
  <c r="DS15" i="16"/>
  <c r="DS14" i="16"/>
  <c r="DS13" i="16"/>
  <c r="DS12" i="16"/>
  <c r="DS11" i="16"/>
  <c r="DS10" i="16"/>
  <c r="DS9" i="16"/>
  <c r="DS8" i="16"/>
  <c r="DS7" i="16"/>
  <c r="DS6" i="16"/>
  <c r="DS5" i="16"/>
  <c r="DS4" i="16"/>
  <c r="DO44" i="16"/>
  <c r="DN44" i="16"/>
  <c r="DO43" i="16"/>
  <c r="DN43" i="16"/>
  <c r="DO42" i="16"/>
  <c r="DN42" i="16"/>
  <c r="DO41" i="16"/>
  <c r="DN41" i="16"/>
  <c r="DO40" i="16"/>
  <c r="DN40" i="16"/>
  <c r="DO39" i="16"/>
  <c r="DN39" i="16"/>
  <c r="DO38" i="16"/>
  <c r="DN38" i="16"/>
  <c r="DO37" i="16"/>
  <c r="DN37" i="16"/>
  <c r="DO36" i="16"/>
  <c r="DN36" i="16"/>
  <c r="DO35" i="16"/>
  <c r="DN35" i="16"/>
  <c r="DO34" i="16"/>
  <c r="DN34" i="16"/>
  <c r="DP32" i="16"/>
  <c r="DP31" i="16"/>
  <c r="DP30" i="16"/>
  <c r="DP29" i="16"/>
  <c r="DP28" i="16"/>
  <c r="DP27" i="16"/>
  <c r="DP26" i="16"/>
  <c r="DP25" i="16"/>
  <c r="DP24" i="16"/>
  <c r="DP23" i="16"/>
  <c r="DP22" i="16"/>
  <c r="DP21" i="16"/>
  <c r="DP20" i="16"/>
  <c r="DP19" i="16"/>
  <c r="DP18" i="16"/>
  <c r="DP17" i="16"/>
  <c r="DP16" i="16"/>
  <c r="DP15" i="16"/>
  <c r="DP14" i="16"/>
  <c r="DP13" i="16"/>
  <c r="DP12" i="16"/>
  <c r="DP11" i="16"/>
  <c r="DP10" i="16"/>
  <c r="DP9" i="16"/>
  <c r="DP8" i="16"/>
  <c r="DP7" i="16"/>
  <c r="DP6" i="16"/>
  <c r="DP5" i="16"/>
  <c r="DP4" i="16"/>
  <c r="DL44" i="16"/>
  <c r="DK44" i="16"/>
  <c r="DL43" i="16"/>
  <c r="DK43" i="16"/>
  <c r="DL42" i="16"/>
  <c r="DK42" i="16"/>
  <c r="DL41" i="16"/>
  <c r="DK41" i="16"/>
  <c r="DL40" i="16"/>
  <c r="DK40" i="16"/>
  <c r="DL39" i="16"/>
  <c r="DK39" i="16"/>
  <c r="DL38" i="16"/>
  <c r="DK38" i="16"/>
  <c r="DL37" i="16"/>
  <c r="DK37" i="16"/>
  <c r="DL36" i="16"/>
  <c r="DK36" i="16"/>
  <c r="DL35" i="16"/>
  <c r="DK35" i="16"/>
  <c r="DL34" i="16"/>
  <c r="DK34" i="16"/>
  <c r="DM32" i="16"/>
  <c r="DM31" i="16"/>
  <c r="DM30" i="16"/>
  <c r="DM29" i="16"/>
  <c r="DM28" i="16"/>
  <c r="DM27" i="16"/>
  <c r="DM26" i="16"/>
  <c r="DM25" i="16"/>
  <c r="DM24" i="16"/>
  <c r="DM23" i="16"/>
  <c r="DM22" i="16"/>
  <c r="DM21" i="16"/>
  <c r="DM20" i="16"/>
  <c r="DM19" i="16"/>
  <c r="DM18" i="16"/>
  <c r="DM17" i="16"/>
  <c r="DM16" i="16"/>
  <c r="DM15" i="16"/>
  <c r="DM14" i="16"/>
  <c r="DM13" i="16"/>
  <c r="DM12" i="16"/>
  <c r="DM11" i="16"/>
  <c r="DM10" i="16"/>
  <c r="DM9" i="16"/>
  <c r="DM8" i="16"/>
  <c r="DM7" i="16"/>
  <c r="DM6" i="16"/>
  <c r="DM5" i="16"/>
  <c r="DM4" i="16"/>
  <c r="DI44" i="16"/>
  <c r="DH44" i="16"/>
  <c r="DI43" i="16"/>
  <c r="DH43" i="16"/>
  <c r="DI42" i="16"/>
  <c r="DH42" i="16"/>
  <c r="DI41" i="16"/>
  <c r="DH41" i="16"/>
  <c r="DI40" i="16"/>
  <c r="DH40" i="16"/>
  <c r="DI39" i="16"/>
  <c r="DH39" i="16"/>
  <c r="DI38" i="16"/>
  <c r="DH38" i="16"/>
  <c r="DI37" i="16"/>
  <c r="DH37" i="16"/>
  <c r="DI36" i="16"/>
  <c r="DH36" i="16"/>
  <c r="DI35" i="16"/>
  <c r="DH35" i="16"/>
  <c r="DI34" i="16"/>
  <c r="DH34" i="16"/>
  <c r="DF44" i="16"/>
  <c r="DE44" i="16"/>
  <c r="DF43" i="16"/>
  <c r="DE43" i="16"/>
  <c r="DF42" i="16"/>
  <c r="DE42" i="16"/>
  <c r="DF41" i="16"/>
  <c r="DE41" i="16"/>
  <c r="DF40" i="16"/>
  <c r="DE40" i="16"/>
  <c r="DF39" i="16"/>
  <c r="DE39" i="16"/>
  <c r="DF38" i="16"/>
  <c r="DE38" i="16"/>
  <c r="DF37" i="16"/>
  <c r="DE37" i="16"/>
  <c r="DF36" i="16"/>
  <c r="DE36" i="16"/>
  <c r="DF35" i="16"/>
  <c r="DE35" i="16"/>
  <c r="DF34" i="16"/>
  <c r="DE34" i="16"/>
  <c r="DJ32" i="16"/>
  <c r="DJ31" i="16"/>
  <c r="DJ30" i="16"/>
  <c r="DJ29" i="16"/>
  <c r="DJ28" i="16"/>
  <c r="DJ27" i="16"/>
  <c r="DJ26" i="16"/>
  <c r="DJ25" i="16"/>
  <c r="DJ24" i="16"/>
  <c r="DJ23" i="16"/>
  <c r="DJ22" i="16"/>
  <c r="DJ21" i="16"/>
  <c r="DJ20" i="16"/>
  <c r="DJ19" i="16"/>
  <c r="DJ18" i="16"/>
  <c r="DJ17" i="16"/>
  <c r="DJ16" i="16"/>
  <c r="DJ15" i="16"/>
  <c r="DJ14" i="16"/>
  <c r="DJ13" i="16"/>
  <c r="DJ12" i="16"/>
  <c r="DJ11" i="16"/>
  <c r="DJ10" i="16"/>
  <c r="DJ9" i="16"/>
  <c r="DJ8" i="16"/>
  <c r="DJ7" i="16"/>
  <c r="DJ6" i="16"/>
  <c r="DJ5" i="16"/>
  <c r="DJ4" i="16"/>
  <c r="DG5" i="16"/>
  <c r="DG6" i="16"/>
  <c r="DG7" i="16"/>
  <c r="DG8" i="16"/>
  <c r="DG9" i="16"/>
  <c r="DG10" i="16"/>
  <c r="DG11" i="16"/>
  <c r="DG12" i="16"/>
  <c r="DG13" i="16"/>
  <c r="DG14" i="16"/>
  <c r="DG15" i="16"/>
  <c r="DG16" i="16"/>
  <c r="DG17" i="16"/>
  <c r="DG18" i="16"/>
  <c r="DG19" i="16"/>
  <c r="DG20" i="16"/>
  <c r="DG21" i="16"/>
  <c r="DG22" i="16"/>
  <c r="DG23" i="16"/>
  <c r="DG24" i="16"/>
  <c r="DG25" i="16"/>
  <c r="DG26" i="16"/>
  <c r="DG27" i="16"/>
  <c r="DG28" i="16"/>
  <c r="DG29" i="16"/>
  <c r="DG30" i="16"/>
  <c r="DG31" i="16"/>
  <c r="DG32" i="16"/>
  <c r="DG4" i="16"/>
  <c r="X43" i="8"/>
  <c r="AA43" i="8"/>
  <c r="X45" i="8"/>
  <c r="X44" i="8"/>
  <c r="X42" i="8"/>
  <c r="X41" i="8"/>
  <c r="X40" i="8"/>
  <c r="X39" i="8"/>
  <c r="AA45" i="8"/>
  <c r="AB45" i="8"/>
  <c r="AA44" i="8"/>
  <c r="AB44" i="8"/>
  <c r="AB43" i="8"/>
  <c r="AA42" i="8"/>
  <c r="AB42" i="8"/>
  <c r="AA41" i="8"/>
  <c r="AB41" i="8"/>
  <c r="AA40" i="8"/>
  <c r="AB40" i="8"/>
  <c r="AA39" i="8"/>
  <c r="AB39" i="8"/>
  <c r="DD32" i="16"/>
  <c r="DD31" i="16"/>
  <c r="DD30" i="16"/>
  <c r="DD29" i="16"/>
  <c r="DD28" i="16"/>
  <c r="DD27" i="16"/>
  <c r="DD26" i="16"/>
  <c r="DD25" i="16"/>
  <c r="DD24" i="16"/>
  <c r="DD23" i="16"/>
  <c r="DD22" i="16"/>
  <c r="DD21" i="16"/>
  <c r="DD20" i="16"/>
  <c r="DD19" i="16"/>
  <c r="DD18" i="16"/>
  <c r="DD17" i="16"/>
  <c r="DD16" i="16"/>
  <c r="DD15" i="16"/>
  <c r="DD14" i="16"/>
  <c r="DD13" i="16"/>
  <c r="DD12" i="16"/>
  <c r="DD11" i="16"/>
  <c r="DD10" i="16"/>
  <c r="DD9" i="16"/>
  <c r="DD8" i="16"/>
  <c r="DD7" i="16"/>
  <c r="DD6" i="16"/>
  <c r="DD5" i="16"/>
  <c r="DD4" i="16"/>
  <c r="DC44" i="16"/>
  <c r="DB44" i="16"/>
  <c r="DC43" i="16"/>
  <c r="DB43" i="16"/>
  <c r="DC42" i="16"/>
  <c r="DB42" i="16"/>
  <c r="DC41" i="16"/>
  <c r="DB41" i="16"/>
  <c r="DC40" i="16"/>
  <c r="DB40" i="16"/>
  <c r="DC39" i="16"/>
  <c r="DB39" i="16"/>
  <c r="DC38" i="16"/>
  <c r="DB38" i="16"/>
  <c r="DC37" i="16"/>
  <c r="DB37" i="16"/>
  <c r="DC36" i="16"/>
  <c r="DB36" i="16"/>
  <c r="DC35" i="16"/>
  <c r="DB35" i="16"/>
  <c r="DC34" i="16"/>
  <c r="DB34" i="16"/>
  <c r="DA32" i="16"/>
  <c r="DA31" i="16"/>
  <c r="DA30" i="16"/>
  <c r="DA29" i="16"/>
  <c r="DA28" i="16"/>
  <c r="DA27" i="16"/>
  <c r="DA26" i="16"/>
  <c r="DA25" i="16"/>
  <c r="DA24" i="16"/>
  <c r="DA23" i="16"/>
  <c r="DA22" i="16"/>
  <c r="DA21" i="16"/>
  <c r="DA20" i="16"/>
  <c r="DA19" i="16"/>
  <c r="DA18" i="16"/>
  <c r="DA17" i="16"/>
  <c r="DA16" i="16"/>
  <c r="DA15" i="16"/>
  <c r="DA14" i="16"/>
  <c r="DA13" i="16"/>
  <c r="DA12" i="16"/>
  <c r="DA11" i="16"/>
  <c r="DA10" i="16"/>
  <c r="DA9" i="16"/>
  <c r="DA8" i="16"/>
  <c r="DA7" i="16"/>
  <c r="DA6" i="16"/>
  <c r="DA5" i="16"/>
  <c r="DA4" i="16"/>
  <c r="CZ44" i="16"/>
  <c r="CY44" i="16"/>
  <c r="CZ43" i="16"/>
  <c r="CY43" i="16"/>
  <c r="CZ42" i="16"/>
  <c r="CY42" i="16"/>
  <c r="CZ41" i="16"/>
  <c r="CY41" i="16"/>
  <c r="CZ40" i="16"/>
  <c r="CY40" i="16"/>
  <c r="CZ39" i="16"/>
  <c r="CY39" i="16"/>
  <c r="CZ38" i="16"/>
  <c r="CY38" i="16"/>
  <c r="CZ37" i="16"/>
  <c r="CY37" i="16"/>
  <c r="CZ36" i="16"/>
  <c r="CY36" i="16"/>
  <c r="CZ35" i="16"/>
  <c r="CY35" i="16"/>
  <c r="CZ34" i="16"/>
  <c r="CY34" i="16"/>
  <c r="CW44" i="16"/>
  <c r="CV44" i="16"/>
  <c r="CW43" i="16"/>
  <c r="CV43" i="16"/>
  <c r="CW42" i="16"/>
  <c r="CV42" i="16"/>
  <c r="CW41" i="16"/>
  <c r="CV41" i="16"/>
  <c r="CW40" i="16"/>
  <c r="CV40" i="16"/>
  <c r="CW39" i="16"/>
  <c r="CV39" i="16"/>
  <c r="CW38" i="16"/>
  <c r="CV38" i="16"/>
  <c r="CW37" i="16"/>
  <c r="CV37" i="16"/>
  <c r="CW36" i="16"/>
  <c r="CV36" i="16"/>
  <c r="CW35" i="16"/>
  <c r="CV35" i="16"/>
  <c r="CW34" i="16"/>
  <c r="CV34" i="16"/>
  <c r="CX5" i="16"/>
  <c r="CX6" i="16"/>
  <c r="CX7" i="16"/>
  <c r="CX8" i="16"/>
  <c r="CX9" i="16"/>
  <c r="CX10" i="16"/>
  <c r="CX11" i="16"/>
  <c r="CX12" i="16"/>
  <c r="CX13" i="16"/>
  <c r="CX14" i="16"/>
  <c r="CX15" i="16"/>
  <c r="CX16" i="16"/>
  <c r="CX17" i="16"/>
  <c r="CX18" i="16"/>
  <c r="CX19" i="16"/>
  <c r="CX20" i="16"/>
  <c r="CX21" i="16"/>
  <c r="CX22" i="16"/>
  <c r="CX23" i="16"/>
  <c r="CX24" i="16"/>
  <c r="CX25" i="16"/>
  <c r="CX26" i="16"/>
  <c r="CX27" i="16"/>
  <c r="CX28" i="16"/>
  <c r="CX29" i="16"/>
  <c r="CX30" i="16"/>
  <c r="CX31" i="16"/>
  <c r="CX32" i="16"/>
  <c r="CX4" i="16"/>
  <c r="Y28" i="8"/>
  <c r="CT44" i="16"/>
  <c r="CS44" i="16"/>
  <c r="CT43" i="16"/>
  <c r="CS43" i="16"/>
  <c r="CT42" i="16"/>
  <c r="CS42" i="16"/>
  <c r="CT41" i="16"/>
  <c r="CS41" i="16"/>
  <c r="CT40" i="16"/>
  <c r="CS40" i="16"/>
  <c r="CT39" i="16"/>
  <c r="CS39" i="16"/>
  <c r="CT38" i="16"/>
  <c r="CS38" i="16"/>
  <c r="CT37" i="16"/>
  <c r="CS37" i="16"/>
  <c r="CT36" i="16"/>
  <c r="CS36" i="16"/>
  <c r="CT35" i="16"/>
  <c r="CS35" i="16"/>
  <c r="CT34" i="16"/>
  <c r="CS34" i="16"/>
  <c r="CU5" i="16"/>
  <c r="CU6" i="16"/>
  <c r="CU7" i="16"/>
  <c r="CU8" i="16"/>
  <c r="CU9" i="16"/>
  <c r="CU10" i="16"/>
  <c r="CU11" i="16"/>
  <c r="CU12" i="16"/>
  <c r="CU13" i="16"/>
  <c r="CU14" i="16"/>
  <c r="CU15" i="16"/>
  <c r="CU16" i="16"/>
  <c r="CU17" i="16"/>
  <c r="CU18" i="16"/>
  <c r="CU19" i="16"/>
  <c r="CU20" i="16"/>
  <c r="CU21" i="16"/>
  <c r="CU22" i="16"/>
  <c r="CU23" i="16"/>
  <c r="CU24" i="16"/>
  <c r="CU25" i="16"/>
  <c r="CU26" i="16"/>
  <c r="CU27" i="16"/>
  <c r="CU28" i="16"/>
  <c r="CU29" i="16"/>
  <c r="CU30" i="16"/>
  <c r="CU31" i="16"/>
  <c r="CU32" i="16"/>
  <c r="CU4" i="16"/>
  <c r="CQ44" i="16"/>
  <c r="CP44" i="16"/>
  <c r="CQ43" i="16"/>
  <c r="CP43" i="16"/>
  <c r="CQ42" i="16"/>
  <c r="CP42" i="16"/>
  <c r="CQ41" i="16"/>
  <c r="CP41" i="16"/>
  <c r="CQ40" i="16"/>
  <c r="CP40" i="16"/>
  <c r="CQ39" i="16"/>
  <c r="CP39" i="16"/>
  <c r="CQ38" i="16"/>
  <c r="CP38" i="16"/>
  <c r="CQ37" i="16"/>
  <c r="CP37" i="16"/>
  <c r="CQ36" i="16"/>
  <c r="CP36" i="16"/>
  <c r="CQ35" i="16"/>
  <c r="CP35" i="16"/>
  <c r="CQ34" i="16"/>
  <c r="CP34" i="16"/>
  <c r="CR5" i="16"/>
  <c r="CR6" i="16"/>
  <c r="CR7" i="16"/>
  <c r="CR8" i="16"/>
  <c r="CR9" i="16"/>
  <c r="CR10" i="16"/>
  <c r="CR11" i="16"/>
  <c r="CR12" i="16"/>
  <c r="CR13" i="16"/>
  <c r="CR14" i="16"/>
  <c r="CR15" i="16"/>
  <c r="CR16" i="16"/>
  <c r="CR17" i="16"/>
  <c r="CR18" i="16"/>
  <c r="CR19" i="16"/>
  <c r="CR20" i="16"/>
  <c r="CR21" i="16"/>
  <c r="CR22" i="16"/>
  <c r="CR23" i="16"/>
  <c r="CR24" i="16"/>
  <c r="CR25" i="16"/>
  <c r="CR26" i="16"/>
  <c r="CR27" i="16"/>
  <c r="CR28" i="16"/>
  <c r="CR29" i="16"/>
  <c r="CR30" i="16"/>
  <c r="CR31" i="16"/>
  <c r="CR32" i="16"/>
  <c r="CR4" i="16"/>
  <c r="CN44" i="16"/>
  <c r="CM44" i="16"/>
  <c r="CN43" i="16"/>
  <c r="CM43" i="16"/>
  <c r="CN42" i="16"/>
  <c r="CM42" i="16"/>
  <c r="CN41" i="16"/>
  <c r="CM41" i="16"/>
  <c r="CN40" i="16"/>
  <c r="CM40" i="16"/>
  <c r="CN39" i="16"/>
  <c r="CM39" i="16"/>
  <c r="CN38" i="16"/>
  <c r="CM38" i="16"/>
  <c r="CN37" i="16"/>
  <c r="CM37" i="16"/>
  <c r="CN36" i="16"/>
  <c r="CM36" i="16"/>
  <c r="CN35" i="16"/>
  <c r="CM35" i="16"/>
  <c r="CN34" i="16"/>
  <c r="CM34" i="16"/>
  <c r="CO5" i="16"/>
  <c r="CO6" i="16"/>
  <c r="CO7" i="16"/>
  <c r="CO8" i="16"/>
  <c r="CO9" i="16"/>
  <c r="CO10" i="16"/>
  <c r="CO11" i="16"/>
  <c r="CO12" i="16"/>
  <c r="CO13" i="16"/>
  <c r="CO14" i="16"/>
  <c r="CO15" i="16"/>
  <c r="CO16" i="16"/>
  <c r="CO17" i="16"/>
  <c r="CO18" i="16"/>
  <c r="CO19" i="16"/>
  <c r="CO20" i="16"/>
  <c r="CO21" i="16"/>
  <c r="CO22" i="16"/>
  <c r="CO23" i="16"/>
  <c r="CO24" i="16"/>
  <c r="CO25" i="16"/>
  <c r="CO26" i="16"/>
  <c r="CO27" i="16"/>
  <c r="CO28" i="16"/>
  <c r="CO29" i="16"/>
  <c r="CO30" i="16"/>
  <c r="CO31" i="16"/>
  <c r="CO32" i="16"/>
  <c r="CO4" i="16"/>
  <c r="CK44" i="16"/>
  <c r="CJ44" i="16"/>
  <c r="CK43" i="16"/>
  <c r="CJ43" i="16"/>
  <c r="CK42" i="16"/>
  <c r="CJ42" i="16"/>
  <c r="CK41" i="16"/>
  <c r="CJ41" i="16"/>
  <c r="CK40" i="16"/>
  <c r="CJ40" i="16"/>
  <c r="CK39" i="16"/>
  <c r="CJ39" i="16"/>
  <c r="CK38" i="16"/>
  <c r="CJ38" i="16"/>
  <c r="CK37" i="16"/>
  <c r="CJ37" i="16"/>
  <c r="CK36" i="16"/>
  <c r="CJ36" i="16"/>
  <c r="CK35" i="16"/>
  <c r="CJ35" i="16"/>
  <c r="CK34" i="16"/>
  <c r="CJ34" i="16"/>
  <c r="CL5" i="16"/>
  <c r="CL6" i="16"/>
  <c r="CL7" i="16"/>
  <c r="CL8" i="16"/>
  <c r="CL9" i="16"/>
  <c r="CL10" i="16"/>
  <c r="CL11" i="16"/>
  <c r="CL12" i="16"/>
  <c r="CL13" i="16"/>
  <c r="CL14" i="16"/>
  <c r="CL15" i="16"/>
  <c r="CL16" i="16"/>
  <c r="CL17" i="16"/>
  <c r="CL18" i="16"/>
  <c r="CL19" i="16"/>
  <c r="CL20" i="16"/>
  <c r="CL21" i="16"/>
  <c r="CL22" i="16"/>
  <c r="CL23" i="16"/>
  <c r="CL24" i="16"/>
  <c r="CL25" i="16"/>
  <c r="CL26" i="16"/>
  <c r="CL27" i="16"/>
  <c r="CL28" i="16"/>
  <c r="CL29" i="16"/>
  <c r="CL30" i="16"/>
  <c r="CL31" i="16"/>
  <c r="CL32" i="16"/>
  <c r="CL4" i="16"/>
  <c r="CH44" i="16"/>
  <c r="CG44" i="16"/>
  <c r="CH43" i="16"/>
  <c r="CG43" i="16"/>
  <c r="CH42" i="16"/>
  <c r="CG42" i="16"/>
  <c r="CH41" i="16"/>
  <c r="CG41" i="16"/>
  <c r="CH40" i="16"/>
  <c r="CG40" i="16"/>
  <c r="CH39" i="16"/>
  <c r="CG39" i="16"/>
  <c r="CH38" i="16"/>
  <c r="CG38" i="16"/>
  <c r="CH37" i="16"/>
  <c r="CG37" i="16"/>
  <c r="CH36" i="16"/>
  <c r="CG36" i="16"/>
  <c r="CH35" i="16"/>
  <c r="CG35" i="16"/>
  <c r="CH34" i="16"/>
  <c r="CG34" i="16"/>
  <c r="CI5" i="16"/>
  <c r="CI6" i="16"/>
  <c r="CI7" i="16"/>
  <c r="CI8" i="16"/>
  <c r="CI9" i="16"/>
  <c r="CI10" i="16"/>
  <c r="CI11" i="16"/>
  <c r="CI12" i="16"/>
  <c r="CI13" i="16"/>
  <c r="CI14" i="16"/>
  <c r="CI15" i="16"/>
  <c r="CI16" i="16"/>
  <c r="CI17" i="16"/>
  <c r="CI18" i="16"/>
  <c r="CI19" i="16"/>
  <c r="CI20" i="16"/>
  <c r="CI21" i="16"/>
  <c r="CI22" i="16"/>
  <c r="CI23" i="16"/>
  <c r="CI24" i="16"/>
  <c r="CI25" i="16"/>
  <c r="CI26" i="16"/>
  <c r="CI27" i="16"/>
  <c r="CI28" i="16"/>
  <c r="CI29" i="16"/>
  <c r="CI30" i="16"/>
  <c r="CI31" i="16"/>
  <c r="CI32" i="16"/>
  <c r="CI4" i="16"/>
  <c r="V45" i="8"/>
  <c r="V44" i="8"/>
  <c r="V42" i="8"/>
  <c r="V41" i="8"/>
  <c r="V40" i="8"/>
  <c r="CE44" i="16"/>
  <c r="CD44" i="16"/>
  <c r="CE43" i="16"/>
  <c r="CD43" i="16"/>
  <c r="CE42" i="16"/>
  <c r="CD42" i="16"/>
  <c r="CE41" i="16"/>
  <c r="CD41" i="16"/>
  <c r="CE40" i="16"/>
  <c r="CD40" i="16"/>
  <c r="CE39" i="16"/>
  <c r="CD39" i="16"/>
  <c r="CE38" i="16"/>
  <c r="CD38" i="16"/>
  <c r="CE37" i="16"/>
  <c r="CD37" i="16"/>
  <c r="CE36" i="16"/>
  <c r="CD36" i="16"/>
  <c r="CE35" i="16"/>
  <c r="CD35" i="16"/>
  <c r="CE34" i="16"/>
  <c r="CD34" i="16"/>
  <c r="CF5" i="16"/>
  <c r="CF6" i="16"/>
  <c r="CF7" i="16"/>
  <c r="CF8" i="16"/>
  <c r="CF9" i="16"/>
  <c r="CF10" i="16"/>
  <c r="CF11" i="16"/>
  <c r="CF12" i="16"/>
  <c r="CF13" i="16"/>
  <c r="CF14" i="16"/>
  <c r="CF15" i="16"/>
  <c r="CF16" i="16"/>
  <c r="CF17" i="16"/>
  <c r="CF18" i="16"/>
  <c r="CF19" i="16"/>
  <c r="CF20" i="16"/>
  <c r="CF21" i="16"/>
  <c r="CF22" i="16"/>
  <c r="CF23" i="16"/>
  <c r="CF24" i="16"/>
  <c r="CF25" i="16"/>
  <c r="CF26" i="16"/>
  <c r="CF27" i="16"/>
  <c r="CF28" i="16"/>
  <c r="CF29" i="16"/>
  <c r="CF30" i="16"/>
  <c r="CF31" i="16"/>
  <c r="CF32" i="16"/>
  <c r="CF4" i="16"/>
  <c r="CC5" i="16"/>
  <c r="CC6" i="16"/>
  <c r="CC7" i="16"/>
  <c r="CC8" i="16"/>
  <c r="CC9" i="16"/>
  <c r="CC10" i="16"/>
  <c r="CC11" i="16"/>
  <c r="CC12" i="16"/>
  <c r="CC13" i="16"/>
  <c r="CC14" i="16"/>
  <c r="CC15" i="16"/>
  <c r="CC16" i="16"/>
  <c r="CC17" i="16"/>
  <c r="CC18" i="16"/>
  <c r="CC19" i="16"/>
  <c r="CC20" i="16"/>
  <c r="CC21" i="16"/>
  <c r="CC22" i="16"/>
  <c r="CC23" i="16"/>
  <c r="CC24" i="16"/>
  <c r="CC25" i="16"/>
  <c r="CC26" i="16"/>
  <c r="CC27" i="16"/>
  <c r="CC28" i="16"/>
  <c r="CC29" i="16"/>
  <c r="CC30" i="16"/>
  <c r="CC31" i="16"/>
  <c r="CC32" i="16"/>
  <c r="CC4" i="16"/>
  <c r="CB44" i="16"/>
  <c r="CA44" i="16"/>
  <c r="CB43" i="16"/>
  <c r="CA43" i="16"/>
  <c r="CB42" i="16"/>
  <c r="CA42" i="16"/>
  <c r="CB41" i="16"/>
  <c r="CA41" i="16"/>
  <c r="CB40" i="16"/>
  <c r="CA40" i="16"/>
  <c r="CB39" i="16"/>
  <c r="CA39" i="16"/>
  <c r="CB38" i="16"/>
  <c r="CA38" i="16"/>
  <c r="CB37" i="16"/>
  <c r="CA37" i="16"/>
  <c r="CB36" i="16"/>
  <c r="CA36" i="16"/>
  <c r="CB35" i="16"/>
  <c r="CA35" i="16"/>
  <c r="CB34" i="16"/>
  <c r="CA34" i="16"/>
  <c r="EN6" i="30"/>
  <c r="EK6" i="30"/>
  <c r="EL6" i="30"/>
  <c r="EO6" i="28"/>
  <c r="EP6" i="28"/>
  <c r="EP38" i="28" s="1"/>
  <c r="ER6" i="28"/>
  <c r="ER38" i="28" s="1"/>
  <c r="DY44" i="16"/>
  <c r="DY36" i="16"/>
  <c r="DY34" i="16"/>
  <c r="DY43" i="16"/>
  <c r="DY42" i="16"/>
  <c r="DY40" i="16"/>
  <c r="DY38" i="16"/>
  <c r="AG39" i="8"/>
  <c r="AG40" i="8"/>
  <c r="AG41" i="8"/>
  <c r="AG42" i="8"/>
  <c r="AG43" i="8"/>
  <c r="AG44" i="8"/>
  <c r="AG45" i="8"/>
  <c r="AG47" i="8"/>
  <c r="EN34" i="16"/>
  <c r="EN35" i="16"/>
  <c r="EN36" i="16"/>
  <c r="EN37" i="16"/>
  <c r="EN38" i="16"/>
  <c r="EN39" i="16"/>
  <c r="EN40" i="16"/>
  <c r="EN41" i="16"/>
  <c r="EN42" i="16"/>
  <c r="EN43" i="16"/>
  <c r="EN44" i="16"/>
  <c r="EK34" i="16"/>
  <c r="EK35" i="16"/>
  <c r="EK36" i="16"/>
  <c r="EK37" i="16"/>
  <c r="EK38" i="16"/>
  <c r="EK39" i="16"/>
  <c r="EK40" i="16"/>
  <c r="EK41" i="16"/>
  <c r="EK42" i="16"/>
  <c r="EK43" i="16"/>
  <c r="EK44" i="16"/>
  <c r="EH34" i="16"/>
  <c r="EH35" i="16"/>
  <c r="EH36" i="16"/>
  <c r="EH37" i="16"/>
  <c r="EH38" i="16"/>
  <c r="EH39" i="16"/>
  <c r="EH40" i="16"/>
  <c r="EH41" i="16"/>
  <c r="EH42" i="16"/>
  <c r="EH43" i="16"/>
  <c r="EH44" i="16"/>
  <c r="EE34" i="16"/>
  <c r="EE35" i="16"/>
  <c r="EE36" i="16"/>
  <c r="EE37" i="16"/>
  <c r="EE38" i="16"/>
  <c r="EE39" i="16"/>
  <c r="EE40" i="16"/>
  <c r="EE41" i="16"/>
  <c r="EE42" i="16"/>
  <c r="EE43" i="16"/>
  <c r="EE44" i="16"/>
  <c r="EB34" i="16"/>
  <c r="EB35" i="16"/>
  <c r="EB36" i="16"/>
  <c r="EB37" i="16"/>
  <c r="EB38" i="16"/>
  <c r="EB39" i="16"/>
  <c r="EB40" i="16"/>
  <c r="EB41" i="16"/>
  <c r="EB42" i="16"/>
  <c r="EB43" i="16"/>
  <c r="EB44" i="16"/>
  <c r="DV34" i="16"/>
  <c r="DV35" i="16"/>
  <c r="DV36" i="16"/>
  <c r="DV37" i="16"/>
  <c r="DV38" i="16"/>
  <c r="DV39" i="16"/>
  <c r="DV40" i="16"/>
  <c r="DV41" i="16"/>
  <c r="DV42" i="16"/>
  <c r="DV43" i="16"/>
  <c r="DV44" i="16"/>
  <c r="AH52" i="8"/>
  <c r="AH51" i="8"/>
  <c r="AH50" i="8"/>
  <c r="AC52" i="8"/>
  <c r="AC51" i="8"/>
  <c r="AC50" i="8"/>
  <c r="DS34" i="16"/>
  <c r="DS35" i="16"/>
  <c r="DS36" i="16"/>
  <c r="DS37" i="16"/>
  <c r="DS38" i="16"/>
  <c r="DS39" i="16"/>
  <c r="DS40" i="16"/>
  <c r="DS41" i="16"/>
  <c r="DS42" i="16"/>
  <c r="DS43" i="16"/>
  <c r="DS44" i="16"/>
  <c r="DP34" i="16"/>
  <c r="DP35" i="16"/>
  <c r="DP36" i="16"/>
  <c r="DP37" i="16"/>
  <c r="DP38" i="16"/>
  <c r="DP39" i="16"/>
  <c r="DP40" i="16"/>
  <c r="DP41" i="16"/>
  <c r="DP42" i="16"/>
  <c r="DP43" i="16"/>
  <c r="DP44" i="16"/>
  <c r="DM34" i="16"/>
  <c r="DM35" i="16"/>
  <c r="DM36" i="16"/>
  <c r="DM37" i="16"/>
  <c r="DM38" i="16"/>
  <c r="DM39" i="16"/>
  <c r="DM40" i="16"/>
  <c r="DM41" i="16"/>
  <c r="DM42" i="16"/>
  <c r="DM43" i="16"/>
  <c r="DM44" i="16"/>
  <c r="DJ34" i="16"/>
  <c r="DJ35" i="16"/>
  <c r="DJ36" i="16"/>
  <c r="DJ37" i="16"/>
  <c r="DJ38" i="16"/>
  <c r="DJ39" i="16"/>
  <c r="DJ40" i="16"/>
  <c r="DJ41" i="16"/>
  <c r="DJ42" i="16"/>
  <c r="DJ43" i="16"/>
  <c r="DJ44" i="16"/>
  <c r="DG34" i="16"/>
  <c r="DG35" i="16"/>
  <c r="DG36" i="16"/>
  <c r="DG37" i="16"/>
  <c r="DG38" i="16"/>
  <c r="DG39" i="16"/>
  <c r="DG40" i="16"/>
  <c r="DG41" i="16"/>
  <c r="DG42" i="16"/>
  <c r="DG43" i="16"/>
  <c r="DG44" i="16"/>
  <c r="JD47" i="8"/>
  <c r="JD46" i="8"/>
  <c r="JD43" i="8"/>
  <c r="DD34" i="16"/>
  <c r="DD35" i="16"/>
  <c r="DD36" i="16"/>
  <c r="DD37" i="16"/>
  <c r="DD38" i="16"/>
  <c r="DD39" i="16"/>
  <c r="DD40" i="16"/>
  <c r="DD41" i="16"/>
  <c r="DD42" i="16"/>
  <c r="DD43" i="16"/>
  <c r="DD44" i="16"/>
  <c r="DA34" i="16"/>
  <c r="DA35" i="16"/>
  <c r="DA36" i="16"/>
  <c r="DA37" i="16"/>
  <c r="DA38" i="16"/>
  <c r="DA39" i="16"/>
  <c r="DA40" i="16"/>
  <c r="DA41" i="16"/>
  <c r="DA42" i="16"/>
  <c r="DA43" i="16"/>
  <c r="DA44" i="16"/>
  <c r="CX34" i="16"/>
  <c r="CX35" i="16"/>
  <c r="CX36" i="16"/>
  <c r="CX37" i="16"/>
  <c r="CX38" i="16"/>
  <c r="CX39" i="16"/>
  <c r="CX40" i="16"/>
  <c r="CX41" i="16"/>
  <c r="CX42" i="16"/>
  <c r="CX43" i="16"/>
  <c r="CX44" i="16"/>
  <c r="CU34" i="16"/>
  <c r="CU35" i="16"/>
  <c r="CU36" i="16"/>
  <c r="CU37" i="16"/>
  <c r="CU38" i="16"/>
  <c r="CU39" i="16"/>
  <c r="CU40" i="16"/>
  <c r="CU41" i="16"/>
  <c r="CU42" i="16"/>
  <c r="CU43" i="16"/>
  <c r="CU44" i="16"/>
  <c r="CR34" i="16"/>
  <c r="CR35" i="16"/>
  <c r="CR36" i="16"/>
  <c r="CR37" i="16"/>
  <c r="CR38" i="16"/>
  <c r="CR39" i="16"/>
  <c r="CR40" i="16"/>
  <c r="CR41" i="16"/>
  <c r="CR42" i="16"/>
  <c r="CR43" i="16"/>
  <c r="CR44" i="16"/>
  <c r="CO34" i="16"/>
  <c r="CO35" i="16"/>
  <c r="CO36" i="16"/>
  <c r="CO37" i="16"/>
  <c r="CO38" i="16"/>
  <c r="CO39" i="16"/>
  <c r="CO40" i="16"/>
  <c r="CO41" i="16"/>
  <c r="CO42" i="16"/>
  <c r="CO43" i="16"/>
  <c r="CO44" i="16"/>
  <c r="CL34" i="16"/>
  <c r="CL35" i="16"/>
  <c r="CL36" i="16"/>
  <c r="CL37" i="16"/>
  <c r="CL38" i="16"/>
  <c r="CL39" i="16"/>
  <c r="CL40" i="16"/>
  <c r="CL41" i="16"/>
  <c r="CL42" i="16"/>
  <c r="CL43" i="16"/>
  <c r="CL44" i="16"/>
  <c r="CI41" i="16"/>
  <c r="CI42" i="16"/>
  <c r="CI43" i="16"/>
  <c r="CI44" i="16"/>
  <c r="CI34" i="16"/>
  <c r="CI35" i="16"/>
  <c r="CI36" i="16"/>
  <c r="CI37" i="16"/>
  <c r="CI38" i="16"/>
  <c r="CI39" i="16"/>
  <c r="CI40" i="16"/>
  <c r="CF34" i="16"/>
  <c r="CF35" i="16"/>
  <c r="CF36" i="16"/>
  <c r="CF37" i="16"/>
  <c r="CF38" i="16"/>
  <c r="CF39" i="16"/>
  <c r="CF40" i="16"/>
  <c r="CF41" i="16"/>
  <c r="CF42" i="16"/>
  <c r="CF43" i="16"/>
  <c r="CF44" i="16"/>
  <c r="CC34" i="16"/>
  <c r="CC35" i="16"/>
  <c r="CC36" i="16"/>
  <c r="CC37" i="16"/>
  <c r="CC38" i="16"/>
  <c r="CC39" i="16"/>
  <c r="CC40" i="16"/>
  <c r="CC41" i="16"/>
  <c r="CC42" i="16"/>
  <c r="CC43" i="16"/>
  <c r="CC44" i="16"/>
  <c r="ER6" i="30"/>
  <c r="EO6" i="30"/>
  <c r="EP6" i="30"/>
  <c r="ES6" i="28"/>
  <c r="ES38" i="28" s="1"/>
  <c r="ET6" i="28"/>
  <c r="EV6" i="28"/>
  <c r="BY44" i="16"/>
  <c r="BX44" i="16"/>
  <c r="BY43" i="16"/>
  <c r="BX43" i="16"/>
  <c r="BY42" i="16"/>
  <c r="BX42" i="16"/>
  <c r="BY41" i="16"/>
  <c r="BX41" i="16"/>
  <c r="BY40" i="16"/>
  <c r="BX40" i="16"/>
  <c r="BY39" i="16"/>
  <c r="BX39" i="16"/>
  <c r="BY38" i="16"/>
  <c r="BX38" i="16"/>
  <c r="BY37" i="16"/>
  <c r="BX37" i="16"/>
  <c r="BY36" i="16"/>
  <c r="BX36" i="16"/>
  <c r="BY35" i="16"/>
  <c r="BX35" i="16"/>
  <c r="BY34" i="16"/>
  <c r="BX34" i="16"/>
  <c r="BZ5" i="16"/>
  <c r="BZ6" i="16"/>
  <c r="BZ7" i="16"/>
  <c r="BZ8" i="16"/>
  <c r="BZ9" i="16"/>
  <c r="BZ10" i="16"/>
  <c r="BZ11" i="16"/>
  <c r="BZ12" i="16"/>
  <c r="BZ13" i="16"/>
  <c r="BZ14" i="16"/>
  <c r="BZ15" i="16"/>
  <c r="BZ16" i="16"/>
  <c r="BZ17" i="16"/>
  <c r="BZ18" i="16"/>
  <c r="BZ19" i="16"/>
  <c r="BZ20" i="16"/>
  <c r="BZ21" i="16"/>
  <c r="BZ22" i="16"/>
  <c r="BZ23" i="16"/>
  <c r="BZ24" i="16"/>
  <c r="BZ25" i="16"/>
  <c r="BZ26" i="16"/>
  <c r="BZ27" i="16"/>
  <c r="BZ28" i="16"/>
  <c r="BZ29" i="16"/>
  <c r="BZ30" i="16"/>
  <c r="BZ31" i="16"/>
  <c r="BZ32" i="16"/>
  <c r="BZ4" i="16"/>
  <c r="EV6" i="30"/>
  <c r="ES6" i="30"/>
  <c r="ET6" i="30"/>
  <c r="EW6" i="28"/>
  <c r="EW38" i="28" s="1"/>
  <c r="EW41" i="28" s="1"/>
  <c r="EX6" i="28"/>
  <c r="EX38" i="28" s="1"/>
  <c r="EZ6" i="28"/>
  <c r="BZ37" i="16"/>
  <c r="BZ34" i="16"/>
  <c r="BZ35" i="16"/>
  <c r="BZ36" i="16"/>
  <c r="BZ38" i="16"/>
  <c r="BZ39" i="16"/>
  <c r="BZ40" i="16"/>
  <c r="BZ41" i="16"/>
  <c r="BZ42" i="16"/>
  <c r="BZ43" i="16"/>
  <c r="BZ44" i="16"/>
  <c r="BV44" i="16"/>
  <c r="BU44" i="16"/>
  <c r="BV43" i="16"/>
  <c r="BU43" i="16"/>
  <c r="BV42" i="16"/>
  <c r="BU42" i="16"/>
  <c r="BV41" i="16"/>
  <c r="BU41" i="16"/>
  <c r="BV40" i="16"/>
  <c r="BU40" i="16"/>
  <c r="BV39" i="16"/>
  <c r="BU39" i="16"/>
  <c r="BV38" i="16"/>
  <c r="BU38" i="16"/>
  <c r="BV37" i="16"/>
  <c r="BU37" i="16"/>
  <c r="BV36" i="16"/>
  <c r="BU36" i="16"/>
  <c r="BV35" i="16"/>
  <c r="BU35" i="16"/>
  <c r="BV34" i="16"/>
  <c r="BU34" i="16"/>
  <c r="BW5" i="16"/>
  <c r="BW6" i="16"/>
  <c r="BW7" i="16"/>
  <c r="BW8" i="16"/>
  <c r="BW9" i="16"/>
  <c r="BW10" i="16"/>
  <c r="BW11" i="16"/>
  <c r="BW12" i="16"/>
  <c r="BW13" i="16"/>
  <c r="BW14" i="16"/>
  <c r="BW15" i="16"/>
  <c r="BW16" i="16"/>
  <c r="BW17" i="16"/>
  <c r="BW18" i="16"/>
  <c r="BW19" i="16"/>
  <c r="BW20" i="16"/>
  <c r="BW21" i="16"/>
  <c r="BW22" i="16"/>
  <c r="BW23" i="16"/>
  <c r="BW24" i="16"/>
  <c r="BW25" i="16"/>
  <c r="BW26" i="16"/>
  <c r="BW27" i="16"/>
  <c r="BW28" i="16"/>
  <c r="BW29" i="16"/>
  <c r="BW30" i="16"/>
  <c r="BW31" i="16"/>
  <c r="BW32" i="16"/>
  <c r="BW4" i="16"/>
  <c r="BS44" i="16"/>
  <c r="BR44" i="16"/>
  <c r="BS43" i="16"/>
  <c r="BR43" i="16"/>
  <c r="BS42" i="16"/>
  <c r="BR42" i="16"/>
  <c r="BS41" i="16"/>
  <c r="BR41" i="16"/>
  <c r="BS40" i="16"/>
  <c r="BR40" i="16"/>
  <c r="BS39" i="16"/>
  <c r="BR39" i="16"/>
  <c r="BS38" i="16"/>
  <c r="BR38" i="16"/>
  <c r="BS37" i="16"/>
  <c r="BR37" i="16"/>
  <c r="BT37" i="16"/>
  <c r="BS36" i="16"/>
  <c r="BR36" i="16"/>
  <c r="BS35" i="16"/>
  <c r="BR35" i="16"/>
  <c r="BS34" i="16"/>
  <c r="BR34" i="16"/>
  <c r="BT5" i="16"/>
  <c r="BT6" i="16"/>
  <c r="BT7" i="16"/>
  <c r="BT8" i="16"/>
  <c r="BT9" i="16"/>
  <c r="BT10" i="16"/>
  <c r="BT11" i="16"/>
  <c r="BT12" i="16"/>
  <c r="BT13" i="16"/>
  <c r="BT14" i="16"/>
  <c r="BT15" i="16"/>
  <c r="BT16" i="16"/>
  <c r="BT17" i="16"/>
  <c r="BT18" i="16"/>
  <c r="BT19" i="16"/>
  <c r="BT20" i="16"/>
  <c r="BT21" i="16"/>
  <c r="BT22" i="16"/>
  <c r="BT23" i="16"/>
  <c r="BT24" i="16"/>
  <c r="BT25" i="16"/>
  <c r="BT26" i="16"/>
  <c r="BT27" i="16"/>
  <c r="BT28" i="16"/>
  <c r="BT29" i="16"/>
  <c r="BT30" i="16"/>
  <c r="BT31" i="16"/>
  <c r="BT32" i="16"/>
  <c r="BT4" i="16"/>
  <c r="EZ6" i="30"/>
  <c r="EW6" i="30"/>
  <c r="EX6" i="30"/>
  <c r="FA6" i="28"/>
  <c r="FA38" i="28" s="1"/>
  <c r="FA41" i="28" s="1"/>
  <c r="FB6" i="28"/>
  <c r="FB38" i="28" s="1"/>
  <c r="FH6" i="28"/>
  <c r="BW34" i="16"/>
  <c r="BW35" i="16"/>
  <c r="BW36" i="16"/>
  <c r="BW37" i="16"/>
  <c r="BW38" i="16"/>
  <c r="BW39" i="16"/>
  <c r="BW40" i="16"/>
  <c r="BW41" i="16"/>
  <c r="BW42" i="16"/>
  <c r="BW43" i="16"/>
  <c r="BW44" i="16"/>
  <c r="BT34" i="16"/>
  <c r="BT35" i="16"/>
  <c r="BT36" i="16"/>
  <c r="BT38" i="16"/>
  <c r="BT39" i="16"/>
  <c r="BT40" i="16"/>
  <c r="BT41" i="16"/>
  <c r="BT42" i="16"/>
  <c r="BT43" i="16"/>
  <c r="BT44" i="16"/>
  <c r="S45" i="8"/>
  <c r="W45" i="8"/>
  <c r="S44" i="8"/>
  <c r="W44" i="8"/>
  <c r="S42" i="8"/>
  <c r="W42" i="8"/>
  <c r="S41" i="8"/>
  <c r="W41" i="8"/>
  <c r="S40" i="8"/>
  <c r="W40" i="8"/>
  <c r="IW7" i="16"/>
  <c r="IW8" i="16"/>
  <c r="IW11" i="16"/>
  <c r="IW12" i="16"/>
  <c r="IW15" i="16"/>
  <c r="IW16" i="16"/>
  <c r="IW19" i="16"/>
  <c r="IW20" i="16"/>
  <c r="IW23" i="16"/>
  <c r="IW24" i="16"/>
  <c r="IW27" i="16"/>
  <c r="IW28" i="16"/>
  <c r="IW31" i="16"/>
  <c r="IW32" i="16"/>
  <c r="IS6" i="16"/>
  <c r="IS10" i="16"/>
  <c r="BO43" i="16"/>
  <c r="BP43" i="16"/>
  <c r="BO44" i="16"/>
  <c r="BP44" i="16"/>
  <c r="BO38" i="16"/>
  <c r="BP38" i="16"/>
  <c r="BO39" i="16"/>
  <c r="BP39" i="16"/>
  <c r="BO40" i="16"/>
  <c r="BP40" i="16"/>
  <c r="Q45" i="8"/>
  <c r="Q44" i="8"/>
  <c r="N44" i="8"/>
  <c r="N45" i="8"/>
  <c r="Q42" i="8"/>
  <c r="Q41" i="8"/>
  <c r="Q40" i="8"/>
  <c r="Q39" i="8"/>
  <c r="N42" i="8"/>
  <c r="N41" i="8"/>
  <c r="N40" i="8"/>
  <c r="W32" i="8"/>
  <c r="W33" i="8"/>
  <c r="W34" i="8"/>
  <c r="W35" i="8"/>
  <c r="W36" i="8"/>
  <c r="R16" i="8"/>
  <c r="R17" i="8"/>
  <c r="R32" i="8"/>
  <c r="R33" i="8"/>
  <c r="R34" i="8"/>
  <c r="R35" i="8"/>
  <c r="R36" i="8"/>
  <c r="IW5" i="16"/>
  <c r="IV39" i="16"/>
  <c r="IW9" i="16"/>
  <c r="IW10" i="16"/>
  <c r="IW13" i="16"/>
  <c r="IW14" i="16"/>
  <c r="IW17" i="16"/>
  <c r="IW18" i="16"/>
  <c r="IW21" i="16"/>
  <c r="IW22" i="16"/>
  <c r="IW4" i="16"/>
  <c r="IU39" i="16"/>
  <c r="IU40" i="16"/>
  <c r="IU38" i="16"/>
  <c r="IS5" i="16"/>
  <c r="IR39" i="16"/>
  <c r="IS9" i="16"/>
  <c r="IS12" i="16"/>
  <c r="IS13" i="16"/>
  <c r="IS16" i="16"/>
  <c r="IS17" i="16"/>
  <c r="IS20" i="16"/>
  <c r="IS21" i="16"/>
  <c r="IR38" i="16"/>
  <c r="IS11" i="16"/>
  <c r="IS14" i="16"/>
  <c r="IS15" i="16"/>
  <c r="IS18" i="16"/>
  <c r="IS19" i="16"/>
  <c r="IS22" i="16"/>
  <c r="IQ38" i="16"/>
  <c r="IS7" i="16"/>
  <c r="IQ39" i="16"/>
  <c r="IQ40" i="16"/>
  <c r="BP42" i="16"/>
  <c r="BO42" i="16"/>
  <c r="BP41" i="16"/>
  <c r="BO41" i="16"/>
  <c r="BP37" i="16"/>
  <c r="BO37" i="16"/>
  <c r="BP36" i="16"/>
  <c r="BO36" i="16"/>
  <c r="BP35" i="16"/>
  <c r="BO35" i="16"/>
  <c r="BP34" i="16"/>
  <c r="BO34" i="16"/>
  <c r="BM42" i="16"/>
  <c r="BL42" i="16"/>
  <c r="BM41" i="16"/>
  <c r="BL41" i="16"/>
  <c r="BM37" i="16"/>
  <c r="BL37" i="16"/>
  <c r="BM36" i="16"/>
  <c r="BL36" i="16"/>
  <c r="BM35" i="16"/>
  <c r="BL35" i="16"/>
  <c r="BM34" i="16"/>
  <c r="BL34" i="16"/>
  <c r="BJ42" i="16"/>
  <c r="BI42" i="16"/>
  <c r="BJ41" i="16"/>
  <c r="BI41" i="16"/>
  <c r="BJ37" i="16"/>
  <c r="BI37" i="16"/>
  <c r="BJ36" i="16"/>
  <c r="BI36" i="16"/>
  <c r="BJ35" i="16"/>
  <c r="BI35" i="16"/>
  <c r="BJ34" i="16"/>
  <c r="BI34" i="16"/>
  <c r="BQ5" i="16"/>
  <c r="BQ6" i="16"/>
  <c r="BQ7" i="16"/>
  <c r="BQ8" i="16"/>
  <c r="BQ9" i="16"/>
  <c r="BQ10" i="16"/>
  <c r="BQ11" i="16"/>
  <c r="BQ12" i="16"/>
  <c r="BQ13" i="16"/>
  <c r="BQ14" i="16"/>
  <c r="BQ15" i="16"/>
  <c r="BQ16" i="16"/>
  <c r="BQ17" i="16"/>
  <c r="BQ18" i="16"/>
  <c r="BQ19" i="16"/>
  <c r="BQ20" i="16"/>
  <c r="BQ21" i="16"/>
  <c r="BQ22" i="16"/>
  <c r="BQ23" i="16"/>
  <c r="BQ24" i="16"/>
  <c r="BQ25" i="16"/>
  <c r="BQ26" i="16"/>
  <c r="BQ27" i="16"/>
  <c r="BQ28" i="16"/>
  <c r="BQ29" i="16"/>
  <c r="BQ30" i="16"/>
  <c r="BQ31" i="16"/>
  <c r="BQ32" i="16"/>
  <c r="BN5" i="16"/>
  <c r="BN6" i="16"/>
  <c r="BN7" i="16"/>
  <c r="BN8" i="16"/>
  <c r="BN9" i="16"/>
  <c r="BN10" i="16"/>
  <c r="BN11" i="16"/>
  <c r="BN12" i="16"/>
  <c r="BN13" i="16"/>
  <c r="BN14" i="16"/>
  <c r="BN15" i="16"/>
  <c r="BN16" i="16"/>
  <c r="BN17" i="16"/>
  <c r="BN18" i="16"/>
  <c r="BN19" i="16"/>
  <c r="BN20" i="16"/>
  <c r="BN21" i="16"/>
  <c r="BN22" i="16"/>
  <c r="BN23" i="16"/>
  <c r="BN24" i="16"/>
  <c r="BN25" i="16"/>
  <c r="BN26" i="16"/>
  <c r="BN27" i="16"/>
  <c r="BN28" i="16"/>
  <c r="BN29" i="16"/>
  <c r="BN30" i="16"/>
  <c r="BN31" i="16"/>
  <c r="BN32" i="16"/>
  <c r="BK5" i="16"/>
  <c r="BK6" i="16"/>
  <c r="BK7" i="16"/>
  <c r="BK8" i="16"/>
  <c r="BK9" i="16"/>
  <c r="BK10" i="16"/>
  <c r="BK11" i="16"/>
  <c r="BK12" i="16"/>
  <c r="BK13" i="16"/>
  <c r="BK14" i="16"/>
  <c r="BK15" i="16"/>
  <c r="BK16" i="16"/>
  <c r="BK17" i="16"/>
  <c r="BK18" i="16"/>
  <c r="BK19" i="16"/>
  <c r="BK20" i="16"/>
  <c r="BK21" i="16"/>
  <c r="BK22" i="16"/>
  <c r="BK23" i="16"/>
  <c r="BK24" i="16"/>
  <c r="BK25" i="16"/>
  <c r="BK26" i="16"/>
  <c r="BK27" i="16"/>
  <c r="BK28" i="16"/>
  <c r="BK29" i="16"/>
  <c r="BK30" i="16"/>
  <c r="BK31" i="16"/>
  <c r="BK32" i="16"/>
  <c r="BQ4" i="16"/>
  <c r="BN4" i="16"/>
  <c r="BK4" i="16"/>
  <c r="FA6" i="30"/>
  <c r="FB6" i="30"/>
  <c r="FH6" i="30"/>
  <c r="FL6" i="28"/>
  <c r="FL38" i="28" s="1"/>
  <c r="FI6" i="28"/>
  <c r="FI38" i="28" s="1"/>
  <c r="FJ6" i="28"/>
  <c r="BQ43" i="16"/>
  <c r="BQ44" i="16"/>
  <c r="BQ39" i="16"/>
  <c r="BQ40" i="16"/>
  <c r="BQ38" i="16"/>
  <c r="R40" i="8"/>
  <c r="R41" i="8"/>
  <c r="R42" i="8"/>
  <c r="R44" i="8"/>
  <c r="R45" i="8"/>
  <c r="IT38" i="16"/>
  <c r="IT39" i="16"/>
  <c r="IW38" i="16"/>
  <c r="IW40" i="16"/>
  <c r="IR40" i="16"/>
  <c r="IT40" i="16"/>
  <c r="IS30" i="16"/>
  <c r="IS40" i="16"/>
  <c r="IV38" i="16"/>
  <c r="IX38" i="16"/>
  <c r="IV40" i="16"/>
  <c r="IV44" i="16"/>
  <c r="IS4" i="16"/>
  <c r="IS29" i="16"/>
  <c r="IS25" i="16"/>
  <c r="IW30" i="16"/>
  <c r="IW26" i="16"/>
  <c r="IW6" i="16"/>
  <c r="IQ43" i="16"/>
  <c r="IS26" i="16"/>
  <c r="IQ44" i="16"/>
  <c r="IU44" i="16"/>
  <c r="IS32" i="16"/>
  <c r="IS28" i="16"/>
  <c r="IS24" i="16"/>
  <c r="IS8" i="16"/>
  <c r="IW29" i="16"/>
  <c r="IW25" i="16"/>
  <c r="IT44" i="16"/>
  <c r="IS31" i="16"/>
  <c r="IS27" i="16"/>
  <c r="IS23" i="16"/>
  <c r="IX39" i="16"/>
  <c r="BK34" i="16"/>
  <c r="BK35" i="16"/>
  <c r="BK36" i="16"/>
  <c r="BK37" i="16"/>
  <c r="BK41" i="16"/>
  <c r="BK42" i="16"/>
  <c r="BN34" i="16"/>
  <c r="BN35" i="16"/>
  <c r="BN36" i="16"/>
  <c r="BN37" i="16"/>
  <c r="BN41" i="16"/>
  <c r="BN42" i="16"/>
  <c r="BQ34" i="16"/>
  <c r="BQ35" i="16"/>
  <c r="BQ36" i="16"/>
  <c r="BQ37" i="16"/>
  <c r="BQ41" i="16"/>
  <c r="BQ42" i="16"/>
  <c r="BE15" i="16"/>
  <c r="BG42" i="16"/>
  <c r="BF42" i="16"/>
  <c r="BG41" i="16"/>
  <c r="BF41" i="16"/>
  <c r="BG37" i="16"/>
  <c r="BF37" i="16"/>
  <c r="BG36" i="16"/>
  <c r="BF36" i="16"/>
  <c r="BG35" i="16"/>
  <c r="BF35" i="16"/>
  <c r="BG34" i="16"/>
  <c r="BF34" i="16"/>
  <c r="BH5" i="16"/>
  <c r="BH6" i="16"/>
  <c r="BH7" i="16"/>
  <c r="BH8" i="16"/>
  <c r="BH9" i="16"/>
  <c r="BH10" i="16"/>
  <c r="BH11" i="16"/>
  <c r="BH12" i="16"/>
  <c r="BH13" i="16"/>
  <c r="BH14" i="16"/>
  <c r="BH15" i="16"/>
  <c r="BH16" i="16"/>
  <c r="BH17" i="16"/>
  <c r="BH18" i="16"/>
  <c r="BH19" i="16"/>
  <c r="BH20" i="16"/>
  <c r="BH21" i="16"/>
  <c r="BH22" i="16"/>
  <c r="BH23" i="16"/>
  <c r="BH24" i="16"/>
  <c r="BH25" i="16"/>
  <c r="BH26" i="16"/>
  <c r="BH27" i="16"/>
  <c r="BH28" i="16"/>
  <c r="BH29" i="16"/>
  <c r="BH30" i="16"/>
  <c r="BH31" i="16"/>
  <c r="BH32" i="16"/>
  <c r="BH4" i="16"/>
  <c r="FL6" i="30"/>
  <c r="FI6" i="30"/>
  <c r="FJ6" i="30"/>
  <c r="FP6" i="28"/>
  <c r="FP38" i="28" s="1"/>
  <c r="FM6" i="28"/>
  <c r="FN6" i="28"/>
  <c r="FN38" i="28" s="1"/>
  <c r="IW44" i="16"/>
  <c r="IS39" i="16"/>
  <c r="IX40" i="16"/>
  <c r="IX43" i="16"/>
  <c r="IW43" i="16"/>
  <c r="IW39" i="16"/>
  <c r="IW36" i="16"/>
  <c r="IX44" i="16"/>
  <c r="IT43" i="16"/>
  <c r="IW41" i="16"/>
  <c r="IS43" i="16"/>
  <c r="IS42" i="16"/>
  <c r="IS41" i="16"/>
  <c r="IW34" i="16"/>
  <c r="IW37" i="16"/>
  <c r="IW42" i="16"/>
  <c r="IS44" i="16"/>
  <c r="IS36" i="16"/>
  <c r="IS35" i="16"/>
  <c r="IS37" i="16"/>
  <c r="IS38" i="16"/>
  <c r="IS34" i="16"/>
  <c r="IW35" i="16"/>
  <c r="BH34" i="16"/>
  <c r="BH35" i="16"/>
  <c r="BH36" i="16"/>
  <c r="BH37" i="16"/>
  <c r="BH41" i="16"/>
  <c r="BH42" i="16"/>
  <c r="BD42" i="16"/>
  <c r="BC42" i="16"/>
  <c r="BD41" i="16"/>
  <c r="BC41" i="16"/>
  <c r="BD37" i="16"/>
  <c r="BC37" i="16"/>
  <c r="BD36" i="16"/>
  <c r="BC36" i="16"/>
  <c r="BD35" i="16"/>
  <c r="BC35" i="16"/>
  <c r="BD34" i="16"/>
  <c r="BC34" i="16"/>
  <c r="BE5" i="16"/>
  <c r="BE6" i="16"/>
  <c r="BE7" i="16"/>
  <c r="BE8" i="16"/>
  <c r="BE9" i="16"/>
  <c r="BE10" i="16"/>
  <c r="BE11" i="16"/>
  <c r="BE12" i="16"/>
  <c r="BE13" i="16"/>
  <c r="BE14" i="16"/>
  <c r="BE16" i="16"/>
  <c r="BE17" i="16"/>
  <c r="BE18" i="16"/>
  <c r="BE19" i="16"/>
  <c r="BE20" i="16"/>
  <c r="BE21" i="16"/>
  <c r="BE22" i="16"/>
  <c r="BE23" i="16"/>
  <c r="BE24" i="16"/>
  <c r="BE25" i="16"/>
  <c r="BE26" i="16"/>
  <c r="BE27" i="16"/>
  <c r="BE28" i="16"/>
  <c r="BE29" i="16"/>
  <c r="BE30" i="16"/>
  <c r="BE31" i="16"/>
  <c r="BE32" i="16"/>
  <c r="BE4" i="16"/>
  <c r="FP6" i="30"/>
  <c r="FM6" i="30"/>
  <c r="FN6" i="30"/>
  <c r="FT6" i="28"/>
  <c r="FQ6" i="28"/>
  <c r="FQ38" i="28" s="1"/>
  <c r="FR6" i="28"/>
  <c r="BE34" i="16"/>
  <c r="BE35" i="16"/>
  <c r="BE36" i="16"/>
  <c r="BE37" i="16"/>
  <c r="BE41" i="16"/>
  <c r="BE42" i="16"/>
  <c r="BA42" i="16"/>
  <c r="AZ42" i="16"/>
  <c r="BA41" i="16"/>
  <c r="AZ41" i="16"/>
  <c r="BA37" i="16"/>
  <c r="AZ37" i="16"/>
  <c r="BA36" i="16"/>
  <c r="AZ36" i="16"/>
  <c r="BA35" i="16"/>
  <c r="AZ35" i="16"/>
  <c r="BA34" i="16"/>
  <c r="AZ34" i="16"/>
  <c r="BB5" i="16"/>
  <c r="BB6" i="16"/>
  <c r="BB7" i="16"/>
  <c r="BB8" i="16"/>
  <c r="BB9" i="16"/>
  <c r="BB10" i="16"/>
  <c r="BB11" i="16"/>
  <c r="BB12" i="16"/>
  <c r="BB13" i="16"/>
  <c r="BB14" i="16"/>
  <c r="BB15" i="16"/>
  <c r="BB16" i="16"/>
  <c r="BB17" i="16"/>
  <c r="BB18" i="16"/>
  <c r="BB19" i="16"/>
  <c r="BB20" i="16"/>
  <c r="BB21" i="16"/>
  <c r="BB22" i="16"/>
  <c r="BB23" i="16"/>
  <c r="BB24" i="16"/>
  <c r="BB25" i="16"/>
  <c r="BB26" i="16"/>
  <c r="BB27" i="16"/>
  <c r="BB28" i="16"/>
  <c r="BB29" i="16"/>
  <c r="BB30" i="16"/>
  <c r="BB31" i="16"/>
  <c r="BB32" i="16"/>
  <c r="BB4" i="16"/>
  <c r="FT6" i="30"/>
  <c r="FQ6" i="30"/>
  <c r="FR6" i="30"/>
  <c r="FX6" i="28"/>
  <c r="FU6" i="28"/>
  <c r="FU38" i="28" s="1"/>
  <c r="FU41" i="28" s="1"/>
  <c r="FV6" i="28"/>
  <c r="FV38" i="28" s="1"/>
  <c r="FV41" i="28" s="1"/>
  <c r="BB34" i="16"/>
  <c r="BB41" i="16"/>
  <c r="BB35" i="16"/>
  <c r="BB36" i="16"/>
  <c r="BB37" i="16"/>
  <c r="BB42" i="16"/>
  <c r="AY4" i="16"/>
  <c r="AU42" i="16"/>
  <c r="AT42" i="16"/>
  <c r="AU41" i="16"/>
  <c r="AT41" i="16"/>
  <c r="AU37" i="16"/>
  <c r="AT37" i="16"/>
  <c r="AU36" i="16"/>
  <c r="AT36" i="16"/>
  <c r="AU35" i="16"/>
  <c r="AT35" i="16"/>
  <c r="AU34" i="16"/>
  <c r="AT34" i="16"/>
  <c r="AX42" i="16"/>
  <c r="AW42" i="16"/>
  <c r="AX41" i="16"/>
  <c r="AW41" i="16"/>
  <c r="AX37" i="16"/>
  <c r="AW37" i="16"/>
  <c r="AX36" i="16"/>
  <c r="AW36" i="16"/>
  <c r="AX35" i="16"/>
  <c r="AW35" i="16"/>
  <c r="AX34" i="16"/>
  <c r="AW34" i="16"/>
  <c r="AY5" i="16"/>
  <c r="AY6" i="16"/>
  <c r="AY7" i="16"/>
  <c r="AY8" i="16"/>
  <c r="AY9" i="16"/>
  <c r="AY10" i="16"/>
  <c r="AY11" i="16"/>
  <c r="AY12" i="16"/>
  <c r="AY13" i="16"/>
  <c r="AY14" i="16"/>
  <c r="AY15" i="16"/>
  <c r="AY16" i="16"/>
  <c r="AY17" i="16"/>
  <c r="AY18" i="16"/>
  <c r="AY19" i="16"/>
  <c r="AY20" i="16"/>
  <c r="AY21" i="16"/>
  <c r="AY22" i="16"/>
  <c r="AY23" i="16"/>
  <c r="AY24" i="16"/>
  <c r="AY25" i="16"/>
  <c r="AY26" i="16"/>
  <c r="AY27" i="16"/>
  <c r="AY28" i="16"/>
  <c r="AY29" i="16"/>
  <c r="AY30" i="16"/>
  <c r="AY31" i="16"/>
  <c r="AY32" i="16"/>
  <c r="FX6" i="30"/>
  <c r="FU6" i="30"/>
  <c r="FV6" i="30"/>
  <c r="GB6" i="28"/>
  <c r="GB38" i="28" s="1"/>
  <c r="FY6" i="28"/>
  <c r="FY38" i="28" s="1"/>
  <c r="FY41" i="28" s="1"/>
  <c r="FZ6" i="28"/>
  <c r="FZ38" i="28" s="1"/>
  <c r="AY34" i="16"/>
  <c r="AY35" i="16"/>
  <c r="AY36" i="16"/>
  <c r="AY37" i="16"/>
  <c r="AY41" i="16"/>
  <c r="AY42" i="16"/>
  <c r="AV34" i="16"/>
  <c r="AV35" i="16"/>
  <c r="AV36" i="16"/>
  <c r="AV37" i="16"/>
  <c r="AV41" i="16"/>
  <c r="AV42" i="16"/>
  <c r="M32" i="8"/>
  <c r="M33" i="8"/>
  <c r="M34" i="8"/>
  <c r="M35" i="8"/>
  <c r="M36" i="8"/>
  <c r="AV5" i="16"/>
  <c r="AV6" i="16"/>
  <c r="AV7" i="16"/>
  <c r="AV8" i="16"/>
  <c r="AV9" i="16"/>
  <c r="AV10" i="16"/>
  <c r="AV11" i="16"/>
  <c r="AV12" i="16"/>
  <c r="AV13" i="16"/>
  <c r="AV14" i="16"/>
  <c r="AV15" i="16"/>
  <c r="AV16" i="16"/>
  <c r="AV17" i="16"/>
  <c r="AV18" i="16"/>
  <c r="AV19" i="16"/>
  <c r="AV20" i="16"/>
  <c r="AV21" i="16"/>
  <c r="AV22" i="16"/>
  <c r="AV23" i="16"/>
  <c r="AV24" i="16"/>
  <c r="AV25" i="16"/>
  <c r="AV26" i="16"/>
  <c r="AV27" i="16"/>
  <c r="AV28" i="16"/>
  <c r="AV29" i="16"/>
  <c r="AV30" i="16"/>
  <c r="AV31" i="16"/>
  <c r="AV32" i="16"/>
  <c r="AS5" i="16"/>
  <c r="AS6" i="16"/>
  <c r="AS7" i="16"/>
  <c r="AS8" i="16"/>
  <c r="AS9" i="16"/>
  <c r="AS10" i="16"/>
  <c r="AS11" i="16"/>
  <c r="AS12" i="16"/>
  <c r="AS13" i="16"/>
  <c r="AS14" i="16"/>
  <c r="AS15" i="16"/>
  <c r="AS16" i="16"/>
  <c r="AS17" i="16"/>
  <c r="AS18" i="16"/>
  <c r="AS19" i="16"/>
  <c r="AS20" i="16"/>
  <c r="AS21" i="16"/>
  <c r="AS22" i="16"/>
  <c r="AS23" i="16"/>
  <c r="AS24" i="16"/>
  <c r="AS25" i="16"/>
  <c r="AS26" i="16"/>
  <c r="AS27" i="16"/>
  <c r="AS28" i="16"/>
  <c r="AS29" i="16"/>
  <c r="AS30" i="16"/>
  <c r="AS31" i="16"/>
  <c r="AS32" i="16"/>
  <c r="AP5" i="16"/>
  <c r="AP6" i="16"/>
  <c r="AP7" i="16"/>
  <c r="AP8" i="16"/>
  <c r="AP9" i="16"/>
  <c r="AP10" i="16"/>
  <c r="AP11" i="16"/>
  <c r="AP12" i="16"/>
  <c r="AP13" i="16"/>
  <c r="AP14" i="16"/>
  <c r="AP15" i="16"/>
  <c r="AP16" i="16"/>
  <c r="AP17" i="16"/>
  <c r="AP18" i="16"/>
  <c r="AP19" i="16"/>
  <c r="AP20" i="16"/>
  <c r="AP21" i="16"/>
  <c r="AP22" i="16"/>
  <c r="AP23" i="16"/>
  <c r="AP24" i="16"/>
  <c r="AP25" i="16"/>
  <c r="AP26" i="16"/>
  <c r="AP27" i="16"/>
  <c r="AP28" i="16"/>
  <c r="AP29" i="16"/>
  <c r="AP30" i="16"/>
  <c r="AP31" i="16"/>
  <c r="AP32" i="16"/>
  <c r="AV4" i="16"/>
  <c r="AS4" i="16"/>
  <c r="GB6" i="30"/>
  <c r="FY6" i="30"/>
  <c r="FZ6" i="30"/>
  <c r="GF6" i="28"/>
  <c r="GC6" i="28"/>
  <c r="GD6" i="28"/>
  <c r="GD38" i="28" s="1"/>
  <c r="GD41" i="28" s="1"/>
  <c r="AL42" i="16"/>
  <c r="AK42" i="16"/>
  <c r="AL41" i="16"/>
  <c r="AK41" i="16"/>
  <c r="AL37" i="16"/>
  <c r="AK37" i="16"/>
  <c r="AL36" i="16"/>
  <c r="AK36" i="16"/>
  <c r="AL35" i="16"/>
  <c r="AK35" i="16"/>
  <c r="AL34" i="16"/>
  <c r="AK34" i="16"/>
  <c r="IU37" i="16"/>
  <c r="IV41" i="16"/>
  <c r="IU41" i="16"/>
  <c r="AM5" i="16"/>
  <c r="AM6" i="16"/>
  <c r="AM7" i="16"/>
  <c r="AM8" i="16"/>
  <c r="AM9" i="16"/>
  <c r="AM10" i="16"/>
  <c r="AM11" i="16"/>
  <c r="AM12" i="16"/>
  <c r="AM13" i="16"/>
  <c r="AM14" i="16"/>
  <c r="AM15" i="16"/>
  <c r="AM16" i="16"/>
  <c r="AM17" i="16"/>
  <c r="AM18" i="16"/>
  <c r="AM19" i="16"/>
  <c r="AM20" i="16"/>
  <c r="AM21" i="16"/>
  <c r="AM22" i="16"/>
  <c r="AM23" i="16"/>
  <c r="AM24" i="16"/>
  <c r="AM25" i="16"/>
  <c r="AM26" i="16"/>
  <c r="AM27" i="16"/>
  <c r="AM28" i="16"/>
  <c r="AM29" i="16"/>
  <c r="AM30" i="16"/>
  <c r="AM31" i="16"/>
  <c r="AM32" i="16"/>
  <c r="AJ5" i="16"/>
  <c r="AJ6" i="16"/>
  <c r="AJ7" i="16"/>
  <c r="AJ8" i="16"/>
  <c r="AJ9" i="16"/>
  <c r="AJ10" i="16"/>
  <c r="AJ11" i="16"/>
  <c r="AJ12" i="16"/>
  <c r="AJ13" i="16"/>
  <c r="AJ14" i="16"/>
  <c r="AJ15" i="16"/>
  <c r="AJ16" i="16"/>
  <c r="AJ17" i="16"/>
  <c r="AJ18" i="16"/>
  <c r="AJ19" i="16"/>
  <c r="AJ20" i="16"/>
  <c r="AJ21" i="16"/>
  <c r="AJ22" i="16"/>
  <c r="AJ23" i="16"/>
  <c r="AJ24" i="16"/>
  <c r="AJ25" i="16"/>
  <c r="AJ26" i="16"/>
  <c r="AJ27" i="16"/>
  <c r="AJ28" i="16"/>
  <c r="AJ29" i="16"/>
  <c r="AJ30" i="16"/>
  <c r="AJ31" i="16"/>
  <c r="AJ32" i="16"/>
  <c r="AG5" i="16"/>
  <c r="AG6" i="16"/>
  <c r="AG7" i="16"/>
  <c r="AG8" i="16"/>
  <c r="AG9" i="16"/>
  <c r="AG10" i="16"/>
  <c r="AG11" i="16"/>
  <c r="AG12" i="16"/>
  <c r="AG13" i="16"/>
  <c r="AG14" i="16"/>
  <c r="AG15" i="16"/>
  <c r="AG16" i="16"/>
  <c r="AG17" i="16"/>
  <c r="AG18" i="16"/>
  <c r="AG19" i="16"/>
  <c r="AG20" i="16"/>
  <c r="AG21" i="16"/>
  <c r="AG22" i="16"/>
  <c r="AG23" i="16"/>
  <c r="AG24" i="16"/>
  <c r="AG25" i="16"/>
  <c r="AG26" i="16"/>
  <c r="AG27" i="16"/>
  <c r="AG28" i="16"/>
  <c r="AG29" i="16"/>
  <c r="AG30" i="16"/>
  <c r="AG31" i="16"/>
  <c r="AG32" i="16"/>
  <c r="AD5" i="16"/>
  <c r="AD6" i="16"/>
  <c r="AD7" i="16"/>
  <c r="AD8" i="16"/>
  <c r="AD9" i="16"/>
  <c r="AD10" i="16"/>
  <c r="AD11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P4" i="16"/>
  <c r="AM4" i="16"/>
  <c r="AJ4" i="16"/>
  <c r="AG4" i="16"/>
  <c r="AD4" i="16"/>
  <c r="GF6" i="30"/>
  <c r="GC6" i="30"/>
  <c r="GD6" i="30"/>
  <c r="GG6" i="28"/>
  <c r="GG38" i="28" s="1"/>
  <c r="GH6" i="28"/>
  <c r="GN6" i="28"/>
  <c r="GN38" i="28" s="1"/>
  <c r="AM34" i="16"/>
  <c r="AM35" i="16"/>
  <c r="AM36" i="16"/>
  <c r="AM37" i="16"/>
  <c r="AM41" i="16"/>
  <c r="AM42" i="16"/>
  <c r="IR36" i="16"/>
  <c r="IU36" i="16"/>
  <c r="IU34" i="16"/>
  <c r="IV36" i="16"/>
  <c r="IV34" i="16"/>
  <c r="IV37" i="16"/>
  <c r="AA32" i="16"/>
  <c r="X32" i="16"/>
  <c r="U32" i="16"/>
  <c r="R32" i="16"/>
  <c r="O32" i="16"/>
  <c r="L32" i="16"/>
  <c r="I32" i="16"/>
  <c r="F32" i="16"/>
  <c r="AA31" i="16"/>
  <c r="X31" i="16"/>
  <c r="U31" i="16"/>
  <c r="R31" i="16"/>
  <c r="O31" i="16"/>
  <c r="L31" i="16"/>
  <c r="I31" i="16"/>
  <c r="F31" i="16"/>
  <c r="AA30" i="16"/>
  <c r="X30" i="16"/>
  <c r="U30" i="16"/>
  <c r="R30" i="16"/>
  <c r="O30" i="16"/>
  <c r="L30" i="16"/>
  <c r="I30" i="16"/>
  <c r="F30" i="16"/>
  <c r="AA29" i="16"/>
  <c r="X29" i="16"/>
  <c r="U29" i="16"/>
  <c r="R29" i="16"/>
  <c r="O29" i="16"/>
  <c r="L29" i="16"/>
  <c r="I29" i="16"/>
  <c r="F29" i="16"/>
  <c r="AA28" i="16"/>
  <c r="X28" i="16"/>
  <c r="U28" i="16"/>
  <c r="R28" i="16"/>
  <c r="O28" i="16"/>
  <c r="L28" i="16"/>
  <c r="I28" i="16"/>
  <c r="F28" i="16"/>
  <c r="AA27" i="16"/>
  <c r="X27" i="16"/>
  <c r="U27" i="16"/>
  <c r="R27" i="16"/>
  <c r="O27" i="16"/>
  <c r="L27" i="16"/>
  <c r="I27" i="16"/>
  <c r="F27" i="16"/>
  <c r="AA26" i="16"/>
  <c r="X26" i="16"/>
  <c r="U26" i="16"/>
  <c r="R26" i="16"/>
  <c r="O26" i="16"/>
  <c r="L26" i="16"/>
  <c r="I26" i="16"/>
  <c r="F26" i="16"/>
  <c r="AA25" i="16"/>
  <c r="X25" i="16"/>
  <c r="U25" i="16"/>
  <c r="R25" i="16"/>
  <c r="O25" i="16"/>
  <c r="L25" i="16"/>
  <c r="I25" i="16"/>
  <c r="F25" i="16"/>
  <c r="AA24" i="16"/>
  <c r="X24" i="16"/>
  <c r="U24" i="16"/>
  <c r="R24" i="16"/>
  <c r="O24" i="16"/>
  <c r="L24" i="16"/>
  <c r="I24" i="16"/>
  <c r="F24" i="16"/>
  <c r="AA23" i="16"/>
  <c r="X23" i="16"/>
  <c r="U23" i="16"/>
  <c r="R23" i="16"/>
  <c r="O23" i="16"/>
  <c r="L23" i="16"/>
  <c r="I23" i="16"/>
  <c r="F23" i="16"/>
  <c r="AA22" i="16"/>
  <c r="X22" i="16"/>
  <c r="U22" i="16"/>
  <c r="R22" i="16"/>
  <c r="O22" i="16"/>
  <c r="L22" i="16"/>
  <c r="I22" i="16"/>
  <c r="F22" i="16"/>
  <c r="AA21" i="16"/>
  <c r="X21" i="16"/>
  <c r="U21" i="16"/>
  <c r="R21" i="16"/>
  <c r="O21" i="16"/>
  <c r="L21" i="16"/>
  <c r="I21" i="16"/>
  <c r="F21" i="16"/>
  <c r="AA20" i="16"/>
  <c r="X20" i="16"/>
  <c r="U20" i="16"/>
  <c r="R20" i="16"/>
  <c r="O20" i="16"/>
  <c r="L20" i="16"/>
  <c r="I20" i="16"/>
  <c r="F20" i="16"/>
  <c r="AA19" i="16"/>
  <c r="X19" i="16"/>
  <c r="U19" i="16"/>
  <c r="R19" i="16"/>
  <c r="O19" i="16"/>
  <c r="L19" i="16"/>
  <c r="I19" i="16"/>
  <c r="F19" i="16"/>
  <c r="AA18" i="16"/>
  <c r="X18" i="16"/>
  <c r="U18" i="16"/>
  <c r="R18" i="16"/>
  <c r="O18" i="16"/>
  <c r="L18" i="16"/>
  <c r="I18" i="16"/>
  <c r="F18" i="16"/>
  <c r="AA17" i="16"/>
  <c r="X17" i="16"/>
  <c r="U17" i="16"/>
  <c r="R17" i="16"/>
  <c r="O17" i="16"/>
  <c r="L17" i="16"/>
  <c r="I17" i="16"/>
  <c r="F17" i="16"/>
  <c r="AA16" i="16"/>
  <c r="X16" i="16"/>
  <c r="U16" i="16"/>
  <c r="R16" i="16"/>
  <c r="O16" i="16"/>
  <c r="L16" i="16"/>
  <c r="I16" i="16"/>
  <c r="F16" i="16"/>
  <c r="AA15" i="16"/>
  <c r="X15" i="16"/>
  <c r="U15" i="16"/>
  <c r="R15" i="16"/>
  <c r="O15" i="16"/>
  <c r="L15" i="16"/>
  <c r="I15" i="16"/>
  <c r="F15" i="16"/>
  <c r="AA14" i="16"/>
  <c r="X14" i="16"/>
  <c r="U14" i="16"/>
  <c r="R14" i="16"/>
  <c r="O14" i="16"/>
  <c r="L14" i="16"/>
  <c r="I14" i="16"/>
  <c r="F14" i="16"/>
  <c r="AA13" i="16"/>
  <c r="X13" i="16"/>
  <c r="U13" i="16"/>
  <c r="R13" i="16"/>
  <c r="O13" i="16"/>
  <c r="L13" i="16"/>
  <c r="I13" i="16"/>
  <c r="F13" i="16"/>
  <c r="AA12" i="16"/>
  <c r="X12" i="16"/>
  <c r="U12" i="16"/>
  <c r="R12" i="16"/>
  <c r="O12" i="16"/>
  <c r="L12" i="16"/>
  <c r="I12" i="16"/>
  <c r="F12" i="16"/>
  <c r="AA11" i="16"/>
  <c r="X11" i="16"/>
  <c r="U11" i="16"/>
  <c r="R11" i="16"/>
  <c r="O11" i="16"/>
  <c r="L11" i="16"/>
  <c r="I11" i="16"/>
  <c r="F11" i="16"/>
  <c r="AA10" i="16"/>
  <c r="X10" i="16"/>
  <c r="U10" i="16"/>
  <c r="R10" i="16"/>
  <c r="O10" i="16"/>
  <c r="L10" i="16"/>
  <c r="I10" i="16"/>
  <c r="F10" i="16"/>
  <c r="AA9" i="16"/>
  <c r="X9" i="16"/>
  <c r="U9" i="16"/>
  <c r="R9" i="16"/>
  <c r="O9" i="16"/>
  <c r="L9" i="16"/>
  <c r="I9" i="16"/>
  <c r="F9" i="16"/>
  <c r="AA8" i="16"/>
  <c r="X8" i="16"/>
  <c r="U8" i="16"/>
  <c r="R8" i="16"/>
  <c r="O8" i="16"/>
  <c r="L8" i="16"/>
  <c r="I8" i="16"/>
  <c r="F8" i="16"/>
  <c r="AA7" i="16"/>
  <c r="X7" i="16"/>
  <c r="U7" i="16"/>
  <c r="R7" i="16"/>
  <c r="O7" i="16"/>
  <c r="L7" i="16"/>
  <c r="I7" i="16"/>
  <c r="F7" i="16"/>
  <c r="AA6" i="16"/>
  <c r="X6" i="16"/>
  <c r="U6" i="16"/>
  <c r="R6" i="16"/>
  <c r="O6" i="16"/>
  <c r="L6" i="16"/>
  <c r="I6" i="16"/>
  <c r="F6" i="16"/>
  <c r="AA5" i="16"/>
  <c r="X5" i="16"/>
  <c r="U5" i="16"/>
  <c r="R5" i="16"/>
  <c r="O5" i="16"/>
  <c r="L5" i="16"/>
  <c r="I5" i="16"/>
  <c r="F5" i="16"/>
  <c r="AA4" i="16"/>
  <c r="X4" i="16"/>
  <c r="U4" i="16"/>
  <c r="R4" i="16"/>
  <c r="O4" i="16"/>
  <c r="L4" i="16"/>
  <c r="I4" i="16"/>
  <c r="F4" i="16"/>
  <c r="AY42" i="15"/>
  <c r="AY45" i="15"/>
  <c r="AY41" i="15"/>
  <c r="AY40" i="15"/>
  <c r="AT42" i="15"/>
  <c r="AT41" i="15"/>
  <c r="AT40" i="15"/>
  <c r="AO42" i="15"/>
  <c r="AO45" i="15"/>
  <c r="AO41" i="15"/>
  <c r="AO40" i="15"/>
  <c r="AJ42" i="15"/>
  <c r="AJ41" i="15"/>
  <c r="AJ40" i="15"/>
  <c r="AE42" i="15"/>
  <c r="AE45" i="15"/>
  <c r="AE41" i="15"/>
  <c r="AE40" i="15"/>
  <c r="Z40" i="15"/>
  <c r="U42" i="15"/>
  <c r="U41" i="15"/>
  <c r="U40" i="15"/>
  <c r="P42" i="15"/>
  <c r="Q43" i="15"/>
  <c r="P41" i="15"/>
  <c r="P40" i="15"/>
  <c r="AN36" i="8"/>
  <c r="AN35" i="8"/>
  <c r="AN34" i="8"/>
  <c r="AN33" i="8"/>
  <c r="AN32" i="8"/>
  <c r="AN45" i="8"/>
  <c r="AO45" i="8"/>
  <c r="AN31" i="8"/>
  <c r="AN30" i="8"/>
  <c r="AN29" i="8"/>
  <c r="AN28" i="8"/>
  <c r="AN27" i="8"/>
  <c r="AN44" i="8"/>
  <c r="AO44" i="8"/>
  <c r="AN26" i="8"/>
  <c r="AN25" i="8"/>
  <c r="AN24" i="8"/>
  <c r="AN23" i="8"/>
  <c r="AN22" i="8"/>
  <c r="AN21" i="8"/>
  <c r="AN20" i="8"/>
  <c r="AN19" i="8"/>
  <c r="AN18" i="8"/>
  <c r="AN17" i="8"/>
  <c r="AN16" i="8"/>
  <c r="AN15" i="8"/>
  <c r="AN14" i="8"/>
  <c r="AN13" i="8"/>
  <c r="AN42" i="8"/>
  <c r="AO42" i="8"/>
  <c r="AN12" i="8"/>
  <c r="AN11" i="8"/>
  <c r="AN10" i="8"/>
  <c r="AN41" i="8"/>
  <c r="AO41" i="8"/>
  <c r="AN9" i="8"/>
  <c r="AN8" i="8"/>
  <c r="AI36" i="8"/>
  <c r="AI35" i="8"/>
  <c r="AI34" i="8"/>
  <c r="AI33" i="8"/>
  <c r="AI32" i="8"/>
  <c r="AI45" i="8"/>
  <c r="AJ45" i="8"/>
  <c r="AI31" i="8"/>
  <c r="AI30" i="8"/>
  <c r="AI29" i="8"/>
  <c r="AI28" i="8"/>
  <c r="AI27" i="8"/>
  <c r="AI44" i="8"/>
  <c r="AJ44" i="8"/>
  <c r="AI26" i="8"/>
  <c r="AI25" i="8"/>
  <c r="AI24" i="8"/>
  <c r="AI23" i="8"/>
  <c r="AI22" i="8"/>
  <c r="AI21" i="8"/>
  <c r="AI20" i="8"/>
  <c r="AI19" i="8"/>
  <c r="AI18" i="8"/>
  <c r="AI17" i="8"/>
  <c r="AI16" i="8"/>
  <c r="AI15" i="8"/>
  <c r="AI14" i="8"/>
  <c r="AI13" i="8"/>
  <c r="AI42" i="8"/>
  <c r="AJ42" i="8"/>
  <c r="AI12" i="8"/>
  <c r="AI11" i="8"/>
  <c r="AI10" i="8"/>
  <c r="AI41" i="8"/>
  <c r="AJ41" i="8"/>
  <c r="AI9" i="8"/>
  <c r="AI8" i="8"/>
  <c r="AD36" i="8"/>
  <c r="AD35" i="8"/>
  <c r="AD34" i="8"/>
  <c r="AD33" i="8"/>
  <c r="AD32" i="8"/>
  <c r="AD45" i="8"/>
  <c r="AE45" i="8"/>
  <c r="AD31" i="8"/>
  <c r="AD30" i="8"/>
  <c r="AD29" i="8"/>
  <c r="AD27" i="8"/>
  <c r="AD44" i="8"/>
  <c r="AE44" i="8"/>
  <c r="AD26" i="8"/>
  <c r="AD25" i="8"/>
  <c r="AD24" i="8"/>
  <c r="AD23" i="8"/>
  <c r="AD22" i="8"/>
  <c r="AD21" i="8"/>
  <c r="AD20" i="8"/>
  <c r="AD19" i="8"/>
  <c r="AD18" i="8"/>
  <c r="AD17" i="8"/>
  <c r="AD16" i="8"/>
  <c r="AD15" i="8"/>
  <c r="AD14" i="8"/>
  <c r="AD13" i="8"/>
  <c r="AD42" i="8"/>
  <c r="AE42" i="8"/>
  <c r="AD12" i="8"/>
  <c r="AD11" i="8"/>
  <c r="AD10" i="8"/>
  <c r="AD41" i="8"/>
  <c r="AE41" i="8"/>
  <c r="AD9" i="8"/>
  <c r="AD8" i="8"/>
  <c r="AB32" i="8"/>
  <c r="AB33" i="8"/>
  <c r="AB34" i="8"/>
  <c r="AB35" i="8"/>
  <c r="AB36" i="8"/>
  <c r="GG6" i="30"/>
  <c r="GH6" i="30"/>
  <c r="GN6" i="30"/>
  <c r="GR6" i="28"/>
  <c r="GO6" i="28"/>
  <c r="GO38" i="28" s="1"/>
  <c r="GP6" i="28"/>
  <c r="AN47" i="8"/>
  <c r="AO47" i="8"/>
  <c r="AN40" i="8"/>
  <c r="AO40" i="8"/>
  <c r="AN39" i="8"/>
  <c r="AN43" i="8"/>
  <c r="AO43" i="8"/>
  <c r="AD47" i="8"/>
  <c r="AE47" i="8"/>
  <c r="AD40" i="8"/>
  <c r="AE40" i="8"/>
  <c r="AD39" i="8"/>
  <c r="AE39" i="8"/>
  <c r="AD46" i="8"/>
  <c r="AD43" i="8"/>
  <c r="AE43" i="8"/>
  <c r="AI43" i="8"/>
  <c r="AJ43" i="8"/>
  <c r="AI47" i="8"/>
  <c r="AJ47" i="8"/>
  <c r="AI46" i="8"/>
  <c r="AI40" i="8"/>
  <c r="AJ40" i="8"/>
  <c r="AI39" i="8"/>
  <c r="AJ39" i="8"/>
  <c r="IQ37" i="16"/>
  <c r="IQ36" i="16"/>
  <c r="IT36" i="16"/>
  <c r="IQ34" i="16"/>
  <c r="IR37" i="16"/>
  <c r="IR34" i="16"/>
  <c r="IT4" i="16"/>
  <c r="IX37" i="16"/>
  <c r="IX36" i="16"/>
  <c r="IX35" i="16"/>
  <c r="IX34" i="16"/>
  <c r="IX4" i="16"/>
  <c r="IT5" i="16"/>
  <c r="IX5" i="16"/>
  <c r="IT6" i="16"/>
  <c r="IX6" i="16"/>
  <c r="IT7" i="16"/>
  <c r="IX7" i="16"/>
  <c r="IT8" i="16"/>
  <c r="IX8" i="16"/>
  <c r="IT9" i="16"/>
  <c r="IX9" i="16"/>
  <c r="IT10" i="16"/>
  <c r="IX10" i="16"/>
  <c r="IT11" i="16"/>
  <c r="IX11" i="16"/>
  <c r="IT12" i="16"/>
  <c r="IX12" i="16"/>
  <c r="IT13" i="16"/>
  <c r="IX13" i="16"/>
  <c r="IT14" i="16"/>
  <c r="IX14" i="16"/>
  <c r="IT15" i="16"/>
  <c r="IX15" i="16"/>
  <c r="IT16" i="16"/>
  <c r="IX16" i="16"/>
  <c r="IT17" i="16"/>
  <c r="IX17" i="16"/>
  <c r="IT18" i="16"/>
  <c r="IX18" i="16"/>
  <c r="IT19" i="16"/>
  <c r="IX19" i="16"/>
  <c r="IT20" i="16"/>
  <c r="IX20" i="16"/>
  <c r="IT21" i="16"/>
  <c r="IX21" i="16"/>
  <c r="IT22" i="16"/>
  <c r="IX22" i="16"/>
  <c r="IQ41" i="16"/>
  <c r="IT42" i="16"/>
  <c r="IR41" i="16"/>
  <c r="IT23" i="16"/>
  <c r="IX42" i="16"/>
  <c r="IX41" i="16"/>
  <c r="IX23" i="16"/>
  <c r="IT24" i="16"/>
  <c r="IX24" i="16"/>
  <c r="IT25" i="16"/>
  <c r="IX25" i="16"/>
  <c r="IT26" i="16"/>
  <c r="IX26" i="16"/>
  <c r="IT27" i="16"/>
  <c r="IX27" i="16"/>
  <c r="IT28" i="16"/>
  <c r="IX28" i="16"/>
  <c r="IT29" i="16"/>
  <c r="IX29" i="16"/>
  <c r="IT30" i="16"/>
  <c r="IX30" i="16"/>
  <c r="IT31" i="16"/>
  <c r="IX31" i="16"/>
  <c r="IT32" i="16"/>
  <c r="IX32" i="16"/>
  <c r="AT45" i="15"/>
  <c r="AT48" i="15"/>
  <c r="AY47" i="15"/>
  <c r="AY48" i="15"/>
  <c r="AY46" i="15"/>
  <c r="AT47" i="15"/>
  <c r="AT46" i="15"/>
  <c r="AO48" i="15"/>
  <c r="AO46" i="15"/>
  <c r="AO47" i="15"/>
  <c r="AJ45" i="15"/>
  <c r="AE47" i="15"/>
  <c r="AE48" i="15"/>
  <c r="AE46" i="15"/>
  <c r="U45" i="15"/>
  <c r="P45" i="15"/>
  <c r="H34" i="8"/>
  <c r="H35" i="8"/>
  <c r="H36" i="8"/>
  <c r="GO6" i="30"/>
  <c r="GP6" i="30"/>
  <c r="GR6" i="30"/>
  <c r="GV6" i="28"/>
  <c r="GS6" i="28"/>
  <c r="GS38" i="28" s="1"/>
  <c r="GS41" i="28" s="1"/>
  <c r="GT6" i="28"/>
  <c r="GT38" i="28" s="1"/>
  <c r="GT41" i="28" s="1"/>
  <c r="AI49" i="8"/>
  <c r="AJ46" i="8"/>
  <c r="IT37" i="16"/>
  <c r="IT34" i="16"/>
  <c r="IT41" i="16"/>
  <c r="IT35" i="16"/>
  <c r="AJ48" i="15"/>
  <c r="AJ46" i="15"/>
  <c r="AJ47" i="15"/>
  <c r="U48" i="15"/>
  <c r="U46" i="15"/>
  <c r="U47" i="15"/>
  <c r="P48" i="15"/>
  <c r="P46" i="15"/>
  <c r="P47" i="15"/>
  <c r="AQ31" i="8"/>
  <c r="AQ30" i="8"/>
  <c r="AQ29" i="8"/>
  <c r="AQ28" i="8"/>
  <c r="AQ27" i="8"/>
  <c r="AQ26" i="8"/>
  <c r="AQ25" i="8"/>
  <c r="AQ24" i="8"/>
  <c r="AQ23" i="8"/>
  <c r="AQ22" i="8"/>
  <c r="AQ21" i="8"/>
  <c r="AQ20" i="8"/>
  <c r="AQ19" i="8"/>
  <c r="AQ18" i="8"/>
  <c r="AQ17" i="8"/>
  <c r="AQ16" i="8"/>
  <c r="AQ15" i="8"/>
  <c r="AQ14" i="8"/>
  <c r="AQ13" i="8"/>
  <c r="AQ12" i="8"/>
  <c r="AQ11" i="8"/>
  <c r="AQ10" i="8"/>
  <c r="AQ9" i="8"/>
  <c r="AQ8" i="8"/>
  <c r="AL31" i="8"/>
  <c r="AL30" i="8"/>
  <c r="AL29" i="8"/>
  <c r="AL28" i="8"/>
  <c r="AL27" i="8"/>
  <c r="AL26" i="8"/>
  <c r="AL25" i="8"/>
  <c r="AL24" i="8"/>
  <c r="AL23" i="8"/>
  <c r="AL22" i="8"/>
  <c r="AL21" i="8"/>
  <c r="AL20" i="8"/>
  <c r="AL19" i="8"/>
  <c r="AL18" i="8"/>
  <c r="AL17" i="8"/>
  <c r="AL16" i="8"/>
  <c r="AL15" i="8"/>
  <c r="AL14" i="8"/>
  <c r="AL13" i="8"/>
  <c r="AL12" i="8"/>
  <c r="AL11" i="8"/>
  <c r="AL10" i="8"/>
  <c r="AL9" i="8"/>
  <c r="AL8" i="8"/>
  <c r="AG31" i="8"/>
  <c r="AG30" i="8"/>
  <c r="AG29" i="8"/>
  <c r="AG28" i="8"/>
  <c r="AG27" i="8"/>
  <c r="AG26" i="8"/>
  <c r="AG25" i="8"/>
  <c r="AG24" i="8"/>
  <c r="AG23" i="8"/>
  <c r="AG22" i="8"/>
  <c r="AG21" i="8"/>
  <c r="AG20" i="8"/>
  <c r="AG19" i="8"/>
  <c r="AG18" i="8"/>
  <c r="AG17" i="8"/>
  <c r="AG16" i="8"/>
  <c r="AG15" i="8"/>
  <c r="AG14" i="8"/>
  <c r="AG13" i="8"/>
  <c r="AG12" i="8"/>
  <c r="AG11" i="8"/>
  <c r="AG10" i="8"/>
  <c r="AG9" i="8"/>
  <c r="AG8" i="8"/>
  <c r="Y36" i="8"/>
  <c r="Y35" i="8"/>
  <c r="Y34" i="8"/>
  <c r="Y33" i="8"/>
  <c r="Y32" i="8"/>
  <c r="Y45" i="8"/>
  <c r="Z45" i="8"/>
  <c r="AB31" i="8"/>
  <c r="Y31" i="8"/>
  <c r="AB30" i="8"/>
  <c r="Y30" i="8"/>
  <c r="AB29" i="8"/>
  <c r="Y29" i="8"/>
  <c r="AB28" i="8"/>
  <c r="AB27" i="8"/>
  <c r="Y27" i="8"/>
  <c r="Y44" i="8"/>
  <c r="Z44" i="8"/>
  <c r="AB26" i="8"/>
  <c r="Y26" i="8"/>
  <c r="AB25" i="8"/>
  <c r="Y25" i="8"/>
  <c r="AB24" i="8"/>
  <c r="Y24" i="8"/>
  <c r="AB23" i="8"/>
  <c r="Y23" i="8"/>
  <c r="AB22" i="8"/>
  <c r="Y22" i="8"/>
  <c r="AB21" i="8"/>
  <c r="Y21" i="8"/>
  <c r="AB20" i="8"/>
  <c r="Y20" i="8"/>
  <c r="AB19" i="8"/>
  <c r="Y19" i="8"/>
  <c r="AB18" i="8"/>
  <c r="Y18" i="8"/>
  <c r="AB17" i="8"/>
  <c r="Y17" i="8"/>
  <c r="AB16" i="8"/>
  <c r="Y16" i="8"/>
  <c r="AB15" i="8"/>
  <c r="Y15" i="8"/>
  <c r="AB14" i="8"/>
  <c r="Y14" i="8"/>
  <c r="AB13" i="8"/>
  <c r="Y13" i="8"/>
  <c r="Y42" i="8"/>
  <c r="Z42" i="8"/>
  <c r="AB12" i="8"/>
  <c r="Y12" i="8"/>
  <c r="AB11" i="8"/>
  <c r="Y11" i="8"/>
  <c r="AB10" i="8"/>
  <c r="Y10" i="8"/>
  <c r="Y41" i="8"/>
  <c r="Z41" i="8"/>
  <c r="AB9" i="8"/>
  <c r="Y9" i="8"/>
  <c r="AB8" i="8"/>
  <c r="Y8" i="8"/>
  <c r="H10" i="15"/>
  <c r="I10" i="15"/>
  <c r="H11" i="15"/>
  <c r="H12" i="15"/>
  <c r="I12" i="15"/>
  <c r="H13" i="15"/>
  <c r="H14" i="15"/>
  <c r="I14" i="15"/>
  <c r="H15" i="15"/>
  <c r="H16" i="15"/>
  <c r="I16" i="15"/>
  <c r="H17" i="15"/>
  <c r="H18" i="15"/>
  <c r="I18" i="15"/>
  <c r="H19" i="15"/>
  <c r="H20" i="15"/>
  <c r="I20" i="15"/>
  <c r="H21" i="15"/>
  <c r="H22" i="15"/>
  <c r="H23" i="15"/>
  <c r="H24" i="15"/>
  <c r="I24" i="15"/>
  <c r="H25" i="15"/>
  <c r="H26" i="15"/>
  <c r="H27" i="15"/>
  <c r="H28" i="15"/>
  <c r="L28" i="15"/>
  <c r="H29" i="15"/>
  <c r="I29" i="15"/>
  <c r="H30" i="15"/>
  <c r="I30" i="15"/>
  <c r="H31" i="15"/>
  <c r="H32" i="15"/>
  <c r="H33" i="15"/>
  <c r="I33" i="15"/>
  <c r="H34" i="15"/>
  <c r="H35" i="15"/>
  <c r="H36" i="15"/>
  <c r="H37" i="15"/>
  <c r="H9" i="15"/>
  <c r="I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9" i="15"/>
  <c r="C10" i="15"/>
  <c r="D10" i="15"/>
  <c r="BL10" i="15"/>
  <c r="C11" i="15"/>
  <c r="D11" i="15"/>
  <c r="BL11" i="15"/>
  <c r="C12" i="15"/>
  <c r="D12" i="15"/>
  <c r="BL12" i="15"/>
  <c r="C13" i="15"/>
  <c r="C14" i="15"/>
  <c r="D14" i="15"/>
  <c r="BL14" i="15"/>
  <c r="C15" i="15"/>
  <c r="D15" i="15"/>
  <c r="BL15" i="15"/>
  <c r="C16" i="15"/>
  <c r="D16" i="15"/>
  <c r="BL16" i="15"/>
  <c r="C17" i="15"/>
  <c r="D17" i="15"/>
  <c r="BL17" i="15"/>
  <c r="C18" i="15"/>
  <c r="C19" i="15"/>
  <c r="D19" i="15"/>
  <c r="BL19" i="15"/>
  <c r="C20" i="15"/>
  <c r="D20" i="15"/>
  <c r="BL20" i="15"/>
  <c r="C21" i="15"/>
  <c r="D21" i="15"/>
  <c r="BL21" i="15"/>
  <c r="C22" i="15"/>
  <c r="D22" i="15"/>
  <c r="BL22" i="15"/>
  <c r="C23" i="15"/>
  <c r="D23" i="15"/>
  <c r="BL23" i="15"/>
  <c r="C24" i="15"/>
  <c r="D24" i="15"/>
  <c r="BL24" i="15"/>
  <c r="C25" i="15"/>
  <c r="D25" i="15"/>
  <c r="BL25" i="15"/>
  <c r="C26" i="15"/>
  <c r="D26" i="15"/>
  <c r="BL26" i="15"/>
  <c r="C27" i="15"/>
  <c r="D27" i="15"/>
  <c r="BL27" i="15"/>
  <c r="C28" i="15"/>
  <c r="D28" i="15"/>
  <c r="BL28" i="15"/>
  <c r="C29" i="15"/>
  <c r="D29" i="15"/>
  <c r="BL29" i="15"/>
  <c r="C30" i="15"/>
  <c r="D30" i="15"/>
  <c r="BL30" i="15"/>
  <c r="C31" i="15"/>
  <c r="D31" i="15"/>
  <c r="BL31" i="15"/>
  <c r="C32" i="15"/>
  <c r="D32" i="15"/>
  <c r="BL32" i="15"/>
  <c r="C33" i="15"/>
  <c r="D33" i="15"/>
  <c r="BL33" i="15"/>
  <c r="C34" i="15"/>
  <c r="D34" i="15"/>
  <c r="BL34" i="15"/>
  <c r="C35" i="15"/>
  <c r="D35" i="15"/>
  <c r="BL35" i="15"/>
  <c r="C36" i="15"/>
  <c r="D36" i="15"/>
  <c r="BL36" i="15"/>
  <c r="C37" i="15"/>
  <c r="D37" i="15"/>
  <c r="BL37" i="15"/>
  <c r="C9" i="15"/>
  <c r="T36" i="8"/>
  <c r="T35" i="8"/>
  <c r="T34" i="8"/>
  <c r="T33" i="8"/>
  <c r="T32" i="8"/>
  <c r="T45" i="8"/>
  <c r="U45" i="8"/>
  <c r="W31" i="8"/>
  <c r="T31" i="8"/>
  <c r="W30" i="8"/>
  <c r="T30" i="8"/>
  <c r="W29" i="8"/>
  <c r="T29" i="8"/>
  <c r="W28" i="8"/>
  <c r="T28" i="8"/>
  <c r="W27" i="8"/>
  <c r="T27" i="8"/>
  <c r="T44" i="8"/>
  <c r="U44" i="8"/>
  <c r="W26" i="8"/>
  <c r="T26" i="8"/>
  <c r="W25" i="8"/>
  <c r="T25" i="8"/>
  <c r="W24" i="8"/>
  <c r="T24" i="8"/>
  <c r="W23" i="8"/>
  <c r="T23" i="8"/>
  <c r="W22" i="8"/>
  <c r="T22" i="8"/>
  <c r="W21" i="8"/>
  <c r="T21" i="8"/>
  <c r="W20" i="8"/>
  <c r="T20" i="8"/>
  <c r="W19" i="8"/>
  <c r="T19" i="8"/>
  <c r="W18" i="8"/>
  <c r="T18" i="8"/>
  <c r="W17" i="8"/>
  <c r="T17" i="8"/>
  <c r="W16" i="8"/>
  <c r="T16" i="8"/>
  <c r="W15" i="8"/>
  <c r="T15" i="8"/>
  <c r="W14" i="8"/>
  <c r="T14" i="8"/>
  <c r="W13" i="8"/>
  <c r="T13" i="8"/>
  <c r="T42" i="8"/>
  <c r="U42" i="8"/>
  <c r="W12" i="8"/>
  <c r="T12" i="8"/>
  <c r="W11" i="8"/>
  <c r="T11" i="8"/>
  <c r="W10" i="8"/>
  <c r="T10" i="8"/>
  <c r="T41" i="8"/>
  <c r="U41" i="8"/>
  <c r="W9" i="8"/>
  <c r="T9" i="8"/>
  <c r="W8" i="8"/>
  <c r="T8" i="8"/>
  <c r="T40" i="8"/>
  <c r="U40" i="8"/>
  <c r="O36" i="8"/>
  <c r="O35" i="8"/>
  <c r="O34" i="8"/>
  <c r="O33" i="8"/>
  <c r="O32" i="8"/>
  <c r="O45" i="8"/>
  <c r="P45" i="8"/>
  <c r="R31" i="8"/>
  <c r="O31" i="8"/>
  <c r="R30" i="8"/>
  <c r="O30" i="8"/>
  <c r="R29" i="8"/>
  <c r="O29" i="8"/>
  <c r="R28" i="8"/>
  <c r="R27" i="8"/>
  <c r="O27" i="8"/>
  <c r="R26" i="8"/>
  <c r="O26" i="8"/>
  <c r="R25" i="8"/>
  <c r="O25" i="8"/>
  <c r="R24" i="8"/>
  <c r="O24" i="8"/>
  <c r="R23" i="8"/>
  <c r="O23" i="8"/>
  <c r="R22" i="8"/>
  <c r="O22" i="8"/>
  <c r="R21" i="8"/>
  <c r="O21" i="8"/>
  <c r="R20" i="8"/>
  <c r="O20" i="8"/>
  <c r="R19" i="8"/>
  <c r="O19" i="8"/>
  <c r="R18" i="8"/>
  <c r="O18" i="8"/>
  <c r="O17" i="8"/>
  <c r="O16" i="8"/>
  <c r="R15" i="8"/>
  <c r="O15" i="8"/>
  <c r="R14" i="8"/>
  <c r="O14" i="8"/>
  <c r="R13" i="8"/>
  <c r="O13" i="8"/>
  <c r="O42" i="8"/>
  <c r="P42" i="8"/>
  <c r="R12" i="8"/>
  <c r="O12" i="8"/>
  <c r="R11" i="8"/>
  <c r="O11" i="8"/>
  <c r="R10" i="8"/>
  <c r="O10" i="8"/>
  <c r="O41" i="8"/>
  <c r="P41" i="8"/>
  <c r="R9" i="8"/>
  <c r="O9" i="8"/>
  <c r="R8" i="8"/>
  <c r="O8" i="8"/>
  <c r="O40" i="8"/>
  <c r="P40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K42" i="15"/>
  <c r="K41" i="15"/>
  <c r="K40" i="15"/>
  <c r="BP39" i="15"/>
  <c r="BJ38" i="15"/>
  <c r="AW38" i="15"/>
  <c r="AR38" i="15"/>
  <c r="AM38" i="15"/>
  <c r="AH38" i="15"/>
  <c r="BF37" i="15"/>
  <c r="BJ37" i="15"/>
  <c r="BD37" i="15"/>
  <c r="BA37" i="15"/>
  <c r="AV37" i="15"/>
  <c r="AQ37" i="15"/>
  <c r="AU37" i="15"/>
  <c r="AG37" i="15"/>
  <c r="AB37" i="15"/>
  <c r="M37" i="15"/>
  <c r="Q37" i="15"/>
  <c r="BF36" i="15"/>
  <c r="BJ36" i="15"/>
  <c r="BD36" i="15"/>
  <c r="BA36" i="15"/>
  <c r="AV36" i="15"/>
  <c r="AQ36" i="15"/>
  <c r="AU36" i="15"/>
  <c r="AL36" i="15"/>
  <c r="AG36" i="15"/>
  <c r="AB36" i="15"/>
  <c r="Z36" i="15"/>
  <c r="V36" i="15"/>
  <c r="M36" i="15"/>
  <c r="Q36" i="15"/>
  <c r="BI35" i="15"/>
  <c r="BF35" i="15"/>
  <c r="BG35" i="15"/>
  <c r="BD35" i="15"/>
  <c r="BA35" i="15"/>
  <c r="BB35" i="15"/>
  <c r="AV35" i="15"/>
  <c r="AW35" i="15"/>
  <c r="AQ35" i="15"/>
  <c r="AL35" i="15"/>
  <c r="AM35" i="15"/>
  <c r="AG35" i="15"/>
  <c r="AH35" i="15"/>
  <c r="AB35" i="15"/>
  <c r="AC35" i="15"/>
  <c r="Z35" i="15"/>
  <c r="W35" i="15"/>
  <c r="X35" i="15"/>
  <c r="S35" i="15"/>
  <c r="M35" i="15"/>
  <c r="L35" i="15"/>
  <c r="BI34" i="15"/>
  <c r="BF34" i="15"/>
  <c r="BG34" i="15"/>
  <c r="BD34" i="15"/>
  <c r="BA34" i="15"/>
  <c r="BB34" i="15"/>
  <c r="AV34" i="15"/>
  <c r="AW34" i="15"/>
  <c r="AQ34" i="15"/>
  <c r="AR34" i="15"/>
  <c r="AL34" i="15"/>
  <c r="AM34" i="15"/>
  <c r="AG34" i="15"/>
  <c r="AH34" i="15"/>
  <c r="AB34" i="15"/>
  <c r="AC34" i="15"/>
  <c r="Z34" i="15"/>
  <c r="W34" i="15"/>
  <c r="X34" i="15"/>
  <c r="S34" i="15"/>
  <c r="M34" i="15"/>
  <c r="BI33" i="15"/>
  <c r="BF33" i="15"/>
  <c r="BG33" i="15"/>
  <c r="BD33" i="15"/>
  <c r="BA33" i="15"/>
  <c r="BB33" i="15"/>
  <c r="AV33" i="15"/>
  <c r="AQ33" i="15"/>
  <c r="AR33" i="15"/>
  <c r="AL33" i="15"/>
  <c r="AG33" i="15"/>
  <c r="AH33" i="15"/>
  <c r="AB33" i="15"/>
  <c r="AC33" i="15"/>
  <c r="Z33" i="15"/>
  <c r="W33" i="15"/>
  <c r="X33" i="15"/>
  <c r="R33" i="15"/>
  <c r="S33" i="15"/>
  <c r="M33" i="15"/>
  <c r="N33" i="15"/>
  <c r="L33" i="15"/>
  <c r="BI32" i="15"/>
  <c r="BF32" i="15"/>
  <c r="BG32" i="15"/>
  <c r="BD32" i="15"/>
  <c r="BA32" i="15"/>
  <c r="BB32" i="15"/>
  <c r="AV32" i="15"/>
  <c r="AW32" i="15"/>
  <c r="AQ32" i="15"/>
  <c r="AL32" i="15"/>
  <c r="AM32" i="15"/>
  <c r="AG32" i="15"/>
  <c r="AB32" i="15"/>
  <c r="AC32" i="15"/>
  <c r="Z32" i="15"/>
  <c r="W32" i="15"/>
  <c r="X32" i="15"/>
  <c r="R32" i="15"/>
  <c r="S32" i="15"/>
  <c r="M32" i="15"/>
  <c r="N32" i="15"/>
  <c r="BI31" i="15"/>
  <c r="BF31" i="15"/>
  <c r="BG31" i="15"/>
  <c r="BD31" i="15"/>
  <c r="BA31" i="15"/>
  <c r="BB31" i="15"/>
  <c r="AV31" i="15"/>
  <c r="AQ31" i="15"/>
  <c r="AR31" i="15"/>
  <c r="AL31" i="15"/>
  <c r="AG31" i="15"/>
  <c r="AH31" i="15"/>
  <c r="AB31" i="15"/>
  <c r="Z31" i="15"/>
  <c r="W31" i="15"/>
  <c r="X31" i="15"/>
  <c r="R31" i="15"/>
  <c r="S31" i="15"/>
  <c r="M31" i="15"/>
  <c r="BI30" i="15"/>
  <c r="BF30" i="15"/>
  <c r="BG30" i="15"/>
  <c r="BD30" i="15"/>
  <c r="BA30" i="15"/>
  <c r="BB30" i="15"/>
  <c r="AV30" i="15"/>
  <c r="AW30" i="15"/>
  <c r="AQ30" i="15"/>
  <c r="AL30" i="15"/>
  <c r="AM30" i="15"/>
  <c r="AG30" i="15"/>
  <c r="AB30" i="15"/>
  <c r="AC30" i="15"/>
  <c r="W30" i="15"/>
  <c r="R30" i="15"/>
  <c r="S30" i="15"/>
  <c r="M30" i="15"/>
  <c r="L30" i="15"/>
  <c r="B30" i="15"/>
  <c r="BI29" i="15"/>
  <c r="BF29" i="15"/>
  <c r="BG29" i="15"/>
  <c r="BD29" i="15"/>
  <c r="BA29" i="15"/>
  <c r="BB29" i="15"/>
  <c r="AV29" i="15"/>
  <c r="AQ29" i="15"/>
  <c r="AR29" i="15"/>
  <c r="AL29" i="15"/>
  <c r="AG29" i="15"/>
  <c r="AH29" i="15"/>
  <c r="AB29" i="15"/>
  <c r="AC29" i="15"/>
  <c r="W29" i="15"/>
  <c r="X29" i="15"/>
  <c r="R29" i="15"/>
  <c r="M29" i="15"/>
  <c r="N29" i="15"/>
  <c r="B29" i="15"/>
  <c r="BI28" i="15"/>
  <c r="BI41" i="15"/>
  <c r="BF28" i="15"/>
  <c r="BD28" i="15"/>
  <c r="BD41" i="15"/>
  <c r="BA28" i="15"/>
  <c r="AV28" i="15"/>
  <c r="AQ28" i="15"/>
  <c r="AL28" i="15"/>
  <c r="AG28" i="15"/>
  <c r="AB28" i="15"/>
  <c r="W28" i="15"/>
  <c r="R28" i="15"/>
  <c r="M28" i="15"/>
  <c r="B28" i="15"/>
  <c r="BI27" i="15"/>
  <c r="BF27" i="15"/>
  <c r="BD27" i="15"/>
  <c r="BA27" i="15"/>
  <c r="AV27" i="15"/>
  <c r="AZ27" i="15"/>
  <c r="AQ27" i="15"/>
  <c r="AU27" i="15"/>
  <c r="AL27" i="15"/>
  <c r="AP27" i="15"/>
  <c r="AG27" i="15"/>
  <c r="AK27" i="15"/>
  <c r="AB27" i="15"/>
  <c r="AF27" i="15"/>
  <c r="W27" i="15"/>
  <c r="AA27" i="15"/>
  <c r="R27" i="15"/>
  <c r="V27" i="15"/>
  <c r="M27" i="15"/>
  <c r="Q27" i="15"/>
  <c r="BI26" i="15"/>
  <c r="BF26" i="15"/>
  <c r="BG26" i="15"/>
  <c r="BD26" i="15"/>
  <c r="BA26" i="15"/>
  <c r="BB26" i="15"/>
  <c r="AV26" i="15"/>
  <c r="AQ26" i="15"/>
  <c r="AL26" i="15"/>
  <c r="AM26" i="15"/>
  <c r="AG26" i="15"/>
  <c r="AH26" i="15"/>
  <c r="AB26" i="15"/>
  <c r="AC26" i="15"/>
  <c r="W26" i="15"/>
  <c r="R26" i="15"/>
  <c r="S26" i="15"/>
  <c r="M26" i="15"/>
  <c r="N26" i="15"/>
  <c r="B26" i="15"/>
  <c r="BI25" i="15"/>
  <c r="BF25" i="15"/>
  <c r="BG25" i="15"/>
  <c r="BD25" i="15"/>
  <c r="BA25" i="15"/>
  <c r="BB25" i="15"/>
  <c r="AV25" i="15"/>
  <c r="AW25" i="15"/>
  <c r="AQ25" i="15"/>
  <c r="AL25" i="15"/>
  <c r="AM25" i="15"/>
  <c r="AG25" i="15"/>
  <c r="AH25" i="15"/>
  <c r="AB25" i="15"/>
  <c r="AC25" i="15"/>
  <c r="W25" i="15"/>
  <c r="R25" i="15"/>
  <c r="S25" i="15"/>
  <c r="M25" i="15"/>
  <c r="N25" i="15"/>
  <c r="B25" i="15"/>
  <c r="BI24" i="15"/>
  <c r="BF24" i="15"/>
  <c r="BG24" i="15"/>
  <c r="BD24" i="15"/>
  <c r="BA24" i="15"/>
  <c r="BB24" i="15"/>
  <c r="AV24" i="15"/>
  <c r="AW24" i="15"/>
  <c r="AQ24" i="15"/>
  <c r="AR24" i="15"/>
  <c r="AL24" i="15"/>
  <c r="AG24" i="15"/>
  <c r="AH24" i="15"/>
  <c r="AB24" i="15"/>
  <c r="AC24" i="15"/>
  <c r="W24" i="15"/>
  <c r="X24" i="15"/>
  <c r="R24" i="15"/>
  <c r="S24" i="15"/>
  <c r="M24" i="15"/>
  <c r="N24" i="15"/>
  <c r="B24" i="15"/>
  <c r="BI23" i="15"/>
  <c r="BF23" i="15"/>
  <c r="BG23" i="15"/>
  <c r="BD23" i="15"/>
  <c r="BA23" i="15"/>
  <c r="BB23" i="15"/>
  <c r="AV23" i="15"/>
  <c r="AW23" i="15"/>
  <c r="AQ23" i="15"/>
  <c r="AR23" i="15"/>
  <c r="AL23" i="15"/>
  <c r="AM23" i="15"/>
  <c r="AG23" i="15"/>
  <c r="AH23" i="15"/>
  <c r="AB23" i="15"/>
  <c r="AC23" i="15"/>
  <c r="W23" i="15"/>
  <c r="X23" i="15"/>
  <c r="R23" i="15"/>
  <c r="S23" i="15"/>
  <c r="M23" i="15"/>
  <c r="B23" i="15"/>
  <c r="BI22" i="15"/>
  <c r="BF22" i="15"/>
  <c r="BG22" i="15"/>
  <c r="BD22" i="15"/>
  <c r="BA22" i="15"/>
  <c r="BB22" i="15"/>
  <c r="AV22" i="15"/>
  <c r="AQ22" i="15"/>
  <c r="AR22" i="15"/>
  <c r="AL22" i="15"/>
  <c r="AM22" i="15"/>
  <c r="AG22" i="15"/>
  <c r="AH22" i="15"/>
  <c r="AB22" i="15"/>
  <c r="AC22" i="15"/>
  <c r="W22" i="15"/>
  <c r="R22" i="15"/>
  <c r="S22" i="15"/>
  <c r="M22" i="15"/>
  <c r="N22" i="15"/>
  <c r="B22" i="15"/>
  <c r="BI21" i="15"/>
  <c r="BF21" i="15"/>
  <c r="BG21" i="15"/>
  <c r="BD21" i="15"/>
  <c r="BA21" i="15"/>
  <c r="BB21" i="15"/>
  <c r="AV21" i="15"/>
  <c r="AW21" i="15"/>
  <c r="AQ21" i="15"/>
  <c r="AR21" i="15"/>
  <c r="AL21" i="15"/>
  <c r="AM21" i="15"/>
  <c r="AG21" i="15"/>
  <c r="AH21" i="15"/>
  <c r="AB21" i="15"/>
  <c r="AC21" i="15"/>
  <c r="W21" i="15"/>
  <c r="X21" i="15"/>
  <c r="R21" i="15"/>
  <c r="S21" i="15"/>
  <c r="M21" i="15"/>
  <c r="N21" i="15"/>
  <c r="B21" i="15"/>
  <c r="BI20" i="15"/>
  <c r="BF20" i="15"/>
  <c r="BG20" i="15"/>
  <c r="BD20" i="15"/>
  <c r="BA20" i="15"/>
  <c r="BB20" i="15"/>
  <c r="AV20" i="15"/>
  <c r="AQ20" i="15"/>
  <c r="AR20" i="15"/>
  <c r="AL20" i="15"/>
  <c r="AM20" i="15"/>
  <c r="AG20" i="15"/>
  <c r="AB20" i="15"/>
  <c r="W20" i="15"/>
  <c r="X20" i="15"/>
  <c r="R20" i="15"/>
  <c r="S20" i="15"/>
  <c r="M20" i="15"/>
  <c r="B20" i="15"/>
  <c r="BI19" i="15"/>
  <c r="BF19" i="15"/>
  <c r="BD19" i="15"/>
  <c r="BA19" i="15"/>
  <c r="AV19" i="15"/>
  <c r="AZ19" i="15"/>
  <c r="AQ19" i="15"/>
  <c r="AU19" i="15"/>
  <c r="W19" i="15"/>
  <c r="AA19" i="15"/>
  <c r="R19" i="15"/>
  <c r="V19" i="15"/>
  <c r="M19" i="15"/>
  <c r="Q19" i="15"/>
  <c r="L19" i="15"/>
  <c r="B19" i="15"/>
  <c r="BI18" i="15"/>
  <c r="BF18" i="15"/>
  <c r="BG18" i="15"/>
  <c r="BD18" i="15"/>
  <c r="BA18" i="15"/>
  <c r="BB18" i="15"/>
  <c r="AV18" i="15"/>
  <c r="AQ18" i="15"/>
  <c r="AR18" i="15"/>
  <c r="AL18" i="15"/>
  <c r="AM18" i="15"/>
  <c r="AG18" i="15"/>
  <c r="AH18" i="15"/>
  <c r="AB18" i="15"/>
  <c r="W18" i="15"/>
  <c r="X18" i="15"/>
  <c r="R18" i="15"/>
  <c r="S18" i="15"/>
  <c r="M18" i="15"/>
  <c r="N18" i="15"/>
  <c r="L18" i="15"/>
  <c r="B18" i="15"/>
  <c r="BI17" i="15"/>
  <c r="BF17" i="15"/>
  <c r="BG17" i="15"/>
  <c r="BD17" i="15"/>
  <c r="BA17" i="15"/>
  <c r="BB17" i="15"/>
  <c r="AV17" i="15"/>
  <c r="AQ17" i="15"/>
  <c r="AL17" i="15"/>
  <c r="AM17" i="15"/>
  <c r="AG17" i="15"/>
  <c r="AH17" i="15"/>
  <c r="AB17" i="15"/>
  <c r="W17" i="15"/>
  <c r="R17" i="15"/>
  <c r="S17" i="15"/>
  <c r="M17" i="15"/>
  <c r="N17" i="15"/>
  <c r="N27" i="15"/>
  <c r="B17" i="15"/>
  <c r="BI16" i="15"/>
  <c r="BF16" i="15"/>
  <c r="BG16" i="15"/>
  <c r="BD16" i="15"/>
  <c r="BA16" i="15"/>
  <c r="BB16" i="15"/>
  <c r="AV16" i="15"/>
  <c r="AW16" i="15"/>
  <c r="AQ16" i="15"/>
  <c r="AL16" i="15"/>
  <c r="AM16" i="15"/>
  <c r="AG16" i="15"/>
  <c r="AH16" i="15"/>
  <c r="AB16" i="15"/>
  <c r="AC16" i="15"/>
  <c r="W16" i="15"/>
  <c r="X16" i="15"/>
  <c r="R16" i="15"/>
  <c r="S16" i="15"/>
  <c r="M16" i="15"/>
  <c r="N16" i="15"/>
  <c r="B16" i="15"/>
  <c r="BI15" i="15"/>
  <c r="BF15" i="15"/>
  <c r="BG15" i="15"/>
  <c r="BD15" i="15"/>
  <c r="BA15" i="15"/>
  <c r="BB15" i="15"/>
  <c r="AV15" i="15"/>
  <c r="AW15" i="15"/>
  <c r="AQ15" i="15"/>
  <c r="AR15" i="15"/>
  <c r="AL15" i="15"/>
  <c r="AG15" i="15"/>
  <c r="AB15" i="15"/>
  <c r="AC15" i="15"/>
  <c r="W15" i="15"/>
  <c r="X15" i="15"/>
  <c r="R15" i="15"/>
  <c r="M15" i="15"/>
  <c r="N15" i="15"/>
  <c r="L15" i="15"/>
  <c r="B15" i="15"/>
  <c r="BI14" i="15"/>
  <c r="BF14" i="15"/>
  <c r="BG14" i="15"/>
  <c r="BD14" i="15"/>
  <c r="BA14" i="15"/>
  <c r="BB14" i="15"/>
  <c r="AV14" i="15"/>
  <c r="AQ14" i="15"/>
  <c r="AL14" i="15"/>
  <c r="AG14" i="15"/>
  <c r="AH14" i="15"/>
  <c r="AB14" i="15"/>
  <c r="W14" i="15"/>
  <c r="X14" i="15"/>
  <c r="R14" i="15"/>
  <c r="M14" i="15"/>
  <c r="N14" i="15"/>
  <c r="L14" i="15"/>
  <c r="B14" i="15"/>
  <c r="BI13" i="15"/>
  <c r="BF13" i="15"/>
  <c r="BG13" i="15"/>
  <c r="BD13" i="15"/>
  <c r="BA13" i="15"/>
  <c r="BB13" i="15"/>
  <c r="AV13" i="15"/>
  <c r="AW13" i="15"/>
  <c r="AQ13" i="15"/>
  <c r="AR13" i="15"/>
  <c r="AL13" i="15"/>
  <c r="AM13" i="15"/>
  <c r="AG13" i="15"/>
  <c r="AB13" i="15"/>
  <c r="AC13" i="15"/>
  <c r="W13" i="15"/>
  <c r="R13" i="15"/>
  <c r="S13" i="15"/>
  <c r="M13" i="15"/>
  <c r="N13" i="15"/>
  <c r="B13" i="15"/>
  <c r="BI12" i="15"/>
  <c r="BF12" i="15"/>
  <c r="BG12" i="15"/>
  <c r="BD12" i="15"/>
  <c r="BA12" i="15"/>
  <c r="BB12" i="15"/>
  <c r="AV12" i="15"/>
  <c r="AQ12" i="15"/>
  <c r="AR12" i="15"/>
  <c r="AL12" i="15"/>
  <c r="AG12" i="15"/>
  <c r="AH12" i="15"/>
  <c r="AB12" i="15"/>
  <c r="W12" i="15"/>
  <c r="X12" i="15"/>
  <c r="R12" i="15"/>
  <c r="S12" i="15"/>
  <c r="M12" i="15"/>
  <c r="N12" i="15"/>
  <c r="B12" i="15"/>
  <c r="BI11" i="15"/>
  <c r="BF11" i="15"/>
  <c r="BG11" i="15"/>
  <c r="BD11" i="15"/>
  <c r="BA11" i="15"/>
  <c r="BB11" i="15"/>
  <c r="AV11" i="15"/>
  <c r="AQ11" i="15"/>
  <c r="AL11" i="15"/>
  <c r="AM11" i="15"/>
  <c r="AG11" i="15"/>
  <c r="AH11" i="15"/>
  <c r="AB11" i="15"/>
  <c r="W11" i="15"/>
  <c r="R11" i="15"/>
  <c r="S11" i="15"/>
  <c r="M11" i="15"/>
  <c r="N11" i="15"/>
  <c r="L11" i="15"/>
  <c r="B11" i="15"/>
  <c r="BI10" i="15"/>
  <c r="BF10" i="15"/>
  <c r="BG10" i="15"/>
  <c r="BD10" i="15"/>
  <c r="BA10" i="15"/>
  <c r="BB10" i="15"/>
  <c r="AV10" i="15"/>
  <c r="AQ10" i="15"/>
  <c r="AL10" i="15"/>
  <c r="AG10" i="15"/>
  <c r="AH10" i="15"/>
  <c r="AB10" i="15"/>
  <c r="W10" i="15"/>
  <c r="X10" i="15"/>
  <c r="R10" i="15"/>
  <c r="M10" i="15"/>
  <c r="N10" i="15"/>
  <c r="L10" i="15"/>
  <c r="B10" i="15"/>
  <c r="BI9" i="15"/>
  <c r="BF9" i="15"/>
  <c r="BD9" i="15"/>
  <c r="BA9" i="15"/>
  <c r="AV9" i="15"/>
  <c r="AQ9" i="15"/>
  <c r="AL9" i="15"/>
  <c r="AG9" i="15"/>
  <c r="AB9" i="15"/>
  <c r="W9" i="15"/>
  <c r="R9" i="15"/>
  <c r="M9" i="15"/>
  <c r="N9" i="15"/>
  <c r="B9" i="15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8" i="8"/>
  <c r="GS6" i="30"/>
  <c r="GT6" i="30"/>
  <c r="GV6" i="30"/>
  <c r="GZ6" i="28"/>
  <c r="GZ38" i="28" s="1"/>
  <c r="GW6" i="28"/>
  <c r="GW38" i="28" s="1"/>
  <c r="GW41" i="28" s="1"/>
  <c r="GX6" i="28"/>
  <c r="GX38" i="28" s="1"/>
  <c r="JE47" i="8"/>
  <c r="JE46" i="8"/>
  <c r="JE43" i="8"/>
  <c r="K45" i="15"/>
  <c r="L43" i="15"/>
  <c r="BS21" i="15"/>
  <c r="AI52" i="8"/>
  <c r="AI51" i="8"/>
  <c r="AI50" i="8"/>
  <c r="Y40" i="8"/>
  <c r="Z40" i="8"/>
  <c r="Y39" i="8"/>
  <c r="Z39" i="8"/>
  <c r="Y43" i="8"/>
  <c r="Z43" i="8"/>
  <c r="JG47" i="8"/>
  <c r="JF47" i="8"/>
  <c r="BK9" i="15"/>
  <c r="BK36" i="15"/>
  <c r="BK35" i="15"/>
  <c r="BK34" i="15"/>
  <c r="BK32" i="15"/>
  <c r="BK31" i="15"/>
  <c r="BK30" i="15"/>
  <c r="BK28" i="15"/>
  <c r="BK27" i="15"/>
  <c r="BK26" i="15"/>
  <c r="BK24" i="15"/>
  <c r="BK23" i="15"/>
  <c r="BK22" i="15"/>
  <c r="BK20" i="15"/>
  <c r="BK19" i="15"/>
  <c r="BK18" i="15"/>
  <c r="BK16" i="15"/>
  <c r="BK15" i="15"/>
  <c r="BK14" i="15"/>
  <c r="BK12" i="15"/>
  <c r="BK11" i="15"/>
  <c r="BK10" i="15"/>
  <c r="O43" i="8"/>
  <c r="O44" i="8"/>
  <c r="P44" i="8"/>
  <c r="M42" i="15"/>
  <c r="Q42" i="15"/>
  <c r="M40" i="15"/>
  <c r="Q40" i="15"/>
  <c r="R42" i="15"/>
  <c r="V42" i="15"/>
  <c r="R40" i="15"/>
  <c r="S9" i="15"/>
  <c r="AA9" i="15"/>
  <c r="W42" i="15"/>
  <c r="W40" i="15"/>
  <c r="AA40" i="15"/>
  <c r="X9" i="15"/>
  <c r="AF9" i="15"/>
  <c r="AC9" i="15"/>
  <c r="AH9" i="15"/>
  <c r="AM9" i="15"/>
  <c r="AU9" i="15"/>
  <c r="AQ42" i="15"/>
  <c r="AU42" i="15"/>
  <c r="AQ40" i="15"/>
  <c r="AR9" i="15"/>
  <c r="AZ9" i="15"/>
  <c r="AV42" i="15"/>
  <c r="AZ42" i="15"/>
  <c r="AV40" i="15"/>
  <c r="AZ40" i="15"/>
  <c r="AW9" i="15"/>
  <c r="BA42" i="15"/>
  <c r="BA40" i="15"/>
  <c r="BB9" i="15"/>
  <c r="BD42" i="15"/>
  <c r="BD40" i="15"/>
  <c r="BF42" i="15"/>
  <c r="BF40" i="15"/>
  <c r="BG9" i="15"/>
  <c r="BI42" i="15"/>
  <c r="BI40" i="15"/>
  <c r="V10" i="15"/>
  <c r="S10" i="15"/>
  <c r="AF10" i="15"/>
  <c r="AC10" i="15"/>
  <c r="AP10" i="15"/>
  <c r="AM10" i="15"/>
  <c r="AU10" i="15"/>
  <c r="AR10" i="15"/>
  <c r="AZ10" i="15"/>
  <c r="AW10" i="15"/>
  <c r="AA11" i="15"/>
  <c r="X11" i="15"/>
  <c r="AF11" i="15"/>
  <c r="AC11" i="15"/>
  <c r="AU11" i="15"/>
  <c r="AR11" i="15"/>
  <c r="AZ11" i="15"/>
  <c r="AW11" i="15"/>
  <c r="AF12" i="15"/>
  <c r="AC12" i="15"/>
  <c r="AP12" i="15"/>
  <c r="AM12" i="15"/>
  <c r="AZ12" i="15"/>
  <c r="AW12" i="15"/>
  <c r="AA13" i="15"/>
  <c r="X13" i="15"/>
  <c r="AK13" i="15"/>
  <c r="AH13" i="15"/>
  <c r="V14" i="15"/>
  <c r="S14" i="15"/>
  <c r="AF14" i="15"/>
  <c r="AC14" i="15"/>
  <c r="AP14" i="15"/>
  <c r="AM14" i="15"/>
  <c r="AU14" i="15"/>
  <c r="AR14" i="15"/>
  <c r="AZ14" i="15"/>
  <c r="AW14" i="15"/>
  <c r="V15" i="15"/>
  <c r="S15" i="15"/>
  <c r="AK15" i="15"/>
  <c r="AH15" i="15"/>
  <c r="AP15" i="15"/>
  <c r="AM15" i="15"/>
  <c r="AU16" i="15"/>
  <c r="AR16" i="15"/>
  <c r="BS16" i="15"/>
  <c r="N19" i="15"/>
  <c r="S27" i="15"/>
  <c r="S19" i="15"/>
  <c r="AA17" i="15"/>
  <c r="X17" i="15"/>
  <c r="AF17" i="15"/>
  <c r="AC17" i="15"/>
  <c r="AH27" i="15"/>
  <c r="AH19" i="15"/>
  <c r="AM27" i="15"/>
  <c r="AM19" i="15"/>
  <c r="AU17" i="15"/>
  <c r="AR17" i="15"/>
  <c r="AZ17" i="15"/>
  <c r="AW17" i="15"/>
  <c r="BB27" i="15"/>
  <c r="BB19" i="15"/>
  <c r="BG27" i="15"/>
  <c r="BG19" i="15"/>
  <c r="AF18" i="15"/>
  <c r="AC18" i="15"/>
  <c r="AZ18" i="15"/>
  <c r="AW18" i="15"/>
  <c r="Q20" i="15"/>
  <c r="N20" i="15"/>
  <c r="AF20" i="15"/>
  <c r="AC20" i="15"/>
  <c r="AK20" i="15"/>
  <c r="AH20" i="15"/>
  <c r="AZ20" i="15"/>
  <c r="AW20" i="15"/>
  <c r="AA22" i="15"/>
  <c r="X22" i="15"/>
  <c r="AZ22" i="15"/>
  <c r="AW22" i="15"/>
  <c r="Q23" i="15"/>
  <c r="N23" i="15"/>
  <c r="BS23" i="15"/>
  <c r="AP24" i="15"/>
  <c r="AM24" i="15"/>
  <c r="BS24" i="15"/>
  <c r="AA25" i="15"/>
  <c r="X25" i="15"/>
  <c r="AU25" i="15"/>
  <c r="AR25" i="15"/>
  <c r="AA26" i="15"/>
  <c r="X26" i="15"/>
  <c r="AU26" i="15"/>
  <c r="AR26" i="15"/>
  <c r="AZ26" i="15"/>
  <c r="AW26" i="15"/>
  <c r="Q28" i="15"/>
  <c r="M41" i="15"/>
  <c r="Q41" i="15"/>
  <c r="N28" i="15"/>
  <c r="R41" i="15"/>
  <c r="V41" i="15"/>
  <c r="S28" i="15"/>
  <c r="W41" i="15"/>
  <c r="X28" i="15"/>
  <c r="AF28" i="15"/>
  <c r="AB41" i="15"/>
  <c r="AF41" i="15"/>
  <c r="AC28" i="15"/>
  <c r="AK28" i="15"/>
  <c r="AG41" i="15"/>
  <c r="AK41" i="15"/>
  <c r="AH28" i="15"/>
  <c r="AL41" i="15"/>
  <c r="AP41" i="15"/>
  <c r="AM28" i="15"/>
  <c r="AU28" i="15"/>
  <c r="AQ41" i="15"/>
  <c r="AU41" i="15"/>
  <c r="AR28" i="15"/>
  <c r="AV41" i="15"/>
  <c r="AZ41" i="15"/>
  <c r="AW28" i="15"/>
  <c r="BA41" i="15"/>
  <c r="BE41" i="15"/>
  <c r="BB28" i="15"/>
  <c r="BF41" i="15"/>
  <c r="BJ41" i="15"/>
  <c r="BG28" i="15"/>
  <c r="V29" i="15"/>
  <c r="S29" i="15"/>
  <c r="AP29" i="15"/>
  <c r="AM29" i="15"/>
  <c r="AZ29" i="15"/>
  <c r="AW29" i="15"/>
  <c r="Q30" i="15"/>
  <c r="N30" i="15"/>
  <c r="AA30" i="15"/>
  <c r="X30" i="15"/>
  <c r="AK30" i="15"/>
  <c r="AH30" i="15"/>
  <c r="AU30" i="15"/>
  <c r="AR30" i="15"/>
  <c r="Q31" i="15"/>
  <c r="N31" i="15"/>
  <c r="AF31" i="15"/>
  <c r="AC31" i="15"/>
  <c r="AP31" i="15"/>
  <c r="AM31" i="15"/>
  <c r="AZ31" i="15"/>
  <c r="AW31" i="15"/>
  <c r="AK32" i="15"/>
  <c r="AH32" i="15"/>
  <c r="AU32" i="15"/>
  <c r="AR32" i="15"/>
  <c r="N37" i="15"/>
  <c r="N36" i="15"/>
  <c r="S37" i="15"/>
  <c r="S36" i="15"/>
  <c r="X37" i="15"/>
  <c r="X36" i="15"/>
  <c r="AC37" i="15"/>
  <c r="AC36" i="15"/>
  <c r="AH37" i="15"/>
  <c r="AH36" i="15"/>
  <c r="AP33" i="15"/>
  <c r="AM33" i="15"/>
  <c r="AR37" i="15"/>
  <c r="AR36" i="15"/>
  <c r="AZ33" i="15"/>
  <c r="AW33" i="15"/>
  <c r="BB37" i="15"/>
  <c r="BB36" i="15"/>
  <c r="BG37" i="15"/>
  <c r="BG36" i="15"/>
  <c r="Q34" i="15"/>
  <c r="N34" i="15"/>
  <c r="BS34" i="15"/>
  <c r="Q35" i="15"/>
  <c r="N35" i="15"/>
  <c r="AU35" i="15"/>
  <c r="AR35" i="15"/>
  <c r="BL41" i="15"/>
  <c r="Z41" i="15"/>
  <c r="Z42" i="15"/>
  <c r="K48" i="15"/>
  <c r="K47" i="15"/>
  <c r="K46" i="15"/>
  <c r="F3" i="20"/>
  <c r="BM36" i="15"/>
  <c r="BM35" i="15"/>
  <c r="BM32" i="15"/>
  <c r="BM31" i="15"/>
  <c r="BM28" i="15"/>
  <c r="BM27" i="15"/>
  <c r="BM24" i="15"/>
  <c r="BM23" i="15"/>
  <c r="BM20" i="15"/>
  <c r="BM19" i="15"/>
  <c r="BM16" i="15"/>
  <c r="BM15" i="15"/>
  <c r="BM12" i="15"/>
  <c r="BM11" i="15"/>
  <c r="L37" i="15"/>
  <c r="I37" i="15"/>
  <c r="L36" i="15"/>
  <c r="I36" i="15"/>
  <c r="I35" i="15"/>
  <c r="L34" i="15"/>
  <c r="I34" i="15"/>
  <c r="L32" i="15"/>
  <c r="I32" i="15"/>
  <c r="L31" i="15"/>
  <c r="I31" i="15"/>
  <c r="L29" i="15"/>
  <c r="I28" i="15"/>
  <c r="L27" i="15"/>
  <c r="I27" i="15"/>
  <c r="L26" i="15"/>
  <c r="I26" i="15"/>
  <c r="L25" i="15"/>
  <c r="I25" i="15"/>
  <c r="L23" i="15"/>
  <c r="I23" i="15"/>
  <c r="L22" i="15"/>
  <c r="I22" i="15"/>
  <c r="L21" i="15"/>
  <c r="I21" i="15"/>
  <c r="I19" i="15"/>
  <c r="L17" i="15"/>
  <c r="I17" i="15"/>
  <c r="I15" i="15"/>
  <c r="L13" i="15"/>
  <c r="I13" i="15"/>
  <c r="I11" i="15"/>
  <c r="L12" i="15"/>
  <c r="H41" i="15"/>
  <c r="L41" i="15"/>
  <c r="L16" i="15"/>
  <c r="L24" i="15"/>
  <c r="L20" i="15"/>
  <c r="H42" i="15"/>
  <c r="L42" i="15"/>
  <c r="L9" i="15"/>
  <c r="H40" i="15"/>
  <c r="L40" i="15"/>
  <c r="BM34" i="15"/>
  <c r="BM30" i="15"/>
  <c r="BM26" i="15"/>
  <c r="BM22" i="15"/>
  <c r="BM14" i="15"/>
  <c r="BM10" i="15"/>
  <c r="BK37" i="15"/>
  <c r="BM37" i="15"/>
  <c r="BK33" i="15"/>
  <c r="BM33" i="15"/>
  <c r="BK29" i="15"/>
  <c r="BK25" i="15"/>
  <c r="BM25" i="15"/>
  <c r="BK21" i="15"/>
  <c r="BM21" i="15"/>
  <c r="BK17" i="15"/>
  <c r="BM17" i="15"/>
  <c r="BK13" i="15"/>
  <c r="G25" i="15"/>
  <c r="AU24" i="15"/>
  <c r="BJ19" i="15"/>
  <c r="BJ30" i="15"/>
  <c r="V32" i="15"/>
  <c r="V33" i="15"/>
  <c r="BE27" i="15"/>
  <c r="AA33" i="15"/>
  <c r="BJ13" i="15"/>
  <c r="V21" i="15"/>
  <c r="AK26" i="15"/>
  <c r="AA31" i="15"/>
  <c r="G24" i="15"/>
  <c r="AA16" i="15"/>
  <c r="V12" i="15"/>
  <c r="BE12" i="15"/>
  <c r="AP21" i="15"/>
  <c r="AA24" i="15"/>
  <c r="AF29" i="15"/>
  <c r="BE31" i="15"/>
  <c r="BJ33" i="15"/>
  <c r="V35" i="15"/>
  <c r="BE24" i="15"/>
  <c r="G33" i="15"/>
  <c r="G17" i="15"/>
  <c r="BE14" i="15"/>
  <c r="AZ13" i="15"/>
  <c r="BJ16" i="15"/>
  <c r="AK18" i="15"/>
  <c r="BJ21" i="15"/>
  <c r="AK23" i="15"/>
  <c r="AP32" i="15"/>
  <c r="G32" i="15"/>
  <c r="G16" i="15"/>
  <c r="G35" i="15"/>
  <c r="G27" i="15"/>
  <c r="G19" i="15"/>
  <c r="G15" i="15"/>
  <c r="BJ11" i="15"/>
  <c r="AU12" i="15"/>
  <c r="BJ15" i="15"/>
  <c r="BJ29" i="15"/>
  <c r="G34" i="15"/>
  <c r="G26" i="15"/>
  <c r="G22" i="15"/>
  <c r="G18" i="15"/>
  <c r="G14" i="15"/>
  <c r="AK10" i="15"/>
  <c r="BE10" i="15"/>
  <c r="Q11" i="15"/>
  <c r="AU13" i="15"/>
  <c r="BE13" i="15"/>
  <c r="Q14" i="15"/>
  <c r="BJ14" i="15"/>
  <c r="AA15" i="15"/>
  <c r="AF16" i="15"/>
  <c r="BE17" i="15"/>
  <c r="Q18" i="15"/>
  <c r="V20" i="15"/>
  <c r="AU21" i="15"/>
  <c r="AF25" i="15"/>
  <c r="AF26" i="15"/>
  <c r="BE30" i="15"/>
  <c r="BJ32" i="15"/>
  <c r="BE33" i="15"/>
  <c r="G37" i="15"/>
  <c r="G29" i="15"/>
  <c r="G21" i="15"/>
  <c r="G13" i="15"/>
  <c r="G31" i="15"/>
  <c r="G23" i="15"/>
  <c r="G11" i="15"/>
  <c r="V24" i="15"/>
  <c r="Q26" i="15"/>
  <c r="G30" i="15"/>
  <c r="G10" i="15"/>
  <c r="AZ16" i="15"/>
  <c r="AA21" i="15"/>
  <c r="V23" i="15"/>
  <c r="AZ28" i="15"/>
  <c r="BE29" i="15"/>
  <c r="G36" i="15"/>
  <c r="G20" i="15"/>
  <c r="AP16" i="15"/>
  <c r="AK24" i="15"/>
  <c r="AP18" i="15"/>
  <c r="Q22" i="15"/>
  <c r="AP22" i="15"/>
  <c r="AA29" i="15"/>
  <c r="AF33" i="15"/>
  <c r="AA12" i="15"/>
  <c r="AK14" i="15"/>
  <c r="BE26" i="15"/>
  <c r="AZ30" i="15"/>
  <c r="Q32" i="15"/>
  <c r="C41" i="15"/>
  <c r="D18" i="15"/>
  <c r="AZ21" i="15"/>
  <c r="AU29" i="15"/>
  <c r="V11" i="15"/>
  <c r="AK11" i="15"/>
  <c r="V16" i="15"/>
  <c r="AK17" i="15"/>
  <c r="AK21" i="15"/>
  <c r="BJ23" i="15"/>
  <c r="BE25" i="15"/>
  <c r="V28" i="15"/>
  <c r="Q10" i="15"/>
  <c r="V18" i="15"/>
  <c r="BE21" i="15"/>
  <c r="BJ27" i="15"/>
  <c r="BE28" i="15"/>
  <c r="C42" i="15"/>
  <c r="G9" i="15"/>
  <c r="D9" i="15"/>
  <c r="BL9" i="15"/>
  <c r="AP11" i="15"/>
  <c r="BE11" i="15"/>
  <c r="AF13" i="15"/>
  <c r="AU15" i="15"/>
  <c r="BE16" i="15"/>
  <c r="Q17" i="15"/>
  <c r="BE19" i="15"/>
  <c r="AP20" i="15"/>
  <c r="AF22" i="15"/>
  <c r="BE22" i="15"/>
  <c r="AP23" i="15"/>
  <c r="BE23" i="15"/>
  <c r="BJ24" i="15"/>
  <c r="AZ25" i="15"/>
  <c r="BJ25" i="15"/>
  <c r="AF30" i="15"/>
  <c r="AK31" i="15"/>
  <c r="C40" i="15"/>
  <c r="F41" i="15"/>
  <c r="F42" i="15"/>
  <c r="G28" i="15"/>
  <c r="G12" i="15"/>
  <c r="BE32" i="15"/>
  <c r="BJ10" i="15"/>
  <c r="BJ12" i="15"/>
  <c r="BJ17" i="15"/>
  <c r="BE18" i="15"/>
  <c r="BE20" i="15"/>
  <c r="BJ28" i="15"/>
  <c r="AU33" i="15"/>
  <c r="BJ35" i="15"/>
  <c r="D13" i="15"/>
  <c r="BL13" i="15"/>
  <c r="F40" i="15"/>
  <c r="V22" i="15"/>
  <c r="AK25" i="15"/>
  <c r="BE9" i="15"/>
  <c r="AP17" i="15"/>
  <c r="AA20" i="15"/>
  <c r="Q25" i="15"/>
  <c r="AK29" i="15"/>
  <c r="Q15" i="15"/>
  <c r="AZ23" i="15"/>
  <c r="V17" i="15"/>
  <c r="AP25" i="15"/>
  <c r="Q29" i="15"/>
  <c r="V9" i="15"/>
  <c r="AP9" i="15"/>
  <c r="BJ9" i="15"/>
  <c r="AA10" i="15"/>
  <c r="Q12" i="15"/>
  <c r="AK12" i="15"/>
  <c r="V13" i="15"/>
  <c r="AP13" i="15"/>
  <c r="AA14" i="15"/>
  <c r="Q16" i="15"/>
  <c r="AK16" i="15"/>
  <c r="AA18" i="15"/>
  <c r="AU18" i="15"/>
  <c r="BJ20" i="15"/>
  <c r="AF21" i="15"/>
  <c r="AU22" i="15"/>
  <c r="V25" i="15"/>
  <c r="AA23" i="15"/>
  <c r="AU20" i="15"/>
  <c r="AF23" i="15"/>
  <c r="Q9" i="15"/>
  <c r="AK9" i="15"/>
  <c r="Q13" i="15"/>
  <c r="AF15" i="15"/>
  <c r="AZ15" i="15"/>
  <c r="BE15" i="15"/>
  <c r="BJ18" i="15"/>
  <c r="Q21" i="15"/>
  <c r="AK22" i="15"/>
  <c r="AU23" i="15"/>
  <c r="AF24" i="15"/>
  <c r="AZ24" i="15"/>
  <c r="AU34" i="15"/>
  <c r="BJ22" i="15"/>
  <c r="Q24" i="15"/>
  <c r="BJ26" i="15"/>
  <c r="AA28" i="15"/>
  <c r="AK33" i="15"/>
  <c r="V34" i="15"/>
  <c r="V26" i="15"/>
  <c r="AP26" i="15"/>
  <c r="AP28" i="15"/>
  <c r="V30" i="15"/>
  <c r="AP30" i="15"/>
  <c r="AU31" i="15"/>
  <c r="BJ31" i="15"/>
  <c r="AA32" i="15"/>
  <c r="BJ34" i="15"/>
  <c r="D41" i="15"/>
  <c r="E41" i="15"/>
  <c r="V31" i="15"/>
  <c r="AF32" i="15"/>
  <c r="AZ32" i="15"/>
  <c r="Q33" i="15"/>
  <c r="GW6" i="30"/>
  <c r="GX6" i="30"/>
  <c r="GZ6" i="30"/>
  <c r="HD6" i="28"/>
  <c r="HA6" i="28"/>
  <c r="HB6" i="28"/>
  <c r="HB38" i="28" s="1"/>
  <c r="HB41" i="28" s="1"/>
  <c r="BR34" i="15"/>
  <c r="F45" i="15"/>
  <c r="G43" i="15"/>
  <c r="BR35" i="15"/>
  <c r="BJ40" i="15"/>
  <c r="BE40" i="15"/>
  <c r="AA41" i="15"/>
  <c r="BS35" i="15"/>
  <c r="BS33" i="15"/>
  <c r="BS32" i="15"/>
  <c r="BS31" i="15"/>
  <c r="BS30" i="15"/>
  <c r="BS29" i="15"/>
  <c r="BS28" i="15"/>
  <c r="BS26" i="15"/>
  <c r="BS25" i="15"/>
  <c r="BS22" i="15"/>
  <c r="BS20" i="15"/>
  <c r="BS18" i="15"/>
  <c r="BS17" i="15"/>
  <c r="BS15" i="15"/>
  <c r="BS14" i="15"/>
  <c r="BS13" i="15"/>
  <c r="BS12" i="15"/>
  <c r="BS11" i="15"/>
  <c r="BS10" i="15"/>
  <c r="BS9" i="15"/>
  <c r="BM9" i="15"/>
  <c r="BK42" i="15"/>
  <c r="BK45" i="15"/>
  <c r="BK40" i="15"/>
  <c r="BM29" i="15"/>
  <c r="BK41" i="15"/>
  <c r="AW37" i="15"/>
  <c r="AW36" i="15"/>
  <c r="AW41" i="15"/>
  <c r="AX41" i="15"/>
  <c r="AM37" i="15"/>
  <c r="AM36" i="15"/>
  <c r="BG41" i="15"/>
  <c r="BH41" i="15"/>
  <c r="BB41" i="15"/>
  <c r="BC41" i="15"/>
  <c r="AR41" i="15"/>
  <c r="AS41" i="15"/>
  <c r="AH41" i="15"/>
  <c r="AI41" i="15"/>
  <c r="AC41" i="15"/>
  <c r="AD41" i="15"/>
  <c r="X41" i="15"/>
  <c r="Y41" i="15"/>
  <c r="S41" i="15"/>
  <c r="T41" i="15"/>
  <c r="N41" i="15"/>
  <c r="O41" i="15"/>
  <c r="AW27" i="15"/>
  <c r="AW19" i="15"/>
  <c r="AW42" i="15"/>
  <c r="AX43" i="15"/>
  <c r="AR27" i="15"/>
  <c r="AR19" i="15"/>
  <c r="AC27" i="15"/>
  <c r="AC19" i="15"/>
  <c r="X27" i="15"/>
  <c r="X19" i="15"/>
  <c r="BI45" i="15"/>
  <c r="BJ42" i="15"/>
  <c r="BG42" i="15"/>
  <c r="BH43" i="15"/>
  <c r="BG40" i="15"/>
  <c r="BH40" i="15"/>
  <c r="BD45" i="15"/>
  <c r="BE42" i="15"/>
  <c r="BB42" i="15"/>
  <c r="BC43" i="15"/>
  <c r="BB40" i="15"/>
  <c r="BC40" i="15"/>
  <c r="AU40" i="15"/>
  <c r="AM40" i="15"/>
  <c r="AH42" i="15"/>
  <c r="AI43" i="15"/>
  <c r="AH40" i="15"/>
  <c r="S42" i="15"/>
  <c r="S40" i="15"/>
  <c r="T40" i="15"/>
  <c r="V40" i="15"/>
  <c r="N42" i="15"/>
  <c r="O43" i="15"/>
  <c r="N40" i="15"/>
  <c r="O40" i="15"/>
  <c r="AA42" i="15"/>
  <c r="Z45" i="15"/>
  <c r="F48" i="15"/>
  <c r="F46" i="15"/>
  <c r="F47" i="15"/>
  <c r="BR32" i="15"/>
  <c r="BR24" i="15"/>
  <c r="BR15" i="15"/>
  <c r="BR16" i="15"/>
  <c r="BR14" i="15"/>
  <c r="BR10" i="15"/>
  <c r="BR12" i="15"/>
  <c r="BR28" i="15"/>
  <c r="BR30" i="15"/>
  <c r="BR11" i="15"/>
  <c r="BL18" i="15"/>
  <c r="BR18" i="15"/>
  <c r="BR20" i="15"/>
  <c r="BR33" i="15"/>
  <c r="BR31" i="15"/>
  <c r="BM13" i="15"/>
  <c r="BR23" i="15"/>
  <c r="I41" i="15"/>
  <c r="J41" i="15"/>
  <c r="BR29" i="15"/>
  <c r="BR17" i="15"/>
  <c r="BR13" i="15"/>
  <c r="BR26" i="15"/>
  <c r="BR25" i="15"/>
  <c r="BR22" i="15"/>
  <c r="I40" i="15"/>
  <c r="J40" i="15"/>
  <c r="BR21" i="15"/>
  <c r="BR9" i="15"/>
  <c r="G42" i="15"/>
  <c r="G40" i="15"/>
  <c r="G41" i="15"/>
  <c r="D42" i="15"/>
  <c r="E43" i="15"/>
  <c r="D40" i="15"/>
  <c r="E40" i="15"/>
  <c r="HA6" i="30"/>
  <c r="HB6" i="30"/>
  <c r="HD6" i="30"/>
  <c r="HH6" i="28"/>
  <c r="HH38" i="28" s="1"/>
  <c r="HE6" i="28"/>
  <c r="HE38" i="28" s="1"/>
  <c r="HF6" i="28"/>
  <c r="T43" i="15"/>
  <c r="S45" i="15"/>
  <c r="S48" i="15"/>
  <c r="T54" i="15"/>
  <c r="U54" i="15"/>
  <c r="T58" i="15"/>
  <c r="U58" i="15"/>
  <c r="T59" i="15"/>
  <c r="U59" i="15"/>
  <c r="T57" i="15"/>
  <c r="U57" i="15"/>
  <c r="T51" i="15"/>
  <c r="U51" i="15"/>
  <c r="BS37" i="15"/>
  <c r="AW40" i="15"/>
  <c r="AX40" i="15"/>
  <c r="BS36" i="15"/>
  <c r="AR40" i="15"/>
  <c r="AS40" i="15"/>
  <c r="AR42" i="15"/>
  <c r="AM42" i="15"/>
  <c r="AM41" i="15"/>
  <c r="AN41" i="15"/>
  <c r="BR36" i="15"/>
  <c r="AC40" i="15"/>
  <c r="AC42" i="15"/>
  <c r="BS19" i="15"/>
  <c r="BS27" i="15"/>
  <c r="X42" i="15"/>
  <c r="X40" i="15"/>
  <c r="Y40" i="15"/>
  <c r="BM18" i="15"/>
  <c r="BL42" i="15"/>
  <c r="BL45" i="15"/>
  <c r="BL40" i="15"/>
  <c r="N45" i="15"/>
  <c r="O42" i="15"/>
  <c r="T42" i="15"/>
  <c r="X45" i="15"/>
  <c r="AH45" i="15"/>
  <c r="AX42" i="15"/>
  <c r="AW45" i="15"/>
  <c r="BC42" i="15"/>
  <c r="BB45" i="15"/>
  <c r="BD47" i="15"/>
  <c r="BD48" i="15"/>
  <c r="BD46" i="15"/>
  <c r="BH42" i="15"/>
  <c r="BG45" i="15"/>
  <c r="BI47" i="15"/>
  <c r="BI48" i="15"/>
  <c r="BI46" i="15"/>
  <c r="BK46" i="15"/>
  <c r="BK48" i="15"/>
  <c r="BK47" i="15"/>
  <c r="Z46" i="15"/>
  <c r="Z48" i="15"/>
  <c r="Z47" i="15"/>
  <c r="E42" i="15"/>
  <c r="D45" i="15"/>
  <c r="BR19" i="15"/>
  <c r="BR37" i="15"/>
  <c r="BR27" i="15"/>
  <c r="I42" i="15"/>
  <c r="HE6" i="30"/>
  <c r="HF6" i="30"/>
  <c r="HH6" i="30"/>
  <c r="HL6" i="28"/>
  <c r="HL38" i="28" s="1"/>
  <c r="HI6" i="28"/>
  <c r="HJ6" i="28"/>
  <c r="HJ38" i="28" s="1"/>
  <c r="I45" i="15"/>
  <c r="I46" i="15"/>
  <c r="J43" i="15"/>
  <c r="Y42" i="15"/>
  <c r="Y43" i="15"/>
  <c r="AM45" i="15"/>
  <c r="AM48" i="15"/>
  <c r="AN43" i="15"/>
  <c r="AR45" i="15"/>
  <c r="AR47" i="15"/>
  <c r="J3" i="23"/>
  <c r="J7" i="23"/>
  <c r="J4" i="23"/>
  <c r="AS43" i="15"/>
  <c r="AC45" i="15"/>
  <c r="AC46" i="15"/>
  <c r="L3" i="20"/>
  <c r="AD43" i="15"/>
  <c r="BS41" i="15"/>
  <c r="AS42" i="15"/>
  <c r="BS42" i="15"/>
  <c r="BS45" i="15"/>
  <c r="BS40" i="15"/>
  <c r="BR42" i="15"/>
  <c r="BT42" i="15"/>
  <c r="BR40" i="15"/>
  <c r="BR41" i="15"/>
  <c r="BG48" i="15"/>
  <c r="BG46" i="15"/>
  <c r="V3" i="20"/>
  <c r="BG47" i="15"/>
  <c r="M3" i="23"/>
  <c r="M7" i="23"/>
  <c r="M4" i="23"/>
  <c r="BB48" i="15"/>
  <c r="BB46" i="15"/>
  <c r="U3" i="20"/>
  <c r="BB47" i="15"/>
  <c r="L3" i="23"/>
  <c r="L7" i="23"/>
  <c r="L4" i="23"/>
  <c r="AW48" i="15"/>
  <c r="AW46" i="15"/>
  <c r="T3" i="20"/>
  <c r="AW47" i="15"/>
  <c r="K3" i="23"/>
  <c r="K7" i="23"/>
  <c r="K4" i="23"/>
  <c r="AH48" i="15"/>
  <c r="AH46" i="15"/>
  <c r="O3" i="20"/>
  <c r="AH47" i="15"/>
  <c r="H3" i="23"/>
  <c r="H7" i="23"/>
  <c r="H4" i="23"/>
  <c r="AC48" i="15"/>
  <c r="X48" i="15"/>
  <c r="X46" i="15"/>
  <c r="K3" i="20"/>
  <c r="X47" i="15"/>
  <c r="F7" i="23"/>
  <c r="F4" i="23"/>
  <c r="E3" i="22"/>
  <c r="E12" i="22"/>
  <c r="S46" i="15"/>
  <c r="J3" i="20"/>
  <c r="S47" i="15"/>
  <c r="E7" i="23"/>
  <c r="E4" i="23"/>
  <c r="N48" i="15"/>
  <c r="D3" i="22"/>
  <c r="D12" i="22"/>
  <c r="N46" i="15"/>
  <c r="G3" i="20"/>
  <c r="H3" i="20"/>
  <c r="N47" i="15"/>
  <c r="D3" i="23"/>
  <c r="D7" i="23"/>
  <c r="D4" i="23"/>
  <c r="BL48" i="15"/>
  <c r="BL46" i="15"/>
  <c r="BL47" i="15"/>
  <c r="J42" i="15"/>
  <c r="D48" i="15"/>
  <c r="D47" i="15"/>
  <c r="D46" i="15"/>
  <c r="GU33" i="8"/>
  <c r="GU34" i="8"/>
  <c r="GU35" i="8"/>
  <c r="GU36" i="8"/>
  <c r="BN10" i="15"/>
  <c r="BN11" i="15"/>
  <c r="BN12" i="15"/>
  <c r="BN13" i="15"/>
  <c r="BN14" i="15"/>
  <c r="BN15" i="15"/>
  <c r="BN16" i="15"/>
  <c r="BN17" i="15"/>
  <c r="BN18" i="15"/>
  <c r="BN20" i="15"/>
  <c r="BN21" i="15"/>
  <c r="BN22" i="15"/>
  <c r="BN23" i="15"/>
  <c r="BN24" i="15"/>
  <c r="BN25" i="15"/>
  <c r="BN26" i="15"/>
  <c r="BN27" i="15"/>
  <c r="BN28" i="15"/>
  <c r="BN29" i="15"/>
  <c r="BN30" i="15"/>
  <c r="BN31" i="15"/>
  <c r="BN32" i="15"/>
  <c r="BN33" i="15"/>
  <c r="BN34" i="15"/>
  <c r="BN35" i="15"/>
  <c r="BN36" i="15"/>
  <c r="BN37" i="15"/>
  <c r="BN9" i="15"/>
  <c r="HI6" i="30"/>
  <c r="HJ6" i="30"/>
  <c r="HL6" i="30"/>
  <c r="HT6" i="28"/>
  <c r="HT38" i="28" s="1"/>
  <c r="HM6" i="28"/>
  <c r="HM38" i="28" s="1"/>
  <c r="HN6" i="28"/>
  <c r="T56" i="15"/>
  <c r="U56" i="15"/>
  <c r="T53" i="15"/>
  <c r="U53" i="15"/>
  <c r="T55" i="15"/>
  <c r="U55" i="15"/>
  <c r="T52" i="15"/>
  <c r="U52" i="15"/>
  <c r="AR46" i="15"/>
  <c r="Q3" i="20"/>
  <c r="Q6" i="20"/>
  <c r="AR48" i="15"/>
  <c r="AM47" i="15"/>
  <c r="I3" i="23"/>
  <c r="I7" i="23"/>
  <c r="I4" i="23"/>
  <c r="AM46" i="15"/>
  <c r="P3" i="20"/>
  <c r="P7" i="20"/>
  <c r="AC47" i="15"/>
  <c r="G3" i="23"/>
  <c r="G7" i="23"/>
  <c r="G4" i="23"/>
  <c r="J7" i="20"/>
  <c r="J6" i="20"/>
  <c r="J5" i="20"/>
  <c r="J4" i="20"/>
  <c r="M3" i="20"/>
  <c r="K7" i="20"/>
  <c r="K6" i="20"/>
  <c r="K5" i="20"/>
  <c r="K4" i="20"/>
  <c r="L7" i="20"/>
  <c r="L6" i="20"/>
  <c r="L5" i="20"/>
  <c r="L4" i="20"/>
  <c r="O5" i="20"/>
  <c r="O7" i="20"/>
  <c r="O6" i="20"/>
  <c r="O4" i="20"/>
  <c r="P4" i="20"/>
  <c r="Q7" i="20"/>
  <c r="Q4" i="20"/>
  <c r="T7" i="20"/>
  <c r="T6" i="20"/>
  <c r="T5" i="20"/>
  <c r="T4" i="20"/>
  <c r="W3" i="20"/>
  <c r="U4" i="20"/>
  <c r="U7" i="20"/>
  <c r="U6" i="20"/>
  <c r="U5" i="20"/>
  <c r="V6" i="20"/>
  <c r="V7" i="20"/>
  <c r="V5" i="20"/>
  <c r="V4" i="20"/>
  <c r="BR45" i="15"/>
  <c r="BR48" i="15"/>
  <c r="N55" i="15"/>
  <c r="BN41" i="15"/>
  <c r="BS48" i="15"/>
  <c r="BS46" i="15"/>
  <c r="BS47" i="15"/>
  <c r="I47" i="15"/>
  <c r="I48" i="15"/>
  <c r="HM6" i="30"/>
  <c r="HN6" i="30"/>
  <c r="HT6" i="30"/>
  <c r="HX6" i="28"/>
  <c r="HX38" i="28" s="1"/>
  <c r="HU6" i="28"/>
  <c r="HV6" i="28"/>
  <c r="HV38" i="28" s="1"/>
  <c r="C4" i="27"/>
  <c r="E35" i="24"/>
  <c r="E43" i="24"/>
  <c r="F35" i="24"/>
  <c r="Q5" i="20"/>
  <c r="R3" i="20"/>
  <c r="P6" i="20"/>
  <c r="R6" i="20"/>
  <c r="P5" i="20"/>
  <c r="R5" i="20"/>
  <c r="N3" i="23"/>
  <c r="N4" i="23"/>
  <c r="BR47" i="15"/>
  <c r="W4" i="20"/>
  <c r="W5" i="20"/>
  <c r="W52" i="20"/>
  <c r="W6" i="20"/>
  <c r="W7" i="20"/>
  <c r="R4" i="20"/>
  <c r="R7" i="20"/>
  <c r="M4" i="20"/>
  <c r="M5" i="20"/>
  <c r="M6" i="20"/>
  <c r="M7" i="20"/>
  <c r="BR46" i="15"/>
  <c r="GK33" i="8"/>
  <c r="GK34" i="8"/>
  <c r="GK35" i="8"/>
  <c r="GK36" i="8"/>
  <c r="HX6" i="30"/>
  <c r="HU6" i="30"/>
  <c r="HV6" i="30"/>
  <c r="IB6" i="28"/>
  <c r="HY6" i="28"/>
  <c r="HZ6" i="28"/>
  <c r="HZ38" i="28" s="1"/>
  <c r="HZ41" i="28" s="1"/>
  <c r="C11" i="27"/>
  <c r="C10" i="27"/>
  <c r="C9" i="27"/>
  <c r="C8" i="27"/>
  <c r="C7" i="27"/>
  <c r="C12" i="27"/>
  <c r="F43" i="24"/>
  <c r="M52" i="20"/>
  <c r="E4" i="27"/>
  <c r="R52" i="20"/>
  <c r="GF33" i="8"/>
  <c r="GF34" i="8"/>
  <c r="GF35" i="8"/>
  <c r="GF36" i="8"/>
  <c r="IB6" i="30"/>
  <c r="HY6" i="30"/>
  <c r="HZ6" i="30"/>
  <c r="IF6" i="28"/>
  <c r="IF38" i="28" s="1"/>
  <c r="IC6" i="28"/>
  <c r="IC38" i="28" s="1"/>
  <c r="ID6" i="28"/>
  <c r="E11" i="27"/>
  <c r="E7" i="27"/>
  <c r="E8" i="27"/>
  <c r="E9" i="27"/>
  <c r="E10" i="27"/>
  <c r="D4" i="27"/>
  <c r="F4" i="27"/>
  <c r="GA33" i="8"/>
  <c r="GA34" i="8"/>
  <c r="GA35" i="8"/>
  <c r="GA36" i="8"/>
  <c r="FV33" i="8"/>
  <c r="FV34" i="8"/>
  <c r="FV35" i="8"/>
  <c r="FV36" i="8"/>
  <c r="IF6" i="30"/>
  <c r="IC6" i="30"/>
  <c r="ID6" i="30"/>
  <c r="IJ6" i="28"/>
  <c r="IJ38" i="28" s="1"/>
  <c r="IG6" i="28"/>
  <c r="IH6" i="28"/>
  <c r="IH38" i="28" s="1"/>
  <c r="F11" i="27"/>
  <c r="F7" i="27"/>
  <c r="F8" i="27"/>
  <c r="F9" i="27"/>
  <c r="F10" i="27"/>
  <c r="D11" i="27"/>
  <c r="D7" i="27"/>
  <c r="D8" i="27"/>
  <c r="D9" i="27"/>
  <c r="D10" i="27"/>
  <c r="E12" i="27"/>
  <c r="G35" i="24"/>
  <c r="G43" i="24"/>
  <c r="JD37" i="8"/>
  <c r="FG32" i="8"/>
  <c r="FG33" i="8"/>
  <c r="FG34" i="8"/>
  <c r="FG35" i="8"/>
  <c r="FG36" i="8"/>
  <c r="IJ6" i="30"/>
  <c r="IG6" i="30"/>
  <c r="IH6" i="30"/>
  <c r="IN6" i="28"/>
  <c r="IK6" i="28"/>
  <c r="IK38" i="28" s="1"/>
  <c r="IL6" i="28"/>
  <c r="D12" i="27"/>
  <c r="F12" i="27"/>
  <c r="G4" i="27"/>
  <c r="EC33" i="8"/>
  <c r="EC34" i="8"/>
  <c r="EC35" i="8"/>
  <c r="IN6" i="30"/>
  <c r="IK6" i="30"/>
  <c r="IL6" i="30"/>
  <c r="IR6" i="28"/>
  <c r="IR38" i="28" s="1"/>
  <c r="IO6" i="28"/>
  <c r="IO38" i="28" s="1"/>
  <c r="IO41" i="28" s="1"/>
  <c r="IP6" i="28"/>
  <c r="IP38" i="28" s="1"/>
  <c r="G11" i="27"/>
  <c r="G7" i="27"/>
  <c r="G8" i="27"/>
  <c r="G9" i="27"/>
  <c r="G10" i="27"/>
  <c r="DS33" i="8"/>
  <c r="DS34" i="8"/>
  <c r="DS35" i="8"/>
  <c r="IR6" i="30"/>
  <c r="IO6" i="30"/>
  <c r="IP6" i="30"/>
  <c r="IZ6" i="28"/>
  <c r="IS6" i="28"/>
  <c r="IT6" i="28"/>
  <c r="IT38" i="28" s="1"/>
  <c r="IT41" i="28" s="1"/>
  <c r="W12" i="27"/>
  <c r="G12" i="27"/>
  <c r="DI33" i="8"/>
  <c r="DI34" i="8"/>
  <c r="DI35" i="8"/>
  <c r="DI36" i="8"/>
  <c r="IS6" i="30"/>
  <c r="IT6" i="30"/>
  <c r="IZ6" i="30"/>
  <c r="JD6" i="28"/>
  <c r="JD38" i="28" s="1"/>
  <c r="JA6" i="28"/>
  <c r="JA38" i="28" s="1"/>
  <c r="JB6" i="28"/>
  <c r="JE37" i="8"/>
  <c r="JD6" i="30"/>
  <c r="JA6" i="30"/>
  <c r="JB6" i="30"/>
  <c r="JH6" i="28"/>
  <c r="JH38" i="28" s="1"/>
  <c r="JE6" i="28"/>
  <c r="JF6" i="28"/>
  <c r="JF38" i="28" s="1"/>
  <c r="JF37" i="8"/>
  <c r="JH6" i="30"/>
  <c r="JE6" i="30"/>
  <c r="JF6" i="30"/>
  <c r="JL6" i="28"/>
  <c r="JI6" i="28"/>
  <c r="JI38" i="28" s="1"/>
  <c r="JJ6" i="28"/>
  <c r="AG19" i="15"/>
  <c r="AL19" i="15"/>
  <c r="AB19" i="15"/>
  <c r="JL6" i="30"/>
  <c r="JI6" i="30"/>
  <c r="JJ6" i="30"/>
  <c r="JP6" i="28"/>
  <c r="JP38" i="28" s="1"/>
  <c r="JM6" i="28"/>
  <c r="JM38" i="28" s="1"/>
  <c r="JM41" i="28" s="1"/>
  <c r="JN6" i="28"/>
  <c r="JN38" i="28" s="1"/>
  <c r="AB42" i="15"/>
  <c r="AB40" i="15"/>
  <c r="AL42" i="15"/>
  <c r="AL40" i="15"/>
  <c r="AG42" i="15"/>
  <c r="AG40" i="15"/>
  <c r="AF19" i="15"/>
  <c r="AP19" i="15"/>
  <c r="AK19" i="15"/>
  <c r="BN19" i="15"/>
  <c r="JP6" i="30"/>
  <c r="JM6" i="30"/>
  <c r="JN6" i="30"/>
  <c r="JT6" i="28"/>
  <c r="JT38" i="28" s="1"/>
  <c r="JQ6" i="28"/>
  <c r="JR6" i="28"/>
  <c r="AK40" i="15"/>
  <c r="AI40" i="15"/>
  <c r="AK42" i="15"/>
  <c r="AI42" i="15"/>
  <c r="AP40" i="15"/>
  <c r="AN40" i="15"/>
  <c r="AP42" i="15"/>
  <c r="AN42" i="15"/>
  <c r="AF40" i="15"/>
  <c r="AD40" i="15"/>
  <c r="AF42" i="15"/>
  <c r="AD42" i="15"/>
  <c r="BN42" i="15"/>
  <c r="BN45" i="15"/>
  <c r="BN40" i="15"/>
  <c r="JT6" i="30"/>
  <c r="JQ6" i="30"/>
  <c r="JR6" i="30"/>
  <c r="JX6" i="28"/>
  <c r="JX38" i="28" s="1"/>
  <c r="JU6" i="28"/>
  <c r="JU38" i="28" s="1"/>
  <c r="JV6" i="28"/>
  <c r="BN47" i="15"/>
  <c r="BN48" i="15"/>
  <c r="BN46" i="15"/>
  <c r="JX6" i="30"/>
  <c r="JU6" i="30"/>
  <c r="JV6" i="30"/>
  <c r="JY6" i="28"/>
  <c r="JZ6" i="28"/>
  <c r="JZ38" i="28" s="1"/>
  <c r="KF6" i="28"/>
  <c r="DF39" i="8"/>
  <c r="DK39" i="8"/>
  <c r="DP39" i="8"/>
  <c r="DU39" i="8"/>
  <c r="DZ39" i="8"/>
  <c r="EE39" i="8"/>
  <c r="EJ39" i="8"/>
  <c r="EO39" i="8"/>
  <c r="ET39" i="8"/>
  <c r="EY39" i="8"/>
  <c r="FD39" i="8"/>
  <c r="FI39" i="8"/>
  <c r="FN39" i="8"/>
  <c r="FX39" i="8"/>
  <c r="GC39" i="8"/>
  <c r="GH39" i="8"/>
  <c r="GM39" i="8"/>
  <c r="GW39" i="8"/>
  <c r="HB39" i="8"/>
  <c r="HG39" i="8"/>
  <c r="AD49" i="8"/>
  <c r="S46" i="8"/>
  <c r="N46" i="8"/>
  <c r="JY6" i="30"/>
  <c r="JZ6" i="30"/>
  <c r="KF6" i="30"/>
  <c r="KJ6" i="28"/>
  <c r="KJ38" i="28" s="1"/>
  <c r="KG6" i="28"/>
  <c r="KG38" i="28" s="1"/>
  <c r="KG41" i="28" s="1"/>
  <c r="KH6" i="28"/>
  <c r="KH38" i="28" s="1"/>
  <c r="AD52" i="8"/>
  <c r="AD51" i="8"/>
  <c r="AD50" i="8"/>
  <c r="H32" i="8"/>
  <c r="H33" i="8"/>
  <c r="KJ6" i="30"/>
  <c r="KG6" i="30"/>
  <c r="KH6" i="30"/>
  <c r="KN6" i="28"/>
  <c r="KK6" i="28"/>
  <c r="KL6" i="28"/>
  <c r="KL38" i="28" s="1"/>
  <c r="KL41" i="28" s="1"/>
  <c r="JB39" i="8"/>
  <c r="JB43" i="8"/>
  <c r="JB46" i="8"/>
  <c r="IY46" i="8"/>
  <c r="IY43" i="8"/>
  <c r="IY39" i="8"/>
  <c r="IW46" i="8"/>
  <c r="IT46" i="8"/>
  <c r="FT71" i="8"/>
  <c r="FV71" i="8"/>
  <c r="FW71" i="8"/>
  <c r="IW43" i="8"/>
  <c r="IT43" i="8"/>
  <c r="IW39" i="8"/>
  <c r="IT39" i="8"/>
  <c r="IR46" i="8"/>
  <c r="IO46" i="8"/>
  <c r="FT70" i="8"/>
  <c r="FV70" i="8"/>
  <c r="FW70" i="8"/>
  <c r="IR43" i="8"/>
  <c r="IO43" i="8"/>
  <c r="IR39" i="8"/>
  <c r="IO39" i="8"/>
  <c r="IM46" i="8"/>
  <c r="IJ46" i="8"/>
  <c r="FT69" i="8"/>
  <c r="FV69" i="8"/>
  <c r="FW69" i="8"/>
  <c r="IM43" i="8"/>
  <c r="IJ43" i="8"/>
  <c r="IM39" i="8"/>
  <c r="IJ39" i="8"/>
  <c r="IH46" i="8"/>
  <c r="IE46" i="8"/>
  <c r="FT68" i="8"/>
  <c r="FV68" i="8"/>
  <c r="FW68" i="8"/>
  <c r="IH43" i="8"/>
  <c r="IE43" i="8"/>
  <c r="IH39" i="8"/>
  <c r="IE39" i="8"/>
  <c r="IC46" i="8"/>
  <c r="HZ46" i="8"/>
  <c r="FT67" i="8"/>
  <c r="FV67" i="8"/>
  <c r="FW67" i="8"/>
  <c r="IC43" i="8"/>
  <c r="HZ43" i="8"/>
  <c r="IC39" i="8"/>
  <c r="HZ39" i="8"/>
  <c r="HX46" i="8"/>
  <c r="HU46" i="8"/>
  <c r="FT66" i="8"/>
  <c r="FV66" i="8"/>
  <c r="FW66" i="8"/>
  <c r="HX43" i="8"/>
  <c r="HU43" i="8"/>
  <c r="HY43" i="8"/>
  <c r="HX39" i="8"/>
  <c r="HU39" i="8"/>
  <c r="HS46" i="8"/>
  <c r="HP46" i="8"/>
  <c r="FT65" i="8"/>
  <c r="FV65" i="8"/>
  <c r="FW65" i="8"/>
  <c r="HS43" i="8"/>
  <c r="HP43" i="8"/>
  <c r="HS39" i="8"/>
  <c r="HP39" i="8"/>
  <c r="HN46" i="8"/>
  <c r="HK46" i="8"/>
  <c r="FT64" i="8"/>
  <c r="FV64" i="8"/>
  <c r="FW64" i="8"/>
  <c r="HN43" i="8"/>
  <c r="HK43" i="8"/>
  <c r="HO43" i="8"/>
  <c r="HN39" i="8"/>
  <c r="HK39" i="8"/>
  <c r="HI46" i="8"/>
  <c r="HF46" i="8"/>
  <c r="FT63" i="8"/>
  <c r="FV63" i="8"/>
  <c r="FW63" i="8"/>
  <c r="HI43" i="8"/>
  <c r="HF43" i="8"/>
  <c r="HI39" i="8"/>
  <c r="HF39" i="8"/>
  <c r="HD46" i="8"/>
  <c r="HA46" i="8"/>
  <c r="FT62" i="8"/>
  <c r="FV62" i="8"/>
  <c r="FW62" i="8"/>
  <c r="HD43" i="8"/>
  <c r="HA43" i="8"/>
  <c r="HD39" i="8"/>
  <c r="HA39" i="8"/>
  <c r="GY46" i="8"/>
  <c r="GV46" i="8"/>
  <c r="FT61" i="8"/>
  <c r="FV61" i="8"/>
  <c r="FW61" i="8"/>
  <c r="GY43" i="8"/>
  <c r="GV43" i="8"/>
  <c r="GY39" i="8"/>
  <c r="GV39" i="8"/>
  <c r="GT46" i="8"/>
  <c r="GQ46" i="8"/>
  <c r="FT60" i="8"/>
  <c r="FV60" i="8"/>
  <c r="FW60" i="8"/>
  <c r="GT43" i="8"/>
  <c r="GQ43" i="8"/>
  <c r="GT39" i="8"/>
  <c r="GQ39" i="8"/>
  <c r="GO46" i="8"/>
  <c r="GL46" i="8"/>
  <c r="FT59" i="8"/>
  <c r="FV59" i="8"/>
  <c r="FW59" i="8"/>
  <c r="GO43" i="8"/>
  <c r="GL43" i="8"/>
  <c r="GO39" i="8"/>
  <c r="GL39" i="8"/>
  <c r="GJ46" i="8"/>
  <c r="GG46" i="8"/>
  <c r="FT58" i="8"/>
  <c r="FV58" i="8"/>
  <c r="GJ43" i="8"/>
  <c r="GG43" i="8"/>
  <c r="GK43" i="8"/>
  <c r="GJ39" i="8"/>
  <c r="GG39" i="8"/>
  <c r="GE46" i="8"/>
  <c r="GB46" i="8"/>
  <c r="FT57" i="8"/>
  <c r="FV57" i="8"/>
  <c r="FW57" i="8"/>
  <c r="GE43" i="8"/>
  <c r="GB43" i="8"/>
  <c r="GE39" i="8"/>
  <c r="GB39" i="8"/>
  <c r="FZ46" i="8"/>
  <c r="FW46" i="8"/>
  <c r="FT56" i="8"/>
  <c r="FV56" i="8"/>
  <c r="FW56" i="8"/>
  <c r="FZ43" i="8"/>
  <c r="FW43" i="8"/>
  <c r="FZ39" i="8"/>
  <c r="FW39" i="8"/>
  <c r="FU46" i="8"/>
  <c r="FR46" i="8"/>
  <c r="FT55" i="8"/>
  <c r="FV55" i="8"/>
  <c r="FW55" i="8"/>
  <c r="FU43" i="8"/>
  <c r="FR43" i="8"/>
  <c r="FU39" i="8"/>
  <c r="FR39" i="8"/>
  <c r="FP46" i="8"/>
  <c r="FM46" i="8"/>
  <c r="FP43" i="8"/>
  <c r="FM43" i="8"/>
  <c r="FP39" i="8"/>
  <c r="FM39" i="8"/>
  <c r="FK46" i="8"/>
  <c r="FH46" i="8"/>
  <c r="FK43" i="8"/>
  <c r="FH43" i="8"/>
  <c r="FK39" i="8"/>
  <c r="FH39" i="8"/>
  <c r="FF46" i="8"/>
  <c r="FC46" i="8"/>
  <c r="FF43" i="8"/>
  <c r="FC43" i="8"/>
  <c r="FF39" i="8"/>
  <c r="FC39" i="8"/>
  <c r="FA46" i="8"/>
  <c r="EX46" i="8"/>
  <c r="FA43" i="8"/>
  <c r="EX43" i="8"/>
  <c r="FA39" i="8"/>
  <c r="EX39" i="8"/>
  <c r="EV46" i="8"/>
  <c r="ES46" i="8"/>
  <c r="EV43" i="8"/>
  <c r="ES43" i="8"/>
  <c r="EV39" i="8"/>
  <c r="ES39" i="8"/>
  <c r="EQ46" i="8"/>
  <c r="EN46" i="8"/>
  <c r="EQ43" i="8"/>
  <c r="EN43" i="8"/>
  <c r="EQ39" i="8"/>
  <c r="EN39" i="8"/>
  <c r="EL46" i="8"/>
  <c r="EI46" i="8"/>
  <c r="EL43" i="8"/>
  <c r="EI43" i="8"/>
  <c r="EL39" i="8"/>
  <c r="EI39" i="8"/>
  <c r="EG46" i="8"/>
  <c r="ED46" i="8"/>
  <c r="EG43" i="8"/>
  <c r="ED43" i="8"/>
  <c r="EG39" i="8"/>
  <c r="ED39" i="8"/>
  <c r="EB46" i="8"/>
  <c r="DY46" i="8"/>
  <c r="EB43" i="8"/>
  <c r="DY43" i="8"/>
  <c r="EB39" i="8"/>
  <c r="DY39" i="8"/>
  <c r="DW46" i="8"/>
  <c r="DT46" i="8"/>
  <c r="DW43" i="8"/>
  <c r="DT43" i="8"/>
  <c r="DW39" i="8"/>
  <c r="DT39" i="8"/>
  <c r="DR46" i="8"/>
  <c r="DO46" i="8"/>
  <c r="DR43" i="8"/>
  <c r="DO43" i="8"/>
  <c r="DR39" i="8"/>
  <c r="DO39" i="8"/>
  <c r="DM46" i="8"/>
  <c r="DJ46" i="8"/>
  <c r="DM43" i="8"/>
  <c r="DJ43" i="8"/>
  <c r="DM39" i="8"/>
  <c r="DJ39" i="8"/>
  <c r="DH46" i="8"/>
  <c r="DE46" i="8"/>
  <c r="DH43" i="8"/>
  <c r="DE43" i="8"/>
  <c r="DH39" i="8"/>
  <c r="DE39" i="8"/>
  <c r="DC46" i="8"/>
  <c r="CZ46" i="8"/>
  <c r="DC43" i="8"/>
  <c r="CZ43" i="8"/>
  <c r="DC39" i="8"/>
  <c r="CZ39" i="8"/>
  <c r="CX46" i="8"/>
  <c r="CU46" i="8"/>
  <c r="CX43" i="8"/>
  <c r="CU43" i="8"/>
  <c r="CX39" i="8"/>
  <c r="CU39" i="8"/>
  <c r="CS46" i="8"/>
  <c r="CP46" i="8"/>
  <c r="CS43" i="8"/>
  <c r="CP43" i="8"/>
  <c r="CS39" i="8"/>
  <c r="CP39" i="8"/>
  <c r="CN46" i="8"/>
  <c r="CK46" i="8"/>
  <c r="CN43" i="8"/>
  <c r="CK43" i="8"/>
  <c r="CN39" i="8"/>
  <c r="CK39" i="8"/>
  <c r="CI46" i="8"/>
  <c r="CF46" i="8"/>
  <c r="CI43" i="8"/>
  <c r="CF43" i="8"/>
  <c r="CI39" i="8"/>
  <c r="CF39" i="8"/>
  <c r="CD46" i="8"/>
  <c r="CA46" i="8"/>
  <c r="CD43" i="8"/>
  <c r="CA43" i="8"/>
  <c r="CD39" i="8"/>
  <c r="CA39" i="8"/>
  <c r="BY46" i="8"/>
  <c r="BV46" i="8"/>
  <c r="BY43" i="8"/>
  <c r="BV43" i="8"/>
  <c r="BY39" i="8"/>
  <c r="BV39" i="8"/>
  <c r="BT46" i="8"/>
  <c r="BQ46" i="8"/>
  <c r="BT39" i="8"/>
  <c r="BQ39" i="8"/>
  <c r="BO46" i="8"/>
  <c r="BL46" i="8"/>
  <c r="BO39" i="8"/>
  <c r="BL39" i="8"/>
  <c r="BJ46" i="8"/>
  <c r="BG46" i="8"/>
  <c r="BJ39" i="8"/>
  <c r="BG39" i="8"/>
  <c r="BE46" i="8"/>
  <c r="BE49" i="8"/>
  <c r="BB46" i="8"/>
  <c r="BB49" i="8"/>
  <c r="BE39" i="8"/>
  <c r="BB39" i="8"/>
  <c r="AZ46" i="8"/>
  <c r="AZ49" i="8"/>
  <c r="AW46" i="8"/>
  <c r="AW49" i="8"/>
  <c r="AZ39" i="8"/>
  <c r="AW39" i="8"/>
  <c r="AU46" i="8"/>
  <c r="AU49" i="8"/>
  <c r="AR46" i="8"/>
  <c r="AR49" i="8"/>
  <c r="AP46" i="8"/>
  <c r="AM46" i="8"/>
  <c r="AM49" i="8"/>
  <c r="AK46" i="8"/>
  <c r="AK49" i="8"/>
  <c r="AF46" i="8"/>
  <c r="AF49" i="8"/>
  <c r="AA46" i="8"/>
  <c r="AA49" i="8"/>
  <c r="X46" i="8"/>
  <c r="V46" i="8"/>
  <c r="V49" i="8"/>
  <c r="V43" i="8"/>
  <c r="S43" i="8"/>
  <c r="V39" i="8"/>
  <c r="S39" i="8"/>
  <c r="Q46" i="8"/>
  <c r="Q49" i="8"/>
  <c r="Q43" i="8"/>
  <c r="N43" i="8"/>
  <c r="R43" i="8"/>
  <c r="N39" i="8"/>
  <c r="R39" i="8"/>
  <c r="L46" i="8"/>
  <c r="L49" i="8"/>
  <c r="I46" i="8"/>
  <c r="L43" i="8"/>
  <c r="I43" i="8"/>
  <c r="L39" i="8"/>
  <c r="I39" i="8"/>
  <c r="G46" i="8"/>
  <c r="G49" i="8"/>
  <c r="G43" i="8"/>
  <c r="G39" i="8"/>
  <c r="D46" i="8"/>
  <c r="D43" i="8"/>
  <c r="D39" i="8"/>
  <c r="KN6" i="30"/>
  <c r="KK6" i="30"/>
  <c r="KL6" i="30"/>
  <c r="KR6" i="28"/>
  <c r="KR38" i="28" s="1"/>
  <c r="KO6" i="28"/>
  <c r="KO38" i="28" s="1"/>
  <c r="KP6" i="28"/>
  <c r="BE52" i="8"/>
  <c r="BE51" i="8"/>
  <c r="BE50" i="8"/>
  <c r="AZ52" i="8"/>
  <c r="AZ50" i="8"/>
  <c r="AZ51" i="8"/>
  <c r="AU52" i="8"/>
  <c r="AU50" i="8"/>
  <c r="AU51" i="8"/>
  <c r="AR52" i="8"/>
  <c r="AR51" i="8"/>
  <c r="AR50" i="8"/>
  <c r="AW52" i="8"/>
  <c r="AW51" i="8"/>
  <c r="AW50" i="8"/>
  <c r="BB52" i="8"/>
  <c r="BB51" i="8"/>
  <c r="BB50" i="8"/>
  <c r="AK52" i="8"/>
  <c r="AK50" i="8"/>
  <c r="AK51" i="8"/>
  <c r="AM52" i="8"/>
  <c r="AM51" i="8"/>
  <c r="AM50" i="8"/>
  <c r="AF52" i="8"/>
  <c r="AF51" i="8"/>
  <c r="AF50" i="8"/>
  <c r="W43" i="8"/>
  <c r="AA52" i="8"/>
  <c r="AA51" i="8"/>
  <c r="AA50" i="8"/>
  <c r="G52" i="8"/>
  <c r="G51" i="8"/>
  <c r="G50" i="8"/>
  <c r="L52" i="8"/>
  <c r="L50" i="8"/>
  <c r="L51" i="8"/>
  <c r="Q52" i="8"/>
  <c r="Q51" i="8"/>
  <c r="Q50" i="8"/>
  <c r="V52" i="8"/>
  <c r="V51" i="8"/>
  <c r="V50" i="8"/>
  <c r="GA55" i="8"/>
  <c r="FZ55" i="8"/>
  <c r="FY55" i="8"/>
  <c r="FX55" i="8"/>
  <c r="GA56" i="8"/>
  <c r="FZ56" i="8"/>
  <c r="FY56" i="8"/>
  <c r="FX56" i="8"/>
  <c r="GA57" i="8"/>
  <c r="FZ57" i="8"/>
  <c r="FY57" i="8"/>
  <c r="FX57" i="8"/>
  <c r="GA59" i="8"/>
  <c r="FZ59" i="8"/>
  <c r="FY59" i="8"/>
  <c r="FX59" i="8"/>
  <c r="FZ60" i="8"/>
  <c r="FY60" i="8"/>
  <c r="GA60" i="8"/>
  <c r="FX60" i="8"/>
  <c r="GA61" i="8"/>
  <c r="FY61" i="8"/>
  <c r="FZ61" i="8"/>
  <c r="FX61" i="8"/>
  <c r="FY62" i="8"/>
  <c r="FZ62" i="8"/>
  <c r="GA62" i="8"/>
  <c r="FX62" i="8"/>
  <c r="GA63" i="8"/>
  <c r="FZ63" i="8"/>
  <c r="FY63" i="8"/>
  <c r="FX63" i="8"/>
  <c r="FZ64" i="8"/>
  <c r="GA64" i="8"/>
  <c r="FY64" i="8"/>
  <c r="FX64" i="8"/>
  <c r="GA65" i="8"/>
  <c r="FZ65" i="8"/>
  <c r="FY65" i="8"/>
  <c r="FX65" i="8"/>
  <c r="GA66" i="8"/>
  <c r="FZ66" i="8"/>
  <c r="FX66" i="8"/>
  <c r="FY66" i="8"/>
  <c r="GA67" i="8"/>
  <c r="FY67" i="8"/>
  <c r="FZ67" i="8"/>
  <c r="FX67" i="8"/>
  <c r="GA68" i="8"/>
  <c r="FZ68" i="8"/>
  <c r="FY68" i="8"/>
  <c r="FX69" i="8"/>
  <c r="GA69" i="8"/>
  <c r="FY69" i="8"/>
  <c r="FZ69" i="8"/>
  <c r="GA70" i="8"/>
  <c r="FX70" i="8"/>
  <c r="FY70" i="8"/>
  <c r="FZ70" i="8"/>
  <c r="GA71" i="8"/>
  <c r="FY71" i="8"/>
  <c r="FX71" i="8"/>
  <c r="FZ71" i="8"/>
  <c r="JC46" i="8"/>
  <c r="FT72" i="8"/>
  <c r="FV72" i="8"/>
  <c r="FW72" i="8"/>
  <c r="FW58" i="8"/>
  <c r="EC46" i="8"/>
  <c r="GP39" i="8"/>
  <c r="IN39" i="8"/>
  <c r="IN46" i="8"/>
  <c r="IX39" i="8"/>
  <c r="IX46" i="8"/>
  <c r="AL39" i="8"/>
  <c r="EH46" i="8"/>
  <c r="FL39" i="8"/>
  <c r="H43" i="8"/>
  <c r="IX43" i="8"/>
  <c r="FB46" i="8"/>
  <c r="FB39" i="8"/>
  <c r="AQ46" i="8"/>
  <c r="H46" i="8"/>
  <c r="AB46" i="8"/>
  <c r="AL46" i="8"/>
  <c r="AV39" i="8"/>
  <c r="AV46" i="8"/>
  <c r="BF39" i="8"/>
  <c r="BF46" i="8"/>
  <c r="BP39" i="8"/>
  <c r="BU43" i="8"/>
  <c r="BZ39" i="8"/>
  <c r="CE43" i="8"/>
  <c r="CJ39" i="8"/>
  <c r="CO43" i="8"/>
  <c r="CT39" i="8"/>
  <c r="CY43" i="8"/>
  <c r="DD39" i="8"/>
  <c r="DD46" i="8"/>
  <c r="DN39" i="8"/>
  <c r="DN46" i="8"/>
  <c r="DX39" i="8"/>
  <c r="DX46" i="8"/>
  <c r="ER39" i="8"/>
  <c r="ER46" i="8"/>
  <c r="FL46" i="8"/>
  <c r="FV39" i="8"/>
  <c r="FV46" i="8"/>
  <c r="GF39" i="8"/>
  <c r="GF46" i="8"/>
  <c r="GP46" i="8"/>
  <c r="GZ39" i="8"/>
  <c r="GZ46" i="8"/>
  <c r="HJ39" i="8"/>
  <c r="HJ46" i="8"/>
  <c r="HT39" i="8"/>
  <c r="HT46" i="8"/>
  <c r="ID39" i="8"/>
  <c r="ID46" i="8"/>
  <c r="H39" i="8"/>
  <c r="M39" i="8"/>
  <c r="W39" i="8"/>
  <c r="AQ39" i="8"/>
  <c r="BU46" i="8"/>
  <c r="BZ43" i="8"/>
  <c r="CE46" i="8"/>
  <c r="CJ43" i="8"/>
  <c r="CO46" i="8"/>
  <c r="CY46" i="8"/>
  <c r="DD43" i="8"/>
  <c r="DN43" i="8"/>
  <c r="DX43" i="8"/>
  <c r="EC39" i="8"/>
  <c r="ER43" i="8"/>
  <c r="FB43" i="8"/>
  <c r="FV43" i="8"/>
  <c r="GF43" i="8"/>
  <c r="GZ43" i="8"/>
  <c r="HJ43" i="8"/>
  <c r="HT43" i="8"/>
  <c r="ID43" i="8"/>
  <c r="JC43" i="8"/>
  <c r="M43" i="8"/>
  <c r="CT43" i="8"/>
  <c r="W46" i="8"/>
  <c r="AG46" i="8"/>
  <c r="EC43" i="8"/>
  <c r="M46" i="8"/>
  <c r="R46" i="8"/>
  <c r="BA46" i="8"/>
  <c r="BF43" i="8"/>
  <c r="BK46" i="8"/>
  <c r="BP43" i="8"/>
  <c r="BU39" i="8"/>
  <c r="CE39" i="8"/>
  <c r="CO39" i="8"/>
  <c r="CY39" i="8"/>
  <c r="DI46" i="8"/>
  <c r="DS46" i="8"/>
  <c r="EH39" i="8"/>
  <c r="EM46" i="8"/>
  <c r="EW46" i="8"/>
  <c r="FG46" i="8"/>
  <c r="FL43" i="8"/>
  <c r="FQ46" i="8"/>
  <c r="GA46" i="8"/>
  <c r="GK46" i="8"/>
  <c r="GP43" i="8"/>
  <c r="GU46" i="8"/>
  <c r="HE46" i="8"/>
  <c r="HO46" i="8"/>
  <c r="HY46" i="8"/>
  <c r="II46" i="8"/>
  <c r="IN43" i="8"/>
  <c r="IS46" i="8"/>
  <c r="JC39" i="8"/>
  <c r="BA39" i="8"/>
  <c r="BA43" i="8"/>
  <c r="BK39" i="8"/>
  <c r="BK43" i="8"/>
  <c r="BP46" i="8"/>
  <c r="BZ46" i="8"/>
  <c r="CJ46" i="8"/>
  <c r="CT46" i="8"/>
  <c r="DI39" i="8"/>
  <c r="DI43" i="8"/>
  <c r="DS39" i="8"/>
  <c r="DS43" i="8"/>
  <c r="EH43" i="8"/>
  <c r="EM39" i="8"/>
  <c r="EM43" i="8"/>
  <c r="EW39" i="8"/>
  <c r="EW43" i="8"/>
  <c r="FG39" i="8"/>
  <c r="FG43" i="8"/>
  <c r="FQ39" i="8"/>
  <c r="FQ43" i="8"/>
  <c r="GA39" i="8"/>
  <c r="GA43" i="8"/>
  <c r="GK39" i="8"/>
  <c r="GU39" i="8"/>
  <c r="GU43" i="8"/>
  <c r="HE39" i="8"/>
  <c r="HE43" i="8"/>
  <c r="HO39" i="8"/>
  <c r="HY39" i="8"/>
  <c r="II39" i="8"/>
  <c r="II43" i="8"/>
  <c r="IS39" i="8"/>
  <c r="IS43" i="8"/>
  <c r="KR6" i="30"/>
  <c r="KO6" i="30"/>
  <c r="KP6" i="30"/>
  <c r="KV6" i="28"/>
  <c r="KV38" i="28" s="1"/>
  <c r="KS6" i="28"/>
  <c r="KT6" i="28"/>
  <c r="KT38" i="28" s="1"/>
  <c r="GA72" i="8"/>
  <c r="FZ72" i="8"/>
  <c r="FX72" i="8"/>
  <c r="FY72" i="8"/>
  <c r="FZ58" i="8"/>
  <c r="GA58" i="8"/>
  <c r="FY58" i="8"/>
  <c r="FX58" i="8"/>
  <c r="IU43" i="8"/>
  <c r="IV43" i="8"/>
  <c r="IK43" i="8"/>
  <c r="IL43" i="8"/>
  <c r="IN33" i="8"/>
  <c r="IN34" i="8"/>
  <c r="IN35" i="8"/>
  <c r="IN36" i="8"/>
  <c r="IS33" i="8"/>
  <c r="IS34" i="8"/>
  <c r="IS35" i="8"/>
  <c r="IS36" i="8"/>
  <c r="IX33" i="8"/>
  <c r="IX34" i="8"/>
  <c r="IX35" i="8"/>
  <c r="IX36" i="8"/>
  <c r="JC33" i="8"/>
  <c r="JC34" i="8"/>
  <c r="JC35" i="8"/>
  <c r="JC36" i="8"/>
  <c r="KV6" i="30"/>
  <c r="KS6" i="30"/>
  <c r="KT6" i="30"/>
  <c r="KZ6" i="28"/>
  <c r="KZ38" i="28" s="1"/>
  <c r="KW6" i="28"/>
  <c r="KW38" i="28" s="1"/>
  <c r="KW41" i="28" s="1"/>
  <c r="KX6" i="28"/>
  <c r="KX38" i="28" s="1"/>
  <c r="IK39" i="8"/>
  <c r="IL39" i="8"/>
  <c r="IF39" i="8"/>
  <c r="IG39" i="8"/>
  <c r="IP39" i="8"/>
  <c r="IQ39" i="8"/>
  <c r="IU39" i="8"/>
  <c r="IV39" i="8"/>
  <c r="IZ39" i="8"/>
  <c r="JA39" i="8"/>
  <c r="IF46" i="8"/>
  <c r="IG46" i="8"/>
  <c r="IK46" i="8"/>
  <c r="IL46" i="8"/>
  <c r="IU46" i="8"/>
  <c r="IV46" i="8"/>
  <c r="IZ43" i="8"/>
  <c r="JA43" i="8"/>
  <c r="IZ46" i="8"/>
  <c r="JA46" i="8"/>
  <c r="IF43" i="8"/>
  <c r="IG43" i="8"/>
  <c r="IP46" i="8"/>
  <c r="IQ46" i="8"/>
  <c r="IP43" i="8"/>
  <c r="IQ43" i="8"/>
  <c r="KZ6" i="30"/>
  <c r="KW6" i="30"/>
  <c r="KX6" i="30"/>
  <c r="LD6" i="28"/>
  <c r="LA6" i="28"/>
  <c r="LA38" i="28" s="1"/>
  <c r="LA41" i="28" s="1"/>
  <c r="LB6" i="28"/>
  <c r="LB38" i="28" s="1"/>
  <c r="LB41" i="28" s="1"/>
  <c r="EO43" i="8"/>
  <c r="EP43" i="8"/>
  <c r="LD6" i="30"/>
  <c r="LA6" i="30"/>
  <c r="LB6" i="30"/>
  <c r="LL6" i="28"/>
  <c r="LE6" i="28"/>
  <c r="LF6" i="28"/>
  <c r="HQ39" i="8"/>
  <c r="HL39" i="8"/>
  <c r="HM39" i="8"/>
  <c r="HV39" i="8"/>
  <c r="HW39" i="8"/>
  <c r="IA39" i="8"/>
  <c r="IB39" i="8"/>
  <c r="GR39" i="8"/>
  <c r="GS39" i="8"/>
  <c r="HL43" i="8"/>
  <c r="HM43" i="8"/>
  <c r="IA43" i="8"/>
  <c r="IB43" i="8"/>
  <c r="DP43" i="8"/>
  <c r="DQ43" i="8"/>
  <c r="FD43" i="8"/>
  <c r="FE43" i="8"/>
  <c r="BD43" i="8"/>
  <c r="E46" i="8"/>
  <c r="GH43" i="8"/>
  <c r="GI43" i="8"/>
  <c r="FO39" i="8"/>
  <c r="FN46" i="8"/>
  <c r="FO46" i="8"/>
  <c r="FN43" i="8"/>
  <c r="FO43" i="8"/>
  <c r="FS43" i="8"/>
  <c r="FT43" i="8"/>
  <c r="GM46" i="8"/>
  <c r="GN39" i="8"/>
  <c r="GR46" i="8"/>
  <c r="GR43" i="8"/>
  <c r="GS43" i="8"/>
  <c r="HG46" i="8"/>
  <c r="HH46" i="8"/>
  <c r="HH39" i="8"/>
  <c r="HG43" i="8"/>
  <c r="HH43" i="8"/>
  <c r="HL46" i="8"/>
  <c r="HM46" i="8"/>
  <c r="IA46" i="8"/>
  <c r="IB46" i="8"/>
  <c r="E39" i="8"/>
  <c r="F39" i="8"/>
  <c r="DU46" i="8"/>
  <c r="DV46" i="8"/>
  <c r="DV39" i="8"/>
  <c r="HV46" i="8"/>
  <c r="HW46" i="8"/>
  <c r="JD39" i="8"/>
  <c r="BW39" i="8"/>
  <c r="BX39" i="8"/>
  <c r="CL46" i="8"/>
  <c r="CM46" i="8"/>
  <c r="CL39" i="8"/>
  <c r="CM39" i="8"/>
  <c r="DA43" i="8"/>
  <c r="DB43" i="8"/>
  <c r="DU43" i="8"/>
  <c r="DV43" i="8"/>
  <c r="DK46" i="8"/>
  <c r="DL46" i="8"/>
  <c r="DF43" i="8"/>
  <c r="DG43" i="8"/>
  <c r="DL39" i="8"/>
  <c r="DZ46" i="8"/>
  <c r="EA46" i="8"/>
  <c r="EA39" i="8"/>
  <c r="EE46" i="8"/>
  <c r="EF46" i="8"/>
  <c r="EU39" i="8"/>
  <c r="ET46" i="8"/>
  <c r="EU46" i="8"/>
  <c r="ET43" i="8"/>
  <c r="EU43" i="8"/>
  <c r="EY43" i="8"/>
  <c r="EZ43" i="8"/>
  <c r="FD46" i="8"/>
  <c r="FE46" i="8"/>
  <c r="FY39" i="8"/>
  <c r="FX46" i="8"/>
  <c r="FY46" i="8"/>
  <c r="GC43" i="8"/>
  <c r="GD43" i="8"/>
  <c r="GW43" i="8"/>
  <c r="GX43" i="8"/>
  <c r="HQ46" i="8"/>
  <c r="HR46" i="8"/>
  <c r="HR39" i="8"/>
  <c r="HQ43" i="8"/>
  <c r="HR43" i="8"/>
  <c r="BM46" i="8"/>
  <c r="BN46" i="8"/>
  <c r="BM39" i="8"/>
  <c r="BN39" i="8"/>
  <c r="CB46" i="8"/>
  <c r="CC46" i="8"/>
  <c r="CB39" i="8"/>
  <c r="CC39" i="8"/>
  <c r="DG39" i="8"/>
  <c r="EK39" i="8"/>
  <c r="EJ46" i="8"/>
  <c r="EK46" i="8"/>
  <c r="GC46" i="8"/>
  <c r="GD46" i="8"/>
  <c r="GD39" i="8"/>
  <c r="HC39" i="8"/>
  <c r="HB46" i="8"/>
  <c r="HC46" i="8"/>
  <c r="O39" i="8"/>
  <c r="P39" i="8"/>
  <c r="AS46" i="8"/>
  <c r="AT39" i="8"/>
  <c r="BC46" i="8"/>
  <c r="BC39" i="8"/>
  <c r="BD39" i="8"/>
  <c r="BH39" i="8"/>
  <c r="BI39" i="8"/>
  <c r="CG39" i="8"/>
  <c r="CH39" i="8"/>
  <c r="CV39" i="8"/>
  <c r="CW39" i="8"/>
  <c r="CV46" i="8"/>
  <c r="CW46" i="8"/>
  <c r="J39" i="8"/>
  <c r="K39" i="8"/>
  <c r="T39" i="8"/>
  <c r="U39" i="8"/>
  <c r="AN46" i="8"/>
  <c r="AO39" i="8"/>
  <c r="BN43" i="8"/>
  <c r="CB43" i="8"/>
  <c r="CC43" i="8"/>
  <c r="CL43" i="8"/>
  <c r="CM43" i="8"/>
  <c r="CV43" i="8"/>
  <c r="CW43" i="8"/>
  <c r="DA46" i="8"/>
  <c r="DB46" i="8"/>
  <c r="DA39" i="8"/>
  <c r="DB39" i="8"/>
  <c r="DK43" i="8"/>
  <c r="DL43" i="8"/>
  <c r="DQ39" i="8"/>
  <c r="DP46" i="8"/>
  <c r="DQ46" i="8"/>
  <c r="DZ43" i="8"/>
  <c r="EA43" i="8"/>
  <c r="EE43" i="8"/>
  <c r="EF43" i="8"/>
  <c r="EJ43" i="8"/>
  <c r="EK43" i="8"/>
  <c r="EP39" i="8"/>
  <c r="EY46" i="8"/>
  <c r="EZ46" i="8"/>
  <c r="EZ39" i="8"/>
  <c r="FI43" i="8"/>
  <c r="FJ43" i="8"/>
  <c r="FX43" i="8"/>
  <c r="FY43" i="8"/>
  <c r="GI39" i="8"/>
  <c r="GH46" i="8"/>
  <c r="GM43" i="8"/>
  <c r="GN43" i="8"/>
  <c r="GW46" i="8"/>
  <c r="GX46" i="8"/>
  <c r="GX39" i="8"/>
  <c r="HB43" i="8"/>
  <c r="HC43" i="8"/>
  <c r="HV43" i="8"/>
  <c r="HW43" i="8"/>
  <c r="FI46" i="8"/>
  <c r="FJ46" i="8"/>
  <c r="CG46" i="8"/>
  <c r="CH46" i="8"/>
  <c r="BW46" i="8"/>
  <c r="BX46" i="8"/>
  <c r="BI43" i="8"/>
  <c r="AE46" i="8"/>
  <c r="J43" i="8"/>
  <c r="K43" i="8"/>
  <c r="LE6" i="30"/>
  <c r="LF6" i="30"/>
  <c r="LL6" i="30"/>
  <c r="LP6" i="28"/>
  <c r="LM6" i="28"/>
  <c r="LN6" i="28"/>
  <c r="BD46" i="8"/>
  <c r="BC49" i="8"/>
  <c r="AT46" i="8"/>
  <c r="AS49" i="8"/>
  <c r="AO46" i="8"/>
  <c r="AN49" i="8"/>
  <c r="F46" i="8"/>
  <c r="E49" i="8"/>
  <c r="GI46" i="8"/>
  <c r="GH54" i="8"/>
  <c r="GH53" i="8"/>
  <c r="GH52" i="8"/>
  <c r="GH51" i="8"/>
  <c r="GH48" i="8"/>
  <c r="GH49" i="8"/>
  <c r="GS46" i="8"/>
  <c r="GR54" i="8"/>
  <c r="GR53" i="8"/>
  <c r="GR52" i="8"/>
  <c r="GR51" i="8"/>
  <c r="GR48" i="8"/>
  <c r="GR49" i="8"/>
  <c r="GN46" i="8"/>
  <c r="GM54" i="8"/>
  <c r="GM53" i="8"/>
  <c r="GM52" i="8"/>
  <c r="GM51" i="8"/>
  <c r="GM48" i="8"/>
  <c r="GM49" i="8"/>
  <c r="T43" i="8"/>
  <c r="U43" i="8"/>
  <c r="Y46" i="8"/>
  <c r="DF46" i="8"/>
  <c r="DG46" i="8"/>
  <c r="BH46" i="8"/>
  <c r="BI46" i="8"/>
  <c r="FE39" i="8"/>
  <c r="CG43" i="8"/>
  <c r="CH43" i="8"/>
  <c r="E43" i="8"/>
  <c r="F43" i="8"/>
  <c r="P43" i="8"/>
  <c r="EO46" i="8"/>
  <c r="EP46" i="8"/>
  <c r="T46" i="8"/>
  <c r="O46" i="8"/>
  <c r="EF39" i="8"/>
  <c r="BW43" i="8"/>
  <c r="BX43" i="8"/>
  <c r="FJ39" i="8"/>
  <c r="J46" i="8"/>
  <c r="LM6" i="30"/>
  <c r="LN6" i="30"/>
  <c r="LP6" i="30"/>
  <c r="LT6" i="28"/>
  <c r="LQ6" i="28"/>
  <c r="LR6" i="28"/>
  <c r="GR55" i="8"/>
  <c r="GM55" i="8"/>
  <c r="GH55" i="8"/>
  <c r="BC52" i="8"/>
  <c r="BC51" i="8"/>
  <c r="BC50" i="8"/>
  <c r="AS52" i="8"/>
  <c r="AS51" i="8"/>
  <c r="AS50" i="8"/>
  <c r="AN52" i="8"/>
  <c r="AN51" i="8"/>
  <c r="AN50" i="8"/>
  <c r="Z46" i="8"/>
  <c r="Y49" i="8"/>
  <c r="P46" i="8"/>
  <c r="O49" i="8"/>
  <c r="U46" i="8"/>
  <c r="T49" i="8"/>
  <c r="K46" i="8"/>
  <c r="J49" i="8"/>
  <c r="E52" i="8"/>
  <c r="E51" i="8"/>
  <c r="E50" i="8"/>
  <c r="II33" i="8"/>
  <c r="II34" i="8"/>
  <c r="II35" i="8"/>
  <c r="II36" i="8"/>
  <c r="LQ6" i="30"/>
  <c r="LR6" i="30"/>
  <c r="LT6" i="30"/>
  <c r="LX6" i="28"/>
  <c r="LU6" i="28"/>
  <c r="LV6" i="28"/>
  <c r="Y52" i="8"/>
  <c r="Y51" i="8"/>
  <c r="Y50" i="8"/>
  <c r="T51" i="8"/>
  <c r="T50" i="8"/>
  <c r="T52" i="8"/>
  <c r="O50" i="8"/>
  <c r="O51" i="8"/>
  <c r="O52" i="8"/>
  <c r="J52" i="8"/>
  <c r="J51" i="8"/>
  <c r="J50" i="8"/>
  <c r="LU6" i="30"/>
  <c r="LV6" i="30"/>
  <c r="LX6" i="30"/>
  <c r="MB6" i="28"/>
  <c r="LY6" i="28"/>
  <c r="LZ6" i="28"/>
  <c r="BO37" i="15"/>
  <c r="LY6" i="30"/>
  <c r="LZ6" i="30"/>
  <c r="MB6" i="30"/>
  <c r="MF6" i="28"/>
  <c r="MC6" i="28"/>
  <c r="MD6" i="28"/>
  <c r="BP37" i="15"/>
  <c r="BQ37" i="15"/>
  <c r="JG36" i="8"/>
  <c r="JF36" i="8"/>
  <c r="MC6" i="30"/>
  <c r="MD6" i="30"/>
  <c r="MF6" i="30"/>
  <c r="MJ6" i="28"/>
  <c r="MG6" i="28"/>
  <c r="MH6" i="28"/>
  <c r="ER33" i="8"/>
  <c r="ER34" i="8"/>
  <c r="ER35" i="8"/>
  <c r="MG6" i="30"/>
  <c r="MH6" i="30"/>
  <c r="MJ6" i="30"/>
  <c r="MR6" i="28"/>
  <c r="MK6" i="28"/>
  <c r="ML6" i="28"/>
  <c r="BO36" i="15"/>
  <c r="MK6" i="30"/>
  <c r="ML6" i="30"/>
  <c r="MR6" i="30"/>
  <c r="MV6" i="28"/>
  <c r="MS6" i="28"/>
  <c r="MT6" i="28"/>
  <c r="BP36" i="15"/>
  <c r="BQ36" i="15"/>
  <c r="JG35" i="8"/>
  <c r="JF35" i="8"/>
  <c r="MV6" i="30"/>
  <c r="MS6" i="30"/>
  <c r="MT6" i="30"/>
  <c r="MZ6" i="28"/>
  <c r="MW6" i="28"/>
  <c r="MX6" i="28"/>
  <c r="CJ35" i="8"/>
  <c r="CJ33" i="8"/>
  <c r="CJ34" i="8"/>
  <c r="MZ6" i="30"/>
  <c r="MW6" i="30"/>
  <c r="MX6" i="30"/>
  <c r="ND6" i="28"/>
  <c r="NA6" i="28"/>
  <c r="NB6" i="28"/>
  <c r="JC9" i="8"/>
  <c r="JC10" i="8"/>
  <c r="JC11" i="8"/>
  <c r="JC12" i="8"/>
  <c r="JC13" i="8"/>
  <c r="JC14" i="8"/>
  <c r="JC15" i="8"/>
  <c r="JC16" i="8"/>
  <c r="JC17" i="8"/>
  <c r="JC18" i="8"/>
  <c r="JC19" i="8"/>
  <c r="JC20" i="8"/>
  <c r="JC21" i="8"/>
  <c r="JC22" i="8"/>
  <c r="JC23" i="8"/>
  <c r="JC24" i="8"/>
  <c r="JC25" i="8"/>
  <c r="JC26" i="8"/>
  <c r="JC27" i="8"/>
  <c r="JC28" i="8"/>
  <c r="JC29" i="8"/>
  <c r="JC30" i="8"/>
  <c r="JC31" i="8"/>
  <c r="JC32" i="8"/>
  <c r="JC8" i="8"/>
  <c r="IX9" i="8"/>
  <c r="IX10" i="8"/>
  <c r="IX11" i="8"/>
  <c r="IX12" i="8"/>
  <c r="IX13" i="8"/>
  <c r="IX14" i="8"/>
  <c r="IX15" i="8"/>
  <c r="IX16" i="8"/>
  <c r="IX17" i="8"/>
  <c r="IX18" i="8"/>
  <c r="IX19" i="8"/>
  <c r="IX20" i="8"/>
  <c r="IX21" i="8"/>
  <c r="IX22" i="8"/>
  <c r="IX23" i="8"/>
  <c r="IX24" i="8"/>
  <c r="IX25" i="8"/>
  <c r="IX26" i="8"/>
  <c r="IX27" i="8"/>
  <c r="IX28" i="8"/>
  <c r="IX29" i="8"/>
  <c r="IX30" i="8"/>
  <c r="IX31" i="8"/>
  <c r="IX32" i="8"/>
  <c r="IX8" i="8"/>
  <c r="IS9" i="8"/>
  <c r="IS10" i="8"/>
  <c r="IS11" i="8"/>
  <c r="IS12" i="8"/>
  <c r="IS13" i="8"/>
  <c r="IS14" i="8"/>
  <c r="IS15" i="8"/>
  <c r="IS16" i="8"/>
  <c r="IS17" i="8"/>
  <c r="IS18" i="8"/>
  <c r="IS19" i="8"/>
  <c r="IS20" i="8"/>
  <c r="IS21" i="8"/>
  <c r="IS22" i="8"/>
  <c r="IS23" i="8"/>
  <c r="IS24" i="8"/>
  <c r="IS25" i="8"/>
  <c r="IS26" i="8"/>
  <c r="IS27" i="8"/>
  <c r="IS28" i="8"/>
  <c r="IS29" i="8"/>
  <c r="IS30" i="8"/>
  <c r="IS31" i="8"/>
  <c r="IS32" i="8"/>
  <c r="IS8" i="8"/>
  <c r="IN9" i="8"/>
  <c r="IN10" i="8"/>
  <c r="IN11" i="8"/>
  <c r="IN12" i="8"/>
  <c r="IN13" i="8"/>
  <c r="IN14" i="8"/>
  <c r="IN15" i="8"/>
  <c r="IN16" i="8"/>
  <c r="IN17" i="8"/>
  <c r="IN18" i="8"/>
  <c r="IN19" i="8"/>
  <c r="IN20" i="8"/>
  <c r="IN21" i="8"/>
  <c r="IN22" i="8"/>
  <c r="IN23" i="8"/>
  <c r="IN24" i="8"/>
  <c r="IN25" i="8"/>
  <c r="IN26" i="8"/>
  <c r="IN27" i="8"/>
  <c r="IN28" i="8"/>
  <c r="IN29" i="8"/>
  <c r="IN30" i="8"/>
  <c r="IN31" i="8"/>
  <c r="IN32" i="8"/>
  <c r="IN8" i="8"/>
  <c r="II9" i="8"/>
  <c r="II10" i="8"/>
  <c r="II11" i="8"/>
  <c r="II12" i="8"/>
  <c r="II13" i="8"/>
  <c r="II14" i="8"/>
  <c r="II15" i="8"/>
  <c r="II16" i="8"/>
  <c r="II17" i="8"/>
  <c r="II18" i="8"/>
  <c r="II19" i="8"/>
  <c r="II20" i="8"/>
  <c r="II21" i="8"/>
  <c r="II22" i="8"/>
  <c r="II23" i="8"/>
  <c r="II24" i="8"/>
  <c r="II25" i="8"/>
  <c r="II26" i="8"/>
  <c r="II27" i="8"/>
  <c r="II28" i="8"/>
  <c r="II29" i="8"/>
  <c r="II30" i="8"/>
  <c r="II31" i="8"/>
  <c r="II32" i="8"/>
  <c r="II8" i="8"/>
  <c r="ID9" i="8"/>
  <c r="ID10" i="8"/>
  <c r="ID11" i="8"/>
  <c r="ID12" i="8"/>
  <c r="ID13" i="8"/>
  <c r="ID14" i="8"/>
  <c r="ID15" i="8"/>
  <c r="ID16" i="8"/>
  <c r="ID17" i="8"/>
  <c r="ID18" i="8"/>
  <c r="ID19" i="8"/>
  <c r="ID20" i="8"/>
  <c r="ID21" i="8"/>
  <c r="ID22" i="8"/>
  <c r="ID23" i="8"/>
  <c r="ID24" i="8"/>
  <c r="ID25" i="8"/>
  <c r="ID26" i="8"/>
  <c r="ID27" i="8"/>
  <c r="ID28" i="8"/>
  <c r="ID29" i="8"/>
  <c r="ID30" i="8"/>
  <c r="ID31" i="8"/>
  <c r="ID32" i="8"/>
  <c r="ID33" i="8"/>
  <c r="ID34" i="8"/>
  <c r="ID8" i="8"/>
  <c r="HY9" i="8"/>
  <c r="HY10" i="8"/>
  <c r="HY11" i="8"/>
  <c r="HY12" i="8"/>
  <c r="HY13" i="8"/>
  <c r="HY14" i="8"/>
  <c r="HY15" i="8"/>
  <c r="HY16" i="8"/>
  <c r="HY17" i="8"/>
  <c r="HY18" i="8"/>
  <c r="HY19" i="8"/>
  <c r="HY20" i="8"/>
  <c r="HY21" i="8"/>
  <c r="HY22" i="8"/>
  <c r="HY23" i="8"/>
  <c r="HY24" i="8"/>
  <c r="HY25" i="8"/>
  <c r="HY26" i="8"/>
  <c r="HY27" i="8"/>
  <c r="HY28" i="8"/>
  <c r="HY29" i="8"/>
  <c r="HY30" i="8"/>
  <c r="HY31" i="8"/>
  <c r="HY32" i="8"/>
  <c r="HY33" i="8"/>
  <c r="HY34" i="8"/>
  <c r="HY8" i="8"/>
  <c r="BO10" i="15"/>
  <c r="BO11" i="15"/>
  <c r="BO12" i="15"/>
  <c r="BO13" i="15"/>
  <c r="BO14" i="15"/>
  <c r="BO15" i="15"/>
  <c r="BO16" i="15"/>
  <c r="BO17" i="15"/>
  <c r="BO18" i="15"/>
  <c r="BO19" i="15"/>
  <c r="BO20" i="15"/>
  <c r="BO21" i="15"/>
  <c r="BO22" i="15"/>
  <c r="BO23" i="15"/>
  <c r="BO24" i="15"/>
  <c r="BO25" i="15"/>
  <c r="BO26" i="15"/>
  <c r="BO27" i="15"/>
  <c r="BO28" i="15"/>
  <c r="BO29" i="15"/>
  <c r="BO30" i="15"/>
  <c r="BO31" i="15"/>
  <c r="BO32" i="15"/>
  <c r="BO33" i="15"/>
  <c r="BO9" i="15"/>
  <c r="HT32" i="8"/>
  <c r="HO32" i="8"/>
  <c r="HJ32" i="8"/>
  <c r="HE32" i="8"/>
  <c r="GZ32" i="8"/>
  <c r="GU32" i="8"/>
  <c r="GP32" i="8"/>
  <c r="GK32" i="8"/>
  <c r="GF32" i="8"/>
  <c r="GA32" i="8"/>
  <c r="FV32" i="8"/>
  <c r="FQ32" i="8"/>
  <c r="FL32" i="8"/>
  <c r="FB32" i="8"/>
  <c r="EW32" i="8"/>
  <c r="ER32" i="8"/>
  <c r="EM32" i="8"/>
  <c r="EH32" i="8"/>
  <c r="EC32" i="8"/>
  <c r="DS32" i="8"/>
  <c r="DN32" i="8"/>
  <c r="DI32" i="8"/>
  <c r="DD32" i="8"/>
  <c r="CY32" i="8"/>
  <c r="CT32" i="8"/>
  <c r="CO32" i="8"/>
  <c r="CJ32" i="8"/>
  <c r="CE32" i="8"/>
  <c r="BP32" i="8"/>
  <c r="HT31" i="8"/>
  <c r="HO31" i="8"/>
  <c r="HJ31" i="8"/>
  <c r="HE31" i="8"/>
  <c r="GZ31" i="8"/>
  <c r="GU31" i="8"/>
  <c r="GP31" i="8"/>
  <c r="GK31" i="8"/>
  <c r="GF31" i="8"/>
  <c r="GA31" i="8"/>
  <c r="FV31" i="8"/>
  <c r="FQ31" i="8"/>
  <c r="FL31" i="8"/>
  <c r="FG31" i="8"/>
  <c r="FB31" i="8"/>
  <c r="EW31" i="8"/>
  <c r="ER31" i="8"/>
  <c r="EM31" i="8"/>
  <c r="EH31" i="8"/>
  <c r="EC31" i="8"/>
  <c r="DX31" i="8"/>
  <c r="DS31" i="8"/>
  <c r="DN31" i="8"/>
  <c r="DI31" i="8"/>
  <c r="DD31" i="8"/>
  <c r="CY31" i="8"/>
  <c r="CT31" i="8"/>
  <c r="CO31" i="8"/>
  <c r="CJ31" i="8"/>
  <c r="CE31" i="8"/>
  <c r="BZ31" i="8"/>
  <c r="BU31" i="8"/>
  <c r="BP31" i="8"/>
  <c r="BF31" i="8"/>
  <c r="BA31" i="8"/>
  <c r="M31" i="8"/>
  <c r="H31" i="8"/>
  <c r="HT30" i="8"/>
  <c r="HO30" i="8"/>
  <c r="HJ30" i="8"/>
  <c r="HE30" i="8"/>
  <c r="GZ30" i="8"/>
  <c r="GU30" i="8"/>
  <c r="GP30" i="8"/>
  <c r="GF30" i="8"/>
  <c r="GA30" i="8"/>
  <c r="FV30" i="8"/>
  <c r="FQ30" i="8"/>
  <c r="FL30" i="8"/>
  <c r="FG30" i="8"/>
  <c r="FB30" i="8"/>
  <c r="EW30" i="8"/>
  <c r="ER30" i="8"/>
  <c r="EM30" i="8"/>
  <c r="EH30" i="8"/>
  <c r="EC30" i="8"/>
  <c r="DX30" i="8"/>
  <c r="DS30" i="8"/>
  <c r="DN30" i="8"/>
  <c r="DI30" i="8"/>
  <c r="DD30" i="8"/>
  <c r="CY30" i="8"/>
  <c r="CT30" i="8"/>
  <c r="CO30" i="8"/>
  <c r="CJ30" i="8"/>
  <c r="CE30" i="8"/>
  <c r="BZ30" i="8"/>
  <c r="BU30" i="8"/>
  <c r="BP30" i="8"/>
  <c r="BK30" i="8"/>
  <c r="BF30" i="8"/>
  <c r="BA30" i="8"/>
  <c r="M30" i="8"/>
  <c r="H30" i="8"/>
  <c r="HT29" i="8"/>
  <c r="HO29" i="8"/>
  <c r="HJ29" i="8"/>
  <c r="HE29" i="8"/>
  <c r="GZ29" i="8"/>
  <c r="GU29" i="8"/>
  <c r="GP29" i="8"/>
  <c r="GK29" i="8"/>
  <c r="GF29" i="8"/>
  <c r="GA29" i="8"/>
  <c r="FV29" i="8"/>
  <c r="FQ29" i="8"/>
  <c r="FL29" i="8"/>
  <c r="FG29" i="8"/>
  <c r="FB29" i="8"/>
  <c r="EW29" i="8"/>
  <c r="ER29" i="8"/>
  <c r="EM29" i="8"/>
  <c r="EH29" i="8"/>
  <c r="EC29" i="8"/>
  <c r="DX29" i="8"/>
  <c r="DS29" i="8"/>
  <c r="DN29" i="8"/>
  <c r="DI29" i="8"/>
  <c r="DD29" i="8"/>
  <c r="CY29" i="8"/>
  <c r="CT29" i="8"/>
  <c r="CO29" i="8"/>
  <c r="CJ29" i="8"/>
  <c r="CE29" i="8"/>
  <c r="BZ29" i="8"/>
  <c r="BU29" i="8"/>
  <c r="BP29" i="8"/>
  <c r="BK29" i="8"/>
  <c r="BF29" i="8"/>
  <c r="BA29" i="8"/>
  <c r="M29" i="8"/>
  <c r="H29" i="8"/>
  <c r="C29" i="8"/>
  <c r="HT28" i="8"/>
  <c r="HO28" i="8"/>
  <c r="HJ28" i="8"/>
  <c r="HE28" i="8"/>
  <c r="GZ28" i="8"/>
  <c r="GU28" i="8"/>
  <c r="GP28" i="8"/>
  <c r="GK28" i="8"/>
  <c r="GF28" i="8"/>
  <c r="GA28" i="8"/>
  <c r="FV28" i="8"/>
  <c r="FQ28" i="8"/>
  <c r="FL28" i="8"/>
  <c r="FG28" i="8"/>
  <c r="FB28" i="8"/>
  <c r="EW28" i="8"/>
  <c r="ER28" i="8"/>
  <c r="EM28" i="8"/>
  <c r="EH28" i="8"/>
  <c r="EC28" i="8"/>
  <c r="DX28" i="8"/>
  <c r="DS28" i="8"/>
  <c r="DN28" i="8"/>
  <c r="DI28" i="8"/>
  <c r="DD28" i="8"/>
  <c r="CY28" i="8"/>
  <c r="CT28" i="8"/>
  <c r="CO28" i="8"/>
  <c r="CJ28" i="8"/>
  <c r="CE28" i="8"/>
  <c r="BZ28" i="8"/>
  <c r="BU28" i="8"/>
  <c r="BP28" i="8"/>
  <c r="BK28" i="8"/>
  <c r="BF28" i="8"/>
  <c r="BA28" i="8"/>
  <c r="M28" i="8"/>
  <c r="H28" i="8"/>
  <c r="C28" i="8"/>
  <c r="HT27" i="8"/>
  <c r="HO27" i="8"/>
  <c r="HJ27" i="8"/>
  <c r="HE27" i="8"/>
  <c r="GZ27" i="8"/>
  <c r="GU27" i="8"/>
  <c r="GP27" i="8"/>
  <c r="GK27" i="8"/>
  <c r="GF27" i="8"/>
  <c r="GA27" i="8"/>
  <c r="FV27" i="8"/>
  <c r="FQ27" i="8"/>
  <c r="FL27" i="8"/>
  <c r="FG27" i="8"/>
  <c r="FB27" i="8"/>
  <c r="EW27" i="8"/>
  <c r="ER27" i="8"/>
  <c r="EM27" i="8"/>
  <c r="EH27" i="8"/>
  <c r="EC27" i="8"/>
  <c r="DX27" i="8"/>
  <c r="DS27" i="8"/>
  <c r="DN27" i="8"/>
  <c r="DI27" i="8"/>
  <c r="DD27" i="8"/>
  <c r="CY27" i="8"/>
  <c r="CT27" i="8"/>
  <c r="CO27" i="8"/>
  <c r="CJ27" i="8"/>
  <c r="CE27" i="8"/>
  <c r="BZ27" i="8"/>
  <c r="BU27" i="8"/>
  <c r="BP27" i="8"/>
  <c r="BK27" i="8"/>
  <c r="BF27" i="8"/>
  <c r="BA27" i="8"/>
  <c r="M27" i="8"/>
  <c r="H27" i="8"/>
  <c r="C27" i="8"/>
  <c r="HT26" i="8"/>
  <c r="HO26" i="8"/>
  <c r="HJ26" i="8"/>
  <c r="HE26" i="8"/>
  <c r="GZ26" i="8"/>
  <c r="GU26" i="8"/>
  <c r="GP26" i="8"/>
  <c r="GK26" i="8"/>
  <c r="GF26" i="8"/>
  <c r="GA26" i="8"/>
  <c r="FV26" i="8"/>
  <c r="FQ26" i="8"/>
  <c r="FL26" i="8"/>
  <c r="FG26" i="8"/>
  <c r="FB26" i="8"/>
  <c r="EW26" i="8"/>
  <c r="ER26" i="8"/>
  <c r="EM26" i="8"/>
  <c r="EH26" i="8"/>
  <c r="EC26" i="8"/>
  <c r="DX26" i="8"/>
  <c r="DS26" i="8"/>
  <c r="DN26" i="8"/>
  <c r="DI26" i="8"/>
  <c r="DD26" i="8"/>
  <c r="CY26" i="8"/>
  <c r="CT26" i="8"/>
  <c r="CO26" i="8"/>
  <c r="CJ26" i="8"/>
  <c r="CE26" i="8"/>
  <c r="BZ26" i="8"/>
  <c r="BU26" i="8"/>
  <c r="BP26" i="8"/>
  <c r="BK26" i="8"/>
  <c r="BF26" i="8"/>
  <c r="BA26" i="8"/>
  <c r="M26" i="8"/>
  <c r="H26" i="8"/>
  <c r="HT25" i="8"/>
  <c r="HO25" i="8"/>
  <c r="HJ25" i="8"/>
  <c r="HE25" i="8"/>
  <c r="GZ25" i="8"/>
  <c r="GU25" i="8"/>
  <c r="GP25" i="8"/>
  <c r="GK25" i="8"/>
  <c r="GF25" i="8"/>
  <c r="GA25" i="8"/>
  <c r="FV25" i="8"/>
  <c r="FQ25" i="8"/>
  <c r="FL25" i="8"/>
  <c r="FG25" i="8"/>
  <c r="FB25" i="8"/>
  <c r="EW25" i="8"/>
  <c r="ER25" i="8"/>
  <c r="EM25" i="8"/>
  <c r="EH25" i="8"/>
  <c r="EC25" i="8"/>
  <c r="DX25" i="8"/>
  <c r="DS25" i="8"/>
  <c r="DN25" i="8"/>
  <c r="DI25" i="8"/>
  <c r="DD25" i="8"/>
  <c r="CY25" i="8"/>
  <c r="CT25" i="8"/>
  <c r="CO25" i="8"/>
  <c r="CJ25" i="8"/>
  <c r="CE25" i="8"/>
  <c r="BZ25" i="8"/>
  <c r="BU25" i="8"/>
  <c r="BP25" i="8"/>
  <c r="BK25" i="8"/>
  <c r="BF25" i="8"/>
  <c r="BA25" i="8"/>
  <c r="M25" i="8"/>
  <c r="H25" i="8"/>
  <c r="C25" i="8"/>
  <c r="HT24" i="8"/>
  <c r="HO24" i="8"/>
  <c r="HJ24" i="8"/>
  <c r="HE24" i="8"/>
  <c r="GZ24" i="8"/>
  <c r="GU24" i="8"/>
  <c r="GP24" i="8"/>
  <c r="GK24" i="8"/>
  <c r="GF24" i="8"/>
  <c r="GA24" i="8"/>
  <c r="FV24" i="8"/>
  <c r="FQ24" i="8"/>
  <c r="FL24" i="8"/>
  <c r="FG24" i="8"/>
  <c r="FB24" i="8"/>
  <c r="EW24" i="8"/>
  <c r="ER24" i="8"/>
  <c r="EM24" i="8"/>
  <c r="EH24" i="8"/>
  <c r="EC24" i="8"/>
  <c r="DX24" i="8"/>
  <c r="DS24" i="8"/>
  <c r="DN24" i="8"/>
  <c r="DI24" i="8"/>
  <c r="DD24" i="8"/>
  <c r="CY24" i="8"/>
  <c r="CT24" i="8"/>
  <c r="CO24" i="8"/>
  <c r="CJ24" i="8"/>
  <c r="CE24" i="8"/>
  <c r="BZ24" i="8"/>
  <c r="BU24" i="8"/>
  <c r="BP24" i="8"/>
  <c r="BK24" i="8"/>
  <c r="BF24" i="8"/>
  <c r="BA24" i="8"/>
  <c r="M24" i="8"/>
  <c r="H24" i="8"/>
  <c r="C24" i="8"/>
  <c r="HT23" i="8"/>
  <c r="HO23" i="8"/>
  <c r="HJ23" i="8"/>
  <c r="HE23" i="8"/>
  <c r="GZ23" i="8"/>
  <c r="GU23" i="8"/>
  <c r="GP23" i="8"/>
  <c r="GK23" i="8"/>
  <c r="GF23" i="8"/>
  <c r="GA23" i="8"/>
  <c r="FV23" i="8"/>
  <c r="FQ23" i="8"/>
  <c r="FL23" i="8"/>
  <c r="FG23" i="8"/>
  <c r="FB23" i="8"/>
  <c r="EW23" i="8"/>
  <c r="ER23" i="8"/>
  <c r="EM23" i="8"/>
  <c r="EH23" i="8"/>
  <c r="EC23" i="8"/>
  <c r="DX23" i="8"/>
  <c r="DS23" i="8"/>
  <c r="DN23" i="8"/>
  <c r="DI23" i="8"/>
  <c r="DD23" i="8"/>
  <c r="CY23" i="8"/>
  <c r="CT23" i="8"/>
  <c r="CO23" i="8"/>
  <c r="CJ23" i="8"/>
  <c r="CE23" i="8"/>
  <c r="BZ23" i="8"/>
  <c r="BU23" i="8"/>
  <c r="BP23" i="8"/>
  <c r="BK23" i="8"/>
  <c r="BF23" i="8"/>
  <c r="BA23" i="8"/>
  <c r="M23" i="8"/>
  <c r="H23" i="8"/>
  <c r="C23" i="8"/>
  <c r="HT22" i="8"/>
  <c r="HO22" i="8"/>
  <c r="HJ22" i="8"/>
  <c r="HE22" i="8"/>
  <c r="GZ22" i="8"/>
  <c r="GU22" i="8"/>
  <c r="GP22" i="8"/>
  <c r="GK22" i="8"/>
  <c r="GF22" i="8"/>
  <c r="GA22" i="8"/>
  <c r="FV22" i="8"/>
  <c r="FQ22" i="8"/>
  <c r="FL22" i="8"/>
  <c r="FG22" i="8"/>
  <c r="FB22" i="8"/>
  <c r="EW22" i="8"/>
  <c r="ER22" i="8"/>
  <c r="EM22" i="8"/>
  <c r="EH22" i="8"/>
  <c r="EC22" i="8"/>
  <c r="DX22" i="8"/>
  <c r="DS22" i="8"/>
  <c r="DN22" i="8"/>
  <c r="DI22" i="8"/>
  <c r="DD22" i="8"/>
  <c r="CY22" i="8"/>
  <c r="CT22" i="8"/>
  <c r="CO22" i="8"/>
  <c r="CJ22" i="8"/>
  <c r="CE22" i="8"/>
  <c r="BZ22" i="8"/>
  <c r="BU22" i="8"/>
  <c r="BP22" i="8"/>
  <c r="BK22" i="8"/>
  <c r="BF22" i="8"/>
  <c r="BA22" i="8"/>
  <c r="M22" i="8"/>
  <c r="H22" i="8"/>
  <c r="C22" i="8"/>
  <c r="HT21" i="8"/>
  <c r="HO21" i="8"/>
  <c r="HJ21" i="8"/>
  <c r="HE21" i="8"/>
  <c r="GZ21" i="8"/>
  <c r="GU21" i="8"/>
  <c r="GP21" i="8"/>
  <c r="GK21" i="8"/>
  <c r="GF21" i="8"/>
  <c r="GA21" i="8"/>
  <c r="FV21" i="8"/>
  <c r="FQ21" i="8"/>
  <c r="FL21" i="8"/>
  <c r="FG21" i="8"/>
  <c r="FB21" i="8"/>
  <c r="EW21" i="8"/>
  <c r="ER21" i="8"/>
  <c r="EM21" i="8"/>
  <c r="EH21" i="8"/>
  <c r="EC21" i="8"/>
  <c r="DX21" i="8"/>
  <c r="DS21" i="8"/>
  <c r="DN21" i="8"/>
  <c r="DI21" i="8"/>
  <c r="DD21" i="8"/>
  <c r="CY21" i="8"/>
  <c r="CT21" i="8"/>
  <c r="CO21" i="8"/>
  <c r="CJ21" i="8"/>
  <c r="CE21" i="8"/>
  <c r="BZ21" i="8"/>
  <c r="BU21" i="8"/>
  <c r="BP21" i="8"/>
  <c r="BK21" i="8"/>
  <c r="BF21" i="8"/>
  <c r="BA21" i="8"/>
  <c r="M21" i="8"/>
  <c r="H21" i="8"/>
  <c r="C21" i="8"/>
  <c r="HT20" i="8"/>
  <c r="HO20" i="8"/>
  <c r="HJ20" i="8"/>
  <c r="HE20" i="8"/>
  <c r="GZ20" i="8"/>
  <c r="GU20" i="8"/>
  <c r="GP20" i="8"/>
  <c r="GK20" i="8"/>
  <c r="GF20" i="8"/>
  <c r="GA20" i="8"/>
  <c r="FV20" i="8"/>
  <c r="FQ20" i="8"/>
  <c r="FL20" i="8"/>
  <c r="FG20" i="8"/>
  <c r="FB20" i="8"/>
  <c r="EW20" i="8"/>
  <c r="ER20" i="8"/>
  <c r="EM20" i="8"/>
  <c r="EH20" i="8"/>
  <c r="EC20" i="8"/>
  <c r="DX20" i="8"/>
  <c r="DS20" i="8"/>
  <c r="DN20" i="8"/>
  <c r="DI20" i="8"/>
  <c r="DD20" i="8"/>
  <c r="CY20" i="8"/>
  <c r="CT20" i="8"/>
  <c r="CO20" i="8"/>
  <c r="CJ20" i="8"/>
  <c r="CE20" i="8"/>
  <c r="BZ20" i="8"/>
  <c r="BU20" i="8"/>
  <c r="BP20" i="8"/>
  <c r="BK20" i="8"/>
  <c r="BF20" i="8"/>
  <c r="BA20" i="8"/>
  <c r="M20" i="8"/>
  <c r="H20" i="8"/>
  <c r="C20" i="8"/>
  <c r="HT19" i="8"/>
  <c r="HO19" i="8"/>
  <c r="HJ19" i="8"/>
  <c r="HE19" i="8"/>
  <c r="GZ19" i="8"/>
  <c r="GU19" i="8"/>
  <c r="GP19" i="8"/>
  <c r="GK19" i="8"/>
  <c r="GF19" i="8"/>
  <c r="GA19" i="8"/>
  <c r="FV19" i="8"/>
  <c r="FQ19" i="8"/>
  <c r="FL19" i="8"/>
  <c r="FG19" i="8"/>
  <c r="FB19" i="8"/>
  <c r="EW19" i="8"/>
  <c r="ER19" i="8"/>
  <c r="EM19" i="8"/>
  <c r="EH19" i="8"/>
  <c r="EC19" i="8"/>
  <c r="DX19" i="8"/>
  <c r="DS19" i="8"/>
  <c r="DN19" i="8"/>
  <c r="DI19" i="8"/>
  <c r="DD19" i="8"/>
  <c r="CY19" i="8"/>
  <c r="CT19" i="8"/>
  <c r="CO19" i="8"/>
  <c r="CJ19" i="8"/>
  <c r="CE19" i="8"/>
  <c r="BZ19" i="8"/>
  <c r="BU19" i="8"/>
  <c r="BP19" i="8"/>
  <c r="BK19" i="8"/>
  <c r="BF19" i="8"/>
  <c r="BA19" i="8"/>
  <c r="M19" i="8"/>
  <c r="H19" i="8"/>
  <c r="C19" i="8"/>
  <c r="HT18" i="8"/>
  <c r="HO18" i="8"/>
  <c r="HJ18" i="8"/>
  <c r="HE18" i="8"/>
  <c r="GZ18" i="8"/>
  <c r="GU18" i="8"/>
  <c r="GP18" i="8"/>
  <c r="GK18" i="8"/>
  <c r="GF18" i="8"/>
  <c r="GA18" i="8"/>
  <c r="FV18" i="8"/>
  <c r="FQ18" i="8"/>
  <c r="FL18" i="8"/>
  <c r="FG18" i="8"/>
  <c r="FB18" i="8"/>
  <c r="EW18" i="8"/>
  <c r="ER18" i="8"/>
  <c r="EM18" i="8"/>
  <c r="EH18" i="8"/>
  <c r="EC18" i="8"/>
  <c r="DX18" i="8"/>
  <c r="DS18" i="8"/>
  <c r="DN18" i="8"/>
  <c r="DI18" i="8"/>
  <c r="DD18" i="8"/>
  <c r="CY18" i="8"/>
  <c r="CT18" i="8"/>
  <c r="CO18" i="8"/>
  <c r="CJ18" i="8"/>
  <c r="CE18" i="8"/>
  <c r="BZ18" i="8"/>
  <c r="BU18" i="8"/>
  <c r="BP18" i="8"/>
  <c r="BK18" i="8"/>
  <c r="BF18" i="8"/>
  <c r="BA18" i="8"/>
  <c r="M18" i="8"/>
  <c r="H18" i="8"/>
  <c r="C18" i="8"/>
  <c r="HT17" i="8"/>
  <c r="HO17" i="8"/>
  <c r="HJ17" i="8"/>
  <c r="HE17" i="8"/>
  <c r="GZ17" i="8"/>
  <c r="GU17" i="8"/>
  <c r="GP17" i="8"/>
  <c r="GK17" i="8"/>
  <c r="GF17" i="8"/>
  <c r="GA17" i="8"/>
  <c r="FV17" i="8"/>
  <c r="FQ17" i="8"/>
  <c r="FL17" i="8"/>
  <c r="FG17" i="8"/>
  <c r="FB17" i="8"/>
  <c r="EW17" i="8"/>
  <c r="ER17" i="8"/>
  <c r="EM17" i="8"/>
  <c r="EH17" i="8"/>
  <c r="EC17" i="8"/>
  <c r="DX17" i="8"/>
  <c r="DS17" i="8"/>
  <c r="DN17" i="8"/>
  <c r="DI17" i="8"/>
  <c r="DD17" i="8"/>
  <c r="CY17" i="8"/>
  <c r="CT17" i="8"/>
  <c r="CO17" i="8"/>
  <c r="CJ17" i="8"/>
  <c r="CE17" i="8"/>
  <c r="BZ17" i="8"/>
  <c r="BU17" i="8"/>
  <c r="BP17" i="8"/>
  <c r="BK17" i="8"/>
  <c r="BF17" i="8"/>
  <c r="BA17" i="8"/>
  <c r="M17" i="8"/>
  <c r="H17" i="8"/>
  <c r="C17" i="8"/>
  <c r="HT16" i="8"/>
  <c r="HO16" i="8"/>
  <c r="HJ16" i="8"/>
  <c r="HE16" i="8"/>
  <c r="GZ16" i="8"/>
  <c r="GU16" i="8"/>
  <c r="GP16" i="8"/>
  <c r="GK16" i="8"/>
  <c r="GF16" i="8"/>
  <c r="GA16" i="8"/>
  <c r="FV16" i="8"/>
  <c r="FQ16" i="8"/>
  <c r="FL16" i="8"/>
  <c r="FG16" i="8"/>
  <c r="FB16" i="8"/>
  <c r="EW16" i="8"/>
  <c r="ER16" i="8"/>
  <c r="EM16" i="8"/>
  <c r="EH16" i="8"/>
  <c r="EC16" i="8"/>
  <c r="DX16" i="8"/>
  <c r="DS16" i="8"/>
  <c r="DN16" i="8"/>
  <c r="DI16" i="8"/>
  <c r="DD16" i="8"/>
  <c r="CY16" i="8"/>
  <c r="CT16" i="8"/>
  <c r="CO16" i="8"/>
  <c r="CJ16" i="8"/>
  <c r="CE16" i="8"/>
  <c r="BZ16" i="8"/>
  <c r="BU16" i="8"/>
  <c r="BP16" i="8"/>
  <c r="BK16" i="8"/>
  <c r="BF16" i="8"/>
  <c r="BA16" i="8"/>
  <c r="M16" i="8"/>
  <c r="H16" i="8"/>
  <c r="C16" i="8"/>
  <c r="HT15" i="8"/>
  <c r="HO15" i="8"/>
  <c r="HJ15" i="8"/>
  <c r="HE15" i="8"/>
  <c r="GZ15" i="8"/>
  <c r="GU15" i="8"/>
  <c r="GP15" i="8"/>
  <c r="GK15" i="8"/>
  <c r="GF15" i="8"/>
  <c r="GA15" i="8"/>
  <c r="FV15" i="8"/>
  <c r="FQ15" i="8"/>
  <c r="FL15" i="8"/>
  <c r="FG15" i="8"/>
  <c r="FB15" i="8"/>
  <c r="EW15" i="8"/>
  <c r="ER15" i="8"/>
  <c r="EM15" i="8"/>
  <c r="EH15" i="8"/>
  <c r="EC15" i="8"/>
  <c r="DX15" i="8"/>
  <c r="DS15" i="8"/>
  <c r="DN15" i="8"/>
  <c r="DI15" i="8"/>
  <c r="DD15" i="8"/>
  <c r="CY15" i="8"/>
  <c r="CT15" i="8"/>
  <c r="CO15" i="8"/>
  <c r="CJ15" i="8"/>
  <c r="CE15" i="8"/>
  <c r="BZ15" i="8"/>
  <c r="BU15" i="8"/>
  <c r="BP15" i="8"/>
  <c r="BK15" i="8"/>
  <c r="BF15" i="8"/>
  <c r="BA15" i="8"/>
  <c r="M15" i="8"/>
  <c r="H15" i="8"/>
  <c r="C15" i="8"/>
  <c r="HT14" i="8"/>
  <c r="HO14" i="8"/>
  <c r="HJ14" i="8"/>
  <c r="HE14" i="8"/>
  <c r="GZ14" i="8"/>
  <c r="GU14" i="8"/>
  <c r="GP14" i="8"/>
  <c r="GK14" i="8"/>
  <c r="GF14" i="8"/>
  <c r="GA14" i="8"/>
  <c r="FV14" i="8"/>
  <c r="FQ14" i="8"/>
  <c r="FL14" i="8"/>
  <c r="FG14" i="8"/>
  <c r="FB14" i="8"/>
  <c r="EW14" i="8"/>
  <c r="ER14" i="8"/>
  <c r="EM14" i="8"/>
  <c r="EH14" i="8"/>
  <c r="EC14" i="8"/>
  <c r="DX14" i="8"/>
  <c r="DS14" i="8"/>
  <c r="DN14" i="8"/>
  <c r="DI14" i="8"/>
  <c r="DD14" i="8"/>
  <c r="CY14" i="8"/>
  <c r="CT14" i="8"/>
  <c r="CO14" i="8"/>
  <c r="CJ14" i="8"/>
  <c r="CE14" i="8"/>
  <c r="BZ14" i="8"/>
  <c r="BU14" i="8"/>
  <c r="BP14" i="8"/>
  <c r="BK14" i="8"/>
  <c r="BF14" i="8"/>
  <c r="BA14" i="8"/>
  <c r="M14" i="8"/>
  <c r="H14" i="8"/>
  <c r="C14" i="8"/>
  <c r="HT13" i="8"/>
  <c r="HO13" i="8"/>
  <c r="HJ13" i="8"/>
  <c r="HE13" i="8"/>
  <c r="GZ13" i="8"/>
  <c r="GU13" i="8"/>
  <c r="GP13" i="8"/>
  <c r="GK13" i="8"/>
  <c r="GF13" i="8"/>
  <c r="GA13" i="8"/>
  <c r="FV13" i="8"/>
  <c r="FQ13" i="8"/>
  <c r="FL13" i="8"/>
  <c r="FG13" i="8"/>
  <c r="FB13" i="8"/>
  <c r="EW13" i="8"/>
  <c r="ER13" i="8"/>
  <c r="EM13" i="8"/>
  <c r="EH13" i="8"/>
  <c r="EC13" i="8"/>
  <c r="DX13" i="8"/>
  <c r="DS13" i="8"/>
  <c r="DN13" i="8"/>
  <c r="DI13" i="8"/>
  <c r="DD13" i="8"/>
  <c r="CY13" i="8"/>
  <c r="CT13" i="8"/>
  <c r="CO13" i="8"/>
  <c r="CJ13" i="8"/>
  <c r="CE13" i="8"/>
  <c r="BZ13" i="8"/>
  <c r="BU13" i="8"/>
  <c r="BP13" i="8"/>
  <c r="BK13" i="8"/>
  <c r="BF13" i="8"/>
  <c r="BA13" i="8"/>
  <c r="M13" i="8"/>
  <c r="H13" i="8"/>
  <c r="C13" i="8"/>
  <c r="HT12" i="8"/>
  <c r="HO12" i="8"/>
  <c r="HJ12" i="8"/>
  <c r="HE12" i="8"/>
  <c r="GZ12" i="8"/>
  <c r="GU12" i="8"/>
  <c r="GP12" i="8"/>
  <c r="GK12" i="8"/>
  <c r="GF12" i="8"/>
  <c r="GA12" i="8"/>
  <c r="FV12" i="8"/>
  <c r="FQ12" i="8"/>
  <c r="FL12" i="8"/>
  <c r="FG12" i="8"/>
  <c r="FB12" i="8"/>
  <c r="EW12" i="8"/>
  <c r="ER12" i="8"/>
  <c r="EM12" i="8"/>
  <c r="EH12" i="8"/>
  <c r="EC12" i="8"/>
  <c r="DX12" i="8"/>
  <c r="DS12" i="8"/>
  <c r="DN12" i="8"/>
  <c r="DI12" i="8"/>
  <c r="DD12" i="8"/>
  <c r="CY12" i="8"/>
  <c r="CT12" i="8"/>
  <c r="CO12" i="8"/>
  <c r="CJ12" i="8"/>
  <c r="CE12" i="8"/>
  <c r="BZ12" i="8"/>
  <c r="BU12" i="8"/>
  <c r="BP12" i="8"/>
  <c r="BK12" i="8"/>
  <c r="BF12" i="8"/>
  <c r="BA12" i="8"/>
  <c r="M12" i="8"/>
  <c r="H12" i="8"/>
  <c r="C12" i="8"/>
  <c r="HT11" i="8"/>
  <c r="HO11" i="8"/>
  <c r="HJ11" i="8"/>
  <c r="HE11" i="8"/>
  <c r="GZ11" i="8"/>
  <c r="GU11" i="8"/>
  <c r="GP11" i="8"/>
  <c r="GK11" i="8"/>
  <c r="GF11" i="8"/>
  <c r="GA11" i="8"/>
  <c r="FV11" i="8"/>
  <c r="FQ11" i="8"/>
  <c r="FL11" i="8"/>
  <c r="FG11" i="8"/>
  <c r="FB11" i="8"/>
  <c r="EW11" i="8"/>
  <c r="ER11" i="8"/>
  <c r="EM11" i="8"/>
  <c r="EH11" i="8"/>
  <c r="EC11" i="8"/>
  <c r="DX11" i="8"/>
  <c r="DS11" i="8"/>
  <c r="DN11" i="8"/>
  <c r="DI11" i="8"/>
  <c r="DD11" i="8"/>
  <c r="CY11" i="8"/>
  <c r="CT11" i="8"/>
  <c r="CO11" i="8"/>
  <c r="CJ11" i="8"/>
  <c r="CE11" i="8"/>
  <c r="BZ11" i="8"/>
  <c r="BU11" i="8"/>
  <c r="BP11" i="8"/>
  <c r="BK11" i="8"/>
  <c r="BF11" i="8"/>
  <c r="BA11" i="8"/>
  <c r="M11" i="8"/>
  <c r="H11" i="8"/>
  <c r="C11" i="8"/>
  <c r="HT10" i="8"/>
  <c r="HO10" i="8"/>
  <c r="HJ10" i="8"/>
  <c r="HE10" i="8"/>
  <c r="GZ10" i="8"/>
  <c r="GU10" i="8"/>
  <c r="GP10" i="8"/>
  <c r="GK10" i="8"/>
  <c r="GF10" i="8"/>
  <c r="GA10" i="8"/>
  <c r="FV10" i="8"/>
  <c r="FQ10" i="8"/>
  <c r="FL10" i="8"/>
  <c r="FG10" i="8"/>
  <c r="FB10" i="8"/>
  <c r="EW10" i="8"/>
  <c r="ER10" i="8"/>
  <c r="EM10" i="8"/>
  <c r="EH10" i="8"/>
  <c r="EC10" i="8"/>
  <c r="DX10" i="8"/>
  <c r="DS10" i="8"/>
  <c r="DN10" i="8"/>
  <c r="DI10" i="8"/>
  <c r="DD10" i="8"/>
  <c r="CY10" i="8"/>
  <c r="CT10" i="8"/>
  <c r="CO10" i="8"/>
  <c r="CJ10" i="8"/>
  <c r="CE10" i="8"/>
  <c r="BZ10" i="8"/>
  <c r="BU10" i="8"/>
  <c r="BP10" i="8"/>
  <c r="BK10" i="8"/>
  <c r="BF10" i="8"/>
  <c r="BA10" i="8"/>
  <c r="M10" i="8"/>
  <c r="H10" i="8"/>
  <c r="C10" i="8"/>
  <c r="HT9" i="8"/>
  <c r="HO9" i="8"/>
  <c r="HJ9" i="8"/>
  <c r="HE9" i="8"/>
  <c r="GZ9" i="8"/>
  <c r="GU9" i="8"/>
  <c r="GP9" i="8"/>
  <c r="GK9" i="8"/>
  <c r="GF9" i="8"/>
  <c r="GA9" i="8"/>
  <c r="FV9" i="8"/>
  <c r="FQ9" i="8"/>
  <c r="FL9" i="8"/>
  <c r="FG9" i="8"/>
  <c r="FB9" i="8"/>
  <c r="EW9" i="8"/>
  <c r="ER9" i="8"/>
  <c r="EM9" i="8"/>
  <c r="EH9" i="8"/>
  <c r="EC9" i="8"/>
  <c r="DX9" i="8"/>
  <c r="DS9" i="8"/>
  <c r="DN9" i="8"/>
  <c r="DI9" i="8"/>
  <c r="DD9" i="8"/>
  <c r="CY9" i="8"/>
  <c r="CT9" i="8"/>
  <c r="CO9" i="8"/>
  <c r="CJ9" i="8"/>
  <c r="CE9" i="8"/>
  <c r="BZ9" i="8"/>
  <c r="BU9" i="8"/>
  <c r="BP9" i="8"/>
  <c r="BK9" i="8"/>
  <c r="BF9" i="8"/>
  <c r="BA9" i="8"/>
  <c r="M9" i="8"/>
  <c r="H9" i="8"/>
  <c r="C9" i="8"/>
  <c r="HT8" i="8"/>
  <c r="HO8" i="8"/>
  <c r="HJ8" i="8"/>
  <c r="HE8" i="8"/>
  <c r="GZ8" i="8"/>
  <c r="GU8" i="8"/>
  <c r="GP8" i="8"/>
  <c r="GK8" i="8"/>
  <c r="GF8" i="8"/>
  <c r="GA8" i="8"/>
  <c r="FV8" i="8"/>
  <c r="FQ8" i="8"/>
  <c r="FL8" i="8"/>
  <c r="FG8" i="8"/>
  <c r="FB8" i="8"/>
  <c r="EW8" i="8"/>
  <c r="ER8" i="8"/>
  <c r="EM8" i="8"/>
  <c r="EH8" i="8"/>
  <c r="EC8" i="8"/>
  <c r="DX8" i="8"/>
  <c r="DS8" i="8"/>
  <c r="DN8" i="8"/>
  <c r="DI8" i="8"/>
  <c r="DD8" i="8"/>
  <c r="CY8" i="8"/>
  <c r="CT8" i="8"/>
  <c r="CO8" i="8"/>
  <c r="CJ8" i="8"/>
  <c r="CE8" i="8"/>
  <c r="BZ8" i="8"/>
  <c r="BU8" i="8"/>
  <c r="BP8" i="8"/>
  <c r="BK8" i="8"/>
  <c r="BF8" i="8"/>
  <c r="BA8" i="8"/>
  <c r="M8" i="8"/>
  <c r="H8" i="8"/>
  <c r="C8" i="8"/>
  <c r="ND6" i="30"/>
  <c r="NA6" i="30"/>
  <c r="NB6" i="30"/>
  <c r="NH6" i="28"/>
  <c r="NE6" i="28"/>
  <c r="NF6" i="28"/>
  <c r="BO40" i="15"/>
  <c r="BQ40" i="15"/>
  <c r="BQ31" i="15"/>
  <c r="BP31" i="15"/>
  <c r="BP27" i="15"/>
  <c r="BQ27" i="15"/>
  <c r="BP23" i="15"/>
  <c r="BQ23" i="15"/>
  <c r="BQ19" i="15"/>
  <c r="BP19" i="15"/>
  <c r="BQ15" i="15"/>
  <c r="BP15" i="15"/>
  <c r="BP11" i="15"/>
  <c r="BQ11" i="15"/>
  <c r="BP9" i="15"/>
  <c r="BQ9" i="15"/>
  <c r="BP30" i="15"/>
  <c r="BQ30" i="15"/>
  <c r="BP26" i="15"/>
  <c r="BQ26" i="15"/>
  <c r="BQ22" i="15"/>
  <c r="BP22" i="15"/>
  <c r="BQ18" i="15"/>
  <c r="BP18" i="15"/>
  <c r="BP14" i="15"/>
  <c r="BQ14" i="15"/>
  <c r="BP10" i="15"/>
  <c r="BQ10" i="15"/>
  <c r="BQ33" i="15"/>
  <c r="BP33" i="15"/>
  <c r="BP29" i="15"/>
  <c r="BQ29" i="15"/>
  <c r="BP25" i="15"/>
  <c r="BQ25" i="15"/>
  <c r="BQ21" i="15"/>
  <c r="BP21" i="15"/>
  <c r="BP17" i="15"/>
  <c r="BQ17" i="15"/>
  <c r="BP13" i="15"/>
  <c r="BQ13" i="15"/>
  <c r="BQ32" i="15"/>
  <c r="BP32" i="15"/>
  <c r="BP28" i="15"/>
  <c r="BQ28" i="15"/>
  <c r="BQ24" i="15"/>
  <c r="BP24" i="15"/>
  <c r="BP20" i="15"/>
  <c r="BQ20" i="15"/>
  <c r="BQ16" i="15"/>
  <c r="BP16" i="15"/>
  <c r="BP12" i="15"/>
  <c r="BQ12" i="15"/>
  <c r="JF31" i="8"/>
  <c r="JF23" i="8"/>
  <c r="JF19" i="8"/>
  <c r="JF15" i="8"/>
  <c r="JF12" i="8"/>
  <c r="JE39" i="8"/>
  <c r="JF27" i="8"/>
  <c r="JF32" i="8"/>
  <c r="JG28" i="8"/>
  <c r="JF8" i="8"/>
  <c r="JG26" i="8"/>
  <c r="JG22" i="8"/>
  <c r="JG18" i="8"/>
  <c r="JG11" i="8"/>
  <c r="JF17" i="8"/>
  <c r="JG17" i="8"/>
  <c r="JF26" i="8"/>
  <c r="JF11" i="8"/>
  <c r="JG14" i="8"/>
  <c r="JF18" i="8"/>
  <c r="JF25" i="8"/>
  <c r="JF20" i="8"/>
  <c r="JF29" i="8"/>
  <c r="JG25" i="8"/>
  <c r="JG10" i="8"/>
  <c r="JF10" i="8"/>
  <c r="JG21" i="8"/>
  <c r="JF21" i="8"/>
  <c r="JG29" i="8"/>
  <c r="JF22" i="8"/>
  <c r="JF14" i="8"/>
  <c r="JF24" i="8"/>
  <c r="JF9" i="8"/>
  <c r="JG20" i="8"/>
  <c r="JG13" i="8"/>
  <c r="JF28" i="8"/>
  <c r="JF13" i="8"/>
  <c r="JG32" i="8"/>
  <c r="JF16" i="8"/>
  <c r="JG24" i="8"/>
  <c r="JG16" i="8"/>
  <c r="JG9" i="8"/>
  <c r="BO35" i="15"/>
  <c r="JG8" i="8"/>
  <c r="JG31" i="8"/>
  <c r="JG27" i="8"/>
  <c r="JG23" i="8"/>
  <c r="JG19" i="8"/>
  <c r="JG15" i="8"/>
  <c r="JG12" i="8"/>
  <c r="GK30" i="8"/>
  <c r="NH6" i="30"/>
  <c r="NE6" i="30"/>
  <c r="NF6" i="30"/>
  <c r="NL6" i="28"/>
  <c r="NI6" i="28"/>
  <c r="NJ6" i="28"/>
  <c r="BP40" i="15"/>
  <c r="BP35" i="15"/>
  <c r="BQ35" i="15"/>
  <c r="JG34" i="8"/>
  <c r="JF39" i="8"/>
  <c r="JG39" i="8"/>
  <c r="JG30" i="8"/>
  <c r="JF30" i="8"/>
  <c r="JF34" i="8"/>
  <c r="BO34" i="15"/>
  <c r="NL6" i="30"/>
  <c r="NI6" i="30"/>
  <c r="NJ6" i="30"/>
  <c r="NP6" i="28"/>
  <c r="NM6" i="28"/>
  <c r="NN6" i="28"/>
  <c r="BO42" i="15"/>
  <c r="BO41" i="15"/>
  <c r="BQ41" i="15"/>
  <c r="BP34" i="15"/>
  <c r="BQ34" i="15"/>
  <c r="JG33" i="8"/>
  <c r="JF33" i="8"/>
  <c r="NP6" i="30"/>
  <c r="NM6" i="30"/>
  <c r="NN6" i="30"/>
  <c r="NX6" i="28"/>
  <c r="NQ6" i="28"/>
  <c r="NR6" i="28"/>
  <c r="BO45" i="15"/>
  <c r="BO46" i="15"/>
  <c r="BQ42" i="15"/>
  <c r="BP41" i="15"/>
  <c r="BP42" i="15"/>
  <c r="BP45" i="15"/>
  <c r="BO48" i="15"/>
  <c r="JG43" i="8"/>
  <c r="JF43" i="8"/>
  <c r="JF46" i="8"/>
  <c r="JG46" i="8"/>
  <c r="NX6" i="30"/>
  <c r="NQ6" i="30"/>
  <c r="NR6" i="30"/>
  <c r="OB6" i="28"/>
  <c r="NY6" i="28"/>
  <c r="NZ6" i="28"/>
  <c r="BO47" i="15"/>
  <c r="BP48" i="15"/>
  <c r="BP46" i="15"/>
  <c r="BP47" i="15"/>
  <c r="NY6" i="30"/>
  <c r="NZ6" i="30"/>
  <c r="OB6" i="30"/>
  <c r="OF6" i="28"/>
  <c r="OC6" i="28"/>
  <c r="OD6" i="28"/>
  <c r="FS46" i="8"/>
  <c r="FT46" i="8"/>
  <c r="FS39" i="8"/>
  <c r="FT39" i="8"/>
  <c r="OC6" i="30"/>
  <c r="OD6" i="30"/>
  <c r="OF6" i="30"/>
  <c r="OJ6" i="28"/>
  <c r="OG6" i="28"/>
  <c r="OH6" i="28"/>
  <c r="AY43" i="8"/>
  <c r="OG6" i="30"/>
  <c r="OH6" i="30"/>
  <c r="OJ6" i="30"/>
  <c r="ON6" i="28"/>
  <c r="OK6" i="28"/>
  <c r="OL6" i="28"/>
  <c r="AX46" i="8"/>
  <c r="OK6" i="30"/>
  <c r="OL6" i="30"/>
  <c r="ON6" i="30"/>
  <c r="OR6" i="28"/>
  <c r="OO6" i="28"/>
  <c r="OP6" i="28"/>
  <c r="AY46" i="8"/>
  <c r="AX49" i="8"/>
  <c r="AX39" i="8"/>
  <c r="AY39" i="8"/>
  <c r="BR46" i="8"/>
  <c r="BS46" i="8"/>
  <c r="BR39" i="8"/>
  <c r="BS39" i="8"/>
  <c r="BS43" i="8"/>
  <c r="OO6" i="30"/>
  <c r="OP6" i="30"/>
  <c r="OR6" i="30"/>
  <c r="OV6" i="28"/>
  <c r="OS6" i="28"/>
  <c r="OT6" i="28"/>
  <c r="AX52" i="8"/>
  <c r="AX51" i="8"/>
  <c r="AX50" i="8"/>
  <c r="OS6" i="30"/>
  <c r="OT6" i="30"/>
  <c r="OV6" i="30"/>
  <c r="OW6" i="28"/>
  <c r="OX6" i="28"/>
  <c r="PD6" i="28"/>
  <c r="CQ43" i="8"/>
  <c r="CR43" i="8"/>
  <c r="CQ39" i="8"/>
  <c r="CR39" i="8"/>
  <c r="CQ46" i="8"/>
  <c r="CR46" i="8"/>
  <c r="CR32" i="25"/>
  <c r="CV32" i="25"/>
  <c r="CR31" i="25"/>
  <c r="CV31" i="25"/>
  <c r="CR29" i="25"/>
  <c r="CV29" i="25"/>
  <c r="CR28" i="25"/>
  <c r="CV28" i="25"/>
  <c r="CR27" i="25"/>
  <c r="CV27" i="25"/>
  <c r="CR26" i="25"/>
  <c r="CV26" i="25"/>
  <c r="CR24" i="25"/>
  <c r="CV24" i="25"/>
  <c r="CR23" i="25"/>
  <c r="CV23" i="25"/>
  <c r="CR22" i="25"/>
  <c r="CV22" i="25"/>
  <c r="CR21" i="25"/>
  <c r="CV21" i="25"/>
  <c r="CR20" i="25"/>
  <c r="CV20" i="25"/>
  <c r="CR19" i="25"/>
  <c r="CV19" i="25"/>
  <c r="CR18" i="25"/>
  <c r="CV18" i="25"/>
  <c r="CR17" i="25"/>
  <c r="CV17" i="25"/>
  <c r="CR16" i="25"/>
  <c r="CV16" i="25"/>
  <c r="CR15" i="25"/>
  <c r="CV15" i="25"/>
  <c r="CR14" i="25"/>
  <c r="CV14" i="25"/>
  <c r="CR13" i="25"/>
  <c r="CV13" i="25"/>
  <c r="CR12" i="25"/>
  <c r="CV12" i="25"/>
  <c r="CR10" i="25"/>
  <c r="CV10" i="25"/>
  <c r="CR9" i="25"/>
  <c r="CV9" i="25"/>
  <c r="CR7" i="25"/>
  <c r="CV7" i="25"/>
  <c r="CR8" i="25"/>
  <c r="CR11" i="25"/>
  <c r="CV11" i="25"/>
  <c r="CR25" i="25"/>
  <c r="CR6" i="25"/>
  <c r="CR30" i="25"/>
  <c r="CR34" i="25"/>
  <c r="OW6" i="30"/>
  <c r="OX6" i="30"/>
  <c r="PD6" i="30"/>
  <c r="PH6" i="28"/>
  <c r="PE6" i="28"/>
  <c r="PF6" i="28"/>
  <c r="CR43" i="25"/>
  <c r="CV25" i="25"/>
  <c r="CV34" i="25"/>
  <c r="CU34" i="25"/>
  <c r="CV40" i="25"/>
  <c r="CV43" i="25"/>
  <c r="CR39" i="25"/>
  <c r="CS39" i="25"/>
  <c r="CR40" i="25"/>
  <c r="CS40" i="25"/>
  <c r="CR38" i="25"/>
  <c r="CV8" i="25"/>
  <c r="CV39" i="25"/>
  <c r="CR33" i="25"/>
  <c r="CV33" i="25"/>
  <c r="CV30" i="25"/>
  <c r="CV6" i="25"/>
  <c r="CS43" i="25"/>
  <c r="PH6" i="30"/>
  <c r="PE6" i="30"/>
  <c r="PF6" i="30"/>
  <c r="PL6" i="28"/>
  <c r="PI6" i="28"/>
  <c r="PJ6" i="28"/>
  <c r="CR44" i="25"/>
  <c r="CS44" i="25"/>
  <c r="CR35" i="25"/>
  <c r="CS35" i="25"/>
  <c r="CV44" i="25"/>
  <c r="CV45" i="25"/>
  <c r="CS38" i="25"/>
  <c r="CR41" i="25"/>
  <c r="CS41" i="25"/>
  <c r="CV35" i="25"/>
  <c r="CV38" i="25"/>
  <c r="CV41" i="25"/>
  <c r="PL6" i="30"/>
  <c r="PI6" i="30"/>
  <c r="PJ6" i="30"/>
  <c r="PP6" i="28"/>
  <c r="PM6" i="28"/>
  <c r="PN6" i="28"/>
  <c r="CR45" i="25"/>
  <c r="CS45" i="25"/>
  <c r="CV47" i="25"/>
  <c r="PP6" i="30"/>
  <c r="PM6" i="30"/>
  <c r="PN6" i="30"/>
  <c r="PT6" i="28"/>
  <c r="PQ6" i="28"/>
  <c r="PR6" i="28"/>
  <c r="CR47" i="25"/>
  <c r="PT6" i="30"/>
  <c r="PQ6" i="30"/>
  <c r="PR6" i="30"/>
  <c r="PX6" i="28"/>
  <c r="PU6" i="28"/>
  <c r="PV6" i="28"/>
  <c r="CS47" i="25"/>
  <c r="J27" i="23"/>
  <c r="J48" i="23"/>
  <c r="PX6" i="30"/>
  <c r="PU6" i="30"/>
  <c r="PV6" i="30"/>
  <c r="QB6" i="28"/>
  <c r="PY6" i="28"/>
  <c r="PZ6" i="28"/>
  <c r="QB6" i="30"/>
  <c r="PY6" i="30"/>
  <c r="PZ6" i="30"/>
  <c r="QC6" i="28"/>
  <c r="QD6" i="28"/>
  <c r="QJ6" i="28"/>
  <c r="QC6" i="30"/>
  <c r="QD6" i="30"/>
  <c r="QJ6" i="30"/>
  <c r="QN6" i="28"/>
  <c r="QK6" i="28"/>
  <c r="QL6" i="28"/>
  <c r="QN6" i="30"/>
  <c r="QK6" i="30"/>
  <c r="QL6" i="30"/>
  <c r="QR6" i="28"/>
  <c r="QO6" i="28"/>
  <c r="QP6" i="28"/>
  <c r="QR6" i="30"/>
  <c r="QO6" i="30"/>
  <c r="QP6" i="30"/>
  <c r="QV6" i="28"/>
  <c r="QS6" i="28"/>
  <c r="QT6" i="28"/>
  <c r="QV6" i="30"/>
  <c r="QS6" i="30"/>
  <c r="QT6" i="30"/>
  <c r="QZ6" i="28"/>
  <c r="QW6" i="28"/>
  <c r="QX6" i="28"/>
  <c r="QZ6" i="30"/>
  <c r="QW6" i="30"/>
  <c r="QX6" i="30"/>
  <c r="RD6" i="28"/>
  <c r="RA6" i="28"/>
  <c r="RB6" i="28"/>
  <c r="RD6" i="30"/>
  <c r="RA6" i="30"/>
  <c r="RB6" i="30"/>
  <c r="RH6" i="28"/>
  <c r="RE6" i="28"/>
  <c r="RF6" i="28"/>
  <c r="RH6" i="30"/>
  <c r="RE6" i="30"/>
  <c r="RF6" i="30"/>
  <c r="RP6" i="28"/>
  <c r="RI6" i="28"/>
  <c r="RJ6" i="28"/>
  <c r="RP6" i="30"/>
  <c r="RI6" i="30"/>
  <c r="RJ6" i="30"/>
  <c r="RT6" i="28"/>
  <c r="RQ6" i="28"/>
  <c r="RR6" i="28"/>
  <c r="RT6" i="30"/>
  <c r="RQ6" i="30"/>
  <c r="RR6" i="30"/>
  <c r="RX6" i="28"/>
  <c r="RU6" i="28"/>
  <c r="RV6" i="28"/>
  <c r="RU6" i="30"/>
  <c r="RV6" i="30"/>
  <c r="RX6" i="30"/>
  <c r="SB6" i="28"/>
  <c r="RY6" i="28"/>
  <c r="RZ6" i="28"/>
  <c r="RY6" i="30"/>
  <c r="RZ6" i="30"/>
  <c r="SB6" i="30"/>
  <c r="SF6" i="28"/>
  <c r="SC6" i="28"/>
  <c r="SD6" i="28"/>
  <c r="SC6" i="30"/>
  <c r="SD6" i="30"/>
  <c r="SF6" i="30"/>
  <c r="SJ6" i="28"/>
  <c r="SG6" i="28"/>
  <c r="SH6" i="28"/>
  <c r="SJ6" i="30"/>
  <c r="SG6" i="30"/>
  <c r="SH6" i="30"/>
  <c r="SN6" i="28"/>
  <c r="SK6" i="28"/>
  <c r="SL6" i="28"/>
  <c r="SK6" i="30"/>
  <c r="SL6" i="30"/>
  <c r="SN6" i="30"/>
  <c r="SV6" i="28"/>
  <c r="SO6" i="28"/>
  <c r="SP6" i="28"/>
  <c r="SV6" i="30"/>
  <c r="SO6" i="30"/>
  <c r="SP6" i="30"/>
  <c r="SZ6" i="28"/>
  <c r="SW6" i="28"/>
  <c r="SX6" i="28"/>
  <c r="SW6" i="30"/>
  <c r="SX6" i="30"/>
  <c r="SZ6" i="30"/>
  <c r="TD6" i="28"/>
  <c r="TA6" i="28"/>
  <c r="TB6" i="28"/>
  <c r="TA6" i="30"/>
  <c r="TB6" i="30"/>
  <c r="TD6" i="30"/>
  <c r="TH6" i="28"/>
  <c r="TE6" i="28"/>
  <c r="TF6" i="28"/>
  <c r="TE6" i="30"/>
  <c r="TF6" i="30"/>
  <c r="TH6" i="30"/>
  <c r="TL6" i="28"/>
  <c r="TI6" i="28"/>
  <c r="TJ6" i="28"/>
  <c r="TI6" i="30"/>
  <c r="TJ6" i="30"/>
  <c r="TL6" i="30"/>
  <c r="TP6" i="28"/>
  <c r="TM6" i="28"/>
  <c r="TN6" i="28"/>
  <c r="TM6" i="30"/>
  <c r="TN6" i="30"/>
  <c r="TP6" i="30"/>
  <c r="TT6" i="28"/>
  <c r="TQ6" i="28"/>
  <c r="TR6" i="28"/>
  <c r="TQ6" i="30"/>
  <c r="TR6" i="30"/>
  <c r="TT6" i="30"/>
  <c r="UB6" i="28"/>
  <c r="TU6" i="28"/>
  <c r="TV6" i="28"/>
  <c r="TU6" i="30"/>
  <c r="TV6" i="30"/>
  <c r="UB6" i="30"/>
  <c r="UF6" i="28"/>
  <c r="UC6" i="28"/>
  <c r="UD6" i="28"/>
  <c r="UF6" i="30"/>
  <c r="UC6" i="30"/>
  <c r="UD6" i="30"/>
  <c r="UJ6" i="28"/>
  <c r="UG6" i="28"/>
  <c r="UH6" i="28"/>
  <c r="UJ6" i="30"/>
  <c r="UG6" i="30"/>
  <c r="UH6" i="30"/>
  <c r="UN6" i="28"/>
  <c r="UK6" i="28"/>
  <c r="UL6" i="28"/>
  <c r="UN6" i="30"/>
  <c r="UK6" i="30"/>
  <c r="UL6" i="30"/>
  <c r="UR6" i="28"/>
  <c r="UO6" i="28"/>
  <c r="UP6" i="28"/>
  <c r="UR6" i="30"/>
  <c r="UO6" i="30"/>
  <c r="UP6" i="30"/>
  <c r="UV6" i="28"/>
  <c r="US6" i="28"/>
  <c r="UT6" i="28"/>
  <c r="UV6" i="30"/>
  <c r="US6" i="30"/>
  <c r="UT6" i="30"/>
  <c r="UZ6" i="28"/>
  <c r="UW6" i="28"/>
  <c r="UX6" i="28"/>
  <c r="UZ6" i="30"/>
  <c r="UW6" i="30"/>
  <c r="UX6" i="30"/>
  <c r="VA6" i="28"/>
  <c r="VB6" i="28"/>
  <c r="VH6" i="28"/>
  <c r="VA6" i="30"/>
  <c r="VB6" i="30"/>
  <c r="VH6" i="30"/>
  <c r="VL6" i="28"/>
  <c r="VI6" i="28"/>
  <c r="VJ6" i="28"/>
  <c r="VL6" i="30"/>
  <c r="VI6" i="30"/>
  <c r="VJ6" i="30"/>
  <c r="VP6" i="28"/>
  <c r="VM6" i="28"/>
  <c r="VN6" i="28"/>
  <c r="VP6" i="30"/>
  <c r="VM6" i="30"/>
  <c r="VN6" i="30"/>
  <c r="VT6" i="28"/>
  <c r="VQ6" i="28"/>
  <c r="VR6" i="28"/>
  <c r="VT6" i="30"/>
  <c r="VQ6" i="30"/>
  <c r="VR6" i="30"/>
  <c r="VX6" i="28"/>
  <c r="VU6" i="28"/>
  <c r="VV6" i="28"/>
  <c r="VU6" i="30"/>
  <c r="VV6" i="30"/>
  <c r="VX6" i="30"/>
  <c r="WB6" i="28"/>
  <c r="VY6" i="28"/>
  <c r="VZ6" i="28"/>
  <c r="WB6" i="30"/>
  <c r="VY6" i="30"/>
  <c r="VZ6" i="30"/>
  <c r="WF6" i="28"/>
  <c r="WC6" i="28"/>
  <c r="WD6" i="28"/>
  <c r="WF6" i="30"/>
  <c r="WC6" i="30"/>
  <c r="WD6" i="30"/>
  <c r="WN6" i="28"/>
  <c r="WG6" i="28"/>
  <c r="WH6" i="28"/>
  <c r="WG6" i="30"/>
  <c r="WH6" i="30"/>
  <c r="WN6" i="30"/>
  <c r="WR6" i="28"/>
  <c r="WO6" i="28"/>
  <c r="WP6" i="28"/>
  <c r="WR6" i="30"/>
  <c r="WO6" i="30"/>
  <c r="WP6" i="30"/>
  <c r="WV6" i="28"/>
  <c r="WS6" i="28"/>
  <c r="WT6" i="28"/>
  <c r="WS6" i="30"/>
  <c r="WT6" i="30"/>
  <c r="WV6" i="30"/>
  <c r="WZ6" i="28"/>
  <c r="WW6" i="28"/>
  <c r="WX6" i="28"/>
  <c r="WW6" i="30"/>
  <c r="WX6" i="30"/>
  <c r="WZ6" i="30"/>
  <c r="XD6" i="28"/>
  <c r="XA6" i="28"/>
  <c r="XB6" i="28"/>
  <c r="XD6" i="30"/>
  <c r="XA6" i="30"/>
  <c r="XB6" i="30"/>
  <c r="XH6" i="28"/>
  <c r="XE6" i="28"/>
  <c r="XF6" i="28"/>
  <c r="XH6" i="30"/>
  <c r="XE6" i="30"/>
  <c r="XF6" i="30"/>
  <c r="XL6" i="28"/>
  <c r="XI6" i="28"/>
  <c r="XJ6" i="28"/>
  <c r="XI6" i="30"/>
  <c r="XJ6" i="30"/>
  <c r="XL6" i="30"/>
  <c r="XT6" i="28"/>
  <c r="XM6" i="28"/>
  <c r="XN6" i="28"/>
  <c r="XM6" i="30"/>
  <c r="XN6" i="30"/>
  <c r="XT6" i="30"/>
  <c r="XX6" i="28"/>
  <c r="XU6" i="28"/>
  <c r="XV6" i="28"/>
  <c r="XU6" i="30"/>
  <c r="XV6" i="30"/>
  <c r="XX6" i="30"/>
  <c r="YB6" i="28"/>
  <c r="XY6" i="28"/>
  <c r="XZ6" i="28"/>
  <c r="XY6" i="30"/>
  <c r="XZ6" i="30"/>
  <c r="YB6" i="30"/>
  <c r="YF6" i="28"/>
  <c r="YC6" i="28"/>
  <c r="YD6" i="28"/>
  <c r="YF6" i="30"/>
  <c r="YC6" i="30"/>
  <c r="YD6" i="30"/>
  <c r="YJ6" i="28"/>
  <c r="YG6" i="28"/>
  <c r="YH6" i="28"/>
  <c r="YJ6" i="30"/>
  <c r="YG6" i="30"/>
  <c r="YH6" i="30"/>
  <c r="YN6" i="28"/>
  <c r="YK6" i="28"/>
  <c r="YL6" i="28"/>
  <c r="YN6" i="30"/>
  <c r="YK6" i="30"/>
  <c r="YL6" i="30"/>
  <c r="YR6" i="28"/>
  <c r="YO6" i="28"/>
  <c r="YP6" i="28"/>
  <c r="YR6" i="30"/>
  <c r="YO6" i="30"/>
  <c r="YP6" i="30"/>
  <c r="YZ6" i="28"/>
  <c r="YS6" i="28"/>
  <c r="YT6" i="28"/>
  <c r="YS6" i="30"/>
  <c r="YT6" i="30"/>
  <c r="YZ6" i="30"/>
  <c r="ZD6" i="28"/>
  <c r="ZA6" i="28"/>
  <c r="ZB6" i="28"/>
  <c r="ZB6" i="30"/>
  <c r="ZD6" i="30"/>
  <c r="ZA6" i="30"/>
  <c r="ZH6" i="28"/>
  <c r="ZE6" i="28"/>
  <c r="ZF6" i="28"/>
  <c r="ZH6" i="30"/>
  <c r="ZE6" i="30"/>
  <c r="ZF6" i="30"/>
  <c r="ZL6" i="28"/>
  <c r="ZI6" i="28"/>
  <c r="ZJ6" i="28"/>
  <c r="ZL6" i="30"/>
  <c r="ZJ6" i="30"/>
  <c r="ZI6" i="30"/>
  <c r="ZP6" i="28"/>
  <c r="ZM6" i="28"/>
  <c r="ZN6" i="28"/>
  <c r="ZP6" i="30"/>
  <c r="ZN6" i="30"/>
  <c r="ZM6" i="30"/>
  <c r="ZT6" i="28"/>
  <c r="ZQ6" i="28"/>
  <c r="ZR6" i="28"/>
  <c r="ZT6" i="30"/>
  <c r="ZQ6" i="30"/>
  <c r="ZR6" i="30"/>
  <c r="ZX6" i="28"/>
  <c r="ZU6" i="28"/>
  <c r="ZV6" i="28"/>
  <c r="ZX6" i="30"/>
  <c r="ZU6" i="30"/>
  <c r="ZV6" i="30"/>
  <c r="ZY6" i="28"/>
  <c r="ZZ6" i="28"/>
  <c r="AAF6" i="28"/>
  <c r="ZZ6" i="30"/>
  <c r="ZY6" i="30"/>
  <c r="AAF6" i="30"/>
  <c r="AAJ6" i="28"/>
  <c r="AAG6" i="28"/>
  <c r="AAH6" i="28"/>
  <c r="AAJ6" i="30"/>
  <c r="AAG6" i="30"/>
  <c r="AAH6" i="30"/>
  <c r="AAN6" i="28"/>
  <c r="AAK6" i="28"/>
  <c r="AAL6" i="28"/>
  <c r="AAK6" i="30"/>
  <c r="AAL6" i="30"/>
  <c r="AAN6" i="30"/>
  <c r="AAR6" i="28"/>
  <c r="AAO6" i="28"/>
  <c r="AAP6" i="28"/>
  <c r="AAR6" i="30"/>
  <c r="AAO6" i="30"/>
  <c r="AAP6" i="30"/>
  <c r="AAV6" i="28"/>
  <c r="AAS6" i="28"/>
  <c r="AAT6" i="28"/>
  <c r="AAS6" i="30"/>
  <c r="AAT6" i="30"/>
  <c r="AAV6" i="30"/>
  <c r="AAZ6" i="28"/>
  <c r="AAW6" i="28"/>
  <c r="AAX6" i="28"/>
  <c r="AAZ6" i="30"/>
  <c r="AAW6" i="30"/>
  <c r="AAX6" i="30"/>
  <c r="ABD6" i="28"/>
  <c r="ABA6" i="28"/>
  <c r="ABB6" i="28"/>
  <c r="ABA6" i="30"/>
  <c r="ABB6" i="30"/>
  <c r="ABD6" i="30"/>
  <c r="ABL6" i="28"/>
  <c r="ABE6" i="28"/>
  <c r="ABF6" i="28"/>
  <c r="ABL6" i="30"/>
  <c r="ABE6" i="30"/>
  <c r="ABF6" i="30"/>
  <c r="ABP6" i="28"/>
  <c r="ABM6" i="28"/>
  <c r="ABN6" i="28"/>
  <c r="ABM6" i="30"/>
  <c r="ABN6" i="30"/>
  <c r="ABP6" i="30"/>
  <c r="ABT6" i="28"/>
  <c r="ABQ6" i="28"/>
  <c r="ABR6" i="28"/>
  <c r="ABQ6" i="30"/>
  <c r="ABR6" i="30"/>
  <c r="ABT6" i="30"/>
  <c r="ABX6" i="28"/>
  <c r="ABU6" i="28"/>
  <c r="ABV6" i="28"/>
  <c r="ABU6" i="30"/>
  <c r="ABV6" i="30"/>
  <c r="ABX6" i="30"/>
  <c r="ACB6" i="28"/>
  <c r="ABY6" i="28"/>
  <c r="ABZ6" i="28"/>
  <c r="ABY6" i="30"/>
  <c r="ABZ6" i="30"/>
  <c r="ACB6" i="30"/>
  <c r="ACF6" i="28"/>
  <c r="ACC6" i="28"/>
  <c r="ACD6" i="28"/>
  <c r="ACC6" i="30"/>
  <c r="ACD6" i="30"/>
  <c r="ACF6" i="30"/>
  <c r="ACJ6" i="28"/>
  <c r="ACG6" i="28"/>
  <c r="ACH6" i="28"/>
  <c r="ACG6" i="30"/>
  <c r="ACH6" i="30"/>
  <c r="ACJ6" i="30"/>
  <c r="ACR6" i="28"/>
  <c r="ACK6" i="28"/>
  <c r="ACL6" i="28"/>
  <c r="ACK6" i="30"/>
  <c r="ACL6" i="30"/>
  <c r="ACR6" i="30"/>
  <c r="ACV6" i="28"/>
  <c r="ACS6" i="28"/>
  <c r="ACT6" i="28"/>
  <c r="ACV6" i="30"/>
  <c r="ACS6" i="30"/>
  <c r="ACT6" i="30"/>
  <c r="ACZ6" i="28"/>
  <c r="ACW6" i="28"/>
  <c r="ACX6" i="28"/>
  <c r="ACZ6" i="30"/>
  <c r="ACW6" i="30"/>
  <c r="ACX6" i="30"/>
  <c r="ADD6" i="28"/>
  <c r="ADA6" i="28"/>
  <c r="ADB6" i="28"/>
  <c r="ADD6" i="30"/>
  <c r="ADA6" i="30"/>
  <c r="ADB6" i="30"/>
  <c r="ADH6" i="28"/>
  <c r="ADE6" i="28"/>
  <c r="ADF6" i="28"/>
  <c r="ADH6" i="30"/>
  <c r="ADE6" i="30"/>
  <c r="ADF6" i="30"/>
  <c r="ADL6" i="28"/>
  <c r="ADI6" i="28"/>
  <c r="ADJ6" i="28"/>
  <c r="ADL6" i="30"/>
  <c r="ADI6" i="30"/>
  <c r="ADJ6" i="30"/>
  <c r="ADP6" i="28"/>
  <c r="ADM6" i="28"/>
  <c r="ADN6" i="28"/>
  <c r="ADP6" i="30"/>
  <c r="ADM6" i="30"/>
  <c r="ADN6" i="30"/>
  <c r="ADX6" i="28"/>
  <c r="ADQ6" i="28"/>
  <c r="ADR6" i="28"/>
  <c r="ADQ6" i="30"/>
  <c r="ADR6" i="30"/>
  <c r="ADX6" i="30"/>
  <c r="AEB6" i="28"/>
  <c r="ADY6" i="28"/>
  <c r="ADZ6" i="28"/>
  <c r="AEB6" i="30"/>
  <c r="ADY6" i="30"/>
  <c r="ADZ6" i="30"/>
  <c r="AEF6" i="28"/>
  <c r="AEC6" i="28"/>
  <c r="AED6" i="28"/>
  <c r="AEF6" i="30"/>
  <c r="AEC6" i="30"/>
  <c r="AED6" i="30"/>
  <c r="AEJ6" i="28"/>
  <c r="AEG6" i="28"/>
  <c r="AEH6" i="28"/>
  <c r="AEJ6" i="30"/>
  <c r="AEG6" i="30"/>
  <c r="AEH6" i="30"/>
  <c r="AEN6" i="28"/>
  <c r="AEK6" i="28"/>
  <c r="AEL6" i="28"/>
  <c r="AEN6" i="30"/>
  <c r="AEK6" i="30"/>
  <c r="AEL6" i="30"/>
  <c r="AER6" i="28"/>
  <c r="AEO6" i="28"/>
  <c r="AEP6" i="28"/>
  <c r="AER6" i="30"/>
  <c r="AEO6" i="30"/>
  <c r="AEP6" i="30"/>
  <c r="AEV6" i="28"/>
  <c r="AES6" i="28"/>
  <c r="AET6" i="28"/>
  <c r="AEV6" i="30"/>
  <c r="AES6" i="30"/>
  <c r="AET6" i="30"/>
  <c r="AEW6" i="28"/>
  <c r="AEX6" i="28"/>
  <c r="AFD6" i="28"/>
  <c r="AEW6" i="30"/>
  <c r="AEX6" i="30"/>
  <c r="AFD6" i="30"/>
  <c r="AFH6" i="28"/>
  <c r="AFE6" i="28"/>
  <c r="AFF6" i="28"/>
  <c r="AFE6" i="30"/>
  <c r="AFF6" i="30"/>
  <c r="AFH6" i="30"/>
  <c r="AFL6" i="28"/>
  <c r="AFI6" i="28"/>
  <c r="AFJ6" i="28"/>
  <c r="AFI6" i="30"/>
  <c r="AFJ6" i="30"/>
  <c r="AFL6" i="30"/>
  <c r="AFP6" i="28"/>
  <c r="AFM6" i="28"/>
  <c r="AFN6" i="28"/>
  <c r="AFP6" i="30"/>
  <c r="AFM6" i="30"/>
  <c r="AFN6" i="30"/>
  <c r="AFT6" i="28"/>
  <c r="AFQ6" i="28"/>
  <c r="AFR6" i="28"/>
  <c r="AFQ6" i="30"/>
  <c r="AFR6" i="30"/>
  <c r="AFT6" i="30"/>
  <c r="AFX6" i="28"/>
  <c r="AFU6" i="28"/>
  <c r="AFV6" i="28"/>
  <c r="AFX6" i="30"/>
  <c r="AFU6" i="30"/>
  <c r="AFV6" i="30"/>
  <c r="AGB6" i="28"/>
  <c r="AFY6" i="28"/>
  <c r="AFZ6" i="28"/>
  <c r="AFY6" i="30"/>
  <c r="AFZ6" i="30"/>
  <c r="AGB6" i="30"/>
  <c r="AGC6" i="28"/>
  <c r="AGD6" i="28"/>
  <c r="AGJ6" i="28"/>
  <c r="AGC6" i="30"/>
  <c r="AGD6" i="30"/>
  <c r="AGJ6" i="30"/>
  <c r="AGN6" i="28"/>
  <c r="AGK6" i="28"/>
  <c r="AGL6" i="28"/>
  <c r="AGK6" i="30"/>
  <c r="AGL6" i="30"/>
  <c r="AGN6" i="30"/>
  <c r="AGR6" i="28"/>
  <c r="AGO6" i="28"/>
  <c r="AGP6" i="28"/>
  <c r="AGO6" i="30"/>
  <c r="AGP6" i="30"/>
  <c r="AGR6" i="30"/>
  <c r="AGV6" i="28"/>
  <c r="AGS6" i="28"/>
  <c r="AGT6" i="28"/>
  <c r="AGS6" i="30"/>
  <c r="AGT6" i="30"/>
  <c r="AGV6" i="30"/>
  <c r="AGZ6" i="28"/>
  <c r="AGW6" i="28"/>
  <c r="AGX6" i="28"/>
  <c r="AGW6" i="30"/>
  <c r="AGX6" i="30"/>
  <c r="AGZ6" i="30"/>
  <c r="AHD6" i="28"/>
  <c r="AHA6" i="28"/>
  <c r="AHB6" i="28"/>
  <c r="AHA6" i="30"/>
  <c r="AHB6" i="30"/>
  <c r="AHD6" i="30"/>
  <c r="AHH6" i="28"/>
  <c r="AHE6" i="28"/>
  <c r="AHF6" i="28"/>
  <c r="AHE6" i="30"/>
  <c r="AHF6" i="30"/>
  <c r="AHH6" i="30"/>
  <c r="AHP6" i="28"/>
  <c r="AHI6" i="28"/>
  <c r="AHJ6" i="28"/>
  <c r="AHI6" i="30"/>
  <c r="AHJ6" i="30"/>
  <c r="AHP6" i="30"/>
  <c r="AHT6" i="28"/>
  <c r="AHQ6" i="28"/>
  <c r="AHR6" i="28"/>
  <c r="AHT6" i="30"/>
  <c r="AHQ6" i="30"/>
  <c r="AHR6" i="30"/>
  <c r="AHX6" i="28"/>
  <c r="AHU6" i="28"/>
  <c r="AHV6" i="28"/>
  <c r="AHX6" i="30"/>
  <c r="AHU6" i="30"/>
  <c r="AHV6" i="30"/>
  <c r="AIB6" i="28"/>
  <c r="AHY6" i="28"/>
  <c r="AHZ6" i="28"/>
  <c r="AIB6" i="30"/>
  <c r="AHY6" i="30"/>
  <c r="AHZ6" i="30"/>
  <c r="AIF6" i="28"/>
  <c r="AIC6" i="28"/>
  <c r="AID6" i="28"/>
  <c r="AIF6" i="30"/>
  <c r="AIC6" i="30"/>
  <c r="AID6" i="30"/>
  <c r="AIJ6" i="28"/>
  <c r="AIG6" i="28"/>
  <c r="AIH6" i="28"/>
  <c r="AIJ6" i="30"/>
  <c r="AIG6" i="30"/>
  <c r="AIH6" i="30"/>
  <c r="AIN6" i="28"/>
  <c r="AIK6" i="28"/>
  <c r="AIL6" i="28"/>
  <c r="AIN6" i="30"/>
  <c r="AIK6" i="30"/>
  <c r="AIL6" i="30"/>
  <c r="AIV6" i="28"/>
  <c r="AIO6" i="28"/>
  <c r="AIP6" i="28"/>
  <c r="AIO6" i="30"/>
  <c r="AIP6" i="30"/>
  <c r="AIV6" i="30"/>
  <c r="AIZ6" i="28"/>
  <c r="AIW6" i="28"/>
  <c r="AIX6" i="28"/>
  <c r="AIZ6" i="30"/>
  <c r="AIW6" i="30"/>
  <c r="AIX6" i="30"/>
  <c r="AJD6" i="28"/>
  <c r="AJA6" i="28"/>
  <c r="AJB6" i="28"/>
  <c r="AJD6" i="30"/>
  <c r="AJA6" i="30"/>
  <c r="AJB6" i="30"/>
  <c r="AJH6" i="28"/>
  <c r="AJE6" i="28"/>
  <c r="AJF6" i="28"/>
  <c r="AJH6" i="30"/>
  <c r="AJE6" i="30"/>
  <c r="AJF6" i="30"/>
  <c r="AJL6" i="28"/>
  <c r="AJI6" i="28"/>
  <c r="AJJ6" i="28"/>
  <c r="AJL6" i="30"/>
  <c r="AJI6" i="30"/>
  <c r="AJJ6" i="30"/>
  <c r="AJP6" i="28"/>
  <c r="AJM6" i="28"/>
  <c r="AJN6" i="28"/>
  <c r="AJP6" i="30"/>
  <c r="AJM6" i="30"/>
  <c r="AJN6" i="30"/>
  <c r="AJT6" i="28"/>
  <c r="AJQ6" i="28"/>
  <c r="AJR6" i="28"/>
  <c r="AJT6" i="30"/>
  <c r="AJQ6" i="30"/>
  <c r="AJR6" i="30"/>
  <c r="AKB6" i="28"/>
  <c r="AJU6" i="28"/>
  <c r="AJV6" i="28"/>
  <c r="AJU6" i="30"/>
  <c r="AJV6" i="30"/>
  <c r="AKB6" i="30"/>
  <c r="AKF6" i="28"/>
  <c r="AKC6" i="28"/>
  <c r="AKD6" i="28"/>
  <c r="AKF6" i="30"/>
  <c r="AKC6" i="30"/>
  <c r="AKD6" i="30"/>
  <c r="AKJ6" i="28"/>
  <c r="AKG6" i="28"/>
  <c r="AKH6" i="28"/>
  <c r="AKG6" i="30"/>
  <c r="AKH6" i="30"/>
  <c r="AKJ6" i="30"/>
  <c r="AKN6" i="28"/>
  <c r="AKK6" i="28"/>
  <c r="AKL6" i="28"/>
  <c r="AKN6" i="30"/>
  <c r="AKK6" i="30"/>
  <c r="AKL6" i="30"/>
  <c r="AKR6" i="28"/>
  <c r="AKO6" i="28"/>
  <c r="AKP6" i="28"/>
  <c r="AKO6" i="30"/>
  <c r="AKP6" i="30"/>
  <c r="AKR6" i="30"/>
  <c r="AKV6" i="28"/>
  <c r="AKS6" i="28"/>
  <c r="AKT6" i="28"/>
  <c r="AKV6" i="30"/>
  <c r="AKS6" i="30"/>
  <c r="AKT6" i="30"/>
  <c r="AKZ6" i="28"/>
  <c r="ALA6" i="28"/>
  <c r="ALB6" i="28"/>
  <c r="AKW6" i="28"/>
  <c r="AKX6" i="28"/>
  <c r="AKW6" i="30"/>
  <c r="AKX6" i="30"/>
  <c r="AKZ6" i="30"/>
  <c r="ALA6" i="30"/>
  <c r="ALB6" i="30"/>
  <c r="ALH6" i="30"/>
  <c r="ALI6" i="30"/>
  <c r="ALJ6" i="30"/>
  <c r="ALL6" i="30"/>
  <c r="ALM6" i="30"/>
  <c r="ALN6" i="30"/>
  <c r="ALP6" i="30"/>
  <c r="ALQ6" i="30"/>
  <c r="ALR6" i="30"/>
  <c r="ALT6" i="30"/>
  <c r="ALU6" i="30"/>
  <c r="ALV6" i="30"/>
  <c r="ALX6" i="30"/>
  <c r="ALY6" i="30"/>
  <c r="ALZ6" i="30"/>
  <c r="AMB6" i="30"/>
  <c r="AMC6" i="30"/>
  <c r="AMD6" i="30"/>
  <c r="AMF6" i="30"/>
  <c r="AMG6" i="30"/>
  <c r="AMH6" i="30"/>
  <c r="AMN6" i="30"/>
  <c r="AMR6" i="30"/>
  <c r="AMO6" i="30"/>
  <c r="AMP6" i="30"/>
  <c r="AMV6" i="30"/>
  <c r="AMS6" i="30"/>
  <c r="AMT6" i="30"/>
  <c r="AMZ6" i="30"/>
  <c r="AMW6" i="30"/>
  <c r="AMX6" i="30"/>
  <c r="AND6" i="30"/>
  <c r="ANA6" i="30"/>
  <c r="ANB6" i="30"/>
  <c r="ANH6" i="30"/>
  <c r="ANE6" i="30"/>
  <c r="ANF6" i="30"/>
  <c r="ANL6" i="30"/>
  <c r="ANI6" i="30"/>
  <c r="ANJ6" i="30"/>
  <c r="ANM6" i="30"/>
  <c r="ANN6" i="30"/>
  <c r="ANT6" i="30"/>
  <c r="ANX6" i="30"/>
  <c r="ANU6" i="30"/>
  <c r="ANV6" i="30"/>
  <c r="AOB6" i="30"/>
  <c r="ANY6" i="30"/>
  <c r="ANZ6" i="30"/>
  <c r="AOF6" i="30"/>
  <c r="AOC6" i="30"/>
  <c r="AOD6" i="30"/>
  <c r="AOJ6" i="30"/>
  <c r="AOG6" i="30"/>
  <c r="AOH6" i="30"/>
  <c r="AON6" i="30"/>
  <c r="AOK6" i="30"/>
  <c r="AOL6" i="30"/>
  <c r="AOR6" i="30"/>
  <c r="AOO6" i="30"/>
  <c r="AOP6" i="30"/>
  <c r="AOS6" i="30"/>
  <c r="AOT6" i="30"/>
  <c r="AOZ6" i="30"/>
  <c r="APD6" i="30"/>
  <c r="APA6" i="30"/>
  <c r="APB6" i="30"/>
  <c r="APE6" i="30"/>
  <c r="APF6" i="30"/>
  <c r="APH6" i="30"/>
  <c r="APL6" i="30"/>
  <c r="API6" i="30"/>
  <c r="APJ6" i="30"/>
  <c r="APM6" i="30"/>
  <c r="APN6" i="30"/>
  <c r="APP6" i="30"/>
  <c r="APT6" i="30"/>
  <c r="APQ6" i="30"/>
  <c r="APR6" i="30"/>
  <c r="APU6" i="30"/>
  <c r="APV6" i="30"/>
  <c r="APX6" i="30"/>
  <c r="APY6" i="30"/>
  <c r="APZ6" i="30"/>
  <c r="AQF6" i="30"/>
  <c r="AQG6" i="30"/>
  <c r="AQH6" i="30"/>
  <c r="AQJ6" i="30"/>
  <c r="AQK6" i="30"/>
  <c r="AQL6" i="30"/>
  <c r="AQN6" i="30"/>
  <c r="AQO6" i="30"/>
  <c r="AQP6" i="30"/>
  <c r="AQR6" i="30"/>
  <c r="AQS6" i="30"/>
  <c r="AQT6" i="30"/>
  <c r="AQV6" i="30"/>
  <c r="AQW6" i="30"/>
  <c r="AQX6" i="30"/>
  <c r="AQZ6" i="30"/>
  <c r="ARA6" i="30"/>
  <c r="ARB6" i="30"/>
  <c r="ARD6" i="30"/>
  <c r="ARE6" i="30"/>
  <c r="ARF6" i="30"/>
  <c r="ARL6" i="30"/>
  <c r="ARP6" i="30"/>
  <c r="ARM6" i="30"/>
  <c r="ARN6" i="30"/>
  <c r="ART6" i="30"/>
  <c r="ARQ6" i="30"/>
  <c r="ARR6" i="30"/>
  <c r="ARX6" i="30"/>
  <c r="ARU6" i="30"/>
  <c r="ARV6" i="30"/>
  <c r="ASB6" i="30"/>
  <c r="ARY6" i="30"/>
  <c r="ARZ6" i="30"/>
  <c r="ASF6" i="30"/>
  <c r="ASC6" i="30"/>
  <c r="ASD6" i="30"/>
  <c r="ASJ6" i="30"/>
  <c r="ASG6" i="30"/>
  <c r="ASH6" i="30"/>
  <c r="ASK6" i="30"/>
  <c r="ASL6" i="30"/>
  <c r="ASR6" i="30"/>
  <c r="ASV6" i="30"/>
  <c r="ASS6" i="30"/>
  <c r="AST6" i="30"/>
  <c r="ASZ6" i="30"/>
  <c r="ASW6" i="30"/>
  <c r="ASX6" i="30"/>
  <c r="ATD6" i="30"/>
  <c r="ATA6" i="30"/>
  <c r="ATB6" i="30"/>
  <c r="ATH6" i="30"/>
  <c r="ATE6" i="30"/>
  <c r="ATF6" i="30"/>
  <c r="ATL6" i="30"/>
  <c r="ATI6" i="30"/>
  <c r="ATJ6" i="30"/>
  <c r="ATP6" i="30"/>
  <c r="ATM6" i="30"/>
  <c r="ATN6" i="30"/>
  <c r="ATQ6" i="30"/>
  <c r="ATR6" i="30"/>
  <c r="ATX6" i="30"/>
  <c r="AUB6" i="30"/>
  <c r="ATY6" i="30"/>
  <c r="ATZ6" i="30"/>
  <c r="AUC6" i="30"/>
  <c r="AUD6" i="30"/>
  <c r="AUF6" i="30"/>
  <c r="AUJ6" i="30"/>
  <c r="AUG6" i="30"/>
  <c r="AUH6" i="30"/>
  <c r="AUK6" i="30"/>
  <c r="AUL6" i="30"/>
  <c r="AUN6" i="30"/>
  <c r="AUR6" i="30"/>
  <c r="AUO6" i="30"/>
  <c r="AUP6" i="30"/>
  <c r="AUS6" i="30"/>
  <c r="AUT6" i="30"/>
  <c r="AUV6" i="30"/>
  <c r="AUW6" i="30"/>
  <c r="AUX6" i="30"/>
  <c r="AVD6" i="30"/>
  <c r="AVE6" i="30"/>
  <c r="AVF6" i="30"/>
  <c r="AVH6" i="30"/>
  <c r="AVI6" i="30"/>
  <c r="AVJ6" i="30"/>
  <c r="AVL6" i="30"/>
  <c r="AVM6" i="30"/>
  <c r="AVN6" i="30"/>
  <c r="AVP6" i="30"/>
  <c r="AVQ6" i="30"/>
  <c r="AVR6" i="30"/>
  <c r="AVT6" i="30"/>
  <c r="AVU6" i="30"/>
  <c r="AVV6" i="30"/>
  <c r="AVX6" i="30"/>
  <c r="AVY6" i="30"/>
  <c r="AVZ6" i="30"/>
  <c r="AWB6" i="30"/>
  <c r="AWC6" i="30"/>
  <c r="AWD6" i="30"/>
  <c r="AWJ6" i="30"/>
  <c r="AWN6" i="30"/>
  <c r="AWK6" i="30"/>
  <c r="AWL6" i="30"/>
  <c r="AWR6" i="30"/>
  <c r="AWO6" i="30"/>
  <c r="AWP6" i="30"/>
  <c r="AWV6" i="30"/>
  <c r="AWS6" i="30"/>
  <c r="AWT6" i="30"/>
  <c r="AWZ6" i="30"/>
  <c r="AWW6" i="30"/>
  <c r="AWX6" i="30"/>
  <c r="AXD6" i="30"/>
  <c r="AXA6" i="30"/>
  <c r="AXB6" i="30"/>
  <c r="AXH6" i="30"/>
  <c r="AXE6" i="30"/>
  <c r="AXF6" i="30"/>
  <c r="AXI6" i="30"/>
  <c r="AXJ6" i="30"/>
  <c r="AXP6" i="30"/>
  <c r="AXT6" i="30"/>
  <c r="AXQ6" i="30"/>
  <c r="AXR6" i="30"/>
  <c r="AXX6" i="30"/>
  <c r="AXU6" i="30"/>
  <c r="AXV6" i="30"/>
  <c r="AYB6" i="30"/>
  <c r="AXY6" i="30"/>
  <c r="AXZ6" i="30"/>
  <c r="AYF6" i="30"/>
  <c r="AYC6" i="30"/>
  <c r="AYD6" i="30"/>
  <c r="AYJ6" i="30"/>
  <c r="AYG6" i="30"/>
  <c r="AYH6" i="30"/>
  <c r="AYN6" i="30"/>
  <c r="AYK6" i="30"/>
  <c r="AYL6" i="30"/>
  <c r="AYO6" i="30"/>
  <c r="AYP6" i="30"/>
  <c r="AYV6" i="30"/>
  <c r="AYZ6" i="30"/>
  <c r="AYW6" i="30"/>
  <c r="AYX6" i="30"/>
  <c r="AZA6" i="30"/>
  <c r="AZB6" i="30"/>
  <c r="AZD6" i="30"/>
  <c r="AZH6" i="30"/>
  <c r="AZE6" i="30"/>
  <c r="AZF6" i="30"/>
  <c r="AZI6" i="30"/>
  <c r="AZJ6" i="30"/>
  <c r="AZL6" i="30"/>
  <c r="AZP6" i="30"/>
  <c r="AZM6" i="30"/>
  <c r="AZN6" i="30"/>
  <c r="AZQ6" i="30"/>
  <c r="AZR6" i="30"/>
  <c r="AZT6" i="30"/>
  <c r="AZU6" i="30"/>
  <c r="AZV6" i="30"/>
  <c r="BAB6" i="30"/>
  <c r="BAC6" i="30"/>
  <c r="BAD6" i="30"/>
  <c r="BAF6" i="30"/>
  <c r="BAG6" i="30"/>
  <c r="BAH6" i="30"/>
  <c r="BAJ6" i="30"/>
  <c r="BAK6" i="30"/>
  <c r="BAL6" i="30"/>
  <c r="BAN6" i="30"/>
  <c r="BAO6" i="30"/>
  <c r="BAP6" i="30"/>
  <c r="BAR6" i="30"/>
  <c r="BAS6" i="30"/>
  <c r="BAT6" i="30"/>
  <c r="BAV6" i="30"/>
  <c r="BAW6" i="30"/>
  <c r="BAX6" i="30"/>
  <c r="BAZ6" i="30"/>
  <c r="BBA6" i="30"/>
  <c r="BBB6" i="30"/>
  <c r="BBH6" i="30"/>
  <c r="BBL6" i="30"/>
  <c r="BBI6" i="30"/>
  <c r="BBJ6" i="30"/>
  <c r="BBM6" i="30"/>
  <c r="BBN6" i="30"/>
  <c r="BBP6" i="30"/>
  <c r="BBT6" i="30"/>
  <c r="BBQ6" i="30"/>
  <c r="BBR6" i="30"/>
  <c r="BBU6" i="30"/>
  <c r="BBV6" i="30"/>
  <c r="BBX6" i="30"/>
  <c r="BCB6" i="30"/>
  <c r="BBY6" i="30"/>
  <c r="BBZ6" i="30"/>
  <c r="BCC6" i="30"/>
  <c r="BCD6" i="30"/>
  <c r="BCF6" i="30"/>
  <c r="BCN6" i="30"/>
  <c r="BCG6" i="30"/>
  <c r="BCH6" i="30"/>
  <c r="BCO6" i="30"/>
  <c r="BCP6" i="30"/>
  <c r="BCR6" i="30"/>
  <c r="BCS6" i="30"/>
  <c r="BCT6" i="30"/>
  <c r="BCV6" i="30"/>
  <c r="BCW6" i="30"/>
  <c r="BCX6" i="30"/>
  <c r="BCZ6" i="30"/>
  <c r="BDA6" i="30"/>
  <c r="BDB6" i="30"/>
  <c r="BDD6" i="30"/>
  <c r="BDE6" i="30"/>
  <c r="BDF6" i="30"/>
  <c r="BDH6" i="30"/>
  <c r="BDI6" i="30"/>
  <c r="BDJ6" i="30"/>
  <c r="BDL6" i="30"/>
  <c r="BDM6" i="30"/>
  <c r="BDN6" i="30"/>
  <c r="BDT6" i="30"/>
  <c r="BDX6" i="30"/>
  <c r="BDU6" i="30"/>
  <c r="BDV6" i="30"/>
  <c r="BEB6" i="30"/>
  <c r="BDY6" i="30"/>
  <c r="BDZ6" i="30"/>
  <c r="BEF6" i="30"/>
  <c r="BEC6" i="30"/>
  <c r="BED6" i="30"/>
  <c r="BEJ6" i="30"/>
  <c r="BEG6" i="30"/>
  <c r="BEH6" i="30"/>
  <c r="BEN6" i="30"/>
  <c r="BEK6" i="30"/>
  <c r="BEL6" i="30"/>
  <c r="BER6" i="30"/>
  <c r="BEO6" i="30"/>
  <c r="BEP6" i="30"/>
  <c r="BES6" i="30"/>
  <c r="BET6" i="30"/>
  <c r="BEZ6" i="30"/>
  <c r="BFD6" i="30"/>
  <c r="BFA6" i="30"/>
  <c r="BFB6" i="30"/>
  <c r="BFH6" i="30"/>
  <c r="BFE6" i="30"/>
  <c r="BFF6" i="30"/>
  <c r="BFL6" i="30"/>
  <c r="BFI6" i="30"/>
  <c r="BFJ6" i="30"/>
  <c r="BFP6" i="30"/>
  <c r="BFM6" i="30"/>
  <c r="BFN6" i="30"/>
  <c r="BFT6" i="30"/>
  <c r="BFQ6" i="30"/>
  <c r="BFR6" i="30"/>
  <c r="BFX6" i="30"/>
  <c r="BFU6" i="30"/>
  <c r="BFV6" i="30"/>
  <c r="BFY6" i="30"/>
  <c r="BFZ6" i="30"/>
  <c r="BGF6" i="30"/>
  <c r="BGJ6" i="30"/>
  <c r="BGG6" i="30"/>
  <c r="BGH6" i="30"/>
  <c r="BGK6" i="30"/>
  <c r="BGL6" i="30"/>
  <c r="BGN6" i="30"/>
  <c r="BGR6" i="30"/>
  <c r="BGO6" i="30"/>
  <c r="BGP6" i="30"/>
  <c r="BGS6" i="30"/>
  <c r="BGT6" i="30"/>
  <c r="BGV6" i="30"/>
  <c r="BGZ6" i="30"/>
  <c r="BGW6" i="30"/>
  <c r="BGX6" i="30"/>
  <c r="BHA6" i="30"/>
  <c r="BHB6" i="30"/>
  <c r="BHD6" i="30"/>
  <c r="BHL6" i="30"/>
  <c r="BHE6" i="30"/>
  <c r="BHF6" i="30"/>
  <c r="BHM6" i="30"/>
  <c r="BHN6" i="30"/>
  <c r="BHP6" i="30"/>
  <c r="BHQ6" i="30"/>
  <c r="BHR6" i="30"/>
  <c r="BHT6" i="30"/>
  <c r="BHU6" i="30"/>
  <c r="BHV6" i="30"/>
  <c r="BHX6" i="30"/>
  <c r="BHY6" i="30"/>
  <c r="BHZ6" i="30"/>
  <c r="BIB6" i="30"/>
  <c r="BIC6" i="30"/>
  <c r="BID6" i="30"/>
  <c r="BIF6" i="30"/>
  <c r="BIG6" i="30"/>
  <c r="BIH6" i="30"/>
  <c r="BIJ6" i="30"/>
  <c r="BIK6" i="30"/>
  <c r="BIL6" i="30"/>
  <c r="BIR6" i="30"/>
  <c r="BIV6" i="30"/>
  <c r="BIS6" i="30"/>
  <c r="BIT6" i="30"/>
  <c r="BIZ6" i="30"/>
  <c r="BIW6" i="30"/>
  <c r="BIX6" i="30"/>
  <c r="BJD6" i="30"/>
  <c r="BJA6" i="30"/>
  <c r="BJB6" i="30"/>
  <c r="BJH6" i="30"/>
  <c r="BJE6" i="30"/>
  <c r="BJF6" i="30"/>
  <c r="BJL6" i="30"/>
  <c r="BJI6" i="30"/>
  <c r="BJJ6" i="30"/>
  <c r="BJP6" i="30"/>
  <c r="BJM6" i="30"/>
  <c r="BJN6" i="30"/>
  <c r="BJQ6" i="30"/>
  <c r="BJR6" i="30"/>
  <c r="BJX6" i="30"/>
  <c r="BKB6" i="30"/>
  <c r="BJY6" i="30"/>
  <c r="BJZ6" i="30"/>
  <c r="BKF6" i="30"/>
  <c r="BKC6" i="30"/>
  <c r="BKD6" i="30"/>
  <c r="BKJ6" i="30"/>
  <c r="BKG6" i="30"/>
  <c r="BKH6" i="30"/>
  <c r="BKN6" i="30"/>
  <c r="BKK6" i="30"/>
  <c r="BKL6" i="30"/>
  <c r="BKR6" i="30"/>
  <c r="BKO6" i="30"/>
  <c r="BKP6" i="30"/>
  <c r="BKV6" i="30"/>
  <c r="BKW6" i="30"/>
  <c r="BKX6" i="30"/>
  <c r="BKS6" i="30"/>
  <c r="BKT6" i="30"/>
  <c r="H555" i="32"/>
  <c r="I555" i="32"/>
  <c r="H554" i="32"/>
  <c r="I554" i="32"/>
  <c r="H553" i="32"/>
  <c r="I553" i="32"/>
  <c r="H552" i="32"/>
  <c r="I552" i="32"/>
  <c r="H551" i="32"/>
  <c r="I551" i="32"/>
  <c r="H550" i="32"/>
  <c r="I550" i="32"/>
  <c r="H549" i="32"/>
  <c r="I549" i="32"/>
  <c r="H547" i="32"/>
  <c r="I547" i="32"/>
  <c r="H546" i="32"/>
  <c r="I546" i="32"/>
  <c r="H545" i="32"/>
  <c r="I545" i="32"/>
  <c r="I548" i="32"/>
  <c r="J548" i="32"/>
  <c r="H548" i="32"/>
  <c r="H28" i="27"/>
  <c r="H29" i="27"/>
  <c r="H30" i="27"/>
  <c r="H26" i="27"/>
  <c r="H27" i="27"/>
  <c r="EF45" i="25"/>
  <c r="EG45" i="25"/>
  <c r="EF38" i="25"/>
  <c r="EY6" i="25"/>
  <c r="H6" i="24" s="1"/>
  <c r="EK45" i="25"/>
  <c r="EL45" i="25"/>
  <c r="EK41" i="25"/>
  <c r="EA43" i="25"/>
  <c r="FF17" i="28"/>
  <c r="FF35" i="28"/>
  <c r="EA38" i="25"/>
  <c r="GL35" i="28"/>
  <c r="HR35" i="28"/>
  <c r="IX35" i="28"/>
  <c r="KD35" i="28"/>
  <c r="EA41" i="25"/>
  <c r="EB38" i="25"/>
  <c r="EA45" i="25"/>
  <c r="EB45" i="25"/>
  <c r="EB43" i="25"/>
  <c r="EK47" i="25"/>
  <c r="EL41" i="25"/>
  <c r="EZ6" i="25"/>
  <c r="EY38" i="25"/>
  <c r="EY35" i="25"/>
  <c r="EZ35" i="25"/>
  <c r="EF41" i="25"/>
  <c r="EG38" i="25"/>
  <c r="H31" i="27"/>
  <c r="EF47" i="25"/>
  <c r="EG41" i="25"/>
  <c r="EZ38" i="25"/>
  <c r="EY41" i="25"/>
  <c r="EL47" i="25"/>
  <c r="EB41" i="25"/>
  <c r="EA47" i="25"/>
  <c r="EB47" i="25"/>
  <c r="EZ41" i="25"/>
  <c r="EY47" i="25"/>
  <c r="EZ47" i="25"/>
  <c r="EG47" i="25"/>
  <c r="I562" i="32"/>
  <c r="J562" i="32"/>
  <c r="H562" i="32"/>
  <c r="I563" i="32"/>
  <c r="J563" i="32"/>
  <c r="H563" i="32"/>
  <c r="H12" i="24" l="1"/>
  <c r="H35" i="24" s="1"/>
  <c r="H43" i="24" s="1"/>
  <c r="EZ12" i="25"/>
  <c r="B12" i="35"/>
  <c r="B12" i="33"/>
  <c r="C12" i="35"/>
  <c r="C12" i="33"/>
  <c r="D12" i="35"/>
  <c r="D12" i="33"/>
  <c r="B36" i="35"/>
  <c r="B30" i="33"/>
  <c r="C36" i="35"/>
  <c r="C30" i="33"/>
  <c r="D36" i="35"/>
  <c r="D30" i="33"/>
  <c r="B35" i="35"/>
  <c r="B29" i="33"/>
  <c r="C35" i="35"/>
  <c r="C29" i="33"/>
  <c r="D35" i="35"/>
  <c r="D29" i="33"/>
  <c r="B34" i="35"/>
  <c r="B28" i="33"/>
  <c r="C34" i="35"/>
  <c r="C28" i="33"/>
  <c r="D34" i="35"/>
  <c r="D28" i="33"/>
  <c r="B33" i="35"/>
  <c r="B27" i="33"/>
  <c r="C33" i="35"/>
  <c r="C27" i="33"/>
  <c r="D33" i="35"/>
  <c r="D27" i="33"/>
  <c r="B32" i="35"/>
  <c r="B26" i="33"/>
  <c r="C32" i="35"/>
  <c r="C26" i="33"/>
  <c r="D32" i="35"/>
  <c r="D26" i="33"/>
  <c r="B31" i="35"/>
  <c r="B25" i="33"/>
  <c r="C31" i="35"/>
  <c r="C25" i="33"/>
  <c r="D31" i="35"/>
  <c r="D25" i="33"/>
  <c r="B30" i="35"/>
  <c r="B24" i="33"/>
  <c r="C30" i="35"/>
  <c r="C24" i="33"/>
  <c r="D30" i="35"/>
  <c r="D24" i="33"/>
  <c r="B29" i="35"/>
  <c r="B23" i="33"/>
  <c r="C29" i="35"/>
  <c r="C23" i="33"/>
  <c r="D29" i="35"/>
  <c r="D23" i="33"/>
  <c r="B28" i="35"/>
  <c r="B22" i="33"/>
  <c r="C28" i="35"/>
  <c r="C22" i="33"/>
  <c r="D28" i="35"/>
  <c r="D22" i="33"/>
  <c r="B27" i="35"/>
  <c r="B21" i="33"/>
  <c r="C27" i="35"/>
  <c r="C21" i="33"/>
  <c r="D27" i="35"/>
  <c r="D21" i="33"/>
  <c r="B20" i="35"/>
  <c r="B20" i="33"/>
  <c r="C20" i="35"/>
  <c r="C20" i="33"/>
  <c r="D20" i="35"/>
  <c r="D20" i="33"/>
  <c r="B19" i="35"/>
  <c r="B19" i="33"/>
  <c r="C19" i="35"/>
  <c r="C19" i="33"/>
  <c r="D19" i="35"/>
  <c r="D19" i="33"/>
  <c r="B18" i="35"/>
  <c r="B18" i="33"/>
  <c r="C18" i="35"/>
  <c r="C18" i="33"/>
  <c r="D18" i="35"/>
  <c r="D18" i="33"/>
  <c r="B17" i="35"/>
  <c r="B17" i="33"/>
  <c r="C17" i="35"/>
  <c r="C17" i="33"/>
  <c r="D17" i="35"/>
  <c r="D17" i="33"/>
  <c r="B16" i="35"/>
  <c r="B16" i="33"/>
  <c r="C16" i="35"/>
  <c r="C16" i="33"/>
  <c r="D16" i="35"/>
  <c r="D16" i="33"/>
  <c r="B15" i="35"/>
  <c r="B15" i="33"/>
  <c r="C15" i="35"/>
  <c r="C15" i="33"/>
  <c r="D15" i="35"/>
  <c r="D15" i="33"/>
  <c r="B14" i="35"/>
  <c r="B14" i="33"/>
  <c r="C14" i="35"/>
  <c r="C14" i="33"/>
  <c r="D14" i="35"/>
  <c r="D14" i="33"/>
  <c r="B13" i="35"/>
  <c r="B13" i="33"/>
  <c r="C13" i="35"/>
  <c r="C13" i="33"/>
  <c r="D13" i="35"/>
  <c r="D13" i="33"/>
  <c r="B11" i="35"/>
  <c r="B11" i="33"/>
  <c r="C11" i="35"/>
  <c r="C11" i="33"/>
  <c r="D11" i="35"/>
  <c r="D11" i="33"/>
  <c r="B10" i="35"/>
  <c r="B10" i="33"/>
  <c r="C10" i="35"/>
  <c r="C10" i="33"/>
  <c r="D10" i="35"/>
  <c r="D10" i="33"/>
  <c r="B9" i="35"/>
  <c r="B9" i="33"/>
  <c r="C9" i="35"/>
  <c r="C9" i="33"/>
  <c r="D9" i="35"/>
  <c r="D9" i="33"/>
  <c r="B8" i="35"/>
  <c r="B8" i="33"/>
  <c r="C8" i="35"/>
  <c r="C8" i="33"/>
  <c r="D8" i="35"/>
  <c r="D8" i="33"/>
  <c r="B7" i="35"/>
  <c r="B7" i="33"/>
  <c r="C7" i="35"/>
  <c r="C7" i="33"/>
  <c r="D7" i="35"/>
  <c r="D7" i="33"/>
  <c r="B6" i="35"/>
  <c r="B6" i="33"/>
  <c r="C6" i="35"/>
  <c r="C6" i="33"/>
  <c r="D6" i="35"/>
  <c r="D6" i="33"/>
  <c r="B5" i="35"/>
  <c r="B5" i="33"/>
  <c r="C5" i="35"/>
  <c r="C5" i="33"/>
  <c r="D5" i="35"/>
  <c r="D5" i="33"/>
  <c r="B4" i="35"/>
  <c r="B4" i="33"/>
  <c r="C4" i="35"/>
  <c r="C4" i="33"/>
  <c r="D4" i="35"/>
  <c r="D4" i="33"/>
  <c r="B3" i="35"/>
  <c r="B3" i="33"/>
  <c r="C3" i="35"/>
  <c r="C3" i="33"/>
  <c r="D3" i="35"/>
  <c r="D3" i="33"/>
  <c r="B2" i="35"/>
  <c r="B2" i="33"/>
  <c r="C2" i="35"/>
  <c r="C2" i="33"/>
  <c r="D2" i="35"/>
  <c r="D2" i="33"/>
  <c r="AJW51" i="28"/>
  <c r="AJW52" i="28"/>
  <c r="AJW53" i="28"/>
  <c r="AJW54" i="28"/>
  <c r="AJW55" i="28"/>
  <c r="ALC51" i="28"/>
  <c r="ALC52" i="28"/>
  <c r="ALC53" i="28"/>
  <c r="ALC54" i="28"/>
  <c r="ALC55" i="28"/>
  <c r="AKY51" i="28"/>
  <c r="AKY52" i="28"/>
  <c r="AKY53" i="28"/>
  <c r="AKY54" i="28"/>
  <c r="AKY55" i="28"/>
  <c r="AKU51" i="28"/>
  <c r="AKU52" i="28"/>
  <c r="AKU53" i="28"/>
  <c r="AKU54" i="28"/>
  <c r="AKU55" i="28"/>
  <c r="AKQ51" i="28"/>
  <c r="AKQ52" i="28"/>
  <c r="AKQ53" i="28"/>
  <c r="AKQ54" i="28"/>
  <c r="AKQ55" i="28"/>
  <c r="AKM51" i="28"/>
  <c r="AKM52" i="28"/>
  <c r="AKM53" i="28"/>
  <c r="AKM54" i="28"/>
  <c r="AKM55" i="28"/>
  <c r="AKI51" i="28"/>
  <c r="AKI52" i="28"/>
  <c r="AKI53" i="28"/>
  <c r="AKI54" i="28"/>
  <c r="AKI55" i="28"/>
  <c r="AKE51" i="28"/>
  <c r="AKE52" i="28"/>
  <c r="AKE53" i="28"/>
  <c r="AKE54" i="28"/>
  <c r="AKE55" i="28"/>
  <c r="AKA51" i="28"/>
  <c r="AKA52" i="28"/>
  <c r="AKA53" i="28"/>
  <c r="AKA54" i="28"/>
  <c r="AKA55" i="28"/>
  <c r="AJS51" i="28"/>
  <c r="AJS52" i="28"/>
  <c r="AJS53" i="28"/>
  <c r="AJS54" i="28"/>
  <c r="AJS55" i="28"/>
  <c r="AJO51" i="28"/>
  <c r="AJO52" i="28"/>
  <c r="AJO53" i="28"/>
  <c r="AJO54" i="28"/>
  <c r="AJO55" i="28"/>
  <c r="AJK51" i="28"/>
  <c r="AJK52" i="28"/>
  <c r="AJK53" i="28"/>
  <c r="AJK54" i="28"/>
  <c r="AJK55" i="28"/>
  <c r="AJG51" i="28"/>
  <c r="AJG52" i="28"/>
  <c r="AJG53" i="28"/>
  <c r="AJG54" i="28"/>
  <c r="AJG55" i="28"/>
  <c r="AJC51" i="28"/>
  <c r="AJC52" i="28"/>
  <c r="AJC53" i="28"/>
  <c r="AJC54" i="28"/>
  <c r="AJC55" i="28"/>
  <c r="AIY51" i="28"/>
  <c r="AIY52" i="28"/>
  <c r="AIY53" i="28"/>
  <c r="AIY54" i="28"/>
  <c r="AIY55" i="28"/>
  <c r="AIU51" i="28"/>
  <c r="AIU52" i="28"/>
  <c r="AIU53" i="28"/>
  <c r="AIU54" i="28"/>
  <c r="AIU55" i="28"/>
  <c r="LB6" i="25"/>
  <c r="HX6" i="25"/>
  <c r="IC41" i="25"/>
  <c r="IC38" i="25"/>
  <c r="ID6" i="25"/>
  <c r="IA41" i="25"/>
  <c r="IA38" i="25"/>
  <c r="IA44" i="25"/>
  <c r="IA43" i="25"/>
  <c r="IF41" i="25"/>
  <c r="IF38" i="25"/>
  <c r="K42" i="35"/>
  <c r="K34" i="34"/>
  <c r="K43" i="35"/>
  <c r="K35" i="34"/>
  <c r="K35" i="33"/>
  <c r="K44" i="35"/>
  <c r="K36" i="34"/>
  <c r="K36" i="33"/>
  <c r="IK40" i="25"/>
  <c r="K45" i="35"/>
  <c r="K37" i="34"/>
  <c r="K37" i="33"/>
  <c r="K46" i="35"/>
  <c r="K38" i="34"/>
  <c r="K38" i="33"/>
  <c r="K47" i="35"/>
  <c r="K39" i="34"/>
  <c r="K39" i="33"/>
  <c r="IK39" i="25"/>
  <c r="K48" i="35"/>
  <c r="K40" i="34"/>
  <c r="K40" i="33"/>
  <c r="K49" i="35"/>
  <c r="K41" i="34"/>
  <c r="K41" i="33"/>
  <c r="IK17" i="25"/>
  <c r="K50" i="35"/>
  <c r="K42" i="34"/>
  <c r="K42" i="33"/>
  <c r="K51" i="35"/>
  <c r="K43" i="34"/>
  <c r="K43" i="33"/>
  <c r="K52" i="35"/>
  <c r="K44" i="34"/>
  <c r="K44" i="33"/>
  <c r="K54" i="35"/>
  <c r="K46" i="34"/>
  <c r="K46" i="33"/>
  <c r="K55" i="35"/>
  <c r="K47" i="34"/>
  <c r="K47" i="33"/>
  <c r="K56" i="35"/>
  <c r="K48" i="34"/>
  <c r="K48" i="33"/>
  <c r="K57" i="35"/>
  <c r="K49" i="34"/>
  <c r="K49" i="33"/>
  <c r="K58" i="35"/>
  <c r="K50" i="34"/>
  <c r="K50" i="33"/>
  <c r="K59" i="35"/>
  <c r="K51" i="34"/>
  <c r="K51" i="33"/>
  <c r="K60" i="35"/>
  <c r="K52" i="34"/>
  <c r="K52" i="33"/>
  <c r="K61" i="35"/>
  <c r="K53" i="34"/>
  <c r="K53" i="33"/>
  <c r="IK43" i="25"/>
  <c r="K62" i="35"/>
  <c r="K54" i="34"/>
  <c r="K54" i="33"/>
  <c r="K63" i="35"/>
  <c r="K55" i="34"/>
  <c r="K55" i="33"/>
  <c r="K64" i="35"/>
  <c r="K56" i="34"/>
  <c r="K56" i="33"/>
  <c r="K65" i="35"/>
  <c r="K57" i="34"/>
  <c r="K57" i="33"/>
  <c r="K66" i="35"/>
  <c r="K58" i="34"/>
  <c r="K58" i="33"/>
  <c r="IK44" i="25"/>
  <c r="K67" i="35"/>
  <c r="K59" i="34"/>
  <c r="K59" i="33"/>
  <c r="K68" i="35"/>
  <c r="K60" i="34"/>
  <c r="K60" i="33"/>
  <c r="K69" i="35"/>
  <c r="K61" i="34"/>
  <c r="K61" i="33"/>
  <c r="K70" i="35"/>
  <c r="K62" i="34"/>
  <c r="K62" i="33"/>
  <c r="S42" i="35"/>
  <c r="IT6" i="25"/>
  <c r="R34" i="34"/>
  <c r="R34" i="33"/>
  <c r="S43" i="35"/>
  <c r="IT7" i="25"/>
  <c r="R35" i="34"/>
  <c r="R35" i="33"/>
  <c r="S44" i="35"/>
  <c r="IT8" i="25"/>
  <c r="R36" i="34"/>
  <c r="R36" i="33"/>
  <c r="IP40" i="25"/>
  <c r="S45" i="35"/>
  <c r="IT9" i="25"/>
  <c r="R37" i="34"/>
  <c r="R37" i="33"/>
  <c r="S46" i="35"/>
  <c r="IT10" i="25"/>
  <c r="R38" i="34"/>
  <c r="R38" i="33"/>
  <c r="S47" i="35"/>
  <c r="IT11" i="25"/>
  <c r="R39" i="34"/>
  <c r="R39" i="33"/>
  <c r="IP39" i="25"/>
  <c r="S48" i="35"/>
  <c r="IT12" i="25"/>
  <c r="R40" i="34"/>
  <c r="R40" i="33"/>
  <c r="S49" i="35"/>
  <c r="IT13" i="25"/>
  <c r="R41" i="34"/>
  <c r="R41" i="33"/>
  <c r="IP17" i="25"/>
  <c r="S50" i="35"/>
  <c r="IT14" i="25"/>
  <c r="R42" i="34"/>
  <c r="R42" i="33"/>
  <c r="S51" i="35"/>
  <c r="IT15" i="25"/>
  <c r="R43" i="34"/>
  <c r="R43" i="33"/>
  <c r="S52" i="35"/>
  <c r="IT16" i="25"/>
  <c r="R44" i="34"/>
  <c r="R44" i="33"/>
  <c r="S54" i="35"/>
  <c r="IT18" i="25"/>
  <c r="R46" i="34"/>
  <c r="R46" i="33"/>
  <c r="S55" i="35"/>
  <c r="IT19" i="25"/>
  <c r="R47" i="34"/>
  <c r="R47" i="33"/>
  <c r="S56" i="35"/>
  <c r="IT20" i="25"/>
  <c r="R48" i="34"/>
  <c r="R48" i="33"/>
  <c r="S57" i="35"/>
  <c r="IT21" i="25"/>
  <c r="R49" i="34"/>
  <c r="R49" i="33"/>
  <c r="S58" i="35"/>
  <c r="IT22" i="25"/>
  <c r="R50" i="34"/>
  <c r="R50" i="33"/>
  <c r="S59" i="35"/>
  <c r="IT23" i="25"/>
  <c r="R51" i="34"/>
  <c r="R51" i="33"/>
  <c r="S60" i="35"/>
  <c r="IT24" i="25"/>
  <c r="R52" i="34"/>
  <c r="R52" i="33"/>
  <c r="S61" i="35"/>
  <c r="IT25" i="25"/>
  <c r="R53" i="34"/>
  <c r="R53" i="33"/>
  <c r="IP43" i="25"/>
  <c r="S62" i="35"/>
  <c r="IT26" i="25"/>
  <c r="R54" i="34"/>
  <c r="R54" i="33"/>
  <c r="S63" i="35"/>
  <c r="IT27" i="25"/>
  <c r="R55" i="34"/>
  <c r="R55" i="33"/>
  <c r="S64" i="35"/>
  <c r="IT28" i="25"/>
  <c r="R56" i="34"/>
  <c r="R56" i="33"/>
  <c r="S65" i="35"/>
  <c r="IT29" i="25"/>
  <c r="R57" i="34"/>
  <c r="R57" i="33"/>
  <c r="S66" i="35"/>
  <c r="IT30" i="25"/>
  <c r="R58" i="34"/>
  <c r="R58" i="33"/>
  <c r="IP44" i="25"/>
  <c r="S67" i="35"/>
  <c r="IT31" i="25"/>
  <c r="L31" i="24" s="1"/>
  <c r="R59" i="34"/>
  <c r="R59" i="33"/>
  <c r="S68" i="35"/>
  <c r="IT32" i="25"/>
  <c r="L32" i="24" s="1"/>
  <c r="R60" i="34"/>
  <c r="R60" i="33"/>
  <c r="S69" i="35"/>
  <c r="IT33" i="25"/>
  <c r="R61" i="34"/>
  <c r="R61" i="33"/>
  <c r="S70" i="35"/>
  <c r="IT34" i="25"/>
  <c r="R62" i="34"/>
  <c r="R62" i="33"/>
  <c r="AA46" i="35"/>
  <c r="Y38" i="34"/>
  <c r="Y38" i="33"/>
  <c r="AA51" i="35"/>
  <c r="Y43" i="34"/>
  <c r="Y43" i="33"/>
  <c r="AA54" i="35"/>
  <c r="Y46" i="34"/>
  <c r="Y46" i="33"/>
  <c r="AA55" i="35"/>
  <c r="Y47" i="34"/>
  <c r="Y47" i="33"/>
  <c r="AA57" i="35"/>
  <c r="Y49" i="34"/>
  <c r="Y49" i="33"/>
  <c r="AA59" i="35"/>
  <c r="Y51" i="34"/>
  <c r="Y51" i="33"/>
  <c r="AA60" i="35"/>
  <c r="Y52" i="34"/>
  <c r="Y52" i="33"/>
  <c r="AA62" i="35"/>
  <c r="Y54" i="34"/>
  <c r="Y54" i="33"/>
  <c r="AA65" i="35"/>
  <c r="Y57" i="34"/>
  <c r="Y57" i="33"/>
  <c r="AA66" i="35"/>
  <c r="Y58" i="34"/>
  <c r="Y58" i="33"/>
  <c r="AA68" i="35"/>
  <c r="Y60" i="34"/>
  <c r="Y60" i="33"/>
  <c r="AH42" i="35"/>
  <c r="AF34" i="34"/>
  <c r="AF34" i="33"/>
  <c r="AH44" i="35"/>
  <c r="AF36" i="34"/>
  <c r="AF36" i="33"/>
  <c r="AH46" i="35"/>
  <c r="AF38" i="34"/>
  <c r="AF38" i="33"/>
  <c r="AH51" i="35"/>
  <c r="AF43" i="34"/>
  <c r="AF43" i="33"/>
  <c r="AH54" i="35"/>
  <c r="AF46" i="34"/>
  <c r="AF46" i="33"/>
  <c r="AH55" i="35"/>
  <c r="AF47" i="34"/>
  <c r="AF47" i="33"/>
  <c r="AH56" i="35"/>
  <c r="AF48" i="34"/>
  <c r="AF48" i="33"/>
  <c r="AH57" i="35"/>
  <c r="AF49" i="34"/>
  <c r="AF49" i="33"/>
  <c r="AH59" i="35"/>
  <c r="AF51" i="34"/>
  <c r="AF51" i="33"/>
  <c r="AH60" i="35"/>
  <c r="AF52" i="34"/>
  <c r="AF52" i="33"/>
  <c r="AH62" i="35"/>
  <c r="AF54" i="34"/>
  <c r="AF54" i="33"/>
  <c r="AH65" i="35"/>
  <c r="AF57" i="34"/>
  <c r="AF57" i="33"/>
  <c r="AH66" i="35"/>
  <c r="AF58" i="34"/>
  <c r="AF58" i="33"/>
  <c r="AH68" i="35"/>
  <c r="AF60" i="34"/>
  <c r="AF60" i="33"/>
  <c r="AO44" i="35"/>
  <c r="AM36" i="34"/>
  <c r="AM36" i="33"/>
  <c r="AO46" i="35"/>
  <c r="AM38" i="34"/>
  <c r="AM38" i="33"/>
  <c r="AO51" i="35"/>
  <c r="AM43" i="34"/>
  <c r="AM43" i="33"/>
  <c r="AO54" i="35"/>
  <c r="AM46" i="34"/>
  <c r="AM46" i="33"/>
  <c r="AO55" i="35"/>
  <c r="AM47" i="34"/>
  <c r="AM47" i="33"/>
  <c r="AO56" i="35"/>
  <c r="AM48" i="34"/>
  <c r="AM48" i="33"/>
  <c r="AO59" i="35"/>
  <c r="AM51" i="34"/>
  <c r="AM51" i="33"/>
  <c r="AO60" i="35"/>
  <c r="AM52" i="34"/>
  <c r="AM52" i="33"/>
  <c r="AO62" i="35"/>
  <c r="AM54" i="34"/>
  <c r="AM54" i="33"/>
  <c r="AO65" i="35"/>
  <c r="AM57" i="34"/>
  <c r="AM57" i="33"/>
  <c r="AO66" i="35"/>
  <c r="AM58" i="34"/>
  <c r="AM58" i="33"/>
  <c r="AO68" i="35"/>
  <c r="AM60" i="34"/>
  <c r="AM60" i="33"/>
  <c r="AV56" i="35"/>
  <c r="AT48" i="34"/>
  <c r="AT48" i="33"/>
  <c r="AV60" i="35"/>
  <c r="AT52" i="34"/>
  <c r="AT52" i="33"/>
  <c r="AV62" i="35"/>
  <c r="AT54" i="34"/>
  <c r="AT54" i="33"/>
  <c r="AV65" i="35"/>
  <c r="AT57" i="34"/>
  <c r="AT57" i="33"/>
  <c r="AV66" i="35"/>
  <c r="AT58" i="34"/>
  <c r="AT58" i="33"/>
  <c r="AV68" i="35"/>
  <c r="AT60" i="34"/>
  <c r="AT60" i="33"/>
  <c r="ALA51" i="28"/>
  <c r="ALA52" i="28"/>
  <c r="ALA53" i="28"/>
  <c r="ALA54" i="28"/>
  <c r="ALA55" i="28"/>
  <c r="AKW51" i="28"/>
  <c r="AKW52" i="28"/>
  <c r="AKW53" i="28"/>
  <c r="AKW54" i="28"/>
  <c r="AKW55" i="28"/>
  <c r="AKS51" i="28"/>
  <c r="AKS52" i="28"/>
  <c r="AKS53" i="28"/>
  <c r="AKS54" i="28"/>
  <c r="AKS55" i="28"/>
  <c r="AKO51" i="28"/>
  <c r="AKO52" i="28"/>
  <c r="AKO53" i="28"/>
  <c r="AKO54" i="28"/>
  <c r="AKO55" i="28"/>
  <c r="AKK51" i="28"/>
  <c r="AKK52" i="28"/>
  <c r="AKK53" i="28"/>
  <c r="AKK54" i="28"/>
  <c r="AKK55" i="28"/>
  <c r="AKG51" i="28"/>
  <c r="AKG52" i="28"/>
  <c r="AKG53" i="28"/>
  <c r="AKG54" i="28"/>
  <c r="AKG55" i="28"/>
  <c r="ALE51" i="28"/>
  <c r="ALE52" i="28"/>
  <c r="ALE53" i="28"/>
  <c r="ALE54" i="28"/>
  <c r="ALE55" i="28"/>
  <c r="ALE41" i="28"/>
  <c r="ALE38" i="28"/>
  <c r="AKC51" i="28"/>
  <c r="AKC52" i="28"/>
  <c r="AKC53" i="28"/>
  <c r="AKC54" i="28"/>
  <c r="AKC55" i="28"/>
  <c r="AJU51" i="28"/>
  <c r="AJU52" i="28"/>
  <c r="AJU53" i="28"/>
  <c r="AJU54" i="28"/>
  <c r="AJU55" i="28"/>
  <c r="AJQ51" i="28"/>
  <c r="AJQ52" i="28"/>
  <c r="AJQ53" i="28"/>
  <c r="AJQ54" i="28"/>
  <c r="AJQ55" i="28"/>
  <c r="AJM51" i="28"/>
  <c r="AJM52" i="28"/>
  <c r="AJM53" i="28"/>
  <c r="AJM54" i="28"/>
  <c r="AJM55" i="28"/>
  <c r="AJI51" i="28"/>
  <c r="AJI52" i="28"/>
  <c r="AJI53" i="28"/>
  <c r="AJI54" i="28"/>
  <c r="AJI55" i="28"/>
  <c r="AJE51" i="28"/>
  <c r="AJE52" i="28"/>
  <c r="AJE53" i="28"/>
  <c r="AJE54" i="28"/>
  <c r="AJE55" i="28"/>
  <c r="AJA51" i="28"/>
  <c r="AJA52" i="28"/>
  <c r="AJA53" i="28"/>
  <c r="AJA54" i="28"/>
  <c r="AJA55" i="28"/>
  <c r="AJY51" i="28"/>
  <c r="AJY52" i="28"/>
  <c r="AJY53" i="28"/>
  <c r="AJY54" i="28"/>
  <c r="AJY55" i="28"/>
  <c r="AJY41" i="28"/>
  <c r="AJY38" i="28"/>
  <c r="AIW51" i="28"/>
  <c r="AIW52" i="28"/>
  <c r="AIW53" i="28"/>
  <c r="AIW54" i="28"/>
  <c r="AIW55" i="28"/>
  <c r="AIO51" i="28"/>
  <c r="AIO52" i="28"/>
  <c r="AIO53" i="28"/>
  <c r="AIO54" i="28"/>
  <c r="AIO55" i="28"/>
  <c r="AIK51" i="28"/>
  <c r="AIK52" i="28"/>
  <c r="AIK53" i="28"/>
  <c r="AIK54" i="28"/>
  <c r="AIK55" i="28"/>
  <c r="AIG51" i="28"/>
  <c r="AIG52" i="28"/>
  <c r="AIG53" i="28"/>
  <c r="AIG54" i="28"/>
  <c r="AIG55" i="28"/>
  <c r="AIC51" i="28"/>
  <c r="AIC52" i="28"/>
  <c r="AIC53" i="28"/>
  <c r="AIC54" i="28"/>
  <c r="AIC55" i="28"/>
  <c r="AHY51" i="28"/>
  <c r="AHY52" i="28"/>
  <c r="AHY53" i="28"/>
  <c r="AHY54" i="28"/>
  <c r="AHY55" i="28"/>
  <c r="AHU51" i="28"/>
  <c r="AHU52" i="28"/>
  <c r="AHU53" i="28"/>
  <c r="AHU54" i="28"/>
  <c r="AHU55" i="28"/>
  <c r="CE56" i="35"/>
  <c r="CC48" i="34"/>
  <c r="CC48" i="33"/>
  <c r="CE57" i="35"/>
  <c r="CC49" i="34"/>
  <c r="CC49" i="33"/>
  <c r="CE62" i="35"/>
  <c r="CC54" i="34"/>
  <c r="CC54" i="33"/>
  <c r="CE66" i="35"/>
  <c r="CC58" i="34"/>
  <c r="CC58" i="33"/>
  <c r="CE68" i="35"/>
  <c r="CC60" i="34"/>
  <c r="CC60" i="33"/>
  <c r="AIS51" i="28"/>
  <c r="AIS52" i="28"/>
  <c r="AIS53" i="28"/>
  <c r="AIS54" i="28"/>
  <c r="AIS55" i="28"/>
  <c r="AIS41" i="28"/>
  <c r="AIS38" i="28"/>
  <c r="AHQ51" i="28"/>
  <c r="AHQ52" i="28"/>
  <c r="AHQ53" i="28"/>
  <c r="AHQ54" i="28"/>
  <c r="AHQ55" i="28"/>
  <c r="AHI51" i="28"/>
  <c r="AHI52" i="28"/>
  <c r="AHI53" i="28"/>
  <c r="AHI54" i="28"/>
  <c r="AHI55" i="28"/>
  <c r="AHE51" i="28"/>
  <c r="AHE52" i="28"/>
  <c r="AHE53" i="28"/>
  <c r="AHE54" i="28"/>
  <c r="AHE55" i="28"/>
  <c r="AHA51" i="28"/>
  <c r="AHA52" i="28"/>
  <c r="AHA53" i="28"/>
  <c r="AHA54" i="28"/>
  <c r="AHA55" i="28"/>
  <c r="AGW51" i="28"/>
  <c r="AGW52" i="28"/>
  <c r="AGW53" i="28"/>
  <c r="AGW54" i="28"/>
  <c r="AGW55" i="28"/>
  <c r="E37" i="36"/>
  <c r="AGS51" i="28"/>
  <c r="AGS52" i="28"/>
  <c r="AGS53" i="28"/>
  <c r="AGS54" i="28"/>
  <c r="AGS55" i="28"/>
  <c r="AGO51" i="28"/>
  <c r="AGO52" i="28"/>
  <c r="AGO53" i="28"/>
  <c r="AGO54" i="28"/>
  <c r="AGO55" i="28"/>
  <c r="AHM51" i="28"/>
  <c r="AHM52" i="28"/>
  <c r="AHM53" i="28"/>
  <c r="AHM54" i="28"/>
  <c r="AHM55" i="28"/>
  <c r="AHM41" i="28"/>
  <c r="AHM38" i="28"/>
  <c r="AGK51" i="28"/>
  <c r="AGK52" i="28"/>
  <c r="AGK53" i="28"/>
  <c r="AGK54" i="28"/>
  <c r="AGK55" i="28"/>
  <c r="AGC51" i="28"/>
  <c r="AGC52" i="28"/>
  <c r="AGC53" i="28"/>
  <c r="AGC54" i="28"/>
  <c r="AGC55" i="28"/>
  <c r="AFY51" i="28"/>
  <c r="AFY52" i="28"/>
  <c r="AFY53" i="28"/>
  <c r="AFY54" i="28"/>
  <c r="AFY55" i="28"/>
  <c r="BX56" i="35"/>
  <c r="BV48" i="34"/>
  <c r="BV48" i="33"/>
  <c r="BX57" i="35"/>
  <c r="BV49" i="34"/>
  <c r="BV49" i="33"/>
  <c r="BX62" i="35"/>
  <c r="BV54" i="34"/>
  <c r="BV54" i="33"/>
  <c r="BX64" i="35"/>
  <c r="BV56" i="34"/>
  <c r="BV56" i="33"/>
  <c r="BX66" i="35"/>
  <c r="BV58" i="34"/>
  <c r="BV58" i="33"/>
  <c r="BX68" i="35"/>
  <c r="BV60" i="34"/>
  <c r="BV60" i="33"/>
  <c r="AFU51" i="28"/>
  <c r="AFU52" i="28"/>
  <c r="AFU53" i="28"/>
  <c r="AFU54" i="28"/>
  <c r="AFU55" i="28"/>
  <c r="AFQ51" i="28"/>
  <c r="AFQ52" i="28"/>
  <c r="AFQ53" i="28"/>
  <c r="AFQ54" i="28"/>
  <c r="AFQ55" i="28"/>
  <c r="BQ56" i="35"/>
  <c r="BO48" i="34"/>
  <c r="BO48" i="33"/>
  <c r="BQ57" i="35"/>
  <c r="BO49" i="34"/>
  <c r="BO49" i="33"/>
  <c r="BQ62" i="35"/>
  <c r="BO54" i="34"/>
  <c r="BO54" i="33"/>
  <c r="BQ66" i="35"/>
  <c r="BO58" i="34"/>
  <c r="BO58" i="33"/>
  <c r="BQ68" i="35"/>
  <c r="BO60" i="34"/>
  <c r="BO60" i="33"/>
  <c r="BJ56" i="35"/>
  <c r="BH48" i="34"/>
  <c r="BH48" i="33"/>
  <c r="BJ57" i="35"/>
  <c r="BH49" i="34"/>
  <c r="BH49" i="33"/>
  <c r="BJ62" i="35"/>
  <c r="BH54" i="34"/>
  <c r="BH54" i="33"/>
  <c r="BJ66" i="35"/>
  <c r="BH58" i="34"/>
  <c r="BH58" i="33"/>
  <c r="BJ68" i="35"/>
  <c r="BH60" i="34"/>
  <c r="BH60" i="33"/>
  <c r="BC62" i="35"/>
  <c r="BA54" i="34"/>
  <c r="BA54" i="33"/>
  <c r="BC57" i="35"/>
  <c r="BA49" i="34"/>
  <c r="BA49" i="33"/>
  <c r="BC66" i="35"/>
  <c r="BA58" i="34"/>
  <c r="BA58" i="33"/>
  <c r="BC68" i="35"/>
  <c r="BA60" i="34"/>
  <c r="BA60" i="33"/>
  <c r="BC56" i="35"/>
  <c r="BA48" i="34"/>
  <c r="BA48" i="33"/>
  <c r="AFM51" i="28"/>
  <c r="AFM52" i="28"/>
  <c r="AFM53" i="28"/>
  <c r="AFM54" i="28"/>
  <c r="AFM55" i="28"/>
  <c r="AFI51" i="28"/>
  <c r="AFI52" i="28"/>
  <c r="AFI53" i="28"/>
  <c r="AFI54" i="28"/>
  <c r="AFI55" i="28"/>
  <c r="CE67" i="35"/>
  <c r="CC59" i="34"/>
  <c r="CC59" i="33"/>
  <c r="BX67" i="35"/>
  <c r="BV59" i="34"/>
  <c r="BV59" i="33"/>
  <c r="BQ67" i="35"/>
  <c r="BO59" i="34"/>
  <c r="BO59" i="33"/>
  <c r="BJ67" i="35"/>
  <c r="BH59" i="34"/>
  <c r="BH59" i="33"/>
  <c r="BC67" i="35"/>
  <c r="BA59" i="34"/>
  <c r="BA59" i="33"/>
  <c r="CE65" i="35"/>
  <c r="CC57" i="34"/>
  <c r="CC57" i="33"/>
  <c r="BX65" i="35"/>
  <c r="BV57" i="34"/>
  <c r="BV57" i="33"/>
  <c r="BQ65" i="35"/>
  <c r="BO57" i="34"/>
  <c r="BO57" i="33"/>
  <c r="BJ65" i="35"/>
  <c r="BH57" i="34"/>
  <c r="BH57" i="33"/>
  <c r="BC65" i="35"/>
  <c r="BA57" i="34"/>
  <c r="BA57" i="33"/>
  <c r="CE60" i="35"/>
  <c r="CC52" i="34"/>
  <c r="CC52" i="33"/>
  <c r="BX60" i="35"/>
  <c r="BV52" i="34"/>
  <c r="BV52" i="33"/>
  <c r="BQ60" i="35"/>
  <c r="BO52" i="34"/>
  <c r="BO52" i="33"/>
  <c r="BJ60" i="35"/>
  <c r="BH52" i="34"/>
  <c r="BH52" i="33"/>
  <c r="BC60" i="35"/>
  <c r="BA52" i="34"/>
  <c r="BA52" i="33"/>
  <c r="CE59" i="35"/>
  <c r="CC51" i="34"/>
  <c r="CC51" i="33"/>
  <c r="BX59" i="35"/>
  <c r="BV51" i="34"/>
  <c r="BV51" i="33"/>
  <c r="BQ59" i="35"/>
  <c r="BO51" i="34"/>
  <c r="BO51" i="33"/>
  <c r="BJ59" i="35"/>
  <c r="BH51" i="34"/>
  <c r="BH51" i="33"/>
  <c r="BC59" i="35"/>
  <c r="BA51" i="34"/>
  <c r="BA51" i="33"/>
  <c r="CE58" i="35"/>
  <c r="CC50" i="34"/>
  <c r="CC50" i="33"/>
  <c r="BQ58" i="35"/>
  <c r="BO50" i="34"/>
  <c r="BO50" i="33"/>
  <c r="BJ58" i="35"/>
  <c r="BH50" i="34"/>
  <c r="BH50" i="33"/>
  <c r="BC58" i="35"/>
  <c r="BA50" i="34"/>
  <c r="BA50" i="33"/>
  <c r="CE55" i="35"/>
  <c r="CC47" i="34"/>
  <c r="CC47" i="33"/>
  <c r="BX55" i="35"/>
  <c r="BV47" i="34"/>
  <c r="BV47" i="33"/>
  <c r="BQ55" i="35"/>
  <c r="BO47" i="34"/>
  <c r="BO47" i="33"/>
  <c r="BJ55" i="35"/>
  <c r="BH47" i="34"/>
  <c r="BH47" i="33"/>
  <c r="BC55" i="35"/>
  <c r="BA47" i="34"/>
  <c r="BA47" i="33"/>
  <c r="CE54" i="35"/>
  <c r="CC46" i="34"/>
  <c r="CC46" i="33"/>
  <c r="BX54" i="35"/>
  <c r="BV46" i="34"/>
  <c r="BV46" i="33"/>
  <c r="BQ54" i="35"/>
  <c r="BO46" i="34"/>
  <c r="BO46" i="33"/>
  <c r="BJ54" i="35"/>
  <c r="BH46" i="34"/>
  <c r="BH46" i="33"/>
  <c r="BC54" i="35"/>
  <c r="BA46" i="34"/>
  <c r="BA46" i="33"/>
  <c r="CE51" i="35"/>
  <c r="CC43" i="34"/>
  <c r="CC43" i="33"/>
  <c r="BX51" i="35"/>
  <c r="BV43" i="34"/>
  <c r="BV43" i="33"/>
  <c r="BQ51" i="35"/>
  <c r="BO43" i="34"/>
  <c r="BO43" i="33"/>
  <c r="BJ51" i="35"/>
  <c r="BH43" i="34"/>
  <c r="BH43" i="33"/>
  <c r="BC51" i="35"/>
  <c r="BA43" i="34"/>
  <c r="BA43" i="33"/>
  <c r="CE50" i="35"/>
  <c r="CC42" i="34"/>
  <c r="CC42" i="33"/>
  <c r="CE48" i="35"/>
  <c r="CC40" i="34"/>
  <c r="CC40" i="33"/>
  <c r="CE46" i="35"/>
  <c r="CC38" i="34"/>
  <c r="CC38" i="33"/>
  <c r="BX46" i="35"/>
  <c r="BV38" i="34"/>
  <c r="BV38" i="33"/>
  <c r="BQ46" i="35"/>
  <c r="BO38" i="34"/>
  <c r="BO38" i="33"/>
  <c r="BJ46" i="35"/>
  <c r="BH38" i="34"/>
  <c r="BH38" i="33"/>
  <c r="BC46" i="35"/>
  <c r="BA38" i="34"/>
  <c r="BA38" i="33"/>
  <c r="CE45" i="35"/>
  <c r="CC37" i="34"/>
  <c r="CC37" i="33"/>
  <c r="CE44" i="35"/>
  <c r="CC36" i="34"/>
  <c r="CC36" i="33"/>
  <c r="BX44" i="35"/>
  <c r="BV36" i="34"/>
  <c r="BV36" i="33"/>
  <c r="BQ44" i="35"/>
  <c r="BO36" i="34"/>
  <c r="BO36" i="33"/>
  <c r="BJ44" i="35"/>
  <c r="BH36" i="34"/>
  <c r="BH36" i="33"/>
  <c r="BC44" i="35"/>
  <c r="BA36" i="34"/>
  <c r="BA36" i="33"/>
  <c r="CE42" i="35"/>
  <c r="CC34" i="34"/>
  <c r="CC34" i="33"/>
  <c r="BX42" i="35"/>
  <c r="BV34" i="34"/>
  <c r="BV34" i="33"/>
  <c r="BQ42" i="35"/>
  <c r="BO34" i="34"/>
  <c r="BO34" i="33"/>
  <c r="BJ42" i="35"/>
  <c r="BH34" i="34"/>
  <c r="BH34" i="33"/>
  <c r="AGG51" i="28"/>
  <c r="AGG52" i="28"/>
  <c r="AGG53" i="28"/>
  <c r="AGG54" i="28"/>
  <c r="AGG55" i="28"/>
  <c r="AGG41" i="28"/>
  <c r="AGG38" i="28"/>
  <c r="AFE51" i="28"/>
  <c r="AFE52" i="28"/>
  <c r="AFE53" i="28"/>
  <c r="AFE54" i="28"/>
  <c r="AFE55" i="28"/>
  <c r="AEW51" i="28"/>
  <c r="AEW52" i="28"/>
  <c r="AEW53" i="28"/>
  <c r="AEW54" i="28"/>
  <c r="AEW55" i="28"/>
  <c r="AES51" i="28"/>
  <c r="AES52" i="28"/>
  <c r="AES53" i="28"/>
  <c r="AES54" i="28"/>
  <c r="AES55" i="28"/>
  <c r="AEO51" i="28"/>
  <c r="AEO52" i="28"/>
  <c r="AEO53" i="28"/>
  <c r="AEO54" i="28"/>
  <c r="AEO55" i="28"/>
  <c r="AEK51" i="28"/>
  <c r="AEK52" i="28"/>
  <c r="AEK53" i="28"/>
  <c r="AEK54" i="28"/>
  <c r="AEK55" i="28"/>
  <c r="AEG51" i="28"/>
  <c r="AEG52" i="28"/>
  <c r="AEG53" i="28"/>
  <c r="AEG54" i="28"/>
  <c r="AEG55" i="28"/>
  <c r="AEC51" i="28"/>
  <c r="AEC52" i="28"/>
  <c r="AEC53" i="28"/>
  <c r="AEC54" i="28"/>
  <c r="AEC55" i="28"/>
  <c r="AFA51" i="28"/>
  <c r="AFA52" i="28"/>
  <c r="AFA53" i="28"/>
  <c r="AFA54" i="28"/>
  <c r="AFA55" i="28"/>
  <c r="AFA41" i="28"/>
  <c r="AFA38" i="28"/>
  <c r="ADY51" i="28"/>
  <c r="ADY52" i="28"/>
  <c r="ADY53" i="28"/>
  <c r="ADY54" i="28"/>
  <c r="ADY55" i="28"/>
  <c r="ADQ51" i="28"/>
  <c r="ADQ52" i="28"/>
  <c r="ADQ53" i="28"/>
  <c r="ADQ54" i="28"/>
  <c r="ADQ55" i="28"/>
  <c r="ADM51" i="28"/>
  <c r="ADM52" i="28"/>
  <c r="ADM53" i="28"/>
  <c r="ADM54" i="28"/>
  <c r="ADM55" i="28"/>
  <c r="ADI51" i="28"/>
  <c r="ADI52" i="28"/>
  <c r="ADI53" i="28"/>
  <c r="ADI54" i="28"/>
  <c r="ADI55" i="28"/>
  <c r="ADE51" i="28"/>
  <c r="ADE52" i="28"/>
  <c r="ADE53" i="28"/>
  <c r="ADE54" i="28"/>
  <c r="ADE55" i="28"/>
  <c r="AV59" i="35"/>
  <c r="AT51" i="34"/>
  <c r="AT51" i="33"/>
  <c r="AV55" i="35"/>
  <c r="AT47" i="34"/>
  <c r="AT47" i="33"/>
  <c r="AV54" i="35"/>
  <c r="AT46" i="34"/>
  <c r="AT46" i="33"/>
  <c r="AV51" i="35"/>
  <c r="AT43" i="34"/>
  <c r="AT43" i="33"/>
  <c r="AV46" i="35"/>
  <c r="AT38" i="34"/>
  <c r="AT38" i="33"/>
  <c r="AV44" i="35"/>
  <c r="AT36" i="34"/>
  <c r="AT36" i="33"/>
  <c r="ADA51" i="28"/>
  <c r="ADA52" i="28"/>
  <c r="ADA53" i="28"/>
  <c r="ADA54" i="28"/>
  <c r="ADA55" i="28"/>
  <c r="ACW51" i="28"/>
  <c r="ACW52" i="28"/>
  <c r="ACW53" i="28"/>
  <c r="ACW54" i="28"/>
  <c r="ACW55" i="28"/>
  <c r="ADU51" i="28"/>
  <c r="ADU52" i="28"/>
  <c r="ADU53" i="28"/>
  <c r="ADU54" i="28"/>
  <c r="ADU55" i="28"/>
  <c r="ADU41" i="28"/>
  <c r="ADU38" i="28"/>
  <c r="ACS51" i="28"/>
  <c r="ACS52" i="28"/>
  <c r="ACS53" i="28"/>
  <c r="ACS54" i="28"/>
  <c r="ACS55" i="28"/>
  <c r="ACK51" i="28"/>
  <c r="ACK52" i="28"/>
  <c r="ACK53" i="28"/>
  <c r="ACK54" i="28"/>
  <c r="ACK55" i="28"/>
  <c r="ACG51" i="28"/>
  <c r="ACG52" i="28"/>
  <c r="ACG53" i="28"/>
  <c r="ACG54" i="28"/>
  <c r="ACG55" i="28"/>
  <c r="ACC51" i="28"/>
  <c r="ACC52" i="28"/>
  <c r="ACC53" i="28"/>
  <c r="ACC54" i="28"/>
  <c r="ACC55" i="28"/>
  <c r="ABY51" i="28"/>
  <c r="ABY52" i="28"/>
  <c r="ABY53" i="28"/>
  <c r="ABY54" i="28"/>
  <c r="ABY55" i="28"/>
  <c r="ABU51" i="28"/>
  <c r="ABU52" i="28"/>
  <c r="ABU53" i="28"/>
  <c r="ABU54" i="28"/>
  <c r="ABU55" i="28"/>
  <c r="ABQ51" i="28"/>
  <c r="ABQ52" i="28"/>
  <c r="ABQ53" i="28"/>
  <c r="ABQ54" i="28"/>
  <c r="ABQ55" i="28"/>
  <c r="ACO51" i="28"/>
  <c r="ACO52" i="28"/>
  <c r="ACO53" i="28"/>
  <c r="ACO54" i="28"/>
  <c r="ACO55" i="28"/>
  <c r="ACO41" i="28"/>
  <c r="ACO38" i="28"/>
  <c r="ABM51" i="28"/>
  <c r="ABM52" i="28"/>
  <c r="ABM53" i="28"/>
  <c r="ABM54" i="28"/>
  <c r="ABM55" i="28"/>
  <c r="ABE51" i="28"/>
  <c r="ABE52" i="28"/>
  <c r="ABE53" i="28"/>
  <c r="ABE54" i="28"/>
  <c r="ABE55" i="28"/>
  <c r="ABA51" i="28"/>
  <c r="ABA52" i="28"/>
  <c r="ABA53" i="28"/>
  <c r="ABA54" i="28"/>
  <c r="ABA55" i="28"/>
  <c r="AAW51" i="28"/>
  <c r="AAW52" i="28"/>
  <c r="AAW53" i="28"/>
  <c r="AAW54" i="28"/>
  <c r="AAW55" i="28"/>
  <c r="AAS51" i="28"/>
  <c r="AAS52" i="28"/>
  <c r="AAS53" i="28"/>
  <c r="AAS54" i="28"/>
  <c r="AAS55" i="28"/>
  <c r="AAO51" i="28"/>
  <c r="AAO52" i="28"/>
  <c r="AAO53" i="28"/>
  <c r="AAO54" i="28"/>
  <c r="AAO55" i="28"/>
  <c r="AAK51" i="28"/>
  <c r="AAK52" i="28"/>
  <c r="AAK53" i="28"/>
  <c r="AAK54" i="28"/>
  <c r="AAK55" i="28"/>
  <c r="CE61" i="35"/>
  <c r="CC53" i="34"/>
  <c r="CC53" i="33"/>
  <c r="BX61" i="35"/>
  <c r="BV53" i="34"/>
  <c r="BV53" i="33"/>
  <c r="BQ61" i="35"/>
  <c r="BO53" i="34"/>
  <c r="BO53" i="33"/>
  <c r="BJ61" i="35"/>
  <c r="BH53" i="34"/>
  <c r="BH53" i="33"/>
  <c r="BC61" i="35"/>
  <c r="BA53" i="34"/>
  <c r="BA53" i="33"/>
  <c r="AV61" i="35"/>
  <c r="AT53" i="34"/>
  <c r="AT53" i="33"/>
  <c r="AO61" i="35"/>
  <c r="AM53" i="34"/>
  <c r="AM53" i="33"/>
  <c r="AH61" i="35"/>
  <c r="AF53" i="34"/>
  <c r="AF53" i="33"/>
  <c r="AA61" i="35"/>
  <c r="Y53" i="34"/>
  <c r="Y53" i="33"/>
  <c r="CE70" i="35"/>
  <c r="CC62" i="34"/>
  <c r="CC62" i="33"/>
  <c r="BX70" i="35"/>
  <c r="BV62" i="34"/>
  <c r="BV62" i="33"/>
  <c r="BQ70" i="35"/>
  <c r="BO62" i="34"/>
  <c r="BO62" i="33"/>
  <c r="BJ70" i="35"/>
  <c r="BH62" i="34"/>
  <c r="BH62" i="33"/>
  <c r="BC70" i="35"/>
  <c r="BA62" i="34"/>
  <c r="BA62" i="33"/>
  <c r="AV70" i="35"/>
  <c r="AT62" i="34"/>
  <c r="AT62" i="33"/>
  <c r="AO70" i="35"/>
  <c r="AM62" i="34"/>
  <c r="AM62" i="33"/>
  <c r="AH70" i="35"/>
  <c r="AF62" i="34"/>
  <c r="AF62" i="33"/>
  <c r="AA70" i="35"/>
  <c r="Y62" i="34"/>
  <c r="Y62" i="33"/>
  <c r="CE69" i="35"/>
  <c r="CC61" i="34"/>
  <c r="CC61" i="33"/>
  <c r="BX69" i="35"/>
  <c r="BV61" i="34"/>
  <c r="BV61" i="33"/>
  <c r="BQ69" i="35"/>
  <c r="BO61" i="34"/>
  <c r="BO61" i="33"/>
  <c r="BJ69" i="35"/>
  <c r="BH61" i="34"/>
  <c r="BH61" i="33"/>
  <c r="BC69" i="35"/>
  <c r="BA61" i="34"/>
  <c r="BA61" i="33"/>
  <c r="AV67" i="35"/>
  <c r="AT59" i="34"/>
  <c r="AT59" i="33"/>
  <c r="AO67" i="35"/>
  <c r="AM59" i="34"/>
  <c r="AM59" i="33"/>
  <c r="AH67" i="35"/>
  <c r="AF59" i="34"/>
  <c r="AF59" i="33"/>
  <c r="AA67" i="35"/>
  <c r="Y59" i="34"/>
  <c r="Y59" i="33"/>
  <c r="AV69" i="35"/>
  <c r="AT61" i="34"/>
  <c r="AT61" i="33"/>
  <c r="AO69" i="35"/>
  <c r="AM61" i="34"/>
  <c r="AM61" i="33"/>
  <c r="AH69" i="35"/>
  <c r="AF61" i="34"/>
  <c r="AF61" i="33"/>
  <c r="AA69" i="35"/>
  <c r="Y61" i="34"/>
  <c r="Y61" i="33"/>
  <c r="CE64" i="35"/>
  <c r="CC56" i="34"/>
  <c r="CC56" i="33"/>
  <c r="BQ64" i="35"/>
  <c r="BO56" i="34"/>
  <c r="BO56" i="33"/>
  <c r="BJ64" i="35"/>
  <c r="BH56" i="34"/>
  <c r="BH56" i="33"/>
  <c r="BC64" i="35"/>
  <c r="BA56" i="34"/>
  <c r="BA56" i="33"/>
  <c r="AV64" i="35"/>
  <c r="AT56" i="34"/>
  <c r="AT56" i="33"/>
  <c r="AO64" i="35"/>
  <c r="AM56" i="34"/>
  <c r="AM56" i="33"/>
  <c r="AH64" i="35"/>
  <c r="AF56" i="34"/>
  <c r="AF56" i="33"/>
  <c r="AA64" i="35"/>
  <c r="Y56" i="34"/>
  <c r="Y56" i="33"/>
  <c r="CE63" i="35"/>
  <c r="CC55" i="34"/>
  <c r="CC55" i="33"/>
  <c r="BX63" i="35"/>
  <c r="BV55" i="34"/>
  <c r="BV55" i="33"/>
  <c r="BQ63" i="35"/>
  <c r="BO55" i="34"/>
  <c r="BO55" i="33"/>
  <c r="BJ63" i="35"/>
  <c r="BH55" i="34"/>
  <c r="BH55" i="33"/>
  <c r="BC63" i="35"/>
  <c r="BA55" i="34"/>
  <c r="BA55" i="33"/>
  <c r="AV63" i="35"/>
  <c r="AT55" i="34"/>
  <c r="AT55" i="33"/>
  <c r="AO63" i="35"/>
  <c r="AM55" i="34"/>
  <c r="AM55" i="33"/>
  <c r="AH63" i="35"/>
  <c r="AF55" i="34"/>
  <c r="AF55" i="33"/>
  <c r="AA63" i="35"/>
  <c r="Y55" i="34"/>
  <c r="Y55" i="33"/>
  <c r="BX58" i="35"/>
  <c r="BV50" i="34"/>
  <c r="BV50" i="33"/>
  <c r="AV58" i="35"/>
  <c r="AT50" i="34"/>
  <c r="AT50" i="33"/>
  <c r="AO58" i="35"/>
  <c r="AM50" i="34"/>
  <c r="AM50" i="33"/>
  <c r="AH58" i="35"/>
  <c r="AF50" i="34"/>
  <c r="AF50" i="33"/>
  <c r="AA58" i="35"/>
  <c r="Y50" i="34"/>
  <c r="Y50" i="33"/>
  <c r="AO57" i="35"/>
  <c r="AM49" i="34"/>
  <c r="AM49" i="33"/>
  <c r="AV57" i="35"/>
  <c r="AT49" i="34"/>
  <c r="AT49" i="33"/>
  <c r="AA56" i="35"/>
  <c r="Y48" i="34"/>
  <c r="Y48" i="33"/>
  <c r="CE52" i="35"/>
  <c r="CC44" i="34"/>
  <c r="CC44" i="33"/>
  <c r="BX52" i="35"/>
  <c r="BV44" i="34"/>
  <c r="BV44" i="33"/>
  <c r="BQ52" i="35"/>
  <c r="BO44" i="34"/>
  <c r="BO44" i="33"/>
  <c r="BJ52" i="35"/>
  <c r="BH44" i="34"/>
  <c r="BH44" i="33"/>
  <c r="BC52" i="35"/>
  <c r="BA44" i="34"/>
  <c r="BA44" i="33"/>
  <c r="AV52" i="35"/>
  <c r="AT44" i="34"/>
  <c r="AT44" i="33"/>
  <c r="AO52" i="35"/>
  <c r="AM44" i="34"/>
  <c r="AM44" i="33"/>
  <c r="AH52" i="35"/>
  <c r="AF44" i="34"/>
  <c r="AF44" i="33"/>
  <c r="AA52" i="35"/>
  <c r="Y44" i="34"/>
  <c r="Y44" i="33"/>
  <c r="BX50" i="35"/>
  <c r="BV42" i="34"/>
  <c r="BV42" i="33"/>
  <c r="BQ50" i="35"/>
  <c r="BO42" i="34"/>
  <c r="BO42" i="33"/>
  <c r="BJ50" i="35"/>
  <c r="BH42" i="34"/>
  <c r="BH42" i="33"/>
  <c r="BC50" i="35"/>
  <c r="BA42" i="34"/>
  <c r="BA42" i="33"/>
  <c r="AV50" i="35"/>
  <c r="AT42" i="34"/>
  <c r="AT42" i="33"/>
  <c r="AO50" i="35"/>
  <c r="AM42" i="34"/>
  <c r="AM42" i="33"/>
  <c r="AH50" i="35"/>
  <c r="AF42" i="34"/>
  <c r="AF42" i="33"/>
  <c r="AA50" i="35"/>
  <c r="Y42" i="34"/>
  <c r="Y42" i="33"/>
  <c r="CE49" i="35"/>
  <c r="CC41" i="34"/>
  <c r="CC41" i="33"/>
  <c r="BX49" i="35"/>
  <c r="BV41" i="34"/>
  <c r="BV41" i="33"/>
  <c r="BQ49" i="35"/>
  <c r="BO41" i="34"/>
  <c r="BO41" i="33"/>
  <c r="BJ49" i="35"/>
  <c r="BH41" i="34"/>
  <c r="BH41" i="33"/>
  <c r="BC49" i="35"/>
  <c r="BA41" i="34"/>
  <c r="BA41" i="33"/>
  <c r="AV49" i="35"/>
  <c r="AT41" i="34"/>
  <c r="AT41" i="33"/>
  <c r="AO49" i="35"/>
  <c r="AM41" i="34"/>
  <c r="AM41" i="33"/>
  <c r="AH49" i="35"/>
  <c r="AF41" i="34"/>
  <c r="AF41" i="33"/>
  <c r="AA49" i="35"/>
  <c r="Y41" i="34"/>
  <c r="Y41" i="33"/>
  <c r="BX48" i="35"/>
  <c r="BV40" i="34"/>
  <c r="BV40" i="33"/>
  <c r="BQ8" i="35"/>
  <c r="BP8" i="35"/>
  <c r="BO8" i="35"/>
  <c r="BN8" i="35"/>
  <c r="BM8" i="35"/>
  <c r="BL8" i="35"/>
  <c r="BK8" i="35"/>
  <c r="BJ8" i="35"/>
  <c r="BI8" i="35"/>
  <c r="BH8" i="35"/>
  <c r="BG8" i="35"/>
  <c r="BF8" i="35"/>
  <c r="BE8" i="35"/>
  <c r="BD8" i="35"/>
  <c r="BC48" i="35"/>
  <c r="BA40" i="34"/>
  <c r="BA40" i="33"/>
  <c r="AV48" i="35"/>
  <c r="AT40" i="34"/>
  <c r="AT40" i="33"/>
  <c r="AO48" i="35"/>
  <c r="AM40" i="34"/>
  <c r="AM40" i="33"/>
  <c r="AH48" i="35"/>
  <c r="AF40" i="34"/>
  <c r="AF40" i="33"/>
  <c r="AA48" i="35"/>
  <c r="Y40" i="34"/>
  <c r="Y40" i="33"/>
  <c r="CE47" i="35"/>
  <c r="CC39" i="34"/>
  <c r="CC39" i="33"/>
  <c r="BX47" i="35"/>
  <c r="BV39" i="34"/>
  <c r="BV39" i="33"/>
  <c r="BQ47" i="35"/>
  <c r="BO39" i="34"/>
  <c r="BO39" i="33"/>
  <c r="BJ47" i="35"/>
  <c r="BH39" i="34"/>
  <c r="BH39" i="33"/>
  <c r="BC47" i="35"/>
  <c r="BA39" i="34"/>
  <c r="BA39" i="33"/>
  <c r="AV47" i="35"/>
  <c r="AT39" i="34"/>
  <c r="AT39" i="33"/>
  <c r="AO47" i="35"/>
  <c r="AM39" i="34"/>
  <c r="AM39" i="33"/>
  <c r="AH47" i="35"/>
  <c r="AF39" i="34"/>
  <c r="AF39" i="33"/>
  <c r="AA47" i="35"/>
  <c r="Y39" i="34"/>
  <c r="Y39" i="33"/>
  <c r="BX45" i="35"/>
  <c r="BV37" i="34"/>
  <c r="BV37" i="33"/>
  <c r="BQ45" i="35"/>
  <c r="BO37" i="34"/>
  <c r="BO37" i="33"/>
  <c r="BJ45" i="35"/>
  <c r="BH37" i="34"/>
  <c r="BH37" i="33"/>
  <c r="BC45" i="35"/>
  <c r="BA37" i="34"/>
  <c r="BA37" i="33"/>
  <c r="AV45" i="35"/>
  <c r="AT37" i="34"/>
  <c r="AT37" i="33"/>
  <c r="AO45" i="35"/>
  <c r="AM37" i="34"/>
  <c r="AM37" i="33"/>
  <c r="AH45" i="35"/>
  <c r="AF37" i="34"/>
  <c r="AF37" i="33"/>
  <c r="AA45" i="35"/>
  <c r="Y37" i="34"/>
  <c r="Y37" i="33"/>
  <c r="AA44" i="35"/>
  <c r="Y36" i="34"/>
  <c r="Y36" i="33"/>
  <c r="AV42" i="35"/>
  <c r="AT34" i="34"/>
  <c r="AT34" i="33"/>
  <c r="AO42" i="35"/>
  <c r="AM34" i="34"/>
  <c r="AM34" i="33"/>
  <c r="CE43" i="35"/>
  <c r="CC35" i="34"/>
  <c r="CC35" i="33"/>
  <c r="CE71" i="35"/>
  <c r="BX43" i="35"/>
  <c r="BV35" i="34"/>
  <c r="BV35" i="33"/>
  <c r="BQ43" i="35"/>
  <c r="BO35" i="34"/>
  <c r="BO35" i="33"/>
  <c r="BJ43" i="35"/>
  <c r="BH35" i="34"/>
  <c r="BH35" i="33"/>
  <c r="BC43" i="35"/>
  <c r="BA35" i="34"/>
  <c r="AU3" i="34" s="1"/>
  <c r="BA35" i="33"/>
  <c r="AV43" i="35"/>
  <c r="AT35" i="34"/>
  <c r="AT35" i="33"/>
  <c r="AO43" i="35"/>
  <c r="AM35" i="34"/>
  <c r="AM35" i="33"/>
  <c r="AH43" i="35"/>
  <c r="AF35" i="34"/>
  <c r="AF35" i="33"/>
  <c r="AA43" i="35"/>
  <c r="Y35" i="34"/>
  <c r="Y35" i="33"/>
  <c r="T2" i="35"/>
  <c r="ABI51" i="28"/>
  <c r="ABI52" i="28"/>
  <c r="ABI53" i="28"/>
  <c r="ABI54" i="28"/>
  <c r="ABI55" i="28"/>
  <c r="ABI38" i="28"/>
  <c r="ABI41" i="28"/>
  <c r="AAG51" i="28"/>
  <c r="AAG52" i="28"/>
  <c r="AAG53" i="28"/>
  <c r="AAG54" i="28"/>
  <c r="AAG55" i="28"/>
  <c r="ZY51" i="28"/>
  <c r="ZY52" i="28"/>
  <c r="ZY53" i="28"/>
  <c r="ZY54" i="28"/>
  <c r="ZY55" i="28"/>
  <c r="ZU51" i="28"/>
  <c r="ZU52" i="28"/>
  <c r="ZU53" i="28"/>
  <c r="ZU54" i="28"/>
  <c r="ZU55" i="28"/>
  <c r="ZQ51" i="28"/>
  <c r="ZQ52" i="28"/>
  <c r="ZQ53" i="28"/>
  <c r="ZQ54" i="28"/>
  <c r="ZQ55" i="28"/>
  <c r="ZM51" i="28"/>
  <c r="ZM52" i="28"/>
  <c r="ZM53" i="28"/>
  <c r="ZM54" i="28"/>
  <c r="ZM55" i="28"/>
  <c r="ZI51" i="28"/>
  <c r="ZI52" i="28"/>
  <c r="ZI53" i="28"/>
  <c r="ZI54" i="28"/>
  <c r="ZI55" i="28"/>
  <c r="ZE51" i="28"/>
  <c r="ZE52" i="28"/>
  <c r="ZE53" i="28"/>
  <c r="ZE54" i="28"/>
  <c r="ZE55" i="28"/>
  <c r="AAC51" i="28"/>
  <c r="AAC52" i="28"/>
  <c r="AAC53" i="28"/>
  <c r="AAC54" i="28"/>
  <c r="AAC55" i="28"/>
  <c r="IR41" i="25"/>
  <c r="IR38" i="25"/>
  <c r="AAC38" i="28"/>
  <c r="AAC41" i="28"/>
  <c r="IR40" i="25"/>
  <c r="IR39" i="25"/>
  <c r="IR43" i="25"/>
  <c r="IR44" i="25"/>
  <c r="ZA51" i="28"/>
  <c r="ZA52" i="28"/>
  <c r="ZA53" i="28"/>
  <c r="ZA54" i="28"/>
  <c r="ZA55" i="28"/>
  <c r="YS51" i="28"/>
  <c r="YS52" i="28"/>
  <c r="YS53" i="28"/>
  <c r="YS54" i="28"/>
  <c r="YS55" i="28"/>
  <c r="YO51" i="28"/>
  <c r="YO52" i="28"/>
  <c r="YO53" i="28"/>
  <c r="YO54" i="28"/>
  <c r="YO55" i="28"/>
  <c r="YK51" i="28"/>
  <c r="YK52" i="28"/>
  <c r="YK53" i="28"/>
  <c r="YK54" i="28"/>
  <c r="YK55" i="28"/>
  <c r="YG51" i="28"/>
  <c r="YG52" i="28"/>
  <c r="YG53" i="28"/>
  <c r="YG54" i="28"/>
  <c r="YG55" i="28"/>
  <c r="YC51" i="28"/>
  <c r="YC52" i="28"/>
  <c r="YC53" i="28"/>
  <c r="YC54" i="28"/>
  <c r="YC55" i="28"/>
  <c r="XY51" i="28"/>
  <c r="XY52" i="28"/>
  <c r="XY53" i="28"/>
  <c r="XY54" i="28"/>
  <c r="XY55" i="28"/>
  <c r="K34" i="33"/>
  <c r="IK41" i="25"/>
  <c r="IK38" i="25"/>
  <c r="YU51" i="28"/>
  <c r="YU52" i="28"/>
  <c r="YU53" i="28"/>
  <c r="YU54" i="28"/>
  <c r="YU55" i="28"/>
  <c r="XW51" i="28"/>
  <c r="XW52" i="28"/>
  <c r="XW53" i="28"/>
  <c r="XW54" i="28"/>
  <c r="XW55" i="28"/>
  <c r="YW51" i="28"/>
  <c r="YW52" i="28"/>
  <c r="YW53" i="28"/>
  <c r="YW54" i="28"/>
  <c r="YW55" i="28"/>
  <c r="IM41" i="25"/>
  <c r="IM38" i="25"/>
  <c r="YW38" i="28"/>
  <c r="YW41" i="28"/>
  <c r="IM40" i="25"/>
  <c r="IM39" i="25"/>
  <c r="IM43" i="25"/>
  <c r="IM44" i="25"/>
  <c r="XU51" i="28"/>
  <c r="XU52" i="28"/>
  <c r="XU53" i="28"/>
  <c r="XU54" i="28"/>
  <c r="XU55" i="28"/>
  <c r="XM51" i="28"/>
  <c r="XM52" i="28"/>
  <c r="XM53" i="28"/>
  <c r="XM54" i="28"/>
  <c r="XM55" i="28"/>
  <c r="XI51" i="28"/>
  <c r="XI52" i="28"/>
  <c r="XI53" i="28"/>
  <c r="XI54" i="28"/>
  <c r="XI55" i="28"/>
  <c r="F2" i="33"/>
  <c r="G2" i="33"/>
  <c r="H2" i="33"/>
  <c r="I2" i="33"/>
  <c r="J2" i="33"/>
  <c r="K2" i="33"/>
  <c r="E2" i="33"/>
  <c r="E30" i="33"/>
  <c r="F30" i="33"/>
  <c r="G30" i="33"/>
  <c r="H30" i="33"/>
  <c r="I30" i="33"/>
  <c r="J30" i="33"/>
  <c r="K30" i="33"/>
  <c r="E29" i="33"/>
  <c r="F29" i="33"/>
  <c r="G29" i="33"/>
  <c r="H29" i="33"/>
  <c r="I29" i="33"/>
  <c r="J29" i="33"/>
  <c r="K29" i="33"/>
  <c r="E28" i="33"/>
  <c r="F28" i="33"/>
  <c r="G28" i="33"/>
  <c r="H28" i="33"/>
  <c r="I28" i="33"/>
  <c r="J28" i="33"/>
  <c r="K28" i="33"/>
  <c r="E27" i="33"/>
  <c r="F27" i="33"/>
  <c r="G27" i="33"/>
  <c r="H27" i="33"/>
  <c r="I27" i="33"/>
  <c r="J27" i="33"/>
  <c r="K27" i="33"/>
  <c r="E26" i="33"/>
  <c r="F26" i="33"/>
  <c r="G26" i="33"/>
  <c r="H26" i="33"/>
  <c r="I26" i="33"/>
  <c r="J26" i="33"/>
  <c r="K26" i="33"/>
  <c r="E25" i="33"/>
  <c r="F25" i="33"/>
  <c r="G25" i="33"/>
  <c r="H25" i="33"/>
  <c r="I25" i="33"/>
  <c r="J25" i="33"/>
  <c r="K25" i="33"/>
  <c r="E24" i="33"/>
  <c r="F24" i="33"/>
  <c r="G24" i="33"/>
  <c r="H24" i="33"/>
  <c r="I24" i="33"/>
  <c r="J24" i="33"/>
  <c r="K24" i="33"/>
  <c r="E23" i="33"/>
  <c r="F23" i="33"/>
  <c r="G23" i="33"/>
  <c r="H23" i="33"/>
  <c r="I23" i="33"/>
  <c r="J23" i="33"/>
  <c r="K23" i="33"/>
  <c r="E22" i="33"/>
  <c r="F22" i="33"/>
  <c r="G22" i="33"/>
  <c r="H22" i="33"/>
  <c r="I22" i="33"/>
  <c r="J22" i="33"/>
  <c r="K22" i="33"/>
  <c r="E21" i="33"/>
  <c r="F21" i="33"/>
  <c r="G21" i="33"/>
  <c r="H21" i="33"/>
  <c r="I21" i="33"/>
  <c r="J21" i="33"/>
  <c r="K21" i="33"/>
  <c r="E20" i="33"/>
  <c r="F20" i="33"/>
  <c r="G20" i="33"/>
  <c r="H20" i="33"/>
  <c r="I20" i="33"/>
  <c r="J20" i="33"/>
  <c r="K20" i="33"/>
  <c r="E19" i="33"/>
  <c r="F19" i="33"/>
  <c r="G19" i="33"/>
  <c r="H19" i="33"/>
  <c r="I19" i="33"/>
  <c r="J19" i="33"/>
  <c r="K19" i="33"/>
  <c r="E18" i="33"/>
  <c r="F18" i="33"/>
  <c r="G18" i="33"/>
  <c r="H18" i="33"/>
  <c r="I18" i="33"/>
  <c r="J18" i="33"/>
  <c r="K18" i="33"/>
  <c r="E17" i="33"/>
  <c r="F17" i="33"/>
  <c r="G17" i="33"/>
  <c r="H17" i="33"/>
  <c r="I17" i="33"/>
  <c r="J17" i="33"/>
  <c r="K17" i="33"/>
  <c r="E16" i="33"/>
  <c r="F16" i="33"/>
  <c r="G16" i="33"/>
  <c r="H16" i="33"/>
  <c r="I16" i="33"/>
  <c r="J16" i="33"/>
  <c r="K16" i="33"/>
  <c r="E15" i="33"/>
  <c r="F15" i="33"/>
  <c r="G15" i="33"/>
  <c r="H15" i="33"/>
  <c r="I15" i="33"/>
  <c r="J15" i="33"/>
  <c r="K15" i="33"/>
  <c r="E14" i="33"/>
  <c r="F14" i="33"/>
  <c r="G14" i="33"/>
  <c r="H14" i="33"/>
  <c r="I14" i="33"/>
  <c r="J14" i="33"/>
  <c r="K14" i="33"/>
  <c r="E12" i="33"/>
  <c r="F12" i="33"/>
  <c r="G12" i="33"/>
  <c r="H12" i="33"/>
  <c r="I12" i="33"/>
  <c r="J12" i="33"/>
  <c r="K12" i="33"/>
  <c r="E11" i="33"/>
  <c r="F11" i="33"/>
  <c r="G11" i="33"/>
  <c r="H11" i="33"/>
  <c r="I11" i="33"/>
  <c r="J11" i="33"/>
  <c r="K11" i="33"/>
  <c r="E10" i="33"/>
  <c r="F10" i="33"/>
  <c r="G10" i="33"/>
  <c r="H10" i="33"/>
  <c r="I10" i="33"/>
  <c r="J10" i="33"/>
  <c r="K10" i="33"/>
  <c r="E9" i="33"/>
  <c r="F9" i="33"/>
  <c r="G9" i="33"/>
  <c r="H9" i="33"/>
  <c r="I9" i="33"/>
  <c r="J9" i="33"/>
  <c r="K9" i="33"/>
  <c r="E8" i="33"/>
  <c r="F8" i="33"/>
  <c r="G8" i="33"/>
  <c r="H8" i="33"/>
  <c r="I8" i="33"/>
  <c r="J8" i="33"/>
  <c r="K8" i="33"/>
  <c r="E7" i="33"/>
  <c r="F7" i="33"/>
  <c r="G7" i="33"/>
  <c r="H7" i="33"/>
  <c r="I7" i="33"/>
  <c r="J7" i="33"/>
  <c r="K7" i="33"/>
  <c r="E6" i="33"/>
  <c r="F6" i="33"/>
  <c r="G6" i="33"/>
  <c r="H6" i="33"/>
  <c r="I6" i="33"/>
  <c r="J6" i="33"/>
  <c r="K6" i="33"/>
  <c r="E5" i="33"/>
  <c r="F5" i="33"/>
  <c r="G5" i="33"/>
  <c r="H5" i="33"/>
  <c r="I5" i="33"/>
  <c r="J5" i="33"/>
  <c r="K5" i="33"/>
  <c r="E4" i="33"/>
  <c r="F4" i="33"/>
  <c r="G4" i="33"/>
  <c r="H4" i="33"/>
  <c r="I4" i="33"/>
  <c r="J4" i="33"/>
  <c r="K4" i="33"/>
  <c r="E3" i="33"/>
  <c r="F3" i="33"/>
  <c r="G3" i="33"/>
  <c r="H3" i="33"/>
  <c r="I3" i="33"/>
  <c r="J3" i="33"/>
  <c r="K3" i="33"/>
  <c r="M2" i="33"/>
  <c r="N2" i="33"/>
  <c r="O2" i="33"/>
  <c r="P2" i="33"/>
  <c r="Q2" i="33"/>
  <c r="R2" i="33"/>
  <c r="L2" i="33"/>
  <c r="L30" i="33"/>
  <c r="M30" i="33"/>
  <c r="N30" i="33"/>
  <c r="O30" i="33"/>
  <c r="P30" i="33"/>
  <c r="Q30" i="33"/>
  <c r="R30" i="33"/>
  <c r="L29" i="33"/>
  <c r="M29" i="33"/>
  <c r="N29" i="33"/>
  <c r="O29" i="33"/>
  <c r="P29" i="33"/>
  <c r="Q29" i="33"/>
  <c r="R29" i="33"/>
  <c r="L28" i="33"/>
  <c r="M28" i="33"/>
  <c r="N28" i="33"/>
  <c r="O28" i="33"/>
  <c r="P28" i="33"/>
  <c r="Q28" i="33"/>
  <c r="R28" i="33"/>
  <c r="L27" i="33"/>
  <c r="M27" i="33"/>
  <c r="N27" i="33"/>
  <c r="O27" i="33"/>
  <c r="P27" i="33"/>
  <c r="Q27" i="33"/>
  <c r="R27" i="33"/>
  <c r="L26" i="33"/>
  <c r="M26" i="33"/>
  <c r="N26" i="33"/>
  <c r="O26" i="33"/>
  <c r="P26" i="33"/>
  <c r="Q26" i="33"/>
  <c r="R26" i="33"/>
  <c r="L25" i="33"/>
  <c r="M25" i="33"/>
  <c r="N25" i="33"/>
  <c r="O25" i="33"/>
  <c r="P25" i="33"/>
  <c r="Q25" i="33"/>
  <c r="R25" i="33"/>
  <c r="L24" i="33"/>
  <c r="M24" i="33"/>
  <c r="N24" i="33"/>
  <c r="O24" i="33"/>
  <c r="P24" i="33"/>
  <c r="Q24" i="33"/>
  <c r="R24" i="33"/>
  <c r="L23" i="33"/>
  <c r="M23" i="33"/>
  <c r="N23" i="33"/>
  <c r="O23" i="33"/>
  <c r="P23" i="33"/>
  <c r="Q23" i="33"/>
  <c r="R23" i="33"/>
  <c r="L22" i="33"/>
  <c r="M22" i="33"/>
  <c r="N22" i="33"/>
  <c r="O22" i="33"/>
  <c r="P22" i="33"/>
  <c r="Q22" i="33"/>
  <c r="R22" i="33"/>
  <c r="L21" i="33"/>
  <c r="M21" i="33"/>
  <c r="N21" i="33"/>
  <c r="O21" i="33"/>
  <c r="P21" i="33"/>
  <c r="Q21" i="33"/>
  <c r="R21" i="33"/>
  <c r="L20" i="33"/>
  <c r="M20" i="33"/>
  <c r="N20" i="33"/>
  <c r="O20" i="33"/>
  <c r="P20" i="33"/>
  <c r="Q20" i="33"/>
  <c r="R20" i="33"/>
  <c r="L19" i="33"/>
  <c r="M19" i="33"/>
  <c r="N19" i="33"/>
  <c r="O19" i="33"/>
  <c r="P19" i="33"/>
  <c r="Q19" i="33"/>
  <c r="R19" i="33"/>
  <c r="L18" i="33"/>
  <c r="M18" i="33"/>
  <c r="N18" i="33"/>
  <c r="O18" i="33"/>
  <c r="P18" i="33"/>
  <c r="Q18" i="33"/>
  <c r="R18" i="33"/>
  <c r="L17" i="33"/>
  <c r="M17" i="33"/>
  <c r="N17" i="33"/>
  <c r="O17" i="33"/>
  <c r="P17" i="33"/>
  <c r="Q17" i="33"/>
  <c r="R17" i="33"/>
  <c r="L16" i="33"/>
  <c r="M16" i="33"/>
  <c r="N16" i="33"/>
  <c r="O16" i="33"/>
  <c r="P16" i="33"/>
  <c r="Q16" i="33"/>
  <c r="R16" i="33"/>
  <c r="L15" i="33"/>
  <c r="M15" i="33"/>
  <c r="N15" i="33"/>
  <c r="O15" i="33"/>
  <c r="P15" i="33"/>
  <c r="Q15" i="33"/>
  <c r="R15" i="33"/>
  <c r="L14" i="33"/>
  <c r="M14" i="33"/>
  <c r="N14" i="33"/>
  <c r="O14" i="33"/>
  <c r="P14" i="33"/>
  <c r="Q14" i="33"/>
  <c r="R14" i="33"/>
  <c r="L12" i="33"/>
  <c r="M12" i="33"/>
  <c r="N12" i="33"/>
  <c r="O12" i="33"/>
  <c r="P12" i="33"/>
  <c r="Q12" i="33"/>
  <c r="R12" i="33"/>
  <c r="L11" i="33"/>
  <c r="M11" i="33"/>
  <c r="N11" i="33"/>
  <c r="O11" i="33"/>
  <c r="P11" i="33"/>
  <c r="Q11" i="33"/>
  <c r="R11" i="33"/>
  <c r="L10" i="33"/>
  <c r="M10" i="33"/>
  <c r="N10" i="33"/>
  <c r="O10" i="33"/>
  <c r="P10" i="33"/>
  <c r="Q10" i="33"/>
  <c r="R10" i="33"/>
  <c r="L9" i="33"/>
  <c r="M9" i="33"/>
  <c r="N9" i="33"/>
  <c r="O9" i="33"/>
  <c r="P9" i="33"/>
  <c r="Q9" i="33"/>
  <c r="R9" i="33"/>
  <c r="L8" i="33"/>
  <c r="M8" i="33"/>
  <c r="N8" i="33"/>
  <c r="O8" i="33"/>
  <c r="P8" i="33"/>
  <c r="Q8" i="33"/>
  <c r="R8" i="33"/>
  <c r="L7" i="33"/>
  <c r="M7" i="33"/>
  <c r="N7" i="33"/>
  <c r="O7" i="33"/>
  <c r="P7" i="33"/>
  <c r="Q7" i="33"/>
  <c r="R7" i="33"/>
  <c r="L6" i="33"/>
  <c r="M6" i="33"/>
  <c r="N6" i="33"/>
  <c r="O6" i="33"/>
  <c r="P6" i="33"/>
  <c r="Q6" i="33"/>
  <c r="R6" i="33"/>
  <c r="L5" i="33"/>
  <c r="M5" i="33"/>
  <c r="N5" i="33"/>
  <c r="O5" i="33"/>
  <c r="P5" i="33"/>
  <c r="Q5" i="33"/>
  <c r="R5" i="33"/>
  <c r="L4" i="33"/>
  <c r="M4" i="33"/>
  <c r="N4" i="33"/>
  <c r="O4" i="33"/>
  <c r="P4" i="33"/>
  <c r="Q4" i="33"/>
  <c r="R4" i="33"/>
  <c r="L3" i="33"/>
  <c r="M3" i="33"/>
  <c r="N3" i="33"/>
  <c r="O3" i="33"/>
  <c r="P3" i="33"/>
  <c r="Q3" i="33"/>
  <c r="R3" i="33"/>
  <c r="T2" i="33"/>
  <c r="U2" i="33"/>
  <c r="V2" i="33"/>
  <c r="W2" i="33"/>
  <c r="X2" i="33"/>
  <c r="Y2" i="33"/>
  <c r="S2" i="33"/>
  <c r="S30" i="33"/>
  <c r="T30" i="33"/>
  <c r="U30" i="33"/>
  <c r="V30" i="33"/>
  <c r="W30" i="33"/>
  <c r="X30" i="33"/>
  <c r="Y30" i="33"/>
  <c r="S29" i="33"/>
  <c r="T29" i="33"/>
  <c r="U29" i="33"/>
  <c r="V29" i="33"/>
  <c r="W29" i="33"/>
  <c r="X29" i="33"/>
  <c r="Y29" i="33"/>
  <c r="S28" i="33"/>
  <c r="T28" i="33"/>
  <c r="U28" i="33"/>
  <c r="V28" i="33"/>
  <c r="W28" i="33"/>
  <c r="X28" i="33"/>
  <c r="Y28" i="33"/>
  <c r="S27" i="33"/>
  <c r="T27" i="33"/>
  <c r="U27" i="33"/>
  <c r="V27" i="33"/>
  <c r="W27" i="33"/>
  <c r="X27" i="33"/>
  <c r="Y27" i="33"/>
  <c r="S26" i="33"/>
  <c r="T26" i="33"/>
  <c r="U26" i="33"/>
  <c r="V26" i="33"/>
  <c r="W26" i="33"/>
  <c r="X26" i="33"/>
  <c r="Y26" i="33"/>
  <c r="S25" i="33"/>
  <c r="T25" i="33"/>
  <c r="U25" i="33"/>
  <c r="V25" i="33"/>
  <c r="W25" i="33"/>
  <c r="X25" i="33"/>
  <c r="Y25" i="33"/>
  <c r="S24" i="33"/>
  <c r="T24" i="33"/>
  <c r="U24" i="33"/>
  <c r="V24" i="33"/>
  <c r="W24" i="33"/>
  <c r="X24" i="33"/>
  <c r="Y24" i="33"/>
  <c r="S23" i="33"/>
  <c r="T23" i="33"/>
  <c r="U23" i="33"/>
  <c r="V23" i="33"/>
  <c r="W23" i="33"/>
  <c r="X23" i="33"/>
  <c r="Y23" i="33"/>
  <c r="S22" i="33"/>
  <c r="T22" i="33"/>
  <c r="U22" i="33"/>
  <c r="V22" i="33"/>
  <c r="W22" i="33"/>
  <c r="X22" i="33"/>
  <c r="Y22" i="33"/>
  <c r="S21" i="33"/>
  <c r="T21" i="33"/>
  <c r="U21" i="33"/>
  <c r="V21" i="33"/>
  <c r="W21" i="33"/>
  <c r="X21" i="33"/>
  <c r="Y21" i="33"/>
  <c r="S20" i="33"/>
  <c r="T20" i="33"/>
  <c r="U20" i="33"/>
  <c r="V20" i="33"/>
  <c r="W20" i="33"/>
  <c r="X20" i="33"/>
  <c r="Y20" i="33"/>
  <c r="S19" i="33"/>
  <c r="T19" i="33"/>
  <c r="U19" i="33"/>
  <c r="V19" i="33"/>
  <c r="W19" i="33"/>
  <c r="X19" i="33"/>
  <c r="Y19" i="33"/>
  <c r="S18" i="33"/>
  <c r="T18" i="33"/>
  <c r="U18" i="33"/>
  <c r="V18" i="33"/>
  <c r="W18" i="33"/>
  <c r="X18" i="33"/>
  <c r="Y18" i="33"/>
  <c r="S17" i="33"/>
  <c r="T17" i="33"/>
  <c r="U17" i="33"/>
  <c r="V17" i="33"/>
  <c r="W17" i="33"/>
  <c r="X17" i="33"/>
  <c r="Y17" i="33"/>
  <c r="S16" i="33"/>
  <c r="T16" i="33"/>
  <c r="U16" i="33"/>
  <c r="V16" i="33"/>
  <c r="W16" i="33"/>
  <c r="X16" i="33"/>
  <c r="Y16" i="33"/>
  <c r="S15" i="33"/>
  <c r="T15" i="33"/>
  <c r="U15" i="33"/>
  <c r="V15" i="33"/>
  <c r="W15" i="33"/>
  <c r="X15" i="33"/>
  <c r="Y15" i="33"/>
  <c r="S14" i="33"/>
  <c r="T14" i="33"/>
  <c r="U14" i="33"/>
  <c r="V14" i="33"/>
  <c r="W14" i="33"/>
  <c r="X14" i="33"/>
  <c r="Y14" i="33"/>
  <c r="S12" i="33"/>
  <c r="T12" i="33"/>
  <c r="U12" i="33"/>
  <c r="V12" i="33"/>
  <c r="W12" i="33"/>
  <c r="X12" i="33"/>
  <c r="Y12" i="33"/>
  <c r="S11" i="33"/>
  <c r="T11" i="33"/>
  <c r="U11" i="33"/>
  <c r="V11" i="33"/>
  <c r="W11" i="33"/>
  <c r="X11" i="33"/>
  <c r="Y11" i="33"/>
  <c r="S10" i="33"/>
  <c r="T10" i="33"/>
  <c r="U10" i="33"/>
  <c r="V10" i="33"/>
  <c r="W10" i="33"/>
  <c r="X10" i="33"/>
  <c r="Y10" i="33"/>
  <c r="S9" i="33"/>
  <c r="T9" i="33"/>
  <c r="U9" i="33"/>
  <c r="V9" i="33"/>
  <c r="W9" i="33"/>
  <c r="X9" i="33"/>
  <c r="Y9" i="33"/>
  <c r="S8" i="33"/>
  <c r="T8" i="33"/>
  <c r="U8" i="33"/>
  <c r="V8" i="33"/>
  <c r="W8" i="33"/>
  <c r="X8" i="33"/>
  <c r="Y8" i="33"/>
  <c r="S7" i="33"/>
  <c r="T7" i="33"/>
  <c r="U7" i="33"/>
  <c r="V7" i="33"/>
  <c r="W7" i="33"/>
  <c r="X7" i="33"/>
  <c r="Y7" i="33"/>
  <c r="S6" i="33"/>
  <c r="T6" i="33"/>
  <c r="U6" i="33"/>
  <c r="V6" i="33"/>
  <c r="W6" i="33"/>
  <c r="X6" i="33"/>
  <c r="Y6" i="33"/>
  <c r="S5" i="33"/>
  <c r="T5" i="33"/>
  <c r="U5" i="33"/>
  <c r="V5" i="33"/>
  <c r="W5" i="33"/>
  <c r="X5" i="33"/>
  <c r="Y5" i="33"/>
  <c r="S4" i="33"/>
  <c r="T4" i="33"/>
  <c r="U4" i="33"/>
  <c r="V4" i="33"/>
  <c r="W4" i="33"/>
  <c r="X4" i="33"/>
  <c r="Y4" i="33"/>
  <c r="S3" i="33"/>
  <c r="T3" i="33"/>
  <c r="U3" i="33"/>
  <c r="V3" i="33"/>
  <c r="W3" i="33"/>
  <c r="X3" i="33"/>
  <c r="Y3" i="33"/>
  <c r="AA2" i="33"/>
  <c r="AB2" i="33"/>
  <c r="AC2" i="33"/>
  <c r="AD2" i="33"/>
  <c r="AE2" i="33"/>
  <c r="AF2" i="33"/>
  <c r="Z2" i="33"/>
  <c r="Z30" i="33"/>
  <c r="AA30" i="33"/>
  <c r="AB30" i="33"/>
  <c r="AC30" i="33"/>
  <c r="AD30" i="33"/>
  <c r="AE30" i="33"/>
  <c r="AF30" i="33"/>
  <c r="Z29" i="33"/>
  <c r="AA29" i="33"/>
  <c r="AB29" i="33"/>
  <c r="AC29" i="33"/>
  <c r="AD29" i="33"/>
  <c r="AE29" i="33"/>
  <c r="AF29" i="33"/>
  <c r="Z28" i="33"/>
  <c r="AA28" i="33"/>
  <c r="AB28" i="33"/>
  <c r="AC28" i="33"/>
  <c r="AD28" i="33"/>
  <c r="AE28" i="33"/>
  <c r="AF28" i="33"/>
  <c r="Z27" i="33"/>
  <c r="AA27" i="33"/>
  <c r="AB27" i="33"/>
  <c r="AC27" i="33"/>
  <c r="AD27" i="33"/>
  <c r="AE27" i="33"/>
  <c r="AF27" i="33"/>
  <c r="Z26" i="33"/>
  <c r="AA26" i="33"/>
  <c r="AB26" i="33"/>
  <c r="AC26" i="33"/>
  <c r="AD26" i="33"/>
  <c r="AE26" i="33"/>
  <c r="AF26" i="33"/>
  <c r="Z25" i="33"/>
  <c r="AA25" i="33"/>
  <c r="AB25" i="33"/>
  <c r="AC25" i="33"/>
  <c r="AD25" i="33"/>
  <c r="AE25" i="33"/>
  <c r="AF25" i="33"/>
  <c r="Z24" i="33"/>
  <c r="AA24" i="33"/>
  <c r="AB24" i="33"/>
  <c r="AC24" i="33"/>
  <c r="AD24" i="33"/>
  <c r="AE24" i="33"/>
  <c r="AF24" i="33"/>
  <c r="Z23" i="33"/>
  <c r="AA23" i="33"/>
  <c r="AB23" i="33"/>
  <c r="AC23" i="33"/>
  <c r="AD23" i="33"/>
  <c r="AE23" i="33"/>
  <c r="AF23" i="33"/>
  <c r="Z22" i="33"/>
  <c r="AA22" i="33"/>
  <c r="AB22" i="33"/>
  <c r="AC22" i="33"/>
  <c r="AD22" i="33"/>
  <c r="AE22" i="33"/>
  <c r="AF22" i="33"/>
  <c r="Z21" i="33"/>
  <c r="AA21" i="33"/>
  <c r="AB21" i="33"/>
  <c r="AC21" i="33"/>
  <c r="AD21" i="33"/>
  <c r="AE21" i="33"/>
  <c r="AF21" i="33"/>
  <c r="Z20" i="33"/>
  <c r="AA20" i="33"/>
  <c r="AB20" i="33"/>
  <c r="AC20" i="33"/>
  <c r="AD20" i="33"/>
  <c r="AE20" i="33"/>
  <c r="AF20" i="33"/>
  <c r="Z19" i="33"/>
  <c r="AA19" i="33"/>
  <c r="AB19" i="33"/>
  <c r="AC19" i="33"/>
  <c r="AD19" i="33"/>
  <c r="AE19" i="33"/>
  <c r="AF19" i="33"/>
  <c r="Z18" i="33"/>
  <c r="AA18" i="33"/>
  <c r="AB18" i="33"/>
  <c r="AC18" i="33"/>
  <c r="AD18" i="33"/>
  <c r="AE18" i="33"/>
  <c r="AF18" i="33"/>
  <c r="Z17" i="33"/>
  <c r="AA17" i="33"/>
  <c r="AB17" i="33"/>
  <c r="AC17" i="33"/>
  <c r="AD17" i="33"/>
  <c r="AE17" i="33"/>
  <c r="AF17" i="33"/>
  <c r="Z16" i="33"/>
  <c r="AA16" i="33"/>
  <c r="AB16" i="33"/>
  <c r="AC16" i="33"/>
  <c r="AD16" i="33"/>
  <c r="AE16" i="33"/>
  <c r="AF16" i="33"/>
  <c r="Z15" i="33"/>
  <c r="AA15" i="33"/>
  <c r="AB15" i="33"/>
  <c r="AC15" i="33"/>
  <c r="AD15" i="33"/>
  <c r="AE15" i="33"/>
  <c r="AF15" i="33"/>
  <c r="Z14" i="33"/>
  <c r="AA14" i="33"/>
  <c r="AB14" i="33"/>
  <c r="AC14" i="33"/>
  <c r="AD14" i="33"/>
  <c r="AE14" i="33"/>
  <c r="AF14" i="33"/>
  <c r="Z12" i="33"/>
  <c r="AA12" i="33"/>
  <c r="AB12" i="33"/>
  <c r="AC12" i="33"/>
  <c r="AD12" i="33"/>
  <c r="AE12" i="33"/>
  <c r="AF12" i="33"/>
  <c r="Z11" i="33"/>
  <c r="AA11" i="33"/>
  <c r="AB11" i="33"/>
  <c r="AC11" i="33"/>
  <c r="AD11" i="33"/>
  <c r="AE11" i="33"/>
  <c r="AF11" i="33"/>
  <c r="Z10" i="33"/>
  <c r="AA10" i="33"/>
  <c r="AB10" i="33"/>
  <c r="AC10" i="33"/>
  <c r="AD10" i="33"/>
  <c r="AE10" i="33"/>
  <c r="AF10" i="33"/>
  <c r="Z9" i="33"/>
  <c r="AA9" i="33"/>
  <c r="AB9" i="33"/>
  <c r="AC9" i="33"/>
  <c r="AD9" i="33"/>
  <c r="AE9" i="33"/>
  <c r="AF9" i="33"/>
  <c r="Z8" i="33"/>
  <c r="AA8" i="33"/>
  <c r="AB8" i="33"/>
  <c r="AC8" i="33"/>
  <c r="AD8" i="33"/>
  <c r="AE8" i="33"/>
  <c r="AF8" i="33"/>
  <c r="Z7" i="33"/>
  <c r="AA7" i="33"/>
  <c r="AB7" i="33"/>
  <c r="AC7" i="33"/>
  <c r="AD7" i="33"/>
  <c r="AE7" i="33"/>
  <c r="AF7" i="33"/>
  <c r="Z6" i="33"/>
  <c r="AA6" i="33"/>
  <c r="AB6" i="33"/>
  <c r="AC6" i="33"/>
  <c r="AD6" i="33"/>
  <c r="AE6" i="33"/>
  <c r="AF6" i="33"/>
  <c r="Z5" i="33"/>
  <c r="AA5" i="33"/>
  <c r="AB5" i="33"/>
  <c r="AC5" i="33"/>
  <c r="AD5" i="33"/>
  <c r="AE5" i="33"/>
  <c r="AF5" i="33"/>
  <c r="Z4" i="33"/>
  <c r="AA4" i="33"/>
  <c r="AB4" i="33"/>
  <c r="AC4" i="33"/>
  <c r="AD4" i="33"/>
  <c r="AE4" i="33"/>
  <c r="AF4" i="33"/>
  <c r="Z3" i="33"/>
  <c r="AA3" i="33"/>
  <c r="AB3" i="33"/>
  <c r="AC3" i="33"/>
  <c r="AD3" i="33"/>
  <c r="AE3" i="33"/>
  <c r="AF3" i="33"/>
  <c r="AM2" i="33"/>
  <c r="AL2" i="33"/>
  <c r="AK2" i="33"/>
  <c r="AJ2" i="33"/>
  <c r="AI2" i="33"/>
  <c r="AH2" i="33"/>
  <c r="AG2" i="33"/>
  <c r="AG3" i="33"/>
  <c r="AH3" i="33"/>
  <c r="AI3" i="33"/>
  <c r="AJ3" i="33"/>
  <c r="AK3" i="33"/>
  <c r="AL3" i="33"/>
  <c r="AM3" i="33"/>
  <c r="AG4" i="33"/>
  <c r="AH4" i="33"/>
  <c r="AI4" i="33"/>
  <c r="AJ4" i="33"/>
  <c r="AK4" i="33"/>
  <c r="AL4" i="33"/>
  <c r="AM4" i="33"/>
  <c r="AG5" i="33"/>
  <c r="AH5" i="33"/>
  <c r="AI5" i="33"/>
  <c r="AJ5" i="33"/>
  <c r="AK5" i="33"/>
  <c r="AL5" i="33"/>
  <c r="AM5" i="33"/>
  <c r="AG6" i="33"/>
  <c r="AH6" i="33"/>
  <c r="AI6" i="33"/>
  <c r="AJ6" i="33"/>
  <c r="AK6" i="33"/>
  <c r="AL6" i="33"/>
  <c r="AM6" i="33"/>
  <c r="AG7" i="33"/>
  <c r="AH7" i="33"/>
  <c r="AI7" i="33"/>
  <c r="AJ7" i="33"/>
  <c r="AK7" i="33"/>
  <c r="AL7" i="33"/>
  <c r="AM7" i="33"/>
  <c r="AG8" i="33"/>
  <c r="AH8" i="33"/>
  <c r="AI8" i="33"/>
  <c r="AJ8" i="33"/>
  <c r="AK8" i="33"/>
  <c r="AL8" i="33"/>
  <c r="AM8" i="33"/>
  <c r="AG9" i="33"/>
  <c r="AH9" i="33"/>
  <c r="AI9" i="33"/>
  <c r="AJ9" i="33"/>
  <c r="AK9" i="33"/>
  <c r="AL9" i="33"/>
  <c r="AM9" i="33"/>
  <c r="AG10" i="33"/>
  <c r="AH10" i="33"/>
  <c r="AI10" i="33"/>
  <c r="AJ10" i="33"/>
  <c r="AK10" i="33"/>
  <c r="AL10" i="33"/>
  <c r="AM10" i="33"/>
  <c r="AG11" i="33"/>
  <c r="AH11" i="33"/>
  <c r="AI11" i="33"/>
  <c r="AJ11" i="33"/>
  <c r="AK11" i="33"/>
  <c r="AL11" i="33"/>
  <c r="AM11" i="33"/>
  <c r="AG12" i="33"/>
  <c r="AH12" i="33"/>
  <c r="AI12" i="33"/>
  <c r="AJ12" i="33"/>
  <c r="AK12" i="33"/>
  <c r="AL12" i="33"/>
  <c r="AM12" i="33"/>
  <c r="AG14" i="33"/>
  <c r="AH14" i="33"/>
  <c r="AI14" i="33"/>
  <c r="AJ14" i="33"/>
  <c r="AK14" i="33"/>
  <c r="AL14" i="33"/>
  <c r="AM14" i="33"/>
  <c r="AG15" i="33"/>
  <c r="AH15" i="33"/>
  <c r="AI15" i="33"/>
  <c r="AJ15" i="33"/>
  <c r="AK15" i="33"/>
  <c r="AL15" i="33"/>
  <c r="AM15" i="33"/>
  <c r="AG16" i="33"/>
  <c r="AH16" i="33"/>
  <c r="AI16" i="33"/>
  <c r="AJ16" i="33"/>
  <c r="AK16" i="33"/>
  <c r="AL16" i="33"/>
  <c r="AM16" i="33"/>
  <c r="AG17" i="33"/>
  <c r="AH17" i="33"/>
  <c r="AI17" i="33"/>
  <c r="AJ17" i="33"/>
  <c r="AK17" i="33"/>
  <c r="AL17" i="33"/>
  <c r="AM17" i="33"/>
  <c r="AG18" i="33"/>
  <c r="AH18" i="33"/>
  <c r="AI18" i="33"/>
  <c r="AJ18" i="33"/>
  <c r="AK18" i="33"/>
  <c r="AL18" i="33"/>
  <c r="AM18" i="33"/>
  <c r="AG19" i="33"/>
  <c r="AH19" i="33"/>
  <c r="AI19" i="33"/>
  <c r="AJ19" i="33"/>
  <c r="AK19" i="33"/>
  <c r="AL19" i="33"/>
  <c r="AM19" i="33"/>
  <c r="AG20" i="33"/>
  <c r="AH20" i="33"/>
  <c r="AI20" i="33"/>
  <c r="AJ20" i="33"/>
  <c r="AK20" i="33"/>
  <c r="AL20" i="33"/>
  <c r="AM20" i="33"/>
  <c r="AG21" i="33"/>
  <c r="AH21" i="33"/>
  <c r="AI21" i="33"/>
  <c r="AJ21" i="33"/>
  <c r="AK21" i="33"/>
  <c r="AL21" i="33"/>
  <c r="AM21" i="33"/>
  <c r="AG22" i="33"/>
  <c r="AH22" i="33"/>
  <c r="AI22" i="33"/>
  <c r="AJ22" i="33"/>
  <c r="AK22" i="33"/>
  <c r="AL22" i="33"/>
  <c r="AM22" i="33"/>
  <c r="AG23" i="33"/>
  <c r="AH23" i="33"/>
  <c r="AI23" i="33"/>
  <c r="AJ23" i="33"/>
  <c r="AK23" i="33"/>
  <c r="AL23" i="33"/>
  <c r="AM23" i="33"/>
  <c r="AG24" i="33"/>
  <c r="AH24" i="33"/>
  <c r="AI24" i="33"/>
  <c r="AJ24" i="33"/>
  <c r="AK24" i="33"/>
  <c r="AL24" i="33"/>
  <c r="AM24" i="33"/>
  <c r="AG25" i="33"/>
  <c r="AH25" i="33"/>
  <c r="AI25" i="33"/>
  <c r="AJ25" i="33"/>
  <c r="AK25" i="33"/>
  <c r="AL25" i="33"/>
  <c r="AM25" i="33"/>
  <c r="AG26" i="33"/>
  <c r="AH26" i="33"/>
  <c r="AI26" i="33"/>
  <c r="AJ26" i="33"/>
  <c r="AK26" i="33"/>
  <c r="AL26" i="33"/>
  <c r="AM26" i="33"/>
  <c r="AG27" i="33"/>
  <c r="AH27" i="33"/>
  <c r="AI27" i="33"/>
  <c r="AJ27" i="33"/>
  <c r="AK27" i="33"/>
  <c r="AL27" i="33"/>
  <c r="AM27" i="33"/>
  <c r="AG28" i="33"/>
  <c r="AH28" i="33"/>
  <c r="AI28" i="33"/>
  <c r="AJ28" i="33"/>
  <c r="AK28" i="33"/>
  <c r="AL28" i="33"/>
  <c r="AM28" i="33"/>
  <c r="AG29" i="33"/>
  <c r="AH29" i="33"/>
  <c r="AI29" i="33"/>
  <c r="AJ29" i="33"/>
  <c r="AK29" i="33"/>
  <c r="AL29" i="33"/>
  <c r="AM29" i="33"/>
  <c r="AG30" i="33"/>
  <c r="AH30" i="33"/>
  <c r="AI30" i="33"/>
  <c r="AJ30" i="33"/>
  <c r="AK30" i="33"/>
  <c r="AL30" i="33"/>
  <c r="AM30" i="33"/>
  <c r="AO2" i="33"/>
  <c r="AP2" i="33"/>
  <c r="AQ2" i="33"/>
  <c r="AR2" i="33"/>
  <c r="AS2" i="33"/>
  <c r="AT2" i="33"/>
  <c r="AN2" i="33"/>
  <c r="AN30" i="33"/>
  <c r="AO30" i="33"/>
  <c r="AP30" i="33"/>
  <c r="AQ30" i="33"/>
  <c r="AR30" i="33"/>
  <c r="AS30" i="33"/>
  <c r="AT30" i="33"/>
  <c r="AN29" i="33"/>
  <c r="AO29" i="33"/>
  <c r="AP29" i="33"/>
  <c r="AQ29" i="33"/>
  <c r="AR29" i="33"/>
  <c r="AS29" i="33"/>
  <c r="AT29" i="33"/>
  <c r="AN28" i="33"/>
  <c r="AO28" i="33"/>
  <c r="AP28" i="33"/>
  <c r="AQ28" i="33"/>
  <c r="AR28" i="33"/>
  <c r="AS28" i="33"/>
  <c r="AT28" i="33"/>
  <c r="AN27" i="33"/>
  <c r="AO27" i="33"/>
  <c r="AP27" i="33"/>
  <c r="AQ27" i="33"/>
  <c r="AR27" i="33"/>
  <c r="AS27" i="33"/>
  <c r="AT27" i="33"/>
  <c r="AN26" i="33"/>
  <c r="AO26" i="33"/>
  <c r="AP26" i="33"/>
  <c r="AQ26" i="33"/>
  <c r="AR26" i="33"/>
  <c r="AS26" i="33"/>
  <c r="AT26" i="33"/>
  <c r="AN25" i="33"/>
  <c r="AO25" i="33"/>
  <c r="AP25" i="33"/>
  <c r="AQ25" i="33"/>
  <c r="AR25" i="33"/>
  <c r="AS25" i="33"/>
  <c r="AT25" i="33"/>
  <c r="AN24" i="33"/>
  <c r="AO24" i="33"/>
  <c r="AP24" i="33"/>
  <c r="AQ24" i="33"/>
  <c r="AR24" i="33"/>
  <c r="AS24" i="33"/>
  <c r="AT24" i="33"/>
  <c r="AN23" i="33"/>
  <c r="AO23" i="33"/>
  <c r="AP23" i="33"/>
  <c r="AQ23" i="33"/>
  <c r="AR23" i="33"/>
  <c r="AS23" i="33"/>
  <c r="AT23" i="33"/>
  <c r="AN22" i="33"/>
  <c r="AO22" i="33"/>
  <c r="AP22" i="33"/>
  <c r="AQ22" i="33"/>
  <c r="AR22" i="33"/>
  <c r="AS22" i="33"/>
  <c r="AT22" i="33"/>
  <c r="AN21" i="33"/>
  <c r="AO21" i="33"/>
  <c r="AP21" i="33"/>
  <c r="AQ21" i="33"/>
  <c r="AR21" i="33"/>
  <c r="AS21" i="33"/>
  <c r="AT21" i="33"/>
  <c r="AN20" i="33"/>
  <c r="AO20" i="33"/>
  <c r="AP20" i="33"/>
  <c r="AQ20" i="33"/>
  <c r="AR20" i="33"/>
  <c r="AS20" i="33"/>
  <c r="AT20" i="33"/>
  <c r="AN19" i="33"/>
  <c r="AO19" i="33"/>
  <c r="AP19" i="33"/>
  <c r="AQ19" i="33"/>
  <c r="AR19" i="33"/>
  <c r="AS19" i="33"/>
  <c r="AT19" i="33"/>
  <c r="AN18" i="33"/>
  <c r="AO18" i="33"/>
  <c r="AP18" i="33"/>
  <c r="AQ18" i="33"/>
  <c r="AR18" i="33"/>
  <c r="AS18" i="33"/>
  <c r="AT18" i="33"/>
  <c r="AN17" i="33"/>
  <c r="AO17" i="33"/>
  <c r="AP17" i="33"/>
  <c r="AQ17" i="33"/>
  <c r="AR17" i="33"/>
  <c r="AS17" i="33"/>
  <c r="AT17" i="33"/>
  <c r="AN16" i="33"/>
  <c r="AO16" i="33"/>
  <c r="AP16" i="33"/>
  <c r="AQ16" i="33"/>
  <c r="AR16" i="33"/>
  <c r="AS16" i="33"/>
  <c r="AT16" i="33"/>
  <c r="AN15" i="33"/>
  <c r="AO15" i="33"/>
  <c r="AP15" i="33"/>
  <c r="AQ15" i="33"/>
  <c r="AR15" i="33"/>
  <c r="AS15" i="33"/>
  <c r="AT15" i="33"/>
  <c r="AN14" i="33"/>
  <c r="AO14" i="33"/>
  <c r="AP14" i="33"/>
  <c r="AQ14" i="33"/>
  <c r="AR14" i="33"/>
  <c r="AS14" i="33"/>
  <c r="AT14" i="33"/>
  <c r="AN12" i="33"/>
  <c r="AO12" i="33"/>
  <c r="AP12" i="33"/>
  <c r="AQ12" i="33"/>
  <c r="AR12" i="33"/>
  <c r="AS12" i="33"/>
  <c r="AT12" i="33"/>
  <c r="AN11" i="33"/>
  <c r="AO11" i="33"/>
  <c r="AP11" i="33"/>
  <c r="AQ11" i="33"/>
  <c r="AR11" i="33"/>
  <c r="AS11" i="33"/>
  <c r="AT11" i="33"/>
  <c r="AN10" i="33"/>
  <c r="AO10" i="33"/>
  <c r="AP10" i="33"/>
  <c r="AQ10" i="33"/>
  <c r="AR10" i="33"/>
  <c r="AS10" i="33"/>
  <c r="AT10" i="33"/>
  <c r="AN9" i="33"/>
  <c r="AO9" i="33"/>
  <c r="AP9" i="33"/>
  <c r="AQ9" i="33"/>
  <c r="AR9" i="33"/>
  <c r="AS9" i="33"/>
  <c r="AT9" i="33"/>
  <c r="AN8" i="33"/>
  <c r="AO8" i="33"/>
  <c r="AP8" i="33"/>
  <c r="AQ8" i="33"/>
  <c r="AR8" i="33"/>
  <c r="AS8" i="33"/>
  <c r="AT8" i="33"/>
  <c r="AN7" i="33"/>
  <c r="AO7" i="33"/>
  <c r="AP7" i="33"/>
  <c r="AQ7" i="33"/>
  <c r="AR7" i="33"/>
  <c r="AS7" i="33"/>
  <c r="AT7" i="33"/>
  <c r="AN6" i="33"/>
  <c r="AO6" i="33"/>
  <c r="AP6" i="33"/>
  <c r="AQ6" i="33"/>
  <c r="AR6" i="33"/>
  <c r="AS6" i="33"/>
  <c r="AT6" i="33"/>
  <c r="AN5" i="33"/>
  <c r="AO5" i="33"/>
  <c r="AP5" i="33"/>
  <c r="AQ5" i="33"/>
  <c r="AR5" i="33"/>
  <c r="AS5" i="33"/>
  <c r="AT5" i="33"/>
  <c r="AN4" i="33"/>
  <c r="AO4" i="33"/>
  <c r="AP4" i="33"/>
  <c r="AQ4" i="33"/>
  <c r="AR4" i="33"/>
  <c r="AS4" i="33"/>
  <c r="AT4" i="33"/>
  <c r="AN3" i="33"/>
  <c r="AO3" i="33"/>
  <c r="AP3" i="33"/>
  <c r="AQ3" i="33"/>
  <c r="AR3" i="33"/>
  <c r="AS3" i="33"/>
  <c r="AT3" i="33"/>
  <c r="BA2" i="33"/>
  <c r="AZ2" i="33"/>
  <c r="AY2" i="33"/>
  <c r="AX2" i="33"/>
  <c r="AW2" i="33"/>
  <c r="AV2" i="33"/>
  <c r="AU2" i="33"/>
  <c r="AU30" i="33"/>
  <c r="AV30" i="33"/>
  <c r="AW30" i="33"/>
  <c r="AX30" i="33"/>
  <c r="AY30" i="33"/>
  <c r="AZ30" i="33"/>
  <c r="BA30" i="33"/>
  <c r="AU29" i="33"/>
  <c r="AV29" i="33"/>
  <c r="AW29" i="33"/>
  <c r="AX29" i="33"/>
  <c r="AY29" i="33"/>
  <c r="AZ29" i="33"/>
  <c r="BA29" i="33"/>
  <c r="AU28" i="33"/>
  <c r="AV28" i="33"/>
  <c r="AW28" i="33"/>
  <c r="AX28" i="33"/>
  <c r="AY28" i="33"/>
  <c r="AZ28" i="33"/>
  <c r="BA28" i="33"/>
  <c r="AU27" i="33"/>
  <c r="AV27" i="33"/>
  <c r="AW27" i="33"/>
  <c r="AX27" i="33"/>
  <c r="AY27" i="33"/>
  <c r="AZ27" i="33"/>
  <c r="BA27" i="33"/>
  <c r="AU26" i="33"/>
  <c r="AV26" i="33"/>
  <c r="AW26" i="33"/>
  <c r="AX26" i="33"/>
  <c r="AY26" i="33"/>
  <c r="AZ26" i="33"/>
  <c r="BA26" i="33"/>
  <c r="AU25" i="33"/>
  <c r="AV25" i="33"/>
  <c r="AW25" i="33"/>
  <c r="AX25" i="33"/>
  <c r="AY25" i="33"/>
  <c r="AZ25" i="33"/>
  <c r="BA25" i="33"/>
  <c r="AU24" i="33"/>
  <c r="AV24" i="33"/>
  <c r="AW24" i="33"/>
  <c r="AX24" i="33"/>
  <c r="AY24" i="33"/>
  <c r="AZ24" i="33"/>
  <c r="BA24" i="33"/>
  <c r="AU23" i="33"/>
  <c r="AV23" i="33"/>
  <c r="AW23" i="33"/>
  <c r="AX23" i="33"/>
  <c r="AY23" i="33"/>
  <c r="AZ23" i="33"/>
  <c r="BA23" i="33"/>
  <c r="AU22" i="33"/>
  <c r="AV22" i="33"/>
  <c r="AW22" i="33"/>
  <c r="AX22" i="33"/>
  <c r="AY22" i="33"/>
  <c r="AZ22" i="33"/>
  <c r="BA22" i="33"/>
  <c r="AU21" i="33"/>
  <c r="AV21" i="33"/>
  <c r="AW21" i="33"/>
  <c r="AX21" i="33"/>
  <c r="AY21" i="33"/>
  <c r="AZ21" i="33"/>
  <c r="BA21" i="33"/>
  <c r="AU20" i="33"/>
  <c r="AV20" i="33"/>
  <c r="AW20" i="33"/>
  <c r="AX20" i="33"/>
  <c r="AY20" i="33"/>
  <c r="AZ20" i="33"/>
  <c r="BA20" i="33"/>
  <c r="AU19" i="33"/>
  <c r="AV19" i="33"/>
  <c r="AW19" i="33"/>
  <c r="AX19" i="33"/>
  <c r="AY19" i="33"/>
  <c r="AZ19" i="33"/>
  <c r="BA19" i="33"/>
  <c r="AU18" i="33"/>
  <c r="AV18" i="33"/>
  <c r="AW18" i="33"/>
  <c r="AX18" i="33"/>
  <c r="AY18" i="33"/>
  <c r="AZ18" i="33"/>
  <c r="BA18" i="33"/>
  <c r="AU17" i="33"/>
  <c r="AV17" i="33"/>
  <c r="AW17" i="33"/>
  <c r="AX17" i="33"/>
  <c r="AY17" i="33"/>
  <c r="AZ17" i="33"/>
  <c r="BA17" i="33"/>
  <c r="AU16" i="33"/>
  <c r="AV16" i="33"/>
  <c r="AW16" i="33"/>
  <c r="AX16" i="33"/>
  <c r="AY16" i="33"/>
  <c r="AZ16" i="33"/>
  <c r="BA16" i="33"/>
  <c r="AU15" i="33"/>
  <c r="AV15" i="33"/>
  <c r="AW15" i="33"/>
  <c r="AX15" i="33"/>
  <c r="AY15" i="33"/>
  <c r="AZ15" i="33"/>
  <c r="BA15" i="33"/>
  <c r="AU14" i="33"/>
  <c r="AV14" i="33"/>
  <c r="AW14" i="33"/>
  <c r="AX14" i="33"/>
  <c r="AY14" i="33"/>
  <c r="AZ14" i="33"/>
  <c r="BA14" i="33"/>
  <c r="AU12" i="33"/>
  <c r="AV12" i="33"/>
  <c r="AW12" i="33"/>
  <c r="AX12" i="33"/>
  <c r="AY12" i="33"/>
  <c r="AZ12" i="33"/>
  <c r="BA12" i="33"/>
  <c r="AU11" i="33"/>
  <c r="AV11" i="33"/>
  <c r="AW11" i="33"/>
  <c r="AX11" i="33"/>
  <c r="AY11" i="33"/>
  <c r="AZ11" i="33"/>
  <c r="BA11" i="33"/>
  <c r="AU10" i="33"/>
  <c r="AV10" i="33"/>
  <c r="AW10" i="33"/>
  <c r="AX10" i="33"/>
  <c r="AY10" i="33"/>
  <c r="AZ10" i="33"/>
  <c r="BA10" i="33"/>
  <c r="AU9" i="33"/>
  <c r="AV9" i="33"/>
  <c r="AW9" i="33"/>
  <c r="AX9" i="33"/>
  <c r="AY9" i="33"/>
  <c r="AZ9" i="33"/>
  <c r="BA9" i="33"/>
  <c r="AU8" i="33"/>
  <c r="AV8" i="33"/>
  <c r="AW8" i="33"/>
  <c r="AX8" i="33"/>
  <c r="AY8" i="33"/>
  <c r="AZ8" i="33"/>
  <c r="BA8" i="33"/>
  <c r="AU7" i="33"/>
  <c r="AV7" i="33"/>
  <c r="AW7" i="33"/>
  <c r="AX7" i="33"/>
  <c r="AY7" i="33"/>
  <c r="AZ7" i="33"/>
  <c r="BA7" i="33"/>
  <c r="AU6" i="33"/>
  <c r="AV6" i="33"/>
  <c r="AW6" i="33"/>
  <c r="AX6" i="33"/>
  <c r="AY6" i="33"/>
  <c r="AZ6" i="33"/>
  <c r="BA6" i="33"/>
  <c r="AU5" i="33"/>
  <c r="AV5" i="33"/>
  <c r="AW5" i="33"/>
  <c r="AX5" i="33"/>
  <c r="AY5" i="33"/>
  <c r="AZ5" i="33"/>
  <c r="BA5" i="33"/>
  <c r="AU4" i="33"/>
  <c r="AV4" i="33"/>
  <c r="AW4" i="33"/>
  <c r="AX4" i="33"/>
  <c r="AY4" i="33"/>
  <c r="AZ4" i="33"/>
  <c r="BA4" i="33"/>
  <c r="AU3" i="33"/>
  <c r="AV3" i="33"/>
  <c r="AW3" i="33"/>
  <c r="AX3" i="33"/>
  <c r="AY3" i="33"/>
  <c r="AZ3" i="33"/>
  <c r="BA3" i="33"/>
  <c r="BH2" i="33"/>
  <c r="BG2" i="33"/>
  <c r="BF2" i="33"/>
  <c r="BE2" i="33"/>
  <c r="BD2" i="33"/>
  <c r="BC2" i="33"/>
  <c r="BB2" i="33"/>
  <c r="BB30" i="33"/>
  <c r="BC30" i="33"/>
  <c r="BD30" i="33"/>
  <c r="BE30" i="33"/>
  <c r="BF30" i="33"/>
  <c r="BG30" i="33"/>
  <c r="BH30" i="33"/>
  <c r="BB29" i="33"/>
  <c r="BC29" i="33"/>
  <c r="BD29" i="33"/>
  <c r="BE29" i="33"/>
  <c r="BF29" i="33"/>
  <c r="BG29" i="33"/>
  <c r="BH29" i="33"/>
  <c r="BB28" i="33"/>
  <c r="BC28" i="33"/>
  <c r="BD28" i="33"/>
  <c r="BE28" i="33"/>
  <c r="BF28" i="33"/>
  <c r="BG28" i="33"/>
  <c r="BH28" i="33"/>
  <c r="BB27" i="33"/>
  <c r="BC27" i="33"/>
  <c r="BD27" i="33"/>
  <c r="BE27" i="33"/>
  <c r="BF27" i="33"/>
  <c r="BG27" i="33"/>
  <c r="BH27" i="33"/>
  <c r="BB26" i="33"/>
  <c r="BC26" i="33"/>
  <c r="BD26" i="33"/>
  <c r="BE26" i="33"/>
  <c r="BF26" i="33"/>
  <c r="BG26" i="33"/>
  <c r="BH26" i="33"/>
  <c r="BB25" i="33"/>
  <c r="BC25" i="33"/>
  <c r="BD25" i="33"/>
  <c r="BE25" i="33"/>
  <c r="BF25" i="33"/>
  <c r="BG25" i="33"/>
  <c r="BH25" i="33"/>
  <c r="BB24" i="33"/>
  <c r="BC24" i="33"/>
  <c r="BD24" i="33"/>
  <c r="BE24" i="33"/>
  <c r="BF24" i="33"/>
  <c r="BG24" i="33"/>
  <c r="BH24" i="33"/>
  <c r="BB23" i="33"/>
  <c r="BC23" i="33"/>
  <c r="BD23" i="33"/>
  <c r="BE23" i="33"/>
  <c r="BF23" i="33"/>
  <c r="BG23" i="33"/>
  <c r="BH23" i="33"/>
  <c r="BB22" i="33"/>
  <c r="BC22" i="33"/>
  <c r="BD22" i="33"/>
  <c r="BE22" i="33"/>
  <c r="BF22" i="33"/>
  <c r="BG22" i="33"/>
  <c r="BH22" i="33"/>
  <c r="BB21" i="33"/>
  <c r="BC21" i="33"/>
  <c r="BD21" i="33"/>
  <c r="BE21" i="33"/>
  <c r="BF21" i="33"/>
  <c r="BG21" i="33"/>
  <c r="BH21" i="33"/>
  <c r="BB20" i="33"/>
  <c r="BC20" i="33"/>
  <c r="BD20" i="33"/>
  <c r="BE20" i="33"/>
  <c r="BF20" i="33"/>
  <c r="BG20" i="33"/>
  <c r="BH20" i="33"/>
  <c r="BB19" i="33"/>
  <c r="BC19" i="33"/>
  <c r="BD19" i="33"/>
  <c r="BE19" i="33"/>
  <c r="BF19" i="33"/>
  <c r="BG19" i="33"/>
  <c r="BH19" i="33"/>
  <c r="BB18" i="33"/>
  <c r="BC18" i="33"/>
  <c r="BD18" i="33"/>
  <c r="BE18" i="33"/>
  <c r="BF18" i="33"/>
  <c r="BG18" i="33"/>
  <c r="BH18" i="33"/>
  <c r="BB17" i="33"/>
  <c r="BC17" i="33"/>
  <c r="BD17" i="33"/>
  <c r="BE17" i="33"/>
  <c r="BF17" i="33"/>
  <c r="BG17" i="33"/>
  <c r="BH17" i="33"/>
  <c r="BB16" i="33"/>
  <c r="BC16" i="33"/>
  <c r="BD16" i="33"/>
  <c r="BE16" i="33"/>
  <c r="BF16" i="33"/>
  <c r="BG16" i="33"/>
  <c r="BH16" i="33"/>
  <c r="BB15" i="33"/>
  <c r="BC15" i="33"/>
  <c r="BD15" i="33"/>
  <c r="BE15" i="33"/>
  <c r="BF15" i="33"/>
  <c r="BG15" i="33"/>
  <c r="BH15" i="33"/>
  <c r="BB14" i="33"/>
  <c r="BC14" i="33"/>
  <c r="BD14" i="33"/>
  <c r="BE14" i="33"/>
  <c r="BF14" i="33"/>
  <c r="BG14" i="33"/>
  <c r="BH14" i="33"/>
  <c r="BB12" i="33"/>
  <c r="BC12" i="33"/>
  <c r="BD12" i="33"/>
  <c r="BE12" i="33"/>
  <c r="BF12" i="33"/>
  <c r="BG12" i="33"/>
  <c r="BH12" i="33"/>
  <c r="BB11" i="33"/>
  <c r="BC11" i="33"/>
  <c r="BD11" i="33"/>
  <c r="BE11" i="33"/>
  <c r="BF11" i="33"/>
  <c r="BG11" i="33"/>
  <c r="BH11" i="33"/>
  <c r="BB10" i="33"/>
  <c r="BC10" i="33"/>
  <c r="BD10" i="33"/>
  <c r="BE10" i="33"/>
  <c r="BF10" i="33"/>
  <c r="BG10" i="33"/>
  <c r="BH10" i="33"/>
  <c r="BB9" i="33"/>
  <c r="BC9" i="33"/>
  <c r="BD9" i="33"/>
  <c r="BE9" i="33"/>
  <c r="BF9" i="33"/>
  <c r="BG9" i="33"/>
  <c r="BH9" i="33"/>
  <c r="BB8" i="33"/>
  <c r="BC8" i="33"/>
  <c r="BD8" i="33"/>
  <c r="BE8" i="33"/>
  <c r="BF8" i="33"/>
  <c r="BG8" i="33"/>
  <c r="BH8" i="33"/>
  <c r="BB7" i="33"/>
  <c r="BC7" i="33"/>
  <c r="BD7" i="33"/>
  <c r="BE7" i="33"/>
  <c r="BF7" i="33"/>
  <c r="BG7" i="33"/>
  <c r="BH7" i="33"/>
  <c r="BB6" i="33"/>
  <c r="BC6" i="33"/>
  <c r="BD6" i="33"/>
  <c r="BE6" i="33"/>
  <c r="BF6" i="33"/>
  <c r="BG6" i="33"/>
  <c r="BH6" i="33"/>
  <c r="BB5" i="33"/>
  <c r="BC5" i="33"/>
  <c r="BD5" i="33"/>
  <c r="BE5" i="33"/>
  <c r="BF5" i="33"/>
  <c r="BG5" i="33"/>
  <c r="BH5" i="33"/>
  <c r="BB4" i="33"/>
  <c r="BC4" i="33"/>
  <c r="BD4" i="33"/>
  <c r="BE4" i="33"/>
  <c r="BF4" i="33"/>
  <c r="BG4" i="33"/>
  <c r="BH4" i="33"/>
  <c r="BB3" i="33"/>
  <c r="BC3" i="33"/>
  <c r="BD3" i="33"/>
  <c r="BE3" i="33"/>
  <c r="BF3" i="33"/>
  <c r="BG3" i="33"/>
  <c r="BH3" i="33"/>
  <c r="BO2" i="33"/>
  <c r="BN2" i="33"/>
  <c r="BM2" i="33"/>
  <c r="BL2" i="33"/>
  <c r="BK2" i="33"/>
  <c r="BJ2" i="33"/>
  <c r="BI2" i="33"/>
  <c r="BI30" i="33"/>
  <c r="BJ30" i="33"/>
  <c r="BK30" i="33"/>
  <c r="BL30" i="33"/>
  <c r="BM30" i="33"/>
  <c r="BN30" i="33"/>
  <c r="BO30" i="33"/>
  <c r="BI29" i="33"/>
  <c r="BJ29" i="33"/>
  <c r="BK29" i="33"/>
  <c r="BL29" i="33"/>
  <c r="BM29" i="33"/>
  <c r="BN29" i="33"/>
  <c r="BO29" i="33"/>
  <c r="BI28" i="33"/>
  <c r="BJ28" i="33"/>
  <c r="BK28" i="33"/>
  <c r="BL28" i="33"/>
  <c r="BM28" i="33"/>
  <c r="BN28" i="33"/>
  <c r="BO28" i="33"/>
  <c r="BI27" i="33"/>
  <c r="BJ27" i="33"/>
  <c r="BK27" i="33"/>
  <c r="BL27" i="33"/>
  <c r="BM27" i="33"/>
  <c r="BN27" i="33"/>
  <c r="BO27" i="33"/>
  <c r="BI26" i="33"/>
  <c r="BJ26" i="33"/>
  <c r="BK26" i="33"/>
  <c r="BL26" i="33"/>
  <c r="BM26" i="33"/>
  <c r="BN26" i="33"/>
  <c r="BO26" i="33"/>
  <c r="BI25" i="33"/>
  <c r="BJ25" i="33"/>
  <c r="BK25" i="33"/>
  <c r="BL25" i="33"/>
  <c r="BM25" i="33"/>
  <c r="BN25" i="33"/>
  <c r="BO25" i="33"/>
  <c r="BI24" i="33"/>
  <c r="BJ24" i="33"/>
  <c r="BK24" i="33"/>
  <c r="BL24" i="33"/>
  <c r="BM24" i="33"/>
  <c r="BN24" i="33"/>
  <c r="BO24" i="33"/>
  <c r="BI23" i="33"/>
  <c r="BJ23" i="33"/>
  <c r="BK23" i="33"/>
  <c r="BL23" i="33"/>
  <c r="BM23" i="33"/>
  <c r="BN23" i="33"/>
  <c r="BO23" i="33"/>
  <c r="BI22" i="33"/>
  <c r="BJ22" i="33"/>
  <c r="BK22" i="33"/>
  <c r="BL22" i="33"/>
  <c r="BM22" i="33"/>
  <c r="BN22" i="33"/>
  <c r="BO22" i="33"/>
  <c r="BI21" i="33"/>
  <c r="BJ21" i="33"/>
  <c r="BK21" i="33"/>
  <c r="BL21" i="33"/>
  <c r="BM21" i="33"/>
  <c r="BN21" i="33"/>
  <c r="BO21" i="33"/>
  <c r="BI20" i="33"/>
  <c r="BJ20" i="33"/>
  <c r="BK20" i="33"/>
  <c r="BL20" i="33"/>
  <c r="BM20" i="33"/>
  <c r="BN20" i="33"/>
  <c r="BO20" i="33"/>
  <c r="BI19" i="33"/>
  <c r="BJ19" i="33"/>
  <c r="BK19" i="33"/>
  <c r="BL19" i="33"/>
  <c r="BM19" i="33"/>
  <c r="BN19" i="33"/>
  <c r="BO19" i="33"/>
  <c r="BI18" i="33"/>
  <c r="BJ18" i="33"/>
  <c r="BK18" i="33"/>
  <c r="BL18" i="33"/>
  <c r="BM18" i="33"/>
  <c r="BN18" i="33"/>
  <c r="BO18" i="33"/>
  <c r="BI17" i="33"/>
  <c r="BJ17" i="33"/>
  <c r="BK17" i="33"/>
  <c r="BL17" i="33"/>
  <c r="BM17" i="33"/>
  <c r="BN17" i="33"/>
  <c r="BO17" i="33"/>
  <c r="BI16" i="33"/>
  <c r="BJ16" i="33"/>
  <c r="BK16" i="33"/>
  <c r="BL16" i="33"/>
  <c r="BM16" i="33"/>
  <c r="BN16" i="33"/>
  <c r="BO16" i="33"/>
  <c r="BI15" i="33"/>
  <c r="BJ15" i="33"/>
  <c r="BK15" i="33"/>
  <c r="BL15" i="33"/>
  <c r="BM15" i="33"/>
  <c r="BN15" i="33"/>
  <c r="BO15" i="33"/>
  <c r="BI14" i="33"/>
  <c r="BJ14" i="33"/>
  <c r="BK14" i="33"/>
  <c r="BL14" i="33"/>
  <c r="BM14" i="33"/>
  <c r="BN14" i="33"/>
  <c r="BO14" i="33"/>
  <c r="BI12" i="33"/>
  <c r="BJ12" i="33"/>
  <c r="BK12" i="33"/>
  <c r="BL12" i="33"/>
  <c r="BM12" i="33"/>
  <c r="BN12" i="33"/>
  <c r="BO12" i="33"/>
  <c r="BI11" i="33"/>
  <c r="BJ11" i="33"/>
  <c r="BK11" i="33"/>
  <c r="BL11" i="33"/>
  <c r="BM11" i="33"/>
  <c r="BN11" i="33"/>
  <c r="BO11" i="33"/>
  <c r="BI10" i="33"/>
  <c r="BJ10" i="33"/>
  <c r="BK10" i="33"/>
  <c r="BL10" i="33"/>
  <c r="BM10" i="33"/>
  <c r="BN10" i="33"/>
  <c r="BO10" i="33"/>
  <c r="BI9" i="33"/>
  <c r="BJ9" i="33"/>
  <c r="BK9" i="33"/>
  <c r="BL9" i="33"/>
  <c r="BM9" i="33"/>
  <c r="BN9" i="33"/>
  <c r="BO9" i="33"/>
  <c r="BI8" i="33"/>
  <c r="BJ8" i="33"/>
  <c r="BK8" i="33"/>
  <c r="BL8" i="33"/>
  <c r="BM8" i="33"/>
  <c r="BN8" i="33"/>
  <c r="BO8" i="33"/>
  <c r="BI7" i="33"/>
  <c r="BJ7" i="33"/>
  <c r="BK7" i="33"/>
  <c r="BL7" i="33"/>
  <c r="BM7" i="33"/>
  <c r="BN7" i="33"/>
  <c r="BO7" i="33"/>
  <c r="BI6" i="33"/>
  <c r="BJ6" i="33"/>
  <c r="BK6" i="33"/>
  <c r="BL6" i="33"/>
  <c r="BM6" i="33"/>
  <c r="BN6" i="33"/>
  <c r="BO6" i="33"/>
  <c r="BI5" i="33"/>
  <c r="BJ5" i="33"/>
  <c r="BK5" i="33"/>
  <c r="BL5" i="33"/>
  <c r="BM5" i="33"/>
  <c r="BN5" i="33"/>
  <c r="BO5" i="33"/>
  <c r="BI4" i="33"/>
  <c r="BJ4" i="33"/>
  <c r="BK4" i="33"/>
  <c r="BL4" i="33"/>
  <c r="BM4" i="33"/>
  <c r="BN4" i="33"/>
  <c r="BO4" i="33"/>
  <c r="BI3" i="33"/>
  <c r="BJ3" i="33"/>
  <c r="BK3" i="33"/>
  <c r="BL3" i="33"/>
  <c r="BM3" i="33"/>
  <c r="BN3" i="33"/>
  <c r="BO3" i="33"/>
  <c r="BQ2" i="33"/>
  <c r="BR2" i="33"/>
  <c r="BS2" i="33"/>
  <c r="BT2" i="33"/>
  <c r="BU2" i="33"/>
  <c r="BV2" i="33"/>
  <c r="BP2" i="33"/>
  <c r="BP30" i="33"/>
  <c r="BQ30" i="33"/>
  <c r="BR30" i="33"/>
  <c r="BS30" i="33"/>
  <c r="BT30" i="33"/>
  <c r="BU30" i="33"/>
  <c r="BV30" i="33"/>
  <c r="BP29" i="33"/>
  <c r="BQ29" i="33"/>
  <c r="BR29" i="33"/>
  <c r="BS29" i="33"/>
  <c r="BT29" i="33"/>
  <c r="BU29" i="33"/>
  <c r="BV29" i="33"/>
  <c r="BP28" i="33"/>
  <c r="BQ28" i="33"/>
  <c r="BR28" i="33"/>
  <c r="BS28" i="33"/>
  <c r="BT28" i="33"/>
  <c r="BU28" i="33"/>
  <c r="BV28" i="33"/>
  <c r="BP27" i="33"/>
  <c r="BQ27" i="33"/>
  <c r="BR27" i="33"/>
  <c r="BS27" i="33"/>
  <c r="BT27" i="33"/>
  <c r="BU27" i="33"/>
  <c r="BV27" i="33"/>
  <c r="BP26" i="33"/>
  <c r="BQ26" i="33"/>
  <c r="BR26" i="33"/>
  <c r="BS26" i="33"/>
  <c r="BT26" i="33"/>
  <c r="BU26" i="33"/>
  <c r="BV26" i="33"/>
  <c r="BP25" i="33"/>
  <c r="BQ25" i="33"/>
  <c r="BR25" i="33"/>
  <c r="BS25" i="33"/>
  <c r="BT25" i="33"/>
  <c r="BU25" i="33"/>
  <c r="BV25" i="33"/>
  <c r="BP24" i="33"/>
  <c r="BQ24" i="33"/>
  <c r="BR24" i="33"/>
  <c r="BS24" i="33"/>
  <c r="BT24" i="33"/>
  <c r="BU24" i="33"/>
  <c r="BV24" i="33"/>
  <c r="BP23" i="33"/>
  <c r="BQ23" i="33"/>
  <c r="BR23" i="33"/>
  <c r="BS23" i="33"/>
  <c r="BT23" i="33"/>
  <c r="BU23" i="33"/>
  <c r="BV23" i="33"/>
  <c r="BP22" i="33"/>
  <c r="BQ22" i="33"/>
  <c r="BR22" i="33"/>
  <c r="BS22" i="33"/>
  <c r="BT22" i="33"/>
  <c r="BU22" i="33"/>
  <c r="BV22" i="33"/>
  <c r="BP21" i="33"/>
  <c r="BQ21" i="33"/>
  <c r="BR21" i="33"/>
  <c r="BS21" i="33"/>
  <c r="BT21" i="33"/>
  <c r="BU21" i="33"/>
  <c r="BV21" i="33"/>
  <c r="BP20" i="33"/>
  <c r="BQ20" i="33"/>
  <c r="BR20" i="33"/>
  <c r="BS20" i="33"/>
  <c r="BT20" i="33"/>
  <c r="BU20" i="33"/>
  <c r="BV20" i="33"/>
  <c r="BP19" i="33"/>
  <c r="BQ19" i="33"/>
  <c r="BR19" i="33"/>
  <c r="BS19" i="33"/>
  <c r="BT19" i="33"/>
  <c r="BU19" i="33"/>
  <c r="BV19" i="33"/>
  <c r="BP18" i="33"/>
  <c r="BQ18" i="33"/>
  <c r="BR18" i="33"/>
  <c r="BS18" i="33"/>
  <c r="BT18" i="33"/>
  <c r="BU18" i="33"/>
  <c r="BV18" i="33"/>
  <c r="BP17" i="33"/>
  <c r="BQ17" i="33"/>
  <c r="BR17" i="33"/>
  <c r="BS17" i="33"/>
  <c r="BT17" i="33"/>
  <c r="BU17" i="33"/>
  <c r="BV17" i="33"/>
  <c r="BP16" i="33"/>
  <c r="BQ16" i="33"/>
  <c r="BR16" i="33"/>
  <c r="BS16" i="33"/>
  <c r="BT16" i="33"/>
  <c r="BU16" i="33"/>
  <c r="BV16" i="33"/>
  <c r="BP15" i="33"/>
  <c r="BQ15" i="33"/>
  <c r="BR15" i="33"/>
  <c r="BS15" i="33"/>
  <c r="BT15" i="33"/>
  <c r="BU15" i="33"/>
  <c r="BV15" i="33"/>
  <c r="BP14" i="33"/>
  <c r="BQ14" i="33"/>
  <c r="BR14" i="33"/>
  <c r="BS14" i="33"/>
  <c r="BT14" i="33"/>
  <c r="BU14" i="33"/>
  <c r="BV14" i="33"/>
  <c r="BP12" i="33"/>
  <c r="BQ12" i="33"/>
  <c r="BR12" i="33"/>
  <c r="BS12" i="33"/>
  <c r="BT12" i="33"/>
  <c r="BU12" i="33"/>
  <c r="BV12" i="33"/>
  <c r="BP11" i="33"/>
  <c r="BQ11" i="33"/>
  <c r="BR11" i="33"/>
  <c r="BS11" i="33"/>
  <c r="BT11" i="33"/>
  <c r="BU11" i="33"/>
  <c r="BV11" i="33"/>
  <c r="BP10" i="33"/>
  <c r="BQ10" i="33"/>
  <c r="BR10" i="33"/>
  <c r="BS10" i="33"/>
  <c r="BT10" i="33"/>
  <c r="BU10" i="33"/>
  <c r="BV10" i="33"/>
  <c r="BP9" i="33"/>
  <c r="BQ9" i="33"/>
  <c r="BR9" i="33"/>
  <c r="BS9" i="33"/>
  <c r="BT9" i="33"/>
  <c r="BU9" i="33"/>
  <c r="BV9" i="33"/>
  <c r="BP8" i="33"/>
  <c r="BQ8" i="33"/>
  <c r="BR8" i="33"/>
  <c r="BS8" i="33"/>
  <c r="BT8" i="33"/>
  <c r="BU8" i="33"/>
  <c r="BV8" i="33"/>
  <c r="BP7" i="33"/>
  <c r="BQ7" i="33"/>
  <c r="BR7" i="33"/>
  <c r="BS7" i="33"/>
  <c r="BT7" i="33"/>
  <c r="BU7" i="33"/>
  <c r="BV7" i="33"/>
  <c r="BP6" i="33"/>
  <c r="BQ6" i="33"/>
  <c r="BR6" i="33"/>
  <c r="BS6" i="33"/>
  <c r="BT6" i="33"/>
  <c r="BU6" i="33"/>
  <c r="BV6" i="33"/>
  <c r="BP5" i="33"/>
  <c r="BQ5" i="33"/>
  <c r="BR5" i="33"/>
  <c r="BS5" i="33"/>
  <c r="BT5" i="33"/>
  <c r="BU5" i="33"/>
  <c r="BV5" i="33"/>
  <c r="BP4" i="33"/>
  <c r="BQ4" i="33"/>
  <c r="BR4" i="33"/>
  <c r="BS4" i="33"/>
  <c r="BT4" i="33"/>
  <c r="BU4" i="33"/>
  <c r="BV4" i="33"/>
  <c r="BP3" i="33"/>
  <c r="BQ3" i="33"/>
  <c r="BR3" i="33"/>
  <c r="BS3" i="33"/>
  <c r="BT3" i="33"/>
  <c r="BU3" i="33"/>
  <c r="BV3" i="33"/>
  <c r="CC2" i="33"/>
  <c r="CB2" i="33"/>
  <c r="CA2" i="33"/>
  <c r="BZ2" i="33"/>
  <c r="BY2" i="33"/>
  <c r="BX2" i="33"/>
  <c r="BW2" i="33"/>
  <c r="BW30" i="33"/>
  <c r="BX30" i="33"/>
  <c r="BY30" i="33"/>
  <c r="BZ30" i="33"/>
  <c r="CA30" i="33"/>
  <c r="CB30" i="33"/>
  <c r="CC30" i="33"/>
  <c r="BW29" i="33"/>
  <c r="BX29" i="33"/>
  <c r="BY29" i="33"/>
  <c r="BZ29" i="33"/>
  <c r="CA29" i="33"/>
  <c r="CB29" i="33"/>
  <c r="CC29" i="33"/>
  <c r="BW28" i="33"/>
  <c r="BX28" i="33"/>
  <c r="BY28" i="33"/>
  <c r="BZ28" i="33"/>
  <c r="CA28" i="33"/>
  <c r="CB28" i="33"/>
  <c r="CC28" i="33"/>
  <c r="BW27" i="33"/>
  <c r="BX27" i="33"/>
  <c r="BY27" i="33"/>
  <c r="BZ27" i="33"/>
  <c r="CA27" i="33"/>
  <c r="CB27" i="33"/>
  <c r="CC27" i="33"/>
  <c r="BW26" i="33"/>
  <c r="BX26" i="33"/>
  <c r="BY26" i="33"/>
  <c r="BZ26" i="33"/>
  <c r="CA26" i="33"/>
  <c r="CB26" i="33"/>
  <c r="CC26" i="33"/>
  <c r="BW25" i="33"/>
  <c r="BX25" i="33"/>
  <c r="BY25" i="33"/>
  <c r="BZ25" i="33"/>
  <c r="CA25" i="33"/>
  <c r="CB25" i="33"/>
  <c r="CC25" i="33"/>
  <c r="BW24" i="33"/>
  <c r="BX24" i="33"/>
  <c r="BY24" i="33"/>
  <c r="BZ24" i="33"/>
  <c r="CA24" i="33"/>
  <c r="CB24" i="33"/>
  <c r="CC24" i="33"/>
  <c r="BW23" i="33"/>
  <c r="BX23" i="33"/>
  <c r="BY23" i="33"/>
  <c r="BZ23" i="33"/>
  <c r="CA23" i="33"/>
  <c r="CB23" i="33"/>
  <c r="CC23" i="33"/>
  <c r="BW22" i="33"/>
  <c r="BX22" i="33"/>
  <c r="BY22" i="33"/>
  <c r="BZ22" i="33"/>
  <c r="CA22" i="33"/>
  <c r="CB22" i="33"/>
  <c r="CC22" i="33"/>
  <c r="BW21" i="33"/>
  <c r="BX21" i="33"/>
  <c r="BY21" i="33"/>
  <c r="BZ21" i="33"/>
  <c r="CA21" i="33"/>
  <c r="CB21" i="33"/>
  <c r="CC21" i="33"/>
  <c r="BW20" i="33"/>
  <c r="BX20" i="33"/>
  <c r="BY20" i="33"/>
  <c r="BZ20" i="33"/>
  <c r="CA20" i="33"/>
  <c r="CB20" i="33"/>
  <c r="CC20" i="33"/>
  <c r="BW19" i="33"/>
  <c r="BX19" i="33"/>
  <c r="BY19" i="33"/>
  <c r="BZ19" i="33"/>
  <c r="CA19" i="33"/>
  <c r="CB19" i="33"/>
  <c r="CC19" i="33"/>
  <c r="BW18" i="33"/>
  <c r="BX18" i="33"/>
  <c r="BY18" i="33"/>
  <c r="BZ18" i="33"/>
  <c r="CA18" i="33"/>
  <c r="CB18" i="33"/>
  <c r="CC18" i="33"/>
  <c r="BW17" i="33"/>
  <c r="BX17" i="33"/>
  <c r="BY17" i="33"/>
  <c r="BZ17" i="33"/>
  <c r="CA17" i="33"/>
  <c r="CB17" i="33"/>
  <c r="CC17" i="33"/>
  <c r="BW16" i="33"/>
  <c r="BX16" i="33"/>
  <c r="BY16" i="33"/>
  <c r="BZ16" i="33"/>
  <c r="CA16" i="33"/>
  <c r="CB16" i="33"/>
  <c r="CC16" i="33"/>
  <c r="BW15" i="33"/>
  <c r="BX15" i="33"/>
  <c r="BY15" i="33"/>
  <c r="BZ15" i="33"/>
  <c r="CA15" i="33"/>
  <c r="CB15" i="33"/>
  <c r="CC15" i="33"/>
  <c r="BW14" i="33"/>
  <c r="BX14" i="33"/>
  <c r="BY14" i="33"/>
  <c r="BZ14" i="33"/>
  <c r="CA14" i="33"/>
  <c r="CB14" i="33"/>
  <c r="CC14" i="33"/>
  <c r="BW13" i="33"/>
  <c r="BX13" i="33"/>
  <c r="BY13" i="33"/>
  <c r="BZ13" i="33"/>
  <c r="CA13" i="33"/>
  <c r="CB13" i="33"/>
  <c r="CC13" i="33"/>
  <c r="BW12" i="33"/>
  <c r="BX12" i="33"/>
  <c r="BY12" i="33"/>
  <c r="BZ12" i="33"/>
  <c r="CA12" i="33"/>
  <c r="CB12" i="33"/>
  <c r="CC12" i="33"/>
  <c r="BW11" i="33"/>
  <c r="BX11" i="33"/>
  <c r="BY11" i="33"/>
  <c r="BZ11" i="33"/>
  <c r="CA11" i="33"/>
  <c r="CB11" i="33"/>
  <c r="CC11" i="33"/>
  <c r="BW10" i="33"/>
  <c r="BX10" i="33"/>
  <c r="BY10" i="33"/>
  <c r="BZ10" i="33"/>
  <c r="CA10" i="33"/>
  <c r="CB10" i="33"/>
  <c r="CC10" i="33"/>
  <c r="BW9" i="33"/>
  <c r="BX9" i="33"/>
  <c r="BY9" i="33"/>
  <c r="BZ9" i="33"/>
  <c r="CA9" i="33"/>
  <c r="CB9" i="33"/>
  <c r="CC9" i="33"/>
  <c r="BW8" i="33"/>
  <c r="BX8" i="33"/>
  <c r="BY8" i="33"/>
  <c r="BZ8" i="33"/>
  <c r="CA8" i="33"/>
  <c r="CB8" i="33"/>
  <c r="CC8" i="33"/>
  <c r="BW7" i="33"/>
  <c r="BX7" i="33"/>
  <c r="BY7" i="33"/>
  <c r="BZ7" i="33"/>
  <c r="CA7" i="33"/>
  <c r="CB7" i="33"/>
  <c r="CC7" i="33"/>
  <c r="BW6" i="33"/>
  <c r="BX6" i="33"/>
  <c r="BY6" i="33"/>
  <c r="BZ6" i="33"/>
  <c r="CA6" i="33"/>
  <c r="CB6" i="33"/>
  <c r="CC6" i="33"/>
  <c r="BW5" i="33"/>
  <c r="BX5" i="33"/>
  <c r="BY5" i="33"/>
  <c r="BZ5" i="33"/>
  <c r="CA5" i="33"/>
  <c r="CB5" i="33"/>
  <c r="CC5" i="33"/>
  <c r="BW4" i="33"/>
  <c r="BX4" i="33"/>
  <c r="BY4" i="33"/>
  <c r="BZ4" i="33"/>
  <c r="CA4" i="33"/>
  <c r="CB4" i="33"/>
  <c r="CC4" i="33"/>
  <c r="BW3" i="33"/>
  <c r="BX3" i="33"/>
  <c r="BY3" i="33"/>
  <c r="BZ3" i="33"/>
  <c r="CA3" i="33"/>
  <c r="CB3" i="33"/>
  <c r="CC3" i="33"/>
  <c r="XE51" i="28"/>
  <c r="XE52" i="28"/>
  <c r="XE53" i="28"/>
  <c r="XE54" i="28"/>
  <c r="XE55" i="28"/>
  <c r="XA51" i="28"/>
  <c r="XA52" i="28"/>
  <c r="XA53" i="28"/>
  <c r="XA54" i="28"/>
  <c r="XA55" i="28"/>
  <c r="WW51" i="28"/>
  <c r="WW52" i="28"/>
  <c r="WW53" i="28"/>
  <c r="WW54" i="28"/>
  <c r="WW55" i="28"/>
  <c r="IV41" i="25"/>
  <c r="IV38" i="25"/>
  <c r="IV44" i="25"/>
  <c r="IV43" i="25"/>
  <c r="IV45" i="25" s="1"/>
  <c r="IV39" i="25"/>
  <c r="IV40" i="25"/>
  <c r="IH41" i="25"/>
  <c r="IH38" i="25"/>
  <c r="IH40" i="25"/>
  <c r="IH39" i="25"/>
  <c r="IH43" i="25"/>
  <c r="IH44" i="25"/>
  <c r="IW38" i="25"/>
  <c r="IW39" i="25"/>
  <c r="IW40" i="25"/>
  <c r="IW45" i="25"/>
  <c r="IW43" i="25"/>
  <c r="IW44" i="25"/>
  <c r="IS38" i="25"/>
  <c r="IQ39" i="25"/>
  <c r="IS39" i="25"/>
  <c r="IQ40" i="25"/>
  <c r="IS40" i="25"/>
  <c r="IS41" i="25"/>
  <c r="IP45" i="25"/>
  <c r="IQ43" i="25"/>
  <c r="IR45" i="25"/>
  <c r="IS43" i="25"/>
  <c r="IQ44" i="25"/>
  <c r="IS44" i="25"/>
  <c r="IL38" i="25"/>
  <c r="IN38" i="25"/>
  <c r="IL39" i="25"/>
  <c r="IN39" i="25"/>
  <c r="IL40" i="25"/>
  <c r="IN40" i="25"/>
  <c r="IL41" i="25"/>
  <c r="IN41" i="25"/>
  <c r="IK45" i="25"/>
  <c r="IL43" i="25"/>
  <c r="IM45" i="25"/>
  <c r="IN43" i="25"/>
  <c r="IL44" i="25"/>
  <c r="IN44" i="25"/>
  <c r="IG38" i="25"/>
  <c r="II38" i="25"/>
  <c r="IG39" i="25"/>
  <c r="II39" i="25"/>
  <c r="IG40" i="25"/>
  <c r="II40" i="25"/>
  <c r="IG41" i="25"/>
  <c r="II41" i="25"/>
  <c r="IF45" i="25"/>
  <c r="IG43" i="25"/>
  <c r="IH45" i="25"/>
  <c r="II43" i="25"/>
  <c r="IG44" i="25"/>
  <c r="II44" i="25"/>
  <c r="IB38" i="25"/>
  <c r="ID38" i="25"/>
  <c r="IB39" i="25"/>
  <c r="ID39" i="25"/>
  <c r="IB40" i="25"/>
  <c r="ID40" i="25"/>
  <c r="IB41" i="25"/>
  <c r="ID41" i="25"/>
  <c r="IA45" i="25"/>
  <c r="IB43" i="25"/>
  <c r="IC45" i="25"/>
  <c r="ID43" i="25"/>
  <c r="IB44" i="25"/>
  <c r="ID44" i="25"/>
  <c r="WS51" i="28"/>
  <c r="WS52" i="28"/>
  <c r="WS53" i="28"/>
  <c r="WS54" i="28"/>
  <c r="WS55" i="28"/>
  <c r="XQ51" i="28"/>
  <c r="XQ52" i="28"/>
  <c r="XQ53" i="28"/>
  <c r="XQ54" i="28"/>
  <c r="XQ55" i="28"/>
  <c r="XQ38" i="28"/>
  <c r="XQ41" i="28"/>
  <c r="WO51" i="28"/>
  <c r="WO52" i="28"/>
  <c r="WO53" i="28"/>
  <c r="WO54" i="28"/>
  <c r="WO55" i="28"/>
  <c r="WG51" i="28"/>
  <c r="WG52" i="28"/>
  <c r="WG53" i="28"/>
  <c r="WG54" i="28"/>
  <c r="WG55" i="28"/>
  <c r="WC51" i="28"/>
  <c r="WC52" i="28"/>
  <c r="WC53" i="28"/>
  <c r="WC54" i="28"/>
  <c r="WC55" i="28"/>
  <c r="VY51" i="28"/>
  <c r="VY52" i="28"/>
  <c r="VY53" i="28"/>
  <c r="VY54" i="28"/>
  <c r="VY55" i="28"/>
  <c r="WI51" i="28"/>
  <c r="WI52" i="28"/>
  <c r="WI53" i="28"/>
  <c r="WI54" i="28"/>
  <c r="WI55" i="28"/>
  <c r="WK51" i="28"/>
  <c r="WK52" i="28"/>
  <c r="WK53" i="28"/>
  <c r="WK54" i="28"/>
  <c r="WK55" i="28"/>
  <c r="VU51" i="28"/>
  <c r="VU52" i="28"/>
  <c r="VU53" i="28"/>
  <c r="VU54" i="28"/>
  <c r="VU55" i="28"/>
  <c r="VC54" i="28"/>
  <c r="VC53" i="28"/>
  <c r="VC52" i="28"/>
  <c r="VC51" i="28"/>
  <c r="VA54" i="28"/>
  <c r="VA53" i="28"/>
  <c r="VA52" i="28"/>
  <c r="VA51" i="28"/>
  <c r="UY54" i="28"/>
  <c r="UY53" i="28"/>
  <c r="UY52" i="28"/>
  <c r="UY51" i="28"/>
  <c r="UW54" i="28"/>
  <c r="UW53" i="28"/>
  <c r="UW52" i="28"/>
  <c r="UW51" i="28"/>
  <c r="UU54" i="28"/>
  <c r="UU53" i="28"/>
  <c r="UU52" i="28"/>
  <c r="UU51" i="28"/>
  <c r="US54" i="28"/>
  <c r="US53" i="28"/>
  <c r="US52" i="28"/>
  <c r="US51" i="28"/>
  <c r="UQ54" i="28"/>
  <c r="UQ53" i="28"/>
  <c r="UQ52" i="28"/>
  <c r="UQ51" i="28"/>
  <c r="UO54" i="28"/>
  <c r="UO53" i="28"/>
  <c r="UO52" i="28"/>
  <c r="UO51" i="28"/>
  <c r="UM54" i="28"/>
  <c r="UM53" i="28"/>
  <c r="UM52" i="28"/>
  <c r="UM51" i="28"/>
  <c r="UK54" i="28"/>
  <c r="UK53" i="28"/>
  <c r="UK52" i="28"/>
  <c r="UK51" i="28"/>
  <c r="UI54" i="28"/>
  <c r="UI53" i="28"/>
  <c r="UI52" i="28"/>
  <c r="UI51" i="28"/>
  <c r="UG54" i="28"/>
  <c r="UG53" i="28"/>
  <c r="UG52" i="28"/>
  <c r="UG51" i="28"/>
  <c r="UE54" i="28"/>
  <c r="UE53" i="28"/>
  <c r="UE52" i="28"/>
  <c r="UE51" i="28"/>
  <c r="UC54" i="28"/>
  <c r="UC53" i="28"/>
  <c r="UC52" i="28"/>
  <c r="UC51" i="28"/>
  <c r="UA54" i="28"/>
  <c r="UA53" i="28"/>
  <c r="UA52" i="28"/>
  <c r="UA51" i="28"/>
  <c r="TW54" i="28"/>
  <c r="TW53" i="28"/>
  <c r="TW52" i="28"/>
  <c r="TW51" i="28"/>
  <c r="VE54" i="28"/>
  <c r="VE53" i="28"/>
  <c r="VE52" i="28"/>
  <c r="VE51" i="28"/>
  <c r="TY54" i="28"/>
  <c r="TY53" i="28"/>
  <c r="TY52" i="28"/>
  <c r="TY51" i="28"/>
  <c r="SS54" i="28"/>
  <c r="SS53" i="28"/>
  <c r="SS52" i="28"/>
  <c r="SS51" i="28"/>
  <c r="RM54" i="28"/>
  <c r="RM53" i="28"/>
  <c r="RM52" i="28"/>
  <c r="RM51" i="28"/>
  <c r="QG54" i="28"/>
  <c r="QG53" i="28"/>
  <c r="QG52" i="28"/>
  <c r="QG51" i="28"/>
  <c r="PA54" i="28"/>
  <c r="PA53" i="28"/>
  <c r="PA52" i="28"/>
  <c r="PA51" i="28"/>
  <c r="NU54" i="28"/>
  <c r="NU53" i="28"/>
  <c r="NU52" i="28"/>
  <c r="NU51" i="28"/>
  <c r="MO54" i="28"/>
  <c r="MO53" i="28"/>
  <c r="MO52" i="28"/>
  <c r="MO51" i="28"/>
  <c r="MO55" i="28" s="1"/>
  <c r="LI54" i="28"/>
  <c r="LI53" i="28"/>
  <c r="LI52" i="28"/>
  <c r="LI51" i="28"/>
  <c r="LI55" i="28" s="1"/>
  <c r="KC54" i="28"/>
  <c r="KC53" i="28"/>
  <c r="KC52" i="28"/>
  <c r="KC51" i="28"/>
  <c r="KC55" i="28" s="1"/>
  <c r="IW54" i="28"/>
  <c r="IW53" i="28"/>
  <c r="IW52" i="28"/>
  <c r="IW51" i="28"/>
  <c r="IW55" i="28" s="1"/>
  <c r="HQ54" i="28"/>
  <c r="HQ53" i="28"/>
  <c r="HQ52" i="28"/>
  <c r="HQ51" i="28"/>
  <c r="HQ55" i="28" s="1"/>
  <c r="GK54" i="28"/>
  <c r="GK53" i="28"/>
  <c r="GK52" i="28"/>
  <c r="GK51" i="28"/>
  <c r="GK55" i="28" s="1"/>
  <c r="FE54" i="28"/>
  <c r="FE53" i="28"/>
  <c r="FE52" i="28"/>
  <c r="FE51" i="28"/>
  <c r="FE55" i="28" s="1"/>
  <c r="DY54" i="28"/>
  <c r="DY53" i="28"/>
  <c r="DY52" i="28"/>
  <c r="DY51" i="28"/>
  <c r="DY55" i="28" s="1"/>
  <c r="CS54" i="28"/>
  <c r="CS53" i="28"/>
  <c r="CS52" i="28"/>
  <c r="CS51" i="28"/>
  <c r="CS55" i="28" s="1"/>
  <c r="WK38" i="28"/>
  <c r="WK41" i="28"/>
  <c r="VE38" i="28"/>
  <c r="VE41" i="28"/>
  <c r="H7" i="27"/>
  <c r="H8" i="27"/>
  <c r="H9" i="27"/>
  <c r="H10" i="27"/>
  <c r="H11" i="27"/>
  <c r="I26" i="27"/>
  <c r="I27" i="27"/>
  <c r="I28" i="27"/>
  <c r="I29" i="27"/>
  <c r="I30" i="27"/>
  <c r="J26" i="27"/>
  <c r="J27" i="27"/>
  <c r="J28" i="27"/>
  <c r="J29" i="27"/>
  <c r="J30" i="27"/>
  <c r="L26" i="27"/>
  <c r="L27" i="27"/>
  <c r="L28" i="27"/>
  <c r="L29" i="27"/>
  <c r="L30" i="27"/>
  <c r="CA34" i="25"/>
  <c r="CA33" i="25"/>
  <c r="OZ7" i="28"/>
  <c r="OZ36" i="28" s="1"/>
  <c r="HX40" i="25"/>
  <c r="HX39" i="25"/>
  <c r="OY43" i="28"/>
  <c r="OY40" i="28"/>
  <c r="OY39" i="28"/>
  <c r="TW44" i="28"/>
  <c r="SQ44" i="28"/>
  <c r="QE44" i="28"/>
  <c r="TW43" i="28"/>
  <c r="TW45" i="28" s="1"/>
  <c r="SQ43" i="28"/>
  <c r="SQ45" i="28" s="1"/>
  <c r="QE43" i="28"/>
  <c r="QE45" i="28" s="1"/>
  <c r="TW39" i="28"/>
  <c r="SQ40" i="28"/>
  <c r="QE40" i="28"/>
  <c r="TW40" i="28"/>
  <c r="SQ39" i="28"/>
  <c r="QE39" i="28"/>
  <c r="TW38" i="28"/>
  <c r="TW41" i="28"/>
  <c r="TW47" i="28" s="1"/>
  <c r="SQ41" i="28"/>
  <c r="SQ47" i="28" s="1"/>
  <c r="SQ38" i="28"/>
  <c r="QE41" i="28"/>
  <c r="QE47" i="28" s="1"/>
  <c r="QE38" i="28"/>
  <c r="ALC44" i="28"/>
  <c r="ALC43" i="28"/>
  <c r="ALC45" i="28" s="1"/>
  <c r="ALC40" i="28"/>
  <c r="ALC39" i="28"/>
  <c r="ALC41" i="28"/>
  <c r="ALC47" i="28" s="1"/>
  <c r="ALC38" i="28"/>
  <c r="FU34" i="25"/>
  <c r="FX34" i="25" s="1"/>
  <c r="FE34" i="25"/>
  <c r="FU24" i="25"/>
  <c r="DW34" i="25"/>
  <c r="Z34" i="25"/>
  <c r="Z33" i="25"/>
  <c r="LA32" i="25"/>
  <c r="LF32" i="25" s="1"/>
  <c r="Z32" i="25"/>
  <c r="LA31" i="25"/>
  <c r="LF31" i="25" s="1"/>
  <c r="Z28" i="25"/>
  <c r="AX34" i="25"/>
  <c r="AX33" i="25"/>
  <c r="AX28" i="25"/>
  <c r="CY34" i="25"/>
  <c r="CY33" i="25"/>
  <c r="CY12" i="25"/>
  <c r="ED35" i="25"/>
  <c r="GR8" i="25"/>
  <c r="GR11" i="25"/>
  <c r="GR30" i="25"/>
  <c r="OQ41" i="28"/>
  <c r="OQ38" i="28"/>
  <c r="OY7" i="28"/>
  <c r="NW41" i="28"/>
  <c r="NW38" i="28"/>
  <c r="OA41" i="28"/>
  <c r="OA38" i="28"/>
  <c r="OE41" i="28"/>
  <c r="OE38" i="28"/>
  <c r="OI41" i="28"/>
  <c r="OI38" i="28"/>
  <c r="OM41" i="28"/>
  <c r="OM38" i="28"/>
  <c r="OU41" i="28"/>
  <c r="OU38" i="28"/>
  <c r="OU44" i="28"/>
  <c r="OU45" i="28"/>
  <c r="OU43" i="28"/>
  <c r="OU40" i="28"/>
  <c r="OU39" i="28"/>
  <c r="OQ44" i="28"/>
  <c r="OQ45" i="28"/>
  <c r="OQ43" i="28"/>
  <c r="OQ40" i="28"/>
  <c r="OQ39" i="28"/>
  <c r="OM44" i="28"/>
  <c r="OM45" i="28"/>
  <c r="OM43" i="28"/>
  <c r="OM40" i="28"/>
  <c r="OM39" i="28"/>
  <c r="OI44" i="28"/>
  <c r="OI45" i="28"/>
  <c r="OI43" i="28"/>
  <c r="OI40" i="28"/>
  <c r="OI39" i="28"/>
  <c r="OE44" i="28"/>
  <c r="OE45" i="28"/>
  <c r="OE43" i="28"/>
  <c r="OE40" i="28"/>
  <c r="OE39" i="28"/>
  <c r="OA44" i="28"/>
  <c r="OA45" i="28"/>
  <c r="OA43" i="28"/>
  <c r="OA40" i="28"/>
  <c r="OA39" i="28"/>
  <c r="NW44" i="28"/>
  <c r="NW43" i="28"/>
  <c r="NW45" i="28" s="1"/>
  <c r="NW40" i="28"/>
  <c r="NW39" i="28"/>
  <c r="GZ38" i="25"/>
  <c r="HT41" i="25"/>
  <c r="HT47" i="25" s="1"/>
  <c r="HU47" i="25" s="1"/>
  <c r="HT38" i="25"/>
  <c r="GZ39" i="25"/>
  <c r="HT40" i="25"/>
  <c r="GZ40" i="25"/>
  <c r="HT39" i="25"/>
  <c r="GZ43" i="25"/>
  <c r="GZ44" i="25"/>
  <c r="PC41" i="28"/>
  <c r="PC38" i="28"/>
  <c r="PG41" i="28"/>
  <c r="PG38" i="28"/>
  <c r="PK41" i="28"/>
  <c r="PK38" i="28"/>
  <c r="PO41" i="28"/>
  <c r="PO38" i="28"/>
  <c r="PS41" i="28"/>
  <c r="PS38" i="28"/>
  <c r="QA41" i="28"/>
  <c r="QA38" i="28"/>
  <c r="QA44" i="28"/>
  <c r="QA45" i="28"/>
  <c r="QA43" i="28"/>
  <c r="QA40" i="28"/>
  <c r="QA39" i="28"/>
  <c r="PW44" i="28"/>
  <c r="PW45" i="28"/>
  <c r="PW43" i="28"/>
  <c r="PW40" i="28"/>
  <c r="PW39" i="28"/>
  <c r="PW41" i="28"/>
  <c r="PW47" i="28" s="1"/>
  <c r="PW38" i="28"/>
  <c r="PS44" i="28"/>
  <c r="PS45" i="28"/>
  <c r="PS43" i="28"/>
  <c r="PS40" i="28"/>
  <c r="PS39" i="28"/>
  <c r="PO44" i="28"/>
  <c r="PO45" i="28"/>
  <c r="PO43" i="28"/>
  <c r="PO40" i="28"/>
  <c r="PO39" i="28"/>
  <c r="PK44" i="28"/>
  <c r="PK45" i="28"/>
  <c r="PK43" i="28"/>
  <c r="PK40" i="28"/>
  <c r="PK39" i="28"/>
  <c r="PG44" i="28"/>
  <c r="PG45" i="28"/>
  <c r="PG43" i="28"/>
  <c r="PG40" i="28"/>
  <c r="PG39" i="28"/>
  <c r="PC44" i="28"/>
  <c r="PC43" i="28"/>
  <c r="PC45" i="28" s="1"/>
  <c r="PC40" i="28"/>
  <c r="PC39" i="28"/>
  <c r="QI41" i="28"/>
  <c r="QI47" i="28" s="1"/>
  <c r="QI38" i="28"/>
  <c r="QM41" i="28"/>
  <c r="QM47" i="28" s="1"/>
  <c r="QM38" i="28"/>
  <c r="QQ41" i="28"/>
  <c r="QQ38" i="28"/>
  <c r="QU41" i="28"/>
  <c r="QU38" i="28"/>
  <c r="QY41" i="28"/>
  <c r="QY38" i="28"/>
  <c r="RC41" i="28"/>
  <c r="RC38" i="28"/>
  <c r="RG41" i="28"/>
  <c r="RG38" i="28"/>
  <c r="RG44" i="28"/>
  <c r="RG45" i="28"/>
  <c r="RG43" i="28"/>
  <c r="RG40" i="28"/>
  <c r="RG39" i="28"/>
  <c r="RC44" i="28"/>
  <c r="RC45" i="28"/>
  <c r="RC43" i="28"/>
  <c r="RC40" i="28"/>
  <c r="RC39" i="28"/>
  <c r="QY44" i="28"/>
  <c r="QY45" i="28"/>
  <c r="QY43" i="28"/>
  <c r="QY40" i="28"/>
  <c r="QY39" i="28"/>
  <c r="QU44" i="28"/>
  <c r="QU45" i="28"/>
  <c r="QU43" i="28"/>
  <c r="QU40" i="28"/>
  <c r="QU39" i="28"/>
  <c r="QQ44" i="28"/>
  <c r="QQ45" i="28"/>
  <c r="QQ43" i="28"/>
  <c r="QQ40" i="28"/>
  <c r="QQ39" i="28"/>
  <c r="RO41" i="28"/>
  <c r="RO38" i="28"/>
  <c r="RS41" i="28"/>
  <c r="RS38" i="28"/>
  <c r="RW41" i="28"/>
  <c r="RW38" i="28"/>
  <c r="SA41" i="28"/>
  <c r="SA38" i="28"/>
  <c r="SE41" i="28"/>
  <c r="SE38" i="28"/>
  <c r="SI41" i="28"/>
  <c r="SI38" i="28"/>
  <c r="SM41" i="28"/>
  <c r="SM38" i="28"/>
  <c r="SU41" i="28"/>
  <c r="SU38" i="28"/>
  <c r="SY38" i="28"/>
  <c r="SY41" i="28"/>
  <c r="TC38" i="28"/>
  <c r="TC41" i="28"/>
  <c r="TG38" i="28"/>
  <c r="TG41" i="28"/>
  <c r="TK38" i="28"/>
  <c r="TK41" i="28"/>
  <c r="TO38" i="28"/>
  <c r="TO41" i="28"/>
  <c r="TS38" i="28"/>
  <c r="TS41" i="28"/>
  <c r="AJG41" i="28"/>
  <c r="AJG38" i="28"/>
  <c r="AJK41" i="28"/>
  <c r="AJK38" i="28"/>
  <c r="AJO41" i="28"/>
  <c r="AJO38" i="28"/>
  <c r="AJS41" i="28"/>
  <c r="AJS38" i="28"/>
  <c r="AKA41" i="28"/>
  <c r="AKA38" i="28"/>
  <c r="AKE41" i="28"/>
  <c r="AKE38" i="28"/>
  <c r="AKI41" i="28"/>
  <c r="AKI38" i="28"/>
  <c r="AKM41" i="28"/>
  <c r="AKM38" i="28"/>
  <c r="AKQ41" i="28"/>
  <c r="AKQ38" i="28"/>
  <c r="AKU41" i="28"/>
  <c r="AKU38" i="28"/>
  <c r="AKY41" i="28"/>
  <c r="AKY38" i="28"/>
  <c r="AKY44" i="28"/>
  <c r="AKY45" i="28"/>
  <c r="AKY43" i="28"/>
  <c r="AKY40" i="28"/>
  <c r="AKY39" i="28"/>
  <c r="AKU44" i="28"/>
  <c r="AKU45" i="28"/>
  <c r="AKU43" i="28"/>
  <c r="AKU40" i="28"/>
  <c r="AKU39" i="28"/>
  <c r="AKQ44" i="28"/>
  <c r="AKQ45" i="28"/>
  <c r="AKQ43" i="28"/>
  <c r="AKQ40" i="28"/>
  <c r="AKQ39" i="28"/>
  <c r="AKM44" i="28"/>
  <c r="AKM45" i="28"/>
  <c r="AKM43" i="28"/>
  <c r="AKM40" i="28"/>
  <c r="AKM39" i="28"/>
  <c r="AKI44" i="28"/>
  <c r="AKI45" i="28"/>
  <c r="AKI43" i="28"/>
  <c r="AKI40" i="28"/>
  <c r="AKI39" i="28"/>
  <c r="AKE44" i="28"/>
  <c r="AKE45" i="28"/>
  <c r="AKE43" i="28"/>
  <c r="AKE40" i="28"/>
  <c r="AKE39" i="28"/>
  <c r="AKA44" i="28"/>
  <c r="AKA43" i="28"/>
  <c r="AKA45" i="28" s="1"/>
  <c r="AKA40" i="28"/>
  <c r="AKA39" i="28"/>
  <c r="RO44" i="28"/>
  <c r="RO43" i="28"/>
  <c r="RO45" i="28" s="1"/>
  <c r="RO40" i="28"/>
  <c r="RO39" i="28"/>
  <c r="RS44" i="28"/>
  <c r="RS45" i="28"/>
  <c r="RS43" i="28"/>
  <c r="RS40" i="28"/>
  <c r="RS39" i="28"/>
  <c r="RW44" i="28"/>
  <c r="RW45" i="28"/>
  <c r="RW43" i="28"/>
  <c r="RW40" i="28"/>
  <c r="RW39" i="28"/>
  <c r="SA44" i="28"/>
  <c r="SA45" i="28"/>
  <c r="SA43" i="28"/>
  <c r="SA40" i="28"/>
  <c r="SA39" i="28"/>
  <c r="SE44" i="28"/>
  <c r="SE45" i="28"/>
  <c r="SE43" i="28"/>
  <c r="SE40" i="28"/>
  <c r="SE39" i="28"/>
  <c r="SI44" i="28"/>
  <c r="SI45" i="28"/>
  <c r="SI43" i="28"/>
  <c r="SI40" i="28"/>
  <c r="SI39" i="28"/>
  <c r="SM44" i="28"/>
  <c r="SM45" i="28"/>
  <c r="SM43" i="28"/>
  <c r="SM40" i="28"/>
  <c r="SM39" i="28"/>
  <c r="SU44" i="28"/>
  <c r="SU43" i="28"/>
  <c r="SU45" i="28" s="1"/>
  <c r="SU39" i="28"/>
  <c r="SU40" i="28"/>
  <c r="SY44" i="28"/>
  <c r="SY45" i="28"/>
  <c r="SY43" i="28"/>
  <c r="SY39" i="28"/>
  <c r="SY40" i="28"/>
  <c r="TC44" i="28"/>
  <c r="TC45" i="28"/>
  <c r="TC43" i="28"/>
  <c r="TC39" i="28"/>
  <c r="TC40" i="28"/>
  <c r="TG44" i="28"/>
  <c r="TG45" i="28"/>
  <c r="TG43" i="28"/>
  <c r="TG39" i="28"/>
  <c r="TG40" i="28"/>
  <c r="TK44" i="28"/>
  <c r="TK45" i="28"/>
  <c r="TK43" i="28"/>
  <c r="TK39" i="28"/>
  <c r="TK40" i="28"/>
  <c r="TO44" i="28"/>
  <c r="TO45" i="28"/>
  <c r="TO43" i="28"/>
  <c r="TO39" i="28"/>
  <c r="TO40" i="28"/>
  <c r="TS44" i="28"/>
  <c r="TS45" i="28"/>
  <c r="TS43" i="28"/>
  <c r="TS39" i="28"/>
  <c r="TS40" i="28"/>
  <c r="AJK44" i="28"/>
  <c r="AJK45" i="28"/>
  <c r="AJK43" i="28"/>
  <c r="AJK40" i="28"/>
  <c r="AJK39" i="28"/>
  <c r="AJG44" i="28"/>
  <c r="AJG45" i="28"/>
  <c r="AJG43" i="28"/>
  <c r="AJG40" i="28"/>
  <c r="AJG39" i="28"/>
  <c r="AJO44" i="28"/>
  <c r="AJO45" i="28"/>
  <c r="AJO43" i="28"/>
  <c r="AJO40" i="28"/>
  <c r="AJO39" i="28"/>
  <c r="AJS44" i="28"/>
  <c r="AJS45" i="28"/>
  <c r="AJS43" i="28"/>
  <c r="AJS40" i="28"/>
  <c r="AJS39" i="28"/>
  <c r="EI39" i="25"/>
  <c r="EI44" i="25"/>
  <c r="EN39" i="25"/>
  <c r="EN44" i="25"/>
  <c r="FU6" i="25"/>
  <c r="FB38" i="25"/>
  <c r="FU8" i="25"/>
  <c r="FB39" i="25"/>
  <c r="FC39" i="25" s="1"/>
  <c r="FU11" i="25"/>
  <c r="FB40" i="25"/>
  <c r="FC40" i="25" s="1"/>
  <c r="FU25" i="25"/>
  <c r="FU43" i="25" s="1"/>
  <c r="FB43" i="25"/>
  <c r="FU30" i="25"/>
  <c r="FB44" i="25"/>
  <c r="FC44" i="25" s="1"/>
  <c r="FG41" i="25"/>
  <c r="FH38" i="25"/>
  <c r="FU17" i="25"/>
  <c r="FU19" i="25"/>
  <c r="FU21" i="25"/>
  <c r="FU22" i="25"/>
  <c r="FU23" i="25"/>
  <c r="FU31" i="25"/>
  <c r="FQ44" i="25"/>
  <c r="FU32" i="25"/>
  <c r="GS25" i="25"/>
  <c r="GS43" i="25" s="1"/>
  <c r="FZ43" i="25"/>
  <c r="GS30" i="25"/>
  <c r="GE44" i="25"/>
  <c r="HV25" i="25"/>
  <c r="GX43" i="25"/>
  <c r="HC38" i="25"/>
  <c r="HC39" i="25"/>
  <c r="HC40" i="25"/>
  <c r="HC43" i="25"/>
  <c r="HC44" i="25"/>
  <c r="HH38" i="25"/>
  <c r="HH39" i="25"/>
  <c r="HH40" i="25"/>
  <c r="HH43" i="25"/>
  <c r="HH44" i="25"/>
  <c r="HM41" i="25"/>
  <c r="HM38" i="25"/>
  <c r="HM40" i="25"/>
  <c r="HM39" i="25"/>
  <c r="HM43" i="25"/>
  <c r="HM44" i="25"/>
  <c r="HR41" i="25"/>
  <c r="HR47" i="25" s="1"/>
  <c r="HS47" i="25" s="1"/>
  <c r="HR38" i="25"/>
  <c r="HV6" i="25"/>
  <c r="HR40" i="25"/>
  <c r="HR39" i="25"/>
  <c r="FL35" i="25"/>
  <c r="GX44" i="25"/>
  <c r="GX40" i="25"/>
  <c r="GX39" i="25"/>
  <c r="FZ44" i="25"/>
  <c r="GL51" i="25"/>
  <c r="GJ54" i="25"/>
  <c r="FZ40" i="25"/>
  <c r="GE40" i="25"/>
  <c r="FZ39" i="25"/>
  <c r="GE39" i="25"/>
  <c r="FZ38" i="25"/>
  <c r="GE38" i="25"/>
  <c r="GK51" i="25"/>
  <c r="GI54" i="25"/>
  <c r="GK52" i="25"/>
  <c r="GK53" i="25"/>
  <c r="NZ35" i="28"/>
  <c r="OY35" i="28"/>
  <c r="OY44" i="28" s="1"/>
  <c r="RK35" i="28"/>
  <c r="RK36" i="28" s="1"/>
  <c r="HW39" i="25"/>
  <c r="HW40" i="25"/>
  <c r="HW38" i="25"/>
  <c r="HW41" i="25"/>
  <c r="HW47" i="25" s="1"/>
  <c r="L25" i="24"/>
  <c r="L16" i="24"/>
  <c r="L24" i="24"/>
  <c r="L14" i="24"/>
  <c r="L33" i="24"/>
  <c r="L34" i="24"/>
  <c r="L30" i="24"/>
  <c r="L29" i="24"/>
  <c r="L28" i="24"/>
  <c r="L27" i="24"/>
  <c r="L26" i="24"/>
  <c r="L23" i="24"/>
  <c r="L22" i="24"/>
  <c r="L21" i="24"/>
  <c r="L20" i="24"/>
  <c r="L19" i="24"/>
  <c r="L18" i="24"/>
  <c r="L15" i="24"/>
  <c r="L13" i="24"/>
  <c r="L12" i="24"/>
  <c r="L11" i="24"/>
  <c r="L10" i="24"/>
  <c r="L9" i="24"/>
  <c r="L8" i="24"/>
  <c r="L7" i="24"/>
  <c r="L6" i="24"/>
  <c r="AJW44" i="28"/>
  <c r="AJW43" i="28"/>
  <c r="AJW45" i="28" s="1"/>
  <c r="AJW40" i="28"/>
  <c r="AJW39" i="28"/>
  <c r="AJW41" i="28"/>
  <c r="AJW47" i="28" s="1"/>
  <c r="AJW38" i="28"/>
  <c r="AIQ44" i="28"/>
  <c r="AIQ43" i="28"/>
  <c r="AIQ45" i="28" s="1"/>
  <c r="AIQ40" i="28"/>
  <c r="AIQ39" i="28"/>
  <c r="AIQ41" i="28"/>
  <c r="AIQ47" i="28" s="1"/>
  <c r="AIQ38" i="28"/>
  <c r="AHK44" i="28"/>
  <c r="AHK43" i="28"/>
  <c r="AHK45" i="28" s="1"/>
  <c r="AHK40" i="28"/>
  <c r="AHK39" i="28"/>
  <c r="AHK41" i="28"/>
  <c r="AHK47" i="28" s="1"/>
  <c r="AHK38" i="28"/>
  <c r="AGE44" i="28"/>
  <c r="AGE43" i="28"/>
  <c r="AGE45" i="28" s="1"/>
  <c r="AGE40" i="28"/>
  <c r="AGE39" i="28"/>
  <c r="AGE41" i="28"/>
  <c r="AGE47" i="28" s="1"/>
  <c r="AGE38" i="28"/>
  <c r="AEY44" i="28"/>
  <c r="AEY43" i="28"/>
  <c r="AEY45" i="28" s="1"/>
  <c r="AEY40" i="28"/>
  <c r="AEY39" i="28"/>
  <c r="AEY41" i="28"/>
  <c r="AEY47" i="28" s="1"/>
  <c r="AEY38" i="28"/>
  <c r="ADS44" i="28"/>
  <c r="ADS43" i="28"/>
  <c r="ADS45" i="28" s="1"/>
  <c r="ADS40" i="28"/>
  <c r="ADS39" i="28"/>
  <c r="ADS41" i="28"/>
  <c r="ADS47" i="28" s="1"/>
  <c r="ADS38" i="28"/>
  <c r="ACM44" i="28"/>
  <c r="ACM43" i="28"/>
  <c r="ACM45" i="28" s="1"/>
  <c r="ACM40" i="28"/>
  <c r="ACM39" i="28"/>
  <c r="ACM41" i="28"/>
  <c r="ACM47" i="28" s="1"/>
  <c r="ACM38" i="28"/>
  <c r="ABG44" i="28"/>
  <c r="ABG43" i="28"/>
  <c r="ABG45" i="28" s="1"/>
  <c r="ABG39" i="28"/>
  <c r="ABG40" i="28"/>
  <c r="ABG38" i="28"/>
  <c r="ABG41" i="28"/>
  <c r="ABG47" i="28" s="1"/>
  <c r="AAA44" i="28"/>
  <c r="AAA43" i="28"/>
  <c r="AAA45" i="28" s="1"/>
  <c r="AAA39" i="28"/>
  <c r="AAA40" i="28"/>
  <c r="AAA38" i="28"/>
  <c r="AAA41" i="28"/>
  <c r="AAA47" i="28" s="1"/>
  <c r="YU44" i="28"/>
  <c r="YU43" i="28"/>
  <c r="YU45" i="28" s="1"/>
  <c r="YU39" i="28"/>
  <c r="YU40" i="28"/>
  <c r="YU38" i="28"/>
  <c r="YU41" i="28"/>
  <c r="YU47" i="28" s="1"/>
  <c r="XO44" i="28"/>
  <c r="XO43" i="28"/>
  <c r="XO45" i="28" s="1"/>
  <c r="XO39" i="28"/>
  <c r="XO40" i="28"/>
  <c r="XO38" i="28"/>
  <c r="XO41" i="28"/>
  <c r="XO47" i="28" s="1"/>
  <c r="WI44" i="28"/>
  <c r="WI43" i="28"/>
  <c r="WI45" i="28" s="1"/>
  <c r="WI39" i="28"/>
  <c r="WI40" i="28"/>
  <c r="WI38" i="28"/>
  <c r="WI41" i="28"/>
  <c r="WI47" i="28" s="1"/>
  <c r="VC44" i="28"/>
  <c r="VC43" i="28"/>
  <c r="VC45" i="28" s="1"/>
  <c r="VC39" i="28"/>
  <c r="VC40" i="28"/>
  <c r="VC38" i="28"/>
  <c r="VC41" i="28"/>
  <c r="VC47" i="28" s="1"/>
  <c r="HO43" i="25"/>
  <c r="HO44" i="25"/>
  <c r="HX41" i="25"/>
  <c r="HX38" i="25"/>
  <c r="HY38" i="25" s="1"/>
  <c r="HO41" i="25"/>
  <c r="HO38" i="25"/>
  <c r="HO40" i="25"/>
  <c r="HO39" i="25"/>
  <c r="HS38" i="25"/>
  <c r="HU38" i="25"/>
  <c r="HS39" i="25"/>
  <c r="HU39" i="25"/>
  <c r="HS40" i="25"/>
  <c r="HU40" i="25"/>
  <c r="HS41" i="25"/>
  <c r="HU41" i="25"/>
  <c r="HJ38" i="25"/>
  <c r="HJ39" i="25"/>
  <c r="HJ40" i="25"/>
  <c r="HJ43" i="25"/>
  <c r="HJ44" i="25"/>
  <c r="TY41" i="28"/>
  <c r="HE38" i="25"/>
  <c r="HE39" i="25"/>
  <c r="HE40" i="25"/>
  <c r="HE43" i="25"/>
  <c r="HE44" i="25"/>
  <c r="SQ51" i="28"/>
  <c r="SQ52" i="28"/>
  <c r="SQ53" i="28"/>
  <c r="SQ54" i="28"/>
  <c r="SS41" i="28"/>
  <c r="SS38" i="28"/>
  <c r="HN38" i="25"/>
  <c r="HP38" i="25"/>
  <c r="HN39" i="25"/>
  <c r="HP39" i="25"/>
  <c r="HN40" i="25"/>
  <c r="HP40" i="25"/>
  <c r="HM45" i="25"/>
  <c r="HN45" i="25" s="1"/>
  <c r="HN43" i="25"/>
  <c r="HO45" i="25"/>
  <c r="HP45" i="25" s="1"/>
  <c r="HP43" i="25"/>
  <c r="HN44" i="25"/>
  <c r="HP44" i="25"/>
  <c r="HH41" i="25"/>
  <c r="HI38" i="25"/>
  <c r="HJ41" i="25"/>
  <c r="HK38" i="25"/>
  <c r="HI39" i="25"/>
  <c r="HK39" i="25"/>
  <c r="HI40" i="25"/>
  <c r="HK40" i="25"/>
  <c r="HH45" i="25"/>
  <c r="HI45" i="25" s="1"/>
  <c r="HI43" i="25"/>
  <c r="HJ45" i="25"/>
  <c r="HK45" i="25" s="1"/>
  <c r="HK43" i="25"/>
  <c r="HI44" i="25"/>
  <c r="HK44" i="25"/>
  <c r="HC41" i="25"/>
  <c r="HD38" i="25"/>
  <c r="HE41" i="25"/>
  <c r="HF38" i="25"/>
  <c r="HD39" i="25"/>
  <c r="HF39" i="25"/>
  <c r="HD40" i="25"/>
  <c r="HF40" i="25"/>
  <c r="HC45" i="25"/>
  <c r="HD45" i="25" s="1"/>
  <c r="HD43" i="25"/>
  <c r="HE45" i="25"/>
  <c r="HF45" i="25" s="1"/>
  <c r="HF43" i="25"/>
  <c r="HD44" i="25"/>
  <c r="HF44" i="25"/>
  <c r="GZ41" i="25"/>
  <c r="HA38" i="25"/>
  <c r="GY39" i="25"/>
  <c r="HA39" i="25"/>
  <c r="GY40" i="25"/>
  <c r="HA40" i="25"/>
  <c r="GX45" i="25"/>
  <c r="GY45" i="25" s="1"/>
  <c r="GY43" i="25"/>
  <c r="GZ45" i="25"/>
  <c r="HA45" i="25" s="1"/>
  <c r="HA43" i="25"/>
  <c r="GY44" i="25"/>
  <c r="HA44" i="25"/>
  <c r="RK44" i="28"/>
  <c r="RK43" i="28"/>
  <c r="RK45" i="28" s="1"/>
  <c r="RK40" i="28"/>
  <c r="RK39" i="28"/>
  <c r="RK41" i="28"/>
  <c r="RK47" i="28" s="1"/>
  <c r="RK38" i="28"/>
  <c r="R507" i="32" a="1"/>
  <c r="R507" i="32" s="1"/>
  <c r="RM41" i="28"/>
  <c r="RM38" i="28"/>
  <c r="QG41" i="28"/>
  <c r="QG38" i="28"/>
  <c r="PA41" i="28"/>
  <c r="PA38" i="28"/>
  <c r="AKD38" i="28"/>
  <c r="AKH38" i="28"/>
  <c r="AKL38" i="28"/>
  <c r="AKP38" i="28"/>
  <c r="AKT38" i="28"/>
  <c r="AKX38" i="28"/>
  <c r="ALB38" i="28"/>
  <c r="ALF38" i="28"/>
  <c r="AKD39" i="28"/>
  <c r="AKH39" i="28"/>
  <c r="AKL39" i="28"/>
  <c r="AKP39" i="28"/>
  <c r="AKT39" i="28"/>
  <c r="AKX39" i="28"/>
  <c r="ALB39" i="28"/>
  <c r="ALF39" i="28"/>
  <c r="AKD40" i="28"/>
  <c r="AKH40" i="28"/>
  <c r="AKL40" i="28"/>
  <c r="AKP40" i="28"/>
  <c r="AKT40" i="28"/>
  <c r="AKX40" i="28"/>
  <c r="ALB40" i="28"/>
  <c r="ALF40" i="28"/>
  <c r="AKD41" i="28"/>
  <c r="AKG47" i="28"/>
  <c r="AKH41" i="28"/>
  <c r="AKK47" i="28"/>
  <c r="AKL41" i="28"/>
  <c r="AKO47" i="28"/>
  <c r="AKP41" i="28"/>
  <c r="AKS47" i="28"/>
  <c r="AKT41" i="28"/>
  <c r="AKW47" i="28"/>
  <c r="AKX41" i="28"/>
  <c r="ALA47" i="28"/>
  <c r="ALB41" i="28"/>
  <c r="ALF41" i="28"/>
  <c r="AKC45" i="28"/>
  <c r="AKD43" i="28"/>
  <c r="AKH43" i="28"/>
  <c r="AKL43" i="28"/>
  <c r="AKP43" i="28"/>
  <c r="AKT43" i="28"/>
  <c r="AKX43" i="28"/>
  <c r="ALB43" i="28"/>
  <c r="ALE45" i="28"/>
  <c r="ALF43" i="28"/>
  <c r="AKD44" i="28"/>
  <c r="AKH44" i="28"/>
  <c r="AKL44" i="28"/>
  <c r="AKP44" i="28"/>
  <c r="AKT44" i="28"/>
  <c r="AKX44" i="28"/>
  <c r="ALB44" i="28"/>
  <c r="ALF44" i="28"/>
  <c r="AKH45" i="28"/>
  <c r="AKL45" i="28"/>
  <c r="AKP45" i="28"/>
  <c r="AKT45" i="28"/>
  <c r="AKX45" i="28"/>
  <c r="ALB45" i="28"/>
  <c r="AIX38" i="28"/>
  <c r="AJB38" i="28"/>
  <c r="AJF38" i="28"/>
  <c r="AJJ38" i="28"/>
  <c r="AJN38" i="28"/>
  <c r="AJR38" i="28"/>
  <c r="AJV38" i="28"/>
  <c r="AJZ38" i="28"/>
  <c r="AIX39" i="28"/>
  <c r="AJB39" i="28"/>
  <c r="AJF39" i="28"/>
  <c r="AJJ39" i="28"/>
  <c r="AJN39" i="28"/>
  <c r="AJR39" i="28"/>
  <c r="AJV39" i="28"/>
  <c r="AJZ39" i="28"/>
  <c r="AIX40" i="28"/>
  <c r="AJB40" i="28"/>
  <c r="AJF40" i="28"/>
  <c r="AJJ40" i="28"/>
  <c r="AJN40" i="28"/>
  <c r="AJR40" i="28"/>
  <c r="AJV40" i="28"/>
  <c r="AJZ40" i="28"/>
  <c r="AIX41" i="28"/>
  <c r="AJA47" i="28"/>
  <c r="AJB41" i="28"/>
  <c r="AJE47" i="28"/>
  <c r="AJF41" i="28"/>
  <c r="AJI47" i="28"/>
  <c r="AJJ41" i="28"/>
  <c r="AJM47" i="28"/>
  <c r="AJN41" i="28"/>
  <c r="AJQ47" i="28"/>
  <c r="AJR41" i="28"/>
  <c r="AJU47" i="28"/>
  <c r="AJV41" i="28"/>
  <c r="AJZ41" i="28"/>
  <c r="AIW45" i="28"/>
  <c r="AIX43" i="28"/>
  <c r="AJB43" i="28"/>
  <c r="AJF43" i="28"/>
  <c r="AJJ43" i="28"/>
  <c r="AJN43" i="28"/>
  <c r="AJR43" i="28"/>
  <c r="AJV43" i="28"/>
  <c r="AJY45" i="28"/>
  <c r="AJZ43" i="28"/>
  <c r="AIX44" i="28"/>
  <c r="AJB44" i="28"/>
  <c r="AJF44" i="28"/>
  <c r="AJJ44" i="28"/>
  <c r="AJN44" i="28"/>
  <c r="AJR44" i="28"/>
  <c r="AJV44" i="28"/>
  <c r="AJZ44" i="28"/>
  <c r="AJB45" i="28"/>
  <c r="AJF45" i="28"/>
  <c r="AJJ45" i="28"/>
  <c r="AJN45" i="28"/>
  <c r="AJR45" i="28"/>
  <c r="AJV45" i="28"/>
  <c r="AHR38" i="28"/>
  <c r="AHV38" i="28"/>
  <c r="AHZ38" i="28"/>
  <c r="AID38" i="28"/>
  <c r="AIH38" i="28"/>
  <c r="AIL38" i="28"/>
  <c r="AIP38" i="28"/>
  <c r="AIT38" i="28"/>
  <c r="AHR39" i="28"/>
  <c r="AHV39" i="28"/>
  <c r="AHZ39" i="28"/>
  <c r="AID39" i="28"/>
  <c r="AIH39" i="28"/>
  <c r="AIL39" i="28"/>
  <c r="AIP39" i="28"/>
  <c r="AIT39" i="28"/>
  <c r="AHR40" i="28"/>
  <c r="AHV40" i="28"/>
  <c r="AHZ40" i="28"/>
  <c r="AID40" i="28"/>
  <c r="AIH40" i="28"/>
  <c r="AIL40" i="28"/>
  <c r="AIP40" i="28"/>
  <c r="AIT40" i="28"/>
  <c r="AHR41" i="28"/>
  <c r="AHU47" i="28"/>
  <c r="AHV41" i="28"/>
  <c r="AHY47" i="28"/>
  <c r="AHZ41" i="28"/>
  <c r="AIC47" i="28"/>
  <c r="AID41" i="28"/>
  <c r="AIG47" i="28"/>
  <c r="AIH41" i="28"/>
  <c r="AIK47" i="28"/>
  <c r="AIL41" i="28"/>
  <c r="AIO47" i="28"/>
  <c r="AIP41" i="28"/>
  <c r="AIT41" i="28"/>
  <c r="AHQ45" i="28"/>
  <c r="AHR43" i="28"/>
  <c r="AHV43" i="28"/>
  <c r="AHZ43" i="28"/>
  <c r="AID43" i="28"/>
  <c r="AIH43" i="28"/>
  <c r="AIL43" i="28"/>
  <c r="AIP43" i="28"/>
  <c r="AIS45" i="28"/>
  <c r="AIT43" i="28"/>
  <c r="AHR44" i="28"/>
  <c r="AHV44" i="28"/>
  <c r="AHZ44" i="28"/>
  <c r="AID44" i="28"/>
  <c r="AIH44" i="28"/>
  <c r="AIL44" i="28"/>
  <c r="AIP44" i="28"/>
  <c r="AIT44" i="28"/>
  <c r="AHV45" i="28"/>
  <c r="AHZ45" i="28"/>
  <c r="AID45" i="28"/>
  <c r="AIH45" i="28"/>
  <c r="AIL45" i="28"/>
  <c r="AIP45" i="28"/>
  <c r="AGL38" i="28"/>
  <c r="AGP38" i="28"/>
  <c r="AGT38" i="28"/>
  <c r="AGX38" i="28"/>
  <c r="AHB38" i="28"/>
  <c r="AHF38" i="28"/>
  <c r="AHJ38" i="28"/>
  <c r="AHN38" i="28"/>
  <c r="AGL39" i="28"/>
  <c r="AGP39" i="28"/>
  <c r="AGT39" i="28"/>
  <c r="AGX39" i="28"/>
  <c r="AHB39" i="28"/>
  <c r="AHF39" i="28"/>
  <c r="AHJ39" i="28"/>
  <c r="AHN39" i="28"/>
  <c r="AGL40" i="28"/>
  <c r="AGP40" i="28"/>
  <c r="AGT40" i="28"/>
  <c r="AGX40" i="28"/>
  <c r="AHB40" i="28"/>
  <c r="AHF40" i="28"/>
  <c r="AHJ40" i="28"/>
  <c r="AHN40" i="28"/>
  <c r="AGL41" i="28"/>
  <c r="AGO47" i="28"/>
  <c r="AGP41" i="28"/>
  <c r="AGS47" i="28"/>
  <c r="AGT41" i="28"/>
  <c r="AGW47" i="28"/>
  <c r="AGX41" i="28"/>
  <c r="AHA47" i="28"/>
  <c r="AHB41" i="28"/>
  <c r="AHE47" i="28"/>
  <c r="AHF41" i="28"/>
  <c r="AHI47" i="28"/>
  <c r="AHJ41" i="28"/>
  <c r="AHN41" i="28"/>
  <c r="AGK45" i="28"/>
  <c r="AGL43" i="28"/>
  <c r="AGP43" i="28"/>
  <c r="AGT43" i="28"/>
  <c r="AGX43" i="28"/>
  <c r="AHB43" i="28"/>
  <c r="AHF43" i="28"/>
  <c r="AHJ43" i="28"/>
  <c r="AHM45" i="28"/>
  <c r="AHN43" i="28"/>
  <c r="AGL44" i="28"/>
  <c r="AGP44" i="28"/>
  <c r="AGT44" i="28"/>
  <c r="AGX44" i="28"/>
  <c r="AHB44" i="28"/>
  <c r="AHF44" i="28"/>
  <c r="AHJ44" i="28"/>
  <c r="AHN44" i="28"/>
  <c r="AGP45" i="28"/>
  <c r="AGT45" i="28"/>
  <c r="AGX45" i="28"/>
  <c r="AHB45" i="28"/>
  <c r="AHF45" i="28"/>
  <c r="AHJ45" i="28"/>
  <c r="AFF38" i="28"/>
  <c r="AFJ38" i="28"/>
  <c r="AFN38" i="28"/>
  <c r="AFR38" i="28"/>
  <c r="AFV38" i="28"/>
  <c r="AFZ38" i="28"/>
  <c r="AGD38" i="28"/>
  <c r="AGH38" i="28"/>
  <c r="AFF39" i="28"/>
  <c r="AFJ39" i="28"/>
  <c r="AFN39" i="28"/>
  <c r="AFR39" i="28"/>
  <c r="AFV39" i="28"/>
  <c r="AFZ39" i="28"/>
  <c r="AGD39" i="28"/>
  <c r="AGH39" i="28"/>
  <c r="AFF40" i="28"/>
  <c r="AFJ40" i="28"/>
  <c r="AFN40" i="28"/>
  <c r="AFR40" i="28"/>
  <c r="AFV40" i="28"/>
  <c r="AFZ40" i="28"/>
  <c r="AGD40" i="28"/>
  <c r="AGH40" i="28"/>
  <c r="AFF41" i="28"/>
  <c r="AFI47" i="28"/>
  <c r="AFJ41" i="28"/>
  <c r="AFM47" i="28"/>
  <c r="AFN41" i="28"/>
  <c r="AFQ47" i="28"/>
  <c r="AFR41" i="28"/>
  <c r="AFU47" i="28"/>
  <c r="AFV41" i="28"/>
  <c r="AFY47" i="28"/>
  <c r="AFZ41" i="28"/>
  <c r="AGC47" i="28"/>
  <c r="AGD41" i="28"/>
  <c r="AGH41" i="28"/>
  <c r="AFE45" i="28"/>
  <c r="AFF43" i="28"/>
  <c r="AFJ43" i="28"/>
  <c r="AFN43" i="28"/>
  <c r="AFR43" i="28"/>
  <c r="AFV43" i="28"/>
  <c r="AFZ43" i="28"/>
  <c r="AGD43" i="28"/>
  <c r="AGG45" i="28"/>
  <c r="AGH43" i="28"/>
  <c r="AFF44" i="28"/>
  <c r="AFJ44" i="28"/>
  <c r="AFN44" i="28"/>
  <c r="AFR44" i="28"/>
  <c r="AFV44" i="28"/>
  <c r="AFZ44" i="28"/>
  <c r="AGD44" i="28"/>
  <c r="AGH44" i="28"/>
  <c r="AFJ45" i="28"/>
  <c r="AFN45" i="28"/>
  <c r="AFR45" i="28"/>
  <c r="AFV45" i="28"/>
  <c r="AFZ45" i="28"/>
  <c r="AGD45" i="28"/>
  <c r="ADZ38" i="28"/>
  <c r="AED38" i="28"/>
  <c r="AEH38" i="28"/>
  <c r="AEL38" i="28"/>
  <c r="AEP38" i="28"/>
  <c r="AET38" i="28"/>
  <c r="AEX38" i="28"/>
  <c r="AFB38" i="28"/>
  <c r="ADZ39" i="28"/>
  <c r="AED39" i="28"/>
  <c r="AEH39" i="28"/>
  <c r="AEL39" i="28"/>
  <c r="AEP39" i="28"/>
  <c r="AET39" i="28"/>
  <c r="AEX39" i="28"/>
  <c r="AFB39" i="28"/>
  <c r="ADZ40" i="28"/>
  <c r="AED40" i="28"/>
  <c r="AEH40" i="28"/>
  <c r="AEL40" i="28"/>
  <c r="AEP40" i="28"/>
  <c r="AET40" i="28"/>
  <c r="AEX40" i="28"/>
  <c r="AFB40" i="28"/>
  <c r="ADZ41" i="28"/>
  <c r="AEC47" i="28"/>
  <c r="AED41" i="28"/>
  <c r="AEG47" i="28"/>
  <c r="AEH41" i="28"/>
  <c r="AEK47" i="28"/>
  <c r="AEL41" i="28"/>
  <c r="AEO47" i="28"/>
  <c r="AEP41" i="28"/>
  <c r="AES47" i="28"/>
  <c r="AET41" i="28"/>
  <c r="AEW47" i="28"/>
  <c r="AEX41" i="28"/>
  <c r="AFB41" i="28"/>
  <c r="ADY45" i="28"/>
  <c r="ADZ43" i="28"/>
  <c r="AED43" i="28"/>
  <c r="AEH43" i="28"/>
  <c r="AEL43" i="28"/>
  <c r="AEP43" i="28"/>
  <c r="AET43" i="28"/>
  <c r="AEX43" i="28"/>
  <c r="AFA45" i="28"/>
  <c r="AFB43" i="28"/>
  <c r="ADZ44" i="28"/>
  <c r="AED44" i="28"/>
  <c r="AEH44" i="28"/>
  <c r="AEL44" i="28"/>
  <c r="AEP44" i="28"/>
  <c r="AET44" i="28"/>
  <c r="AEX44" i="28"/>
  <c r="AFB44" i="28"/>
  <c r="AED45" i="28"/>
  <c r="AEH45" i="28"/>
  <c r="AEL45" i="28"/>
  <c r="AEP45" i="28"/>
  <c r="AET45" i="28"/>
  <c r="AEX45" i="28"/>
  <c r="ACT38" i="28"/>
  <c r="ACX38" i="28"/>
  <c r="ADB38" i="28"/>
  <c r="ADF38" i="28"/>
  <c r="ADJ38" i="28"/>
  <c r="ADN38" i="28"/>
  <c r="ADR38" i="28"/>
  <c r="ADV38" i="28"/>
  <c r="ACT39" i="28"/>
  <c r="ACX39" i="28"/>
  <c r="ADB39" i="28"/>
  <c r="ADF39" i="28"/>
  <c r="ADJ39" i="28"/>
  <c r="ADN39" i="28"/>
  <c r="ADR39" i="28"/>
  <c r="ADV39" i="28"/>
  <c r="ACT40" i="28"/>
  <c r="ACX40" i="28"/>
  <c r="ADB40" i="28"/>
  <c r="ADF40" i="28"/>
  <c r="ADJ40" i="28"/>
  <c r="ADN40" i="28"/>
  <c r="ADR40" i="28"/>
  <c r="ADV40" i="28"/>
  <c r="ACT41" i="28"/>
  <c r="ACW47" i="28"/>
  <c r="ACX41" i="28"/>
  <c r="ADA47" i="28"/>
  <c r="ADB41" i="28"/>
  <c r="ADE47" i="28"/>
  <c r="ADF41" i="28"/>
  <c r="ADI47" i="28"/>
  <c r="ADJ41" i="28"/>
  <c r="ADM47" i="28"/>
  <c r="ADN41" i="28"/>
  <c r="ADQ47" i="28"/>
  <c r="ADR41" i="28"/>
  <c r="ADV41" i="28"/>
  <c r="ACS45" i="28"/>
  <c r="ACT43" i="28"/>
  <c r="ACX43" i="28"/>
  <c r="ADB43" i="28"/>
  <c r="ADF43" i="28"/>
  <c r="ADJ43" i="28"/>
  <c r="ADN43" i="28"/>
  <c r="ADR43" i="28"/>
  <c r="ADU45" i="28"/>
  <c r="ADV43" i="28"/>
  <c r="ACT44" i="28"/>
  <c r="ACX44" i="28"/>
  <c r="ADB44" i="28"/>
  <c r="ADF44" i="28"/>
  <c r="ADJ44" i="28"/>
  <c r="ADN44" i="28"/>
  <c r="ADR44" i="28"/>
  <c r="ADV44" i="28"/>
  <c r="ACX45" i="28"/>
  <c r="ADB45" i="28"/>
  <c r="ADF45" i="28"/>
  <c r="ADJ45" i="28"/>
  <c r="ADN45" i="28"/>
  <c r="ADR45" i="28"/>
  <c r="ABN38" i="28"/>
  <c r="ABR38" i="28"/>
  <c r="ABV38" i="28"/>
  <c r="ABZ38" i="28"/>
  <c r="ACD38" i="28"/>
  <c r="ACH38" i="28"/>
  <c r="ACL38" i="28"/>
  <c r="ACP38" i="28"/>
  <c r="ABN39" i="28"/>
  <c r="ABR39" i="28"/>
  <c r="ABV39" i="28"/>
  <c r="ABZ39" i="28"/>
  <c r="ACD39" i="28"/>
  <c r="ACH39" i="28"/>
  <c r="ACL39" i="28"/>
  <c r="ACP39" i="28"/>
  <c r="ABN40" i="28"/>
  <c r="ABR40" i="28"/>
  <c r="ABV40" i="28"/>
  <c r="ABZ40" i="28"/>
  <c r="ACD40" i="28"/>
  <c r="ACH40" i="28"/>
  <c r="ACL40" i="28"/>
  <c r="ACP40" i="28"/>
  <c r="ABN41" i="28"/>
  <c r="ABQ47" i="28"/>
  <c r="ABR41" i="28"/>
  <c r="ABU47" i="28"/>
  <c r="ABV41" i="28"/>
  <c r="ABY47" i="28"/>
  <c r="ABZ41" i="28"/>
  <c r="ACC47" i="28"/>
  <c r="ACD41" i="28"/>
  <c r="ACG47" i="28"/>
  <c r="ACH41" i="28"/>
  <c r="ACK47" i="28"/>
  <c r="ACL41" i="28"/>
  <c r="ACP41" i="28"/>
  <c r="ABM45" i="28"/>
  <c r="ABN43" i="28"/>
  <c r="ABR43" i="28"/>
  <c r="ABV43" i="28"/>
  <c r="ABZ43" i="28"/>
  <c r="ACD43" i="28"/>
  <c r="ACH43" i="28"/>
  <c r="ACL43" i="28"/>
  <c r="ACO45" i="28"/>
  <c r="ACP43" i="28"/>
  <c r="ABN44" i="28"/>
  <c r="ABR44" i="28"/>
  <c r="ABV44" i="28"/>
  <c r="ABZ44" i="28"/>
  <c r="ACD44" i="28"/>
  <c r="ACH44" i="28"/>
  <c r="ACL44" i="28"/>
  <c r="ACP44" i="28"/>
  <c r="ABR45" i="28"/>
  <c r="ABV45" i="28"/>
  <c r="ABZ45" i="28"/>
  <c r="ACD45" i="28"/>
  <c r="ACH45" i="28"/>
  <c r="ACL45" i="28"/>
  <c r="AAH38" i="28"/>
  <c r="AAL38" i="28"/>
  <c r="AAP38" i="28"/>
  <c r="AAT38" i="28"/>
  <c r="AAX38" i="28"/>
  <c r="ABB38" i="28"/>
  <c r="ABF38" i="28"/>
  <c r="ABJ38" i="28"/>
  <c r="AAH39" i="28"/>
  <c r="AAL39" i="28"/>
  <c r="AAP39" i="28"/>
  <c r="AAT39" i="28"/>
  <c r="AAX39" i="28"/>
  <c r="ABB39" i="28"/>
  <c r="ABF39" i="28"/>
  <c r="ABJ39" i="28"/>
  <c r="AAH40" i="28"/>
  <c r="AAL40" i="28"/>
  <c r="AAP40" i="28"/>
  <c r="AAT40" i="28"/>
  <c r="AAX40" i="28"/>
  <c r="ABB40" i="28"/>
  <c r="ABF40" i="28"/>
  <c r="ABJ40" i="28"/>
  <c r="AAH41" i="28"/>
  <c r="AAK47" i="28"/>
  <c r="AAL41" i="28"/>
  <c r="AAO47" i="28"/>
  <c r="AAP41" i="28"/>
  <c r="AAS47" i="28"/>
  <c r="AAT41" i="28"/>
  <c r="AAW47" i="28"/>
  <c r="AAX41" i="28"/>
  <c r="ABA47" i="28"/>
  <c r="ABB41" i="28"/>
  <c r="ABE47" i="28"/>
  <c r="ABF41" i="28"/>
  <c r="ABJ41" i="28"/>
  <c r="AAG45" i="28"/>
  <c r="AAH43" i="28"/>
  <c r="AAL43" i="28"/>
  <c r="AAP43" i="28"/>
  <c r="AAT43" i="28"/>
  <c r="AAX43" i="28"/>
  <c r="ABB43" i="28"/>
  <c r="ABF43" i="28"/>
  <c r="ABI45" i="28"/>
  <c r="ABJ43" i="28"/>
  <c r="AAH44" i="28"/>
  <c r="AAL44" i="28"/>
  <c r="AAP44" i="28"/>
  <c r="AAT44" i="28"/>
  <c r="AAX44" i="28"/>
  <c r="ABB44" i="28"/>
  <c r="ABF44" i="28"/>
  <c r="ABJ44" i="28"/>
  <c r="AAL45" i="28"/>
  <c r="AAP45" i="28"/>
  <c r="AAT45" i="28"/>
  <c r="AAX45" i="28"/>
  <c r="ABB45" i="28"/>
  <c r="ABF45" i="28"/>
  <c r="ZB38" i="28"/>
  <c r="ZF38" i="28"/>
  <c r="ZJ38" i="28"/>
  <c r="ZN38" i="28"/>
  <c r="ZR38" i="28"/>
  <c r="ZV38" i="28"/>
  <c r="ZZ38" i="28"/>
  <c r="AAD38" i="28"/>
  <c r="ZB39" i="28"/>
  <c r="ZF39" i="28"/>
  <c r="ZJ39" i="28"/>
  <c r="ZN39" i="28"/>
  <c r="ZR39" i="28"/>
  <c r="ZV39" i="28"/>
  <c r="ZZ39" i="28"/>
  <c r="AAD39" i="28"/>
  <c r="ZB40" i="28"/>
  <c r="ZF40" i="28"/>
  <c r="ZJ40" i="28"/>
  <c r="ZN40" i="28"/>
  <c r="ZR40" i="28"/>
  <c r="ZV40" i="28"/>
  <c r="ZZ40" i="28"/>
  <c r="AAD40" i="28"/>
  <c r="ZB41" i="28"/>
  <c r="ZE47" i="28"/>
  <c r="ZF41" i="28"/>
  <c r="ZI47" i="28"/>
  <c r="ZJ41" i="28"/>
  <c r="ZM47" i="28"/>
  <c r="ZN41" i="28"/>
  <c r="ZQ47" i="28"/>
  <c r="ZR41" i="28"/>
  <c r="ZU47" i="28"/>
  <c r="ZV41" i="28"/>
  <c r="ZY47" i="28"/>
  <c r="ZZ41" i="28"/>
  <c r="AAD41" i="28"/>
  <c r="ZA45" i="28"/>
  <c r="ZB43" i="28"/>
  <c r="ZF43" i="28"/>
  <c r="ZJ43" i="28"/>
  <c r="ZN43" i="28"/>
  <c r="ZR43" i="28"/>
  <c r="ZV43" i="28"/>
  <c r="ZZ43" i="28"/>
  <c r="AAC45" i="28"/>
  <c r="AAD43" i="28"/>
  <c r="ZB44" i="28"/>
  <c r="ZF44" i="28"/>
  <c r="ZJ44" i="28"/>
  <c r="ZN44" i="28"/>
  <c r="ZR44" i="28"/>
  <c r="ZV44" i="28"/>
  <c r="ZZ44" i="28"/>
  <c r="AAD44" i="28"/>
  <c r="ZF45" i="28"/>
  <c r="ZJ45" i="28"/>
  <c r="ZN45" i="28"/>
  <c r="ZR45" i="28"/>
  <c r="ZV45" i="28"/>
  <c r="ZZ45" i="28"/>
  <c r="XV38" i="28"/>
  <c r="XZ38" i="28"/>
  <c r="YD38" i="28"/>
  <c r="YH38" i="28"/>
  <c r="YL38" i="28"/>
  <c r="YP38" i="28"/>
  <c r="YT38" i="28"/>
  <c r="YX38" i="28"/>
  <c r="XV39" i="28"/>
  <c r="XZ39" i="28"/>
  <c r="YD39" i="28"/>
  <c r="YH39" i="28"/>
  <c r="YL39" i="28"/>
  <c r="YP39" i="28"/>
  <c r="YT39" i="28"/>
  <c r="YX39" i="28"/>
  <c r="XV40" i="28"/>
  <c r="XZ40" i="28"/>
  <c r="YD40" i="28"/>
  <c r="YH40" i="28"/>
  <c r="YL40" i="28"/>
  <c r="YP40" i="28"/>
  <c r="YT40" i="28"/>
  <c r="YX40" i="28"/>
  <c r="XV41" i="28"/>
  <c r="XY47" i="28"/>
  <c r="XZ41" i="28"/>
  <c r="YC47" i="28"/>
  <c r="YD41" i="28"/>
  <c r="YG47" i="28"/>
  <c r="YH41" i="28"/>
  <c r="YK47" i="28"/>
  <c r="YL41" i="28"/>
  <c r="YO47" i="28"/>
  <c r="YP41" i="28"/>
  <c r="YS47" i="28"/>
  <c r="YT41" i="28"/>
  <c r="YX41" i="28"/>
  <c r="XU45" i="28"/>
  <c r="XV43" i="28"/>
  <c r="XZ43" i="28"/>
  <c r="YD43" i="28"/>
  <c r="YH43" i="28"/>
  <c r="YL43" i="28"/>
  <c r="YP43" i="28"/>
  <c r="YT43" i="28"/>
  <c r="YW45" i="28"/>
  <c r="YX43" i="28"/>
  <c r="XV44" i="28"/>
  <c r="XZ44" i="28"/>
  <c r="YD44" i="28"/>
  <c r="YH44" i="28"/>
  <c r="YL44" i="28"/>
  <c r="YP44" i="28"/>
  <c r="YT44" i="28"/>
  <c r="YX44" i="28"/>
  <c r="XZ45" i="28"/>
  <c r="YD45" i="28"/>
  <c r="YH45" i="28"/>
  <c r="YL45" i="28"/>
  <c r="YP45" i="28"/>
  <c r="YT45" i="28"/>
  <c r="WP38" i="28"/>
  <c r="WT38" i="28"/>
  <c r="WX38" i="28"/>
  <c r="XB38" i="28"/>
  <c r="XF38" i="28"/>
  <c r="XJ38" i="28"/>
  <c r="XN38" i="28"/>
  <c r="XR38" i="28"/>
  <c r="WP39" i="28"/>
  <c r="WT39" i="28"/>
  <c r="WX39" i="28"/>
  <c r="XB39" i="28"/>
  <c r="XF39" i="28"/>
  <c r="XJ39" i="28"/>
  <c r="XN39" i="28"/>
  <c r="XR39" i="28"/>
  <c r="WP40" i="28"/>
  <c r="WT40" i="28"/>
  <c r="WX40" i="28"/>
  <c r="XB40" i="28"/>
  <c r="XF40" i="28"/>
  <c r="XJ40" i="28"/>
  <c r="XN40" i="28"/>
  <c r="XR40" i="28"/>
  <c r="WP41" i="28"/>
  <c r="WS47" i="28"/>
  <c r="WT41" i="28"/>
  <c r="WW47" i="28"/>
  <c r="WX41" i="28"/>
  <c r="XA47" i="28"/>
  <c r="XB41" i="28"/>
  <c r="XF41" i="28"/>
  <c r="XI47" i="28"/>
  <c r="XJ41" i="28"/>
  <c r="XM47" i="28"/>
  <c r="XN41" i="28"/>
  <c r="XR41" i="28"/>
  <c r="WO45" i="28"/>
  <c r="WP43" i="28"/>
  <c r="WT43" i="28"/>
  <c r="WX43" i="28"/>
  <c r="XB43" i="28"/>
  <c r="XF43" i="28"/>
  <c r="XJ43" i="28"/>
  <c r="XN43" i="28"/>
  <c r="XQ45" i="28"/>
  <c r="XR43" i="28"/>
  <c r="WP44" i="28"/>
  <c r="WT44" i="28"/>
  <c r="WX44" i="28"/>
  <c r="XB44" i="28"/>
  <c r="XF44" i="28"/>
  <c r="XJ44" i="28"/>
  <c r="XN44" i="28"/>
  <c r="XR44" i="28"/>
  <c r="WT45" i="28"/>
  <c r="WX45" i="28"/>
  <c r="XB45" i="28"/>
  <c r="XF45" i="28"/>
  <c r="XJ45" i="28"/>
  <c r="XN45" i="28"/>
  <c r="VJ38" i="28"/>
  <c r="VN38" i="28"/>
  <c r="VR38" i="28"/>
  <c r="VV38" i="28"/>
  <c r="VZ38" i="28"/>
  <c r="WD38" i="28"/>
  <c r="WH38" i="28"/>
  <c r="WL38" i="28"/>
  <c r="VJ39" i="28"/>
  <c r="VN39" i="28"/>
  <c r="VR39" i="28"/>
  <c r="VV39" i="28"/>
  <c r="VZ39" i="28"/>
  <c r="WD39" i="28"/>
  <c r="WH39" i="28"/>
  <c r="WL39" i="28"/>
  <c r="VJ40" i="28"/>
  <c r="VN40" i="28"/>
  <c r="VR40" i="28"/>
  <c r="VV40" i="28"/>
  <c r="VZ40" i="28"/>
  <c r="WD40" i="28"/>
  <c r="WH40" i="28"/>
  <c r="WL40" i="28"/>
  <c r="VJ41" i="28"/>
  <c r="VM47" i="28"/>
  <c r="VN41" i="28"/>
  <c r="VQ47" i="28"/>
  <c r="VR41" i="28"/>
  <c r="VU47" i="28"/>
  <c r="VV41" i="28"/>
  <c r="VY47" i="28"/>
  <c r="VZ41" i="28"/>
  <c r="WC47" i="28"/>
  <c r="WD41" i="28"/>
  <c r="WG47" i="28"/>
  <c r="WH41" i="28"/>
  <c r="WL41" i="28"/>
  <c r="VI45" i="28"/>
  <c r="VJ43" i="28"/>
  <c r="VN43" i="28"/>
  <c r="VR43" i="28"/>
  <c r="VV43" i="28"/>
  <c r="VZ43" i="28"/>
  <c r="WD43" i="28"/>
  <c r="WH43" i="28"/>
  <c r="WK45" i="28"/>
  <c r="WL43" i="28"/>
  <c r="VJ44" i="28"/>
  <c r="VN44" i="28"/>
  <c r="VR44" i="28"/>
  <c r="VV44" i="28"/>
  <c r="VZ44" i="28"/>
  <c r="WD44" i="28"/>
  <c r="WH44" i="28"/>
  <c r="WL44" i="28"/>
  <c r="VN45" i="28"/>
  <c r="VR45" i="28"/>
  <c r="VV45" i="28"/>
  <c r="VZ45" i="28"/>
  <c r="WD45" i="28"/>
  <c r="WH45" i="28"/>
  <c r="UD38" i="28"/>
  <c r="UH38" i="28"/>
  <c r="UL38" i="28"/>
  <c r="UP38" i="28"/>
  <c r="UT38" i="28"/>
  <c r="UX38" i="28"/>
  <c r="VB38" i="28"/>
  <c r="VF38" i="28"/>
  <c r="UD39" i="28"/>
  <c r="UH39" i="28"/>
  <c r="UL39" i="28"/>
  <c r="UP39" i="28"/>
  <c r="UT39" i="28"/>
  <c r="UX39" i="28"/>
  <c r="VB39" i="28"/>
  <c r="VF39" i="28"/>
  <c r="UD40" i="28"/>
  <c r="UH40" i="28"/>
  <c r="UL40" i="28"/>
  <c r="UP40" i="28"/>
  <c r="UT40" i="28"/>
  <c r="UX40" i="28"/>
  <c r="VB40" i="28"/>
  <c r="VF40" i="28"/>
  <c r="UD41" i="28"/>
  <c r="UG47" i="28"/>
  <c r="UH41" i="28"/>
  <c r="UK47" i="28"/>
  <c r="UL41" i="28"/>
  <c r="UO47" i="28"/>
  <c r="UP41" i="28"/>
  <c r="US47" i="28"/>
  <c r="UT41" i="28"/>
  <c r="UW47" i="28"/>
  <c r="UX41" i="28"/>
  <c r="VA47" i="28"/>
  <c r="VB41" i="28"/>
  <c r="VF41" i="28"/>
  <c r="UC45" i="28"/>
  <c r="UD43" i="28"/>
  <c r="UH43" i="28"/>
  <c r="UL43" i="28"/>
  <c r="UP43" i="28"/>
  <c r="UT43" i="28"/>
  <c r="UX43" i="28"/>
  <c r="VB43" i="28"/>
  <c r="VE45" i="28"/>
  <c r="VF43" i="28"/>
  <c r="UD44" i="28"/>
  <c r="UH44" i="28"/>
  <c r="UL44" i="28"/>
  <c r="UP44" i="28"/>
  <c r="UT44" i="28"/>
  <c r="UX44" i="28"/>
  <c r="VB44" i="28"/>
  <c r="VF44" i="28"/>
  <c r="UH45" i="28"/>
  <c r="UL45" i="28"/>
  <c r="UP45" i="28"/>
  <c r="UT45" i="28"/>
  <c r="UX45" i="28"/>
  <c r="VB45" i="28"/>
  <c r="SX38" i="28"/>
  <c r="TB38" i="28"/>
  <c r="TF38" i="28"/>
  <c r="TJ38" i="28"/>
  <c r="TN38" i="28"/>
  <c r="TR38" i="28"/>
  <c r="TV38" i="28"/>
  <c r="TZ38" i="28"/>
  <c r="SX39" i="28"/>
  <c r="TB39" i="28"/>
  <c r="TF39" i="28"/>
  <c r="TJ39" i="28"/>
  <c r="TN39" i="28"/>
  <c r="TR39" i="28"/>
  <c r="TV39" i="28"/>
  <c r="TZ39" i="28"/>
  <c r="SX40" i="28"/>
  <c r="TB40" i="28"/>
  <c r="TF40" i="28"/>
  <c r="TJ40" i="28"/>
  <c r="TN40" i="28"/>
  <c r="TR40" i="28"/>
  <c r="TV40" i="28"/>
  <c r="TZ40" i="28"/>
  <c r="SX41" i="28"/>
  <c r="TA47" i="28"/>
  <c r="K627" i="32" s="1"/>
  <c r="TB41" i="28"/>
  <c r="TE47" i="28"/>
  <c r="K628" i="32" s="1"/>
  <c r="TF41" i="28"/>
  <c r="TI47" i="28"/>
  <c r="K629" i="32" s="1"/>
  <c r="TJ41" i="28"/>
  <c r="TM47" i="28"/>
  <c r="K630" i="32" s="1"/>
  <c r="TN41" i="28"/>
  <c r="TQ47" i="28"/>
  <c r="K631" i="32" s="1"/>
  <c r="TR41" i="28"/>
  <c r="TU47" i="28"/>
  <c r="K632" i="32" s="1"/>
  <c r="TV41" i="28"/>
  <c r="TZ41" i="28"/>
  <c r="SW45" i="28"/>
  <c r="SX43" i="28"/>
  <c r="TB43" i="28"/>
  <c r="TF43" i="28"/>
  <c r="TJ43" i="28"/>
  <c r="TN43" i="28"/>
  <c r="TR43" i="28"/>
  <c r="TV43" i="28"/>
  <c r="TY45" i="28"/>
  <c r="TZ43" i="28"/>
  <c r="SX44" i="28"/>
  <c r="TB44" i="28"/>
  <c r="TF44" i="28"/>
  <c r="TJ44" i="28"/>
  <c r="TN44" i="28"/>
  <c r="TR44" i="28"/>
  <c r="TV44" i="28"/>
  <c r="TZ44" i="28"/>
  <c r="TB45" i="28"/>
  <c r="TF45" i="28"/>
  <c r="TJ45" i="28"/>
  <c r="TN45" i="28"/>
  <c r="TR45" i="28"/>
  <c r="TV45" i="28"/>
  <c r="RR38" i="28"/>
  <c r="RV38" i="28"/>
  <c r="RZ38" i="28"/>
  <c r="SD38" i="28"/>
  <c r="SH38" i="28"/>
  <c r="SL38" i="28"/>
  <c r="SP38" i="28"/>
  <c r="ST38" i="28"/>
  <c r="RR39" i="28"/>
  <c r="RV39" i="28"/>
  <c r="RZ39" i="28"/>
  <c r="SD39" i="28"/>
  <c r="SH39" i="28"/>
  <c r="SL39" i="28"/>
  <c r="SP39" i="28"/>
  <c r="ST39" i="28"/>
  <c r="RR40" i="28"/>
  <c r="RV40" i="28"/>
  <c r="RZ40" i="28"/>
  <c r="SD40" i="28"/>
  <c r="SH40" i="28"/>
  <c r="SL40" i="28"/>
  <c r="SP40" i="28"/>
  <c r="ST40" i="28"/>
  <c r="RR41" i="28"/>
  <c r="RU47" i="28"/>
  <c r="K620" i="32" s="1"/>
  <c r="RV41" i="28"/>
  <c r="RY47" i="28"/>
  <c r="K621" i="32" s="1"/>
  <c r="RZ41" i="28"/>
  <c r="SC47" i="28"/>
  <c r="K622" i="32" s="1"/>
  <c r="SD41" i="28"/>
  <c r="SG47" i="28"/>
  <c r="K623" i="32" s="1"/>
  <c r="SH41" i="28"/>
  <c r="SK47" i="28"/>
  <c r="K624" i="32" s="1"/>
  <c r="SL41" i="28"/>
  <c r="SO47" i="28"/>
  <c r="K625" i="32" s="1"/>
  <c r="SP41" i="28"/>
  <c r="ST41" i="28"/>
  <c r="RQ45" i="28"/>
  <c r="RR43" i="28"/>
  <c r="RV43" i="28"/>
  <c r="RZ43" i="28"/>
  <c r="SD43" i="28"/>
  <c r="SH43" i="28"/>
  <c r="SL43" i="28"/>
  <c r="SP43" i="28"/>
  <c r="SS45" i="28"/>
  <c r="ST43" i="28"/>
  <c r="RR44" i="28"/>
  <c r="RV44" i="28"/>
  <c r="RZ44" i="28"/>
  <c r="SD44" i="28"/>
  <c r="SH44" i="28"/>
  <c r="SL44" i="28"/>
  <c r="SP44" i="28"/>
  <c r="ST44" i="28"/>
  <c r="RV45" i="28"/>
  <c r="RZ45" i="28"/>
  <c r="SD45" i="28"/>
  <c r="SH45" i="28"/>
  <c r="SL45" i="28"/>
  <c r="SP45" i="28"/>
  <c r="QL38" i="28"/>
  <c r="QP38" i="28"/>
  <c r="QT38" i="28"/>
  <c r="QX38" i="28"/>
  <c r="RB38" i="28"/>
  <c r="RF38" i="28"/>
  <c r="RJ38" i="28"/>
  <c r="RN38" i="28"/>
  <c r="QL39" i="28"/>
  <c r="QP39" i="28"/>
  <c r="QT39" i="28"/>
  <c r="QX39" i="28"/>
  <c r="RB39" i="28"/>
  <c r="RF39" i="28"/>
  <c r="RJ39" i="28"/>
  <c r="RN39" i="28"/>
  <c r="QL40" i="28"/>
  <c r="QP40" i="28"/>
  <c r="QT40" i="28"/>
  <c r="QX40" i="28"/>
  <c r="RB40" i="28"/>
  <c r="RF40" i="28"/>
  <c r="RJ40" i="28"/>
  <c r="RN40" i="28"/>
  <c r="QL41" i="28"/>
  <c r="QO47" i="28"/>
  <c r="QP41" i="28"/>
  <c r="QS47" i="28"/>
  <c r="QT41" i="28"/>
  <c r="QW47" i="28"/>
  <c r="QX41" i="28"/>
  <c r="RA47" i="28"/>
  <c r="RB41" i="28"/>
  <c r="RE47" i="28"/>
  <c r="RF41" i="28"/>
  <c r="RI47" i="28"/>
  <c r="RJ41" i="28"/>
  <c r="RN41" i="28"/>
  <c r="QK45" i="28"/>
  <c r="QL43" i="28"/>
  <c r="QP43" i="28"/>
  <c r="QT43" i="28"/>
  <c r="QX43" i="28"/>
  <c r="RB43" i="28"/>
  <c r="RF43" i="28"/>
  <c r="RJ43" i="28"/>
  <c r="RM45" i="28"/>
  <c r="RN43" i="28"/>
  <c r="QL44" i="28"/>
  <c r="QP44" i="28"/>
  <c r="QT44" i="28"/>
  <c r="QX44" i="28"/>
  <c r="RB44" i="28"/>
  <c r="RF44" i="28"/>
  <c r="RJ44" i="28"/>
  <c r="RN44" i="28"/>
  <c r="QP45" i="28"/>
  <c r="QT45" i="28"/>
  <c r="QX45" i="28"/>
  <c r="RB45" i="28"/>
  <c r="RF45" i="28"/>
  <c r="RJ45" i="28"/>
  <c r="PF38" i="28"/>
  <c r="PJ38" i="28"/>
  <c r="PN38" i="28"/>
  <c r="PR38" i="28"/>
  <c r="PV38" i="28"/>
  <c r="PZ38" i="28"/>
  <c r="QD38" i="28"/>
  <c r="QH38" i="28"/>
  <c r="PF39" i="28"/>
  <c r="PJ39" i="28"/>
  <c r="PN39" i="28"/>
  <c r="PR39" i="28"/>
  <c r="PV39" i="28"/>
  <c r="PZ39" i="28"/>
  <c r="QD39" i="28"/>
  <c r="QH39" i="28"/>
  <c r="PF40" i="28"/>
  <c r="PJ40" i="28"/>
  <c r="PN40" i="28"/>
  <c r="PR40" i="28"/>
  <c r="PV40" i="28"/>
  <c r="PZ40" i="28"/>
  <c r="QD40" i="28"/>
  <c r="QH40" i="28"/>
  <c r="PF41" i="28"/>
  <c r="PI47" i="28"/>
  <c r="PJ41" i="28"/>
  <c r="PM47" i="28"/>
  <c r="PN41" i="28"/>
  <c r="PQ47" i="28"/>
  <c r="PR41" i="28"/>
  <c r="PU47" i="28"/>
  <c r="PV41" i="28"/>
  <c r="PY47" i="28"/>
  <c r="PZ41" i="28"/>
  <c r="QC47" i="28"/>
  <c r="QD41" i="28"/>
  <c r="QH41" i="28"/>
  <c r="PE45" i="28"/>
  <c r="PF43" i="28"/>
  <c r="PJ43" i="28"/>
  <c r="PN43" i="28"/>
  <c r="PR43" i="28"/>
  <c r="PV43" i="28"/>
  <c r="PZ43" i="28"/>
  <c r="QD43" i="28"/>
  <c r="QG45" i="28"/>
  <c r="QH43" i="28"/>
  <c r="PF44" i="28"/>
  <c r="PJ44" i="28"/>
  <c r="PN44" i="28"/>
  <c r="PR44" i="28"/>
  <c r="PV44" i="28"/>
  <c r="PZ44" i="28"/>
  <c r="QD44" i="28"/>
  <c r="QH44" i="28"/>
  <c r="PJ45" i="28"/>
  <c r="PN45" i="28"/>
  <c r="PR45" i="28"/>
  <c r="PV45" i="28"/>
  <c r="PZ45" i="28"/>
  <c r="QD45" i="28"/>
  <c r="PB39" i="28"/>
  <c r="PB40" i="28"/>
  <c r="PA45" i="28"/>
  <c r="PB43" i="28"/>
  <c r="PB44" i="28"/>
  <c r="OX38" i="28"/>
  <c r="OX39" i="28"/>
  <c r="OX40" i="28"/>
  <c r="OW47" i="28"/>
  <c r="OX41" i="28"/>
  <c r="OX43" i="28"/>
  <c r="OX44" i="28"/>
  <c r="OX45" i="28"/>
  <c r="OT38" i="28"/>
  <c r="OT39" i="28"/>
  <c r="OT40" i="28"/>
  <c r="OS47" i="28"/>
  <c r="OT41" i="28"/>
  <c r="OT43" i="28"/>
  <c r="OT44" i="28"/>
  <c r="OT45" i="28"/>
  <c r="OP38" i="28"/>
  <c r="OP39" i="28"/>
  <c r="OP40" i="28"/>
  <c r="OO47" i="28"/>
  <c r="OP41" i="28"/>
  <c r="OP43" i="28"/>
  <c r="OP44" i="28"/>
  <c r="OP45" i="28"/>
  <c r="OL38" i="28"/>
  <c r="OL39" i="28"/>
  <c r="OL40" i="28"/>
  <c r="OK47" i="28"/>
  <c r="OL41" i="28"/>
  <c r="OL43" i="28"/>
  <c r="OL44" i="28"/>
  <c r="OL45" i="28"/>
  <c r="OH38" i="28"/>
  <c r="OH39" i="28"/>
  <c r="OH40" i="28"/>
  <c r="OG47" i="28"/>
  <c r="OH41" i="28"/>
  <c r="OH43" i="28"/>
  <c r="OH44" i="28"/>
  <c r="OH45" i="28"/>
  <c r="OD38" i="28"/>
  <c r="OD39" i="28"/>
  <c r="OD40" i="28"/>
  <c r="OD41" i="28"/>
  <c r="OD43" i="28"/>
  <c r="OD44" i="28"/>
  <c r="HV34" i="25"/>
  <c r="HV33" i="25"/>
  <c r="HV30" i="25"/>
  <c r="HV28" i="25"/>
  <c r="LA28" i="25" s="1"/>
  <c r="LF28" i="25" s="1"/>
  <c r="HV27" i="25"/>
  <c r="HV26" i="25"/>
  <c r="LA26" i="25" s="1"/>
  <c r="HV29" i="25"/>
  <c r="HV24" i="25"/>
  <c r="HV23" i="25"/>
  <c r="HV22" i="25"/>
  <c r="HV21" i="25"/>
  <c r="HV20" i="25"/>
  <c r="HV19" i="25"/>
  <c r="HV18" i="25"/>
  <c r="HV16" i="25"/>
  <c r="HV15" i="25"/>
  <c r="HV13" i="25"/>
  <c r="LA13" i="25" s="1"/>
  <c r="LF13" i="25" s="1"/>
  <c r="HV12" i="25"/>
  <c r="LA12" i="25" s="1"/>
  <c r="LF12" i="25" s="1"/>
  <c r="HV11" i="25"/>
  <c r="HV10" i="25"/>
  <c r="LA10" i="25" s="1"/>
  <c r="LF10" i="25" s="1"/>
  <c r="HV9" i="25"/>
  <c r="LA9" i="25" s="1"/>
  <c r="LF9" i="25" s="1"/>
  <c r="HV8" i="25"/>
  <c r="HV7" i="25"/>
  <c r="LA7" i="25" s="1"/>
  <c r="LF7" i="25" s="1"/>
  <c r="GX17" i="25"/>
  <c r="GX38" i="25" s="1"/>
  <c r="HV14" i="25"/>
  <c r="LA14" i="25" s="1"/>
  <c r="LF14" i="25" s="1"/>
  <c r="GO44" i="25"/>
  <c r="GU6" i="25"/>
  <c r="NZ38" i="28"/>
  <c r="NZ39" i="28"/>
  <c r="NZ40" i="28"/>
  <c r="NZ41" i="28"/>
  <c r="NY45" i="28"/>
  <c r="NZ43" i="28"/>
  <c r="NZ44" i="28"/>
  <c r="GQ38" i="25"/>
  <c r="GQ39" i="25"/>
  <c r="GQ40" i="25"/>
  <c r="GQ43" i="25"/>
  <c r="GQ44" i="25"/>
  <c r="GO43" i="25"/>
  <c r="GO40" i="25"/>
  <c r="GO39" i="25"/>
  <c r="GO38" i="25"/>
  <c r="GJ44" i="25"/>
  <c r="GJ43" i="25"/>
  <c r="GJ40" i="25"/>
  <c r="GJ39" i="25"/>
  <c r="GJ38" i="25"/>
  <c r="MM44" i="28"/>
  <c r="NS43" i="28"/>
  <c r="MM43" i="28"/>
  <c r="MM45" i="28" s="1"/>
  <c r="NS40" i="28"/>
  <c r="MM40" i="28"/>
  <c r="NS39" i="28"/>
  <c r="MM39" i="28"/>
  <c r="NS41" i="28"/>
  <c r="NS38" i="28"/>
  <c r="MM41" i="28"/>
  <c r="MM38" i="28"/>
  <c r="GG38" i="25"/>
  <c r="MO41" i="28"/>
  <c r="MO38" i="28"/>
  <c r="GL38" i="25"/>
  <c r="NU41" i="28"/>
  <c r="NU38" i="28"/>
  <c r="GG39" i="25"/>
  <c r="GL39" i="25"/>
  <c r="GG40" i="25"/>
  <c r="GL40" i="25"/>
  <c r="GG43" i="25"/>
  <c r="GL43" i="25"/>
  <c r="GG44" i="25"/>
  <c r="GL44" i="25"/>
  <c r="MI41" i="28"/>
  <c r="MI38" i="28"/>
  <c r="ME41" i="28"/>
  <c r="ME38" i="28"/>
  <c r="MA41" i="28"/>
  <c r="MA38" i="28"/>
  <c r="LW44" i="28"/>
  <c r="LW43" i="28"/>
  <c r="LW45" i="28" s="1"/>
  <c r="MA44" i="28"/>
  <c r="MA43" i="28"/>
  <c r="MA45" i="28" s="1"/>
  <c r="MA40" i="28"/>
  <c r="MA39" i="28"/>
  <c r="ME44" i="28"/>
  <c r="ME43" i="28"/>
  <c r="ME45" i="28" s="1"/>
  <c r="ME40" i="28"/>
  <c r="ME39" i="28"/>
  <c r="MI44" i="28"/>
  <c r="MI43" i="28"/>
  <c r="MI45" i="28" s="1"/>
  <c r="MI40" i="28"/>
  <c r="MI39" i="28"/>
  <c r="MQ41" i="28"/>
  <c r="MQ44" i="28"/>
  <c r="MQ43" i="28"/>
  <c r="MQ45" i="28" s="1"/>
  <c r="MQ40" i="28"/>
  <c r="MQ39" i="28"/>
  <c r="MU41" i="28"/>
  <c r="MU38" i="28"/>
  <c r="MU44" i="28"/>
  <c r="MU43" i="28"/>
  <c r="MU45" i="28" s="1"/>
  <c r="MU47" i="28" s="1"/>
  <c r="MU40" i="28"/>
  <c r="MU39" i="28"/>
  <c r="MY41" i="28"/>
  <c r="MY38" i="28"/>
  <c r="MY44" i="28"/>
  <c r="MY43" i="28"/>
  <c r="MY45" i="28" s="1"/>
  <c r="MY47" i="28" s="1"/>
  <c r="MY40" i="28"/>
  <c r="MY39" i="28"/>
  <c r="NC41" i="28"/>
  <c r="NC38" i="28"/>
  <c r="NC44" i="28"/>
  <c r="NC43" i="28"/>
  <c r="NC45" i="28" s="1"/>
  <c r="NC47" i="28" s="1"/>
  <c r="NC40" i="28"/>
  <c r="NC39" i="28"/>
  <c r="NG41" i="28"/>
  <c r="NG38" i="28"/>
  <c r="NG44" i="28"/>
  <c r="NG43" i="28"/>
  <c r="NG45" i="28" s="1"/>
  <c r="NG47" i="28" s="1"/>
  <c r="NG40" i="28"/>
  <c r="NG39" i="28"/>
  <c r="NK41" i="28"/>
  <c r="NK38" i="28"/>
  <c r="NK44" i="28"/>
  <c r="NK43" i="28"/>
  <c r="NK45" i="28" s="1"/>
  <c r="NK47" i="28" s="1"/>
  <c r="NK40" i="28"/>
  <c r="NK39" i="28"/>
  <c r="NO41" i="28"/>
  <c r="NO38" i="28"/>
  <c r="NO44" i="28"/>
  <c r="NO43" i="28"/>
  <c r="NO45" i="28" s="1"/>
  <c r="NO47" i="28" s="1"/>
  <c r="NO40" i="28"/>
  <c r="NO39" i="28"/>
  <c r="LZ43" i="28"/>
  <c r="LY45" i="28"/>
  <c r="LZ45" i="28" s="1"/>
  <c r="LZ44" i="28"/>
  <c r="NS35" i="28"/>
  <c r="MT35" i="28"/>
  <c r="NV38" i="28"/>
  <c r="NV39" i="28"/>
  <c r="NV40" i="28"/>
  <c r="NV41" i="28"/>
  <c r="NU45" i="28"/>
  <c r="NV43" i="28"/>
  <c r="NR38" i="28"/>
  <c r="NR39" i="28"/>
  <c r="NR40" i="28"/>
  <c r="NR41" i="28"/>
  <c r="NQ45" i="28"/>
  <c r="NR43" i="28"/>
  <c r="NR44" i="28"/>
  <c r="NN38" i="28"/>
  <c r="NN39" i="28"/>
  <c r="NN40" i="28"/>
  <c r="NN41" i="28"/>
  <c r="NM45" i="28"/>
  <c r="NN43" i="28"/>
  <c r="NN44" i="28"/>
  <c r="NJ38" i="28"/>
  <c r="NJ39" i="28"/>
  <c r="NJ40" i="28"/>
  <c r="NJ41" i="28"/>
  <c r="NI45" i="28"/>
  <c r="NJ43" i="28"/>
  <c r="NJ44" i="28"/>
  <c r="NF38" i="28"/>
  <c r="NF39" i="28"/>
  <c r="NF40" i="28"/>
  <c r="NF41" i="28"/>
  <c r="NE45" i="28"/>
  <c r="NF43" i="28"/>
  <c r="NF44" i="28"/>
  <c r="NB38" i="28"/>
  <c r="NB39" i="28"/>
  <c r="NB40" i="28"/>
  <c r="NB41" i="28"/>
  <c r="NA45" i="28"/>
  <c r="NB43" i="28"/>
  <c r="NB44" i="28"/>
  <c r="MX38" i="28"/>
  <c r="MX39" i="28"/>
  <c r="MX40" i="28"/>
  <c r="MX41" i="28"/>
  <c r="MW45" i="28"/>
  <c r="MX43" i="28"/>
  <c r="MX44" i="28"/>
  <c r="MT38" i="28"/>
  <c r="MT39" i="28"/>
  <c r="MT40" i="28"/>
  <c r="MT41" i="28"/>
  <c r="MS45" i="28"/>
  <c r="MT43" i="28"/>
  <c r="MT44" i="28"/>
  <c r="MP38" i="28"/>
  <c r="MP39" i="28"/>
  <c r="MP40" i="28"/>
  <c r="MP41" i="28"/>
  <c r="MO45" i="28"/>
  <c r="MP45" i="28" s="1"/>
  <c r="MP43" i="28"/>
  <c r="MP44" i="28"/>
  <c r="ML38" i="28"/>
  <c r="ML39" i="28"/>
  <c r="ML40" i="28"/>
  <c r="ML41" i="28"/>
  <c r="MK45" i="28"/>
  <c r="ML45" i="28" s="1"/>
  <c r="ML43" i="28"/>
  <c r="ML44" i="28"/>
  <c r="MG45" i="28"/>
  <c r="MH45" i="28" s="1"/>
  <c r="MH43" i="28"/>
  <c r="MH44" i="28"/>
  <c r="MC45" i="28"/>
  <c r="MD45" i="28" s="1"/>
  <c r="MD43" i="28"/>
  <c r="MD44" i="28"/>
  <c r="MH38" i="28"/>
  <c r="MH39" i="28"/>
  <c r="MH40" i="28"/>
  <c r="MH41" i="28"/>
  <c r="MD38" i="28"/>
  <c r="MD39" i="28"/>
  <c r="MD40" i="28"/>
  <c r="MD41" i="28"/>
  <c r="ED44" i="28"/>
  <c r="DX44" i="28"/>
  <c r="DX45" i="28" s="1"/>
  <c r="FD40" i="28"/>
  <c r="DX40" i="28"/>
  <c r="CR40" i="28"/>
  <c r="CR44" i="28"/>
  <c r="CR43" i="28"/>
  <c r="CR39" i="28"/>
  <c r="DX39" i="28"/>
  <c r="FF44" i="28"/>
  <c r="FD38" i="28"/>
  <c r="IV38" i="28"/>
  <c r="IV44" i="28"/>
  <c r="KB44" i="28"/>
  <c r="KB45" i="28" s="1"/>
  <c r="FD44" i="28"/>
  <c r="FD39" i="28"/>
  <c r="EF44" i="28"/>
  <c r="EN44" i="28"/>
  <c r="ER44" i="28"/>
  <c r="EF43" i="28"/>
  <c r="EN43" i="28"/>
  <c r="ER43" i="28"/>
  <c r="ER45" i="28" s="1"/>
  <c r="EF40" i="28"/>
  <c r="EN40" i="28"/>
  <c r="ER40" i="28"/>
  <c r="EF39" i="28"/>
  <c r="EN39" i="28"/>
  <c r="ER39" i="28"/>
  <c r="ER41" i="28" s="1"/>
  <c r="CV44" i="28"/>
  <c r="DT44" i="28"/>
  <c r="CZ44" i="28"/>
  <c r="DH44" i="28"/>
  <c r="DP44" i="28"/>
  <c r="CV43" i="28"/>
  <c r="CV45" i="28" s="1"/>
  <c r="DT43" i="28"/>
  <c r="DT45" i="28" s="1"/>
  <c r="CZ43" i="28"/>
  <c r="CZ45" i="28" s="1"/>
  <c r="DH43" i="28"/>
  <c r="DP43" i="28"/>
  <c r="CV40" i="28"/>
  <c r="DT40" i="28"/>
  <c r="CZ40" i="28"/>
  <c r="DH40" i="28"/>
  <c r="DP40" i="28"/>
  <c r="CV39" i="28"/>
  <c r="CV41" i="28" s="1"/>
  <c r="DT39" i="28"/>
  <c r="DT41" i="28" s="1"/>
  <c r="CZ39" i="28"/>
  <c r="CZ41" i="28" s="1"/>
  <c r="DH39" i="28"/>
  <c r="DP39" i="28"/>
  <c r="DX38" i="28"/>
  <c r="DX41" i="28" s="1"/>
  <c r="BT44" i="28"/>
  <c r="CB44" i="28"/>
  <c r="CJ44" i="28"/>
  <c r="BT43" i="28"/>
  <c r="CB43" i="28"/>
  <c r="CB45" i="28" s="1"/>
  <c r="CJ43" i="28"/>
  <c r="BT40" i="28"/>
  <c r="CB40" i="28"/>
  <c r="CJ40" i="28"/>
  <c r="BT39" i="28"/>
  <c r="CB39" i="28"/>
  <c r="CB41" i="28" s="1"/>
  <c r="CJ39" i="28"/>
  <c r="CR38" i="28"/>
  <c r="JX44" i="28"/>
  <c r="JT44" i="28"/>
  <c r="JP44" i="28"/>
  <c r="JH44" i="28"/>
  <c r="JD44" i="28"/>
  <c r="JX43" i="28"/>
  <c r="JT43" i="28"/>
  <c r="JT45" i="28" s="1"/>
  <c r="JP43" i="28"/>
  <c r="JH43" i="28"/>
  <c r="JH45" i="28" s="1"/>
  <c r="JD43" i="28"/>
  <c r="JX40" i="28"/>
  <c r="JT40" i="28"/>
  <c r="JP40" i="28"/>
  <c r="JH40" i="28"/>
  <c r="JD40" i="28"/>
  <c r="JX39" i="28"/>
  <c r="JT39" i="28"/>
  <c r="JT41" i="28" s="1"/>
  <c r="JP39" i="28"/>
  <c r="JH39" i="28"/>
  <c r="JH41" i="28" s="1"/>
  <c r="JD39" i="28"/>
  <c r="IR44" i="28"/>
  <c r="IJ44" i="28"/>
  <c r="IF44" i="28"/>
  <c r="HX44" i="28"/>
  <c r="HT44" i="28"/>
  <c r="IR43" i="28"/>
  <c r="IJ43" i="28"/>
  <c r="IJ45" i="28" s="1"/>
  <c r="IF43" i="28"/>
  <c r="HX43" i="28"/>
  <c r="HT43" i="28"/>
  <c r="IR40" i="28"/>
  <c r="IJ40" i="28"/>
  <c r="IF40" i="28"/>
  <c r="HX40" i="28"/>
  <c r="HT40" i="28"/>
  <c r="IR39" i="28"/>
  <c r="IJ39" i="28"/>
  <c r="IJ41" i="28" s="1"/>
  <c r="IF39" i="28"/>
  <c r="HX39" i="28"/>
  <c r="HT39" i="28"/>
  <c r="GN44" i="28"/>
  <c r="GZ44" i="28"/>
  <c r="HH44" i="28"/>
  <c r="HL44" i="28"/>
  <c r="GN43" i="28"/>
  <c r="GN45" i="28" s="1"/>
  <c r="GZ43" i="28"/>
  <c r="HH43" i="28"/>
  <c r="HL43" i="28"/>
  <c r="HL45" i="28" s="1"/>
  <c r="GN40" i="28"/>
  <c r="GZ40" i="28"/>
  <c r="HH40" i="28"/>
  <c r="HL40" i="28"/>
  <c r="GN39" i="28"/>
  <c r="GN41" i="28" s="1"/>
  <c r="GZ39" i="28"/>
  <c r="HH39" i="28"/>
  <c r="HL39" i="28"/>
  <c r="HL41" i="28" s="1"/>
  <c r="GJ44" i="28"/>
  <c r="GB44" i="28"/>
  <c r="FP44" i="28"/>
  <c r="FL44" i="28"/>
  <c r="GJ43" i="28"/>
  <c r="GB43" i="28"/>
  <c r="FP43" i="28"/>
  <c r="FP45" i="28" s="1"/>
  <c r="FL43" i="28"/>
  <c r="GJ40" i="28"/>
  <c r="GB40" i="28"/>
  <c r="FP40" i="28"/>
  <c r="FL40" i="28"/>
  <c r="GJ39" i="28"/>
  <c r="GB39" i="28"/>
  <c r="FP39" i="28"/>
  <c r="FP41" i="28" s="1"/>
  <c r="FL39" i="28"/>
  <c r="BT38" i="28"/>
  <c r="FF43" i="28"/>
  <c r="FF45" i="28" s="1"/>
  <c r="CT40" i="28"/>
  <c r="CQ40" i="28"/>
  <c r="BV40" i="28"/>
  <c r="CT44" i="28"/>
  <c r="CQ44" i="28"/>
  <c r="BV44" i="28"/>
  <c r="CT43" i="28"/>
  <c r="CQ43" i="28"/>
  <c r="CQ45" i="28" s="1"/>
  <c r="BV43" i="28"/>
  <c r="CQ38" i="28"/>
  <c r="CQ41" i="28" s="1"/>
  <c r="ED43" i="28"/>
  <c r="KJ44" i="28"/>
  <c r="KR44" i="28"/>
  <c r="KV44" i="28"/>
  <c r="KZ44" i="28"/>
  <c r="KJ43" i="28"/>
  <c r="KR43" i="28"/>
  <c r="KV43" i="28"/>
  <c r="KV45" i="28" s="1"/>
  <c r="KZ43" i="28"/>
  <c r="KZ45" i="28" s="1"/>
  <c r="KJ40" i="28"/>
  <c r="KR40" i="28"/>
  <c r="KV40" i="28"/>
  <c r="KZ40" i="28"/>
  <c r="KJ39" i="28"/>
  <c r="KR39" i="28"/>
  <c r="KV39" i="28"/>
  <c r="KV41" i="28" s="1"/>
  <c r="KZ39" i="28"/>
  <c r="KZ41" i="28" s="1"/>
  <c r="CX44" i="28"/>
  <c r="CX40" i="28"/>
  <c r="BZ43" i="28"/>
  <c r="CH43" i="28"/>
  <c r="CL43" i="28"/>
  <c r="BZ44" i="28"/>
  <c r="CH44" i="28"/>
  <c r="CL44" i="28"/>
  <c r="CX43" i="28"/>
  <c r="CL39" i="28"/>
  <c r="CL41" i="28" s="1"/>
  <c r="BZ39" i="28"/>
  <c r="CH39" i="28"/>
  <c r="DV43" i="28"/>
  <c r="DF43" i="28"/>
  <c r="DR43" i="28"/>
  <c r="DJ43" i="28"/>
  <c r="DV39" i="28"/>
  <c r="DF39" i="28"/>
  <c r="DJ39" i="28"/>
  <c r="DJ41" i="28" s="1"/>
  <c r="DR39" i="28"/>
  <c r="DV44" i="28"/>
  <c r="DF44" i="28"/>
  <c r="DJ44" i="28"/>
  <c r="DR44" i="28"/>
  <c r="FF40" i="28"/>
  <c r="ED40" i="28"/>
  <c r="BN43" i="28"/>
  <c r="BN39" i="28"/>
  <c r="BN44" i="28"/>
  <c r="FF39" i="28"/>
  <c r="ED39" i="28"/>
  <c r="BN40" i="28"/>
  <c r="FB39" i="28"/>
  <c r="EH39" i="28"/>
  <c r="EH41" i="28" s="1"/>
  <c r="EP39" i="28"/>
  <c r="EX39" i="28"/>
  <c r="EX41" i="28" s="1"/>
  <c r="EH43" i="28"/>
  <c r="EX43" i="28"/>
  <c r="FB43" i="28"/>
  <c r="EP43" i="28"/>
  <c r="FB44" i="28"/>
  <c r="EH44" i="28"/>
  <c r="EP44" i="28"/>
  <c r="EX44" i="28"/>
  <c r="IX44" i="28"/>
  <c r="HV44" i="28"/>
  <c r="IU44" i="28"/>
  <c r="HR44" i="28"/>
  <c r="HO44" i="28"/>
  <c r="GL44" i="28"/>
  <c r="GI44" i="28"/>
  <c r="IX43" i="28"/>
  <c r="IX45" i="28" s="1"/>
  <c r="HV43" i="28"/>
  <c r="HV45" i="28" s="1"/>
  <c r="IU43" i="28"/>
  <c r="IU45" i="28" s="1"/>
  <c r="HR43" i="28"/>
  <c r="HO43" i="28"/>
  <c r="GL43" i="28"/>
  <c r="GI43" i="28"/>
  <c r="GI45" i="28" s="1"/>
  <c r="IX40" i="28"/>
  <c r="HV40" i="28"/>
  <c r="IU40" i="28"/>
  <c r="HR40" i="28"/>
  <c r="HO40" i="28"/>
  <c r="GL40" i="28"/>
  <c r="GI40" i="28"/>
  <c r="IX39" i="28"/>
  <c r="HV39" i="28"/>
  <c r="HV41" i="28" s="1"/>
  <c r="IU39" i="28"/>
  <c r="HR39" i="28"/>
  <c r="HO39" i="28"/>
  <c r="GL39" i="28"/>
  <c r="GI39" i="28"/>
  <c r="IU38" i="28"/>
  <c r="IU41" i="28" s="1"/>
  <c r="HO38" i="28"/>
  <c r="GI38" i="28"/>
  <c r="GI41" i="28" s="1"/>
  <c r="KH44" i="28"/>
  <c r="KH43" i="28"/>
  <c r="KH40" i="28"/>
  <c r="KH39" i="28"/>
  <c r="BO44" i="28"/>
  <c r="BO43" i="28"/>
  <c r="BO40" i="28"/>
  <c r="BO39" i="28"/>
  <c r="BS44" i="28"/>
  <c r="BS43" i="28"/>
  <c r="BS45" i="28" s="1"/>
  <c r="BS40" i="28"/>
  <c r="BS39" i="28"/>
  <c r="BS41" i="28" s="1"/>
  <c r="CE44" i="28"/>
  <c r="CE43" i="28"/>
  <c r="CE40" i="28"/>
  <c r="CE39" i="28"/>
  <c r="CM44" i="28"/>
  <c r="CM43" i="28"/>
  <c r="CM40" i="28"/>
  <c r="CM39" i="28"/>
  <c r="DO44" i="28"/>
  <c r="DO43" i="28"/>
  <c r="DO45" i="28" s="1"/>
  <c r="DO40" i="28"/>
  <c r="DO39" i="28"/>
  <c r="DO41" i="28" s="1"/>
  <c r="DC44" i="28"/>
  <c r="DC43" i="28"/>
  <c r="DC40" i="28"/>
  <c r="DC39" i="28"/>
  <c r="DK44" i="28"/>
  <c r="DK43" i="28"/>
  <c r="DK40" i="28"/>
  <c r="DK39" i="28"/>
  <c r="EA44" i="28"/>
  <c r="EA43" i="28"/>
  <c r="EA40" i="28"/>
  <c r="EA39" i="28"/>
  <c r="EI44" i="28"/>
  <c r="EI43" i="28"/>
  <c r="EI40" i="28"/>
  <c r="EI39" i="28"/>
  <c r="EM44" i="28"/>
  <c r="EM43" i="28"/>
  <c r="EM45" i="28" s="1"/>
  <c r="EM40" i="28"/>
  <c r="EM39" i="28"/>
  <c r="EM41" i="28" s="1"/>
  <c r="EU44" i="28"/>
  <c r="EU43" i="28"/>
  <c r="EU40" i="28"/>
  <c r="EU39" i="28"/>
  <c r="EY44" i="28"/>
  <c r="EY43" i="28"/>
  <c r="EY40" i="28"/>
  <c r="EY39" i="28"/>
  <c r="FG44" i="28"/>
  <c r="FG43" i="28"/>
  <c r="FG40" i="28"/>
  <c r="FG39" i="28"/>
  <c r="GE44" i="28"/>
  <c r="GE43" i="28"/>
  <c r="GE40" i="28"/>
  <c r="GE39" i="28"/>
  <c r="FW44" i="28"/>
  <c r="FW43" i="28"/>
  <c r="FW40" i="28"/>
  <c r="FW39" i="28"/>
  <c r="FS44" i="28"/>
  <c r="FS43" i="28"/>
  <c r="FS40" i="28"/>
  <c r="FS39" i="28"/>
  <c r="FK44" i="28"/>
  <c r="FK43" i="28"/>
  <c r="FK45" i="28" s="1"/>
  <c r="FK40" i="28"/>
  <c r="FK39" i="28"/>
  <c r="FK41" i="28" s="1"/>
  <c r="BN38" i="28"/>
  <c r="BN41" i="28" s="1"/>
  <c r="CT38" i="28"/>
  <c r="FF38" i="28"/>
  <c r="FF41" i="28" s="1"/>
  <c r="GL38" i="28"/>
  <c r="HR38" i="28"/>
  <c r="GQ44" i="28"/>
  <c r="GQ43" i="28"/>
  <c r="GQ40" i="28"/>
  <c r="GQ39" i="28"/>
  <c r="GU44" i="28"/>
  <c r="GU43" i="28"/>
  <c r="GU40" i="28"/>
  <c r="GU39" i="28"/>
  <c r="HC44" i="28"/>
  <c r="HC43" i="28"/>
  <c r="HC40" i="28"/>
  <c r="HC39" i="28"/>
  <c r="HG44" i="28"/>
  <c r="HG43" i="28"/>
  <c r="HG45" i="28" s="1"/>
  <c r="HG40" i="28"/>
  <c r="HG39" i="28"/>
  <c r="HG41" i="28" s="1"/>
  <c r="IM44" i="28"/>
  <c r="IM43" i="28"/>
  <c r="IM40" i="28"/>
  <c r="IM39" i="28"/>
  <c r="IE44" i="28"/>
  <c r="IE43" i="28"/>
  <c r="IE45" i="28" s="1"/>
  <c r="IE40" i="28"/>
  <c r="IE39" i="28"/>
  <c r="IE41" i="28" s="1"/>
  <c r="IA44" i="28"/>
  <c r="IA43" i="28"/>
  <c r="IA40" i="28"/>
  <c r="IA39" i="28"/>
  <c r="HW44" i="28"/>
  <c r="HW43" i="28"/>
  <c r="HW45" i="28" s="1"/>
  <c r="HW40" i="28"/>
  <c r="HW39" i="28"/>
  <c r="HW41" i="28" s="1"/>
  <c r="JW44" i="28"/>
  <c r="JW43" i="28"/>
  <c r="JW45" i="28" s="1"/>
  <c r="JW40" i="28"/>
  <c r="JW39" i="28"/>
  <c r="JW41" i="28" s="1"/>
  <c r="JS44" i="28"/>
  <c r="JS43" i="28"/>
  <c r="JS45" i="28" s="1"/>
  <c r="JS40" i="28"/>
  <c r="JS39" i="28"/>
  <c r="JS41" i="28" s="1"/>
  <c r="JK44" i="28"/>
  <c r="JK43" i="28"/>
  <c r="JK40" i="28"/>
  <c r="JK39" i="28"/>
  <c r="JC44" i="28"/>
  <c r="JC43" i="28"/>
  <c r="JC45" i="28" s="1"/>
  <c r="JC40" i="28"/>
  <c r="JC39" i="28"/>
  <c r="JC41" i="28" s="1"/>
  <c r="IY44" i="28"/>
  <c r="IY43" i="28"/>
  <c r="IY40" i="28"/>
  <c r="IY39" i="28"/>
  <c r="KE44" i="28"/>
  <c r="KE43" i="28"/>
  <c r="KE40" i="28"/>
  <c r="KE39" i="28"/>
  <c r="KM44" i="28"/>
  <c r="KM43" i="28"/>
  <c r="KM40" i="28"/>
  <c r="KM39" i="28"/>
  <c r="KQ44" i="28"/>
  <c r="KQ43" i="28"/>
  <c r="KQ45" i="28" s="1"/>
  <c r="KQ40" i="28"/>
  <c r="KQ39" i="28"/>
  <c r="KQ41" i="28" s="1"/>
  <c r="LC44" i="28"/>
  <c r="LC43" i="28"/>
  <c r="LC40" i="28"/>
  <c r="LC39" i="28"/>
  <c r="LW41" i="28"/>
  <c r="LZ41" i="28" s="1"/>
  <c r="LW38" i="28"/>
  <c r="LZ38" i="28" s="1"/>
  <c r="LW40" i="28"/>
  <c r="LZ40" i="28" s="1"/>
  <c r="LW39" i="28"/>
  <c r="LZ39" i="28" s="1"/>
  <c r="HQ44" i="28"/>
  <c r="HQ43" i="28"/>
  <c r="HQ45" i="28" s="1"/>
  <c r="HQ40" i="28"/>
  <c r="HQ39" i="28"/>
  <c r="HQ38" i="28"/>
  <c r="HQ41" i="28" s="1"/>
  <c r="BO41" i="28"/>
  <c r="BP41" i="28" s="1"/>
  <c r="BP38" i="28"/>
  <c r="BQ41" i="28"/>
  <c r="BR41" i="28" s="1"/>
  <c r="BR38" i="28"/>
  <c r="BT41" i="28"/>
  <c r="BU41" i="28" s="1"/>
  <c r="BU38" i="28"/>
  <c r="BV41" i="28"/>
  <c r="BW41" i="28" s="1"/>
  <c r="BW38" i="28"/>
  <c r="BZ41" i="28"/>
  <c r="CA41" i="28" s="1"/>
  <c r="CA38" i="28"/>
  <c r="CC41" i="28"/>
  <c r="CD41" i="28" s="1"/>
  <c r="CD38" i="28"/>
  <c r="CE41" i="28"/>
  <c r="CF41" i="28" s="1"/>
  <c r="CF38" i="28"/>
  <c r="CH41" i="28"/>
  <c r="CI41" i="28" s="1"/>
  <c r="CI38" i="28"/>
  <c r="CJ41" i="28"/>
  <c r="CK41" i="28" s="1"/>
  <c r="CK38" i="28"/>
  <c r="CM41" i="28"/>
  <c r="CN41" i="28" s="1"/>
  <c r="CN38" i="28"/>
  <c r="CO41" i="28"/>
  <c r="CP41" i="28" s="1"/>
  <c r="CP38" i="28"/>
  <c r="CR41" i="28"/>
  <c r="CS41" i="28" s="1"/>
  <c r="CS38" i="28"/>
  <c r="CT41" i="28"/>
  <c r="CU41" i="28" s="1"/>
  <c r="CU38" i="28"/>
  <c r="CX41" i="28"/>
  <c r="CY41" i="28" s="1"/>
  <c r="CY38" i="28"/>
  <c r="DA41" i="28"/>
  <c r="DB41" i="28" s="1"/>
  <c r="DB38" i="28"/>
  <c r="DC41" i="28"/>
  <c r="DD41" i="28" s="1"/>
  <c r="DD38" i="28"/>
  <c r="DF41" i="28"/>
  <c r="DG41" i="28" s="1"/>
  <c r="DG38" i="28"/>
  <c r="DH41" i="28"/>
  <c r="DI41" i="28" s="1"/>
  <c r="DI38" i="28"/>
  <c r="DK41" i="28"/>
  <c r="DL41" i="28" s="1"/>
  <c r="DL38" i="28"/>
  <c r="DM41" i="28"/>
  <c r="DN41" i="28" s="1"/>
  <c r="DN38" i="28"/>
  <c r="DP41" i="28"/>
  <c r="DQ41" i="28" s="1"/>
  <c r="DQ38" i="28"/>
  <c r="DR41" i="28"/>
  <c r="DS41" i="28" s="1"/>
  <c r="DS38" i="28"/>
  <c r="DV41" i="28"/>
  <c r="DW41" i="28" s="1"/>
  <c r="DW38" i="28"/>
  <c r="DY41" i="28"/>
  <c r="DZ41" i="28" s="1"/>
  <c r="DZ38" i="28"/>
  <c r="EA41" i="28"/>
  <c r="EB41" i="28" s="1"/>
  <c r="EB38" i="28"/>
  <c r="ED41" i="28"/>
  <c r="EE41" i="28" s="1"/>
  <c r="EE38" i="28"/>
  <c r="EF41" i="28"/>
  <c r="EG41" i="28" s="1"/>
  <c r="EG38" i="28"/>
  <c r="EI41" i="28"/>
  <c r="EJ41" i="28" s="1"/>
  <c r="EJ38" i="28"/>
  <c r="EK41" i="28"/>
  <c r="EL41" i="28" s="1"/>
  <c r="EL38" i="28"/>
  <c r="EN41" i="28"/>
  <c r="EO41" i="28" s="1"/>
  <c r="EO38" i="28"/>
  <c r="EP41" i="28"/>
  <c r="EQ41" i="28" s="1"/>
  <c r="EQ38" i="28"/>
  <c r="ES41" i="28"/>
  <c r="ET41" i="28" s="1"/>
  <c r="ET38" i="28"/>
  <c r="EU41" i="28"/>
  <c r="EV41" i="28" s="1"/>
  <c r="EV38" i="28"/>
  <c r="EY41" i="28"/>
  <c r="EZ41" i="28" s="1"/>
  <c r="EZ38" i="28"/>
  <c r="FB41" i="28"/>
  <c r="FC41" i="28" s="1"/>
  <c r="FC38" i="28"/>
  <c r="FD41" i="28"/>
  <c r="FE41" i="28" s="1"/>
  <c r="FE38" i="28"/>
  <c r="FG41" i="28"/>
  <c r="FH41" i="28" s="1"/>
  <c r="FH38" i="28"/>
  <c r="FI41" i="28"/>
  <c r="FJ41" i="28" s="1"/>
  <c r="FJ38" i="28"/>
  <c r="FL41" i="28"/>
  <c r="FM41" i="28" s="1"/>
  <c r="FM38" i="28"/>
  <c r="FN41" i="28"/>
  <c r="FO41" i="28" s="1"/>
  <c r="FO38" i="28"/>
  <c r="FQ41" i="28"/>
  <c r="FR41" i="28" s="1"/>
  <c r="FR38" i="28"/>
  <c r="FS41" i="28"/>
  <c r="FT41" i="28" s="1"/>
  <c r="FT38" i="28"/>
  <c r="FW41" i="28"/>
  <c r="FX41" i="28" s="1"/>
  <c r="FX38" i="28"/>
  <c r="FZ41" i="28"/>
  <c r="GA41" i="28" s="1"/>
  <c r="GA38" i="28"/>
  <c r="GB41" i="28"/>
  <c r="GC41" i="28" s="1"/>
  <c r="GC38" i="28"/>
  <c r="GE41" i="28"/>
  <c r="GF41" i="28" s="1"/>
  <c r="GF38" i="28"/>
  <c r="GG41" i="28"/>
  <c r="GH41" i="28" s="1"/>
  <c r="GH38" i="28"/>
  <c r="GJ41" i="28"/>
  <c r="GK41" i="28" s="1"/>
  <c r="GK38" i="28"/>
  <c r="GL41" i="28"/>
  <c r="GM41" i="28" s="1"/>
  <c r="GM38" i="28"/>
  <c r="GO41" i="28"/>
  <c r="GP41" i="28" s="1"/>
  <c r="GP38" i="28"/>
  <c r="GQ41" i="28"/>
  <c r="GR41" i="28" s="1"/>
  <c r="GR38" i="28"/>
  <c r="GU41" i="28"/>
  <c r="GV41" i="28" s="1"/>
  <c r="GV38" i="28"/>
  <c r="GX41" i="28"/>
  <c r="GY41" i="28" s="1"/>
  <c r="GY38" i="28"/>
  <c r="GZ41" i="28"/>
  <c r="HA41" i="28" s="1"/>
  <c r="HA38" i="28"/>
  <c r="HC41" i="28"/>
  <c r="HD41" i="28" s="1"/>
  <c r="HD38" i="28"/>
  <c r="HE41" i="28"/>
  <c r="HF41" i="28" s="1"/>
  <c r="HF38" i="28"/>
  <c r="HH41" i="28"/>
  <c r="HI41" i="28" s="1"/>
  <c r="HI38" i="28"/>
  <c r="HJ41" i="28"/>
  <c r="HK41" i="28" s="1"/>
  <c r="HK38" i="28"/>
  <c r="HM41" i="28"/>
  <c r="HN41" i="28" s="1"/>
  <c r="HN38" i="28"/>
  <c r="HO41" i="28"/>
  <c r="HP41" i="28" s="1"/>
  <c r="HP38" i="28"/>
  <c r="HR41" i="28"/>
  <c r="HS41" i="28" s="1"/>
  <c r="HS38" i="28"/>
  <c r="HT41" i="28"/>
  <c r="HU41" i="28" s="1"/>
  <c r="HU38" i="28"/>
  <c r="HX41" i="28"/>
  <c r="HY41" i="28" s="1"/>
  <c r="HY38" i="28"/>
  <c r="IA41" i="28"/>
  <c r="IB41" i="28" s="1"/>
  <c r="IB38" i="28"/>
  <c r="IC41" i="28"/>
  <c r="ID41" i="28" s="1"/>
  <c r="ID38" i="28"/>
  <c r="IF41" i="28"/>
  <c r="IG41" i="28" s="1"/>
  <c r="IG38" i="28"/>
  <c r="IH41" i="28"/>
  <c r="II41" i="28" s="1"/>
  <c r="II38" i="28"/>
  <c r="IK41" i="28"/>
  <c r="IL41" i="28" s="1"/>
  <c r="IL38" i="28"/>
  <c r="IM41" i="28"/>
  <c r="IN41" i="28" s="1"/>
  <c r="IN38" i="28"/>
  <c r="IP41" i="28"/>
  <c r="IQ41" i="28" s="1"/>
  <c r="IQ38" i="28"/>
  <c r="IR41" i="28"/>
  <c r="IS41" i="28" s="1"/>
  <c r="IS38" i="28"/>
  <c r="IV41" i="28"/>
  <c r="IW41" i="28" s="1"/>
  <c r="IW38" i="28"/>
  <c r="IY41" i="28"/>
  <c r="JA41" i="28"/>
  <c r="JD41" i="28"/>
  <c r="JE41" i="28" s="1"/>
  <c r="JE38" i="28"/>
  <c r="JF41" i="28"/>
  <c r="JG41" i="28" s="1"/>
  <c r="JG38" i="28"/>
  <c r="JI41" i="28"/>
  <c r="JJ41" i="28" s="1"/>
  <c r="JJ38" i="28"/>
  <c r="JK41" i="28"/>
  <c r="JL41" i="28" s="1"/>
  <c r="JL38" i="28"/>
  <c r="JN41" i="28"/>
  <c r="JO41" i="28" s="1"/>
  <c r="JO38" i="28"/>
  <c r="JP41" i="28"/>
  <c r="JQ41" i="28" s="1"/>
  <c r="JQ38" i="28"/>
  <c r="JU41" i="28"/>
  <c r="JV41" i="28" s="1"/>
  <c r="JV38" i="28"/>
  <c r="JX41" i="28"/>
  <c r="JY41" i="28" s="1"/>
  <c r="JY38" i="28"/>
  <c r="JZ41" i="28"/>
  <c r="KA41" i="28" s="1"/>
  <c r="KA38" i="28"/>
  <c r="KC41" i="28"/>
  <c r="KD41" i="28" s="1"/>
  <c r="KD38" i="28"/>
  <c r="KE41" i="28"/>
  <c r="KF41" i="28" s="1"/>
  <c r="KF38" i="28"/>
  <c r="KH41" i="28"/>
  <c r="KI41" i="28" s="1"/>
  <c r="KI38" i="28"/>
  <c r="KJ41" i="28"/>
  <c r="KK41" i="28" s="1"/>
  <c r="KK38" i="28"/>
  <c r="KM41" i="28"/>
  <c r="KN41" i="28" s="1"/>
  <c r="KN38" i="28"/>
  <c r="KO41" i="28"/>
  <c r="KP41" i="28" s="1"/>
  <c r="KP38" i="28"/>
  <c r="KR41" i="28"/>
  <c r="KS41" i="28" s="1"/>
  <c r="KS38" i="28"/>
  <c r="KT41" i="28"/>
  <c r="KU41" i="28" s="1"/>
  <c r="KU38" i="28"/>
  <c r="KX41" i="28"/>
  <c r="KY41" i="28" s="1"/>
  <c r="KY38" i="28"/>
  <c r="LC41" i="28"/>
  <c r="LE38" i="28"/>
  <c r="LD38" i="28"/>
  <c r="BP39" i="28"/>
  <c r="BR39" i="28"/>
  <c r="BU39" i="28"/>
  <c r="BW39" i="28"/>
  <c r="CA39" i="28"/>
  <c r="CD39" i="28"/>
  <c r="CF39" i="28"/>
  <c r="CI39" i="28"/>
  <c r="CK39" i="28"/>
  <c r="CN39" i="28"/>
  <c r="CP39" i="28"/>
  <c r="CS39" i="28"/>
  <c r="CU39" i="28"/>
  <c r="CY39" i="28"/>
  <c r="DB39" i="28"/>
  <c r="DD39" i="28"/>
  <c r="DG39" i="28"/>
  <c r="DI39" i="28"/>
  <c r="DL39" i="28"/>
  <c r="DN39" i="28"/>
  <c r="DQ39" i="28"/>
  <c r="DS39" i="28"/>
  <c r="DW39" i="28"/>
  <c r="DZ39" i="28"/>
  <c r="EB39" i="28"/>
  <c r="EE39" i="28"/>
  <c r="EG39" i="28"/>
  <c r="EJ39" i="28"/>
  <c r="EL39" i="28"/>
  <c r="EO39" i="28"/>
  <c r="EQ39" i="28"/>
  <c r="ET39" i="28"/>
  <c r="EV39" i="28"/>
  <c r="EZ39" i="28"/>
  <c r="FC39" i="28"/>
  <c r="FE39" i="28"/>
  <c r="FH39" i="28"/>
  <c r="FJ39" i="28"/>
  <c r="FM39" i="28"/>
  <c r="FO39" i="28"/>
  <c r="FR39" i="28"/>
  <c r="FT39" i="28"/>
  <c r="FX39" i="28"/>
  <c r="GA39" i="28"/>
  <c r="GC39" i="28"/>
  <c r="GF39" i="28"/>
  <c r="GH39" i="28"/>
  <c r="GK39" i="28"/>
  <c r="GM39" i="28"/>
  <c r="GP39" i="28"/>
  <c r="GR39" i="28"/>
  <c r="GV39" i="28"/>
  <c r="GY39" i="28"/>
  <c r="HA39" i="28"/>
  <c r="HD39" i="28"/>
  <c r="HF39" i="28"/>
  <c r="HI39" i="28"/>
  <c r="HK39" i="28"/>
  <c r="HN39" i="28"/>
  <c r="HP39" i="28"/>
  <c r="HS39" i="28"/>
  <c r="HU39" i="28"/>
  <c r="HY39" i="28"/>
  <c r="IB39" i="28"/>
  <c r="ID39" i="28"/>
  <c r="IG39" i="28"/>
  <c r="II39" i="28"/>
  <c r="IL39" i="28"/>
  <c r="IN39" i="28"/>
  <c r="IQ39" i="28"/>
  <c r="IS39" i="28"/>
  <c r="IW39" i="28"/>
  <c r="IZ39" i="28"/>
  <c r="JB39" i="28"/>
  <c r="JE39" i="28"/>
  <c r="JG39" i="28"/>
  <c r="JJ39" i="28"/>
  <c r="JL39" i="28"/>
  <c r="JO39" i="28"/>
  <c r="JQ39" i="28"/>
  <c r="JV39" i="28"/>
  <c r="JY39" i="28"/>
  <c r="KA39" i="28"/>
  <c r="KD39" i="28"/>
  <c r="KF39" i="28"/>
  <c r="KI39" i="28"/>
  <c r="KK39" i="28"/>
  <c r="KN39" i="28"/>
  <c r="KP39" i="28"/>
  <c r="KS39" i="28"/>
  <c r="KU39" i="28"/>
  <c r="KY39" i="28"/>
  <c r="LE39" i="28"/>
  <c r="LD39" i="28"/>
  <c r="BP40" i="28"/>
  <c r="BR40" i="28"/>
  <c r="BU40" i="28"/>
  <c r="BW40" i="28"/>
  <c r="CA40" i="28"/>
  <c r="CD40" i="28"/>
  <c r="CF40" i="28"/>
  <c r="CI40" i="28"/>
  <c r="CK40" i="28"/>
  <c r="CN40" i="28"/>
  <c r="CP40" i="28"/>
  <c r="CS40" i="28"/>
  <c r="CU40" i="28"/>
  <c r="CY40" i="28"/>
  <c r="DB40" i="28"/>
  <c r="DD40" i="28"/>
  <c r="DG40" i="28"/>
  <c r="DI40" i="28"/>
  <c r="DL40" i="28"/>
  <c r="DN40" i="28"/>
  <c r="DQ40" i="28"/>
  <c r="DS40" i="28"/>
  <c r="DW40" i="28"/>
  <c r="DZ40" i="28"/>
  <c r="EB40" i="28"/>
  <c r="EE40" i="28"/>
  <c r="EG40" i="28"/>
  <c r="EJ40" i="28"/>
  <c r="EL40" i="28"/>
  <c r="EO40" i="28"/>
  <c r="EQ40" i="28"/>
  <c r="ET40" i="28"/>
  <c r="EV40" i="28"/>
  <c r="EZ40" i="28"/>
  <c r="FC40" i="28"/>
  <c r="FE40" i="28"/>
  <c r="FH40" i="28"/>
  <c r="FJ40" i="28"/>
  <c r="FM40" i="28"/>
  <c r="FO40" i="28"/>
  <c r="FR40" i="28"/>
  <c r="FT40" i="28"/>
  <c r="FX40" i="28"/>
  <c r="GA40" i="28"/>
  <c r="GC40" i="28"/>
  <c r="GF40" i="28"/>
  <c r="GH40" i="28"/>
  <c r="GK40" i="28"/>
  <c r="GM40" i="28"/>
  <c r="GP40" i="28"/>
  <c r="GR40" i="28"/>
  <c r="GV40" i="28"/>
  <c r="GY40" i="28"/>
  <c r="HA40" i="28"/>
  <c r="HD40" i="28"/>
  <c r="HF40" i="28"/>
  <c r="HI40" i="28"/>
  <c r="HK40" i="28"/>
  <c r="HN40" i="28"/>
  <c r="HP40" i="28"/>
  <c r="HS40" i="28"/>
  <c r="HU40" i="28"/>
  <c r="HY40" i="28"/>
  <c r="IB40" i="28"/>
  <c r="ID40" i="28"/>
  <c r="IG40" i="28"/>
  <c r="II40" i="28"/>
  <c r="IL40" i="28"/>
  <c r="IN40" i="28"/>
  <c r="IQ40" i="28"/>
  <c r="IS40" i="28"/>
  <c r="IW40" i="28"/>
  <c r="IZ40" i="28"/>
  <c r="JB40" i="28"/>
  <c r="JE40" i="28"/>
  <c r="JG40" i="28"/>
  <c r="JJ40" i="28"/>
  <c r="JL40" i="28"/>
  <c r="JO40" i="28"/>
  <c r="JQ40" i="28"/>
  <c r="JV40" i="28"/>
  <c r="JY40" i="28"/>
  <c r="KA40" i="28"/>
  <c r="KD40" i="28"/>
  <c r="KF40" i="28"/>
  <c r="KI40" i="28"/>
  <c r="KK40" i="28"/>
  <c r="KN40" i="28"/>
  <c r="KP40" i="28"/>
  <c r="KS40" i="28"/>
  <c r="KU40" i="28"/>
  <c r="KY40" i="28"/>
  <c r="LE40" i="28"/>
  <c r="LD40" i="28"/>
  <c r="BO45" i="28"/>
  <c r="BP43" i="28"/>
  <c r="BQ45" i="28"/>
  <c r="BR43" i="28"/>
  <c r="BT45" i="28"/>
  <c r="BU45" i="28" s="1"/>
  <c r="BU43" i="28"/>
  <c r="BV45" i="28"/>
  <c r="BW45" i="28" s="1"/>
  <c r="BW43" i="28"/>
  <c r="BZ45" i="28"/>
  <c r="CA45" i="28" s="1"/>
  <c r="CA43" i="28"/>
  <c r="CC45" i="28"/>
  <c r="CD45" i="28" s="1"/>
  <c r="CD43" i="28"/>
  <c r="CE45" i="28"/>
  <c r="CF45" i="28" s="1"/>
  <c r="CF43" i="28"/>
  <c r="CH45" i="28"/>
  <c r="CI45" i="28" s="1"/>
  <c r="CI43" i="28"/>
  <c r="CJ45" i="28"/>
  <c r="CK45" i="28" s="1"/>
  <c r="CK43" i="28"/>
  <c r="CM45" i="28"/>
  <c r="CN43" i="28"/>
  <c r="CO45" i="28"/>
  <c r="CP43" i="28"/>
  <c r="CR45" i="28"/>
  <c r="CS45" i="28" s="1"/>
  <c r="CS43" i="28"/>
  <c r="CT45" i="28"/>
  <c r="CU45" i="28" s="1"/>
  <c r="CU43" i="28"/>
  <c r="CX45" i="28"/>
  <c r="CY45" i="28" s="1"/>
  <c r="CY43" i="28"/>
  <c r="DA45" i="28"/>
  <c r="DB45" i="28" s="1"/>
  <c r="DB43" i="28"/>
  <c r="DC45" i="28"/>
  <c r="DD45" i="28" s="1"/>
  <c r="DD43" i="28"/>
  <c r="DF45" i="28"/>
  <c r="DG45" i="28" s="1"/>
  <c r="DG43" i="28"/>
  <c r="DH45" i="28"/>
  <c r="DI45" i="28" s="1"/>
  <c r="DI43" i="28"/>
  <c r="DK45" i="28"/>
  <c r="DL43" i="28"/>
  <c r="DM45" i="28"/>
  <c r="DN43" i="28"/>
  <c r="DP45" i="28"/>
  <c r="DQ45" i="28" s="1"/>
  <c r="DQ43" i="28"/>
  <c r="DR45" i="28"/>
  <c r="DS45" i="28" s="1"/>
  <c r="DS43" i="28"/>
  <c r="DV45" i="28"/>
  <c r="DW45" i="28" s="1"/>
  <c r="DW43" i="28"/>
  <c r="DY45" i="28"/>
  <c r="DZ45" i="28" s="1"/>
  <c r="DZ43" i="28"/>
  <c r="EA45" i="28"/>
  <c r="EB45" i="28" s="1"/>
  <c r="EB43" i="28"/>
  <c r="ED45" i="28"/>
  <c r="EE45" i="28" s="1"/>
  <c r="EE43" i="28"/>
  <c r="EF45" i="28"/>
  <c r="EG45" i="28" s="1"/>
  <c r="EG43" i="28"/>
  <c r="EI45" i="28"/>
  <c r="EJ43" i="28"/>
  <c r="EK45" i="28"/>
  <c r="EL43" i="28"/>
  <c r="EN45" i="28"/>
  <c r="EO45" i="28" s="1"/>
  <c r="EO43" i="28"/>
  <c r="EP45" i="28"/>
  <c r="EQ45" i="28" s="1"/>
  <c r="EQ43" i="28"/>
  <c r="ES45" i="28"/>
  <c r="ET45" i="28" s="1"/>
  <c r="ET43" i="28"/>
  <c r="EU45" i="28"/>
  <c r="EV45" i="28" s="1"/>
  <c r="EV43" i="28"/>
  <c r="EY45" i="28"/>
  <c r="EZ43" i="28"/>
  <c r="FB45" i="28"/>
  <c r="FC45" i="28" s="1"/>
  <c r="FC43" i="28"/>
  <c r="FD45" i="28"/>
  <c r="FE45" i="28" s="1"/>
  <c r="FE43" i="28"/>
  <c r="FG45" i="28"/>
  <c r="FH45" i="28" s="1"/>
  <c r="FH43" i="28"/>
  <c r="FI45" i="28"/>
  <c r="FJ45" i="28" s="1"/>
  <c r="FJ43" i="28"/>
  <c r="FL45" i="28"/>
  <c r="FM45" i="28" s="1"/>
  <c r="FM43" i="28"/>
  <c r="FN45" i="28"/>
  <c r="FO45" i="28" s="1"/>
  <c r="FO43" i="28"/>
  <c r="FQ45" i="28"/>
  <c r="FR45" i="28" s="1"/>
  <c r="FR43" i="28"/>
  <c r="FS45" i="28"/>
  <c r="FT45" i="28" s="1"/>
  <c r="FT43" i="28"/>
  <c r="FW45" i="28"/>
  <c r="FX45" i="28" s="1"/>
  <c r="FX43" i="28"/>
  <c r="FZ45" i="28"/>
  <c r="GA45" i="28" s="1"/>
  <c r="GA43" i="28"/>
  <c r="GB45" i="28"/>
  <c r="GC45" i="28" s="1"/>
  <c r="GC43" i="28"/>
  <c r="GE45" i="28"/>
  <c r="GF45" i="28" s="1"/>
  <c r="GF43" i="28"/>
  <c r="GG45" i="28"/>
  <c r="GH45" i="28" s="1"/>
  <c r="GH43" i="28"/>
  <c r="GJ45" i="28"/>
  <c r="GK45" i="28" s="1"/>
  <c r="GK43" i="28"/>
  <c r="GL45" i="28"/>
  <c r="GM45" i="28" s="1"/>
  <c r="GM43" i="28"/>
  <c r="GO45" i="28"/>
  <c r="GP45" i="28" s="1"/>
  <c r="GP43" i="28"/>
  <c r="GQ45" i="28"/>
  <c r="GR45" i="28" s="1"/>
  <c r="GR43" i="28"/>
  <c r="GU45" i="28"/>
  <c r="GV45" i="28" s="1"/>
  <c r="GV43" i="28"/>
  <c r="GX45" i="28"/>
  <c r="GY45" i="28" s="1"/>
  <c r="GY43" i="28"/>
  <c r="GZ45" i="28"/>
  <c r="HA45" i="28" s="1"/>
  <c r="HA43" i="28"/>
  <c r="HC45" i="28"/>
  <c r="HD45" i="28" s="1"/>
  <c r="HD43" i="28"/>
  <c r="HE45" i="28"/>
  <c r="HF45" i="28" s="1"/>
  <c r="HF43" i="28"/>
  <c r="HH45" i="28"/>
  <c r="HI45" i="28" s="1"/>
  <c r="HI43" i="28"/>
  <c r="HJ45" i="28"/>
  <c r="HK45" i="28" s="1"/>
  <c r="HK43" i="28"/>
  <c r="HM45" i="28"/>
  <c r="HN45" i="28" s="1"/>
  <c r="HN43" i="28"/>
  <c r="HO45" i="28"/>
  <c r="HP45" i="28" s="1"/>
  <c r="HP43" i="28"/>
  <c r="HR45" i="28"/>
  <c r="HS45" i="28" s="1"/>
  <c r="HS43" i="28"/>
  <c r="HT45" i="28"/>
  <c r="HU45" i="28" s="1"/>
  <c r="HU43" i="28"/>
  <c r="HX45" i="28"/>
  <c r="HY45" i="28" s="1"/>
  <c r="HY43" i="28"/>
  <c r="IA45" i="28"/>
  <c r="IB45" i="28" s="1"/>
  <c r="IB43" i="28"/>
  <c r="IC45" i="28"/>
  <c r="ID45" i="28" s="1"/>
  <c r="ID43" i="28"/>
  <c r="IF45" i="28"/>
  <c r="IG45" i="28" s="1"/>
  <c r="IG43" i="28"/>
  <c r="IH45" i="28"/>
  <c r="II45" i="28" s="1"/>
  <c r="II43" i="28"/>
  <c r="IK45" i="28"/>
  <c r="IL45" i="28" s="1"/>
  <c r="IL43" i="28"/>
  <c r="IM45" i="28"/>
  <c r="IN45" i="28" s="1"/>
  <c r="IN43" i="28"/>
  <c r="IP45" i="28"/>
  <c r="IQ45" i="28" s="1"/>
  <c r="IQ43" i="28"/>
  <c r="IR45" i="28"/>
  <c r="IS45" i="28" s="1"/>
  <c r="IS43" i="28"/>
  <c r="IV45" i="28"/>
  <c r="IW45" i="28" s="1"/>
  <c r="IW43" i="28"/>
  <c r="IY45" i="28"/>
  <c r="IZ45" i="28" s="1"/>
  <c r="IZ43" i="28"/>
  <c r="JA45" i="28"/>
  <c r="JB45" i="28" s="1"/>
  <c r="JB43" i="28"/>
  <c r="JD45" i="28"/>
  <c r="JE45" i="28" s="1"/>
  <c r="JE43" i="28"/>
  <c r="JF45" i="28"/>
  <c r="JG45" i="28" s="1"/>
  <c r="JG43" i="28"/>
  <c r="JI45" i="28"/>
  <c r="JJ45" i="28" s="1"/>
  <c r="JJ43" i="28"/>
  <c r="JK45" i="28"/>
  <c r="JL45" i="28" s="1"/>
  <c r="JL43" i="28"/>
  <c r="JN45" i="28"/>
  <c r="JO45" i="28" s="1"/>
  <c r="JO43" i="28"/>
  <c r="JP45" i="28"/>
  <c r="JQ45" i="28" s="1"/>
  <c r="JQ43" i="28"/>
  <c r="JU45" i="28"/>
  <c r="JV45" i="28" s="1"/>
  <c r="JV43" i="28"/>
  <c r="JX45" i="28"/>
  <c r="JY45" i="28" s="1"/>
  <c r="JY43" i="28"/>
  <c r="JZ45" i="28"/>
  <c r="KA45" i="28" s="1"/>
  <c r="KA43" i="28"/>
  <c r="KC45" i="28"/>
  <c r="KD45" i="28" s="1"/>
  <c r="KD43" i="28"/>
  <c r="KE45" i="28"/>
  <c r="KF45" i="28" s="1"/>
  <c r="KF43" i="28"/>
  <c r="KH45" i="28"/>
  <c r="KI45" i="28" s="1"/>
  <c r="KI43" i="28"/>
  <c r="KJ45" i="28"/>
  <c r="KK45" i="28" s="1"/>
  <c r="KK43" i="28"/>
  <c r="KM45" i="28"/>
  <c r="KN45" i="28" s="1"/>
  <c r="KN43" i="28"/>
  <c r="KO45" i="28"/>
  <c r="KP45" i="28" s="1"/>
  <c r="KP43" i="28"/>
  <c r="KR45" i="28"/>
  <c r="KS45" i="28" s="1"/>
  <c r="KS43" i="28"/>
  <c r="KT45" i="28"/>
  <c r="KU45" i="28" s="1"/>
  <c r="KU43" i="28"/>
  <c r="KX45" i="28"/>
  <c r="KY45" i="28" s="1"/>
  <c r="KY43" i="28"/>
  <c r="LC45" i="28"/>
  <c r="LE43" i="28"/>
  <c r="LD43" i="28"/>
  <c r="BP44" i="28"/>
  <c r="BR44" i="28"/>
  <c r="BU44" i="28"/>
  <c r="BW44" i="28"/>
  <c r="CA44" i="28"/>
  <c r="CD44" i="28"/>
  <c r="CF44" i="28"/>
  <c r="CI44" i="28"/>
  <c r="CK44" i="28"/>
  <c r="CN44" i="28"/>
  <c r="CP44" i="28"/>
  <c r="CS44" i="28"/>
  <c r="CU44" i="28"/>
  <c r="CY44" i="28"/>
  <c r="DB44" i="28"/>
  <c r="DD44" i="28"/>
  <c r="DG44" i="28"/>
  <c r="DI44" i="28"/>
  <c r="DL44" i="28"/>
  <c r="DN44" i="28"/>
  <c r="DQ44" i="28"/>
  <c r="DS44" i="28"/>
  <c r="DW44" i="28"/>
  <c r="DZ44" i="28"/>
  <c r="EB44" i="28"/>
  <c r="EE44" i="28"/>
  <c r="EG44" i="28"/>
  <c r="EJ44" i="28"/>
  <c r="EL44" i="28"/>
  <c r="EO44" i="28"/>
  <c r="EQ44" i="28"/>
  <c r="ET44" i="28"/>
  <c r="EV44" i="28"/>
  <c r="EZ44" i="28"/>
  <c r="FC44" i="28"/>
  <c r="FE44" i="28"/>
  <c r="FH44" i="28"/>
  <c r="FJ44" i="28"/>
  <c r="FM44" i="28"/>
  <c r="FO44" i="28"/>
  <c r="FR44" i="28"/>
  <c r="FT44" i="28"/>
  <c r="FX44" i="28"/>
  <c r="GA44" i="28"/>
  <c r="GC44" i="28"/>
  <c r="GF44" i="28"/>
  <c r="GH44" i="28"/>
  <c r="GK44" i="28"/>
  <c r="GM44" i="28"/>
  <c r="GP44" i="28"/>
  <c r="GR44" i="28"/>
  <c r="GV44" i="28"/>
  <c r="GY44" i="28"/>
  <c r="HA44" i="28"/>
  <c r="HD44" i="28"/>
  <c r="HF44" i="28"/>
  <c r="HI44" i="28"/>
  <c r="HK44" i="28"/>
  <c r="HN44" i="28"/>
  <c r="HP44" i="28"/>
  <c r="HS44" i="28"/>
  <c r="HU44" i="28"/>
  <c r="HY44" i="28"/>
  <c r="IB44" i="28"/>
  <c r="ID44" i="28"/>
  <c r="IG44" i="28"/>
  <c r="II44" i="28"/>
  <c r="IL44" i="28"/>
  <c r="IN44" i="28"/>
  <c r="IQ44" i="28"/>
  <c r="IS44" i="28"/>
  <c r="IW44" i="28"/>
  <c r="IZ44" i="28"/>
  <c r="JB44" i="28"/>
  <c r="JE44" i="28"/>
  <c r="JG44" i="28"/>
  <c r="JJ44" i="28"/>
  <c r="JL44" i="28"/>
  <c r="JO44" i="28"/>
  <c r="JQ44" i="28"/>
  <c r="JV44" i="28"/>
  <c r="JY44" i="28"/>
  <c r="KA44" i="28"/>
  <c r="KD44" i="28"/>
  <c r="KF44" i="28"/>
  <c r="KI44" i="28"/>
  <c r="KK44" i="28"/>
  <c r="KN44" i="28"/>
  <c r="KP44" i="28"/>
  <c r="KS44" i="28"/>
  <c r="KU44" i="28"/>
  <c r="KY44" i="28"/>
  <c r="LE44" i="28"/>
  <c r="LD44" i="28"/>
  <c r="GB38" i="25"/>
  <c r="GB39" i="25"/>
  <c r="GB40" i="25"/>
  <c r="GB43" i="25"/>
  <c r="GB44" i="25"/>
  <c r="P579" i="32"/>
  <c r="GO41" i="25"/>
  <c r="GP38" i="25"/>
  <c r="GQ41" i="25"/>
  <c r="GR38" i="25"/>
  <c r="GP39" i="25"/>
  <c r="GR39" i="25"/>
  <c r="GP40" i="25"/>
  <c r="GR40" i="25"/>
  <c r="GO45" i="25"/>
  <c r="GP45" i="25" s="1"/>
  <c r="GP43" i="25"/>
  <c r="GQ45" i="25"/>
  <c r="GR45" i="25" s="1"/>
  <c r="GR43" i="25"/>
  <c r="GP44" i="25"/>
  <c r="GR44" i="25"/>
  <c r="GJ41" i="25"/>
  <c r="GK38" i="25"/>
  <c r="GL41" i="25"/>
  <c r="GM38" i="25"/>
  <c r="GK39" i="25"/>
  <c r="GM39" i="25"/>
  <c r="GK40" i="25"/>
  <c r="GM40" i="25"/>
  <c r="GJ45" i="25"/>
  <c r="GK45" i="25" s="1"/>
  <c r="GK43" i="25"/>
  <c r="GL45" i="25"/>
  <c r="GM45" i="25" s="1"/>
  <c r="GM43" i="25"/>
  <c r="GK44" i="25"/>
  <c r="GM44" i="25"/>
  <c r="GE41" i="25"/>
  <c r="GF38" i="25"/>
  <c r="GG41" i="25"/>
  <c r="GH38" i="25"/>
  <c r="GF39" i="25"/>
  <c r="GH39" i="25"/>
  <c r="GF40" i="25"/>
  <c r="GH40" i="25"/>
  <c r="GE45" i="25"/>
  <c r="GF45" i="25" s="1"/>
  <c r="GF43" i="25"/>
  <c r="GG45" i="25"/>
  <c r="GH45" i="25" s="1"/>
  <c r="GH43" i="25"/>
  <c r="GF44" i="25"/>
  <c r="GH44" i="25"/>
  <c r="FZ41" i="25"/>
  <c r="GA38" i="25"/>
  <c r="GB41" i="25"/>
  <c r="GC38" i="25"/>
  <c r="GA39" i="25"/>
  <c r="GC39" i="25"/>
  <c r="GA40" i="25"/>
  <c r="GC40" i="25"/>
  <c r="FZ45" i="25"/>
  <c r="GA45" i="25" s="1"/>
  <c r="GA43" i="25"/>
  <c r="GB45" i="25"/>
  <c r="GC45" i="25" s="1"/>
  <c r="GC43" i="25"/>
  <c r="GA44" i="25"/>
  <c r="GC44" i="25"/>
  <c r="RL36" i="30"/>
  <c r="KB45" i="30"/>
  <c r="KB46" i="30" s="1"/>
  <c r="KB48" i="30" s="1"/>
  <c r="FS38" i="25"/>
  <c r="FW6" i="25"/>
  <c r="AF45" i="30"/>
  <c r="AF46" i="30" s="1"/>
  <c r="AF48" i="30" s="1"/>
  <c r="FS41" i="25"/>
  <c r="FT38" i="25"/>
  <c r="FS45" i="25"/>
  <c r="FT45" i="25" s="1"/>
  <c r="FT43" i="25"/>
  <c r="P551" i="32"/>
  <c r="S550" i="32"/>
  <c r="S551" i="32"/>
  <c r="S544" i="32"/>
  <c r="S545" i="32"/>
  <c r="S546" i="32"/>
  <c r="S547" i="32"/>
  <c r="S548" i="32"/>
  <c r="S549" i="32"/>
  <c r="S552" i="32"/>
  <c r="S539" i="32"/>
  <c r="S538" i="32"/>
  <c r="S537" i="32"/>
  <c r="S536" i="32"/>
  <c r="S535" i="32"/>
  <c r="S534" i="32"/>
  <c r="S533" i="32"/>
  <c r="S532" i="32"/>
  <c r="S531" i="32"/>
  <c r="S530" i="32"/>
  <c r="S529" i="32"/>
  <c r="S528" i="32"/>
  <c r="S527" i="32"/>
  <c r="S526" i="32"/>
  <c r="S525" i="32"/>
  <c r="S524" i="32"/>
  <c r="S523" i="32"/>
  <c r="S522" i="32"/>
  <c r="S521" i="32"/>
  <c r="S520" i="32"/>
  <c r="S519" i="32"/>
  <c r="S518" i="32"/>
  <c r="S517" i="32"/>
  <c r="S516" i="32"/>
  <c r="S515" i="32"/>
  <c r="S514" i="32"/>
  <c r="S513" i="32"/>
  <c r="S512" i="32"/>
  <c r="S511" i="32"/>
  <c r="S510" i="32"/>
  <c r="S509" i="32"/>
  <c r="S540" i="32"/>
  <c r="S541" i="32"/>
  <c r="S542" i="32"/>
  <c r="S543" i="32"/>
  <c r="S508" i="32"/>
  <c r="K6" i="24"/>
  <c r="AC6" i="24" s="1"/>
  <c r="K7" i="24"/>
  <c r="AC7" i="24" s="1"/>
  <c r="K8" i="24"/>
  <c r="AC8" i="24" s="1"/>
  <c r="K9" i="24"/>
  <c r="AC9" i="24" s="1"/>
  <c r="K10" i="24"/>
  <c r="AC10" i="24" s="1"/>
  <c r="K11" i="24"/>
  <c r="AC11" i="24" s="1"/>
  <c r="K12" i="24"/>
  <c r="AC12" i="24" s="1"/>
  <c r="K13" i="24"/>
  <c r="AC13" i="24" s="1"/>
  <c r="K32" i="24"/>
  <c r="AC32" i="24" s="1"/>
  <c r="K31" i="24"/>
  <c r="AC31" i="24" s="1"/>
  <c r="J33" i="24"/>
  <c r="GS34" i="25"/>
  <c r="GH34" i="25"/>
  <c r="J26" i="24"/>
  <c r="J27" i="24"/>
  <c r="J29" i="24"/>
  <c r="J30" i="24"/>
  <c r="J28" i="24"/>
  <c r="J25" i="24"/>
  <c r="FU18" i="25"/>
  <c r="FQ40" i="25"/>
  <c r="FR40" i="25" s="1"/>
  <c r="FU20" i="25"/>
  <c r="FQ39" i="25"/>
  <c r="FR39" i="25" s="1"/>
  <c r="FU15" i="25"/>
  <c r="FQ38" i="25"/>
  <c r="FU16" i="25"/>
  <c r="FL39" i="25"/>
  <c r="FM39" i="25" s="1"/>
  <c r="FO16" i="25"/>
  <c r="IX17" i="28"/>
  <c r="IX38" i="28" s="1"/>
  <c r="FU14" i="25"/>
  <c r="FL38" i="25"/>
  <c r="FN38" i="25"/>
  <c r="FW25" i="25"/>
  <c r="FN43" i="25"/>
  <c r="AT28" i="34" l="1"/>
  <c r="AS28" i="34"/>
  <c r="AR28" i="34"/>
  <c r="AQ28" i="34"/>
  <c r="AP28" i="34"/>
  <c r="AO28" i="34"/>
  <c r="AN28" i="34"/>
  <c r="AV34" i="35"/>
  <c r="AU34" i="35"/>
  <c r="AT34" i="35"/>
  <c r="AS34" i="35"/>
  <c r="AR34" i="35"/>
  <c r="AQ34" i="35"/>
  <c r="AP34" i="35"/>
  <c r="AT26" i="34"/>
  <c r="AS26" i="34"/>
  <c r="AR26" i="34"/>
  <c r="AQ26" i="34"/>
  <c r="AP26" i="34"/>
  <c r="AO26" i="34"/>
  <c r="AN26" i="34"/>
  <c r="AV32" i="35"/>
  <c r="AU32" i="35"/>
  <c r="AT32" i="35"/>
  <c r="AS32" i="35"/>
  <c r="AR32" i="35"/>
  <c r="AQ32" i="35"/>
  <c r="AP32" i="35"/>
  <c r="AT25" i="34"/>
  <c r="AS25" i="34"/>
  <c r="AR25" i="34"/>
  <c r="AQ25" i="34"/>
  <c r="AP25" i="34"/>
  <c r="AO25" i="34"/>
  <c r="AN25" i="34"/>
  <c r="AV31" i="35"/>
  <c r="AU31" i="35"/>
  <c r="AT31" i="35"/>
  <c r="AS31" i="35"/>
  <c r="AR31" i="35"/>
  <c r="AQ31" i="35"/>
  <c r="AP31" i="35"/>
  <c r="AT22" i="34"/>
  <c r="AS22" i="34"/>
  <c r="AR22" i="34"/>
  <c r="AQ22" i="34"/>
  <c r="AP22" i="34"/>
  <c r="AO22" i="34"/>
  <c r="AN22" i="34"/>
  <c r="AV28" i="35"/>
  <c r="AU28" i="35"/>
  <c r="AT28" i="35"/>
  <c r="AS28" i="35"/>
  <c r="AR28" i="35"/>
  <c r="AQ28" i="35"/>
  <c r="AP28" i="35"/>
  <c r="AT20" i="34"/>
  <c r="AS20" i="34"/>
  <c r="AR20" i="34"/>
  <c r="AQ20" i="34"/>
  <c r="AP20" i="34"/>
  <c r="AO20" i="34"/>
  <c r="AN20" i="34"/>
  <c r="AV20" i="35"/>
  <c r="AU20" i="35"/>
  <c r="AT20" i="35"/>
  <c r="AS20" i="35"/>
  <c r="AR20" i="35"/>
  <c r="AQ20" i="35"/>
  <c r="AP20" i="35"/>
  <c r="AT16" i="34"/>
  <c r="AS16" i="34"/>
  <c r="AR16" i="34"/>
  <c r="AQ16" i="34"/>
  <c r="AP16" i="34"/>
  <c r="AO16" i="34"/>
  <c r="AN16" i="34"/>
  <c r="AV16" i="35"/>
  <c r="AU16" i="35"/>
  <c r="AT16" i="35"/>
  <c r="AS16" i="35"/>
  <c r="AR16" i="35"/>
  <c r="AQ16" i="35"/>
  <c r="AP16" i="35"/>
  <c r="AM28" i="34"/>
  <c r="AL28" i="34"/>
  <c r="AK28" i="34"/>
  <c r="AJ28" i="34"/>
  <c r="AI28" i="34"/>
  <c r="AH28" i="34"/>
  <c r="AG28" i="34"/>
  <c r="AO34" i="35"/>
  <c r="AN34" i="35"/>
  <c r="AM34" i="35"/>
  <c r="AL34" i="35"/>
  <c r="AK34" i="35"/>
  <c r="AJ34" i="35"/>
  <c r="AI34" i="35"/>
  <c r="AM26" i="34"/>
  <c r="AL26" i="34"/>
  <c r="AK26" i="34"/>
  <c r="AJ26" i="34"/>
  <c r="AI26" i="34"/>
  <c r="AH26" i="34"/>
  <c r="AG26" i="34"/>
  <c r="AO32" i="35"/>
  <c r="AN32" i="35"/>
  <c r="AM32" i="35"/>
  <c r="AL32" i="35"/>
  <c r="AK32" i="35"/>
  <c r="AJ32" i="35"/>
  <c r="AI32" i="35"/>
  <c r="AM25" i="34"/>
  <c r="AL25" i="34"/>
  <c r="AK25" i="34"/>
  <c r="AJ25" i="34"/>
  <c r="AI25" i="34"/>
  <c r="AH25" i="34"/>
  <c r="AG25" i="34"/>
  <c r="AO31" i="35"/>
  <c r="AN31" i="35"/>
  <c r="AM31" i="35"/>
  <c r="AL31" i="35"/>
  <c r="AK31" i="35"/>
  <c r="AJ31" i="35"/>
  <c r="AI31" i="35"/>
  <c r="AM22" i="34"/>
  <c r="AL22" i="34"/>
  <c r="AK22" i="34"/>
  <c r="AJ22" i="34"/>
  <c r="AI22" i="34"/>
  <c r="AH22" i="34"/>
  <c r="AG22" i="34"/>
  <c r="AO28" i="35"/>
  <c r="AN28" i="35"/>
  <c r="AM28" i="35"/>
  <c r="AL28" i="35"/>
  <c r="AK28" i="35"/>
  <c r="AJ28" i="35"/>
  <c r="AI28" i="35"/>
  <c r="AM20" i="34"/>
  <c r="AL20" i="34"/>
  <c r="AK20" i="34"/>
  <c r="AJ20" i="34"/>
  <c r="AI20" i="34"/>
  <c r="AH20" i="34"/>
  <c r="AG20" i="34"/>
  <c r="AO20" i="35"/>
  <c r="AN20" i="35"/>
  <c r="AM20" i="35"/>
  <c r="AL20" i="35"/>
  <c r="AK20" i="35"/>
  <c r="AJ20" i="35"/>
  <c r="AI20" i="35"/>
  <c r="AM19" i="34"/>
  <c r="AL19" i="34"/>
  <c r="AK19" i="34"/>
  <c r="AJ19" i="34"/>
  <c r="AI19" i="34"/>
  <c r="AH19" i="34"/>
  <c r="AG19" i="34"/>
  <c r="AO19" i="35"/>
  <c r="AN19" i="35"/>
  <c r="AM19" i="35"/>
  <c r="AL19" i="35"/>
  <c r="AK19" i="35"/>
  <c r="AJ19" i="35"/>
  <c r="AI19" i="35"/>
  <c r="AM16" i="34"/>
  <c r="AL16" i="34"/>
  <c r="AK16" i="34"/>
  <c r="AJ16" i="34"/>
  <c r="AI16" i="34"/>
  <c r="AH16" i="34"/>
  <c r="AG16" i="34"/>
  <c r="AO16" i="35"/>
  <c r="AN16" i="35"/>
  <c r="AM16" i="35"/>
  <c r="AL16" i="35"/>
  <c r="AK16" i="35"/>
  <c r="AJ16" i="35"/>
  <c r="AI16" i="35"/>
  <c r="AM15" i="34"/>
  <c r="AL15" i="34"/>
  <c r="AK15" i="34"/>
  <c r="AJ15" i="34"/>
  <c r="AI15" i="34"/>
  <c r="AH15" i="34"/>
  <c r="AG15" i="34"/>
  <c r="AO15" i="35"/>
  <c r="AN15" i="35"/>
  <c r="AM15" i="35"/>
  <c r="AL15" i="35"/>
  <c r="AK15" i="35"/>
  <c r="AJ15" i="35"/>
  <c r="AI15" i="35"/>
  <c r="AM14" i="34"/>
  <c r="AL14" i="34"/>
  <c r="AK14" i="34"/>
  <c r="AJ14" i="34"/>
  <c r="AI14" i="34"/>
  <c r="AH14" i="34"/>
  <c r="AG14" i="34"/>
  <c r="AO14" i="35"/>
  <c r="AN14" i="35"/>
  <c r="AM14" i="35"/>
  <c r="AL14" i="35"/>
  <c r="AK14" i="35"/>
  <c r="AJ14" i="35"/>
  <c r="AI14" i="35"/>
  <c r="AM11" i="34"/>
  <c r="AL11" i="34"/>
  <c r="AK11" i="34"/>
  <c r="AJ11" i="34"/>
  <c r="AI11" i="34"/>
  <c r="AH11" i="34"/>
  <c r="AG11" i="34"/>
  <c r="AO11" i="35"/>
  <c r="AN11" i="35"/>
  <c r="AM11" i="35"/>
  <c r="AL11" i="35"/>
  <c r="AK11" i="35"/>
  <c r="AJ11" i="35"/>
  <c r="AI11" i="35"/>
  <c r="AM6" i="34"/>
  <c r="AL6" i="34"/>
  <c r="AK6" i="34"/>
  <c r="AJ6" i="34"/>
  <c r="AI6" i="34"/>
  <c r="AH6" i="34"/>
  <c r="AG6" i="34"/>
  <c r="AO6" i="35"/>
  <c r="AN6" i="35"/>
  <c r="AM6" i="35"/>
  <c r="AL6" i="35"/>
  <c r="AK6" i="35"/>
  <c r="AJ6" i="35"/>
  <c r="AI6" i="35"/>
  <c r="AM4" i="34"/>
  <c r="AL4" i="34"/>
  <c r="AK4" i="34"/>
  <c r="AJ4" i="34"/>
  <c r="AI4" i="34"/>
  <c r="AH4" i="34"/>
  <c r="AG4" i="34"/>
  <c r="AO4" i="35"/>
  <c r="AN4" i="35"/>
  <c r="AM4" i="35"/>
  <c r="AL4" i="35"/>
  <c r="AK4" i="35"/>
  <c r="AJ4" i="35"/>
  <c r="AI4" i="35"/>
  <c r="AF28" i="34"/>
  <c r="AE28" i="34"/>
  <c r="AD28" i="34"/>
  <c r="AC28" i="34"/>
  <c r="AB28" i="34"/>
  <c r="AA28" i="34"/>
  <c r="Z28" i="34"/>
  <c r="AH34" i="35"/>
  <c r="AG34" i="35"/>
  <c r="AF34" i="35"/>
  <c r="AE34" i="35"/>
  <c r="AD34" i="35"/>
  <c r="AC34" i="35"/>
  <c r="AB34" i="35"/>
  <c r="AF26" i="34"/>
  <c r="AE26" i="34"/>
  <c r="AD26" i="34"/>
  <c r="AC26" i="34"/>
  <c r="AB26" i="34"/>
  <c r="AA26" i="34"/>
  <c r="Z26" i="34"/>
  <c r="AH32" i="35"/>
  <c r="AG32" i="35"/>
  <c r="AF32" i="35"/>
  <c r="AE32" i="35"/>
  <c r="AD32" i="35"/>
  <c r="AC32" i="35"/>
  <c r="AB32" i="35"/>
  <c r="AF25" i="34"/>
  <c r="AE25" i="34"/>
  <c r="AD25" i="34"/>
  <c r="AC25" i="34"/>
  <c r="AB25" i="34"/>
  <c r="AA25" i="34"/>
  <c r="Z25" i="34"/>
  <c r="AH31" i="35"/>
  <c r="AG31" i="35"/>
  <c r="AF31" i="35"/>
  <c r="AE31" i="35"/>
  <c r="AD31" i="35"/>
  <c r="AC31" i="35"/>
  <c r="AB31" i="35"/>
  <c r="AF22" i="34"/>
  <c r="AE22" i="34"/>
  <c r="AD22" i="34"/>
  <c r="AC22" i="34"/>
  <c r="AB22" i="34"/>
  <c r="AA22" i="34"/>
  <c r="Z22" i="34"/>
  <c r="AH28" i="35"/>
  <c r="AG28" i="35"/>
  <c r="AF28" i="35"/>
  <c r="AE28" i="35"/>
  <c r="AD28" i="35"/>
  <c r="AC28" i="35"/>
  <c r="AB28" i="35"/>
  <c r="AF20" i="34"/>
  <c r="AE20" i="34"/>
  <c r="AD20" i="34"/>
  <c r="AC20" i="34"/>
  <c r="AB20" i="34"/>
  <c r="AA20" i="34"/>
  <c r="Z20" i="34"/>
  <c r="AH20" i="35"/>
  <c r="AG20" i="35"/>
  <c r="AF20" i="35"/>
  <c r="AE20" i="35"/>
  <c r="AD20" i="35"/>
  <c r="AC20" i="35"/>
  <c r="AB20" i="35"/>
  <c r="AF19" i="34"/>
  <c r="AE19" i="34"/>
  <c r="AD19" i="34"/>
  <c r="AC19" i="34"/>
  <c r="AB19" i="34"/>
  <c r="AA19" i="34"/>
  <c r="Z19" i="34"/>
  <c r="AH19" i="35"/>
  <c r="AG19" i="35"/>
  <c r="AF19" i="35"/>
  <c r="AE19" i="35"/>
  <c r="AD19" i="35"/>
  <c r="AC19" i="35"/>
  <c r="AB19" i="35"/>
  <c r="AF17" i="34"/>
  <c r="AE17" i="34"/>
  <c r="AD17" i="34"/>
  <c r="AC17" i="34"/>
  <c r="AB17" i="34"/>
  <c r="AA17" i="34"/>
  <c r="Z17" i="34"/>
  <c r="AH17" i="35"/>
  <c r="AG17" i="35"/>
  <c r="AF17" i="35"/>
  <c r="AE17" i="35"/>
  <c r="AD17" i="35"/>
  <c r="AC17" i="35"/>
  <c r="AB17" i="35"/>
  <c r="AF16" i="34"/>
  <c r="AE16" i="34"/>
  <c r="AD16" i="34"/>
  <c r="AC16" i="34"/>
  <c r="AB16" i="34"/>
  <c r="AA16" i="34"/>
  <c r="Z16" i="34"/>
  <c r="AH16" i="35"/>
  <c r="AG16" i="35"/>
  <c r="AF16" i="35"/>
  <c r="AE16" i="35"/>
  <c r="AD16" i="35"/>
  <c r="AC16" i="35"/>
  <c r="AB16" i="35"/>
  <c r="AF15" i="34"/>
  <c r="AE15" i="34"/>
  <c r="AD15" i="34"/>
  <c r="AC15" i="34"/>
  <c r="AB15" i="34"/>
  <c r="AA15" i="34"/>
  <c r="Z15" i="34"/>
  <c r="AH15" i="35"/>
  <c r="AG15" i="35"/>
  <c r="AF15" i="35"/>
  <c r="AE15" i="35"/>
  <c r="AD15" i="35"/>
  <c r="AC15" i="35"/>
  <c r="AB15" i="35"/>
  <c r="AF14" i="34"/>
  <c r="AE14" i="34"/>
  <c r="AD14" i="34"/>
  <c r="AC14" i="34"/>
  <c r="AB14" i="34"/>
  <c r="AA14" i="34"/>
  <c r="Z14" i="34"/>
  <c r="AH14" i="35"/>
  <c r="AG14" i="35"/>
  <c r="AF14" i="35"/>
  <c r="AE14" i="35"/>
  <c r="AD14" i="35"/>
  <c r="AC14" i="35"/>
  <c r="AB14" i="35"/>
  <c r="AF11" i="34"/>
  <c r="AE11" i="34"/>
  <c r="AD11" i="34"/>
  <c r="AC11" i="34"/>
  <c r="AB11" i="34"/>
  <c r="AA11" i="34"/>
  <c r="Z11" i="34"/>
  <c r="AH11" i="35"/>
  <c r="AG11" i="35"/>
  <c r="AF11" i="35"/>
  <c r="AE11" i="35"/>
  <c r="AD11" i="35"/>
  <c r="AC11" i="35"/>
  <c r="AB11" i="35"/>
  <c r="AF6" i="34"/>
  <c r="AE6" i="34"/>
  <c r="AD6" i="34"/>
  <c r="AC6" i="34"/>
  <c r="AB6" i="34"/>
  <c r="AA6" i="34"/>
  <c r="Z6" i="34"/>
  <c r="AH6" i="35"/>
  <c r="AG6" i="35"/>
  <c r="AF6" i="35"/>
  <c r="AE6" i="35"/>
  <c r="AD6" i="35"/>
  <c r="AC6" i="35"/>
  <c r="AB6" i="35"/>
  <c r="AF4" i="34"/>
  <c r="AE4" i="34"/>
  <c r="AD4" i="34"/>
  <c r="AC4" i="34"/>
  <c r="AB4" i="34"/>
  <c r="AA4" i="34"/>
  <c r="Z4" i="34"/>
  <c r="AH4" i="35"/>
  <c r="AG4" i="35"/>
  <c r="AF4" i="35"/>
  <c r="AE4" i="35"/>
  <c r="AD4" i="35"/>
  <c r="AC4" i="35"/>
  <c r="AB4" i="35"/>
  <c r="AF2" i="34"/>
  <c r="AE2" i="34"/>
  <c r="AD2" i="34"/>
  <c r="AC2" i="34"/>
  <c r="AB2" i="34"/>
  <c r="AA2" i="34"/>
  <c r="Z2" i="34"/>
  <c r="AH2" i="35"/>
  <c r="AG2" i="35"/>
  <c r="AF2" i="35"/>
  <c r="AE2" i="35"/>
  <c r="AD2" i="35"/>
  <c r="AC2" i="35"/>
  <c r="AB2" i="35"/>
  <c r="Y28" i="34"/>
  <c r="X28" i="34"/>
  <c r="W28" i="34"/>
  <c r="V28" i="34"/>
  <c r="U28" i="34"/>
  <c r="T28" i="34"/>
  <c r="S28" i="34"/>
  <c r="AA34" i="35"/>
  <c r="Z34" i="35"/>
  <c r="Y34" i="35"/>
  <c r="X34" i="35"/>
  <c r="W34" i="35"/>
  <c r="V34" i="35"/>
  <c r="U34" i="35"/>
  <c r="T34" i="35" s="1"/>
  <c r="Y26" i="34"/>
  <c r="X26" i="34"/>
  <c r="W26" i="34"/>
  <c r="V26" i="34"/>
  <c r="U26" i="34"/>
  <c r="T26" i="34"/>
  <c r="S26" i="34"/>
  <c r="AA32" i="35"/>
  <c r="Z32" i="35"/>
  <c r="Y32" i="35"/>
  <c r="X32" i="35"/>
  <c r="W32" i="35"/>
  <c r="V32" i="35"/>
  <c r="U32" i="35"/>
  <c r="T32" i="35" s="1"/>
  <c r="Y25" i="34"/>
  <c r="X25" i="34"/>
  <c r="W25" i="34"/>
  <c r="V25" i="34"/>
  <c r="U25" i="34"/>
  <c r="T25" i="34"/>
  <c r="S25" i="34"/>
  <c r="AA31" i="35"/>
  <c r="Z31" i="35"/>
  <c r="Y31" i="35"/>
  <c r="X31" i="35"/>
  <c r="W31" i="35"/>
  <c r="V31" i="35"/>
  <c r="U31" i="35"/>
  <c r="T31" i="35" s="1"/>
  <c r="Y22" i="34"/>
  <c r="X22" i="34"/>
  <c r="W22" i="34"/>
  <c r="V22" i="34"/>
  <c r="U22" i="34"/>
  <c r="T22" i="34"/>
  <c r="S22" i="34"/>
  <c r="AA28" i="35"/>
  <c r="Z28" i="35"/>
  <c r="Y28" i="35"/>
  <c r="X28" i="35"/>
  <c r="W28" i="35"/>
  <c r="V28" i="35"/>
  <c r="U28" i="35"/>
  <c r="T28" i="35" s="1"/>
  <c r="Y20" i="34"/>
  <c r="X20" i="34"/>
  <c r="W20" i="34"/>
  <c r="V20" i="34"/>
  <c r="U20" i="34"/>
  <c r="T20" i="34"/>
  <c r="S20" i="34"/>
  <c r="AA20" i="35"/>
  <c r="Z20" i="35"/>
  <c r="Y20" i="35"/>
  <c r="X20" i="35"/>
  <c r="W20" i="35"/>
  <c r="V20" i="35"/>
  <c r="U20" i="35"/>
  <c r="T20" i="35" s="1"/>
  <c r="Y19" i="34"/>
  <c r="X19" i="34"/>
  <c r="W19" i="34"/>
  <c r="V19" i="34"/>
  <c r="U19" i="34"/>
  <c r="T19" i="34"/>
  <c r="S19" i="34"/>
  <c r="AA19" i="35"/>
  <c r="Z19" i="35"/>
  <c r="Y19" i="35"/>
  <c r="X19" i="35"/>
  <c r="W19" i="35"/>
  <c r="V19" i="35"/>
  <c r="U19" i="35"/>
  <c r="T19" i="35" s="1"/>
  <c r="Y17" i="34"/>
  <c r="X17" i="34"/>
  <c r="W17" i="34"/>
  <c r="V17" i="34"/>
  <c r="U17" i="34"/>
  <c r="T17" i="34"/>
  <c r="S17" i="34"/>
  <c r="AA17" i="35"/>
  <c r="Z17" i="35"/>
  <c r="Y17" i="35"/>
  <c r="X17" i="35"/>
  <c r="W17" i="35"/>
  <c r="V17" i="35"/>
  <c r="U17" i="35"/>
  <c r="T17" i="35" s="1"/>
  <c r="Y15" i="34"/>
  <c r="X15" i="34"/>
  <c r="W15" i="34"/>
  <c r="V15" i="34"/>
  <c r="U15" i="34"/>
  <c r="T15" i="34"/>
  <c r="S15" i="34"/>
  <c r="AA15" i="35"/>
  <c r="Z15" i="35"/>
  <c r="Y15" i="35"/>
  <c r="X15" i="35"/>
  <c r="W15" i="35"/>
  <c r="V15" i="35"/>
  <c r="U15" i="35"/>
  <c r="T15" i="35" s="1"/>
  <c r="Y14" i="34"/>
  <c r="X14" i="34"/>
  <c r="W14" i="34"/>
  <c r="V14" i="34"/>
  <c r="U14" i="34"/>
  <c r="T14" i="34"/>
  <c r="S14" i="34"/>
  <c r="AA14" i="35"/>
  <c r="Z14" i="35"/>
  <c r="Y14" i="35"/>
  <c r="X14" i="35"/>
  <c r="W14" i="35"/>
  <c r="V14" i="35"/>
  <c r="U14" i="35"/>
  <c r="T14" i="35" s="1"/>
  <c r="Y11" i="34"/>
  <c r="X11" i="34"/>
  <c r="W11" i="34"/>
  <c r="V11" i="34"/>
  <c r="U11" i="34"/>
  <c r="T11" i="34"/>
  <c r="S11" i="34"/>
  <c r="AA11" i="35"/>
  <c r="Z11" i="35"/>
  <c r="Y11" i="35"/>
  <c r="X11" i="35"/>
  <c r="W11" i="35"/>
  <c r="V11" i="35"/>
  <c r="U11" i="35"/>
  <c r="T11" i="35" s="1"/>
  <c r="Y6" i="34"/>
  <c r="X6" i="34"/>
  <c r="W6" i="34"/>
  <c r="V6" i="34"/>
  <c r="U6" i="34"/>
  <c r="T6" i="34"/>
  <c r="S6" i="34"/>
  <c r="AA6" i="35"/>
  <c r="Z6" i="35"/>
  <c r="Y6" i="35"/>
  <c r="X6" i="35"/>
  <c r="W6" i="35"/>
  <c r="V6" i="35"/>
  <c r="U6" i="35"/>
  <c r="T6" i="35" s="1"/>
  <c r="R30" i="34"/>
  <c r="Q30" i="34"/>
  <c r="P30" i="34"/>
  <c r="O30" i="34"/>
  <c r="N30" i="34"/>
  <c r="M30" i="34"/>
  <c r="L30" i="34"/>
  <c r="S36" i="35"/>
  <c r="R36" i="35"/>
  <c r="Q36" i="35"/>
  <c r="P36" i="35"/>
  <c r="O36" i="35"/>
  <c r="N36" i="35"/>
  <c r="M36" i="35"/>
  <c r="L36" i="35" s="1"/>
  <c r="R29" i="34"/>
  <c r="Q29" i="34"/>
  <c r="P29" i="34"/>
  <c r="O29" i="34"/>
  <c r="N29" i="34"/>
  <c r="M29" i="34"/>
  <c r="L29" i="34"/>
  <c r="S35" i="35"/>
  <c r="R35" i="35"/>
  <c r="Q35" i="35"/>
  <c r="P35" i="35"/>
  <c r="O35" i="35"/>
  <c r="N35" i="35"/>
  <c r="M35" i="35"/>
  <c r="L35" i="35" s="1"/>
  <c r="R28" i="34"/>
  <c r="Q28" i="34"/>
  <c r="P28" i="34"/>
  <c r="O28" i="34"/>
  <c r="N28" i="34"/>
  <c r="M28" i="34"/>
  <c r="L28" i="34"/>
  <c r="S34" i="35"/>
  <c r="R34" i="35"/>
  <c r="Q34" i="35"/>
  <c r="P34" i="35"/>
  <c r="O34" i="35"/>
  <c r="N34" i="35"/>
  <c r="M34" i="35"/>
  <c r="L34" i="35" s="1"/>
  <c r="R27" i="34"/>
  <c r="Q27" i="34"/>
  <c r="P27" i="34"/>
  <c r="O27" i="34"/>
  <c r="N27" i="34"/>
  <c r="M27" i="34"/>
  <c r="L27" i="34"/>
  <c r="S33" i="35"/>
  <c r="R33" i="35"/>
  <c r="Q33" i="35"/>
  <c r="P33" i="35"/>
  <c r="O33" i="35"/>
  <c r="N33" i="35"/>
  <c r="M33" i="35"/>
  <c r="L33" i="35" s="1"/>
  <c r="R26" i="34"/>
  <c r="Q26" i="34"/>
  <c r="P26" i="34"/>
  <c r="O26" i="34"/>
  <c r="N26" i="34"/>
  <c r="M26" i="34"/>
  <c r="L26" i="34"/>
  <c r="IT44" i="25"/>
  <c r="S32" i="35"/>
  <c r="S38" i="35" s="1"/>
  <c r="R32" i="35"/>
  <c r="R38" i="35" s="1"/>
  <c r="Q32" i="35"/>
  <c r="Q38" i="35" s="1"/>
  <c r="P32" i="35"/>
  <c r="P38" i="35" s="1"/>
  <c r="O32" i="35"/>
  <c r="O38" i="35" s="1"/>
  <c r="N32" i="35"/>
  <c r="N38" i="35" s="1"/>
  <c r="M32" i="35"/>
  <c r="R25" i="34"/>
  <c r="Q25" i="34"/>
  <c r="P25" i="34"/>
  <c r="O25" i="34"/>
  <c r="N25" i="34"/>
  <c r="M25" i="34"/>
  <c r="L25" i="34"/>
  <c r="S31" i="35"/>
  <c r="R31" i="35"/>
  <c r="Q31" i="35"/>
  <c r="P31" i="35"/>
  <c r="O31" i="35"/>
  <c r="N31" i="35"/>
  <c r="M31" i="35"/>
  <c r="L31" i="35" s="1"/>
  <c r="R24" i="34"/>
  <c r="Q24" i="34"/>
  <c r="P24" i="34"/>
  <c r="O24" i="34"/>
  <c r="N24" i="34"/>
  <c r="M24" i="34"/>
  <c r="L24" i="34"/>
  <c r="S30" i="35"/>
  <c r="R30" i="35"/>
  <c r="Q30" i="35"/>
  <c r="P30" i="35"/>
  <c r="O30" i="35"/>
  <c r="N30" i="35"/>
  <c r="M30" i="35"/>
  <c r="L30" i="35" s="1"/>
  <c r="R23" i="34"/>
  <c r="Q23" i="34"/>
  <c r="P23" i="34"/>
  <c r="O23" i="34"/>
  <c r="N23" i="34"/>
  <c r="M23" i="34"/>
  <c r="L23" i="34"/>
  <c r="S29" i="35"/>
  <c r="R29" i="35"/>
  <c r="Q29" i="35"/>
  <c r="P29" i="35"/>
  <c r="O29" i="35"/>
  <c r="N29" i="35"/>
  <c r="M29" i="35"/>
  <c r="L29" i="35" s="1"/>
  <c r="R22" i="34"/>
  <c r="Q22" i="34"/>
  <c r="P22" i="34"/>
  <c r="O22" i="34"/>
  <c r="N22" i="34"/>
  <c r="M22" i="34"/>
  <c r="L22" i="34"/>
  <c r="S28" i="35"/>
  <c r="R28" i="35"/>
  <c r="Q28" i="35"/>
  <c r="P28" i="35"/>
  <c r="O28" i="35"/>
  <c r="N28" i="35"/>
  <c r="M28" i="35"/>
  <c r="L28" i="35" s="1"/>
  <c r="R21" i="34"/>
  <c r="Q21" i="34"/>
  <c r="P21" i="34"/>
  <c r="O21" i="34"/>
  <c r="N21" i="34"/>
  <c r="M21" i="34"/>
  <c r="L21" i="34"/>
  <c r="IT43" i="25"/>
  <c r="IT45" i="25" s="1"/>
  <c r="S27" i="35"/>
  <c r="S37" i="35" s="1"/>
  <c r="S39" i="35" s="1"/>
  <c r="R27" i="35"/>
  <c r="R37" i="35" s="1"/>
  <c r="R39" i="35" s="1"/>
  <c r="Q27" i="35"/>
  <c r="Q37" i="35" s="1"/>
  <c r="Q39" i="35" s="1"/>
  <c r="P27" i="35"/>
  <c r="P37" i="35" s="1"/>
  <c r="P39" i="35" s="1"/>
  <c r="O27" i="35"/>
  <c r="O37" i="35" s="1"/>
  <c r="O39" i="35" s="1"/>
  <c r="N27" i="35"/>
  <c r="N37" i="35" s="1"/>
  <c r="N39" i="35" s="1"/>
  <c r="M27" i="35"/>
  <c r="R20" i="34"/>
  <c r="Q20" i="34"/>
  <c r="P20" i="34"/>
  <c r="O20" i="34"/>
  <c r="N20" i="34"/>
  <c r="M20" i="34"/>
  <c r="L20" i="34"/>
  <c r="S20" i="35"/>
  <c r="R20" i="35"/>
  <c r="Q20" i="35"/>
  <c r="P20" i="35"/>
  <c r="O20" i="35"/>
  <c r="N20" i="35"/>
  <c r="M20" i="35"/>
  <c r="L20" i="35" s="1"/>
  <c r="R19" i="34"/>
  <c r="Q19" i="34"/>
  <c r="P19" i="34"/>
  <c r="O19" i="34"/>
  <c r="N19" i="34"/>
  <c r="M19" i="34"/>
  <c r="L19" i="34"/>
  <c r="S19" i="35"/>
  <c r="R19" i="35"/>
  <c r="Q19" i="35"/>
  <c r="P19" i="35"/>
  <c r="O19" i="35"/>
  <c r="N19" i="35"/>
  <c r="M19" i="35"/>
  <c r="L19" i="35" s="1"/>
  <c r="R18" i="34"/>
  <c r="Q18" i="34"/>
  <c r="P18" i="34"/>
  <c r="O18" i="34"/>
  <c r="N18" i="34"/>
  <c r="M18" i="34"/>
  <c r="L18" i="34"/>
  <c r="S18" i="35"/>
  <c r="R18" i="35"/>
  <c r="Q18" i="35"/>
  <c r="P18" i="35"/>
  <c r="O18" i="35"/>
  <c r="N18" i="35"/>
  <c r="M18" i="35"/>
  <c r="L18" i="35" s="1"/>
  <c r="R17" i="34"/>
  <c r="Q17" i="34"/>
  <c r="P17" i="34"/>
  <c r="O17" i="34"/>
  <c r="N17" i="34"/>
  <c r="M17" i="34"/>
  <c r="L17" i="34"/>
  <c r="S17" i="35"/>
  <c r="R17" i="35"/>
  <c r="Q17" i="35"/>
  <c r="P17" i="35"/>
  <c r="O17" i="35"/>
  <c r="N17" i="35"/>
  <c r="M17" i="35"/>
  <c r="L17" i="35" s="1"/>
  <c r="R16" i="34"/>
  <c r="Q16" i="34"/>
  <c r="P16" i="34"/>
  <c r="O16" i="34"/>
  <c r="N16" i="34"/>
  <c r="M16" i="34"/>
  <c r="L16" i="34"/>
  <c r="S16" i="35"/>
  <c r="R16" i="35"/>
  <c r="Q16" i="35"/>
  <c r="P16" i="35"/>
  <c r="O16" i="35"/>
  <c r="N16" i="35"/>
  <c r="M16" i="35"/>
  <c r="L16" i="35" s="1"/>
  <c r="R15" i="34"/>
  <c r="Q15" i="34"/>
  <c r="P15" i="34"/>
  <c r="O15" i="34"/>
  <c r="N15" i="34"/>
  <c r="M15" i="34"/>
  <c r="L15" i="34"/>
  <c r="S15" i="35"/>
  <c r="R15" i="35"/>
  <c r="Q15" i="35"/>
  <c r="P15" i="35"/>
  <c r="O15" i="35"/>
  <c r="N15" i="35"/>
  <c r="M15" i="35"/>
  <c r="L15" i="35" s="1"/>
  <c r="R14" i="34"/>
  <c r="Q14" i="34"/>
  <c r="P14" i="34"/>
  <c r="O14" i="34"/>
  <c r="N14" i="34"/>
  <c r="M14" i="34"/>
  <c r="L14" i="34"/>
  <c r="S14" i="35"/>
  <c r="R14" i="35"/>
  <c r="Q14" i="35"/>
  <c r="P14" i="35"/>
  <c r="O14" i="35"/>
  <c r="N14" i="35"/>
  <c r="M14" i="35"/>
  <c r="L14" i="35" s="1"/>
  <c r="R12" i="34"/>
  <c r="Q12" i="34"/>
  <c r="P12" i="34"/>
  <c r="O12" i="34"/>
  <c r="N12" i="34"/>
  <c r="M12" i="34"/>
  <c r="L12" i="34"/>
  <c r="S12" i="35"/>
  <c r="R12" i="35"/>
  <c r="Q12" i="35"/>
  <c r="P12" i="35"/>
  <c r="O12" i="35"/>
  <c r="N12" i="35"/>
  <c r="M12" i="35"/>
  <c r="L12" i="35" s="1"/>
  <c r="R11" i="34"/>
  <c r="Q11" i="34"/>
  <c r="P11" i="34"/>
  <c r="O11" i="34"/>
  <c r="N11" i="34"/>
  <c r="M11" i="34"/>
  <c r="L11" i="34"/>
  <c r="S11" i="35"/>
  <c r="R11" i="35"/>
  <c r="Q11" i="35"/>
  <c r="P11" i="35"/>
  <c r="O11" i="35"/>
  <c r="N11" i="35"/>
  <c r="M11" i="35"/>
  <c r="L11" i="35" s="1"/>
  <c r="R10" i="34"/>
  <c r="Q10" i="34"/>
  <c r="P10" i="34"/>
  <c r="O10" i="34"/>
  <c r="N10" i="34"/>
  <c r="M10" i="34"/>
  <c r="L10" i="34"/>
  <c r="S10" i="35"/>
  <c r="R10" i="35"/>
  <c r="Q10" i="35"/>
  <c r="P10" i="35"/>
  <c r="O10" i="35"/>
  <c r="N10" i="35"/>
  <c r="M10" i="35"/>
  <c r="L10" i="35" s="1"/>
  <c r="S53" i="35"/>
  <c r="IT17" i="25"/>
  <c r="R45" i="34"/>
  <c r="R45" i="33"/>
  <c r="ZX18" i="28"/>
  <c r="ZX36" i="28" s="1"/>
  <c r="ZT18" i="28"/>
  <c r="ZT36" i="28" s="1"/>
  <c r="ZP18" i="28"/>
  <c r="ZP36" i="28" s="1"/>
  <c r="ZP50" i="28" s="1"/>
  <c r="ZL18" i="28"/>
  <c r="ZL36" i="28" s="1"/>
  <c r="ZL50" i="28" s="1"/>
  <c r="ZH18" i="28"/>
  <c r="ZH36" i="28" s="1"/>
  <c r="ZD18" i="28"/>
  <c r="ZD36" i="28" s="1"/>
  <c r="YZ18" i="28"/>
  <c r="IP35" i="25"/>
  <c r="IP41" i="25"/>
  <c r="IQ41" i="25" s="1"/>
  <c r="IP38" i="25"/>
  <c r="IQ38" i="25" s="1"/>
  <c r="R9" i="34"/>
  <c r="Q9" i="34"/>
  <c r="P9" i="34"/>
  <c r="O9" i="34"/>
  <c r="N9" i="34"/>
  <c r="M9" i="34"/>
  <c r="L9" i="34"/>
  <c r="S9" i="35"/>
  <c r="R9" i="35"/>
  <c r="Q9" i="35"/>
  <c r="P9" i="35"/>
  <c r="O9" i="35"/>
  <c r="N9" i="35"/>
  <c r="M9" i="35"/>
  <c r="L9" i="35" s="1"/>
  <c r="R8" i="34"/>
  <c r="Q8" i="34"/>
  <c r="P8" i="34"/>
  <c r="O8" i="34"/>
  <c r="N8" i="34"/>
  <c r="M8" i="34"/>
  <c r="L8" i="34"/>
  <c r="S8" i="35"/>
  <c r="R8" i="35"/>
  <c r="Q8" i="35"/>
  <c r="P8" i="35"/>
  <c r="O8" i="35"/>
  <c r="N8" i="35"/>
  <c r="M8" i="35"/>
  <c r="L8" i="35" s="1"/>
  <c r="R7" i="34"/>
  <c r="Q7" i="34"/>
  <c r="P7" i="34"/>
  <c r="O7" i="34"/>
  <c r="N7" i="34"/>
  <c r="M7" i="34"/>
  <c r="L7" i="34"/>
  <c r="IT39" i="25"/>
  <c r="S7" i="35"/>
  <c r="S22" i="35" s="1"/>
  <c r="R7" i="35"/>
  <c r="R22" i="35" s="1"/>
  <c r="Q7" i="35"/>
  <c r="Q22" i="35" s="1"/>
  <c r="P7" i="35"/>
  <c r="P22" i="35" s="1"/>
  <c r="O7" i="35"/>
  <c r="O22" i="35" s="1"/>
  <c r="N7" i="35"/>
  <c r="N22" i="35" s="1"/>
  <c r="M7" i="35"/>
  <c r="R6" i="34"/>
  <c r="Q6" i="34"/>
  <c r="P6" i="34"/>
  <c r="O6" i="34"/>
  <c r="N6" i="34"/>
  <c r="M6" i="34"/>
  <c r="L6" i="34"/>
  <c r="S6" i="35"/>
  <c r="R6" i="35"/>
  <c r="Q6" i="35"/>
  <c r="P6" i="35"/>
  <c r="O6" i="35"/>
  <c r="N6" i="35"/>
  <c r="M6" i="35"/>
  <c r="L6" i="35" s="1"/>
  <c r="R5" i="34"/>
  <c r="Q5" i="34"/>
  <c r="P5" i="34"/>
  <c r="O5" i="34"/>
  <c r="N5" i="34"/>
  <c r="M5" i="34"/>
  <c r="L5" i="34"/>
  <c r="S5" i="35"/>
  <c r="R5" i="35"/>
  <c r="Q5" i="35"/>
  <c r="P5" i="35"/>
  <c r="O5" i="35"/>
  <c r="N5" i="35"/>
  <c r="M5" i="35"/>
  <c r="L5" i="35" s="1"/>
  <c r="R4" i="34"/>
  <c r="Q4" i="34"/>
  <c r="P4" i="34"/>
  <c r="O4" i="34"/>
  <c r="N4" i="34"/>
  <c r="M4" i="34"/>
  <c r="L4" i="34"/>
  <c r="IT40" i="25"/>
  <c r="S4" i="35"/>
  <c r="S23" i="35" s="1"/>
  <c r="R4" i="35"/>
  <c r="R23" i="35" s="1"/>
  <c r="Q4" i="35"/>
  <c r="Q23" i="35" s="1"/>
  <c r="P4" i="35"/>
  <c r="P23" i="35" s="1"/>
  <c r="O4" i="35"/>
  <c r="O23" i="35" s="1"/>
  <c r="N4" i="35"/>
  <c r="N23" i="35" s="1"/>
  <c r="M4" i="35"/>
  <c r="R3" i="34"/>
  <c r="Q3" i="34"/>
  <c r="P3" i="34"/>
  <c r="O3" i="34"/>
  <c r="N3" i="34"/>
  <c r="M3" i="34"/>
  <c r="L3" i="34"/>
  <c r="S3" i="35"/>
  <c r="R3" i="35"/>
  <c r="Q3" i="35"/>
  <c r="P3" i="35"/>
  <c r="O3" i="35"/>
  <c r="N3" i="35"/>
  <c r="M3" i="35"/>
  <c r="L3" i="35" s="1"/>
  <c r="R63" i="34"/>
  <c r="R2" i="34"/>
  <c r="Q2" i="34"/>
  <c r="P2" i="34"/>
  <c r="O2" i="34"/>
  <c r="N2" i="34"/>
  <c r="M2" i="34"/>
  <c r="L2" i="34"/>
  <c r="IT35" i="25"/>
  <c r="S71" i="35"/>
  <c r="S2" i="35"/>
  <c r="R2" i="35"/>
  <c r="Q2" i="35"/>
  <c r="P2" i="35"/>
  <c r="O2" i="35"/>
  <c r="N2" i="35"/>
  <c r="M2" i="35"/>
  <c r="B30" i="34"/>
  <c r="C30" i="34"/>
  <c r="D30" i="34"/>
  <c r="K30" i="34"/>
  <c r="J30" i="34"/>
  <c r="I30" i="34"/>
  <c r="H30" i="34"/>
  <c r="G30" i="34"/>
  <c r="F30" i="34"/>
  <c r="E30" i="34"/>
  <c r="K36" i="35"/>
  <c r="J36" i="35"/>
  <c r="I36" i="35"/>
  <c r="H36" i="35"/>
  <c r="G36" i="35"/>
  <c r="F36" i="35"/>
  <c r="E36" i="35"/>
  <c r="B29" i="34"/>
  <c r="C29" i="34"/>
  <c r="D29" i="34"/>
  <c r="K29" i="34"/>
  <c r="J29" i="34"/>
  <c r="I29" i="34"/>
  <c r="H29" i="34"/>
  <c r="G29" i="34"/>
  <c r="F29" i="34"/>
  <c r="E29" i="34"/>
  <c r="K35" i="35"/>
  <c r="J35" i="35"/>
  <c r="I35" i="35"/>
  <c r="H35" i="35"/>
  <c r="G35" i="35"/>
  <c r="F35" i="35"/>
  <c r="E35" i="35"/>
  <c r="B28" i="34"/>
  <c r="C28" i="34"/>
  <c r="D28" i="34"/>
  <c r="K28" i="34"/>
  <c r="J28" i="34"/>
  <c r="I28" i="34"/>
  <c r="H28" i="34"/>
  <c r="G28" i="34"/>
  <c r="F28" i="34"/>
  <c r="E28" i="34"/>
  <c r="K34" i="35"/>
  <c r="J34" i="35"/>
  <c r="I34" i="35"/>
  <c r="H34" i="35"/>
  <c r="G34" i="35"/>
  <c r="F34" i="35"/>
  <c r="E34" i="35"/>
  <c r="B27" i="34"/>
  <c r="C27" i="34"/>
  <c r="D27" i="34"/>
  <c r="K27" i="34"/>
  <c r="J27" i="34"/>
  <c r="I27" i="34"/>
  <c r="H27" i="34"/>
  <c r="G27" i="34"/>
  <c r="F27" i="34"/>
  <c r="E27" i="34"/>
  <c r="K33" i="35"/>
  <c r="J33" i="35"/>
  <c r="I33" i="35"/>
  <c r="H33" i="35"/>
  <c r="G33" i="35"/>
  <c r="F33" i="35"/>
  <c r="E33" i="35"/>
  <c r="B26" i="34"/>
  <c r="C26" i="34"/>
  <c r="D26" i="34"/>
  <c r="K26" i="34"/>
  <c r="J26" i="34"/>
  <c r="I26" i="34"/>
  <c r="H26" i="34"/>
  <c r="G26" i="34"/>
  <c r="F26" i="34"/>
  <c r="E26" i="34"/>
  <c r="K32" i="35"/>
  <c r="J32" i="35"/>
  <c r="I32" i="35"/>
  <c r="H32" i="35"/>
  <c r="G32" i="35"/>
  <c r="F32" i="35"/>
  <c r="E32" i="35"/>
  <c r="B25" i="34"/>
  <c r="C25" i="34"/>
  <c r="D25" i="34"/>
  <c r="K25" i="34"/>
  <c r="J25" i="34"/>
  <c r="I25" i="34"/>
  <c r="H25" i="34"/>
  <c r="G25" i="34"/>
  <c r="F25" i="34"/>
  <c r="E25" i="34"/>
  <c r="K31" i="35"/>
  <c r="J31" i="35"/>
  <c r="I31" i="35"/>
  <c r="H31" i="35"/>
  <c r="G31" i="35"/>
  <c r="F31" i="35"/>
  <c r="E31" i="35"/>
  <c r="B24" i="34"/>
  <c r="C24" i="34"/>
  <c r="D24" i="34"/>
  <c r="K24" i="34"/>
  <c r="J24" i="34"/>
  <c r="I24" i="34"/>
  <c r="H24" i="34"/>
  <c r="G24" i="34"/>
  <c r="F24" i="34"/>
  <c r="E24" i="34"/>
  <c r="K30" i="35"/>
  <c r="J30" i="35"/>
  <c r="I30" i="35"/>
  <c r="H30" i="35"/>
  <c r="G30" i="35"/>
  <c r="F30" i="35"/>
  <c r="E30" i="35"/>
  <c r="B23" i="34"/>
  <c r="C23" i="34"/>
  <c r="D23" i="34"/>
  <c r="K23" i="34"/>
  <c r="J23" i="34"/>
  <c r="I23" i="34"/>
  <c r="H23" i="34"/>
  <c r="G23" i="34"/>
  <c r="F23" i="34"/>
  <c r="E23" i="34"/>
  <c r="K29" i="35"/>
  <c r="J29" i="35"/>
  <c r="I29" i="35"/>
  <c r="H29" i="35"/>
  <c r="G29" i="35"/>
  <c r="F29" i="35"/>
  <c r="E29" i="35"/>
  <c r="B22" i="34"/>
  <c r="C22" i="34"/>
  <c r="D22" i="34"/>
  <c r="K22" i="34"/>
  <c r="J22" i="34"/>
  <c r="I22" i="34"/>
  <c r="H22" i="34"/>
  <c r="G22" i="34"/>
  <c r="F22" i="34"/>
  <c r="E22" i="34"/>
  <c r="K28" i="35"/>
  <c r="J28" i="35"/>
  <c r="I28" i="35"/>
  <c r="H28" i="35"/>
  <c r="G28" i="35"/>
  <c r="F28" i="35"/>
  <c r="E28" i="35"/>
  <c r="B21" i="34"/>
  <c r="C21" i="34"/>
  <c r="D21" i="34"/>
  <c r="K21" i="34"/>
  <c r="J21" i="34"/>
  <c r="I21" i="34"/>
  <c r="H21" i="34"/>
  <c r="G21" i="34"/>
  <c r="F21" i="34"/>
  <c r="E21" i="34"/>
  <c r="K27" i="35"/>
  <c r="J27" i="35"/>
  <c r="I27" i="35"/>
  <c r="H27" i="35"/>
  <c r="G27" i="35"/>
  <c r="F27" i="35"/>
  <c r="E27" i="35"/>
  <c r="B20" i="34"/>
  <c r="C20" i="34"/>
  <c r="D20" i="34"/>
  <c r="K20" i="34"/>
  <c r="J20" i="34"/>
  <c r="I20" i="34"/>
  <c r="H20" i="34"/>
  <c r="G20" i="34"/>
  <c r="F20" i="34"/>
  <c r="E20" i="34"/>
  <c r="K20" i="35"/>
  <c r="J20" i="35"/>
  <c r="I20" i="35"/>
  <c r="H20" i="35"/>
  <c r="G20" i="35"/>
  <c r="F20" i="35"/>
  <c r="E20" i="35"/>
  <c r="B19" i="34"/>
  <c r="C19" i="34"/>
  <c r="D19" i="34"/>
  <c r="K19" i="34"/>
  <c r="J19" i="34"/>
  <c r="I19" i="34"/>
  <c r="H19" i="34"/>
  <c r="G19" i="34"/>
  <c r="F19" i="34"/>
  <c r="E19" i="34"/>
  <c r="K19" i="35"/>
  <c r="J19" i="35"/>
  <c r="I19" i="35"/>
  <c r="H19" i="35"/>
  <c r="G19" i="35"/>
  <c r="F19" i="35"/>
  <c r="E19" i="35"/>
  <c r="B18" i="34"/>
  <c r="C18" i="34"/>
  <c r="D18" i="34"/>
  <c r="K18" i="34"/>
  <c r="J18" i="34"/>
  <c r="I18" i="34"/>
  <c r="H18" i="34"/>
  <c r="G18" i="34"/>
  <c r="F18" i="34"/>
  <c r="E18" i="34"/>
  <c r="K18" i="35"/>
  <c r="J18" i="35"/>
  <c r="I18" i="35"/>
  <c r="H18" i="35"/>
  <c r="G18" i="35"/>
  <c r="F18" i="35"/>
  <c r="E18" i="35"/>
  <c r="B17" i="34"/>
  <c r="C17" i="34"/>
  <c r="D17" i="34"/>
  <c r="K17" i="34"/>
  <c r="J17" i="34"/>
  <c r="I17" i="34"/>
  <c r="H17" i="34"/>
  <c r="G17" i="34"/>
  <c r="F17" i="34"/>
  <c r="E17" i="34"/>
  <c r="K17" i="35"/>
  <c r="J17" i="35"/>
  <c r="I17" i="35"/>
  <c r="H17" i="35"/>
  <c r="G17" i="35"/>
  <c r="F17" i="35"/>
  <c r="E17" i="35"/>
  <c r="B16" i="34"/>
  <c r="C16" i="34"/>
  <c r="D16" i="34"/>
  <c r="K16" i="34"/>
  <c r="J16" i="34"/>
  <c r="I16" i="34"/>
  <c r="H16" i="34"/>
  <c r="G16" i="34"/>
  <c r="F16" i="34"/>
  <c r="E16" i="34"/>
  <c r="K16" i="35"/>
  <c r="J16" i="35"/>
  <c r="I16" i="35"/>
  <c r="H16" i="35"/>
  <c r="G16" i="35"/>
  <c r="F16" i="35"/>
  <c r="E16" i="35"/>
  <c r="B15" i="34"/>
  <c r="C15" i="34"/>
  <c r="D15" i="34"/>
  <c r="K15" i="34"/>
  <c r="J15" i="34"/>
  <c r="I15" i="34"/>
  <c r="H15" i="34"/>
  <c r="G15" i="34"/>
  <c r="F15" i="34"/>
  <c r="E15" i="34"/>
  <c r="K15" i="35"/>
  <c r="J15" i="35"/>
  <c r="I15" i="35"/>
  <c r="H15" i="35"/>
  <c r="G15" i="35"/>
  <c r="F15" i="35"/>
  <c r="E15" i="35"/>
  <c r="B14" i="34"/>
  <c r="C14" i="34"/>
  <c r="D14" i="34"/>
  <c r="K14" i="34"/>
  <c r="J14" i="34"/>
  <c r="I14" i="34"/>
  <c r="H14" i="34"/>
  <c r="G14" i="34"/>
  <c r="F14" i="34"/>
  <c r="E14" i="34"/>
  <c r="K14" i="35"/>
  <c r="J14" i="35"/>
  <c r="I14" i="35"/>
  <c r="H14" i="35"/>
  <c r="G14" i="35"/>
  <c r="F14" i="35"/>
  <c r="E14" i="35"/>
  <c r="B12" i="34"/>
  <c r="C12" i="34"/>
  <c r="D12" i="34"/>
  <c r="K12" i="34"/>
  <c r="J12" i="34"/>
  <c r="I12" i="34"/>
  <c r="H12" i="34"/>
  <c r="G12" i="34"/>
  <c r="F12" i="34"/>
  <c r="E12" i="34"/>
  <c r="K12" i="35"/>
  <c r="J12" i="35"/>
  <c r="I12" i="35"/>
  <c r="H12" i="35"/>
  <c r="G12" i="35"/>
  <c r="F12" i="35"/>
  <c r="E12" i="35"/>
  <c r="B11" i="34"/>
  <c r="C11" i="34"/>
  <c r="D11" i="34"/>
  <c r="K11" i="34"/>
  <c r="J11" i="34"/>
  <c r="I11" i="34"/>
  <c r="H11" i="34"/>
  <c r="G11" i="34"/>
  <c r="F11" i="34"/>
  <c r="E11" i="34"/>
  <c r="K11" i="35"/>
  <c r="J11" i="35"/>
  <c r="I11" i="35"/>
  <c r="H11" i="35"/>
  <c r="G11" i="35"/>
  <c r="F11" i="35"/>
  <c r="E11" i="35"/>
  <c r="B10" i="34"/>
  <c r="C10" i="34"/>
  <c r="D10" i="34"/>
  <c r="K10" i="34"/>
  <c r="J10" i="34"/>
  <c r="I10" i="34"/>
  <c r="H10" i="34"/>
  <c r="G10" i="34"/>
  <c r="F10" i="34"/>
  <c r="E10" i="34"/>
  <c r="K10" i="35"/>
  <c r="J10" i="35"/>
  <c r="I10" i="35"/>
  <c r="H10" i="35"/>
  <c r="G10" i="35"/>
  <c r="F10" i="35"/>
  <c r="E10" i="35"/>
  <c r="K53" i="35"/>
  <c r="K45" i="34"/>
  <c r="K45" i="33"/>
  <c r="YR18" i="28"/>
  <c r="YR36" i="28" s="1"/>
  <c r="YN18" i="28"/>
  <c r="YN36" i="28" s="1"/>
  <c r="YJ18" i="28"/>
  <c r="YJ36" i="28" s="1"/>
  <c r="YF18" i="28"/>
  <c r="YF36" i="28" s="1"/>
  <c r="YB18" i="28"/>
  <c r="YB36" i="28" s="1"/>
  <c r="XX18" i="28"/>
  <c r="XX36" i="28" s="1"/>
  <c r="XT18" i="28"/>
  <c r="IK35" i="25"/>
  <c r="B9" i="34"/>
  <c r="C9" i="34"/>
  <c r="D9" i="34"/>
  <c r="K9" i="34"/>
  <c r="J9" i="34"/>
  <c r="I9" i="34"/>
  <c r="H9" i="34"/>
  <c r="G9" i="34"/>
  <c r="F9" i="34"/>
  <c r="E9" i="34"/>
  <c r="K9" i="35"/>
  <c r="J9" i="35"/>
  <c r="I9" i="35"/>
  <c r="H9" i="35"/>
  <c r="G9" i="35"/>
  <c r="F9" i="35"/>
  <c r="E9" i="35"/>
  <c r="B8" i="34"/>
  <c r="C8" i="34"/>
  <c r="D8" i="34"/>
  <c r="K8" i="34"/>
  <c r="J8" i="34"/>
  <c r="I8" i="34"/>
  <c r="H8" i="34"/>
  <c r="G8" i="34"/>
  <c r="F8" i="34"/>
  <c r="E8" i="34"/>
  <c r="K8" i="35"/>
  <c r="J8" i="35"/>
  <c r="I8" i="35"/>
  <c r="H8" i="35"/>
  <c r="G8" i="35"/>
  <c r="F8" i="35"/>
  <c r="E8" i="35"/>
  <c r="B7" i="34"/>
  <c r="C7" i="34"/>
  <c r="D7" i="34"/>
  <c r="K7" i="34"/>
  <c r="J7" i="34"/>
  <c r="I7" i="34"/>
  <c r="H7" i="34"/>
  <c r="G7" i="34"/>
  <c r="F7" i="34"/>
  <c r="E7" i="34"/>
  <c r="K7" i="35"/>
  <c r="J7" i="35"/>
  <c r="I7" i="35"/>
  <c r="H7" i="35"/>
  <c r="G7" i="35"/>
  <c r="F7" i="35"/>
  <c r="E7" i="35"/>
  <c r="B6" i="34"/>
  <c r="C6" i="34"/>
  <c r="D6" i="34"/>
  <c r="K6" i="34"/>
  <c r="J6" i="34"/>
  <c r="I6" i="34"/>
  <c r="H6" i="34"/>
  <c r="G6" i="34"/>
  <c r="F6" i="34"/>
  <c r="E6" i="34"/>
  <c r="K6" i="35"/>
  <c r="J6" i="35"/>
  <c r="I6" i="35"/>
  <c r="H6" i="35"/>
  <c r="G6" i="35"/>
  <c r="F6" i="35"/>
  <c r="E6" i="35"/>
  <c r="B5" i="34"/>
  <c r="C5" i="34"/>
  <c r="D5" i="34"/>
  <c r="K5" i="34"/>
  <c r="J5" i="34"/>
  <c r="I5" i="34"/>
  <c r="H5" i="34"/>
  <c r="G5" i="34"/>
  <c r="F5" i="34"/>
  <c r="E5" i="34"/>
  <c r="K5" i="35"/>
  <c r="J5" i="35"/>
  <c r="I5" i="35"/>
  <c r="H5" i="35"/>
  <c r="G5" i="35"/>
  <c r="F5" i="35"/>
  <c r="E5" i="35"/>
  <c r="B4" i="34"/>
  <c r="C4" i="34"/>
  <c r="D4" i="34"/>
  <c r="K4" i="34"/>
  <c r="J4" i="34"/>
  <c r="I4" i="34"/>
  <c r="H4" i="34"/>
  <c r="G4" i="34"/>
  <c r="F4" i="34"/>
  <c r="E4" i="34"/>
  <c r="K4" i="35"/>
  <c r="J4" i="35"/>
  <c r="I4" i="35"/>
  <c r="H4" i="35"/>
  <c r="G4" i="35"/>
  <c r="F4" i="35"/>
  <c r="E4" i="35"/>
  <c r="B3" i="34"/>
  <c r="C3" i="34"/>
  <c r="D3" i="34"/>
  <c r="K3" i="34"/>
  <c r="J3" i="34"/>
  <c r="I3" i="34"/>
  <c r="H3" i="34"/>
  <c r="G3" i="34"/>
  <c r="F3" i="34"/>
  <c r="E3" i="34"/>
  <c r="K3" i="35"/>
  <c r="J3" i="35"/>
  <c r="I3" i="35"/>
  <c r="H3" i="35"/>
  <c r="G3" i="35"/>
  <c r="F3" i="35"/>
  <c r="E3" i="35"/>
  <c r="B2" i="34"/>
  <c r="C2" i="34"/>
  <c r="D2" i="34"/>
  <c r="E2" i="34"/>
  <c r="K63" i="34"/>
  <c r="K2" i="34"/>
  <c r="J2" i="34"/>
  <c r="I2" i="34"/>
  <c r="H2" i="34"/>
  <c r="G2" i="34"/>
  <c r="F2" i="34"/>
  <c r="K71" i="35"/>
  <c r="K2" i="35"/>
  <c r="J2" i="35"/>
  <c r="I2" i="35"/>
  <c r="H2" i="35"/>
  <c r="G2" i="35"/>
  <c r="F2" i="35"/>
  <c r="E2" i="35"/>
  <c r="HX35" i="25"/>
  <c r="HY35" i="25" s="1"/>
  <c r="HY6" i="25"/>
  <c r="CC28" i="34"/>
  <c r="CB28" i="34"/>
  <c r="CA28" i="34"/>
  <c r="BZ28" i="34"/>
  <c r="BY28" i="34"/>
  <c r="BX28" i="34"/>
  <c r="BW28" i="34"/>
  <c r="CE34" i="35"/>
  <c r="CD34" i="35"/>
  <c r="CC34" i="35"/>
  <c r="CB34" i="35"/>
  <c r="CA34" i="35"/>
  <c r="BZ34" i="35"/>
  <c r="BY34" i="35"/>
  <c r="CC26" i="34"/>
  <c r="CB26" i="34"/>
  <c r="CA26" i="34"/>
  <c r="BZ26" i="34"/>
  <c r="BY26" i="34"/>
  <c r="BX26" i="34"/>
  <c r="BW26" i="34"/>
  <c r="CE32" i="35"/>
  <c r="CD32" i="35"/>
  <c r="CC32" i="35"/>
  <c r="CB32" i="35"/>
  <c r="CA32" i="35"/>
  <c r="BZ32" i="35"/>
  <c r="BY32" i="35"/>
  <c r="CC22" i="34"/>
  <c r="CB22" i="34"/>
  <c r="CA22" i="34"/>
  <c r="BZ22" i="34"/>
  <c r="BY22" i="34"/>
  <c r="BX22" i="34"/>
  <c r="BW22" i="34"/>
  <c r="CE28" i="35"/>
  <c r="CD28" i="35"/>
  <c r="CC28" i="35"/>
  <c r="CB28" i="35"/>
  <c r="CA28" i="35"/>
  <c r="BZ28" i="35"/>
  <c r="BY28" i="35"/>
  <c r="CC17" i="34"/>
  <c r="CB17" i="34"/>
  <c r="CA17" i="34"/>
  <c r="BZ17" i="34"/>
  <c r="BY17" i="34"/>
  <c r="BX17" i="34"/>
  <c r="BW17" i="34"/>
  <c r="CE17" i="35"/>
  <c r="CD17" i="35"/>
  <c r="CC17" i="35"/>
  <c r="CB17" i="35"/>
  <c r="CA17" i="35"/>
  <c r="BZ17" i="35"/>
  <c r="BY17" i="35"/>
  <c r="CC16" i="34"/>
  <c r="CB16" i="34"/>
  <c r="CA16" i="34"/>
  <c r="BZ16" i="34"/>
  <c r="BY16" i="34"/>
  <c r="BX16" i="34"/>
  <c r="BW16" i="34"/>
  <c r="CE16" i="35"/>
  <c r="CD16" i="35"/>
  <c r="CC16" i="35"/>
  <c r="CB16" i="35"/>
  <c r="CA16" i="35"/>
  <c r="BZ16" i="35"/>
  <c r="BY16" i="35"/>
  <c r="BV28" i="34"/>
  <c r="BU28" i="34"/>
  <c r="BT28" i="34"/>
  <c r="BS28" i="34"/>
  <c r="BR28" i="34"/>
  <c r="BQ28" i="34"/>
  <c r="BP28" i="34"/>
  <c r="BX34" i="35"/>
  <c r="BW34" i="35"/>
  <c r="BV34" i="35"/>
  <c r="BU34" i="35"/>
  <c r="BT34" i="35"/>
  <c r="BS34" i="35"/>
  <c r="BR34" i="35"/>
  <c r="BV26" i="34"/>
  <c r="BU26" i="34"/>
  <c r="BT26" i="34"/>
  <c r="BS26" i="34"/>
  <c r="BR26" i="34"/>
  <c r="BQ26" i="34"/>
  <c r="BP26" i="34"/>
  <c r="BX32" i="35"/>
  <c r="BW32" i="35"/>
  <c r="BV32" i="35"/>
  <c r="BU32" i="35"/>
  <c r="BT32" i="35"/>
  <c r="BS32" i="35"/>
  <c r="BR32" i="35"/>
  <c r="BV24" i="34"/>
  <c r="BU24" i="34"/>
  <c r="BT24" i="34"/>
  <c r="BS24" i="34"/>
  <c r="BR24" i="34"/>
  <c r="BQ24" i="34"/>
  <c r="BP24" i="34"/>
  <c r="BX30" i="35"/>
  <c r="BW30" i="35"/>
  <c r="BV30" i="35"/>
  <c r="BU30" i="35"/>
  <c r="BT30" i="35"/>
  <c r="BS30" i="35"/>
  <c r="BR30" i="35"/>
  <c r="BV22" i="34"/>
  <c r="BU22" i="34"/>
  <c r="BT22" i="34"/>
  <c r="BS22" i="34"/>
  <c r="BR22" i="34"/>
  <c r="BQ22" i="34"/>
  <c r="BP22" i="34"/>
  <c r="BX28" i="35"/>
  <c r="BW28" i="35"/>
  <c r="BV28" i="35"/>
  <c r="BU28" i="35"/>
  <c r="BT28" i="35"/>
  <c r="BS28" i="35"/>
  <c r="BR28" i="35"/>
  <c r="BV17" i="34"/>
  <c r="BU17" i="34"/>
  <c r="BT17" i="34"/>
  <c r="BS17" i="34"/>
  <c r="BR17" i="34"/>
  <c r="BQ17" i="34"/>
  <c r="BP17" i="34"/>
  <c r="BX17" i="35"/>
  <c r="BW17" i="35"/>
  <c r="BV17" i="35"/>
  <c r="BU17" i="35"/>
  <c r="BT17" i="35"/>
  <c r="BS17" i="35"/>
  <c r="BR17" i="35"/>
  <c r="BV16" i="34"/>
  <c r="BU16" i="34"/>
  <c r="BT16" i="34"/>
  <c r="BS16" i="34"/>
  <c r="BR16" i="34"/>
  <c r="BQ16" i="34"/>
  <c r="BP16" i="34"/>
  <c r="BX16" i="35"/>
  <c r="BW16" i="35"/>
  <c r="BV16" i="35"/>
  <c r="BU16" i="35"/>
  <c r="BT16" i="35"/>
  <c r="BS16" i="35"/>
  <c r="BR16" i="35"/>
  <c r="BO28" i="34"/>
  <c r="BN28" i="34"/>
  <c r="BM28" i="34"/>
  <c r="BL28" i="34"/>
  <c r="BK28" i="34"/>
  <c r="BJ28" i="34"/>
  <c r="BI28" i="34"/>
  <c r="BQ34" i="35"/>
  <c r="BP34" i="35"/>
  <c r="BO34" i="35"/>
  <c r="BN34" i="35"/>
  <c r="BM34" i="35"/>
  <c r="BL34" i="35"/>
  <c r="BK34" i="35"/>
  <c r="BO26" i="34"/>
  <c r="BN26" i="34"/>
  <c r="BM26" i="34"/>
  <c r="BL26" i="34"/>
  <c r="BK26" i="34"/>
  <c r="BJ26" i="34"/>
  <c r="BI26" i="34"/>
  <c r="BQ32" i="35"/>
  <c r="BP32" i="35"/>
  <c r="BO32" i="35"/>
  <c r="BN32" i="35"/>
  <c r="BM32" i="35"/>
  <c r="BL32" i="35"/>
  <c r="BK32" i="35"/>
  <c r="BO22" i="34"/>
  <c r="BN22" i="34"/>
  <c r="BM22" i="34"/>
  <c r="BL22" i="34"/>
  <c r="BK22" i="34"/>
  <c r="BJ22" i="34"/>
  <c r="BI22" i="34"/>
  <c r="BQ28" i="35"/>
  <c r="BP28" i="35"/>
  <c r="BO28" i="35"/>
  <c r="BN28" i="35"/>
  <c r="BM28" i="35"/>
  <c r="BL28" i="35"/>
  <c r="BK28" i="35"/>
  <c r="BO17" i="34"/>
  <c r="BN17" i="34"/>
  <c r="BM17" i="34"/>
  <c r="BL17" i="34"/>
  <c r="BK17" i="34"/>
  <c r="BJ17" i="34"/>
  <c r="BI17" i="34"/>
  <c r="BQ17" i="35"/>
  <c r="BP17" i="35"/>
  <c r="BO17" i="35"/>
  <c r="BN17" i="35"/>
  <c r="BM17" i="35"/>
  <c r="BL17" i="35"/>
  <c r="BK17" i="35"/>
  <c r="BO16" i="34"/>
  <c r="BN16" i="34"/>
  <c r="BM16" i="34"/>
  <c r="BL16" i="34"/>
  <c r="BK16" i="34"/>
  <c r="BJ16" i="34"/>
  <c r="BI16" i="34"/>
  <c r="BQ16" i="35"/>
  <c r="BP16" i="35"/>
  <c r="BO16" i="35"/>
  <c r="BN16" i="35"/>
  <c r="BM16" i="35"/>
  <c r="BL16" i="35"/>
  <c r="BK16" i="35"/>
  <c r="BH28" i="34"/>
  <c r="BG28" i="34"/>
  <c r="BF28" i="34"/>
  <c r="BE28" i="34"/>
  <c r="BD28" i="34"/>
  <c r="BC28" i="34"/>
  <c r="BB28" i="34"/>
  <c r="BJ34" i="35"/>
  <c r="BI34" i="35"/>
  <c r="BH34" i="35"/>
  <c r="BG34" i="35"/>
  <c r="BF34" i="35"/>
  <c r="BE34" i="35"/>
  <c r="BD34" i="35"/>
  <c r="BH26" i="34"/>
  <c r="BG26" i="34"/>
  <c r="BF26" i="34"/>
  <c r="BE26" i="34"/>
  <c r="BD26" i="34"/>
  <c r="BC26" i="34"/>
  <c r="BB26" i="34"/>
  <c r="BJ32" i="35"/>
  <c r="BI32" i="35"/>
  <c r="BH32" i="35"/>
  <c r="BG32" i="35"/>
  <c r="BF32" i="35"/>
  <c r="BE32" i="35"/>
  <c r="BD32" i="35"/>
  <c r="BH22" i="34"/>
  <c r="BG22" i="34"/>
  <c r="BF22" i="34"/>
  <c r="BE22" i="34"/>
  <c r="BD22" i="34"/>
  <c r="BC22" i="34"/>
  <c r="BB22" i="34"/>
  <c r="BJ28" i="35"/>
  <c r="BI28" i="35"/>
  <c r="BH28" i="35"/>
  <c r="BG28" i="35"/>
  <c r="BF28" i="35"/>
  <c r="BE28" i="35"/>
  <c r="BD28" i="35"/>
  <c r="BH17" i="34"/>
  <c r="BG17" i="34"/>
  <c r="BF17" i="34"/>
  <c r="BE17" i="34"/>
  <c r="BD17" i="34"/>
  <c r="BC17" i="34"/>
  <c r="BB17" i="34"/>
  <c r="BJ17" i="35"/>
  <c r="BI17" i="35"/>
  <c r="BH17" i="35"/>
  <c r="BG17" i="35"/>
  <c r="BF17" i="35"/>
  <c r="BE17" i="35"/>
  <c r="BD17" i="35"/>
  <c r="BH16" i="34"/>
  <c r="BG16" i="34"/>
  <c r="BF16" i="34"/>
  <c r="BE16" i="34"/>
  <c r="BD16" i="34"/>
  <c r="BC16" i="34"/>
  <c r="BB16" i="34"/>
  <c r="BJ16" i="35"/>
  <c r="BI16" i="35"/>
  <c r="BH16" i="35"/>
  <c r="BG16" i="35"/>
  <c r="BF16" i="35"/>
  <c r="BE16" i="35"/>
  <c r="BD16" i="35"/>
  <c r="BA22" i="34"/>
  <c r="AZ22" i="34"/>
  <c r="AY22" i="34"/>
  <c r="AX22" i="34"/>
  <c r="AW22" i="34"/>
  <c r="AV22" i="34"/>
  <c r="AU22" i="34"/>
  <c r="BC28" i="35"/>
  <c r="BB28" i="35"/>
  <c r="BA28" i="35"/>
  <c r="AZ28" i="35"/>
  <c r="AY28" i="35"/>
  <c r="AX28" i="35"/>
  <c r="AW28" i="35"/>
  <c r="BA17" i="34"/>
  <c r="AZ17" i="34"/>
  <c r="AY17" i="34"/>
  <c r="AX17" i="34"/>
  <c r="AW17" i="34"/>
  <c r="AV17" i="34"/>
  <c r="AU17" i="34"/>
  <c r="BC17" i="35"/>
  <c r="BB17" i="35"/>
  <c r="BA17" i="35"/>
  <c r="AZ17" i="35"/>
  <c r="AY17" i="35"/>
  <c r="AX17" i="35"/>
  <c r="AW17" i="35"/>
  <c r="BA28" i="34"/>
  <c r="AZ28" i="34"/>
  <c r="AY28" i="34"/>
  <c r="AX28" i="34"/>
  <c r="AW28" i="34"/>
  <c r="AV28" i="34"/>
  <c r="AU28" i="34"/>
  <c r="BC34" i="35"/>
  <c r="BB34" i="35"/>
  <c r="BA34" i="35"/>
  <c r="AZ34" i="35"/>
  <c r="AY34" i="35"/>
  <c r="AX34" i="35"/>
  <c r="AW34" i="35"/>
  <c r="BA26" i="34"/>
  <c r="AZ26" i="34"/>
  <c r="AY26" i="34"/>
  <c r="AX26" i="34"/>
  <c r="AW26" i="34"/>
  <c r="AV26" i="34"/>
  <c r="AU26" i="34"/>
  <c r="BC32" i="35"/>
  <c r="BB32" i="35"/>
  <c r="BA32" i="35"/>
  <c r="AZ32" i="35"/>
  <c r="AY32" i="35"/>
  <c r="AX32" i="35"/>
  <c r="AW32" i="35"/>
  <c r="BA16" i="34"/>
  <c r="AZ16" i="34"/>
  <c r="AY16" i="34"/>
  <c r="AX16" i="34"/>
  <c r="AW16" i="34"/>
  <c r="AV16" i="34"/>
  <c r="AU16" i="34"/>
  <c r="BC16" i="35"/>
  <c r="BB16" i="35"/>
  <c r="BA16" i="35"/>
  <c r="AZ16" i="35"/>
  <c r="AY16" i="35"/>
  <c r="AX16" i="35"/>
  <c r="AW16" i="35"/>
  <c r="CC27" i="34"/>
  <c r="CB27" i="34"/>
  <c r="CA27" i="34"/>
  <c r="BZ27" i="34"/>
  <c r="BY27" i="34"/>
  <c r="BX27" i="34"/>
  <c r="BW27" i="34"/>
  <c r="CE33" i="35"/>
  <c r="CD33" i="35"/>
  <c r="CC33" i="35"/>
  <c r="CB33" i="35"/>
  <c r="CA33" i="35"/>
  <c r="BZ33" i="35"/>
  <c r="BY33" i="35"/>
  <c r="BV27" i="34"/>
  <c r="BU27" i="34"/>
  <c r="BT27" i="34"/>
  <c r="BS27" i="34"/>
  <c r="BR27" i="34"/>
  <c r="BQ27" i="34"/>
  <c r="BP27" i="34"/>
  <c r="BX33" i="35"/>
  <c r="BW33" i="35"/>
  <c r="BV33" i="35"/>
  <c r="BU33" i="35"/>
  <c r="BT33" i="35"/>
  <c r="BS33" i="35"/>
  <c r="BR33" i="35"/>
  <c r="BO27" i="34"/>
  <c r="BN27" i="34"/>
  <c r="BM27" i="34"/>
  <c r="BL27" i="34"/>
  <c r="BK27" i="34"/>
  <c r="BJ27" i="34"/>
  <c r="BI27" i="34"/>
  <c r="BQ33" i="35"/>
  <c r="BP33" i="35"/>
  <c r="BO33" i="35"/>
  <c r="BN33" i="35"/>
  <c r="BM33" i="35"/>
  <c r="BL33" i="35"/>
  <c r="BK33" i="35"/>
  <c r="BH27" i="34"/>
  <c r="BG27" i="34"/>
  <c r="BF27" i="34"/>
  <c r="BE27" i="34"/>
  <c r="BD27" i="34"/>
  <c r="BC27" i="34"/>
  <c r="BB27" i="34"/>
  <c r="BJ33" i="35"/>
  <c r="BI33" i="35"/>
  <c r="BH33" i="35"/>
  <c r="BG33" i="35"/>
  <c r="BF33" i="35"/>
  <c r="BE33" i="35"/>
  <c r="BD33" i="35"/>
  <c r="BA27" i="34"/>
  <c r="AZ27" i="34"/>
  <c r="AY27" i="34"/>
  <c r="AX27" i="34"/>
  <c r="AW27" i="34"/>
  <c r="AV27" i="34"/>
  <c r="AU27" i="34"/>
  <c r="BC33" i="35"/>
  <c r="BB33" i="35"/>
  <c r="BA33" i="35"/>
  <c r="AZ33" i="35"/>
  <c r="AY33" i="35"/>
  <c r="AX33" i="35"/>
  <c r="AW33" i="35"/>
  <c r="CC25" i="34"/>
  <c r="CB25" i="34"/>
  <c r="CA25" i="34"/>
  <c r="BZ25" i="34"/>
  <c r="BY25" i="34"/>
  <c r="BX25" i="34"/>
  <c r="BW25" i="34"/>
  <c r="CE31" i="35"/>
  <c r="CD31" i="35"/>
  <c r="CC31" i="35"/>
  <c r="CB31" i="35"/>
  <c r="CA31" i="35"/>
  <c r="BZ31" i="35"/>
  <c r="BY31" i="35"/>
  <c r="BV25" i="34"/>
  <c r="BU25" i="34"/>
  <c r="BT25" i="34"/>
  <c r="BS25" i="34"/>
  <c r="BR25" i="34"/>
  <c r="BQ25" i="34"/>
  <c r="BP25" i="34"/>
  <c r="BX31" i="35"/>
  <c r="BW31" i="35"/>
  <c r="BV31" i="35"/>
  <c r="BU31" i="35"/>
  <c r="BT31" i="35"/>
  <c r="BS31" i="35"/>
  <c r="BR31" i="35"/>
  <c r="BO25" i="34"/>
  <c r="BN25" i="34"/>
  <c r="BM25" i="34"/>
  <c r="BL25" i="34"/>
  <c r="BK25" i="34"/>
  <c r="BJ25" i="34"/>
  <c r="BI25" i="34"/>
  <c r="BQ31" i="35"/>
  <c r="BP31" i="35"/>
  <c r="BO31" i="35"/>
  <c r="BN31" i="35"/>
  <c r="BM31" i="35"/>
  <c r="BL31" i="35"/>
  <c r="BK31" i="35"/>
  <c r="BH25" i="34"/>
  <c r="BG25" i="34"/>
  <c r="BF25" i="34"/>
  <c r="BE25" i="34"/>
  <c r="BD25" i="34"/>
  <c r="BC25" i="34"/>
  <c r="BB25" i="34"/>
  <c r="BJ31" i="35"/>
  <c r="BI31" i="35"/>
  <c r="BH31" i="35"/>
  <c r="BG31" i="35"/>
  <c r="BF31" i="35"/>
  <c r="BE31" i="35"/>
  <c r="BD31" i="35"/>
  <c r="BA25" i="34"/>
  <c r="AZ25" i="34"/>
  <c r="AY25" i="34"/>
  <c r="AX25" i="34"/>
  <c r="AW25" i="34"/>
  <c r="AV25" i="34"/>
  <c r="AU25" i="34"/>
  <c r="BC31" i="35"/>
  <c r="BB31" i="35"/>
  <c r="BA31" i="35"/>
  <c r="AZ31" i="35"/>
  <c r="AY31" i="35"/>
  <c r="AX31" i="35"/>
  <c r="AW31" i="35"/>
  <c r="CC20" i="34"/>
  <c r="CB20" i="34"/>
  <c r="CA20" i="34"/>
  <c r="BZ20" i="34"/>
  <c r="BY20" i="34"/>
  <c r="BX20" i="34"/>
  <c r="BW20" i="34"/>
  <c r="CE20" i="35"/>
  <c r="CD20" i="35"/>
  <c r="CC20" i="35"/>
  <c r="CB20" i="35"/>
  <c r="CA20" i="35"/>
  <c r="BZ20" i="35"/>
  <c r="BY20" i="35"/>
  <c r="BV20" i="34"/>
  <c r="BU20" i="34"/>
  <c r="BT20" i="34"/>
  <c r="BS20" i="34"/>
  <c r="BR20" i="34"/>
  <c r="BQ20" i="34"/>
  <c r="BP20" i="34"/>
  <c r="BX20" i="35"/>
  <c r="BW20" i="35"/>
  <c r="BV20" i="35"/>
  <c r="BU20" i="35"/>
  <c r="BT20" i="35"/>
  <c r="BS20" i="35"/>
  <c r="BR20" i="35"/>
  <c r="BO20" i="34"/>
  <c r="BN20" i="34"/>
  <c r="BM20" i="34"/>
  <c r="BL20" i="34"/>
  <c r="BK20" i="34"/>
  <c r="BJ20" i="34"/>
  <c r="BI20" i="34"/>
  <c r="BQ20" i="35"/>
  <c r="BP20" i="35"/>
  <c r="BO20" i="35"/>
  <c r="BN20" i="35"/>
  <c r="BM20" i="35"/>
  <c r="BL20" i="35"/>
  <c r="BK20" i="35"/>
  <c r="BH20" i="34"/>
  <c r="BG20" i="34"/>
  <c r="BF20" i="34"/>
  <c r="BE20" i="34"/>
  <c r="BD20" i="34"/>
  <c r="BC20" i="34"/>
  <c r="BB20" i="34"/>
  <c r="BJ20" i="35"/>
  <c r="BI20" i="35"/>
  <c r="BH20" i="35"/>
  <c r="BG20" i="35"/>
  <c r="BF20" i="35"/>
  <c r="BE20" i="35"/>
  <c r="BD20" i="35"/>
  <c r="BA20" i="34"/>
  <c r="AZ20" i="34"/>
  <c r="AY20" i="34"/>
  <c r="AX20" i="34"/>
  <c r="AW20" i="34"/>
  <c r="AV20" i="34"/>
  <c r="AU20" i="34"/>
  <c r="BC20" i="35"/>
  <c r="BB20" i="35"/>
  <c r="BA20" i="35"/>
  <c r="AZ20" i="35"/>
  <c r="AY20" i="35"/>
  <c r="AX20" i="35"/>
  <c r="AW20" i="35"/>
  <c r="CC19" i="34"/>
  <c r="CB19" i="34"/>
  <c r="CA19" i="34"/>
  <c r="BZ19" i="34"/>
  <c r="BY19" i="34"/>
  <c r="BX19" i="34"/>
  <c r="BW19" i="34"/>
  <c r="CE19" i="35"/>
  <c r="CD19" i="35"/>
  <c r="CC19" i="35"/>
  <c r="CB19" i="35"/>
  <c r="CA19" i="35"/>
  <c r="BZ19" i="35"/>
  <c r="BY19" i="35"/>
  <c r="BV19" i="34"/>
  <c r="BU19" i="34"/>
  <c r="BT19" i="34"/>
  <c r="BS19" i="34"/>
  <c r="BR19" i="34"/>
  <c r="BQ19" i="34"/>
  <c r="BP19" i="34"/>
  <c r="BX19" i="35"/>
  <c r="BW19" i="35"/>
  <c r="BV19" i="35"/>
  <c r="BU19" i="35"/>
  <c r="BT19" i="35"/>
  <c r="BS19" i="35"/>
  <c r="BR19" i="35"/>
  <c r="BO19" i="34"/>
  <c r="BN19" i="34"/>
  <c r="BM19" i="34"/>
  <c r="BL19" i="34"/>
  <c r="BK19" i="34"/>
  <c r="BJ19" i="34"/>
  <c r="BI19" i="34"/>
  <c r="BQ19" i="35"/>
  <c r="BP19" i="35"/>
  <c r="BO19" i="35"/>
  <c r="BN19" i="35"/>
  <c r="BM19" i="35"/>
  <c r="BL19" i="35"/>
  <c r="BK19" i="35"/>
  <c r="BH19" i="34"/>
  <c r="BG19" i="34"/>
  <c r="BF19" i="34"/>
  <c r="BE19" i="34"/>
  <c r="BD19" i="34"/>
  <c r="BC19" i="34"/>
  <c r="BB19" i="34"/>
  <c r="BJ19" i="35"/>
  <c r="BI19" i="35"/>
  <c r="BH19" i="35"/>
  <c r="BG19" i="35"/>
  <c r="BF19" i="35"/>
  <c r="BE19" i="35"/>
  <c r="BD19" i="35"/>
  <c r="BA19" i="34"/>
  <c r="AZ19" i="34"/>
  <c r="AY19" i="34"/>
  <c r="AX19" i="34"/>
  <c r="AW19" i="34"/>
  <c r="AV19" i="34"/>
  <c r="AU19" i="34"/>
  <c r="BC19" i="35"/>
  <c r="BB19" i="35"/>
  <c r="BA19" i="35"/>
  <c r="AZ19" i="35"/>
  <c r="AY19" i="35"/>
  <c r="AX19" i="35"/>
  <c r="AW19" i="35"/>
  <c r="CC18" i="34"/>
  <c r="CB18" i="34"/>
  <c r="CA18" i="34"/>
  <c r="BZ18" i="34"/>
  <c r="BY18" i="34"/>
  <c r="BX18" i="34"/>
  <c r="BW18" i="34"/>
  <c r="CE18" i="35"/>
  <c r="CD18" i="35"/>
  <c r="CC18" i="35"/>
  <c r="CB18" i="35"/>
  <c r="CA18" i="35"/>
  <c r="BZ18" i="35"/>
  <c r="BY18" i="35"/>
  <c r="BO18" i="34"/>
  <c r="BN18" i="34"/>
  <c r="BM18" i="34"/>
  <c r="BL18" i="34"/>
  <c r="BK18" i="34"/>
  <c r="BJ18" i="34"/>
  <c r="BI18" i="34"/>
  <c r="BQ18" i="35"/>
  <c r="BP18" i="35"/>
  <c r="BO18" i="35"/>
  <c r="BN18" i="35"/>
  <c r="BM18" i="35"/>
  <c r="BL18" i="35"/>
  <c r="BK18" i="35"/>
  <c r="BH18" i="34"/>
  <c r="BG18" i="34"/>
  <c r="BF18" i="34"/>
  <c r="BE18" i="34"/>
  <c r="BD18" i="34"/>
  <c r="BC18" i="34"/>
  <c r="BB18" i="34"/>
  <c r="BJ18" i="35"/>
  <c r="BI18" i="35"/>
  <c r="BH18" i="35"/>
  <c r="BG18" i="35"/>
  <c r="BF18" i="35"/>
  <c r="BE18" i="35"/>
  <c r="BD18" i="35"/>
  <c r="BA18" i="34"/>
  <c r="AZ18" i="34"/>
  <c r="AY18" i="34"/>
  <c r="AX18" i="34"/>
  <c r="AW18" i="34"/>
  <c r="AV18" i="34"/>
  <c r="AU18" i="34"/>
  <c r="BC18" i="35"/>
  <c r="BB18" i="35"/>
  <c r="BA18" i="35"/>
  <c r="AZ18" i="35"/>
  <c r="AY18" i="35"/>
  <c r="AX18" i="35"/>
  <c r="AW18" i="35"/>
  <c r="CC15" i="34"/>
  <c r="CB15" i="34"/>
  <c r="CA15" i="34"/>
  <c r="BZ15" i="34"/>
  <c r="BY15" i="34"/>
  <c r="BX15" i="34"/>
  <c r="BW15" i="34"/>
  <c r="CE15" i="35"/>
  <c r="CD15" i="35"/>
  <c r="CC15" i="35"/>
  <c r="CB15" i="35"/>
  <c r="CA15" i="35"/>
  <c r="BZ15" i="35"/>
  <c r="BY15" i="35"/>
  <c r="BV15" i="34"/>
  <c r="BU15" i="34"/>
  <c r="BT15" i="34"/>
  <c r="BS15" i="34"/>
  <c r="BR15" i="34"/>
  <c r="BQ15" i="34"/>
  <c r="BP15" i="34"/>
  <c r="BX15" i="35"/>
  <c r="BW15" i="35"/>
  <c r="BV15" i="35"/>
  <c r="BU15" i="35"/>
  <c r="BT15" i="35"/>
  <c r="BS15" i="35"/>
  <c r="BR15" i="35"/>
  <c r="BO15" i="34"/>
  <c r="BN15" i="34"/>
  <c r="BM15" i="34"/>
  <c r="BL15" i="34"/>
  <c r="BK15" i="34"/>
  <c r="BJ15" i="34"/>
  <c r="BI15" i="34"/>
  <c r="BQ15" i="35"/>
  <c r="BP15" i="35"/>
  <c r="BO15" i="35"/>
  <c r="BN15" i="35"/>
  <c r="BM15" i="35"/>
  <c r="BL15" i="35"/>
  <c r="BK15" i="35"/>
  <c r="BH15" i="34"/>
  <c r="BG15" i="34"/>
  <c r="BF15" i="34"/>
  <c r="BE15" i="34"/>
  <c r="BD15" i="34"/>
  <c r="BC15" i="34"/>
  <c r="BB15" i="34"/>
  <c r="BJ15" i="35"/>
  <c r="BI15" i="35"/>
  <c r="BH15" i="35"/>
  <c r="BG15" i="35"/>
  <c r="BF15" i="35"/>
  <c r="BE15" i="35"/>
  <c r="BD15" i="35"/>
  <c r="BA15" i="34"/>
  <c r="AZ15" i="34"/>
  <c r="AY15" i="34"/>
  <c r="AX15" i="34"/>
  <c r="AW15" i="34"/>
  <c r="AV15" i="34"/>
  <c r="AU15" i="34"/>
  <c r="BC15" i="35"/>
  <c r="BB15" i="35"/>
  <c r="BA15" i="35"/>
  <c r="AZ15" i="35"/>
  <c r="AY15" i="35"/>
  <c r="AX15" i="35"/>
  <c r="AW15" i="35"/>
  <c r="CC14" i="34"/>
  <c r="CB14" i="34"/>
  <c r="CA14" i="34"/>
  <c r="BZ14" i="34"/>
  <c r="BY14" i="34"/>
  <c r="BX14" i="34"/>
  <c r="BW14" i="34"/>
  <c r="CE14" i="35"/>
  <c r="CD14" i="35"/>
  <c r="CC14" i="35"/>
  <c r="CB14" i="35"/>
  <c r="CA14" i="35"/>
  <c r="BZ14" i="35"/>
  <c r="BY14" i="35"/>
  <c r="BV14" i="34"/>
  <c r="BU14" i="34"/>
  <c r="BT14" i="34"/>
  <c r="BS14" i="34"/>
  <c r="BR14" i="34"/>
  <c r="BQ14" i="34"/>
  <c r="BP14" i="34"/>
  <c r="BX14" i="35"/>
  <c r="BW14" i="35"/>
  <c r="BV14" i="35"/>
  <c r="BU14" i="35"/>
  <c r="BT14" i="35"/>
  <c r="BS14" i="35"/>
  <c r="BR14" i="35"/>
  <c r="BO14" i="34"/>
  <c r="BN14" i="34"/>
  <c r="BM14" i="34"/>
  <c r="BL14" i="34"/>
  <c r="BK14" i="34"/>
  <c r="BJ14" i="34"/>
  <c r="BI14" i="34"/>
  <c r="BQ14" i="35"/>
  <c r="BP14" i="35"/>
  <c r="BO14" i="35"/>
  <c r="BN14" i="35"/>
  <c r="BM14" i="35"/>
  <c r="BL14" i="35"/>
  <c r="BK14" i="35"/>
  <c r="BH14" i="34"/>
  <c r="BG14" i="34"/>
  <c r="BF14" i="34"/>
  <c r="BE14" i="34"/>
  <c r="BD14" i="34"/>
  <c r="BC14" i="34"/>
  <c r="BB14" i="34"/>
  <c r="BJ14" i="35"/>
  <c r="BI14" i="35"/>
  <c r="BH14" i="35"/>
  <c r="BG14" i="35"/>
  <c r="BF14" i="35"/>
  <c r="BE14" i="35"/>
  <c r="BD14" i="35"/>
  <c r="BA14" i="34"/>
  <c r="AZ14" i="34"/>
  <c r="AY14" i="34"/>
  <c r="AX14" i="34"/>
  <c r="AW14" i="34"/>
  <c r="AV14" i="34"/>
  <c r="AU14" i="34"/>
  <c r="BC14" i="35"/>
  <c r="BB14" i="35"/>
  <c r="BA14" i="35"/>
  <c r="AZ14" i="35"/>
  <c r="AY14" i="35"/>
  <c r="AX14" i="35"/>
  <c r="AW14" i="35"/>
  <c r="CC11" i="34"/>
  <c r="CB11" i="34"/>
  <c r="CA11" i="34"/>
  <c r="BZ11" i="34"/>
  <c r="BY11" i="34"/>
  <c r="BX11" i="34"/>
  <c r="BW11" i="34"/>
  <c r="CE11" i="35"/>
  <c r="CD11" i="35"/>
  <c r="CC11" i="35"/>
  <c r="CB11" i="35"/>
  <c r="CA11" i="35"/>
  <c r="BZ11" i="35"/>
  <c r="BY11" i="35"/>
  <c r="BV11" i="34"/>
  <c r="BU11" i="34"/>
  <c r="BT11" i="34"/>
  <c r="BS11" i="34"/>
  <c r="BR11" i="34"/>
  <c r="BQ11" i="34"/>
  <c r="BP11" i="34"/>
  <c r="BX11" i="35"/>
  <c r="BW11" i="35"/>
  <c r="BV11" i="35"/>
  <c r="BU11" i="35"/>
  <c r="BT11" i="35"/>
  <c r="BS11" i="35"/>
  <c r="BR11" i="35"/>
  <c r="BO11" i="34"/>
  <c r="BN11" i="34"/>
  <c r="BM11" i="34"/>
  <c r="BL11" i="34"/>
  <c r="BK11" i="34"/>
  <c r="BJ11" i="34"/>
  <c r="BI11" i="34"/>
  <c r="BQ11" i="35"/>
  <c r="BP11" i="35"/>
  <c r="BO11" i="35"/>
  <c r="BN11" i="35"/>
  <c r="BM11" i="35"/>
  <c r="BL11" i="35"/>
  <c r="BK11" i="35"/>
  <c r="BH11" i="34"/>
  <c r="BG11" i="34"/>
  <c r="BF11" i="34"/>
  <c r="BE11" i="34"/>
  <c r="BD11" i="34"/>
  <c r="BC11" i="34"/>
  <c r="BB11" i="34"/>
  <c r="BJ11" i="35"/>
  <c r="BI11" i="35"/>
  <c r="BH11" i="35"/>
  <c r="BG11" i="35"/>
  <c r="BF11" i="35"/>
  <c r="BE11" i="35"/>
  <c r="BD11" i="35"/>
  <c r="BA11" i="34"/>
  <c r="AZ11" i="34"/>
  <c r="AY11" i="34"/>
  <c r="AX11" i="34"/>
  <c r="AW11" i="34"/>
  <c r="AV11" i="34"/>
  <c r="AU11" i="34"/>
  <c r="BC11" i="35"/>
  <c r="BB11" i="35"/>
  <c r="BA11" i="35"/>
  <c r="AZ11" i="35"/>
  <c r="AY11" i="35"/>
  <c r="AX11" i="35"/>
  <c r="AW11" i="35"/>
  <c r="CC10" i="34"/>
  <c r="CB10" i="34"/>
  <c r="CA10" i="34"/>
  <c r="BZ10" i="34"/>
  <c r="BY10" i="34"/>
  <c r="BX10" i="34"/>
  <c r="BW10" i="34"/>
  <c r="CE10" i="35"/>
  <c r="CD10" i="35"/>
  <c r="CC10" i="35"/>
  <c r="CB10" i="35"/>
  <c r="CA10" i="35"/>
  <c r="BZ10" i="35"/>
  <c r="BY10" i="35"/>
  <c r="CC8" i="34"/>
  <c r="CB8" i="34"/>
  <c r="CA8" i="34"/>
  <c r="BZ8" i="34"/>
  <c r="BY8" i="34"/>
  <c r="BX8" i="34"/>
  <c r="BW8" i="34"/>
  <c r="CE8" i="35"/>
  <c r="CD8" i="35"/>
  <c r="CC8" i="35"/>
  <c r="CB8" i="35"/>
  <c r="CA8" i="35"/>
  <c r="BZ8" i="35"/>
  <c r="BY8" i="35"/>
  <c r="CC6" i="34"/>
  <c r="CB6" i="34"/>
  <c r="CA6" i="34"/>
  <c r="BZ6" i="34"/>
  <c r="BY6" i="34"/>
  <c r="BX6" i="34"/>
  <c r="BW6" i="34"/>
  <c r="CE6" i="35"/>
  <c r="CD6" i="35"/>
  <c r="CC6" i="35"/>
  <c r="CB6" i="35"/>
  <c r="CA6" i="35"/>
  <c r="BZ6" i="35"/>
  <c r="BY6" i="35"/>
  <c r="BV6" i="34"/>
  <c r="BU6" i="34"/>
  <c r="BT6" i="34"/>
  <c r="BS6" i="34"/>
  <c r="BR6" i="34"/>
  <c r="BQ6" i="34"/>
  <c r="BP6" i="34"/>
  <c r="BX6" i="35"/>
  <c r="BW6" i="35"/>
  <c r="BV6" i="35"/>
  <c r="BU6" i="35"/>
  <c r="BT6" i="35"/>
  <c r="BS6" i="35"/>
  <c r="BR6" i="35"/>
  <c r="BO6" i="34"/>
  <c r="BN6" i="34"/>
  <c r="BM6" i="34"/>
  <c r="BL6" i="34"/>
  <c r="BK6" i="34"/>
  <c r="BJ6" i="34"/>
  <c r="BI6" i="34"/>
  <c r="BQ6" i="35"/>
  <c r="BP6" i="35"/>
  <c r="BO6" i="35"/>
  <c r="BN6" i="35"/>
  <c r="BM6" i="35"/>
  <c r="BL6" i="35"/>
  <c r="BK6" i="35"/>
  <c r="BH6" i="34"/>
  <c r="BG6" i="34"/>
  <c r="BF6" i="34"/>
  <c r="BE6" i="34"/>
  <c r="BD6" i="34"/>
  <c r="BC6" i="34"/>
  <c r="BB6" i="34"/>
  <c r="BJ6" i="35"/>
  <c r="BI6" i="35"/>
  <c r="BH6" i="35"/>
  <c r="BG6" i="35"/>
  <c r="BF6" i="35"/>
  <c r="BE6" i="35"/>
  <c r="BD6" i="35"/>
  <c r="BA6" i="34"/>
  <c r="AZ6" i="34"/>
  <c r="AY6" i="34"/>
  <c r="AX6" i="34"/>
  <c r="AW6" i="34"/>
  <c r="AV6" i="34"/>
  <c r="AU6" i="34"/>
  <c r="BC6" i="35"/>
  <c r="BB6" i="35"/>
  <c r="BA6" i="35"/>
  <c r="AZ6" i="35"/>
  <c r="AY6" i="35"/>
  <c r="AX6" i="35"/>
  <c r="AW6" i="35"/>
  <c r="CC5" i="34"/>
  <c r="CB5" i="34"/>
  <c r="CA5" i="34"/>
  <c r="BZ5" i="34"/>
  <c r="BY5" i="34"/>
  <c r="BX5" i="34"/>
  <c r="BW5" i="34"/>
  <c r="CE5" i="35"/>
  <c r="CD5" i="35"/>
  <c r="CC5" i="35"/>
  <c r="CB5" i="35"/>
  <c r="CA5" i="35"/>
  <c r="BZ5" i="35"/>
  <c r="BY5" i="35"/>
  <c r="CC4" i="34"/>
  <c r="CB4" i="34"/>
  <c r="CA4" i="34"/>
  <c r="BZ4" i="34"/>
  <c r="BY4" i="34"/>
  <c r="BX4" i="34"/>
  <c r="BW4" i="34"/>
  <c r="CE4" i="35"/>
  <c r="CE23" i="35" s="1"/>
  <c r="CD4" i="35"/>
  <c r="CD23" i="35" s="1"/>
  <c r="CC4" i="35"/>
  <c r="CC23" i="35" s="1"/>
  <c r="CB4" i="35"/>
  <c r="CB23" i="35" s="1"/>
  <c r="CA4" i="35"/>
  <c r="CA23" i="35" s="1"/>
  <c r="BZ4" i="35"/>
  <c r="BZ23" i="35" s="1"/>
  <c r="BY4" i="35"/>
  <c r="BY23" i="35" s="1"/>
  <c r="BV4" i="34"/>
  <c r="BU4" i="34"/>
  <c r="BT4" i="34"/>
  <c r="BS4" i="34"/>
  <c r="BR4" i="34"/>
  <c r="BQ4" i="34"/>
  <c r="BP4" i="34"/>
  <c r="BX4" i="35"/>
  <c r="BW4" i="35"/>
  <c r="BV4" i="35"/>
  <c r="BU4" i="35"/>
  <c r="BT4" i="35"/>
  <c r="BS4" i="35"/>
  <c r="BR4" i="35"/>
  <c r="BO4" i="34"/>
  <c r="BN4" i="34"/>
  <c r="BM4" i="34"/>
  <c r="BL4" i="34"/>
  <c r="BK4" i="34"/>
  <c r="BJ4" i="34"/>
  <c r="BI4" i="34"/>
  <c r="BQ4" i="35"/>
  <c r="BQ23" i="35" s="1"/>
  <c r="BP4" i="35"/>
  <c r="BP23" i="35" s="1"/>
  <c r="BO4" i="35"/>
  <c r="BO23" i="35" s="1"/>
  <c r="BN4" i="35"/>
  <c r="BN23" i="35" s="1"/>
  <c r="BM4" i="35"/>
  <c r="BM23" i="35" s="1"/>
  <c r="BL4" i="35"/>
  <c r="BL23" i="35" s="1"/>
  <c r="BK4" i="35"/>
  <c r="BK23" i="35" s="1"/>
  <c r="BH4" i="34"/>
  <c r="BG4" i="34"/>
  <c r="BF4" i="34"/>
  <c r="BE4" i="34"/>
  <c r="BD4" i="34"/>
  <c r="BC4" i="34"/>
  <c r="BB4" i="34"/>
  <c r="BJ4" i="35"/>
  <c r="BJ23" i="35" s="1"/>
  <c r="BI4" i="35"/>
  <c r="BI23" i="35" s="1"/>
  <c r="BH4" i="35"/>
  <c r="BH23" i="35" s="1"/>
  <c r="BG4" i="35"/>
  <c r="BG23" i="35" s="1"/>
  <c r="BF4" i="35"/>
  <c r="BF23" i="35" s="1"/>
  <c r="BE4" i="35"/>
  <c r="BE23" i="35" s="1"/>
  <c r="BD4" i="35"/>
  <c r="BD23" i="35" s="1"/>
  <c r="BA4" i="34"/>
  <c r="AZ4" i="34"/>
  <c r="AY4" i="34"/>
  <c r="AX4" i="34"/>
  <c r="AW4" i="34"/>
  <c r="AV4" i="34"/>
  <c r="AU4" i="34"/>
  <c r="BC4" i="35"/>
  <c r="BB4" i="35"/>
  <c r="BA4" i="35"/>
  <c r="AZ4" i="35"/>
  <c r="AY4" i="35"/>
  <c r="AX4" i="35"/>
  <c r="AW4" i="35"/>
  <c r="CC2" i="34"/>
  <c r="CB2" i="34"/>
  <c r="CA2" i="34"/>
  <c r="BZ2" i="34"/>
  <c r="BY2" i="34"/>
  <c r="BX2" i="34"/>
  <c r="BW2" i="34"/>
  <c r="CE2" i="35"/>
  <c r="CD2" i="35"/>
  <c r="CC2" i="35"/>
  <c r="CB2" i="35"/>
  <c r="CA2" i="35"/>
  <c r="BZ2" i="35"/>
  <c r="BY2" i="35"/>
  <c r="BV2" i="34"/>
  <c r="BU2" i="34"/>
  <c r="BT2" i="34"/>
  <c r="BS2" i="34"/>
  <c r="BR2" i="34"/>
  <c r="BQ2" i="34"/>
  <c r="BP2" i="34"/>
  <c r="BX2" i="35"/>
  <c r="BW2" i="35"/>
  <c r="BV2" i="35"/>
  <c r="BU2" i="35"/>
  <c r="BT2" i="35"/>
  <c r="BS2" i="35"/>
  <c r="BR2" i="35"/>
  <c r="BO2" i="34"/>
  <c r="BN2" i="34"/>
  <c r="BM2" i="34"/>
  <c r="BL2" i="34"/>
  <c r="BK2" i="34"/>
  <c r="BJ2" i="34"/>
  <c r="BI2" i="34"/>
  <c r="BQ2" i="35"/>
  <c r="BP2" i="35"/>
  <c r="BO2" i="35"/>
  <c r="BN2" i="35"/>
  <c r="BM2" i="35"/>
  <c r="BL2" i="35"/>
  <c r="BK2" i="35"/>
  <c r="BH2" i="34"/>
  <c r="BG2" i="34"/>
  <c r="BF2" i="34"/>
  <c r="BE2" i="34"/>
  <c r="BD2" i="34"/>
  <c r="BC2" i="34"/>
  <c r="BB2" i="34"/>
  <c r="BJ2" i="35"/>
  <c r="BI2" i="35"/>
  <c r="BH2" i="35"/>
  <c r="BG2" i="35"/>
  <c r="BF2" i="35"/>
  <c r="BE2" i="35"/>
  <c r="BD2" i="35"/>
  <c r="AT19" i="34"/>
  <c r="AS19" i="34"/>
  <c r="AR19" i="34"/>
  <c r="AQ19" i="34"/>
  <c r="AP19" i="34"/>
  <c r="AO19" i="34"/>
  <c r="AN19" i="34"/>
  <c r="AV19" i="35"/>
  <c r="AU19" i="35"/>
  <c r="AT19" i="35"/>
  <c r="AS19" i="35"/>
  <c r="AR19" i="35"/>
  <c r="AQ19" i="35"/>
  <c r="AP19" i="35"/>
  <c r="AT15" i="34"/>
  <c r="AS15" i="34"/>
  <c r="AR15" i="34"/>
  <c r="AQ15" i="34"/>
  <c r="AP15" i="34"/>
  <c r="AO15" i="34"/>
  <c r="AN15" i="34"/>
  <c r="AV15" i="35"/>
  <c r="AU15" i="35"/>
  <c r="AT15" i="35"/>
  <c r="AS15" i="35"/>
  <c r="AR15" i="35"/>
  <c r="AQ15" i="35"/>
  <c r="AP15" i="35"/>
  <c r="AT14" i="34"/>
  <c r="AS14" i="34"/>
  <c r="AR14" i="34"/>
  <c r="AQ14" i="34"/>
  <c r="AP14" i="34"/>
  <c r="AO14" i="34"/>
  <c r="AN14" i="34"/>
  <c r="AV14" i="35"/>
  <c r="AU14" i="35"/>
  <c r="AT14" i="35"/>
  <c r="AS14" i="35"/>
  <c r="AR14" i="35"/>
  <c r="AQ14" i="35"/>
  <c r="AP14" i="35"/>
  <c r="AT11" i="34"/>
  <c r="AS11" i="34"/>
  <c r="AR11" i="34"/>
  <c r="AQ11" i="34"/>
  <c r="AP11" i="34"/>
  <c r="AO11" i="34"/>
  <c r="AN11" i="34"/>
  <c r="AV11" i="35"/>
  <c r="AU11" i="35"/>
  <c r="AT11" i="35"/>
  <c r="AS11" i="35"/>
  <c r="AR11" i="35"/>
  <c r="AQ11" i="35"/>
  <c r="AP11" i="35"/>
  <c r="AT6" i="34"/>
  <c r="AS6" i="34"/>
  <c r="AR6" i="34"/>
  <c r="AQ6" i="34"/>
  <c r="AP6" i="34"/>
  <c r="AO6" i="34"/>
  <c r="AN6" i="34"/>
  <c r="AV6" i="35"/>
  <c r="AU6" i="35"/>
  <c r="AT6" i="35"/>
  <c r="AS6" i="35"/>
  <c r="AR6" i="35"/>
  <c r="AQ6" i="35"/>
  <c r="AP6" i="35"/>
  <c r="AT4" i="34"/>
  <c r="AS4" i="34"/>
  <c r="AR4" i="34"/>
  <c r="AQ4" i="34"/>
  <c r="AP4" i="34"/>
  <c r="AO4" i="34"/>
  <c r="AN4" i="34"/>
  <c r="AV4" i="35"/>
  <c r="AU4" i="35"/>
  <c r="AT4" i="35"/>
  <c r="AS4" i="35"/>
  <c r="AR4" i="35"/>
  <c r="AQ4" i="35"/>
  <c r="AP4" i="35"/>
  <c r="CC21" i="34"/>
  <c r="CB21" i="34"/>
  <c r="CA21" i="34"/>
  <c r="BZ21" i="34"/>
  <c r="BY21" i="34"/>
  <c r="BX21" i="34"/>
  <c r="BW21" i="34"/>
  <c r="CE27" i="35"/>
  <c r="CD27" i="35"/>
  <c r="CC27" i="35"/>
  <c r="CB27" i="35"/>
  <c r="CA27" i="35"/>
  <c r="BZ27" i="35"/>
  <c r="BY27" i="35"/>
  <c r="BV21" i="34"/>
  <c r="BU21" i="34"/>
  <c r="BT21" i="34"/>
  <c r="BS21" i="34"/>
  <c r="BR21" i="34"/>
  <c r="BQ21" i="34"/>
  <c r="BP21" i="34"/>
  <c r="BX27" i="35"/>
  <c r="BW27" i="35"/>
  <c r="BV27" i="35"/>
  <c r="BU27" i="35"/>
  <c r="BT27" i="35"/>
  <c r="BS27" i="35"/>
  <c r="BR27" i="35"/>
  <c r="BO21" i="34"/>
  <c r="BN21" i="34"/>
  <c r="BM21" i="34"/>
  <c r="BL21" i="34"/>
  <c r="BK21" i="34"/>
  <c r="BJ21" i="34"/>
  <c r="BI21" i="34"/>
  <c r="BQ27" i="35"/>
  <c r="BP27" i="35"/>
  <c r="BO27" i="35"/>
  <c r="BN27" i="35"/>
  <c r="BM27" i="35"/>
  <c r="BL27" i="35"/>
  <c r="BK27" i="35"/>
  <c r="BH21" i="34"/>
  <c r="BG21" i="34"/>
  <c r="BF21" i="34"/>
  <c r="BE21" i="34"/>
  <c r="BD21" i="34"/>
  <c r="BC21" i="34"/>
  <c r="BB21" i="34"/>
  <c r="BJ27" i="35"/>
  <c r="BI27" i="35"/>
  <c r="BH27" i="35"/>
  <c r="BG27" i="35"/>
  <c r="BF27" i="35"/>
  <c r="BE27" i="35"/>
  <c r="BD27" i="35"/>
  <c r="BA21" i="34"/>
  <c r="AZ21" i="34"/>
  <c r="AY21" i="34"/>
  <c r="AX21" i="34"/>
  <c r="AW21" i="34"/>
  <c r="AV21" i="34"/>
  <c r="AU21" i="34"/>
  <c r="BC27" i="35"/>
  <c r="BB27" i="35"/>
  <c r="BA27" i="35"/>
  <c r="AZ27" i="35"/>
  <c r="AY27" i="35"/>
  <c r="AX27" i="35"/>
  <c r="AW27" i="35"/>
  <c r="AT21" i="34"/>
  <c r="AS21" i="34"/>
  <c r="AR21" i="34"/>
  <c r="AQ21" i="34"/>
  <c r="AP21" i="34"/>
  <c r="AO21" i="34"/>
  <c r="AN21" i="34"/>
  <c r="AV27" i="35"/>
  <c r="AU27" i="35"/>
  <c r="AT27" i="35"/>
  <c r="AS27" i="35"/>
  <c r="AR27" i="35"/>
  <c r="AQ27" i="35"/>
  <c r="AP27" i="35"/>
  <c r="AM21" i="34"/>
  <c r="AL21" i="34"/>
  <c r="AK21" i="34"/>
  <c r="AJ21" i="34"/>
  <c r="AI21" i="34"/>
  <c r="AH21" i="34"/>
  <c r="AG21" i="34"/>
  <c r="AO27" i="35"/>
  <c r="AN27" i="35"/>
  <c r="AM27" i="35"/>
  <c r="AL27" i="35"/>
  <c r="AK27" i="35"/>
  <c r="AJ27" i="35"/>
  <c r="AI27" i="35"/>
  <c r="AF21" i="34"/>
  <c r="AE21" i="34"/>
  <c r="AD21" i="34"/>
  <c r="AC21" i="34"/>
  <c r="AB21" i="34"/>
  <c r="AA21" i="34"/>
  <c r="Z21" i="34"/>
  <c r="AH27" i="35"/>
  <c r="AG27" i="35"/>
  <c r="AF27" i="35"/>
  <c r="AE27" i="35"/>
  <c r="AD27" i="35"/>
  <c r="AC27" i="35"/>
  <c r="AB27" i="35"/>
  <c r="Y21" i="34"/>
  <c r="X21" i="34"/>
  <c r="W21" i="34"/>
  <c r="V21" i="34"/>
  <c r="U21" i="34"/>
  <c r="T21" i="34"/>
  <c r="S21" i="34"/>
  <c r="AA27" i="35"/>
  <c r="Z27" i="35"/>
  <c r="Y27" i="35"/>
  <c r="X27" i="35"/>
  <c r="W27" i="35"/>
  <c r="V27" i="35"/>
  <c r="U27" i="35"/>
  <c r="T27" i="35" s="1"/>
  <c r="CC30" i="34"/>
  <c r="CB30" i="34"/>
  <c r="CA30" i="34"/>
  <c r="BZ30" i="34"/>
  <c r="BY30" i="34"/>
  <c r="BX30" i="34"/>
  <c r="BW30" i="34"/>
  <c r="CE36" i="35"/>
  <c r="CD36" i="35"/>
  <c r="CC36" i="35"/>
  <c r="CB36" i="35"/>
  <c r="CA36" i="35"/>
  <c r="BZ36" i="35"/>
  <c r="BY36" i="35"/>
  <c r="BV30" i="34"/>
  <c r="BU30" i="34"/>
  <c r="BT30" i="34"/>
  <c r="BS30" i="34"/>
  <c r="BR30" i="34"/>
  <c r="BQ30" i="34"/>
  <c r="BP30" i="34"/>
  <c r="BX36" i="35"/>
  <c r="BW36" i="35"/>
  <c r="BV36" i="35"/>
  <c r="BU36" i="35"/>
  <c r="BT36" i="35"/>
  <c r="BS36" i="35"/>
  <c r="BR36" i="35"/>
  <c r="BO30" i="34"/>
  <c r="BN30" i="34"/>
  <c r="BM30" i="34"/>
  <c r="BL30" i="34"/>
  <c r="BK30" i="34"/>
  <c r="BJ30" i="34"/>
  <c r="BI30" i="34"/>
  <c r="BQ36" i="35"/>
  <c r="BP36" i="35"/>
  <c r="BO36" i="35"/>
  <c r="BN36" i="35"/>
  <c r="BM36" i="35"/>
  <c r="BL36" i="35"/>
  <c r="BK36" i="35"/>
  <c r="BH30" i="34"/>
  <c r="BG30" i="34"/>
  <c r="BF30" i="34"/>
  <c r="BE30" i="34"/>
  <c r="BD30" i="34"/>
  <c r="BC30" i="34"/>
  <c r="BB30" i="34"/>
  <c r="BJ36" i="35"/>
  <c r="BI36" i="35"/>
  <c r="BH36" i="35"/>
  <c r="BG36" i="35"/>
  <c r="BF36" i="35"/>
  <c r="BE36" i="35"/>
  <c r="BD36" i="35"/>
  <c r="BA30" i="34"/>
  <c r="AZ30" i="34"/>
  <c r="AY30" i="34"/>
  <c r="AX30" i="34"/>
  <c r="AW30" i="34"/>
  <c r="AV30" i="34"/>
  <c r="AU30" i="34"/>
  <c r="BC36" i="35"/>
  <c r="BB36" i="35"/>
  <c r="BA36" i="35"/>
  <c r="AZ36" i="35"/>
  <c r="AY36" i="35"/>
  <c r="AX36" i="35"/>
  <c r="AW36" i="35"/>
  <c r="AT30" i="34"/>
  <c r="AS30" i="34"/>
  <c r="AR30" i="34"/>
  <c r="AQ30" i="34"/>
  <c r="AP30" i="34"/>
  <c r="AO30" i="34"/>
  <c r="AN30" i="34"/>
  <c r="AV36" i="35"/>
  <c r="AU36" i="35"/>
  <c r="AT36" i="35"/>
  <c r="AS36" i="35"/>
  <c r="AR36" i="35"/>
  <c r="AQ36" i="35"/>
  <c r="AP36" i="35"/>
  <c r="AM30" i="34"/>
  <c r="AL30" i="34"/>
  <c r="AK30" i="34"/>
  <c r="AJ30" i="34"/>
  <c r="AI30" i="34"/>
  <c r="AH30" i="34"/>
  <c r="AG30" i="34"/>
  <c r="AO36" i="35"/>
  <c r="AN36" i="35"/>
  <c r="AM36" i="35"/>
  <c r="AL36" i="35"/>
  <c r="AK36" i="35"/>
  <c r="AJ36" i="35"/>
  <c r="AI36" i="35"/>
  <c r="AF30" i="34"/>
  <c r="AE30" i="34"/>
  <c r="AD30" i="34"/>
  <c r="AC30" i="34"/>
  <c r="AB30" i="34"/>
  <c r="AA30" i="34"/>
  <c r="Z30" i="34"/>
  <c r="AH36" i="35"/>
  <c r="AG36" i="35"/>
  <c r="AF36" i="35"/>
  <c r="AE36" i="35"/>
  <c r="AD36" i="35"/>
  <c r="AC36" i="35"/>
  <c r="AB36" i="35"/>
  <c r="Y30" i="34"/>
  <c r="X30" i="34"/>
  <c r="W30" i="34"/>
  <c r="V30" i="34"/>
  <c r="U30" i="34"/>
  <c r="T30" i="34"/>
  <c r="S30" i="34"/>
  <c r="AA36" i="35"/>
  <c r="Z36" i="35"/>
  <c r="Y36" i="35"/>
  <c r="X36" i="35"/>
  <c r="W36" i="35"/>
  <c r="V36" i="35"/>
  <c r="U36" i="35"/>
  <c r="T36" i="35" s="1"/>
  <c r="CC29" i="34"/>
  <c r="CB29" i="34"/>
  <c r="CA29" i="34"/>
  <c r="BZ29" i="34"/>
  <c r="BY29" i="34"/>
  <c r="BX29" i="34"/>
  <c r="BW29" i="34"/>
  <c r="CE35" i="35"/>
  <c r="CE38" i="35" s="1"/>
  <c r="CD35" i="35"/>
  <c r="CD38" i="35" s="1"/>
  <c r="CC35" i="35"/>
  <c r="CC38" i="35" s="1"/>
  <c r="CB35" i="35"/>
  <c r="CB38" i="35" s="1"/>
  <c r="CA35" i="35"/>
  <c r="CA38" i="35" s="1"/>
  <c r="BZ35" i="35"/>
  <c r="BZ38" i="35" s="1"/>
  <c r="BY35" i="35"/>
  <c r="BY38" i="35" s="1"/>
  <c r="BV29" i="34"/>
  <c r="BU29" i="34"/>
  <c r="BT29" i="34"/>
  <c r="BS29" i="34"/>
  <c r="BR29" i="34"/>
  <c r="BQ29" i="34"/>
  <c r="BP29" i="34"/>
  <c r="BX35" i="35"/>
  <c r="BX38" i="35" s="1"/>
  <c r="BW35" i="35"/>
  <c r="BW38" i="35" s="1"/>
  <c r="BV35" i="35"/>
  <c r="BV38" i="35" s="1"/>
  <c r="BU35" i="35"/>
  <c r="BU38" i="35" s="1"/>
  <c r="BT35" i="35"/>
  <c r="BT38" i="35" s="1"/>
  <c r="BS35" i="35"/>
  <c r="BS38" i="35" s="1"/>
  <c r="BR35" i="35"/>
  <c r="BR38" i="35" s="1"/>
  <c r="BO29" i="34"/>
  <c r="BN29" i="34"/>
  <c r="BM29" i="34"/>
  <c r="BL29" i="34"/>
  <c r="BK29" i="34"/>
  <c r="BJ29" i="34"/>
  <c r="BI29" i="34"/>
  <c r="BQ35" i="35"/>
  <c r="BQ38" i="35" s="1"/>
  <c r="BP35" i="35"/>
  <c r="BP38" i="35" s="1"/>
  <c r="BO35" i="35"/>
  <c r="BO38" i="35" s="1"/>
  <c r="BN35" i="35"/>
  <c r="BN38" i="35" s="1"/>
  <c r="BM35" i="35"/>
  <c r="BM38" i="35" s="1"/>
  <c r="BL35" i="35"/>
  <c r="BL38" i="35" s="1"/>
  <c r="BK35" i="35"/>
  <c r="BK38" i="35" s="1"/>
  <c r="BH29" i="34"/>
  <c r="BG29" i="34"/>
  <c r="BF29" i="34"/>
  <c r="BE29" i="34"/>
  <c r="BD29" i="34"/>
  <c r="BC29" i="34"/>
  <c r="BB29" i="34"/>
  <c r="BJ35" i="35"/>
  <c r="BJ38" i="35" s="1"/>
  <c r="BI35" i="35"/>
  <c r="BI38" i="35" s="1"/>
  <c r="BH35" i="35"/>
  <c r="BH38" i="35" s="1"/>
  <c r="BG35" i="35"/>
  <c r="BG38" i="35" s="1"/>
  <c r="BF35" i="35"/>
  <c r="BF38" i="35" s="1"/>
  <c r="BE35" i="35"/>
  <c r="BE38" i="35" s="1"/>
  <c r="BD35" i="35"/>
  <c r="BD38" i="35" s="1"/>
  <c r="BA29" i="34"/>
  <c r="AZ29" i="34"/>
  <c r="AY29" i="34"/>
  <c r="AX29" i="34"/>
  <c r="AW29" i="34"/>
  <c r="AV29" i="34"/>
  <c r="AU29" i="34"/>
  <c r="BC35" i="35"/>
  <c r="BC38" i="35" s="1"/>
  <c r="BB35" i="35"/>
  <c r="BB38" i="35" s="1"/>
  <c r="BA35" i="35"/>
  <c r="BA38" i="35" s="1"/>
  <c r="AZ35" i="35"/>
  <c r="AZ38" i="35" s="1"/>
  <c r="AY35" i="35"/>
  <c r="AY38" i="35" s="1"/>
  <c r="AX35" i="35"/>
  <c r="AX38" i="35" s="1"/>
  <c r="AW35" i="35"/>
  <c r="AW38" i="35" s="1"/>
  <c r="AT27" i="34"/>
  <c r="AS27" i="34"/>
  <c r="AR27" i="34"/>
  <c r="AQ27" i="34"/>
  <c r="AP27" i="34"/>
  <c r="AO27" i="34"/>
  <c r="AN27" i="34"/>
  <c r="AV33" i="35"/>
  <c r="AU33" i="35"/>
  <c r="AT33" i="35"/>
  <c r="AS33" i="35"/>
  <c r="AR33" i="35"/>
  <c r="AQ33" i="35"/>
  <c r="AP33" i="35"/>
  <c r="AM27" i="34"/>
  <c r="AL27" i="34"/>
  <c r="AK27" i="34"/>
  <c r="AJ27" i="34"/>
  <c r="AI27" i="34"/>
  <c r="AH27" i="34"/>
  <c r="AG27" i="34"/>
  <c r="AO33" i="35"/>
  <c r="AN33" i="35"/>
  <c r="AM33" i="35"/>
  <c r="AL33" i="35"/>
  <c r="AK33" i="35"/>
  <c r="AJ33" i="35"/>
  <c r="AI33" i="35"/>
  <c r="AF27" i="34"/>
  <c r="AE27" i="34"/>
  <c r="AD27" i="34"/>
  <c r="AC27" i="34"/>
  <c r="AB27" i="34"/>
  <c r="AA27" i="34"/>
  <c r="Z27" i="34"/>
  <c r="AH33" i="35"/>
  <c r="AG33" i="35"/>
  <c r="AF33" i="35"/>
  <c r="AE33" i="35"/>
  <c r="AD33" i="35"/>
  <c r="AC33" i="35"/>
  <c r="AB33" i="35"/>
  <c r="Y27" i="34"/>
  <c r="X27" i="34"/>
  <c r="W27" i="34"/>
  <c r="V27" i="34"/>
  <c r="U27" i="34"/>
  <c r="T27" i="34"/>
  <c r="S27" i="34"/>
  <c r="AA33" i="35"/>
  <c r="Z33" i="35"/>
  <c r="Y33" i="35"/>
  <c r="X33" i="35"/>
  <c r="W33" i="35"/>
  <c r="V33" i="35"/>
  <c r="U33" i="35"/>
  <c r="T33" i="35" s="1"/>
  <c r="AT29" i="34"/>
  <c r="AS29" i="34"/>
  <c r="AR29" i="34"/>
  <c r="AQ29" i="34"/>
  <c r="AP29" i="34"/>
  <c r="AO29" i="34"/>
  <c r="AN29" i="34"/>
  <c r="AV35" i="35"/>
  <c r="AV38" i="35" s="1"/>
  <c r="AU35" i="35"/>
  <c r="AU38" i="35" s="1"/>
  <c r="AT35" i="35"/>
  <c r="AT38" i="35" s="1"/>
  <c r="AS35" i="35"/>
  <c r="AS38" i="35" s="1"/>
  <c r="AR35" i="35"/>
  <c r="AR38" i="35" s="1"/>
  <c r="AQ35" i="35"/>
  <c r="AQ38" i="35" s="1"/>
  <c r="AP35" i="35"/>
  <c r="AP38" i="35" s="1"/>
  <c r="AM29" i="34"/>
  <c r="AL29" i="34"/>
  <c r="AK29" i="34"/>
  <c r="AJ29" i="34"/>
  <c r="AI29" i="34"/>
  <c r="AH29" i="34"/>
  <c r="AG29" i="34"/>
  <c r="AO35" i="35"/>
  <c r="AO38" i="35" s="1"/>
  <c r="AN35" i="35"/>
  <c r="AN38" i="35" s="1"/>
  <c r="AM35" i="35"/>
  <c r="AM38" i="35" s="1"/>
  <c r="AL35" i="35"/>
  <c r="AL38" i="35" s="1"/>
  <c r="AK35" i="35"/>
  <c r="AK38" i="35" s="1"/>
  <c r="AJ35" i="35"/>
  <c r="AJ38" i="35" s="1"/>
  <c r="AI35" i="35"/>
  <c r="AI38" i="35" s="1"/>
  <c r="AF29" i="34"/>
  <c r="AE29" i="34"/>
  <c r="AD29" i="34"/>
  <c r="AC29" i="34"/>
  <c r="AB29" i="34"/>
  <c r="AA29" i="34"/>
  <c r="Z29" i="34"/>
  <c r="AH35" i="35"/>
  <c r="AH38" i="35" s="1"/>
  <c r="AG35" i="35"/>
  <c r="AG38" i="35" s="1"/>
  <c r="AF35" i="35"/>
  <c r="AF38" i="35" s="1"/>
  <c r="AE35" i="35"/>
  <c r="AE38" i="35" s="1"/>
  <c r="AD35" i="35"/>
  <c r="AD38" i="35" s="1"/>
  <c r="AC35" i="35"/>
  <c r="AC38" i="35" s="1"/>
  <c r="AB35" i="35"/>
  <c r="AB38" i="35" s="1"/>
  <c r="Y29" i="34"/>
  <c r="X29" i="34"/>
  <c r="W29" i="34"/>
  <c r="V29" i="34"/>
  <c r="U29" i="34"/>
  <c r="T29" i="34"/>
  <c r="S29" i="34"/>
  <c r="AA35" i="35"/>
  <c r="AA38" i="35" s="1"/>
  <c r="Z35" i="35"/>
  <c r="Z38" i="35" s="1"/>
  <c r="Y35" i="35"/>
  <c r="Y38" i="35" s="1"/>
  <c r="X35" i="35"/>
  <c r="X38" i="35" s="1"/>
  <c r="W35" i="35"/>
  <c r="W38" i="35" s="1"/>
  <c r="V35" i="35"/>
  <c r="V38" i="35" s="1"/>
  <c r="U35" i="35"/>
  <c r="CC24" i="34"/>
  <c r="CB24" i="34"/>
  <c r="CA24" i="34"/>
  <c r="BZ24" i="34"/>
  <c r="BY24" i="34"/>
  <c r="BX24" i="34"/>
  <c r="BW24" i="34"/>
  <c r="CE30" i="35"/>
  <c r="CD30" i="35"/>
  <c r="CC30" i="35"/>
  <c r="CB30" i="35"/>
  <c r="CA30" i="35"/>
  <c r="BZ30" i="35"/>
  <c r="BY30" i="35"/>
  <c r="BO24" i="34"/>
  <c r="BN24" i="34"/>
  <c r="BM24" i="34"/>
  <c r="BL24" i="34"/>
  <c r="BK24" i="34"/>
  <c r="BJ24" i="34"/>
  <c r="BI24" i="34"/>
  <c r="BQ30" i="35"/>
  <c r="BP30" i="35"/>
  <c r="BO30" i="35"/>
  <c r="BN30" i="35"/>
  <c r="BM30" i="35"/>
  <c r="BL30" i="35"/>
  <c r="BK30" i="35"/>
  <c r="BH24" i="34"/>
  <c r="BG24" i="34"/>
  <c r="BF24" i="34"/>
  <c r="BE24" i="34"/>
  <c r="BD24" i="34"/>
  <c r="BC24" i="34"/>
  <c r="BB24" i="34"/>
  <c r="BJ30" i="35"/>
  <c r="BI30" i="35"/>
  <c r="BH30" i="35"/>
  <c r="BG30" i="35"/>
  <c r="BF30" i="35"/>
  <c r="BE30" i="35"/>
  <c r="BD30" i="35"/>
  <c r="BA24" i="34"/>
  <c r="AZ24" i="34"/>
  <c r="AY24" i="34"/>
  <c r="AX24" i="34"/>
  <c r="AW24" i="34"/>
  <c r="AV24" i="34"/>
  <c r="AU24" i="34"/>
  <c r="BC30" i="35"/>
  <c r="BB30" i="35"/>
  <c r="BA30" i="35"/>
  <c r="AZ30" i="35"/>
  <c r="AY30" i="35"/>
  <c r="AX30" i="35"/>
  <c r="AW30" i="35"/>
  <c r="AT24" i="34"/>
  <c r="AS24" i="34"/>
  <c r="AR24" i="34"/>
  <c r="AQ24" i="34"/>
  <c r="AP24" i="34"/>
  <c r="AO24" i="34"/>
  <c r="AN24" i="34"/>
  <c r="AV30" i="35"/>
  <c r="AU30" i="35"/>
  <c r="AT30" i="35"/>
  <c r="AS30" i="35"/>
  <c r="AR30" i="35"/>
  <c r="AQ30" i="35"/>
  <c r="AP30" i="35"/>
  <c r="AM24" i="34"/>
  <c r="AL24" i="34"/>
  <c r="AK24" i="34"/>
  <c r="AJ24" i="34"/>
  <c r="AI24" i="34"/>
  <c r="AH24" i="34"/>
  <c r="AG24" i="34"/>
  <c r="AO30" i="35"/>
  <c r="AN30" i="35"/>
  <c r="AM30" i="35"/>
  <c r="AL30" i="35"/>
  <c r="AK30" i="35"/>
  <c r="AJ30" i="35"/>
  <c r="AI30" i="35"/>
  <c r="AF24" i="34"/>
  <c r="AE24" i="34"/>
  <c r="AD24" i="34"/>
  <c r="AC24" i="34"/>
  <c r="AB24" i="34"/>
  <c r="AA24" i="34"/>
  <c r="Z24" i="34"/>
  <c r="AH30" i="35"/>
  <c r="AG30" i="35"/>
  <c r="AF30" i="35"/>
  <c r="AE30" i="35"/>
  <c r="AD30" i="35"/>
  <c r="AC30" i="35"/>
  <c r="AB30" i="35"/>
  <c r="Y24" i="34"/>
  <c r="X24" i="34"/>
  <c r="W24" i="34"/>
  <c r="V24" i="34"/>
  <c r="U24" i="34"/>
  <c r="T24" i="34"/>
  <c r="S24" i="34"/>
  <c r="AA30" i="35"/>
  <c r="Z30" i="35"/>
  <c r="Y30" i="35"/>
  <c r="X30" i="35"/>
  <c r="W30" i="35"/>
  <c r="V30" i="35"/>
  <c r="U30" i="35"/>
  <c r="T30" i="35" s="1"/>
  <c r="CC23" i="34"/>
  <c r="CB23" i="34"/>
  <c r="CA23" i="34"/>
  <c r="BZ23" i="34"/>
  <c r="BY23" i="34"/>
  <c r="BX23" i="34"/>
  <c r="BW23" i="34"/>
  <c r="CE29" i="35"/>
  <c r="CE37" i="35" s="1"/>
  <c r="CE39" i="35" s="1"/>
  <c r="CD29" i="35"/>
  <c r="CD37" i="35" s="1"/>
  <c r="CD39" i="35" s="1"/>
  <c r="CC29" i="35"/>
  <c r="CC37" i="35" s="1"/>
  <c r="CC39" i="35" s="1"/>
  <c r="CB29" i="35"/>
  <c r="CB37" i="35" s="1"/>
  <c r="CB39" i="35" s="1"/>
  <c r="CA29" i="35"/>
  <c r="CA37" i="35" s="1"/>
  <c r="CA39" i="35" s="1"/>
  <c r="BZ29" i="35"/>
  <c r="BZ37" i="35" s="1"/>
  <c r="BZ39" i="35" s="1"/>
  <c r="BY29" i="35"/>
  <c r="BY37" i="35" s="1"/>
  <c r="BY39" i="35" s="1"/>
  <c r="BV23" i="34"/>
  <c r="BU23" i="34"/>
  <c r="BT23" i="34"/>
  <c r="BS23" i="34"/>
  <c r="BR23" i="34"/>
  <c r="BQ23" i="34"/>
  <c r="BP23" i="34"/>
  <c r="BX29" i="35"/>
  <c r="BX37" i="35" s="1"/>
  <c r="BX39" i="35" s="1"/>
  <c r="BW29" i="35"/>
  <c r="BW37" i="35" s="1"/>
  <c r="BW39" i="35" s="1"/>
  <c r="BV29" i="35"/>
  <c r="BV37" i="35" s="1"/>
  <c r="BV39" i="35" s="1"/>
  <c r="BU29" i="35"/>
  <c r="BU37" i="35" s="1"/>
  <c r="BU39" i="35" s="1"/>
  <c r="BT29" i="35"/>
  <c r="BT37" i="35" s="1"/>
  <c r="BT39" i="35" s="1"/>
  <c r="BS29" i="35"/>
  <c r="BS37" i="35" s="1"/>
  <c r="BS39" i="35" s="1"/>
  <c r="BR29" i="35"/>
  <c r="BR37" i="35" s="1"/>
  <c r="BR39" i="35" s="1"/>
  <c r="BO23" i="34"/>
  <c r="BN23" i="34"/>
  <c r="BM23" i="34"/>
  <c r="BL23" i="34"/>
  <c r="BK23" i="34"/>
  <c r="BJ23" i="34"/>
  <c r="BI23" i="34"/>
  <c r="BQ29" i="35"/>
  <c r="BQ37" i="35" s="1"/>
  <c r="BQ39" i="35" s="1"/>
  <c r="BP29" i="35"/>
  <c r="BP37" i="35" s="1"/>
  <c r="BP39" i="35" s="1"/>
  <c r="BO29" i="35"/>
  <c r="BO37" i="35" s="1"/>
  <c r="BO39" i="35" s="1"/>
  <c r="BN29" i="35"/>
  <c r="BN37" i="35" s="1"/>
  <c r="BN39" i="35" s="1"/>
  <c r="BM29" i="35"/>
  <c r="BM37" i="35" s="1"/>
  <c r="BM39" i="35" s="1"/>
  <c r="BL29" i="35"/>
  <c r="BL37" i="35" s="1"/>
  <c r="BL39" i="35" s="1"/>
  <c r="BK29" i="35"/>
  <c r="BK37" i="35" s="1"/>
  <c r="BK39" i="35" s="1"/>
  <c r="BH23" i="34"/>
  <c r="BG23" i="34"/>
  <c r="BF23" i="34"/>
  <c r="BE23" i="34"/>
  <c r="BD23" i="34"/>
  <c r="BC23" i="34"/>
  <c r="BB23" i="34"/>
  <c r="BJ29" i="35"/>
  <c r="BJ37" i="35" s="1"/>
  <c r="BJ39" i="35" s="1"/>
  <c r="BI29" i="35"/>
  <c r="BI37" i="35" s="1"/>
  <c r="BI39" i="35" s="1"/>
  <c r="BH29" i="35"/>
  <c r="BH37" i="35" s="1"/>
  <c r="BH39" i="35" s="1"/>
  <c r="BG29" i="35"/>
  <c r="BG37" i="35" s="1"/>
  <c r="BG39" i="35" s="1"/>
  <c r="BF29" i="35"/>
  <c r="BF37" i="35" s="1"/>
  <c r="BF39" i="35" s="1"/>
  <c r="BE29" i="35"/>
  <c r="BE37" i="35" s="1"/>
  <c r="BE39" i="35" s="1"/>
  <c r="BD29" i="35"/>
  <c r="BD37" i="35" s="1"/>
  <c r="BD39" i="35" s="1"/>
  <c r="BA23" i="34"/>
  <c r="AZ23" i="34"/>
  <c r="AY23" i="34"/>
  <c r="AX23" i="34"/>
  <c r="AW23" i="34"/>
  <c r="AV23" i="34"/>
  <c r="AU23" i="34"/>
  <c r="BC29" i="35"/>
  <c r="BC37" i="35" s="1"/>
  <c r="BC39" i="35" s="1"/>
  <c r="BB29" i="35"/>
  <c r="BB37" i="35" s="1"/>
  <c r="BB39" i="35" s="1"/>
  <c r="BA29" i="35"/>
  <c r="BA37" i="35" s="1"/>
  <c r="BA39" i="35" s="1"/>
  <c r="AZ29" i="35"/>
  <c r="AZ37" i="35" s="1"/>
  <c r="AZ39" i="35" s="1"/>
  <c r="AY29" i="35"/>
  <c r="AY37" i="35" s="1"/>
  <c r="AY39" i="35" s="1"/>
  <c r="AX29" i="35"/>
  <c r="AX37" i="35" s="1"/>
  <c r="AX39" i="35" s="1"/>
  <c r="AW29" i="35"/>
  <c r="AW37" i="35" s="1"/>
  <c r="AW39" i="35" s="1"/>
  <c r="AT23" i="34"/>
  <c r="AS23" i="34"/>
  <c r="AR23" i="34"/>
  <c r="AQ23" i="34"/>
  <c r="AP23" i="34"/>
  <c r="AO23" i="34"/>
  <c r="AN23" i="34"/>
  <c r="AV29" i="35"/>
  <c r="AV37" i="35" s="1"/>
  <c r="AV39" i="35" s="1"/>
  <c r="AU29" i="35"/>
  <c r="AU37" i="35" s="1"/>
  <c r="AU39" i="35" s="1"/>
  <c r="AT29" i="35"/>
  <c r="AT37" i="35" s="1"/>
  <c r="AT39" i="35" s="1"/>
  <c r="AS29" i="35"/>
  <c r="AS37" i="35" s="1"/>
  <c r="AS39" i="35" s="1"/>
  <c r="AR29" i="35"/>
  <c r="AR37" i="35" s="1"/>
  <c r="AR39" i="35" s="1"/>
  <c r="AQ29" i="35"/>
  <c r="AQ37" i="35" s="1"/>
  <c r="AQ39" i="35" s="1"/>
  <c r="AP29" i="35"/>
  <c r="AP37" i="35" s="1"/>
  <c r="AP39" i="35" s="1"/>
  <c r="AM23" i="34"/>
  <c r="AL23" i="34"/>
  <c r="AK23" i="34"/>
  <c r="AJ23" i="34"/>
  <c r="AI23" i="34"/>
  <c r="AH23" i="34"/>
  <c r="AG23" i="34"/>
  <c r="AO29" i="35"/>
  <c r="AO37" i="35" s="1"/>
  <c r="AO39" i="35" s="1"/>
  <c r="AN29" i="35"/>
  <c r="AN37" i="35" s="1"/>
  <c r="AN39" i="35" s="1"/>
  <c r="AM29" i="35"/>
  <c r="AM37" i="35" s="1"/>
  <c r="AM39" i="35" s="1"/>
  <c r="AL29" i="35"/>
  <c r="AL37" i="35" s="1"/>
  <c r="AL39" i="35" s="1"/>
  <c r="AK29" i="35"/>
  <c r="AK37" i="35" s="1"/>
  <c r="AK39" i="35" s="1"/>
  <c r="AJ29" i="35"/>
  <c r="AJ37" i="35" s="1"/>
  <c r="AJ39" i="35" s="1"/>
  <c r="AI29" i="35"/>
  <c r="AI37" i="35" s="1"/>
  <c r="AI39" i="35" s="1"/>
  <c r="AF23" i="34"/>
  <c r="AE23" i="34"/>
  <c r="AD23" i="34"/>
  <c r="AC23" i="34"/>
  <c r="AB23" i="34"/>
  <c r="AA23" i="34"/>
  <c r="Z23" i="34"/>
  <c r="AH29" i="35"/>
  <c r="AH37" i="35" s="1"/>
  <c r="AH39" i="35" s="1"/>
  <c r="AG29" i="35"/>
  <c r="AG37" i="35" s="1"/>
  <c r="AG39" i="35" s="1"/>
  <c r="AF29" i="35"/>
  <c r="AF37" i="35" s="1"/>
  <c r="AF39" i="35" s="1"/>
  <c r="AE29" i="35"/>
  <c r="AE37" i="35" s="1"/>
  <c r="AE39" i="35" s="1"/>
  <c r="AD29" i="35"/>
  <c r="AD37" i="35" s="1"/>
  <c r="AD39" i="35" s="1"/>
  <c r="AC29" i="35"/>
  <c r="AC37" i="35" s="1"/>
  <c r="AC39" i="35" s="1"/>
  <c r="AB29" i="35"/>
  <c r="AB37" i="35" s="1"/>
  <c r="AB39" i="35" s="1"/>
  <c r="Y23" i="34"/>
  <c r="X23" i="34"/>
  <c r="W23" i="34"/>
  <c r="V23" i="34"/>
  <c r="U23" i="34"/>
  <c r="T23" i="34"/>
  <c r="S23" i="34"/>
  <c r="AA29" i="35"/>
  <c r="AA37" i="35" s="1"/>
  <c r="AA39" i="35" s="1"/>
  <c r="Z29" i="35"/>
  <c r="Z37" i="35" s="1"/>
  <c r="Z39" i="35" s="1"/>
  <c r="Y29" i="35"/>
  <c r="Y37" i="35" s="1"/>
  <c r="Y39" i="35" s="1"/>
  <c r="X29" i="35"/>
  <c r="X37" i="35" s="1"/>
  <c r="X39" i="35" s="1"/>
  <c r="W29" i="35"/>
  <c r="W37" i="35" s="1"/>
  <c r="W39" i="35" s="1"/>
  <c r="V29" i="35"/>
  <c r="V37" i="35" s="1"/>
  <c r="V39" i="35" s="1"/>
  <c r="U29" i="35"/>
  <c r="BV18" i="34"/>
  <c r="BU18" i="34"/>
  <c r="BT18" i="34"/>
  <c r="BS18" i="34"/>
  <c r="BR18" i="34"/>
  <c r="BQ18" i="34"/>
  <c r="BP18" i="34"/>
  <c r="BX18" i="35"/>
  <c r="BW18" i="35"/>
  <c r="BV18" i="35"/>
  <c r="BU18" i="35"/>
  <c r="BT18" i="35"/>
  <c r="BS18" i="35"/>
  <c r="BR18" i="35"/>
  <c r="AT18" i="34"/>
  <c r="AS18" i="34"/>
  <c r="AR18" i="34"/>
  <c r="AQ18" i="34"/>
  <c r="AP18" i="34"/>
  <c r="AO18" i="34"/>
  <c r="AN18" i="34"/>
  <c r="AV18" i="35"/>
  <c r="AU18" i="35"/>
  <c r="AT18" i="35"/>
  <c r="AS18" i="35"/>
  <c r="AR18" i="35"/>
  <c r="AQ18" i="35"/>
  <c r="AP18" i="35"/>
  <c r="AM18" i="34"/>
  <c r="AL18" i="34"/>
  <c r="AK18" i="34"/>
  <c r="AJ18" i="34"/>
  <c r="AI18" i="34"/>
  <c r="AH18" i="34"/>
  <c r="AG18" i="34"/>
  <c r="AO18" i="35"/>
  <c r="AN18" i="35"/>
  <c r="AM18" i="35"/>
  <c r="AL18" i="35"/>
  <c r="AK18" i="35"/>
  <c r="AJ18" i="35"/>
  <c r="AI18" i="35"/>
  <c r="AF18" i="34"/>
  <c r="AE18" i="34"/>
  <c r="AD18" i="34"/>
  <c r="AC18" i="34"/>
  <c r="AB18" i="34"/>
  <c r="AA18" i="34"/>
  <c r="Z18" i="34"/>
  <c r="AH18" i="35"/>
  <c r="AG18" i="35"/>
  <c r="AF18" i="35"/>
  <c r="AE18" i="35"/>
  <c r="AD18" i="35"/>
  <c r="AC18" i="35"/>
  <c r="AB18" i="35"/>
  <c r="Y18" i="34"/>
  <c r="X18" i="34"/>
  <c r="W18" i="34"/>
  <c r="V18" i="34"/>
  <c r="U18" i="34"/>
  <c r="T18" i="34"/>
  <c r="S18" i="34"/>
  <c r="AA18" i="35"/>
  <c r="Z18" i="35"/>
  <c r="Y18" i="35"/>
  <c r="X18" i="35"/>
  <c r="W18" i="35"/>
  <c r="V18" i="35"/>
  <c r="U18" i="35"/>
  <c r="T18" i="35" s="1"/>
  <c r="AM17" i="34"/>
  <c r="AL17" i="34"/>
  <c r="AK17" i="34"/>
  <c r="AJ17" i="34"/>
  <c r="AI17" i="34"/>
  <c r="AH17" i="34"/>
  <c r="AG17" i="34"/>
  <c r="AO17" i="35"/>
  <c r="AN17" i="35"/>
  <c r="AM17" i="35"/>
  <c r="AL17" i="35"/>
  <c r="AK17" i="35"/>
  <c r="AJ17" i="35"/>
  <c r="AI17" i="35"/>
  <c r="AT17" i="34"/>
  <c r="AS17" i="34"/>
  <c r="AR17" i="34"/>
  <c r="AQ17" i="34"/>
  <c r="AP17" i="34"/>
  <c r="AO17" i="34"/>
  <c r="AN17" i="34"/>
  <c r="AV17" i="35"/>
  <c r="AU17" i="35"/>
  <c r="AT17" i="35"/>
  <c r="AS17" i="35"/>
  <c r="AR17" i="35"/>
  <c r="AQ17" i="35"/>
  <c r="AP17" i="35"/>
  <c r="Y16" i="34"/>
  <c r="X16" i="34"/>
  <c r="W16" i="34"/>
  <c r="V16" i="34"/>
  <c r="U16" i="34"/>
  <c r="T16" i="34"/>
  <c r="S16" i="34"/>
  <c r="AA16" i="35"/>
  <c r="Z16" i="35"/>
  <c r="Y16" i="35"/>
  <c r="X16" i="35"/>
  <c r="W16" i="35"/>
  <c r="V16" i="35"/>
  <c r="U16" i="35"/>
  <c r="T16" i="35" s="1"/>
  <c r="CC12" i="34"/>
  <c r="CB12" i="34"/>
  <c r="CA12" i="34"/>
  <c r="BZ12" i="34"/>
  <c r="BY12" i="34"/>
  <c r="BX12" i="34"/>
  <c r="BW12" i="34"/>
  <c r="CE12" i="35"/>
  <c r="CD12" i="35"/>
  <c r="CC12" i="35"/>
  <c r="CB12" i="35"/>
  <c r="CA12" i="35"/>
  <c r="BZ12" i="35"/>
  <c r="BY12" i="35"/>
  <c r="BV12" i="34"/>
  <c r="BU12" i="34"/>
  <c r="BT12" i="34"/>
  <c r="BS12" i="34"/>
  <c r="BR12" i="34"/>
  <c r="BQ12" i="34"/>
  <c r="BP12" i="34"/>
  <c r="BX12" i="35"/>
  <c r="BW12" i="35"/>
  <c r="BV12" i="35"/>
  <c r="BU12" i="35"/>
  <c r="BT12" i="35"/>
  <c r="BS12" i="35"/>
  <c r="BR12" i="35"/>
  <c r="BO12" i="34"/>
  <c r="BN12" i="34"/>
  <c r="BM12" i="34"/>
  <c r="BL12" i="34"/>
  <c r="BK12" i="34"/>
  <c r="BJ12" i="34"/>
  <c r="BI12" i="34"/>
  <c r="BQ12" i="35"/>
  <c r="BP12" i="35"/>
  <c r="BO12" i="35"/>
  <c r="BN12" i="35"/>
  <c r="BM12" i="35"/>
  <c r="BL12" i="35"/>
  <c r="BK12" i="35"/>
  <c r="BH12" i="34"/>
  <c r="BG12" i="34"/>
  <c r="BF12" i="34"/>
  <c r="BE12" i="34"/>
  <c r="BD12" i="34"/>
  <c r="BC12" i="34"/>
  <c r="BB12" i="34"/>
  <c r="BJ12" i="35"/>
  <c r="BI12" i="35"/>
  <c r="BH12" i="35"/>
  <c r="BG12" i="35"/>
  <c r="BF12" i="35"/>
  <c r="BE12" i="35"/>
  <c r="BD12" i="35"/>
  <c r="BA12" i="34"/>
  <c r="AZ12" i="34"/>
  <c r="AY12" i="34"/>
  <c r="AX12" i="34"/>
  <c r="AW12" i="34"/>
  <c r="AV12" i="34"/>
  <c r="AU12" i="34"/>
  <c r="BC12" i="35"/>
  <c r="BB12" i="35"/>
  <c r="BA12" i="35"/>
  <c r="AZ12" i="35"/>
  <c r="AY12" i="35"/>
  <c r="AX12" i="35"/>
  <c r="AW12" i="35"/>
  <c r="AT12" i="34"/>
  <c r="AS12" i="34"/>
  <c r="AR12" i="34"/>
  <c r="AQ12" i="34"/>
  <c r="AP12" i="34"/>
  <c r="AO12" i="34"/>
  <c r="AN12" i="34"/>
  <c r="AV12" i="35"/>
  <c r="AU12" i="35"/>
  <c r="AT12" i="35"/>
  <c r="AS12" i="35"/>
  <c r="AR12" i="35"/>
  <c r="AQ12" i="35"/>
  <c r="AP12" i="35"/>
  <c r="AM12" i="34"/>
  <c r="AL12" i="34"/>
  <c r="AK12" i="34"/>
  <c r="AJ12" i="34"/>
  <c r="AI12" i="34"/>
  <c r="AH12" i="34"/>
  <c r="AG12" i="34"/>
  <c r="AO12" i="35"/>
  <c r="AN12" i="35"/>
  <c r="AM12" i="35"/>
  <c r="AL12" i="35"/>
  <c r="AK12" i="35"/>
  <c r="AJ12" i="35"/>
  <c r="AI12" i="35"/>
  <c r="AF12" i="34"/>
  <c r="AE12" i="34"/>
  <c r="AD12" i="34"/>
  <c r="AC12" i="34"/>
  <c r="AB12" i="34"/>
  <c r="AA12" i="34"/>
  <c r="Z12" i="34"/>
  <c r="AH12" i="35"/>
  <c r="AG12" i="35"/>
  <c r="AF12" i="35"/>
  <c r="AE12" i="35"/>
  <c r="AD12" i="35"/>
  <c r="AC12" i="35"/>
  <c r="AB12" i="35"/>
  <c r="Y12" i="34"/>
  <c r="X12" i="34"/>
  <c r="W12" i="34"/>
  <c r="V12" i="34"/>
  <c r="U12" i="34"/>
  <c r="T12" i="34"/>
  <c r="S12" i="34"/>
  <c r="AA12" i="35"/>
  <c r="Z12" i="35"/>
  <c r="Y12" i="35"/>
  <c r="X12" i="35"/>
  <c r="W12" i="35"/>
  <c r="V12" i="35"/>
  <c r="U12" i="35"/>
  <c r="T12" i="35" s="1"/>
  <c r="BV10" i="34"/>
  <c r="BU10" i="34"/>
  <c r="BT10" i="34"/>
  <c r="BS10" i="34"/>
  <c r="BR10" i="34"/>
  <c r="BQ10" i="34"/>
  <c r="BP10" i="34"/>
  <c r="BX10" i="35"/>
  <c r="BW10" i="35"/>
  <c r="BV10" i="35"/>
  <c r="BU10" i="35"/>
  <c r="BT10" i="35"/>
  <c r="BS10" i="35"/>
  <c r="BR10" i="35"/>
  <c r="BX53" i="35"/>
  <c r="BV45" i="34"/>
  <c r="BV45" i="33"/>
  <c r="AJT18" i="28"/>
  <c r="AJT36" i="28" s="1"/>
  <c r="AJP18" i="28"/>
  <c r="AJP36" i="28" s="1"/>
  <c r="AIV18" i="28"/>
  <c r="AIZ18" i="28"/>
  <c r="AIZ36" i="28" s="1"/>
  <c r="AJD18" i="28"/>
  <c r="AJD36" i="28" s="1"/>
  <c r="AJH18" i="28"/>
  <c r="AJH36" i="28" s="1"/>
  <c r="AJL18" i="28"/>
  <c r="AJL36" i="28" s="1"/>
  <c r="KM38" i="25"/>
  <c r="KM35" i="25"/>
  <c r="BO10" i="34"/>
  <c r="BN10" i="34"/>
  <c r="BM10" i="34"/>
  <c r="BL10" i="34"/>
  <c r="BK10" i="34"/>
  <c r="BJ10" i="34"/>
  <c r="BI10" i="34"/>
  <c r="BQ10" i="35"/>
  <c r="BP10" i="35"/>
  <c r="BO10" i="35"/>
  <c r="BN10" i="35"/>
  <c r="BM10" i="35"/>
  <c r="BL10" i="35"/>
  <c r="BK10" i="35"/>
  <c r="BQ53" i="35"/>
  <c r="BO45" i="34"/>
  <c r="BO45" i="33"/>
  <c r="AIN18" i="28"/>
  <c r="AIN36" i="28" s="1"/>
  <c r="AIJ18" i="28"/>
  <c r="AIJ36" i="28" s="1"/>
  <c r="AIF18" i="28"/>
  <c r="AIF36" i="28" s="1"/>
  <c r="AIB18" i="28"/>
  <c r="AIB36" i="28" s="1"/>
  <c r="AHX18" i="28"/>
  <c r="AHX36" i="28" s="1"/>
  <c r="AHT18" i="28"/>
  <c r="AHT36" i="28" s="1"/>
  <c r="AHP18" i="28"/>
  <c r="KH38" i="25"/>
  <c r="KH35" i="25"/>
  <c r="BH10" i="34"/>
  <c r="BG10" i="34"/>
  <c r="BF10" i="34"/>
  <c r="BE10" i="34"/>
  <c r="BD10" i="34"/>
  <c r="BC10" i="34"/>
  <c r="BB10" i="34"/>
  <c r="BJ10" i="35"/>
  <c r="BI10" i="35"/>
  <c r="BH10" i="35"/>
  <c r="BG10" i="35"/>
  <c r="BF10" i="35"/>
  <c r="BE10" i="35"/>
  <c r="BD10" i="35"/>
  <c r="BJ53" i="35"/>
  <c r="BH45" i="34"/>
  <c r="BH45" i="33"/>
  <c r="AHH18" i="28"/>
  <c r="AHH36" i="28" s="1"/>
  <c r="AHD18" i="28"/>
  <c r="AHD36" i="28" s="1"/>
  <c r="AGZ18" i="28"/>
  <c r="AGZ36" i="28" s="1"/>
  <c r="AGV18" i="28"/>
  <c r="AGV36" i="28" s="1"/>
  <c r="AGR18" i="28"/>
  <c r="AGR36" i="28" s="1"/>
  <c r="AGN18" i="28"/>
  <c r="AGN36" i="28" s="1"/>
  <c r="AGJ18" i="28"/>
  <c r="KC38" i="25"/>
  <c r="KC35" i="25"/>
  <c r="BA10" i="34"/>
  <c r="AZ10" i="34"/>
  <c r="AY10" i="34"/>
  <c r="AX10" i="34"/>
  <c r="AW10" i="34"/>
  <c r="AV10" i="34"/>
  <c r="AU10" i="34"/>
  <c r="BC10" i="35"/>
  <c r="BB10" i="35"/>
  <c r="BA10" i="35"/>
  <c r="AZ10" i="35"/>
  <c r="AY10" i="35"/>
  <c r="AX10" i="35"/>
  <c r="AW10" i="35"/>
  <c r="BC53" i="35"/>
  <c r="BA45" i="34"/>
  <c r="BA45" i="33"/>
  <c r="AGB18" i="28"/>
  <c r="AGB36" i="28" s="1"/>
  <c r="AFX18" i="28"/>
  <c r="AFX36" i="28" s="1"/>
  <c r="AFT18" i="28"/>
  <c r="AFT36" i="28" s="1"/>
  <c r="AFP18" i="28"/>
  <c r="AFP36" i="28" s="1"/>
  <c r="AFL18" i="28"/>
  <c r="AFL36" i="28" s="1"/>
  <c r="AFH18" i="28"/>
  <c r="AFH36" i="28" s="1"/>
  <c r="AFD18" i="28"/>
  <c r="JX38" i="25"/>
  <c r="KV17" i="25"/>
  <c r="JX35" i="25"/>
  <c r="AT10" i="34"/>
  <c r="AS10" i="34"/>
  <c r="AR10" i="34"/>
  <c r="AQ10" i="34"/>
  <c r="AP10" i="34"/>
  <c r="AO10" i="34"/>
  <c r="AN10" i="34"/>
  <c r="AV10" i="35"/>
  <c r="AU10" i="35"/>
  <c r="AT10" i="35"/>
  <c r="AS10" i="35"/>
  <c r="AR10" i="35"/>
  <c r="AQ10" i="35"/>
  <c r="AP10" i="35"/>
  <c r="AV53" i="35"/>
  <c r="AT45" i="34"/>
  <c r="AT45" i="33"/>
  <c r="AEV18" i="28"/>
  <c r="AEV36" i="28" s="1"/>
  <c r="AER18" i="28"/>
  <c r="AER36" i="28" s="1"/>
  <c r="AEN18" i="28"/>
  <c r="AEN36" i="28" s="1"/>
  <c r="AEJ18" i="28"/>
  <c r="AEJ36" i="28" s="1"/>
  <c r="AEF18" i="28"/>
  <c r="AEF36" i="28" s="1"/>
  <c r="AEB18" i="28"/>
  <c r="AEB36" i="28" s="1"/>
  <c r="ADX18" i="28"/>
  <c r="JR17" i="25"/>
  <c r="JN38" i="25"/>
  <c r="JN35" i="25"/>
  <c r="AM10" i="34"/>
  <c r="AL10" i="34"/>
  <c r="AK10" i="34"/>
  <c r="AJ10" i="34"/>
  <c r="AI10" i="34"/>
  <c r="AH10" i="34"/>
  <c r="AG10" i="34"/>
  <c r="AO10" i="35"/>
  <c r="AN10" i="35"/>
  <c r="AM10" i="35"/>
  <c r="AL10" i="35"/>
  <c r="AK10" i="35"/>
  <c r="AJ10" i="35"/>
  <c r="AI10" i="35"/>
  <c r="AO53" i="35"/>
  <c r="AM45" i="34"/>
  <c r="AM45" i="33"/>
  <c r="ADP18" i="28"/>
  <c r="ADP36" i="28" s="1"/>
  <c r="ADL18" i="28"/>
  <c r="ADL36" i="28" s="1"/>
  <c r="ADH18" i="28"/>
  <c r="ADH36" i="28" s="1"/>
  <c r="ADD18" i="28"/>
  <c r="ADD36" i="28" s="1"/>
  <c r="ACZ18" i="28"/>
  <c r="ACZ36" i="28" s="1"/>
  <c r="ACV18" i="28"/>
  <c r="ACV36" i="28" s="1"/>
  <c r="ACR18" i="28"/>
  <c r="JI38" i="25"/>
  <c r="JI35" i="25"/>
  <c r="AF10" i="34"/>
  <c r="AE10" i="34"/>
  <c r="AD10" i="34"/>
  <c r="AC10" i="34"/>
  <c r="AB10" i="34"/>
  <c r="AA10" i="34"/>
  <c r="Z10" i="34"/>
  <c r="AH10" i="35"/>
  <c r="AG10" i="35"/>
  <c r="AF10" i="35"/>
  <c r="AE10" i="35"/>
  <c r="AD10" i="35"/>
  <c r="AC10" i="35"/>
  <c r="AB10" i="35"/>
  <c r="AH53" i="35"/>
  <c r="AF45" i="34"/>
  <c r="AF45" i="33"/>
  <c r="ACJ18" i="28"/>
  <c r="ACJ36" i="28" s="1"/>
  <c r="ACF18" i="28"/>
  <c r="ACF36" i="28" s="1"/>
  <c r="ACB18" i="28"/>
  <c r="ACB36" i="28" s="1"/>
  <c r="ABX18" i="28"/>
  <c r="ABX36" i="28" s="1"/>
  <c r="ABT18" i="28"/>
  <c r="ABT36" i="28" s="1"/>
  <c r="ABP18" i="28"/>
  <c r="ABP36" i="28" s="1"/>
  <c r="ABL18" i="28"/>
  <c r="JD38" i="25"/>
  <c r="JD35" i="25"/>
  <c r="Y10" i="34"/>
  <c r="X10" i="34"/>
  <c r="W10" i="34"/>
  <c r="V10" i="34"/>
  <c r="U10" i="34"/>
  <c r="T10" i="34"/>
  <c r="S10" i="34"/>
  <c r="AA10" i="35"/>
  <c r="Z10" i="35"/>
  <c r="Y10" i="35"/>
  <c r="X10" i="35"/>
  <c r="W10" i="35"/>
  <c r="V10" i="35"/>
  <c r="U10" i="35"/>
  <c r="T10" i="35" s="1"/>
  <c r="AA53" i="35"/>
  <c r="Y45" i="34"/>
  <c r="Y45" i="33"/>
  <c r="ABD18" i="28"/>
  <c r="ABD36" i="28" s="1"/>
  <c r="AAZ18" i="28"/>
  <c r="AAZ36" i="28" s="1"/>
  <c r="AAV18" i="28"/>
  <c r="AAV36" i="28" s="1"/>
  <c r="AAV50" i="28" s="1"/>
  <c r="AAR18" i="28"/>
  <c r="AAR36" i="28" s="1"/>
  <c r="AAR50" i="28" s="1"/>
  <c r="AAN18" i="28"/>
  <c r="AAN36" i="28" s="1"/>
  <c r="AAJ18" i="28"/>
  <c r="AAJ36" i="28" s="1"/>
  <c r="AAF18" i="28"/>
  <c r="IY38" i="25"/>
  <c r="JS17" i="25"/>
  <c r="IY35" i="25"/>
  <c r="CC9" i="34"/>
  <c r="CB9" i="34"/>
  <c r="CA9" i="34"/>
  <c r="BZ9" i="34"/>
  <c r="BY9" i="34"/>
  <c r="BX9" i="34"/>
  <c r="BW9" i="34"/>
  <c r="CE9" i="35"/>
  <c r="CD9" i="35"/>
  <c r="CC9" i="35"/>
  <c r="CB9" i="35"/>
  <c r="CA9" i="35"/>
  <c r="BZ9" i="35"/>
  <c r="BY9" i="35"/>
  <c r="BV9" i="34"/>
  <c r="BU9" i="34"/>
  <c r="BT9" i="34"/>
  <c r="BS9" i="34"/>
  <c r="BR9" i="34"/>
  <c r="BQ9" i="34"/>
  <c r="BP9" i="34"/>
  <c r="BX9" i="35"/>
  <c r="BW9" i="35"/>
  <c r="BV9" i="35"/>
  <c r="BU9" i="35"/>
  <c r="BT9" i="35"/>
  <c r="BS9" i="35"/>
  <c r="BR9" i="35"/>
  <c r="BO9" i="34"/>
  <c r="BN9" i="34"/>
  <c r="BM9" i="34"/>
  <c r="BL9" i="34"/>
  <c r="BK9" i="34"/>
  <c r="BJ9" i="34"/>
  <c r="BI9" i="34"/>
  <c r="BQ9" i="35"/>
  <c r="BP9" i="35"/>
  <c r="BO9" i="35"/>
  <c r="BN9" i="35"/>
  <c r="BM9" i="35"/>
  <c r="BL9" i="35"/>
  <c r="BK9" i="35"/>
  <c r="BH9" i="34"/>
  <c r="BG9" i="34"/>
  <c r="BF9" i="34"/>
  <c r="BE9" i="34"/>
  <c r="BD9" i="34"/>
  <c r="BC9" i="34"/>
  <c r="BB9" i="34"/>
  <c r="BJ9" i="35"/>
  <c r="BI9" i="35"/>
  <c r="BH9" i="35"/>
  <c r="BG9" i="35"/>
  <c r="BF9" i="35"/>
  <c r="BE9" i="35"/>
  <c r="BD9" i="35"/>
  <c r="BA9" i="34"/>
  <c r="AZ9" i="34"/>
  <c r="AY9" i="34"/>
  <c r="AX9" i="34"/>
  <c r="AW9" i="34"/>
  <c r="AV9" i="34"/>
  <c r="AU9" i="34"/>
  <c r="BC9" i="35"/>
  <c r="BB9" i="35"/>
  <c r="BA9" i="35"/>
  <c r="AZ9" i="35"/>
  <c r="AY9" i="35"/>
  <c r="AX9" i="35"/>
  <c r="AW9" i="35"/>
  <c r="AT9" i="34"/>
  <c r="AS9" i="34"/>
  <c r="AR9" i="34"/>
  <c r="AQ9" i="34"/>
  <c r="AP9" i="34"/>
  <c r="AO9" i="34"/>
  <c r="AN9" i="34"/>
  <c r="AV9" i="35"/>
  <c r="AU9" i="35"/>
  <c r="AT9" i="35"/>
  <c r="AS9" i="35"/>
  <c r="AR9" i="35"/>
  <c r="AQ9" i="35"/>
  <c r="AP9" i="35"/>
  <c r="AM9" i="34"/>
  <c r="AL9" i="34"/>
  <c r="AK9" i="34"/>
  <c r="AJ9" i="34"/>
  <c r="AI9" i="34"/>
  <c r="AH9" i="34"/>
  <c r="AG9" i="34"/>
  <c r="AO9" i="35"/>
  <c r="AN9" i="35"/>
  <c r="AM9" i="35"/>
  <c r="AL9" i="35"/>
  <c r="AK9" i="35"/>
  <c r="AJ9" i="35"/>
  <c r="AI9" i="35"/>
  <c r="AF9" i="34"/>
  <c r="AE9" i="34"/>
  <c r="AD9" i="34"/>
  <c r="AC9" i="34"/>
  <c r="AB9" i="34"/>
  <c r="AA9" i="34"/>
  <c r="Z9" i="34"/>
  <c r="AH9" i="35"/>
  <c r="AG9" i="35"/>
  <c r="AF9" i="35"/>
  <c r="AE9" i="35"/>
  <c r="AD9" i="35"/>
  <c r="AC9" i="35"/>
  <c r="AB9" i="35"/>
  <c r="Y9" i="34"/>
  <c r="X9" i="34"/>
  <c r="W9" i="34"/>
  <c r="V9" i="34"/>
  <c r="U9" i="34"/>
  <c r="T9" i="34"/>
  <c r="S9" i="34"/>
  <c r="AA9" i="35"/>
  <c r="Z9" i="35"/>
  <c r="Y9" i="35"/>
  <c r="X9" i="35"/>
  <c r="W9" i="35"/>
  <c r="V9" i="35"/>
  <c r="U9" i="35"/>
  <c r="T9" i="35" s="1"/>
  <c r="BV8" i="34"/>
  <c r="BU8" i="34"/>
  <c r="BT8" i="34"/>
  <c r="BS8" i="34"/>
  <c r="BR8" i="34"/>
  <c r="BQ8" i="34"/>
  <c r="BP8" i="34"/>
  <c r="BX8" i="35"/>
  <c r="BX23" i="35" s="1"/>
  <c r="BW8" i="35"/>
  <c r="BW23" i="35" s="1"/>
  <c r="BV8" i="35"/>
  <c r="BV23" i="35" s="1"/>
  <c r="BU8" i="35"/>
  <c r="BU23" i="35" s="1"/>
  <c r="BT8" i="35"/>
  <c r="BT23" i="35" s="1"/>
  <c r="BS8" i="35"/>
  <c r="BS23" i="35" s="1"/>
  <c r="BR8" i="35"/>
  <c r="BR23" i="35" s="1"/>
  <c r="BA8" i="34"/>
  <c r="AZ8" i="34"/>
  <c r="AY8" i="34"/>
  <c r="AX8" i="34"/>
  <c r="AW8" i="34"/>
  <c r="AV8" i="34"/>
  <c r="AU8" i="34"/>
  <c r="BC8" i="35"/>
  <c r="BC23" i="35" s="1"/>
  <c r="BB8" i="35"/>
  <c r="BB23" i="35" s="1"/>
  <c r="BA8" i="35"/>
  <c r="BA23" i="35" s="1"/>
  <c r="AZ8" i="35"/>
  <c r="AZ23" i="35" s="1"/>
  <c r="AY8" i="35"/>
  <c r="AY23" i="35" s="1"/>
  <c r="AX8" i="35"/>
  <c r="AX23" i="35" s="1"/>
  <c r="AW8" i="35"/>
  <c r="AW23" i="35" s="1"/>
  <c r="AT8" i="34"/>
  <c r="AS8" i="34"/>
  <c r="AR8" i="34"/>
  <c r="AQ8" i="34"/>
  <c r="AP8" i="34"/>
  <c r="AO8" i="34"/>
  <c r="AN8" i="34"/>
  <c r="AV8" i="35"/>
  <c r="AV23" i="35" s="1"/>
  <c r="AU8" i="35"/>
  <c r="AU23" i="35" s="1"/>
  <c r="AT8" i="35"/>
  <c r="AT23" i="35" s="1"/>
  <c r="AS8" i="35"/>
  <c r="AS23" i="35" s="1"/>
  <c r="AR8" i="35"/>
  <c r="AR23" i="35" s="1"/>
  <c r="AQ8" i="35"/>
  <c r="AQ23" i="35" s="1"/>
  <c r="AP8" i="35"/>
  <c r="AP23" i="35" s="1"/>
  <c r="AM8" i="34"/>
  <c r="AL8" i="34"/>
  <c r="AK8" i="34"/>
  <c r="AJ8" i="34"/>
  <c r="AI8" i="34"/>
  <c r="AH8" i="34"/>
  <c r="AG8" i="34"/>
  <c r="AO8" i="35"/>
  <c r="AO23" i="35" s="1"/>
  <c r="AN8" i="35"/>
  <c r="AN23" i="35" s="1"/>
  <c r="AM8" i="35"/>
  <c r="AM23" i="35" s="1"/>
  <c r="AL8" i="35"/>
  <c r="AL23" i="35" s="1"/>
  <c r="AK8" i="35"/>
  <c r="AK23" i="35" s="1"/>
  <c r="AJ8" i="35"/>
  <c r="AJ23" i="35" s="1"/>
  <c r="AI8" i="35"/>
  <c r="AI23" i="35" s="1"/>
  <c r="AF8" i="34"/>
  <c r="AE8" i="34"/>
  <c r="AD8" i="34"/>
  <c r="AC8" i="34"/>
  <c r="AB8" i="34"/>
  <c r="AA8" i="34"/>
  <c r="Z8" i="34"/>
  <c r="AH8" i="35"/>
  <c r="AH23" i="35" s="1"/>
  <c r="AG8" i="35"/>
  <c r="AG23" i="35" s="1"/>
  <c r="AF8" i="35"/>
  <c r="AF23" i="35" s="1"/>
  <c r="AE8" i="35"/>
  <c r="AE23" i="35" s="1"/>
  <c r="AD8" i="35"/>
  <c r="AD23" i="35" s="1"/>
  <c r="AC8" i="35"/>
  <c r="AC23" i="35" s="1"/>
  <c r="AB8" i="35"/>
  <c r="AB23" i="35" s="1"/>
  <c r="Y8" i="34"/>
  <c r="X8" i="34"/>
  <c r="W8" i="34"/>
  <c r="V8" i="34"/>
  <c r="U8" i="34"/>
  <c r="T8" i="34"/>
  <c r="S8" i="34"/>
  <c r="AA8" i="35"/>
  <c r="Z8" i="35"/>
  <c r="Y8" i="35"/>
  <c r="X8" i="35"/>
  <c r="W8" i="35"/>
  <c r="V8" i="35"/>
  <c r="U8" i="35"/>
  <c r="T8" i="35" s="1"/>
  <c r="CC7" i="34"/>
  <c r="CB7" i="34"/>
  <c r="CA7" i="34"/>
  <c r="BZ7" i="34"/>
  <c r="BY7" i="34"/>
  <c r="BX7" i="34"/>
  <c r="BW7" i="34"/>
  <c r="CE7" i="35"/>
  <c r="CE22" i="35" s="1"/>
  <c r="CD7" i="35"/>
  <c r="CD22" i="35" s="1"/>
  <c r="CC7" i="35"/>
  <c r="CC22" i="35" s="1"/>
  <c r="CB7" i="35"/>
  <c r="CB22" i="35" s="1"/>
  <c r="CA7" i="35"/>
  <c r="CA22" i="35" s="1"/>
  <c r="BZ7" i="35"/>
  <c r="BZ22" i="35" s="1"/>
  <c r="BY7" i="35"/>
  <c r="BY22" i="35" s="1"/>
  <c r="BV7" i="34"/>
  <c r="BU7" i="34"/>
  <c r="BT7" i="34"/>
  <c r="BS7" i="34"/>
  <c r="BR7" i="34"/>
  <c r="BQ7" i="34"/>
  <c r="BP7" i="34"/>
  <c r="BX7" i="35"/>
  <c r="BX22" i="35" s="1"/>
  <c r="BW7" i="35"/>
  <c r="BW22" i="35" s="1"/>
  <c r="BV7" i="35"/>
  <c r="BV22" i="35" s="1"/>
  <c r="BU7" i="35"/>
  <c r="BU22" i="35" s="1"/>
  <c r="BT7" i="35"/>
  <c r="BT22" i="35" s="1"/>
  <c r="BS7" i="35"/>
  <c r="BS22" i="35" s="1"/>
  <c r="BR7" i="35"/>
  <c r="BR22" i="35" s="1"/>
  <c r="BO7" i="34"/>
  <c r="BN7" i="34"/>
  <c r="BM7" i="34"/>
  <c r="BL7" i="34"/>
  <c r="BK7" i="34"/>
  <c r="BJ7" i="34"/>
  <c r="BI7" i="34"/>
  <c r="BQ7" i="35"/>
  <c r="BQ22" i="35" s="1"/>
  <c r="BP7" i="35"/>
  <c r="BP22" i="35" s="1"/>
  <c r="BO7" i="35"/>
  <c r="BO22" i="35" s="1"/>
  <c r="BN7" i="35"/>
  <c r="BN22" i="35" s="1"/>
  <c r="BM7" i="35"/>
  <c r="BM22" i="35" s="1"/>
  <c r="BL7" i="35"/>
  <c r="BL22" i="35" s="1"/>
  <c r="BK7" i="35"/>
  <c r="BK22" i="35" s="1"/>
  <c r="BH7" i="34"/>
  <c r="BG7" i="34"/>
  <c r="BF7" i="34"/>
  <c r="BE7" i="34"/>
  <c r="BD7" i="34"/>
  <c r="BC7" i="34"/>
  <c r="BB7" i="34"/>
  <c r="BJ7" i="35"/>
  <c r="BJ22" i="35" s="1"/>
  <c r="BI7" i="35"/>
  <c r="BI22" i="35" s="1"/>
  <c r="BH7" i="35"/>
  <c r="BH22" i="35" s="1"/>
  <c r="BG7" i="35"/>
  <c r="BG22" i="35" s="1"/>
  <c r="BF7" i="35"/>
  <c r="BF22" i="35" s="1"/>
  <c r="BE7" i="35"/>
  <c r="BE22" i="35" s="1"/>
  <c r="BD7" i="35"/>
  <c r="BD22" i="35" s="1"/>
  <c r="BA7" i="34"/>
  <c r="AZ7" i="34"/>
  <c r="AY7" i="34"/>
  <c r="AX7" i="34"/>
  <c r="AW7" i="34"/>
  <c r="AV7" i="34"/>
  <c r="AU7" i="34"/>
  <c r="BC7" i="35"/>
  <c r="BC22" i="35" s="1"/>
  <c r="BB7" i="35"/>
  <c r="BB22" i="35" s="1"/>
  <c r="BA7" i="35"/>
  <c r="BA22" i="35" s="1"/>
  <c r="AZ7" i="35"/>
  <c r="AZ22" i="35" s="1"/>
  <c r="AY7" i="35"/>
  <c r="AY22" i="35" s="1"/>
  <c r="AX7" i="35"/>
  <c r="AX22" i="35" s="1"/>
  <c r="AW7" i="35"/>
  <c r="AW22" i="35" s="1"/>
  <c r="AT7" i="34"/>
  <c r="AS7" i="34"/>
  <c r="AR7" i="34"/>
  <c r="AQ7" i="34"/>
  <c r="AP7" i="34"/>
  <c r="AO7" i="34"/>
  <c r="AN7" i="34"/>
  <c r="AV7" i="35"/>
  <c r="AV22" i="35" s="1"/>
  <c r="AU7" i="35"/>
  <c r="AU22" i="35" s="1"/>
  <c r="AT7" i="35"/>
  <c r="AT22" i="35" s="1"/>
  <c r="AS7" i="35"/>
  <c r="AS22" i="35" s="1"/>
  <c r="AR7" i="35"/>
  <c r="AR22" i="35" s="1"/>
  <c r="AQ7" i="35"/>
  <c r="AQ22" i="35" s="1"/>
  <c r="AP7" i="35"/>
  <c r="AP22" i="35" s="1"/>
  <c r="AM7" i="34"/>
  <c r="AL7" i="34"/>
  <c r="AK7" i="34"/>
  <c r="AJ7" i="34"/>
  <c r="AI7" i="34"/>
  <c r="AH7" i="34"/>
  <c r="AG7" i="34"/>
  <c r="AO7" i="35"/>
  <c r="AO22" i="35" s="1"/>
  <c r="AN7" i="35"/>
  <c r="AN22" i="35" s="1"/>
  <c r="AM7" i="35"/>
  <c r="AM22" i="35" s="1"/>
  <c r="AL7" i="35"/>
  <c r="AL22" i="35" s="1"/>
  <c r="AK7" i="35"/>
  <c r="AK22" i="35" s="1"/>
  <c r="AJ7" i="35"/>
  <c r="AJ22" i="35" s="1"/>
  <c r="AI7" i="35"/>
  <c r="AI22" i="35" s="1"/>
  <c r="AF7" i="34"/>
  <c r="AE7" i="34"/>
  <c r="AD7" i="34"/>
  <c r="AC7" i="34"/>
  <c r="AB7" i="34"/>
  <c r="AA7" i="34"/>
  <c r="Z7" i="34"/>
  <c r="AH7" i="35"/>
  <c r="AH22" i="35" s="1"/>
  <c r="AG7" i="35"/>
  <c r="AG22" i="35" s="1"/>
  <c r="AF7" i="35"/>
  <c r="AF22" i="35" s="1"/>
  <c r="AE7" i="35"/>
  <c r="AE22" i="35" s="1"/>
  <c r="AD7" i="35"/>
  <c r="AD22" i="35" s="1"/>
  <c r="AC7" i="35"/>
  <c r="AC22" i="35" s="1"/>
  <c r="AB7" i="35"/>
  <c r="AB22" i="35" s="1"/>
  <c r="Y7" i="34"/>
  <c r="X7" i="34"/>
  <c r="W7" i="34"/>
  <c r="V7" i="34"/>
  <c r="U7" i="34"/>
  <c r="T7" i="34"/>
  <c r="S7" i="34"/>
  <c r="AA7" i="35"/>
  <c r="AA22" i="35" s="1"/>
  <c r="Z7" i="35"/>
  <c r="Z22" i="35" s="1"/>
  <c r="Y7" i="35"/>
  <c r="Y22" i="35" s="1"/>
  <c r="X7" i="35"/>
  <c r="X22" i="35" s="1"/>
  <c r="W7" i="35"/>
  <c r="W22" i="35" s="1"/>
  <c r="V7" i="35"/>
  <c r="V22" i="35" s="1"/>
  <c r="U7" i="35"/>
  <c r="BV5" i="34"/>
  <c r="BU5" i="34"/>
  <c r="BT5" i="34"/>
  <c r="BS5" i="34"/>
  <c r="BR5" i="34"/>
  <c r="BQ5" i="34"/>
  <c r="BP5" i="34"/>
  <c r="BX5" i="35"/>
  <c r="BW5" i="35"/>
  <c r="BV5" i="35"/>
  <c r="BU5" i="35"/>
  <c r="BT5" i="35"/>
  <c r="BS5" i="35"/>
  <c r="BR5" i="35"/>
  <c r="BO5" i="34"/>
  <c r="BN5" i="34"/>
  <c r="BM5" i="34"/>
  <c r="BL5" i="34"/>
  <c r="BK5" i="34"/>
  <c r="BJ5" i="34"/>
  <c r="BI5" i="34"/>
  <c r="BQ5" i="35"/>
  <c r="BP5" i="35"/>
  <c r="BO5" i="35"/>
  <c r="BN5" i="35"/>
  <c r="BM5" i="35"/>
  <c r="BL5" i="35"/>
  <c r="BK5" i="35"/>
  <c r="BH5" i="34"/>
  <c r="BG5" i="34"/>
  <c r="BF5" i="34"/>
  <c r="BE5" i="34"/>
  <c r="BD5" i="34"/>
  <c r="BC5" i="34"/>
  <c r="BB5" i="34"/>
  <c r="BJ5" i="35"/>
  <c r="BI5" i="35"/>
  <c r="BH5" i="35"/>
  <c r="BG5" i="35"/>
  <c r="BF5" i="35"/>
  <c r="BE5" i="35"/>
  <c r="BD5" i="35"/>
  <c r="BA5" i="34"/>
  <c r="AZ5" i="34"/>
  <c r="AY5" i="34"/>
  <c r="AX5" i="34"/>
  <c r="AW5" i="34"/>
  <c r="AV5" i="34"/>
  <c r="AU5" i="34"/>
  <c r="BC5" i="35"/>
  <c r="BB5" i="35"/>
  <c r="BA5" i="35"/>
  <c r="AZ5" i="35"/>
  <c r="AY5" i="35"/>
  <c r="AX5" i="35"/>
  <c r="AW5" i="35"/>
  <c r="AT5" i="34"/>
  <c r="AS5" i="34"/>
  <c r="AR5" i="34"/>
  <c r="AQ5" i="34"/>
  <c r="AP5" i="34"/>
  <c r="AO5" i="34"/>
  <c r="AN5" i="34"/>
  <c r="AV5" i="35"/>
  <c r="AU5" i="35"/>
  <c r="AT5" i="35"/>
  <c r="AS5" i="35"/>
  <c r="AR5" i="35"/>
  <c r="AQ5" i="35"/>
  <c r="AP5" i="35"/>
  <c r="AM5" i="34"/>
  <c r="AL5" i="34"/>
  <c r="AK5" i="34"/>
  <c r="AJ5" i="34"/>
  <c r="AI5" i="34"/>
  <c r="AH5" i="34"/>
  <c r="AG5" i="34"/>
  <c r="AO5" i="35"/>
  <c r="AN5" i="35"/>
  <c r="AM5" i="35"/>
  <c r="AL5" i="35"/>
  <c r="AK5" i="35"/>
  <c r="AJ5" i="35"/>
  <c r="AI5" i="35"/>
  <c r="AF5" i="34"/>
  <c r="AE5" i="34"/>
  <c r="AD5" i="34"/>
  <c r="AC5" i="34"/>
  <c r="AB5" i="34"/>
  <c r="AA5" i="34"/>
  <c r="Z5" i="34"/>
  <c r="AH5" i="35"/>
  <c r="AG5" i="35"/>
  <c r="AF5" i="35"/>
  <c r="AE5" i="35"/>
  <c r="AD5" i="35"/>
  <c r="AC5" i="35"/>
  <c r="AB5" i="35"/>
  <c r="Y5" i="34"/>
  <c r="X5" i="34"/>
  <c r="W5" i="34"/>
  <c r="V5" i="34"/>
  <c r="U5" i="34"/>
  <c r="T5" i="34"/>
  <c r="S5" i="34"/>
  <c r="AA5" i="35"/>
  <c r="Z5" i="35"/>
  <c r="Y5" i="35"/>
  <c r="X5" i="35"/>
  <c r="W5" i="35"/>
  <c r="V5" i="35"/>
  <c r="U5" i="35"/>
  <c r="T5" i="35" s="1"/>
  <c r="Y4" i="34"/>
  <c r="X4" i="34"/>
  <c r="W4" i="34"/>
  <c r="V4" i="34"/>
  <c r="U4" i="34"/>
  <c r="T4" i="34"/>
  <c r="S4" i="34"/>
  <c r="AA4" i="35"/>
  <c r="AA23" i="35" s="1"/>
  <c r="Z4" i="35"/>
  <c r="Z23" i="35" s="1"/>
  <c r="Y4" i="35"/>
  <c r="Y23" i="35" s="1"/>
  <c r="X4" i="35"/>
  <c r="X23" i="35" s="1"/>
  <c r="W4" i="35"/>
  <c r="W23" i="35" s="1"/>
  <c r="V4" i="35"/>
  <c r="V23" i="35" s="1"/>
  <c r="U4" i="35"/>
  <c r="AT2" i="34"/>
  <c r="AS2" i="34"/>
  <c r="AR2" i="34"/>
  <c r="AQ2" i="34"/>
  <c r="AP2" i="34"/>
  <c r="AO2" i="34"/>
  <c r="AN2" i="34"/>
  <c r="AV2" i="35"/>
  <c r="AU2" i="35"/>
  <c r="AT2" i="35"/>
  <c r="AS2" i="35"/>
  <c r="AR2" i="35"/>
  <c r="AQ2" i="35"/>
  <c r="AP2" i="35"/>
  <c r="AM2" i="34"/>
  <c r="AL2" i="34"/>
  <c r="AK2" i="34"/>
  <c r="AJ2" i="34"/>
  <c r="AI2" i="34"/>
  <c r="AH2" i="34"/>
  <c r="AG2" i="34"/>
  <c r="AO2" i="35"/>
  <c r="AN2" i="35"/>
  <c r="AM2" i="35"/>
  <c r="AL2" i="35"/>
  <c r="AK2" i="35"/>
  <c r="AJ2" i="35"/>
  <c r="AI2" i="35"/>
  <c r="CC63" i="34"/>
  <c r="CC3" i="34"/>
  <c r="CB3" i="34"/>
  <c r="CA3" i="34"/>
  <c r="BZ3" i="34"/>
  <c r="BY3" i="34"/>
  <c r="BX3" i="34"/>
  <c r="BW3" i="34"/>
  <c r="CE3" i="35"/>
  <c r="CE21" i="35" s="1"/>
  <c r="CE24" i="35" s="1"/>
  <c r="CD3" i="35"/>
  <c r="CD21" i="35" s="1"/>
  <c r="CD24" i="35" s="1"/>
  <c r="CC3" i="35"/>
  <c r="CC21" i="35" s="1"/>
  <c r="CC24" i="35" s="1"/>
  <c r="CB3" i="35"/>
  <c r="CB21" i="35" s="1"/>
  <c r="CB24" i="35" s="1"/>
  <c r="CA3" i="35"/>
  <c r="CA21" i="35" s="1"/>
  <c r="CA24" i="35" s="1"/>
  <c r="BZ3" i="35"/>
  <c r="BZ21" i="35" s="1"/>
  <c r="BZ24" i="35" s="1"/>
  <c r="BY3" i="35"/>
  <c r="BY21" i="35" s="1"/>
  <c r="BY24" i="35" s="1"/>
  <c r="BV63" i="34"/>
  <c r="BV3" i="34"/>
  <c r="BU3" i="34"/>
  <c r="BT3" i="34"/>
  <c r="BS3" i="34"/>
  <c r="BR3" i="34"/>
  <c r="BQ3" i="34"/>
  <c r="BP3" i="34"/>
  <c r="BX3" i="35"/>
  <c r="BW3" i="35"/>
  <c r="BV3" i="35"/>
  <c r="BU3" i="35"/>
  <c r="BT3" i="35"/>
  <c r="BS3" i="35"/>
  <c r="BR3" i="35"/>
  <c r="BO3" i="34"/>
  <c r="BN3" i="34"/>
  <c r="BM3" i="34"/>
  <c r="BL3" i="34"/>
  <c r="BK3" i="34"/>
  <c r="BJ3" i="34"/>
  <c r="BI3" i="34"/>
  <c r="BQ3" i="35"/>
  <c r="BP3" i="35"/>
  <c r="BO3" i="35"/>
  <c r="BN3" i="35"/>
  <c r="BM3" i="35"/>
  <c r="BL3" i="35"/>
  <c r="BK3" i="35"/>
  <c r="BH3" i="34"/>
  <c r="BG3" i="34"/>
  <c r="BF3" i="34"/>
  <c r="BE3" i="34"/>
  <c r="BD3" i="34"/>
  <c r="BC3" i="34"/>
  <c r="BB3" i="34"/>
  <c r="BJ3" i="35"/>
  <c r="BI3" i="35"/>
  <c r="BH3" i="35"/>
  <c r="BG3" i="35"/>
  <c r="BF3" i="35"/>
  <c r="BE3" i="35"/>
  <c r="BD3" i="35"/>
  <c r="BA63" i="34"/>
  <c r="BA3" i="34"/>
  <c r="AZ3" i="34"/>
  <c r="AY3" i="34"/>
  <c r="AX3" i="34"/>
  <c r="AW3" i="34"/>
  <c r="AV3" i="34"/>
  <c r="BC3" i="35"/>
  <c r="BB3" i="35"/>
  <c r="BA3" i="35"/>
  <c r="AZ3" i="35"/>
  <c r="AY3" i="35"/>
  <c r="AX3" i="35"/>
  <c r="AW3" i="35"/>
  <c r="AT63" i="34"/>
  <c r="AT3" i="34"/>
  <c r="AS3" i="34"/>
  <c r="AR3" i="34"/>
  <c r="AQ3" i="34"/>
  <c r="AP3" i="34"/>
  <c r="AO3" i="34"/>
  <c r="AN3" i="34"/>
  <c r="AV3" i="35"/>
  <c r="AU3" i="35"/>
  <c r="AT3" i="35"/>
  <c r="AS3" i="35"/>
  <c r="AR3" i="35"/>
  <c r="AQ3" i="35"/>
  <c r="AP3" i="35"/>
  <c r="AM63" i="34"/>
  <c r="AM3" i="34"/>
  <c r="AL3" i="34"/>
  <c r="AK3" i="34"/>
  <c r="AJ3" i="34"/>
  <c r="AI3" i="34"/>
  <c r="AH3" i="34"/>
  <c r="AG3" i="34"/>
  <c r="AO3" i="35"/>
  <c r="AN3" i="35"/>
  <c r="AM3" i="35"/>
  <c r="AL3" i="35"/>
  <c r="AK3" i="35"/>
  <c r="AJ3" i="35"/>
  <c r="AI3" i="35"/>
  <c r="AF63" i="34"/>
  <c r="AF3" i="34"/>
  <c r="AE3" i="34"/>
  <c r="AD3" i="34"/>
  <c r="AC3" i="34"/>
  <c r="AB3" i="34"/>
  <c r="AA3" i="34"/>
  <c r="Z3" i="34"/>
  <c r="AH3" i="35"/>
  <c r="AG3" i="35"/>
  <c r="AF3" i="35"/>
  <c r="AE3" i="35"/>
  <c r="AD3" i="35"/>
  <c r="AC3" i="35"/>
  <c r="AB3" i="35"/>
  <c r="Y3" i="34"/>
  <c r="X3" i="34"/>
  <c r="W3" i="34"/>
  <c r="V3" i="34"/>
  <c r="U3" i="34"/>
  <c r="T3" i="34"/>
  <c r="S3" i="34"/>
  <c r="AA3" i="35"/>
  <c r="Z3" i="35"/>
  <c r="Y3" i="35"/>
  <c r="X3" i="35"/>
  <c r="W3" i="35"/>
  <c r="V3" i="35"/>
  <c r="U3" i="35"/>
  <c r="IV47" i="25"/>
  <c r="IW47" i="25" s="1"/>
  <c r="IW41" i="25"/>
  <c r="IS45" i="25"/>
  <c r="IR47" i="25"/>
  <c r="IS47" i="25" s="1"/>
  <c r="IQ45" i="25"/>
  <c r="IP47" i="25"/>
  <c r="IQ47" i="25" s="1"/>
  <c r="IN45" i="25"/>
  <c r="IM47" i="25"/>
  <c r="IN47" i="25" s="1"/>
  <c r="IL45" i="25"/>
  <c r="IK47" i="25"/>
  <c r="IL47" i="25" s="1"/>
  <c r="II45" i="25"/>
  <c r="IH47" i="25"/>
  <c r="II47" i="25" s="1"/>
  <c r="IG45" i="25"/>
  <c r="IF47" i="25"/>
  <c r="IG47" i="25" s="1"/>
  <c r="ID45" i="25"/>
  <c r="IC47" i="25"/>
  <c r="ID47" i="25" s="1"/>
  <c r="IB45" i="25"/>
  <c r="IA47" i="25"/>
  <c r="IB47" i="25" s="1"/>
  <c r="NO51" i="28"/>
  <c r="NO52" i="28"/>
  <c r="NO53" i="28"/>
  <c r="NO54" i="28"/>
  <c r="NK51" i="28"/>
  <c r="NK52" i="28"/>
  <c r="NK53" i="28"/>
  <c r="NK54" i="28"/>
  <c r="NG51" i="28"/>
  <c r="NG52" i="28"/>
  <c r="NG53" i="28"/>
  <c r="NG54" i="28"/>
  <c r="NC51" i="28"/>
  <c r="NC52" i="28"/>
  <c r="NC53" i="28"/>
  <c r="NC54" i="28"/>
  <c r="MY51" i="28"/>
  <c r="MY52" i="28"/>
  <c r="MY53" i="28"/>
  <c r="MY54" i="28"/>
  <c r="MU51" i="28"/>
  <c r="MU52" i="28"/>
  <c r="MU53" i="28"/>
  <c r="MU54" i="28"/>
  <c r="OG51" i="28"/>
  <c r="OG52" i="28"/>
  <c r="OG53" i="28"/>
  <c r="OG54" i="28"/>
  <c r="K600" i="32"/>
  <c r="OK51" i="28"/>
  <c r="OK52" i="28"/>
  <c r="OK53" i="28"/>
  <c r="OK54" i="28"/>
  <c r="OO51" i="28"/>
  <c r="OO52" i="28"/>
  <c r="OO53" i="28"/>
  <c r="OO54" i="28"/>
  <c r="K602" i="32"/>
  <c r="OS51" i="28"/>
  <c r="OS52" i="28"/>
  <c r="OS53" i="28"/>
  <c r="OS54" i="28"/>
  <c r="OW51" i="28"/>
  <c r="OW52" i="28"/>
  <c r="OW53" i="28"/>
  <c r="OW54" i="28"/>
  <c r="QC51" i="28"/>
  <c r="QC52" i="28"/>
  <c r="QC53" i="28"/>
  <c r="QC54" i="28"/>
  <c r="PZ47" i="28"/>
  <c r="PY51" i="28"/>
  <c r="PY52" i="28"/>
  <c r="PY53" i="28"/>
  <c r="PY54" i="28"/>
  <c r="K610" i="32"/>
  <c r="PU51" i="28"/>
  <c r="PU52" i="28"/>
  <c r="PU53" i="28"/>
  <c r="PU54" i="28"/>
  <c r="K609" i="32"/>
  <c r="PQ51" i="28"/>
  <c r="PQ52" i="28"/>
  <c r="PQ53" i="28"/>
  <c r="PQ54" i="28"/>
  <c r="PM51" i="28"/>
  <c r="PM52" i="28"/>
  <c r="PM53" i="28"/>
  <c r="PM54" i="28"/>
  <c r="K607" i="32"/>
  <c r="PI51" i="28"/>
  <c r="PI52" i="28"/>
  <c r="PI53" i="28"/>
  <c r="PI54" i="28"/>
  <c r="K606" i="32"/>
  <c r="K618" i="32"/>
  <c r="RI51" i="28"/>
  <c r="RI52" i="28"/>
  <c r="RI53" i="28"/>
  <c r="RI54" i="28"/>
  <c r="RE51" i="28"/>
  <c r="RE52" i="28"/>
  <c r="RE53" i="28"/>
  <c r="RE54" i="28"/>
  <c r="K617" i="32"/>
  <c r="RA51" i="28"/>
  <c r="RA52" i="28"/>
  <c r="RA53" i="28"/>
  <c r="RA54" i="28"/>
  <c r="K616" i="32"/>
  <c r="QW51" i="28"/>
  <c r="QW52" i="28"/>
  <c r="QW53" i="28"/>
  <c r="QW54" i="28"/>
  <c r="QS51" i="28"/>
  <c r="QS52" i="28"/>
  <c r="QS53" i="28"/>
  <c r="QS54" i="28"/>
  <c r="QO51" i="28"/>
  <c r="QO52" i="28"/>
  <c r="QO53" i="28"/>
  <c r="QO54" i="28"/>
  <c r="K613" i="32"/>
  <c r="WH47" i="28"/>
  <c r="K646" i="32" s="1"/>
  <c r="WD47" i="28"/>
  <c r="K645" i="32" s="1"/>
  <c r="VZ47" i="28"/>
  <c r="K644" i="32" s="1"/>
  <c r="VV47" i="28"/>
  <c r="K643" i="32" s="1"/>
  <c r="XN47" i="28"/>
  <c r="XJ47" i="28"/>
  <c r="K651" i="32"/>
  <c r="XB47" i="28"/>
  <c r="K650" i="32" s="1"/>
  <c r="WX47" i="28"/>
  <c r="K649" i="32" s="1"/>
  <c r="WT47" i="28"/>
  <c r="YT47" i="28"/>
  <c r="YP47" i="28"/>
  <c r="YL47" i="28"/>
  <c r="YH47" i="28"/>
  <c r="YD47" i="28"/>
  <c r="XZ47" i="28"/>
  <c r="ZZ47" i="28"/>
  <c r="ZV47" i="28"/>
  <c r="ZR47" i="28"/>
  <c r="ZN47" i="28"/>
  <c r="ZJ47" i="28"/>
  <c r="ZF47" i="28"/>
  <c r="ABF47" i="28"/>
  <c r="ABB47" i="28"/>
  <c r="AAX47" i="28"/>
  <c r="AAT47" i="28"/>
  <c r="AAP47" i="28"/>
  <c r="AAL47" i="28"/>
  <c r="ACL47" i="28"/>
  <c r="ACH47" i="28"/>
  <c r="ACD47" i="28"/>
  <c r="ABZ47" i="28"/>
  <c r="ABV47" i="28"/>
  <c r="ABR47" i="28"/>
  <c r="ADR47" i="28"/>
  <c r="ADN47" i="28"/>
  <c r="ADJ47" i="28"/>
  <c r="ADF47" i="28"/>
  <c r="ADB47" i="28"/>
  <c r="ACX47" i="28"/>
  <c r="AEX47" i="28"/>
  <c r="AET47" i="28"/>
  <c r="AEP47" i="28"/>
  <c r="AEL47" i="28"/>
  <c r="AEH47" i="28"/>
  <c r="AED47" i="28"/>
  <c r="AGD47" i="28"/>
  <c r="AFZ47" i="28"/>
  <c r="AFV47" i="28"/>
  <c r="AFR47" i="28"/>
  <c r="AFN47" i="28"/>
  <c r="AFJ47" i="28"/>
  <c r="AHJ47" i="28"/>
  <c r="AHF47" i="28"/>
  <c r="AHB47" i="28"/>
  <c r="AGX47" i="28"/>
  <c r="AGT47" i="28"/>
  <c r="AGP47" i="28"/>
  <c r="AIP47" i="28"/>
  <c r="AIL47" i="28"/>
  <c r="AIH47" i="28"/>
  <c r="AID47" i="28"/>
  <c r="AHZ47" i="28"/>
  <c r="AHV47" i="28"/>
  <c r="AJF47" i="28"/>
  <c r="AJB47" i="28"/>
  <c r="QM51" i="28"/>
  <c r="QM52" i="28"/>
  <c r="QM53" i="28"/>
  <c r="QM54" i="28"/>
  <c r="QI51" i="28"/>
  <c r="QI52" i="28"/>
  <c r="QI53" i="28"/>
  <c r="QI54" i="28"/>
  <c r="PW51" i="28"/>
  <c r="PW52" i="28"/>
  <c r="PW53" i="28"/>
  <c r="PW54" i="28"/>
  <c r="QE51" i="28"/>
  <c r="QE52" i="28"/>
  <c r="QE53" i="28"/>
  <c r="QE54" i="28"/>
  <c r="VR47" i="28"/>
  <c r="K642" i="32" s="1"/>
  <c r="VN47" i="28"/>
  <c r="K641" i="32" s="1"/>
  <c r="VB47" i="28"/>
  <c r="K639" i="32" s="1"/>
  <c r="UX47" i="28"/>
  <c r="K638" i="32" s="1"/>
  <c r="UT47" i="28"/>
  <c r="UP47" i="28"/>
  <c r="UL47" i="28"/>
  <c r="UH47" i="28"/>
  <c r="I25" i="24"/>
  <c r="LA25" i="25"/>
  <c r="LF25" i="25" s="1"/>
  <c r="I6" i="24"/>
  <c r="LA6" i="25"/>
  <c r="LF6" i="25" s="1"/>
  <c r="LC6" i="25"/>
  <c r="LE6" i="25" s="1"/>
  <c r="GX41" i="25"/>
  <c r="GY38" i="25"/>
  <c r="HV40" i="25"/>
  <c r="LA8" i="25"/>
  <c r="LF8" i="25" s="1"/>
  <c r="HV39" i="25"/>
  <c r="LA11" i="25"/>
  <c r="LF11" i="25" s="1"/>
  <c r="K15" i="24"/>
  <c r="AC15" i="24" s="1"/>
  <c r="LA15" i="25"/>
  <c r="LF15" i="25" s="1"/>
  <c r="K16" i="24"/>
  <c r="AC16" i="24" s="1"/>
  <c r="LA16" i="25"/>
  <c r="K18" i="24"/>
  <c r="AC18" i="24" s="1"/>
  <c r="LA18" i="25"/>
  <c r="LF18" i="25" s="1"/>
  <c r="K19" i="24"/>
  <c r="AC19" i="24" s="1"/>
  <c r="LA19" i="25"/>
  <c r="LF19" i="25" s="1"/>
  <c r="K20" i="24"/>
  <c r="AC20" i="24" s="1"/>
  <c r="LA20" i="25"/>
  <c r="LF20" i="25" s="1"/>
  <c r="K21" i="24"/>
  <c r="AC21" i="24" s="1"/>
  <c r="LA21" i="25"/>
  <c r="LF21" i="25" s="1"/>
  <c r="K22" i="24"/>
  <c r="AC22" i="24" s="1"/>
  <c r="LA22" i="25"/>
  <c r="LF22" i="25" s="1"/>
  <c r="K23" i="24"/>
  <c r="AC23" i="24" s="1"/>
  <c r="LA23" i="25"/>
  <c r="LF23" i="25" s="1"/>
  <c r="K24" i="24"/>
  <c r="AC24" i="24" s="1"/>
  <c r="LA24" i="25"/>
  <c r="K29" i="24"/>
  <c r="AC29" i="24" s="1"/>
  <c r="LA29" i="25"/>
  <c r="LF29" i="25" s="1"/>
  <c r="K27" i="24"/>
  <c r="AC27" i="24" s="1"/>
  <c r="LA27" i="25"/>
  <c r="LF27" i="25" s="1"/>
  <c r="LA30" i="25"/>
  <c r="LF30" i="25" s="1"/>
  <c r="K33" i="24"/>
  <c r="AC33" i="24" s="1"/>
  <c r="LA33" i="25"/>
  <c r="LF33" i="25" s="1"/>
  <c r="K34" i="24"/>
  <c r="LA34" i="25"/>
  <c r="RK51" i="28"/>
  <c r="RK52" i="28"/>
  <c r="RK53" i="28"/>
  <c r="RK54" i="28"/>
  <c r="RK50" i="28"/>
  <c r="RK55" i="28" s="1"/>
  <c r="RN36" i="28"/>
  <c r="GK54" i="25"/>
  <c r="GL54" i="25"/>
  <c r="FM35" i="25"/>
  <c r="FU3" i="25" s="1"/>
  <c r="N1" i="27" s="1"/>
  <c r="P4" i="27"/>
  <c r="K25" i="24"/>
  <c r="AC25" i="24" s="1"/>
  <c r="FQ45" i="25"/>
  <c r="FR45" i="25" s="1"/>
  <c r="FR44" i="25"/>
  <c r="FG47" i="25"/>
  <c r="FH47" i="25" s="1"/>
  <c r="FH41" i="25"/>
  <c r="FU44" i="25"/>
  <c r="FB45" i="25"/>
  <c r="FC45" i="25" s="1"/>
  <c r="FC43" i="25"/>
  <c r="FU45" i="25"/>
  <c r="FB41" i="25"/>
  <c r="FC38" i="25"/>
  <c r="EO44" i="25"/>
  <c r="EN45" i="25"/>
  <c r="EO45" i="25" s="1"/>
  <c r="EO39" i="25"/>
  <c r="EN41" i="25"/>
  <c r="EJ44" i="25"/>
  <c r="EI45" i="25"/>
  <c r="EJ45" i="25" s="1"/>
  <c r="EJ39" i="25"/>
  <c r="EI41" i="25"/>
  <c r="AKY47" i="28"/>
  <c r="AKU47" i="28"/>
  <c r="AKQ47" i="28"/>
  <c r="AKM47" i="28"/>
  <c r="AKI47" i="28"/>
  <c r="AKE47" i="28"/>
  <c r="AKA47" i="28"/>
  <c r="AJS47" i="28"/>
  <c r="AJO47" i="28"/>
  <c r="AJK47" i="28"/>
  <c r="AJG47" i="28"/>
  <c r="TS47" i="28"/>
  <c r="TO47" i="28"/>
  <c r="TK47" i="28"/>
  <c r="TG47" i="28"/>
  <c r="TC47" i="28"/>
  <c r="SY47" i="28"/>
  <c r="SU47" i="28"/>
  <c r="SM47" i="28"/>
  <c r="SI47" i="28"/>
  <c r="SE47" i="28"/>
  <c r="SA47" i="28"/>
  <c r="RW47" i="28"/>
  <c r="RS47" i="28"/>
  <c r="RO47" i="28"/>
  <c r="RG47" i="28"/>
  <c r="RC47" i="28"/>
  <c r="QY47" i="28"/>
  <c r="QU47" i="28"/>
  <c r="QQ47" i="28"/>
  <c r="QA47" i="28"/>
  <c r="PS47" i="28"/>
  <c r="PO47" i="28"/>
  <c r="PK47" i="28"/>
  <c r="PG47" i="28"/>
  <c r="PC47" i="28"/>
  <c r="OU47" i="28"/>
  <c r="OM47" i="28"/>
  <c r="OI47" i="28"/>
  <c r="OE47" i="28"/>
  <c r="OA47" i="28"/>
  <c r="NW47" i="28"/>
  <c r="OY41" i="28"/>
  <c r="OY38" i="28"/>
  <c r="PB38" i="28" s="1"/>
  <c r="PB7" i="28"/>
  <c r="OY36" i="28"/>
  <c r="OQ47" i="28"/>
  <c r="I4" i="27"/>
  <c r="EE35" i="25"/>
  <c r="EW3" i="25" s="1"/>
  <c r="H1" i="27" s="1"/>
  <c r="LB35" i="25"/>
  <c r="LB38" i="25"/>
  <c r="LB41" i="25" s="1"/>
  <c r="LB47" i="25" s="1"/>
  <c r="OY45" i="28"/>
  <c r="HY39" i="25"/>
  <c r="HY40" i="25"/>
  <c r="L31" i="27"/>
  <c r="J31" i="27"/>
  <c r="I31" i="27"/>
  <c r="H12" i="27"/>
  <c r="UY55" i="28"/>
  <c r="UU55" i="28"/>
  <c r="UQ55" i="28"/>
  <c r="UM55" i="28"/>
  <c r="UI55" i="28"/>
  <c r="UE55" i="28"/>
  <c r="UA55" i="28"/>
  <c r="TV47" i="28"/>
  <c r="TU51" i="28"/>
  <c r="TU52" i="28"/>
  <c r="TU53" i="28"/>
  <c r="TU54" i="28"/>
  <c r="TR47" i="28"/>
  <c r="TQ51" i="28"/>
  <c r="TQ52" i="28"/>
  <c r="TQ53" i="28"/>
  <c r="TQ54" i="28"/>
  <c r="HY41" i="25"/>
  <c r="HX47" i="25"/>
  <c r="HY47" i="25" s="1"/>
  <c r="TN47" i="28"/>
  <c r="TM51" i="28"/>
  <c r="TM52" i="28"/>
  <c r="TM53" i="28"/>
  <c r="TM54" i="28"/>
  <c r="TJ47" i="28"/>
  <c r="TI51" i="28"/>
  <c r="TI52" i="28"/>
  <c r="TI53" i="28"/>
  <c r="TI54" i="28"/>
  <c r="TF47" i="28"/>
  <c r="TE51" i="28"/>
  <c r="TE52" i="28"/>
  <c r="TE53" i="28"/>
  <c r="TE54" i="28"/>
  <c r="TB47" i="28"/>
  <c r="TA51" i="28"/>
  <c r="TA52" i="28"/>
  <c r="TA53" i="28"/>
  <c r="TA54" i="28"/>
  <c r="SP47" i="28"/>
  <c r="SO51" i="28"/>
  <c r="SO52" i="28"/>
  <c r="SO53" i="28"/>
  <c r="SO54" i="28"/>
  <c r="SL47" i="28"/>
  <c r="SK51" i="28"/>
  <c r="SK52" i="28"/>
  <c r="SK53" i="28"/>
  <c r="SK54" i="28"/>
  <c r="SH47" i="28"/>
  <c r="SG51" i="28"/>
  <c r="SG52" i="28"/>
  <c r="SG53" i="28"/>
  <c r="SG54" i="28"/>
  <c r="SD47" i="28"/>
  <c r="SC51" i="28"/>
  <c r="SC52" i="28"/>
  <c r="SC53" i="28"/>
  <c r="SC54" i="28"/>
  <c r="RZ47" i="28"/>
  <c r="RY51" i="28"/>
  <c r="RY52" i="28"/>
  <c r="RY53" i="28"/>
  <c r="RY54" i="28"/>
  <c r="RV47" i="28"/>
  <c r="RU51" i="28"/>
  <c r="RU52" i="28"/>
  <c r="RU53" i="28"/>
  <c r="RU54" i="28"/>
  <c r="SQ55" i="28"/>
  <c r="HO47" i="25"/>
  <c r="HP41" i="25"/>
  <c r="HM47" i="25"/>
  <c r="HN41" i="25"/>
  <c r="HJ47" i="25"/>
  <c r="HK41" i="25"/>
  <c r="HH47" i="25"/>
  <c r="HI41" i="25"/>
  <c r="HE47" i="25"/>
  <c r="HF47" i="25" s="1"/>
  <c r="HF41" i="25"/>
  <c r="HC47" i="25"/>
  <c r="HD47" i="25" s="1"/>
  <c r="HD41" i="25"/>
  <c r="GZ47" i="25"/>
  <c r="HA41" i="25"/>
  <c r="GX47" i="25"/>
  <c r="GY47" i="25" s="1"/>
  <c r="GY41" i="25"/>
  <c r="RJ47" i="28"/>
  <c r="RB47" i="28"/>
  <c r="QX47" i="28"/>
  <c r="K615" i="32"/>
  <c r="QT47" i="28"/>
  <c r="K614" i="32"/>
  <c r="QP47" i="28"/>
  <c r="QD47" i="28"/>
  <c r="K611" i="32"/>
  <c r="PR47" i="28"/>
  <c r="K608" i="32"/>
  <c r="PN47" i="28"/>
  <c r="PJ47" i="28"/>
  <c r="K28" i="24"/>
  <c r="AC28" i="24" s="1"/>
  <c r="OX47" i="28"/>
  <c r="K604" i="32"/>
  <c r="OT47" i="28"/>
  <c r="K603" i="32"/>
  <c r="OL47" i="28"/>
  <c r="K601" i="32"/>
  <c r="ALF45" i="28"/>
  <c r="ALE47" i="28"/>
  <c r="AKD45" i="28"/>
  <c r="AKC47" i="28"/>
  <c r="AJZ45" i="28"/>
  <c r="AJY47" i="28"/>
  <c r="AIX45" i="28"/>
  <c r="AIW47" i="28"/>
  <c r="AIT45" i="28"/>
  <c r="AIS47" i="28"/>
  <c r="AHR45" i="28"/>
  <c r="AHQ47" i="28"/>
  <c r="AHN45" i="28"/>
  <c r="AHM47" i="28"/>
  <c r="AGL45" i="28"/>
  <c r="AGK47" i="28"/>
  <c r="AGH45" i="28"/>
  <c r="AGG47" i="28"/>
  <c r="AFF45" i="28"/>
  <c r="AFE47" i="28"/>
  <c r="AFB45" i="28"/>
  <c r="AFA47" i="28"/>
  <c r="ADZ45" i="28"/>
  <c r="ADY47" i="28"/>
  <c r="ADV45" i="28"/>
  <c r="ADU47" i="28"/>
  <c r="ACT45" i="28"/>
  <c r="ACS47" i="28"/>
  <c r="ACP45" i="28"/>
  <c r="ACO47" i="28"/>
  <c r="ABN45" i="28"/>
  <c r="ABM47" i="28"/>
  <c r="ABJ45" i="28"/>
  <c r="ABI47" i="28"/>
  <c r="AAH45" i="28"/>
  <c r="AAG47" i="28"/>
  <c r="AAD45" i="28"/>
  <c r="AAC47" i="28"/>
  <c r="ZB45" i="28"/>
  <c r="ZA47" i="28"/>
  <c r="YX45" i="28"/>
  <c r="YW47" i="28"/>
  <c r="XV45" i="28"/>
  <c r="XU47" i="28"/>
  <c r="XR45" i="28"/>
  <c r="XQ47" i="28"/>
  <c r="XR47" i="28" s="1"/>
  <c r="WP45" i="28"/>
  <c r="WO47" i="28"/>
  <c r="WL45" i="28"/>
  <c r="WK47" i="28"/>
  <c r="VJ45" i="28"/>
  <c r="VI47" i="28"/>
  <c r="VF45" i="28"/>
  <c r="VE47" i="28"/>
  <c r="UD45" i="28"/>
  <c r="UC47" i="28"/>
  <c r="TZ45" i="28"/>
  <c r="TY47" i="28"/>
  <c r="SX45" i="28"/>
  <c r="SW47" i="28"/>
  <c r="K626" i="32" s="1"/>
  <c r="ST45" i="28"/>
  <c r="SS47" i="28"/>
  <c r="RR45" i="28"/>
  <c r="RQ47" i="28"/>
  <c r="K619" i="32" s="1"/>
  <c r="RN45" i="28"/>
  <c r="RM47" i="28"/>
  <c r="QL45" i="28"/>
  <c r="QK47" i="28"/>
  <c r="QH45" i="28"/>
  <c r="QG47" i="28"/>
  <c r="PF45" i="28"/>
  <c r="PE47" i="28"/>
  <c r="PB45" i="28"/>
  <c r="PA47" i="28"/>
  <c r="OD45" i="28"/>
  <c r="OC47" i="28"/>
  <c r="HV43" i="25"/>
  <c r="K26" i="24"/>
  <c r="AC26" i="24" s="1"/>
  <c r="HV44" i="25"/>
  <c r="K30" i="24"/>
  <c r="AC30" i="24" s="1"/>
  <c r="K14" i="24"/>
  <c r="HV17" i="25"/>
  <c r="PD18" i="28"/>
  <c r="PH18" i="28"/>
  <c r="PH36" i="28" s="1"/>
  <c r="PL18" i="28"/>
  <c r="PL36" i="28" s="1"/>
  <c r="PP18" i="28"/>
  <c r="PP36" i="28" s="1"/>
  <c r="PT18" i="28"/>
  <c r="PT36" i="28" s="1"/>
  <c r="PX18" i="28"/>
  <c r="PX36" i="28" s="1"/>
  <c r="QB18" i="28"/>
  <c r="QB36" i="28" s="1"/>
  <c r="GX35" i="25"/>
  <c r="NZ45" i="28"/>
  <c r="NY47" i="28"/>
  <c r="GV6" i="25"/>
  <c r="GU38" i="25"/>
  <c r="GU35" i="25"/>
  <c r="GV35" i="25" s="1"/>
  <c r="NJ45" i="28"/>
  <c r="NI47" i="28"/>
  <c r="NN45" i="28"/>
  <c r="NM47" i="28"/>
  <c r="NR45" i="28"/>
  <c r="NQ47" i="28"/>
  <c r="NF45" i="28"/>
  <c r="NE47" i="28"/>
  <c r="NB45" i="28"/>
  <c r="NA47" i="28"/>
  <c r="MX45" i="28"/>
  <c r="MW47" i="28"/>
  <c r="NU47" i="28"/>
  <c r="MT45" i="28"/>
  <c r="MS47" i="28"/>
  <c r="NS36" i="28"/>
  <c r="NS44" i="28"/>
  <c r="NV44" i="28" s="1"/>
  <c r="NV35" i="28"/>
  <c r="MQ47" i="28"/>
  <c r="NS45" i="28"/>
  <c r="IX41" i="28"/>
  <c r="IZ38" i="28"/>
  <c r="JB38" i="28"/>
  <c r="JB41" i="28"/>
  <c r="IZ41" i="28"/>
  <c r="EX45" i="28"/>
  <c r="EZ45" i="28" s="1"/>
  <c r="EH45" i="28"/>
  <c r="BN45" i="28"/>
  <c r="DJ45" i="28"/>
  <c r="CL45" i="28"/>
  <c r="LE45" i="28"/>
  <c r="LD45" i="28"/>
  <c r="LE41" i="28"/>
  <c r="LD41" i="28"/>
  <c r="LA43" i="25"/>
  <c r="GQ47" i="25"/>
  <c r="GR41" i="25"/>
  <c r="GO47" i="25"/>
  <c r="GP41" i="25"/>
  <c r="GL47" i="25"/>
  <c r="GM41" i="25"/>
  <c r="GJ47" i="25"/>
  <c r="GK41" i="25"/>
  <c r="GG47" i="25"/>
  <c r="GH41" i="25"/>
  <c r="GE47" i="25"/>
  <c r="GF41" i="25"/>
  <c r="GB47" i="25"/>
  <c r="GC41" i="25"/>
  <c r="FZ47" i="25"/>
  <c r="GA41" i="25"/>
  <c r="FS47" i="25"/>
  <c r="FT41" i="25"/>
  <c r="AB13" i="24"/>
  <c r="AB12" i="24"/>
  <c r="AB11" i="24"/>
  <c r="AB10" i="24"/>
  <c r="AB9" i="24"/>
  <c r="AB8" i="24"/>
  <c r="AB7" i="24"/>
  <c r="AB6" i="24"/>
  <c r="AB31" i="24"/>
  <c r="AB32" i="24"/>
  <c r="AB30" i="24"/>
  <c r="AB29" i="24"/>
  <c r="AB27" i="24"/>
  <c r="AB26" i="24"/>
  <c r="J34" i="24"/>
  <c r="AC34" i="24" s="1"/>
  <c r="LA44" i="25"/>
  <c r="LA45" i="25" s="1"/>
  <c r="GS44" i="25"/>
  <c r="GS45" i="25" s="1"/>
  <c r="GS47" i="25" s="1"/>
  <c r="GS35" i="25"/>
  <c r="AB33" i="24"/>
  <c r="AB28" i="24"/>
  <c r="J35" i="24"/>
  <c r="J43" i="24" s="1"/>
  <c r="AB25" i="24"/>
  <c r="AB23" i="24"/>
  <c r="AB22" i="24"/>
  <c r="AB21" i="24"/>
  <c r="AB19" i="24"/>
  <c r="LA40" i="25"/>
  <c r="FU40" i="25"/>
  <c r="FQ41" i="25"/>
  <c r="FR38" i="25"/>
  <c r="FL41" i="25"/>
  <c r="FM38" i="25"/>
  <c r="FU38" i="25"/>
  <c r="FU35" i="25"/>
  <c r="H3" i="25" s="1"/>
  <c r="AB24" i="24"/>
  <c r="LA39" i="25"/>
  <c r="FX16" i="25"/>
  <c r="FU39" i="25"/>
  <c r="FN45" i="25"/>
  <c r="FO45" i="25" s="1"/>
  <c r="FO43" i="25"/>
  <c r="LC25" i="25"/>
  <c r="FX25" i="25"/>
  <c r="FW43" i="25"/>
  <c r="FX6" i="25"/>
  <c r="FW38" i="25"/>
  <c r="FW35" i="25"/>
  <c r="FX35" i="25" s="1"/>
  <c r="FN41" i="25"/>
  <c r="FO38" i="25"/>
  <c r="NV36" i="28" l="1"/>
  <c r="NS50" i="28"/>
  <c r="PB36" i="28"/>
  <c r="OY50" i="28"/>
  <c r="AAR51" i="28"/>
  <c r="AAR52" i="28"/>
  <c r="AAR53" i="28"/>
  <c r="AAR54" i="28"/>
  <c r="AAR55" i="28"/>
  <c r="AAV51" i="28"/>
  <c r="AAV52" i="28"/>
  <c r="AAV53" i="28"/>
  <c r="AAV54" i="28"/>
  <c r="AAV55" i="28"/>
  <c r="IL35" i="25"/>
  <c r="AF4" i="27"/>
  <c r="YV18" i="28"/>
  <c r="YV36" i="28" s="1"/>
  <c r="XT36" i="28"/>
  <c r="K63" i="33"/>
  <c r="E13" i="33"/>
  <c r="F13" i="33"/>
  <c r="G13" i="33"/>
  <c r="H13" i="33"/>
  <c r="I13" i="33"/>
  <c r="J13" i="33"/>
  <c r="K13" i="33"/>
  <c r="B13" i="34"/>
  <c r="C13" i="34"/>
  <c r="D13" i="34"/>
  <c r="K13" i="34"/>
  <c r="J13" i="34"/>
  <c r="I13" i="34"/>
  <c r="H13" i="34"/>
  <c r="G13" i="34"/>
  <c r="F13" i="34"/>
  <c r="E13" i="34"/>
  <c r="K13" i="35"/>
  <c r="J13" i="35"/>
  <c r="I13" i="35"/>
  <c r="H13" i="35"/>
  <c r="G13" i="35"/>
  <c r="F13" i="35"/>
  <c r="E13" i="35"/>
  <c r="L2" i="35"/>
  <c r="M23" i="35"/>
  <c r="L23" i="35" s="1"/>
  <c r="L4" i="35"/>
  <c r="M22" i="35"/>
  <c r="L22" i="35" s="1"/>
  <c r="L7" i="35"/>
  <c r="IQ35" i="25"/>
  <c r="AG4" i="27"/>
  <c r="AAB18" i="28"/>
  <c r="AAB36" i="28" s="1"/>
  <c r="YZ36" i="28"/>
  <c r="ZL54" i="28"/>
  <c r="ZL53" i="28"/>
  <c r="ZL52" i="28"/>
  <c r="ZL51" i="28"/>
  <c r="ZP51" i="28"/>
  <c r="ZP52" i="28"/>
  <c r="ZP53" i="28"/>
  <c r="ZP54" i="28"/>
  <c r="L13" i="33"/>
  <c r="M13" i="33"/>
  <c r="N13" i="33"/>
  <c r="O13" i="33"/>
  <c r="P13" i="33"/>
  <c r="Q13" i="33"/>
  <c r="R13" i="33"/>
  <c r="R13" i="34"/>
  <c r="Q13" i="34"/>
  <c r="P13" i="34"/>
  <c r="O13" i="34"/>
  <c r="N13" i="34"/>
  <c r="M13" i="34"/>
  <c r="L13" i="34"/>
  <c r="IT41" i="25"/>
  <c r="IT47" i="25" s="1"/>
  <c r="IT38" i="25"/>
  <c r="L17" i="24"/>
  <c r="L35" i="24" s="1"/>
  <c r="L43" i="24" s="1"/>
  <c r="S13" i="35"/>
  <c r="S21" i="35" s="1"/>
  <c r="S24" i="35" s="1"/>
  <c r="R13" i="35"/>
  <c r="R21" i="35" s="1"/>
  <c r="R24" i="35" s="1"/>
  <c r="Q13" i="35"/>
  <c r="Q21" i="35" s="1"/>
  <c r="Q24" i="35" s="1"/>
  <c r="P13" i="35"/>
  <c r="P21" i="35" s="1"/>
  <c r="P24" i="35" s="1"/>
  <c r="O13" i="35"/>
  <c r="O21" i="35" s="1"/>
  <c r="O24" i="35" s="1"/>
  <c r="N13" i="35"/>
  <c r="N21" i="35" s="1"/>
  <c r="N24" i="35" s="1"/>
  <c r="M13" i="35"/>
  <c r="M37" i="35"/>
  <c r="L27" i="35"/>
  <c r="M38" i="35"/>
  <c r="L38" i="35" s="1"/>
  <c r="L32" i="35"/>
  <c r="U38" i="35"/>
  <c r="T38" i="35" s="1"/>
  <c r="T35" i="35"/>
  <c r="T29" i="35"/>
  <c r="U37" i="35"/>
  <c r="KN35" i="25"/>
  <c r="AQ4" i="27"/>
  <c r="KN38" i="25"/>
  <c r="KM41" i="25"/>
  <c r="AJX18" i="28"/>
  <c r="AJX36" i="28" s="1"/>
  <c r="AIV36" i="28"/>
  <c r="BP13" i="33"/>
  <c r="BQ13" i="33"/>
  <c r="BR13" i="33"/>
  <c r="BS13" i="33"/>
  <c r="BT13" i="33"/>
  <c r="BU13" i="33"/>
  <c r="BV13" i="33"/>
  <c r="BV13" i="34"/>
  <c r="BU13" i="34"/>
  <c r="BT13" i="34"/>
  <c r="BS13" i="34"/>
  <c r="BR13" i="34"/>
  <c r="BQ13" i="34"/>
  <c r="BP13" i="34"/>
  <c r="BX13" i="35"/>
  <c r="BX21" i="35" s="1"/>
  <c r="BX24" i="35" s="1"/>
  <c r="BW13" i="35"/>
  <c r="BW21" i="35" s="1"/>
  <c r="BW24" i="35" s="1"/>
  <c r="BV13" i="35"/>
  <c r="BV21" i="35" s="1"/>
  <c r="BV24" i="35" s="1"/>
  <c r="BU13" i="35"/>
  <c r="BU21" i="35" s="1"/>
  <c r="BU24" i="35" s="1"/>
  <c r="BT13" i="35"/>
  <c r="BT21" i="35" s="1"/>
  <c r="BT24" i="35" s="1"/>
  <c r="BS13" i="35"/>
  <c r="BS21" i="35" s="1"/>
  <c r="BS24" i="35" s="1"/>
  <c r="BR13" i="35"/>
  <c r="BR21" i="35" s="1"/>
  <c r="BR24" i="35" s="1"/>
  <c r="BX71" i="35"/>
  <c r="KI35" i="25"/>
  <c r="AP4" i="27"/>
  <c r="KI38" i="25"/>
  <c r="KH41" i="25"/>
  <c r="AIR18" i="28"/>
  <c r="AIR36" i="28" s="1"/>
  <c r="AHP36" i="28"/>
  <c r="BI13" i="33"/>
  <c r="BJ13" i="33"/>
  <c r="BK13" i="33"/>
  <c r="BL13" i="33"/>
  <c r="BM13" i="33"/>
  <c r="BN13" i="33"/>
  <c r="BO13" i="33"/>
  <c r="BO13" i="34"/>
  <c r="BN13" i="34"/>
  <c r="BM13" i="34"/>
  <c r="BL13" i="34"/>
  <c r="BK13" i="34"/>
  <c r="BJ13" i="34"/>
  <c r="BI13" i="34"/>
  <c r="BO63" i="34"/>
  <c r="BQ13" i="35"/>
  <c r="BQ21" i="35" s="1"/>
  <c r="BQ24" i="35" s="1"/>
  <c r="BP13" i="35"/>
  <c r="BP21" i="35" s="1"/>
  <c r="BP24" i="35" s="1"/>
  <c r="BO13" i="35"/>
  <c r="BO21" i="35" s="1"/>
  <c r="BO24" i="35" s="1"/>
  <c r="BN13" i="35"/>
  <c r="BN21" i="35" s="1"/>
  <c r="BN24" i="35" s="1"/>
  <c r="BM13" i="35"/>
  <c r="BM21" i="35" s="1"/>
  <c r="BM24" i="35" s="1"/>
  <c r="BL13" i="35"/>
  <c r="BL21" i="35" s="1"/>
  <c r="BL24" i="35" s="1"/>
  <c r="BK13" i="35"/>
  <c r="BK21" i="35" s="1"/>
  <c r="BK24" i="35" s="1"/>
  <c r="BQ71" i="35"/>
  <c r="KD35" i="25"/>
  <c r="AO4" i="27"/>
  <c r="KD38" i="25"/>
  <c r="KC41" i="25"/>
  <c r="AHL18" i="28"/>
  <c r="AHL36" i="28" s="1"/>
  <c r="AGJ36" i="28"/>
  <c r="BB13" i="33"/>
  <c r="BC13" i="33"/>
  <c r="BD13" i="33"/>
  <c r="BE13" i="33"/>
  <c r="BF13" i="33"/>
  <c r="BG13" i="33"/>
  <c r="BH13" i="33"/>
  <c r="BH13" i="34"/>
  <c r="BG13" i="34"/>
  <c r="BF13" i="34"/>
  <c r="BE13" i="34"/>
  <c r="BD13" i="34"/>
  <c r="BC13" i="34"/>
  <c r="BB13" i="34"/>
  <c r="BH63" i="34"/>
  <c r="BJ13" i="35"/>
  <c r="BJ21" i="35" s="1"/>
  <c r="BJ24" i="35" s="1"/>
  <c r="BI13" i="35"/>
  <c r="BI21" i="35" s="1"/>
  <c r="BI24" i="35" s="1"/>
  <c r="BH13" i="35"/>
  <c r="BH21" i="35" s="1"/>
  <c r="BH24" i="35" s="1"/>
  <c r="BG13" i="35"/>
  <c r="BG21" i="35" s="1"/>
  <c r="BG24" i="35" s="1"/>
  <c r="BF13" i="35"/>
  <c r="BF21" i="35" s="1"/>
  <c r="BF24" i="35" s="1"/>
  <c r="BE13" i="35"/>
  <c r="BE21" i="35" s="1"/>
  <c r="BE24" i="35" s="1"/>
  <c r="BD13" i="35"/>
  <c r="BD21" i="35" s="1"/>
  <c r="BD24" i="35" s="1"/>
  <c r="BJ71" i="35"/>
  <c r="JY35" i="25"/>
  <c r="KV3" i="25" s="1"/>
  <c r="AN4" i="27"/>
  <c r="N17" i="24"/>
  <c r="N35" i="24" s="1"/>
  <c r="N43" i="24" s="1"/>
  <c r="KV38" i="25"/>
  <c r="KV41" i="25" s="1"/>
  <c r="KV47" i="25" s="1"/>
  <c r="KV35" i="25"/>
  <c r="JY38" i="25"/>
  <c r="JX41" i="25"/>
  <c r="AGF18" i="28"/>
  <c r="AGF36" i="28" s="1"/>
  <c r="AFD36" i="28"/>
  <c r="AU13" i="33"/>
  <c r="AV13" i="33"/>
  <c r="AW13" i="33"/>
  <c r="AX13" i="33"/>
  <c r="AY13" i="33"/>
  <c r="AZ13" i="33"/>
  <c r="BA13" i="33"/>
  <c r="BA13" i="34"/>
  <c r="AZ13" i="34"/>
  <c r="AY13" i="34"/>
  <c r="AX13" i="34"/>
  <c r="AW13" i="34"/>
  <c r="AV13" i="34"/>
  <c r="AU13" i="34"/>
  <c r="BC13" i="35"/>
  <c r="BC21" i="35" s="1"/>
  <c r="BC24" i="35" s="1"/>
  <c r="BB13" i="35"/>
  <c r="BB21" i="35" s="1"/>
  <c r="BB24" i="35" s="1"/>
  <c r="BA13" i="35"/>
  <c r="BA21" i="35" s="1"/>
  <c r="BA24" i="35" s="1"/>
  <c r="AZ13" i="35"/>
  <c r="AZ21" i="35" s="1"/>
  <c r="AZ24" i="35" s="1"/>
  <c r="AY13" i="35"/>
  <c r="AY21" i="35" s="1"/>
  <c r="AY24" i="35" s="1"/>
  <c r="AX13" i="35"/>
  <c r="AX21" i="35" s="1"/>
  <c r="AX24" i="35" s="1"/>
  <c r="AW13" i="35"/>
  <c r="AW21" i="35" s="1"/>
  <c r="AW24" i="35" s="1"/>
  <c r="BC71" i="35"/>
  <c r="JO35" i="25"/>
  <c r="AL4" i="27"/>
  <c r="JO38" i="25"/>
  <c r="JN41" i="25"/>
  <c r="AEZ18" i="28"/>
  <c r="AEZ36" i="28" s="1"/>
  <c r="ADX36" i="28"/>
  <c r="AN13" i="33"/>
  <c r="AO13" i="33"/>
  <c r="AP13" i="33"/>
  <c r="AQ13" i="33"/>
  <c r="AR13" i="33"/>
  <c r="AS13" i="33"/>
  <c r="AT13" i="33"/>
  <c r="AT13" i="34"/>
  <c r="AS13" i="34"/>
  <c r="AR13" i="34"/>
  <c r="AQ13" i="34"/>
  <c r="AP13" i="34"/>
  <c r="AO13" i="34"/>
  <c r="AN13" i="34"/>
  <c r="AV13" i="35"/>
  <c r="AV21" i="35" s="1"/>
  <c r="AV24" i="35" s="1"/>
  <c r="AU13" i="35"/>
  <c r="AU21" i="35" s="1"/>
  <c r="AU24" i="35" s="1"/>
  <c r="AT13" i="35"/>
  <c r="AT21" i="35" s="1"/>
  <c r="AT24" i="35" s="1"/>
  <c r="AS13" i="35"/>
  <c r="AS21" i="35" s="1"/>
  <c r="AS24" i="35" s="1"/>
  <c r="AR13" i="35"/>
  <c r="AR21" i="35" s="1"/>
  <c r="AR24" i="35" s="1"/>
  <c r="AQ13" i="35"/>
  <c r="AQ21" i="35" s="1"/>
  <c r="AQ24" i="35" s="1"/>
  <c r="AP13" i="35"/>
  <c r="AP21" i="35" s="1"/>
  <c r="AP24" i="35" s="1"/>
  <c r="AV71" i="35"/>
  <c r="JJ35" i="25"/>
  <c r="AK4" i="27"/>
  <c r="JJ38" i="25"/>
  <c r="JI41" i="25"/>
  <c r="ADT18" i="28"/>
  <c r="ADT36" i="28" s="1"/>
  <c r="ACR36" i="28"/>
  <c r="AG13" i="33"/>
  <c r="AH13" i="33"/>
  <c r="AI13" i="33"/>
  <c r="AJ13" i="33"/>
  <c r="AK13" i="33"/>
  <c r="AL13" i="33"/>
  <c r="AM13" i="33"/>
  <c r="AM13" i="34"/>
  <c r="AL13" i="34"/>
  <c r="AK13" i="34"/>
  <c r="AJ13" i="34"/>
  <c r="AI13" i="34"/>
  <c r="AH13" i="34"/>
  <c r="AG13" i="34"/>
  <c r="AO13" i="35"/>
  <c r="AO21" i="35" s="1"/>
  <c r="AO24" i="35" s="1"/>
  <c r="AN13" i="35"/>
  <c r="AN21" i="35" s="1"/>
  <c r="AN24" i="35" s="1"/>
  <c r="AM13" i="35"/>
  <c r="AM21" i="35" s="1"/>
  <c r="AM24" i="35" s="1"/>
  <c r="AL13" i="35"/>
  <c r="AL21" i="35" s="1"/>
  <c r="AL24" i="35" s="1"/>
  <c r="AK13" i="35"/>
  <c r="AK21" i="35" s="1"/>
  <c r="AK24" i="35" s="1"/>
  <c r="AJ13" i="35"/>
  <c r="AJ21" i="35" s="1"/>
  <c r="AJ24" i="35" s="1"/>
  <c r="AI13" i="35"/>
  <c r="AI21" i="35" s="1"/>
  <c r="AI24" i="35" s="1"/>
  <c r="AO71" i="35"/>
  <c r="JE35" i="25"/>
  <c r="AJ4" i="27"/>
  <c r="JE38" i="25"/>
  <c r="JD41" i="25"/>
  <c r="ACN18" i="28"/>
  <c r="ACN36" i="28" s="1"/>
  <c r="ABL36" i="28"/>
  <c r="Z13" i="33"/>
  <c r="AA13" i="33"/>
  <c r="AB13" i="33"/>
  <c r="AC13" i="33"/>
  <c r="AD13" i="33"/>
  <c r="AE13" i="33"/>
  <c r="AF13" i="33"/>
  <c r="AF13" i="34"/>
  <c r="AE13" i="34"/>
  <c r="AD13" i="34"/>
  <c r="AC13" i="34"/>
  <c r="AB13" i="34"/>
  <c r="AA13" i="34"/>
  <c r="Z13" i="34"/>
  <c r="AH13" i="35"/>
  <c r="AH21" i="35" s="1"/>
  <c r="AH24" i="35" s="1"/>
  <c r="AG13" i="35"/>
  <c r="AG21" i="35" s="1"/>
  <c r="AG24" i="35" s="1"/>
  <c r="AF13" i="35"/>
  <c r="AF21" i="35" s="1"/>
  <c r="AF24" i="35" s="1"/>
  <c r="AE13" i="35"/>
  <c r="AE21" i="35" s="1"/>
  <c r="AE24" i="35" s="1"/>
  <c r="AD13" i="35"/>
  <c r="AD21" i="35" s="1"/>
  <c r="AD24" i="35" s="1"/>
  <c r="AC13" i="35"/>
  <c r="AC21" i="35" s="1"/>
  <c r="AC24" i="35" s="1"/>
  <c r="AB13" i="35"/>
  <c r="AB21" i="35" s="1"/>
  <c r="AB24" i="35" s="1"/>
  <c r="AH71" i="35"/>
  <c r="IZ35" i="25"/>
  <c r="JS3" i="25" s="1"/>
  <c r="AI4" i="27"/>
  <c r="M17" i="24"/>
  <c r="M35" i="24" s="1"/>
  <c r="M43" i="24" s="1"/>
  <c r="JS38" i="25"/>
  <c r="JS41" i="25" s="1"/>
  <c r="JS47" i="25" s="1"/>
  <c r="JS35" i="25"/>
  <c r="IZ38" i="25"/>
  <c r="IY41" i="25"/>
  <c r="ABH18" i="28"/>
  <c r="ABH36" i="28" s="1"/>
  <c r="AAF36" i="28"/>
  <c r="S13" i="33"/>
  <c r="T13" i="33"/>
  <c r="U13" i="33"/>
  <c r="V13" i="33"/>
  <c r="W13" i="33"/>
  <c r="X13" i="33"/>
  <c r="Y13" i="33"/>
  <c r="Y13" i="34"/>
  <c r="X13" i="34"/>
  <c r="W13" i="34"/>
  <c r="V13" i="34"/>
  <c r="U13" i="34"/>
  <c r="T13" i="34"/>
  <c r="S13" i="34"/>
  <c r="Y63" i="34"/>
  <c r="AA13" i="35"/>
  <c r="AA21" i="35" s="1"/>
  <c r="AA24" i="35" s="1"/>
  <c r="Z13" i="35"/>
  <c r="Z21" i="35" s="1"/>
  <c r="Z24" i="35" s="1"/>
  <c r="Y13" i="35"/>
  <c r="Y21" i="35" s="1"/>
  <c r="Y24" i="35" s="1"/>
  <c r="X13" i="35"/>
  <c r="X21" i="35" s="1"/>
  <c r="X24" i="35" s="1"/>
  <c r="W13" i="35"/>
  <c r="W21" i="35" s="1"/>
  <c r="W24" i="35" s="1"/>
  <c r="V13" i="35"/>
  <c r="V21" i="35" s="1"/>
  <c r="V24" i="35" s="1"/>
  <c r="U13" i="35"/>
  <c r="T13" i="35" s="1"/>
  <c r="AA71" i="35"/>
  <c r="U22" i="35"/>
  <c r="T22" i="35" s="1"/>
  <c r="T7" i="35"/>
  <c r="U23" i="35"/>
  <c r="T23" i="35" s="1"/>
  <c r="T4" i="35"/>
  <c r="T3" i="35"/>
  <c r="U21" i="35"/>
  <c r="MQ51" i="28"/>
  <c r="MQ52" i="28"/>
  <c r="MQ53" i="28"/>
  <c r="MQ54" i="28"/>
  <c r="K591" i="32"/>
  <c r="MS51" i="28"/>
  <c r="MS52" i="28"/>
  <c r="MS53" i="28"/>
  <c r="MS54" i="28"/>
  <c r="MW51" i="28"/>
  <c r="MW52" i="28"/>
  <c r="MW53" i="28"/>
  <c r="MW54" i="28"/>
  <c r="NA51" i="28"/>
  <c r="NA52" i="28"/>
  <c r="NA53" i="28"/>
  <c r="NA54" i="28"/>
  <c r="NE51" i="28"/>
  <c r="NE52" i="28"/>
  <c r="NE53" i="28"/>
  <c r="NE54" i="28"/>
  <c r="NQ51" i="28"/>
  <c r="NQ52" i="28"/>
  <c r="NQ53" i="28"/>
  <c r="NQ54" i="28"/>
  <c r="NM51" i="28"/>
  <c r="NM52" i="28"/>
  <c r="NM53" i="28"/>
  <c r="NM54" i="28"/>
  <c r="NI51" i="28"/>
  <c r="NI52" i="28"/>
  <c r="NI53" i="28"/>
  <c r="NI54" i="28"/>
  <c r="NY51" i="28"/>
  <c r="NY52" i="28"/>
  <c r="NY53" i="28"/>
  <c r="NY54" i="28"/>
  <c r="OC51" i="28"/>
  <c r="OC52" i="28"/>
  <c r="OC53" i="28"/>
  <c r="OC54" i="28"/>
  <c r="PE51" i="28"/>
  <c r="PE52" i="28"/>
  <c r="PE53" i="28"/>
  <c r="PE54" i="28"/>
  <c r="K605" i="32"/>
  <c r="QH47" i="28"/>
  <c r="QK51" i="28"/>
  <c r="QK52" i="28"/>
  <c r="QK53" i="28"/>
  <c r="QK54" i="28"/>
  <c r="WP47" i="28"/>
  <c r="K647" i="32" s="1"/>
  <c r="XV47" i="28"/>
  <c r="YX47" i="28"/>
  <c r="ZB47" i="28"/>
  <c r="AAD47" i="28"/>
  <c r="AAH47" i="28"/>
  <c r="ABJ47" i="28"/>
  <c r="ABN47" i="28"/>
  <c r="ACP47" i="28"/>
  <c r="ACT47" i="28"/>
  <c r="ADV47" i="28"/>
  <c r="ADZ47" i="28"/>
  <c r="AFB47" i="28"/>
  <c r="AFF47" i="28"/>
  <c r="AGH47" i="28"/>
  <c r="AGL47" i="28"/>
  <c r="AHN47" i="28"/>
  <c r="AHR47" i="28"/>
  <c r="AIT47" i="28"/>
  <c r="AIX47" i="28"/>
  <c r="AJZ47" i="28"/>
  <c r="AKD47" i="28"/>
  <c r="ALF47" i="28"/>
  <c r="OQ51" i="28"/>
  <c r="OQ52" i="28"/>
  <c r="OQ53" i="28"/>
  <c r="OQ54" i="28"/>
  <c r="NZ47" i="28"/>
  <c r="NW51" i="28"/>
  <c r="NW52" i="28"/>
  <c r="NW53" i="28"/>
  <c r="NW54" i="28"/>
  <c r="OA51" i="28"/>
  <c r="OA52" i="28"/>
  <c r="OA53" i="28"/>
  <c r="OA54" i="28"/>
  <c r="OH47" i="28"/>
  <c r="OE51" i="28"/>
  <c r="OE52" i="28"/>
  <c r="OE53" i="28"/>
  <c r="OE54" i="28"/>
  <c r="OI51" i="28"/>
  <c r="OI52" i="28"/>
  <c r="OI53" i="28"/>
  <c r="OI54" i="28"/>
  <c r="OP47" i="28"/>
  <c r="OM51" i="28"/>
  <c r="OM52" i="28"/>
  <c r="OM53" i="28"/>
  <c r="OM54" i="28"/>
  <c r="OU51" i="28"/>
  <c r="OU52" i="28"/>
  <c r="OU53" i="28"/>
  <c r="OU54" i="28"/>
  <c r="PC51" i="28"/>
  <c r="PC52" i="28"/>
  <c r="PC53" i="28"/>
  <c r="PC54" i="28"/>
  <c r="PG51" i="28"/>
  <c r="PG52" i="28"/>
  <c r="PG53" i="28"/>
  <c r="PG54" i="28"/>
  <c r="PK51" i="28"/>
  <c r="PK52" i="28"/>
  <c r="PK53" i="28"/>
  <c r="PK54" i="28"/>
  <c r="PO51" i="28"/>
  <c r="PO52" i="28"/>
  <c r="PO53" i="28"/>
  <c r="PO54" i="28"/>
  <c r="PV47" i="28"/>
  <c r="PS51" i="28"/>
  <c r="PS52" i="28"/>
  <c r="PS53" i="28"/>
  <c r="PS54" i="28"/>
  <c r="QA51" i="28"/>
  <c r="QA52" i="28"/>
  <c r="QA53" i="28"/>
  <c r="QA54" i="28"/>
  <c r="QQ51" i="28"/>
  <c r="QQ52" i="28"/>
  <c r="QQ53" i="28"/>
  <c r="QQ54" i="28"/>
  <c r="QU51" i="28"/>
  <c r="QU52" i="28"/>
  <c r="QU53" i="28"/>
  <c r="QU54" i="28"/>
  <c r="QY51" i="28"/>
  <c r="QY52" i="28"/>
  <c r="QY53" i="28"/>
  <c r="QY54" i="28"/>
  <c r="RC51" i="28"/>
  <c r="RC52" i="28"/>
  <c r="RC53" i="28"/>
  <c r="RC54" i="28"/>
  <c r="RG51" i="28"/>
  <c r="RG52" i="28"/>
  <c r="RG53" i="28"/>
  <c r="RG54" i="28"/>
  <c r="AJJ47" i="28"/>
  <c r="AJN47" i="28"/>
  <c r="AJR47" i="28"/>
  <c r="AJV47" i="28"/>
  <c r="AKH47" i="28"/>
  <c r="AKL47" i="28"/>
  <c r="AKP47" i="28"/>
  <c r="AKT47" i="28"/>
  <c r="AKX47" i="28"/>
  <c r="ALB47" i="28"/>
  <c r="QE55" i="28"/>
  <c r="PW55" i="28"/>
  <c r="QI55" i="28"/>
  <c r="QM55" i="28"/>
  <c r="QO55" i="28"/>
  <c r="QS55" i="28"/>
  <c r="QW55" i="28"/>
  <c r="RA55" i="28"/>
  <c r="RE55" i="28"/>
  <c r="RI55" i="28"/>
  <c r="PI55" i="28"/>
  <c r="PM55" i="28"/>
  <c r="PQ55" i="28"/>
  <c r="PU55" i="28"/>
  <c r="PY55" i="28"/>
  <c r="QC55" i="28"/>
  <c r="OW55" i="28"/>
  <c r="OS55" i="28"/>
  <c r="OO55" i="28"/>
  <c r="OK55" i="28"/>
  <c r="OG55" i="28"/>
  <c r="MU55" i="28"/>
  <c r="MY55" i="28"/>
  <c r="NC55" i="28"/>
  <c r="NG55" i="28"/>
  <c r="NK55" i="28"/>
  <c r="NO55" i="28"/>
  <c r="VJ47" i="28"/>
  <c r="K640" i="32" s="1"/>
  <c r="WL47" i="28"/>
  <c r="VA55" i="28"/>
  <c r="UW55" i="28"/>
  <c r="US55" i="28"/>
  <c r="UO55" i="28"/>
  <c r="UK55" i="28"/>
  <c r="UD47" i="28"/>
  <c r="VF47" i="28"/>
  <c r="UG55" i="28"/>
  <c r="LA17" i="25"/>
  <c r="LF17" i="25" s="1"/>
  <c r="HV38" i="25"/>
  <c r="HV41" i="25"/>
  <c r="TW55" i="28"/>
  <c r="M4" i="27"/>
  <c r="I7" i="27"/>
  <c r="I8" i="27"/>
  <c r="M8" i="27" s="1"/>
  <c r="I9" i="27"/>
  <c r="M9" i="27" s="1"/>
  <c r="I10" i="27"/>
  <c r="M10" i="27" s="1"/>
  <c r="I11" i="27"/>
  <c r="M11" i="27" s="1"/>
  <c r="OY47" i="28"/>
  <c r="PB41" i="28"/>
  <c r="RF47" i="28"/>
  <c r="RO51" i="28"/>
  <c r="RO52" i="28"/>
  <c r="RO53" i="28"/>
  <c r="RO54" i="28"/>
  <c r="RS51" i="28"/>
  <c r="RS52" i="28"/>
  <c r="RS53" i="28"/>
  <c r="RS54" i="28"/>
  <c r="RW51" i="28"/>
  <c r="RW52" i="28"/>
  <c r="RW53" i="28"/>
  <c r="RW54" i="28"/>
  <c r="SA51" i="28"/>
  <c r="SA52" i="28"/>
  <c r="SA53" i="28"/>
  <c r="SA54" i="28"/>
  <c r="SE51" i="28"/>
  <c r="SE52" i="28"/>
  <c r="SE53" i="28"/>
  <c r="SE54" i="28"/>
  <c r="SI51" i="28"/>
  <c r="SI52" i="28"/>
  <c r="SI53" i="28"/>
  <c r="SI54" i="28"/>
  <c r="SM51" i="28"/>
  <c r="SM52" i="28"/>
  <c r="SM53" i="28"/>
  <c r="SM54" i="28"/>
  <c r="SU51" i="28"/>
  <c r="SU52" i="28"/>
  <c r="SU53" i="28"/>
  <c r="SU54" i="28"/>
  <c r="SY51" i="28"/>
  <c r="SY52" i="28"/>
  <c r="SY53" i="28"/>
  <c r="SY54" i="28"/>
  <c r="TC51" i="28"/>
  <c r="TC52" i="28"/>
  <c r="TC53" i="28"/>
  <c r="TC54" i="28"/>
  <c r="TG51" i="28"/>
  <c r="TG52" i="28"/>
  <c r="TG53" i="28"/>
  <c r="TG54" i="28"/>
  <c r="TK51" i="28"/>
  <c r="TK52" i="28"/>
  <c r="TK53" i="28"/>
  <c r="TK54" i="28"/>
  <c r="TO51" i="28"/>
  <c r="TO52" i="28"/>
  <c r="TO53" i="28"/>
  <c r="TO54" i="28"/>
  <c r="TS51" i="28"/>
  <c r="TS52" i="28"/>
  <c r="TS53" i="28"/>
  <c r="TS54" i="28"/>
  <c r="EI47" i="25"/>
  <c r="EJ47" i="25" s="1"/>
  <c r="EJ41" i="25"/>
  <c r="EN47" i="25"/>
  <c r="EO47" i="25" s="1"/>
  <c r="EO41" i="25"/>
  <c r="FB47" i="25"/>
  <c r="FC47" i="25" s="1"/>
  <c r="FC41" i="25"/>
  <c r="R4" i="27"/>
  <c r="P11" i="27"/>
  <c r="R11" i="27" s="1"/>
  <c r="P10" i="27"/>
  <c r="R10" i="27" s="1"/>
  <c r="P9" i="27"/>
  <c r="R9" i="27" s="1"/>
  <c r="P8" i="27"/>
  <c r="R8" i="27" s="1"/>
  <c r="P7" i="27"/>
  <c r="VC55" i="28"/>
  <c r="TU55" i="28"/>
  <c r="TQ55" i="28"/>
  <c r="TM55" i="28"/>
  <c r="TI55" i="28"/>
  <c r="TE55" i="28"/>
  <c r="TA55" i="28"/>
  <c r="SX47" i="28"/>
  <c r="SW51" i="28"/>
  <c r="SW52" i="28"/>
  <c r="SW53" i="28"/>
  <c r="SW54" i="28"/>
  <c r="TZ47" i="28"/>
  <c r="SO55" i="28"/>
  <c r="SK55" i="28"/>
  <c r="SG55" i="28"/>
  <c r="SC55" i="28"/>
  <c r="RY55" i="28"/>
  <c r="RU55" i="28"/>
  <c r="RR47" i="28"/>
  <c r="RQ51" i="28"/>
  <c r="RQ52" i="28"/>
  <c r="RQ53" i="28"/>
  <c r="RQ54" i="28"/>
  <c r="ST47" i="28"/>
  <c r="HN47" i="25"/>
  <c r="HP47" i="25"/>
  <c r="HI47" i="25"/>
  <c r="HK47" i="25"/>
  <c r="HA47" i="25"/>
  <c r="RN47" i="28"/>
  <c r="QL47" i="28"/>
  <c r="K612" i="32"/>
  <c r="PF47" i="28"/>
  <c r="OD47" i="28"/>
  <c r="K599" i="32"/>
  <c r="HV45" i="25"/>
  <c r="GY35" i="25"/>
  <c r="HV3" i="25" s="1"/>
  <c r="X4" i="27"/>
  <c r="QF18" i="28"/>
  <c r="QF36" i="28" s="1"/>
  <c r="PD36" i="28"/>
  <c r="K17" i="24"/>
  <c r="HV47" i="25"/>
  <c r="HV35" i="25"/>
  <c r="AC14" i="24"/>
  <c r="K35" i="24"/>
  <c r="K43" i="24" s="1"/>
  <c r="AC43" i="24" s="1"/>
  <c r="K598" i="32"/>
  <c r="NR47" i="28"/>
  <c r="K597" i="32"/>
  <c r="NN47" i="28"/>
  <c r="K596" i="32"/>
  <c r="NJ47" i="28"/>
  <c r="K595" i="32"/>
  <c r="GU41" i="25"/>
  <c r="GV38" i="25"/>
  <c r="NV45" i="28"/>
  <c r="NS47" i="28"/>
  <c r="NV47" i="28"/>
  <c r="MX47" i="28"/>
  <c r="K592" i="32"/>
  <c r="NF47" i="28"/>
  <c r="K594" i="32"/>
  <c r="K593" i="32"/>
  <c r="NB47" i="28"/>
  <c r="AC35" i="24"/>
  <c r="MT47" i="28"/>
  <c r="CP45" i="28"/>
  <c r="CN45" i="28"/>
  <c r="DN45" i="28"/>
  <c r="DL45" i="28"/>
  <c r="BR45" i="28"/>
  <c r="BP45" i="28"/>
  <c r="EL45" i="28"/>
  <c r="EJ45" i="28"/>
  <c r="GP47" i="25"/>
  <c r="GR47" i="25"/>
  <c r="GK47" i="25"/>
  <c r="GM47" i="25"/>
  <c r="GF47" i="25"/>
  <c r="GH47" i="25"/>
  <c r="GA47" i="25"/>
  <c r="I3" i="22"/>
  <c r="I12" i="22" s="1"/>
  <c r="GC47" i="25"/>
  <c r="FT47" i="25"/>
  <c r="AB34" i="24"/>
  <c r="AB18" i="24"/>
  <c r="AB20" i="24"/>
  <c r="AB15" i="24"/>
  <c r="FQ47" i="25"/>
  <c r="FR41" i="25"/>
  <c r="AB16" i="24"/>
  <c r="FU41" i="25"/>
  <c r="FU47" i="25" s="1"/>
  <c r="LA38" i="25"/>
  <c r="LA41" i="25" s="1"/>
  <c r="LA47" i="25" s="1"/>
  <c r="LA35" i="25"/>
  <c r="I35" i="24"/>
  <c r="AB14" i="24"/>
  <c r="FL47" i="25"/>
  <c r="FM41" i="25"/>
  <c r="FN47" i="25"/>
  <c r="FO41" i="25"/>
  <c r="LC38" i="25"/>
  <c r="LC35" i="25"/>
  <c r="LE35" i="25" s="1"/>
  <c r="LD6" i="25"/>
  <c r="FX38" i="25"/>
  <c r="FW41" i="25"/>
  <c r="FX43" i="25"/>
  <c r="FW45" i="25"/>
  <c r="FX45" i="25" s="1"/>
  <c r="LD25" i="25"/>
  <c r="LC43" i="25"/>
  <c r="M39" i="35" l="1"/>
  <c r="L39" i="35" s="1"/>
  <c r="L37" i="35"/>
  <c r="L13" i="35"/>
  <c r="M21" i="35"/>
  <c r="AG11" i="27"/>
  <c r="AG10" i="27"/>
  <c r="AG9" i="27"/>
  <c r="AG8" i="27"/>
  <c r="AG7" i="27"/>
  <c r="AG12" i="27" s="1"/>
  <c r="AF11" i="27"/>
  <c r="AH11" i="27" s="1"/>
  <c r="AF10" i="27"/>
  <c r="AH10" i="27" s="1"/>
  <c r="AF9" i="27"/>
  <c r="AH9" i="27" s="1"/>
  <c r="AF8" i="27"/>
  <c r="AH8" i="27" s="1"/>
  <c r="AF7" i="27"/>
  <c r="AH4" i="27"/>
  <c r="IT3" i="25"/>
  <c r="U39" i="35"/>
  <c r="T39" i="35" s="1"/>
  <c r="T37" i="35"/>
  <c r="KN41" i="25"/>
  <c r="KM47" i="25"/>
  <c r="KN47" i="25" s="1"/>
  <c r="AQ11" i="27"/>
  <c r="AQ10" i="27"/>
  <c r="AQ9" i="27"/>
  <c r="AQ8" i="27"/>
  <c r="AQ7" i="27"/>
  <c r="AQ12" i="27" s="1"/>
  <c r="KI41" i="25"/>
  <c r="KH47" i="25"/>
  <c r="KI47" i="25" s="1"/>
  <c r="AP11" i="27"/>
  <c r="AP10" i="27"/>
  <c r="AP9" i="27"/>
  <c r="AP8" i="27"/>
  <c r="AP7" i="27"/>
  <c r="AP12" i="27" s="1"/>
  <c r="KD41" i="25"/>
  <c r="KC47" i="25"/>
  <c r="KD47" i="25" s="1"/>
  <c r="AO11" i="27"/>
  <c r="AO10" i="27"/>
  <c r="AO9" i="27"/>
  <c r="AO8" i="27"/>
  <c r="AO7" i="27"/>
  <c r="AO12" i="27" s="1"/>
  <c r="JY41" i="25"/>
  <c r="JX47" i="25"/>
  <c r="JY47" i="25" s="1"/>
  <c r="AS4" i="27"/>
  <c r="AN11" i="27"/>
  <c r="AS11" i="27" s="1"/>
  <c r="AN10" i="27"/>
  <c r="AS10" i="27" s="1"/>
  <c r="AN9" i="27"/>
  <c r="AS9" i="27" s="1"/>
  <c r="AN8" i="27"/>
  <c r="AS8" i="27" s="1"/>
  <c r="AN7" i="27"/>
  <c r="H22" i="31"/>
  <c r="H23" i="31"/>
  <c r="H24" i="31"/>
  <c r="H25" i="31"/>
  <c r="H26" i="31"/>
  <c r="H27" i="31"/>
  <c r="H28" i="31"/>
  <c r="H29" i="31"/>
  <c r="H30" i="31"/>
  <c r="H18" i="31"/>
  <c r="H19" i="31"/>
  <c r="H20" i="31"/>
  <c r="H21" i="31"/>
  <c r="H13" i="31"/>
  <c r="H14" i="31"/>
  <c r="H15" i="31"/>
  <c r="H16" i="31"/>
  <c r="H17" i="31"/>
  <c r="AN1" i="27"/>
  <c r="JO41" i="25"/>
  <c r="JN47" i="25"/>
  <c r="JO47" i="25" s="1"/>
  <c r="AL11" i="27"/>
  <c r="AL10" i="27"/>
  <c r="AL9" i="27"/>
  <c r="AL8" i="27"/>
  <c r="AL7" i="27"/>
  <c r="AL12" i="27" s="1"/>
  <c r="JJ41" i="25"/>
  <c r="JI47" i="25"/>
  <c r="JJ47" i="25" s="1"/>
  <c r="AK11" i="27"/>
  <c r="AK10" i="27"/>
  <c r="AK9" i="27"/>
  <c r="AK8" i="27"/>
  <c r="AK7" i="27"/>
  <c r="AK12" i="27" s="1"/>
  <c r="JE41" i="25"/>
  <c r="JD47" i="25"/>
  <c r="JE47" i="25" s="1"/>
  <c r="AJ11" i="27"/>
  <c r="AJ10" i="27"/>
  <c r="AJ9" i="27"/>
  <c r="AJ8" i="27"/>
  <c r="AJ7" i="27"/>
  <c r="AJ12" i="27" s="1"/>
  <c r="IZ41" i="25"/>
  <c r="IY47" i="25"/>
  <c r="IZ47" i="25" s="1"/>
  <c r="AM4" i="27"/>
  <c r="AI11" i="27"/>
  <c r="AM11" i="27" s="1"/>
  <c r="AI10" i="27"/>
  <c r="AM10" i="27" s="1"/>
  <c r="AI9" i="27"/>
  <c r="AM9" i="27" s="1"/>
  <c r="AI8" i="27"/>
  <c r="AM8" i="27" s="1"/>
  <c r="AI7" i="27"/>
  <c r="G22" i="31"/>
  <c r="G23" i="31"/>
  <c r="G24" i="31"/>
  <c r="G25" i="31"/>
  <c r="G18" i="31"/>
  <c r="G19" i="31"/>
  <c r="G20" i="31"/>
  <c r="G21" i="31"/>
  <c r="G13" i="31"/>
  <c r="G14" i="31"/>
  <c r="G15" i="31"/>
  <c r="G16" i="31"/>
  <c r="G17" i="31"/>
  <c r="AI1" i="27"/>
  <c r="U24" i="35"/>
  <c r="T24" i="35" s="1"/>
  <c r="T21" i="35"/>
  <c r="LF35" i="25"/>
  <c r="NS51" i="28"/>
  <c r="NS52" i="28"/>
  <c r="NS53" i="28"/>
  <c r="NS54" i="28"/>
  <c r="PB47" i="28"/>
  <c r="OY51" i="28"/>
  <c r="OY52" i="28"/>
  <c r="OY53" i="28"/>
  <c r="OY54" i="28"/>
  <c r="RG55" i="28"/>
  <c r="RC55" i="28"/>
  <c r="QY55" i="28"/>
  <c r="QU55" i="28"/>
  <c r="QQ55" i="28"/>
  <c r="QA55" i="28"/>
  <c r="PS55" i="28"/>
  <c r="PO55" i="28"/>
  <c r="PK55" i="28"/>
  <c r="PG55" i="28"/>
  <c r="PC55" i="28"/>
  <c r="OU55" i="28"/>
  <c r="OM55" i="28"/>
  <c r="OI55" i="28"/>
  <c r="OE55" i="28"/>
  <c r="OA55" i="28"/>
  <c r="NW55" i="28"/>
  <c r="OQ55" i="28"/>
  <c r="QK55" i="28"/>
  <c r="QG55" i="28"/>
  <c r="PE55" i="28"/>
  <c r="PA55" i="28"/>
  <c r="OC55" i="28"/>
  <c r="NY55" i="28"/>
  <c r="NI55" i="28"/>
  <c r="NM55" i="28"/>
  <c r="NQ55" i="28"/>
  <c r="NE55" i="28"/>
  <c r="NA55" i="28"/>
  <c r="MW55" i="28"/>
  <c r="NU55" i="28"/>
  <c r="MS55" i="28"/>
  <c r="MQ55" i="28"/>
  <c r="UC55" i="28"/>
  <c r="VE55" i="28"/>
  <c r="P12" i="27"/>
  <c r="R7" i="27"/>
  <c r="R12" i="27" s="1"/>
  <c r="TS55" i="28"/>
  <c r="TO55" i="28"/>
  <c r="TK55" i="28"/>
  <c r="TG55" i="28"/>
  <c r="TC55" i="28"/>
  <c r="SY55" i="28"/>
  <c r="SU55" i="28"/>
  <c r="SM55" i="28"/>
  <c r="SI55" i="28"/>
  <c r="SE55" i="28"/>
  <c r="SA55" i="28"/>
  <c r="RW55" i="28"/>
  <c r="RS55" i="28"/>
  <c r="RO55" i="28"/>
  <c r="M7" i="27"/>
  <c r="M12" i="27" s="1"/>
  <c r="I12" i="27"/>
  <c r="TY55" i="28"/>
  <c r="SW55" i="28"/>
  <c r="SS55" i="28"/>
  <c r="RQ55" i="28"/>
  <c r="RM55" i="28"/>
  <c r="AC17" i="24"/>
  <c r="AB17" i="24"/>
  <c r="X11" i="27"/>
  <c r="AC11" i="27" s="1"/>
  <c r="X10" i="27"/>
  <c r="AC10" i="27" s="1"/>
  <c r="X9" i="27"/>
  <c r="AC9" i="27" s="1"/>
  <c r="X8" i="27"/>
  <c r="AC8" i="27" s="1"/>
  <c r="AC4" i="27"/>
  <c r="X7" i="27"/>
  <c r="E13" i="31"/>
  <c r="E14" i="31"/>
  <c r="E15" i="31"/>
  <c r="E16" i="31"/>
  <c r="E17" i="31"/>
  <c r="X1" i="27"/>
  <c r="GU47" i="25"/>
  <c r="GV47" i="25" s="1"/>
  <c r="GV41" i="25"/>
  <c r="FR47" i="25"/>
  <c r="H3" i="22"/>
  <c r="H12" i="22" s="1"/>
  <c r="FM47" i="25"/>
  <c r="I43" i="24"/>
  <c r="AB35" i="24"/>
  <c r="AE35" i="24"/>
  <c r="LC45" i="25"/>
  <c r="LF45" i="25" s="1"/>
  <c r="LD43" i="25"/>
  <c r="LE43" i="25"/>
  <c r="FX41" i="25"/>
  <c r="FW47" i="25"/>
  <c r="FX47" i="25" s="1"/>
  <c r="LD35" i="25"/>
  <c r="LD38" i="25"/>
  <c r="LE38" i="25"/>
  <c r="LC41" i="25"/>
  <c r="FO47" i="25"/>
  <c r="LF41" i="25" l="1"/>
  <c r="LH41" i="25"/>
  <c r="F18" i="31"/>
  <c r="F19" i="31"/>
  <c r="F20" i="31"/>
  <c r="F21" i="31"/>
  <c r="F13" i="31"/>
  <c r="F14" i="31"/>
  <c r="F15" i="31"/>
  <c r="F16" i="31"/>
  <c r="F17" i="31"/>
  <c r="AD1" i="27"/>
  <c r="AF12" i="27"/>
  <c r="AH7" i="27"/>
  <c r="AH12" i="27" s="1"/>
  <c r="M24" i="35"/>
  <c r="L24" i="35" s="1"/>
  <c r="L21" i="35"/>
  <c r="AN12" i="27"/>
  <c r="AS7" i="27"/>
  <c r="AS12" i="27" s="1"/>
  <c r="AI12" i="27"/>
  <c r="AM7" i="27"/>
  <c r="AM12" i="27" s="1"/>
  <c r="OY55" i="28"/>
  <c r="NS55" i="28"/>
  <c r="AC7" i="27"/>
  <c r="AC12" i="27" s="1"/>
  <c r="X12" i="27"/>
  <c r="LD41" i="25"/>
  <c r="LC47" i="25"/>
  <c r="LE41" i="25"/>
  <c r="LE45" i="25"/>
  <c r="LD45" i="25"/>
  <c r="J3" i="22" l="1"/>
  <c r="J12" i="22" s="1"/>
  <c r="M13" i="22" s="1"/>
  <c r="LD47" i="25"/>
  <c r="LE47" i="25"/>
  <c r="H633" i="32" l="1"/>
  <c r="J633" i="32"/>
  <c r="H663" i="32"/>
  <c r="P642" i="32"/>
  <c r="H669" i="32"/>
  <c r="H668" i="32"/>
  <c r="H671" i="3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tc={708F30BA-7892-4F12-95DF-F8938C9B07D4}</author>
  </authors>
  <commentList>
    <comment ref="K591" authorId="0" shapeId="0" xr:uid="{708F30BA-7892-4F12-95DF-F8938C9B07D4}">
      <text>
        <t>[Threaded comment]
Your version of Excel allows you to read this threaded comment; however, any edits to it will get removed if the file is opened in a newer version of Excel. Learn more: https://go.microsoft.com/fwlink/?linkid=870924
Comment:
    TT= Todas sucursales Excepto A14, A24 y E2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tc={45D7527C-688A-43D6-A731-A86F856874C9}</author>
  </authors>
  <commentList>
    <comment ref="LH35" authorId="0" shapeId="0" xr:uid="{45D7527C-688A-43D6-A731-A86F856874C9}">
      <text>
        <t>[Threaded comment]
Your version of Excel allows you to read this threaded comment; however, any edits to it will get removed if the file is opened in a newer version of Excel. Learn more: https://go.microsoft.com/fwlink/?linkid=870924
Comment:
    VENTAS TOTALES, TODAS FORMAS DE COBRO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tc={819A944E-8E01-44CE-BE87-417A3A7C17D4}</author>
    <author>tc={86EFDDA7-A5AB-48DF-B2E0-D758EF4CB034}</author>
  </authors>
  <commentList>
    <comment ref="O27" authorId="0" shapeId="0" xr:uid="{819A944E-8E01-44CE-BE87-417A3A7C17D4}">
      <text>
        <t>[Threaded comment]
Your version of Excel allows you to read this threaded comment; however, any edits to it will get removed if the file is opened in a newer version of Excel. Learn more: https://go.microsoft.com/fwlink/?linkid=870924
Comment:
    50 abono prestamo GO</t>
      </text>
    </comment>
    <comment ref="G45" authorId="1" shapeId="0" xr:uid="{00000000-0006-0000-0A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2,500 tramite moto Ricardo
Reply:
    1,355 reposicion Marcos Cruz
Reply:
    629 total play oficina Conta
Reply:
    8150 tramite BMW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<sst xmlns="http://schemas.openxmlformats.org/spreadsheetml/2006/main" count="7204" uniqueCount="722">
  <si>
    <t>Almacen</t>
  </si>
  <si>
    <t>MTD</t>
  </si>
  <si>
    <t>WTD</t>
  </si>
  <si>
    <t>Venta 2020</t>
  </si>
  <si>
    <t>Ventas 2021</t>
  </si>
  <si>
    <t>%</t>
  </si>
  <si>
    <t>Venta 2019/2020</t>
  </si>
  <si>
    <t>Venta 2021</t>
  </si>
  <si>
    <t>Diferencia</t>
  </si>
  <si>
    <t>A01</t>
  </si>
  <si>
    <t>A02</t>
  </si>
  <si>
    <t>A03</t>
  </si>
  <si>
    <t>A04</t>
  </si>
  <si>
    <t>A05</t>
  </si>
  <si>
    <t>A06</t>
  </si>
  <si>
    <t>A08</t>
  </si>
  <si>
    <t>A09</t>
  </si>
  <si>
    <t>A10</t>
  </si>
  <si>
    <t>A11</t>
  </si>
  <si>
    <t>A12</t>
  </si>
  <si>
    <t>A14</t>
  </si>
  <si>
    <t>A15</t>
  </si>
  <si>
    <t>A16</t>
  </si>
  <si>
    <t>A17</t>
  </si>
  <si>
    <t>A18</t>
  </si>
  <si>
    <t>A22</t>
  </si>
  <si>
    <t>A23</t>
  </si>
  <si>
    <t>A24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</si>
  <si>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</si>
  <si>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</si>
  <si>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</si>
  <si>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</si>
  <si>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</si>
  <si>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</si>
  <si>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</si>
  <si>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</si>
  <si>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</si>
  <si>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</si>
  <si>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Total</t>
  </si>
  <si>
    <t>TT</t>
  </si>
  <si>
    <t>Total HR</t>
  </si>
  <si>
    <t>TT HR</t>
  </si>
  <si>
    <t>D1</t>
  </si>
  <si>
    <t>D2</t>
  </si>
  <si>
    <t>D3</t>
  </si>
  <si>
    <t>Total CAP</t>
  </si>
  <si>
    <t>TT CAP</t>
  </si>
  <si>
    <t>Ultima Actualizacion: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</si>
  <si>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</si>
  <si>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</si>
  <si>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</si>
  <si>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</si>
  <si>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</si>
  <si>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</si>
  <si>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</si>
  <si>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</si>
  <si>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</si>
  <si>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</si>
  <si>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</si>
  <si>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</si>
  <si>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YTD 2020-2021</t>
  </si>
  <si>
    <t>Sucursal_Almacen</t>
  </si>
  <si>
    <t>Venta</t>
  </si>
  <si>
    <t>Pronostico</t>
  </si>
  <si>
    <t>PRONOSTICO VARIACION</t>
  </si>
  <si>
    <t>Venta Real</t>
  </si>
  <si>
    <t>% Real</t>
  </si>
  <si>
    <t>YTD 2020</t>
  </si>
  <si>
    <t>YTD 2021</t>
  </si>
  <si>
    <t>DIFERENCIA YTD2019 VS YTD2020</t>
  </si>
  <si>
    <t>YTD %</t>
  </si>
  <si>
    <t>05/01 - 11/01</t>
  </si>
  <si>
    <t>03/01 - 09/01</t>
  </si>
  <si>
    <t>12/01 - 18/01</t>
  </si>
  <si>
    <t>10/01 - 16/01</t>
  </si>
  <si>
    <t>19/01 - 25/01</t>
  </si>
  <si>
    <t>17/01 - 23/01</t>
  </si>
  <si>
    <t>26/01 - 01/02</t>
  </si>
  <si>
    <t>24/01 - 30/01</t>
  </si>
  <si>
    <t>02/02 - 08/02</t>
  </si>
  <si>
    <t>31/01 - 06/02</t>
  </si>
  <si>
    <t>09/02 - 15/02</t>
  </si>
  <si>
    <t>07/02 - 13/02</t>
  </si>
  <si>
    <t>16/02 - 22/02</t>
  </si>
  <si>
    <t>14/02 - 20/02</t>
  </si>
  <si>
    <t>23/02 - 29/03</t>
  </si>
  <si>
    <t>21/02 - 27/02</t>
  </si>
  <si>
    <t>01/03 - 07/03</t>
  </si>
  <si>
    <t>28/02 - 06/03</t>
  </si>
  <si>
    <t>08/03 - 14/03</t>
  </si>
  <si>
    <t>07/03 - 13/03</t>
  </si>
  <si>
    <t>15/03 - 21/03</t>
  </si>
  <si>
    <t>14/03 - 20/03</t>
  </si>
  <si>
    <t>22/03 - 28/03</t>
  </si>
  <si>
    <t>21/03 - 27/03</t>
  </si>
  <si>
    <t>29/03 - 04/04</t>
  </si>
  <si>
    <t>28/03 - 03/04</t>
  </si>
  <si>
    <t>05/04 - 11/04</t>
  </si>
  <si>
    <t>04/04 - 10/04</t>
  </si>
  <si>
    <t>12/04 - 18/04</t>
  </si>
  <si>
    <t>11/04 - 17/04</t>
  </si>
  <si>
    <t>19/04 - 25/04</t>
  </si>
  <si>
    <t>18/04 - 24/04</t>
  </si>
  <si>
    <t>26/04 - 02/05</t>
  </si>
  <si>
    <t>25/04 - 01/05</t>
  </si>
  <si>
    <t>03/05 -09/05</t>
  </si>
  <si>
    <t>02/05 - 08/05</t>
  </si>
  <si>
    <t>10/05 - 16/05</t>
  </si>
  <si>
    <t>09/05 - 15/05</t>
  </si>
  <si>
    <t>17/05 - 23/05</t>
  </si>
  <si>
    <t>16/05 - 22/05</t>
  </si>
  <si>
    <t>24/05 - 30/05</t>
  </si>
  <si>
    <t>23/05 - 29/05</t>
  </si>
  <si>
    <t>31/05 - 06/06</t>
  </si>
  <si>
    <t>30/05 - 05/06</t>
  </si>
  <si>
    <t>07/06 - 13/06</t>
  </si>
  <si>
    <t>06/06 - 12/06</t>
  </si>
  <si>
    <t>14/06 - 20/06</t>
  </si>
  <si>
    <t>13/06 - 19/06</t>
  </si>
  <si>
    <t>21/06 - 27/06</t>
  </si>
  <si>
    <t>20/06 - 26/06</t>
  </si>
  <si>
    <t>28/06 - 04/07</t>
  </si>
  <si>
    <t>27/06 - 03/07</t>
  </si>
  <si>
    <t>05/07 - 11/07</t>
  </si>
  <si>
    <t>04/07 - 10/07</t>
  </si>
  <si>
    <t>12/07 - 18/07</t>
  </si>
  <si>
    <t>11/07 - 17/07</t>
  </si>
  <si>
    <t>19/07 - 25/07</t>
  </si>
  <si>
    <t>18/07 - 24/07</t>
  </si>
  <si>
    <t>26/07 - 01/09</t>
  </si>
  <si>
    <t>25/07 - 31/08</t>
  </si>
  <si>
    <t>02/08 - 08/08</t>
  </si>
  <si>
    <t>01/08 - 07/08</t>
  </si>
  <si>
    <t>09/08 - 15/08</t>
  </si>
  <si>
    <t>08/08 - 14/08</t>
  </si>
  <si>
    <t>16/08 - 22/08</t>
  </si>
  <si>
    <t>15/08 - 21/08</t>
  </si>
  <si>
    <t>23/08 - 29/08</t>
  </si>
  <si>
    <t>22/08 - 28/08</t>
  </si>
  <si>
    <t>30/08 - 05/09</t>
  </si>
  <si>
    <t>29/08 - 04/09</t>
  </si>
  <si>
    <t>06/09 - 12/09</t>
  </si>
  <si>
    <t>05/09 - 11/09</t>
  </si>
  <si>
    <t>13/09 - 19/09</t>
  </si>
  <si>
    <t>12/09 - 18/09</t>
  </si>
  <si>
    <t>20/09 - 26/09</t>
  </si>
  <si>
    <t>19/09 - 25/09</t>
  </si>
  <si>
    <t>27/09 - 03/10</t>
  </si>
  <si>
    <t>26/09 - 02/10</t>
  </si>
  <si>
    <t>04/10 - 10/10</t>
  </si>
  <si>
    <t>03/10 - 09/10</t>
  </si>
  <si>
    <t>11/10 - 17/10</t>
  </si>
  <si>
    <t>10/10 - 16/10</t>
  </si>
  <si>
    <t>18/10 - 24/10</t>
  </si>
  <si>
    <t>17/10 - 23/10</t>
  </si>
  <si>
    <t>25/10 - 31/10</t>
  </si>
  <si>
    <t>24/10 - 30/10</t>
  </si>
  <si>
    <t>0/11 - 07/11</t>
  </si>
  <si>
    <t>31/10 - 06/11</t>
  </si>
  <si>
    <t>08/11 - 14/11</t>
  </si>
  <si>
    <t>07/11 - 13/11</t>
  </si>
  <si>
    <t>15/11 - 21/11</t>
  </si>
  <si>
    <t>14/11 - 20/11</t>
  </si>
  <si>
    <t>22/11 - 28/11</t>
  </si>
  <si>
    <t>21/11 - 27/11</t>
  </si>
  <si>
    <t>29/11 - 05/12</t>
  </si>
  <si>
    <t>28/11 - 04/12</t>
  </si>
  <si>
    <t>06/12 - 12/12</t>
  </si>
  <si>
    <t>05/12 - 11/12</t>
  </si>
  <si>
    <t>13/12 - 19/12</t>
  </si>
  <si>
    <t>12/12 - 18/12</t>
  </si>
  <si>
    <t>20/12 - 26/12</t>
  </si>
  <si>
    <t>19/12 - 25/12</t>
  </si>
  <si>
    <t>27/12 - 02/01</t>
  </si>
  <si>
    <t>26/12 - 01/01</t>
  </si>
  <si>
    <t>Semana 49</t>
  </si>
  <si>
    <t>Semana 50</t>
  </si>
  <si>
    <t>Semana 51</t>
  </si>
  <si>
    <t>Semana 52</t>
  </si>
  <si>
    <t>Semana 1</t>
  </si>
  <si>
    <t>Semana 2</t>
  </si>
  <si>
    <t>Semana 3</t>
  </si>
  <si>
    <t>Semana 4</t>
  </si>
  <si>
    <t>Semana 5</t>
  </si>
  <si>
    <t>Semana 6</t>
  </si>
  <si>
    <t>Semana 7</t>
  </si>
  <si>
    <t>Semana 8</t>
  </si>
  <si>
    <t>Semana 9</t>
  </si>
  <si>
    <t>Semana 10</t>
  </si>
  <si>
    <t>Semana 11</t>
  </si>
  <si>
    <t>Semana 12</t>
  </si>
  <si>
    <t>Semana 13</t>
  </si>
  <si>
    <t>Semana 14</t>
  </si>
  <si>
    <t>Semana 15</t>
  </si>
  <si>
    <t>Semana 16</t>
  </si>
  <si>
    <t>Semana 17</t>
  </si>
  <si>
    <t>Semana 18</t>
  </si>
  <si>
    <t>Semana 19</t>
  </si>
  <si>
    <t>Semana 20</t>
  </si>
  <si>
    <t>Semana 21</t>
  </si>
  <si>
    <t>Semana 22</t>
  </si>
  <si>
    <t>Semana 23</t>
  </si>
  <si>
    <t>Semana 24</t>
  </si>
  <si>
    <t>Semana 25</t>
  </si>
  <si>
    <t>Semana 26</t>
  </si>
  <si>
    <t>Semana 27</t>
  </si>
  <si>
    <t>Semana 28</t>
  </si>
  <si>
    <t>Semana 29</t>
  </si>
  <si>
    <t>Semana 30</t>
  </si>
  <si>
    <t>Semana 31</t>
  </si>
  <si>
    <t>Semana 32</t>
  </si>
  <si>
    <t>Semana 33</t>
  </si>
  <si>
    <t>Semana 34</t>
  </si>
  <si>
    <t>Semana 35</t>
  </si>
  <si>
    <t>Semana 36</t>
  </si>
  <si>
    <t>Semana 37</t>
  </si>
  <si>
    <t>Semana 38</t>
  </si>
  <si>
    <t>Semana 39</t>
  </si>
  <si>
    <t>Semana 40</t>
  </si>
  <si>
    <t>Semana 41</t>
  </si>
  <si>
    <t>Semana 42</t>
  </si>
  <si>
    <t>Semana 43</t>
  </si>
  <si>
    <t>Semana 44</t>
  </si>
  <si>
    <t>Semana 45</t>
  </si>
  <si>
    <t>Semana 46</t>
  </si>
  <si>
    <t>Semana 47</t>
  </si>
  <si>
    <t>Semana 48</t>
  </si>
  <si>
    <t xml:space="preserve">  </t>
  </si>
  <si>
    <t>E4</t>
  </si>
  <si>
    <t>E5</t>
  </si>
  <si>
    <t>E6</t>
  </si>
  <si>
    <t>E7</t>
  </si>
  <si>
    <t>E8</t>
  </si>
  <si>
    <t>E9</t>
  </si>
  <si>
    <t>TOTAL HR TT</t>
  </si>
  <si>
    <t>TOTAL CAPRICHOS TT</t>
  </si>
  <si>
    <t>TOTAL TT</t>
  </si>
  <si>
    <t>TOTAL</t>
  </si>
  <si>
    <t>Bolsa Compras</t>
  </si>
  <si>
    <t>Bolsa Profit</t>
  </si>
  <si>
    <t>Bolsa Impuestos</t>
  </si>
  <si>
    <t>SUCURSAL</t>
  </si>
  <si>
    <t>FOLIOS</t>
  </si>
  <si>
    <t>VENTAS</t>
  </si>
  <si>
    <t>DEVOLUCIONES</t>
  </si>
  <si>
    <t>TOTALVTAS</t>
  </si>
  <si>
    <t>Nomina</t>
  </si>
  <si>
    <t>Bolsa GO</t>
  </si>
  <si>
    <t>Gastos Op</t>
  </si>
  <si>
    <t>Imss</t>
  </si>
  <si>
    <t>Semana</t>
  </si>
  <si>
    <t>venta 2019</t>
  </si>
  <si>
    <t>Pronostico de venta</t>
  </si>
  <si>
    <t>Ingreso a Bolsa de GO</t>
  </si>
  <si>
    <t>Monto Aprox para Renta</t>
  </si>
  <si>
    <t>Monto para nomina</t>
  </si>
  <si>
    <t>Monto para IMSS</t>
  </si>
  <si>
    <t>Monto para GO</t>
  </si>
  <si>
    <t>Rentas</t>
  </si>
  <si>
    <t>Sep</t>
  </si>
  <si>
    <t>Oct</t>
  </si>
  <si>
    <t>Nov</t>
  </si>
  <si>
    <t>Dic</t>
  </si>
  <si>
    <t xml:space="preserve">                       </t>
  </si>
  <si>
    <t>PRONOSTICO DE VENTA 2019</t>
  </si>
  <si>
    <t>FEBRERO 4 semanas</t>
  </si>
  <si>
    <t>MARZO 5 semanas</t>
  </si>
  <si>
    <t>ABRIL 4 semanas</t>
  </si>
  <si>
    <t>MAYO 4 semanas</t>
  </si>
  <si>
    <t>JUNIO 5 semanas</t>
  </si>
  <si>
    <t>JULIO 4 semanas</t>
  </si>
  <si>
    <t>AGOSTO 4 semanas</t>
  </si>
  <si>
    <t>SEPTIEMBRE 5 semanas</t>
  </si>
  <si>
    <t>OCTUBRE 4 semanas</t>
  </si>
  <si>
    <t>NOVIEMBRE 4 semanas</t>
  </si>
  <si>
    <t>DICIEMBRE 5 semanas</t>
  </si>
  <si>
    <t>Sucursal</t>
  </si>
  <si>
    <t>Ventas</t>
  </si>
  <si>
    <t>VENTA REAL Ene 2021</t>
  </si>
  <si>
    <t>Real</t>
  </si>
  <si>
    <t>VENTA REAL Feb 2021</t>
  </si>
  <si>
    <t>VENTA REAL Mar 2021</t>
  </si>
  <si>
    <t>VENTA REAL Abril 2021</t>
  </si>
  <si>
    <t>VENTA REAL MAyo 2021</t>
  </si>
  <si>
    <t>VENTA REAL Junio 2021</t>
  </si>
  <si>
    <t>VENTA REAL Julio 2021</t>
  </si>
  <si>
    <t>VENTA REAL Agosto 2021</t>
  </si>
  <si>
    <t>VENTA REAL Septiembre 2021</t>
  </si>
  <si>
    <t>20VENTA REAL Octubre 2021</t>
  </si>
  <si>
    <t>VENTA REAL Noviembre 2020</t>
  </si>
  <si>
    <t>VENTA REAL Diciembre 2019</t>
  </si>
  <si>
    <t xml:space="preserve">TOTAL VENTA REAL  YTD 2021 </t>
  </si>
  <si>
    <t>YTD PRONOSTICO 2021</t>
  </si>
  <si>
    <t>% YTD Vs PRONOSTICO</t>
  </si>
  <si>
    <t>VENTA YTD 2020</t>
  </si>
  <si>
    <t>VENTA YTD 2021</t>
  </si>
  <si>
    <t>DIFERENCIA YTD 2020 VS YTD 2021</t>
  </si>
  <si>
    <t>TOTAL VENTA PRONOSTICADA 2021</t>
  </si>
  <si>
    <t>VENTA REAL 2020 MAS LO PRONOSTICADO 2021</t>
  </si>
  <si>
    <t>Variacion</t>
  </si>
  <si>
    <t>% YTD</t>
  </si>
  <si>
    <t>TOTAL HR</t>
  </si>
  <si>
    <t>TOTAL CAPRICHOS</t>
  </si>
  <si>
    <t>Menos E7 E8 y E9</t>
  </si>
  <si>
    <t>Venta 2019</t>
  </si>
  <si>
    <t>Monto a Rentas</t>
  </si>
  <si>
    <t>monto por semana</t>
  </si>
  <si>
    <t>Abril 4 semanas</t>
  </si>
  <si>
    <t>GO</t>
  </si>
  <si>
    <t>Mayo</t>
  </si>
  <si>
    <t>CF</t>
  </si>
  <si>
    <t>Junio 5 semanas</t>
  </si>
  <si>
    <t>Oink</t>
  </si>
  <si>
    <t>Julio</t>
  </si>
  <si>
    <t>Agosto</t>
  </si>
  <si>
    <t>Septiembre 5 semanas</t>
  </si>
  <si>
    <t>Octubre</t>
  </si>
  <si>
    <t>Noviembre</t>
  </si>
  <si>
    <t>Diciembre 5 sem</t>
  </si>
  <si>
    <t>Fecha</t>
  </si>
  <si>
    <t>Bolsa Gastos Operativos</t>
  </si>
  <si>
    <t>Bolsa de COmpras</t>
  </si>
  <si>
    <t>% Venta Global</t>
  </si>
  <si>
    <t>% Venta TT</t>
  </si>
  <si>
    <t>Comentarios</t>
  </si>
  <si>
    <t>Sem 49</t>
  </si>
  <si>
    <t>Sem 50</t>
  </si>
  <si>
    <t>Sem 51</t>
  </si>
  <si>
    <t>Sem 52</t>
  </si>
  <si>
    <t>Sem 1</t>
  </si>
  <si>
    <t>Sem 2</t>
  </si>
  <si>
    <t>Sem 3</t>
  </si>
  <si>
    <t>Sem 4</t>
  </si>
  <si>
    <t>Sem 5</t>
  </si>
  <si>
    <t>Sem 6</t>
  </si>
  <si>
    <t>Sem 7</t>
  </si>
  <si>
    <t>Sem 8</t>
  </si>
  <si>
    <t>Mes</t>
  </si>
  <si>
    <t>% pronostico 2020</t>
  </si>
  <si>
    <t>Venta Pronstico 2020</t>
  </si>
  <si>
    <t>Venta Real 2020</t>
  </si>
  <si>
    <t>% Real 2020</t>
  </si>
  <si>
    <t>PENov</t>
  </si>
  <si>
    <t>PEOct</t>
  </si>
  <si>
    <t>PEsep</t>
  </si>
  <si>
    <t>Septiembre</t>
  </si>
  <si>
    <t>Diciembre</t>
  </si>
  <si>
    <t>Sem 9</t>
  </si>
  <si>
    <t>Sem 10</t>
  </si>
  <si>
    <t>Sem 11</t>
  </si>
  <si>
    <t>Sem 12</t>
  </si>
  <si>
    <t>Sem 13</t>
  </si>
  <si>
    <t>Sem 14</t>
  </si>
  <si>
    <t>Sem 15</t>
  </si>
  <si>
    <t>Sem 16</t>
  </si>
  <si>
    <t>Sem 17</t>
  </si>
  <si>
    <t>Sem 18</t>
  </si>
  <si>
    <t>seinicia reactivacion economica</t>
  </si>
  <si>
    <t>Sem 19</t>
  </si>
  <si>
    <t>Sem 20</t>
  </si>
  <si>
    <t>Sem 21</t>
  </si>
  <si>
    <t>Sem 22</t>
  </si>
  <si>
    <t>Sem 23</t>
  </si>
  <si>
    <t>Sem 24</t>
  </si>
  <si>
    <t>Sem 25</t>
  </si>
  <si>
    <t>Sem 26</t>
  </si>
  <si>
    <t>Sem 27</t>
  </si>
  <si>
    <t>Sem 28</t>
  </si>
  <si>
    <t>Sem 29</t>
  </si>
  <si>
    <t>Sem 30</t>
  </si>
  <si>
    <t>Sem 31</t>
  </si>
  <si>
    <t>Sem 32</t>
  </si>
  <si>
    <t>Sem 33</t>
  </si>
  <si>
    <t>Sem 34</t>
  </si>
  <si>
    <t>SEP</t>
  </si>
  <si>
    <t>Sem 35</t>
  </si>
  <si>
    <t>pronostico</t>
  </si>
  <si>
    <t>Sem 36</t>
  </si>
  <si>
    <t>Inicia semaforo Amarillo</t>
  </si>
  <si>
    <t>OCT</t>
  </si>
  <si>
    <t>Sem 37</t>
  </si>
  <si>
    <t>Sem 38</t>
  </si>
  <si>
    <t>Regresa semaforo a naranja</t>
  </si>
  <si>
    <t>Regreso semaforo rojo</t>
  </si>
  <si>
    <t>Sem 39</t>
  </si>
  <si>
    <t>Sem 40</t>
  </si>
  <si>
    <t>NOV</t>
  </si>
  <si>
    <t>Toque de Queda</t>
  </si>
  <si>
    <t>Sem 41</t>
  </si>
  <si>
    <t>Sem 42</t>
  </si>
  <si>
    <t>se quita supercierre y regresa a rojo</t>
  </si>
  <si>
    <t>Sem 43</t>
  </si>
  <si>
    <t>inicia rojo modificado</t>
  </si>
  <si>
    <t>Sem 44</t>
  </si>
  <si>
    <t>Sem 45</t>
  </si>
  <si>
    <t>Inicia Semaforo Naranja</t>
  </si>
  <si>
    <t>Sem 46</t>
  </si>
  <si>
    <t>Sem 47</t>
  </si>
  <si>
    <t>Sem 48</t>
  </si>
  <si>
    <t>DIC</t>
  </si>
  <si>
    <t>U7D</t>
  </si>
  <si>
    <t>empieza amarillo seguro</t>
  </si>
  <si>
    <t>ENE</t>
  </si>
  <si>
    <t>FEB</t>
  </si>
  <si>
    <t>Nieve en todo el estado</t>
  </si>
  <si>
    <t>Apagon CFE</t>
  </si>
  <si>
    <t>Amarillo en todo el estado</t>
  </si>
  <si>
    <t>Semana Santa 2021</t>
  </si>
  <si>
    <t>Abril</t>
  </si>
  <si>
    <t>Cambio a semaforo Naranja</t>
  </si>
  <si>
    <t>Semana Santa 2019</t>
  </si>
  <si>
    <t>Super cierre</t>
  </si>
  <si>
    <t>DIa del NIño 2019</t>
  </si>
  <si>
    <t>DIa del NIño 2021</t>
  </si>
  <si>
    <t>10 de Mayo 2019</t>
  </si>
  <si>
    <t>10 de Mayo 2021</t>
  </si>
  <si>
    <t>Tendencia</t>
  </si>
  <si>
    <t>dif</t>
  </si>
  <si>
    <t>Cambio de semaforo a amarillo</t>
  </si>
  <si>
    <t>Junio</t>
  </si>
  <si>
    <t>U14D</t>
  </si>
  <si>
    <t>Apertura A8 en 2019</t>
  </si>
  <si>
    <t>Dia del Padre 2019</t>
  </si>
  <si>
    <t>Efecto dia del padre</t>
  </si>
  <si>
    <t>Dia del Padre 2021</t>
  </si>
  <si>
    <t>Intensas lluvias en todo el estado</t>
  </si>
  <si>
    <t>Lluvias Dispersas en todo el estado</t>
  </si>
  <si>
    <t>Pron %</t>
  </si>
  <si>
    <t>LLuvias Dispersas en todo el estado</t>
  </si>
  <si>
    <t>Tormenta en CHihuahua</t>
  </si>
  <si>
    <t>% TT contempla todas Excepto A14 A24 y E2</t>
  </si>
  <si>
    <t>Cambio a verde en semaforo Covid /  Inicio de SAP en 2019</t>
  </si>
  <si>
    <t>14 de Septiembre en 2019</t>
  </si>
  <si>
    <t>15 de Septiembre en 2019</t>
  </si>
  <si>
    <t>16 de Septiembre en 2019</t>
  </si>
  <si>
    <t>Lluvias en Chihuahua</t>
  </si>
  <si>
    <t>Lluvias en chihuahua</t>
  </si>
  <si>
    <t>LLuvias en Todo el Estado</t>
  </si>
  <si>
    <t>°</t>
  </si>
  <si>
    <t>Cambio de semaforo amarillo del 18 al 31 de Oct Chihuahua</t>
  </si>
  <si>
    <t>Cambio de semaforo verde del 1 al 14 de Nov Chihuahua</t>
  </si>
  <si>
    <t>Semaforo Verde programado</t>
  </si>
  <si>
    <t>Inicia semaforo amarillo</t>
  </si>
  <si>
    <t>D</t>
  </si>
  <si>
    <t>L</t>
  </si>
  <si>
    <t>M</t>
  </si>
  <si>
    <t>X</t>
  </si>
  <si>
    <t>J</t>
  </si>
  <si>
    <t>V</t>
  </si>
  <si>
    <t>S</t>
  </si>
  <si>
    <t>Ventas historicas</t>
  </si>
  <si>
    <t>Ventas Proyectadas</t>
  </si>
  <si>
    <t>Ventas Diciembre</t>
  </si>
  <si>
    <t>Domingo</t>
  </si>
  <si>
    <t>Lunes</t>
  </si>
  <si>
    <t>Martes</t>
  </si>
  <si>
    <t>Miercoles</t>
  </si>
  <si>
    <t>Jueves</t>
  </si>
  <si>
    <t>Viernes</t>
  </si>
  <si>
    <t>Sabado</t>
  </si>
  <si>
    <t xml:space="preserve">Total </t>
  </si>
  <si>
    <t>Total Pronostico</t>
  </si>
  <si>
    <t xml:space="preserve">Vta Real </t>
  </si>
  <si>
    <t xml:space="preserve">% </t>
  </si>
  <si>
    <t>Total WTD</t>
  </si>
  <si>
    <t>Pron</t>
  </si>
  <si>
    <t>Vta Real</t>
  </si>
  <si>
    <t>2019</t>
  </si>
  <si>
    <t>2021</t>
  </si>
  <si>
    <t>A1</t>
  </si>
  <si>
    <t>A2</t>
  </si>
  <si>
    <t>A3</t>
  </si>
  <si>
    <t>A4</t>
  </si>
  <si>
    <t>A5</t>
  </si>
  <si>
    <t>A6</t>
  </si>
  <si>
    <t>A8</t>
  </si>
  <si>
    <t>A9</t>
  </si>
  <si>
    <t>E1</t>
  </si>
  <si>
    <t>E2</t>
  </si>
  <si>
    <t>E3</t>
  </si>
  <si>
    <t>NC / D1 TT</t>
  </si>
  <si>
    <t>IA / D2 TT</t>
  </si>
  <si>
    <t xml:space="preserve"> JG / D3 TT</t>
  </si>
  <si>
    <t>CB / TOTAL HR TT</t>
  </si>
  <si>
    <t>LA / D1 TT</t>
  </si>
  <si>
    <t>FR / D2 TT</t>
  </si>
  <si>
    <t>MMM / TOTAL CAP TT</t>
  </si>
  <si>
    <t>HBG TT</t>
  </si>
  <si>
    <t>Bolsas Profit</t>
  </si>
  <si>
    <t>Compras</t>
  </si>
  <si>
    <t>Profit</t>
  </si>
  <si>
    <t>Impuestos</t>
  </si>
  <si>
    <t>Socios</t>
  </si>
  <si>
    <t>YTD 2019-2021</t>
  </si>
  <si>
    <t>Resumen Enero</t>
  </si>
  <si>
    <t>Resumen Febrero</t>
  </si>
  <si>
    <t>Resumen Marzo</t>
  </si>
  <si>
    <t>Resumen Abril</t>
  </si>
  <si>
    <t>Resumen Mayo</t>
  </si>
  <si>
    <t>Resumen Junio</t>
  </si>
  <si>
    <t>Resumen Julio</t>
  </si>
  <si>
    <t>Resumen Agosto</t>
  </si>
  <si>
    <t>Resumen Septiembre</t>
  </si>
  <si>
    <t>Resumen Octubre</t>
  </si>
  <si>
    <t>Resumen Noviembre</t>
  </si>
  <si>
    <t>Resumen Diciembre</t>
  </si>
  <si>
    <t>Pro Var %</t>
  </si>
  <si>
    <t>Var Real %</t>
  </si>
  <si>
    <t>VENTA REAL 2019</t>
  </si>
  <si>
    <t>PRONOSTICO 2021 (Real+pronostico)</t>
  </si>
  <si>
    <t>YTD 2019</t>
  </si>
  <si>
    <t>DIFERENCIA YTD</t>
  </si>
  <si>
    <t>% YTD+PRO</t>
  </si>
  <si>
    <t> </t>
  </si>
  <si>
    <t>TOTAL CAP</t>
  </si>
  <si>
    <t>########</t>
  </si>
  <si>
    <t>#########</t>
  </si>
  <si>
    <t>##########</t>
  </si>
  <si>
    <t>MEDIA</t>
  </si>
  <si>
    <t>SUC</t>
  </si>
  <si>
    <t>%meta</t>
  </si>
  <si>
    <t>META SEM 39</t>
  </si>
  <si>
    <t>META SEM 40</t>
  </si>
  <si>
    <t>THR</t>
  </si>
  <si>
    <t>CAP</t>
  </si>
  <si>
    <t>PRUEBAS CAMBIO DE PORCENTAJE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</si>
  <si>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</si>
  <si>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</si>
  <si>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</si>
  <si>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</si>
  <si>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</si>
  <si>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</si>
  <si>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</si>
  <si>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</si>
  <si>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</si>
  <si>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</si>
  <si>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</si>
  <si>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</si>
  <si>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 2022</t>
  </si>
  <si>
    <t>February 2022</t>
  </si>
  <si>
    <t>March 2022</t>
  </si>
  <si>
    <t>April 2022</t>
  </si>
  <si>
    <t>Total 2021</t>
  </si>
  <si>
    <t>Total U12 Meses</t>
  </si>
  <si>
    <t>New Location</t>
  </si>
  <si>
    <t>OTB JUN - DIC</t>
  </si>
  <si>
    <t>Sales Plan MLA</t>
  </si>
  <si>
    <t>Sales Plan PE Febrero</t>
  </si>
  <si>
    <t>Sales Plan PE Marzo</t>
  </si>
  <si>
    <t>Sales Plan PE Abril</t>
  </si>
  <si>
    <t>Sales Plan PE May</t>
  </si>
  <si>
    <t>Sales Plan PE June</t>
  </si>
  <si>
    <t>Sales Plan PE July</t>
  </si>
  <si>
    <t>Sales PLan PE August</t>
  </si>
  <si>
    <t>Difference</t>
  </si>
  <si>
    <t>HR</t>
  </si>
  <si>
    <t>LECTURA</t>
  </si>
  <si>
    <t>RELOJ</t>
  </si>
  <si>
    <t>PELUCHES</t>
  </si>
  <si>
    <t>LABIOS</t>
  </si>
  <si>
    <t>ACCESORIO HALLOWEEN</t>
  </si>
  <si>
    <t>JUGUETES NIÑA +</t>
  </si>
  <si>
    <t>LENTE DAMA</t>
  </si>
  <si>
    <t xml:space="preserve">LECTURA </t>
  </si>
  <si>
    <t>ROSTRO</t>
  </si>
  <si>
    <t>MASCARAS</t>
  </si>
  <si>
    <t>JUGUETES NIÑA -</t>
  </si>
  <si>
    <t>COLLAR</t>
  </si>
  <si>
    <t>FRAGANCIAS</t>
  </si>
  <si>
    <t>OJOS</t>
  </si>
  <si>
    <t>DISFRACES</t>
  </si>
  <si>
    <t>JUGUETES NIÑO +</t>
  </si>
  <si>
    <t>PULSERA</t>
  </si>
  <si>
    <t>COMPLEMENTOS DE COSMETICOS</t>
  </si>
  <si>
    <t>SOMBREROS HALLOWEEN</t>
  </si>
  <si>
    <t>JUGUETES NIÑO -</t>
  </si>
  <si>
    <t>ACERO INOXIDABLE</t>
  </si>
  <si>
    <t>DECORACION HALLOWEEN</t>
  </si>
  <si>
    <t>LUCES NAVIDEÑAS</t>
  </si>
  <si>
    <t>ANILLO</t>
  </si>
  <si>
    <t>PELUCA</t>
  </si>
  <si>
    <t>DECORACION NAVIDEÑA</t>
  </si>
  <si>
    <t>INVIERNO</t>
  </si>
  <si>
    <t>PANTUFLAS</t>
  </si>
  <si>
    <t>CALCETINES</t>
  </si>
  <si>
    <t>CAPRICHOS</t>
  </si>
  <si>
    <t>BISUTERIA FINA</t>
  </si>
  <si>
    <t>BOLSAS</t>
  </si>
  <si>
    <t xml:space="preserve">FRAGANCIAS </t>
  </si>
  <si>
    <t>COMPLEMENTOS DE COSMETCOS</t>
  </si>
  <si>
    <t>YTD 2019-2022</t>
  </si>
  <si>
    <t>YTD 2022</t>
  </si>
  <si>
    <t>MTD Prnos</t>
  </si>
  <si>
    <t>MTD Real</t>
  </si>
  <si>
    <t>DIF $</t>
  </si>
  <si>
    <t>Gasto Real</t>
  </si>
  <si>
    <t>Bolsa de Gastos OP</t>
  </si>
  <si>
    <t>Nomina/Vac/Fin/Pres</t>
  </si>
  <si>
    <t>IMSS / INF</t>
  </si>
  <si>
    <t>Break point Bolsa GO</t>
  </si>
  <si>
    <t>Break Point</t>
  </si>
  <si>
    <t>Break Point Mes</t>
  </si>
  <si>
    <t xml:space="preserve"> PROYECCION PROFIT 2021 </t>
  </si>
  <si>
    <t xml:space="preserve"> % </t>
  </si>
  <si>
    <t xml:space="preserve"> ACUM </t>
  </si>
  <si>
    <t xml:space="preserve"> FEB </t>
  </si>
  <si>
    <t xml:space="preserve"> MAR </t>
  </si>
  <si>
    <t xml:space="preserve"> DISP </t>
  </si>
  <si>
    <t xml:space="preserve"> ABR </t>
  </si>
  <si>
    <t xml:space="preserve"> MAY </t>
  </si>
  <si>
    <t xml:space="preserve"> JUN </t>
  </si>
  <si>
    <t xml:space="preserve"> JUL </t>
  </si>
  <si>
    <t xml:space="preserve"> AGO </t>
  </si>
  <si>
    <t xml:space="preserve"> SEP </t>
  </si>
  <si>
    <t xml:space="preserve"> OCT </t>
  </si>
  <si>
    <t xml:space="preserve"> NOV </t>
  </si>
  <si>
    <t xml:space="preserve"> DIC </t>
  </si>
  <si>
    <t xml:space="preserve"> PROYECCION MENSUAL PROFIT </t>
  </si>
  <si>
    <t xml:space="preserve">        -  </t>
  </si>
  <si>
    <t xml:space="preserve"> BOVEDA AHORRO </t>
  </si>
  <si>
    <t xml:space="preserve"> BOVEDA DE REINVERSION </t>
  </si>
  <si>
    <t xml:space="preserve"> SOCIO 1 </t>
  </si>
  <si>
    <t xml:space="preserve"> SOCIO 2 </t>
  </si>
  <si>
    <t xml:space="preserve">            -  </t>
  </si>
  <si>
    <t xml:space="preserve">       -  </t>
  </si>
  <si>
    <t xml:space="preserve"> MCA </t>
  </si>
  <si>
    <t xml:space="preserve"> P </t>
  </si>
  <si>
    <t xml:space="preserve"> PROYECTO </t>
  </si>
  <si>
    <t xml:space="preserve"> CTO </t>
  </si>
  <si>
    <t xml:space="preserve"> HBGS </t>
  </si>
  <si>
    <t xml:space="preserve"> RFID (CEDIS)+ 1 TIENDA </t>
  </si>
  <si>
    <t xml:space="preserve"> ACONDICIONAMIENTO DE CEDIS </t>
  </si>
  <si>
    <t xml:space="preserve"> HBGF </t>
  </si>
  <si>
    <t xml:space="preserve"> APP DE RECURSOS HUMANOS/NOMINA </t>
  </si>
  <si>
    <t xml:space="preserve"> CAP </t>
  </si>
  <si>
    <t xml:space="preserve"> REUBICACION E2 </t>
  </si>
  <si>
    <t xml:space="preserve">               -  </t>
  </si>
  <si>
    <t xml:space="preserve"> REMODELACION E1 </t>
  </si>
  <si>
    <t xml:space="preserve"> REMODELACION E3 </t>
  </si>
  <si>
    <t xml:space="preserve"> REMODELACION E4 </t>
  </si>
  <si>
    <t xml:space="preserve"> REMODELACION E5 </t>
  </si>
  <si>
    <t xml:space="preserve"> REMODELACION E6 </t>
  </si>
  <si>
    <t xml:space="preserve"> REUBICACION E7 Y E8 </t>
  </si>
  <si>
    <t xml:space="preserve"> HR </t>
  </si>
  <si>
    <t xml:space="preserve"> REMODELACION A12 </t>
  </si>
  <si>
    <t xml:space="preserve"> REMODELACION A2 </t>
  </si>
  <si>
    <t xml:space="preserve"> REFRIGERACION A16 </t>
  </si>
  <si>
    <t xml:space="preserve"> REMODELACION DE A5 </t>
  </si>
  <si>
    <t xml:space="preserve"> REMODELACION DE A3 </t>
  </si>
  <si>
    <t xml:space="preserve"> REMODELACION DE A18 </t>
  </si>
  <si>
    <t xml:space="preserve"> REMODELACION DE A4 </t>
  </si>
  <si>
    <t xml:space="preserve"> REMODELACION DE A17 </t>
  </si>
  <si>
    <t xml:space="preserve"> REMODELACION  DE A16 </t>
  </si>
  <si>
    <t xml:space="preserve"> REMODELACION DE A15 </t>
  </si>
  <si>
    <t xml:space="preserve"> REMODELACION  DE A6 </t>
  </si>
  <si>
    <t xml:space="preserve"> REMODELACION DE A22 </t>
  </si>
  <si>
    <t xml:space="preserve"> REMODELACION DE A1 </t>
  </si>
  <si>
    <t xml:space="preserve"> REZAGOS A14 </t>
  </si>
  <si>
    <t xml:space="preserve"> REZAGOS A23 </t>
  </si>
  <si>
    <t xml:space="preserve"> REZAGOS A10 </t>
  </si>
  <si>
    <t xml:space="preserve"> REMODELACION DE A11 </t>
  </si>
  <si>
    <t xml:space="preserve"> REZAGOS A9 </t>
  </si>
  <si>
    <t xml:space="preserve"> ANUNCIOS DE TIENDAS </t>
  </si>
  <si>
    <t xml:space="preserve"> GUANTES SQUALO </t>
  </si>
  <si>
    <t xml:space="preserve"> REZAGO DE MANTENIMIENTO X DISTRITO </t>
  </si>
  <si>
    <t xml:space="preserve"> SOLUONE </t>
  </si>
  <si>
    <t xml:space="preserve"> SINETI </t>
  </si>
  <si>
    <t xml:space="preserve"> REMODELACION A24 </t>
  </si>
  <si>
    <t xml:space="preserve"> FROGMI </t>
  </si>
  <si>
    <t xml:space="preserve"> FINANCIAMIENTO HPE </t>
  </si>
  <si>
    <t xml:space="preserve"> TOTAL MENSUAL </t>
  </si>
  <si>
    <t>CONCEPTO</t>
  </si>
  <si>
    <t>SUBTOTAL</t>
  </si>
  <si>
    <t>Ingreso GO</t>
  </si>
  <si>
    <t>Subtotal Gastos</t>
  </si>
  <si>
    <t>IMSS</t>
  </si>
  <si>
    <t>Infonavit</t>
  </si>
  <si>
    <t>CXP</t>
  </si>
  <si>
    <t>Ahorro</t>
  </si>
  <si>
    <t>Gasto renta</t>
  </si>
  <si>
    <t>Subtottal Anual</t>
  </si>
  <si>
    <t>Proyeccion Gastos de Rentas</t>
  </si>
  <si>
    <t>MAR</t>
  </si>
  <si>
    <t>ABR</t>
  </si>
  <si>
    <t>MAY</t>
  </si>
  <si>
    <t>JUN</t>
  </si>
  <si>
    <t>JUL</t>
  </si>
  <si>
    <t>AGO</t>
  </si>
  <si>
    <t>Proyeccion Impuestos</t>
  </si>
  <si>
    <t>Total Gastos Mensual</t>
  </si>
  <si>
    <t>Capital+Interes MAQ</t>
  </si>
  <si>
    <t>Capital+Interes FOT</t>
  </si>
  <si>
    <t>Imtos Fiscales</t>
  </si>
  <si>
    <t>Colina Rene</t>
  </si>
  <si>
    <t>Convenio IRS</t>
  </si>
  <si>
    <t>Honorarios Desp EU</t>
  </si>
  <si>
    <t>ERQ</t>
  </si>
  <si>
    <t>Convenios SS</t>
  </si>
  <si>
    <t>Donativos</t>
  </si>
  <si>
    <t>BOLSA IMPUESTOS</t>
  </si>
  <si>
    <t>PROYECCION SEMANAL</t>
  </si>
  <si>
    <t>Proyectado</t>
  </si>
  <si>
    <t>Ingreso Proyectado</t>
  </si>
  <si>
    <t>Gastos Proyectados</t>
  </si>
  <si>
    <t>MA</t>
  </si>
  <si>
    <t>MC</t>
  </si>
  <si>
    <t>*</t>
  </si>
  <si>
    <t>RMH</t>
  </si>
  <si>
    <t>Notaria</t>
  </si>
  <si>
    <t>Sineti</t>
  </si>
  <si>
    <t>Soluone</t>
  </si>
  <si>
    <t>Domicilios Fiscales</t>
  </si>
  <si>
    <t>Prestamos</t>
  </si>
  <si>
    <t>Prediales</t>
  </si>
  <si>
    <t>Gastos Varios</t>
  </si>
  <si>
    <t>Hewlett Packar</t>
  </si>
  <si>
    <t>Saldo</t>
  </si>
  <si>
    <t>marca</t>
  </si>
  <si>
    <t>tienda</t>
  </si>
  <si>
    <t>vtas</t>
  </si>
  <si>
    <t>hr</t>
  </si>
  <si>
    <t>cap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</si>
</sst>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&quot;$&quot;* #,##0_);_(&quot;$&quot;* \(#,##0\);_(&quot;$&quot;* &quot;-&quot;??_);_(@_)"/>
    <numFmt numFmtId="166" formatCode="&quot;$&quot;#,##0"/>
    <numFmt numFmtId="167" formatCode="&quot;$&quot;#,##0.00"/>
    <numFmt numFmtId="168" formatCode="_-&quot;$&quot;* #,##0_-;\-&quot;$&quot;* #,##0_-;_-&quot;$&quot;* &quot;-&quot;??_-;_-@_-"/>
    <numFmt numFmtId="169" formatCode="_-[$$-80A]* #,##0_-;\-[$$-80A]* #,##0_-;_-[$$-80A]* &quot;-&quot;??_-;_-@_-"/>
    <numFmt numFmtId="170" formatCode="_-* #,##0_-;\-* #,##0_-;_-* &quot;-&quot;??_-;_-@_-"/>
    <numFmt numFmtId="171" formatCode="_-* #,##0.0_-;\-* #,##0.0_-;_-* &quot;-&quot;??_-;_-@_-"/>
    <numFmt numFmtId="172" formatCode="0.0"/>
    <numFmt numFmtId="173" formatCode="#,##0;[Red]#,##0"/>
    <numFmt numFmtId="174" formatCode="0;[Red]0"/>
    <numFmt numFmtId="175" formatCode="&quot;$&quot;#,##0.0"/>
    <numFmt numFmtId="176" formatCode="#,##0_ ;[Red]\-#,##0\ "/>
    <numFmt numFmtId="177" formatCode="&quot;$&quot;#,##0;[Red]&quot;$&quot;#,##0"/>
    <numFmt numFmtId="178" formatCode="dd/mm/yy;@"/>
    <numFmt numFmtId="179" formatCode="#,##0.0"/>
    <numFmt numFmtId="180" formatCode="_-&quot;$&quot;* #,##0.0_-;\-&quot;$&quot;* #,##0.0_-;_-&quot;$&quot;* &quot;-&quot;?_-;_-@_-"/>
    <numFmt numFmtId="181" formatCode="_-* #,##0.00000_-;\-* #,##0.00000_-;_-* &quot;-&quot;??_-;_-@_-"/>
  </numFmts>
  <fonts count="88">
    <font>
      <sz val="11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8"/>
      <color rgb="FFFFFFFF"/>
      <name val="MS Sans Serif"/>
      <family val="2"/>
    </font>
    <font>
      <b/>
      <sz val="9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FFFFFF"/>
      <name val="MS Sans Serif"/>
      <family val="2"/>
    </font>
    <font>
      <sz val="11"/>
      <color indexed="8"/>
      <name val="Calibri"/>
      <family val="2"/>
    </font>
    <font>
      <b/>
      <sz val="11"/>
      <color rgb="FFFFFFFF"/>
      <name val="Arial"/>
      <family val="2"/>
    </font>
    <font>
      <b/>
      <sz val="11"/>
      <color theme="1"/>
      <name val="Arial"/>
      <family val="2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9"/>
      <color indexed="8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sz val="10"/>
      <name val="Lato"/>
    </font>
    <font>
      <sz val="10"/>
      <color theme="1"/>
      <name val="Lato"/>
    </font>
    <font>
      <sz val="10"/>
      <color indexed="14"/>
      <name val="Lato"/>
    </font>
    <font>
      <b/>
      <sz val="9"/>
      <color theme="1"/>
      <name val="Calibri"/>
      <family val="2"/>
    </font>
    <font>
      <b/>
      <sz val="16"/>
      <color theme="1"/>
      <name val="Calibri"/>
      <family val="2"/>
      <scheme val="minor"/>
    </font>
    <font>
      <b/>
      <sz val="11"/>
      <name val="lato"/>
    </font>
    <font>
      <sz val="11"/>
      <name val="lat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Lato"/>
    </font>
    <font>
      <sz val="9"/>
      <name val="Calibri"/>
      <family val="2"/>
    </font>
    <font>
      <b/>
      <sz val="12"/>
      <name val="Calibri"/>
      <family val="2"/>
    </font>
    <font>
      <sz val="11"/>
      <color rgb="FF000000"/>
      <name val="Calibri"/>
      <family val="2"/>
    </font>
    <font>
      <sz val="9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20"/>
      <color rgb="FF000000"/>
      <name val="Calibri"/>
      <family val="2"/>
    </font>
    <font>
      <sz val="10"/>
      <color rgb="FF000000"/>
      <name val="Lato"/>
    </font>
    <font>
      <sz val="10"/>
      <color rgb="FFFF00FF"/>
      <name val="Lato"/>
    </font>
    <font>
      <b/>
      <sz val="18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Tahoma"/>
      <charset val="1"/>
    </font>
    <font>
      <sz val="20"/>
      <color theme="0"/>
      <name val="Calibri"/>
      <family val="2"/>
    </font>
    <font>
      <sz val="8"/>
      <name val="Calibri"/>
      <family val="2"/>
      <scheme val="minor"/>
    </font>
    <font>
      <sz val="20"/>
      <name val="Calibri"/>
      <family val="2"/>
    </font>
    <font>
      <b/>
      <sz val="20"/>
      <name val="Calibri"/>
      <family val="2"/>
    </font>
    <font>
      <sz val="20"/>
      <name val="Calibri"/>
      <family val="2"/>
      <scheme val="minor"/>
    </font>
    <font>
      <b/>
      <sz val="16"/>
      <color rgb="FF000000"/>
      <name val="Calibri"/>
      <family val="2"/>
    </font>
    <font>
      <sz val="16"/>
      <color rgb="FF000000"/>
      <name val="Calibri"/>
      <family val="2"/>
    </font>
    <font>
      <sz val="16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theme="0"/>
      <name val="Calibri"/>
      <family val="2"/>
    </font>
    <font>
      <sz val="8"/>
      <color rgb="FF000000"/>
      <name val="Calibri"/>
      <family val="2"/>
    </font>
    <font>
      <sz val="8"/>
      <color theme="1"/>
      <name val="Calibri"/>
      <family val="2"/>
      <scheme val="minor"/>
    </font>
    <font>
      <sz val="10"/>
      <color rgb="FFFFFFFF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sz val="20"/>
      <color rgb="FF000000"/>
      <name val="Calibri"/>
      <family val="2"/>
    </font>
    <font>
      <sz val="20"/>
      <color theme="1"/>
      <name val="Calibri"/>
      <family val="2"/>
      <scheme val="minor"/>
    </font>
    <font>
      <b/>
      <sz val="14"/>
      <color theme="0"/>
      <name val="Calibri"/>
      <family val="2"/>
    </font>
    <font>
      <b/>
      <sz val="14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1"/>
      <color theme="1"/>
      <name val="Calibri"/>
    </font>
    <font>
      <sz val="11"/>
      <color rgb="FF000000"/>
      <name val="Calibri"/>
    </font>
    <font>
      <sz val="18"/>
      <name val="Calibri"/>
      <family val="2"/>
      <scheme val="minor"/>
    </font>
    <font>
      <sz val="10"/>
      <color theme="1"/>
      <name val="Arial"/>
    </font>
    <font>
      <sz val="10"/>
      <color rgb="FF000000"/>
      <name val="Arial"/>
    </font>
    <font>
      <b/>
      <sz val="10"/>
      <color rgb="FF000000"/>
      <name val="Calibri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b/>
      <sz val="16"/>
      <color rgb="FF000000"/>
      <name val="Calibri"/>
    </font>
    <font>
      <b/>
      <sz val="10"/>
      <name val="Calibri"/>
    </font>
    <font>
      <sz val="11"/>
      <color rgb="FFFFFFFF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1"/>
      <color rgb="FF000000"/>
      <name val="Calibri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2"/>
      <name val="Lato"/>
    </font>
    <font>
      <sz val="12"/>
      <color rgb="FFFF00FF"/>
      <name val="Lato"/>
    </font>
    <font>
      <b/>
      <sz val="14"/>
      <color theme="1"/>
      <name val="Calibri"/>
      <family val="2"/>
      <scheme val="minor"/>
    </font>
    <font>
      <sz val="10"/>
      <color rgb="FF000000"/>
      <name val="ARIAL"/>
      <charset val="1"/>
    </font>
    <font>
      <sz val="11"/>
      <color rgb="FF444444"/>
      <name val="Calibri"/>
      <charset val="1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rgb="FF444444"/>
      <name val="Calibri"/>
      <family val="2"/>
      <charset val="1"/>
    </font>
  </fonts>
  <fills count="68">
    <fill>
      <patternFill patternType="none"/>
    </fill>
    <fill>
      <patternFill patternType="gray125"/>
    </fill>
    <fill>
      <patternFill patternType="solid">
        <fgColor rgb="FF0040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249977111117893"/>
        <bgColor indexed="8"/>
      </patternFill>
    </fill>
    <fill>
      <patternFill patternType="solid">
        <fgColor rgb="FFD3D3D3"/>
        <bgColor rgb="FFD3D3D3"/>
      </patternFill>
    </fill>
    <fill>
      <patternFill patternType="solid">
        <fgColor rgb="FFFF33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00EE"/>
        <bgColor indexed="64"/>
      </patternFill>
    </fill>
    <fill>
      <patternFill patternType="solid">
        <fgColor rgb="FF9BC2E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3399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rgb="FF002060"/>
        <bgColor rgb="FF000000"/>
      </patternFill>
    </fill>
    <fill>
      <patternFill patternType="solid">
        <fgColor theme="5" tint="0.39997558519241921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theme="8" tint="-0.249977111117893"/>
        <bgColor rgb="FF000000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D6B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indexed="11"/>
        <bgColor indexed="8"/>
      </patternFill>
    </fill>
    <fill>
      <patternFill patternType="solid">
        <fgColor indexed="15"/>
        <bgColor indexed="8"/>
      </patternFill>
    </fill>
    <fill>
      <patternFill patternType="solid">
        <fgColor rgb="FFF4B08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A6A6A6"/>
        <bgColor indexed="64"/>
      </patternFill>
    </fill>
  </fills>
  <borders count="2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/>
      <top style="medium">
        <color rgb="FFCCCCCC"/>
      </top>
      <bottom style="medium">
        <color rgb="FF000000"/>
      </bottom>
      <diagonal/>
    </border>
    <border>
      <left/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CCCCCC"/>
      </left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/>
      <right style="medium">
        <color rgb="FFCCCCCC"/>
      </right>
      <top style="medium">
        <color rgb="FFCCCCCC"/>
      </top>
      <bottom/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CCCCCC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thin">
        <color indexed="13"/>
      </right>
      <top/>
      <bottom style="thin">
        <color indexed="13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6">
    <xf numFmtId="0" fontId="0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" fillId="0" borderId="0" applyFill="0" applyProtection="0"/>
    <xf numFmtId="164" fontId="5" fillId="0" borderId="0" applyFont="0" applyFill="0" applyBorder="0" applyAlignment="0" applyProtection="0"/>
    <xf numFmtId="0" fontId="8" fillId="0" borderId="0" applyFill="0" applyProtection="0"/>
  </cellStyleXfs>
  <cellXfs count="1904">
    <xf numFmtId="0" fontId="0" fillId="0" borderId="0" xfId="0"/>
    <xf numFmtId="164" fontId="1" fillId="0" borderId="1" xfId="2" applyFont="1" applyFill="1" applyBorder="1" applyAlignment="1">
      <alignment horizontal="right" wrapText="1"/>
    </xf>
    <xf numFmtId="9" fontId="1" fillId="0" borderId="1" xfId="1" applyFont="1" applyFill="1" applyBorder="1" applyAlignment="1">
      <alignment horizontal="center" vertical="center" wrapText="1"/>
    </xf>
    <xf numFmtId="164" fontId="1" fillId="4" borderId="2" xfId="2" applyFont="1" applyFill="1" applyBorder="1" applyAlignment="1">
      <alignment horizontal="right" wrapText="1"/>
    </xf>
    <xf numFmtId="14" fontId="2" fillId="2" borderId="0" xfId="0" applyNumberFormat="1" applyFont="1" applyFill="1" applyAlignment="1">
      <alignment horizontal="center" vertical="center" wrapText="1"/>
    </xf>
    <xf numFmtId="15" fontId="2" fillId="2" borderId="0" xfId="0" applyNumberFormat="1" applyFont="1" applyFill="1" applyAlignment="1">
      <alignment horizontal="center" vertical="center" wrapText="1"/>
    </xf>
    <xf numFmtId="164" fontId="1" fillId="0" borderId="11" xfId="2" applyFont="1" applyFill="1" applyBorder="1" applyAlignment="1">
      <alignment horizontal="right" wrapText="1"/>
    </xf>
    <xf numFmtId="9" fontId="1" fillId="4" borderId="16" xfId="1" applyFont="1" applyFill="1" applyBorder="1" applyAlignment="1">
      <alignment horizontal="center" wrapText="1"/>
    </xf>
    <xf numFmtId="9" fontId="1" fillId="4" borderId="18" xfId="1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164" fontId="1" fillId="0" borderId="13" xfId="2" applyFont="1" applyFill="1" applyBorder="1" applyAlignment="1">
      <alignment horizontal="right" wrapText="1"/>
    </xf>
    <xf numFmtId="9" fontId="0" fillId="0" borderId="16" xfId="1" applyFont="1" applyBorder="1" applyAlignment="1">
      <alignment horizontal="center"/>
    </xf>
    <xf numFmtId="164" fontId="0" fillId="0" borderId="0" xfId="0" applyNumberFormat="1"/>
    <xf numFmtId="9" fontId="1" fillId="0" borderId="16" xfId="1" applyFont="1" applyFill="1" applyBorder="1" applyAlignment="1">
      <alignment horizontal="center" wrapText="1"/>
    </xf>
    <xf numFmtId="9" fontId="1" fillId="0" borderId="23" xfId="1" applyFont="1" applyFill="1" applyBorder="1" applyAlignment="1">
      <alignment horizontal="center" wrapText="1"/>
    </xf>
    <xf numFmtId="164" fontId="1" fillId="4" borderId="26" xfId="2" applyFont="1" applyFill="1" applyBorder="1" applyAlignment="1">
      <alignment horizontal="right" wrapText="1"/>
    </xf>
    <xf numFmtId="9" fontId="1" fillId="0" borderId="22" xfId="1" applyFont="1" applyFill="1" applyBorder="1" applyAlignment="1">
      <alignment horizontal="center" vertical="center" wrapText="1"/>
    </xf>
    <xf numFmtId="9" fontId="1" fillId="0" borderId="23" xfId="1" applyFont="1" applyFill="1" applyBorder="1" applyAlignment="1">
      <alignment horizontal="center" vertical="center" wrapText="1"/>
    </xf>
    <xf numFmtId="9" fontId="1" fillId="0" borderId="14" xfId="1" applyFont="1" applyFill="1" applyBorder="1" applyAlignment="1">
      <alignment horizontal="center" vertical="center" wrapText="1"/>
    </xf>
    <xf numFmtId="14" fontId="2" fillId="2" borderId="6" xfId="0" applyNumberFormat="1" applyFont="1" applyFill="1" applyBorder="1" applyAlignment="1">
      <alignment horizontal="center" vertical="center" wrapText="1"/>
    </xf>
    <xf numFmtId="0" fontId="0" fillId="0" borderId="6" xfId="0" applyBorder="1"/>
    <xf numFmtId="0" fontId="6" fillId="0" borderId="6" xfId="0" applyFont="1" applyBorder="1" applyAlignment="1">
      <alignment horizontal="center"/>
    </xf>
    <xf numFmtId="0" fontId="0" fillId="0" borderId="1" xfId="0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10" fillId="0" borderId="0" xfId="0" applyFont="1"/>
    <xf numFmtId="0" fontId="9" fillId="2" borderId="6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1" fillId="0" borderId="0" xfId="0" applyFont="1"/>
    <xf numFmtId="164" fontId="1" fillId="0" borderId="0" xfId="2" applyFont="1" applyFill="1" applyBorder="1" applyAlignment="1">
      <alignment horizontal="right" wrapText="1"/>
    </xf>
    <xf numFmtId="44" fontId="0" fillId="0" borderId="0" xfId="0" applyNumberFormat="1"/>
    <xf numFmtId="9" fontId="1" fillId="0" borderId="27" xfId="1" applyFont="1" applyFill="1" applyBorder="1" applyAlignment="1">
      <alignment horizontal="center" wrapText="1"/>
    </xf>
    <xf numFmtId="9" fontId="1" fillId="0" borderId="1" xfId="1" applyFont="1" applyFill="1" applyBorder="1" applyAlignment="1">
      <alignment horizontal="center" wrapText="1"/>
    </xf>
    <xf numFmtId="9" fontId="1" fillId="4" borderId="1" xfId="1" applyFont="1" applyFill="1" applyBorder="1" applyAlignment="1">
      <alignment horizontal="center" wrapText="1"/>
    </xf>
    <xf numFmtId="164" fontId="1" fillId="0" borderId="34" xfId="2" applyFont="1" applyFill="1" applyBorder="1" applyAlignment="1">
      <alignment horizontal="right" wrapText="1"/>
    </xf>
    <xf numFmtId="164" fontId="1" fillId="4" borderId="34" xfId="2" applyFont="1" applyFill="1" applyBorder="1" applyAlignment="1">
      <alignment horizontal="right" wrapText="1"/>
    </xf>
    <xf numFmtId="9" fontId="1" fillId="4" borderId="34" xfId="1" applyFont="1" applyFill="1" applyBorder="1" applyAlignment="1">
      <alignment horizontal="center" wrapText="1"/>
    </xf>
    <xf numFmtId="164" fontId="1" fillId="0" borderId="37" xfId="2" applyFont="1" applyFill="1" applyBorder="1" applyAlignment="1">
      <alignment horizontal="right" wrapText="1"/>
    </xf>
    <xf numFmtId="164" fontId="1" fillId="0" borderId="33" xfId="2" applyFont="1" applyFill="1" applyBorder="1" applyAlignment="1">
      <alignment horizontal="right" wrapText="1"/>
    </xf>
    <xf numFmtId="9" fontId="1" fillId="0" borderId="34" xfId="2" applyNumberFormat="1" applyFont="1" applyFill="1" applyBorder="1" applyAlignment="1">
      <alignment horizontal="center" wrapText="1"/>
    </xf>
    <xf numFmtId="164" fontId="1" fillId="6" borderId="34" xfId="2" applyFont="1" applyFill="1" applyBorder="1" applyAlignment="1">
      <alignment horizontal="right" wrapText="1"/>
    </xf>
    <xf numFmtId="9" fontId="1" fillId="6" borderId="35" xfId="2" applyNumberFormat="1" applyFont="1" applyFill="1" applyBorder="1" applyAlignment="1">
      <alignment horizontal="center" wrapText="1"/>
    </xf>
    <xf numFmtId="9" fontId="1" fillId="6" borderId="16" xfId="2" applyNumberFormat="1" applyFont="1" applyFill="1" applyBorder="1" applyAlignment="1">
      <alignment horizontal="center" wrapText="1"/>
    </xf>
    <xf numFmtId="164" fontId="1" fillId="6" borderId="37" xfId="2" applyFont="1" applyFill="1" applyBorder="1" applyAlignment="1">
      <alignment horizontal="right" wrapText="1"/>
    </xf>
    <xf numFmtId="9" fontId="1" fillId="6" borderId="38" xfId="2" applyNumberFormat="1" applyFont="1" applyFill="1" applyBorder="1" applyAlignment="1">
      <alignment horizontal="center" wrapText="1"/>
    </xf>
    <xf numFmtId="9" fontId="1" fillId="4" borderId="16" xfId="1" applyFont="1" applyFill="1" applyBorder="1" applyAlignment="1">
      <alignment horizontal="center" vertical="center" wrapText="1"/>
    </xf>
    <xf numFmtId="9" fontId="1" fillId="4" borderId="35" xfId="1" applyFont="1" applyFill="1" applyBorder="1" applyAlignment="1">
      <alignment horizontal="center" wrapText="1"/>
    </xf>
    <xf numFmtId="9" fontId="1" fillId="4" borderId="46" xfId="1" applyFont="1" applyFill="1" applyBorder="1" applyAlignment="1">
      <alignment horizontal="center" wrapText="1"/>
    </xf>
    <xf numFmtId="9" fontId="1" fillId="0" borderId="37" xfId="1" applyFont="1" applyFill="1" applyBorder="1" applyAlignment="1">
      <alignment horizontal="center" wrapText="1"/>
    </xf>
    <xf numFmtId="9" fontId="1" fillId="0" borderId="34" xfId="1" applyFont="1" applyFill="1" applyBorder="1" applyAlignment="1">
      <alignment horizontal="center" wrapText="1"/>
    </xf>
    <xf numFmtId="14" fontId="0" fillId="0" borderId="0" xfId="0" applyNumberFormat="1"/>
    <xf numFmtId="164" fontId="0" fillId="0" borderId="34" xfId="2" applyFont="1" applyFill="1" applyBorder="1"/>
    <xf numFmtId="164" fontId="0" fillId="0" borderId="34" xfId="2" applyFont="1" applyBorder="1"/>
    <xf numFmtId="0" fontId="1" fillId="0" borderId="0" xfId="0" applyFont="1" applyAlignment="1">
      <alignment horizontal="center" wrapText="1"/>
    </xf>
    <xf numFmtId="164" fontId="0" fillId="0" borderId="47" xfId="2" applyFont="1" applyBorder="1"/>
    <xf numFmtId="0" fontId="0" fillId="0" borderId="0" xfId="0" applyAlignment="1">
      <alignment horizontal="center"/>
    </xf>
    <xf numFmtId="9" fontId="1" fillId="0" borderId="39" xfId="1" applyFont="1" applyFill="1" applyBorder="1" applyAlignment="1">
      <alignment horizontal="center" wrapText="1"/>
    </xf>
    <xf numFmtId="9" fontId="1" fillId="0" borderId="39" xfId="1" applyFont="1" applyFill="1" applyBorder="1" applyAlignment="1">
      <alignment horizontal="center" vertical="center" wrapText="1"/>
    </xf>
    <xf numFmtId="9" fontId="1" fillId="0" borderId="35" xfId="1" applyFont="1" applyFill="1" applyBorder="1" applyAlignment="1">
      <alignment horizontal="center" vertical="center" wrapText="1"/>
    </xf>
    <xf numFmtId="9" fontId="1" fillId="0" borderId="35" xfId="1" applyFont="1" applyFill="1" applyBorder="1" applyAlignment="1">
      <alignment horizontal="center" wrapText="1"/>
    </xf>
    <xf numFmtId="9" fontId="1" fillId="0" borderId="16" xfId="1" applyFont="1" applyFill="1" applyBorder="1" applyAlignment="1">
      <alignment horizontal="center" vertical="center" wrapText="1"/>
    </xf>
    <xf numFmtId="9" fontId="1" fillId="0" borderId="40" xfId="1" applyFont="1" applyFill="1" applyBorder="1" applyAlignment="1">
      <alignment horizontal="center" wrapText="1"/>
    </xf>
    <xf numFmtId="9" fontId="1" fillId="0" borderId="38" xfId="1" applyFont="1" applyFill="1" applyBorder="1" applyAlignment="1">
      <alignment horizontal="center" vertical="center" wrapText="1"/>
    </xf>
    <xf numFmtId="9" fontId="1" fillId="0" borderId="38" xfId="1" applyFont="1" applyFill="1" applyBorder="1" applyAlignment="1">
      <alignment horizontal="center" wrapText="1"/>
    </xf>
    <xf numFmtId="164" fontId="3" fillId="0" borderId="23" xfId="1" applyNumberFormat="1" applyFont="1" applyFill="1" applyBorder="1" applyAlignment="1">
      <alignment horizontal="center" vertical="center" wrapText="1"/>
    </xf>
    <xf numFmtId="9" fontId="3" fillId="0" borderId="43" xfId="1" applyFont="1" applyFill="1" applyBorder="1" applyAlignment="1">
      <alignment horizontal="center" vertical="center" wrapText="1"/>
    </xf>
    <xf numFmtId="9" fontId="3" fillId="0" borderId="44" xfId="1" applyFont="1" applyFill="1" applyBorder="1" applyAlignment="1">
      <alignment horizontal="center" vertical="center" wrapText="1"/>
    </xf>
    <xf numFmtId="164" fontId="0" fillId="0" borderId="49" xfId="2" applyFont="1" applyBorder="1"/>
    <xf numFmtId="164" fontId="0" fillId="0" borderId="48" xfId="2" applyFont="1" applyBorder="1"/>
    <xf numFmtId="164" fontId="0" fillId="0" borderId="52" xfId="2" applyFont="1" applyBorder="1"/>
    <xf numFmtId="0" fontId="3" fillId="0" borderId="52" xfId="0" applyFont="1" applyBorder="1" applyAlignment="1">
      <alignment horizontal="center" wrapText="1"/>
    </xf>
    <xf numFmtId="0" fontId="3" fillId="0" borderId="29" xfId="0" applyFont="1" applyBorder="1" applyAlignment="1">
      <alignment horizontal="center" wrapText="1"/>
    </xf>
    <xf numFmtId="0" fontId="3" fillId="0" borderId="30" xfId="0" applyFont="1" applyBorder="1" applyAlignment="1">
      <alignment horizontal="center" wrapText="1"/>
    </xf>
    <xf numFmtId="165" fontId="0" fillId="0" borderId="33" xfId="0" applyNumberFormat="1" applyBorder="1"/>
    <xf numFmtId="165" fontId="0" fillId="0" borderId="34" xfId="0" applyNumberFormat="1" applyBorder="1"/>
    <xf numFmtId="165" fontId="0" fillId="0" borderId="1" xfId="0" applyNumberFormat="1" applyBorder="1"/>
    <xf numFmtId="165" fontId="0" fillId="0" borderId="37" xfId="0" applyNumberFormat="1" applyBorder="1"/>
    <xf numFmtId="9" fontId="0" fillId="0" borderId="38" xfId="1" applyFont="1" applyBorder="1" applyAlignment="1">
      <alignment horizontal="center"/>
    </xf>
    <xf numFmtId="9" fontId="0" fillId="0" borderId="35" xfId="1" applyFont="1" applyBorder="1" applyAlignment="1">
      <alignment horizontal="center"/>
    </xf>
    <xf numFmtId="164" fontId="15" fillId="6" borderId="1" xfId="2" applyFont="1" applyFill="1" applyBorder="1" applyAlignment="1">
      <alignment horizontal="right" wrapText="1"/>
    </xf>
    <xf numFmtId="164" fontId="15" fillId="6" borderId="12" xfId="2" applyFont="1" applyFill="1" applyBorder="1" applyAlignment="1">
      <alignment horizontal="right" wrapText="1"/>
    </xf>
    <xf numFmtId="8" fontId="0" fillId="0" borderId="1" xfId="0" applyNumberFormat="1" applyBorder="1"/>
    <xf numFmtId="164" fontId="0" fillId="0" borderId="15" xfId="2" applyFont="1" applyBorder="1"/>
    <xf numFmtId="164" fontId="0" fillId="0" borderId="36" xfId="2" applyFont="1" applyBorder="1"/>
    <xf numFmtId="0" fontId="16" fillId="3" borderId="52" xfId="0" applyFont="1" applyFill="1" applyBorder="1" applyAlignment="1">
      <alignment horizontal="center" wrapText="1"/>
    </xf>
    <xf numFmtId="0" fontId="16" fillId="18" borderId="29" xfId="0" applyFont="1" applyFill="1" applyBorder="1" applyAlignment="1">
      <alignment horizontal="center" wrapText="1"/>
    </xf>
    <xf numFmtId="0" fontId="6" fillId="0" borderId="53" xfId="0" applyFont="1" applyBorder="1" applyAlignment="1">
      <alignment horizontal="center" vertical="center"/>
    </xf>
    <xf numFmtId="164" fontId="0" fillId="0" borderId="33" xfId="2" applyFont="1" applyBorder="1"/>
    <xf numFmtId="4" fontId="0" fillId="0" borderId="1" xfId="0" applyNumberFormat="1" applyBorder="1"/>
    <xf numFmtId="9" fontId="0" fillId="0" borderId="33" xfId="1" applyFont="1" applyBorder="1" applyAlignment="1">
      <alignment horizontal="center"/>
    </xf>
    <xf numFmtId="9" fontId="1" fillId="0" borderId="45" xfId="1" applyFont="1" applyFill="1" applyBorder="1" applyAlignment="1">
      <alignment horizontal="center" wrapText="1"/>
    </xf>
    <xf numFmtId="8" fontId="0" fillId="0" borderId="4" xfId="0" applyNumberFormat="1" applyBorder="1"/>
    <xf numFmtId="8" fontId="0" fillId="0" borderId="34" xfId="0" applyNumberFormat="1" applyBorder="1"/>
    <xf numFmtId="8" fontId="0" fillId="17" borderId="4" xfId="0" applyNumberFormat="1" applyFill="1" applyBorder="1"/>
    <xf numFmtId="4" fontId="0" fillId="0" borderId="34" xfId="0" applyNumberFormat="1" applyBorder="1"/>
    <xf numFmtId="164" fontId="14" fillId="16" borderId="0" xfId="2" applyFont="1" applyFill="1" applyBorder="1" applyAlignment="1" applyProtection="1">
      <alignment horizontal="left" vertical="center"/>
    </xf>
    <xf numFmtId="8" fontId="0" fillId="0" borderId="0" xfId="0" applyNumberFormat="1"/>
    <xf numFmtId="8" fontId="0" fillId="17" borderId="0" xfId="0" applyNumberFormat="1" applyFill="1"/>
    <xf numFmtId="0" fontId="3" fillId="0" borderId="53" xfId="0" applyFont="1" applyBorder="1" applyAlignment="1">
      <alignment horizontal="center" wrapText="1"/>
    </xf>
    <xf numFmtId="164" fontId="15" fillId="6" borderId="41" xfId="2" applyFont="1" applyFill="1" applyBorder="1" applyAlignment="1">
      <alignment horizontal="right" wrapText="1"/>
    </xf>
    <xf numFmtId="9" fontId="1" fillId="0" borderId="31" xfId="1" applyFont="1" applyFill="1" applyBorder="1" applyAlignment="1">
      <alignment horizontal="center" vertical="center" wrapText="1"/>
    </xf>
    <xf numFmtId="9" fontId="1" fillId="0" borderId="32" xfId="1" applyFont="1" applyFill="1" applyBorder="1" applyAlignment="1">
      <alignment horizontal="center" vertical="center" wrapText="1"/>
    </xf>
    <xf numFmtId="8" fontId="0" fillId="0" borderId="9" xfId="0" applyNumberFormat="1" applyBorder="1"/>
    <xf numFmtId="8" fontId="0" fillId="17" borderId="9" xfId="0" applyNumberFormat="1" applyFill="1" applyBorder="1"/>
    <xf numFmtId="8" fontId="0" fillId="0" borderId="37" xfId="0" applyNumberFormat="1" applyBorder="1"/>
    <xf numFmtId="4" fontId="0" fillId="0" borderId="37" xfId="0" applyNumberFormat="1" applyBorder="1"/>
    <xf numFmtId="164" fontId="1" fillId="0" borderId="12" xfId="2" applyFont="1" applyFill="1" applyBorder="1" applyAlignment="1">
      <alignment horizontal="right" wrapText="1"/>
    </xf>
    <xf numFmtId="164" fontId="1" fillId="6" borderId="1" xfId="2" applyFont="1" applyFill="1" applyBorder="1" applyAlignment="1">
      <alignment horizontal="right" wrapText="1"/>
    </xf>
    <xf numFmtId="4" fontId="0" fillId="0" borderId="0" xfId="0" applyNumberFormat="1"/>
    <xf numFmtId="9" fontId="0" fillId="0" borderId="52" xfId="1" applyFont="1" applyBorder="1" applyAlignment="1">
      <alignment horizontal="center"/>
    </xf>
    <xf numFmtId="164" fontId="0" fillId="0" borderId="33" xfId="2" applyFont="1" applyBorder="1" applyAlignment="1">
      <alignment horizontal="center"/>
    </xf>
    <xf numFmtId="164" fontId="0" fillId="0" borderId="34" xfId="2" applyFont="1" applyBorder="1" applyAlignment="1">
      <alignment horizontal="center"/>
    </xf>
    <xf numFmtId="44" fontId="0" fillId="0" borderId="34" xfId="0" applyNumberFormat="1" applyBorder="1" applyAlignment="1">
      <alignment horizontal="center"/>
    </xf>
    <xf numFmtId="164" fontId="0" fillId="0" borderId="1" xfId="2" applyFont="1" applyBorder="1" applyAlignment="1">
      <alignment horizontal="center"/>
    </xf>
    <xf numFmtId="44" fontId="0" fillId="0" borderId="1" xfId="0" applyNumberFormat="1" applyBorder="1" applyAlignment="1">
      <alignment horizontal="center"/>
    </xf>
    <xf numFmtId="166" fontId="17" fillId="0" borderId="1" xfId="0" applyNumberFormat="1" applyFont="1" applyBorder="1" applyAlignment="1">
      <alignment horizontal="right" vertical="center"/>
    </xf>
    <xf numFmtId="166" fontId="18" fillId="0" borderId="1" xfId="0" applyNumberFormat="1" applyFont="1" applyBorder="1" applyAlignment="1">
      <alignment horizontal="right" vertical="center"/>
    </xf>
    <xf numFmtId="9" fontId="1" fillId="6" borderId="18" xfId="2" applyNumberFormat="1" applyFont="1" applyFill="1" applyBorder="1" applyAlignment="1">
      <alignment horizontal="center" wrapText="1"/>
    </xf>
    <xf numFmtId="164" fontId="1" fillId="0" borderId="54" xfId="2" applyFont="1" applyFill="1" applyBorder="1" applyAlignment="1">
      <alignment horizontal="right" wrapText="1"/>
    </xf>
    <xf numFmtId="164" fontId="1" fillId="0" borderId="55" xfId="2" applyFont="1" applyFill="1" applyBorder="1" applyAlignment="1">
      <alignment horizontal="right" wrapText="1"/>
    </xf>
    <xf numFmtId="9" fontId="1" fillId="4" borderId="17" xfId="1" applyFont="1" applyFill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9" fontId="1" fillId="0" borderId="0" xfId="1" applyFont="1" applyFill="1" applyBorder="1" applyAlignment="1">
      <alignment horizontal="center" vertical="center" wrapText="1"/>
    </xf>
    <xf numFmtId="9" fontId="3" fillId="0" borderId="0" xfId="1" applyFont="1" applyFill="1" applyBorder="1" applyAlignment="1">
      <alignment horizontal="center" wrapText="1"/>
    </xf>
    <xf numFmtId="9" fontId="1" fillId="0" borderId="0" xfId="1" applyFont="1" applyFill="1" applyBorder="1" applyAlignment="1">
      <alignment horizontal="center" wrapText="1"/>
    </xf>
    <xf numFmtId="166" fontId="17" fillId="0" borderId="0" xfId="0" applyNumberFormat="1" applyFont="1" applyAlignment="1">
      <alignment horizontal="right" vertical="center"/>
    </xf>
    <xf numFmtId="165" fontId="3" fillId="0" borderId="0" xfId="2" applyNumberFormat="1" applyFont="1" applyFill="1" applyBorder="1" applyAlignment="1">
      <alignment horizontal="right" wrapText="1"/>
    </xf>
    <xf numFmtId="166" fontId="18" fillId="0" borderId="0" xfId="0" applyNumberFormat="1" applyFont="1" applyAlignment="1">
      <alignment horizontal="right" vertical="center"/>
    </xf>
    <xf numFmtId="164" fontId="20" fillId="0" borderId="1" xfId="2" applyFont="1" applyFill="1" applyBorder="1" applyAlignment="1">
      <alignment horizontal="right" wrapText="1"/>
    </xf>
    <xf numFmtId="9" fontId="1" fillId="0" borderId="45" xfId="1" applyFont="1" applyFill="1" applyBorder="1" applyAlignment="1">
      <alignment horizontal="center" vertical="center" wrapText="1"/>
    </xf>
    <xf numFmtId="9" fontId="1" fillId="0" borderId="27" xfId="1" applyFont="1" applyFill="1" applyBorder="1" applyAlignment="1">
      <alignment horizontal="center" vertical="center" wrapText="1"/>
    </xf>
    <xf numFmtId="9" fontId="1" fillId="0" borderId="9" xfId="1" applyFont="1" applyFill="1" applyBorder="1" applyAlignment="1">
      <alignment horizontal="center" vertical="center" wrapText="1"/>
    </xf>
    <xf numFmtId="164" fontId="20" fillId="0" borderId="1" xfId="2" applyFont="1" applyFill="1" applyBorder="1" applyAlignment="1" applyProtection="1">
      <alignment horizontal="left" vertical="center"/>
    </xf>
    <xf numFmtId="9" fontId="0" fillId="3" borderId="33" xfId="1" applyFont="1" applyFill="1" applyBorder="1" applyAlignment="1">
      <alignment horizontal="center"/>
    </xf>
    <xf numFmtId="0" fontId="13" fillId="0" borderId="0" xfId="0" applyFont="1"/>
    <xf numFmtId="164" fontId="13" fillId="0" borderId="36" xfId="2" applyFont="1" applyBorder="1"/>
    <xf numFmtId="9" fontId="13" fillId="0" borderId="38" xfId="1" applyFont="1" applyBorder="1" applyAlignment="1">
      <alignment horizontal="center"/>
    </xf>
    <xf numFmtId="9" fontId="13" fillId="0" borderId="33" xfId="1" applyFont="1" applyBorder="1" applyAlignment="1">
      <alignment horizontal="center"/>
    </xf>
    <xf numFmtId="9" fontId="13" fillId="0" borderId="52" xfId="1" applyFont="1" applyBorder="1" applyAlignment="1">
      <alignment horizontal="center"/>
    </xf>
    <xf numFmtId="164" fontId="13" fillId="0" borderId="36" xfId="2" applyFont="1" applyBorder="1" applyAlignment="1">
      <alignment horizontal="center"/>
    </xf>
    <xf numFmtId="44" fontId="13" fillId="0" borderId="37" xfId="0" applyNumberFormat="1" applyFont="1" applyBorder="1" applyAlignment="1">
      <alignment horizontal="center"/>
    </xf>
    <xf numFmtId="9" fontId="0" fillId="0" borderId="33" xfId="1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9" fontId="0" fillId="0" borderId="1" xfId="1" applyFont="1" applyBorder="1" applyAlignment="1">
      <alignment horizontal="center"/>
    </xf>
    <xf numFmtId="44" fontId="0" fillId="0" borderId="1" xfId="0" applyNumberFormat="1" applyBorder="1"/>
    <xf numFmtId="0" fontId="6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0" fillId="6" borderId="1" xfId="0" applyFill="1" applyBorder="1" applyAlignment="1">
      <alignment horizontal="center"/>
    </xf>
    <xf numFmtId="164" fontId="0" fillId="6" borderId="1" xfId="0" applyNumberFormat="1" applyFill="1" applyBorder="1"/>
    <xf numFmtId="9" fontId="0" fillId="6" borderId="1" xfId="1" applyFont="1" applyFill="1" applyBorder="1" applyAlignment="1">
      <alignment horizontal="center"/>
    </xf>
    <xf numFmtId="44" fontId="0" fillId="6" borderId="1" xfId="0" applyNumberFormat="1" applyFill="1" applyBorder="1"/>
    <xf numFmtId="44" fontId="0" fillId="6" borderId="0" xfId="0" applyNumberFormat="1" applyFill="1"/>
    <xf numFmtId="164" fontId="0" fillId="6" borderId="0" xfId="0" applyNumberFormat="1" applyFill="1"/>
    <xf numFmtId="0" fontId="0" fillId="6" borderId="12" xfId="0" applyFill="1" applyBorder="1" applyAlignment="1">
      <alignment horizontal="center"/>
    </xf>
    <xf numFmtId="9" fontId="0" fillId="0" borderId="34" xfId="1" applyFont="1" applyBorder="1" applyAlignment="1">
      <alignment horizontal="center"/>
    </xf>
    <xf numFmtId="9" fontId="0" fillId="0" borderId="37" xfId="1" applyFont="1" applyBorder="1" applyAlignment="1">
      <alignment horizontal="center"/>
    </xf>
    <xf numFmtId="4" fontId="0" fillId="4" borderId="0" xfId="0" applyNumberFormat="1" applyFill="1"/>
    <xf numFmtId="164" fontId="1" fillId="0" borderId="41" xfId="2" applyFont="1" applyFill="1" applyBorder="1" applyAlignment="1">
      <alignment horizontal="right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4" fontId="0" fillId="4" borderId="15" xfId="0" applyNumberFormat="1" applyFill="1" applyBorder="1"/>
    <xf numFmtId="4" fontId="0" fillId="4" borderId="36" xfId="0" applyNumberFormat="1" applyFill="1" applyBorder="1"/>
    <xf numFmtId="0" fontId="2" fillId="2" borderId="57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4" fontId="0" fillId="4" borderId="12" xfId="0" applyNumberFormat="1" applyFill="1" applyBorder="1"/>
    <xf numFmtId="4" fontId="0" fillId="4" borderId="41" xfId="0" applyNumberFormat="1" applyFill="1" applyBorder="1"/>
    <xf numFmtId="9" fontId="3" fillId="0" borderId="16" xfId="1" applyFont="1" applyFill="1" applyBorder="1" applyAlignment="1">
      <alignment horizontal="center" wrapText="1"/>
    </xf>
    <xf numFmtId="164" fontId="15" fillId="0" borderId="0" xfId="2" applyFont="1" applyFill="1" applyBorder="1" applyAlignment="1">
      <alignment horizontal="right" wrapText="1"/>
    </xf>
    <xf numFmtId="164" fontId="14" fillId="0" borderId="0" xfId="2" applyFont="1" applyFill="1" applyBorder="1" applyAlignment="1" applyProtection="1">
      <alignment horizontal="left" vertical="center"/>
    </xf>
    <xf numFmtId="9" fontId="0" fillId="0" borderId="38" xfId="1" applyFont="1" applyFill="1" applyBorder="1" applyAlignment="1">
      <alignment horizontal="center"/>
    </xf>
    <xf numFmtId="164" fontId="1" fillId="0" borderId="58" xfId="2" applyFont="1" applyFill="1" applyBorder="1" applyAlignment="1">
      <alignment horizontal="right" wrapText="1"/>
    </xf>
    <xf numFmtId="164" fontId="1" fillId="4" borderId="59" xfId="2" applyFont="1" applyFill="1" applyBorder="1" applyAlignment="1">
      <alignment horizontal="right" wrapText="1"/>
    </xf>
    <xf numFmtId="164" fontId="3" fillId="0" borderId="25" xfId="1" applyNumberFormat="1" applyFont="1" applyFill="1" applyBorder="1" applyAlignment="1">
      <alignment horizontal="center" vertical="center" wrapText="1"/>
    </xf>
    <xf numFmtId="164" fontId="0" fillId="0" borderId="3" xfId="2" applyFont="1" applyBorder="1"/>
    <xf numFmtId="164" fontId="0" fillId="0" borderId="60" xfId="2" applyFont="1" applyBorder="1"/>
    <xf numFmtId="9" fontId="3" fillId="0" borderId="61" xfId="1" applyFont="1" applyFill="1" applyBorder="1" applyAlignment="1">
      <alignment horizontal="center" vertical="center" wrapText="1"/>
    </xf>
    <xf numFmtId="9" fontId="1" fillId="0" borderId="0" xfId="2" applyNumberFormat="1" applyFont="1" applyFill="1" applyBorder="1" applyAlignment="1">
      <alignment horizontal="center" wrapText="1"/>
    </xf>
    <xf numFmtId="164" fontId="0" fillId="0" borderId="0" xfId="2" applyFont="1" applyFill="1" applyBorder="1"/>
    <xf numFmtId="9" fontId="3" fillId="0" borderId="0" xfId="1" applyFont="1" applyFill="1" applyBorder="1" applyAlignment="1">
      <alignment horizontal="center" vertical="center" wrapText="1"/>
    </xf>
    <xf numFmtId="164" fontId="3" fillId="0" borderId="0" xfId="1" applyNumberFormat="1" applyFont="1" applyFill="1" applyBorder="1" applyAlignment="1">
      <alignment horizontal="center" vertical="center" wrapText="1"/>
    </xf>
    <xf numFmtId="0" fontId="1" fillId="0" borderId="48" xfId="0" applyFont="1" applyBorder="1" applyAlignment="1">
      <alignment horizontal="center" wrapText="1"/>
    </xf>
    <xf numFmtId="0" fontId="1" fillId="3" borderId="48" xfId="0" applyFont="1" applyFill="1" applyBorder="1" applyAlignment="1">
      <alignment horizontal="center" wrapText="1"/>
    </xf>
    <xf numFmtId="0" fontId="1" fillId="3" borderId="62" xfId="0" applyFont="1" applyFill="1" applyBorder="1" applyAlignment="1">
      <alignment horizontal="center" wrapText="1"/>
    </xf>
    <xf numFmtId="164" fontId="1" fillId="0" borderId="57" xfId="2" applyFont="1" applyFill="1" applyBorder="1" applyAlignment="1">
      <alignment horizontal="right" wrapText="1"/>
    </xf>
    <xf numFmtId="9" fontId="0" fillId="0" borderId="22" xfId="1" applyFont="1" applyFill="1" applyBorder="1" applyAlignment="1">
      <alignment horizontal="center"/>
    </xf>
    <xf numFmtId="164" fontId="0" fillId="0" borderId="1" xfId="2" applyFont="1" applyBorder="1"/>
    <xf numFmtId="164" fontId="0" fillId="0" borderId="57" xfId="2" applyFont="1" applyBorder="1"/>
    <xf numFmtId="164" fontId="0" fillId="0" borderId="12" xfId="2" applyFont="1" applyBorder="1"/>
    <xf numFmtId="164" fontId="0" fillId="0" borderId="41" xfId="2" applyFont="1" applyBorder="1"/>
    <xf numFmtId="164" fontId="0" fillId="0" borderId="37" xfId="2" applyFont="1" applyBorder="1"/>
    <xf numFmtId="0" fontId="6" fillId="0" borderId="33" xfId="0" applyFont="1" applyBorder="1"/>
    <xf numFmtId="0" fontId="0" fillId="0" borderId="34" xfId="0" applyBorder="1"/>
    <xf numFmtId="44" fontId="0" fillId="0" borderId="34" xfId="0" applyNumberFormat="1" applyBorder="1"/>
    <xf numFmtId="0" fontId="0" fillId="0" borderId="35" xfId="0" applyBorder="1"/>
    <xf numFmtId="0" fontId="6" fillId="0" borderId="15" xfId="0" applyFont="1" applyBorder="1"/>
    <xf numFmtId="0" fontId="0" fillId="0" borderId="16" xfId="0" applyBorder="1"/>
    <xf numFmtId="0" fontId="6" fillId="0" borderId="36" xfId="0" applyFont="1" applyBorder="1"/>
    <xf numFmtId="0" fontId="0" fillId="0" borderId="37" xfId="0" applyBorder="1"/>
    <xf numFmtId="44" fontId="0" fillId="0" borderId="37" xfId="0" applyNumberFormat="1" applyBorder="1"/>
    <xf numFmtId="0" fontId="0" fillId="0" borderId="38" xfId="0" applyBorder="1"/>
    <xf numFmtId="0" fontId="9" fillId="2" borderId="5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14" fontId="2" fillId="2" borderId="7" xfId="0" applyNumberFormat="1" applyFont="1" applyFill="1" applyBorder="1" applyAlignment="1">
      <alignment horizontal="center" vertical="center" wrapText="1"/>
    </xf>
    <xf numFmtId="14" fontId="2" fillId="2" borderId="8" xfId="0" applyNumberFormat="1" applyFont="1" applyFill="1" applyBorder="1" applyAlignment="1">
      <alignment horizontal="center" vertical="center" wrapText="1"/>
    </xf>
    <xf numFmtId="14" fontId="2" fillId="2" borderId="9" xfId="0" applyNumberFormat="1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0" fillId="0" borderId="12" xfId="0" applyBorder="1"/>
    <xf numFmtId="0" fontId="6" fillId="0" borderId="63" xfId="0" applyFont="1" applyBorder="1"/>
    <xf numFmtId="0" fontId="0" fillId="0" borderId="64" xfId="0" applyBorder="1"/>
    <xf numFmtId="44" fontId="0" fillId="0" borderId="65" xfId="0" applyNumberFormat="1" applyBorder="1"/>
    <xf numFmtId="0" fontId="0" fillId="0" borderId="65" xfId="0" applyBorder="1"/>
    <xf numFmtId="0" fontId="0" fillId="0" borderId="66" xfId="0" applyBorder="1"/>
    <xf numFmtId="0" fontId="6" fillId="0" borderId="67" xfId="0" applyFont="1" applyBorder="1"/>
    <xf numFmtId="0" fontId="0" fillId="0" borderId="68" xfId="0" applyBorder="1"/>
    <xf numFmtId="0" fontId="6" fillId="0" borderId="69" xfId="0" applyFont="1" applyBorder="1"/>
    <xf numFmtId="0" fontId="0" fillId="0" borderId="70" xfId="0" applyBorder="1"/>
    <xf numFmtId="44" fontId="0" fillId="0" borderId="71" xfId="0" applyNumberFormat="1" applyBorder="1"/>
    <xf numFmtId="0" fontId="0" fillId="0" borderId="71" xfId="0" applyBorder="1"/>
    <xf numFmtId="0" fontId="0" fillId="0" borderId="72" xfId="0" applyBorder="1"/>
    <xf numFmtId="0" fontId="0" fillId="0" borderId="73" xfId="0" applyBorder="1"/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23" xfId="0" applyBorder="1"/>
    <xf numFmtId="0" fontId="0" fillId="0" borderId="77" xfId="0" applyBorder="1"/>
    <xf numFmtId="164" fontId="15" fillId="0" borderId="1" xfId="2" applyFont="1" applyFill="1" applyBorder="1" applyAlignment="1">
      <alignment horizontal="right" wrapText="1"/>
    </xf>
    <xf numFmtId="164" fontId="21" fillId="3" borderId="37" xfId="2" applyFont="1" applyFill="1" applyBorder="1"/>
    <xf numFmtId="166" fontId="19" fillId="0" borderId="1" xfId="0" applyNumberFormat="1" applyFont="1" applyBorder="1" applyAlignment="1">
      <alignment horizontal="right" vertical="center"/>
    </xf>
    <xf numFmtId="164" fontId="14" fillId="0" borderId="1" xfId="2" applyFont="1" applyFill="1" applyBorder="1" applyAlignment="1" applyProtection="1">
      <alignment horizontal="left" vertical="center"/>
    </xf>
    <xf numFmtId="9" fontId="1" fillId="0" borderId="28" xfId="1" applyFont="1" applyFill="1" applyBorder="1" applyAlignment="1">
      <alignment horizontal="center" wrapText="1"/>
    </xf>
    <xf numFmtId="9" fontId="1" fillId="0" borderId="78" xfId="1" applyFont="1" applyFill="1" applyBorder="1" applyAlignment="1">
      <alignment horizontal="center" wrapText="1"/>
    </xf>
    <xf numFmtId="14" fontId="23" fillId="0" borderId="57" xfId="0" applyNumberFormat="1" applyFont="1" applyBorder="1" applyAlignment="1">
      <alignment horizontal="center" vertical="center" wrapText="1"/>
    </xf>
    <xf numFmtId="0" fontId="23" fillId="7" borderId="37" xfId="0" applyFont="1" applyFill="1" applyBorder="1" applyAlignment="1">
      <alignment horizontal="center" vertical="center" wrapText="1"/>
    </xf>
    <xf numFmtId="0" fontId="23" fillId="5" borderId="36" xfId="0" applyFont="1" applyFill="1" applyBorder="1" applyAlignment="1">
      <alignment horizontal="center" vertical="center" wrapText="1"/>
    </xf>
    <xf numFmtId="0" fontId="23" fillId="7" borderId="38" xfId="0" applyFont="1" applyFill="1" applyBorder="1" applyAlignment="1">
      <alignment horizontal="center" vertical="center" wrapText="1"/>
    </xf>
    <xf numFmtId="0" fontId="23" fillId="5" borderId="79" xfId="0" applyFont="1" applyFill="1" applyBorder="1" applyAlignment="1">
      <alignment horizontal="center" vertical="center" wrapText="1"/>
    </xf>
    <xf numFmtId="0" fontId="23" fillId="7" borderId="17" xfId="0" applyFont="1" applyFill="1" applyBorder="1" applyAlignment="1">
      <alignment horizontal="center" vertical="center" wrapText="1"/>
    </xf>
    <xf numFmtId="0" fontId="23" fillId="7" borderId="18" xfId="0" applyFont="1" applyFill="1" applyBorder="1" applyAlignment="1">
      <alignment horizontal="center" vertical="center" wrapText="1"/>
    </xf>
    <xf numFmtId="9" fontId="27" fillId="0" borderId="1" xfId="0" applyNumberFormat="1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9" fontId="27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9" fontId="24" fillId="0" borderId="0" xfId="0" applyNumberFormat="1" applyFont="1" applyAlignment="1">
      <alignment horizontal="center"/>
    </xf>
    <xf numFmtId="167" fontId="17" fillId="0" borderId="0" xfId="0" applyNumberFormat="1" applyFont="1" applyAlignment="1">
      <alignment horizontal="center" vertical="center"/>
    </xf>
    <xf numFmtId="166" fontId="24" fillId="0" borderId="15" xfId="0" applyNumberFormat="1" applyFont="1" applyBorder="1"/>
    <xf numFmtId="9" fontId="27" fillId="0" borderId="12" xfId="0" applyNumberFormat="1" applyFont="1" applyBorder="1" applyAlignment="1">
      <alignment horizontal="center" vertical="center"/>
    </xf>
    <xf numFmtId="166" fontId="24" fillId="0" borderId="36" xfId="0" applyNumberFormat="1" applyFont="1" applyBorder="1"/>
    <xf numFmtId="9" fontId="27" fillId="0" borderId="24" xfId="0" applyNumberFormat="1" applyFont="1" applyBorder="1" applyAlignment="1">
      <alignment horizontal="center" vertical="center"/>
    </xf>
    <xf numFmtId="9" fontId="27" fillId="0" borderId="23" xfId="0" applyNumberFormat="1" applyFont="1" applyBorder="1" applyAlignment="1">
      <alignment horizontal="center" vertical="center"/>
    </xf>
    <xf numFmtId="9" fontId="27" fillId="0" borderId="40" xfId="0" applyNumberFormat="1" applyFont="1" applyBorder="1" applyAlignment="1">
      <alignment horizontal="center" vertical="center"/>
    </xf>
    <xf numFmtId="166" fontId="17" fillId="0" borderId="54" xfId="0" applyNumberFormat="1" applyFont="1" applyBorder="1" applyAlignment="1">
      <alignment horizontal="center" vertical="center"/>
    </xf>
    <xf numFmtId="0" fontId="26" fillId="3" borderId="49" xfId="0" applyFont="1" applyFill="1" applyBorder="1" applyAlignment="1">
      <alignment horizontal="center" vertical="center"/>
    </xf>
    <xf numFmtId="0" fontId="26" fillId="3" borderId="48" xfId="0" applyFont="1" applyFill="1" applyBorder="1" applyAlignment="1">
      <alignment horizontal="center" vertical="center"/>
    </xf>
    <xf numFmtId="166" fontId="24" fillId="0" borderId="15" xfId="0" applyNumberFormat="1" applyFont="1" applyBorder="1" applyAlignment="1">
      <alignment horizontal="center"/>
    </xf>
    <xf numFmtId="0" fontId="22" fillId="3" borderId="15" xfId="0" applyFont="1" applyFill="1" applyBorder="1" applyAlignment="1">
      <alignment horizontal="center" vertical="center"/>
    </xf>
    <xf numFmtId="0" fontId="22" fillId="18" borderId="15" xfId="0" applyFont="1" applyFill="1" applyBorder="1" applyAlignment="1">
      <alignment horizontal="center" vertical="center"/>
    </xf>
    <xf numFmtId="0" fontId="22" fillId="20" borderId="33" xfId="0" applyFont="1" applyFill="1" applyBorder="1" applyAlignment="1">
      <alignment horizontal="center" vertical="center"/>
    </xf>
    <xf numFmtId="9" fontId="27" fillId="20" borderId="11" xfId="0" applyNumberFormat="1" applyFont="1" applyFill="1" applyBorder="1" applyAlignment="1">
      <alignment horizontal="center" vertical="center"/>
    </xf>
    <xf numFmtId="9" fontId="27" fillId="20" borderId="1" xfId="0" applyNumberFormat="1" applyFont="1" applyFill="1" applyBorder="1" applyAlignment="1">
      <alignment horizontal="center" vertical="center"/>
    </xf>
    <xf numFmtId="166" fontId="17" fillId="20" borderId="33" xfId="0" applyNumberFormat="1" applyFont="1" applyFill="1" applyBorder="1" applyAlignment="1">
      <alignment horizontal="center" vertical="center"/>
    </xf>
    <xf numFmtId="9" fontId="27" fillId="20" borderId="39" xfId="0" applyNumberFormat="1" applyFont="1" applyFill="1" applyBorder="1" applyAlignment="1">
      <alignment horizontal="center" vertical="center"/>
    </xf>
    <xf numFmtId="0" fontId="22" fillId="20" borderId="15" xfId="0" applyFont="1" applyFill="1" applyBorder="1" applyAlignment="1">
      <alignment horizontal="center" vertical="center"/>
    </xf>
    <xf numFmtId="9" fontId="27" fillId="20" borderId="12" xfId="0" applyNumberFormat="1" applyFont="1" applyFill="1" applyBorder="1" applyAlignment="1">
      <alignment horizontal="center" vertical="center"/>
    </xf>
    <xf numFmtId="166" fontId="24" fillId="20" borderId="15" xfId="0" applyNumberFormat="1" applyFont="1" applyFill="1" applyBorder="1"/>
    <xf numFmtId="9" fontId="27" fillId="20" borderId="23" xfId="0" applyNumberFormat="1" applyFont="1" applyFill="1" applyBorder="1" applyAlignment="1">
      <alignment horizontal="center" vertical="center"/>
    </xf>
    <xf numFmtId="166" fontId="24" fillId="20" borderId="15" xfId="0" applyNumberFormat="1" applyFont="1" applyFill="1" applyBorder="1" applyAlignment="1">
      <alignment horizontal="center"/>
    </xf>
    <xf numFmtId="166" fontId="24" fillId="20" borderId="1" xfId="0" applyNumberFormat="1" applyFont="1" applyFill="1" applyBorder="1" applyAlignment="1">
      <alignment horizontal="center"/>
    </xf>
    <xf numFmtId="166" fontId="24" fillId="3" borderId="15" xfId="0" applyNumberFormat="1" applyFont="1" applyFill="1" applyBorder="1" applyAlignment="1">
      <alignment horizontal="center"/>
    </xf>
    <xf numFmtId="9" fontId="27" fillId="3" borderId="23" xfId="0" applyNumberFormat="1" applyFont="1" applyFill="1" applyBorder="1" applyAlignment="1">
      <alignment horizontal="center" vertical="center"/>
    </xf>
    <xf numFmtId="166" fontId="24" fillId="3" borderId="1" xfId="0" applyNumberFormat="1" applyFont="1" applyFill="1" applyBorder="1" applyAlignment="1">
      <alignment horizontal="center"/>
    </xf>
    <xf numFmtId="9" fontId="27" fillId="0" borderId="28" xfId="0" applyNumberFormat="1" applyFont="1" applyBorder="1" applyAlignment="1">
      <alignment horizontal="center" vertical="center"/>
    </xf>
    <xf numFmtId="9" fontId="27" fillId="0" borderId="80" xfId="0" applyNumberFormat="1" applyFont="1" applyBorder="1" applyAlignment="1">
      <alignment horizontal="center" vertical="center"/>
    </xf>
    <xf numFmtId="166" fontId="24" fillId="3" borderId="79" xfId="0" applyNumberFormat="1" applyFont="1" applyFill="1" applyBorder="1" applyAlignment="1">
      <alignment horizontal="center"/>
    </xf>
    <xf numFmtId="9" fontId="27" fillId="3" borderId="25" xfId="0" applyNumberFormat="1" applyFont="1" applyFill="1" applyBorder="1" applyAlignment="1">
      <alignment horizontal="center" vertical="center"/>
    </xf>
    <xf numFmtId="166" fontId="24" fillId="18" borderId="81" xfId="0" applyNumberFormat="1" applyFont="1" applyFill="1" applyBorder="1" applyAlignment="1">
      <alignment horizontal="center" vertical="center"/>
    </xf>
    <xf numFmtId="166" fontId="24" fillId="18" borderId="82" xfId="0" applyNumberFormat="1" applyFont="1" applyFill="1" applyBorder="1" applyAlignment="1">
      <alignment horizontal="center" vertical="center"/>
    </xf>
    <xf numFmtId="9" fontId="27" fillId="18" borderId="82" xfId="0" applyNumberFormat="1" applyFont="1" applyFill="1" applyBorder="1" applyAlignment="1">
      <alignment horizontal="center" vertical="center"/>
    </xf>
    <xf numFmtId="166" fontId="24" fillId="18" borderId="84" xfId="0" applyNumberFormat="1" applyFont="1" applyFill="1" applyBorder="1" applyAlignment="1">
      <alignment horizontal="center" vertical="center"/>
    </xf>
    <xf numFmtId="166" fontId="24" fillId="18" borderId="56" xfId="0" applyNumberFormat="1" applyFont="1" applyFill="1" applyBorder="1" applyAlignment="1">
      <alignment horizontal="center" vertical="center"/>
    </xf>
    <xf numFmtId="9" fontId="27" fillId="18" borderId="56" xfId="0" applyNumberFormat="1" applyFont="1" applyFill="1" applyBorder="1" applyAlignment="1">
      <alignment horizontal="center" vertical="center"/>
    </xf>
    <xf numFmtId="166" fontId="0" fillId="18" borderId="84" xfId="0" applyNumberFormat="1" applyFill="1" applyBorder="1" applyAlignment="1">
      <alignment horizontal="center" vertical="center"/>
    </xf>
    <xf numFmtId="166" fontId="0" fillId="18" borderId="56" xfId="0" applyNumberFormat="1" applyFill="1" applyBorder="1" applyAlignment="1">
      <alignment horizontal="center" vertical="center"/>
    </xf>
    <xf numFmtId="166" fontId="0" fillId="18" borderId="86" xfId="0" applyNumberFormat="1" applyFill="1" applyBorder="1" applyAlignment="1">
      <alignment horizontal="center" vertical="center"/>
    </xf>
    <xf numFmtId="166" fontId="0" fillId="18" borderId="87" xfId="0" applyNumberFormat="1" applyFill="1" applyBorder="1" applyAlignment="1">
      <alignment horizontal="center" vertical="center"/>
    </xf>
    <xf numFmtId="9" fontId="27" fillId="18" borderId="87" xfId="0" applyNumberFormat="1" applyFont="1" applyFill="1" applyBorder="1" applyAlignment="1">
      <alignment horizontal="center" vertical="center"/>
    </xf>
    <xf numFmtId="0" fontId="13" fillId="20" borderId="53" xfId="0" applyFont="1" applyFill="1" applyBorder="1" applyAlignment="1">
      <alignment horizontal="center" vertical="center"/>
    </xf>
    <xf numFmtId="0" fontId="16" fillId="3" borderId="89" xfId="0" applyFont="1" applyFill="1" applyBorder="1" applyAlignment="1">
      <alignment horizontal="center" wrapText="1"/>
    </xf>
    <xf numFmtId="164" fontId="0" fillId="0" borderId="13" xfId="2" applyFont="1" applyBorder="1"/>
    <xf numFmtId="9" fontId="0" fillId="0" borderId="14" xfId="1" applyFont="1" applyBorder="1" applyAlignment="1">
      <alignment horizontal="center"/>
    </xf>
    <xf numFmtId="164" fontId="0" fillId="0" borderId="13" xfId="2" applyFont="1" applyBorder="1" applyAlignment="1">
      <alignment horizontal="center"/>
    </xf>
    <xf numFmtId="164" fontId="0" fillId="0" borderId="2" xfId="2" applyFont="1" applyBorder="1" applyAlignment="1">
      <alignment horizontal="center"/>
    </xf>
    <xf numFmtId="44" fontId="0" fillId="0" borderId="2" xfId="0" applyNumberFormat="1" applyBorder="1" applyAlignment="1">
      <alignment horizontal="center"/>
    </xf>
    <xf numFmtId="0" fontId="16" fillId="18" borderId="30" xfId="0" applyFont="1" applyFill="1" applyBorder="1" applyAlignment="1">
      <alignment horizontal="center" wrapText="1"/>
    </xf>
    <xf numFmtId="164" fontId="0" fillId="0" borderId="79" xfId="2" applyFont="1" applyBorder="1"/>
    <xf numFmtId="9" fontId="0" fillId="0" borderId="18" xfId="1" applyFont="1" applyBorder="1" applyAlignment="1">
      <alignment horizontal="center"/>
    </xf>
    <xf numFmtId="164" fontId="0" fillId="0" borderId="79" xfId="2" applyFont="1" applyBorder="1" applyAlignment="1">
      <alignment horizontal="center"/>
    </xf>
    <xf numFmtId="164" fontId="0" fillId="0" borderId="17" xfId="2" applyFont="1" applyBorder="1" applyAlignment="1">
      <alignment horizontal="center"/>
    </xf>
    <xf numFmtId="44" fontId="0" fillId="0" borderId="17" xfId="0" applyNumberFormat="1" applyBorder="1" applyAlignment="1">
      <alignment horizontal="center"/>
    </xf>
    <xf numFmtId="164" fontId="21" fillId="0" borderId="36" xfId="2" applyFont="1" applyBorder="1"/>
    <xf numFmtId="9" fontId="6" fillId="3" borderId="35" xfId="1" applyFont="1" applyFill="1" applyBorder="1" applyAlignment="1">
      <alignment horizontal="center"/>
    </xf>
    <xf numFmtId="9" fontId="6" fillId="18" borderId="16" xfId="1" applyFont="1" applyFill="1" applyBorder="1" applyAlignment="1">
      <alignment horizontal="center"/>
    </xf>
    <xf numFmtId="9" fontId="13" fillId="20" borderId="38" xfId="1" applyFont="1" applyFill="1" applyBorder="1" applyAlignment="1">
      <alignment horizontal="center"/>
    </xf>
    <xf numFmtId="9" fontId="28" fillId="3" borderId="23" xfId="0" applyNumberFormat="1" applyFont="1" applyFill="1" applyBorder="1" applyAlignment="1">
      <alignment horizontal="center" vertical="center"/>
    </xf>
    <xf numFmtId="9" fontId="28" fillId="18" borderId="56" xfId="0" applyNumberFormat="1" applyFont="1" applyFill="1" applyBorder="1" applyAlignment="1">
      <alignment horizontal="center" vertical="center"/>
    </xf>
    <xf numFmtId="0" fontId="23" fillId="7" borderId="40" xfId="0" applyFont="1" applyFill="1" applyBorder="1" applyAlignment="1">
      <alignment horizontal="center" vertical="center" wrapText="1"/>
    </xf>
    <xf numFmtId="166" fontId="17" fillId="0" borderId="45" xfId="0" applyNumberFormat="1" applyFont="1" applyBorder="1" applyAlignment="1">
      <alignment horizontal="center" vertical="center"/>
    </xf>
    <xf numFmtId="166" fontId="17" fillId="0" borderId="57" xfId="0" applyNumberFormat="1" applyFont="1" applyBorder="1" applyAlignment="1">
      <alignment horizontal="center" vertical="center"/>
    </xf>
    <xf numFmtId="9" fontId="24" fillId="0" borderId="39" xfId="0" applyNumberFormat="1" applyFont="1" applyBorder="1" applyAlignment="1">
      <alignment horizontal="center"/>
    </xf>
    <xf numFmtId="9" fontId="24" fillId="0" borderId="23" xfId="0" applyNumberFormat="1" applyFont="1" applyBorder="1" applyAlignment="1">
      <alignment horizontal="center"/>
    </xf>
    <xf numFmtId="9" fontId="24" fillId="0" borderId="40" xfId="0" applyNumberFormat="1" applyFont="1" applyBorder="1" applyAlignment="1">
      <alignment horizontal="center"/>
    </xf>
    <xf numFmtId="0" fontId="23" fillId="7" borderId="25" xfId="0" applyFont="1" applyFill="1" applyBorder="1" applyAlignment="1">
      <alignment horizontal="center" vertical="center" wrapText="1"/>
    </xf>
    <xf numFmtId="166" fontId="17" fillId="0" borderId="56" xfId="0" applyNumberFormat="1" applyFont="1" applyBorder="1" applyAlignment="1">
      <alignment horizontal="center" vertical="center"/>
    </xf>
    <xf numFmtId="166" fontId="17" fillId="0" borderId="81" xfId="0" applyNumberFormat="1" applyFont="1" applyBorder="1" applyAlignment="1">
      <alignment horizontal="center" vertical="center"/>
    </xf>
    <xf numFmtId="166" fontId="17" fillId="0" borderId="82" xfId="0" applyNumberFormat="1" applyFont="1" applyBorder="1" applyAlignment="1">
      <alignment horizontal="center" vertical="center"/>
    </xf>
    <xf numFmtId="9" fontId="24" fillId="0" borderId="83" xfId="0" applyNumberFormat="1" applyFont="1" applyBorder="1" applyAlignment="1">
      <alignment horizontal="center"/>
    </xf>
    <xf numFmtId="9" fontId="24" fillId="0" borderId="85" xfId="0" applyNumberFormat="1" applyFont="1" applyBorder="1" applyAlignment="1">
      <alignment horizontal="center"/>
    </xf>
    <xf numFmtId="166" fontId="17" fillId="0" borderId="87" xfId="0" applyNumberFormat="1" applyFont="1" applyBorder="1" applyAlignment="1">
      <alignment horizontal="center" vertical="center"/>
    </xf>
    <xf numFmtId="9" fontId="24" fillId="0" borderId="88" xfId="0" applyNumberFormat="1" applyFont="1" applyBorder="1" applyAlignment="1">
      <alignment horizontal="center"/>
    </xf>
    <xf numFmtId="166" fontId="24" fillId="0" borderId="36" xfId="0" applyNumberFormat="1" applyFont="1" applyBorder="1" applyAlignment="1">
      <alignment horizontal="center"/>
    </xf>
    <xf numFmtId="166" fontId="17" fillId="20" borderId="73" xfId="0" applyNumberFormat="1" applyFont="1" applyFill="1" applyBorder="1" applyAlignment="1">
      <alignment horizontal="center" vertical="center"/>
    </xf>
    <xf numFmtId="166" fontId="17" fillId="20" borderId="91" xfId="0" applyNumberFormat="1" applyFont="1" applyFill="1" applyBorder="1" applyAlignment="1">
      <alignment horizontal="center" vertical="center"/>
    </xf>
    <xf numFmtId="9" fontId="27" fillId="20" borderId="76" xfId="0" applyNumberFormat="1" applyFont="1" applyFill="1" applyBorder="1" applyAlignment="1">
      <alignment horizontal="center" vertical="center"/>
    </xf>
    <xf numFmtId="166" fontId="17" fillId="20" borderId="65" xfId="0" applyNumberFormat="1" applyFont="1" applyFill="1" applyBorder="1" applyAlignment="1">
      <alignment horizontal="center" vertical="center"/>
    </xf>
    <xf numFmtId="9" fontId="27" fillId="20" borderId="66" xfId="0" applyNumberFormat="1" applyFont="1" applyFill="1" applyBorder="1" applyAlignment="1">
      <alignment horizontal="center" vertical="center"/>
    </xf>
    <xf numFmtId="166" fontId="24" fillId="20" borderId="74" xfId="0" applyNumberFormat="1" applyFont="1" applyFill="1" applyBorder="1" applyAlignment="1">
      <alignment horizontal="center"/>
    </xf>
    <xf numFmtId="166" fontId="24" fillId="3" borderId="74" xfId="0" applyNumberFormat="1" applyFont="1" applyFill="1" applyBorder="1" applyAlignment="1">
      <alignment horizontal="center"/>
    </xf>
    <xf numFmtId="9" fontId="27" fillId="3" borderId="68" xfId="0" applyNumberFormat="1" applyFont="1" applyFill="1" applyBorder="1" applyAlignment="1">
      <alignment horizontal="center" vertical="center"/>
    </xf>
    <xf numFmtId="166" fontId="24" fillId="3" borderId="93" xfId="0" applyNumberFormat="1" applyFont="1" applyFill="1" applyBorder="1" applyAlignment="1">
      <alignment horizontal="center"/>
    </xf>
    <xf numFmtId="9" fontId="27" fillId="3" borderId="94" xfId="0" applyNumberFormat="1" applyFont="1" applyFill="1" applyBorder="1" applyAlignment="1">
      <alignment horizontal="center" vertical="center"/>
    </xf>
    <xf numFmtId="9" fontId="27" fillId="18" borderId="83" xfId="0" applyNumberFormat="1" applyFont="1" applyFill="1" applyBorder="1" applyAlignment="1">
      <alignment horizontal="center" vertical="center"/>
    </xf>
    <xf numFmtId="9" fontId="27" fillId="18" borderId="85" xfId="0" applyNumberFormat="1" applyFont="1" applyFill="1" applyBorder="1" applyAlignment="1">
      <alignment horizontal="center" vertical="center"/>
    </xf>
    <xf numFmtId="9" fontId="27" fillId="18" borderId="88" xfId="0" applyNumberFormat="1" applyFont="1" applyFill="1" applyBorder="1" applyAlignment="1">
      <alignment horizontal="center" vertical="center"/>
    </xf>
    <xf numFmtId="9" fontId="27" fillId="20" borderId="27" xfId="0" applyNumberFormat="1" applyFont="1" applyFill="1" applyBorder="1" applyAlignment="1">
      <alignment horizontal="center" vertical="center"/>
    </xf>
    <xf numFmtId="9" fontId="27" fillId="20" borderId="28" xfId="0" applyNumberFormat="1" applyFont="1" applyFill="1" applyBorder="1" applyAlignment="1">
      <alignment horizontal="center" vertical="center"/>
    </xf>
    <xf numFmtId="10" fontId="0" fillId="0" borderId="0" xfId="0" applyNumberFormat="1"/>
    <xf numFmtId="0" fontId="26" fillId="21" borderId="48" xfId="0" applyFont="1" applyFill="1" applyBorder="1" applyAlignment="1">
      <alignment horizontal="center" vertical="center"/>
    </xf>
    <xf numFmtId="0" fontId="26" fillId="21" borderId="62" xfId="0" applyFont="1" applyFill="1" applyBorder="1" applyAlignment="1">
      <alignment horizontal="center" vertical="center"/>
    </xf>
    <xf numFmtId="0" fontId="30" fillId="0" borderId="0" xfId="0" applyFont="1" applyAlignment="1">
      <alignment wrapText="1"/>
    </xf>
    <xf numFmtId="0" fontId="13" fillId="20" borderId="0" xfId="0" applyFont="1" applyFill="1" applyAlignment="1">
      <alignment horizontal="center" vertical="center"/>
    </xf>
    <xf numFmtId="164" fontId="13" fillId="0" borderId="0" xfId="2" applyFont="1" applyBorder="1"/>
    <xf numFmtId="9" fontId="13" fillId="0" borderId="0" xfId="1" applyFont="1" applyBorder="1" applyAlignment="1">
      <alignment horizontal="center"/>
    </xf>
    <xf numFmtId="164" fontId="21" fillId="0" borderId="0" xfId="2" applyFont="1" applyBorder="1"/>
    <xf numFmtId="9" fontId="13" fillId="20" borderId="0" xfId="1" applyFont="1" applyFill="1" applyBorder="1" applyAlignment="1">
      <alignment horizontal="center"/>
    </xf>
    <xf numFmtId="3" fontId="0" fillId="0" borderId="0" xfId="0" applyNumberFormat="1"/>
    <xf numFmtId="1" fontId="0" fillId="0" borderId="0" xfId="0" applyNumberFormat="1"/>
    <xf numFmtId="44" fontId="0" fillId="0" borderId="6" xfId="0" applyNumberFormat="1" applyBorder="1"/>
    <xf numFmtId="168" fontId="0" fillId="0" borderId="6" xfId="0" applyNumberFormat="1" applyBorder="1"/>
    <xf numFmtId="4" fontId="0" fillId="0" borderId="45" xfId="0" applyNumberFormat="1" applyBorder="1"/>
    <xf numFmtId="4" fontId="0" fillId="0" borderId="27" xfId="0" applyNumberFormat="1" applyBorder="1"/>
    <xf numFmtId="0" fontId="2" fillId="2" borderId="39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0" fillId="4" borderId="0" xfId="0" applyFill="1"/>
    <xf numFmtId="164" fontId="1" fillId="3" borderId="34" xfId="2" applyFont="1" applyFill="1" applyBorder="1" applyAlignment="1">
      <alignment horizontal="right" wrapText="1"/>
    </xf>
    <xf numFmtId="0" fontId="29" fillId="22" borderId="0" xfId="0" applyFont="1" applyFill="1" applyAlignment="1">
      <alignment wrapText="1"/>
    </xf>
    <xf numFmtId="0" fontId="31" fillId="0" borderId="0" xfId="0" applyFont="1" applyAlignment="1">
      <alignment wrapText="1"/>
    </xf>
    <xf numFmtId="3" fontId="31" fillId="0" borderId="0" xfId="0" applyNumberFormat="1" applyFont="1" applyAlignment="1">
      <alignment wrapText="1"/>
    </xf>
    <xf numFmtId="3" fontId="29" fillId="0" borderId="0" xfId="0" applyNumberFormat="1" applyFont="1" applyAlignment="1">
      <alignment wrapText="1"/>
    </xf>
    <xf numFmtId="9" fontId="29" fillId="0" borderId="0" xfId="0" applyNumberFormat="1" applyFont="1" applyAlignment="1">
      <alignment wrapText="1"/>
    </xf>
    <xf numFmtId="0" fontId="29" fillId="23" borderId="0" xfId="0" applyFont="1" applyFill="1" applyAlignment="1">
      <alignment wrapText="1"/>
    </xf>
    <xf numFmtId="0" fontId="31" fillId="24" borderId="0" xfId="0" applyFont="1" applyFill="1" applyAlignment="1">
      <alignment wrapText="1"/>
    </xf>
    <xf numFmtId="0" fontId="29" fillId="24" borderId="0" xfId="0" applyFont="1" applyFill="1" applyAlignment="1">
      <alignment wrapText="1"/>
    </xf>
    <xf numFmtId="168" fontId="29" fillId="0" borderId="0" xfId="0" applyNumberFormat="1" applyFont="1" applyAlignment="1">
      <alignment wrapText="1"/>
    </xf>
    <xf numFmtId="168" fontId="31" fillId="0" borderId="0" xfId="0" applyNumberFormat="1" applyFont="1" applyAlignment="1">
      <alignment wrapText="1"/>
    </xf>
    <xf numFmtId="169" fontId="31" fillId="0" borderId="0" xfId="0" applyNumberFormat="1" applyFont="1" applyAlignment="1">
      <alignment wrapText="1"/>
    </xf>
    <xf numFmtId="170" fontId="29" fillId="23" borderId="0" xfId="0" applyNumberFormat="1" applyFont="1" applyFill="1" applyAlignment="1">
      <alignment wrapText="1"/>
    </xf>
    <xf numFmtId="170" fontId="29" fillId="0" borderId="0" xfId="0" applyNumberFormat="1" applyFont="1" applyAlignment="1">
      <alignment wrapText="1"/>
    </xf>
    <xf numFmtId="170" fontId="31" fillId="23" borderId="0" xfId="0" applyNumberFormat="1" applyFont="1" applyFill="1" applyAlignment="1">
      <alignment wrapText="1"/>
    </xf>
    <xf numFmtId="170" fontId="31" fillId="0" borderId="0" xfId="0" applyNumberFormat="1" applyFont="1" applyAlignment="1">
      <alignment wrapText="1"/>
    </xf>
    <xf numFmtId="170" fontId="29" fillId="3" borderId="0" xfId="0" applyNumberFormat="1" applyFont="1" applyFill="1" applyAlignment="1">
      <alignment wrapText="1"/>
    </xf>
    <xf numFmtId="164" fontId="0" fillId="0" borderId="0" xfId="2" applyFont="1" applyBorder="1"/>
    <xf numFmtId="9" fontId="0" fillId="0" borderId="0" xfId="1" applyFont="1" applyBorder="1" applyAlignment="1">
      <alignment horizontal="center"/>
    </xf>
    <xf numFmtId="164" fontId="0" fillId="7" borderId="6" xfId="2" applyFont="1" applyFill="1" applyBorder="1"/>
    <xf numFmtId="164" fontId="0" fillId="7" borderId="0" xfId="2" applyFont="1" applyFill="1" applyBorder="1"/>
    <xf numFmtId="9" fontId="32" fillId="7" borderId="0" xfId="1" applyFont="1" applyFill="1" applyBorder="1" applyAlignment="1">
      <alignment horizontal="center"/>
    </xf>
    <xf numFmtId="9" fontId="32" fillId="7" borderId="0" xfId="1" applyFont="1" applyFill="1" applyAlignment="1">
      <alignment horizontal="center"/>
    </xf>
    <xf numFmtId="164" fontId="21" fillId="0" borderId="0" xfId="2" applyFont="1" applyFill="1" applyBorder="1"/>
    <xf numFmtId="164" fontId="33" fillId="0" borderId="37" xfId="2" applyFont="1" applyFill="1" applyBorder="1"/>
    <xf numFmtId="9" fontId="0" fillId="0" borderId="0" xfId="0" applyNumberFormat="1" applyAlignment="1">
      <alignment horizontal="center"/>
    </xf>
    <xf numFmtId="168" fontId="0" fillId="0" borderId="0" xfId="0" applyNumberFormat="1"/>
    <xf numFmtId="171" fontId="0" fillId="0" borderId="0" xfId="0" applyNumberFormat="1"/>
    <xf numFmtId="170" fontId="0" fillId="0" borderId="0" xfId="0" applyNumberFormat="1"/>
    <xf numFmtId="0" fontId="0" fillId="26" borderId="0" xfId="0" applyFill="1"/>
    <xf numFmtId="0" fontId="0" fillId="27" borderId="0" xfId="0" applyFill="1"/>
    <xf numFmtId="0" fontId="0" fillId="0" borderId="56" xfId="0" applyBorder="1" applyAlignment="1">
      <alignment horizontal="center"/>
    </xf>
    <xf numFmtId="0" fontId="6" fillId="7" borderId="30" xfId="0" applyFont="1" applyFill="1" applyBorder="1" applyAlignment="1">
      <alignment horizontal="center" vertical="center"/>
    </xf>
    <xf numFmtId="166" fontId="34" fillId="28" borderId="56" xfId="0" applyNumberFormat="1" applyFont="1" applyFill="1" applyBorder="1" applyAlignment="1">
      <alignment horizontal="center"/>
    </xf>
    <xf numFmtId="166" fontId="34" fillId="0" borderId="56" xfId="0" applyNumberFormat="1" applyFont="1" applyBorder="1" applyAlignment="1">
      <alignment horizontal="center"/>
    </xf>
    <xf numFmtId="166" fontId="0" fillId="0" borderId="56" xfId="0" applyNumberFormat="1" applyBorder="1" applyAlignment="1">
      <alignment horizontal="center"/>
    </xf>
    <xf numFmtId="0" fontId="0" fillId="0" borderId="96" xfId="0" applyBorder="1" applyAlignment="1">
      <alignment horizontal="center"/>
    </xf>
    <xf numFmtId="166" fontId="0" fillId="0" borderId="56" xfId="0" applyNumberFormat="1" applyBorder="1"/>
    <xf numFmtId="166" fontId="0" fillId="3" borderId="56" xfId="0" applyNumberFormat="1" applyFill="1" applyBorder="1"/>
    <xf numFmtId="0" fontId="0" fillId="3" borderId="56" xfId="0" applyFill="1" applyBorder="1" applyAlignment="1">
      <alignment horizontal="center"/>
    </xf>
    <xf numFmtId="0" fontId="6" fillId="0" borderId="56" xfId="0" applyFont="1" applyBorder="1" applyAlignment="1">
      <alignment horizontal="center"/>
    </xf>
    <xf numFmtId="0" fontId="0" fillId="0" borderId="56" xfId="0" applyBorder="1"/>
    <xf numFmtId="166" fontId="21" fillId="5" borderId="56" xfId="0" applyNumberFormat="1" applyFont="1" applyFill="1" applyBorder="1"/>
    <xf numFmtId="0" fontId="29" fillId="0" borderId="0" xfId="0" applyFont="1"/>
    <xf numFmtId="2" fontId="0" fillId="0" borderId="0" xfId="0" applyNumberFormat="1"/>
    <xf numFmtId="10" fontId="0" fillId="0" borderId="1" xfId="0" applyNumberFormat="1" applyBorder="1"/>
    <xf numFmtId="1" fontId="0" fillId="0" borderId="1" xfId="0" applyNumberFormat="1" applyBorder="1"/>
    <xf numFmtId="167" fontId="0" fillId="0" borderId="1" xfId="0" applyNumberFormat="1" applyBorder="1"/>
    <xf numFmtId="0" fontId="15" fillId="0" borderId="0" xfId="0" applyFont="1" applyAlignment="1">
      <alignment wrapText="1"/>
    </xf>
    <xf numFmtId="4" fontId="29" fillId="0" borderId="0" xfId="0" applyNumberFormat="1" applyFont="1" applyAlignment="1">
      <alignment wrapText="1"/>
    </xf>
    <xf numFmtId="8" fontId="29" fillId="0" borderId="0" xfId="0" applyNumberFormat="1" applyFont="1" applyAlignment="1">
      <alignment wrapText="1"/>
    </xf>
    <xf numFmtId="6" fontId="29" fillId="0" borderId="11" xfId="0" applyNumberFormat="1" applyFont="1" applyBorder="1" applyAlignment="1">
      <alignment wrapText="1"/>
    </xf>
    <xf numFmtId="9" fontId="29" fillId="0" borderId="47" xfId="0" applyNumberFormat="1" applyFont="1" applyBorder="1" applyAlignment="1">
      <alignment wrapText="1"/>
    </xf>
    <xf numFmtId="0" fontId="17" fillId="0" borderId="0" xfId="0" applyFont="1" applyAlignment="1">
      <alignment wrapText="1"/>
    </xf>
    <xf numFmtId="0" fontId="37" fillId="0" borderId="0" xfId="0" applyFont="1" applyAlignment="1">
      <alignment wrapText="1"/>
    </xf>
    <xf numFmtId="9" fontId="28" fillId="20" borderId="39" xfId="0" applyNumberFormat="1" applyFont="1" applyFill="1" applyBorder="1" applyAlignment="1">
      <alignment horizontal="center" vertical="center"/>
    </xf>
    <xf numFmtId="9" fontId="28" fillId="20" borderId="92" xfId="0" applyNumberFormat="1" applyFont="1" applyFill="1" applyBorder="1" applyAlignment="1">
      <alignment horizontal="center" vertical="center"/>
    </xf>
    <xf numFmtId="9" fontId="28" fillId="3" borderId="68" xfId="0" applyNumberFormat="1" applyFont="1" applyFill="1" applyBorder="1" applyAlignment="1">
      <alignment horizontal="center" vertical="center"/>
    </xf>
    <xf numFmtId="9" fontId="28" fillId="18" borderId="85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9" fontId="30" fillId="0" borderId="1" xfId="0" applyNumberFormat="1" applyFont="1" applyBorder="1" applyAlignment="1">
      <alignment horizontal="center" vertical="center" wrapText="1"/>
    </xf>
    <xf numFmtId="9" fontId="29" fillId="0" borderId="7" xfId="0" applyNumberFormat="1" applyFont="1" applyBorder="1" applyAlignment="1">
      <alignment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wrapText="1"/>
    </xf>
    <xf numFmtId="0" fontId="6" fillId="4" borderId="1" xfId="0" applyFont="1" applyFill="1" applyBorder="1" applyAlignment="1">
      <alignment horizontal="center" vertical="center"/>
    </xf>
    <xf numFmtId="9" fontId="29" fillId="0" borderId="1" xfId="0" applyNumberFormat="1" applyFont="1" applyBorder="1" applyAlignment="1">
      <alignment horizontal="center" vertical="center" wrapText="1"/>
    </xf>
    <xf numFmtId="9" fontId="29" fillId="0" borderId="35" xfId="0" applyNumberFormat="1" applyFont="1" applyBorder="1" applyAlignment="1">
      <alignment horizontal="center" vertical="center" wrapText="1"/>
    </xf>
    <xf numFmtId="9" fontId="29" fillId="0" borderId="16" xfId="0" applyNumberFormat="1" applyFont="1" applyBorder="1" applyAlignment="1">
      <alignment horizontal="center" vertical="center" wrapText="1"/>
    </xf>
    <xf numFmtId="9" fontId="29" fillId="0" borderId="38" xfId="0" applyNumberFormat="1" applyFont="1" applyBorder="1" applyAlignment="1">
      <alignment horizontal="center" vertical="center" wrapText="1"/>
    </xf>
    <xf numFmtId="0" fontId="31" fillId="23" borderId="33" xfId="0" applyFont="1" applyFill="1" applyBorder="1" applyAlignment="1">
      <alignment horizontal="center" vertical="center" wrapText="1"/>
    </xf>
    <xf numFmtId="0" fontId="31" fillId="23" borderId="15" xfId="0" applyFont="1" applyFill="1" applyBorder="1" applyAlignment="1">
      <alignment horizontal="center" vertical="center" wrapText="1"/>
    </xf>
    <xf numFmtId="0" fontId="31" fillId="23" borderId="36" xfId="0" applyFont="1" applyFill="1" applyBorder="1" applyAlignment="1">
      <alignment horizontal="center" vertical="center" wrapText="1"/>
    </xf>
    <xf numFmtId="0" fontId="31" fillId="29" borderId="33" xfId="0" applyFont="1" applyFill="1" applyBorder="1" applyAlignment="1">
      <alignment horizontal="center" vertical="center" wrapText="1"/>
    </xf>
    <xf numFmtId="8" fontId="29" fillId="0" borderId="34" xfId="0" applyNumberFormat="1" applyFont="1" applyBorder="1" applyAlignment="1">
      <alignment horizontal="center" vertical="center" wrapText="1"/>
    </xf>
    <xf numFmtId="9" fontId="29" fillId="0" borderId="34" xfId="0" applyNumberFormat="1" applyFont="1" applyBorder="1" applyAlignment="1">
      <alignment horizontal="center" vertical="center" wrapText="1"/>
    </xf>
    <xf numFmtId="0" fontId="31" fillId="29" borderId="15" xfId="0" applyFont="1" applyFill="1" applyBorder="1" applyAlignment="1">
      <alignment horizontal="center" vertical="center" wrapText="1"/>
    </xf>
    <xf numFmtId="8" fontId="29" fillId="0" borderId="1" xfId="0" applyNumberFormat="1" applyFont="1" applyBorder="1" applyAlignment="1">
      <alignment horizontal="center" vertical="center" wrapText="1"/>
    </xf>
    <xf numFmtId="0" fontId="31" fillId="29" borderId="36" xfId="0" applyFont="1" applyFill="1" applyBorder="1" applyAlignment="1">
      <alignment horizontal="center" vertical="center" wrapText="1"/>
    </xf>
    <xf numFmtId="8" fontId="29" fillId="0" borderId="37" xfId="0" applyNumberFormat="1" applyFont="1" applyBorder="1" applyAlignment="1">
      <alignment horizontal="center" vertical="center" wrapText="1"/>
    </xf>
    <xf numFmtId="9" fontId="29" fillId="0" borderId="37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30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17" fillId="0" borderId="0" xfId="0" applyFont="1" applyAlignment="1">
      <alignment horizontal="center" wrapText="1"/>
    </xf>
    <xf numFmtId="8" fontId="15" fillId="0" borderId="0" xfId="0" applyNumberFormat="1" applyFont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9" fontId="29" fillId="0" borderId="0" xfId="0" applyNumberFormat="1" applyFont="1" applyAlignment="1">
      <alignment horizontal="center" vertical="center" wrapText="1"/>
    </xf>
    <xf numFmtId="9" fontId="29" fillId="0" borderId="0" xfId="0" applyNumberFormat="1" applyFont="1" applyAlignment="1">
      <alignment horizontal="center" wrapText="1"/>
    </xf>
    <xf numFmtId="9" fontId="29" fillId="0" borderId="39" xfId="0" applyNumberFormat="1" applyFont="1" applyBorder="1" applyAlignment="1">
      <alignment horizontal="center" vertical="center" wrapText="1"/>
    </xf>
    <xf numFmtId="9" fontId="29" fillId="0" borderId="23" xfId="0" applyNumberFormat="1" applyFont="1" applyBorder="1" applyAlignment="1">
      <alignment horizontal="center" vertical="center" wrapText="1"/>
    </xf>
    <xf numFmtId="9" fontId="29" fillId="0" borderId="40" xfId="0" applyNumberFormat="1" applyFont="1" applyBorder="1" applyAlignment="1">
      <alignment horizontal="center" vertical="center" wrapText="1"/>
    </xf>
    <xf numFmtId="8" fontId="29" fillId="0" borderId="33" xfId="0" applyNumberFormat="1" applyFont="1" applyBorder="1" applyAlignment="1">
      <alignment horizontal="center" vertical="center" wrapText="1"/>
    </xf>
    <xf numFmtId="8" fontId="29" fillId="0" borderId="15" xfId="0" applyNumberFormat="1" applyFont="1" applyBorder="1" applyAlignment="1">
      <alignment horizontal="center" vertical="center" wrapText="1"/>
    </xf>
    <xf numFmtId="8" fontId="29" fillId="0" borderId="36" xfId="0" applyNumberFormat="1" applyFont="1" applyBorder="1" applyAlignment="1">
      <alignment horizontal="center" vertical="center" wrapText="1"/>
    </xf>
    <xf numFmtId="0" fontId="29" fillId="0" borderId="35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9" fillId="0" borderId="54" xfId="0" applyFont="1" applyBorder="1" applyAlignment="1">
      <alignment horizontal="center" vertical="center" wrapText="1"/>
    </xf>
    <xf numFmtId="0" fontId="0" fillId="0" borderId="2" xfId="0" applyBorder="1"/>
    <xf numFmtId="168" fontId="0" fillId="0" borderId="1" xfId="0" applyNumberFormat="1" applyBorder="1"/>
    <xf numFmtId="168" fontId="0" fillId="0" borderId="2" xfId="0" applyNumberFormat="1" applyBorder="1"/>
    <xf numFmtId="0" fontId="0" fillId="14" borderId="20" xfId="0" applyFill="1" applyBorder="1"/>
    <xf numFmtId="168" fontId="0" fillId="0" borderId="0" xfId="1" applyNumberFormat="1" applyFont="1" applyBorder="1"/>
    <xf numFmtId="168" fontId="0" fillId="0" borderId="15" xfId="0" applyNumberFormat="1" applyBorder="1"/>
    <xf numFmtId="168" fontId="0" fillId="0" borderId="16" xfId="1" applyNumberFormat="1" applyFont="1" applyBorder="1"/>
    <xf numFmtId="168" fontId="0" fillId="0" borderId="22" xfId="1" applyNumberFormat="1" applyFont="1" applyBorder="1"/>
    <xf numFmtId="168" fontId="0" fillId="0" borderId="13" xfId="0" applyNumberFormat="1" applyBorder="1"/>
    <xf numFmtId="168" fontId="0" fillId="0" borderId="14" xfId="1" applyNumberFormat="1" applyFont="1" applyBorder="1"/>
    <xf numFmtId="168" fontId="0" fillId="0" borderId="11" xfId="0" applyNumberFormat="1" applyBorder="1"/>
    <xf numFmtId="168" fontId="0" fillId="0" borderId="12" xfId="0" applyNumberFormat="1" applyBorder="1"/>
    <xf numFmtId="0" fontId="6" fillId="14" borderId="49" xfId="0" applyFont="1" applyFill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5" borderId="48" xfId="0" applyFill="1" applyBorder="1" applyAlignment="1">
      <alignment horizontal="center" vertical="center"/>
    </xf>
    <xf numFmtId="10" fontId="30" fillId="0" borderId="0" xfId="0" applyNumberFormat="1" applyFont="1" applyAlignment="1">
      <alignment horizontal="center" vertical="center" wrapText="1"/>
    </xf>
    <xf numFmtId="0" fontId="29" fillId="0" borderId="1" xfId="0" applyFont="1" applyBorder="1" applyAlignment="1">
      <alignment wrapText="1"/>
    </xf>
    <xf numFmtId="6" fontId="15" fillId="0" borderId="0" xfId="0" applyNumberFormat="1" applyFont="1" applyAlignment="1">
      <alignment horizontal="center" wrapText="1"/>
    </xf>
    <xf numFmtId="6" fontId="29" fillId="0" borderId="33" xfId="0" applyNumberFormat="1" applyFont="1" applyBorder="1" applyAlignment="1">
      <alignment horizontal="center" vertical="center" wrapText="1"/>
    </xf>
    <xf numFmtId="6" fontId="29" fillId="0" borderId="34" xfId="0" applyNumberFormat="1" applyFont="1" applyBorder="1" applyAlignment="1">
      <alignment horizontal="center" vertical="center" wrapText="1"/>
    </xf>
    <xf numFmtId="6" fontId="29" fillId="0" borderId="15" xfId="0" applyNumberFormat="1" applyFont="1" applyBorder="1" applyAlignment="1">
      <alignment horizontal="center" vertical="center" wrapText="1"/>
    </xf>
    <xf numFmtId="6" fontId="29" fillId="0" borderId="1" xfId="0" applyNumberFormat="1" applyFont="1" applyBorder="1" applyAlignment="1">
      <alignment horizontal="center" vertical="center" wrapText="1"/>
    </xf>
    <xf numFmtId="6" fontId="29" fillId="0" borderId="36" xfId="0" applyNumberFormat="1" applyFont="1" applyBorder="1" applyAlignment="1">
      <alignment horizontal="center" vertical="center" wrapText="1"/>
    </xf>
    <xf numFmtId="6" fontId="29" fillId="0" borderId="37" xfId="0" applyNumberFormat="1" applyFont="1" applyBorder="1" applyAlignment="1">
      <alignment horizontal="center" vertical="center" wrapText="1"/>
    </xf>
    <xf numFmtId="6" fontId="30" fillId="0" borderId="0" xfId="0" applyNumberFormat="1" applyFont="1" applyAlignment="1">
      <alignment horizontal="center" wrapText="1"/>
    </xf>
    <xf numFmtId="6" fontId="29" fillId="0" borderId="0" xfId="0" applyNumberFormat="1" applyFont="1" applyAlignment="1">
      <alignment horizontal="center" wrapText="1"/>
    </xf>
    <xf numFmtId="6" fontId="0" fillId="0" borderId="13" xfId="0" applyNumberFormat="1" applyBorder="1" applyAlignment="1">
      <alignment horizontal="center"/>
    </xf>
    <xf numFmtId="6" fontId="0" fillId="0" borderId="2" xfId="0" applyNumberFormat="1" applyBorder="1" applyAlignment="1">
      <alignment horizontal="center"/>
    </xf>
    <xf numFmtId="6" fontId="0" fillId="0" borderId="15" xfId="0" applyNumberFormat="1" applyBorder="1" applyAlignment="1">
      <alignment horizontal="center"/>
    </xf>
    <xf numFmtId="6" fontId="0" fillId="0" borderId="1" xfId="0" applyNumberFormat="1" applyBorder="1" applyAlignment="1">
      <alignment horizontal="center"/>
    </xf>
    <xf numFmtId="6" fontId="0" fillId="0" borderId="0" xfId="0" applyNumberFormat="1" applyAlignment="1">
      <alignment horizontal="center"/>
    </xf>
    <xf numFmtId="9" fontId="30" fillId="0" borderId="35" xfId="0" applyNumberFormat="1" applyFont="1" applyBorder="1" applyAlignment="1">
      <alignment horizontal="center" vertical="center" wrapText="1"/>
    </xf>
    <xf numFmtId="166" fontId="0" fillId="0" borderId="0" xfId="0" applyNumberFormat="1"/>
    <xf numFmtId="9" fontId="29" fillId="0" borderId="54" xfId="0" applyNumberFormat="1" applyFont="1" applyBorder="1" applyAlignment="1">
      <alignment horizontal="center" vertical="center" wrapText="1"/>
    </xf>
    <xf numFmtId="6" fontId="29" fillId="0" borderId="1" xfId="0" applyNumberFormat="1" applyFont="1" applyBorder="1" applyAlignment="1">
      <alignment wrapText="1"/>
    </xf>
    <xf numFmtId="9" fontId="29" fillId="0" borderId="1" xfId="0" applyNumberFormat="1" applyFont="1" applyBorder="1" applyAlignment="1">
      <alignment horizontal="center" wrapText="1"/>
    </xf>
    <xf numFmtId="168" fontId="0" fillId="0" borderId="22" xfId="0" applyNumberFormat="1" applyBorder="1"/>
    <xf numFmtId="168" fontId="0" fillId="0" borderId="23" xfId="0" applyNumberFormat="1" applyBorder="1"/>
    <xf numFmtId="8" fontId="30" fillId="0" borderId="0" xfId="0" applyNumberFormat="1" applyFont="1" applyAlignment="1">
      <alignment horizontal="center" vertical="center" wrapText="1"/>
    </xf>
    <xf numFmtId="0" fontId="6" fillId="0" borderId="0" xfId="0" applyFont="1"/>
    <xf numFmtId="0" fontId="6" fillId="33" borderId="0" xfId="0" applyFont="1" applyFill="1"/>
    <xf numFmtId="0" fontId="0" fillId="3" borderId="0" xfId="0" applyFill="1"/>
    <xf numFmtId="0" fontId="41" fillId="0" borderId="0" xfId="0" applyFont="1"/>
    <xf numFmtId="0" fontId="41" fillId="3" borderId="0" xfId="0" applyFont="1" applyFill="1"/>
    <xf numFmtId="8" fontId="30" fillId="0" borderId="0" xfId="0" applyNumberFormat="1" applyFont="1" applyAlignment="1">
      <alignment wrapText="1"/>
    </xf>
    <xf numFmtId="167" fontId="0" fillId="0" borderId="0" xfId="0" applyNumberFormat="1"/>
    <xf numFmtId="8" fontId="15" fillId="0" borderId="0" xfId="0" applyNumberFormat="1" applyFont="1" applyAlignment="1">
      <alignment wrapText="1"/>
    </xf>
    <xf numFmtId="1" fontId="0" fillId="0" borderId="106" xfId="0" applyNumberFormat="1" applyBorder="1"/>
    <xf numFmtId="0" fontId="0" fillId="0" borderId="107" xfId="0" applyBorder="1"/>
    <xf numFmtId="0" fontId="0" fillId="0" borderId="106" xfId="0" applyBorder="1"/>
    <xf numFmtId="1" fontId="6" fillId="0" borderId="106" xfId="0" applyNumberFormat="1" applyFont="1" applyBorder="1"/>
    <xf numFmtId="0" fontId="6" fillId="0" borderId="107" xfId="0" applyFont="1" applyBorder="1"/>
    <xf numFmtId="173" fontId="6" fillId="33" borderId="108" xfId="0" applyNumberFormat="1" applyFont="1" applyFill="1" applyBorder="1"/>
    <xf numFmtId="172" fontId="0" fillId="0" borderId="106" xfId="0" applyNumberFormat="1" applyBorder="1"/>
    <xf numFmtId="1" fontId="6" fillId="0" borderId="0" xfId="0" applyNumberFormat="1" applyFont="1"/>
    <xf numFmtId="173" fontId="6" fillId="33" borderId="95" xfId="0" applyNumberFormat="1" applyFont="1" applyFill="1" applyBorder="1"/>
    <xf numFmtId="6" fontId="0" fillId="0" borderId="106" xfId="0" applyNumberFormat="1" applyBorder="1"/>
    <xf numFmtId="6" fontId="0" fillId="0" borderId="0" xfId="0" applyNumberFormat="1"/>
    <xf numFmtId="172" fontId="0" fillId="0" borderId="0" xfId="0" applyNumberFormat="1"/>
    <xf numFmtId="0" fontId="6" fillId="0" borderId="108" xfId="0" applyFont="1" applyBorder="1"/>
    <xf numFmtId="0" fontId="6" fillId="0" borderId="95" xfId="0" applyFont="1" applyBorder="1"/>
    <xf numFmtId="1" fontId="0" fillId="0" borderId="107" xfId="0" applyNumberFormat="1" applyBorder="1"/>
    <xf numFmtId="166" fontId="35" fillId="28" borderId="56" xfId="2" applyNumberFormat="1" applyFont="1" applyFill="1" applyBorder="1" applyAlignment="1">
      <alignment horizontal="center" wrapText="1"/>
    </xf>
    <xf numFmtId="166" fontId="0" fillId="28" borderId="56" xfId="0" applyNumberFormat="1" applyFill="1" applyBorder="1" applyAlignment="1">
      <alignment horizontal="center"/>
    </xf>
    <xf numFmtId="3" fontId="0" fillId="0" borderId="107" xfId="0" applyNumberFormat="1" applyBorder="1"/>
    <xf numFmtId="3" fontId="6" fillId="33" borderId="0" xfId="0" applyNumberFormat="1" applyFont="1" applyFill="1"/>
    <xf numFmtId="0" fontId="6" fillId="33" borderId="95" xfId="0" applyFont="1" applyFill="1" applyBorder="1"/>
    <xf numFmtId="0" fontId="6" fillId="33" borderId="109" xfId="0" applyFont="1" applyFill="1" applyBorder="1"/>
    <xf numFmtId="173" fontId="6" fillId="0" borderId="0" xfId="0" applyNumberFormat="1" applyFont="1"/>
    <xf numFmtId="0" fontId="6" fillId="0" borderId="90" xfId="0" applyFont="1" applyBorder="1"/>
    <xf numFmtId="0" fontId="6" fillId="0" borderId="110" xfId="0" applyFont="1" applyBorder="1"/>
    <xf numFmtId="0" fontId="6" fillId="0" borderId="111" xfId="0" applyFont="1" applyBorder="1"/>
    <xf numFmtId="0" fontId="6" fillId="0" borderId="96" xfId="0" applyFont="1" applyBorder="1" applyAlignment="1">
      <alignment horizontal="center"/>
    </xf>
    <xf numFmtId="1" fontId="6" fillId="0" borderId="112" xfId="0" applyNumberFormat="1" applyFont="1" applyBorder="1"/>
    <xf numFmtId="173" fontId="6" fillId="33" borderId="97" xfId="0" applyNumberFormat="1" applyFont="1" applyFill="1" applyBorder="1"/>
    <xf numFmtId="17" fontId="0" fillId="0" borderId="0" xfId="0" applyNumberFormat="1" applyAlignment="1">
      <alignment horizontal="center"/>
    </xf>
    <xf numFmtId="17" fontId="0" fillId="0" borderId="0" xfId="0" applyNumberFormat="1"/>
    <xf numFmtId="0" fontId="0" fillId="37" borderId="0" xfId="0" applyFill="1"/>
    <xf numFmtId="168" fontId="0" fillId="37" borderId="0" xfId="0" applyNumberFormat="1" applyFill="1"/>
    <xf numFmtId="174" fontId="6" fillId="37" borderId="0" xfId="0" applyNumberFormat="1" applyFont="1" applyFill="1"/>
    <xf numFmtId="0" fontId="6" fillId="36" borderId="0" xfId="0" applyFont="1" applyFill="1"/>
    <xf numFmtId="168" fontId="6" fillId="0" borderId="0" xfId="0" applyNumberFormat="1" applyFont="1"/>
    <xf numFmtId="0" fontId="6" fillId="25" borderId="0" xfId="0" applyFont="1" applyFill="1"/>
    <xf numFmtId="170" fontId="6" fillId="0" borderId="0" xfId="0" applyNumberFormat="1" applyFont="1"/>
    <xf numFmtId="166" fontId="21" fillId="0" borderId="56" xfId="0" applyNumberFormat="1" applyFont="1" applyBorder="1"/>
    <xf numFmtId="0" fontId="42" fillId="0" borderId="0" xfId="0" applyFont="1" applyAlignment="1">
      <alignment horizontal="center"/>
    </xf>
    <xf numFmtId="3" fontId="6" fillId="0" borderId="0" xfId="0" applyNumberFormat="1" applyFont="1"/>
    <xf numFmtId="166" fontId="0" fillId="0" borderId="87" xfId="0" applyNumberFormat="1" applyBorder="1" applyAlignment="1">
      <alignment horizontal="center"/>
    </xf>
    <xf numFmtId="1" fontId="6" fillId="33" borderId="95" xfId="0" applyNumberFormat="1" applyFont="1" applyFill="1" applyBorder="1"/>
    <xf numFmtId="170" fontId="0" fillId="3" borderId="0" xfId="0" applyNumberFormat="1" applyFill="1"/>
    <xf numFmtId="0" fontId="6" fillId="33" borderId="0" xfId="0" applyFont="1" applyFill="1" applyAlignment="1">
      <alignment horizontal="center"/>
    </xf>
    <xf numFmtId="1" fontId="6" fillId="33" borderId="109" xfId="0" applyNumberFormat="1" applyFont="1" applyFill="1" applyBorder="1"/>
    <xf numFmtId="1" fontId="6" fillId="0" borderId="107" xfId="0" applyNumberFormat="1" applyFont="1" applyBorder="1"/>
    <xf numFmtId="0" fontId="6" fillId="38" borderId="0" xfId="0" applyFont="1" applyFill="1" applyAlignment="1">
      <alignment horizontal="center"/>
    </xf>
    <xf numFmtId="0" fontId="0" fillId="38" borderId="0" xfId="0" applyFill="1"/>
    <xf numFmtId="3" fontId="0" fillId="38" borderId="0" xfId="0" applyNumberFormat="1" applyFill="1"/>
    <xf numFmtId="1" fontId="0" fillId="38" borderId="106" xfId="0" applyNumberFormat="1" applyFill="1" applyBorder="1"/>
    <xf numFmtId="1" fontId="0" fillId="38" borderId="107" xfId="0" applyNumberFormat="1" applyFill="1" applyBorder="1"/>
    <xf numFmtId="1" fontId="0" fillId="38" borderId="0" xfId="0" applyNumberFormat="1" applyFill="1"/>
    <xf numFmtId="172" fontId="0" fillId="38" borderId="106" xfId="0" applyNumberFormat="1" applyFill="1" applyBorder="1"/>
    <xf numFmtId="0" fontId="0" fillId="38" borderId="107" xfId="0" applyFill="1" applyBorder="1"/>
    <xf numFmtId="0" fontId="0" fillId="38" borderId="106" xfId="0" applyFill="1" applyBorder="1"/>
    <xf numFmtId="0" fontId="6" fillId="0" borderId="114" xfId="0" applyFont="1" applyBorder="1" applyAlignment="1">
      <alignment horizontal="center"/>
    </xf>
    <xf numFmtId="175" fontId="6" fillId="3" borderId="115" xfId="0" applyNumberFormat="1" applyFont="1" applyFill="1" applyBorder="1" applyAlignment="1">
      <alignment horizontal="center"/>
    </xf>
    <xf numFmtId="0" fontId="29" fillId="3" borderId="0" xfId="0" applyFont="1" applyFill="1" applyAlignment="1">
      <alignment wrapText="1"/>
    </xf>
    <xf numFmtId="3" fontId="0" fillId="0" borderId="102" xfId="0" applyNumberFormat="1" applyBorder="1"/>
    <xf numFmtId="0" fontId="6" fillId="0" borderId="62" xfId="0" applyFont="1" applyBorder="1" applyAlignment="1">
      <alignment horizontal="center" vertical="center"/>
    </xf>
    <xf numFmtId="168" fontId="6" fillId="0" borderId="12" xfId="0" applyNumberFormat="1" applyFont="1" applyBorder="1"/>
    <xf numFmtId="9" fontId="0" fillId="0" borderId="0" xfId="0" applyNumberFormat="1"/>
    <xf numFmtId="0" fontId="6" fillId="0" borderId="113" xfId="0" applyFont="1" applyBorder="1" applyAlignment="1">
      <alignment horizontal="center"/>
    </xf>
    <xf numFmtId="0" fontId="15" fillId="18" borderId="84" xfId="0" applyFont="1" applyFill="1" applyBorder="1" applyAlignment="1">
      <alignment horizontal="center" vertical="center" wrapText="1"/>
    </xf>
    <xf numFmtId="0" fontId="15" fillId="18" borderId="86" xfId="0" applyFont="1" applyFill="1" applyBorder="1" applyAlignment="1">
      <alignment horizontal="center" vertical="center" wrapText="1"/>
    </xf>
    <xf numFmtId="0" fontId="15" fillId="3" borderId="84" xfId="0" applyFont="1" applyFill="1" applyBorder="1" applyAlignment="1">
      <alignment horizontal="center" vertical="center" wrapText="1"/>
    </xf>
    <xf numFmtId="0" fontId="15" fillId="3" borderId="86" xfId="0" applyFont="1" applyFill="1" applyBorder="1" applyAlignment="1">
      <alignment horizontal="center" vertical="center" wrapText="1"/>
    </xf>
    <xf numFmtId="0" fontId="15" fillId="18" borderId="118" xfId="0" applyFont="1" applyFill="1" applyBorder="1" applyAlignment="1">
      <alignment horizontal="center" vertical="center" wrapText="1"/>
    </xf>
    <xf numFmtId="0" fontId="15" fillId="30" borderId="126" xfId="0" applyFont="1" applyFill="1" applyBorder="1" applyAlignment="1">
      <alignment horizontal="center" vertical="center" wrapText="1"/>
    </xf>
    <xf numFmtId="6" fontId="0" fillId="0" borderId="56" xfId="0" applyNumberFormat="1" applyBorder="1"/>
    <xf numFmtId="6" fontId="0" fillId="0" borderId="111" xfId="0" applyNumberFormat="1" applyBorder="1"/>
    <xf numFmtId="6" fontId="0" fillId="0" borderId="90" xfId="0" applyNumberFormat="1" applyBorder="1"/>
    <xf numFmtId="6" fontId="0" fillId="0" borderId="81" xfId="0" applyNumberFormat="1" applyBorder="1"/>
    <xf numFmtId="6" fontId="0" fillId="0" borderId="82" xfId="0" applyNumberFormat="1" applyBorder="1"/>
    <xf numFmtId="6" fontId="0" fillId="0" borderId="84" xfId="0" applyNumberFormat="1" applyBorder="1"/>
    <xf numFmtId="6" fontId="0" fillId="0" borderId="124" xfId="0" applyNumberFormat="1" applyBorder="1"/>
    <xf numFmtId="6" fontId="0" fillId="0" borderId="122" xfId="0" applyNumberFormat="1" applyBorder="1"/>
    <xf numFmtId="6" fontId="0" fillId="0" borderId="87" xfId="0" applyNumberFormat="1" applyBorder="1"/>
    <xf numFmtId="6" fontId="0" fillId="0" borderId="117" xfId="0" applyNumberFormat="1" applyBorder="1"/>
    <xf numFmtId="6" fontId="0" fillId="0" borderId="116" xfId="0" applyNumberFormat="1" applyBorder="1"/>
    <xf numFmtId="6" fontId="0" fillId="0" borderId="86" xfId="0" applyNumberFormat="1" applyBorder="1"/>
    <xf numFmtId="6" fontId="0" fillId="0" borderId="127" xfId="0" applyNumberFormat="1" applyBorder="1"/>
    <xf numFmtId="6" fontId="15" fillId="0" borderId="0" xfId="0" applyNumberFormat="1" applyFont="1" applyAlignment="1">
      <alignment horizontal="center" vertical="center" wrapText="1"/>
    </xf>
    <xf numFmtId="6" fontId="0" fillId="0" borderId="120" xfId="0" applyNumberFormat="1" applyBorder="1"/>
    <xf numFmtId="6" fontId="0" fillId="0" borderId="125" xfId="0" applyNumberFormat="1" applyBorder="1"/>
    <xf numFmtId="6" fontId="0" fillId="0" borderId="121" xfId="0" applyNumberFormat="1" applyBorder="1"/>
    <xf numFmtId="6" fontId="0" fillId="0" borderId="123" xfId="0" applyNumberFormat="1" applyBorder="1"/>
    <xf numFmtId="9" fontId="0" fillId="0" borderId="111" xfId="0" applyNumberFormat="1" applyBorder="1" applyAlignment="1">
      <alignment horizontal="center"/>
    </xf>
    <xf numFmtId="6" fontId="0" fillId="0" borderId="97" xfId="0" applyNumberFormat="1" applyBorder="1"/>
    <xf numFmtId="0" fontId="31" fillId="23" borderId="129" xfId="0" applyFont="1" applyFill="1" applyBorder="1" applyAlignment="1">
      <alignment horizontal="center" vertical="center" wrapText="1"/>
    </xf>
    <xf numFmtId="9" fontId="0" fillId="0" borderId="124" xfId="0" applyNumberFormat="1" applyBorder="1" applyAlignment="1">
      <alignment horizontal="center"/>
    </xf>
    <xf numFmtId="9" fontId="0" fillId="0" borderId="130" xfId="0" applyNumberFormat="1" applyBorder="1" applyAlignment="1">
      <alignment horizontal="center"/>
    </xf>
    <xf numFmtId="0" fontId="31" fillId="23" borderId="131" xfId="0" applyFont="1" applyFill="1" applyBorder="1" applyAlignment="1">
      <alignment horizontal="center" vertical="center" wrapText="1"/>
    </xf>
    <xf numFmtId="9" fontId="0" fillId="0" borderId="132" xfId="0" applyNumberFormat="1" applyBorder="1" applyAlignment="1">
      <alignment horizontal="center"/>
    </xf>
    <xf numFmtId="0" fontId="31" fillId="23" borderId="133" xfId="0" applyFont="1" applyFill="1" applyBorder="1" applyAlignment="1">
      <alignment horizontal="center" vertical="center" wrapText="1"/>
    </xf>
    <xf numFmtId="9" fontId="0" fillId="0" borderId="117" xfId="0" applyNumberFormat="1" applyBorder="1" applyAlignment="1">
      <alignment horizontal="center"/>
    </xf>
    <xf numFmtId="9" fontId="0" fillId="0" borderId="134" xfId="0" applyNumberFormat="1" applyBorder="1" applyAlignment="1">
      <alignment horizontal="center"/>
    </xf>
    <xf numFmtId="0" fontId="31" fillId="29" borderId="129" xfId="0" applyFont="1" applyFill="1" applyBorder="1" applyAlignment="1">
      <alignment horizontal="center" vertical="center" wrapText="1"/>
    </xf>
    <xf numFmtId="0" fontId="31" fillId="29" borderId="131" xfId="0" applyFont="1" applyFill="1" applyBorder="1" applyAlignment="1">
      <alignment horizontal="center" vertical="center" wrapText="1"/>
    </xf>
    <xf numFmtId="0" fontId="31" fillId="29" borderId="133" xfId="0" applyFont="1" applyFill="1" applyBorder="1" applyAlignment="1">
      <alignment horizontal="center" vertical="center" wrapText="1"/>
    </xf>
    <xf numFmtId="0" fontId="39" fillId="4" borderId="135" xfId="0" applyFont="1" applyFill="1" applyBorder="1" applyAlignment="1">
      <alignment horizontal="center" vertical="center" wrapText="1"/>
    </xf>
    <xf numFmtId="9" fontId="0" fillId="0" borderId="125" xfId="0" applyNumberFormat="1" applyBorder="1" applyAlignment="1">
      <alignment horizontal="center"/>
    </xf>
    <xf numFmtId="9" fontId="0" fillId="0" borderId="136" xfId="0" applyNumberFormat="1" applyBorder="1" applyAlignment="1">
      <alignment horizontal="center"/>
    </xf>
    <xf numFmtId="6" fontId="0" fillId="0" borderId="137" xfId="0" applyNumberFormat="1" applyBorder="1"/>
    <xf numFmtId="6" fontId="0" fillId="0" borderId="96" xfId="0" applyNumberFormat="1" applyBorder="1"/>
    <xf numFmtId="6" fontId="0" fillId="0" borderId="118" xfId="0" applyNumberFormat="1" applyBorder="1"/>
    <xf numFmtId="6" fontId="0" fillId="0" borderId="108" xfId="0" applyNumberFormat="1" applyBorder="1"/>
    <xf numFmtId="9" fontId="29" fillId="0" borderId="25" xfId="0" applyNumberFormat="1" applyFont="1" applyBorder="1" applyAlignment="1">
      <alignment horizontal="center" vertical="center" wrapText="1"/>
    </xf>
    <xf numFmtId="0" fontId="49" fillId="0" borderId="0" xfId="0" applyFont="1" applyAlignment="1">
      <alignment wrapText="1"/>
    </xf>
    <xf numFmtId="0" fontId="49" fillId="4" borderId="101" xfId="0" applyFont="1" applyFill="1" applyBorder="1" applyAlignment="1">
      <alignment horizontal="center" vertical="center" wrapText="1"/>
    </xf>
    <xf numFmtId="8" fontId="49" fillId="0" borderId="102" xfId="0" applyNumberFormat="1" applyFont="1" applyBorder="1" applyAlignment="1">
      <alignment horizontal="center" vertical="center" wrapText="1"/>
    </xf>
    <xf numFmtId="9" fontId="49" fillId="0" borderId="102" xfId="0" applyNumberFormat="1" applyFont="1" applyBorder="1" applyAlignment="1">
      <alignment horizontal="center" vertical="center" wrapText="1"/>
    </xf>
    <xf numFmtId="0" fontId="49" fillId="0" borderId="102" xfId="0" applyFont="1" applyBorder="1" applyAlignment="1">
      <alignment horizontal="center" vertical="center" wrapText="1"/>
    </xf>
    <xf numFmtId="9" fontId="49" fillId="0" borderId="104" xfId="0" applyNumberFormat="1" applyFont="1" applyBorder="1" applyAlignment="1">
      <alignment horizontal="center" vertical="center" wrapText="1"/>
    </xf>
    <xf numFmtId="6" fontId="49" fillId="0" borderId="101" xfId="0" applyNumberFormat="1" applyFont="1" applyBorder="1" applyAlignment="1">
      <alignment horizontal="center" vertical="center" wrapText="1"/>
    </xf>
    <xf numFmtId="6" fontId="49" fillId="0" borderId="102" xfId="0" applyNumberFormat="1" applyFont="1" applyBorder="1" applyAlignment="1">
      <alignment horizontal="center" vertical="center" wrapText="1"/>
    </xf>
    <xf numFmtId="9" fontId="50" fillId="0" borderId="102" xfId="0" applyNumberFormat="1" applyFont="1" applyBorder="1" applyAlignment="1">
      <alignment horizontal="center" vertical="center" wrapText="1"/>
    </xf>
    <xf numFmtId="9" fontId="50" fillId="0" borderId="103" xfId="0" applyNumberFormat="1" applyFont="1" applyBorder="1" applyAlignment="1">
      <alignment horizontal="center" wrapText="1"/>
    </xf>
    <xf numFmtId="9" fontId="50" fillId="0" borderId="104" xfId="0" applyNumberFormat="1" applyFont="1" applyBorder="1" applyAlignment="1">
      <alignment horizontal="center" wrapText="1"/>
    </xf>
    <xf numFmtId="9" fontId="50" fillId="0" borderId="103" xfId="0" applyNumberFormat="1" applyFont="1" applyBorder="1" applyAlignment="1">
      <alignment horizontal="center" vertical="center" wrapText="1"/>
    </xf>
    <xf numFmtId="9" fontId="50" fillId="0" borderId="1" xfId="0" applyNumberFormat="1" applyFont="1" applyBorder="1" applyAlignment="1">
      <alignment horizontal="center" vertical="center" wrapText="1"/>
    </xf>
    <xf numFmtId="0" fontId="50" fillId="0" borderId="103" xfId="0" applyFont="1" applyBorder="1" applyAlignment="1">
      <alignment horizontal="center" vertical="center" wrapText="1"/>
    </xf>
    <xf numFmtId="6" fontId="50" fillId="0" borderId="1" xfId="0" applyNumberFormat="1" applyFont="1" applyBorder="1" applyAlignment="1">
      <alignment wrapText="1"/>
    </xf>
    <xf numFmtId="9" fontId="50" fillId="0" borderId="1" xfId="0" applyNumberFormat="1" applyFont="1" applyBorder="1" applyAlignment="1">
      <alignment horizontal="center" wrapText="1"/>
    </xf>
    <xf numFmtId="0" fontId="51" fillId="0" borderId="0" xfId="0" applyFont="1"/>
    <xf numFmtId="9" fontId="49" fillId="0" borderId="99" xfId="0" applyNumberFormat="1" applyFont="1" applyBorder="1" applyAlignment="1">
      <alignment horizontal="center" vertical="center" wrapText="1"/>
    </xf>
    <xf numFmtId="6" fontId="49" fillId="0" borderId="100" xfId="0" applyNumberFormat="1" applyFont="1" applyBorder="1" applyAlignment="1">
      <alignment horizontal="center" vertical="center" wrapText="1"/>
    </xf>
    <xf numFmtId="6" fontId="49" fillId="0" borderId="99" xfId="0" applyNumberFormat="1" applyFont="1" applyBorder="1" applyAlignment="1">
      <alignment horizontal="center" vertical="center" wrapText="1"/>
    </xf>
    <xf numFmtId="9" fontId="29" fillId="0" borderId="1" xfId="0" applyNumberFormat="1" applyFont="1" applyBorder="1" applyAlignment="1">
      <alignment wrapText="1"/>
    </xf>
    <xf numFmtId="9" fontId="53" fillId="42" borderId="99" xfId="1" applyFont="1" applyFill="1" applyBorder="1" applyAlignment="1">
      <alignment horizontal="center" vertical="center" wrapText="1"/>
    </xf>
    <xf numFmtId="3" fontId="52" fillId="32" borderId="1" xfId="0" applyNumberFormat="1" applyFont="1" applyFill="1" applyBorder="1"/>
    <xf numFmtId="9" fontId="29" fillId="32" borderId="1" xfId="0" applyNumberFormat="1" applyFont="1" applyFill="1" applyBorder="1" applyAlignment="1">
      <alignment wrapText="1"/>
    </xf>
    <xf numFmtId="0" fontId="29" fillId="32" borderId="1" xfId="0" applyFont="1" applyFill="1" applyBorder="1" applyAlignment="1">
      <alignment wrapText="1"/>
    </xf>
    <xf numFmtId="4" fontId="52" fillId="32" borderId="1" xfId="0" applyNumberFormat="1" applyFont="1" applyFill="1" applyBorder="1"/>
    <xf numFmtId="3" fontId="29" fillId="0" borderId="1" xfId="0" applyNumberFormat="1" applyFont="1" applyBorder="1" applyAlignment="1">
      <alignment wrapText="1"/>
    </xf>
    <xf numFmtId="166" fontId="53" fillId="42" borderId="99" xfId="2" applyNumberFormat="1" applyFont="1" applyFill="1" applyBorder="1" applyAlignment="1">
      <alignment horizontal="right" vertical="center" wrapText="1"/>
    </xf>
    <xf numFmtId="6" fontId="53" fillId="44" borderId="99" xfId="0" applyNumberFormat="1" applyFont="1" applyFill="1" applyBorder="1" applyAlignment="1">
      <alignment horizontal="center" vertical="center" wrapText="1"/>
    </xf>
    <xf numFmtId="9" fontId="53" fillId="44" borderId="99" xfId="0" applyNumberFormat="1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3" fontId="29" fillId="0" borderId="15" xfId="0" applyNumberFormat="1" applyFont="1" applyBorder="1" applyAlignment="1">
      <alignment wrapText="1"/>
    </xf>
    <xf numFmtId="9" fontId="29" fillId="45" borderId="16" xfId="0" applyNumberFormat="1" applyFont="1" applyFill="1" applyBorder="1" applyAlignment="1">
      <alignment wrapText="1"/>
    </xf>
    <xf numFmtId="9" fontId="49" fillId="9" borderId="32" xfId="0" applyNumberFormat="1" applyFont="1" applyFill="1" applyBorder="1" applyAlignment="1">
      <alignment horizontal="center" vertical="center" wrapText="1"/>
    </xf>
    <xf numFmtId="9" fontId="29" fillId="0" borderId="1" xfId="1" applyFont="1" applyFill="1" applyBorder="1" applyAlignment="1">
      <alignment wrapText="1"/>
    </xf>
    <xf numFmtId="6" fontId="49" fillId="31" borderId="99" xfId="0" applyNumberFormat="1" applyFont="1" applyFill="1" applyBorder="1" applyAlignment="1">
      <alignment horizontal="center" vertical="center" wrapText="1"/>
    </xf>
    <xf numFmtId="9" fontId="49" fillId="31" borderId="32" xfId="0" applyNumberFormat="1" applyFont="1" applyFill="1" applyBorder="1" applyAlignment="1">
      <alignment horizontal="center" vertical="center" wrapText="1"/>
    </xf>
    <xf numFmtId="9" fontId="29" fillId="45" borderId="1" xfId="0" applyNumberFormat="1" applyFont="1" applyFill="1" applyBorder="1" applyAlignment="1">
      <alignment horizontal="center" vertical="center" wrapText="1"/>
    </xf>
    <xf numFmtId="6" fontId="49" fillId="9" borderId="100" xfId="0" applyNumberFormat="1" applyFont="1" applyFill="1" applyBorder="1" applyAlignment="1">
      <alignment horizontal="center" vertical="center" wrapText="1"/>
    </xf>
    <xf numFmtId="6" fontId="49" fillId="9" borderId="99" xfId="0" applyNumberFormat="1" applyFont="1" applyFill="1" applyBorder="1" applyAlignment="1">
      <alignment horizontal="center" vertical="center" wrapText="1"/>
    </xf>
    <xf numFmtId="9" fontId="29" fillId="46" borderId="1" xfId="0" applyNumberFormat="1" applyFont="1" applyFill="1" applyBorder="1" applyAlignment="1">
      <alignment horizontal="center" vertical="center" wrapText="1"/>
    </xf>
    <xf numFmtId="9" fontId="30" fillId="0" borderId="0" xfId="0" applyNumberFormat="1" applyFont="1" applyAlignment="1">
      <alignment horizontal="center" vertical="center" wrapText="1"/>
    </xf>
    <xf numFmtId="176" fontId="29" fillId="0" borderId="1" xfId="0" applyNumberFormat="1" applyFont="1" applyBorder="1" applyAlignment="1">
      <alignment horizontal="center" vertical="center" wrapText="1"/>
    </xf>
    <xf numFmtId="176" fontId="29" fillId="46" borderId="1" xfId="0" applyNumberFormat="1" applyFont="1" applyFill="1" applyBorder="1" applyAlignment="1">
      <alignment horizontal="center" vertical="center" wrapText="1"/>
    </xf>
    <xf numFmtId="6" fontId="49" fillId="31" borderId="100" xfId="0" applyNumberFormat="1" applyFont="1" applyFill="1" applyBorder="1" applyAlignment="1">
      <alignment horizontal="center" vertical="center" wrapText="1"/>
    </xf>
    <xf numFmtId="9" fontId="49" fillId="31" borderId="2" xfId="0" applyNumberFormat="1" applyFont="1" applyFill="1" applyBorder="1" applyAlignment="1">
      <alignment horizontal="center" vertical="center" wrapText="1"/>
    </xf>
    <xf numFmtId="9" fontId="49" fillId="9" borderId="32" xfId="1" applyFont="1" applyFill="1" applyBorder="1" applyAlignment="1">
      <alignment horizontal="center" vertical="center" wrapText="1"/>
    </xf>
    <xf numFmtId="3" fontId="29" fillId="0" borderId="1" xfId="0" applyNumberFormat="1" applyFont="1" applyBorder="1" applyAlignment="1">
      <alignment horizontal="center" vertical="center" wrapText="1"/>
    </xf>
    <xf numFmtId="3" fontId="29" fillId="46" borderId="1" xfId="0" applyNumberFormat="1" applyFont="1" applyFill="1" applyBorder="1" applyAlignment="1">
      <alignment horizontal="center" vertical="center" wrapText="1"/>
    </xf>
    <xf numFmtId="3" fontId="29" fillId="45" borderId="1" xfId="0" applyNumberFormat="1" applyFont="1" applyFill="1" applyBorder="1" applyAlignment="1">
      <alignment horizontal="center" vertical="center" wrapText="1"/>
    </xf>
    <xf numFmtId="166" fontId="49" fillId="9" borderId="99" xfId="0" applyNumberFormat="1" applyFont="1" applyFill="1" applyBorder="1" applyAlignment="1">
      <alignment horizontal="center" vertical="center" wrapText="1"/>
    </xf>
    <xf numFmtId="9" fontId="29" fillId="46" borderId="16" xfId="1" applyFont="1" applyFill="1" applyBorder="1" applyAlignment="1">
      <alignment wrapText="1"/>
    </xf>
    <xf numFmtId="3" fontId="29" fillId="45" borderId="1" xfId="0" applyNumberFormat="1" applyFont="1" applyFill="1" applyBorder="1" applyAlignment="1">
      <alignment wrapText="1"/>
    </xf>
    <xf numFmtId="0" fontId="49" fillId="48" borderId="19" xfId="0" applyFont="1" applyFill="1" applyBorder="1" applyAlignment="1">
      <alignment horizontal="center" vertical="center" wrapText="1"/>
    </xf>
    <xf numFmtId="0" fontId="56" fillId="40" borderId="33" xfId="0" applyFont="1" applyFill="1" applyBorder="1" applyAlignment="1">
      <alignment horizontal="center" vertical="center" wrapText="1"/>
    </xf>
    <xf numFmtId="0" fontId="58" fillId="41" borderId="34" xfId="0" applyFont="1" applyFill="1" applyBorder="1" applyAlignment="1">
      <alignment horizontal="center" vertical="center" wrapText="1"/>
    </xf>
    <xf numFmtId="0" fontId="58" fillId="41" borderId="35" xfId="0" applyFont="1" applyFill="1" applyBorder="1" applyAlignment="1">
      <alignment horizontal="center" vertical="center" wrapText="1"/>
    </xf>
    <xf numFmtId="0" fontId="58" fillId="39" borderId="34" xfId="0" applyFont="1" applyFill="1" applyBorder="1" applyAlignment="1">
      <alignment horizontal="center" vertical="center" wrapText="1"/>
    </xf>
    <xf numFmtId="0" fontId="58" fillId="39" borderId="35" xfId="0" applyFont="1" applyFill="1" applyBorder="1" applyAlignment="1">
      <alignment horizontal="center" vertical="center" wrapText="1"/>
    </xf>
    <xf numFmtId="0" fontId="58" fillId="39" borderId="39" xfId="0" applyFont="1" applyFill="1" applyBorder="1" applyAlignment="1">
      <alignment horizontal="center" vertical="center" wrapText="1"/>
    </xf>
    <xf numFmtId="0" fontId="56" fillId="40" borderId="36" xfId="0" applyFont="1" applyFill="1" applyBorder="1" applyAlignment="1">
      <alignment horizontal="center" vertical="center" wrapText="1"/>
    </xf>
    <xf numFmtId="0" fontId="58" fillId="41" borderId="37" xfId="0" applyFont="1" applyFill="1" applyBorder="1" applyAlignment="1">
      <alignment horizontal="center" vertical="center" wrapText="1"/>
    </xf>
    <xf numFmtId="0" fontId="58" fillId="41" borderId="38" xfId="0" applyFont="1" applyFill="1" applyBorder="1" applyAlignment="1">
      <alignment horizontal="center" vertical="center" wrapText="1"/>
    </xf>
    <xf numFmtId="0" fontId="58" fillId="39" borderId="37" xfId="0" applyFont="1" applyFill="1" applyBorder="1" applyAlignment="1">
      <alignment horizontal="center" vertical="center" wrapText="1"/>
    </xf>
    <xf numFmtId="0" fontId="58" fillId="39" borderId="38" xfId="0" applyFont="1" applyFill="1" applyBorder="1" applyAlignment="1">
      <alignment horizontal="center" vertical="center" wrapText="1"/>
    </xf>
    <xf numFmtId="0" fontId="58" fillId="39" borderId="40" xfId="0" applyFont="1" applyFill="1" applyBorder="1" applyAlignment="1">
      <alignment horizontal="center" vertical="center" wrapText="1"/>
    </xf>
    <xf numFmtId="0" fontId="59" fillId="0" borderId="0" xfId="0" applyFont="1" applyAlignment="1">
      <alignment wrapText="1"/>
    </xf>
    <xf numFmtId="0" fontId="59" fillId="0" borderId="0" xfId="0" applyFont="1" applyAlignment="1">
      <alignment horizontal="center" vertical="center" wrapText="1"/>
    </xf>
    <xf numFmtId="0" fontId="60" fillId="0" borderId="0" xfId="0" applyFont="1"/>
    <xf numFmtId="9" fontId="49" fillId="9" borderId="31" xfId="1" applyFont="1" applyFill="1" applyBorder="1" applyAlignment="1">
      <alignment horizontal="center" vertical="center" wrapText="1"/>
    </xf>
    <xf numFmtId="0" fontId="15" fillId="49" borderId="89" xfId="0" applyFont="1" applyFill="1" applyBorder="1" applyAlignment="1">
      <alignment horizontal="center" vertical="center" wrapText="1"/>
    </xf>
    <xf numFmtId="0" fontId="15" fillId="49" borderId="29" xfId="0" applyFont="1" applyFill="1" applyBorder="1" applyAlignment="1">
      <alignment horizontal="center" vertical="center" wrapText="1"/>
    </xf>
    <xf numFmtId="0" fontId="15" fillId="50" borderId="52" xfId="0" applyFont="1" applyFill="1" applyBorder="1" applyAlignment="1">
      <alignment horizontal="center" vertical="center" wrapText="1"/>
    </xf>
    <xf numFmtId="0" fontId="15" fillId="50" borderId="29" xfId="0" applyFont="1" applyFill="1" applyBorder="1" applyAlignment="1">
      <alignment horizontal="center" vertical="center" wrapText="1"/>
    </xf>
    <xf numFmtId="0" fontId="15" fillId="50" borderId="53" xfId="0" applyFont="1" applyFill="1" applyBorder="1" applyAlignment="1">
      <alignment horizontal="center" vertical="center" wrapText="1"/>
    </xf>
    <xf numFmtId="0" fontId="0" fillId="0" borderId="140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6" fontId="6" fillId="0" borderId="36" xfId="0" applyNumberFormat="1" applyFont="1" applyBorder="1" applyAlignment="1">
      <alignment horizontal="center"/>
    </xf>
    <xf numFmtId="0" fontId="25" fillId="48" borderId="139" xfId="0" applyFont="1" applyFill="1" applyBorder="1" applyAlignment="1">
      <alignment horizontal="center" vertical="center"/>
    </xf>
    <xf numFmtId="6" fontId="24" fillId="48" borderId="19" xfId="0" applyNumberFormat="1" applyFont="1" applyFill="1" applyBorder="1" applyAlignment="1">
      <alignment horizontal="center"/>
    </xf>
    <xf numFmtId="0" fontId="6" fillId="48" borderId="53" xfId="0" applyFont="1" applyFill="1" applyBorder="1" applyAlignment="1">
      <alignment horizontal="center" vertical="center"/>
    </xf>
    <xf numFmtId="178" fontId="56" fillId="40" borderId="36" xfId="0" applyNumberFormat="1" applyFont="1" applyFill="1" applyBorder="1" applyAlignment="1">
      <alignment horizontal="center" vertical="center" wrapText="1"/>
    </xf>
    <xf numFmtId="178" fontId="56" fillId="40" borderId="37" xfId="0" applyNumberFormat="1" applyFont="1" applyFill="1" applyBorder="1" applyAlignment="1">
      <alignment horizontal="center" vertical="center" wrapText="1"/>
    </xf>
    <xf numFmtId="4" fontId="43" fillId="32" borderId="97" xfId="0" applyNumberFormat="1" applyFont="1" applyFill="1" applyBorder="1" applyAlignment="1">
      <alignment wrapText="1"/>
    </xf>
    <xf numFmtId="9" fontId="0" fillId="32" borderId="109" xfId="0" applyNumberFormat="1" applyFill="1" applyBorder="1" applyAlignment="1">
      <alignment horizontal="center"/>
    </xf>
    <xf numFmtId="4" fontId="43" fillId="32" borderId="56" xfId="0" applyNumberFormat="1" applyFont="1" applyFill="1" applyBorder="1" applyAlignment="1">
      <alignment wrapText="1"/>
    </xf>
    <xf numFmtId="9" fontId="0" fillId="32" borderId="111" xfId="0" applyNumberFormat="1" applyFill="1" applyBorder="1" applyAlignment="1">
      <alignment horizontal="center"/>
    </xf>
    <xf numFmtId="4" fontId="43" fillId="32" borderId="96" xfId="0" applyNumberFormat="1" applyFont="1" applyFill="1" applyBorder="1" applyAlignment="1">
      <alignment wrapText="1"/>
    </xf>
    <xf numFmtId="4" fontId="43" fillId="32" borderId="87" xfId="0" applyNumberFormat="1" applyFont="1" applyFill="1" applyBorder="1" applyAlignment="1">
      <alignment wrapText="1"/>
    </xf>
    <xf numFmtId="9" fontId="0" fillId="32" borderId="117" xfId="0" applyNumberFormat="1" applyFill="1" applyBorder="1" applyAlignment="1">
      <alignment horizontal="center"/>
    </xf>
    <xf numFmtId="166" fontId="61" fillId="42" borderId="99" xfId="2" applyNumberFormat="1" applyFont="1" applyFill="1" applyBorder="1" applyAlignment="1">
      <alignment horizontal="right" vertical="center" wrapText="1"/>
    </xf>
    <xf numFmtId="9" fontId="61" fillId="42" borderId="99" xfId="1" applyFont="1" applyFill="1" applyBorder="1" applyAlignment="1">
      <alignment horizontal="center" vertical="center" wrapText="1"/>
    </xf>
    <xf numFmtId="0" fontId="56" fillId="40" borderId="13" xfId="0" applyFont="1" applyFill="1" applyBorder="1" applyAlignment="1">
      <alignment horizontal="center" vertical="center" wrapText="1"/>
    </xf>
    <xf numFmtId="0" fontId="56" fillId="40" borderId="2" xfId="0" applyFont="1" applyFill="1" applyBorder="1" applyAlignment="1">
      <alignment horizontal="center" vertical="center" wrapText="1"/>
    </xf>
    <xf numFmtId="8" fontId="0" fillId="46" borderId="97" xfId="0" applyNumberFormat="1" applyFill="1" applyBorder="1"/>
    <xf numFmtId="9" fontId="0" fillId="46" borderId="119" xfId="0" applyNumberFormat="1" applyFill="1" applyBorder="1" applyAlignment="1">
      <alignment horizontal="center"/>
    </xf>
    <xf numFmtId="8" fontId="0" fillId="46" borderId="56" xfId="0" applyNumberFormat="1" applyFill="1" applyBorder="1"/>
    <xf numFmtId="9" fontId="0" fillId="46" borderId="85" xfId="0" applyNumberFormat="1" applyFill="1" applyBorder="1" applyAlignment="1">
      <alignment horizontal="center"/>
    </xf>
    <xf numFmtId="8" fontId="0" fillId="46" borderId="96" xfId="0" applyNumberFormat="1" applyFill="1" applyBorder="1"/>
    <xf numFmtId="9" fontId="0" fillId="46" borderId="138" xfId="0" applyNumberFormat="1" applyFill="1" applyBorder="1" applyAlignment="1">
      <alignment horizontal="center"/>
    </xf>
    <xf numFmtId="8" fontId="0" fillId="46" borderId="82" xfId="0" applyNumberFormat="1" applyFill="1" applyBorder="1"/>
    <xf numFmtId="9" fontId="0" fillId="46" borderId="83" xfId="0" applyNumberFormat="1" applyFill="1" applyBorder="1" applyAlignment="1">
      <alignment horizontal="center"/>
    </xf>
    <xf numFmtId="8" fontId="0" fillId="46" borderId="87" xfId="0" applyNumberFormat="1" applyFill="1" applyBorder="1"/>
    <xf numFmtId="9" fontId="0" fillId="46" borderId="88" xfId="0" applyNumberFormat="1" applyFill="1" applyBorder="1" applyAlignment="1">
      <alignment horizontal="center"/>
    </xf>
    <xf numFmtId="6" fontId="62" fillId="9" borderId="127" xfId="0" applyNumberFormat="1" applyFont="1" applyFill="1" applyBorder="1"/>
    <xf numFmtId="9" fontId="62" fillId="9" borderId="128" xfId="0" applyNumberFormat="1" applyFont="1" applyFill="1" applyBorder="1" applyAlignment="1">
      <alignment horizontal="center"/>
    </xf>
    <xf numFmtId="9" fontId="58" fillId="39" borderId="21" xfId="1" applyFont="1" applyFill="1" applyBorder="1" applyAlignment="1">
      <alignment horizontal="center" vertical="center" wrapText="1"/>
    </xf>
    <xf numFmtId="0" fontId="56" fillId="43" borderId="13" xfId="0" applyFont="1" applyFill="1" applyBorder="1" applyAlignment="1">
      <alignment horizontal="center" vertical="center" wrapText="1"/>
    </xf>
    <xf numFmtId="0" fontId="56" fillId="43" borderId="2" xfId="0" applyFont="1" applyFill="1" applyBorder="1" applyAlignment="1">
      <alignment horizontal="center" vertical="center" wrapText="1"/>
    </xf>
    <xf numFmtId="0" fontId="56" fillId="43" borderId="33" xfId="0" applyFont="1" applyFill="1" applyBorder="1" applyAlignment="1">
      <alignment horizontal="center" vertical="center" wrapText="1"/>
    </xf>
    <xf numFmtId="0" fontId="56" fillId="43" borderId="34" xfId="0" applyFont="1" applyFill="1" applyBorder="1" applyAlignment="1">
      <alignment horizontal="center" vertical="center" wrapText="1"/>
    </xf>
    <xf numFmtId="178" fontId="56" fillId="43" borderId="36" xfId="0" applyNumberFormat="1" applyFont="1" applyFill="1" applyBorder="1" applyAlignment="1">
      <alignment horizontal="center" vertical="center" wrapText="1"/>
    </xf>
    <xf numFmtId="178" fontId="56" fillId="43" borderId="37" xfId="0" applyNumberFormat="1" applyFont="1" applyFill="1" applyBorder="1" applyAlignment="1">
      <alignment horizontal="center" vertical="center" wrapText="1"/>
    </xf>
    <xf numFmtId="166" fontId="61" fillId="44" borderId="99" xfId="2" applyNumberFormat="1" applyFont="1" applyFill="1" applyBorder="1" applyAlignment="1">
      <alignment horizontal="right" vertical="center" wrapText="1"/>
    </xf>
    <xf numFmtId="9" fontId="61" fillId="44" borderId="99" xfId="1" applyFont="1" applyFill="1" applyBorder="1" applyAlignment="1">
      <alignment horizontal="center" vertical="center" wrapText="1"/>
    </xf>
    <xf numFmtId="6" fontId="0" fillId="46" borderId="97" xfId="0" applyNumberFormat="1" applyFill="1" applyBorder="1"/>
    <xf numFmtId="6" fontId="0" fillId="46" borderId="56" xfId="0" applyNumberFormat="1" applyFill="1" applyBorder="1"/>
    <xf numFmtId="6" fontId="0" fillId="46" borderId="96" xfId="0" applyNumberFormat="1" applyFill="1" applyBorder="1"/>
    <xf numFmtId="6" fontId="0" fillId="46" borderId="82" xfId="0" applyNumberFormat="1" applyFill="1" applyBorder="1"/>
    <xf numFmtId="6" fontId="0" fillId="46" borderId="87" xfId="0" applyNumberFormat="1" applyFill="1" applyBorder="1"/>
    <xf numFmtId="3" fontId="43" fillId="32" borderId="97" xfId="0" applyNumberFormat="1" applyFont="1" applyFill="1" applyBorder="1" applyAlignment="1">
      <alignment wrapText="1"/>
    </xf>
    <xf numFmtId="3" fontId="43" fillId="32" borderId="56" xfId="0" applyNumberFormat="1" applyFont="1" applyFill="1" applyBorder="1" applyAlignment="1">
      <alignment wrapText="1"/>
    </xf>
    <xf numFmtId="3" fontId="43" fillId="32" borderId="96" xfId="0" applyNumberFormat="1" applyFont="1" applyFill="1" applyBorder="1" applyAlignment="1">
      <alignment wrapText="1"/>
    </xf>
    <xf numFmtId="3" fontId="43" fillId="32" borderId="87" xfId="0" applyNumberFormat="1" applyFont="1" applyFill="1" applyBorder="1" applyAlignment="1">
      <alignment wrapText="1"/>
    </xf>
    <xf numFmtId="14" fontId="40" fillId="42" borderId="50" xfId="0" applyNumberFormat="1" applyFont="1" applyFill="1" applyBorder="1" applyAlignment="1">
      <alignment horizontal="center" vertical="center" wrapText="1"/>
    </xf>
    <xf numFmtId="14" fontId="40" fillId="42" borderId="51" xfId="0" applyNumberFormat="1" applyFont="1" applyFill="1" applyBorder="1" applyAlignment="1">
      <alignment horizontal="center" vertical="center" wrapText="1"/>
    </xf>
    <xf numFmtId="14" fontId="40" fillId="42" borderId="42" xfId="0" applyNumberFormat="1" applyFont="1" applyFill="1" applyBorder="1" applyAlignment="1">
      <alignment horizontal="center" vertical="center" wrapText="1"/>
    </xf>
    <xf numFmtId="14" fontId="40" fillId="42" borderId="5" xfId="0" applyNumberFormat="1" applyFont="1" applyFill="1" applyBorder="1" applyAlignment="1">
      <alignment horizontal="center" vertical="center" wrapText="1"/>
    </xf>
    <xf numFmtId="14" fontId="40" fillId="42" borderId="7" xfId="0" applyNumberFormat="1" applyFont="1" applyFill="1" applyBorder="1" applyAlignment="1">
      <alignment horizontal="center" vertical="center" wrapText="1"/>
    </xf>
    <xf numFmtId="14" fontId="40" fillId="42" borderId="10" xfId="0" applyNumberFormat="1" applyFont="1" applyFill="1" applyBorder="1" applyAlignment="1">
      <alignment horizontal="center" vertical="center" wrapText="1"/>
    </xf>
    <xf numFmtId="14" fontId="40" fillId="42" borderId="4" xfId="0" applyNumberFormat="1" applyFont="1" applyFill="1" applyBorder="1" applyAlignment="1">
      <alignment horizontal="center" vertical="center" wrapText="1"/>
    </xf>
    <xf numFmtId="14" fontId="40" fillId="42" borderId="0" xfId="0" applyNumberFormat="1" applyFont="1" applyFill="1" applyAlignment="1">
      <alignment horizontal="center" vertical="center" wrapText="1"/>
    </xf>
    <xf numFmtId="14" fontId="40" fillId="42" borderId="141" xfId="0" applyNumberFormat="1" applyFont="1" applyFill="1" applyBorder="1" applyAlignment="1">
      <alignment horizontal="center" vertical="center" wrapText="1"/>
    </xf>
    <xf numFmtId="14" fontId="40" fillId="44" borderId="4" xfId="0" applyNumberFormat="1" applyFont="1" applyFill="1" applyBorder="1" applyAlignment="1">
      <alignment horizontal="center" vertical="center" wrapText="1"/>
    </xf>
    <xf numFmtId="14" fontId="40" fillId="44" borderId="0" xfId="0" applyNumberFormat="1" applyFont="1" applyFill="1" applyAlignment="1">
      <alignment horizontal="center" vertical="center" wrapText="1"/>
    </xf>
    <xf numFmtId="14" fontId="40" fillId="44" borderId="141" xfId="0" applyNumberFormat="1" applyFont="1" applyFill="1" applyBorder="1" applyAlignment="1">
      <alignment horizontal="center" vertical="center" wrapText="1"/>
    </xf>
    <xf numFmtId="14" fontId="40" fillId="44" borderId="50" xfId="0" applyNumberFormat="1" applyFont="1" applyFill="1" applyBorder="1" applyAlignment="1">
      <alignment horizontal="center" vertical="center" wrapText="1"/>
    </xf>
    <xf numFmtId="14" fontId="40" fillId="44" borderId="51" xfId="0" applyNumberFormat="1" applyFont="1" applyFill="1" applyBorder="1" applyAlignment="1">
      <alignment horizontal="center" vertical="center" wrapText="1"/>
    </xf>
    <xf numFmtId="14" fontId="40" fillId="44" borderId="42" xfId="0" applyNumberFormat="1" applyFont="1" applyFill="1" applyBorder="1" applyAlignment="1">
      <alignment horizontal="center" vertical="center" wrapText="1"/>
    </xf>
    <xf numFmtId="14" fontId="40" fillId="44" borderId="5" xfId="0" applyNumberFormat="1" applyFont="1" applyFill="1" applyBorder="1" applyAlignment="1">
      <alignment horizontal="center" vertical="center" wrapText="1"/>
    </xf>
    <xf numFmtId="14" fontId="40" fillId="44" borderId="7" xfId="0" applyNumberFormat="1" applyFont="1" applyFill="1" applyBorder="1" applyAlignment="1">
      <alignment horizontal="center" vertical="center" wrapText="1"/>
    </xf>
    <xf numFmtId="14" fontId="40" fillId="44" borderId="10" xfId="0" applyNumberFormat="1" applyFont="1" applyFill="1" applyBorder="1" applyAlignment="1">
      <alignment horizontal="center" vertical="center" wrapText="1"/>
    </xf>
    <xf numFmtId="0" fontId="63" fillId="0" borderId="0" xfId="0" applyFont="1"/>
    <xf numFmtId="6" fontId="62" fillId="34" borderId="127" xfId="0" applyNumberFormat="1" applyFont="1" applyFill="1" applyBorder="1"/>
    <xf numFmtId="9" fontId="62" fillId="34" borderId="128" xfId="0" applyNumberFormat="1" applyFont="1" applyFill="1" applyBorder="1" applyAlignment="1">
      <alignment horizontal="center"/>
    </xf>
    <xf numFmtId="6" fontId="0" fillId="51" borderId="97" xfId="0" applyNumberFormat="1" applyFill="1" applyBorder="1"/>
    <xf numFmtId="9" fontId="0" fillId="51" borderId="119" xfId="0" applyNumberFormat="1" applyFill="1" applyBorder="1" applyAlignment="1">
      <alignment horizontal="center"/>
    </xf>
    <xf numFmtId="9" fontId="0" fillId="51" borderId="85" xfId="0" applyNumberFormat="1" applyFill="1" applyBorder="1" applyAlignment="1">
      <alignment horizontal="center"/>
    </xf>
    <xf numFmtId="9" fontId="0" fillId="51" borderId="138" xfId="0" applyNumberFormat="1" applyFill="1" applyBorder="1" applyAlignment="1">
      <alignment horizontal="center"/>
    </xf>
    <xf numFmtId="9" fontId="0" fillId="51" borderId="83" xfId="0" applyNumberFormat="1" applyFill="1" applyBorder="1" applyAlignment="1">
      <alignment horizontal="center"/>
    </xf>
    <xf numFmtId="9" fontId="0" fillId="51" borderId="88" xfId="0" applyNumberFormat="1" applyFill="1" applyBorder="1" applyAlignment="1">
      <alignment horizontal="center"/>
    </xf>
    <xf numFmtId="6" fontId="0" fillId="51" borderId="56" xfId="0" applyNumberFormat="1" applyFill="1" applyBorder="1"/>
    <xf numFmtId="6" fontId="0" fillId="51" borderId="96" xfId="0" applyNumberFormat="1" applyFill="1" applyBorder="1"/>
    <xf numFmtId="6" fontId="0" fillId="51" borderId="82" xfId="0" applyNumberFormat="1" applyFill="1" applyBorder="1"/>
    <xf numFmtId="6" fontId="0" fillId="51" borderId="87" xfId="0" applyNumberFormat="1" applyFill="1" applyBorder="1"/>
    <xf numFmtId="8" fontId="0" fillId="51" borderId="97" xfId="0" applyNumberFormat="1" applyFill="1" applyBorder="1"/>
    <xf numFmtId="8" fontId="0" fillId="51" borderId="56" xfId="0" applyNumberFormat="1" applyFill="1" applyBorder="1"/>
    <xf numFmtId="8" fontId="0" fillId="51" borderId="96" xfId="0" applyNumberFormat="1" applyFill="1" applyBorder="1"/>
    <xf numFmtId="8" fontId="0" fillId="51" borderId="82" xfId="0" applyNumberFormat="1" applyFill="1" applyBorder="1"/>
    <xf numFmtId="8" fontId="0" fillId="51" borderId="87" xfId="0" applyNumberFormat="1" applyFill="1" applyBorder="1"/>
    <xf numFmtId="9" fontId="58" fillId="34" borderId="21" xfId="1" applyFont="1" applyFill="1" applyBorder="1" applyAlignment="1">
      <alignment horizontal="center" vertical="center" wrapText="1"/>
    </xf>
    <xf numFmtId="9" fontId="58" fillId="34" borderId="10" xfId="1" applyFont="1" applyFill="1" applyBorder="1" applyAlignment="1">
      <alignment horizontal="center" vertical="center" wrapText="1"/>
    </xf>
    <xf numFmtId="14" fontId="40" fillId="42" borderId="141" xfId="0" quotePrefix="1" applyNumberFormat="1" applyFont="1" applyFill="1" applyBorder="1" applyAlignment="1">
      <alignment horizontal="center" vertical="center" wrapText="1"/>
    </xf>
    <xf numFmtId="14" fontId="40" fillId="42" borderId="42" xfId="0" quotePrefix="1" applyNumberFormat="1" applyFont="1" applyFill="1" applyBorder="1" applyAlignment="1">
      <alignment horizontal="center" vertical="center" wrapText="1"/>
    </xf>
    <xf numFmtId="3" fontId="29" fillId="46" borderId="1" xfId="0" applyNumberFormat="1" applyFont="1" applyFill="1" applyBorder="1" applyAlignment="1">
      <alignment wrapText="1"/>
    </xf>
    <xf numFmtId="9" fontId="58" fillId="27" borderId="10" xfId="1" applyFont="1" applyFill="1" applyBorder="1" applyAlignment="1">
      <alignment horizontal="center" vertical="center" wrapText="1"/>
    </xf>
    <xf numFmtId="9" fontId="58" fillId="27" borderId="21" xfId="1" applyFont="1" applyFill="1" applyBorder="1" applyAlignment="1">
      <alignment horizontal="center" vertical="center" wrapText="1"/>
    </xf>
    <xf numFmtId="6" fontId="62" fillId="27" borderId="127" xfId="0" applyNumberFormat="1" applyFont="1" applyFill="1" applyBorder="1"/>
    <xf numFmtId="9" fontId="62" fillId="27" borderId="128" xfId="0" applyNumberFormat="1" applyFont="1" applyFill="1" applyBorder="1" applyAlignment="1">
      <alignment horizontal="center"/>
    </xf>
    <xf numFmtId="8" fontId="0" fillId="38" borderId="97" xfId="0" applyNumberFormat="1" applyFill="1" applyBorder="1"/>
    <xf numFmtId="9" fontId="0" fillId="38" borderId="119" xfId="0" applyNumberFormat="1" applyFill="1" applyBorder="1" applyAlignment="1">
      <alignment horizontal="center"/>
    </xf>
    <xf numFmtId="8" fontId="0" fillId="38" borderId="56" xfId="0" applyNumberFormat="1" applyFill="1" applyBorder="1"/>
    <xf numFmtId="9" fontId="0" fillId="38" borderId="85" xfId="0" applyNumberFormat="1" applyFill="1" applyBorder="1" applyAlignment="1">
      <alignment horizontal="center"/>
    </xf>
    <xf numFmtId="8" fontId="0" fillId="38" borderId="96" xfId="0" applyNumberFormat="1" applyFill="1" applyBorder="1"/>
    <xf numFmtId="9" fontId="0" fillId="38" borderId="138" xfId="0" applyNumberFormat="1" applyFill="1" applyBorder="1" applyAlignment="1">
      <alignment horizontal="center"/>
    </xf>
    <xf numFmtId="8" fontId="0" fillId="38" borderId="82" xfId="0" applyNumberFormat="1" applyFill="1" applyBorder="1"/>
    <xf numFmtId="9" fontId="0" fillId="38" borderId="83" xfId="0" applyNumberFormat="1" applyFill="1" applyBorder="1" applyAlignment="1">
      <alignment horizontal="center"/>
    </xf>
    <xf numFmtId="8" fontId="0" fillId="38" borderId="87" xfId="0" applyNumberFormat="1" applyFill="1" applyBorder="1"/>
    <xf numFmtId="9" fontId="0" fillId="38" borderId="88" xfId="0" applyNumberFormat="1" applyFill="1" applyBorder="1" applyAlignment="1">
      <alignment horizontal="center"/>
    </xf>
    <xf numFmtId="6" fontId="0" fillId="38" borderId="97" xfId="0" applyNumberFormat="1" applyFill="1" applyBorder="1"/>
    <xf numFmtId="6" fontId="0" fillId="38" borderId="56" xfId="0" applyNumberFormat="1" applyFill="1" applyBorder="1"/>
    <xf numFmtId="6" fontId="0" fillId="38" borderId="96" xfId="0" applyNumberFormat="1" applyFill="1" applyBorder="1"/>
    <xf numFmtId="6" fontId="0" fillId="38" borderId="82" xfId="0" applyNumberFormat="1" applyFill="1" applyBorder="1"/>
    <xf numFmtId="6" fontId="0" fillId="38" borderId="87" xfId="0" applyNumberFormat="1" applyFill="1" applyBorder="1"/>
    <xf numFmtId="9" fontId="53" fillId="44" borderId="143" xfId="0" applyNumberFormat="1" applyFont="1" applyFill="1" applyBorder="1" applyAlignment="1">
      <alignment horizontal="center" vertical="center" wrapText="1"/>
    </xf>
    <xf numFmtId="9" fontId="29" fillId="0" borderId="45" xfId="0" applyNumberFormat="1" applyFont="1" applyBorder="1" applyAlignment="1">
      <alignment horizontal="center" vertical="center" wrapText="1"/>
    </xf>
    <xf numFmtId="9" fontId="29" fillId="0" borderId="28" xfId="0" applyNumberFormat="1" applyFont="1" applyBorder="1" applyAlignment="1">
      <alignment horizontal="center" vertical="center" wrapText="1"/>
    </xf>
    <xf numFmtId="9" fontId="29" fillId="0" borderId="78" xfId="0" applyNumberFormat="1" applyFont="1" applyBorder="1" applyAlignment="1">
      <alignment horizontal="center" vertical="center" wrapText="1"/>
    </xf>
    <xf numFmtId="9" fontId="50" fillId="0" borderId="20" xfId="0" applyNumberFormat="1" applyFont="1" applyBorder="1" applyAlignment="1">
      <alignment horizontal="center" wrapText="1"/>
    </xf>
    <xf numFmtId="168" fontId="0" fillId="0" borderId="27" xfId="1" applyNumberFormat="1" applyFont="1" applyBorder="1"/>
    <xf numFmtId="9" fontId="65" fillId="32" borderId="1" xfId="0" applyNumberFormat="1" applyFont="1" applyFill="1" applyBorder="1" applyAlignment="1">
      <alignment wrapText="1"/>
    </xf>
    <xf numFmtId="0" fontId="58" fillId="39" borderId="2" xfId="0" applyFont="1" applyFill="1" applyBorder="1" applyAlignment="1">
      <alignment horizontal="center" vertical="center" wrapText="1"/>
    </xf>
    <xf numFmtId="0" fontId="58" fillId="39" borderId="14" xfId="0" applyFont="1" applyFill="1" applyBorder="1" applyAlignment="1">
      <alignment horizontal="center" vertical="center" wrapText="1"/>
    </xf>
    <xf numFmtId="9" fontId="66" fillId="9" borderId="135" xfId="0" applyNumberFormat="1" applyFont="1" applyFill="1" applyBorder="1" applyAlignment="1">
      <alignment horizontal="center" vertical="center"/>
    </xf>
    <xf numFmtId="9" fontId="29" fillId="3" borderId="1" xfId="0" applyNumberFormat="1" applyFont="1" applyFill="1" applyBorder="1" applyAlignment="1">
      <alignment wrapText="1"/>
    </xf>
    <xf numFmtId="9" fontId="29" fillId="3" borderId="1" xfId="1" applyFont="1" applyFill="1" applyBorder="1" applyAlignment="1">
      <alignment wrapText="1"/>
    </xf>
    <xf numFmtId="168" fontId="6" fillId="0" borderId="78" xfId="0" applyNumberFormat="1" applyFont="1" applyBorder="1"/>
    <xf numFmtId="176" fontId="29" fillId="0" borderId="56" xfId="0" applyNumberFormat="1" applyFont="1" applyBorder="1" applyAlignment="1">
      <alignment wrapText="1"/>
    </xf>
    <xf numFmtId="9" fontId="65" fillId="0" borderId="1" xfId="0" applyNumberFormat="1" applyFont="1" applyBorder="1" applyAlignment="1">
      <alignment wrapText="1"/>
    </xf>
    <xf numFmtId="166" fontId="67" fillId="28" borderId="56" xfId="0" applyNumberFormat="1" applyFont="1" applyFill="1" applyBorder="1" applyAlignment="1">
      <alignment horizontal="center"/>
    </xf>
    <xf numFmtId="166" fontId="68" fillId="28" borderId="56" xfId="2" applyNumberFormat="1" applyFont="1" applyFill="1" applyBorder="1" applyAlignment="1">
      <alignment horizontal="center" wrapText="1"/>
    </xf>
    <xf numFmtId="166" fontId="35" fillId="52" borderId="56" xfId="2" applyNumberFormat="1" applyFont="1" applyFill="1" applyBorder="1" applyAlignment="1">
      <alignment horizontal="center" wrapText="1"/>
    </xf>
    <xf numFmtId="166" fontId="68" fillId="52" borderId="56" xfId="2" applyNumberFormat="1" applyFont="1" applyFill="1" applyBorder="1" applyAlignment="1">
      <alignment horizontal="center" wrapText="1"/>
    </xf>
    <xf numFmtId="166" fontId="0" fillId="52" borderId="56" xfId="0" applyNumberFormat="1" applyFill="1" applyBorder="1" applyAlignment="1">
      <alignment horizontal="center"/>
    </xf>
    <xf numFmtId="166" fontId="67" fillId="0" borderId="56" xfId="0" applyNumberFormat="1" applyFont="1" applyBorder="1" applyAlignment="1">
      <alignment horizontal="center"/>
    </xf>
    <xf numFmtId="9" fontId="30" fillId="0" borderId="0" xfId="0" applyNumberFormat="1" applyFont="1" applyAlignment="1">
      <alignment wrapText="1"/>
    </xf>
    <xf numFmtId="168" fontId="6" fillId="25" borderId="0" xfId="0" applyNumberFormat="1" applyFont="1" applyFill="1"/>
    <xf numFmtId="168" fontId="31" fillId="25" borderId="0" xfId="0" applyNumberFormat="1" applyFont="1" applyFill="1" applyAlignment="1">
      <alignment wrapText="1"/>
    </xf>
    <xf numFmtId="168" fontId="6" fillId="0" borderId="38" xfId="0" applyNumberFormat="1" applyFont="1" applyBorder="1"/>
    <xf numFmtId="168" fontId="6" fillId="25" borderId="37" xfId="0" applyNumberFormat="1" applyFont="1" applyFill="1" applyBorder="1"/>
    <xf numFmtId="0" fontId="0" fillId="0" borderId="36" xfId="0" applyBorder="1"/>
    <xf numFmtId="0" fontId="29" fillId="0" borderId="37" xfId="0" applyFont="1" applyBorder="1" applyAlignment="1">
      <alignment wrapText="1"/>
    </xf>
    <xf numFmtId="0" fontId="29" fillId="0" borderId="36" xfId="0" applyFont="1" applyBorder="1" applyAlignment="1">
      <alignment wrapText="1"/>
    </xf>
    <xf numFmtId="168" fontId="6" fillId="8" borderId="37" xfId="0" applyNumberFormat="1" applyFont="1" applyFill="1" applyBorder="1"/>
    <xf numFmtId="168" fontId="29" fillId="0" borderId="16" xfId="0" applyNumberFormat="1" applyFont="1" applyBorder="1" applyAlignment="1">
      <alignment wrapText="1"/>
    </xf>
    <xf numFmtId="168" fontId="29" fillId="0" borderId="1" xfId="0" applyNumberFormat="1" applyFont="1" applyBorder="1" applyAlignment="1">
      <alignment wrapText="1"/>
    </xf>
    <xf numFmtId="168" fontId="29" fillId="0" borderId="15" xfId="0" applyNumberFormat="1" applyFont="1" applyBorder="1" applyAlignment="1">
      <alignment wrapText="1"/>
    </xf>
    <xf numFmtId="168" fontId="0" fillId="0" borderId="28" xfId="1" applyNumberFormat="1" applyFont="1" applyBorder="1"/>
    <xf numFmtId="168" fontId="6" fillId="53" borderId="35" xfId="1" applyNumberFormat="1" applyFont="1" applyFill="1" applyBorder="1" applyAlignment="1">
      <alignment horizontal="center" vertical="center"/>
    </xf>
    <xf numFmtId="168" fontId="6" fillId="53" borderId="34" xfId="0" applyNumberFormat="1" applyFont="1" applyFill="1" applyBorder="1" applyAlignment="1">
      <alignment horizontal="center" vertical="center"/>
    </xf>
    <xf numFmtId="0" fontId="6" fillId="53" borderId="34" xfId="0" applyFont="1" applyFill="1" applyBorder="1" applyAlignment="1">
      <alignment horizontal="center" vertical="center"/>
    </xf>
    <xf numFmtId="168" fontId="6" fillId="53" borderId="33" xfId="0" applyNumberFormat="1" applyFont="1" applyFill="1" applyBorder="1" applyAlignment="1">
      <alignment horizontal="center" vertical="center"/>
    </xf>
    <xf numFmtId="168" fontId="6" fillId="53" borderId="45" xfId="1" applyNumberFormat="1" applyFont="1" applyFill="1" applyBorder="1" applyAlignment="1">
      <alignment horizontal="center" vertical="center"/>
    </xf>
    <xf numFmtId="6" fontId="29" fillId="0" borderId="37" xfId="0" applyNumberFormat="1" applyFont="1" applyBorder="1" applyAlignment="1">
      <alignment wrapText="1"/>
    </xf>
    <xf numFmtId="168" fontId="29" fillId="0" borderId="37" xfId="0" applyNumberFormat="1" applyFont="1" applyBorder="1" applyAlignment="1">
      <alignment wrapText="1"/>
    </xf>
    <xf numFmtId="168" fontId="29" fillId="0" borderId="36" xfId="0" applyNumberFormat="1" applyFont="1" applyBorder="1" applyAlignment="1">
      <alignment wrapText="1"/>
    </xf>
    <xf numFmtId="168" fontId="0" fillId="0" borderId="25" xfId="1" applyNumberFormat="1" applyFont="1" applyBorder="1"/>
    <xf numFmtId="6" fontId="0" fillId="0" borderId="79" xfId="0" applyNumberFormat="1" applyBorder="1" applyAlignment="1">
      <alignment horizontal="center"/>
    </xf>
    <xf numFmtId="168" fontId="0" fillId="0" borderId="17" xfId="0" applyNumberFormat="1" applyBorder="1"/>
    <xf numFmtId="0" fontId="0" fillId="0" borderId="17" xfId="0" applyBorder="1"/>
    <xf numFmtId="6" fontId="0" fillId="0" borderId="17" xfId="0" applyNumberFormat="1" applyBorder="1" applyAlignment="1">
      <alignment horizontal="center"/>
    </xf>
    <xf numFmtId="168" fontId="29" fillId="0" borderId="18" xfId="0" applyNumberFormat="1" applyFont="1" applyBorder="1" applyAlignment="1">
      <alignment wrapText="1"/>
    </xf>
    <xf numFmtId="168" fontId="29" fillId="0" borderId="17" xfId="0" applyNumberFormat="1" applyFont="1" applyBorder="1" applyAlignment="1">
      <alignment wrapText="1"/>
    </xf>
    <xf numFmtId="0" fontId="29" fillId="0" borderId="17" xfId="0" applyFont="1" applyBorder="1" applyAlignment="1">
      <alignment wrapText="1"/>
    </xf>
    <xf numFmtId="168" fontId="29" fillId="0" borderId="79" xfId="0" applyNumberFormat="1" applyFont="1" applyBorder="1" applyAlignment="1">
      <alignment wrapText="1"/>
    </xf>
    <xf numFmtId="168" fontId="0" fillId="0" borderId="79" xfId="0" applyNumberFormat="1" applyBorder="1"/>
    <xf numFmtId="168" fontId="0" fillId="0" borderId="18" xfId="1" applyNumberFormat="1" applyFont="1" applyBorder="1"/>
    <xf numFmtId="168" fontId="0" fillId="0" borderId="18" xfId="1" applyNumberFormat="1" applyFont="1" applyFill="1" applyBorder="1"/>
    <xf numFmtId="168" fontId="0" fillId="0" borderId="80" xfId="1" applyNumberFormat="1" applyFont="1" applyBorder="1"/>
    <xf numFmtId="0" fontId="0" fillId="0" borderId="60" xfId="0" applyBorder="1" applyAlignment="1">
      <alignment horizontal="center" vertical="center"/>
    </xf>
    <xf numFmtId="168" fontId="0" fillId="0" borderId="23" xfId="1" applyNumberFormat="1" applyFont="1" applyBorder="1"/>
    <xf numFmtId="168" fontId="0" fillId="0" borderId="16" xfId="1" applyNumberFormat="1" applyFont="1" applyFill="1" applyBorder="1"/>
    <xf numFmtId="168" fontId="0" fillId="5" borderId="34" xfId="0" applyNumberFormat="1" applyFill="1" applyBorder="1" applyAlignment="1">
      <alignment horizontal="center" vertical="center"/>
    </xf>
    <xf numFmtId="168" fontId="0" fillId="5" borderId="33" xfId="0" applyNumberFormat="1" applyFill="1" applyBorder="1" applyAlignment="1">
      <alignment horizontal="center" vertical="center"/>
    </xf>
    <xf numFmtId="168" fontId="0" fillId="5" borderId="39" xfId="0" applyNumberFormat="1" applyFill="1" applyBorder="1" applyAlignment="1">
      <alignment horizontal="center" vertical="center"/>
    </xf>
    <xf numFmtId="6" fontId="0" fillId="5" borderId="33" xfId="0" applyNumberFormat="1" applyFill="1" applyBorder="1" applyAlignment="1">
      <alignment horizontal="center" vertical="center"/>
    </xf>
    <xf numFmtId="0" fontId="0" fillId="5" borderId="34" xfId="0" applyFill="1" applyBorder="1" applyAlignment="1">
      <alignment horizontal="center" vertical="center"/>
    </xf>
    <xf numFmtId="6" fontId="0" fillId="5" borderId="34" xfId="0" applyNumberFormat="1" applyFill="1" applyBorder="1" applyAlignment="1">
      <alignment horizontal="center" vertical="center"/>
    </xf>
    <xf numFmtId="168" fontId="0" fillId="5" borderId="35" xfId="0" applyNumberFormat="1" applyFill="1" applyBorder="1" applyAlignment="1">
      <alignment horizontal="center" vertical="center"/>
    </xf>
    <xf numFmtId="168" fontId="0" fillId="5" borderId="45" xfId="0" applyNumberFormat="1" applyFill="1" applyBorder="1" applyAlignment="1">
      <alignment horizontal="center" vertical="center"/>
    </xf>
    <xf numFmtId="0" fontId="0" fillId="5" borderId="49" xfId="0" applyFill="1" applyBorder="1" applyAlignment="1">
      <alignment horizontal="center" vertical="center"/>
    </xf>
    <xf numFmtId="6" fontId="0" fillId="0" borderId="37" xfId="0" applyNumberFormat="1" applyBorder="1" applyAlignment="1">
      <alignment horizontal="center"/>
    </xf>
    <xf numFmtId="6" fontId="0" fillId="0" borderId="36" xfId="0" applyNumberFormat="1" applyBorder="1" applyAlignment="1">
      <alignment horizontal="center"/>
    </xf>
    <xf numFmtId="168" fontId="0" fillId="0" borderId="40" xfId="0" applyNumberFormat="1" applyBorder="1"/>
    <xf numFmtId="168" fontId="0" fillId="0" borderId="31" xfId="1" applyNumberFormat="1" applyFont="1" applyBorder="1"/>
    <xf numFmtId="168" fontId="0" fillId="0" borderId="37" xfId="0" applyNumberFormat="1" applyBorder="1"/>
    <xf numFmtId="168" fontId="29" fillId="0" borderId="38" xfId="0" applyNumberFormat="1" applyFont="1" applyBorder="1" applyAlignment="1">
      <alignment wrapText="1"/>
    </xf>
    <xf numFmtId="168" fontId="0" fillId="0" borderId="36" xfId="0" applyNumberFormat="1" applyBorder="1"/>
    <xf numFmtId="168" fontId="0" fillId="0" borderId="32" xfId="1" applyNumberFormat="1" applyFont="1" applyBorder="1"/>
    <xf numFmtId="168" fontId="0" fillId="0" borderId="9" xfId="1" applyNumberFormat="1" applyFont="1" applyBorder="1"/>
    <xf numFmtId="0" fontId="0" fillId="0" borderId="62" xfId="0" applyBorder="1" applyAlignment="1">
      <alignment horizontal="center" vertical="center"/>
    </xf>
    <xf numFmtId="168" fontId="29" fillId="0" borderId="35" xfId="0" applyNumberFormat="1" applyFont="1" applyBorder="1" applyAlignment="1">
      <alignment wrapText="1"/>
    </xf>
    <xf numFmtId="168" fontId="29" fillId="0" borderId="34" xfId="0" applyNumberFormat="1" applyFont="1" applyBorder="1" applyAlignment="1">
      <alignment wrapText="1"/>
    </xf>
    <xf numFmtId="0" fontId="29" fillId="0" borderId="34" xfId="0" applyFont="1" applyBorder="1" applyAlignment="1">
      <alignment wrapText="1"/>
    </xf>
    <xf numFmtId="168" fontId="29" fillId="0" borderId="33" xfId="0" applyNumberFormat="1" applyFont="1" applyBorder="1" applyAlignment="1">
      <alignment wrapText="1"/>
    </xf>
    <xf numFmtId="0" fontId="40" fillId="14" borderId="34" xfId="0" applyFont="1" applyFill="1" applyBorder="1" applyAlignment="1">
      <alignment horizontal="center"/>
    </xf>
    <xf numFmtId="0" fontId="40" fillId="14" borderId="33" xfId="0" applyFont="1" applyFill="1" applyBorder="1" applyAlignment="1">
      <alignment horizontal="center"/>
    </xf>
    <xf numFmtId="0" fontId="40" fillId="14" borderId="4" xfId="0" applyFont="1" applyFill="1" applyBorder="1" applyAlignment="1">
      <alignment horizontal="center"/>
    </xf>
    <xf numFmtId="0" fontId="40" fillId="14" borderId="5" xfId="0" applyFont="1" applyFill="1" applyBorder="1" applyAlignment="1">
      <alignment horizontal="center"/>
    </xf>
    <xf numFmtId="0" fontId="0" fillId="14" borderId="21" xfId="0" applyFill="1" applyBorder="1"/>
    <xf numFmtId="6" fontId="0" fillId="14" borderId="20" xfId="0" applyNumberFormat="1" applyFill="1" applyBorder="1" applyAlignment="1">
      <alignment horizontal="center"/>
    </xf>
    <xf numFmtId="6" fontId="0" fillId="14" borderId="19" xfId="0" applyNumberFormat="1" applyFill="1" applyBorder="1" applyAlignment="1">
      <alignment horizontal="center"/>
    </xf>
    <xf numFmtId="0" fontId="0" fillId="14" borderId="19" xfId="0" applyFill="1" applyBorder="1"/>
    <xf numFmtId="9" fontId="49" fillId="48" borderId="32" xfId="0" applyNumberFormat="1" applyFont="1" applyFill="1" applyBorder="1" applyAlignment="1">
      <alignment horizontal="center" wrapText="1"/>
    </xf>
    <xf numFmtId="177" fontId="49" fillId="48" borderId="99" xfId="0" applyNumberFormat="1" applyFont="1" applyFill="1" applyBorder="1" applyAlignment="1">
      <alignment wrapText="1"/>
    </xf>
    <xf numFmtId="6" fontId="49" fillId="48" borderId="100" xfId="0" applyNumberFormat="1" applyFont="1" applyFill="1" applyBorder="1" applyAlignment="1">
      <alignment horizontal="center" vertical="center" wrapText="1"/>
    </xf>
    <xf numFmtId="166" fontId="53" fillId="42" borderId="99" xfId="4" applyNumberFormat="1" applyFont="1" applyFill="1" applyBorder="1" applyAlignment="1">
      <alignment horizontal="right" vertical="center" wrapText="1"/>
    </xf>
    <xf numFmtId="9" fontId="29" fillId="0" borderId="16" xfId="0" applyNumberFormat="1" applyFont="1" applyBorder="1" applyAlignment="1">
      <alignment horizontal="center" wrapText="1"/>
    </xf>
    <xf numFmtId="173" fontId="29" fillId="0" borderId="1" xfId="0" applyNumberFormat="1" applyFont="1" applyBorder="1" applyAlignment="1">
      <alignment wrapText="1"/>
    </xf>
    <xf numFmtId="176" fontId="29" fillId="0" borderId="2" xfId="0" applyNumberFormat="1" applyFont="1" applyBorder="1" applyAlignment="1">
      <alignment wrapText="1"/>
    </xf>
    <xf numFmtId="176" fontId="29" fillId="0" borderId="13" xfId="0" applyNumberFormat="1" applyFont="1" applyBorder="1" applyAlignment="1">
      <alignment wrapText="1"/>
    </xf>
    <xf numFmtId="179" fontId="29" fillId="46" borderId="1" xfId="0" applyNumberFormat="1" applyFont="1" applyFill="1" applyBorder="1" applyAlignment="1">
      <alignment wrapText="1"/>
    </xf>
    <xf numFmtId="179" fontId="29" fillId="0" borderId="1" xfId="0" applyNumberFormat="1" applyFont="1" applyBorder="1" applyAlignment="1">
      <alignment wrapText="1"/>
    </xf>
    <xf numFmtId="0" fontId="15" fillId="18" borderId="29" xfId="0" applyFont="1" applyFill="1" applyBorder="1" applyAlignment="1">
      <alignment horizontal="center" vertical="center" wrapText="1"/>
    </xf>
    <xf numFmtId="0" fontId="15" fillId="18" borderId="89" xfId="0" applyFont="1" applyFill="1" applyBorder="1" applyAlignment="1">
      <alignment horizontal="center" vertical="center" wrapText="1"/>
    </xf>
    <xf numFmtId="0" fontId="15" fillId="3" borderId="53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9" fontId="29" fillId="0" borderId="14" xfId="0" applyNumberFormat="1" applyFont="1" applyBorder="1" applyAlignment="1">
      <alignment horizontal="center" wrapText="1"/>
    </xf>
    <xf numFmtId="173" fontId="29" fillId="0" borderId="2" xfId="0" applyNumberFormat="1" applyFont="1" applyBorder="1" applyAlignment="1">
      <alignment wrapText="1"/>
    </xf>
    <xf numFmtId="0" fontId="29" fillId="46" borderId="22" xfId="0" applyFont="1" applyFill="1" applyBorder="1" applyAlignment="1">
      <alignment horizontal="center" vertical="center" wrapText="1"/>
    </xf>
    <xf numFmtId="3" fontId="29" fillId="46" borderId="2" xfId="0" applyNumberFormat="1" applyFont="1" applyFill="1" applyBorder="1" applyAlignment="1">
      <alignment horizontal="center" vertical="center" wrapText="1"/>
    </xf>
    <xf numFmtId="3" fontId="29" fillId="0" borderId="2" xfId="0" applyNumberFormat="1" applyFont="1" applyBorder="1" applyAlignment="1">
      <alignment horizontal="center" vertical="center" wrapText="1"/>
    </xf>
    <xf numFmtId="9" fontId="29" fillId="32" borderId="2" xfId="0" applyNumberFormat="1" applyFont="1" applyFill="1" applyBorder="1" applyAlignment="1">
      <alignment wrapText="1"/>
    </xf>
    <xf numFmtId="3" fontId="52" fillId="32" borderId="2" xfId="0" applyNumberFormat="1" applyFont="1" applyFill="1" applyBorder="1"/>
    <xf numFmtId="9" fontId="29" fillId="0" borderId="2" xfId="0" applyNumberFormat="1" applyFont="1" applyBorder="1" applyAlignment="1">
      <alignment wrapText="1"/>
    </xf>
    <xf numFmtId="3" fontId="29" fillId="0" borderId="2" xfId="0" applyNumberFormat="1" applyFont="1" applyBorder="1" applyAlignment="1">
      <alignment wrapText="1"/>
    </xf>
    <xf numFmtId="3" fontId="29" fillId="0" borderId="13" xfId="0" applyNumberFormat="1" applyFont="1" applyBorder="1" applyAlignment="1">
      <alignment wrapText="1"/>
    </xf>
    <xf numFmtId="3" fontId="29" fillId="45" borderId="2" xfId="0" applyNumberFormat="1" applyFont="1" applyFill="1" applyBorder="1" applyAlignment="1">
      <alignment horizontal="center" vertical="center" wrapText="1"/>
    </xf>
    <xf numFmtId="9" fontId="29" fillId="45" borderId="2" xfId="0" applyNumberFormat="1" applyFont="1" applyFill="1" applyBorder="1" applyAlignment="1">
      <alignment horizontal="center" vertical="center" wrapText="1"/>
    </xf>
    <xf numFmtId="9" fontId="29" fillId="46" borderId="2" xfId="0" applyNumberFormat="1" applyFont="1" applyFill="1" applyBorder="1" applyAlignment="1">
      <alignment horizontal="center" vertical="center" wrapText="1"/>
    </xf>
    <xf numFmtId="176" fontId="29" fillId="46" borderId="2" xfId="0" applyNumberFormat="1" applyFont="1" applyFill="1" applyBorder="1" applyAlignment="1">
      <alignment horizontal="center" vertical="center" wrapText="1"/>
    </xf>
    <xf numFmtId="176" fontId="29" fillId="0" borderId="2" xfId="0" applyNumberFormat="1" applyFont="1" applyBorder="1" applyAlignment="1">
      <alignment horizontal="center" vertical="center" wrapText="1"/>
    </xf>
    <xf numFmtId="9" fontId="29" fillId="46" borderId="14" xfId="1" applyFont="1" applyFill="1" applyBorder="1" applyAlignment="1">
      <alignment wrapText="1"/>
    </xf>
    <xf numFmtId="179" fontId="29" fillId="46" borderId="2" xfId="0" applyNumberFormat="1" applyFont="1" applyFill="1" applyBorder="1" applyAlignment="1">
      <alignment wrapText="1"/>
    </xf>
    <xf numFmtId="179" fontId="29" fillId="0" borderId="2" xfId="0" applyNumberFormat="1" applyFont="1" applyBorder="1" applyAlignment="1">
      <alignment wrapText="1"/>
    </xf>
    <xf numFmtId="9" fontId="29" fillId="45" borderId="14" xfId="0" applyNumberFormat="1" applyFont="1" applyFill="1" applyBorder="1" applyAlignment="1">
      <alignment wrapText="1"/>
    </xf>
    <xf numFmtId="3" fontId="29" fillId="45" borderId="2" xfId="0" applyNumberFormat="1" applyFont="1" applyFill="1" applyBorder="1" applyAlignment="1">
      <alignment wrapText="1"/>
    </xf>
    <xf numFmtId="0" fontId="15" fillId="3" borderId="52" xfId="0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 wrapText="1"/>
    </xf>
    <xf numFmtId="6" fontId="31" fillId="0" borderId="0" xfId="0" applyNumberFormat="1" applyFont="1" applyAlignment="1">
      <alignment horizontal="center" vertical="center" wrapText="1"/>
    </xf>
    <xf numFmtId="166" fontId="61" fillId="42" borderId="99" xfId="4" applyNumberFormat="1" applyFont="1" applyFill="1" applyBorder="1" applyAlignment="1">
      <alignment horizontal="right" vertical="center" wrapText="1"/>
    </xf>
    <xf numFmtId="166" fontId="61" fillId="44" borderId="99" xfId="4" applyNumberFormat="1" applyFont="1" applyFill="1" applyBorder="1" applyAlignment="1">
      <alignment horizontal="right" vertical="center" wrapText="1"/>
    </xf>
    <xf numFmtId="6" fontId="0" fillId="0" borderId="146" xfId="0" applyNumberFormat="1" applyBorder="1"/>
    <xf numFmtId="0" fontId="15" fillId="30" borderId="8" xfId="0" applyFont="1" applyFill="1" applyBorder="1" applyAlignment="1">
      <alignment horizontal="center" vertical="center" wrapText="1"/>
    </xf>
    <xf numFmtId="0" fontId="15" fillId="18" borderId="147" xfId="0" applyFont="1" applyFill="1" applyBorder="1" applyAlignment="1">
      <alignment horizontal="center" vertical="center" wrapText="1"/>
    </xf>
    <xf numFmtId="0" fontId="15" fillId="18" borderId="148" xfId="0" applyFont="1" applyFill="1" applyBorder="1" applyAlignment="1">
      <alignment horizontal="center" vertical="center" wrapText="1"/>
    </xf>
    <xf numFmtId="6" fontId="0" fillId="0" borderId="109" xfId="0" applyNumberFormat="1" applyBorder="1"/>
    <xf numFmtId="0" fontId="15" fillId="18" borderId="149" xfId="0" applyFont="1" applyFill="1" applyBorder="1" applyAlignment="1">
      <alignment horizontal="center" vertical="center" wrapText="1"/>
    </xf>
    <xf numFmtId="0" fontId="15" fillId="3" borderId="147" xfId="0" applyFont="1" applyFill="1" applyBorder="1" applyAlignment="1">
      <alignment horizontal="center" vertical="center" wrapText="1"/>
    </xf>
    <xf numFmtId="0" fontId="15" fillId="3" borderId="148" xfId="0" applyFont="1" applyFill="1" applyBorder="1" applyAlignment="1">
      <alignment horizontal="center" vertical="center" wrapText="1"/>
    </xf>
    <xf numFmtId="0" fontId="15" fillId="3" borderId="149" xfId="0" applyFont="1" applyFill="1" applyBorder="1" applyAlignment="1">
      <alignment horizontal="center" vertical="center" wrapText="1"/>
    </xf>
    <xf numFmtId="178" fontId="56" fillId="40" borderId="41" xfId="0" applyNumberFormat="1" applyFont="1" applyFill="1" applyBorder="1" applyAlignment="1">
      <alignment horizontal="center" vertical="center" wrapText="1"/>
    </xf>
    <xf numFmtId="0" fontId="6" fillId="0" borderId="150" xfId="0" applyFont="1" applyBorder="1" applyAlignment="1">
      <alignment horizontal="center" vertical="center"/>
    </xf>
    <xf numFmtId="0" fontId="56" fillId="40" borderId="11" xfId="0" applyFont="1" applyFill="1" applyBorder="1" applyAlignment="1">
      <alignment horizontal="center" vertical="center" wrapText="1"/>
    </xf>
    <xf numFmtId="6" fontId="62" fillId="9" borderId="120" xfId="0" applyNumberFormat="1" applyFont="1" applyFill="1" applyBorder="1"/>
    <xf numFmtId="6" fontId="62" fillId="9" borderId="121" xfId="0" applyNumberFormat="1" applyFont="1" applyFill="1" applyBorder="1"/>
    <xf numFmtId="9" fontId="62" fillId="9" borderId="151" xfId="0" applyNumberFormat="1" applyFont="1" applyFill="1" applyBorder="1" applyAlignment="1">
      <alignment horizontal="center"/>
    </xf>
    <xf numFmtId="9" fontId="61" fillId="42" borderId="31" xfId="1" applyFont="1" applyFill="1" applyBorder="1" applyAlignment="1">
      <alignment horizontal="center" vertical="center" wrapText="1"/>
    </xf>
    <xf numFmtId="6" fontId="0" fillId="46" borderId="112" xfId="0" applyNumberFormat="1" applyFill="1" applyBorder="1"/>
    <xf numFmtId="9" fontId="65" fillId="3" borderId="1" xfId="0" applyNumberFormat="1" applyFont="1" applyFill="1" applyBorder="1" applyAlignment="1">
      <alignment wrapText="1"/>
    </xf>
    <xf numFmtId="9" fontId="65" fillId="0" borderId="1" xfId="1" applyFont="1" applyBorder="1" applyAlignment="1">
      <alignment wrapText="1"/>
    </xf>
    <xf numFmtId="9" fontId="65" fillId="3" borderId="1" xfId="1" applyFont="1" applyFill="1" applyBorder="1" applyAlignment="1">
      <alignment wrapText="1"/>
    </xf>
    <xf numFmtId="8" fontId="65" fillId="0" borderId="33" xfId="0" applyNumberFormat="1" applyFont="1" applyBorder="1" applyAlignment="1">
      <alignment horizontal="center" vertical="center" wrapText="1"/>
    </xf>
    <xf numFmtId="8" fontId="65" fillId="0" borderId="15" xfId="0" applyNumberFormat="1" applyFont="1" applyBorder="1" applyAlignment="1">
      <alignment horizontal="center" vertical="center" wrapText="1"/>
    </xf>
    <xf numFmtId="8" fontId="65" fillId="0" borderId="36" xfId="0" applyNumberFormat="1" applyFont="1" applyBorder="1" applyAlignment="1">
      <alignment horizontal="center" vertical="center" wrapText="1"/>
    </xf>
    <xf numFmtId="8" fontId="65" fillId="0" borderId="0" xfId="0" applyNumberFormat="1" applyFont="1" applyAlignment="1">
      <alignment wrapText="1"/>
    </xf>
    <xf numFmtId="6" fontId="72" fillId="0" borderId="101" xfId="0" applyNumberFormat="1" applyFont="1" applyBorder="1" applyAlignment="1">
      <alignment horizontal="center" vertical="center" wrapText="1"/>
    </xf>
    <xf numFmtId="9" fontId="46" fillId="41" borderId="20" xfId="0" applyNumberFormat="1" applyFont="1" applyFill="1" applyBorder="1" applyAlignment="1">
      <alignment horizontal="center" vertical="center" wrapText="1"/>
    </xf>
    <xf numFmtId="9" fontId="46" fillId="39" borderId="20" xfId="0" applyNumberFormat="1" applyFont="1" applyFill="1" applyBorder="1" applyAlignment="1">
      <alignment horizontal="center" vertical="center" wrapText="1"/>
    </xf>
    <xf numFmtId="9" fontId="48" fillId="9" borderId="20" xfId="0" applyNumberFormat="1" applyFont="1" applyFill="1" applyBorder="1" applyAlignment="1">
      <alignment horizontal="center" vertical="center"/>
    </xf>
    <xf numFmtId="0" fontId="73" fillId="39" borderId="37" xfId="0" applyFont="1" applyFill="1" applyBorder="1" applyAlignment="1">
      <alignment horizontal="center" vertical="center" wrapText="1"/>
    </xf>
    <xf numFmtId="3" fontId="65" fillId="0" borderId="1" xfId="0" applyNumberFormat="1" applyFont="1" applyBorder="1" applyAlignment="1">
      <alignment horizontal="center" vertical="center" wrapText="1"/>
    </xf>
    <xf numFmtId="3" fontId="65" fillId="46" borderId="1" xfId="0" applyNumberFormat="1" applyFont="1" applyFill="1" applyBorder="1" applyAlignment="1">
      <alignment horizontal="center" vertical="center" wrapText="1"/>
    </xf>
    <xf numFmtId="3" fontId="6" fillId="0" borderId="102" xfId="0" applyNumberFormat="1" applyFont="1" applyBorder="1"/>
    <xf numFmtId="9" fontId="29" fillId="46" borderId="23" xfId="0" applyNumberFormat="1" applyFont="1" applyFill="1" applyBorder="1" applyAlignment="1">
      <alignment horizontal="center" vertical="center" wrapText="1"/>
    </xf>
    <xf numFmtId="9" fontId="6" fillId="0" borderId="0" xfId="0" applyNumberFormat="1" applyFont="1"/>
    <xf numFmtId="17" fontId="6" fillId="0" borderId="0" xfId="0" applyNumberFormat="1" applyFont="1"/>
    <xf numFmtId="0" fontId="6" fillId="14" borderId="20" xfId="0" applyFont="1" applyFill="1" applyBorder="1"/>
    <xf numFmtId="168" fontId="6" fillId="0" borderId="11" xfId="0" applyNumberFormat="1" applyFont="1" applyBorder="1"/>
    <xf numFmtId="168" fontId="6" fillId="27" borderId="12" xfId="0" applyNumberFormat="1" applyFont="1" applyFill="1" applyBorder="1"/>
    <xf numFmtId="168" fontId="6" fillId="54" borderId="12" xfId="0" applyNumberFormat="1" applyFont="1" applyFill="1" applyBorder="1"/>
    <xf numFmtId="168" fontId="6" fillId="34" borderId="12" xfId="0" applyNumberFormat="1" applyFont="1" applyFill="1" applyBorder="1"/>
    <xf numFmtId="17" fontId="6" fillId="34" borderId="0" xfId="0" applyNumberFormat="1" applyFont="1" applyFill="1"/>
    <xf numFmtId="17" fontId="6" fillId="27" borderId="0" xfId="0" applyNumberFormat="1" applyFont="1" applyFill="1"/>
    <xf numFmtId="0" fontId="6" fillId="20" borderId="49" xfId="0" applyFont="1" applyFill="1" applyBorder="1" applyAlignment="1">
      <alignment horizontal="center" vertical="center"/>
    </xf>
    <xf numFmtId="0" fontId="6" fillId="28" borderId="20" xfId="0" applyFont="1" applyFill="1" applyBorder="1"/>
    <xf numFmtId="0" fontId="0" fillId="28" borderId="20" xfId="0" applyFill="1" applyBorder="1"/>
    <xf numFmtId="0" fontId="56" fillId="40" borderId="36" xfId="0" applyFont="1" applyFill="1" applyBorder="1" applyAlignment="1">
      <alignment horizontal="center" vertical="center"/>
    </xf>
    <xf numFmtId="0" fontId="57" fillId="43" borderId="37" xfId="0" applyFont="1" applyFill="1" applyBorder="1" applyAlignment="1">
      <alignment horizontal="center" vertical="center"/>
    </xf>
    <xf numFmtId="17" fontId="6" fillId="0" borderId="56" xfId="0" applyNumberFormat="1" applyFont="1" applyBorder="1" applyAlignment="1">
      <alignment horizontal="center"/>
    </xf>
    <xf numFmtId="0" fontId="0" fillId="3" borderId="56" xfId="0" applyFill="1" applyBorder="1"/>
    <xf numFmtId="0" fontId="0" fillId="28" borderId="56" xfId="0" applyFill="1" applyBorder="1" applyAlignment="1">
      <alignment horizontal="center"/>
    </xf>
    <xf numFmtId="0" fontId="0" fillId="0" borderId="152" xfId="0" applyBorder="1" applyAlignment="1">
      <alignment horizontal="center"/>
    </xf>
    <xf numFmtId="0" fontId="0" fillId="0" borderId="148" xfId="0" applyBorder="1" applyAlignment="1">
      <alignment horizontal="center"/>
    </xf>
    <xf numFmtId="0" fontId="0" fillId="3" borderId="148" xfId="0" applyFill="1" applyBorder="1" applyAlignment="1">
      <alignment horizontal="center"/>
    </xf>
    <xf numFmtId="0" fontId="0" fillId="0" borderId="153" xfId="0" applyBorder="1" applyAlignment="1">
      <alignment horizontal="center"/>
    </xf>
    <xf numFmtId="0" fontId="0" fillId="3" borderId="154" xfId="0" applyFill="1" applyBorder="1"/>
    <xf numFmtId="0" fontId="0" fillId="0" borderId="155" xfId="0" applyBorder="1"/>
    <xf numFmtId="0" fontId="0" fillId="0" borderId="156" xfId="0" applyBorder="1" applyAlignment="1">
      <alignment horizontal="center"/>
    </xf>
    <xf numFmtId="0" fontId="15" fillId="3" borderId="81" xfId="0" applyFont="1" applyFill="1" applyBorder="1" applyAlignment="1">
      <alignment horizontal="center" vertical="center" wrapText="1"/>
    </xf>
    <xf numFmtId="3" fontId="43" fillId="32" borderId="82" xfId="0" applyNumberFormat="1" applyFont="1" applyFill="1" applyBorder="1" applyAlignment="1">
      <alignment wrapText="1"/>
    </xf>
    <xf numFmtId="9" fontId="0" fillId="32" borderId="124" xfId="0" applyNumberFormat="1" applyFill="1" applyBorder="1" applyAlignment="1">
      <alignment horizontal="center"/>
    </xf>
    <xf numFmtId="4" fontId="43" fillId="32" borderId="82" xfId="0" applyNumberFormat="1" applyFont="1" applyFill="1" applyBorder="1" applyAlignment="1">
      <alignment wrapText="1"/>
    </xf>
    <xf numFmtId="6" fontId="0" fillId="46" borderId="127" xfId="0" applyNumberFormat="1" applyFill="1" applyBorder="1"/>
    <xf numFmtId="6" fontId="0" fillId="0" borderId="157" xfId="0" applyNumberFormat="1" applyBorder="1"/>
    <xf numFmtId="6" fontId="0" fillId="51" borderId="127" xfId="0" applyNumberFormat="1" applyFill="1" applyBorder="1"/>
    <xf numFmtId="6" fontId="0" fillId="38" borderId="127" xfId="0" applyNumberFormat="1" applyFill="1" applyBorder="1"/>
    <xf numFmtId="0" fontId="6" fillId="0" borderId="158" xfId="0" applyFont="1" applyBorder="1" applyAlignment="1">
      <alignment horizontal="center" vertical="center"/>
    </xf>
    <xf numFmtId="178" fontId="56" fillId="40" borderId="79" xfId="0" applyNumberFormat="1" applyFont="1" applyFill="1" applyBorder="1" applyAlignment="1">
      <alignment horizontal="center" vertical="center" wrapText="1"/>
    </xf>
    <xf numFmtId="178" fontId="56" fillId="40" borderId="17" xfId="0" applyNumberFormat="1" applyFont="1" applyFill="1" applyBorder="1" applyAlignment="1">
      <alignment horizontal="center" vertical="center" wrapText="1"/>
    </xf>
    <xf numFmtId="14" fontId="40" fillId="42" borderId="0" xfId="0" quotePrefix="1" applyNumberFormat="1" applyFont="1" applyFill="1" applyAlignment="1">
      <alignment horizontal="center" vertical="center" wrapText="1"/>
    </xf>
    <xf numFmtId="14" fontId="40" fillId="42" borderId="51" xfId="0" quotePrefix="1" applyNumberFormat="1" applyFont="1" applyFill="1" applyBorder="1" applyAlignment="1">
      <alignment horizontal="center" vertical="center" wrapText="1"/>
    </xf>
    <xf numFmtId="178" fontId="56" fillId="43" borderId="79" xfId="0" applyNumberFormat="1" applyFont="1" applyFill="1" applyBorder="1" applyAlignment="1">
      <alignment horizontal="center" vertical="center" wrapText="1"/>
    </xf>
    <xf numFmtId="178" fontId="56" fillId="43" borderId="17" xfId="0" applyNumberFormat="1" applyFont="1" applyFill="1" applyBorder="1" applyAlignment="1">
      <alignment horizontal="center" vertical="center" wrapText="1"/>
    </xf>
    <xf numFmtId="0" fontId="0" fillId="0" borderId="159" xfId="0" applyBorder="1"/>
    <xf numFmtId="43" fontId="0" fillId="0" borderId="0" xfId="0" applyNumberFormat="1" applyAlignment="1">
      <alignment horizontal="right"/>
    </xf>
    <xf numFmtId="166" fontId="61" fillId="42" borderId="99" xfId="2" applyNumberFormat="1" applyFont="1" applyFill="1" applyBorder="1" applyAlignment="1">
      <alignment horizontal="right" vertical="center"/>
    </xf>
    <xf numFmtId="166" fontId="61" fillId="44" borderId="99" xfId="2" applyNumberFormat="1" applyFont="1" applyFill="1" applyBorder="1" applyAlignment="1">
      <alignment horizontal="right" vertical="center"/>
    </xf>
    <xf numFmtId="0" fontId="74" fillId="55" borderId="56" xfId="0" applyFont="1" applyFill="1" applyBorder="1"/>
    <xf numFmtId="0" fontId="75" fillId="55" borderId="56" xfId="0" applyFont="1" applyFill="1" applyBorder="1"/>
    <xf numFmtId="17" fontId="75" fillId="55" borderId="56" xfId="0" applyNumberFormat="1" applyFont="1" applyFill="1" applyBorder="1"/>
    <xf numFmtId="17" fontId="75" fillId="55" borderId="90" xfId="0" applyNumberFormat="1" applyFont="1" applyFill="1" applyBorder="1"/>
    <xf numFmtId="0" fontId="32" fillId="0" borderId="0" xfId="0" applyFont="1"/>
    <xf numFmtId="9" fontId="0" fillId="0" borderId="56" xfId="0" applyNumberFormat="1" applyBorder="1"/>
    <xf numFmtId="9" fontId="0" fillId="0" borderId="90" xfId="0" applyNumberFormat="1" applyBorder="1"/>
    <xf numFmtId="9" fontId="0" fillId="55" borderId="0" xfId="0" applyNumberFormat="1" applyFill="1"/>
    <xf numFmtId="0" fontId="74" fillId="55" borderId="90" xfId="0" applyFont="1" applyFill="1" applyBorder="1"/>
    <xf numFmtId="9" fontId="0" fillId="0" borderId="111" xfId="0" applyNumberFormat="1" applyBorder="1"/>
    <xf numFmtId="9" fontId="0" fillId="0" borderId="96" xfId="0" applyNumberFormat="1" applyBorder="1"/>
    <xf numFmtId="9" fontId="0" fillId="0" borderId="110" xfId="0" applyNumberFormat="1" applyBorder="1"/>
    <xf numFmtId="9" fontId="0" fillId="0" borderId="161" xfId="0" applyNumberFormat="1" applyBorder="1"/>
    <xf numFmtId="9" fontId="0" fillId="0" borderId="160" xfId="0" applyNumberFormat="1" applyBorder="1"/>
    <xf numFmtId="0" fontId="0" fillId="0" borderId="162" xfId="0" applyBorder="1" applyAlignment="1">
      <alignment wrapText="1"/>
    </xf>
    <xf numFmtId="0" fontId="0" fillId="0" borderId="163" xfId="0" applyBorder="1" applyAlignment="1">
      <alignment wrapText="1"/>
    </xf>
    <xf numFmtId="0" fontId="0" fillId="0" borderId="164" xfId="0" applyBorder="1" applyAlignment="1">
      <alignment wrapText="1"/>
    </xf>
    <xf numFmtId="0" fontId="6" fillId="0" borderId="0" xfId="0" applyFont="1" applyAlignment="1">
      <alignment horizontal="center" vertical="center" wrapText="1"/>
    </xf>
    <xf numFmtId="0" fontId="0" fillId="0" borderId="166" xfId="0" applyBorder="1" applyAlignment="1">
      <alignment wrapText="1"/>
    </xf>
    <xf numFmtId="0" fontId="0" fillId="0" borderId="167" xfId="0" applyBorder="1" applyAlignment="1">
      <alignment wrapText="1"/>
    </xf>
    <xf numFmtId="14" fontId="18" fillId="0" borderId="165" xfId="0" applyNumberFormat="1" applyFont="1" applyBorder="1" applyAlignment="1">
      <alignment vertical="center" wrapText="1"/>
    </xf>
    <xf numFmtId="14" fontId="0" fillId="0" borderId="1" xfId="0" applyNumberFormat="1" applyBorder="1" applyAlignment="1">
      <alignment horizontal="right" wrapText="1"/>
    </xf>
    <xf numFmtId="166" fontId="19" fillId="56" borderId="169" xfId="0" applyNumberFormat="1" applyFont="1" applyFill="1" applyBorder="1" applyAlignment="1">
      <alignment horizontal="right" vertical="center"/>
    </xf>
    <xf numFmtId="168" fontId="0" fillId="0" borderId="82" xfId="2" applyNumberFormat="1" applyFont="1" applyBorder="1" applyAlignment="1">
      <alignment horizontal="right" wrapText="1"/>
    </xf>
    <xf numFmtId="168" fontId="0" fillId="0" borderId="1" xfId="2" applyNumberFormat="1" applyFont="1" applyBorder="1" applyAlignment="1">
      <alignment horizontal="right" wrapText="1"/>
    </xf>
    <xf numFmtId="9" fontId="0" fillId="0" borderId="1" xfId="0" applyNumberFormat="1" applyBorder="1" applyAlignment="1">
      <alignment horizontal="center" wrapText="1"/>
    </xf>
    <xf numFmtId="9" fontId="0" fillId="0" borderId="37" xfId="0" applyNumberFormat="1" applyBorder="1" applyAlignment="1">
      <alignment horizontal="center" wrapText="1"/>
    </xf>
    <xf numFmtId="166" fontId="19" fillId="57" borderId="169" xfId="0" applyNumberFormat="1" applyFont="1" applyFill="1" applyBorder="1" applyAlignment="1">
      <alignment horizontal="right" vertical="center"/>
    </xf>
    <xf numFmtId="4" fontId="29" fillId="0" borderId="0" xfId="0" applyNumberFormat="1" applyFont="1"/>
    <xf numFmtId="0" fontId="0" fillId="0" borderId="172" xfId="0" applyBorder="1" applyAlignment="1">
      <alignment wrapText="1"/>
    </xf>
    <xf numFmtId="168" fontId="0" fillId="3" borderId="1" xfId="2" applyNumberFormat="1" applyFont="1" applyFill="1" applyBorder="1" applyAlignment="1">
      <alignment horizontal="right" wrapText="1"/>
    </xf>
    <xf numFmtId="9" fontId="0" fillId="0" borderId="0" xfId="0" applyNumberFormat="1" applyAlignment="1">
      <alignment horizontal="center" wrapText="1"/>
    </xf>
    <xf numFmtId="9" fontId="0" fillId="0" borderId="0" xfId="1" applyFont="1" applyAlignment="1">
      <alignment horizontal="center"/>
    </xf>
    <xf numFmtId="0" fontId="0" fillId="0" borderId="173" xfId="0" applyBorder="1" applyAlignment="1">
      <alignment wrapText="1"/>
    </xf>
    <xf numFmtId="168" fontId="0" fillId="7" borderId="1" xfId="2" applyNumberFormat="1" applyFont="1" applyFill="1" applyBorder="1" applyAlignment="1">
      <alignment horizontal="right" wrapText="1"/>
    </xf>
    <xf numFmtId="0" fontId="0" fillId="3" borderId="101" xfId="0" applyFill="1" applyBorder="1" applyAlignment="1">
      <alignment horizontal="center" vertical="center"/>
    </xf>
    <xf numFmtId="0" fontId="0" fillId="3" borderId="102" xfId="0" applyFill="1" applyBorder="1" applyAlignment="1">
      <alignment horizontal="center" vertical="center" wrapText="1"/>
    </xf>
    <xf numFmtId="9" fontId="0" fillId="3" borderId="104" xfId="0" applyNumberFormat="1" applyFill="1" applyBorder="1" applyAlignment="1">
      <alignment horizontal="center" vertical="center" wrapText="1"/>
    </xf>
    <xf numFmtId="0" fontId="0" fillId="3" borderId="103" xfId="0" applyFill="1" applyBorder="1" applyAlignment="1">
      <alignment horizontal="center" vertical="center" wrapText="1"/>
    </xf>
    <xf numFmtId="0" fontId="0" fillId="0" borderId="13" xfId="0" applyBorder="1"/>
    <xf numFmtId="168" fontId="0" fillId="0" borderId="2" xfId="2" applyNumberFormat="1" applyFont="1" applyBorder="1"/>
    <xf numFmtId="9" fontId="0" fillId="0" borderId="2" xfId="1" applyFont="1" applyBorder="1" applyAlignment="1">
      <alignment horizontal="center"/>
    </xf>
    <xf numFmtId="9" fontId="0" fillId="0" borderId="22" xfId="1" applyFont="1" applyBorder="1" applyAlignment="1">
      <alignment horizontal="center"/>
    </xf>
    <xf numFmtId="0" fontId="0" fillId="0" borderId="15" xfId="0" applyBorder="1"/>
    <xf numFmtId="168" fontId="0" fillId="0" borderId="1" xfId="2" applyNumberFormat="1" applyFont="1" applyBorder="1"/>
    <xf numFmtId="168" fontId="0" fillId="0" borderId="34" xfId="2" applyNumberFormat="1" applyFont="1" applyBorder="1"/>
    <xf numFmtId="9" fontId="0" fillId="0" borderId="39" xfId="1" applyFont="1" applyBorder="1" applyAlignment="1">
      <alignment horizontal="center"/>
    </xf>
    <xf numFmtId="9" fontId="0" fillId="0" borderId="1" xfId="0" applyNumberFormat="1" applyBorder="1"/>
    <xf numFmtId="9" fontId="0" fillId="0" borderId="23" xfId="1" applyFont="1" applyBorder="1"/>
    <xf numFmtId="9" fontId="0" fillId="0" borderId="1" xfId="1" applyFont="1" applyBorder="1"/>
    <xf numFmtId="166" fontId="0" fillId="0" borderId="1" xfId="0" applyNumberFormat="1" applyBorder="1"/>
    <xf numFmtId="9" fontId="0" fillId="0" borderId="23" xfId="0" applyNumberFormat="1" applyBorder="1"/>
    <xf numFmtId="0" fontId="0" fillId="0" borderId="79" xfId="0" applyBorder="1"/>
    <xf numFmtId="168" fontId="0" fillId="0" borderId="17" xfId="2" applyNumberFormat="1" applyFont="1" applyBorder="1"/>
    <xf numFmtId="9" fontId="0" fillId="0" borderId="17" xfId="1" applyFont="1" applyBorder="1" applyAlignment="1">
      <alignment horizontal="center"/>
    </xf>
    <xf numFmtId="9" fontId="0" fillId="0" borderId="25" xfId="0" applyNumberFormat="1" applyBorder="1"/>
    <xf numFmtId="9" fontId="0" fillId="0" borderId="25" xfId="1" applyFont="1" applyBorder="1"/>
    <xf numFmtId="168" fontId="0" fillId="5" borderId="1" xfId="2" applyNumberFormat="1" applyFont="1" applyFill="1" applyBorder="1" applyAlignment="1">
      <alignment horizontal="right" wrapText="1"/>
    </xf>
    <xf numFmtId="0" fontId="32" fillId="0" borderId="101" xfId="0" applyFont="1" applyBorder="1"/>
    <xf numFmtId="168" fontId="32" fillId="0" borderId="102" xfId="0" applyNumberFormat="1" applyFont="1" applyBorder="1"/>
    <xf numFmtId="9" fontId="32" fillId="0" borderId="102" xfId="1" applyFont="1" applyBorder="1" applyAlignment="1">
      <alignment horizontal="center"/>
    </xf>
    <xf numFmtId="0" fontId="32" fillId="0" borderId="174" xfId="0" applyFont="1" applyBorder="1"/>
    <xf numFmtId="0" fontId="0" fillId="0" borderId="175" xfId="0" applyBorder="1" applyAlignment="1">
      <alignment wrapText="1"/>
    </xf>
    <xf numFmtId="168" fontId="0" fillId="8" borderId="1" xfId="2" applyNumberFormat="1" applyFont="1" applyFill="1" applyBorder="1" applyAlignment="1">
      <alignment horizontal="right" wrapText="1"/>
    </xf>
    <xf numFmtId="168" fontId="0" fillId="20" borderId="1" xfId="2" applyNumberFormat="1" applyFont="1" applyFill="1" applyBorder="1" applyAlignment="1">
      <alignment horizontal="right" wrapText="1"/>
    </xf>
    <xf numFmtId="14" fontId="18" fillId="0" borderId="176" xfId="0" applyNumberFormat="1" applyFont="1" applyBorder="1" applyAlignment="1">
      <alignment vertical="center" wrapText="1"/>
    </xf>
    <xf numFmtId="14" fontId="0" fillId="0" borderId="17" xfId="0" applyNumberFormat="1" applyBorder="1" applyAlignment="1">
      <alignment horizontal="right" wrapText="1"/>
    </xf>
    <xf numFmtId="168" fontId="0" fillId="20" borderId="17" xfId="2" applyNumberFormat="1" applyFont="1" applyFill="1" applyBorder="1" applyAlignment="1">
      <alignment horizontal="right" wrapText="1"/>
    </xf>
    <xf numFmtId="14" fontId="18" fillId="0" borderId="178" xfId="0" applyNumberFormat="1" applyFont="1" applyBorder="1" applyAlignment="1">
      <alignment vertical="center" wrapText="1"/>
    </xf>
    <xf numFmtId="14" fontId="0" fillId="0" borderId="34" xfId="0" applyNumberFormat="1" applyBorder="1" applyAlignment="1">
      <alignment horizontal="right" wrapText="1"/>
    </xf>
    <xf numFmtId="168" fontId="18" fillId="0" borderId="34" xfId="2" applyNumberFormat="1" applyFont="1" applyBorder="1" applyAlignment="1">
      <alignment horizontal="right" vertical="center" wrapText="1"/>
    </xf>
    <xf numFmtId="168" fontId="0" fillId="58" borderId="34" xfId="2" applyNumberFormat="1" applyFont="1" applyFill="1" applyBorder="1" applyAlignment="1">
      <alignment wrapText="1"/>
    </xf>
    <xf numFmtId="168" fontId="18" fillId="0" borderId="1" xfId="2" applyNumberFormat="1" applyFont="1" applyBorder="1" applyAlignment="1">
      <alignment horizontal="right" vertical="center" wrapText="1"/>
    </xf>
    <xf numFmtId="168" fontId="0" fillId="58" borderId="1" xfId="2" applyNumberFormat="1" applyFont="1" applyFill="1" applyBorder="1" applyAlignment="1">
      <alignment wrapText="1"/>
    </xf>
    <xf numFmtId="168" fontId="18" fillId="0" borderId="17" xfId="2" applyNumberFormat="1" applyFont="1" applyBorder="1" applyAlignment="1">
      <alignment horizontal="right" vertical="center" wrapText="1"/>
    </xf>
    <xf numFmtId="168" fontId="0" fillId="58" borderId="17" xfId="2" applyNumberFormat="1" applyFont="1" applyFill="1" applyBorder="1" applyAlignment="1">
      <alignment wrapText="1"/>
    </xf>
    <xf numFmtId="14" fontId="18" fillId="0" borderId="34" xfId="0" applyNumberFormat="1" applyFont="1" applyBorder="1" applyAlignment="1">
      <alignment vertical="center" wrapText="1"/>
    </xf>
    <xf numFmtId="168" fontId="0" fillId="0" borderId="34" xfId="2" applyNumberFormat="1" applyFont="1" applyBorder="1" applyAlignment="1">
      <alignment wrapText="1"/>
    </xf>
    <xf numFmtId="14" fontId="18" fillId="0" borderId="1" xfId="0" applyNumberFormat="1" applyFont="1" applyBorder="1" applyAlignment="1">
      <alignment vertical="center" wrapText="1"/>
    </xf>
    <xf numFmtId="168" fontId="0" fillId="0" borderId="1" xfId="2" applyNumberFormat="1" applyFont="1" applyBorder="1" applyAlignment="1">
      <alignment wrapText="1"/>
    </xf>
    <xf numFmtId="14" fontId="18" fillId="0" borderId="37" xfId="0" applyNumberFormat="1" applyFont="1" applyBorder="1" applyAlignment="1">
      <alignment vertical="center" wrapText="1"/>
    </xf>
    <xf numFmtId="14" fontId="0" fillId="0" borderId="37" xfId="0" applyNumberFormat="1" applyBorder="1" applyAlignment="1">
      <alignment horizontal="right" wrapText="1"/>
    </xf>
    <xf numFmtId="168" fontId="18" fillId="0" borderId="37" xfId="2" applyNumberFormat="1" applyFont="1" applyBorder="1" applyAlignment="1">
      <alignment horizontal="right" vertical="center" wrapText="1"/>
    </xf>
    <xf numFmtId="168" fontId="0" fillId="0" borderId="37" xfId="2" applyNumberFormat="1" applyFont="1" applyBorder="1" applyAlignment="1">
      <alignment wrapText="1"/>
    </xf>
    <xf numFmtId="14" fontId="18" fillId="0" borderId="2" xfId="0" applyNumberFormat="1" applyFont="1" applyBorder="1" applyAlignment="1">
      <alignment vertical="center" wrapText="1"/>
    </xf>
    <xf numFmtId="14" fontId="0" fillId="0" borderId="2" xfId="0" applyNumberFormat="1" applyBorder="1" applyAlignment="1">
      <alignment horizontal="right" wrapText="1"/>
    </xf>
    <xf numFmtId="168" fontId="18" fillId="0" borderId="26" xfId="2" applyNumberFormat="1" applyFont="1" applyBorder="1" applyAlignment="1">
      <alignment horizontal="right" vertical="center" wrapText="1"/>
    </xf>
    <xf numFmtId="168" fontId="0" fillId="12" borderId="2" xfId="2" applyNumberFormat="1" applyFont="1" applyFill="1" applyBorder="1" applyAlignment="1">
      <alignment wrapText="1"/>
    </xf>
    <xf numFmtId="168" fontId="0" fillId="12" borderId="1" xfId="2" applyNumberFormat="1" applyFont="1" applyFill="1" applyBorder="1" applyAlignment="1">
      <alignment wrapText="1"/>
    </xf>
    <xf numFmtId="168" fontId="18" fillId="0" borderId="59" xfId="2" applyNumberFormat="1" applyFont="1" applyBorder="1" applyAlignment="1">
      <alignment horizontal="right" vertical="center" wrapText="1"/>
    </xf>
    <xf numFmtId="168" fontId="0" fillId="9" borderId="1" xfId="2" applyNumberFormat="1" applyFont="1" applyFill="1" applyBorder="1" applyAlignment="1">
      <alignment wrapText="1"/>
    </xf>
    <xf numFmtId="14" fontId="18" fillId="0" borderId="17" xfId="0" applyNumberFormat="1" applyFont="1" applyBorder="1" applyAlignment="1">
      <alignment vertical="center" wrapText="1"/>
    </xf>
    <xf numFmtId="168" fontId="0" fillId="9" borderId="17" xfId="2" applyNumberFormat="1" applyFont="1" applyFill="1" applyBorder="1" applyAlignment="1">
      <alignment wrapText="1"/>
    </xf>
    <xf numFmtId="14" fontId="0" fillId="0" borderId="39" xfId="0" applyNumberFormat="1" applyBorder="1" applyAlignment="1">
      <alignment horizontal="right" wrapText="1"/>
    </xf>
    <xf numFmtId="166" fontId="17" fillId="0" borderId="34" xfId="5" applyNumberFormat="1" applyFont="1" applyFill="1" applyBorder="1" applyAlignment="1" applyProtection="1">
      <alignment horizontal="right" vertical="center"/>
    </xf>
    <xf numFmtId="168" fontId="0" fillId="59" borderId="57" xfId="2" applyNumberFormat="1" applyFont="1" applyFill="1" applyBorder="1" applyAlignment="1">
      <alignment wrapText="1"/>
    </xf>
    <xf numFmtId="14" fontId="0" fillId="0" borderId="40" xfId="0" applyNumberFormat="1" applyBorder="1" applyAlignment="1">
      <alignment horizontal="right" wrapText="1"/>
    </xf>
    <xf numFmtId="166" fontId="17" fillId="0" borderId="1" xfId="5" applyNumberFormat="1" applyFont="1" applyFill="1" applyBorder="1" applyAlignment="1" applyProtection="1">
      <alignment horizontal="right" vertical="center"/>
    </xf>
    <xf numFmtId="168" fontId="0" fillId="59" borderId="12" xfId="2" applyNumberFormat="1" applyFont="1" applyFill="1" applyBorder="1" applyAlignment="1">
      <alignment wrapText="1"/>
    </xf>
    <xf numFmtId="14" fontId="0" fillId="0" borderId="23" xfId="0" applyNumberFormat="1" applyBorder="1" applyAlignment="1">
      <alignment horizontal="right" wrapText="1"/>
    </xf>
    <xf numFmtId="14" fontId="0" fillId="0" borderId="25" xfId="0" applyNumberFormat="1" applyBorder="1" applyAlignment="1">
      <alignment horizontal="right" wrapText="1"/>
    </xf>
    <xf numFmtId="166" fontId="17" fillId="0" borderId="17" xfId="5" applyNumberFormat="1" applyFont="1" applyFill="1" applyBorder="1" applyAlignment="1" applyProtection="1">
      <alignment horizontal="right" vertical="center"/>
    </xf>
    <xf numFmtId="168" fontId="0" fillId="59" borderId="24" xfId="2" applyNumberFormat="1" applyFont="1" applyFill="1" applyBorder="1" applyAlignment="1">
      <alignment wrapText="1"/>
    </xf>
    <xf numFmtId="168" fontId="0" fillId="0" borderId="34" xfId="2" applyNumberFormat="1" applyFont="1" applyBorder="1" applyAlignment="1">
      <alignment horizontal="right" wrapText="1"/>
    </xf>
    <xf numFmtId="168" fontId="0" fillId="0" borderId="17" xfId="2" applyNumberFormat="1" applyFont="1" applyBorder="1" applyAlignment="1">
      <alignment horizontal="right" wrapText="1"/>
    </xf>
    <xf numFmtId="168" fontId="0" fillId="3" borderId="34" xfId="2" applyNumberFormat="1" applyFont="1" applyFill="1" applyBorder="1" applyAlignment="1">
      <alignment horizontal="right" wrapText="1"/>
    </xf>
    <xf numFmtId="166" fontId="17" fillId="0" borderId="37" xfId="5" applyNumberFormat="1" applyFont="1" applyFill="1" applyBorder="1" applyAlignment="1" applyProtection="1">
      <alignment horizontal="right" vertical="center"/>
    </xf>
    <xf numFmtId="168" fontId="0" fillId="3" borderId="37" xfId="2" applyNumberFormat="1" applyFont="1" applyFill="1" applyBorder="1" applyAlignment="1">
      <alignment horizontal="right" wrapText="1"/>
    </xf>
    <xf numFmtId="14" fontId="18" fillId="0" borderId="99" xfId="0" applyNumberFormat="1" applyFont="1" applyBorder="1" applyAlignment="1">
      <alignment vertical="center" wrapText="1"/>
    </xf>
    <xf numFmtId="14" fontId="0" fillId="0" borderId="31" xfId="0" applyNumberFormat="1" applyBorder="1" applyAlignment="1">
      <alignment horizontal="right" wrapText="1"/>
    </xf>
    <xf numFmtId="166" fontId="17" fillId="0" borderId="2" xfId="5" applyNumberFormat="1" applyFont="1" applyFill="1" applyBorder="1" applyAlignment="1" applyProtection="1">
      <alignment horizontal="right" vertical="center"/>
    </xf>
    <xf numFmtId="9" fontId="0" fillId="0" borderId="17" xfId="0" applyNumberFormat="1" applyBorder="1" applyAlignment="1">
      <alignment horizontal="center" wrapText="1"/>
    </xf>
    <xf numFmtId="168" fontId="0" fillId="60" borderId="34" xfId="2" applyNumberFormat="1" applyFont="1" applyFill="1" applyBorder="1" applyAlignment="1">
      <alignment horizontal="right" wrapText="1"/>
    </xf>
    <xf numFmtId="9" fontId="0" fillId="0" borderId="35" xfId="0" applyNumberFormat="1" applyBorder="1" applyAlignment="1">
      <alignment horizontal="center" wrapText="1"/>
    </xf>
    <xf numFmtId="9" fontId="0" fillId="0" borderId="12" xfId="0" applyNumberFormat="1" applyBorder="1" applyAlignment="1">
      <alignment horizontal="center" wrapText="1"/>
    </xf>
    <xf numFmtId="168" fontId="0" fillId="60" borderId="1" xfId="2" applyNumberFormat="1" applyFont="1" applyFill="1" applyBorder="1" applyAlignment="1">
      <alignment horizontal="right" wrapText="1"/>
    </xf>
    <xf numFmtId="9" fontId="0" fillId="0" borderId="16" xfId="0" applyNumberFormat="1" applyBorder="1" applyAlignment="1">
      <alignment horizontal="center" wrapText="1"/>
    </xf>
    <xf numFmtId="168" fontId="0" fillId="60" borderId="37" xfId="2" applyNumberFormat="1" applyFont="1" applyFill="1" applyBorder="1" applyAlignment="1">
      <alignment horizontal="right" wrapText="1"/>
    </xf>
    <xf numFmtId="9" fontId="0" fillId="0" borderId="38" xfId="0" applyNumberFormat="1" applyBorder="1" applyAlignment="1">
      <alignment horizontal="center" wrapText="1"/>
    </xf>
    <xf numFmtId="168" fontId="0" fillId="5" borderId="2" xfId="2" applyNumberFormat="1" applyFont="1" applyFill="1" applyBorder="1" applyAlignment="1">
      <alignment horizontal="right" wrapText="1"/>
    </xf>
    <xf numFmtId="9" fontId="0" fillId="0" borderId="14" xfId="0" applyNumberFormat="1" applyBorder="1" applyAlignment="1">
      <alignment horizontal="center" wrapText="1"/>
    </xf>
    <xf numFmtId="168" fontId="0" fillId="5" borderId="37" xfId="2" applyNumberFormat="1" applyFont="1" applyFill="1" applyBorder="1" applyAlignment="1">
      <alignment horizontal="right" wrapText="1"/>
    </xf>
    <xf numFmtId="168" fontId="0" fillId="0" borderId="2" xfId="2" applyNumberFormat="1" applyFont="1" applyBorder="1" applyAlignment="1">
      <alignment horizontal="right" wrapText="1"/>
    </xf>
    <xf numFmtId="168" fontId="0" fillId="0" borderId="37" xfId="2" applyNumberFormat="1" applyFont="1" applyBorder="1" applyAlignment="1">
      <alignment horizontal="right" wrapText="1"/>
    </xf>
    <xf numFmtId="168" fontId="0" fillId="7" borderId="2" xfId="2" applyNumberFormat="1" applyFont="1" applyFill="1" applyBorder="1" applyAlignment="1">
      <alignment horizontal="right" wrapText="1"/>
    </xf>
    <xf numFmtId="168" fontId="0" fillId="7" borderId="17" xfId="2" applyNumberFormat="1" applyFont="1" applyFill="1" applyBorder="1" applyAlignment="1">
      <alignment horizontal="right" wrapText="1"/>
    </xf>
    <xf numFmtId="9" fontId="0" fillId="0" borderId="18" xfId="0" applyNumberFormat="1" applyBorder="1" applyAlignment="1">
      <alignment horizontal="center" wrapText="1"/>
    </xf>
    <xf numFmtId="9" fontId="0" fillId="0" borderId="46" xfId="0" applyNumberFormat="1" applyBorder="1" applyAlignment="1">
      <alignment horizontal="center" wrapText="1"/>
    </xf>
    <xf numFmtId="168" fontId="0" fillId="61" borderId="34" xfId="2" applyNumberFormat="1" applyFont="1" applyFill="1" applyBorder="1" applyAlignment="1">
      <alignment horizontal="right" wrapText="1"/>
    </xf>
    <xf numFmtId="168" fontId="0" fillId="61" borderId="1" xfId="2" applyNumberFormat="1" applyFont="1" applyFill="1" applyBorder="1" applyAlignment="1">
      <alignment horizontal="right" wrapText="1"/>
    </xf>
    <xf numFmtId="168" fontId="0" fillId="61" borderId="37" xfId="2" applyNumberFormat="1" applyFont="1" applyFill="1" applyBorder="1" applyAlignment="1">
      <alignment horizontal="right" wrapText="1"/>
    </xf>
    <xf numFmtId="14" fontId="18" fillId="0" borderId="102" xfId="0" applyNumberFormat="1" applyFont="1" applyBorder="1" applyAlignment="1">
      <alignment vertical="center" wrapText="1"/>
    </xf>
    <xf numFmtId="14" fontId="0" fillId="0" borderId="102" xfId="0" applyNumberFormat="1" applyBorder="1" applyAlignment="1">
      <alignment horizontal="right" wrapText="1"/>
    </xf>
    <xf numFmtId="168" fontId="0" fillId="9" borderId="34" xfId="2" applyNumberFormat="1" applyFont="1" applyFill="1" applyBorder="1" applyAlignment="1">
      <alignment horizontal="right" wrapText="1"/>
    </xf>
    <xf numFmtId="9" fontId="0" fillId="0" borderId="103" xfId="0" applyNumberFormat="1" applyBorder="1" applyAlignment="1">
      <alignment horizontal="center" wrapText="1"/>
    </xf>
    <xf numFmtId="168" fontId="0" fillId="9" borderId="1" xfId="2" applyNumberFormat="1" applyFont="1" applyFill="1" applyBorder="1" applyAlignment="1">
      <alignment horizontal="right" wrapText="1"/>
    </xf>
    <xf numFmtId="168" fontId="0" fillId="9" borderId="17" xfId="2" applyNumberFormat="1" applyFont="1" applyFill="1" applyBorder="1" applyAlignment="1">
      <alignment horizontal="right" wrapText="1"/>
    </xf>
    <xf numFmtId="168" fontId="0" fillId="3" borderId="2" xfId="2" applyNumberFormat="1" applyFont="1" applyFill="1" applyBorder="1" applyAlignment="1">
      <alignment horizontal="right" wrapText="1"/>
    </xf>
    <xf numFmtId="9" fontId="0" fillId="0" borderId="32" xfId="0" applyNumberFormat="1" applyBorder="1" applyAlignment="1">
      <alignment horizontal="center" wrapText="1"/>
    </xf>
    <xf numFmtId="168" fontId="0" fillId="3" borderId="17" xfId="2" applyNumberFormat="1" applyFont="1" applyFill="1" applyBorder="1" applyAlignment="1">
      <alignment horizontal="right" wrapText="1"/>
    </xf>
    <xf numFmtId="9" fontId="0" fillId="0" borderId="98" xfId="0" applyNumberFormat="1" applyBorder="1" applyAlignment="1">
      <alignment horizontal="center" wrapText="1"/>
    </xf>
    <xf numFmtId="166" fontId="0" fillId="0" borderId="1" xfId="0" applyNumberFormat="1" applyBorder="1" applyAlignment="1">
      <alignment wrapText="1"/>
    </xf>
    <xf numFmtId="0" fontId="0" fillId="0" borderId="0" xfId="0" applyAlignment="1">
      <alignment wrapText="1"/>
    </xf>
    <xf numFmtId="166" fontId="0" fillId="0" borderId="17" xfId="0" applyNumberFormat="1" applyBorder="1" applyAlignment="1">
      <alignment wrapText="1"/>
    </xf>
    <xf numFmtId="166" fontId="0" fillId="0" borderId="34" xfId="0" applyNumberFormat="1" applyBorder="1" applyAlignment="1">
      <alignment wrapText="1"/>
    </xf>
    <xf numFmtId="166" fontId="0" fillId="0" borderId="162" xfId="0" applyNumberFormat="1" applyBorder="1" applyAlignment="1">
      <alignment wrapText="1"/>
    </xf>
    <xf numFmtId="167" fontId="0" fillId="0" borderId="162" xfId="0" applyNumberFormat="1" applyBorder="1" applyAlignment="1">
      <alignment wrapText="1"/>
    </xf>
    <xf numFmtId="14" fontId="18" fillId="3" borderId="2" xfId="0" applyNumberFormat="1" applyFont="1" applyFill="1" applyBorder="1" applyAlignment="1">
      <alignment vertical="center" wrapText="1"/>
    </xf>
    <xf numFmtId="14" fontId="18" fillId="3" borderId="1" xfId="0" applyNumberFormat="1" applyFont="1" applyFill="1" applyBorder="1" applyAlignment="1">
      <alignment vertical="center" wrapText="1"/>
    </xf>
    <xf numFmtId="14" fontId="0" fillId="3" borderId="1" xfId="0" applyNumberFormat="1" applyFill="1" applyBorder="1" applyAlignment="1">
      <alignment horizontal="right" wrapText="1"/>
    </xf>
    <xf numFmtId="9" fontId="0" fillId="0" borderId="162" xfId="0" applyNumberFormat="1" applyBorder="1" applyAlignment="1">
      <alignment horizontal="center" wrapText="1"/>
    </xf>
    <xf numFmtId="0" fontId="0" fillId="0" borderId="180" xfId="0" applyBorder="1" applyAlignment="1">
      <alignment wrapText="1"/>
    </xf>
    <xf numFmtId="14" fontId="18" fillId="0" borderId="82" xfId="0" applyNumberFormat="1" applyFont="1" applyBorder="1" applyAlignment="1">
      <alignment vertical="center" wrapText="1"/>
    </xf>
    <xf numFmtId="14" fontId="0" fillId="0" borderId="82" xfId="0" applyNumberFormat="1" applyBorder="1" applyAlignment="1">
      <alignment horizontal="right" wrapText="1"/>
    </xf>
    <xf numFmtId="166" fontId="17" fillId="0" borderId="82" xfId="5" applyNumberFormat="1" applyFont="1" applyFill="1" applyBorder="1" applyAlignment="1" applyProtection="1">
      <alignment horizontal="right" vertical="center"/>
    </xf>
    <xf numFmtId="166" fontId="0" fillId="0" borderId="82" xfId="0" applyNumberFormat="1" applyBorder="1" applyAlignment="1">
      <alignment wrapText="1"/>
    </xf>
    <xf numFmtId="9" fontId="0" fillId="0" borderId="66" xfId="0" applyNumberFormat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14" fontId="18" fillId="0" borderId="56" xfId="0" applyNumberFormat="1" applyFont="1" applyBorder="1" applyAlignment="1">
      <alignment vertical="center" wrapText="1"/>
    </xf>
    <xf numFmtId="14" fontId="0" fillId="0" borderId="56" xfId="0" applyNumberFormat="1" applyBorder="1" applyAlignment="1">
      <alignment horizontal="right" wrapText="1"/>
    </xf>
    <xf numFmtId="166" fontId="17" fillId="0" borderId="56" xfId="5" applyNumberFormat="1" applyFont="1" applyFill="1" applyBorder="1" applyAlignment="1" applyProtection="1">
      <alignment horizontal="right" vertical="center"/>
    </xf>
    <xf numFmtId="166" fontId="0" fillId="0" borderId="56" xfId="0" applyNumberFormat="1" applyBorder="1" applyAlignment="1">
      <alignment wrapText="1"/>
    </xf>
    <xf numFmtId="9" fontId="0" fillId="0" borderId="92" xfId="0" applyNumberFormat="1" applyBorder="1" applyAlignment="1">
      <alignment horizontal="center" wrapText="1"/>
    </xf>
    <xf numFmtId="9" fontId="0" fillId="0" borderId="36" xfId="1" applyFont="1" applyBorder="1" applyAlignment="1">
      <alignment horizontal="center" wrapText="1"/>
    </xf>
    <xf numFmtId="9" fontId="0" fillId="0" borderId="38" xfId="1" applyFont="1" applyBorder="1" applyAlignment="1">
      <alignment horizontal="center" wrapText="1"/>
    </xf>
    <xf numFmtId="0" fontId="0" fillId="0" borderId="181" xfId="0" applyBorder="1" applyAlignment="1">
      <alignment wrapText="1"/>
    </xf>
    <xf numFmtId="0" fontId="0" fillId="7" borderId="162" xfId="0" applyFill="1" applyBorder="1" applyAlignment="1">
      <alignment wrapText="1"/>
    </xf>
    <xf numFmtId="14" fontId="18" fillId="0" borderId="96" xfId="0" applyNumberFormat="1" applyFont="1" applyBorder="1" applyAlignment="1">
      <alignment vertical="center" wrapText="1"/>
    </xf>
    <xf numFmtId="14" fontId="0" fillId="0" borderId="96" xfId="0" applyNumberFormat="1" applyBorder="1" applyAlignment="1">
      <alignment horizontal="right" wrapText="1"/>
    </xf>
    <xf numFmtId="166" fontId="17" fillId="0" borderId="96" xfId="5" applyNumberFormat="1" applyFont="1" applyFill="1" applyBorder="1" applyAlignment="1" applyProtection="1">
      <alignment horizontal="right" vertical="center"/>
    </xf>
    <xf numFmtId="166" fontId="0" fillId="0" borderId="96" xfId="0" applyNumberFormat="1" applyBorder="1" applyAlignment="1">
      <alignment wrapText="1"/>
    </xf>
    <xf numFmtId="9" fontId="0" fillId="0" borderId="182" xfId="0" applyNumberFormat="1" applyBorder="1" applyAlignment="1">
      <alignment horizontal="center" wrapText="1"/>
    </xf>
    <xf numFmtId="9" fontId="0" fillId="3" borderId="83" xfId="0" applyNumberFormat="1" applyFill="1" applyBorder="1" applyAlignment="1">
      <alignment horizontal="center" wrapText="1"/>
    </xf>
    <xf numFmtId="0" fontId="0" fillId="3" borderId="173" xfId="0" applyFill="1" applyBorder="1" applyAlignment="1">
      <alignment wrapText="1"/>
    </xf>
    <xf numFmtId="168" fontId="0" fillId="0" borderId="56" xfId="2" applyNumberFormat="1" applyFont="1" applyBorder="1" applyAlignment="1">
      <alignment horizontal="right" wrapText="1"/>
    </xf>
    <xf numFmtId="9" fontId="0" fillId="3" borderId="85" xfId="0" applyNumberFormat="1" applyFill="1" applyBorder="1" applyAlignment="1">
      <alignment horizontal="center" wrapText="1"/>
    </xf>
    <xf numFmtId="9" fontId="0" fillId="0" borderId="85" xfId="0" applyNumberFormat="1" applyBorder="1" applyAlignment="1">
      <alignment horizontal="center" wrapText="1"/>
    </xf>
    <xf numFmtId="168" fontId="0" fillId="0" borderId="96" xfId="2" applyNumberFormat="1" applyFont="1" applyBorder="1" applyAlignment="1">
      <alignment horizontal="right" wrapText="1"/>
    </xf>
    <xf numFmtId="9" fontId="0" fillId="3" borderId="138" xfId="0" applyNumberFormat="1" applyFill="1" applyBorder="1" applyAlignment="1">
      <alignment horizontal="center" wrapText="1"/>
    </xf>
    <xf numFmtId="0" fontId="0" fillId="0" borderId="0" xfId="0" applyAlignment="1">
      <alignment horizontal="center" wrapText="1"/>
    </xf>
    <xf numFmtId="9" fontId="0" fillId="0" borderId="0" xfId="1" applyFont="1" applyFill="1" applyBorder="1" applyAlignment="1">
      <alignment horizontal="center" wrapText="1"/>
    </xf>
    <xf numFmtId="175" fontId="0" fillId="0" borderId="173" xfId="0" applyNumberFormat="1" applyBorder="1" applyAlignment="1">
      <alignment wrapText="1"/>
    </xf>
    <xf numFmtId="167" fontId="0" fillId="0" borderId="173" xfId="0" applyNumberFormat="1" applyBorder="1" applyAlignment="1">
      <alignment wrapText="1"/>
    </xf>
    <xf numFmtId="0" fontId="6" fillId="0" borderId="173" xfId="0" applyFont="1" applyBorder="1" applyAlignment="1">
      <alignment horizontal="center" wrapText="1"/>
    </xf>
    <xf numFmtId="9" fontId="0" fillId="5" borderId="85" xfId="0" applyNumberFormat="1" applyFill="1" applyBorder="1" applyAlignment="1">
      <alignment horizontal="center" wrapText="1"/>
    </xf>
    <xf numFmtId="0" fontId="6" fillId="5" borderId="173" xfId="0" applyFont="1" applyFill="1" applyBorder="1" applyAlignment="1">
      <alignment horizontal="center" wrapText="1"/>
    </xf>
    <xf numFmtId="0" fontId="0" fillId="0" borderId="173" xfId="0" applyBorder="1" applyAlignment="1">
      <alignment horizontal="center" wrapText="1"/>
    </xf>
    <xf numFmtId="9" fontId="0" fillId="25" borderId="85" xfId="0" applyNumberFormat="1" applyFill="1" applyBorder="1" applyAlignment="1">
      <alignment horizontal="center" wrapText="1"/>
    </xf>
    <xf numFmtId="0" fontId="6" fillId="25" borderId="173" xfId="0" applyFont="1" applyFill="1" applyBorder="1" applyAlignment="1">
      <alignment horizontal="center" wrapText="1"/>
    </xf>
    <xf numFmtId="166" fontId="0" fillId="0" borderId="183" xfId="0" applyNumberFormat="1" applyBorder="1" applyAlignment="1">
      <alignment wrapText="1"/>
    </xf>
    <xf numFmtId="9" fontId="0" fillId="25" borderId="138" xfId="0" applyNumberFormat="1" applyFill="1" applyBorder="1" applyAlignment="1">
      <alignment horizontal="center" wrapText="1"/>
    </xf>
    <xf numFmtId="9" fontId="0" fillId="25" borderId="83" xfId="0" applyNumberFormat="1" applyFill="1" applyBorder="1" applyAlignment="1">
      <alignment horizontal="center" wrapText="1"/>
    </xf>
    <xf numFmtId="0" fontId="16" fillId="25" borderId="0" xfId="0" applyFont="1" applyFill="1" applyAlignment="1">
      <alignment horizontal="center"/>
    </xf>
    <xf numFmtId="14" fontId="18" fillId="0" borderId="87" xfId="0" applyNumberFormat="1" applyFont="1" applyBorder="1" applyAlignment="1">
      <alignment vertical="center" wrapText="1"/>
    </xf>
    <xf numFmtId="14" fontId="0" fillId="0" borderId="87" xfId="0" applyNumberFormat="1" applyBorder="1" applyAlignment="1">
      <alignment horizontal="right" wrapText="1"/>
    </xf>
    <xf numFmtId="166" fontId="17" fillId="0" borderId="87" xfId="5" applyNumberFormat="1" applyFont="1" applyFill="1" applyBorder="1" applyAlignment="1" applyProtection="1">
      <alignment horizontal="right" vertical="center"/>
    </xf>
    <xf numFmtId="166" fontId="0" fillId="0" borderId="87" xfId="0" applyNumberFormat="1" applyBorder="1" applyAlignment="1">
      <alignment wrapText="1"/>
    </xf>
    <xf numFmtId="168" fontId="0" fillId="0" borderId="87" xfId="2" applyNumberFormat="1" applyFont="1" applyBorder="1" applyAlignment="1">
      <alignment horizontal="right" wrapText="1"/>
    </xf>
    <xf numFmtId="14" fontId="18" fillId="0" borderId="97" xfId="0" applyNumberFormat="1" applyFont="1" applyBorder="1" applyAlignment="1">
      <alignment vertical="center" wrapText="1"/>
    </xf>
    <xf numFmtId="14" fontId="0" fillId="0" borderId="97" xfId="0" applyNumberFormat="1" applyBorder="1" applyAlignment="1">
      <alignment horizontal="right" wrapText="1"/>
    </xf>
    <xf numFmtId="166" fontId="17" fillId="0" borderId="97" xfId="5" applyNumberFormat="1" applyFont="1" applyFill="1" applyBorder="1" applyAlignment="1" applyProtection="1">
      <alignment horizontal="right" vertical="center"/>
    </xf>
    <xf numFmtId="166" fontId="0" fillId="0" borderId="127" xfId="0" applyNumberFormat="1" applyBorder="1" applyAlignment="1">
      <alignment wrapText="1"/>
    </xf>
    <xf numFmtId="168" fontId="0" fillId="0" borderId="97" xfId="2" applyNumberFormat="1" applyFont="1" applyBorder="1" applyAlignment="1">
      <alignment horizontal="right" wrapText="1"/>
    </xf>
    <xf numFmtId="0" fontId="6" fillId="25" borderId="173" xfId="0" applyFont="1" applyFill="1" applyBorder="1" applyAlignment="1">
      <alignment wrapText="1"/>
    </xf>
    <xf numFmtId="0" fontId="0" fillId="25" borderId="173" xfId="0" applyFill="1" applyBorder="1" applyAlignment="1">
      <alignment wrapText="1"/>
    </xf>
    <xf numFmtId="166" fontId="0" fillId="0" borderId="121" xfId="0" applyNumberFormat="1" applyBorder="1" applyAlignment="1">
      <alignment wrapText="1"/>
    </xf>
    <xf numFmtId="168" fontId="0" fillId="0" borderId="65" xfId="2" applyNumberFormat="1" applyFont="1" applyBorder="1" applyAlignment="1">
      <alignment horizontal="right" wrapText="1"/>
    </xf>
    <xf numFmtId="9" fontId="0" fillId="5" borderId="83" xfId="0" applyNumberFormat="1" applyFill="1" applyBorder="1" applyAlignment="1">
      <alignment horizontal="center" wrapText="1"/>
    </xf>
    <xf numFmtId="0" fontId="0" fillId="5" borderId="173" xfId="0" applyFill="1" applyBorder="1" applyAlignment="1">
      <alignment wrapText="1"/>
    </xf>
    <xf numFmtId="180" fontId="0" fillId="0" borderId="173" xfId="0" applyNumberFormat="1" applyBorder="1" applyAlignment="1">
      <alignment wrapText="1"/>
    </xf>
    <xf numFmtId="9" fontId="0" fillId="5" borderId="138" xfId="0" applyNumberFormat="1" applyFill="1" applyBorder="1" applyAlignment="1">
      <alignment horizontal="center" wrapText="1"/>
    </xf>
    <xf numFmtId="168" fontId="0" fillId="0" borderId="71" xfId="2" applyNumberFormat="1" applyFont="1" applyBorder="1" applyAlignment="1">
      <alignment horizontal="right" wrapText="1"/>
    </xf>
    <xf numFmtId="9" fontId="0" fillId="5" borderId="88" xfId="0" applyNumberFormat="1" applyFill="1" applyBorder="1" applyAlignment="1">
      <alignment horizontal="center" wrapText="1"/>
    </xf>
    <xf numFmtId="9" fontId="0" fillId="5" borderId="119" xfId="0" applyNumberFormat="1" applyFill="1" applyBorder="1" applyAlignment="1">
      <alignment horizontal="center" wrapText="1"/>
    </xf>
    <xf numFmtId="166" fontId="0" fillId="0" borderId="184" xfId="0" applyNumberFormat="1" applyBorder="1" applyAlignment="1">
      <alignment wrapText="1"/>
    </xf>
    <xf numFmtId="166" fontId="0" fillId="0" borderId="185" xfId="0" applyNumberFormat="1" applyBorder="1" applyAlignment="1">
      <alignment wrapText="1"/>
    </xf>
    <xf numFmtId="0" fontId="0" fillId="0" borderId="33" xfId="0" applyBorder="1" applyAlignment="1">
      <alignment horizontal="center" wrapText="1"/>
    </xf>
    <xf numFmtId="0" fontId="0" fillId="0" borderId="34" xfId="0" applyBorder="1" applyAlignment="1">
      <alignment horizontal="center" wrapText="1"/>
    </xf>
    <xf numFmtId="0" fontId="0" fillId="0" borderId="35" xfId="0" applyBorder="1" applyAlignment="1">
      <alignment horizontal="center" vertical="center" wrapText="1"/>
    </xf>
    <xf numFmtId="9" fontId="0" fillId="0" borderId="37" xfId="1" applyFont="1" applyBorder="1" applyAlignment="1">
      <alignment horizontal="center" wrapText="1"/>
    </xf>
    <xf numFmtId="9" fontId="0" fillId="0" borderId="38" xfId="0" applyNumberFormat="1" applyBorder="1" applyAlignment="1">
      <alignment horizontal="center" vertical="center" wrapText="1"/>
    </xf>
    <xf numFmtId="0" fontId="0" fillId="0" borderId="82" xfId="0" applyBorder="1"/>
    <xf numFmtId="168" fontId="0" fillId="0" borderId="183" xfId="2" applyNumberFormat="1" applyFont="1" applyBorder="1" applyAlignment="1">
      <alignment horizontal="right" wrapText="1"/>
    </xf>
    <xf numFmtId="0" fontId="0" fillId="0" borderId="82" xfId="0" applyBorder="1" applyAlignment="1">
      <alignment wrapText="1"/>
    </xf>
    <xf numFmtId="0" fontId="0" fillId="0" borderId="56" xfId="0" applyBorder="1" applyAlignment="1">
      <alignment wrapText="1"/>
    </xf>
    <xf numFmtId="0" fontId="0" fillId="0" borderId="96" xfId="0" applyBorder="1"/>
    <xf numFmtId="0" fontId="0" fillId="0" borderId="96" xfId="0" applyBorder="1" applyAlignment="1">
      <alignment wrapText="1"/>
    </xf>
    <xf numFmtId="4" fontId="0" fillId="0" borderId="82" xfId="0" applyNumberFormat="1" applyBorder="1"/>
    <xf numFmtId="4" fontId="0" fillId="0" borderId="56" xfId="0" applyNumberFormat="1" applyBorder="1"/>
    <xf numFmtId="0" fontId="0" fillId="0" borderId="87" xfId="0" applyBorder="1"/>
    <xf numFmtId="0" fontId="0" fillId="0" borderId="87" xfId="0" applyBorder="1" applyAlignment="1">
      <alignment wrapText="1"/>
    </xf>
    <xf numFmtId="4" fontId="0" fillId="0" borderId="97" xfId="0" applyNumberFormat="1" applyBorder="1"/>
    <xf numFmtId="166" fontId="0" fillId="0" borderId="112" xfId="0" applyNumberFormat="1" applyBorder="1" applyAlignment="1">
      <alignment wrapText="1"/>
    </xf>
    <xf numFmtId="168" fontId="0" fillId="0" borderId="112" xfId="2" applyNumberFormat="1" applyFont="1" applyBorder="1" applyAlignment="1">
      <alignment horizontal="right" wrapText="1"/>
    </xf>
    <xf numFmtId="0" fontId="0" fillId="0" borderId="97" xfId="0" applyBorder="1" applyAlignment="1">
      <alignment wrapText="1"/>
    </xf>
    <xf numFmtId="4" fontId="29" fillId="0" borderId="82" xfId="0" applyNumberFormat="1" applyFont="1" applyBorder="1"/>
    <xf numFmtId="0" fontId="29" fillId="0" borderId="56" xfId="0" applyFont="1" applyBorder="1"/>
    <xf numFmtId="0" fontId="29" fillId="0" borderId="96" xfId="0" applyFont="1" applyBorder="1"/>
    <xf numFmtId="175" fontId="0" fillId="62" borderId="82" xfId="0" applyNumberFormat="1" applyFill="1" applyBorder="1" applyAlignment="1">
      <alignment wrapText="1"/>
    </xf>
    <xf numFmtId="4" fontId="29" fillId="0" borderId="56" xfId="0" applyNumberFormat="1" applyFont="1" applyBorder="1"/>
    <xf numFmtId="4" fontId="29" fillId="0" borderId="87" xfId="0" applyNumberFormat="1" applyFont="1" applyBorder="1"/>
    <xf numFmtId="4" fontId="29" fillId="0" borderId="97" xfId="0" applyNumberFormat="1" applyFont="1" applyBorder="1"/>
    <xf numFmtId="4" fontId="29" fillId="0" borderId="96" xfId="0" applyNumberFormat="1" applyFont="1" applyBorder="1"/>
    <xf numFmtId="0" fontId="6" fillId="63" borderId="173" xfId="0" applyFont="1" applyFill="1" applyBorder="1" applyAlignment="1">
      <alignment horizontal="center" wrapText="1"/>
    </xf>
    <xf numFmtId="175" fontId="0" fillId="62" borderId="183" xfId="0" applyNumberFormat="1" applyFill="1" applyBorder="1" applyAlignment="1">
      <alignment wrapText="1"/>
    </xf>
    <xf numFmtId="9" fontId="0" fillId="3" borderId="186" xfId="0" applyNumberFormat="1" applyFill="1" applyBorder="1" applyAlignment="1">
      <alignment horizontal="center" wrapText="1"/>
    </xf>
    <xf numFmtId="14" fontId="18" fillId="0" borderId="82" xfId="0" applyNumberFormat="1" applyFont="1" applyBorder="1" applyAlignment="1">
      <alignment horizontal="center" vertical="center" wrapText="1"/>
    </xf>
    <xf numFmtId="14" fontId="0" fillId="0" borderId="82" xfId="0" applyNumberFormat="1" applyBorder="1" applyAlignment="1">
      <alignment horizontal="center" wrapText="1"/>
    </xf>
    <xf numFmtId="1" fontId="29" fillId="0" borderId="82" xfId="0" applyNumberFormat="1" applyFont="1" applyBorder="1" applyAlignment="1">
      <alignment horizontal="center"/>
    </xf>
    <xf numFmtId="168" fontId="0" fillId="0" borderId="121" xfId="2" applyNumberFormat="1" applyFont="1" applyBorder="1" applyAlignment="1">
      <alignment horizontal="right" wrapText="1"/>
    </xf>
    <xf numFmtId="0" fontId="0" fillId="3" borderId="173" xfId="0" applyFill="1" applyBorder="1" applyAlignment="1">
      <alignment horizontal="left" wrapText="1"/>
    </xf>
    <xf numFmtId="14" fontId="18" fillId="0" borderId="56" xfId="0" applyNumberFormat="1" applyFont="1" applyBorder="1" applyAlignment="1">
      <alignment horizontal="center" vertical="center" wrapText="1"/>
    </xf>
    <xf numFmtId="14" fontId="0" fillId="0" borderId="56" xfId="0" applyNumberFormat="1" applyBorder="1" applyAlignment="1">
      <alignment horizontal="center" wrapText="1"/>
    </xf>
    <xf numFmtId="1" fontId="29" fillId="0" borderId="56" xfId="0" applyNumberFormat="1" applyFont="1" applyBorder="1" applyAlignment="1">
      <alignment horizontal="center"/>
    </xf>
    <xf numFmtId="14" fontId="18" fillId="0" borderId="96" xfId="0" applyNumberFormat="1" applyFont="1" applyBorder="1" applyAlignment="1">
      <alignment horizontal="center" vertical="center" wrapText="1"/>
    </xf>
    <xf numFmtId="14" fontId="0" fillId="0" borderId="96" xfId="0" applyNumberFormat="1" applyBorder="1" applyAlignment="1">
      <alignment horizontal="center" wrapText="1"/>
    </xf>
    <xf numFmtId="1" fontId="29" fillId="0" borderId="96" xfId="0" applyNumberFormat="1" applyFont="1" applyBorder="1" applyAlignment="1">
      <alignment horizontal="center"/>
    </xf>
    <xf numFmtId="175" fontId="0" fillId="62" borderId="56" xfId="0" applyNumberFormat="1" applyFill="1" applyBorder="1" applyAlignment="1">
      <alignment wrapText="1"/>
    </xf>
    <xf numFmtId="175" fontId="0" fillId="62" borderId="96" xfId="0" applyNumberFormat="1" applyFill="1" applyBorder="1" applyAlignment="1">
      <alignment wrapText="1"/>
    </xf>
    <xf numFmtId="0" fontId="29" fillId="0" borderId="82" xfId="0" applyFont="1" applyBorder="1" applyAlignment="1">
      <alignment horizontal="center"/>
    </xf>
    <xf numFmtId="0" fontId="29" fillId="0" borderId="56" xfId="0" applyFont="1" applyBorder="1" applyAlignment="1">
      <alignment horizontal="center"/>
    </xf>
    <xf numFmtId="14" fontId="18" fillId="0" borderId="87" xfId="0" applyNumberFormat="1" applyFont="1" applyBorder="1" applyAlignment="1">
      <alignment horizontal="center" vertical="center" wrapText="1"/>
    </xf>
    <xf numFmtId="14" fontId="0" fillId="0" borderId="87" xfId="0" applyNumberFormat="1" applyBorder="1" applyAlignment="1">
      <alignment horizontal="center" wrapText="1"/>
    </xf>
    <xf numFmtId="0" fontId="29" fillId="0" borderId="87" xfId="0" applyFont="1" applyBorder="1" applyAlignment="1">
      <alignment horizontal="center"/>
    </xf>
    <xf numFmtId="175" fontId="0" fillId="62" borderId="87" xfId="0" applyNumberFormat="1" applyFill="1" applyBorder="1" applyAlignment="1">
      <alignment wrapText="1"/>
    </xf>
    <xf numFmtId="9" fontId="0" fillId="3" borderId="88" xfId="0" applyNumberFormat="1" applyFill="1" applyBorder="1" applyAlignment="1">
      <alignment horizontal="center" wrapText="1"/>
    </xf>
    <xf numFmtId="14" fontId="18" fillId="0" borderId="97" xfId="0" applyNumberFormat="1" applyFont="1" applyBorder="1" applyAlignment="1">
      <alignment horizontal="center" vertical="center" wrapText="1"/>
    </xf>
    <xf numFmtId="14" fontId="0" fillId="0" borderId="97" xfId="0" applyNumberFormat="1" applyBorder="1" applyAlignment="1">
      <alignment horizontal="center" wrapText="1"/>
    </xf>
    <xf numFmtId="0" fontId="29" fillId="0" borderId="97" xfId="0" applyFont="1" applyBorder="1" applyAlignment="1">
      <alignment horizontal="center"/>
    </xf>
    <xf numFmtId="166" fontId="0" fillId="0" borderId="97" xfId="0" applyNumberFormat="1" applyBorder="1" applyAlignment="1">
      <alignment wrapText="1"/>
    </xf>
    <xf numFmtId="175" fontId="0" fillId="62" borderId="97" xfId="0" applyNumberFormat="1" applyFill="1" applyBorder="1" applyAlignment="1">
      <alignment wrapText="1"/>
    </xf>
    <xf numFmtId="9" fontId="0" fillId="3" borderId="119" xfId="0" applyNumberFormat="1" applyFill="1" applyBorder="1" applyAlignment="1">
      <alignment horizontal="center" wrapText="1"/>
    </xf>
    <xf numFmtId="0" fontId="29" fillId="0" borderId="96" xfId="0" applyFont="1" applyBorder="1" applyAlignment="1">
      <alignment horizontal="center"/>
    </xf>
    <xf numFmtId="166" fontId="29" fillId="0" borderId="82" xfId="0" applyNumberFormat="1" applyFont="1" applyBorder="1" applyAlignment="1">
      <alignment horizontal="center"/>
    </xf>
    <xf numFmtId="9" fontId="0" fillId="3" borderId="122" xfId="0" applyNumberFormat="1" applyFill="1" applyBorder="1" applyAlignment="1">
      <alignment horizontal="center" wrapText="1"/>
    </xf>
    <xf numFmtId="166" fontId="29" fillId="0" borderId="56" xfId="0" applyNumberFormat="1" applyFont="1" applyBorder="1" applyAlignment="1">
      <alignment horizontal="center"/>
    </xf>
    <xf numFmtId="9" fontId="0" fillId="3" borderId="90" xfId="0" applyNumberFormat="1" applyFill="1" applyBorder="1" applyAlignment="1">
      <alignment horizontal="center" wrapText="1"/>
    </xf>
    <xf numFmtId="166" fontId="0" fillId="0" borderId="181" xfId="0" applyNumberFormat="1" applyBorder="1" applyAlignment="1">
      <alignment wrapText="1"/>
    </xf>
    <xf numFmtId="166" fontId="29" fillId="0" borderId="96" xfId="0" applyNumberFormat="1" applyFont="1" applyBorder="1" applyAlignment="1">
      <alignment horizontal="center"/>
    </xf>
    <xf numFmtId="9" fontId="0" fillId="3" borderId="113" xfId="0" applyNumberFormat="1" applyFill="1" applyBorder="1" applyAlignment="1">
      <alignment horizontal="center" wrapText="1"/>
    </xf>
    <xf numFmtId="9" fontId="0" fillId="3" borderId="128" xfId="0" applyNumberFormat="1" applyFill="1" applyBorder="1" applyAlignment="1">
      <alignment horizontal="center" wrapText="1"/>
    </xf>
    <xf numFmtId="168" fontId="18" fillId="0" borderId="97" xfId="2" applyNumberFormat="1" applyFont="1" applyBorder="1" applyAlignment="1">
      <alignment horizontal="right" vertical="center" wrapText="1"/>
    </xf>
    <xf numFmtId="0" fontId="0" fillId="0" borderId="187" xfId="0" applyBorder="1" applyAlignment="1">
      <alignment wrapText="1"/>
    </xf>
    <xf numFmtId="168" fontId="18" fillId="0" borderId="56" xfId="2" applyNumberFormat="1" applyFont="1" applyBorder="1" applyAlignment="1">
      <alignment horizontal="right" vertical="center" wrapText="1"/>
    </xf>
    <xf numFmtId="168" fontId="0" fillId="0" borderId="56" xfId="2" applyNumberFormat="1" applyFont="1" applyFill="1" applyBorder="1" applyAlignment="1">
      <alignment horizontal="right" wrapText="1"/>
    </xf>
    <xf numFmtId="168" fontId="18" fillId="0" borderId="87" xfId="2" applyNumberFormat="1" applyFont="1" applyBorder="1" applyAlignment="1">
      <alignment horizontal="right" vertical="center" wrapText="1"/>
    </xf>
    <xf numFmtId="168" fontId="0" fillId="0" borderId="87" xfId="2" applyNumberFormat="1" applyFont="1" applyFill="1" applyBorder="1" applyAlignment="1">
      <alignment horizontal="right" wrapText="1"/>
    </xf>
    <xf numFmtId="9" fontId="0" fillId="25" borderId="119" xfId="0" applyNumberFormat="1" applyFill="1" applyBorder="1" applyAlignment="1">
      <alignment horizontal="center" wrapText="1"/>
    </xf>
    <xf numFmtId="168" fontId="18" fillId="0" borderId="2" xfId="2" applyNumberFormat="1" applyFont="1" applyBorder="1" applyAlignment="1">
      <alignment horizontal="right" vertical="center" wrapText="1"/>
    </xf>
    <xf numFmtId="168" fontId="0" fillId="0" borderId="127" xfId="2" applyNumberFormat="1" applyFont="1" applyBorder="1" applyAlignment="1">
      <alignment horizontal="right" wrapText="1"/>
    </xf>
    <xf numFmtId="0" fontId="6" fillId="0" borderId="162" xfId="0" applyFont="1" applyBorder="1" applyAlignment="1">
      <alignment wrapText="1"/>
    </xf>
    <xf numFmtId="0" fontId="6" fillId="5" borderId="175" xfId="0" applyFont="1" applyFill="1" applyBorder="1" applyAlignment="1">
      <alignment wrapText="1"/>
    </xf>
    <xf numFmtId="9" fontId="0" fillId="25" borderId="188" xfId="0" applyNumberFormat="1" applyFill="1" applyBorder="1" applyAlignment="1">
      <alignment horizontal="center" wrapText="1"/>
    </xf>
    <xf numFmtId="168" fontId="18" fillId="0" borderId="82" xfId="2" applyNumberFormat="1" applyFont="1" applyBorder="1" applyAlignment="1">
      <alignment horizontal="right" vertical="center" wrapText="1"/>
    </xf>
    <xf numFmtId="9" fontId="0" fillId="5" borderId="128" xfId="0" applyNumberFormat="1" applyFill="1" applyBorder="1" applyAlignment="1">
      <alignment horizontal="center" wrapText="1"/>
    </xf>
    <xf numFmtId="168" fontId="18" fillId="0" borderId="96" xfId="2" applyNumberFormat="1" applyFont="1" applyBorder="1" applyAlignment="1">
      <alignment horizontal="right" vertical="center" wrapText="1"/>
    </xf>
    <xf numFmtId="9" fontId="0" fillId="5" borderId="188" xfId="0" applyNumberFormat="1" applyFill="1" applyBorder="1" applyAlignment="1">
      <alignment horizontal="center" wrapText="1"/>
    </xf>
    <xf numFmtId="0" fontId="0" fillId="0" borderId="167" xfId="0" applyBorder="1" applyAlignment="1">
      <alignment vertical="center" wrapText="1"/>
    </xf>
    <xf numFmtId="14" fontId="0" fillId="0" borderId="56" xfId="0" applyNumberFormat="1" applyBorder="1" applyAlignment="1">
      <alignment horizontal="center" vertical="center" wrapText="1"/>
    </xf>
    <xf numFmtId="166" fontId="0" fillId="0" borderId="56" xfId="0" applyNumberFormat="1" applyBorder="1" applyAlignment="1">
      <alignment vertical="center" wrapText="1"/>
    </xf>
    <xf numFmtId="168" fontId="0" fillId="0" borderId="56" xfId="2" applyNumberFormat="1" applyFont="1" applyBorder="1" applyAlignment="1">
      <alignment horizontal="right" vertical="center" wrapText="1"/>
    </xf>
    <xf numFmtId="175" fontId="0" fillId="62" borderId="56" xfId="0" applyNumberFormat="1" applyFill="1" applyBorder="1" applyAlignment="1">
      <alignment vertical="center" wrapText="1"/>
    </xf>
    <xf numFmtId="9" fontId="0" fillId="3" borderId="85" xfId="0" applyNumberFormat="1" applyFill="1" applyBorder="1" applyAlignment="1">
      <alignment horizontal="center" vertical="center" wrapText="1"/>
    </xf>
    <xf numFmtId="0" fontId="6" fillId="3" borderId="173" xfId="0" applyFont="1" applyFill="1" applyBorder="1" applyAlignment="1">
      <alignment vertical="center" wrapText="1"/>
    </xf>
    <xf numFmtId="0" fontId="0" fillId="0" borderId="162" xfId="0" applyBorder="1" applyAlignment="1">
      <alignment vertical="center" wrapText="1"/>
    </xf>
    <xf numFmtId="0" fontId="0" fillId="0" borderId="0" xfId="0" applyAlignment="1">
      <alignment vertical="center"/>
    </xf>
    <xf numFmtId="0" fontId="65" fillId="0" borderId="173" xfId="0" applyFont="1" applyBorder="1" applyAlignment="1">
      <alignment wrapText="1"/>
    </xf>
    <xf numFmtId="9" fontId="0" fillId="3" borderId="138" xfId="0" applyNumberFormat="1" applyFill="1" applyBorder="1" applyAlignment="1">
      <alignment horizontal="center" vertical="center" wrapText="1"/>
    </xf>
    <xf numFmtId="9" fontId="0" fillId="3" borderId="83" xfId="0" applyNumberFormat="1" applyFill="1" applyBorder="1" applyAlignment="1">
      <alignment horizontal="center" vertical="center" wrapText="1"/>
    </xf>
    <xf numFmtId="9" fontId="0" fillId="0" borderId="173" xfId="0" applyNumberFormat="1" applyBorder="1" applyAlignment="1">
      <alignment wrapText="1"/>
    </xf>
    <xf numFmtId="0" fontId="65" fillId="0" borderId="162" xfId="0" applyFont="1" applyBorder="1" applyAlignment="1">
      <alignment wrapText="1"/>
    </xf>
    <xf numFmtId="0" fontId="6" fillId="3" borderId="173" xfId="0" applyFont="1" applyFill="1" applyBorder="1" applyAlignment="1">
      <alignment wrapText="1"/>
    </xf>
    <xf numFmtId="14" fontId="18" fillId="0" borderId="108" xfId="0" applyNumberFormat="1" applyFont="1" applyBorder="1" applyAlignment="1">
      <alignment horizontal="center" vertical="center" wrapText="1"/>
    </xf>
    <xf numFmtId="14" fontId="18" fillId="0" borderId="90" xfId="0" applyNumberFormat="1" applyFont="1" applyBorder="1" applyAlignment="1">
      <alignment horizontal="center" vertical="center" wrapText="1"/>
    </xf>
    <xf numFmtId="14" fontId="18" fillId="0" borderId="122" xfId="0" applyNumberFormat="1" applyFont="1" applyBorder="1" applyAlignment="1">
      <alignment horizontal="center" vertical="center" wrapText="1"/>
    </xf>
    <xf numFmtId="14" fontId="18" fillId="0" borderId="116" xfId="0" applyNumberFormat="1" applyFont="1" applyBorder="1" applyAlignment="1">
      <alignment horizontal="center" vertical="center" wrapText="1"/>
    </xf>
    <xf numFmtId="14" fontId="18" fillId="0" borderId="113" xfId="0" applyNumberFormat="1" applyFont="1" applyBorder="1" applyAlignment="1">
      <alignment horizontal="center" vertical="center" wrapText="1"/>
    </xf>
    <xf numFmtId="168" fontId="0" fillId="0" borderId="0" xfId="2" applyNumberFormat="1" applyFont="1" applyFill="1" applyBorder="1" applyAlignment="1">
      <alignment horizontal="right" wrapText="1"/>
    </xf>
    <xf numFmtId="9" fontId="0" fillId="0" borderId="40" xfId="0" applyNumberFormat="1" applyBorder="1" applyAlignment="1">
      <alignment horizontal="center" wrapText="1"/>
    </xf>
    <xf numFmtId="175" fontId="0" fillId="0" borderId="0" xfId="0" applyNumberFormat="1" applyAlignment="1">
      <alignment wrapText="1"/>
    </xf>
    <xf numFmtId="166" fontId="0" fillId="0" borderId="0" xfId="0" applyNumberFormat="1" applyAlignment="1">
      <alignment wrapText="1"/>
    </xf>
    <xf numFmtId="167" fontId="0" fillId="0" borderId="0" xfId="0" applyNumberFormat="1" applyAlignment="1">
      <alignment wrapText="1"/>
    </xf>
    <xf numFmtId="9" fontId="0" fillId="0" borderId="56" xfId="0" applyNumberFormat="1" applyBorder="1" applyAlignment="1">
      <alignment horizontal="center" wrapText="1"/>
    </xf>
    <xf numFmtId="166" fontId="0" fillId="0" borderId="99" xfId="0" applyNumberFormat="1" applyBorder="1" applyAlignment="1">
      <alignment wrapText="1"/>
    </xf>
    <xf numFmtId="9" fontId="0" fillId="0" borderId="31" xfId="0" applyNumberFormat="1" applyBorder="1" applyAlignment="1">
      <alignment horizontal="center" wrapText="1"/>
    </xf>
    <xf numFmtId="164" fontId="0" fillId="0" borderId="167" xfId="2" applyFont="1" applyBorder="1" applyAlignment="1">
      <alignment wrapText="1"/>
    </xf>
    <xf numFmtId="166" fontId="0" fillId="0" borderId="23" xfId="0" applyNumberFormat="1" applyBorder="1" applyAlignment="1">
      <alignment wrapText="1"/>
    </xf>
    <xf numFmtId="167" fontId="0" fillId="0" borderId="167" xfId="0" applyNumberFormat="1" applyBorder="1" applyAlignment="1">
      <alignment wrapText="1"/>
    </xf>
    <xf numFmtId="0" fontId="6" fillId="0" borderId="0" xfId="0" applyFont="1" applyAlignment="1">
      <alignment vertical="center" wrapText="1"/>
    </xf>
    <xf numFmtId="9" fontId="0" fillId="5" borderId="108" xfId="0" applyNumberFormat="1" applyFill="1" applyBorder="1" applyAlignment="1">
      <alignment horizontal="center" wrapText="1"/>
    </xf>
    <xf numFmtId="0" fontId="6" fillId="5" borderId="189" xfId="0" applyFont="1" applyFill="1" applyBorder="1" applyAlignment="1">
      <alignment horizontal="center" wrapText="1"/>
    </xf>
    <xf numFmtId="9" fontId="0" fillId="3" borderId="90" xfId="0" applyNumberFormat="1" applyFill="1" applyBorder="1" applyAlignment="1">
      <alignment horizontal="center" vertical="center" wrapText="1"/>
    </xf>
    <xf numFmtId="9" fontId="0" fillId="3" borderId="113" xfId="0" applyNumberFormat="1" applyFill="1" applyBorder="1" applyAlignment="1">
      <alignment horizontal="center" vertical="center" wrapText="1"/>
    </xf>
    <xf numFmtId="0" fontId="6" fillId="3" borderId="181" xfId="0" applyFont="1" applyFill="1" applyBorder="1" applyAlignment="1">
      <alignment wrapText="1"/>
    </xf>
    <xf numFmtId="9" fontId="0" fillId="3" borderId="119" xfId="0" applyNumberFormat="1" applyFill="1" applyBorder="1" applyAlignment="1">
      <alignment horizontal="center" vertical="center" wrapText="1"/>
    </xf>
    <xf numFmtId="9" fontId="0" fillId="3" borderId="88" xfId="0" applyNumberFormat="1" applyFill="1" applyBorder="1" applyAlignment="1">
      <alignment horizontal="center" vertical="center" wrapText="1"/>
    </xf>
    <xf numFmtId="9" fontId="29" fillId="64" borderId="1" xfId="0" applyNumberFormat="1" applyFont="1" applyFill="1" applyBorder="1" applyAlignment="1">
      <alignment wrapText="1"/>
    </xf>
    <xf numFmtId="6" fontId="53" fillId="44" borderId="99" xfId="0" applyNumberFormat="1" applyFont="1" applyFill="1" applyBorder="1" applyAlignment="1">
      <alignment horizontal="center" vertical="center"/>
    </xf>
    <xf numFmtId="166" fontId="53" fillId="42" borderId="99" xfId="2" applyNumberFormat="1" applyFont="1" applyFill="1" applyBorder="1" applyAlignment="1">
      <alignment horizontal="right" vertical="center"/>
    </xf>
    <xf numFmtId="166" fontId="0" fillId="0" borderId="96" xfId="0" applyNumberFormat="1" applyBorder="1" applyAlignment="1">
      <alignment horizontal="center"/>
    </xf>
    <xf numFmtId="0" fontId="6" fillId="0" borderId="168" xfId="0" applyFont="1" applyBorder="1"/>
    <xf numFmtId="166" fontId="0" fillId="0" borderId="171" xfId="0" applyNumberFormat="1" applyBorder="1"/>
    <xf numFmtId="166" fontId="0" fillId="0" borderId="111" xfId="0" applyNumberFormat="1" applyBorder="1"/>
    <xf numFmtId="166" fontId="21" fillId="3" borderId="111" xfId="0" applyNumberFormat="1" applyFont="1" applyFill="1" applyBorder="1"/>
    <xf numFmtId="166" fontId="0" fillId="0" borderId="191" xfId="0" applyNumberFormat="1" applyBorder="1"/>
    <xf numFmtId="166" fontId="0" fillId="0" borderId="115" xfId="0" applyNumberFormat="1" applyBorder="1"/>
    <xf numFmtId="166" fontId="0" fillId="0" borderId="114" xfId="0" applyNumberFormat="1" applyBorder="1"/>
    <xf numFmtId="9" fontId="0" fillId="0" borderId="162" xfId="0" applyNumberFormat="1" applyBorder="1" applyAlignment="1">
      <alignment wrapText="1"/>
    </xf>
    <xf numFmtId="9" fontId="0" fillId="0" borderId="0" xfId="0" applyNumberFormat="1" applyAlignment="1">
      <alignment wrapText="1"/>
    </xf>
    <xf numFmtId="9" fontId="0" fillId="0" borderId="187" xfId="0" applyNumberFormat="1" applyBorder="1" applyAlignment="1">
      <alignment wrapText="1"/>
    </xf>
    <xf numFmtId="9" fontId="0" fillId="0" borderId="163" xfId="0" applyNumberFormat="1" applyBorder="1" applyAlignment="1">
      <alignment wrapText="1"/>
    </xf>
    <xf numFmtId="9" fontId="0" fillId="0" borderId="0" xfId="2" applyNumberFormat="1" applyFont="1" applyFill="1" applyBorder="1" applyAlignment="1">
      <alignment wrapText="1"/>
    </xf>
    <xf numFmtId="9" fontId="0" fillId="0" borderId="0" xfId="2" applyNumberFormat="1" applyFont="1" applyFill="1" applyBorder="1" applyAlignment="1">
      <alignment horizontal="right" wrapText="1"/>
    </xf>
    <xf numFmtId="9" fontId="0" fillId="0" borderId="173" xfId="0" applyNumberFormat="1" applyBorder="1" applyAlignment="1">
      <alignment vertical="center" wrapText="1"/>
    </xf>
    <xf numFmtId="9" fontId="65" fillId="0" borderId="173" xfId="0" applyNumberFormat="1" applyFont="1" applyBorder="1" applyAlignment="1">
      <alignment wrapText="1"/>
    </xf>
    <xf numFmtId="3" fontId="77" fillId="0" borderId="0" xfId="0" applyNumberFormat="1" applyFont="1" applyAlignment="1">
      <alignment horizontal="center" wrapText="1"/>
    </xf>
    <xf numFmtId="3" fontId="77" fillId="0" borderId="0" xfId="0" applyNumberFormat="1" applyFont="1" applyAlignment="1">
      <alignment horizontal="center" vertical="center" wrapText="1"/>
    </xf>
    <xf numFmtId="3" fontId="77" fillId="0" borderId="0" xfId="0" applyNumberFormat="1" applyFont="1" applyAlignment="1">
      <alignment wrapText="1"/>
    </xf>
    <xf numFmtId="3" fontId="78" fillId="0" borderId="0" xfId="0" applyNumberFormat="1" applyFont="1" applyAlignment="1">
      <alignment horizontal="center" vertical="center" wrapText="1"/>
    </xf>
    <xf numFmtId="3" fontId="78" fillId="0" borderId="0" xfId="0" applyNumberFormat="1" applyFont="1" applyAlignment="1">
      <alignment horizontal="center" wrapText="1"/>
    </xf>
    <xf numFmtId="3" fontId="79" fillId="0" borderId="0" xfId="0" applyNumberFormat="1" applyFont="1" applyAlignment="1">
      <alignment horizontal="center" wrapText="1"/>
    </xf>
    <xf numFmtId="3" fontId="77" fillId="0" borderId="35" xfId="0" applyNumberFormat="1" applyFont="1" applyBorder="1" applyAlignment="1">
      <alignment horizontal="center" vertical="center" wrapText="1"/>
    </xf>
    <xf numFmtId="3" fontId="78" fillId="0" borderId="0" xfId="0" applyNumberFormat="1" applyFont="1" applyAlignment="1">
      <alignment wrapText="1"/>
    </xf>
    <xf numFmtId="3" fontId="80" fillId="0" borderId="0" xfId="0" applyNumberFormat="1" applyFont="1" applyAlignment="1">
      <alignment wrapText="1"/>
    </xf>
    <xf numFmtId="3" fontId="79" fillId="0" borderId="0" xfId="0" applyNumberFormat="1" applyFont="1" applyAlignment="1">
      <alignment wrapText="1"/>
    </xf>
    <xf numFmtId="3" fontId="33" fillId="0" borderId="0" xfId="0" applyNumberFormat="1" applyFont="1"/>
    <xf numFmtId="9" fontId="0" fillId="25" borderId="111" xfId="0" applyNumberFormat="1" applyFill="1" applyBorder="1" applyAlignment="1">
      <alignment horizontal="center"/>
    </xf>
    <xf numFmtId="9" fontId="0" fillId="3" borderId="122" xfId="0" applyNumberFormat="1" applyFill="1" applyBorder="1" applyAlignment="1">
      <alignment horizontal="center" vertical="center" wrapText="1"/>
    </xf>
    <xf numFmtId="6" fontId="49" fillId="0" borderId="102" xfId="0" applyNumberFormat="1" applyFont="1" applyBorder="1" applyAlignment="1">
      <alignment horizontal="center" vertical="center"/>
    </xf>
    <xf numFmtId="6" fontId="49" fillId="31" borderId="99" xfId="0" applyNumberFormat="1" applyFont="1" applyFill="1" applyBorder="1" applyAlignment="1">
      <alignment horizontal="center" vertical="center"/>
    </xf>
    <xf numFmtId="166" fontId="49" fillId="9" borderId="99" xfId="0" applyNumberFormat="1" applyFont="1" applyFill="1" applyBorder="1" applyAlignment="1">
      <alignment horizontal="center" vertical="center"/>
    </xf>
    <xf numFmtId="6" fontId="49" fillId="9" borderId="100" xfId="0" applyNumberFormat="1" applyFont="1" applyFill="1" applyBorder="1" applyAlignment="1">
      <alignment horizontal="center" vertical="center"/>
    </xf>
    <xf numFmtId="6" fontId="49" fillId="9" borderId="99" xfId="0" applyNumberFormat="1" applyFont="1" applyFill="1" applyBorder="1" applyAlignment="1">
      <alignment horizontal="center" vertical="center"/>
    </xf>
    <xf numFmtId="9" fontId="49" fillId="0" borderId="103" xfId="0" applyNumberFormat="1" applyFont="1" applyBorder="1" applyAlignment="1">
      <alignment horizontal="center" vertical="center"/>
    </xf>
    <xf numFmtId="0" fontId="6" fillId="3" borderId="0" xfId="0" applyFont="1" applyFill="1" applyAlignment="1">
      <alignment horizontal="center" wrapText="1"/>
    </xf>
    <xf numFmtId="9" fontId="0" fillId="0" borderId="0" xfId="0" applyNumberFormat="1" applyAlignment="1">
      <alignment horizontal="center" vertical="center" wrapText="1"/>
    </xf>
    <xf numFmtId="9" fontId="0" fillId="0" borderId="87" xfId="1" applyFont="1" applyBorder="1" applyAlignment="1">
      <alignment horizontal="center" wrapText="1"/>
    </xf>
    <xf numFmtId="9" fontId="0" fillId="0" borderId="87" xfId="0" applyNumberFormat="1" applyBorder="1" applyAlignment="1">
      <alignment horizontal="center" vertical="center" wrapText="1"/>
    </xf>
    <xf numFmtId="0" fontId="76" fillId="0" borderId="81" xfId="0" applyFont="1" applyBorder="1" applyAlignment="1">
      <alignment horizontal="center" wrapText="1"/>
    </xf>
    <xf numFmtId="0" fontId="76" fillId="0" borderId="83" xfId="0" applyFont="1" applyBorder="1" applyAlignment="1">
      <alignment horizontal="center" wrapText="1"/>
    </xf>
    <xf numFmtId="9" fontId="0" fillId="0" borderId="84" xfId="0" applyNumberFormat="1" applyBorder="1" applyAlignment="1">
      <alignment horizontal="center" vertical="center" wrapText="1"/>
    </xf>
    <xf numFmtId="0" fontId="0" fillId="0" borderId="85" xfId="0" applyBorder="1" applyAlignment="1">
      <alignment horizontal="center" wrapText="1"/>
    </xf>
    <xf numFmtId="10" fontId="0" fillId="0" borderId="85" xfId="0" applyNumberFormat="1" applyBorder="1" applyAlignment="1">
      <alignment horizontal="center" wrapText="1"/>
    </xf>
    <xf numFmtId="9" fontId="0" fillId="0" borderId="84" xfId="0" applyNumberFormat="1" applyBorder="1" applyAlignment="1">
      <alignment horizontal="center" wrapText="1"/>
    </xf>
    <xf numFmtId="0" fontId="0" fillId="0" borderId="81" xfId="0" applyBorder="1" applyAlignment="1">
      <alignment horizontal="center" wrapText="1"/>
    </xf>
    <xf numFmtId="0" fontId="0" fillId="0" borderId="82" xfId="0" applyBorder="1" applyAlignment="1">
      <alignment horizontal="center" wrapText="1"/>
    </xf>
    <xf numFmtId="0" fontId="0" fillId="0" borderId="82" xfId="0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9" fontId="0" fillId="0" borderId="88" xfId="0" applyNumberFormat="1" applyBorder="1" applyAlignment="1">
      <alignment horizontal="center" wrapText="1"/>
    </xf>
    <xf numFmtId="9" fontId="0" fillId="0" borderId="137" xfId="0" applyNumberFormat="1" applyBorder="1" applyAlignment="1">
      <alignment horizontal="center" wrapText="1"/>
    </xf>
    <xf numFmtId="10" fontId="0" fillId="0" borderId="138" xfId="0" applyNumberFormat="1" applyBorder="1" applyAlignment="1">
      <alignment horizontal="center" wrapText="1"/>
    </xf>
    <xf numFmtId="0" fontId="0" fillId="0" borderId="85" xfId="0" applyBorder="1" applyAlignment="1">
      <alignment wrapText="1"/>
    </xf>
    <xf numFmtId="0" fontId="0" fillId="0" borderId="88" xfId="0" applyBorder="1" applyAlignment="1">
      <alignment wrapText="1"/>
    </xf>
    <xf numFmtId="6" fontId="49" fillId="0" borderId="101" xfId="0" applyNumberFormat="1" applyFont="1" applyBorder="1" applyAlignment="1">
      <alignment horizontal="center" vertical="center"/>
    </xf>
    <xf numFmtId="0" fontId="0" fillId="0" borderId="124" xfId="0" applyBorder="1" applyAlignment="1">
      <alignment horizontal="center" wrapText="1"/>
    </xf>
    <xf numFmtId="9" fontId="0" fillId="0" borderId="117" xfId="1" applyFont="1" applyBorder="1" applyAlignment="1">
      <alignment horizontal="center" wrapText="1"/>
    </xf>
    <xf numFmtId="6" fontId="65" fillId="0" borderId="34" xfId="0" applyNumberFormat="1" applyFont="1" applyBorder="1" applyAlignment="1">
      <alignment horizontal="center" vertical="center" wrapText="1"/>
    </xf>
    <xf numFmtId="6" fontId="65" fillId="0" borderId="1" xfId="0" applyNumberFormat="1" applyFont="1" applyBorder="1" applyAlignment="1">
      <alignment horizontal="center" vertical="center" wrapText="1"/>
    </xf>
    <xf numFmtId="6" fontId="65" fillId="0" borderId="37" xfId="0" applyNumberFormat="1" applyFont="1" applyBorder="1" applyAlignment="1">
      <alignment horizontal="center" vertical="center" wrapText="1"/>
    </xf>
    <xf numFmtId="6" fontId="65" fillId="0" borderId="0" xfId="0" applyNumberFormat="1" applyFont="1" applyAlignment="1">
      <alignment horizontal="center" wrapText="1"/>
    </xf>
    <xf numFmtId="0" fontId="65" fillId="0" borderId="0" xfId="0" applyFont="1" applyAlignment="1">
      <alignment wrapText="1"/>
    </xf>
    <xf numFmtId="6" fontId="49" fillId="48" borderId="87" xfId="0" applyNumberFormat="1" applyFont="1" applyFill="1" applyBorder="1" applyAlignment="1">
      <alignment horizontal="center" vertical="center"/>
    </xf>
    <xf numFmtId="6" fontId="49" fillId="31" borderId="100" xfId="0" applyNumberFormat="1" applyFont="1" applyFill="1" applyBorder="1" applyAlignment="1">
      <alignment horizontal="center" vertical="center"/>
    </xf>
    <xf numFmtId="9" fontId="0" fillId="3" borderId="188" xfId="0" applyNumberFormat="1" applyFill="1" applyBorder="1" applyAlignment="1">
      <alignment horizontal="center" vertical="center" wrapText="1"/>
    </xf>
    <xf numFmtId="0" fontId="6" fillId="65" borderId="136" xfId="0" applyFont="1" applyFill="1" applyBorder="1" applyAlignment="1">
      <alignment vertical="center" wrapText="1"/>
    </xf>
    <xf numFmtId="3" fontId="43" fillId="32" borderId="82" xfId="0" applyNumberFormat="1" applyFont="1" applyFill="1" applyBorder="1"/>
    <xf numFmtId="3" fontId="43" fillId="32" borderId="56" xfId="0" applyNumberFormat="1" applyFont="1" applyFill="1" applyBorder="1"/>
    <xf numFmtId="3" fontId="43" fillId="32" borderId="96" xfId="0" applyNumberFormat="1" applyFont="1" applyFill="1" applyBorder="1"/>
    <xf numFmtId="3" fontId="43" fillId="32" borderId="87" xfId="0" applyNumberFormat="1" applyFont="1" applyFill="1" applyBorder="1"/>
    <xf numFmtId="3" fontId="43" fillId="32" borderId="97" xfId="0" applyNumberFormat="1" applyFont="1" applyFill="1" applyBorder="1"/>
    <xf numFmtId="6" fontId="0" fillId="0" borderId="97" xfId="0" quotePrefix="1" applyNumberFormat="1" applyBorder="1"/>
    <xf numFmtId="43" fontId="29" fillId="0" borderId="34" xfId="0" applyNumberFormat="1" applyFont="1" applyBorder="1" applyAlignment="1">
      <alignment horizontal="center" vertical="center" wrapText="1"/>
    </xf>
    <xf numFmtId="43" fontId="29" fillId="0" borderId="1" xfId="0" applyNumberFormat="1" applyFont="1" applyBorder="1" applyAlignment="1">
      <alignment horizontal="center" vertical="center" wrapText="1"/>
    </xf>
    <xf numFmtId="43" fontId="29" fillId="0" borderId="37" xfId="0" applyNumberFormat="1" applyFont="1" applyBorder="1" applyAlignment="1">
      <alignment horizontal="center" vertical="center" wrapText="1"/>
    </xf>
    <xf numFmtId="43" fontId="29" fillId="0" borderId="0" xfId="0" applyNumberFormat="1" applyFont="1" applyAlignment="1">
      <alignment wrapText="1"/>
    </xf>
    <xf numFmtId="43" fontId="29" fillId="0" borderId="39" xfId="0" applyNumberFormat="1" applyFont="1" applyBorder="1" applyAlignment="1">
      <alignment horizontal="center" vertical="center" wrapText="1"/>
    </xf>
    <xf numFmtId="43" fontId="29" fillId="0" borderId="23" xfId="0" applyNumberFormat="1" applyFont="1" applyBorder="1" applyAlignment="1">
      <alignment horizontal="center" vertical="center" wrapText="1"/>
    </xf>
    <xf numFmtId="43" fontId="29" fillId="0" borderId="25" xfId="0" applyNumberFormat="1" applyFont="1" applyBorder="1" applyAlignment="1">
      <alignment horizontal="center" vertical="center" wrapText="1"/>
    </xf>
    <xf numFmtId="43" fontId="29" fillId="0" borderId="0" xfId="0" applyNumberFormat="1" applyFont="1" applyAlignment="1">
      <alignment horizontal="center" wrapText="1"/>
    </xf>
    <xf numFmtId="43" fontId="29" fillId="0" borderId="40" xfId="0" applyNumberFormat="1" applyFont="1" applyBorder="1" applyAlignment="1">
      <alignment horizontal="center" vertical="center" wrapText="1"/>
    </xf>
    <xf numFmtId="0" fontId="6" fillId="65" borderId="136" xfId="0" applyFont="1" applyFill="1" applyBorder="1" applyAlignment="1">
      <alignment horizontal="center" vertical="center" wrapText="1"/>
    </xf>
    <xf numFmtId="0" fontId="6" fillId="0" borderId="136" xfId="0" applyFont="1" applyBorder="1" applyAlignment="1">
      <alignment horizontal="center" vertical="center" wrapText="1"/>
    </xf>
    <xf numFmtId="9" fontId="6" fillId="3" borderId="83" xfId="0" applyNumberFormat="1" applyFont="1" applyFill="1" applyBorder="1" applyAlignment="1">
      <alignment horizontal="center"/>
    </xf>
    <xf numFmtId="9" fontId="6" fillId="3" borderId="85" xfId="0" applyNumberFormat="1" applyFont="1" applyFill="1" applyBorder="1" applyAlignment="1">
      <alignment horizontal="center"/>
    </xf>
    <xf numFmtId="9" fontId="6" fillId="3" borderId="138" xfId="0" applyNumberFormat="1" applyFont="1" applyFill="1" applyBorder="1" applyAlignment="1">
      <alignment horizontal="center"/>
    </xf>
    <xf numFmtId="9" fontId="6" fillId="3" borderId="151" xfId="0" applyNumberFormat="1" applyFont="1" applyFill="1" applyBorder="1" applyAlignment="1">
      <alignment horizontal="center"/>
    </xf>
    <xf numFmtId="9" fontId="6" fillId="49" borderId="83" xfId="0" applyNumberFormat="1" applyFont="1" applyFill="1" applyBorder="1" applyAlignment="1">
      <alignment horizontal="center"/>
    </xf>
    <xf numFmtId="9" fontId="6" fillId="49" borderId="138" xfId="0" applyNumberFormat="1" applyFont="1" applyFill="1" applyBorder="1" applyAlignment="1">
      <alignment horizontal="center"/>
    </xf>
    <xf numFmtId="9" fontId="6" fillId="49" borderId="151" xfId="0" applyNumberFormat="1" applyFont="1" applyFill="1" applyBorder="1" applyAlignment="1">
      <alignment horizontal="center"/>
    </xf>
    <xf numFmtId="0" fontId="31" fillId="23" borderId="193" xfId="0" applyFont="1" applyFill="1" applyBorder="1" applyAlignment="1">
      <alignment horizontal="center" vertical="center" wrapText="1"/>
    </xf>
    <xf numFmtId="8" fontId="29" fillId="0" borderId="41" xfId="0" applyNumberFormat="1" applyFont="1" applyBorder="1" applyAlignment="1">
      <alignment horizontal="center" vertical="center" wrapText="1"/>
    </xf>
    <xf numFmtId="0" fontId="31" fillId="23" borderId="79" xfId="0" applyFont="1" applyFill="1" applyBorder="1" applyAlignment="1">
      <alignment horizontal="center" vertical="center" wrapText="1"/>
    </xf>
    <xf numFmtId="0" fontId="31" fillId="29" borderId="193" xfId="0" applyFont="1" applyFill="1" applyBorder="1" applyAlignment="1">
      <alignment horizontal="center" vertical="center" wrapText="1"/>
    </xf>
    <xf numFmtId="0" fontId="31" fillId="29" borderId="79" xfId="0" applyFont="1" applyFill="1" applyBorder="1" applyAlignment="1">
      <alignment horizontal="center" vertical="center" wrapText="1"/>
    </xf>
    <xf numFmtId="0" fontId="81" fillId="28" borderId="0" xfId="0" applyFont="1" applyFill="1" applyAlignment="1">
      <alignment horizontal="center" vertical="center"/>
    </xf>
    <xf numFmtId="9" fontId="6" fillId="28" borderId="151" xfId="0" applyNumberFormat="1" applyFont="1" applyFill="1" applyBorder="1" applyAlignment="1">
      <alignment horizontal="center"/>
    </xf>
    <xf numFmtId="9" fontId="0" fillId="0" borderId="27" xfId="0" applyNumberFormat="1" applyBorder="1" applyAlignment="1">
      <alignment horizontal="center" wrapText="1"/>
    </xf>
    <xf numFmtId="9" fontId="0" fillId="0" borderId="28" xfId="0" applyNumberFormat="1" applyBorder="1" applyAlignment="1">
      <alignment horizontal="center" wrapText="1"/>
    </xf>
    <xf numFmtId="9" fontId="0" fillId="0" borderId="80" xfId="0" applyNumberFormat="1" applyBorder="1" applyAlignment="1">
      <alignment horizontal="center" wrapText="1"/>
    </xf>
    <xf numFmtId="9" fontId="0" fillId="3" borderId="0" xfId="0" applyNumberFormat="1" applyFill="1" applyAlignment="1">
      <alignment horizontal="center" wrapText="1"/>
    </xf>
    <xf numFmtId="9" fontId="0" fillId="5" borderId="0" xfId="0" applyNumberFormat="1" applyFill="1" applyAlignment="1">
      <alignment horizontal="center" wrapText="1"/>
    </xf>
    <xf numFmtId="9" fontId="0" fillId="25" borderId="0" xfId="0" applyNumberFormat="1" applyFill="1" applyAlignment="1">
      <alignment horizontal="center" wrapText="1"/>
    </xf>
    <xf numFmtId="9" fontId="0" fillId="3" borderId="144" xfId="0" applyNumberFormat="1" applyFill="1" applyBorder="1" applyAlignment="1">
      <alignment horizontal="center" wrapText="1"/>
    </xf>
    <xf numFmtId="9" fontId="0" fillId="3" borderId="0" xfId="0" applyNumberFormat="1" applyFill="1" applyAlignment="1">
      <alignment horizontal="center" vertical="center" wrapText="1"/>
    </xf>
    <xf numFmtId="9" fontId="0" fillId="3" borderId="144" xfId="0" applyNumberFormat="1" applyFill="1" applyBorder="1" applyAlignment="1">
      <alignment horizontal="center" vertical="center" wrapText="1"/>
    </xf>
    <xf numFmtId="9" fontId="0" fillId="3" borderId="194" xfId="0" applyNumberFormat="1" applyFill="1" applyBorder="1" applyAlignment="1">
      <alignment horizontal="center" vertical="center" wrapText="1"/>
    </xf>
    <xf numFmtId="0" fontId="0" fillId="0" borderId="121" xfId="0" applyBorder="1"/>
    <xf numFmtId="9" fontId="0" fillId="3" borderId="56" xfId="0" applyNumberFormat="1" applyFill="1" applyBorder="1" applyAlignment="1">
      <alignment horizontal="center" vertical="center" wrapText="1"/>
    </xf>
    <xf numFmtId="9" fontId="0" fillId="3" borderId="82" xfId="0" applyNumberFormat="1" applyFill="1" applyBorder="1" applyAlignment="1">
      <alignment horizontal="center" vertical="center" wrapText="1"/>
    </xf>
    <xf numFmtId="9" fontId="0" fillId="3" borderId="96" xfId="0" applyNumberFormat="1" applyFill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166" fontId="19" fillId="56" borderId="195" xfId="0" applyNumberFormat="1" applyFont="1" applyFill="1" applyBorder="1" applyAlignment="1">
      <alignment horizontal="right" vertical="center"/>
    </xf>
    <xf numFmtId="9" fontId="0" fillId="0" borderId="99" xfId="0" applyNumberFormat="1" applyBorder="1" applyAlignment="1">
      <alignment horizontal="center" wrapText="1"/>
    </xf>
    <xf numFmtId="9" fontId="0" fillId="0" borderId="26" xfId="0" applyNumberFormat="1" applyBorder="1" applyAlignment="1">
      <alignment horizont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20" xfId="0" applyFont="1" applyBorder="1" applyAlignment="1">
      <alignment horizontal="center" vertical="center" wrapText="1"/>
    </xf>
    <xf numFmtId="0" fontId="6" fillId="0" borderId="121" xfId="0" applyFont="1" applyBorder="1" applyAlignment="1">
      <alignment horizontal="center" vertical="center" wrapText="1"/>
    </xf>
    <xf numFmtId="0" fontId="6" fillId="0" borderId="151" xfId="0" applyFont="1" applyBorder="1" applyAlignment="1">
      <alignment horizontal="center" vertical="center" wrapText="1"/>
    </xf>
    <xf numFmtId="9" fontId="6" fillId="49" borderId="122" xfId="0" applyNumberFormat="1" applyFont="1" applyFill="1" applyBorder="1" applyAlignment="1">
      <alignment horizontal="center"/>
    </xf>
    <xf numFmtId="9" fontId="6" fillId="49" borderId="113" xfId="0" applyNumberFormat="1" applyFont="1" applyFill="1" applyBorder="1" applyAlignment="1">
      <alignment horizontal="center"/>
    </xf>
    <xf numFmtId="9" fontId="6" fillId="49" borderId="123" xfId="0" applyNumberFormat="1" applyFont="1" applyFill="1" applyBorder="1" applyAlignment="1">
      <alignment horizontal="center"/>
    </xf>
    <xf numFmtId="6" fontId="0" fillId="0" borderId="160" xfId="0" applyNumberFormat="1" applyBorder="1"/>
    <xf numFmtId="6" fontId="0" fillId="0" borderId="126" xfId="0" applyNumberFormat="1" applyBorder="1"/>
    <xf numFmtId="9" fontId="6" fillId="49" borderId="88" xfId="0" applyNumberFormat="1" applyFont="1" applyFill="1" applyBorder="1" applyAlignment="1">
      <alignment horizontal="center"/>
    </xf>
    <xf numFmtId="9" fontId="6" fillId="49" borderId="128" xfId="0" applyNumberFormat="1" applyFont="1" applyFill="1" applyBorder="1" applyAlignment="1">
      <alignment horizontal="center"/>
    </xf>
    <xf numFmtId="6" fontId="0" fillId="0" borderId="130" xfId="0" applyNumberFormat="1" applyBorder="1"/>
    <xf numFmtId="6" fontId="0" fillId="0" borderId="134" xfId="0" applyNumberFormat="1" applyBorder="1"/>
    <xf numFmtId="6" fontId="0" fillId="0" borderId="145" xfId="0" applyNumberFormat="1" applyBorder="1"/>
    <xf numFmtId="9" fontId="6" fillId="3" borderId="90" xfId="0" applyNumberFormat="1" applyFont="1" applyFill="1" applyBorder="1" applyAlignment="1">
      <alignment horizontal="center"/>
    </xf>
    <xf numFmtId="9" fontId="6" fillId="3" borderId="113" xfId="0" applyNumberFormat="1" applyFont="1" applyFill="1" applyBorder="1" applyAlignment="1">
      <alignment horizontal="center"/>
    </xf>
    <xf numFmtId="9" fontId="6" fillId="3" borderId="123" xfId="0" applyNumberFormat="1" applyFont="1" applyFill="1" applyBorder="1" applyAlignment="1">
      <alignment horizontal="center"/>
    </xf>
    <xf numFmtId="6" fontId="0" fillId="0" borderId="158" xfId="0" applyNumberFormat="1" applyBorder="1"/>
    <xf numFmtId="6" fontId="0" fillId="0" borderId="183" xfId="0" applyNumberFormat="1" applyBorder="1"/>
    <xf numFmtId="9" fontId="6" fillId="3" borderId="186" xfId="0" applyNumberFormat="1" applyFont="1" applyFill="1" applyBorder="1" applyAlignment="1">
      <alignment horizontal="center"/>
    </xf>
    <xf numFmtId="9" fontId="6" fillId="3" borderId="88" xfId="0" applyNumberFormat="1" applyFont="1" applyFill="1" applyBorder="1" applyAlignment="1">
      <alignment horizontal="center"/>
    </xf>
    <xf numFmtId="10" fontId="29" fillId="0" borderId="0" xfId="0" applyNumberFormat="1" applyFont="1" applyAlignment="1">
      <alignment wrapText="1"/>
    </xf>
    <xf numFmtId="9" fontId="65" fillId="0" borderId="1" xfId="1" applyFont="1" applyFill="1" applyBorder="1" applyAlignment="1">
      <alignment wrapText="1"/>
    </xf>
    <xf numFmtId="4" fontId="82" fillId="0" borderId="0" xfId="0" applyNumberFormat="1" applyFont="1"/>
    <xf numFmtId="9" fontId="0" fillId="3" borderId="111" xfId="0" applyNumberFormat="1" applyFill="1" applyBorder="1" applyAlignment="1">
      <alignment horizontal="center"/>
    </xf>
    <xf numFmtId="9" fontId="0" fillId="3" borderId="117" xfId="0" applyNumberFormat="1" applyFill="1" applyBorder="1" applyAlignment="1">
      <alignment horizontal="center"/>
    </xf>
    <xf numFmtId="3" fontId="29" fillId="3" borderId="1" xfId="0" applyNumberFormat="1" applyFont="1" applyFill="1" applyBorder="1" applyAlignment="1">
      <alignment wrapText="1"/>
    </xf>
    <xf numFmtId="14" fontId="0" fillId="0" borderId="82" xfId="0" applyNumberFormat="1" applyBorder="1" applyAlignment="1">
      <alignment horizontal="center" vertical="center" wrapText="1"/>
    </xf>
    <xf numFmtId="166" fontId="0" fillId="0" borderId="82" xfId="0" applyNumberFormat="1" applyBorder="1" applyAlignment="1">
      <alignment vertical="center" wrapText="1"/>
    </xf>
    <xf numFmtId="168" fontId="0" fillId="0" borderId="82" xfId="2" applyNumberFormat="1" applyFont="1" applyBorder="1" applyAlignment="1">
      <alignment horizontal="right" vertical="center" wrapText="1"/>
    </xf>
    <xf numFmtId="175" fontId="0" fillId="62" borderId="82" xfId="0" applyNumberFormat="1" applyFill="1" applyBorder="1" applyAlignment="1">
      <alignment vertical="center" wrapText="1"/>
    </xf>
    <xf numFmtId="9" fontId="0" fillId="0" borderId="167" xfId="0" applyNumberFormat="1" applyBorder="1" applyAlignment="1">
      <alignment wrapText="1"/>
    </xf>
    <xf numFmtId="9" fontId="0" fillId="0" borderId="86" xfId="1" applyFont="1" applyBorder="1" applyAlignment="1">
      <alignment horizontal="center" wrapText="1"/>
    </xf>
    <xf numFmtId="0" fontId="83" fillId="0" borderId="0" xfId="0" applyFont="1"/>
    <xf numFmtId="9" fontId="0" fillId="3" borderId="82" xfId="0" applyNumberFormat="1" applyFill="1" applyBorder="1" applyAlignment="1">
      <alignment horizontal="center" wrapText="1"/>
    </xf>
    <xf numFmtId="0" fontId="0" fillId="0" borderId="83" xfId="0" applyBorder="1"/>
    <xf numFmtId="9" fontId="0" fillId="36" borderId="56" xfId="0" applyNumberFormat="1" applyFill="1" applyBorder="1" applyAlignment="1">
      <alignment horizontal="center" wrapText="1"/>
    </xf>
    <xf numFmtId="0" fontId="29" fillId="0" borderId="0" xfId="0" applyFont="1" applyAlignment="1">
      <alignment wrapText="1"/>
    </xf>
    <xf numFmtId="6" fontId="0" fillId="66" borderId="15" xfId="0" applyNumberFormat="1" applyFill="1" applyBorder="1" applyAlignment="1">
      <alignment horizontal="center"/>
    </xf>
    <xf numFmtId="9" fontId="0" fillId="36" borderId="96" xfId="0" applyNumberFormat="1" applyFill="1" applyBorder="1" applyAlignment="1">
      <alignment horizontal="center" wrapText="1"/>
    </xf>
    <xf numFmtId="0" fontId="0" fillId="0" borderId="138" xfId="0" applyBorder="1" applyAlignment="1">
      <alignment wrapText="1"/>
    </xf>
    <xf numFmtId="9" fontId="0" fillId="36" borderId="82" xfId="0" applyNumberFormat="1" applyFill="1" applyBorder="1" applyAlignment="1">
      <alignment horizontal="center" wrapText="1"/>
    </xf>
    <xf numFmtId="9" fontId="0" fillId="0" borderId="83" xfId="0" applyNumberFormat="1" applyBorder="1" applyAlignment="1">
      <alignment wrapText="1"/>
    </xf>
    <xf numFmtId="14" fontId="18" fillId="5" borderId="96" xfId="0" applyNumberFormat="1" applyFont="1" applyFill="1" applyBorder="1" applyAlignment="1">
      <alignment horizontal="center" vertical="center" wrapText="1"/>
    </xf>
    <xf numFmtId="14" fontId="18" fillId="5" borderId="82" xfId="0" applyNumberFormat="1" applyFont="1" applyFill="1" applyBorder="1" applyAlignment="1">
      <alignment horizontal="center" vertical="center" wrapText="1"/>
    </xf>
    <xf numFmtId="14" fontId="18" fillId="5" borderId="56" xfId="0" applyNumberFormat="1" applyFont="1" applyFill="1" applyBorder="1" applyAlignment="1">
      <alignment horizontal="center" vertical="center" wrapText="1"/>
    </xf>
    <xf numFmtId="14" fontId="0" fillId="5" borderId="56" xfId="0" applyNumberFormat="1" applyFill="1" applyBorder="1" applyAlignment="1">
      <alignment horizontal="center" wrapText="1"/>
    </xf>
    <xf numFmtId="0" fontId="84" fillId="0" borderId="85" xfId="0" applyFont="1" applyBorder="1"/>
    <xf numFmtId="9" fontId="0" fillId="63" borderId="56" xfId="0" applyNumberFormat="1" applyFill="1" applyBorder="1" applyAlignment="1">
      <alignment horizontal="center" wrapText="1"/>
    </xf>
    <xf numFmtId="0" fontId="0" fillId="0" borderId="83" xfId="0" applyBorder="1" applyAlignment="1">
      <alignment wrapText="1"/>
    </xf>
    <xf numFmtId="176" fontId="29" fillId="0" borderId="90" xfId="0" applyNumberFormat="1" applyFont="1" applyBorder="1" applyAlignment="1">
      <alignment wrapText="1"/>
    </xf>
    <xf numFmtId="176" fontId="29" fillId="0" borderId="111" xfId="0" applyNumberFormat="1" applyFont="1" applyBorder="1" applyAlignment="1">
      <alignment wrapText="1"/>
    </xf>
    <xf numFmtId="176" fontId="29" fillId="0" borderId="97" xfId="0" applyNumberFormat="1" applyFont="1" applyBorder="1" applyAlignment="1">
      <alignment wrapText="1"/>
    </xf>
    <xf numFmtId="9" fontId="0" fillId="36" borderId="97" xfId="0" applyNumberFormat="1" applyFill="1" applyBorder="1" applyAlignment="1">
      <alignment horizontal="center" wrapText="1"/>
    </xf>
    <xf numFmtId="175" fontId="0" fillId="62" borderId="112" xfId="0" applyNumberFormat="1" applyFill="1" applyBorder="1" applyAlignment="1">
      <alignment wrapText="1"/>
    </xf>
    <xf numFmtId="0" fontId="6" fillId="0" borderId="125" xfId="0" applyFont="1" applyBorder="1" applyAlignment="1">
      <alignment horizontal="center" vertical="center" wrapText="1"/>
    </xf>
    <xf numFmtId="14" fontId="0" fillId="0" borderId="0" xfId="0" applyNumberFormat="1" applyAlignment="1">
      <alignment horizontal="right" wrapText="1"/>
    </xf>
    <xf numFmtId="14" fontId="0" fillId="0" borderId="26" xfId="0" applyNumberFormat="1" applyBorder="1" applyAlignment="1">
      <alignment horizontal="right" wrapText="1"/>
    </xf>
    <xf numFmtId="14" fontId="0" fillId="0" borderId="59" xfId="0" applyNumberFormat="1" applyBorder="1" applyAlignment="1">
      <alignment horizontal="right" wrapText="1"/>
    </xf>
    <xf numFmtId="14" fontId="0" fillId="0" borderId="174" xfId="0" applyNumberFormat="1" applyBorder="1" applyAlignment="1">
      <alignment horizontal="right" wrapText="1"/>
    </xf>
    <xf numFmtId="14" fontId="0" fillId="0" borderId="0" xfId="0" applyNumberFormat="1" applyAlignment="1">
      <alignment horizontal="center" wrapText="1"/>
    </xf>
    <xf numFmtId="0" fontId="0" fillId="0" borderId="90" xfId="0" applyBorder="1" applyAlignment="1">
      <alignment wrapText="1"/>
    </xf>
    <xf numFmtId="0" fontId="0" fillId="0" borderId="116" xfId="0" applyBorder="1" applyAlignment="1">
      <alignment wrapText="1"/>
    </xf>
    <xf numFmtId="0" fontId="0" fillId="0" borderId="108" xfId="0" applyBorder="1" applyAlignment="1">
      <alignment wrapText="1"/>
    </xf>
    <xf numFmtId="0" fontId="0" fillId="0" borderId="113" xfId="0" applyBorder="1" applyAlignment="1">
      <alignment wrapText="1"/>
    </xf>
    <xf numFmtId="0" fontId="0" fillId="0" borderId="122" xfId="0" applyBorder="1" applyAlignment="1">
      <alignment wrapText="1"/>
    </xf>
    <xf numFmtId="170" fontId="0" fillId="0" borderId="97" xfId="0" applyNumberFormat="1" applyBorder="1" applyAlignment="1">
      <alignment horizontal="center" wrapText="1"/>
    </xf>
    <xf numFmtId="170" fontId="0" fillId="0" borderId="56" xfId="0" applyNumberFormat="1" applyBorder="1" applyAlignment="1">
      <alignment horizontal="center" wrapText="1"/>
    </xf>
    <xf numFmtId="170" fontId="0" fillId="0" borderId="87" xfId="0" applyNumberFormat="1" applyBorder="1" applyAlignment="1">
      <alignment horizontal="center" wrapText="1"/>
    </xf>
    <xf numFmtId="170" fontId="0" fillId="0" borderId="96" xfId="0" applyNumberFormat="1" applyBorder="1" applyAlignment="1">
      <alignment horizontal="center" wrapText="1"/>
    </xf>
    <xf numFmtId="170" fontId="0" fillId="0" borderId="82" xfId="0" applyNumberFormat="1" applyBorder="1" applyAlignment="1">
      <alignment horizontal="center" wrapText="1"/>
    </xf>
    <xf numFmtId="9" fontId="29" fillId="36" borderId="1" xfId="0" applyNumberFormat="1" applyFont="1" applyFill="1" applyBorder="1" applyAlignment="1">
      <alignment wrapText="1"/>
    </xf>
    <xf numFmtId="9" fontId="6" fillId="46" borderId="83" xfId="0" applyNumberFormat="1" applyFont="1" applyFill="1" applyBorder="1" applyAlignment="1">
      <alignment horizontal="center"/>
    </xf>
    <xf numFmtId="9" fontId="6" fillId="25" borderId="85" xfId="0" applyNumberFormat="1" applyFont="1" applyFill="1" applyBorder="1" applyAlignment="1">
      <alignment horizontal="center"/>
    </xf>
    <xf numFmtId="9" fontId="6" fillId="46" borderId="85" xfId="0" applyNumberFormat="1" applyFont="1" applyFill="1" applyBorder="1" applyAlignment="1">
      <alignment horizontal="center"/>
    </xf>
    <xf numFmtId="9" fontId="6" fillId="46" borderId="88" xfId="0" applyNumberFormat="1" applyFont="1" applyFill="1" applyBorder="1" applyAlignment="1">
      <alignment horizontal="center"/>
    </xf>
    <xf numFmtId="9" fontId="6" fillId="36" borderId="85" xfId="0" applyNumberFormat="1" applyFont="1" applyFill="1" applyBorder="1" applyAlignment="1">
      <alignment horizontal="center"/>
    </xf>
    <xf numFmtId="166" fontId="0" fillId="0" borderId="138" xfId="0" applyNumberFormat="1" applyBorder="1" applyAlignment="1">
      <alignment wrapText="1"/>
    </xf>
    <xf numFmtId="181" fontId="0" fillId="0" borderId="162" xfId="0" applyNumberFormat="1" applyBorder="1" applyAlignment="1">
      <alignment wrapText="1"/>
    </xf>
    <xf numFmtId="9" fontId="0" fillId="32" borderId="196" xfId="0" applyNumberFormat="1" applyFill="1" applyBorder="1" applyAlignment="1">
      <alignment horizontal="center"/>
    </xf>
    <xf numFmtId="9" fontId="0" fillId="32" borderId="110" xfId="0" applyNumberFormat="1" applyFill="1" applyBorder="1" applyAlignment="1">
      <alignment horizontal="center"/>
    </xf>
    <xf numFmtId="9" fontId="0" fillId="32" borderId="197" xfId="0" applyNumberFormat="1" applyFill="1" applyBorder="1" applyAlignment="1">
      <alignment horizontal="center"/>
    </xf>
    <xf numFmtId="9" fontId="0" fillId="32" borderId="95" xfId="0" applyNumberFormat="1" applyFill="1" applyBorder="1" applyAlignment="1">
      <alignment horizontal="center"/>
    </xf>
    <xf numFmtId="9" fontId="0" fillId="0" borderId="56" xfId="1" applyFont="1" applyBorder="1" applyAlignment="1">
      <alignment horizontal="center" wrapText="1"/>
    </xf>
    <xf numFmtId="9" fontId="0" fillId="0" borderId="111" xfId="1" applyFont="1" applyBorder="1" applyAlignment="1">
      <alignment horizontal="center" wrapText="1"/>
    </xf>
    <xf numFmtId="9" fontId="0" fillId="0" borderId="56" xfId="0" applyNumberFormat="1" applyBorder="1" applyAlignment="1">
      <alignment horizontal="center" vertical="center" wrapText="1"/>
    </xf>
    <xf numFmtId="181" fontId="0" fillId="0" borderId="163" xfId="0" applyNumberFormat="1" applyBorder="1" applyAlignment="1">
      <alignment wrapText="1"/>
    </xf>
    <xf numFmtId="9" fontId="0" fillId="36" borderId="87" xfId="0" applyNumberFormat="1" applyFill="1" applyBorder="1" applyAlignment="1">
      <alignment horizontal="center" wrapText="1"/>
    </xf>
    <xf numFmtId="10" fontId="29" fillId="0" borderId="0" xfId="0" applyNumberFormat="1" applyFont="1"/>
    <xf numFmtId="6" fontId="85" fillId="0" borderId="97" xfId="0" applyNumberFormat="1" applyFont="1" applyBorder="1"/>
    <xf numFmtId="9" fontId="0" fillId="3" borderId="56" xfId="0" applyNumberFormat="1" applyFill="1" applyBorder="1" applyAlignment="1">
      <alignment horizontal="center" wrapText="1"/>
    </xf>
    <xf numFmtId="43" fontId="0" fillId="0" borderId="0" xfId="0" applyNumberFormat="1"/>
    <xf numFmtId="0" fontId="2" fillId="2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44" fillId="43" borderId="20" xfId="0" applyFont="1" applyFill="1" applyBorder="1" applyAlignment="1">
      <alignment horizontal="center" vertical="center" wrapText="1"/>
    </xf>
    <xf numFmtId="0" fontId="57" fillId="43" borderId="34" xfId="0" applyFont="1" applyFill="1" applyBorder="1" applyAlignment="1">
      <alignment horizontal="center" vertical="center" wrapText="1"/>
    </xf>
    <xf numFmtId="0" fontId="57" fillId="43" borderId="37" xfId="0" applyFont="1" applyFill="1" applyBorder="1" applyAlignment="1">
      <alignment horizontal="center" vertical="center" wrapText="1"/>
    </xf>
    <xf numFmtId="0" fontId="56" fillId="40" borderId="34" xfId="0" applyFont="1" applyFill="1" applyBorder="1" applyAlignment="1">
      <alignment horizontal="center" vertical="center" wrapText="1"/>
    </xf>
    <xf numFmtId="0" fontId="56" fillId="40" borderId="37" xfId="0" applyFont="1" applyFill="1" applyBorder="1" applyAlignment="1">
      <alignment horizontal="center" vertical="center" wrapText="1"/>
    </xf>
    <xf numFmtId="0" fontId="6" fillId="0" borderId="111" xfId="0" applyFont="1" applyBorder="1" applyAlignment="1">
      <alignment horizontal="center"/>
    </xf>
    <xf numFmtId="9" fontId="0" fillId="3" borderId="97" xfId="0" applyNumberFormat="1" applyFill="1" applyBorder="1" applyAlignment="1">
      <alignment horizontal="center" wrapText="1"/>
    </xf>
    <xf numFmtId="0" fontId="15" fillId="50" borderId="56" xfId="0" applyFont="1" applyFill="1" applyBorder="1" applyAlignment="1">
      <alignment horizontal="center" vertical="center" wrapText="1"/>
    </xf>
    <xf numFmtId="0" fontId="15" fillId="49" borderId="56" xfId="0" applyFont="1" applyFill="1" applyBorder="1" applyAlignment="1">
      <alignment horizontal="center" vertical="center" wrapText="1"/>
    </xf>
    <xf numFmtId="0" fontId="15" fillId="0" borderId="56" xfId="0" applyFont="1" applyBorder="1" applyAlignment="1">
      <alignment horizontal="center" vertical="center" wrapText="1"/>
    </xf>
    <xf numFmtId="14" fontId="86" fillId="0" borderId="0" xfId="0" applyNumberFormat="1" applyFont="1"/>
    <xf numFmtId="6" fontId="6" fillId="0" borderId="56" xfId="0" applyNumberFormat="1" applyFont="1" applyBorder="1"/>
    <xf numFmtId="9" fontId="48" fillId="9" borderId="9" xfId="0" applyNumberFormat="1" applyFont="1" applyFill="1" applyBorder="1" applyAlignment="1">
      <alignment horizontal="center" vertical="center"/>
    </xf>
    <xf numFmtId="9" fontId="0" fillId="3" borderId="56" xfId="0" applyNumberFormat="1" applyFill="1" applyBorder="1"/>
    <xf numFmtId="9" fontId="49" fillId="48" borderId="56" xfId="0" applyNumberFormat="1" applyFont="1" applyFill="1" applyBorder="1" applyAlignment="1">
      <alignment horizontal="center" wrapText="1"/>
    </xf>
    <xf numFmtId="173" fontId="29" fillId="0" borderId="90" xfId="0" applyNumberFormat="1" applyFont="1" applyBorder="1" applyAlignment="1">
      <alignment wrapText="1"/>
    </xf>
    <xf numFmtId="177" fontId="49" fillId="48" borderId="116" xfId="0" applyNumberFormat="1" applyFont="1" applyFill="1" applyBorder="1"/>
    <xf numFmtId="170" fontId="29" fillId="0" borderId="1" xfId="0" applyNumberFormat="1" applyFont="1" applyBorder="1" applyAlignment="1">
      <alignment horizontal="center" vertical="center" wrapText="1"/>
    </xf>
    <xf numFmtId="170" fontId="29" fillId="46" borderId="1" xfId="0" applyNumberFormat="1" applyFont="1" applyFill="1" applyBorder="1" applyAlignment="1">
      <alignment horizontal="center" vertical="center" wrapText="1"/>
    </xf>
    <xf numFmtId="170" fontId="49" fillId="9" borderId="100" xfId="0" applyNumberFormat="1" applyFont="1" applyFill="1" applyBorder="1" applyAlignment="1">
      <alignment horizontal="center" vertical="center" wrapText="1"/>
    </xf>
    <xf numFmtId="170" fontId="49" fillId="9" borderId="99" xfId="0" applyNumberFormat="1" applyFont="1" applyFill="1" applyBorder="1" applyAlignment="1">
      <alignment horizontal="center" vertical="center" wrapText="1"/>
    </xf>
    <xf numFmtId="9" fontId="21" fillId="52" borderId="56" xfId="0" applyNumberFormat="1" applyFont="1" applyFill="1" applyBorder="1"/>
    <xf numFmtId="170" fontId="29" fillId="45" borderId="1" xfId="0" applyNumberFormat="1" applyFont="1" applyFill="1" applyBorder="1" applyAlignment="1">
      <alignment horizontal="center" vertical="center" wrapText="1"/>
    </xf>
    <xf numFmtId="170" fontId="49" fillId="31" borderId="100" xfId="0" applyNumberFormat="1" applyFont="1" applyFill="1" applyBorder="1" applyAlignment="1">
      <alignment horizontal="center" vertical="center" wrapText="1"/>
    </xf>
    <xf numFmtId="170" fontId="49" fillId="31" borderId="99" xfId="0" applyNumberFormat="1" applyFont="1" applyFill="1" applyBorder="1" applyAlignment="1">
      <alignment horizontal="center" vertical="center" wrapText="1"/>
    </xf>
    <xf numFmtId="170" fontId="29" fillId="0" borderId="33" xfId="0" applyNumberFormat="1" applyFont="1" applyBorder="1" applyAlignment="1">
      <alignment horizontal="center" vertical="center" wrapText="1"/>
    </xf>
    <xf numFmtId="170" fontId="29" fillId="0" borderId="34" xfId="0" applyNumberFormat="1" applyFont="1" applyBorder="1" applyAlignment="1">
      <alignment horizontal="center" vertical="center" wrapText="1"/>
    </xf>
    <xf numFmtId="170" fontId="29" fillId="0" borderId="15" xfId="0" applyNumberFormat="1" applyFont="1" applyBorder="1" applyAlignment="1">
      <alignment horizontal="center" vertical="center" wrapText="1"/>
    </xf>
    <xf numFmtId="170" fontId="29" fillId="0" borderId="36" xfId="0" applyNumberFormat="1" applyFont="1" applyBorder="1" applyAlignment="1">
      <alignment horizontal="center" vertical="center" wrapText="1"/>
    </xf>
    <xf numFmtId="170" fontId="29" fillId="0" borderId="37" xfId="0" applyNumberFormat="1" applyFont="1" applyBorder="1" applyAlignment="1">
      <alignment horizontal="center" vertical="center" wrapText="1"/>
    </xf>
    <xf numFmtId="170" fontId="49" fillId="0" borderId="101" xfId="0" applyNumberFormat="1" applyFont="1" applyBorder="1" applyAlignment="1">
      <alignment horizontal="center" vertical="center"/>
    </xf>
    <xf numFmtId="170" fontId="49" fillId="0" borderId="102" xfId="0" applyNumberFormat="1" applyFont="1" applyBorder="1" applyAlignment="1">
      <alignment horizontal="center" vertical="center" wrapText="1"/>
    </xf>
    <xf numFmtId="176" fontId="29" fillId="0" borderId="112" xfId="0" applyNumberFormat="1" applyFont="1" applyBorder="1" applyAlignment="1">
      <alignment wrapText="1"/>
    </xf>
    <xf numFmtId="173" fontId="29" fillId="0" borderId="108" xfId="0" applyNumberFormat="1" applyFont="1" applyBorder="1" applyAlignment="1">
      <alignment wrapText="1"/>
    </xf>
    <xf numFmtId="9" fontId="29" fillId="0" borderId="97" xfId="0" applyNumberFormat="1" applyFont="1" applyBorder="1" applyAlignment="1">
      <alignment horizontal="center" wrapText="1"/>
    </xf>
    <xf numFmtId="167" fontId="87" fillId="0" borderId="0" xfId="0" quotePrefix="1" applyNumberFormat="1" applyFont="1"/>
    <xf numFmtId="43" fontId="0" fillId="0" borderId="173" xfId="0" applyNumberFormat="1" applyBorder="1" applyAlignment="1">
      <alignment wrapText="1"/>
    </xf>
    <xf numFmtId="14" fontId="0" fillId="3" borderId="0" xfId="0" applyNumberFormat="1" applyFill="1"/>
    <xf numFmtId="9" fontId="29" fillId="51" borderId="1" xfId="0" applyNumberFormat="1" applyFont="1" applyFill="1" applyBorder="1" applyAlignment="1">
      <alignment horizontal="center" vertical="center" wrapText="1"/>
    </xf>
    <xf numFmtId="166" fontId="6" fillId="0" borderId="187" xfId="0" applyNumberFormat="1" applyFont="1" applyBorder="1" applyAlignment="1">
      <alignment wrapText="1"/>
    </xf>
    <xf numFmtId="14" fontId="0" fillId="34" borderId="0" xfId="0" applyNumberFormat="1" applyFill="1"/>
    <xf numFmtId="3" fontId="29" fillId="0" borderId="23" xfId="0" applyNumberFormat="1" applyFont="1" applyBorder="1" applyAlignment="1">
      <alignment wrapText="1"/>
    </xf>
    <xf numFmtId="3" fontId="52" fillId="32" borderId="12" xfId="0" applyNumberFormat="1" applyFont="1" applyFill="1" applyBorder="1"/>
    <xf numFmtId="3" fontId="64" fillId="32" borderId="12" xfId="0" applyNumberFormat="1" applyFont="1" applyFill="1" applyBorder="1"/>
    <xf numFmtId="0" fontId="6" fillId="0" borderId="183" xfId="0" applyFont="1" applyBorder="1" applyAlignment="1">
      <alignment horizontal="center" vertical="center" wrapText="1"/>
    </xf>
    <xf numFmtId="9" fontId="0" fillId="63" borderId="0" xfId="0" applyNumberFormat="1" applyFill="1" applyAlignment="1">
      <alignment horizontal="center" wrapText="1"/>
    </xf>
    <xf numFmtId="170" fontId="0" fillId="0" borderId="0" xfId="0" applyNumberFormat="1" applyAlignment="1">
      <alignment horizontal="center" wrapText="1"/>
    </xf>
    <xf numFmtId="14" fontId="0" fillId="34" borderId="56" xfId="0" applyNumberFormat="1" applyFill="1" applyBorder="1" applyAlignment="1">
      <alignment horizontal="center" wrapText="1"/>
    </xf>
    <xf numFmtId="14" fontId="0" fillId="34" borderId="96" xfId="0" applyNumberFormat="1" applyFill="1" applyBorder="1" applyAlignment="1">
      <alignment horizontal="center" wrapText="1"/>
    </xf>
    <xf numFmtId="14" fontId="0" fillId="34" borderId="82" xfId="0" applyNumberFormat="1" applyFill="1" applyBorder="1" applyAlignment="1">
      <alignment horizontal="center" wrapText="1"/>
    </xf>
    <xf numFmtId="170" fontId="0" fillId="0" borderId="0" xfId="0" applyNumberFormat="1" applyAlignment="1">
      <alignment wrapText="1"/>
    </xf>
    <xf numFmtId="170" fontId="6" fillId="0" borderId="201" xfId="0" applyNumberFormat="1" applyFont="1" applyBorder="1"/>
    <xf numFmtId="166" fontId="0" fillId="34" borderId="56" xfId="0" applyNumberFormat="1" applyFill="1" applyBorder="1" applyAlignment="1">
      <alignment wrapText="1"/>
    </xf>
    <xf numFmtId="9" fontId="81" fillId="0" borderId="0" xfId="0" applyNumberFormat="1" applyFont="1" applyAlignment="1">
      <alignment wrapText="1"/>
    </xf>
    <xf numFmtId="166" fontId="32" fillId="3" borderId="187" xfId="0" applyNumberFormat="1" applyFont="1" applyFill="1" applyBorder="1" applyAlignment="1">
      <alignment wrapText="1"/>
    </xf>
    <xf numFmtId="9" fontId="29" fillId="0" borderId="56" xfId="0" applyNumberFormat="1" applyFont="1" applyBorder="1"/>
    <xf numFmtId="9" fontId="65" fillId="0" borderId="56" xfId="0" applyNumberFormat="1" applyFont="1" applyBorder="1"/>
    <xf numFmtId="170" fontId="0" fillId="34" borderId="87" xfId="0" applyNumberFormat="1" applyFill="1" applyBorder="1" applyAlignment="1">
      <alignment horizontal="center" wrapText="1"/>
    </xf>
    <xf numFmtId="16" fontId="0" fillId="34" borderId="0" xfId="0" applyNumberFormat="1" applyFill="1" applyAlignment="1">
      <alignment horizontal="center"/>
    </xf>
    <xf numFmtId="0" fontId="0" fillId="8" borderId="120" xfId="0" applyFill="1" applyBorder="1" applyAlignment="1">
      <alignment wrapText="1"/>
    </xf>
    <xf numFmtId="0" fontId="0" fillId="8" borderId="121" xfId="0" applyFill="1" applyBorder="1" applyAlignment="1">
      <alignment wrapText="1"/>
    </xf>
    <xf numFmtId="9" fontId="81" fillId="8" borderId="151" xfId="0" applyNumberFormat="1" applyFont="1" applyFill="1" applyBorder="1" applyAlignment="1">
      <alignment horizontal="center" wrapText="1"/>
    </xf>
    <xf numFmtId="166" fontId="32" fillId="8" borderId="121" xfId="0" applyNumberFormat="1" applyFont="1" applyFill="1" applyBorder="1" applyAlignment="1">
      <alignment wrapText="1"/>
    </xf>
    <xf numFmtId="43" fontId="0" fillId="0" borderId="0" xfId="0" applyNumberFormat="1" applyAlignment="1">
      <alignment wrapText="1"/>
    </xf>
    <xf numFmtId="0" fontId="78" fillId="0" borderId="102" xfId="0" applyFont="1" applyBorder="1" applyAlignment="1">
      <alignment horizontal="center" vertical="center" wrapText="1"/>
    </xf>
    <xf numFmtId="0" fontId="31" fillId="0" borderId="102" xfId="0" applyFont="1" applyBorder="1" applyAlignment="1">
      <alignment horizontal="center" vertical="center" wrapText="1"/>
    </xf>
    <xf numFmtId="8" fontId="31" fillId="0" borderId="102" xfId="0" applyNumberFormat="1" applyFont="1" applyBorder="1" applyAlignment="1">
      <alignment horizontal="center" vertical="center" wrapText="1"/>
    </xf>
    <xf numFmtId="9" fontId="21" fillId="0" borderId="0" xfId="0" applyNumberFormat="1" applyFont="1"/>
    <xf numFmtId="9" fontId="21" fillId="3" borderId="0" xfId="0" applyNumberFormat="1" applyFont="1" applyFill="1"/>
    <xf numFmtId="170" fontId="21" fillId="67" borderId="193" xfId="0" applyNumberFormat="1" applyFont="1" applyFill="1" applyBorder="1"/>
    <xf numFmtId="176" fontId="0" fillId="0" borderId="0" xfId="0" applyNumberFormat="1"/>
    <xf numFmtId="0" fontId="22" fillId="3" borderId="33" xfId="0" applyFont="1" applyFill="1" applyBorder="1" applyAlignment="1">
      <alignment horizontal="center" vertical="center" wrapText="1"/>
    </xf>
    <xf numFmtId="0" fontId="25" fillId="3" borderId="36" xfId="0" applyFont="1" applyFill="1" applyBorder="1" applyAlignment="1">
      <alignment horizontal="center" vertical="center"/>
    </xf>
    <xf numFmtId="14" fontId="22" fillId="19" borderId="33" xfId="0" applyNumberFormat="1" applyFont="1" applyFill="1" applyBorder="1" applyAlignment="1">
      <alignment horizontal="center" vertical="center" wrapText="1"/>
    </xf>
    <xf numFmtId="14" fontId="22" fillId="19" borderId="34" xfId="0" applyNumberFormat="1" applyFont="1" applyFill="1" applyBorder="1" applyAlignment="1">
      <alignment horizontal="center" vertical="center" wrapText="1"/>
    </xf>
    <xf numFmtId="14" fontId="22" fillId="19" borderId="39" xfId="0" applyNumberFormat="1" applyFont="1" applyFill="1" applyBorder="1" applyAlignment="1">
      <alignment horizontal="center" vertical="center" wrapText="1"/>
    </xf>
    <xf numFmtId="14" fontId="22" fillId="19" borderId="35" xfId="0" applyNumberFormat="1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4" fillId="7" borderId="9" xfId="0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4" fillId="15" borderId="8" xfId="0" applyFont="1" applyFill="1" applyBorder="1" applyAlignment="1">
      <alignment horizontal="center"/>
    </xf>
    <xf numFmtId="0" fontId="4" fillId="15" borderId="9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13" borderId="3" xfId="0" applyFont="1" applyFill="1" applyBorder="1" applyAlignment="1">
      <alignment horizontal="center"/>
    </xf>
    <xf numFmtId="0" fontId="4" fillId="13" borderId="4" xfId="0" applyFont="1" applyFill="1" applyBorder="1" applyAlignment="1">
      <alignment horizontal="center"/>
    </xf>
    <xf numFmtId="0" fontId="4" fillId="13" borderId="5" xfId="0" applyFont="1" applyFill="1" applyBorder="1" applyAlignment="1">
      <alignment horizontal="center"/>
    </xf>
    <xf numFmtId="0" fontId="4" fillId="9" borderId="19" xfId="0" applyFont="1" applyFill="1" applyBorder="1" applyAlignment="1">
      <alignment horizontal="center"/>
    </xf>
    <xf numFmtId="0" fontId="4" fillId="9" borderId="20" xfId="0" applyFont="1" applyFill="1" applyBorder="1" applyAlignment="1">
      <alignment horizontal="center"/>
    </xf>
    <xf numFmtId="0" fontId="4" fillId="9" borderId="21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" fillId="12" borderId="19" xfId="0" applyFont="1" applyFill="1" applyBorder="1" applyAlignment="1">
      <alignment horizontal="center"/>
    </xf>
    <xf numFmtId="0" fontId="4" fillId="12" borderId="20" xfId="0" applyFont="1" applyFill="1" applyBorder="1" applyAlignment="1">
      <alignment horizontal="center"/>
    </xf>
    <xf numFmtId="0" fontId="4" fillId="12" borderId="21" xfId="0" applyFont="1" applyFill="1" applyBorder="1" applyAlignment="1">
      <alignment horizontal="center"/>
    </xf>
    <xf numFmtId="0" fontId="4" fillId="14" borderId="3" xfId="0" applyFont="1" applyFill="1" applyBorder="1" applyAlignment="1">
      <alignment horizontal="center"/>
    </xf>
    <xf numFmtId="0" fontId="4" fillId="14" borderId="4" xfId="0" applyFont="1" applyFill="1" applyBorder="1" applyAlignment="1">
      <alignment horizontal="center"/>
    </xf>
    <xf numFmtId="0" fontId="4" fillId="14" borderId="20" xfId="0" applyFont="1" applyFill="1" applyBorder="1" applyAlignment="1">
      <alignment horizontal="center"/>
    </xf>
    <xf numFmtId="0" fontId="4" fillId="14" borderId="21" xfId="0" applyFont="1" applyFill="1" applyBorder="1" applyAlignment="1">
      <alignment horizontal="center"/>
    </xf>
    <xf numFmtId="0" fontId="4" fillId="10" borderId="3" xfId="0" applyFont="1" applyFill="1" applyBorder="1" applyAlignment="1">
      <alignment horizontal="center"/>
    </xf>
    <xf numFmtId="0" fontId="4" fillId="10" borderId="4" xfId="0" applyFont="1" applyFill="1" applyBorder="1" applyAlignment="1">
      <alignment horizontal="center"/>
    </xf>
    <xf numFmtId="0" fontId="4" fillId="10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4" fillId="5" borderId="3" xfId="0" applyFont="1" applyFill="1" applyBorder="1" applyAlignment="1">
      <alignment horizontal="center"/>
    </xf>
    <xf numFmtId="0" fontId="4" fillId="5" borderId="4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/>
    </xf>
    <xf numFmtId="0" fontId="4" fillId="5" borderId="21" xfId="0" applyFont="1" applyFill="1" applyBorder="1" applyAlignment="1">
      <alignment horizontal="center"/>
    </xf>
    <xf numFmtId="0" fontId="4" fillId="8" borderId="19" xfId="0" applyFont="1" applyFill="1" applyBorder="1" applyAlignment="1">
      <alignment horizontal="center"/>
    </xf>
    <xf numFmtId="0" fontId="4" fillId="8" borderId="20" xfId="0" applyFont="1" applyFill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4" fillId="8" borderId="21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0" fontId="4" fillId="9" borderId="4" xfId="0" applyFont="1" applyFill="1" applyBorder="1" applyAlignment="1">
      <alignment horizontal="center"/>
    </xf>
    <xf numFmtId="0" fontId="4" fillId="9" borderId="5" xfId="0" applyFont="1" applyFill="1" applyBorder="1" applyAlignment="1">
      <alignment horizontal="center"/>
    </xf>
    <xf numFmtId="0" fontId="4" fillId="11" borderId="3" xfId="0" applyFont="1" applyFill="1" applyBorder="1" applyAlignment="1">
      <alignment horizontal="center"/>
    </xf>
    <xf numFmtId="0" fontId="4" fillId="11" borderId="4" xfId="0" applyFont="1" applyFill="1" applyBorder="1" applyAlignment="1">
      <alignment horizontal="center"/>
    </xf>
    <xf numFmtId="0" fontId="4" fillId="11" borderId="5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50" xfId="0" applyFont="1" applyFill="1" applyBorder="1" applyAlignment="1">
      <alignment horizontal="center" vertical="center" wrapText="1"/>
    </xf>
    <xf numFmtId="0" fontId="7" fillId="2" borderId="5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15" fontId="7" fillId="2" borderId="4" xfId="0" applyNumberFormat="1" applyFont="1" applyFill="1" applyBorder="1" applyAlignment="1">
      <alignment horizontal="center" vertical="center" wrapText="1"/>
    </xf>
    <xf numFmtId="15" fontId="7" fillId="2" borderId="0" xfId="0" applyNumberFormat="1" applyFont="1" applyFill="1" applyAlignment="1">
      <alignment horizontal="center" vertical="center" wrapText="1"/>
    </xf>
    <xf numFmtId="0" fontId="2" fillId="2" borderId="49" xfId="0" applyFont="1" applyFill="1" applyBorder="1" applyAlignment="1">
      <alignment horizontal="center" vertical="center" wrapText="1"/>
    </xf>
    <xf numFmtId="0" fontId="2" fillId="2" borderId="4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12" fillId="5" borderId="19" xfId="0" applyFont="1" applyFill="1" applyBorder="1" applyAlignment="1">
      <alignment horizontal="center"/>
    </xf>
    <xf numFmtId="0" fontId="12" fillId="5" borderId="20" xfId="0" applyFont="1" applyFill="1" applyBorder="1" applyAlignment="1">
      <alignment horizontal="center"/>
    </xf>
    <xf numFmtId="0" fontId="12" fillId="8" borderId="19" xfId="0" applyFont="1" applyFill="1" applyBorder="1" applyAlignment="1">
      <alignment horizontal="center"/>
    </xf>
    <xf numFmtId="0" fontId="12" fillId="8" borderId="20" xfId="0" applyFont="1" applyFill="1" applyBorder="1" applyAlignment="1">
      <alignment horizontal="center"/>
    </xf>
    <xf numFmtId="0" fontId="12" fillId="7" borderId="19" xfId="0" applyFont="1" applyFill="1" applyBorder="1" applyAlignment="1">
      <alignment horizontal="center"/>
    </xf>
    <xf numFmtId="0" fontId="12" fillId="7" borderId="20" xfId="0" applyFont="1" applyFill="1" applyBorder="1" applyAlignment="1">
      <alignment horizontal="center"/>
    </xf>
    <xf numFmtId="0" fontId="12" fillId="9" borderId="20" xfId="0" applyFont="1" applyFill="1" applyBorder="1" applyAlignment="1">
      <alignment horizontal="center"/>
    </xf>
    <xf numFmtId="0" fontId="12" fillId="11" borderId="20" xfId="0" applyFont="1" applyFill="1" applyBorder="1" applyAlignment="1">
      <alignment horizontal="center"/>
    </xf>
    <xf numFmtId="0" fontId="12" fillId="10" borderId="19" xfId="0" applyFont="1" applyFill="1" applyBorder="1" applyAlignment="1">
      <alignment horizontal="center"/>
    </xf>
    <xf numFmtId="0" fontId="12" fillId="10" borderId="20" xfId="0" applyFont="1" applyFill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12" fillId="13" borderId="19" xfId="0" applyFont="1" applyFill="1" applyBorder="1" applyAlignment="1">
      <alignment horizontal="center"/>
    </xf>
    <xf numFmtId="0" fontId="12" fillId="13" borderId="20" xfId="0" applyFont="1" applyFill="1" applyBorder="1" applyAlignment="1">
      <alignment horizontal="center"/>
    </xf>
    <xf numFmtId="0" fontId="12" fillId="9" borderId="19" xfId="0" applyFont="1" applyFill="1" applyBorder="1" applyAlignment="1">
      <alignment horizontal="center"/>
    </xf>
    <xf numFmtId="0" fontId="12" fillId="12" borderId="19" xfId="0" applyFont="1" applyFill="1" applyBorder="1" applyAlignment="1">
      <alignment horizontal="center"/>
    </xf>
    <xf numFmtId="0" fontId="12" fillId="12" borderId="20" xfId="0" applyFont="1" applyFill="1" applyBorder="1" applyAlignment="1">
      <alignment horizontal="center"/>
    </xf>
    <xf numFmtId="0" fontId="12" fillId="14" borderId="19" xfId="0" applyFont="1" applyFill="1" applyBorder="1" applyAlignment="1">
      <alignment horizontal="center"/>
    </xf>
    <xf numFmtId="0" fontId="12" fillId="14" borderId="20" xfId="0" applyFont="1" applyFill="1" applyBorder="1" applyAlignment="1">
      <alignment horizontal="center"/>
    </xf>
    <xf numFmtId="0" fontId="12" fillId="15" borderId="19" xfId="0" applyFont="1" applyFill="1" applyBorder="1" applyAlignment="1">
      <alignment horizontal="center"/>
    </xf>
    <xf numFmtId="0" fontId="12" fillId="15" borderId="20" xfId="0" applyFont="1" applyFill="1" applyBorder="1" applyAlignment="1">
      <alignment horizontal="center"/>
    </xf>
    <xf numFmtId="0" fontId="6" fillId="3" borderId="158" xfId="0" applyFont="1" applyFill="1" applyBorder="1" applyAlignment="1">
      <alignment horizontal="center" wrapText="1"/>
    </xf>
    <xf numFmtId="0" fontId="6" fillId="3" borderId="183" xfId="0" applyFont="1" applyFill="1" applyBorder="1" applyAlignment="1">
      <alignment horizontal="center" wrapText="1"/>
    </xf>
    <xf numFmtId="0" fontId="6" fillId="3" borderId="186" xfId="0" applyFont="1" applyFill="1" applyBorder="1" applyAlignment="1">
      <alignment horizontal="center" wrapText="1"/>
    </xf>
    <xf numFmtId="0" fontId="0" fillId="0" borderId="81" xfId="0" applyBorder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0" fontId="0" fillId="4" borderId="118" xfId="0" applyFill="1" applyBorder="1" applyAlignment="1">
      <alignment horizontal="center" vertical="center" wrapText="1"/>
    </xf>
    <xf numFmtId="0" fontId="0" fillId="4" borderId="84" xfId="0" applyFill="1" applyBorder="1" applyAlignment="1">
      <alignment horizontal="center" vertical="center" wrapText="1"/>
    </xf>
    <xf numFmtId="0" fontId="0" fillId="4" borderId="137" xfId="0" applyFill="1" applyBorder="1" applyAlignment="1">
      <alignment horizontal="center" vertical="center" wrapText="1"/>
    </xf>
    <xf numFmtId="0" fontId="0" fillId="4" borderId="81" xfId="0" applyFill="1" applyBorder="1" applyAlignment="1">
      <alignment horizontal="center" vertical="center" wrapText="1"/>
    </xf>
    <xf numFmtId="0" fontId="0" fillId="4" borderId="86" xfId="0" applyFill="1" applyBorder="1" applyAlignment="1">
      <alignment horizontal="center" vertical="center" wrapText="1"/>
    </xf>
    <xf numFmtId="0" fontId="0" fillId="4" borderId="56" xfId="0" applyFill="1" applyBorder="1" applyAlignment="1">
      <alignment horizontal="center" vertical="center" wrapText="1"/>
    </xf>
    <xf numFmtId="0" fontId="0" fillId="0" borderId="137" xfId="0" applyBorder="1" applyAlignment="1">
      <alignment horizontal="center" vertical="center" wrapText="1"/>
    </xf>
    <xf numFmtId="0" fontId="0" fillId="0" borderId="118" xfId="0" applyBorder="1" applyAlignment="1">
      <alignment horizontal="center" vertical="center" wrapText="1"/>
    </xf>
    <xf numFmtId="0" fontId="6" fillId="3" borderId="96" xfId="0" applyFont="1" applyFill="1" applyBorder="1" applyAlignment="1">
      <alignment horizontal="center" wrapText="1"/>
    </xf>
    <xf numFmtId="0" fontId="0" fillId="28" borderId="81" xfId="0" applyFill="1" applyBorder="1" applyAlignment="1">
      <alignment horizontal="center" vertical="center" wrapText="1"/>
    </xf>
    <xf numFmtId="0" fontId="0" fillId="28" borderId="84" xfId="0" applyFill="1" applyBorder="1" applyAlignment="1">
      <alignment horizontal="center" vertical="center" wrapText="1"/>
    </xf>
    <xf numFmtId="0" fontId="0" fillId="28" borderId="86" xfId="0" applyFill="1" applyBorder="1" applyAlignment="1">
      <alignment horizontal="center" vertical="center" wrapText="1"/>
    </xf>
    <xf numFmtId="0" fontId="0" fillId="28" borderId="118" xfId="0" applyFill="1" applyBorder="1" applyAlignment="1">
      <alignment horizontal="center" vertical="center" wrapText="1"/>
    </xf>
    <xf numFmtId="0" fontId="0" fillId="28" borderId="137" xfId="0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wrapText="1"/>
    </xf>
    <xf numFmtId="0" fontId="6" fillId="3" borderId="20" xfId="0" applyFont="1" applyFill="1" applyBorder="1" applyAlignment="1">
      <alignment horizontal="center" wrapText="1"/>
    </xf>
    <xf numFmtId="0" fontId="6" fillId="3" borderId="21" xfId="0" applyFont="1" applyFill="1" applyBorder="1" applyAlignment="1">
      <alignment horizontal="center" wrapText="1"/>
    </xf>
    <xf numFmtId="0" fontId="6" fillId="65" borderId="168" xfId="0" applyFont="1" applyFill="1" applyBorder="1" applyAlignment="1">
      <alignment horizontal="center" vertical="center" wrapText="1"/>
    </xf>
    <xf numFmtId="0" fontId="6" fillId="65" borderId="170" xfId="0" applyFont="1" applyFill="1" applyBorder="1" applyAlignment="1">
      <alignment horizontal="center" vertical="center" wrapText="1"/>
    </xf>
    <xf numFmtId="0" fontId="6" fillId="65" borderId="171" xfId="0" applyFont="1" applyFill="1" applyBorder="1" applyAlignment="1">
      <alignment horizontal="center" vertical="center" wrapText="1"/>
    </xf>
    <xf numFmtId="0" fontId="6" fillId="3" borderId="192" xfId="0" applyFont="1" applyFill="1" applyBorder="1" applyAlignment="1">
      <alignment horizontal="center" wrapText="1"/>
    </xf>
    <xf numFmtId="0" fontId="6" fillId="26" borderId="168" xfId="0" applyFont="1" applyFill="1" applyBorder="1" applyAlignment="1">
      <alignment horizontal="left" vertical="center" wrapText="1"/>
    </xf>
    <xf numFmtId="0" fontId="6" fillId="26" borderId="171" xfId="0" applyFont="1" applyFill="1" applyBorder="1" applyAlignment="1">
      <alignment horizontal="left" vertical="center" wrapText="1"/>
    </xf>
    <xf numFmtId="0" fontId="0" fillId="28" borderId="97" xfId="0" applyFill="1" applyBorder="1" applyAlignment="1">
      <alignment horizontal="center" vertical="center" wrapText="1"/>
    </xf>
    <xf numFmtId="0" fontId="0" fillId="28" borderId="56" xfId="0" applyFill="1" applyBorder="1" applyAlignment="1">
      <alignment horizontal="center" vertical="center" wrapText="1"/>
    </xf>
    <xf numFmtId="0" fontId="0" fillId="28" borderId="96" xfId="0" applyFill="1" applyBorder="1" applyAlignment="1">
      <alignment horizontal="center" vertical="center" wrapText="1"/>
    </xf>
    <xf numFmtId="0" fontId="6" fillId="26" borderId="168" xfId="0" applyFont="1" applyFill="1" applyBorder="1" applyAlignment="1">
      <alignment horizontal="center" vertical="center" wrapText="1"/>
    </xf>
    <xf numFmtId="0" fontId="6" fillId="26" borderId="170" xfId="0" applyFont="1" applyFill="1" applyBorder="1" applyAlignment="1">
      <alignment horizontal="center" vertical="center" wrapText="1"/>
    </xf>
    <xf numFmtId="0" fontId="6" fillId="26" borderId="171" xfId="0" applyFont="1" applyFill="1" applyBorder="1" applyAlignment="1">
      <alignment horizontal="center" vertical="center" wrapText="1"/>
    </xf>
    <xf numFmtId="0" fontId="0" fillId="0" borderId="97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0" borderId="96" xfId="0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6" fillId="3" borderId="101" xfId="0" applyFont="1" applyFill="1" applyBorder="1" applyAlignment="1">
      <alignment horizontal="center" wrapText="1"/>
    </xf>
    <xf numFmtId="0" fontId="6" fillId="3" borderId="103" xfId="0" applyFont="1" applyFill="1" applyBorder="1" applyAlignment="1">
      <alignment horizontal="center" wrapText="1"/>
    </xf>
    <xf numFmtId="0" fontId="0" fillId="0" borderId="3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79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68" xfId="0" applyBorder="1" applyAlignment="1">
      <alignment horizontal="center" vertical="center" wrapText="1"/>
    </xf>
    <xf numFmtId="0" fontId="0" fillId="0" borderId="170" xfId="0" applyBorder="1" applyAlignment="1">
      <alignment horizontal="center" vertical="center" wrapText="1"/>
    </xf>
    <xf numFmtId="0" fontId="0" fillId="0" borderId="171" xfId="0" applyBorder="1" applyAlignment="1">
      <alignment horizontal="center" vertical="center" wrapText="1"/>
    </xf>
    <xf numFmtId="0" fontId="6" fillId="5" borderId="190" xfId="0" applyFont="1" applyFill="1" applyBorder="1" applyAlignment="1">
      <alignment horizontal="center" vertical="center" wrapText="1"/>
    </xf>
    <xf numFmtId="0" fontId="6" fillId="5" borderId="170" xfId="0" applyFont="1" applyFill="1" applyBorder="1" applyAlignment="1">
      <alignment horizontal="center" vertical="center" wrapText="1"/>
    </xf>
    <xf numFmtId="0" fontId="6" fillId="5" borderId="171" xfId="0" applyFont="1" applyFill="1" applyBorder="1" applyAlignment="1">
      <alignment horizontal="center" vertical="center" wrapText="1"/>
    </xf>
    <xf numFmtId="0" fontId="0" fillId="0" borderId="177" xfId="0" applyBorder="1" applyAlignment="1">
      <alignment horizontal="center" vertical="center" wrapText="1"/>
    </xf>
    <xf numFmtId="0" fontId="0" fillId="0" borderId="179" xfId="0" applyBorder="1" applyAlignment="1">
      <alignment horizontal="center" vertical="center" wrapText="1"/>
    </xf>
    <xf numFmtId="0" fontId="44" fillId="40" borderId="3" xfId="0" applyFont="1" applyFill="1" applyBorder="1" applyAlignment="1">
      <alignment horizontal="center" vertical="center" wrapText="1"/>
    </xf>
    <xf numFmtId="0" fontId="44" fillId="40" borderId="4" xfId="0" applyFont="1" applyFill="1" applyBorder="1" applyAlignment="1">
      <alignment horizontal="center" vertical="center" wrapText="1"/>
    </xf>
    <xf numFmtId="0" fontId="44" fillId="40" borderId="20" xfId="0" applyFont="1" applyFill="1" applyBorder="1" applyAlignment="1">
      <alignment horizontal="center" vertical="center" wrapText="1"/>
    </xf>
    <xf numFmtId="0" fontId="58" fillId="39" borderId="19" xfId="0" applyFont="1" applyFill="1" applyBorder="1" applyAlignment="1">
      <alignment horizontal="center" vertical="center" wrapText="1"/>
    </xf>
    <xf numFmtId="0" fontId="58" fillId="39" borderId="20" xfId="0" applyFont="1" applyFill="1" applyBorder="1" applyAlignment="1">
      <alignment horizontal="center" vertical="center" wrapText="1"/>
    </xf>
    <xf numFmtId="0" fontId="40" fillId="42" borderId="3" xfId="0" applyFont="1" applyFill="1" applyBorder="1" applyAlignment="1">
      <alignment horizontal="center" vertical="center" wrapText="1"/>
    </xf>
    <xf numFmtId="0" fontId="40" fillId="42" borderId="6" xfId="0" applyFont="1" applyFill="1" applyBorder="1" applyAlignment="1">
      <alignment horizontal="center" vertical="center" wrapText="1"/>
    </xf>
    <xf numFmtId="0" fontId="40" fillId="42" borderId="3" xfId="0" applyFont="1" applyFill="1" applyBorder="1" applyAlignment="1">
      <alignment horizontal="center" vertical="center"/>
    </xf>
    <xf numFmtId="0" fontId="40" fillId="42" borderId="6" xfId="0" applyFont="1" applyFill="1" applyBorder="1" applyAlignment="1">
      <alignment horizontal="center" vertical="center"/>
    </xf>
    <xf numFmtId="0" fontId="40" fillId="44" borderId="3" xfId="0" applyFont="1" applyFill="1" applyBorder="1" applyAlignment="1">
      <alignment horizontal="center" vertical="center"/>
    </xf>
    <xf numFmtId="0" fontId="40" fillId="44" borderId="6" xfId="0" applyFont="1" applyFill="1" applyBorder="1" applyAlignment="1">
      <alignment horizontal="center" vertical="center"/>
    </xf>
    <xf numFmtId="0" fontId="44" fillId="43" borderId="3" xfId="0" applyFont="1" applyFill="1" applyBorder="1" applyAlignment="1">
      <alignment horizontal="center" vertical="center" wrapText="1"/>
    </xf>
    <xf numFmtId="0" fontId="44" fillId="43" borderId="4" xfId="0" applyFont="1" applyFill="1" applyBorder="1" applyAlignment="1">
      <alignment horizontal="center" vertical="center" wrapText="1"/>
    </xf>
    <xf numFmtId="0" fontId="44" fillId="43" borderId="20" xfId="0" applyFont="1" applyFill="1" applyBorder="1" applyAlignment="1">
      <alignment horizontal="center" vertical="center" wrapText="1"/>
    </xf>
    <xf numFmtId="0" fontId="40" fillId="44" borderId="50" xfId="0" applyFont="1" applyFill="1" applyBorder="1" applyAlignment="1">
      <alignment horizontal="center" vertical="center" wrapText="1"/>
    </xf>
    <xf numFmtId="0" fontId="40" fillId="44" borderId="51" xfId="0" applyFont="1" applyFill="1" applyBorder="1" applyAlignment="1">
      <alignment horizontal="center" vertical="center" wrapText="1"/>
    </xf>
    <xf numFmtId="0" fontId="63" fillId="9" borderId="9" xfId="0" applyFont="1" applyFill="1" applyBorder="1" applyAlignment="1">
      <alignment horizontal="center"/>
    </xf>
    <xf numFmtId="0" fontId="58" fillId="34" borderId="19" xfId="0" applyFont="1" applyFill="1" applyBorder="1" applyAlignment="1">
      <alignment horizontal="center" vertical="center" wrapText="1"/>
    </xf>
    <xf numFmtId="0" fontId="58" fillId="34" borderId="20" xfId="0" applyFont="1" applyFill="1" applyBorder="1" applyAlignment="1">
      <alignment horizontal="center" vertical="center" wrapText="1"/>
    </xf>
    <xf numFmtId="0" fontId="44" fillId="40" borderId="135" xfId="0" applyFont="1" applyFill="1" applyBorder="1" applyAlignment="1">
      <alignment horizontal="center" vertical="center" wrapText="1"/>
    </xf>
    <xf numFmtId="0" fontId="44" fillId="40" borderId="142" xfId="0" applyFont="1" applyFill="1" applyBorder="1" applyAlignment="1">
      <alignment horizontal="center" vertical="center" wrapText="1"/>
    </xf>
    <xf numFmtId="0" fontId="44" fillId="40" borderId="136" xfId="0" applyFont="1" applyFill="1" applyBorder="1" applyAlignment="1">
      <alignment horizontal="center" vertical="center" wrapText="1"/>
    </xf>
    <xf numFmtId="0" fontId="58" fillId="34" borderId="8" xfId="0" applyFont="1" applyFill="1" applyBorder="1" applyAlignment="1">
      <alignment horizontal="center" vertical="center" wrapText="1"/>
    </xf>
    <xf numFmtId="0" fontId="58" fillId="34" borderId="9" xfId="0" applyFont="1" applyFill="1" applyBorder="1" applyAlignment="1">
      <alignment horizontal="center" vertical="center" wrapText="1"/>
    </xf>
    <xf numFmtId="0" fontId="40" fillId="44" borderId="3" xfId="0" applyFont="1" applyFill="1" applyBorder="1" applyAlignment="1">
      <alignment horizontal="center" vertical="center" wrapText="1"/>
    </xf>
    <xf numFmtId="0" fontId="40" fillId="44" borderId="6" xfId="0" applyFont="1" applyFill="1" applyBorder="1" applyAlignment="1">
      <alignment horizontal="center" vertical="center" wrapText="1"/>
    </xf>
    <xf numFmtId="0" fontId="63" fillId="34" borderId="0" xfId="0" applyFont="1" applyFill="1" applyAlignment="1">
      <alignment horizontal="center"/>
    </xf>
    <xf numFmtId="0" fontId="63" fillId="34" borderId="9" xfId="0" applyFont="1" applyFill="1" applyBorder="1" applyAlignment="1">
      <alignment horizontal="center"/>
    </xf>
    <xf numFmtId="0" fontId="63" fillId="27" borderId="0" xfId="0" applyFont="1" applyFill="1" applyAlignment="1">
      <alignment horizontal="center"/>
    </xf>
    <xf numFmtId="0" fontId="63" fillId="27" borderId="9" xfId="0" applyFont="1" applyFill="1" applyBorder="1" applyAlignment="1">
      <alignment horizontal="center"/>
    </xf>
    <xf numFmtId="0" fontId="58" fillId="27" borderId="8" xfId="0" applyFont="1" applyFill="1" applyBorder="1" applyAlignment="1">
      <alignment horizontal="center" vertical="center" wrapText="1"/>
    </xf>
    <xf numFmtId="0" fontId="58" fillId="27" borderId="9" xfId="0" applyFont="1" applyFill="1" applyBorder="1" applyAlignment="1">
      <alignment horizontal="center" vertical="center" wrapText="1"/>
    </xf>
    <xf numFmtId="0" fontId="58" fillId="27" borderId="19" xfId="0" applyFont="1" applyFill="1" applyBorder="1" applyAlignment="1">
      <alignment horizontal="center" vertical="center" wrapText="1"/>
    </xf>
    <xf numFmtId="0" fontId="58" fillId="27" borderId="20" xfId="0" applyFont="1" applyFill="1" applyBorder="1" applyAlignment="1">
      <alignment horizontal="center" vertical="center" wrapText="1"/>
    </xf>
    <xf numFmtId="0" fontId="58" fillId="47" borderId="109" xfId="0" applyFont="1" applyFill="1" applyBorder="1" applyAlignment="1">
      <alignment horizontal="center" vertical="center" wrapText="1"/>
    </xf>
    <xf numFmtId="0" fontId="58" fillId="47" borderId="111" xfId="0" applyFont="1" applyFill="1" applyBorder="1" applyAlignment="1">
      <alignment horizontal="center" vertical="center" wrapText="1"/>
    </xf>
    <xf numFmtId="0" fontId="47" fillId="47" borderId="198" xfId="0" applyFont="1" applyFill="1" applyBorder="1" applyAlignment="1">
      <alignment horizontal="center" vertical="center" wrapText="1"/>
    </xf>
    <xf numFmtId="0" fontId="47" fillId="47" borderId="144" xfId="0" applyFont="1" applyFill="1" applyBorder="1" applyAlignment="1">
      <alignment horizontal="center" vertical="center" wrapText="1"/>
    </xf>
    <xf numFmtId="0" fontId="47" fillId="47" borderId="199" xfId="0" applyFont="1" applyFill="1" applyBorder="1" applyAlignment="1">
      <alignment horizontal="center" vertical="center" wrapText="1"/>
    </xf>
    <xf numFmtId="0" fontId="47" fillId="47" borderId="200" xfId="0" applyFont="1" applyFill="1" applyBorder="1" applyAlignment="1">
      <alignment horizontal="center" vertical="center" wrapText="1"/>
    </xf>
    <xf numFmtId="0" fontId="47" fillId="47" borderId="141" xfId="0" applyFont="1" applyFill="1" applyBorder="1" applyAlignment="1">
      <alignment horizontal="center" vertical="center" wrapText="1"/>
    </xf>
    <xf numFmtId="0" fontId="47" fillId="47" borderId="145" xfId="0" applyFont="1" applyFill="1" applyBorder="1" applyAlignment="1">
      <alignment horizontal="center" vertical="center" wrapText="1"/>
    </xf>
    <xf numFmtId="0" fontId="56" fillId="40" borderId="34" xfId="0" applyFont="1" applyFill="1" applyBorder="1" applyAlignment="1">
      <alignment horizontal="center" vertical="center" wrapText="1"/>
    </xf>
    <xf numFmtId="0" fontId="56" fillId="40" borderId="37" xfId="0" applyFont="1" applyFill="1" applyBorder="1" applyAlignment="1">
      <alignment horizontal="center" vertical="center" wrapText="1"/>
    </xf>
    <xf numFmtId="0" fontId="56" fillId="40" borderId="59" xfId="0" applyFont="1" applyFill="1" applyBorder="1" applyAlignment="1">
      <alignment horizontal="center" vertical="center" wrapText="1"/>
    </xf>
    <xf numFmtId="0" fontId="56" fillId="40" borderId="99" xfId="0" applyFont="1" applyFill="1" applyBorder="1" applyAlignment="1">
      <alignment horizontal="center" vertical="center" wrapText="1"/>
    </xf>
    <xf numFmtId="0" fontId="57" fillId="43" borderId="34" xfId="0" applyFont="1" applyFill="1" applyBorder="1" applyAlignment="1">
      <alignment horizontal="center" vertical="center" wrapText="1"/>
    </xf>
    <xf numFmtId="0" fontId="57" fillId="43" borderId="37" xfId="0" applyFont="1" applyFill="1" applyBorder="1" applyAlignment="1">
      <alignment horizontal="center" vertical="center" wrapText="1"/>
    </xf>
    <xf numFmtId="0" fontId="57" fillId="43" borderId="59" xfId="0" applyFont="1" applyFill="1" applyBorder="1" applyAlignment="1">
      <alignment horizontal="center" vertical="center" wrapText="1"/>
    </xf>
    <xf numFmtId="0" fontId="57" fillId="43" borderId="99" xfId="0" applyFont="1" applyFill="1" applyBorder="1" applyAlignment="1">
      <alignment horizontal="center" vertical="center" wrapText="1"/>
    </xf>
    <xf numFmtId="0" fontId="46" fillId="39" borderId="20" xfId="0" applyFont="1" applyFill="1" applyBorder="1" applyAlignment="1">
      <alignment horizontal="center" vertical="center" wrapText="1"/>
    </xf>
    <xf numFmtId="0" fontId="44" fillId="40" borderId="19" xfId="0" applyFont="1" applyFill="1" applyBorder="1" applyAlignment="1">
      <alignment horizontal="center" vertical="center" wrapText="1"/>
    </xf>
    <xf numFmtId="0" fontId="46" fillId="41" borderId="20" xfId="0" applyFont="1" applyFill="1" applyBorder="1" applyAlignment="1">
      <alignment horizontal="center" vertical="center" wrapText="1"/>
    </xf>
    <xf numFmtId="0" fontId="36" fillId="41" borderId="19" xfId="0" applyFont="1" applyFill="1" applyBorder="1" applyAlignment="1">
      <alignment horizontal="center" vertical="center" wrapText="1"/>
    </xf>
    <xf numFmtId="0" fontId="36" fillId="41" borderId="20" xfId="0" applyFont="1" applyFill="1" applyBorder="1" applyAlignment="1">
      <alignment horizontal="center" vertical="center" wrapText="1"/>
    </xf>
    <xf numFmtId="0" fontId="36" fillId="41" borderId="21" xfId="0" applyFont="1" applyFill="1" applyBorder="1" applyAlignment="1">
      <alignment horizontal="center" vertical="center" wrapText="1"/>
    </xf>
    <xf numFmtId="0" fontId="36" fillId="39" borderId="19" xfId="0" applyFont="1" applyFill="1" applyBorder="1" applyAlignment="1">
      <alignment horizontal="center" vertical="center" wrapText="1"/>
    </xf>
    <xf numFmtId="0" fontId="36" fillId="39" borderId="20" xfId="0" applyFont="1" applyFill="1" applyBorder="1" applyAlignment="1">
      <alignment horizontal="center" vertical="center" wrapText="1"/>
    </xf>
    <xf numFmtId="0" fontId="36" fillId="39" borderId="21" xfId="0" applyFont="1" applyFill="1" applyBorder="1" applyAlignment="1">
      <alignment horizontal="center" vertical="center" wrapText="1"/>
    </xf>
    <xf numFmtId="0" fontId="2" fillId="47" borderId="52" xfId="0" applyFont="1" applyFill="1" applyBorder="1" applyAlignment="1">
      <alignment horizontal="center" vertical="center" wrapText="1"/>
    </xf>
    <xf numFmtId="0" fontId="2" fillId="47" borderId="30" xfId="0" applyFont="1" applyFill="1" applyBorder="1" applyAlignment="1">
      <alignment horizontal="center" vertical="center" wrapText="1"/>
    </xf>
    <xf numFmtId="0" fontId="58" fillId="47" borderId="97" xfId="0" applyFont="1" applyFill="1" applyBorder="1" applyAlignment="1">
      <alignment horizontal="center" vertical="center" wrapText="1"/>
    </xf>
    <xf numFmtId="0" fontId="58" fillId="47" borderId="56" xfId="0" applyFont="1" applyFill="1" applyBorder="1" applyAlignment="1">
      <alignment horizontal="center" vertical="center" wrapText="1"/>
    </xf>
    <xf numFmtId="0" fontId="57" fillId="43" borderId="17" xfId="0" applyFont="1" applyFill="1" applyBorder="1" applyAlignment="1">
      <alignment horizontal="center" vertical="center" wrapText="1"/>
    </xf>
    <xf numFmtId="0" fontId="56" fillId="40" borderId="17" xfId="0" applyFont="1" applyFill="1" applyBorder="1" applyAlignment="1">
      <alignment horizontal="center" vertical="center" wrapText="1"/>
    </xf>
    <xf numFmtId="0" fontId="69" fillId="47" borderId="97" xfId="0" applyFont="1" applyFill="1" applyBorder="1" applyAlignment="1">
      <alignment horizontal="center" vertical="center" wrapText="1"/>
    </xf>
    <xf numFmtId="0" fontId="69" fillId="28" borderId="97" xfId="0" applyFont="1" applyFill="1" applyBorder="1" applyAlignment="1">
      <alignment horizontal="center" vertical="center" wrapText="1"/>
    </xf>
    <xf numFmtId="0" fontId="58" fillId="28" borderId="56" xfId="0" applyFont="1" applyFill="1" applyBorder="1" applyAlignment="1">
      <alignment horizontal="center" vertical="center" wrapText="1"/>
    </xf>
    <xf numFmtId="0" fontId="46" fillId="41" borderId="21" xfId="0" applyFont="1" applyFill="1" applyBorder="1" applyAlignment="1">
      <alignment horizontal="center" vertical="center" wrapText="1"/>
    </xf>
    <xf numFmtId="0" fontId="46" fillId="39" borderId="21" xfId="0" applyFont="1" applyFill="1" applyBorder="1" applyAlignment="1">
      <alignment horizontal="center" vertical="center" wrapText="1"/>
    </xf>
    <xf numFmtId="0" fontId="36" fillId="41" borderId="4" xfId="0" applyFont="1" applyFill="1" applyBorder="1" applyAlignment="1">
      <alignment horizontal="center" vertical="center" wrapText="1"/>
    </xf>
    <xf numFmtId="0" fontId="36" fillId="41" borderId="5" xfId="0" applyFont="1" applyFill="1" applyBorder="1" applyAlignment="1">
      <alignment horizontal="center" vertical="center" wrapText="1"/>
    </xf>
    <xf numFmtId="6" fontId="44" fillId="43" borderId="20" xfId="0" applyNumberFormat="1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/>
    </xf>
    <xf numFmtId="0" fontId="4" fillId="9" borderId="4" xfId="0" applyFont="1" applyFill="1" applyBorder="1" applyAlignment="1">
      <alignment horizontal="center" vertical="center"/>
    </xf>
    <xf numFmtId="0" fontId="4" fillId="9" borderId="105" xfId="0" applyFont="1" applyFill="1" applyBorder="1" applyAlignment="1">
      <alignment horizontal="center" vertical="center"/>
    </xf>
    <xf numFmtId="0" fontId="48" fillId="9" borderId="142" xfId="0" applyFont="1" applyFill="1" applyBorder="1" applyAlignment="1">
      <alignment horizontal="center" vertical="center"/>
    </xf>
    <xf numFmtId="0" fontId="48" fillId="9" borderId="136" xfId="0" applyFont="1" applyFill="1" applyBorder="1" applyAlignment="1">
      <alignment horizontal="center" vertical="center"/>
    </xf>
    <xf numFmtId="0" fontId="46" fillId="41" borderId="20" xfId="0" applyFont="1" applyFill="1" applyBorder="1" applyAlignment="1">
      <alignment horizontal="center" vertical="center"/>
    </xf>
    <xf numFmtId="0" fontId="46" fillId="41" borderId="21" xfId="0" applyFont="1" applyFill="1" applyBorder="1" applyAlignment="1">
      <alignment horizontal="center" vertical="center"/>
    </xf>
    <xf numFmtId="0" fontId="48" fillId="9" borderId="9" xfId="0" applyFont="1" applyFill="1" applyBorder="1" applyAlignment="1">
      <alignment horizontal="center" vertical="center"/>
    </xf>
    <xf numFmtId="0" fontId="46" fillId="39" borderId="20" xfId="0" applyFont="1" applyFill="1" applyBorder="1" applyAlignment="1">
      <alignment horizontal="center" vertical="center"/>
    </xf>
    <xf numFmtId="0" fontId="46" fillId="39" borderId="21" xfId="0" applyFont="1" applyFill="1" applyBorder="1" applyAlignment="1">
      <alignment horizontal="center" vertical="center"/>
    </xf>
    <xf numFmtId="0" fontId="4" fillId="9" borderId="135" xfId="0" applyFont="1" applyFill="1" applyBorder="1" applyAlignment="1">
      <alignment horizontal="center" vertical="center"/>
    </xf>
    <xf numFmtId="0" fontId="4" fillId="9" borderId="142" xfId="0" applyFont="1" applyFill="1" applyBorder="1" applyAlignment="1">
      <alignment horizontal="center" vertical="center"/>
    </xf>
    <xf numFmtId="0" fontId="44" fillId="40" borderId="8" xfId="0" applyFont="1" applyFill="1" applyBorder="1" applyAlignment="1">
      <alignment horizontal="center" vertical="center" wrapText="1"/>
    </xf>
    <xf numFmtId="0" fontId="44" fillId="40" borderId="9" xfId="0" applyFont="1" applyFill="1" applyBorder="1" applyAlignment="1">
      <alignment horizontal="center" vertical="center" wrapText="1"/>
    </xf>
    <xf numFmtId="0" fontId="44" fillId="43" borderId="9" xfId="0" applyFont="1" applyFill="1" applyBorder="1" applyAlignment="1">
      <alignment horizontal="center" vertical="center" wrapText="1"/>
    </xf>
    <xf numFmtId="9" fontId="6" fillId="0" borderId="0" xfId="0" applyNumberFormat="1" applyFont="1" applyAlignment="1">
      <alignment horizontal="center"/>
    </xf>
    <xf numFmtId="17" fontId="6" fillId="34" borderId="0" xfId="0" applyNumberFormat="1" applyFont="1" applyFill="1" applyAlignment="1">
      <alignment horizontal="center"/>
    </xf>
    <xf numFmtId="17" fontId="6" fillId="27" borderId="0" xfId="0" applyNumberFormat="1" applyFont="1" applyFill="1" applyAlignment="1">
      <alignment horizontal="center"/>
    </xf>
    <xf numFmtId="0" fontId="0" fillId="28" borderId="20" xfId="0" applyFill="1" applyBorder="1" applyAlignment="1">
      <alignment horizontal="center"/>
    </xf>
    <xf numFmtId="0" fontId="6" fillId="28" borderId="20" xfId="0" applyFont="1" applyFill="1" applyBorder="1" applyAlignment="1">
      <alignment horizontal="center"/>
    </xf>
    <xf numFmtId="0" fontId="40" fillId="44" borderId="8" xfId="0" applyFont="1" applyFill="1" applyBorder="1" applyAlignment="1">
      <alignment horizontal="center" vertical="center" wrapText="1"/>
    </xf>
    <xf numFmtId="0" fontId="40" fillId="42" borderId="8" xfId="0" applyFont="1" applyFill="1" applyBorder="1" applyAlignment="1">
      <alignment horizontal="center" vertical="center" wrapText="1"/>
    </xf>
    <xf numFmtId="0" fontId="40" fillId="42" borderId="8" xfId="0" applyFont="1" applyFill="1" applyBorder="1" applyAlignment="1">
      <alignment horizontal="center" vertical="center"/>
    </xf>
    <xf numFmtId="0" fontId="40" fillId="44" borderId="8" xfId="0" applyFont="1" applyFill="1" applyBorder="1" applyAlignment="1">
      <alignment horizontal="center" vertical="center"/>
    </xf>
    <xf numFmtId="0" fontId="40" fillId="44" borderId="42" xfId="0" applyFont="1" applyFill="1" applyBorder="1" applyAlignment="1">
      <alignment horizontal="center" vertical="center" wrapText="1"/>
    </xf>
    <xf numFmtId="0" fontId="40" fillId="42" borderId="50" xfId="0" applyFont="1" applyFill="1" applyBorder="1" applyAlignment="1">
      <alignment horizontal="center" vertical="center" wrapText="1"/>
    </xf>
    <xf numFmtId="0" fontId="40" fillId="42" borderId="51" xfId="0" applyFont="1" applyFill="1" applyBorder="1" applyAlignment="1">
      <alignment horizontal="center" vertical="center" wrapText="1"/>
    </xf>
    <xf numFmtId="0" fontId="40" fillId="42" borderId="42" xfId="0" applyFont="1" applyFill="1" applyBorder="1" applyAlignment="1">
      <alignment horizontal="center" vertical="center" wrapText="1"/>
    </xf>
    <xf numFmtId="0" fontId="44" fillId="40" borderId="21" xfId="0" applyFont="1" applyFill="1" applyBorder="1" applyAlignment="1">
      <alignment horizontal="center" vertical="center" wrapText="1"/>
    </xf>
    <xf numFmtId="0" fontId="48" fillId="9" borderId="20" xfId="0" applyFont="1" applyFill="1" applyBorder="1" applyAlignment="1">
      <alignment horizontal="center" vertical="center"/>
    </xf>
    <xf numFmtId="0" fontId="48" fillId="9" borderId="21" xfId="0" applyFont="1" applyFill="1" applyBorder="1" applyAlignment="1">
      <alignment horizontal="center" vertical="center"/>
    </xf>
    <xf numFmtId="0" fontId="29" fillId="0" borderId="0" xfId="0" applyFont="1" applyAlignment="1">
      <alignment wrapText="1"/>
    </xf>
    <xf numFmtId="0" fontId="47" fillId="47" borderId="3" xfId="0" applyFont="1" applyFill="1" applyBorder="1" applyAlignment="1">
      <alignment horizontal="center" vertical="center" wrapText="1"/>
    </xf>
    <xf numFmtId="0" fontId="47" fillId="47" borderId="4" xfId="0" applyFont="1" applyFill="1" applyBorder="1" applyAlignment="1">
      <alignment horizontal="center" vertical="center" wrapText="1"/>
    </xf>
    <xf numFmtId="0" fontId="47" fillId="47" borderId="5" xfId="0" applyFont="1" applyFill="1" applyBorder="1" applyAlignment="1">
      <alignment horizontal="center" vertical="center" wrapText="1"/>
    </xf>
    <xf numFmtId="0" fontId="47" fillId="47" borderId="8" xfId="0" applyFont="1" applyFill="1" applyBorder="1" applyAlignment="1">
      <alignment horizontal="center" vertical="center" wrapText="1"/>
    </xf>
    <xf numFmtId="0" fontId="47" fillId="47" borderId="9" xfId="0" applyFont="1" applyFill="1" applyBorder="1" applyAlignment="1">
      <alignment horizontal="center" vertical="center" wrapText="1"/>
    </xf>
    <xf numFmtId="0" fontId="47" fillId="47" borderId="10" xfId="0" applyFont="1" applyFill="1" applyBorder="1" applyAlignment="1">
      <alignment horizontal="center" vertical="center" wrapText="1"/>
    </xf>
    <xf numFmtId="0" fontId="58" fillId="47" borderId="54" xfId="0" applyFont="1" applyFill="1" applyBorder="1" applyAlignment="1">
      <alignment horizontal="center" vertical="center" wrapText="1"/>
    </xf>
    <xf numFmtId="0" fontId="58" fillId="47" borderId="100" xfId="0" applyFont="1" applyFill="1" applyBorder="1" applyAlignment="1">
      <alignment horizontal="center" vertical="center" wrapText="1"/>
    </xf>
    <xf numFmtId="0" fontId="58" fillId="47" borderId="26" xfId="0" applyFont="1" applyFill="1" applyBorder="1" applyAlignment="1">
      <alignment horizontal="center" vertical="center" wrapText="1"/>
    </xf>
    <xf numFmtId="0" fontId="58" fillId="47" borderId="99" xfId="0" applyFont="1" applyFill="1" applyBorder="1" applyAlignment="1">
      <alignment horizontal="center" vertical="center" wrapText="1"/>
    </xf>
    <xf numFmtId="0" fontId="58" fillId="47" borderId="98" xfId="0" applyFont="1" applyFill="1" applyBorder="1" applyAlignment="1">
      <alignment horizontal="center" vertical="center" wrapText="1"/>
    </xf>
    <xf numFmtId="0" fontId="58" fillId="47" borderId="32" xfId="0" applyFont="1" applyFill="1" applyBorder="1" applyAlignment="1">
      <alignment horizontal="center" vertical="center" wrapText="1"/>
    </xf>
    <xf numFmtId="0" fontId="56" fillId="47" borderId="52" xfId="0" applyFont="1" applyFill="1" applyBorder="1" applyAlignment="1">
      <alignment horizontal="center" vertical="center" wrapText="1"/>
    </xf>
    <xf numFmtId="0" fontId="56" fillId="47" borderId="30" xfId="0" applyFont="1" applyFill="1" applyBorder="1" applyAlignment="1">
      <alignment horizontal="center" vertical="center" wrapText="1"/>
    </xf>
    <xf numFmtId="0" fontId="6" fillId="34" borderId="95" xfId="0" applyFont="1" applyFill="1" applyBorder="1" applyAlignment="1">
      <alignment horizontal="center"/>
    </xf>
    <xf numFmtId="0" fontId="0" fillId="35" borderId="95" xfId="0" applyFill="1" applyBorder="1" applyAlignment="1">
      <alignment horizontal="center"/>
    </xf>
    <xf numFmtId="0" fontId="6" fillId="0" borderId="90" xfId="0" applyFont="1" applyBorder="1" applyAlignment="1">
      <alignment horizontal="center"/>
    </xf>
    <xf numFmtId="0" fontId="6" fillId="0" borderId="111" xfId="0" applyFont="1" applyBorder="1" applyAlignment="1">
      <alignment horizontal="center"/>
    </xf>
    <xf numFmtId="0" fontId="6" fillId="0" borderId="95" xfId="0" applyFont="1" applyBorder="1" applyAlignment="1">
      <alignment horizontal="center"/>
    </xf>
    <xf numFmtId="0" fontId="6" fillId="5" borderId="0" xfId="0" applyFont="1" applyFill="1" applyAlignment="1">
      <alignment horizontal="center"/>
    </xf>
    <xf numFmtId="0" fontId="6" fillId="8" borderId="0" xfId="0" applyFont="1" applyFill="1" applyAlignment="1">
      <alignment horizontal="center"/>
    </xf>
  </cellXfs>
  <cellStyles count="6">
    <cellStyle name="Moneda" xfId="2" builtinId="4"/>
    <cellStyle name="Moneda 2" xfId="4" xr:uid="{FE81C012-1FA0-479A-A076-85EC64DB7359}"/>
    <cellStyle name="Normal" xfId="0" builtinId="0"/>
    <cellStyle name="Normal 2" xfId="3" xr:uid="{00000000-0005-0000-0000-000002000000}"/>
    <cellStyle name="Normal 3" xfId="5" xr:uid="{FE497108-4C40-43A3-91DC-CEBB27B34E2A}"/>
    <cellStyle name="Porcentaje" xfId="1" builtinId="5"/>
  </cellStyles>
  <dxfs count="0"/>
  <tableStyles count="0" defaultTableStyle="TableStyleMedium2" defaultPivotStyle="PivotStyleLight16"/>
  <colors>
    <mruColors>
      <color rgb="FFFF99CC"/>
      <color rgb="FFFFFD6B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Proyección de Ingresos vs Gastos Bolsa GO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GO!$A$3</c:f>
              <c:strCache>
                <c:ptCount val="1"/>
                <c:pt idx="0">
                  <c:v>Ingreso GO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  <a:prstDash val="solid"/>
              </a:ln>
              <a:effectLst/>
            </c:spPr>
          </c:marker>
          <c:cat>
            <c:numRef>
              <c:f>GO!$B$2:$AA$2</c:f>
              <c:numCache>
                <c:formatCode>mmm\-yy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GO!$B$3:$AA$3</c:f>
              <c:numCache>
                <c:formatCode>General</c:formatCode>
                <c:ptCount val="24"/>
                <c:pt idx="0" formatCode="#,##0">
                  <c:v>2129.5994232500002</c:v>
                </c:pt>
                <c:pt idx="2" formatCode="_-&quot;$&quot;* #,##0_-;\-&quot;$&quot;* #,##0_-;_-&quot;$&quot;* &quot;-&quot;??_-;_-@_-">
                  <c:v>3195.9202575625004</c:v>
                </c:pt>
                <c:pt idx="3" formatCode="_-&quot;$&quot;* #,##0_-;\-&quot;$&quot;* #,##0_-;_-&quot;$&quot;* &quot;-&quot;??_-;_-@_-">
                  <c:v>3254.4948013825006</c:v>
                </c:pt>
                <c:pt idx="4" formatCode="_-&quot;$&quot;* #,##0_-;\-&quot;$&quot;* #,##0_-;_-&quot;$&quot;* &quot;-&quot;??_-;_-@_-">
                  <c:v>0</c:v>
                </c:pt>
                <c:pt idx="5" formatCode="_-&quot;$&quot;* #,##0_-;\-&quot;$&quot;* #,##0_-;_-&quot;$&quot;* &quot;-&quot;??_-;_-@_-">
                  <c:v>0</c:v>
                </c:pt>
                <c:pt idx="6" formatCode="_-&quot;$&quot;* #,##0_-;\-&quot;$&quot;* #,##0_-;_-&quot;$&quot;* &quot;-&quot;??_-;_-@_-">
                  <c:v>0</c:v>
                </c:pt>
                <c:pt idx="7" formatCode="_-&quot;$&quot;* #,##0_-;\-&quot;$&quot;* #,##0_-;_-&quot;$&quot;* &quot;-&quot;??_-;_-@_-">
                  <c:v>0</c:v>
                </c:pt>
                <c:pt idx="8" formatCode="_-&quot;$&quot;* #,##0_-;\-&quot;$&quot;* #,##0_-;_-&quot;$&quot;* &quot;-&quot;??_-;_-@_-">
                  <c:v>0</c:v>
                </c:pt>
                <c:pt idx="9" formatCode="_-&quot;$&quot;* #,##0_-;\-&quot;$&quot;* #,##0_-;_-&quot;$&quot;* &quot;-&quot;??_-;_-@_-">
                  <c:v>0</c:v>
                </c:pt>
                <c:pt idx="10" formatCode="_-&quot;$&quot;* #,##0_-;\-&quot;$&quot;* #,##0_-;_-&quot;$&quot;* &quot;-&quot;??_-;_-@_-">
                  <c:v>0</c:v>
                </c:pt>
                <c:pt idx="11" formatCode="_-&quot;$&quot;* #,##0_-;\-&quot;$&quot;* #,##0_-;_-&quot;$&quot;* &quot;-&quot;??_-;_-@_-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98-4B16-A783-936A65CB4B5A}"/>
            </c:ext>
          </c:extLst>
        </c:ser>
        <c:ser>
          <c:idx val="1"/>
          <c:order val="1"/>
          <c:tx>
            <c:strRef>
              <c:f>GO!$A$4</c:f>
              <c:strCache>
                <c:ptCount val="1"/>
                <c:pt idx="0">
                  <c:v>Subtotal Gastos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  <a:prstDash val="solid"/>
              </a:ln>
              <a:effectLst/>
            </c:spPr>
          </c:marker>
          <c:cat>
            <c:numRef>
              <c:f>GO!$B$2:$AA$2</c:f>
              <c:numCache>
                <c:formatCode>mmm\-yy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GO!$B$4:$AA$4</c:f>
              <c:numCache>
                <c:formatCode>General</c:formatCode>
                <c:ptCount val="24"/>
                <c:pt idx="2" formatCode="_-* #,##0_-;\-* #,##0_-;_-* &quot;-&quot;??_-;_-@_-">
                  <c:v>4289</c:v>
                </c:pt>
                <c:pt idx="3" formatCode="_-* #,##0_-;\-* #,##0_-;_-* &quot;-&quot;??_-;_-@_-">
                  <c:v>3669</c:v>
                </c:pt>
                <c:pt idx="4" formatCode="_-* #,##0_-;\-* #,##0_-;_-* &quot;-&quot;??_-;_-@_-">
                  <c:v>3809</c:v>
                </c:pt>
                <c:pt idx="5" formatCode="_-* #,##0_-;\-* #,##0_-;_-* &quot;-&quot;??_-;_-@_-">
                  <c:v>4149</c:v>
                </c:pt>
                <c:pt idx="6" formatCode="_-* #,##0_-;\-* #,##0_-;_-* &quot;-&quot;??_-;_-@_-">
                  <c:v>3809</c:v>
                </c:pt>
                <c:pt idx="7" formatCode="_-* #,##0_-;\-* #,##0_-;_-* &quot;-&quot;??_-;_-@_-">
                  <c:v>3669</c:v>
                </c:pt>
                <c:pt idx="8" formatCode="_-* #,##0_-;\-* #,##0_-;_-* &quot;-&quot;??_-;_-@_-">
                  <c:v>4289</c:v>
                </c:pt>
                <c:pt idx="9" formatCode="_-* #,##0_-;\-* #,##0_-;_-* &quot;-&quot;??_-;_-@_-">
                  <c:v>3669</c:v>
                </c:pt>
                <c:pt idx="10" formatCode="_-* #,##0_-;\-* #,##0_-;_-* &quot;-&quot;??_-;_-@_-">
                  <c:v>3809</c:v>
                </c:pt>
                <c:pt idx="11" formatCode="_-* #,##0_-;\-* #,##0_-;_-* &quot;-&quot;??_-;_-@_-">
                  <c:v>4849</c:v>
                </c:pt>
                <c:pt idx="12" formatCode="_-* #,##0_-;\-* #,##0_-;_-* &quot;-&quot;??_-;_-@_-">
                  <c:v>3809</c:v>
                </c:pt>
                <c:pt idx="13" formatCode="_-* #,##0_-;\-* #,##0_-;_-* &quot;-&quot;??_-;_-@_-">
                  <c:v>3669</c:v>
                </c:pt>
                <c:pt idx="14" formatCode="_-* #,##0_-;\-* #,##0_-;_-* &quot;-&quot;??_-;_-@_-">
                  <c:v>4289</c:v>
                </c:pt>
                <c:pt idx="15" formatCode="_-* #,##0_-;\-* #,##0_-;_-* &quot;-&quot;??_-;_-@_-">
                  <c:v>3669</c:v>
                </c:pt>
                <c:pt idx="16" formatCode="_-* #,##0_-;\-* #,##0_-;_-* &quot;-&quot;??_-;_-@_-">
                  <c:v>3809</c:v>
                </c:pt>
                <c:pt idx="17" formatCode="_-* #,##0_-;\-* #,##0_-;_-* &quot;-&quot;??_-;_-@_-">
                  <c:v>4149</c:v>
                </c:pt>
                <c:pt idx="18" formatCode="_-* #,##0_-;\-* #,##0_-;_-* &quot;-&quot;??_-;_-@_-">
                  <c:v>3809</c:v>
                </c:pt>
                <c:pt idx="19" formatCode="_-* #,##0_-;\-* #,##0_-;_-* &quot;-&quot;??_-;_-@_-">
                  <c:v>3669</c:v>
                </c:pt>
                <c:pt idx="20" formatCode="_-* #,##0_-;\-* #,##0_-;_-* &quot;-&quot;??_-;_-@_-">
                  <c:v>4289</c:v>
                </c:pt>
                <c:pt idx="21" formatCode="_-* #,##0_-;\-* #,##0_-;_-* &quot;-&quot;??_-;_-@_-">
                  <c:v>3669</c:v>
                </c:pt>
                <c:pt idx="22" formatCode="_-* #,##0_-;\-* #,##0_-;_-* &quot;-&quot;??_-;_-@_-">
                  <c:v>3809</c:v>
                </c:pt>
                <c:pt idx="23" formatCode="_-* #,##0_-;\-* #,##0_-;_-* &quot;-&quot;??_-;_-@_-">
                  <c:v>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98-4B16-A783-936A65CB4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486480"/>
        <c:axId val="1427487024"/>
      </c:lineChart>
      <c:dateAx>
        <c:axId val="14274864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7487024"/>
        <c:crosses val="autoZero"/>
        <c:auto val="1"/>
        <c:lblOffset val="100"/>
        <c:baseTimeUnit val="months"/>
      </c:dateAx>
      <c:valAx>
        <c:axId val="142748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748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Proyeccion Imptos vs Gastos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IM!$C$3</c:f>
              <c:strCache>
                <c:ptCount val="1"/>
                <c:pt idx="0">
                  <c:v>Proyeccion Impuestos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IM!$D$2:$M$2</c:f>
              <c:strCache>
                <c:ptCount val="10"/>
                <c:pt idx="0">
                  <c:v>MAR</c:v>
                </c:pt>
                <c:pt idx="1">
                  <c:v>ABR</c:v>
                </c:pt>
                <c:pt idx="2">
                  <c:v>MAY</c:v>
                </c:pt>
                <c:pt idx="3">
                  <c:v>JUN</c:v>
                </c:pt>
                <c:pt idx="4">
                  <c:v>JUL</c:v>
                </c:pt>
                <c:pt idx="5">
                  <c:v>AGO</c:v>
                </c:pt>
                <c:pt idx="6">
                  <c:v>SEP</c:v>
                </c:pt>
                <c:pt idx="7">
                  <c:v>OCT</c:v>
                </c:pt>
                <c:pt idx="8">
                  <c:v>NOV</c:v>
                </c:pt>
                <c:pt idx="9">
                  <c:v>DIC</c:v>
                </c:pt>
              </c:strCache>
            </c:strRef>
          </c:cat>
          <c:val>
            <c:numRef>
              <c:f>IM!$D$3:$M$3</c:f>
              <c:numCache>
                <c:formatCode>_-"$"* #,##0_-;\-"$"* #,##0_-;_-"$"* "-"??_-;_-@_-</c:formatCode>
                <c:ptCount val="10"/>
                <c:pt idx="0">
                  <c:v>737.52005943749998</c:v>
                </c:pt>
                <c:pt idx="1">
                  <c:v>868</c:v>
                </c:pt>
                <c:pt idx="2">
                  <c:v>936</c:v>
                </c:pt>
                <c:pt idx="3">
                  <c:v>1143.6037037399999</c:v>
                </c:pt>
                <c:pt idx="4">
                  <c:v>915.97526815499987</c:v>
                </c:pt>
                <c:pt idx="5">
                  <c:v>892.21016493000013</c:v>
                </c:pt>
                <c:pt idx="6">
                  <c:v>1172.4800783429998</c:v>
                </c:pt>
                <c:pt idx="7">
                  <c:v>1013.6792501250001</c:v>
                </c:pt>
                <c:pt idx="8">
                  <c:v>1157.7600784800002</c:v>
                </c:pt>
                <c:pt idx="9">
                  <c:v>2673.7556212050008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0-4823-828C-5138CFC75D87}"/>
            </c:ext>
          </c:extLst>
        </c:ser>
        <c:ser>
          <c:idx val="1"/>
          <c:order val="1"/>
          <c:tx>
            <c:strRef>
              <c:f>IM!$C$4</c:f>
              <c:strCache>
                <c:ptCount val="1"/>
                <c:pt idx="0">
                  <c:v>Total Gastos Mensual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IM!$D$2:$M$2</c:f>
              <c:strCache>
                <c:ptCount val="10"/>
                <c:pt idx="0">
                  <c:v>MAR</c:v>
                </c:pt>
                <c:pt idx="1">
                  <c:v>ABR</c:v>
                </c:pt>
                <c:pt idx="2">
                  <c:v>MAY</c:v>
                </c:pt>
                <c:pt idx="3">
                  <c:v>JUN</c:v>
                </c:pt>
                <c:pt idx="4">
                  <c:v>JUL</c:v>
                </c:pt>
                <c:pt idx="5">
                  <c:v>AGO</c:v>
                </c:pt>
                <c:pt idx="6">
                  <c:v>SEP</c:v>
                </c:pt>
                <c:pt idx="7">
                  <c:v>OCT</c:v>
                </c:pt>
                <c:pt idx="8">
                  <c:v>NOV</c:v>
                </c:pt>
                <c:pt idx="9">
                  <c:v>DIC</c:v>
                </c:pt>
              </c:strCache>
            </c:strRef>
          </c:cat>
          <c:val>
            <c:numRef>
              <c:f>IM!$D$4:$M$4</c:f>
              <c:numCache>
                <c:formatCode>_-"$"* #,##0_-;\-"$"* #,##0_-;_-"$"* "-"??_-;_-@_-</c:formatCode>
                <c:ptCount val="10"/>
                <c:pt idx="0">
                  <c:v>766.75601783125001</c:v>
                </c:pt>
                <c:pt idx="1">
                  <c:v>834.9</c:v>
                </c:pt>
                <c:pt idx="2">
                  <c:v>925.3</c:v>
                </c:pt>
                <c:pt idx="3">
                  <c:v>912.58111112200004</c:v>
                </c:pt>
                <c:pt idx="4">
                  <c:v>850.29258044649987</c:v>
                </c:pt>
                <c:pt idx="5">
                  <c:v>841.16304947900005</c:v>
                </c:pt>
                <c:pt idx="6">
                  <c:v>886.24402350289995</c:v>
                </c:pt>
                <c:pt idx="7">
                  <c:v>841.60377503749999</c:v>
                </c:pt>
                <c:pt idx="8">
                  <c:v>873.82802354399996</c:v>
                </c:pt>
                <c:pt idx="9">
                  <c:v>1804.6266863615001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70-4823-828C-5138CFC75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765488"/>
        <c:axId val="1605764400"/>
      </c:lineChart>
      <c:catAx>
        <c:axId val="160576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764400"/>
        <c:crosses val="autoZero"/>
        <c:auto val="1"/>
        <c:lblAlgn val="ctr"/>
        <c:lblOffset val="100"/>
        <c:noMultiLvlLbl val="0"/>
      </c:catAx>
      <c:valAx>
        <c:axId val="160576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$&quot;* #,##0_-;\-&quot;$&quot;* #,##0_-;_-&quot;$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76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180975</xdr:rowOff>
    </xdr:from>
    <xdr:to>
      <xdr:col>15</xdr:col>
      <xdr:colOff>19050</xdr:colOff>
      <xdr:row>34</xdr:row>
      <xdr:rowOff>47625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45E8D82-E502-4A15-8106-8528057B58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590550</xdr:colOff>
      <xdr:row>0</xdr:row>
      <xdr:rowOff>171450</xdr:rowOff>
    </xdr:from>
    <xdr:to>
      <xdr:col>22</xdr:col>
      <xdr:colOff>285750</xdr:colOff>
      <xdr:row>15</xdr:row>
      <xdr:rowOff>57150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4D6F2B1-632D-456C-B572-28CBF631A7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arcela Molina" id="{4BBF7D9F-9BDB-4C17-B2FA-504A35402E15}" userId="513d6d7d0ad53551" providerId="Windows Live"/>
  <person displayName="Fernando Ibarra" id="{BB9C92D6-245A-4C22-8063-410783F62331}" userId="8d34c82d9cbc163a" providerId="Windows Live"/>
  <person displayName="Mauricio Lujan" id="{2F9711CC-3294-409A-837F-11A338995897}" userId="a38039d0173533ab" providerId="Windows Live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591" dT="2021-08-17T00:11:00.75" personId="{2F9711CC-3294-409A-837F-11A338995897}" id="{708F30BA-7892-4F12-95DF-F8938C9B07D4}">
    <text>TT= Todas sucursales Excepto A14, A24 y E2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LH35" dT="2022-01-11T19:29:49.81" personId="{BB9C92D6-245A-4C22-8063-410783F62331}" id="{45D7527C-688A-43D6-A731-A86F856874C9}">
    <text>VENTAS TOTALES, TODAS FORMAS DE COBRO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O27" dT="2021-05-17T18:27:24.73" personId="{4BBF7D9F-9BDB-4C17-B2FA-504A35402E15}" id="{819A944E-8E01-44CE-BE87-417A3A7C17D4}">
    <text>50 abono prestamo GO</text>
  </threadedComment>
  <threadedComment ref="G45" dT="2021-04-19T21:11:58.95" personId="{4BBF7D9F-9BDB-4C17-B2FA-504A35402E15}" id="{86EFDDA7-A5AB-48DF-B2E0-D758EF4CB034}">
    <text>2,500 tramite moto Ricardo</text>
  </threadedComment>
  <threadedComment ref="G45" dT="2021-04-19T21:15:26.27" personId="{4BBF7D9F-9BDB-4C17-B2FA-504A35402E15}" id="{3690922A-A2F9-4B4B-8997-CC742186C282}" parentId="{86EFDDA7-A5AB-48DF-B2E0-D758EF4CB034}">
    <text>1,355 reposicion Marcos Cruz</text>
  </threadedComment>
  <threadedComment ref="G45" dT="2021-04-20T16:30:09.43" personId="{4BBF7D9F-9BDB-4C17-B2FA-504A35402E15}" id="{6610CCF2-E405-4005-ADBF-40835EDE9710}" parentId="{86EFDDA7-A5AB-48DF-B2E0-D758EF4CB034}">
    <text>629 total play oficina Conta</text>
  </threadedComment>
  <threadedComment ref="G45" dT="2021-04-20T17:03:56.92" personId="{4BBF7D9F-9BDB-4C17-B2FA-504A35402E15}" id="{AAD9E928-2058-46BC-80DA-C978AEE53FD0}" parentId="{86EFDDA7-A5AB-48DF-B2E0-D758EF4CB034}">
    <text>8150 tramite BMW</text>
  </threadedComment>
</ThreadedComment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Relationship Id="rId4" Type="http://schemas.microsoft.com/office/2017/10/relationships/threadedComment" Target="../threadedComments/threadedComment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FBFBF"/>
  </sheetPr>
  <dimension ref="C1:JB44"/>
  <sheetViews>
    <sheetView zoomScale="80" zoomScaleNormal="80" workbookViewId="0">
      <pane xSplit="3" ySplit="3" topLeftCell="HX4" activePane="bottomRight" state="frozen"/>
      <selection pane="bottomRight" activeCell="D1" sqref="D1"/>
      <selection pane="bottomLeft" activeCell="A4" sqref="A4"/>
      <selection pane="topRight" activeCell="D1" sqref="D1"/>
    </sheetView>
  </sheetViews>
  <sheetFormatPr defaultColWidth="15.85546875" defaultRowHeight="15"/>
  <cols>
    <col min="2" max="2" width="7.7109375" customWidth="1"/>
    <col min="3" max="3" width="11.140625" bestFit="1" customWidth="1"/>
    <col min="4" max="128" width="15.85546875" hidden="1" customWidth="1"/>
    <col min="129" max="129" width="13.140625" hidden="1" customWidth="1"/>
    <col min="130" max="171" width="15.85546875" hidden="1" customWidth="1"/>
    <col min="172" max="251" width="15.85546875" customWidth="1"/>
    <col min="253" max="253" width="11.5703125" bestFit="1" customWidth="1"/>
    <col min="254" max="254" width="10.140625" customWidth="1"/>
    <col min="257" max="257" width="11.7109375" customWidth="1"/>
    <col min="258" max="258" width="8.28515625" customWidth="1"/>
  </cols>
  <sheetData>
    <row r="1" spans="3:262" ht="15" hidden="1" customHeight="1"/>
    <row r="2" spans="3:262" ht="15" customHeight="1">
      <c r="C2" s="1631" t="s">
        <v>0</v>
      </c>
      <c r="D2" s="236">
        <v>43835</v>
      </c>
      <c r="E2" s="236">
        <v>44199</v>
      </c>
      <c r="F2" s="236">
        <v>44199</v>
      </c>
      <c r="G2" s="236">
        <v>43836</v>
      </c>
      <c r="H2" s="236">
        <v>44200</v>
      </c>
      <c r="I2" s="236">
        <v>44200</v>
      </c>
      <c r="J2" s="236">
        <v>43837</v>
      </c>
      <c r="K2" s="236">
        <v>44201</v>
      </c>
      <c r="L2" s="236">
        <v>44201</v>
      </c>
      <c r="M2" s="236">
        <v>43838</v>
      </c>
      <c r="N2" s="236">
        <v>44202</v>
      </c>
      <c r="O2" s="236">
        <v>44202</v>
      </c>
      <c r="P2" s="236">
        <v>43839</v>
      </c>
      <c r="Q2" s="236">
        <v>44203</v>
      </c>
      <c r="R2" s="236">
        <v>44203</v>
      </c>
      <c r="S2" s="236">
        <v>43840</v>
      </c>
      <c r="T2" s="236">
        <v>36899</v>
      </c>
      <c r="U2" s="236">
        <v>36899</v>
      </c>
      <c r="V2" s="236">
        <v>43841</v>
      </c>
      <c r="W2" s="236">
        <v>44205</v>
      </c>
      <c r="X2" s="236">
        <v>44205</v>
      </c>
      <c r="Y2" s="236">
        <v>43842</v>
      </c>
      <c r="Z2" s="236">
        <v>44206</v>
      </c>
      <c r="AA2" s="236">
        <v>44206</v>
      </c>
      <c r="AB2" s="236">
        <v>43843</v>
      </c>
      <c r="AC2" s="236">
        <v>44207</v>
      </c>
      <c r="AD2" s="236">
        <v>44207</v>
      </c>
      <c r="AE2" s="236">
        <v>43844</v>
      </c>
      <c r="AF2" s="236">
        <v>44208</v>
      </c>
      <c r="AG2" s="236">
        <v>44208</v>
      </c>
      <c r="AH2" s="236">
        <v>43845</v>
      </c>
      <c r="AI2" s="236">
        <v>44209</v>
      </c>
      <c r="AJ2" s="236">
        <v>44209</v>
      </c>
      <c r="AK2" s="236">
        <v>43846</v>
      </c>
      <c r="AL2" s="236">
        <v>44210</v>
      </c>
      <c r="AM2" s="236">
        <v>44210</v>
      </c>
      <c r="AN2" s="236">
        <v>43847</v>
      </c>
      <c r="AO2" s="236">
        <v>44211</v>
      </c>
      <c r="AP2" s="236">
        <v>44211</v>
      </c>
      <c r="AQ2" s="236">
        <v>43848</v>
      </c>
      <c r="AR2" s="236">
        <v>44212</v>
      </c>
      <c r="AS2" s="236">
        <v>44212</v>
      </c>
      <c r="AT2" s="236">
        <v>43849</v>
      </c>
      <c r="AU2" s="236">
        <v>44213</v>
      </c>
      <c r="AV2" s="236">
        <v>44213</v>
      </c>
      <c r="AW2" s="236">
        <v>43850</v>
      </c>
      <c r="AX2" s="236">
        <v>44214</v>
      </c>
      <c r="AY2" s="236">
        <v>44214</v>
      </c>
      <c r="AZ2" s="236">
        <v>43851</v>
      </c>
      <c r="BA2" s="236">
        <v>44215</v>
      </c>
      <c r="BB2" s="236">
        <v>44215</v>
      </c>
      <c r="BC2" s="236">
        <v>43852</v>
      </c>
      <c r="BD2" s="236">
        <v>44216</v>
      </c>
      <c r="BE2" s="236">
        <v>44216</v>
      </c>
      <c r="BF2" s="236">
        <v>43853</v>
      </c>
      <c r="BG2" s="236">
        <v>44217</v>
      </c>
      <c r="BH2" s="236">
        <v>44217</v>
      </c>
      <c r="BI2" s="236">
        <v>43854</v>
      </c>
      <c r="BJ2" s="236">
        <v>44218</v>
      </c>
      <c r="BK2" s="236">
        <v>44218</v>
      </c>
      <c r="BL2" s="236">
        <v>43855</v>
      </c>
      <c r="BM2" s="236">
        <v>44219</v>
      </c>
      <c r="BN2" s="236">
        <v>44219</v>
      </c>
      <c r="BO2" s="236">
        <v>43856</v>
      </c>
      <c r="BP2" s="236">
        <v>44220</v>
      </c>
      <c r="BQ2" s="236">
        <v>44220</v>
      </c>
      <c r="BR2" s="236">
        <v>43857</v>
      </c>
      <c r="BS2" s="236">
        <v>44221</v>
      </c>
      <c r="BT2" s="236">
        <v>44221</v>
      </c>
      <c r="BU2" s="236">
        <v>43858</v>
      </c>
      <c r="BV2" s="236">
        <v>44222</v>
      </c>
      <c r="BW2" s="236">
        <v>44222</v>
      </c>
      <c r="BX2" s="236">
        <v>43859</v>
      </c>
      <c r="BY2" s="236">
        <v>44223</v>
      </c>
      <c r="BZ2" s="236">
        <v>44223</v>
      </c>
      <c r="CA2" s="236">
        <v>43860</v>
      </c>
      <c r="CB2" s="236">
        <v>44224</v>
      </c>
      <c r="CC2" s="236">
        <v>44224</v>
      </c>
      <c r="CD2" s="236">
        <v>43861</v>
      </c>
      <c r="CE2" s="236">
        <v>44225</v>
      </c>
      <c r="CF2" s="236">
        <v>44225</v>
      </c>
      <c r="CG2" s="236">
        <v>43862</v>
      </c>
      <c r="CH2" s="236">
        <v>44226</v>
      </c>
      <c r="CI2" s="236"/>
      <c r="CJ2" s="236">
        <v>43863</v>
      </c>
      <c r="CK2" s="236">
        <v>44227</v>
      </c>
      <c r="CL2" s="236"/>
      <c r="CM2" s="236">
        <v>43864</v>
      </c>
      <c r="CN2" s="236">
        <v>44228</v>
      </c>
      <c r="CO2" s="236">
        <v>44228</v>
      </c>
      <c r="CP2" s="236">
        <v>43865</v>
      </c>
      <c r="CQ2" s="236">
        <v>44229</v>
      </c>
      <c r="CR2" s="236"/>
      <c r="CS2" s="236">
        <v>43866</v>
      </c>
      <c r="CT2" s="236">
        <v>44230</v>
      </c>
      <c r="CU2" s="236"/>
      <c r="CV2" s="236">
        <v>43867</v>
      </c>
      <c r="CW2" s="236">
        <v>44231</v>
      </c>
      <c r="CX2" s="236"/>
      <c r="CY2" s="236">
        <v>43868</v>
      </c>
      <c r="CZ2" s="236">
        <v>44232</v>
      </c>
      <c r="DA2" s="236"/>
      <c r="DB2" s="236">
        <v>43869</v>
      </c>
      <c r="DC2" s="236">
        <v>44233</v>
      </c>
      <c r="DD2" s="236"/>
      <c r="DE2" s="236">
        <v>43870</v>
      </c>
      <c r="DF2" s="236">
        <v>44234</v>
      </c>
      <c r="DG2" s="236"/>
      <c r="DH2" s="236">
        <v>43871</v>
      </c>
      <c r="DI2" s="236">
        <v>44235</v>
      </c>
      <c r="DJ2" s="236"/>
      <c r="DK2" s="236">
        <v>43872</v>
      </c>
      <c r="DL2" s="236">
        <v>44236</v>
      </c>
      <c r="DM2" s="236"/>
      <c r="DN2" s="236">
        <v>43873</v>
      </c>
      <c r="DO2" s="236">
        <v>44237</v>
      </c>
      <c r="DP2" s="236"/>
      <c r="DQ2" s="236">
        <v>43874</v>
      </c>
      <c r="DR2" s="236">
        <v>44238</v>
      </c>
      <c r="DS2" s="236"/>
      <c r="DT2" s="236">
        <v>43875</v>
      </c>
      <c r="DU2" s="236">
        <v>44239</v>
      </c>
      <c r="DV2" s="236"/>
      <c r="DW2" s="236">
        <v>43876</v>
      </c>
      <c r="DX2" s="236">
        <v>44240</v>
      </c>
      <c r="DY2" s="236"/>
      <c r="DZ2" s="236">
        <v>43877</v>
      </c>
      <c r="EA2" s="236">
        <v>44241</v>
      </c>
      <c r="EB2" s="236"/>
      <c r="EC2" s="236">
        <v>43878</v>
      </c>
      <c r="ED2" s="236">
        <v>44242</v>
      </c>
      <c r="EE2" s="236"/>
      <c r="EF2" s="236">
        <v>43879</v>
      </c>
      <c r="EG2" s="236">
        <v>44243</v>
      </c>
      <c r="EH2" s="236"/>
      <c r="EI2" s="236">
        <v>43880</v>
      </c>
      <c r="EJ2" s="236">
        <v>44244</v>
      </c>
      <c r="EK2" s="236"/>
      <c r="EL2" s="236">
        <v>43881</v>
      </c>
      <c r="EM2" s="236">
        <v>44245</v>
      </c>
      <c r="EN2" s="236"/>
      <c r="EO2" s="236">
        <v>43882</v>
      </c>
      <c r="EP2" s="236">
        <v>44246</v>
      </c>
      <c r="EQ2" s="236"/>
      <c r="ER2" s="236">
        <v>43883</v>
      </c>
      <c r="ES2" s="236">
        <v>44247</v>
      </c>
      <c r="ET2" s="236"/>
      <c r="EU2" s="236">
        <v>43884</v>
      </c>
      <c r="EV2" s="236">
        <v>44248</v>
      </c>
      <c r="EW2" s="236"/>
      <c r="EX2" s="236">
        <v>43885</v>
      </c>
      <c r="EY2" s="236">
        <v>44249</v>
      </c>
      <c r="EZ2" s="236"/>
      <c r="FA2" s="236">
        <v>43886</v>
      </c>
      <c r="FB2" s="236">
        <v>44250</v>
      </c>
      <c r="FC2" s="236"/>
      <c r="FD2" s="236">
        <v>43887</v>
      </c>
      <c r="FE2" s="236">
        <v>44251</v>
      </c>
      <c r="FF2" s="236"/>
      <c r="FG2" s="236">
        <v>43888</v>
      </c>
      <c r="FH2" s="236">
        <v>44252</v>
      </c>
      <c r="FI2" s="236"/>
      <c r="FJ2" s="236">
        <v>43889</v>
      </c>
      <c r="FK2" s="236">
        <v>44253</v>
      </c>
      <c r="FL2" s="236"/>
      <c r="FM2" s="236">
        <v>43890</v>
      </c>
      <c r="FN2" s="236">
        <v>44254</v>
      </c>
      <c r="FO2" s="236"/>
      <c r="FP2" s="236">
        <v>43891</v>
      </c>
      <c r="FQ2" s="236">
        <v>44255</v>
      </c>
      <c r="FR2" s="236"/>
      <c r="FS2" s="236">
        <v>43892</v>
      </c>
      <c r="FT2" s="236">
        <v>44256</v>
      </c>
      <c r="FU2" s="236"/>
      <c r="FV2" s="236">
        <v>43893</v>
      </c>
      <c r="FW2" s="236">
        <v>44257</v>
      </c>
      <c r="FX2" s="236"/>
      <c r="FY2" s="236">
        <v>43894</v>
      </c>
      <c r="FZ2" s="236">
        <v>44258</v>
      </c>
      <c r="GA2" s="236"/>
      <c r="GB2" s="236">
        <v>43895</v>
      </c>
      <c r="GC2" s="236">
        <v>44259</v>
      </c>
      <c r="GD2" s="236"/>
      <c r="GE2" s="236">
        <v>43896</v>
      </c>
      <c r="GF2" s="236">
        <v>44260</v>
      </c>
      <c r="GG2" s="236"/>
      <c r="GH2" s="236">
        <v>43897</v>
      </c>
      <c r="GI2" s="236">
        <v>44261</v>
      </c>
      <c r="GJ2" s="236"/>
      <c r="GK2" s="236">
        <v>43898</v>
      </c>
      <c r="GL2" s="236">
        <v>44262</v>
      </c>
      <c r="GM2" s="236"/>
      <c r="GN2" s="236">
        <v>43899</v>
      </c>
      <c r="GO2" s="236">
        <v>44263</v>
      </c>
      <c r="GP2" s="236"/>
      <c r="GQ2" s="236">
        <v>43900</v>
      </c>
      <c r="GR2" s="236">
        <v>44264</v>
      </c>
      <c r="GS2" s="236"/>
      <c r="GT2" s="236">
        <v>43901</v>
      </c>
      <c r="GU2" s="236">
        <v>44265</v>
      </c>
      <c r="GV2" s="236"/>
      <c r="GW2" s="236">
        <v>43902</v>
      </c>
      <c r="GX2" s="236">
        <v>44266</v>
      </c>
      <c r="GY2" s="236"/>
      <c r="GZ2" s="236">
        <v>43903</v>
      </c>
      <c r="HA2" s="236">
        <v>44267</v>
      </c>
      <c r="HB2" s="236"/>
      <c r="HC2" s="236">
        <v>43904</v>
      </c>
      <c r="HD2" s="236">
        <v>44268</v>
      </c>
      <c r="HE2" s="236"/>
      <c r="HF2" s="236">
        <v>43905</v>
      </c>
      <c r="HG2" s="236">
        <v>44269</v>
      </c>
      <c r="HH2" s="236"/>
      <c r="HI2" s="236">
        <v>43906</v>
      </c>
      <c r="HJ2" s="236">
        <v>44270</v>
      </c>
      <c r="HK2" s="236"/>
      <c r="HL2" s="236">
        <v>43907</v>
      </c>
      <c r="HM2" s="236">
        <v>44271</v>
      </c>
      <c r="HN2" s="236"/>
      <c r="HO2" s="236">
        <v>43908</v>
      </c>
      <c r="HP2" s="236">
        <v>44272</v>
      </c>
      <c r="HQ2" s="236"/>
      <c r="HR2" s="236">
        <v>43909</v>
      </c>
      <c r="HS2" s="236">
        <v>44273</v>
      </c>
      <c r="HT2" s="236"/>
      <c r="HU2" s="236">
        <v>43910</v>
      </c>
      <c r="HV2" s="236">
        <v>44274</v>
      </c>
      <c r="HW2" s="236"/>
      <c r="HX2" s="236">
        <v>43911</v>
      </c>
      <c r="HY2" s="236">
        <v>44275</v>
      </c>
      <c r="HZ2" s="236"/>
      <c r="IA2" s="236">
        <v>43912</v>
      </c>
      <c r="IB2" s="236">
        <v>44276</v>
      </c>
      <c r="IC2" s="236"/>
      <c r="ID2" s="236">
        <v>43913</v>
      </c>
      <c r="IE2" s="236">
        <v>43914</v>
      </c>
      <c r="IF2" s="236">
        <v>43915</v>
      </c>
      <c r="IG2" s="236">
        <v>43916</v>
      </c>
      <c r="IH2" s="236">
        <v>43917</v>
      </c>
      <c r="II2" s="236">
        <v>43918</v>
      </c>
      <c r="IJ2" s="236">
        <v>43919</v>
      </c>
      <c r="IK2" s="236">
        <v>43920</v>
      </c>
      <c r="IL2" s="236">
        <v>43921</v>
      </c>
      <c r="IM2" s="236">
        <v>43922</v>
      </c>
      <c r="IN2" s="236">
        <v>43923</v>
      </c>
      <c r="IO2" s="236">
        <v>43924</v>
      </c>
      <c r="IP2" s="236">
        <v>43925</v>
      </c>
      <c r="IQ2" s="1633" t="s">
        <v>1</v>
      </c>
      <c r="IR2" s="1634"/>
      <c r="IS2" s="1635"/>
      <c r="IT2" s="1636"/>
      <c r="IU2" s="1633" t="s">
        <v>2</v>
      </c>
      <c r="IV2" s="1634"/>
      <c r="IW2" s="1635"/>
      <c r="IX2" s="1636"/>
    </row>
    <row r="3" spans="3:262" ht="31.5" customHeight="1">
      <c r="C3" s="1632"/>
      <c r="D3" s="240" t="s">
        <v>3</v>
      </c>
      <c r="E3" s="241" t="s">
        <v>4</v>
      </c>
      <c r="F3" s="242" t="s">
        <v>5</v>
      </c>
      <c r="G3" s="240" t="s">
        <v>3</v>
      </c>
      <c r="H3" s="241" t="s">
        <v>4</v>
      </c>
      <c r="I3" s="242" t="s">
        <v>5</v>
      </c>
      <c r="J3" s="240" t="s">
        <v>3</v>
      </c>
      <c r="K3" s="241" t="s">
        <v>4</v>
      </c>
      <c r="L3" s="242" t="s">
        <v>5</v>
      </c>
      <c r="M3" s="240" t="s">
        <v>3</v>
      </c>
      <c r="N3" s="241" t="s">
        <v>4</v>
      </c>
      <c r="O3" s="242" t="s">
        <v>5</v>
      </c>
      <c r="P3" s="240" t="s">
        <v>3</v>
      </c>
      <c r="Q3" s="241" t="s">
        <v>4</v>
      </c>
      <c r="R3" s="242" t="s">
        <v>5</v>
      </c>
      <c r="S3" s="240" t="s">
        <v>3</v>
      </c>
      <c r="T3" s="241" t="s">
        <v>4</v>
      </c>
      <c r="U3" s="242" t="s">
        <v>5</v>
      </c>
      <c r="V3" s="240" t="s">
        <v>3</v>
      </c>
      <c r="W3" s="241" t="s">
        <v>4</v>
      </c>
      <c r="X3" s="242" t="s">
        <v>5</v>
      </c>
      <c r="Y3" s="240" t="s">
        <v>3</v>
      </c>
      <c r="Z3" s="241" t="s">
        <v>4</v>
      </c>
      <c r="AA3" s="242" t="s">
        <v>5</v>
      </c>
      <c r="AB3" s="240" t="s">
        <v>3</v>
      </c>
      <c r="AC3" s="241" t="s">
        <v>4</v>
      </c>
      <c r="AD3" s="242" t="s">
        <v>5</v>
      </c>
      <c r="AE3" s="240" t="s">
        <v>3</v>
      </c>
      <c r="AF3" s="241" t="s">
        <v>4</v>
      </c>
      <c r="AG3" s="242" t="s">
        <v>5</v>
      </c>
      <c r="AH3" s="240" t="s">
        <v>3</v>
      </c>
      <c r="AI3" s="241" t="s">
        <v>4</v>
      </c>
      <c r="AJ3" s="242" t="s">
        <v>5</v>
      </c>
      <c r="AK3" s="240" t="s">
        <v>3</v>
      </c>
      <c r="AL3" s="241" t="s">
        <v>4</v>
      </c>
      <c r="AM3" s="242" t="s">
        <v>5</v>
      </c>
      <c r="AN3" s="240" t="s">
        <v>3</v>
      </c>
      <c r="AO3" s="241" t="s">
        <v>4</v>
      </c>
      <c r="AP3" s="242" t="s">
        <v>5</v>
      </c>
      <c r="AQ3" s="240" t="s">
        <v>3</v>
      </c>
      <c r="AR3" s="241" t="s">
        <v>4</v>
      </c>
      <c r="AS3" s="242" t="s">
        <v>5</v>
      </c>
      <c r="AT3" s="240" t="s">
        <v>3</v>
      </c>
      <c r="AU3" s="241" t="s">
        <v>4</v>
      </c>
      <c r="AV3" s="242" t="s">
        <v>5</v>
      </c>
      <c r="AW3" s="240" t="s">
        <v>3</v>
      </c>
      <c r="AX3" s="241" t="s">
        <v>4</v>
      </c>
      <c r="AY3" s="242" t="s">
        <v>5</v>
      </c>
      <c r="AZ3" s="240" t="s">
        <v>3</v>
      </c>
      <c r="BA3" s="241" t="s">
        <v>4</v>
      </c>
      <c r="BB3" s="242" t="s">
        <v>5</v>
      </c>
      <c r="BC3" s="240" t="s">
        <v>3</v>
      </c>
      <c r="BD3" s="241" t="s">
        <v>4</v>
      </c>
      <c r="BE3" s="242" t="s">
        <v>5</v>
      </c>
      <c r="BF3" s="240" t="s">
        <v>3</v>
      </c>
      <c r="BG3" s="241" t="s">
        <v>4</v>
      </c>
      <c r="BH3" s="242" t="s">
        <v>5</v>
      </c>
      <c r="BI3" s="240" t="s">
        <v>3</v>
      </c>
      <c r="BJ3" s="241" t="s">
        <v>4</v>
      </c>
      <c r="BK3" s="242" t="s">
        <v>5</v>
      </c>
      <c r="BL3" s="240" t="s">
        <v>3</v>
      </c>
      <c r="BM3" s="241" t="s">
        <v>4</v>
      </c>
      <c r="BN3" s="242" t="s">
        <v>5</v>
      </c>
      <c r="BO3" s="240" t="s">
        <v>3</v>
      </c>
      <c r="BP3" s="241" t="s">
        <v>4</v>
      </c>
      <c r="BQ3" s="242" t="s">
        <v>5</v>
      </c>
      <c r="BR3" s="240" t="s">
        <v>3</v>
      </c>
      <c r="BS3" s="241" t="s">
        <v>4</v>
      </c>
      <c r="BT3" s="242" t="s">
        <v>5</v>
      </c>
      <c r="BU3" s="240" t="s">
        <v>3</v>
      </c>
      <c r="BV3" s="241" t="s">
        <v>4</v>
      </c>
      <c r="BW3" s="242" t="s">
        <v>5</v>
      </c>
      <c r="BX3" s="240" t="s">
        <v>3</v>
      </c>
      <c r="BY3" s="241" t="s">
        <v>4</v>
      </c>
      <c r="BZ3" s="242" t="s">
        <v>5</v>
      </c>
      <c r="CA3" s="240" t="s">
        <v>3</v>
      </c>
      <c r="CB3" s="241" t="s">
        <v>4</v>
      </c>
      <c r="CC3" s="242" t="s">
        <v>5</v>
      </c>
      <c r="CD3" s="240" t="s">
        <v>3</v>
      </c>
      <c r="CE3" s="241" t="s">
        <v>4</v>
      </c>
      <c r="CF3" s="242" t="s">
        <v>5</v>
      </c>
      <c r="CG3" s="240" t="s">
        <v>3</v>
      </c>
      <c r="CH3" s="241" t="s">
        <v>4</v>
      </c>
      <c r="CI3" s="242" t="s">
        <v>5</v>
      </c>
      <c r="CJ3" s="240" t="s">
        <v>3</v>
      </c>
      <c r="CK3" s="241" t="s">
        <v>4</v>
      </c>
      <c r="CL3" s="242" t="s">
        <v>5</v>
      </c>
      <c r="CM3" s="240" t="s">
        <v>3</v>
      </c>
      <c r="CN3" s="241" t="s">
        <v>4</v>
      </c>
      <c r="CO3" s="242" t="s">
        <v>5</v>
      </c>
      <c r="CP3" s="240" t="s">
        <v>3</v>
      </c>
      <c r="CQ3" s="241" t="s">
        <v>4</v>
      </c>
      <c r="CR3" s="242" t="s">
        <v>5</v>
      </c>
      <c r="CS3" s="240" t="s">
        <v>3</v>
      </c>
      <c r="CT3" s="241" t="s">
        <v>4</v>
      </c>
      <c r="CU3" s="242" t="s">
        <v>5</v>
      </c>
      <c r="CV3" s="240" t="s">
        <v>3</v>
      </c>
      <c r="CW3" s="241" t="s">
        <v>4</v>
      </c>
      <c r="CX3" s="242" t="s">
        <v>5</v>
      </c>
      <c r="CY3" s="240" t="s">
        <v>3</v>
      </c>
      <c r="CZ3" s="241" t="s">
        <v>4</v>
      </c>
      <c r="DA3" s="242" t="s">
        <v>5</v>
      </c>
      <c r="DB3" s="240" t="s">
        <v>3</v>
      </c>
      <c r="DC3" s="241" t="s">
        <v>4</v>
      </c>
      <c r="DD3" s="242" t="s">
        <v>5</v>
      </c>
      <c r="DE3" s="240" t="s">
        <v>3</v>
      </c>
      <c r="DF3" s="241" t="s">
        <v>4</v>
      </c>
      <c r="DG3" s="242" t="s">
        <v>5</v>
      </c>
      <c r="DH3" s="240" t="s">
        <v>3</v>
      </c>
      <c r="DI3" s="241" t="s">
        <v>4</v>
      </c>
      <c r="DJ3" s="242" t="s">
        <v>5</v>
      </c>
      <c r="DK3" s="240" t="s">
        <v>3</v>
      </c>
      <c r="DL3" s="241" t="s">
        <v>4</v>
      </c>
      <c r="DM3" s="242" t="s">
        <v>5</v>
      </c>
      <c r="DN3" s="240" t="s">
        <v>3</v>
      </c>
      <c r="DO3" s="241" t="s">
        <v>4</v>
      </c>
      <c r="DP3" s="242" t="s">
        <v>5</v>
      </c>
      <c r="DQ3" s="240" t="s">
        <v>3</v>
      </c>
      <c r="DR3" s="241" t="s">
        <v>4</v>
      </c>
      <c r="DS3" s="242" t="s">
        <v>5</v>
      </c>
      <c r="DT3" s="240" t="s">
        <v>3</v>
      </c>
      <c r="DU3" s="241" t="s">
        <v>4</v>
      </c>
      <c r="DV3" s="242" t="s">
        <v>5</v>
      </c>
      <c r="DW3" s="240" t="s">
        <v>3</v>
      </c>
      <c r="DX3" s="241" t="s">
        <v>4</v>
      </c>
      <c r="DY3" s="242" t="s">
        <v>5</v>
      </c>
      <c r="DZ3" s="240" t="s">
        <v>3</v>
      </c>
      <c r="EA3" s="241" t="s">
        <v>4</v>
      </c>
      <c r="EB3" s="242" t="s">
        <v>5</v>
      </c>
      <c r="EC3" s="240" t="s">
        <v>3</v>
      </c>
      <c r="ED3" s="241" t="s">
        <v>4</v>
      </c>
      <c r="EE3" s="242" t="s">
        <v>5</v>
      </c>
      <c r="EF3" s="240" t="s">
        <v>3</v>
      </c>
      <c r="EG3" s="241" t="s">
        <v>4</v>
      </c>
      <c r="EH3" s="242" t="s">
        <v>5</v>
      </c>
      <c r="EI3" s="240" t="s">
        <v>3</v>
      </c>
      <c r="EJ3" s="241" t="s">
        <v>4</v>
      </c>
      <c r="EK3" s="242" t="s">
        <v>5</v>
      </c>
      <c r="EL3" s="240" t="s">
        <v>3</v>
      </c>
      <c r="EM3" s="241" t="s">
        <v>4</v>
      </c>
      <c r="EN3" s="242" t="s">
        <v>5</v>
      </c>
      <c r="EO3" s="240" t="s">
        <v>3</v>
      </c>
      <c r="EP3" s="241" t="s">
        <v>4</v>
      </c>
      <c r="EQ3" s="242" t="s">
        <v>5</v>
      </c>
      <c r="ER3" s="240" t="s">
        <v>3</v>
      </c>
      <c r="ES3" s="241" t="s">
        <v>4</v>
      </c>
      <c r="ET3" s="242" t="s">
        <v>5</v>
      </c>
      <c r="EU3" s="240" t="s">
        <v>3</v>
      </c>
      <c r="EV3" s="241" t="s">
        <v>4</v>
      </c>
      <c r="EW3" s="242" t="s">
        <v>5</v>
      </c>
      <c r="EX3" s="240" t="s">
        <v>3</v>
      </c>
      <c r="EY3" s="241" t="s">
        <v>4</v>
      </c>
      <c r="EZ3" s="242" t="s">
        <v>5</v>
      </c>
      <c r="FA3" s="240" t="s">
        <v>3</v>
      </c>
      <c r="FB3" s="241" t="s">
        <v>4</v>
      </c>
      <c r="FC3" s="242" t="s">
        <v>5</v>
      </c>
      <c r="FD3" s="240" t="s">
        <v>3</v>
      </c>
      <c r="FE3" s="241" t="s">
        <v>4</v>
      </c>
      <c r="FF3" s="242" t="s">
        <v>5</v>
      </c>
      <c r="FG3" s="240" t="s">
        <v>3</v>
      </c>
      <c r="FH3" s="241" t="s">
        <v>4</v>
      </c>
      <c r="FI3" s="242" t="s">
        <v>5</v>
      </c>
      <c r="FJ3" s="240" t="s">
        <v>3</v>
      </c>
      <c r="FK3" s="241" t="s">
        <v>4</v>
      </c>
      <c r="FL3" s="242" t="s">
        <v>5</v>
      </c>
      <c r="FM3" s="240" t="s">
        <v>3</v>
      </c>
      <c r="FN3" s="241" t="s">
        <v>4</v>
      </c>
      <c r="FO3" s="242" t="s">
        <v>5</v>
      </c>
      <c r="FP3" s="240" t="s">
        <v>3</v>
      </c>
      <c r="FQ3" s="241" t="s">
        <v>4</v>
      </c>
      <c r="FR3" s="242" t="s">
        <v>5</v>
      </c>
      <c r="FS3" s="240" t="s">
        <v>3</v>
      </c>
      <c r="FT3" s="241" t="s">
        <v>4</v>
      </c>
      <c r="FU3" s="242" t="s">
        <v>5</v>
      </c>
      <c r="FV3" s="240" t="s">
        <v>3</v>
      </c>
      <c r="FW3" s="241" t="s">
        <v>4</v>
      </c>
      <c r="FX3" s="242" t="s">
        <v>5</v>
      </c>
      <c r="FY3" s="240" t="s">
        <v>3</v>
      </c>
      <c r="FZ3" s="241" t="s">
        <v>4</v>
      </c>
      <c r="GA3" s="242" t="s">
        <v>5</v>
      </c>
      <c r="GB3" s="240" t="s">
        <v>3</v>
      </c>
      <c r="GC3" s="241" t="s">
        <v>4</v>
      </c>
      <c r="GD3" s="242" t="s">
        <v>5</v>
      </c>
      <c r="GE3" s="240" t="s">
        <v>3</v>
      </c>
      <c r="GF3" s="241" t="s">
        <v>4</v>
      </c>
      <c r="GG3" s="242" t="s">
        <v>5</v>
      </c>
      <c r="GH3" s="240" t="s">
        <v>3</v>
      </c>
      <c r="GI3" s="241" t="s">
        <v>4</v>
      </c>
      <c r="GJ3" s="242" t="s">
        <v>5</v>
      </c>
      <c r="GK3" s="240" t="s">
        <v>3</v>
      </c>
      <c r="GL3" s="241" t="s">
        <v>4</v>
      </c>
      <c r="GM3" s="242" t="s">
        <v>5</v>
      </c>
      <c r="GN3" s="240" t="s">
        <v>3</v>
      </c>
      <c r="GO3" s="241" t="s">
        <v>4</v>
      </c>
      <c r="GP3" s="242" t="s">
        <v>5</v>
      </c>
      <c r="GQ3" s="240" t="s">
        <v>3</v>
      </c>
      <c r="GR3" s="241" t="s">
        <v>4</v>
      </c>
      <c r="GS3" s="242" t="s">
        <v>5</v>
      </c>
      <c r="GT3" s="240" t="s">
        <v>3</v>
      </c>
      <c r="GU3" s="241" t="s">
        <v>4</v>
      </c>
      <c r="GV3" s="242" t="s">
        <v>5</v>
      </c>
      <c r="GW3" s="240" t="s">
        <v>3</v>
      </c>
      <c r="GX3" s="241" t="s">
        <v>4</v>
      </c>
      <c r="GY3" s="242" t="s">
        <v>5</v>
      </c>
      <c r="GZ3" s="240" t="s">
        <v>3</v>
      </c>
      <c r="HA3" s="241" t="s">
        <v>4</v>
      </c>
      <c r="HB3" s="242" t="s">
        <v>5</v>
      </c>
      <c r="HC3" s="240" t="s">
        <v>3</v>
      </c>
      <c r="HD3" s="241" t="s">
        <v>4</v>
      </c>
      <c r="HE3" s="242" t="s">
        <v>5</v>
      </c>
      <c r="HF3" s="240" t="s">
        <v>3</v>
      </c>
      <c r="HG3" s="241" t="s">
        <v>4</v>
      </c>
      <c r="HH3" s="242" t="s">
        <v>5</v>
      </c>
      <c r="HI3" s="240" t="s">
        <v>3</v>
      </c>
      <c r="HJ3" s="241" t="s">
        <v>4</v>
      </c>
      <c r="HK3" s="242" t="s">
        <v>5</v>
      </c>
      <c r="HL3" s="240" t="s">
        <v>3</v>
      </c>
      <c r="HM3" s="241" t="s">
        <v>4</v>
      </c>
      <c r="HN3" s="242" t="s">
        <v>5</v>
      </c>
      <c r="HO3" s="240" t="s">
        <v>3</v>
      </c>
      <c r="HP3" s="241" t="s">
        <v>4</v>
      </c>
      <c r="HQ3" s="242" t="s">
        <v>5</v>
      </c>
      <c r="HR3" s="240" t="s">
        <v>3</v>
      </c>
      <c r="HS3" s="241" t="s">
        <v>4</v>
      </c>
      <c r="HT3" s="242" t="s">
        <v>5</v>
      </c>
      <c r="HU3" s="240" t="s">
        <v>3</v>
      </c>
      <c r="HV3" s="241" t="s">
        <v>4</v>
      </c>
      <c r="HW3" s="242" t="s">
        <v>5</v>
      </c>
      <c r="HX3" s="240" t="s">
        <v>3</v>
      </c>
      <c r="HY3" s="241" t="s">
        <v>4</v>
      </c>
      <c r="HZ3" s="242" t="s">
        <v>5</v>
      </c>
      <c r="IA3" s="240" t="s">
        <v>3</v>
      </c>
      <c r="IB3" s="241" t="s">
        <v>4</v>
      </c>
      <c r="IC3" s="242" t="s">
        <v>5</v>
      </c>
      <c r="ID3" s="240" t="s">
        <v>3</v>
      </c>
      <c r="IE3" s="240" t="s">
        <v>3</v>
      </c>
      <c r="IF3" s="240" t="s">
        <v>3</v>
      </c>
      <c r="IG3" s="240" t="s">
        <v>3</v>
      </c>
      <c r="IH3" s="240" t="s">
        <v>3</v>
      </c>
      <c r="II3" s="240" t="s">
        <v>3</v>
      </c>
      <c r="IJ3" s="240" t="s">
        <v>3</v>
      </c>
      <c r="IK3" s="240" t="s">
        <v>3</v>
      </c>
      <c r="IL3" s="240" t="s">
        <v>3</v>
      </c>
      <c r="IM3" s="240" t="s">
        <v>3</v>
      </c>
      <c r="IN3" s="240" t="s">
        <v>3</v>
      </c>
      <c r="IO3" s="240" t="s">
        <v>3</v>
      </c>
      <c r="IP3" s="240" t="s">
        <v>3</v>
      </c>
      <c r="IQ3" s="238" t="s">
        <v>6</v>
      </c>
      <c r="IR3" s="237" t="s">
        <v>7</v>
      </c>
      <c r="IS3" s="309" t="s">
        <v>8</v>
      </c>
      <c r="IT3" s="239" t="s">
        <v>5</v>
      </c>
      <c r="IU3" s="240" t="s">
        <v>6</v>
      </c>
      <c r="IV3" s="241" t="s">
        <v>7</v>
      </c>
      <c r="IW3" s="315" t="s">
        <v>8</v>
      </c>
      <c r="IX3" s="242" t="s">
        <v>5</v>
      </c>
    </row>
    <row r="4" spans="3:262">
      <c r="C4" s="256" t="s">
        <v>9</v>
      </c>
      <c r="D4" s="108">
        <v>8529.1299999999992</v>
      </c>
      <c r="E4" s="108">
        <v>6706.28</v>
      </c>
      <c r="F4" s="243">
        <f>E4/D4</f>
        <v>0.78627949157768728</v>
      </c>
      <c r="G4" s="108">
        <v>10747.52</v>
      </c>
      <c r="H4" s="108">
        <v>6802.98</v>
      </c>
      <c r="I4" s="243">
        <f>H4/G4</f>
        <v>0.63298137616864159</v>
      </c>
      <c r="J4" s="108">
        <v>10363.459999999999</v>
      </c>
      <c r="K4" s="108">
        <v>8174.97</v>
      </c>
      <c r="L4" s="243">
        <f>K4/J4</f>
        <v>0.78882631862331698</v>
      </c>
      <c r="M4" s="108">
        <v>9415.16</v>
      </c>
      <c r="N4" s="108">
        <v>17379.169999999998</v>
      </c>
      <c r="O4" s="243">
        <f>N4/M4</f>
        <v>1.8458709145675696</v>
      </c>
      <c r="P4" s="108">
        <v>8736.07</v>
      </c>
      <c r="Q4" s="108">
        <v>6584.76</v>
      </c>
      <c r="R4" s="243">
        <f>Q4/P4</f>
        <v>0.75374396038493285</v>
      </c>
      <c r="S4" s="108">
        <v>7101.2</v>
      </c>
      <c r="T4" s="108">
        <v>7284.44</v>
      </c>
      <c r="U4" s="243">
        <f>T4/S4</f>
        <v>1.0258040894496705</v>
      </c>
      <c r="V4" s="108">
        <v>11401.54</v>
      </c>
      <c r="W4" s="108">
        <v>9584.67</v>
      </c>
      <c r="X4" s="243">
        <f>W4/V4</f>
        <v>0.84064696523452087</v>
      </c>
      <c r="Y4" s="108">
        <v>4706.0200000000004</v>
      </c>
      <c r="Z4" s="108">
        <v>5751.22</v>
      </c>
      <c r="AA4" s="243">
        <f>Z4/Y4</f>
        <v>1.222098503618769</v>
      </c>
      <c r="AB4" s="108">
        <v>8895.3799999999992</v>
      </c>
      <c r="AC4" s="108">
        <v>5243.58</v>
      </c>
      <c r="AD4" s="243">
        <f>AC4/AB4</f>
        <v>0.58947228786178896</v>
      </c>
      <c r="AE4" s="108">
        <v>7337.09</v>
      </c>
      <c r="AF4" s="108">
        <v>4648.09</v>
      </c>
      <c r="AG4" s="243">
        <f>AF4/AE4</f>
        <v>0.63350592673662176</v>
      </c>
      <c r="AH4" s="108">
        <v>7636.11</v>
      </c>
      <c r="AI4" s="108">
        <v>6347.36</v>
      </c>
      <c r="AJ4" s="243">
        <f>AI4/AH4</f>
        <v>0.83122951345645879</v>
      </c>
      <c r="AK4" s="108">
        <v>7432.88</v>
      </c>
      <c r="AL4" s="108">
        <v>4872.1000000000004</v>
      </c>
      <c r="AM4" s="243">
        <f>AL4/AK4</f>
        <v>0.65547943731097502</v>
      </c>
      <c r="AN4" s="108">
        <v>10579.04</v>
      </c>
      <c r="AO4" s="108">
        <v>8277.51</v>
      </c>
      <c r="AP4" s="253">
        <f>AO4/AN4</f>
        <v>0.78244434277590402</v>
      </c>
      <c r="AQ4" s="108">
        <v>12316.67</v>
      </c>
      <c r="AR4" s="108">
        <v>12458.98</v>
      </c>
      <c r="AS4" s="253">
        <f>AR4/AQ4</f>
        <v>1.0115542593899163</v>
      </c>
      <c r="AT4" s="108">
        <v>8903.58</v>
      </c>
      <c r="AU4" s="108">
        <v>7499.98</v>
      </c>
      <c r="AV4" s="253">
        <f>AU4/AT4</f>
        <v>0.84235554686991077</v>
      </c>
      <c r="AW4" s="108">
        <v>123738.91</v>
      </c>
      <c r="AX4" s="108">
        <v>5917.14</v>
      </c>
      <c r="AY4" s="253">
        <f>AX4/AW4</f>
        <v>4.7819558132522748E-2</v>
      </c>
      <c r="AZ4" s="108">
        <v>6598.5</v>
      </c>
      <c r="BA4" s="108">
        <v>4496.8999999999996</v>
      </c>
      <c r="BB4" s="253">
        <f>BA4/AZ4</f>
        <v>0.68150337197847988</v>
      </c>
      <c r="BC4" s="108">
        <v>6003.61</v>
      </c>
      <c r="BD4" s="108">
        <v>7166.09</v>
      </c>
      <c r="BE4" s="253">
        <f>BD4/BC4</f>
        <v>1.1936301658502135</v>
      </c>
      <c r="BF4" s="108">
        <v>9657.18</v>
      </c>
      <c r="BG4" s="108">
        <v>9159.01</v>
      </c>
      <c r="BH4" s="253">
        <f>BG4/BF4</f>
        <v>0.94841454751801246</v>
      </c>
      <c r="BI4" s="108">
        <v>8002.2</v>
      </c>
      <c r="BJ4" s="108">
        <v>7599.3</v>
      </c>
      <c r="BK4" s="253">
        <f>BJ4/BI4</f>
        <v>0.94965134587988309</v>
      </c>
      <c r="BL4" s="108">
        <v>13085.52</v>
      </c>
      <c r="BM4" s="108">
        <v>9992.09</v>
      </c>
      <c r="BN4" s="253">
        <f>BM4/BL4</f>
        <v>0.76359900103320311</v>
      </c>
      <c r="BO4" s="108">
        <v>7174.6</v>
      </c>
      <c r="BP4" s="108">
        <v>5467.52</v>
      </c>
      <c r="BQ4" s="253">
        <f>BP4/BO4</f>
        <v>0.76206617790538844</v>
      </c>
      <c r="BR4" s="108">
        <v>6162.68</v>
      </c>
      <c r="BS4" s="108">
        <v>7136.7</v>
      </c>
      <c r="BT4" s="253">
        <f>BS4/BR4</f>
        <v>1.158051367262295</v>
      </c>
      <c r="BU4" s="108">
        <v>5389.25</v>
      </c>
      <c r="BV4" s="108">
        <v>4569.6499999999996</v>
      </c>
      <c r="BW4" s="253">
        <f>BV4/BU4</f>
        <v>0.84791946931391193</v>
      </c>
      <c r="BX4" s="108">
        <v>10461.08</v>
      </c>
      <c r="BY4" s="108">
        <v>5208.42</v>
      </c>
      <c r="BZ4" s="253">
        <f>BY4/BX4</f>
        <v>0.49788549557024708</v>
      </c>
      <c r="CA4" s="88">
        <v>6679.42</v>
      </c>
      <c r="CB4" s="108">
        <v>9988.7800000000007</v>
      </c>
      <c r="CC4" s="253">
        <f>CB4/CA4</f>
        <v>1.4954561923041223</v>
      </c>
      <c r="CD4" s="108">
        <v>7722.76</v>
      </c>
      <c r="CE4" s="108">
        <v>8359.16</v>
      </c>
      <c r="CF4" s="253">
        <f>CE4/CD4</f>
        <v>1.0824057720296889</v>
      </c>
      <c r="CG4" s="108">
        <v>15965.94</v>
      </c>
      <c r="CH4" s="108">
        <v>11569.56</v>
      </c>
      <c r="CI4" s="253">
        <f>CH4/CG4</f>
        <v>0.72464007756511672</v>
      </c>
      <c r="CJ4" s="108">
        <v>2536.48</v>
      </c>
      <c r="CK4" s="108">
        <v>7624.45</v>
      </c>
      <c r="CL4" s="253">
        <f>CK4/CJ4</f>
        <v>3.0059176496562166</v>
      </c>
      <c r="CM4" s="108">
        <v>7497.21</v>
      </c>
      <c r="CN4" s="108">
        <v>8113.52</v>
      </c>
      <c r="CO4" s="253">
        <f>CN4/CM4</f>
        <v>1.0822052470185577</v>
      </c>
      <c r="CP4" s="108">
        <v>7519.28</v>
      </c>
      <c r="CQ4" s="108">
        <v>11225.71</v>
      </c>
      <c r="CR4" s="253">
        <f>CQ4/CP4</f>
        <v>1.4929235245927801</v>
      </c>
      <c r="CS4" s="108">
        <v>8259.42</v>
      </c>
      <c r="CT4" s="108">
        <v>6955.82</v>
      </c>
      <c r="CU4" s="253">
        <f>CT4/CS4</f>
        <v>0.84216809412767479</v>
      </c>
      <c r="CV4" s="108">
        <v>6893.66</v>
      </c>
      <c r="CW4" s="108">
        <v>6519.28</v>
      </c>
      <c r="CX4" s="253">
        <f>CW4/CV4</f>
        <v>0.94569212870956787</v>
      </c>
      <c r="CY4" s="108">
        <v>9833.67</v>
      </c>
      <c r="CZ4" s="108">
        <v>10582.78</v>
      </c>
      <c r="DA4" s="253">
        <f>CZ4/CY4</f>
        <v>1.0761780698355752</v>
      </c>
      <c r="DB4" s="108">
        <v>12829.1</v>
      </c>
      <c r="DC4" s="108">
        <v>11998.98</v>
      </c>
      <c r="DD4" s="253">
        <f>DC4/DB4</f>
        <v>0.93529398009213427</v>
      </c>
      <c r="DE4" s="108">
        <v>5772.43</v>
      </c>
      <c r="DF4" s="108">
        <v>5657.1</v>
      </c>
      <c r="DG4" s="253">
        <f>DF4/DE4</f>
        <v>0.98002054593992483</v>
      </c>
      <c r="DH4" s="108">
        <v>7129.04</v>
      </c>
      <c r="DI4" s="108">
        <v>6353.09</v>
      </c>
      <c r="DJ4" s="253">
        <f>DI4/DH4</f>
        <v>0.89115645304276592</v>
      </c>
      <c r="DK4" s="108">
        <v>14521.72</v>
      </c>
      <c r="DL4" s="108">
        <v>6176.79</v>
      </c>
      <c r="DM4" s="253">
        <f t="shared" ref="DM4:DM32" si="0">DL4/DK4</f>
        <v>0.42534837471043374</v>
      </c>
      <c r="DN4" s="108">
        <v>11609.63</v>
      </c>
      <c r="DO4" s="108">
        <v>7904.38</v>
      </c>
      <c r="DP4" s="253">
        <f t="shared" ref="DP4:DP32" si="1">DO4/DN4</f>
        <v>0.68084684869371381</v>
      </c>
      <c r="DQ4" s="108">
        <v>24912.52</v>
      </c>
      <c r="DR4" s="108">
        <v>6891</v>
      </c>
      <c r="DS4" s="253">
        <f t="shared" ref="DS4:DS32" si="2">DR4/DQ4</f>
        <v>0.276607906386026</v>
      </c>
      <c r="DT4" s="108">
        <v>18479.919999999998</v>
      </c>
      <c r="DU4" s="108">
        <v>9393.65</v>
      </c>
      <c r="DV4" s="253">
        <f t="shared" ref="DV4:DV32" si="3">DU4/DT4</f>
        <v>0.5083165944441318</v>
      </c>
      <c r="DW4" s="108">
        <v>13656.43</v>
      </c>
      <c r="DX4" s="108">
        <v>13336.37</v>
      </c>
      <c r="DY4" s="253">
        <f t="shared" ref="DY4:DY32" si="4">DX4/DW4</f>
        <v>0.97656342104049154</v>
      </c>
      <c r="DZ4" s="108">
        <v>4510.3100000000004</v>
      </c>
      <c r="EA4" s="108">
        <v>10554.28</v>
      </c>
      <c r="EB4" s="253">
        <f>EA4/DZ4</f>
        <v>2.3400342770230869</v>
      </c>
      <c r="EC4" s="108">
        <v>6670.73</v>
      </c>
      <c r="ED4" s="108">
        <v>6826.45</v>
      </c>
      <c r="EE4" s="253">
        <f>ED4/EC4</f>
        <v>1.0233437719709837</v>
      </c>
      <c r="EF4" s="108">
        <v>6504.02</v>
      </c>
      <c r="EG4" s="108">
        <v>6521.99</v>
      </c>
      <c r="EH4" s="253">
        <f>EG4/EF4</f>
        <v>1.0027629066331283</v>
      </c>
      <c r="EI4" s="108">
        <v>8918.1200000000008</v>
      </c>
      <c r="EJ4" s="108">
        <v>14546.51</v>
      </c>
      <c r="EK4" s="253">
        <f>EJ4/EI4</f>
        <v>1.6311184420034714</v>
      </c>
      <c r="EL4" s="108">
        <v>6575.96</v>
      </c>
      <c r="EM4" s="108">
        <v>5579.85</v>
      </c>
      <c r="EN4" s="253">
        <f>EM4/EL4</f>
        <v>0.84852249709548122</v>
      </c>
      <c r="EO4" s="108">
        <v>4461.3900000000003</v>
      </c>
      <c r="EP4" s="108">
        <v>4496.8999999999996</v>
      </c>
      <c r="EQ4" s="253">
        <f>EP4/EO4</f>
        <v>1.0079594027870236</v>
      </c>
      <c r="ER4" s="108">
        <v>11320</v>
      </c>
      <c r="ES4" s="108">
        <v>7166.09</v>
      </c>
      <c r="ET4" s="253">
        <f>ES4/ER4</f>
        <v>0.63304681978798583</v>
      </c>
      <c r="EU4" s="108">
        <v>3912.21</v>
      </c>
      <c r="EV4" s="108">
        <v>4740.1499999999996</v>
      </c>
      <c r="EW4" s="253">
        <f>EV4/EU4</f>
        <v>1.2116297438020964</v>
      </c>
      <c r="EX4" s="108">
        <v>5127.2700000000004</v>
      </c>
      <c r="EY4" s="108">
        <v>5016.7299999999996</v>
      </c>
      <c r="EZ4" s="253">
        <f>EY4/EX4</f>
        <v>0.97844076867416752</v>
      </c>
      <c r="FA4" s="108">
        <v>10882.55</v>
      </c>
      <c r="FB4" s="108">
        <v>7194.01</v>
      </c>
      <c r="FC4" s="253">
        <f>FB4/FA4</f>
        <v>0.66105921865739192</v>
      </c>
      <c r="FD4" s="108">
        <v>5402.19</v>
      </c>
      <c r="FE4" s="108">
        <v>6006.34</v>
      </c>
      <c r="FF4" s="253">
        <f>FE4/FD4</f>
        <v>1.1118342746182568</v>
      </c>
      <c r="FG4" s="108">
        <v>6612.37</v>
      </c>
      <c r="FH4" s="108">
        <v>5415.07</v>
      </c>
      <c r="FI4" s="253">
        <f>FH4/FG4</f>
        <v>0.81893027764629023</v>
      </c>
      <c r="FJ4" s="108">
        <v>11716.27</v>
      </c>
      <c r="FK4" s="108">
        <v>7080.5</v>
      </c>
      <c r="FL4" s="253">
        <f>FK4/FJ4</f>
        <v>0.60433055912845979</v>
      </c>
      <c r="FM4" s="108">
        <v>14544.52</v>
      </c>
      <c r="FN4" s="108">
        <v>17845.939999999999</v>
      </c>
      <c r="FO4" s="253">
        <f>FN4/FM4</f>
        <v>1.2269872089281735</v>
      </c>
      <c r="FP4" s="108">
        <v>3787.98</v>
      </c>
      <c r="FQ4" s="108">
        <v>3609.6</v>
      </c>
      <c r="FR4" s="253">
        <f>FQ4/FP4</f>
        <v>0.95290893827316936</v>
      </c>
      <c r="FS4" s="108">
        <v>3472.87</v>
      </c>
      <c r="FT4" s="108">
        <v>5124.3599999999997</v>
      </c>
      <c r="FU4" s="253">
        <f>FT4/FS4</f>
        <v>1.4755404031823822</v>
      </c>
      <c r="FV4" s="108">
        <v>3591.43</v>
      </c>
      <c r="FW4" s="108">
        <v>5350.34</v>
      </c>
      <c r="FX4" s="253">
        <f>FW4/FV4</f>
        <v>1.4897519929387459</v>
      </c>
      <c r="FY4" s="108">
        <v>5463.35</v>
      </c>
      <c r="FZ4" s="108">
        <v>5441.95</v>
      </c>
      <c r="GA4" s="253">
        <f>FZ4/FY4</f>
        <v>0.99608298937465101</v>
      </c>
      <c r="GB4" s="108">
        <v>7973.39</v>
      </c>
      <c r="GC4" s="108">
        <v>5369.92</v>
      </c>
      <c r="GD4" s="253">
        <f>GC4/GB4</f>
        <v>0.6734801633934876</v>
      </c>
      <c r="GE4" s="108">
        <v>6085.35</v>
      </c>
      <c r="GF4" s="108">
        <v>7840.66</v>
      </c>
      <c r="GG4" s="253">
        <f>GF4/GE4</f>
        <v>1.2884484869399457</v>
      </c>
      <c r="GH4" s="108">
        <v>13087.77</v>
      </c>
      <c r="GI4" s="108">
        <v>11402.02</v>
      </c>
      <c r="GJ4" s="253">
        <f>GI4/GH4</f>
        <v>0.87119654456030327</v>
      </c>
      <c r="GK4" s="108">
        <v>3856.41</v>
      </c>
      <c r="GL4" s="108">
        <v>5229.91</v>
      </c>
      <c r="GM4" s="253">
        <f>GL4/GK4</f>
        <v>1.3561602630425706</v>
      </c>
      <c r="GN4" s="108">
        <v>4349.7700000000004</v>
      </c>
      <c r="GO4" s="108">
        <v>6840.82</v>
      </c>
      <c r="GP4" s="253">
        <f>GO4/GN4</f>
        <v>1.572685452334261</v>
      </c>
      <c r="GQ4" s="108">
        <v>6478.42</v>
      </c>
      <c r="GR4" s="108">
        <v>7786</v>
      </c>
      <c r="GS4" s="253">
        <f>GR4/GQ4</f>
        <v>1.2018362501968072</v>
      </c>
      <c r="GT4" s="108">
        <v>3190.57</v>
      </c>
      <c r="GU4" s="108">
        <v>5925.52</v>
      </c>
      <c r="GV4" s="253">
        <f>GU4/GT4</f>
        <v>1.857197930150412</v>
      </c>
      <c r="GW4" s="108">
        <v>5379.05</v>
      </c>
      <c r="GX4" s="108">
        <v>4897.03</v>
      </c>
      <c r="GY4" s="253">
        <f>GX4/GW4</f>
        <v>0.91038938102453026</v>
      </c>
      <c r="GZ4" s="108">
        <v>5379.05</v>
      </c>
      <c r="HA4" s="108">
        <v>8449.68</v>
      </c>
      <c r="HB4" s="253">
        <f>HA4/GZ4</f>
        <v>1.5708498712597949</v>
      </c>
      <c r="HC4" s="108">
        <v>11384.25</v>
      </c>
      <c r="HD4" s="108">
        <v>10870.67</v>
      </c>
      <c r="HE4" s="253">
        <f>HD4/HC4</f>
        <v>0.95488679535322929</v>
      </c>
      <c r="HF4" s="108">
        <v>6801.92</v>
      </c>
      <c r="HG4" s="108">
        <v>7618.24</v>
      </c>
      <c r="HH4" s="253">
        <f>HG4/HF4</f>
        <v>1.120013172751223</v>
      </c>
      <c r="HI4" s="108">
        <v>5259.45</v>
      </c>
      <c r="HJ4" s="108">
        <v>11134.08</v>
      </c>
      <c r="HK4" s="253">
        <f>HJ4/HI4</f>
        <v>2.1169666029717935</v>
      </c>
      <c r="HL4" s="108">
        <v>9191.7800000000007</v>
      </c>
      <c r="HM4" s="108">
        <v>9515.91</v>
      </c>
      <c r="HN4" s="253">
        <f>HM4/HL4</f>
        <v>1.0352630284884972</v>
      </c>
      <c r="HO4" s="108">
        <v>4827.5</v>
      </c>
      <c r="HP4" s="108">
        <v>5621.8</v>
      </c>
      <c r="HQ4" s="253">
        <f>HP4/HO4</f>
        <v>1.1645365095805282</v>
      </c>
      <c r="HR4" s="108">
        <v>5227.34</v>
      </c>
      <c r="HS4" s="108">
        <v>5269.54</v>
      </c>
      <c r="HT4" s="253">
        <f>HS4/HR4</f>
        <v>1.0080729395830383</v>
      </c>
      <c r="HU4" s="108">
        <v>5719.69</v>
      </c>
      <c r="HV4" s="108">
        <v>9380.3700000000008</v>
      </c>
      <c r="HW4" s="253">
        <f>HV4/HU4</f>
        <v>1.6400137070365703</v>
      </c>
      <c r="HX4" s="108">
        <v>6966.03</v>
      </c>
      <c r="HY4" s="108">
        <v>12142.53</v>
      </c>
      <c r="HZ4" s="253">
        <f>HY4/HX4</f>
        <v>1.7431061881731778</v>
      </c>
      <c r="IA4" s="108">
        <v>3390.18</v>
      </c>
      <c r="IB4" s="108">
        <v>7764.47</v>
      </c>
      <c r="IC4" s="253">
        <f>IB4/IA4</f>
        <v>2.2902825218719953</v>
      </c>
      <c r="ID4" s="352"/>
      <c r="IE4" s="352"/>
      <c r="IF4" s="352"/>
      <c r="IG4" s="352"/>
      <c r="IH4" s="352"/>
      <c r="II4" s="352"/>
      <c r="IJ4" s="352"/>
      <c r="IK4" s="352"/>
      <c r="IL4" s="352"/>
      <c r="IM4" s="352"/>
      <c r="IN4" s="352"/>
      <c r="IO4" s="352"/>
      <c r="IP4" s="352"/>
      <c r="IQ4" s="311">
        <f>FP4+FS4+FV4+FY4+GB4+GE4+GH4+GK4+GN4+GQ4+GT4+GW4+GZ4+HC4+HF4+HI4+HL4+HO4+HR4+HU4+HX4</f>
        <v>127473.37</v>
      </c>
      <c r="IR4" s="311">
        <f>FQ4+FT4+FW4+FZ4+GC4+GF4+GI4+GL4+GO4+GR4+GU4+GX4+HA4+HD4+HG4+HJ4+HM4+HP4+HS4+HV4+HY4</f>
        <v>154820.95000000001</v>
      </c>
      <c r="IS4" s="310">
        <f t="shared" ref="IS4:IS32" si="5">IR4-IQ4</f>
        <v>27347.580000000016</v>
      </c>
      <c r="IT4" s="312">
        <f t="shared" ref="IT4:IT32" si="6">IR4/IQ4</f>
        <v>1.214535632030439</v>
      </c>
      <c r="IU4" s="317">
        <f>HF4+HI4+HL4+HO4+HR4+HU4+HX4</f>
        <v>43993.71</v>
      </c>
      <c r="IV4" s="317">
        <f>HG4+HJ4+HM4+HP4+HS4+HV4+HY4</f>
        <v>60682.47</v>
      </c>
      <c r="IW4" s="318">
        <f>IV4-IU4</f>
        <v>16688.760000000002</v>
      </c>
      <c r="IX4" s="319">
        <f>IV4/IU4</f>
        <v>1.379344228981825</v>
      </c>
      <c r="IZ4" s="244"/>
      <c r="JA4" s="402"/>
      <c r="JB4" s="1495"/>
    </row>
    <row r="5" spans="3:262">
      <c r="C5" s="257" t="s">
        <v>10</v>
      </c>
      <c r="D5" s="108">
        <v>9861.51</v>
      </c>
      <c r="E5" s="108">
        <v>5744.03</v>
      </c>
      <c r="F5" s="243">
        <f t="shared" ref="F5:F32" si="7">E5/D5</f>
        <v>0.58246962179220019</v>
      </c>
      <c r="G5" s="108">
        <v>14440.89</v>
      </c>
      <c r="H5" s="108">
        <v>10632.83</v>
      </c>
      <c r="I5" s="243">
        <f t="shared" ref="I5:I32" si="8">H5/G5</f>
        <v>0.73630018648435103</v>
      </c>
      <c r="J5" s="108">
        <v>10606.65</v>
      </c>
      <c r="K5" s="108">
        <v>7591.79</v>
      </c>
      <c r="L5" s="243">
        <f t="shared" ref="L5:L32" si="9">K5/J5</f>
        <v>0.71575756718662353</v>
      </c>
      <c r="M5" s="108">
        <v>9893.81</v>
      </c>
      <c r="N5" s="108">
        <v>7453</v>
      </c>
      <c r="O5" s="243">
        <f t="shared" ref="O5:O32" si="10">N5/M5</f>
        <v>0.75329928510856792</v>
      </c>
      <c r="P5" s="108">
        <v>10278.77</v>
      </c>
      <c r="Q5" s="108">
        <v>7509.11</v>
      </c>
      <c r="R5" s="243">
        <f t="shared" ref="R5:R32" si="11">Q5/P5</f>
        <v>0.73054558084284393</v>
      </c>
      <c r="S5" s="108">
        <v>8787.48</v>
      </c>
      <c r="T5" s="108">
        <v>10400.969999999999</v>
      </c>
      <c r="U5" s="243">
        <f t="shared" ref="U5:U32" si="12">T5/S5</f>
        <v>1.1836123666853295</v>
      </c>
      <c r="V5" s="108">
        <v>14499.92</v>
      </c>
      <c r="W5" s="108">
        <v>8694.66</v>
      </c>
      <c r="X5" s="243">
        <f t="shared" ref="X5:X32" si="13">W5/V5</f>
        <v>0.59963503246914462</v>
      </c>
      <c r="Y5" s="108">
        <v>6474.09</v>
      </c>
      <c r="Z5" s="108">
        <v>5069.1099999999997</v>
      </c>
      <c r="AA5" s="243">
        <f t="shared" ref="AA5:AA32" si="14">Z5/Y5</f>
        <v>0.78298417229293993</v>
      </c>
      <c r="AB5" s="108">
        <v>6839.78</v>
      </c>
      <c r="AC5" s="108">
        <v>4784.5200000000004</v>
      </c>
      <c r="AD5" s="243">
        <f t="shared" ref="AD5:AD32" si="15">AC5/AB5</f>
        <v>0.6995137270497005</v>
      </c>
      <c r="AE5" s="108">
        <v>8840.3700000000008</v>
      </c>
      <c r="AF5" s="108">
        <v>6185.41</v>
      </c>
      <c r="AG5" s="243">
        <f t="shared" ref="AG5:AG32" si="16">AF5/AE5</f>
        <v>0.69967772842086917</v>
      </c>
      <c r="AH5" s="108">
        <v>8006.45</v>
      </c>
      <c r="AI5" s="108">
        <v>4018.84</v>
      </c>
      <c r="AJ5" s="243">
        <f t="shared" ref="AJ5:AJ32" si="17">AI5/AH5</f>
        <v>0.50195030256855411</v>
      </c>
      <c r="AK5" s="108">
        <v>9779.98</v>
      </c>
      <c r="AL5" s="108">
        <v>5635.77</v>
      </c>
      <c r="AM5" s="243">
        <f t="shared" ref="AM5:AM32" si="18">AL5/AK5</f>
        <v>0.57625577966417119</v>
      </c>
      <c r="AN5" s="108">
        <v>12270.86</v>
      </c>
      <c r="AO5" s="108">
        <v>7429.05</v>
      </c>
      <c r="AP5" s="253">
        <f t="shared" ref="AP5:AP32" si="19">AO5/AN5</f>
        <v>0.60542211385347078</v>
      </c>
      <c r="AQ5" s="108">
        <v>15624</v>
      </c>
      <c r="AR5" s="108">
        <v>10291.950000000001</v>
      </c>
      <c r="AS5" s="253">
        <f t="shared" ref="AS5:AS32" si="20">AR5/AQ5</f>
        <v>0.65872695852534568</v>
      </c>
      <c r="AT5" s="108">
        <v>7676.21</v>
      </c>
      <c r="AU5" s="108">
        <v>6081.88</v>
      </c>
      <c r="AV5" s="253">
        <f t="shared" ref="AV5:AV32" si="21">AU5/AT5</f>
        <v>0.79230245133991906</v>
      </c>
      <c r="AW5" s="108">
        <v>8396.61</v>
      </c>
      <c r="AX5" s="108">
        <v>5659.81</v>
      </c>
      <c r="AY5" s="253">
        <f t="shared" ref="AY5:AY32" si="22">AX5/AW5</f>
        <v>0.67405893568952235</v>
      </c>
      <c r="AZ5" s="108">
        <v>7154.2</v>
      </c>
      <c r="BA5" s="108">
        <v>5515.46</v>
      </c>
      <c r="BB5" s="253">
        <f t="shared" ref="BB5:BB32" si="23">BA5/AZ5</f>
        <v>0.77094014704649017</v>
      </c>
      <c r="BC5" s="108">
        <v>5281.66</v>
      </c>
      <c r="BD5" s="108">
        <v>4903.7299999999996</v>
      </c>
      <c r="BE5" s="253">
        <f t="shared" ref="BE5:BE32" si="24">BD5/BC5</f>
        <v>0.92844484499191537</v>
      </c>
      <c r="BF5" s="108">
        <v>8518.1</v>
      </c>
      <c r="BG5" s="108">
        <v>5983.74</v>
      </c>
      <c r="BH5" s="253">
        <f t="shared" ref="BH5:BH32" si="25">BG5/BF5</f>
        <v>0.70247355630950559</v>
      </c>
      <c r="BI5" s="108">
        <v>8731.3799999999992</v>
      </c>
      <c r="BJ5" s="108">
        <v>4865.2299999999996</v>
      </c>
      <c r="BK5" s="253">
        <f t="shared" ref="BK5:BK32" si="26">BJ5/BI5</f>
        <v>0.55721203292034016</v>
      </c>
      <c r="BL5" s="108">
        <v>15143.75</v>
      </c>
      <c r="BM5" s="108">
        <v>11087.75</v>
      </c>
      <c r="BN5" s="253">
        <f t="shared" ref="BN5:BN32" si="27">BM5/BL5</f>
        <v>0.73216673545191913</v>
      </c>
      <c r="BO5" s="108">
        <v>8297.1</v>
      </c>
      <c r="BP5" s="108">
        <v>4410.7299999999996</v>
      </c>
      <c r="BQ5" s="253">
        <f t="shared" ref="BQ5:BQ32" si="28">BP5/BO5</f>
        <v>0.53159899241903785</v>
      </c>
      <c r="BR5" s="108">
        <v>8715.0400000000009</v>
      </c>
      <c r="BS5" s="108">
        <v>4931.1400000000003</v>
      </c>
      <c r="BT5" s="253">
        <f t="shared" ref="BT5:BT32" si="29">BS5/BR5</f>
        <v>0.56581954873414231</v>
      </c>
      <c r="BU5" s="108">
        <v>6383.58</v>
      </c>
      <c r="BV5" s="108">
        <v>4583.59</v>
      </c>
      <c r="BW5" s="253">
        <f t="shared" ref="BW5:BW32" si="30">BV5/BU5</f>
        <v>0.71802812841696984</v>
      </c>
      <c r="BX5" s="108">
        <v>6791.03</v>
      </c>
      <c r="BY5" s="108">
        <v>6590.24</v>
      </c>
      <c r="BZ5" s="253">
        <f t="shared" ref="BZ5:BZ32" si="31">BY5/BX5</f>
        <v>0.97043305654665046</v>
      </c>
      <c r="CA5" s="88">
        <v>9022.2900000000009</v>
      </c>
      <c r="CB5" s="108">
        <v>6988.19</v>
      </c>
      <c r="CC5" s="253">
        <f t="shared" ref="CC5:CC32" si="32">CB5/CA5</f>
        <v>0.77454726017452324</v>
      </c>
      <c r="CD5" s="108">
        <v>9465.82</v>
      </c>
      <c r="CE5" s="108">
        <v>6165.24</v>
      </c>
      <c r="CF5" s="253">
        <f t="shared" ref="CF5:CF32" si="33">CE5/CD5</f>
        <v>0.65131599798010098</v>
      </c>
      <c r="CG5" s="108">
        <v>17204.39</v>
      </c>
      <c r="CH5" s="108">
        <v>12456.97</v>
      </c>
      <c r="CI5" s="253">
        <f t="shared" ref="CI5:CI32" si="34">CH5/CG5</f>
        <v>0.72405763877707952</v>
      </c>
      <c r="CJ5" s="108">
        <v>8030.07</v>
      </c>
      <c r="CK5" s="108">
        <v>5860.94</v>
      </c>
      <c r="CL5" s="253">
        <f t="shared" ref="CL5:CL32" si="35">CK5/CJ5</f>
        <v>0.72987408578007418</v>
      </c>
      <c r="CM5" s="108">
        <v>7637.73</v>
      </c>
      <c r="CN5" s="108">
        <v>7402.32</v>
      </c>
      <c r="CO5" s="253">
        <f t="shared" ref="CO5:CO32" si="36">CN5/CM5</f>
        <v>0.96917801493375655</v>
      </c>
      <c r="CP5" s="108">
        <v>11728.09</v>
      </c>
      <c r="CQ5" s="108">
        <v>6087.73</v>
      </c>
      <c r="CR5" s="253">
        <f t="shared" ref="CR5:CR32" si="37">CQ5/CP5</f>
        <v>0.51907258556167279</v>
      </c>
      <c r="CS5" s="108">
        <v>4598.33</v>
      </c>
      <c r="CT5" s="108">
        <v>4871.3100000000004</v>
      </c>
      <c r="CU5" s="253">
        <f t="shared" ref="CU5:CU32" si="38">CT5/CS5</f>
        <v>1.0593650303479742</v>
      </c>
      <c r="CV5" s="108">
        <v>10955.86</v>
      </c>
      <c r="CW5" s="108">
        <v>6407.7</v>
      </c>
      <c r="CX5" s="253">
        <f t="shared" ref="CX5:CX32" si="39">CW5/CV5</f>
        <v>0.58486508589923558</v>
      </c>
      <c r="CY5" s="108">
        <v>9989.4599999999991</v>
      </c>
      <c r="CZ5" s="108">
        <v>5488.61</v>
      </c>
      <c r="DA5" s="253">
        <f t="shared" ref="DA5:DA32" si="40">CZ5/CY5</f>
        <v>0.54944010987580916</v>
      </c>
      <c r="DB5" s="108">
        <v>15224.48</v>
      </c>
      <c r="DC5" s="108">
        <v>9393.2999999999993</v>
      </c>
      <c r="DD5" s="253">
        <f t="shared" ref="DD5:DD32" si="41">DC5/DB5</f>
        <v>0.61698659001818124</v>
      </c>
      <c r="DE5" s="108">
        <v>9773.57</v>
      </c>
      <c r="DF5" s="108">
        <v>7900.21</v>
      </c>
      <c r="DG5" s="253">
        <f t="shared" ref="DG5:DG32" si="42">DF5/DE5</f>
        <v>0.80832387755958168</v>
      </c>
      <c r="DH5" s="108">
        <v>11377.61</v>
      </c>
      <c r="DI5" s="108">
        <v>8545.7900000000009</v>
      </c>
      <c r="DJ5" s="253">
        <f t="shared" ref="DJ5:DJ32" si="43">DI5/DH5</f>
        <v>0.75110590009676903</v>
      </c>
      <c r="DK5" s="108">
        <v>8761.26</v>
      </c>
      <c r="DL5" s="108">
        <v>5700.18</v>
      </c>
      <c r="DM5" s="253">
        <f t="shared" si="0"/>
        <v>0.65061189828860233</v>
      </c>
      <c r="DN5" s="108">
        <v>14258.2</v>
      </c>
      <c r="DO5" s="108">
        <v>4095.71</v>
      </c>
      <c r="DP5" s="253">
        <f t="shared" si="1"/>
        <v>0.2872529491801209</v>
      </c>
      <c r="DQ5" s="108">
        <v>26581.119999999999</v>
      </c>
      <c r="DR5" s="108">
        <v>6865.92</v>
      </c>
      <c r="DS5" s="253">
        <f t="shared" si="2"/>
        <v>0.25830062841595841</v>
      </c>
      <c r="DT5" s="108">
        <v>19697.32</v>
      </c>
      <c r="DU5" s="108">
        <v>10547.6</v>
      </c>
      <c r="DV5" s="253">
        <f t="shared" si="3"/>
        <v>0.53548401508428556</v>
      </c>
      <c r="DW5" s="108">
        <v>17741.87</v>
      </c>
      <c r="DX5" s="108">
        <v>15169.76</v>
      </c>
      <c r="DY5" s="253">
        <f t="shared" si="4"/>
        <v>0.85502599218684394</v>
      </c>
      <c r="DZ5" s="108">
        <v>10310</v>
      </c>
      <c r="EA5" s="108">
        <v>9188.98</v>
      </c>
      <c r="EB5" s="253">
        <f t="shared" ref="EB5:EB32" si="44">EA5/DZ5</f>
        <v>0.89126867119301645</v>
      </c>
      <c r="EC5" s="108">
        <v>9122.82</v>
      </c>
      <c r="ED5" s="108">
        <v>4108.42</v>
      </c>
      <c r="EE5" s="253">
        <f t="shared" ref="EE5:EE32" si="45">ED5/EC5</f>
        <v>0.45034539758539577</v>
      </c>
      <c r="EF5" s="108">
        <v>10392.01</v>
      </c>
      <c r="EG5" s="108">
        <v>6188.79</v>
      </c>
      <c r="EH5" s="253">
        <f t="shared" ref="EH5:EH32" si="46">EG5/EF5</f>
        <v>0.59553349159594726</v>
      </c>
      <c r="EI5" s="108">
        <v>6652.21</v>
      </c>
      <c r="EJ5" s="108">
        <v>5374.67</v>
      </c>
      <c r="EK5" s="253">
        <f t="shared" ref="EK5:EK32" si="47">EJ5/EI5</f>
        <v>0.80795254509403647</v>
      </c>
      <c r="EL5" s="108">
        <v>10898.32</v>
      </c>
      <c r="EM5" s="108">
        <v>6894.23</v>
      </c>
      <c r="EN5" s="253">
        <f t="shared" ref="EN5:EN32" si="48">EM5/EL5</f>
        <v>0.63259566612101681</v>
      </c>
      <c r="EO5" s="108">
        <v>10456.469999999999</v>
      </c>
      <c r="EP5" s="108">
        <v>5515.46</v>
      </c>
      <c r="EQ5" s="253">
        <f t="shared" ref="EQ5:EQ32" si="49">EP5/EO5</f>
        <v>0.52746863903401442</v>
      </c>
      <c r="ER5" s="108">
        <v>16338.83</v>
      </c>
      <c r="ES5" s="108">
        <v>4903.7299999999996</v>
      </c>
      <c r="ET5" s="253">
        <f t="shared" ref="ET5:ET32" si="50">ES5/ER5</f>
        <v>0.30012736530094258</v>
      </c>
      <c r="EU5" s="108">
        <v>9585.67</v>
      </c>
      <c r="EV5" s="108">
        <v>5315.46</v>
      </c>
      <c r="EW5" s="253">
        <f t="shared" ref="EW5:EW32" si="51">EV5/EU5</f>
        <v>0.55452148884741492</v>
      </c>
      <c r="EX5" s="108">
        <v>8017.03</v>
      </c>
      <c r="EY5" s="108">
        <v>4566.25</v>
      </c>
      <c r="EZ5" s="253">
        <f t="shared" ref="EZ5:EZ32" si="52">EY5/EX5</f>
        <v>0.56956878045859882</v>
      </c>
      <c r="FA5" s="108">
        <v>7291.4</v>
      </c>
      <c r="FB5" s="108">
        <v>5066.7700000000004</v>
      </c>
      <c r="FC5" s="253">
        <f t="shared" ref="FC5:FC32" si="53">FB5/FA5</f>
        <v>0.69489672765175425</v>
      </c>
      <c r="FD5" s="108">
        <v>6301.99</v>
      </c>
      <c r="FE5" s="108">
        <v>4371.32</v>
      </c>
      <c r="FF5" s="253">
        <f t="shared" ref="FF5:FF32" si="54">FE5/FD5</f>
        <v>0.69364121491782749</v>
      </c>
      <c r="FG5" s="108">
        <v>8342.17</v>
      </c>
      <c r="FH5" s="108">
        <v>6348.39</v>
      </c>
      <c r="FI5" s="253">
        <f t="shared" ref="FI5:FI32" si="55">FH5/FG5</f>
        <v>0.76099983577414509</v>
      </c>
      <c r="FJ5" s="108">
        <v>10898.05</v>
      </c>
      <c r="FK5" s="108">
        <v>8160.4</v>
      </c>
      <c r="FL5" s="253">
        <f t="shared" ref="FL5:FL32" si="56">FK5/FJ5</f>
        <v>0.7487945091094278</v>
      </c>
      <c r="FM5" s="108">
        <v>17234.009999999998</v>
      </c>
      <c r="FN5" s="108">
        <v>10240.040000000001</v>
      </c>
      <c r="FO5" s="253">
        <f t="shared" ref="FO5:FO32" si="57">FN5/FM5</f>
        <v>0.5941762828268059</v>
      </c>
      <c r="FP5" s="108">
        <v>6904.38</v>
      </c>
      <c r="FQ5" s="108">
        <v>4129.46</v>
      </c>
      <c r="FR5" s="253">
        <f t="shared" ref="FR5:FR32" si="58">FQ5/FP5</f>
        <v>0.59809280485720662</v>
      </c>
      <c r="FS5" s="108">
        <v>11554.93</v>
      </c>
      <c r="FT5" s="108">
        <v>6439.75</v>
      </c>
      <c r="FU5" s="253">
        <f t="shared" ref="FU5:FU32" si="59">FT5/FS5</f>
        <v>0.55731622779194678</v>
      </c>
      <c r="FV5" s="108">
        <v>7433.12</v>
      </c>
      <c r="FW5" s="108">
        <v>4364.38</v>
      </c>
      <c r="FX5" s="253">
        <f t="shared" ref="FX5:FX32" si="60">FW5/FV5</f>
        <v>0.58715317390274879</v>
      </c>
      <c r="FY5" s="108">
        <v>8933.09</v>
      </c>
      <c r="FZ5" s="108">
        <v>4344.47</v>
      </c>
      <c r="GA5" s="253">
        <f t="shared" ref="GA5:GA32" si="61">FZ5/FY5</f>
        <v>0.48633451582822967</v>
      </c>
      <c r="GB5" s="108">
        <v>9467.0499999999993</v>
      </c>
      <c r="GC5" s="108">
        <v>5925.39</v>
      </c>
      <c r="GD5" s="253">
        <f t="shared" ref="GD5:GD32" si="62">GC5/GB5</f>
        <v>0.62589613448751202</v>
      </c>
      <c r="GE5" s="108">
        <v>13578.78</v>
      </c>
      <c r="GF5" s="108">
        <v>7580.27</v>
      </c>
      <c r="GG5" s="253">
        <f t="shared" ref="GG5:GG32" si="63">GF5/GE5</f>
        <v>0.55824381866412154</v>
      </c>
      <c r="GH5" s="108">
        <v>16510.189999999999</v>
      </c>
      <c r="GI5" s="108">
        <v>12239</v>
      </c>
      <c r="GJ5" s="253">
        <f t="shared" ref="GJ5:GJ32" si="64">GI5/GH5</f>
        <v>0.74129976699238476</v>
      </c>
      <c r="GK5" s="108">
        <v>8320.2900000000009</v>
      </c>
      <c r="GL5" s="108">
        <v>6623.59</v>
      </c>
      <c r="GM5" s="253">
        <f t="shared" ref="GM5:GM32" si="65">GL5/GK5</f>
        <v>0.79607681943778397</v>
      </c>
      <c r="GN5" s="108">
        <v>10189.969999999999</v>
      </c>
      <c r="GO5" s="108">
        <v>7011.49</v>
      </c>
      <c r="GP5" s="253">
        <f t="shared" ref="GP5:GP32" si="66">GO5/GN5</f>
        <v>0.68807759002234548</v>
      </c>
      <c r="GQ5" s="108">
        <v>8716.1</v>
      </c>
      <c r="GR5" s="108">
        <v>5665.42</v>
      </c>
      <c r="GS5" s="253">
        <f t="shared" ref="GS5:GS32" si="67">GR5/GQ5</f>
        <v>0.64999483714046413</v>
      </c>
      <c r="GT5" s="108">
        <v>10107.09</v>
      </c>
      <c r="GU5" s="108">
        <v>4686.42</v>
      </c>
      <c r="GV5" s="253">
        <f t="shared" ref="GV5:GV32" si="68">GU5/GT5</f>
        <v>0.46367648848481613</v>
      </c>
      <c r="GW5" s="108">
        <v>8693.64</v>
      </c>
      <c r="GX5" s="108">
        <v>10616.92</v>
      </c>
      <c r="GY5" s="253">
        <f t="shared" ref="GY5:GY32" si="69">GX5/GW5</f>
        <v>1.2212283922499667</v>
      </c>
      <c r="GZ5" s="108">
        <v>8693.64</v>
      </c>
      <c r="HA5" s="108">
        <v>6273.76</v>
      </c>
      <c r="HB5" s="253">
        <f t="shared" ref="HB5:HB32" si="70">HA5/GZ5</f>
        <v>0.72164938966876946</v>
      </c>
      <c r="HC5" s="108">
        <v>20259.25</v>
      </c>
      <c r="HD5" s="108">
        <v>13675.47</v>
      </c>
      <c r="HE5" s="253">
        <f t="shared" ref="HE5:HE32" si="71">HD5/HC5</f>
        <v>0.67502350778039655</v>
      </c>
      <c r="HF5" s="108">
        <v>9420.66</v>
      </c>
      <c r="HG5" s="108">
        <v>7933.95</v>
      </c>
      <c r="HH5" s="253">
        <f t="shared" ref="HH5:HH32" si="72">HG5/HF5</f>
        <v>0.84218621625236445</v>
      </c>
      <c r="HI5" s="108">
        <v>11067.92</v>
      </c>
      <c r="HJ5" s="108">
        <v>9913.5400000000009</v>
      </c>
      <c r="HK5" s="253">
        <f t="shared" ref="HK5:HK32" si="73">HJ5/HI5</f>
        <v>0.895700366464521</v>
      </c>
      <c r="HL5" s="108">
        <v>9905.9500000000007</v>
      </c>
      <c r="HM5" s="108">
        <v>5875.79</v>
      </c>
      <c r="HN5" s="253">
        <f t="shared" ref="HN5:HN32" si="74">HM5/HL5</f>
        <v>0.59315764767639645</v>
      </c>
      <c r="HO5" s="108">
        <v>5862.55</v>
      </c>
      <c r="HP5" s="108">
        <v>6849.98</v>
      </c>
      <c r="HQ5" s="253">
        <f t="shared" ref="HQ5:HQ32" si="75">HP5/HO5</f>
        <v>1.1684301199989764</v>
      </c>
      <c r="HR5" s="108">
        <v>10248.870000000001</v>
      </c>
      <c r="HS5" s="108">
        <v>7358.42</v>
      </c>
      <c r="HT5" s="253">
        <f t="shared" ref="HT5:HT32" si="76">HS5/HR5</f>
        <v>0.7179737863784007</v>
      </c>
      <c r="HU5" s="108">
        <v>5254.87</v>
      </c>
      <c r="HV5" s="108">
        <v>6645.7</v>
      </c>
      <c r="HW5" s="253">
        <f t="shared" ref="HW5:HW32" si="77">HV5/HU5</f>
        <v>1.2646744829082357</v>
      </c>
      <c r="HX5" s="108">
        <v>15146.43</v>
      </c>
      <c r="HY5" s="108">
        <v>13342.07</v>
      </c>
      <c r="HZ5" s="253">
        <f t="shared" ref="HZ5:HZ32" si="78">HY5/HX5</f>
        <v>0.8808722583473465</v>
      </c>
      <c r="IA5" s="108">
        <v>7505.6</v>
      </c>
      <c r="IB5" s="108">
        <v>7682.05</v>
      </c>
      <c r="IC5" s="253">
        <f t="shared" ref="IC5:IC32" si="79">IB5/IA5</f>
        <v>1.0235091131954808</v>
      </c>
      <c r="ID5" s="353"/>
      <c r="IE5" s="353"/>
      <c r="IF5" s="353"/>
      <c r="IG5" s="353"/>
      <c r="IH5" s="353"/>
      <c r="II5" s="353"/>
      <c r="IJ5" s="353"/>
      <c r="IK5" s="353"/>
      <c r="IL5" s="353"/>
      <c r="IM5" s="353"/>
      <c r="IN5" s="353"/>
      <c r="IO5" s="353"/>
      <c r="IP5" s="353"/>
      <c r="IQ5" s="311">
        <f t="shared" ref="IQ5:IQ32" si="80">FP5+FS5+FV5+FY5+GB5+GE5+GH5+GK5+GN5+GQ5+GT5+GW5+GZ5+HC5+HF5+HI5+HL5+HO5+HR5+HU5+HX5</f>
        <v>216268.77000000002</v>
      </c>
      <c r="IR5" s="311">
        <f t="shared" ref="IR5:IR32" si="81">FQ5+FT5+FW5+FZ5+GC5+GF5+GI5+GL5+GO5+GR5+GU5+GX5+HA5+HD5+HG5+HJ5+HM5+HP5+HS5+HV5+HY5</f>
        <v>157495.24000000002</v>
      </c>
      <c r="IS5" s="310">
        <f t="shared" si="5"/>
        <v>-58773.53</v>
      </c>
      <c r="IT5" s="313">
        <f t="shared" si="6"/>
        <v>0.72823847844513101</v>
      </c>
      <c r="IU5" s="317">
        <f t="shared" ref="IU5:IU32" si="82">HF5+HI5+HL5+HO5+HR5+HU5+HX5</f>
        <v>66907.25</v>
      </c>
      <c r="IV5" s="317">
        <f t="shared" ref="IV5:IV32" si="83">HG5+HJ5+HM5+HP5+HS5+HV5+HY5</f>
        <v>57919.45</v>
      </c>
      <c r="IW5" s="316">
        <f t="shared" ref="IW5:IW32" si="84">IV5-IU5</f>
        <v>-8987.8000000000029</v>
      </c>
      <c r="IX5" s="320">
        <f t="shared" ref="IX5:IX32" si="85">IV5/IU5</f>
        <v>0.86566777142985252</v>
      </c>
      <c r="IZ5" s="244"/>
      <c r="JA5" s="402"/>
      <c r="JB5" s="1495"/>
    </row>
    <row r="6" spans="3:262">
      <c r="C6" s="257" t="s">
        <v>11</v>
      </c>
      <c r="D6" s="108">
        <v>5443</v>
      </c>
      <c r="E6" s="108">
        <v>4542.4399999999996</v>
      </c>
      <c r="F6" s="243">
        <f t="shared" si="7"/>
        <v>0.83454712474738191</v>
      </c>
      <c r="G6" s="108">
        <v>9612.4699999999993</v>
      </c>
      <c r="H6" s="108">
        <v>4144.7299999999996</v>
      </c>
      <c r="I6" s="243">
        <f t="shared" si="8"/>
        <v>0.43118262007579738</v>
      </c>
      <c r="J6" s="108">
        <v>6528.21</v>
      </c>
      <c r="K6" s="108">
        <v>6510.69</v>
      </c>
      <c r="L6" s="243">
        <f t="shared" si="9"/>
        <v>0.99731626280404573</v>
      </c>
      <c r="M6" s="108">
        <v>6310.75</v>
      </c>
      <c r="N6" s="108">
        <v>8560.84</v>
      </c>
      <c r="O6" s="243">
        <f t="shared" si="10"/>
        <v>1.3565487461870618</v>
      </c>
      <c r="P6" s="108">
        <v>8887.02</v>
      </c>
      <c r="Q6" s="108">
        <v>3808.69</v>
      </c>
      <c r="R6" s="243">
        <f t="shared" si="11"/>
        <v>0.42856773136551957</v>
      </c>
      <c r="S6" s="108">
        <v>8495.0400000000009</v>
      </c>
      <c r="T6" s="108">
        <v>5400.37</v>
      </c>
      <c r="U6" s="243">
        <f t="shared" si="12"/>
        <v>0.63570860172524191</v>
      </c>
      <c r="V6" s="108">
        <v>15310.87</v>
      </c>
      <c r="W6" s="108">
        <v>10201.540000000001</v>
      </c>
      <c r="X6" s="243">
        <f t="shared" si="13"/>
        <v>0.66629394671889974</v>
      </c>
      <c r="Y6" s="108">
        <v>4400.09</v>
      </c>
      <c r="Z6" s="108">
        <v>5719.98</v>
      </c>
      <c r="AA6" s="243">
        <f t="shared" si="14"/>
        <v>1.2999688642732306</v>
      </c>
      <c r="AB6" s="108">
        <v>7622.64</v>
      </c>
      <c r="AC6" s="108">
        <v>3069.77</v>
      </c>
      <c r="AD6" s="243">
        <f t="shared" si="15"/>
        <v>0.40271743123117448</v>
      </c>
      <c r="AE6" s="108">
        <v>5489.87</v>
      </c>
      <c r="AF6" s="108">
        <v>3392.62</v>
      </c>
      <c r="AG6" s="243">
        <f t="shared" si="16"/>
        <v>0.6179782034911574</v>
      </c>
      <c r="AH6" s="108">
        <v>7277.03</v>
      </c>
      <c r="AI6" s="108">
        <v>3702.11</v>
      </c>
      <c r="AJ6" s="243">
        <f t="shared" si="17"/>
        <v>0.50873914220499306</v>
      </c>
      <c r="AK6" s="108">
        <v>7626.15</v>
      </c>
      <c r="AL6" s="108">
        <v>5854.83</v>
      </c>
      <c r="AM6" s="243">
        <f t="shared" si="18"/>
        <v>0.76773076847426291</v>
      </c>
      <c r="AN6" s="108">
        <v>7160.94</v>
      </c>
      <c r="AO6" s="108">
        <v>4312.43</v>
      </c>
      <c r="AP6" s="253">
        <f t="shared" si="19"/>
        <v>0.60221563090879138</v>
      </c>
      <c r="AQ6" s="108">
        <v>13945.39</v>
      </c>
      <c r="AR6" s="108">
        <v>10900.35</v>
      </c>
      <c r="AS6" s="253">
        <f t="shared" si="20"/>
        <v>0.78164540396503801</v>
      </c>
      <c r="AT6" s="108">
        <v>7033.26</v>
      </c>
      <c r="AU6" s="108">
        <v>7654.72</v>
      </c>
      <c r="AV6" s="253">
        <f t="shared" si="21"/>
        <v>1.0883601629969601</v>
      </c>
      <c r="AW6" s="108">
        <v>6059.29</v>
      </c>
      <c r="AX6" s="108">
        <v>2366.8200000000002</v>
      </c>
      <c r="AY6" s="253">
        <f t="shared" si="22"/>
        <v>0.39061012098777254</v>
      </c>
      <c r="AZ6" s="108">
        <v>4914.82</v>
      </c>
      <c r="BA6" s="108">
        <v>4113.3999999999996</v>
      </c>
      <c r="BB6" s="253">
        <f t="shared" si="23"/>
        <v>0.83693807708115453</v>
      </c>
      <c r="BC6" s="108">
        <v>4942.41</v>
      </c>
      <c r="BD6" s="108">
        <v>3212.97</v>
      </c>
      <c r="BE6" s="253">
        <f t="shared" si="24"/>
        <v>0.65008164033335958</v>
      </c>
      <c r="BF6" s="108">
        <v>7371.7</v>
      </c>
      <c r="BG6" s="108">
        <v>3632.88</v>
      </c>
      <c r="BH6" s="253">
        <f t="shared" si="25"/>
        <v>0.49281441187243108</v>
      </c>
      <c r="BI6" s="108">
        <v>7938.3</v>
      </c>
      <c r="BJ6" s="108">
        <v>6163.54</v>
      </c>
      <c r="BK6" s="253">
        <f t="shared" si="26"/>
        <v>0.77643072194298524</v>
      </c>
      <c r="BL6" s="108">
        <v>16498.53</v>
      </c>
      <c r="BM6" s="108">
        <v>9854.16</v>
      </c>
      <c r="BN6" s="253">
        <f t="shared" si="27"/>
        <v>0.59727502995721438</v>
      </c>
      <c r="BO6" s="108">
        <v>4341.8</v>
      </c>
      <c r="BP6" s="108">
        <v>4509.75</v>
      </c>
      <c r="BQ6" s="253">
        <f t="shared" si="28"/>
        <v>1.038682113409185</v>
      </c>
      <c r="BR6" s="108">
        <v>5159.18</v>
      </c>
      <c r="BS6" s="108">
        <v>3506.66</v>
      </c>
      <c r="BT6" s="253">
        <f t="shared" si="29"/>
        <v>0.67969328459173739</v>
      </c>
      <c r="BU6" s="108">
        <v>4082.87</v>
      </c>
      <c r="BV6" s="108">
        <v>4226.7</v>
      </c>
      <c r="BW6" s="253">
        <f t="shared" si="30"/>
        <v>1.0352276707316177</v>
      </c>
      <c r="BX6" s="108">
        <v>3394.3</v>
      </c>
      <c r="BY6" s="108">
        <v>3849.79</v>
      </c>
      <c r="BZ6" s="253">
        <f t="shared" si="31"/>
        <v>1.1341926170344401</v>
      </c>
      <c r="CA6" s="88">
        <v>6121.23</v>
      </c>
      <c r="CB6" s="108">
        <v>2574.84</v>
      </c>
      <c r="CC6" s="253">
        <f t="shared" si="32"/>
        <v>0.42064094961306803</v>
      </c>
      <c r="CD6" s="108">
        <v>7473.2</v>
      </c>
      <c r="CE6" s="108">
        <v>4220.3</v>
      </c>
      <c r="CF6" s="253">
        <f t="shared" si="33"/>
        <v>0.56472461596103418</v>
      </c>
      <c r="CG6" s="108">
        <v>15350.55</v>
      </c>
      <c r="CH6" s="108">
        <v>8080.14</v>
      </c>
      <c r="CI6" s="253">
        <f t="shared" si="34"/>
        <v>0.52637462501343601</v>
      </c>
      <c r="CJ6" s="108">
        <v>9437.9</v>
      </c>
      <c r="CK6" s="108">
        <v>6437.08</v>
      </c>
      <c r="CL6" s="253">
        <f t="shared" si="35"/>
        <v>0.68204579408554866</v>
      </c>
      <c r="CM6" s="108">
        <v>9433.5</v>
      </c>
      <c r="CN6" s="108">
        <v>4687.46</v>
      </c>
      <c r="CO6" s="253">
        <f t="shared" si="36"/>
        <v>0.49689510786028518</v>
      </c>
      <c r="CP6" s="108">
        <v>6462.38</v>
      </c>
      <c r="CQ6" s="108">
        <v>3996.37</v>
      </c>
      <c r="CR6" s="253">
        <f t="shared" si="37"/>
        <v>0.61840529340583494</v>
      </c>
      <c r="CS6" s="108">
        <v>4772.47</v>
      </c>
      <c r="CT6" s="108">
        <v>5156.16</v>
      </c>
      <c r="CU6" s="253">
        <f t="shared" si="38"/>
        <v>1.0803965242316871</v>
      </c>
      <c r="CV6" s="108">
        <v>5827.98</v>
      </c>
      <c r="CW6" s="108">
        <v>4472.9399999999996</v>
      </c>
      <c r="CX6" s="253">
        <f t="shared" si="39"/>
        <v>0.76749405454376984</v>
      </c>
      <c r="CY6" s="108">
        <v>8601.44</v>
      </c>
      <c r="CZ6" s="108">
        <v>8641.5300000000007</v>
      </c>
      <c r="DA6" s="253">
        <f t="shared" si="40"/>
        <v>1.0046608474860024</v>
      </c>
      <c r="DB6" s="108">
        <v>14743.9</v>
      </c>
      <c r="DC6" s="108">
        <v>13529.27</v>
      </c>
      <c r="DD6" s="253">
        <f t="shared" si="41"/>
        <v>0.91761813360101474</v>
      </c>
      <c r="DE6" s="108">
        <v>7645.71</v>
      </c>
      <c r="DF6" s="108">
        <v>5304.59</v>
      </c>
      <c r="DG6" s="253">
        <f t="shared" si="42"/>
        <v>0.69379952940930278</v>
      </c>
      <c r="DH6" s="108">
        <v>5361.54</v>
      </c>
      <c r="DI6" s="108">
        <v>5328.73</v>
      </c>
      <c r="DJ6" s="253">
        <f t="shared" si="43"/>
        <v>0.99388048956083508</v>
      </c>
      <c r="DK6" s="108">
        <v>9432.2199999999993</v>
      </c>
      <c r="DL6" s="108">
        <v>4286.43</v>
      </c>
      <c r="DM6" s="253">
        <f t="shared" si="0"/>
        <v>0.45444550699623215</v>
      </c>
      <c r="DN6" s="108">
        <v>7447.32</v>
      </c>
      <c r="DO6" s="108">
        <v>5071.1899999999996</v>
      </c>
      <c r="DP6" s="253">
        <f t="shared" si="1"/>
        <v>0.68094160046835639</v>
      </c>
      <c r="DQ6" s="108">
        <v>13788.48</v>
      </c>
      <c r="DR6" s="108">
        <v>3928.36</v>
      </c>
      <c r="DS6" s="253">
        <f t="shared" si="2"/>
        <v>0.28490159901599016</v>
      </c>
      <c r="DT6" s="108">
        <v>19592.939999999999</v>
      </c>
      <c r="DU6" s="108">
        <v>11867.63</v>
      </c>
      <c r="DV6" s="253">
        <f t="shared" si="3"/>
        <v>0.60570950556680114</v>
      </c>
      <c r="DW6" s="108">
        <v>16269.33</v>
      </c>
      <c r="DX6" s="108">
        <v>15303.03</v>
      </c>
      <c r="DY6" s="253">
        <f t="shared" si="4"/>
        <v>0.94060603601992221</v>
      </c>
      <c r="DZ6" s="108">
        <v>8716.02</v>
      </c>
      <c r="EA6" s="108">
        <v>8538.4</v>
      </c>
      <c r="EB6" s="253">
        <f t="shared" si="44"/>
        <v>0.97962143271814417</v>
      </c>
      <c r="EC6" s="108">
        <v>5321.54</v>
      </c>
      <c r="EE6" s="253">
        <f t="shared" si="45"/>
        <v>0</v>
      </c>
      <c r="EF6" s="108">
        <v>3763.22</v>
      </c>
      <c r="EG6" s="108">
        <v>5630.44</v>
      </c>
      <c r="EH6" s="253">
        <f t="shared" si="46"/>
        <v>1.4961761470230281</v>
      </c>
      <c r="EI6" s="108">
        <v>5253.79</v>
      </c>
      <c r="EJ6" s="108">
        <v>2605.1799999999998</v>
      </c>
      <c r="EK6" s="253">
        <f t="shared" si="47"/>
        <v>0.49586679330540429</v>
      </c>
      <c r="EL6" s="108">
        <v>6025.57</v>
      </c>
      <c r="EM6" s="108">
        <v>2201.13</v>
      </c>
      <c r="EN6" s="253">
        <f t="shared" si="48"/>
        <v>0.36529822074924034</v>
      </c>
      <c r="EO6" s="108">
        <v>8991.39</v>
      </c>
      <c r="EP6" s="108">
        <v>4113.3999999999996</v>
      </c>
      <c r="EQ6" s="253">
        <f t="shared" si="49"/>
        <v>0.45748210232233277</v>
      </c>
      <c r="ER6" s="108">
        <v>18022.46</v>
      </c>
      <c r="ES6" s="108">
        <v>3212.97</v>
      </c>
      <c r="ET6" s="253">
        <f t="shared" si="50"/>
        <v>0.17827588464615818</v>
      </c>
      <c r="EU6" s="108">
        <v>8465.58</v>
      </c>
      <c r="EV6" s="108">
        <v>7590.96</v>
      </c>
      <c r="EW6" s="253">
        <f t="shared" si="51"/>
        <v>0.89668516510386764</v>
      </c>
      <c r="EX6" s="108">
        <v>6235.17</v>
      </c>
      <c r="EY6" s="108">
        <v>3462.28</v>
      </c>
      <c r="EZ6" s="253">
        <f t="shared" si="52"/>
        <v>0.5552823740170677</v>
      </c>
      <c r="FA6" s="108">
        <v>4017.75</v>
      </c>
      <c r="FB6" s="108">
        <v>4818.78</v>
      </c>
      <c r="FC6" s="253">
        <f t="shared" si="53"/>
        <v>1.1993727832742205</v>
      </c>
      <c r="FD6" s="108">
        <v>3473.43</v>
      </c>
      <c r="FE6" s="108">
        <v>4512.96</v>
      </c>
      <c r="FF6" s="253">
        <f t="shared" si="54"/>
        <v>1.2992805382575725</v>
      </c>
      <c r="FG6" s="108">
        <v>6567.8</v>
      </c>
      <c r="FH6" s="108">
        <v>3708.72</v>
      </c>
      <c r="FI6" s="253">
        <f t="shared" si="55"/>
        <v>0.56468223758336122</v>
      </c>
      <c r="FJ6" s="108">
        <v>7914.7</v>
      </c>
      <c r="FK6" s="108">
        <v>8132.89</v>
      </c>
      <c r="FL6" s="253">
        <f t="shared" si="56"/>
        <v>1.0275676904999558</v>
      </c>
      <c r="FM6" s="108">
        <v>18096.8</v>
      </c>
      <c r="FN6" s="108">
        <v>12747.81</v>
      </c>
      <c r="FO6" s="253">
        <f t="shared" si="57"/>
        <v>0.7044234339772778</v>
      </c>
      <c r="FP6" s="108">
        <v>5817.74</v>
      </c>
      <c r="FQ6" s="108">
        <v>5621.4</v>
      </c>
      <c r="FR6" s="253">
        <f t="shared" si="58"/>
        <v>0.96625149972326019</v>
      </c>
      <c r="FS6" s="108">
        <v>7206.66</v>
      </c>
      <c r="FT6" s="108">
        <v>3171.05</v>
      </c>
      <c r="FU6" s="253">
        <f t="shared" si="59"/>
        <v>0.4400165957600331</v>
      </c>
      <c r="FV6" s="108">
        <v>6125.48</v>
      </c>
      <c r="FW6" s="108">
        <v>3869.81</v>
      </c>
      <c r="FX6" s="253">
        <f t="shared" si="60"/>
        <v>0.63175620522799847</v>
      </c>
      <c r="FY6" s="108">
        <v>5855.1</v>
      </c>
      <c r="FZ6" s="108">
        <v>3035.81</v>
      </c>
      <c r="GA6" s="253">
        <f t="shared" si="61"/>
        <v>0.51848986353777049</v>
      </c>
      <c r="GB6" s="108">
        <v>5767.44</v>
      </c>
      <c r="GC6" s="108">
        <v>5641.06</v>
      </c>
      <c r="GD6" s="253">
        <f t="shared" si="62"/>
        <v>0.97808733164107486</v>
      </c>
      <c r="GE6" s="108">
        <v>7613.23</v>
      </c>
      <c r="GF6" s="108">
        <v>5161.32</v>
      </c>
      <c r="GG6" s="253">
        <f t="shared" si="63"/>
        <v>0.67794090024864606</v>
      </c>
      <c r="GH6" s="108">
        <v>15190.35</v>
      </c>
      <c r="GI6" s="108">
        <v>10462.370000000001</v>
      </c>
      <c r="GJ6" s="253">
        <f t="shared" si="64"/>
        <v>0.68875108210146574</v>
      </c>
      <c r="GK6" s="108">
        <v>6500.48</v>
      </c>
      <c r="GL6" s="108">
        <v>8620.2900000000009</v>
      </c>
      <c r="GM6" s="253">
        <f t="shared" si="65"/>
        <v>1.3261005341144041</v>
      </c>
      <c r="GN6" s="108">
        <v>8347.34</v>
      </c>
      <c r="GO6" s="108">
        <v>5194.95</v>
      </c>
      <c r="GP6" s="253">
        <f t="shared" si="66"/>
        <v>0.62234795755294503</v>
      </c>
      <c r="GQ6" s="108">
        <v>4807.83</v>
      </c>
      <c r="GR6" s="108">
        <v>2993.68</v>
      </c>
      <c r="GS6" s="253">
        <f t="shared" si="67"/>
        <v>0.6226676067997412</v>
      </c>
      <c r="GT6" s="108">
        <v>6722.29</v>
      </c>
      <c r="GU6" s="108">
        <v>3698.33</v>
      </c>
      <c r="GV6" s="253">
        <f t="shared" si="68"/>
        <v>0.55015924632826019</v>
      </c>
      <c r="GW6" s="108">
        <v>6861.9</v>
      </c>
      <c r="GX6" s="108">
        <v>4332.03</v>
      </c>
      <c r="GY6" s="253">
        <f t="shared" si="69"/>
        <v>0.63131639924802163</v>
      </c>
      <c r="GZ6" s="108">
        <v>6861.9</v>
      </c>
      <c r="HA6" s="108">
        <v>7743.98</v>
      </c>
      <c r="HB6" s="253">
        <f t="shared" si="70"/>
        <v>1.1285474868476661</v>
      </c>
      <c r="HC6" s="108">
        <v>15921.24</v>
      </c>
      <c r="HD6" s="108">
        <v>12675.84</v>
      </c>
      <c r="HE6" s="253">
        <f t="shared" si="71"/>
        <v>0.79615909313596178</v>
      </c>
      <c r="HF6" s="108">
        <v>7736.03</v>
      </c>
      <c r="HG6" s="108">
        <v>7680.22</v>
      </c>
      <c r="HH6" s="253">
        <f t="shared" si="72"/>
        <v>0.99278570532947785</v>
      </c>
      <c r="HI6" s="108">
        <v>9666.8799999999992</v>
      </c>
      <c r="HJ6" s="108">
        <v>7027.88</v>
      </c>
      <c r="HK6" s="253">
        <f t="shared" si="73"/>
        <v>0.7270060246946275</v>
      </c>
      <c r="HL6" s="108">
        <v>4516.43</v>
      </c>
      <c r="HM6" s="108">
        <v>3844.55</v>
      </c>
      <c r="HN6" s="253">
        <f t="shared" si="74"/>
        <v>0.85123648545421937</v>
      </c>
      <c r="HO6" s="108">
        <v>3547.71</v>
      </c>
      <c r="HP6" s="108">
        <v>5286.2</v>
      </c>
      <c r="HQ6" s="253">
        <f t="shared" si="75"/>
        <v>1.4900315978476255</v>
      </c>
      <c r="HR6" s="108">
        <v>5449.26</v>
      </c>
      <c r="HS6" s="108">
        <v>5552.82</v>
      </c>
      <c r="HT6" s="253">
        <f t="shared" si="76"/>
        <v>1.0190044152784046</v>
      </c>
      <c r="HU6" s="108">
        <v>4628.83</v>
      </c>
      <c r="HV6" s="108">
        <v>7955.36</v>
      </c>
      <c r="HW6" s="253">
        <f t="shared" si="77"/>
        <v>1.7186546060235524</v>
      </c>
      <c r="HX6" s="108">
        <v>11283.2</v>
      </c>
      <c r="HY6" s="108">
        <v>12667.34</v>
      </c>
      <c r="HZ6" s="253">
        <f t="shared" si="78"/>
        <v>1.1226726460578558</v>
      </c>
      <c r="IA6" s="108">
        <v>8098.64</v>
      </c>
      <c r="IB6" s="108">
        <v>6672.57</v>
      </c>
      <c r="IC6" s="253">
        <f t="shared" si="79"/>
        <v>0.82391240998488624</v>
      </c>
      <c r="ID6" s="353"/>
      <c r="IE6" s="353"/>
      <c r="IF6" s="353"/>
      <c r="IG6" s="353"/>
      <c r="IH6" s="353"/>
      <c r="II6" s="353"/>
      <c r="IJ6" s="353"/>
      <c r="IK6" s="353"/>
      <c r="IL6" s="353"/>
      <c r="IM6" s="353"/>
      <c r="IN6" s="353"/>
      <c r="IO6" s="353"/>
      <c r="IP6" s="353"/>
      <c r="IQ6" s="311">
        <f t="shared" si="80"/>
        <v>156427.31999999998</v>
      </c>
      <c r="IR6" s="311">
        <f t="shared" si="81"/>
        <v>132236.29</v>
      </c>
      <c r="IS6" s="310">
        <f t="shared" si="5"/>
        <v>-24191.02999999997</v>
      </c>
      <c r="IT6" s="313">
        <f t="shared" si="6"/>
        <v>0.84535290894199322</v>
      </c>
      <c r="IU6" s="317">
        <f t="shared" si="82"/>
        <v>46828.34</v>
      </c>
      <c r="IV6" s="317">
        <f t="shared" si="83"/>
        <v>50014.369999999995</v>
      </c>
      <c r="IW6" s="316">
        <f t="shared" si="84"/>
        <v>3186.0299999999988</v>
      </c>
      <c r="IX6" s="320">
        <f t="shared" si="85"/>
        <v>1.0680363643041799</v>
      </c>
      <c r="IZ6" s="244"/>
      <c r="JA6" s="402"/>
      <c r="JB6" s="1495"/>
    </row>
    <row r="7" spans="3:262">
      <c r="C7" s="257" t="s">
        <v>12</v>
      </c>
      <c r="D7" s="108">
        <v>9188.64</v>
      </c>
      <c r="E7" s="108">
        <v>5509.78</v>
      </c>
      <c r="F7" s="243">
        <f t="shared" si="7"/>
        <v>0.59962954256560275</v>
      </c>
      <c r="G7" s="108">
        <v>9204.48</v>
      </c>
      <c r="H7" s="108">
        <v>6222.2</v>
      </c>
      <c r="I7" s="243">
        <f t="shared" si="8"/>
        <v>0.67599690585454042</v>
      </c>
      <c r="J7" s="108">
        <v>12320.61</v>
      </c>
      <c r="K7" s="108">
        <v>4300.3100000000004</v>
      </c>
      <c r="L7" s="243">
        <f t="shared" si="9"/>
        <v>0.34903385465492376</v>
      </c>
      <c r="M7" s="108">
        <v>7025.2</v>
      </c>
      <c r="N7" s="108">
        <v>7107.03</v>
      </c>
      <c r="O7" s="243">
        <f t="shared" si="10"/>
        <v>1.0116480669589478</v>
      </c>
      <c r="P7" s="108">
        <v>7858.19</v>
      </c>
      <c r="Q7" s="108">
        <v>4469.1099999999997</v>
      </c>
      <c r="R7" s="243">
        <f t="shared" si="11"/>
        <v>0.56872002331325655</v>
      </c>
      <c r="S7" s="108">
        <v>7133.91</v>
      </c>
      <c r="T7" s="108">
        <v>3671.67</v>
      </c>
      <c r="U7" s="243">
        <f t="shared" si="12"/>
        <v>0.51467848627190416</v>
      </c>
      <c r="V7" s="108">
        <v>9506.7199999999993</v>
      </c>
      <c r="W7" s="108">
        <v>5491.45</v>
      </c>
      <c r="X7" s="243">
        <f t="shared" si="13"/>
        <v>0.57763876499991584</v>
      </c>
      <c r="Y7" s="108">
        <v>6221.87</v>
      </c>
      <c r="Z7" s="108">
        <v>4387.51</v>
      </c>
      <c r="AA7" s="243">
        <f t="shared" si="14"/>
        <v>0.70517545368193169</v>
      </c>
      <c r="AB7" s="108">
        <v>10519.41</v>
      </c>
      <c r="AC7" s="108">
        <v>4166.83</v>
      </c>
      <c r="AD7" s="243">
        <f t="shared" si="15"/>
        <v>0.39610871712386914</v>
      </c>
      <c r="AE7" s="108">
        <v>7996.48</v>
      </c>
      <c r="AF7" s="108">
        <v>3097.85</v>
      </c>
      <c r="AG7" s="243">
        <f t="shared" si="16"/>
        <v>0.38740170675097041</v>
      </c>
      <c r="AH7" s="108">
        <v>6784.55</v>
      </c>
      <c r="AI7" s="108">
        <v>3385.71</v>
      </c>
      <c r="AJ7" s="243">
        <f t="shared" si="17"/>
        <v>0.49903236028918646</v>
      </c>
      <c r="AK7" s="108">
        <v>6916.33</v>
      </c>
      <c r="AL7" s="108">
        <v>4535.3900000000003</v>
      </c>
      <c r="AM7" s="243">
        <f t="shared" si="18"/>
        <v>0.65575095462477939</v>
      </c>
      <c r="AN7" s="108">
        <v>10677.78</v>
      </c>
      <c r="AO7" s="108">
        <v>4794.4399999999996</v>
      </c>
      <c r="AP7" s="253">
        <f t="shared" si="19"/>
        <v>0.44901093673029407</v>
      </c>
      <c r="AQ7" s="108">
        <v>10352.43</v>
      </c>
      <c r="AR7" s="108">
        <v>6088.26</v>
      </c>
      <c r="AS7" s="253">
        <f t="shared" si="20"/>
        <v>0.58809960559984464</v>
      </c>
      <c r="AT7" s="108">
        <v>8416.41</v>
      </c>
      <c r="AU7" s="108">
        <v>3920.1</v>
      </c>
      <c r="AV7" s="253">
        <f t="shared" si="21"/>
        <v>0.46576865908386117</v>
      </c>
      <c r="AW7" s="108">
        <v>7821.47</v>
      </c>
      <c r="AX7" s="108">
        <v>4640.28</v>
      </c>
      <c r="AY7" s="253">
        <f t="shared" si="22"/>
        <v>0.59327466575976118</v>
      </c>
      <c r="AZ7" s="108">
        <v>6260.44</v>
      </c>
      <c r="BA7" s="108">
        <v>4875.01</v>
      </c>
      <c r="BB7" s="253">
        <f t="shared" si="23"/>
        <v>0.77870085808665213</v>
      </c>
      <c r="BC7" s="108">
        <v>6148.56</v>
      </c>
      <c r="BD7" s="108">
        <v>2896.36</v>
      </c>
      <c r="BE7" s="253">
        <f t="shared" si="24"/>
        <v>0.47106314324004317</v>
      </c>
      <c r="BF7" s="108">
        <v>5395.96</v>
      </c>
      <c r="BG7" s="108">
        <v>3677.23</v>
      </c>
      <c r="BH7" s="253">
        <f t="shared" si="25"/>
        <v>0.68147836529551742</v>
      </c>
      <c r="BI7" s="108">
        <v>8894.81</v>
      </c>
      <c r="BJ7" s="108">
        <v>5419.14</v>
      </c>
      <c r="BK7" s="253">
        <f t="shared" si="26"/>
        <v>0.60924741506563951</v>
      </c>
      <c r="BL7" s="108">
        <v>11794.34</v>
      </c>
      <c r="BM7" s="108">
        <v>5348.22</v>
      </c>
      <c r="BN7" s="253">
        <f t="shared" si="27"/>
        <v>0.4534564884512402</v>
      </c>
      <c r="BO7" s="108">
        <v>6356.32</v>
      </c>
      <c r="BP7" s="108">
        <v>5793.31</v>
      </c>
      <c r="BQ7" s="253">
        <f t="shared" si="28"/>
        <v>0.91142516424597886</v>
      </c>
      <c r="BR7" s="108">
        <v>6588.77</v>
      </c>
      <c r="BS7" s="108">
        <v>3000.36</v>
      </c>
      <c r="BT7" s="253">
        <f t="shared" si="29"/>
        <v>0.455374827168045</v>
      </c>
      <c r="BU7" s="108">
        <v>6848.32</v>
      </c>
      <c r="BV7" s="108">
        <v>5498.79</v>
      </c>
      <c r="BW7" s="253">
        <f t="shared" si="30"/>
        <v>0.80293999112191017</v>
      </c>
      <c r="BX7" s="108">
        <v>6151.89</v>
      </c>
      <c r="BY7" s="108">
        <v>3181.74</v>
      </c>
      <c r="BZ7" s="253">
        <f t="shared" si="31"/>
        <v>0.51719715404534206</v>
      </c>
      <c r="CA7" s="88">
        <v>4159.3500000000004</v>
      </c>
      <c r="CB7" s="108">
        <v>4669.45</v>
      </c>
      <c r="CC7" s="253">
        <f t="shared" si="32"/>
        <v>1.1226393547068652</v>
      </c>
      <c r="CD7" s="108">
        <v>11885.7</v>
      </c>
      <c r="CE7" s="108">
        <v>5624.48</v>
      </c>
      <c r="CF7" s="253">
        <f t="shared" si="33"/>
        <v>0.47321403030532483</v>
      </c>
      <c r="CG7" s="108">
        <v>14258.5</v>
      </c>
      <c r="CH7" s="108">
        <v>9575.0499999999993</v>
      </c>
      <c r="CI7" s="253">
        <f t="shared" si="34"/>
        <v>0.67153276992671029</v>
      </c>
      <c r="CJ7" s="108">
        <v>6423.4</v>
      </c>
      <c r="CK7" s="108">
        <v>6053.28</v>
      </c>
      <c r="CL7" s="253">
        <f t="shared" si="35"/>
        <v>0.94237942522651552</v>
      </c>
      <c r="CM7" s="108">
        <v>9999.3700000000008</v>
      </c>
      <c r="CN7" s="108">
        <v>4975.2</v>
      </c>
      <c r="CO7" s="253">
        <f t="shared" si="36"/>
        <v>0.49755134573478121</v>
      </c>
      <c r="CP7" s="108">
        <v>6975.43</v>
      </c>
      <c r="CQ7" s="108">
        <v>5381.67</v>
      </c>
      <c r="CR7" s="253">
        <f t="shared" si="37"/>
        <v>0.77151802827926019</v>
      </c>
      <c r="CS7" s="108">
        <v>6181.58</v>
      </c>
      <c r="CT7" s="108">
        <v>2570.62</v>
      </c>
      <c r="CU7" s="253">
        <f t="shared" si="38"/>
        <v>0.41585161075323784</v>
      </c>
      <c r="CV7" s="108">
        <v>8499.36</v>
      </c>
      <c r="CW7" s="108">
        <v>3899.78</v>
      </c>
      <c r="CX7" s="253">
        <f t="shared" si="39"/>
        <v>0.45883219442405077</v>
      </c>
      <c r="CY7" s="108">
        <v>5200.8500000000004</v>
      </c>
      <c r="CZ7" s="108">
        <v>7120.17</v>
      </c>
      <c r="DA7" s="253">
        <f t="shared" si="40"/>
        <v>1.3690396762067738</v>
      </c>
      <c r="DB7" s="108">
        <v>11973.74</v>
      </c>
      <c r="DC7" s="108">
        <v>7119.04</v>
      </c>
      <c r="DD7" s="253">
        <f t="shared" si="41"/>
        <v>0.59455441658161945</v>
      </c>
      <c r="DE7" s="108">
        <v>5733.32</v>
      </c>
      <c r="DF7" s="108">
        <v>3121.19</v>
      </c>
      <c r="DG7" s="253">
        <f t="shared" si="42"/>
        <v>0.54439487068574577</v>
      </c>
      <c r="DH7" s="108">
        <v>7419.8</v>
      </c>
      <c r="DI7" s="108">
        <v>3933.45</v>
      </c>
      <c r="DJ7" s="253">
        <f t="shared" si="43"/>
        <v>0.53012884444324637</v>
      </c>
      <c r="DK7" s="108">
        <v>6501.41</v>
      </c>
      <c r="DL7" s="108">
        <v>3761.18</v>
      </c>
      <c r="DM7" s="253">
        <f t="shared" si="0"/>
        <v>0.57851758310889478</v>
      </c>
      <c r="DN7" s="108">
        <v>8925.02</v>
      </c>
      <c r="DO7" s="108">
        <v>5211.75</v>
      </c>
      <c r="DP7" s="253">
        <f t="shared" si="1"/>
        <v>0.58394827126437809</v>
      </c>
      <c r="DQ7" s="108">
        <v>16470.98</v>
      </c>
      <c r="DR7" s="108">
        <v>5103.9799999999996</v>
      </c>
      <c r="DS7" s="253">
        <f t="shared" si="2"/>
        <v>0.30987712935113754</v>
      </c>
      <c r="DT7" s="108">
        <v>17213.98</v>
      </c>
      <c r="DU7" s="108">
        <v>5678.89</v>
      </c>
      <c r="DV7" s="253">
        <f t="shared" si="3"/>
        <v>0.32989988369917944</v>
      </c>
      <c r="DW7" s="108">
        <v>10983.88</v>
      </c>
      <c r="DX7" s="108">
        <v>9547.4599999999991</v>
      </c>
      <c r="DY7" s="253">
        <f t="shared" si="4"/>
        <v>0.86922471840551785</v>
      </c>
      <c r="DZ7" s="108">
        <v>8379.56</v>
      </c>
      <c r="EA7" s="108">
        <v>6312.63</v>
      </c>
      <c r="EB7" s="253">
        <f t="shared" si="44"/>
        <v>0.75333669070929743</v>
      </c>
      <c r="EC7" s="108">
        <v>8988.43</v>
      </c>
      <c r="EE7" s="253">
        <f t="shared" si="45"/>
        <v>0</v>
      </c>
      <c r="EF7" s="108">
        <v>5083.18</v>
      </c>
      <c r="EG7" s="108">
        <v>5552.36</v>
      </c>
      <c r="EH7" s="253">
        <f t="shared" si="46"/>
        <v>1.0923004890639323</v>
      </c>
      <c r="EI7" s="108">
        <v>5224.78</v>
      </c>
      <c r="EJ7" s="108">
        <v>3601.62</v>
      </c>
      <c r="EK7" s="253">
        <f t="shared" si="47"/>
        <v>0.68933428775948458</v>
      </c>
      <c r="EL7" s="108">
        <v>7087.51</v>
      </c>
      <c r="EM7" s="108">
        <v>4086.82</v>
      </c>
      <c r="EN7" s="253">
        <f t="shared" si="48"/>
        <v>0.576622819579796</v>
      </c>
      <c r="EO7" s="108">
        <v>5229.71</v>
      </c>
      <c r="EP7" s="108">
        <v>4875.01</v>
      </c>
      <c r="EQ7" s="253">
        <f t="shared" si="49"/>
        <v>0.93217597151658504</v>
      </c>
      <c r="ER7" s="108">
        <v>9429.68</v>
      </c>
      <c r="ES7" s="108">
        <v>2896.36</v>
      </c>
      <c r="ET7" s="253">
        <f t="shared" si="50"/>
        <v>0.3071535831544655</v>
      </c>
      <c r="EU7" s="108">
        <v>4613.8599999999997</v>
      </c>
      <c r="EV7" s="108">
        <v>2728.15</v>
      </c>
      <c r="EW7" s="253">
        <f t="shared" si="51"/>
        <v>0.59129449094684283</v>
      </c>
      <c r="EX7" s="108">
        <v>3990.91</v>
      </c>
      <c r="EY7" s="108">
        <v>2674.43</v>
      </c>
      <c r="EZ7" s="253">
        <f t="shared" si="52"/>
        <v>0.67013037126870811</v>
      </c>
      <c r="FA7" s="108">
        <v>5444.45</v>
      </c>
      <c r="FB7" s="108">
        <v>3784.28</v>
      </c>
      <c r="FC7" s="253">
        <f t="shared" si="53"/>
        <v>0.69507112747844146</v>
      </c>
      <c r="FD7" s="108">
        <v>4193.49</v>
      </c>
      <c r="FE7" s="108">
        <v>1947.63</v>
      </c>
      <c r="FF7" s="253">
        <f t="shared" si="54"/>
        <v>0.46444131260596788</v>
      </c>
      <c r="FG7" s="108">
        <v>5483.84</v>
      </c>
      <c r="FH7" s="108">
        <v>2689.52</v>
      </c>
      <c r="FI7" s="253">
        <f t="shared" si="55"/>
        <v>0.49044465192274023</v>
      </c>
      <c r="FJ7" s="108">
        <v>8361.69</v>
      </c>
      <c r="FK7" s="108">
        <v>3838.94</v>
      </c>
      <c r="FL7" s="253">
        <f t="shared" si="56"/>
        <v>0.45911053865905094</v>
      </c>
      <c r="FM7" s="108">
        <v>10498.29</v>
      </c>
      <c r="FN7" s="108">
        <v>8935.9</v>
      </c>
      <c r="FO7" s="253">
        <f t="shared" si="57"/>
        <v>0.85117671544603923</v>
      </c>
      <c r="FP7" s="108">
        <v>4332.75</v>
      </c>
      <c r="FQ7" s="108">
        <v>5479.44</v>
      </c>
      <c r="FR7" s="253">
        <f t="shared" si="58"/>
        <v>1.2646563960533148</v>
      </c>
      <c r="FS7" s="108">
        <v>5552.52</v>
      </c>
      <c r="FT7" s="108">
        <v>4183.96</v>
      </c>
      <c r="FU7" s="253">
        <f t="shared" si="59"/>
        <v>0.75352452580089757</v>
      </c>
      <c r="FV7" s="108">
        <v>4227.97</v>
      </c>
      <c r="FW7" s="108">
        <v>3114.69</v>
      </c>
      <c r="FX7" s="253">
        <f t="shared" si="60"/>
        <v>0.73668687336948935</v>
      </c>
      <c r="FY7" s="108">
        <v>9870.83</v>
      </c>
      <c r="FZ7" s="108">
        <v>4316.2</v>
      </c>
      <c r="GA7" s="253">
        <f t="shared" si="61"/>
        <v>0.43726819325223915</v>
      </c>
      <c r="GB7" s="108">
        <v>5140.04</v>
      </c>
      <c r="GC7" s="108">
        <v>3646.44</v>
      </c>
      <c r="GD7" s="253">
        <f t="shared" si="62"/>
        <v>0.70941860374627441</v>
      </c>
      <c r="GE7" s="108">
        <v>4995.17</v>
      </c>
      <c r="GF7" s="108">
        <v>3342.93</v>
      </c>
      <c r="GG7" s="253">
        <f t="shared" si="63"/>
        <v>0.66923247857430268</v>
      </c>
      <c r="GH7" s="108">
        <v>8917.02</v>
      </c>
      <c r="GI7" s="108">
        <v>7381.99</v>
      </c>
      <c r="GJ7" s="253">
        <f t="shared" si="64"/>
        <v>0.82785392429309335</v>
      </c>
      <c r="GK7" s="108">
        <v>5667.56</v>
      </c>
      <c r="GL7" s="108">
        <v>3524.45</v>
      </c>
      <c r="GM7" s="253">
        <f t="shared" si="65"/>
        <v>0.62186372971790327</v>
      </c>
      <c r="GN7" s="108">
        <v>5324.29</v>
      </c>
      <c r="GO7" s="108">
        <v>4002.9</v>
      </c>
      <c r="GP7" s="253">
        <f t="shared" si="66"/>
        <v>0.75181855233279937</v>
      </c>
      <c r="GQ7" s="108">
        <v>7625.99</v>
      </c>
      <c r="GR7" s="108">
        <v>3858.39</v>
      </c>
      <c r="GS7" s="253">
        <f t="shared" si="67"/>
        <v>0.50595266975173059</v>
      </c>
      <c r="GT7" s="108">
        <v>4410.51</v>
      </c>
      <c r="GU7" s="108">
        <v>2302.48</v>
      </c>
      <c r="GV7" s="253">
        <f t="shared" si="68"/>
        <v>0.52204393596205423</v>
      </c>
      <c r="GW7" s="108">
        <v>5629.88</v>
      </c>
      <c r="GX7" s="108">
        <v>3285.04</v>
      </c>
      <c r="GY7" s="253">
        <f t="shared" si="69"/>
        <v>0.58350089167087038</v>
      </c>
      <c r="GZ7" s="108">
        <v>5629.88</v>
      </c>
      <c r="HA7" s="108">
        <v>6743.03</v>
      </c>
      <c r="HB7" s="253">
        <f t="shared" si="70"/>
        <v>1.1977217986884268</v>
      </c>
      <c r="HC7" s="108">
        <v>14264.58</v>
      </c>
      <c r="HD7" s="108">
        <v>6507.9</v>
      </c>
      <c r="HE7" s="253">
        <f t="shared" si="71"/>
        <v>0.45622794361979108</v>
      </c>
      <c r="HF7" s="108">
        <v>6648.16</v>
      </c>
      <c r="HG7" s="108">
        <v>5232.41</v>
      </c>
      <c r="HH7" s="253">
        <f t="shared" si="72"/>
        <v>0.78704634064162116</v>
      </c>
      <c r="HI7" s="108">
        <v>6893.65</v>
      </c>
      <c r="HJ7" s="108">
        <v>3780.68</v>
      </c>
      <c r="HK7" s="253">
        <f t="shared" si="73"/>
        <v>0.54842935164970663</v>
      </c>
      <c r="HL7" s="108">
        <v>6545.54</v>
      </c>
      <c r="HM7" s="108">
        <v>2678.29</v>
      </c>
      <c r="HN7" s="253">
        <f t="shared" si="74"/>
        <v>0.40917785240026033</v>
      </c>
      <c r="HO7" s="108">
        <v>8487.3799999999992</v>
      </c>
      <c r="HP7" s="108">
        <v>3276.8</v>
      </c>
      <c r="HQ7" s="253">
        <f t="shared" si="75"/>
        <v>0.3860790962582093</v>
      </c>
      <c r="HR7" s="108">
        <v>6569.65</v>
      </c>
      <c r="HS7" s="108">
        <v>2403.02</v>
      </c>
      <c r="HT7" s="253">
        <f t="shared" si="76"/>
        <v>0.36577595457901108</v>
      </c>
      <c r="HU7" s="108">
        <v>4876.91</v>
      </c>
      <c r="HV7" s="108">
        <v>5045.8599999999997</v>
      </c>
      <c r="HW7" s="253">
        <f t="shared" si="77"/>
        <v>1.034642837370384</v>
      </c>
      <c r="HX7" s="108">
        <v>6805</v>
      </c>
      <c r="HY7" s="108">
        <v>6450.29</v>
      </c>
      <c r="HZ7" s="253">
        <f t="shared" si="78"/>
        <v>0.94787509184423213</v>
      </c>
      <c r="IA7" s="108">
        <v>6562.36</v>
      </c>
      <c r="IB7" s="108">
        <v>4272.51</v>
      </c>
      <c r="IC7" s="253">
        <f t="shared" si="79"/>
        <v>0.65106303220182993</v>
      </c>
      <c r="ID7" s="353"/>
      <c r="IE7" s="353"/>
      <c r="IF7" s="353"/>
      <c r="IG7" s="353"/>
      <c r="IH7" s="353"/>
      <c r="II7" s="353"/>
      <c r="IJ7" s="353"/>
      <c r="IK7" s="353"/>
      <c r="IL7" s="353"/>
      <c r="IM7" s="353"/>
      <c r="IN7" s="353"/>
      <c r="IO7" s="353"/>
      <c r="IP7" s="353"/>
      <c r="IQ7" s="311">
        <f t="shared" si="80"/>
        <v>138415.28</v>
      </c>
      <c r="IR7" s="311">
        <f t="shared" si="81"/>
        <v>90557.189999999988</v>
      </c>
      <c r="IS7" s="310">
        <f t="shared" si="5"/>
        <v>-47858.090000000011</v>
      </c>
      <c r="IT7" s="313">
        <f t="shared" si="6"/>
        <v>0.65424272522513405</v>
      </c>
      <c r="IU7" s="317">
        <f t="shared" si="82"/>
        <v>46826.289999999994</v>
      </c>
      <c r="IV7" s="317">
        <f t="shared" si="83"/>
        <v>28867.350000000002</v>
      </c>
      <c r="IW7" s="316">
        <f t="shared" si="84"/>
        <v>-17958.939999999991</v>
      </c>
      <c r="IX7" s="320">
        <f t="shared" si="85"/>
        <v>0.61647741044614057</v>
      </c>
      <c r="IZ7" s="244"/>
      <c r="JA7" s="402"/>
      <c r="JB7" s="1495"/>
    </row>
    <row r="8" spans="3:262">
      <c r="C8" s="257" t="s">
        <v>13</v>
      </c>
      <c r="D8" s="108">
        <v>5964.51</v>
      </c>
      <c r="E8" s="108">
        <v>4748.38</v>
      </c>
      <c r="F8" s="243">
        <f t="shared" si="7"/>
        <v>0.7961056314768522</v>
      </c>
      <c r="G8" s="108">
        <v>12889.41</v>
      </c>
      <c r="H8" s="108">
        <v>6350.1</v>
      </c>
      <c r="I8" s="243">
        <f t="shared" si="8"/>
        <v>0.49266025365008953</v>
      </c>
      <c r="J8" s="108">
        <v>8345.01</v>
      </c>
      <c r="K8" s="108">
        <v>5476.54</v>
      </c>
      <c r="L8" s="243">
        <f t="shared" si="9"/>
        <v>0.65626524114410889</v>
      </c>
      <c r="M8" s="108">
        <v>5936.52</v>
      </c>
      <c r="N8" s="108">
        <v>5984.72</v>
      </c>
      <c r="O8" s="243">
        <f t="shared" si="10"/>
        <v>1.0081192348379184</v>
      </c>
      <c r="P8" s="108">
        <v>6301.01</v>
      </c>
      <c r="Q8" s="108">
        <v>4049.57</v>
      </c>
      <c r="R8" s="243">
        <f t="shared" si="11"/>
        <v>0.64268585512481335</v>
      </c>
      <c r="S8" s="108">
        <v>7851.38</v>
      </c>
      <c r="T8" s="108">
        <v>5610.21</v>
      </c>
      <c r="U8" s="243">
        <f t="shared" si="12"/>
        <v>0.71455081781801411</v>
      </c>
      <c r="V8" s="108">
        <v>13584.7</v>
      </c>
      <c r="W8" s="108">
        <v>13693.51</v>
      </c>
      <c r="X8" s="243">
        <f t="shared" si="13"/>
        <v>1.0080097462586586</v>
      </c>
      <c r="Y8" s="108">
        <v>6218.18</v>
      </c>
      <c r="Z8" s="108">
        <v>3726.42</v>
      </c>
      <c r="AA8" s="243">
        <f t="shared" si="14"/>
        <v>0.59927824540299568</v>
      </c>
      <c r="AB8" s="108">
        <v>8255.26</v>
      </c>
      <c r="AC8" s="108">
        <v>4332.58</v>
      </c>
      <c r="AD8" s="243">
        <f t="shared" si="15"/>
        <v>0.52482659540704957</v>
      </c>
      <c r="AE8" s="108">
        <v>10182.11</v>
      </c>
      <c r="AF8" s="108">
        <v>5977.42</v>
      </c>
      <c r="AG8" s="243">
        <f t="shared" si="16"/>
        <v>0.58705121040727315</v>
      </c>
      <c r="AH8" s="108">
        <v>7088.58</v>
      </c>
      <c r="AI8" s="108">
        <v>5136.33</v>
      </c>
      <c r="AJ8" s="243">
        <f t="shared" si="17"/>
        <v>0.72459223144832952</v>
      </c>
      <c r="AK8" s="108">
        <v>8041.81</v>
      </c>
      <c r="AL8" s="108">
        <v>6091.31</v>
      </c>
      <c r="AM8" s="243">
        <f t="shared" si="18"/>
        <v>0.75745510028215046</v>
      </c>
      <c r="AN8" s="108">
        <v>8370.7999999999993</v>
      </c>
      <c r="AO8" s="108">
        <v>6691.12</v>
      </c>
      <c r="AP8" s="253">
        <f t="shared" si="19"/>
        <v>0.79934056482056681</v>
      </c>
      <c r="AQ8" s="108">
        <v>15375.17</v>
      </c>
      <c r="AR8" s="108">
        <v>14161.66</v>
      </c>
      <c r="AS8" s="253">
        <f t="shared" si="20"/>
        <v>0.92107339300963831</v>
      </c>
      <c r="AT8" s="108">
        <v>5553.9</v>
      </c>
      <c r="AU8" s="108">
        <v>2712.81</v>
      </c>
      <c r="AV8" s="253">
        <f t="shared" si="21"/>
        <v>0.48845135850483445</v>
      </c>
      <c r="AW8" s="108">
        <v>7598.65</v>
      </c>
      <c r="AX8" s="108">
        <v>6508.93</v>
      </c>
      <c r="AY8" s="253">
        <f t="shared" si="22"/>
        <v>0.85659031538496977</v>
      </c>
      <c r="AZ8" s="108">
        <v>7887.2</v>
      </c>
      <c r="BA8" s="108">
        <v>3974.64</v>
      </c>
      <c r="BB8" s="253">
        <f t="shared" si="23"/>
        <v>0.50393549041484942</v>
      </c>
      <c r="BC8" s="108">
        <v>5441.51</v>
      </c>
      <c r="BD8" s="108">
        <v>1978.27</v>
      </c>
      <c r="BE8" s="253">
        <f t="shared" si="24"/>
        <v>0.36355166121168569</v>
      </c>
      <c r="BF8" s="108">
        <v>6817.01</v>
      </c>
      <c r="BG8" s="108">
        <v>5112.04</v>
      </c>
      <c r="BH8" s="253">
        <f t="shared" si="25"/>
        <v>0.74989474857745553</v>
      </c>
      <c r="BI8" s="108">
        <v>9108.17</v>
      </c>
      <c r="BJ8" s="108">
        <v>4614.3599999999997</v>
      </c>
      <c r="BK8" s="253">
        <f t="shared" si="26"/>
        <v>0.50661768500148763</v>
      </c>
      <c r="BL8" s="108">
        <v>16697.14</v>
      </c>
      <c r="BM8" s="108">
        <v>9042.31</v>
      </c>
      <c r="BN8" s="253">
        <f t="shared" si="27"/>
        <v>0.54154843284538545</v>
      </c>
      <c r="BO8" s="108">
        <v>7402.28</v>
      </c>
      <c r="BP8" s="108">
        <v>2752.98</v>
      </c>
      <c r="BQ8" s="253">
        <f t="shared" si="28"/>
        <v>0.37190973591920329</v>
      </c>
      <c r="BR8" s="108">
        <v>6250.72</v>
      </c>
      <c r="BS8" s="108">
        <v>4472.07</v>
      </c>
      <c r="BT8" s="253">
        <f t="shared" si="29"/>
        <v>0.71544878030050929</v>
      </c>
      <c r="BU8" s="108">
        <v>7539.78</v>
      </c>
      <c r="BV8" s="108">
        <v>3700.97</v>
      </c>
      <c r="BW8" s="253">
        <f t="shared" si="30"/>
        <v>0.49085914973646444</v>
      </c>
      <c r="BX8" s="108">
        <v>6238.96</v>
      </c>
      <c r="BY8" s="108">
        <v>5285.22</v>
      </c>
      <c r="BZ8" s="253">
        <f t="shared" si="31"/>
        <v>0.84713157321091981</v>
      </c>
      <c r="CA8" s="88">
        <v>4526.0600000000004</v>
      </c>
      <c r="CB8" s="108">
        <v>5113.26</v>
      </c>
      <c r="CC8" s="253">
        <f t="shared" si="32"/>
        <v>1.1297375642390952</v>
      </c>
      <c r="CD8" s="108">
        <v>8256.15</v>
      </c>
      <c r="CE8" s="108">
        <v>7017.69</v>
      </c>
      <c r="CF8" s="253">
        <f t="shared" si="33"/>
        <v>0.84999545793136022</v>
      </c>
      <c r="CG8" s="108">
        <v>15587.34</v>
      </c>
      <c r="CH8" s="108">
        <v>12921.91</v>
      </c>
      <c r="CI8" s="253">
        <f t="shared" si="34"/>
        <v>0.82900032975478821</v>
      </c>
      <c r="CJ8" s="108">
        <v>4399.68</v>
      </c>
      <c r="CK8" s="108">
        <v>4122.3999999999996</v>
      </c>
      <c r="CL8" s="253">
        <f t="shared" si="35"/>
        <v>0.93697723470797867</v>
      </c>
      <c r="CM8" s="108">
        <v>9024.2199999999993</v>
      </c>
      <c r="CN8" s="108">
        <v>6141.98</v>
      </c>
      <c r="CO8" s="253">
        <f t="shared" si="36"/>
        <v>0.68061062341122003</v>
      </c>
      <c r="CP8" s="108">
        <v>8060.5</v>
      </c>
      <c r="CQ8" s="108">
        <v>4801.16</v>
      </c>
      <c r="CR8" s="253">
        <f t="shared" si="37"/>
        <v>0.59564046895353884</v>
      </c>
      <c r="CS8" s="108">
        <v>5540.83</v>
      </c>
      <c r="CT8" s="108">
        <v>5617.35</v>
      </c>
      <c r="CU8" s="253">
        <f t="shared" si="38"/>
        <v>1.0138102053302485</v>
      </c>
      <c r="CV8" s="108">
        <v>6622.59</v>
      </c>
      <c r="CW8" s="108">
        <v>4296.4799999999996</v>
      </c>
      <c r="CX8" s="253">
        <f t="shared" si="39"/>
        <v>0.64876128523734666</v>
      </c>
      <c r="CY8" s="108">
        <v>9976.2199999999993</v>
      </c>
      <c r="CZ8" s="108">
        <v>5864.18</v>
      </c>
      <c r="DA8" s="253">
        <f t="shared" si="40"/>
        <v>0.58781582603430971</v>
      </c>
      <c r="DB8" s="108">
        <v>18140.25</v>
      </c>
      <c r="DC8" s="108">
        <v>10565.5</v>
      </c>
      <c r="DD8" s="253">
        <f t="shared" si="41"/>
        <v>0.58243408993812107</v>
      </c>
      <c r="DE8" s="108">
        <v>4276.6899999999996</v>
      </c>
      <c r="DF8" s="108">
        <v>3726.41</v>
      </c>
      <c r="DG8" s="253">
        <f t="shared" si="42"/>
        <v>0.87133039804147605</v>
      </c>
      <c r="DH8" s="108">
        <v>8394.93</v>
      </c>
      <c r="DI8" s="108">
        <v>5577.33</v>
      </c>
      <c r="DJ8" s="253">
        <f t="shared" si="43"/>
        <v>0.66436885119947398</v>
      </c>
      <c r="DK8" s="108">
        <v>9336.66</v>
      </c>
      <c r="DL8" s="108">
        <v>4701.33</v>
      </c>
      <c r="DM8" s="253">
        <f t="shared" si="0"/>
        <v>0.50353445450514422</v>
      </c>
      <c r="DN8" s="108">
        <v>7827.8</v>
      </c>
      <c r="DO8" s="108">
        <v>4644.6899999999996</v>
      </c>
      <c r="DP8" s="253">
        <f t="shared" si="1"/>
        <v>0.59335828713048355</v>
      </c>
      <c r="DQ8" s="108">
        <v>21923.47</v>
      </c>
      <c r="DR8" s="108">
        <v>6836.62</v>
      </c>
      <c r="DS8" s="253">
        <f t="shared" si="2"/>
        <v>0.31184023332072885</v>
      </c>
      <c r="DT8" s="108">
        <v>22969.34</v>
      </c>
      <c r="DU8" s="108">
        <v>10921.45</v>
      </c>
      <c r="DV8" s="253">
        <f t="shared" si="3"/>
        <v>0.47547948700310938</v>
      </c>
      <c r="DW8" s="108">
        <v>13886.24</v>
      </c>
      <c r="DX8" s="108">
        <v>14253.56</v>
      </c>
      <c r="DY8" s="253">
        <f t="shared" si="4"/>
        <v>1.0264520849416401</v>
      </c>
      <c r="DZ8" s="108">
        <v>7540.02</v>
      </c>
      <c r="EA8" s="108">
        <v>6505.53</v>
      </c>
      <c r="EB8" s="253">
        <f t="shared" si="44"/>
        <v>0.86280009867347829</v>
      </c>
      <c r="EC8" s="108">
        <v>7111.5</v>
      </c>
      <c r="EE8" s="253">
        <f t="shared" si="45"/>
        <v>0</v>
      </c>
      <c r="EF8" s="108">
        <v>6372.05</v>
      </c>
      <c r="EG8" s="108">
        <v>9632.82</v>
      </c>
      <c r="EH8" s="253">
        <f t="shared" si="46"/>
        <v>1.511730133944335</v>
      </c>
      <c r="EI8" s="108">
        <v>4587.05</v>
      </c>
      <c r="EJ8" s="108">
        <v>2851.59</v>
      </c>
      <c r="EK8" s="253">
        <f t="shared" si="47"/>
        <v>0.62166098036864648</v>
      </c>
      <c r="EL8" s="108">
        <v>7703.99</v>
      </c>
      <c r="EM8" s="108">
        <v>3694.51</v>
      </c>
      <c r="EN8" s="253">
        <f t="shared" si="48"/>
        <v>0.47955799527257958</v>
      </c>
      <c r="EO8" s="108">
        <v>9413.67</v>
      </c>
      <c r="EP8" s="108">
        <v>3974.64</v>
      </c>
      <c r="EQ8" s="253">
        <f t="shared" si="49"/>
        <v>0.42222002683331794</v>
      </c>
      <c r="ER8" s="108">
        <v>13921.23</v>
      </c>
      <c r="ES8" s="108">
        <v>1978.27</v>
      </c>
      <c r="ET8" s="253">
        <f t="shared" si="50"/>
        <v>0.14210454104989287</v>
      </c>
      <c r="EU8" s="108">
        <v>4933.84</v>
      </c>
      <c r="EV8" s="108">
        <v>6870.59</v>
      </c>
      <c r="EW8" s="253">
        <f t="shared" si="51"/>
        <v>1.3925441441149287</v>
      </c>
      <c r="EX8" s="108">
        <v>5759.73</v>
      </c>
      <c r="EY8" s="108">
        <v>5112.04</v>
      </c>
      <c r="EZ8" s="253">
        <f t="shared" si="52"/>
        <v>0.88754854828264529</v>
      </c>
      <c r="FA8" s="108">
        <v>5782.04</v>
      </c>
      <c r="FB8" s="108">
        <v>4535.17</v>
      </c>
      <c r="FC8" s="253">
        <f t="shared" si="53"/>
        <v>0.78435465683392025</v>
      </c>
      <c r="FD8" s="108">
        <v>4209.38</v>
      </c>
      <c r="FE8" s="108">
        <v>3451.03</v>
      </c>
      <c r="FF8" s="253">
        <f t="shared" si="54"/>
        <v>0.81984282720970791</v>
      </c>
      <c r="FG8" s="108">
        <v>5786.29</v>
      </c>
      <c r="FH8" s="108">
        <v>5820.51</v>
      </c>
      <c r="FI8" s="253">
        <f t="shared" si="55"/>
        <v>1.0059139794237759</v>
      </c>
      <c r="FJ8" s="108">
        <v>8427.9</v>
      </c>
      <c r="FK8" s="108">
        <v>6225.67</v>
      </c>
      <c r="FL8" s="253">
        <f t="shared" si="56"/>
        <v>0.73869765896605322</v>
      </c>
      <c r="FM8" s="108">
        <v>11929.52</v>
      </c>
      <c r="FN8" s="108">
        <v>10698.16</v>
      </c>
      <c r="FO8" s="253">
        <f t="shared" si="57"/>
        <v>0.89678042368846356</v>
      </c>
      <c r="FP8" s="108">
        <v>6253.43</v>
      </c>
      <c r="FQ8" s="108">
        <v>5472.61</v>
      </c>
      <c r="FR8" s="253">
        <f t="shared" si="58"/>
        <v>0.8751373246362395</v>
      </c>
      <c r="FS8" s="108">
        <v>7474.83</v>
      </c>
      <c r="FT8" s="108">
        <v>5128.4399999999996</v>
      </c>
      <c r="FU8" s="253">
        <f t="shared" si="59"/>
        <v>0.68609453325359904</v>
      </c>
      <c r="FV8" s="108">
        <v>6126.45</v>
      </c>
      <c r="FW8" s="108">
        <v>5550.39</v>
      </c>
      <c r="FX8" s="253">
        <f t="shared" si="60"/>
        <v>0.90597164752834036</v>
      </c>
      <c r="FY8" s="108">
        <v>11142.23</v>
      </c>
      <c r="FZ8" s="108">
        <v>5149.99</v>
      </c>
      <c r="GA8" s="253">
        <f t="shared" si="61"/>
        <v>0.4622046035667905</v>
      </c>
      <c r="GB8" s="108">
        <v>8214.93</v>
      </c>
      <c r="GC8" s="108">
        <v>5836.41</v>
      </c>
      <c r="GD8" s="253">
        <f t="shared" si="62"/>
        <v>0.71046375319083666</v>
      </c>
      <c r="GE8" s="108">
        <v>9966.69</v>
      </c>
      <c r="GF8" s="108">
        <v>5853.73</v>
      </c>
      <c r="GG8" s="253">
        <f t="shared" si="63"/>
        <v>0.58732939421212049</v>
      </c>
      <c r="GH8" s="108">
        <v>13703.39</v>
      </c>
      <c r="GI8" s="108">
        <v>14078.02</v>
      </c>
      <c r="GJ8" s="253">
        <f t="shared" si="64"/>
        <v>1.0273384906946383</v>
      </c>
      <c r="GK8" s="108">
        <v>6488.79</v>
      </c>
      <c r="GL8" s="108">
        <v>6399.99</v>
      </c>
      <c r="GM8" s="253">
        <f t="shared" si="65"/>
        <v>0.98631485993536538</v>
      </c>
      <c r="GN8" s="108">
        <v>7424.87</v>
      </c>
      <c r="GO8" s="108">
        <v>6311.29</v>
      </c>
      <c r="GP8" s="253">
        <f t="shared" si="66"/>
        <v>0.85002026971515998</v>
      </c>
      <c r="GQ8" s="108">
        <v>5332.13</v>
      </c>
      <c r="GR8" s="108">
        <v>3815.58</v>
      </c>
      <c r="GS8" s="253">
        <f t="shared" si="67"/>
        <v>0.71558270334744278</v>
      </c>
      <c r="GT8" s="108">
        <v>5469.4</v>
      </c>
      <c r="GU8" s="108">
        <v>4524.74</v>
      </c>
      <c r="GV8" s="253">
        <f t="shared" si="68"/>
        <v>0.82728270011335792</v>
      </c>
      <c r="GW8" s="108">
        <v>7200.78</v>
      </c>
      <c r="GX8" s="108">
        <v>6619.69</v>
      </c>
      <c r="GY8" s="253">
        <f t="shared" si="69"/>
        <v>0.91930179786078725</v>
      </c>
      <c r="GZ8" s="108">
        <v>7200.78</v>
      </c>
      <c r="HA8" s="108">
        <v>9736.76</v>
      </c>
      <c r="HB8" s="253">
        <f t="shared" si="70"/>
        <v>1.3521812914712019</v>
      </c>
      <c r="HC8" s="108">
        <v>14722.44</v>
      </c>
      <c r="HD8" s="108">
        <v>14053.81</v>
      </c>
      <c r="HE8" s="253">
        <f t="shared" si="71"/>
        <v>0.95458429445119142</v>
      </c>
      <c r="HF8" s="108">
        <v>6395.31</v>
      </c>
      <c r="HG8" s="108">
        <v>5391.5</v>
      </c>
      <c r="HH8" s="253">
        <f t="shared" si="72"/>
        <v>0.84303966500451111</v>
      </c>
      <c r="HI8" s="108">
        <v>8340.11</v>
      </c>
      <c r="HJ8" s="108">
        <v>7910.47</v>
      </c>
      <c r="HK8" s="253">
        <f t="shared" si="73"/>
        <v>0.94848509192324792</v>
      </c>
      <c r="HL8" s="108">
        <v>4069.55</v>
      </c>
      <c r="HM8" s="108">
        <v>5441.11</v>
      </c>
      <c r="HN8" s="253">
        <f t="shared" si="74"/>
        <v>1.3370298927399833</v>
      </c>
      <c r="HO8" s="108">
        <v>4165.62</v>
      </c>
      <c r="HP8" s="108">
        <v>7828.78</v>
      </c>
      <c r="HQ8" s="253">
        <f t="shared" si="75"/>
        <v>1.8793793000801802</v>
      </c>
      <c r="HR8" s="108">
        <v>4739.42</v>
      </c>
      <c r="HS8" s="108">
        <v>9057.66</v>
      </c>
      <c r="HT8" s="253">
        <f t="shared" si="76"/>
        <v>1.9111325858438373</v>
      </c>
      <c r="HU8" s="108">
        <v>4065.36</v>
      </c>
      <c r="HV8" s="108">
        <v>7294.94</v>
      </c>
      <c r="HW8" s="253">
        <f t="shared" si="77"/>
        <v>1.7944142708148847</v>
      </c>
      <c r="HX8" s="108">
        <v>8552.27</v>
      </c>
      <c r="HY8" s="108">
        <v>14528.36</v>
      </c>
      <c r="HZ8" s="253">
        <f t="shared" si="78"/>
        <v>1.6987723727150803</v>
      </c>
      <c r="IA8" s="108">
        <v>4836.83</v>
      </c>
      <c r="IB8" s="108">
        <v>4579.6899999999996</v>
      </c>
      <c r="IC8" s="253">
        <f t="shared" si="79"/>
        <v>0.94683708131152011</v>
      </c>
      <c r="ID8" s="353"/>
      <c r="IE8" s="353"/>
      <c r="IF8" s="353"/>
      <c r="IG8" s="353"/>
      <c r="IH8" s="353"/>
      <c r="II8" s="353"/>
      <c r="IJ8" s="353"/>
      <c r="IK8" s="353"/>
      <c r="IL8" s="353"/>
      <c r="IM8" s="353"/>
      <c r="IN8" s="353"/>
      <c r="IO8" s="353"/>
      <c r="IP8" s="353"/>
      <c r="IQ8" s="311">
        <f t="shared" si="80"/>
        <v>157048.77999999997</v>
      </c>
      <c r="IR8" s="311">
        <f t="shared" si="81"/>
        <v>155984.27000000002</v>
      </c>
      <c r="IS8" s="310">
        <f t="shared" si="5"/>
        <v>-1064.5099999999511</v>
      </c>
      <c r="IT8" s="313">
        <f t="shared" si="6"/>
        <v>0.99322178752359647</v>
      </c>
      <c r="IU8" s="317">
        <f t="shared" si="82"/>
        <v>40327.64</v>
      </c>
      <c r="IV8" s="317">
        <f t="shared" si="83"/>
        <v>57452.820000000007</v>
      </c>
      <c r="IW8" s="316">
        <f t="shared" si="84"/>
        <v>17125.180000000008</v>
      </c>
      <c r="IX8" s="320">
        <f t="shared" si="85"/>
        <v>1.4246511821668713</v>
      </c>
      <c r="IZ8" s="244"/>
      <c r="JA8" s="402"/>
      <c r="JB8" s="1495"/>
    </row>
    <row r="9" spans="3:262">
      <c r="C9" s="257" t="s">
        <v>14</v>
      </c>
      <c r="D9" s="108">
        <v>7323.9</v>
      </c>
      <c r="E9" s="108">
        <v>3107.12</v>
      </c>
      <c r="F9" s="243">
        <f t="shared" si="7"/>
        <v>0.4242439137617936</v>
      </c>
      <c r="G9" s="108">
        <v>17253.11</v>
      </c>
      <c r="H9" s="108">
        <v>8583.0499999999993</v>
      </c>
      <c r="I9" s="243">
        <f t="shared" si="8"/>
        <v>0.49747842562877065</v>
      </c>
      <c r="J9" s="108">
        <v>15183.49</v>
      </c>
      <c r="K9" s="108">
        <v>23651.33</v>
      </c>
      <c r="L9" s="243">
        <f t="shared" si="9"/>
        <v>1.5577005023219301</v>
      </c>
      <c r="M9" s="108">
        <v>11902.66</v>
      </c>
      <c r="N9" s="108">
        <v>7025.49</v>
      </c>
      <c r="O9" s="243">
        <f t="shared" si="10"/>
        <v>0.59024537372318453</v>
      </c>
      <c r="P9" s="108">
        <v>11989.6</v>
      </c>
      <c r="Q9" s="108">
        <v>8620.41</v>
      </c>
      <c r="R9" s="243">
        <f t="shared" si="11"/>
        <v>0.71899062520851398</v>
      </c>
      <c r="S9" s="108">
        <v>11127.44</v>
      </c>
      <c r="T9" s="108">
        <v>8865.19</v>
      </c>
      <c r="U9" s="243">
        <f t="shared" si="12"/>
        <v>0.79669627515403363</v>
      </c>
      <c r="V9" s="108">
        <v>17153.48</v>
      </c>
      <c r="W9" s="108">
        <v>14197.39</v>
      </c>
      <c r="X9" s="243">
        <f t="shared" si="13"/>
        <v>0.82766820493567483</v>
      </c>
      <c r="Y9" s="108">
        <v>8921.27</v>
      </c>
      <c r="Z9" s="108">
        <v>3568.72</v>
      </c>
      <c r="AA9" s="243">
        <f t="shared" si="14"/>
        <v>0.40002376343278473</v>
      </c>
      <c r="AB9" s="108">
        <v>13758.22</v>
      </c>
      <c r="AC9" s="108">
        <v>8297.98</v>
      </c>
      <c r="AD9" s="243">
        <f t="shared" si="15"/>
        <v>0.60312889312716322</v>
      </c>
      <c r="AE9" s="108">
        <v>10679.37</v>
      </c>
      <c r="AF9" s="108">
        <v>5120.82</v>
      </c>
      <c r="AG9" s="243">
        <f t="shared" si="16"/>
        <v>0.47950581354518096</v>
      </c>
      <c r="AH9" s="108">
        <v>12098.62</v>
      </c>
      <c r="AI9" s="108">
        <v>6521.42</v>
      </c>
      <c r="AJ9" s="243">
        <f t="shared" si="17"/>
        <v>0.53902180579272674</v>
      </c>
      <c r="AK9" s="108">
        <v>14084.59</v>
      </c>
      <c r="AL9" s="108">
        <v>9245.4699999999993</v>
      </c>
      <c r="AM9" s="243">
        <f t="shared" si="18"/>
        <v>0.65642450365967342</v>
      </c>
      <c r="AN9" s="108">
        <v>17128.63</v>
      </c>
      <c r="AO9" s="108">
        <v>9164.7800000000007</v>
      </c>
      <c r="AP9" s="253">
        <f t="shared" si="19"/>
        <v>0.53505621874020282</v>
      </c>
      <c r="AQ9" s="108">
        <v>23447.41</v>
      </c>
      <c r="AR9" s="108">
        <v>12351.67</v>
      </c>
      <c r="AS9" s="253">
        <f t="shared" si="20"/>
        <v>0.52678184925328642</v>
      </c>
      <c r="AT9" s="108">
        <v>9660.2999999999993</v>
      </c>
      <c r="AU9" s="108">
        <v>4523.54</v>
      </c>
      <c r="AV9" s="253">
        <f t="shared" si="21"/>
        <v>0.46826082005734815</v>
      </c>
      <c r="AW9" s="108">
        <v>13292.8</v>
      </c>
      <c r="AX9" s="108">
        <v>10080.83</v>
      </c>
      <c r="AY9" s="253">
        <f t="shared" si="22"/>
        <v>0.75836768777082331</v>
      </c>
      <c r="AZ9" s="108">
        <v>10183.51</v>
      </c>
      <c r="BA9" s="108">
        <v>4214.1000000000004</v>
      </c>
      <c r="BB9" s="253">
        <f t="shared" si="23"/>
        <v>0.41381606145621697</v>
      </c>
      <c r="BC9" s="108">
        <v>13970.24</v>
      </c>
      <c r="BD9" s="108">
        <v>5577.02</v>
      </c>
      <c r="BE9" s="253">
        <f t="shared" si="24"/>
        <v>0.39920717181666177</v>
      </c>
      <c r="BF9" s="108">
        <v>13172.28</v>
      </c>
      <c r="BG9" s="108">
        <v>9027.33</v>
      </c>
      <c r="BH9" s="253">
        <f t="shared" si="25"/>
        <v>0.68532782479570731</v>
      </c>
      <c r="BI9" s="108">
        <v>15660.48</v>
      </c>
      <c r="BJ9" s="108">
        <v>15038.49</v>
      </c>
      <c r="BK9" s="253">
        <f t="shared" si="26"/>
        <v>0.96028282658002817</v>
      </c>
      <c r="BL9" s="108">
        <v>22366.87</v>
      </c>
      <c r="BM9" s="108">
        <v>13131.72</v>
      </c>
      <c r="BN9" s="253">
        <f t="shared" si="27"/>
        <v>0.58710584002142452</v>
      </c>
      <c r="BO9" s="108">
        <v>10356.52</v>
      </c>
      <c r="BP9" s="108">
        <v>4171.6499999999996</v>
      </c>
      <c r="BQ9" s="253">
        <f t="shared" si="28"/>
        <v>0.40280422381263198</v>
      </c>
      <c r="BR9" s="108">
        <v>7803.76</v>
      </c>
      <c r="BS9" s="108">
        <v>5524.97</v>
      </c>
      <c r="BT9" s="253">
        <f t="shared" si="29"/>
        <v>0.70798820055973022</v>
      </c>
      <c r="BU9" s="108">
        <v>10121.200000000001</v>
      </c>
      <c r="BV9" s="108">
        <v>7063.87</v>
      </c>
      <c r="BW9" s="253">
        <f t="shared" si="30"/>
        <v>0.69792811129115118</v>
      </c>
      <c r="BX9" s="108">
        <v>12647.04</v>
      </c>
      <c r="BY9" s="108">
        <v>7425.28</v>
      </c>
      <c r="BZ9" s="253">
        <f t="shared" si="31"/>
        <v>0.58711603663782186</v>
      </c>
      <c r="CA9" s="88">
        <v>15852.15</v>
      </c>
      <c r="CB9" s="108">
        <v>10982.16</v>
      </c>
      <c r="CC9" s="253">
        <f t="shared" si="32"/>
        <v>0.69278678286541573</v>
      </c>
      <c r="CD9" s="108">
        <v>16340.61</v>
      </c>
      <c r="CE9" s="108">
        <v>17806.349999999999</v>
      </c>
      <c r="CF9" s="253">
        <f t="shared" si="33"/>
        <v>1.0896992217548793</v>
      </c>
      <c r="CG9" s="108">
        <v>22346.83</v>
      </c>
      <c r="CH9" s="108">
        <v>16382.14</v>
      </c>
      <c r="CI9" s="253">
        <f t="shared" si="34"/>
        <v>0.73308563227983559</v>
      </c>
      <c r="CJ9" s="108">
        <v>9995.09</v>
      </c>
      <c r="CK9" s="108">
        <v>8655.18</v>
      </c>
      <c r="CL9" s="253">
        <f t="shared" si="35"/>
        <v>0.8659431781004473</v>
      </c>
      <c r="CM9" s="108">
        <v>18135.16</v>
      </c>
      <c r="CN9" s="108">
        <v>8124.94</v>
      </c>
      <c r="CO9" s="253">
        <f t="shared" si="36"/>
        <v>0.44802141254888295</v>
      </c>
      <c r="CP9" s="108">
        <v>15981.55</v>
      </c>
      <c r="CQ9" s="108">
        <v>9552.32</v>
      </c>
      <c r="CR9" s="253">
        <f t="shared" si="37"/>
        <v>0.5977092334598334</v>
      </c>
      <c r="CS9" s="108">
        <v>8969.2199999999993</v>
      </c>
      <c r="CT9" s="108">
        <v>9288.07</v>
      </c>
      <c r="CU9" s="253">
        <f t="shared" si="38"/>
        <v>1.035549356577272</v>
      </c>
      <c r="CV9" s="108">
        <v>14465.17</v>
      </c>
      <c r="CW9" s="108">
        <v>12353.22</v>
      </c>
      <c r="CX9" s="253">
        <f t="shared" si="39"/>
        <v>0.85399756795115433</v>
      </c>
      <c r="CY9" s="108">
        <v>14625.03</v>
      </c>
      <c r="CZ9" s="108">
        <v>10825.16</v>
      </c>
      <c r="DA9" s="253">
        <f t="shared" si="40"/>
        <v>0.74018036202318893</v>
      </c>
      <c r="DB9" s="108">
        <v>23738.16</v>
      </c>
      <c r="DC9" s="108">
        <v>15316.07</v>
      </c>
      <c r="DD9" s="253">
        <f t="shared" si="41"/>
        <v>0.64520881146643205</v>
      </c>
      <c r="DE9" s="108">
        <v>11524.32</v>
      </c>
      <c r="DF9" s="108">
        <v>5422.6</v>
      </c>
      <c r="DG9" s="253">
        <f t="shared" si="42"/>
        <v>0.47053535479750652</v>
      </c>
      <c r="DH9" s="108">
        <v>15414.38</v>
      </c>
      <c r="DI9" s="108">
        <v>12341.08</v>
      </c>
      <c r="DJ9" s="253">
        <f t="shared" si="43"/>
        <v>0.80062123809066599</v>
      </c>
      <c r="DK9" s="108">
        <v>11279.56</v>
      </c>
      <c r="DL9" s="108">
        <v>7138.15</v>
      </c>
      <c r="DM9" s="253">
        <f t="shared" si="0"/>
        <v>0.63283940153693941</v>
      </c>
      <c r="DN9" s="108">
        <v>32671.45</v>
      </c>
      <c r="DO9" s="108">
        <v>10445.549999999999</v>
      </c>
      <c r="DP9" s="253">
        <f t="shared" si="1"/>
        <v>0.31971491929498075</v>
      </c>
      <c r="DQ9" s="108">
        <v>32159.45</v>
      </c>
      <c r="DR9" s="108">
        <v>7347.98</v>
      </c>
      <c r="DS9" s="253">
        <f t="shared" si="2"/>
        <v>0.22848587273725141</v>
      </c>
      <c r="DT9" s="108">
        <v>29403.09</v>
      </c>
      <c r="DU9" s="108">
        <v>13995.36</v>
      </c>
      <c r="DV9" s="253">
        <f t="shared" si="3"/>
        <v>0.47598262631580562</v>
      </c>
      <c r="DW9" s="108">
        <v>25715.66</v>
      </c>
      <c r="DX9" s="108">
        <v>23342.51</v>
      </c>
      <c r="DY9" s="253">
        <f t="shared" si="4"/>
        <v>0.90771576541298171</v>
      </c>
      <c r="DZ9" s="108">
        <v>13356.13</v>
      </c>
      <c r="EA9" s="108">
        <v>4877.8599999999997</v>
      </c>
      <c r="EB9" s="253">
        <f t="shared" si="44"/>
        <v>0.36521507352803545</v>
      </c>
      <c r="EC9" s="108">
        <v>14447.43</v>
      </c>
      <c r="EE9" s="253">
        <f t="shared" si="45"/>
        <v>0</v>
      </c>
      <c r="EF9" s="108">
        <v>14707.24</v>
      </c>
      <c r="EG9" s="108">
        <v>5172.75</v>
      </c>
      <c r="EH9" s="253">
        <f t="shared" si="46"/>
        <v>0.35171452971461675</v>
      </c>
      <c r="EI9" s="108">
        <v>8499.51</v>
      </c>
      <c r="EJ9" s="108">
        <v>6769.11</v>
      </c>
      <c r="EK9" s="253">
        <f t="shared" si="47"/>
        <v>0.79641179315042865</v>
      </c>
      <c r="EL9" s="108">
        <v>8940.7000000000007</v>
      </c>
      <c r="EM9" s="108">
        <v>9169.08</v>
      </c>
      <c r="EN9" s="253">
        <f t="shared" si="48"/>
        <v>1.02554386121892</v>
      </c>
      <c r="EO9" s="108">
        <v>12448.76</v>
      </c>
      <c r="EP9" s="108">
        <v>4214.1000000000004</v>
      </c>
      <c r="EQ9" s="253">
        <f t="shared" si="49"/>
        <v>0.33851564332511835</v>
      </c>
      <c r="ER9" s="108">
        <v>19411.419999999998</v>
      </c>
      <c r="ES9" s="108">
        <v>5577.02</v>
      </c>
      <c r="ET9" s="253">
        <f t="shared" si="50"/>
        <v>0.28730613216343787</v>
      </c>
      <c r="EU9" s="108">
        <v>10170.98</v>
      </c>
      <c r="EV9" s="108">
        <v>6156.22</v>
      </c>
      <c r="EW9" s="253">
        <f t="shared" si="51"/>
        <v>0.60527304153582062</v>
      </c>
      <c r="EX9" s="108">
        <v>10947.89</v>
      </c>
      <c r="EY9" s="108">
        <v>8096.56</v>
      </c>
      <c r="EZ9" s="253">
        <f t="shared" si="52"/>
        <v>0.73955437988507378</v>
      </c>
      <c r="FA9" s="108">
        <v>9776.01</v>
      </c>
      <c r="FB9" s="108">
        <v>14144.05</v>
      </c>
      <c r="FC9" s="253">
        <f t="shared" si="53"/>
        <v>1.4468121452412588</v>
      </c>
      <c r="FD9" s="108">
        <v>7777.22</v>
      </c>
      <c r="FE9" s="108">
        <v>10131.76</v>
      </c>
      <c r="FF9" s="253">
        <f t="shared" si="54"/>
        <v>1.302748282805424</v>
      </c>
      <c r="FG9" s="108">
        <v>9280.1299999999992</v>
      </c>
      <c r="FH9" s="108">
        <v>21873.75</v>
      </c>
      <c r="FI9" s="253">
        <f t="shared" si="55"/>
        <v>2.3570521102613866</v>
      </c>
      <c r="FJ9" s="108">
        <v>14150.72</v>
      </c>
      <c r="FK9" s="108">
        <v>10854.81</v>
      </c>
      <c r="FL9" s="253">
        <f t="shared" si="56"/>
        <v>0.76708534972072095</v>
      </c>
      <c r="FM9" s="108">
        <v>27812.97</v>
      </c>
      <c r="FN9" s="108">
        <v>15755.48</v>
      </c>
      <c r="FO9" s="253">
        <f t="shared" si="57"/>
        <v>0.56647959567065287</v>
      </c>
      <c r="FP9" s="108">
        <v>12559.46</v>
      </c>
      <c r="FQ9" s="108">
        <v>6978.72</v>
      </c>
      <c r="FR9" s="253">
        <f t="shared" si="58"/>
        <v>0.55565446285110986</v>
      </c>
      <c r="FS9" s="108">
        <v>17082.21</v>
      </c>
      <c r="FT9" s="108">
        <v>7252.9</v>
      </c>
      <c r="FU9" s="253">
        <f t="shared" si="59"/>
        <v>0.42458791924464107</v>
      </c>
      <c r="FV9" s="108">
        <v>12557.75</v>
      </c>
      <c r="FW9" s="108">
        <v>8315.4</v>
      </c>
      <c r="FX9" s="253">
        <f t="shared" si="60"/>
        <v>0.66217276184029783</v>
      </c>
      <c r="FY9" s="108">
        <v>10441.049999999999</v>
      </c>
      <c r="FZ9" s="108">
        <v>7725.01</v>
      </c>
      <c r="GA9" s="253">
        <f t="shared" si="61"/>
        <v>0.73986907447047956</v>
      </c>
      <c r="GB9" s="108">
        <v>15380.22</v>
      </c>
      <c r="GC9" s="108">
        <v>9764.16</v>
      </c>
      <c r="GD9" s="253">
        <f t="shared" si="62"/>
        <v>0.63485177715273255</v>
      </c>
      <c r="GE9" s="108">
        <v>14429.17</v>
      </c>
      <c r="GF9" s="108">
        <v>11040.36</v>
      </c>
      <c r="GG9" s="253">
        <f t="shared" si="63"/>
        <v>0.76514172332850749</v>
      </c>
      <c r="GH9" s="108">
        <v>20100.189999999999</v>
      </c>
      <c r="GI9" s="108">
        <v>17324.37</v>
      </c>
      <c r="GJ9" s="253">
        <f t="shared" si="64"/>
        <v>0.86190080790281087</v>
      </c>
      <c r="GK9" s="108">
        <v>10254.35</v>
      </c>
      <c r="GL9" s="108">
        <v>5477.41</v>
      </c>
      <c r="GM9" s="253">
        <f t="shared" si="65"/>
        <v>0.53415477334009465</v>
      </c>
      <c r="GN9" s="108">
        <v>8395.6200000000008</v>
      </c>
      <c r="GO9" s="108">
        <v>7253.54</v>
      </c>
      <c r="GP9" s="253">
        <f t="shared" si="66"/>
        <v>0.86396716383066396</v>
      </c>
      <c r="GQ9" s="108">
        <v>12697.72</v>
      </c>
      <c r="GR9" s="108">
        <v>13296.47</v>
      </c>
      <c r="GS9" s="253">
        <f t="shared" si="67"/>
        <v>1.0471541347580511</v>
      </c>
      <c r="GT9" s="108">
        <v>9677.49</v>
      </c>
      <c r="GU9" s="108">
        <v>9949.14</v>
      </c>
      <c r="GV9" s="253">
        <f t="shared" si="68"/>
        <v>1.0280702950868459</v>
      </c>
      <c r="GW9" s="108">
        <v>11351.54</v>
      </c>
      <c r="GX9" s="108">
        <v>8369.43</v>
      </c>
      <c r="GY9" s="253">
        <f t="shared" si="69"/>
        <v>0.73729467543610816</v>
      </c>
      <c r="GZ9" s="108">
        <v>11351.54</v>
      </c>
      <c r="HA9" s="108">
        <v>10934.21</v>
      </c>
      <c r="HB9" s="253">
        <f t="shared" si="70"/>
        <v>0.9632358252712846</v>
      </c>
      <c r="HC9" s="108">
        <v>25594.42</v>
      </c>
      <c r="HD9" s="108">
        <v>15160.96</v>
      </c>
      <c r="HE9" s="253">
        <f t="shared" si="71"/>
        <v>0.59235411468593546</v>
      </c>
      <c r="HF9" s="108">
        <v>9475.07</v>
      </c>
      <c r="HG9" s="108">
        <v>4858.43</v>
      </c>
      <c r="HH9" s="253">
        <f t="shared" si="72"/>
        <v>0.51275927249086295</v>
      </c>
      <c r="HI9" s="108">
        <v>14910.55</v>
      </c>
      <c r="HJ9" s="108">
        <v>10158.94</v>
      </c>
      <c r="HK9" s="253">
        <f t="shared" si="73"/>
        <v>0.68132563855793393</v>
      </c>
      <c r="HL9" s="108">
        <v>9467.35</v>
      </c>
      <c r="HM9" s="108">
        <v>3141.97</v>
      </c>
      <c r="HN9" s="253">
        <f t="shared" si="74"/>
        <v>0.33187428372247774</v>
      </c>
      <c r="HO9" s="108">
        <v>8535.7000000000007</v>
      </c>
      <c r="HP9" s="108">
        <v>8352.8700000000008</v>
      </c>
      <c r="HQ9" s="253">
        <f t="shared" si="75"/>
        <v>0.97858054992560661</v>
      </c>
      <c r="HR9" s="108">
        <v>11821.08</v>
      </c>
      <c r="HS9" s="108">
        <v>9711.94</v>
      </c>
      <c r="HT9" s="253">
        <f t="shared" si="76"/>
        <v>0.82157806224135199</v>
      </c>
      <c r="HU9" s="108">
        <v>12009.11</v>
      </c>
      <c r="HV9" s="108">
        <v>9909.6200000000008</v>
      </c>
      <c r="HW9" s="253">
        <f t="shared" si="77"/>
        <v>0.82517522114461439</v>
      </c>
      <c r="HX9" s="108">
        <v>19522.509999999998</v>
      </c>
      <c r="HY9" s="108">
        <v>13674.08</v>
      </c>
      <c r="HZ9" s="253">
        <f t="shared" si="78"/>
        <v>0.70042632837683272</v>
      </c>
      <c r="IA9" s="108">
        <v>10802.37</v>
      </c>
      <c r="IB9" s="108">
        <v>4237.82</v>
      </c>
      <c r="IC9" s="253">
        <f t="shared" si="79"/>
        <v>0.3923046516644032</v>
      </c>
      <c r="ID9" s="353"/>
      <c r="IE9" s="353"/>
      <c r="IF9" s="353"/>
      <c r="IG9" s="353"/>
      <c r="IH9" s="353"/>
      <c r="II9" s="353"/>
      <c r="IJ9" s="353"/>
      <c r="IK9" s="353"/>
      <c r="IL9" s="353"/>
      <c r="IM9" s="353"/>
      <c r="IN9" s="353"/>
      <c r="IO9" s="353"/>
      <c r="IP9" s="353"/>
      <c r="IQ9" s="311">
        <f t="shared" si="80"/>
        <v>277614.09999999998</v>
      </c>
      <c r="IR9" s="311">
        <f t="shared" si="81"/>
        <v>198649.92999999996</v>
      </c>
      <c r="IS9" s="310">
        <f t="shared" si="5"/>
        <v>-78964.170000000013</v>
      </c>
      <c r="IT9" s="313">
        <f t="shared" si="6"/>
        <v>0.71556138539072756</v>
      </c>
      <c r="IU9" s="317">
        <f t="shared" si="82"/>
        <v>85741.37</v>
      </c>
      <c r="IV9" s="317">
        <f t="shared" si="83"/>
        <v>59807.850000000006</v>
      </c>
      <c r="IW9" s="316">
        <f t="shared" si="84"/>
        <v>-25933.51999999999</v>
      </c>
      <c r="IX9" s="320">
        <f t="shared" si="85"/>
        <v>0.69753783966829563</v>
      </c>
      <c r="IZ9" s="244"/>
      <c r="JA9" s="402"/>
      <c r="JB9" s="1495"/>
    </row>
    <row r="10" spans="3:262">
      <c r="C10" s="257" t="s">
        <v>15</v>
      </c>
      <c r="D10" s="108">
        <v>19934.28</v>
      </c>
      <c r="E10" s="108">
        <v>9983.39</v>
      </c>
      <c r="F10" s="243">
        <f t="shared" si="7"/>
        <v>0.5008151786771331</v>
      </c>
      <c r="G10" s="108">
        <v>10078.07</v>
      </c>
      <c r="H10" s="108">
        <v>8640.8700000000008</v>
      </c>
      <c r="I10" s="243">
        <f t="shared" si="8"/>
        <v>0.85739333027057774</v>
      </c>
      <c r="J10" s="108">
        <v>8854.35</v>
      </c>
      <c r="K10" s="108">
        <v>6899.91</v>
      </c>
      <c r="L10" s="243">
        <f t="shared" si="9"/>
        <v>0.77926781751342555</v>
      </c>
      <c r="M10" s="108">
        <v>6073.03</v>
      </c>
      <c r="N10" s="108">
        <v>6218.65</v>
      </c>
      <c r="O10" s="243">
        <f t="shared" si="10"/>
        <v>1.023978145999608</v>
      </c>
      <c r="P10" s="108">
        <v>8744.4699999999993</v>
      </c>
      <c r="Q10" s="108">
        <v>5611.3</v>
      </c>
      <c r="R10" s="243">
        <f t="shared" si="11"/>
        <v>0.64169698106346074</v>
      </c>
      <c r="S10" s="108">
        <v>9774.66</v>
      </c>
      <c r="T10" s="108">
        <v>8221.24</v>
      </c>
      <c r="U10" s="243">
        <f t="shared" si="12"/>
        <v>0.84107682517857396</v>
      </c>
      <c r="V10" s="108">
        <v>21138.2</v>
      </c>
      <c r="W10" s="108">
        <v>11259.76</v>
      </c>
      <c r="X10" s="243">
        <f t="shared" si="13"/>
        <v>0.53267354836267988</v>
      </c>
      <c r="Y10" s="108">
        <v>16495.23</v>
      </c>
      <c r="Z10" s="108">
        <v>10653.82</v>
      </c>
      <c r="AA10" s="243">
        <f t="shared" si="14"/>
        <v>0.64587277655419173</v>
      </c>
      <c r="AB10" s="108">
        <v>6332.21</v>
      </c>
      <c r="AC10" s="108">
        <v>7267.23</v>
      </c>
      <c r="AD10" s="243">
        <f t="shared" si="15"/>
        <v>1.1476609272276188</v>
      </c>
      <c r="AE10" s="108">
        <v>6659.73</v>
      </c>
      <c r="AF10" s="108">
        <v>5984.67</v>
      </c>
      <c r="AG10" s="243">
        <f t="shared" si="16"/>
        <v>0.89863553026924525</v>
      </c>
      <c r="AH10" s="108">
        <v>9216.02</v>
      </c>
      <c r="AI10" s="108">
        <v>4548.5600000000004</v>
      </c>
      <c r="AJ10" s="243">
        <f t="shared" si="17"/>
        <v>0.49354927615174449</v>
      </c>
      <c r="AK10" s="108">
        <v>9529.0499999999993</v>
      </c>
      <c r="AL10" s="108">
        <v>6816.81</v>
      </c>
      <c r="AM10" s="243">
        <f t="shared" si="18"/>
        <v>0.7153714168778631</v>
      </c>
      <c r="AN10" s="108">
        <v>11425.17</v>
      </c>
      <c r="AO10" s="108">
        <v>8957.86</v>
      </c>
      <c r="AP10" s="253">
        <f t="shared" si="19"/>
        <v>0.78404610172102474</v>
      </c>
      <c r="AQ10" s="108">
        <v>15646.62</v>
      </c>
      <c r="AR10" s="108">
        <v>12230.77</v>
      </c>
      <c r="AS10" s="253">
        <f t="shared" si="20"/>
        <v>0.78168767439868803</v>
      </c>
      <c r="AT10" s="108">
        <v>13276.26</v>
      </c>
      <c r="AU10" s="108">
        <v>10211.76</v>
      </c>
      <c r="AV10" s="253">
        <f t="shared" si="21"/>
        <v>0.76917445123852657</v>
      </c>
      <c r="AW10" s="108">
        <v>8878.26</v>
      </c>
      <c r="AX10" s="108">
        <v>5463.74</v>
      </c>
      <c r="AY10" s="253">
        <f t="shared" si="22"/>
        <v>0.61540662246881705</v>
      </c>
      <c r="AZ10" s="108">
        <v>5581.08</v>
      </c>
      <c r="BA10" s="108">
        <v>6092.89</v>
      </c>
      <c r="BB10" s="253">
        <f t="shared" si="23"/>
        <v>1.0917044729693894</v>
      </c>
      <c r="BC10" s="108">
        <v>3521.27</v>
      </c>
      <c r="BD10" s="108">
        <v>4228.62</v>
      </c>
      <c r="BE10" s="253">
        <f t="shared" si="24"/>
        <v>1.2008792282329954</v>
      </c>
      <c r="BF10" s="108">
        <v>3739.51</v>
      </c>
      <c r="BG10" s="108">
        <v>3494.48</v>
      </c>
      <c r="BH10" s="253">
        <f t="shared" si="25"/>
        <v>0.93447537244184398</v>
      </c>
      <c r="BI10" s="108">
        <v>4457.88</v>
      </c>
      <c r="BJ10" s="108">
        <v>7577.58</v>
      </c>
      <c r="BK10" s="253">
        <f t="shared" si="26"/>
        <v>1.6998169533500229</v>
      </c>
      <c r="BL10" s="108">
        <v>15448.64</v>
      </c>
      <c r="BM10" s="108">
        <v>7912.87</v>
      </c>
      <c r="BN10" s="253">
        <f t="shared" si="27"/>
        <v>0.51220495784742215</v>
      </c>
      <c r="BO10" s="108">
        <v>14985.34</v>
      </c>
      <c r="BP10" s="108">
        <v>9183.11</v>
      </c>
      <c r="BQ10" s="253">
        <f t="shared" si="28"/>
        <v>0.6128062493076567</v>
      </c>
      <c r="BR10" s="108">
        <v>4800.1899999999996</v>
      </c>
      <c r="BS10" s="108">
        <v>4229.08</v>
      </c>
      <c r="BT10" s="253">
        <f t="shared" si="29"/>
        <v>0.88102345948806204</v>
      </c>
      <c r="BU10" s="108">
        <v>4709.0600000000004</v>
      </c>
      <c r="BV10" s="108">
        <v>4431.5</v>
      </c>
      <c r="BW10" s="253">
        <f t="shared" si="30"/>
        <v>0.94105830038266658</v>
      </c>
      <c r="BX10" s="108">
        <v>7770.09</v>
      </c>
      <c r="BY10" s="108">
        <v>5419.85</v>
      </c>
      <c r="BZ10" s="253">
        <f t="shared" si="31"/>
        <v>0.69752731306844584</v>
      </c>
      <c r="CA10" s="88">
        <v>7736.64</v>
      </c>
      <c r="CB10" s="108">
        <v>5518.57</v>
      </c>
      <c r="CC10" s="253">
        <f t="shared" si="32"/>
        <v>0.71330319104934437</v>
      </c>
      <c r="CD10" s="108">
        <v>10460.58</v>
      </c>
      <c r="CE10" s="108">
        <v>9087.1</v>
      </c>
      <c r="CF10" s="253">
        <f t="shared" si="33"/>
        <v>0.8686994411399751</v>
      </c>
      <c r="CG10" s="108">
        <v>18870.32</v>
      </c>
      <c r="CH10" s="108">
        <v>12980.29</v>
      </c>
      <c r="CI10" s="253">
        <f t="shared" si="34"/>
        <v>0.68786803827386078</v>
      </c>
      <c r="CJ10" s="108">
        <v>18583.57</v>
      </c>
      <c r="CK10" s="108">
        <v>11328.49</v>
      </c>
      <c r="CL10" s="253">
        <f t="shared" si="35"/>
        <v>0.60959707957082521</v>
      </c>
      <c r="CM10" s="108">
        <v>14707.83</v>
      </c>
      <c r="CN10" s="108">
        <v>9799.74</v>
      </c>
      <c r="CO10" s="253">
        <f t="shared" si="36"/>
        <v>0.66629407601257284</v>
      </c>
      <c r="CP10" s="108">
        <v>5719.83</v>
      </c>
      <c r="CQ10" s="108">
        <v>6339.01</v>
      </c>
      <c r="CR10" s="253">
        <f t="shared" si="37"/>
        <v>1.108251469012191</v>
      </c>
      <c r="CS10" s="108">
        <v>6499.78</v>
      </c>
      <c r="CT10" s="108">
        <v>5632.95</v>
      </c>
      <c r="CU10" s="253">
        <f t="shared" si="38"/>
        <v>0.86663702463775694</v>
      </c>
      <c r="CV10" s="108">
        <v>7999.47</v>
      </c>
      <c r="CW10" s="108">
        <v>4939.97</v>
      </c>
      <c r="CX10" s="253">
        <f t="shared" si="39"/>
        <v>0.61753716183697172</v>
      </c>
      <c r="CY10" s="108">
        <v>10766.34</v>
      </c>
      <c r="CZ10" s="108">
        <v>8407.02</v>
      </c>
      <c r="DA10" s="253">
        <f t="shared" si="40"/>
        <v>0.78086146266976519</v>
      </c>
      <c r="DB10" s="108">
        <v>20770.32</v>
      </c>
      <c r="DC10" s="108">
        <v>10973.16</v>
      </c>
      <c r="DD10" s="253">
        <f t="shared" si="41"/>
        <v>0.52830962642848067</v>
      </c>
      <c r="DE10" s="108">
        <v>12363.42</v>
      </c>
      <c r="DF10" s="108">
        <v>6976.73</v>
      </c>
      <c r="DG10" s="253">
        <f t="shared" si="42"/>
        <v>0.56430421355903138</v>
      </c>
      <c r="DH10" s="108">
        <v>5979.81</v>
      </c>
      <c r="DI10" s="108">
        <v>4771.5200000000004</v>
      </c>
      <c r="DJ10" s="253">
        <f t="shared" si="43"/>
        <v>0.79793839603599448</v>
      </c>
      <c r="DK10" s="108">
        <v>8220.19</v>
      </c>
      <c r="DL10" s="108">
        <v>5067.5</v>
      </c>
      <c r="DM10" s="253">
        <f t="shared" si="0"/>
        <v>0.61646993560976082</v>
      </c>
      <c r="DN10" s="108">
        <v>9208.33</v>
      </c>
      <c r="DO10" s="108">
        <v>6720.27</v>
      </c>
      <c r="DP10" s="253">
        <f t="shared" si="1"/>
        <v>0.72980334110528189</v>
      </c>
      <c r="DQ10" s="108">
        <v>26902.35</v>
      </c>
      <c r="DR10" s="108">
        <v>7678.28</v>
      </c>
      <c r="DS10" s="253">
        <f t="shared" si="2"/>
        <v>0.28541298436753665</v>
      </c>
      <c r="DT10" s="108">
        <v>25204.04</v>
      </c>
      <c r="DU10" s="108">
        <v>15670.07</v>
      </c>
      <c r="DV10" s="253">
        <f t="shared" si="3"/>
        <v>0.62172850066894036</v>
      </c>
      <c r="DW10" s="108">
        <v>20889.740000000002</v>
      </c>
      <c r="DX10" s="108">
        <v>21239.279999999999</v>
      </c>
      <c r="DY10" s="253">
        <f t="shared" si="4"/>
        <v>1.0167326161072372</v>
      </c>
      <c r="DZ10" s="108">
        <v>18125.16</v>
      </c>
      <c r="EA10" s="108">
        <v>17152.580000000002</v>
      </c>
      <c r="EB10" s="253">
        <f t="shared" si="44"/>
        <v>0.94634088747354517</v>
      </c>
      <c r="EC10" s="108">
        <v>8765.5300000000007</v>
      </c>
      <c r="EE10" s="253">
        <f t="shared" si="45"/>
        <v>0</v>
      </c>
      <c r="EF10" s="108">
        <v>6689.01</v>
      </c>
      <c r="EG10" s="108">
        <v>2458.9299999999998</v>
      </c>
      <c r="EH10" s="253">
        <f t="shared" si="46"/>
        <v>0.36760746358579216</v>
      </c>
      <c r="EI10" s="108">
        <v>7551.68</v>
      </c>
      <c r="EJ10" s="108">
        <v>6742.73</v>
      </c>
      <c r="EK10" s="253">
        <f t="shared" si="47"/>
        <v>0.89287814102292462</v>
      </c>
      <c r="EL10" s="108">
        <v>7992.42</v>
      </c>
      <c r="EM10" s="108">
        <v>9687.4</v>
      </c>
      <c r="EN10" s="253">
        <f t="shared" si="48"/>
        <v>1.2120734395840058</v>
      </c>
      <c r="EO10" s="108">
        <v>11988.65</v>
      </c>
      <c r="EP10" s="108">
        <v>6092.89</v>
      </c>
      <c r="EQ10" s="253">
        <f t="shared" si="49"/>
        <v>0.50822152619352479</v>
      </c>
      <c r="ER10" s="108">
        <v>19447.13</v>
      </c>
      <c r="ES10" s="108">
        <v>4228.62</v>
      </c>
      <c r="ET10" s="253">
        <f t="shared" si="50"/>
        <v>0.21744185388795156</v>
      </c>
      <c r="EU10" s="108">
        <v>17292.5</v>
      </c>
      <c r="EV10" s="108">
        <v>11231.4</v>
      </c>
      <c r="EW10" s="253">
        <f t="shared" si="51"/>
        <v>0.64949544600260223</v>
      </c>
      <c r="EX10" s="108">
        <v>7050.05</v>
      </c>
      <c r="EY10" s="108">
        <v>6496.88</v>
      </c>
      <c r="EZ10" s="253">
        <f t="shared" si="52"/>
        <v>0.92153672668988162</v>
      </c>
      <c r="FA10" s="108">
        <v>9065.92</v>
      </c>
      <c r="FB10" s="108">
        <v>4919.22</v>
      </c>
      <c r="FC10" s="253">
        <f t="shared" si="53"/>
        <v>0.54260571458826024</v>
      </c>
      <c r="FD10" s="108">
        <v>5335.83</v>
      </c>
      <c r="FE10" s="108">
        <v>5832.25</v>
      </c>
      <c r="FF10" s="253">
        <f t="shared" si="54"/>
        <v>1.093035197897984</v>
      </c>
      <c r="FG10" s="108">
        <v>7383.85</v>
      </c>
      <c r="FH10" s="108">
        <v>11762.83</v>
      </c>
      <c r="FI10" s="253">
        <f t="shared" si="55"/>
        <v>1.5930483419896124</v>
      </c>
      <c r="FJ10" s="108">
        <v>12488.48</v>
      </c>
      <c r="FK10" s="108">
        <v>7498.1</v>
      </c>
      <c r="FL10" s="253">
        <f t="shared" si="56"/>
        <v>0.60040132986560424</v>
      </c>
      <c r="FM10" s="108">
        <v>22054.44</v>
      </c>
      <c r="FN10" s="108">
        <v>16145.98</v>
      </c>
      <c r="FO10" s="253">
        <f t="shared" si="57"/>
        <v>0.73209657556482965</v>
      </c>
      <c r="FP10" s="108">
        <v>17006.91</v>
      </c>
      <c r="FQ10" s="108">
        <v>13641.33</v>
      </c>
      <c r="FR10" s="253">
        <f t="shared" si="58"/>
        <v>0.80210514432074964</v>
      </c>
      <c r="FS10" s="108">
        <v>6137.29</v>
      </c>
      <c r="FT10" s="108">
        <v>6756.42</v>
      </c>
      <c r="FU10" s="253">
        <f t="shared" si="59"/>
        <v>1.10088003011101</v>
      </c>
      <c r="FV10" s="108">
        <v>7247.81</v>
      </c>
      <c r="FW10" s="108">
        <v>5527.68</v>
      </c>
      <c r="FX10" s="253">
        <f t="shared" si="60"/>
        <v>0.7626689993253134</v>
      </c>
      <c r="FY10" s="108">
        <v>4790.33</v>
      </c>
      <c r="FZ10" s="108">
        <v>8214.68</v>
      </c>
      <c r="GA10" s="253">
        <f t="shared" si="61"/>
        <v>1.7148463675780166</v>
      </c>
      <c r="GB10" s="108">
        <v>9238.76</v>
      </c>
      <c r="GC10" s="108">
        <v>7830.91</v>
      </c>
      <c r="GD10" s="253">
        <f t="shared" si="62"/>
        <v>0.8476148314275942</v>
      </c>
      <c r="GE10" s="108">
        <v>9490.2900000000009</v>
      </c>
      <c r="GF10" s="108">
        <v>10627.42</v>
      </c>
      <c r="GG10" s="253">
        <f t="shared" si="63"/>
        <v>1.1198203637612758</v>
      </c>
      <c r="GH10" s="108">
        <v>18723.150000000001</v>
      </c>
      <c r="GI10" s="108">
        <v>16440.73</v>
      </c>
      <c r="GJ10" s="253">
        <f t="shared" si="64"/>
        <v>0.87809636733135177</v>
      </c>
      <c r="GK10" s="108">
        <v>18355.169999999998</v>
      </c>
      <c r="GL10" s="108">
        <v>14440.9</v>
      </c>
      <c r="GM10" s="253">
        <f t="shared" si="65"/>
        <v>0.78674836571930418</v>
      </c>
      <c r="GN10" s="108">
        <v>9609.9699999999993</v>
      </c>
      <c r="GO10" s="108">
        <v>5297.31</v>
      </c>
      <c r="GP10" s="253">
        <f t="shared" si="66"/>
        <v>0.55123064900306673</v>
      </c>
      <c r="GQ10" s="108">
        <v>5288.81</v>
      </c>
      <c r="GR10" s="108">
        <v>3043.74</v>
      </c>
      <c r="GS10" s="253">
        <f t="shared" si="67"/>
        <v>0.57550564304635632</v>
      </c>
      <c r="GT10" s="108">
        <v>7119.92</v>
      </c>
      <c r="GU10" s="108">
        <v>6141.45</v>
      </c>
      <c r="GV10" s="253">
        <f t="shared" si="68"/>
        <v>0.86257289407746152</v>
      </c>
      <c r="GW10" s="108">
        <v>7232.53</v>
      </c>
      <c r="GX10" s="108">
        <v>7273.47</v>
      </c>
      <c r="GY10" s="253">
        <f t="shared" si="69"/>
        <v>1.0056605364927627</v>
      </c>
      <c r="GZ10" s="108">
        <v>7232.53</v>
      </c>
      <c r="HA10" s="108">
        <v>11523.34</v>
      </c>
      <c r="HB10" s="253">
        <f t="shared" si="70"/>
        <v>1.5932654271741702</v>
      </c>
      <c r="HC10" s="108">
        <v>19113.53</v>
      </c>
      <c r="HD10" s="108">
        <v>18136.189999999999</v>
      </c>
      <c r="HE10" s="253">
        <f t="shared" si="71"/>
        <v>0.94886658822310688</v>
      </c>
      <c r="HF10" s="108">
        <v>14060.19</v>
      </c>
      <c r="HG10" s="108">
        <v>15661.75</v>
      </c>
      <c r="HH10" s="253">
        <f t="shared" si="72"/>
        <v>1.1139074223036816</v>
      </c>
      <c r="HI10" s="108">
        <v>10262.040000000001</v>
      </c>
      <c r="HJ10" s="108">
        <v>9793.01</v>
      </c>
      <c r="HK10" s="253">
        <f t="shared" si="73"/>
        <v>0.954294662659666</v>
      </c>
      <c r="HL10" s="108">
        <v>3624.35</v>
      </c>
      <c r="HM10" s="108">
        <v>4090.49</v>
      </c>
      <c r="HN10" s="253">
        <f t="shared" si="74"/>
        <v>1.1286134065418627</v>
      </c>
      <c r="HO10" s="108">
        <v>6894.36</v>
      </c>
      <c r="HP10" s="108">
        <v>4057.07</v>
      </c>
      <c r="HQ10" s="253">
        <f t="shared" si="75"/>
        <v>0.58846216327548895</v>
      </c>
      <c r="HR10" s="108">
        <v>6530.63</v>
      </c>
      <c r="HS10" s="108">
        <v>7811.88</v>
      </c>
      <c r="HT10" s="253">
        <f t="shared" si="76"/>
        <v>1.1961908728560644</v>
      </c>
      <c r="HU10" s="108">
        <v>7925.39</v>
      </c>
      <c r="HV10" s="108">
        <v>11128.06</v>
      </c>
      <c r="HW10" s="253">
        <f t="shared" si="77"/>
        <v>1.4041025110436205</v>
      </c>
      <c r="HX10" s="108">
        <v>15518.61</v>
      </c>
      <c r="HY10" s="108">
        <v>17700.43</v>
      </c>
      <c r="HZ10" s="253">
        <f t="shared" si="78"/>
        <v>1.1405937774066104</v>
      </c>
      <c r="IA10" s="108">
        <v>6806.69</v>
      </c>
      <c r="IB10" s="108">
        <v>11239.51</v>
      </c>
      <c r="IC10" s="253">
        <f t="shared" si="79"/>
        <v>1.6512445843721399</v>
      </c>
      <c r="ID10" s="353"/>
      <c r="IE10" s="353"/>
      <c r="IF10" s="353"/>
      <c r="IG10" s="353"/>
      <c r="IH10" s="353"/>
      <c r="II10" s="353"/>
      <c r="IJ10" s="353"/>
      <c r="IK10" s="353"/>
      <c r="IL10" s="353"/>
      <c r="IM10" s="353"/>
      <c r="IN10" s="353"/>
      <c r="IO10" s="353"/>
      <c r="IP10" s="353"/>
      <c r="IQ10" s="311">
        <f t="shared" si="80"/>
        <v>211402.57</v>
      </c>
      <c r="IR10" s="311">
        <f t="shared" si="81"/>
        <v>205138.25999999998</v>
      </c>
      <c r="IS10" s="310">
        <f t="shared" si="5"/>
        <v>-6264.3100000000268</v>
      </c>
      <c r="IT10" s="313">
        <f t="shared" si="6"/>
        <v>0.97036786260450847</v>
      </c>
      <c r="IU10" s="317">
        <f t="shared" si="82"/>
        <v>64815.57</v>
      </c>
      <c r="IV10" s="317">
        <f t="shared" si="83"/>
        <v>70242.69</v>
      </c>
      <c r="IW10" s="316">
        <f t="shared" si="84"/>
        <v>5427.1200000000026</v>
      </c>
      <c r="IX10" s="320">
        <f t="shared" si="85"/>
        <v>1.0837317329771228</v>
      </c>
      <c r="IZ10" s="244"/>
      <c r="JA10" s="402"/>
      <c r="JB10" s="1495"/>
    </row>
    <row r="11" spans="3:262">
      <c r="C11" s="257" t="s">
        <v>16</v>
      </c>
      <c r="D11" s="108">
        <v>10134.4</v>
      </c>
      <c r="E11" s="108">
        <v>4994.8100000000004</v>
      </c>
      <c r="F11" s="243">
        <f t="shared" si="7"/>
        <v>0.49285700189453746</v>
      </c>
      <c r="G11" s="108">
        <v>8695.61</v>
      </c>
      <c r="H11" s="108">
        <v>6692.86</v>
      </c>
      <c r="I11" s="243">
        <f t="shared" si="8"/>
        <v>0.76968263296076977</v>
      </c>
      <c r="J11" s="108">
        <v>6994.03</v>
      </c>
      <c r="K11" s="108">
        <v>8537.34</v>
      </c>
      <c r="L11" s="243">
        <f t="shared" si="9"/>
        <v>1.2206610494950694</v>
      </c>
      <c r="M11" s="108">
        <v>7027.24</v>
      </c>
      <c r="N11" s="108">
        <v>10166.66</v>
      </c>
      <c r="O11" s="243">
        <f t="shared" si="10"/>
        <v>1.4467500754207911</v>
      </c>
      <c r="P11" s="108">
        <v>5748.55</v>
      </c>
      <c r="Q11" s="108">
        <v>7680.65</v>
      </c>
      <c r="R11" s="243">
        <f t="shared" si="11"/>
        <v>1.3361021474980646</v>
      </c>
      <c r="S11" s="108">
        <v>18983.669999999998</v>
      </c>
      <c r="T11" s="108">
        <v>3794.78</v>
      </c>
      <c r="U11" s="243">
        <f t="shared" si="12"/>
        <v>0.19989706942861946</v>
      </c>
      <c r="V11" s="108">
        <v>14211.86</v>
      </c>
      <c r="W11" s="108">
        <v>9853.98</v>
      </c>
      <c r="X11" s="243">
        <f t="shared" si="13"/>
        <v>0.6933631488067008</v>
      </c>
      <c r="Y11" s="108">
        <v>6923.04</v>
      </c>
      <c r="Z11" s="108">
        <v>4504.6000000000004</v>
      </c>
      <c r="AA11" s="243">
        <f t="shared" si="14"/>
        <v>0.65066791467332274</v>
      </c>
      <c r="AB11" s="108">
        <v>13946.01</v>
      </c>
      <c r="AC11" s="108">
        <v>11804.02</v>
      </c>
      <c r="AD11" s="243">
        <f t="shared" si="15"/>
        <v>0.84640839924824374</v>
      </c>
      <c r="AE11" s="108">
        <v>7101.1</v>
      </c>
      <c r="AF11" s="108">
        <v>6103.2</v>
      </c>
      <c r="AG11" s="243">
        <f t="shared" si="16"/>
        <v>0.85947247609525279</v>
      </c>
      <c r="AH11" s="108">
        <v>7504.57</v>
      </c>
      <c r="AI11" s="108">
        <v>4648.57</v>
      </c>
      <c r="AJ11" s="243">
        <f t="shared" si="17"/>
        <v>0.61943189283330025</v>
      </c>
      <c r="AK11" s="108">
        <v>8278.6200000000008</v>
      </c>
      <c r="AL11" s="108">
        <v>5436.42</v>
      </c>
      <c r="AM11" s="243">
        <f t="shared" si="18"/>
        <v>0.65668191075324145</v>
      </c>
      <c r="AN11" s="108">
        <v>8676.15</v>
      </c>
      <c r="AO11" s="108">
        <v>6314.75</v>
      </c>
      <c r="AP11" s="253">
        <f t="shared" si="19"/>
        <v>0.72782858756476088</v>
      </c>
      <c r="AQ11" s="108">
        <v>13313.78</v>
      </c>
      <c r="AR11" s="108">
        <v>11271.16</v>
      </c>
      <c r="AS11" s="253">
        <f t="shared" si="20"/>
        <v>0.84657850738107432</v>
      </c>
      <c r="AT11" s="108">
        <v>6077.75</v>
      </c>
      <c r="AU11" s="108">
        <v>5208.8900000000003</v>
      </c>
      <c r="AV11" s="253">
        <f t="shared" si="21"/>
        <v>0.85704249105343266</v>
      </c>
      <c r="AW11" s="108">
        <v>5991.44</v>
      </c>
      <c r="AX11" s="108">
        <v>5905.13</v>
      </c>
      <c r="AY11" s="253">
        <f t="shared" si="22"/>
        <v>0.98559444807925978</v>
      </c>
      <c r="AZ11" s="108">
        <v>5193.1899999999996</v>
      </c>
      <c r="BA11" s="108">
        <v>2637.91</v>
      </c>
      <c r="BB11" s="253">
        <f t="shared" si="23"/>
        <v>0.50795561109838072</v>
      </c>
      <c r="BC11" s="108">
        <v>4861.78</v>
      </c>
      <c r="BD11" s="108">
        <v>3923.72</v>
      </c>
      <c r="BE11" s="253">
        <f t="shared" si="24"/>
        <v>0.80705420648404491</v>
      </c>
      <c r="BF11" s="108">
        <v>5764.29</v>
      </c>
      <c r="BG11" s="108">
        <v>5265.93</v>
      </c>
      <c r="BH11" s="253">
        <f t="shared" si="25"/>
        <v>0.91354355870367387</v>
      </c>
      <c r="BI11" s="108">
        <v>6787.75</v>
      </c>
      <c r="BJ11" s="108">
        <v>6124.18</v>
      </c>
      <c r="BK11" s="253">
        <f t="shared" si="26"/>
        <v>0.90224006482265851</v>
      </c>
      <c r="BL11" s="108">
        <v>14769.06</v>
      </c>
      <c r="BM11" s="108">
        <v>9359.7999999999993</v>
      </c>
      <c r="BN11" s="253">
        <f t="shared" si="27"/>
        <v>0.6337437859958589</v>
      </c>
      <c r="BO11" s="108">
        <v>9089.69</v>
      </c>
      <c r="BP11" s="108">
        <v>5447.34</v>
      </c>
      <c r="BQ11" s="253">
        <f t="shared" si="28"/>
        <v>0.59928776448921794</v>
      </c>
      <c r="BR11" s="108">
        <v>7001.13</v>
      </c>
      <c r="BS11" s="108">
        <v>4499.49</v>
      </c>
      <c r="BT11" s="253">
        <f t="shared" si="29"/>
        <v>0.64268053871303632</v>
      </c>
      <c r="BU11" s="108">
        <v>4776.3900000000003</v>
      </c>
      <c r="BV11" s="108">
        <v>4160.38</v>
      </c>
      <c r="BW11" s="253">
        <f t="shared" si="30"/>
        <v>0.8710302131944837</v>
      </c>
      <c r="BX11" s="108">
        <v>4883.74</v>
      </c>
      <c r="BY11" s="108">
        <v>2017.51</v>
      </c>
      <c r="BZ11" s="253">
        <f t="shared" si="31"/>
        <v>0.41310757738945975</v>
      </c>
      <c r="CA11" s="88">
        <v>4608.4399999999996</v>
      </c>
      <c r="CB11" s="108">
        <v>5421.67</v>
      </c>
      <c r="CC11" s="253">
        <f t="shared" si="32"/>
        <v>1.1764653548706288</v>
      </c>
      <c r="CD11" s="108">
        <v>15459.24</v>
      </c>
      <c r="CE11" s="108">
        <v>7698.15</v>
      </c>
      <c r="CF11" s="253">
        <f t="shared" si="33"/>
        <v>0.49796432424879877</v>
      </c>
      <c r="CG11" s="108">
        <v>17135.310000000001</v>
      </c>
      <c r="CH11" s="108">
        <v>14810.82</v>
      </c>
      <c r="CI11" s="253">
        <f t="shared" si="34"/>
        <v>0.86434502789853229</v>
      </c>
      <c r="CJ11" s="108">
        <v>11366.34</v>
      </c>
      <c r="CK11" s="108">
        <v>5540.82</v>
      </c>
      <c r="CL11" s="253">
        <f t="shared" si="35"/>
        <v>0.48747617966733353</v>
      </c>
      <c r="CM11" s="108">
        <v>8396.23</v>
      </c>
      <c r="CN11" s="108">
        <v>10801.56</v>
      </c>
      <c r="CO11" s="253">
        <f t="shared" si="36"/>
        <v>1.2864773833017915</v>
      </c>
      <c r="CP11" s="108">
        <v>4197.1000000000004</v>
      </c>
      <c r="CQ11" s="108">
        <v>4253.4399999999996</v>
      </c>
      <c r="CR11" s="253">
        <f t="shared" si="37"/>
        <v>1.013423554358962</v>
      </c>
      <c r="CS11" s="108">
        <v>4236</v>
      </c>
      <c r="CT11" s="108">
        <v>5592.67</v>
      </c>
      <c r="CU11" s="253">
        <f t="shared" si="38"/>
        <v>1.3202714825306894</v>
      </c>
      <c r="CV11" s="108">
        <v>5535.01</v>
      </c>
      <c r="CW11" s="108">
        <v>7169.86</v>
      </c>
      <c r="CX11" s="253">
        <f t="shared" si="39"/>
        <v>1.295365320026522</v>
      </c>
      <c r="CY11" s="108">
        <v>7538.76</v>
      </c>
      <c r="CZ11" s="108">
        <v>9233.93</v>
      </c>
      <c r="DA11" s="253">
        <f t="shared" si="40"/>
        <v>1.2248605871522638</v>
      </c>
      <c r="DB11" s="108">
        <v>10270.84</v>
      </c>
      <c r="DC11" s="108">
        <v>11455.28</v>
      </c>
      <c r="DD11" s="253">
        <f t="shared" si="41"/>
        <v>1.1153206553699599</v>
      </c>
      <c r="DE11" s="108">
        <v>13359.54</v>
      </c>
      <c r="DF11" s="108">
        <v>9169.17</v>
      </c>
      <c r="DG11" s="253">
        <f t="shared" si="42"/>
        <v>0.68633875118454668</v>
      </c>
      <c r="DH11" s="108">
        <v>6740.06</v>
      </c>
      <c r="DI11" s="108">
        <v>6511.15</v>
      </c>
      <c r="DJ11" s="253">
        <f t="shared" si="43"/>
        <v>0.96603739432586644</v>
      </c>
      <c r="DK11" s="108">
        <v>5712.78</v>
      </c>
      <c r="DL11" s="108">
        <v>7603.14</v>
      </c>
      <c r="DM11" s="253">
        <f t="shared" si="0"/>
        <v>1.3309001922006449</v>
      </c>
      <c r="DN11" s="108">
        <v>9381.15</v>
      </c>
      <c r="DO11" s="108">
        <v>9363.2800000000007</v>
      </c>
      <c r="DP11" s="253">
        <f t="shared" si="1"/>
        <v>0.99809511627039338</v>
      </c>
      <c r="DQ11" s="108">
        <v>16286.78</v>
      </c>
      <c r="DR11" s="108">
        <v>12696.31</v>
      </c>
      <c r="DS11" s="253">
        <f t="shared" si="2"/>
        <v>0.77954696999652473</v>
      </c>
      <c r="DT11" s="108">
        <v>16411.66</v>
      </c>
      <c r="DU11" s="108">
        <v>11454.43</v>
      </c>
      <c r="DV11" s="253">
        <f t="shared" si="3"/>
        <v>0.69794463204819013</v>
      </c>
      <c r="DW11" s="108">
        <v>16607.87</v>
      </c>
      <c r="DX11" s="108">
        <v>15679.32</v>
      </c>
      <c r="DY11" s="253">
        <f t="shared" si="4"/>
        <v>0.94408975985481591</v>
      </c>
      <c r="DZ11" s="108">
        <v>9131.48</v>
      </c>
      <c r="EA11" s="108">
        <v>14346.78</v>
      </c>
      <c r="EB11" s="253">
        <f t="shared" si="44"/>
        <v>1.571134142548634</v>
      </c>
      <c r="EC11" s="108">
        <v>6599.04</v>
      </c>
      <c r="ED11" s="108">
        <v>3746.64</v>
      </c>
      <c r="EE11" s="253">
        <f t="shared" si="45"/>
        <v>0.56775530986325284</v>
      </c>
      <c r="EF11" s="108">
        <v>6776.38</v>
      </c>
      <c r="EG11" s="108">
        <v>4364.7700000000004</v>
      </c>
      <c r="EH11" s="253">
        <f t="shared" si="46"/>
        <v>0.64411529459682015</v>
      </c>
      <c r="EI11" s="108">
        <v>3991.54</v>
      </c>
      <c r="EJ11" s="108">
        <v>5439.6</v>
      </c>
      <c r="EK11" s="253">
        <f t="shared" si="47"/>
        <v>1.3627822845317847</v>
      </c>
      <c r="EL11" s="108">
        <v>6145.13</v>
      </c>
      <c r="EM11" s="108">
        <v>3054.89</v>
      </c>
      <c r="EN11" s="253">
        <f t="shared" si="48"/>
        <v>0.49712373863530956</v>
      </c>
      <c r="EO11" s="108">
        <v>6559.87</v>
      </c>
      <c r="EP11" s="108">
        <v>2637.91</v>
      </c>
      <c r="EQ11" s="253">
        <f t="shared" si="49"/>
        <v>0.40212839583711263</v>
      </c>
      <c r="ER11" s="108">
        <v>13286.64</v>
      </c>
      <c r="ES11" s="108">
        <v>3923.72</v>
      </c>
      <c r="ET11" s="253">
        <f t="shared" si="50"/>
        <v>0.29531318678010393</v>
      </c>
      <c r="EU11" s="108">
        <v>8837.8799999999992</v>
      </c>
      <c r="EV11" s="108">
        <v>6132.62</v>
      </c>
      <c r="EW11" s="253">
        <f t="shared" si="51"/>
        <v>0.69390170493376246</v>
      </c>
      <c r="EX11" s="108">
        <v>4668.33</v>
      </c>
      <c r="EY11" s="108">
        <v>4724.9399999999996</v>
      </c>
      <c r="EZ11" s="253">
        <f t="shared" si="52"/>
        <v>1.0121263920931038</v>
      </c>
      <c r="FA11" s="108">
        <v>5948.45</v>
      </c>
      <c r="FB11" s="108">
        <v>4772.5</v>
      </c>
      <c r="FC11" s="253">
        <f t="shared" si="53"/>
        <v>0.80230984542191663</v>
      </c>
      <c r="FD11" s="108">
        <v>10098.5</v>
      </c>
      <c r="FE11" s="108">
        <v>7834.48</v>
      </c>
      <c r="FF11" s="253">
        <f t="shared" si="54"/>
        <v>0.77580630786750504</v>
      </c>
      <c r="FG11" s="108">
        <v>7875.76</v>
      </c>
      <c r="FH11" s="108">
        <v>4554.16</v>
      </c>
      <c r="FI11" s="253">
        <f t="shared" si="55"/>
        <v>0.57825022600993425</v>
      </c>
      <c r="FJ11" s="108">
        <v>8813.5300000000007</v>
      </c>
      <c r="FK11" s="108">
        <v>12823.87</v>
      </c>
      <c r="FL11" s="253">
        <f t="shared" si="56"/>
        <v>1.4550208599732457</v>
      </c>
      <c r="FM11" s="108">
        <v>16168.99</v>
      </c>
      <c r="FN11" s="108">
        <v>10020.81</v>
      </c>
      <c r="FO11" s="253">
        <f t="shared" si="57"/>
        <v>0.61975485172543243</v>
      </c>
      <c r="FP11" s="108">
        <v>14116.42</v>
      </c>
      <c r="FQ11" s="108">
        <v>6779.46</v>
      </c>
      <c r="FR11" s="253">
        <f t="shared" si="58"/>
        <v>0.48025349203268253</v>
      </c>
      <c r="FS11" s="108">
        <v>7009.71</v>
      </c>
      <c r="FT11" s="108">
        <v>5590.81</v>
      </c>
      <c r="FU11" s="253">
        <f t="shared" si="59"/>
        <v>0.79758078436911095</v>
      </c>
      <c r="FV11" s="108">
        <v>7185.97</v>
      </c>
      <c r="FW11" s="108">
        <v>4799.1499999999996</v>
      </c>
      <c r="FX11" s="253">
        <f t="shared" si="60"/>
        <v>0.66784999102417619</v>
      </c>
      <c r="FY11" s="108">
        <v>5012.33</v>
      </c>
      <c r="FZ11" s="108">
        <v>4475.3999999999996</v>
      </c>
      <c r="GA11" s="253">
        <f t="shared" si="61"/>
        <v>0.89287816245139484</v>
      </c>
      <c r="GB11" s="108">
        <v>7597.63</v>
      </c>
      <c r="GC11" s="108">
        <v>4886.45</v>
      </c>
      <c r="GD11" s="253">
        <f t="shared" si="62"/>
        <v>0.6431545100248367</v>
      </c>
      <c r="GE11" s="108">
        <v>8576.19</v>
      </c>
      <c r="GF11" s="108">
        <v>4632.3999999999996</v>
      </c>
      <c r="GG11" s="253">
        <f t="shared" si="63"/>
        <v>0.54014661522191088</v>
      </c>
      <c r="GH11" s="108">
        <v>11092.78</v>
      </c>
      <c r="GI11" s="108">
        <v>12156.94</v>
      </c>
      <c r="GJ11" s="253">
        <f t="shared" si="64"/>
        <v>1.0959326697185017</v>
      </c>
      <c r="GK11" s="108">
        <v>6573.25</v>
      </c>
      <c r="GL11" s="108">
        <v>9593.18</v>
      </c>
      <c r="GM11" s="253">
        <f t="shared" si="65"/>
        <v>1.4594272239759631</v>
      </c>
      <c r="GN11" s="108">
        <v>5679.51</v>
      </c>
      <c r="GO11" s="108">
        <v>8280.9</v>
      </c>
      <c r="GP11" s="253">
        <f t="shared" si="66"/>
        <v>1.458030710395791</v>
      </c>
      <c r="GQ11" s="108">
        <v>4490</v>
      </c>
      <c r="GR11" s="108">
        <v>4577.8999999999996</v>
      </c>
      <c r="GS11" s="253">
        <f t="shared" si="67"/>
        <v>1.0195768374164811</v>
      </c>
      <c r="GT11" s="108">
        <v>6843.77</v>
      </c>
      <c r="GU11" s="108">
        <v>4796.47</v>
      </c>
      <c r="GV11" s="253">
        <f t="shared" si="68"/>
        <v>0.70085201577493106</v>
      </c>
      <c r="GW11" s="108">
        <v>4389.1499999999996</v>
      </c>
      <c r="GX11" s="108">
        <v>4933.22</v>
      </c>
      <c r="GY11" s="253">
        <f t="shared" si="69"/>
        <v>1.1239579417427066</v>
      </c>
      <c r="GZ11" s="108">
        <v>4389.1499999999996</v>
      </c>
      <c r="HA11" s="108">
        <v>5662.29</v>
      </c>
      <c r="HB11" s="253">
        <f t="shared" si="70"/>
        <v>1.2900652745975874</v>
      </c>
      <c r="HC11" s="108">
        <v>19493.36</v>
      </c>
      <c r="HD11" s="108">
        <v>16795.060000000001</v>
      </c>
      <c r="HE11" s="253">
        <f t="shared" si="71"/>
        <v>0.86157850673254899</v>
      </c>
      <c r="HF11" s="108">
        <v>10467.549999999999</v>
      </c>
      <c r="HG11" s="108">
        <v>7250.01</v>
      </c>
      <c r="HH11" s="253">
        <f t="shared" si="72"/>
        <v>0.69261766124833424</v>
      </c>
      <c r="HI11" s="108">
        <v>11200.28</v>
      </c>
      <c r="HJ11" s="108">
        <v>7561.76</v>
      </c>
      <c r="HK11" s="253">
        <f t="shared" si="73"/>
        <v>0.67514026435053409</v>
      </c>
      <c r="HL11" s="108">
        <v>6088.76</v>
      </c>
      <c r="HM11" s="108">
        <v>5258.08</v>
      </c>
      <c r="HN11" s="253">
        <f t="shared" si="74"/>
        <v>0.86357156465355833</v>
      </c>
      <c r="HO11" s="108">
        <v>5138.63</v>
      </c>
      <c r="HP11" s="108">
        <v>6100.19</v>
      </c>
      <c r="HQ11" s="253">
        <f t="shared" si="75"/>
        <v>1.1871238053722488</v>
      </c>
      <c r="HR11" s="108">
        <v>4330.54</v>
      </c>
      <c r="HS11" s="108">
        <v>8716.06</v>
      </c>
      <c r="HT11" s="253">
        <f t="shared" si="76"/>
        <v>2.0126958762648539</v>
      </c>
      <c r="HU11" s="108">
        <v>6131.91</v>
      </c>
      <c r="HV11" s="108">
        <v>10793.34</v>
      </c>
      <c r="HW11" s="253">
        <f t="shared" si="77"/>
        <v>1.7601921750319232</v>
      </c>
      <c r="HX11" s="108">
        <v>10702.13</v>
      </c>
      <c r="HY11" s="108">
        <v>12686.95</v>
      </c>
      <c r="HZ11" s="253">
        <f t="shared" si="78"/>
        <v>1.1854602775335379</v>
      </c>
      <c r="IA11" s="108">
        <v>5176.09</v>
      </c>
      <c r="IB11" s="108">
        <v>7414.82</v>
      </c>
      <c r="IC11" s="253">
        <f t="shared" si="79"/>
        <v>1.4325137314072978</v>
      </c>
      <c r="ID11" s="353"/>
      <c r="IE11" s="353"/>
      <c r="IF11" s="353"/>
      <c r="IG11" s="353"/>
      <c r="IH11" s="353"/>
      <c r="II11" s="353"/>
      <c r="IJ11" s="353"/>
      <c r="IK11" s="353"/>
      <c r="IL11" s="353"/>
      <c r="IM11" s="353"/>
      <c r="IN11" s="353"/>
      <c r="IO11" s="353"/>
      <c r="IP11" s="353"/>
      <c r="IQ11" s="311">
        <f t="shared" si="80"/>
        <v>166509.02000000002</v>
      </c>
      <c r="IR11" s="311">
        <f t="shared" si="81"/>
        <v>156326.01999999999</v>
      </c>
      <c r="IS11" s="310">
        <f t="shared" si="5"/>
        <v>-10183.000000000029</v>
      </c>
      <c r="IT11" s="313">
        <f t="shared" si="6"/>
        <v>0.93884415390829856</v>
      </c>
      <c r="IU11" s="317">
        <f t="shared" si="82"/>
        <v>54059.799999999996</v>
      </c>
      <c r="IV11" s="317">
        <f t="shared" si="83"/>
        <v>58366.39</v>
      </c>
      <c r="IW11" s="316">
        <f t="shared" si="84"/>
        <v>4306.5900000000038</v>
      </c>
      <c r="IX11" s="320">
        <f t="shared" si="85"/>
        <v>1.0796634467756079</v>
      </c>
      <c r="IZ11" s="244"/>
      <c r="JA11" s="402"/>
      <c r="JB11" s="1495"/>
    </row>
    <row r="12" spans="3:262">
      <c r="C12" s="257" t="s">
        <v>17</v>
      </c>
      <c r="D12" s="108">
        <v>17120.36</v>
      </c>
      <c r="E12" s="108">
        <v>14340.59</v>
      </c>
      <c r="F12" s="243">
        <f t="shared" si="7"/>
        <v>0.83763367125457644</v>
      </c>
      <c r="G12" s="108">
        <v>20537.830000000002</v>
      </c>
      <c r="H12" s="108">
        <v>18224.64</v>
      </c>
      <c r="I12" s="243">
        <f t="shared" si="8"/>
        <v>0.88736930824726845</v>
      </c>
      <c r="J12" s="108">
        <v>22973.65</v>
      </c>
      <c r="K12" s="108">
        <v>15929.81</v>
      </c>
      <c r="L12" s="243">
        <f t="shared" si="9"/>
        <v>0.69339482407018471</v>
      </c>
      <c r="M12" s="108">
        <v>21898.16</v>
      </c>
      <c r="N12" s="108">
        <v>12611.88</v>
      </c>
      <c r="O12" s="243">
        <f t="shared" si="10"/>
        <v>0.57593332042509504</v>
      </c>
      <c r="P12" s="108">
        <v>18998.349999999999</v>
      </c>
      <c r="Q12" s="108">
        <v>13368.36</v>
      </c>
      <c r="R12" s="243">
        <f t="shared" si="11"/>
        <v>0.70365900196596032</v>
      </c>
      <c r="S12" s="108">
        <v>15617.65</v>
      </c>
      <c r="T12" s="108">
        <v>16382.8</v>
      </c>
      <c r="U12" s="243">
        <f t="shared" si="12"/>
        <v>1.0489926461407446</v>
      </c>
      <c r="V12" s="108">
        <v>20687.400000000001</v>
      </c>
      <c r="W12" s="108">
        <v>16493.37</v>
      </c>
      <c r="X12" s="243">
        <f t="shared" si="13"/>
        <v>0.79726645204327262</v>
      </c>
      <c r="Y12" s="108">
        <v>12494.69</v>
      </c>
      <c r="Z12" s="108">
        <v>15030.66</v>
      </c>
      <c r="AA12" s="243">
        <f t="shared" si="14"/>
        <v>1.202963819030324</v>
      </c>
      <c r="AB12" s="108">
        <v>16077.04</v>
      </c>
      <c r="AC12" s="108">
        <v>7869.26</v>
      </c>
      <c r="AD12" s="243">
        <f t="shared" si="15"/>
        <v>0.48947194259639831</v>
      </c>
      <c r="AE12" s="108">
        <v>9818.91</v>
      </c>
      <c r="AF12" s="108">
        <v>12753.76</v>
      </c>
      <c r="AG12" s="243">
        <f t="shared" si="16"/>
        <v>1.2988977391584198</v>
      </c>
      <c r="AH12" s="108">
        <v>16296.08</v>
      </c>
      <c r="AI12" s="108">
        <v>12363.22</v>
      </c>
      <c r="AJ12" s="243">
        <f t="shared" si="17"/>
        <v>0.75866220588018707</v>
      </c>
      <c r="AK12" s="108">
        <v>13868.77</v>
      </c>
      <c r="AL12" s="108">
        <v>12855.36</v>
      </c>
      <c r="AM12" s="243">
        <f t="shared" si="18"/>
        <v>0.92692863173879159</v>
      </c>
      <c r="AN12" s="108">
        <v>19791.22</v>
      </c>
      <c r="AO12" s="108">
        <v>13555.96</v>
      </c>
      <c r="AP12" s="253">
        <f t="shared" si="19"/>
        <v>0.68494817398826335</v>
      </c>
      <c r="AQ12" s="108">
        <v>29149.81</v>
      </c>
      <c r="AR12" s="108">
        <v>16482.04</v>
      </c>
      <c r="AS12" s="253">
        <f t="shared" si="20"/>
        <v>0.56542529779782447</v>
      </c>
      <c r="AT12" s="108">
        <v>16731.45</v>
      </c>
      <c r="AU12" s="108">
        <v>13720.7</v>
      </c>
      <c r="AV12" s="253">
        <f t="shared" si="21"/>
        <v>0.82005444835922769</v>
      </c>
      <c r="AW12" s="108">
        <v>6427.61</v>
      </c>
      <c r="AX12" s="108">
        <v>7583.59</v>
      </c>
      <c r="AY12" s="253">
        <f t="shared" si="22"/>
        <v>1.1798460080807642</v>
      </c>
      <c r="AZ12" s="108">
        <v>7989.75</v>
      </c>
      <c r="BA12" s="108">
        <v>30055.439999999999</v>
      </c>
      <c r="BB12" s="253">
        <f t="shared" si="23"/>
        <v>3.7617497418567538</v>
      </c>
      <c r="BC12" s="108">
        <v>11215.76</v>
      </c>
      <c r="BD12" s="108">
        <v>8602.11</v>
      </c>
      <c r="BE12" s="253">
        <f t="shared" si="24"/>
        <v>0.76696630455715886</v>
      </c>
      <c r="BF12" s="108">
        <v>11172.41</v>
      </c>
      <c r="BG12" s="108">
        <v>8546.7099999999991</v>
      </c>
      <c r="BH12" s="253">
        <f t="shared" si="25"/>
        <v>0.76498356218577723</v>
      </c>
      <c r="BI12" s="108">
        <v>14536.03</v>
      </c>
      <c r="BJ12" s="108">
        <v>14960.31</v>
      </c>
      <c r="BK12" s="253">
        <f t="shared" si="26"/>
        <v>1.0291881621047836</v>
      </c>
      <c r="BL12" s="108">
        <v>20627.7</v>
      </c>
      <c r="BM12" s="108">
        <v>15413.46</v>
      </c>
      <c r="BN12" s="253">
        <f t="shared" si="27"/>
        <v>0.74722145464593714</v>
      </c>
      <c r="BO12" s="108">
        <v>16475.3</v>
      </c>
      <c r="BP12" s="108">
        <v>11817.57</v>
      </c>
      <c r="BQ12" s="253">
        <f t="shared" si="28"/>
        <v>0.71729012521775026</v>
      </c>
      <c r="BR12" s="108">
        <v>11270.24</v>
      </c>
      <c r="BS12" s="108">
        <v>9598.4599999999991</v>
      </c>
      <c r="BT12" s="253">
        <f t="shared" si="29"/>
        <v>0.85166420590865854</v>
      </c>
      <c r="BU12" s="108">
        <v>10367.68</v>
      </c>
      <c r="BV12" s="108">
        <v>12711.2</v>
      </c>
      <c r="BW12" s="253">
        <f t="shared" si="30"/>
        <v>1.2260409271891108</v>
      </c>
      <c r="BX12" s="108">
        <v>12273.51</v>
      </c>
      <c r="BY12" s="108">
        <v>13699.41</v>
      </c>
      <c r="BZ12" s="253">
        <f t="shared" si="31"/>
        <v>1.1161770349313276</v>
      </c>
      <c r="CA12" s="88">
        <v>10982.89</v>
      </c>
      <c r="CB12" s="108">
        <v>9240.81</v>
      </c>
      <c r="CC12" s="253">
        <f t="shared" si="32"/>
        <v>0.84138236839301861</v>
      </c>
      <c r="CD12" s="108">
        <v>16549.52</v>
      </c>
      <c r="CE12" s="108">
        <v>12322.36</v>
      </c>
      <c r="CF12" s="253">
        <f t="shared" si="33"/>
        <v>0.74457506924672134</v>
      </c>
      <c r="CG12" s="108">
        <v>24598.36</v>
      </c>
      <c r="CH12" s="108">
        <v>22531.439999999999</v>
      </c>
      <c r="CI12" s="253">
        <f t="shared" si="34"/>
        <v>0.91597326000595158</v>
      </c>
      <c r="CJ12" s="108">
        <v>14635.12</v>
      </c>
      <c r="CK12" s="108">
        <v>12667.16</v>
      </c>
      <c r="CL12" s="253">
        <f t="shared" si="35"/>
        <v>0.86553167995889335</v>
      </c>
      <c r="CM12" s="108">
        <v>14684.63</v>
      </c>
      <c r="CN12" s="108">
        <v>15277.65</v>
      </c>
      <c r="CO12" s="253">
        <f t="shared" si="36"/>
        <v>1.040383720938151</v>
      </c>
      <c r="CP12" s="108">
        <v>11705.45</v>
      </c>
      <c r="CQ12" s="108">
        <v>13021.16</v>
      </c>
      <c r="CR12" s="253">
        <f t="shared" si="37"/>
        <v>1.1124014881956694</v>
      </c>
      <c r="CS12" s="108">
        <v>9490.01</v>
      </c>
      <c r="CT12" s="108">
        <v>9245.36</v>
      </c>
      <c r="CU12" s="253">
        <f t="shared" si="38"/>
        <v>0.97422025898813602</v>
      </c>
      <c r="CV12" s="108">
        <v>22131.35</v>
      </c>
      <c r="CW12" s="108">
        <v>11813.6</v>
      </c>
      <c r="CX12" s="253">
        <f t="shared" si="39"/>
        <v>0.53379482046960536</v>
      </c>
      <c r="CY12" s="108">
        <v>15684.08</v>
      </c>
      <c r="CZ12" s="108">
        <v>14884.65</v>
      </c>
      <c r="DA12" s="253">
        <f t="shared" si="40"/>
        <v>0.94902920668601531</v>
      </c>
      <c r="DB12" s="108">
        <v>27087.91</v>
      </c>
      <c r="DC12" s="108">
        <v>23128.13</v>
      </c>
      <c r="DD12" s="253">
        <f t="shared" si="41"/>
        <v>0.8538174410650361</v>
      </c>
      <c r="DE12" s="108">
        <v>10059.709999999999</v>
      </c>
      <c r="DF12" s="108">
        <v>11952.07</v>
      </c>
      <c r="DG12" s="253">
        <f t="shared" si="42"/>
        <v>1.1881127785989856</v>
      </c>
      <c r="DH12" s="108">
        <v>16700</v>
      </c>
      <c r="DI12" s="108">
        <v>10991.25</v>
      </c>
      <c r="DJ12" s="253">
        <f t="shared" si="43"/>
        <v>0.65815868263473054</v>
      </c>
      <c r="DK12" s="108">
        <v>18525.18</v>
      </c>
      <c r="DL12" s="108">
        <v>18163.53</v>
      </c>
      <c r="DM12" s="253">
        <f t="shared" si="0"/>
        <v>0.98047792248172483</v>
      </c>
      <c r="DN12" s="108">
        <v>18662.12</v>
      </c>
      <c r="DO12" s="108">
        <v>8005.34</v>
      </c>
      <c r="DP12" s="253">
        <f t="shared" si="1"/>
        <v>0.42896198288297366</v>
      </c>
      <c r="DQ12" s="108">
        <v>44776.74</v>
      </c>
      <c r="DR12" s="108">
        <v>12549.15</v>
      </c>
      <c r="DS12" s="253">
        <f t="shared" si="2"/>
        <v>0.28026046558994694</v>
      </c>
      <c r="DT12" s="108">
        <v>51102.17</v>
      </c>
      <c r="DU12" s="108">
        <v>19907.939999999999</v>
      </c>
      <c r="DV12" s="253">
        <f t="shared" si="3"/>
        <v>0.38957132348782841</v>
      </c>
      <c r="DW12" s="108">
        <v>25355.69</v>
      </c>
      <c r="DX12" s="108">
        <v>35379.68</v>
      </c>
      <c r="DY12" s="253">
        <f t="shared" si="4"/>
        <v>1.395334932711356</v>
      </c>
      <c r="DZ12" s="108">
        <v>9519.2000000000007</v>
      </c>
      <c r="EA12" s="108">
        <v>19542.830000000002</v>
      </c>
      <c r="EB12" s="253">
        <f t="shared" si="44"/>
        <v>2.0529907975460122</v>
      </c>
      <c r="EC12" s="108">
        <v>11141.9</v>
      </c>
      <c r="ED12" s="108">
        <v>4195.32</v>
      </c>
      <c r="EE12" s="253">
        <f t="shared" si="45"/>
        <v>0.37653542035020954</v>
      </c>
      <c r="EF12" s="108">
        <v>14517.59</v>
      </c>
      <c r="EG12" s="108">
        <v>14424.34</v>
      </c>
      <c r="EH12" s="253">
        <f t="shared" si="46"/>
        <v>0.99357675757477648</v>
      </c>
      <c r="EI12" s="108">
        <v>7029.56</v>
      </c>
      <c r="EJ12" s="108">
        <v>9401.4</v>
      </c>
      <c r="EK12" s="253">
        <f t="shared" si="47"/>
        <v>1.3374094537922714</v>
      </c>
      <c r="EL12" s="108">
        <v>10159.89</v>
      </c>
      <c r="EM12" s="108">
        <v>9104.18</v>
      </c>
      <c r="EN12" s="253">
        <f t="shared" si="48"/>
        <v>0.89609041042767201</v>
      </c>
      <c r="EO12" s="108">
        <v>13713.86</v>
      </c>
      <c r="EP12" s="108">
        <v>30055.439999999999</v>
      </c>
      <c r="EQ12" s="253">
        <f t="shared" si="49"/>
        <v>2.1916105312435739</v>
      </c>
      <c r="ER12" s="108">
        <v>23475.279999999999</v>
      </c>
      <c r="ES12" s="108">
        <v>8602.11</v>
      </c>
      <c r="ET12" s="253">
        <f t="shared" si="50"/>
        <v>0.36643269004672152</v>
      </c>
      <c r="EU12" s="108">
        <v>11013.68</v>
      </c>
      <c r="EV12" s="108">
        <v>15415.54</v>
      </c>
      <c r="EW12" s="253">
        <f t="shared" si="51"/>
        <v>1.3996720442213684</v>
      </c>
      <c r="EX12" s="108">
        <v>14493.24</v>
      </c>
      <c r="EY12" s="108">
        <v>11879.91</v>
      </c>
      <c r="EZ12" s="253">
        <f t="shared" si="52"/>
        <v>0.8196862813283986</v>
      </c>
      <c r="FA12" s="108">
        <v>16078.52</v>
      </c>
      <c r="FB12" s="108">
        <v>8750.0400000000009</v>
      </c>
      <c r="FC12" s="253">
        <f t="shared" si="53"/>
        <v>0.54420680510395236</v>
      </c>
      <c r="FD12" s="108">
        <v>8513.2000000000007</v>
      </c>
      <c r="FE12" s="108">
        <v>6540.21</v>
      </c>
      <c r="FF12" s="253">
        <f t="shared" si="54"/>
        <v>0.76824343372644832</v>
      </c>
      <c r="FG12" s="108">
        <v>10021.969999999999</v>
      </c>
      <c r="FH12" s="108">
        <v>11570.65</v>
      </c>
      <c r="FI12" s="253">
        <f t="shared" si="55"/>
        <v>1.1545285008835589</v>
      </c>
      <c r="FJ12" s="108">
        <v>15219.14</v>
      </c>
      <c r="FK12" s="108">
        <v>10347.209999999999</v>
      </c>
      <c r="FL12" s="253">
        <f t="shared" si="56"/>
        <v>0.67988138620184846</v>
      </c>
      <c r="FM12" s="108">
        <v>20039.73</v>
      </c>
      <c r="FN12" s="108">
        <v>19460.03</v>
      </c>
      <c r="FO12" s="253">
        <f t="shared" si="57"/>
        <v>0.97107246454917306</v>
      </c>
      <c r="FP12" s="108">
        <v>9897.69</v>
      </c>
      <c r="FQ12" s="108">
        <v>11218.08</v>
      </c>
      <c r="FR12" s="253">
        <f t="shared" si="58"/>
        <v>1.1334038548388563</v>
      </c>
      <c r="FS12" s="108">
        <v>11877.02</v>
      </c>
      <c r="FT12" s="108">
        <v>8438.31</v>
      </c>
      <c r="FU12" s="253">
        <f t="shared" si="59"/>
        <v>0.71047367100501635</v>
      </c>
      <c r="FV12" s="108">
        <v>14830.27</v>
      </c>
      <c r="FW12" s="108">
        <v>9998.23</v>
      </c>
      <c r="FX12" s="253">
        <f t="shared" si="60"/>
        <v>0.67417720648376589</v>
      </c>
      <c r="FY12" s="108">
        <v>5935.56</v>
      </c>
      <c r="FZ12" s="108">
        <v>9849.42</v>
      </c>
      <c r="GA12" s="253">
        <f t="shared" si="61"/>
        <v>1.6593918686695104</v>
      </c>
      <c r="GB12" s="108">
        <v>8607.6299999999992</v>
      </c>
      <c r="GC12" s="108">
        <v>8227.74</v>
      </c>
      <c r="GD12" s="253">
        <f t="shared" si="62"/>
        <v>0.95586590036978825</v>
      </c>
      <c r="GE12" s="108">
        <v>15065.67</v>
      </c>
      <c r="GF12" s="108">
        <v>14613.22</v>
      </c>
      <c r="GG12" s="253">
        <f t="shared" si="63"/>
        <v>0.96996814612294036</v>
      </c>
      <c r="GH12" s="108">
        <v>22390.6</v>
      </c>
      <c r="GI12" s="108">
        <v>24596.43</v>
      </c>
      <c r="GJ12" s="253">
        <f t="shared" si="64"/>
        <v>1.0985158950631069</v>
      </c>
      <c r="GK12" s="108">
        <v>14836.04</v>
      </c>
      <c r="GL12" s="108">
        <v>12222.67</v>
      </c>
      <c r="GM12" s="253">
        <f t="shared" si="65"/>
        <v>0.82384989525506802</v>
      </c>
      <c r="GN12" s="108">
        <v>14868.68</v>
      </c>
      <c r="GO12" s="108">
        <v>10159.85</v>
      </c>
      <c r="GP12" s="253">
        <f t="shared" si="66"/>
        <v>0.68330544473349353</v>
      </c>
      <c r="GQ12" s="108">
        <v>17270.64</v>
      </c>
      <c r="GR12" s="108">
        <v>10712.51</v>
      </c>
      <c r="GS12" s="253">
        <f t="shared" si="67"/>
        <v>0.62027290245179101</v>
      </c>
      <c r="GT12" s="108">
        <v>9671.61</v>
      </c>
      <c r="GU12" s="108">
        <v>9045.8799999999992</v>
      </c>
      <c r="GV12" s="253">
        <f t="shared" si="68"/>
        <v>0.93530239536126858</v>
      </c>
      <c r="GW12" s="108">
        <v>14933.3</v>
      </c>
      <c r="GX12" s="108">
        <v>9867.81</v>
      </c>
      <c r="GY12" s="253">
        <f t="shared" si="69"/>
        <v>0.66079232319714998</v>
      </c>
      <c r="GZ12" s="108">
        <v>14933.3</v>
      </c>
      <c r="HA12" s="108">
        <v>13985.68</v>
      </c>
      <c r="HB12" s="253">
        <f t="shared" si="70"/>
        <v>0.93654316192670084</v>
      </c>
      <c r="HC12" s="108">
        <v>30727.19</v>
      </c>
      <c r="HD12" s="108">
        <v>21532.71</v>
      </c>
      <c r="HE12" s="253">
        <f t="shared" si="71"/>
        <v>0.70077055532900989</v>
      </c>
      <c r="HF12" s="108">
        <v>11525.58</v>
      </c>
      <c r="HG12" s="108">
        <v>12307.39</v>
      </c>
      <c r="HH12" s="253">
        <f t="shared" si="72"/>
        <v>1.0678325949756975</v>
      </c>
      <c r="HI12" s="108">
        <v>17051</v>
      </c>
      <c r="HJ12" s="108">
        <v>14036.96</v>
      </c>
      <c r="HK12" s="253">
        <f t="shared" si="73"/>
        <v>0.82323382792798072</v>
      </c>
      <c r="HL12" s="108">
        <v>11788.75</v>
      </c>
      <c r="HM12" s="108">
        <v>13145.25</v>
      </c>
      <c r="HN12" s="253">
        <f t="shared" si="74"/>
        <v>1.1150673311419785</v>
      </c>
      <c r="HO12" s="108">
        <v>12058.7</v>
      </c>
      <c r="HP12" s="108">
        <v>12560.4</v>
      </c>
      <c r="HQ12" s="253">
        <f t="shared" si="75"/>
        <v>1.041604816439583</v>
      </c>
      <c r="HR12" s="108">
        <v>8375.89</v>
      </c>
      <c r="HS12" s="108">
        <v>15285.06</v>
      </c>
      <c r="HT12" s="253">
        <f t="shared" si="76"/>
        <v>1.824887862662953</v>
      </c>
      <c r="HU12" s="108">
        <v>13834.21</v>
      </c>
      <c r="HV12" s="108">
        <v>18186.98</v>
      </c>
      <c r="HW12" s="253">
        <f t="shared" si="77"/>
        <v>1.3146381325713576</v>
      </c>
      <c r="HX12" s="108">
        <v>16754.810000000001</v>
      </c>
      <c r="HY12" s="108">
        <v>22238.5</v>
      </c>
      <c r="HZ12" s="253">
        <f t="shared" si="78"/>
        <v>1.3272904915066179</v>
      </c>
      <c r="IA12" s="108">
        <v>9751.41</v>
      </c>
      <c r="IB12" s="108">
        <v>10890.75</v>
      </c>
      <c r="IC12" s="253">
        <f t="shared" si="79"/>
        <v>1.1168384879725086</v>
      </c>
      <c r="ID12" s="353"/>
      <c r="IE12" s="353"/>
      <c r="IF12" s="353"/>
      <c r="IG12" s="353"/>
      <c r="IH12" s="353"/>
      <c r="II12" s="353"/>
      <c r="IJ12" s="353"/>
      <c r="IK12" s="353"/>
      <c r="IL12" s="353"/>
      <c r="IM12" s="353"/>
      <c r="IN12" s="353"/>
      <c r="IO12" s="353"/>
      <c r="IP12" s="353"/>
      <c r="IQ12" s="311">
        <f t="shared" si="80"/>
        <v>297234.13999999996</v>
      </c>
      <c r="IR12" s="311">
        <f t="shared" si="81"/>
        <v>282229.07999999996</v>
      </c>
      <c r="IS12" s="310">
        <f t="shared" si="5"/>
        <v>-15005.059999999998</v>
      </c>
      <c r="IT12" s="313">
        <f t="shared" si="6"/>
        <v>0.94951771017959108</v>
      </c>
      <c r="IU12" s="317">
        <f t="shared" si="82"/>
        <v>91388.94</v>
      </c>
      <c r="IV12" s="317">
        <f t="shared" si="83"/>
        <v>107760.54</v>
      </c>
      <c r="IW12" s="316">
        <f t="shared" si="84"/>
        <v>16371.599999999991</v>
      </c>
      <c r="IX12" s="320">
        <f t="shared" si="85"/>
        <v>1.1791420274707201</v>
      </c>
      <c r="IZ12" s="244"/>
      <c r="JA12" s="402"/>
      <c r="JB12" s="1495"/>
    </row>
    <row r="13" spans="3:262">
      <c r="C13" s="257" t="s">
        <v>18</v>
      </c>
      <c r="D13" s="108">
        <v>8869.41</v>
      </c>
      <c r="E13" s="108">
        <v>6549.82</v>
      </c>
      <c r="F13" s="243">
        <f t="shared" si="7"/>
        <v>0.7384730213170887</v>
      </c>
      <c r="G13" s="108">
        <v>18526.37</v>
      </c>
      <c r="H13" s="108">
        <v>16001.91</v>
      </c>
      <c r="I13" s="243">
        <f t="shared" si="8"/>
        <v>0.86373693281522501</v>
      </c>
      <c r="J13" s="108">
        <v>13892.63</v>
      </c>
      <c r="K13" s="108">
        <v>12026.67</v>
      </c>
      <c r="L13" s="243">
        <f t="shared" si="9"/>
        <v>0.86568705853391337</v>
      </c>
      <c r="M13" s="108">
        <v>12881.98</v>
      </c>
      <c r="N13" s="108">
        <v>10868.55</v>
      </c>
      <c r="O13" s="243">
        <f t="shared" si="10"/>
        <v>0.84370182223540169</v>
      </c>
      <c r="P13" s="108">
        <v>11282.54</v>
      </c>
      <c r="Q13" s="108">
        <v>8095.68</v>
      </c>
      <c r="R13" s="243">
        <f t="shared" si="11"/>
        <v>0.71754055381146442</v>
      </c>
      <c r="S13" s="108">
        <v>11281.8</v>
      </c>
      <c r="T13" s="108">
        <v>9826.3799999999992</v>
      </c>
      <c r="U13" s="243">
        <f t="shared" si="12"/>
        <v>0.87099399032069347</v>
      </c>
      <c r="V13" s="108">
        <v>21653.38</v>
      </c>
      <c r="W13" s="108">
        <v>13895.77</v>
      </c>
      <c r="X13" s="243">
        <f t="shared" si="13"/>
        <v>0.64173676349835451</v>
      </c>
      <c r="Y13" s="108">
        <v>7247.82</v>
      </c>
      <c r="Z13" s="108">
        <v>6414.06</v>
      </c>
      <c r="AA13" s="243">
        <f t="shared" si="14"/>
        <v>0.88496403056367301</v>
      </c>
      <c r="AB13" s="108">
        <v>12270.72</v>
      </c>
      <c r="AC13" s="108">
        <v>5313.2</v>
      </c>
      <c r="AD13" s="243">
        <f t="shared" si="15"/>
        <v>0.43299822667292548</v>
      </c>
      <c r="AE13" s="108">
        <v>11391.63</v>
      </c>
      <c r="AF13" s="108">
        <v>7313.02</v>
      </c>
      <c r="AG13" s="243">
        <f t="shared" si="16"/>
        <v>0.64196431941697552</v>
      </c>
      <c r="AH13" s="108">
        <v>10808.11</v>
      </c>
      <c r="AI13" s="108">
        <v>5879.15</v>
      </c>
      <c r="AJ13" s="243">
        <f t="shared" si="17"/>
        <v>0.54395726912475906</v>
      </c>
      <c r="AK13" s="108">
        <v>14434.09</v>
      </c>
      <c r="AL13" s="108">
        <v>8833.68</v>
      </c>
      <c r="AM13" s="243">
        <f t="shared" si="18"/>
        <v>0.61200117222492034</v>
      </c>
      <c r="AN13" s="108">
        <v>17050.16</v>
      </c>
      <c r="AO13" s="108">
        <v>11879.86</v>
      </c>
      <c r="AP13" s="253">
        <f t="shared" si="19"/>
        <v>0.69675944389964672</v>
      </c>
      <c r="AQ13" s="108">
        <v>22192.81</v>
      </c>
      <c r="AR13" s="108">
        <v>14207.49</v>
      </c>
      <c r="AS13" s="253">
        <f t="shared" si="20"/>
        <v>0.64018436601764261</v>
      </c>
      <c r="AT13" s="108">
        <v>8545.44</v>
      </c>
      <c r="AU13" s="108">
        <v>8695.84</v>
      </c>
      <c r="AV13" s="253">
        <f t="shared" si="21"/>
        <v>1.0176000299574977</v>
      </c>
      <c r="AW13" s="108">
        <v>10405.209999999999</v>
      </c>
      <c r="AX13" s="108">
        <v>10920.82</v>
      </c>
      <c r="AY13" s="253">
        <f t="shared" si="22"/>
        <v>1.0495530604379921</v>
      </c>
      <c r="AZ13" s="108">
        <v>9867.35</v>
      </c>
      <c r="BA13" s="108">
        <v>8795.64</v>
      </c>
      <c r="BB13" s="253">
        <f t="shared" si="23"/>
        <v>0.89138826533973148</v>
      </c>
      <c r="BC13" s="108">
        <v>8282.0400000000009</v>
      </c>
      <c r="BD13" s="108">
        <v>7413.21</v>
      </c>
      <c r="BE13" s="253">
        <f t="shared" si="24"/>
        <v>0.89509468681629156</v>
      </c>
      <c r="BF13" s="108">
        <v>8841.19</v>
      </c>
      <c r="BG13" s="108">
        <v>6070.05</v>
      </c>
      <c r="BH13" s="253">
        <f t="shared" si="25"/>
        <v>0.6865648176320156</v>
      </c>
      <c r="BI13" s="108">
        <v>13995.16</v>
      </c>
      <c r="BJ13" s="108">
        <v>7536.55</v>
      </c>
      <c r="BK13" s="253">
        <f t="shared" si="26"/>
        <v>0.53851117100483314</v>
      </c>
      <c r="BL13" s="108">
        <v>19620.71</v>
      </c>
      <c r="BM13" s="108">
        <v>11890.73</v>
      </c>
      <c r="BN13" s="253">
        <f t="shared" si="27"/>
        <v>0.606029547350733</v>
      </c>
      <c r="BO13" s="108">
        <v>11229.26</v>
      </c>
      <c r="BP13" s="108">
        <v>6465.91</v>
      </c>
      <c r="BQ13" s="253">
        <f t="shared" si="28"/>
        <v>0.5758090916053239</v>
      </c>
      <c r="BR13" s="108">
        <v>13274.11</v>
      </c>
      <c r="BS13" s="108">
        <v>6610.69</v>
      </c>
      <c r="BT13" s="253">
        <f t="shared" si="29"/>
        <v>0.49801380280862517</v>
      </c>
      <c r="BU13" s="108">
        <v>9186.93</v>
      </c>
      <c r="BV13" s="108">
        <v>7289.25</v>
      </c>
      <c r="BW13" s="253">
        <f t="shared" si="30"/>
        <v>0.79343698058001966</v>
      </c>
      <c r="BX13" s="108">
        <v>12145.38</v>
      </c>
      <c r="BY13" s="108">
        <v>6837.68</v>
      </c>
      <c r="BZ13" s="253">
        <f t="shared" si="31"/>
        <v>0.56298609018408652</v>
      </c>
      <c r="CA13" s="88">
        <v>9580.27</v>
      </c>
      <c r="CB13" s="108">
        <v>9623.4599999999991</v>
      </c>
      <c r="CC13" s="253">
        <f t="shared" si="32"/>
        <v>1.0045082236721927</v>
      </c>
      <c r="CD13" s="108">
        <v>14910.32</v>
      </c>
      <c r="CE13" s="108">
        <v>10544.15</v>
      </c>
      <c r="CF13" s="253">
        <f t="shared" si="33"/>
        <v>0.7071712746607719</v>
      </c>
      <c r="CG13" s="108">
        <v>22134.560000000001</v>
      </c>
      <c r="CH13" s="108">
        <v>14681.65</v>
      </c>
      <c r="CI13" s="253">
        <f t="shared" si="34"/>
        <v>0.66329079954604919</v>
      </c>
      <c r="CJ13" s="108">
        <v>10640.84</v>
      </c>
      <c r="CK13" s="108">
        <v>9575.16</v>
      </c>
      <c r="CL13" s="253">
        <f t="shared" si="35"/>
        <v>0.89985001184117042</v>
      </c>
      <c r="CM13" s="108">
        <v>15912.54</v>
      </c>
      <c r="CN13" s="108">
        <v>11478.9</v>
      </c>
      <c r="CO13" s="253">
        <f t="shared" si="36"/>
        <v>0.72137446315924414</v>
      </c>
      <c r="CP13" s="108">
        <v>8196.33</v>
      </c>
      <c r="CQ13" s="108">
        <v>8442.64</v>
      </c>
      <c r="CR13" s="253">
        <f t="shared" si="37"/>
        <v>1.0300512546468967</v>
      </c>
      <c r="CS13" s="108">
        <v>9263.1</v>
      </c>
      <c r="CT13" s="108">
        <v>7640.29</v>
      </c>
      <c r="CU13" s="253">
        <f t="shared" si="38"/>
        <v>0.82480918914834123</v>
      </c>
      <c r="CV13" s="108">
        <v>6860.07</v>
      </c>
      <c r="CW13" s="108">
        <v>6580.33</v>
      </c>
      <c r="CX13" s="253">
        <f t="shared" si="39"/>
        <v>0.95922199044616163</v>
      </c>
      <c r="CY13" s="108">
        <v>10963.68</v>
      </c>
      <c r="CZ13" s="108">
        <v>10614.39</v>
      </c>
      <c r="DA13" s="253">
        <f t="shared" si="40"/>
        <v>0.96814117157742652</v>
      </c>
      <c r="DB13" s="108">
        <v>22933.29</v>
      </c>
      <c r="DC13" s="108">
        <v>15886.94</v>
      </c>
      <c r="DD13" s="253">
        <f t="shared" si="41"/>
        <v>0.69274578571151368</v>
      </c>
      <c r="DE13" s="108">
        <v>9176.34</v>
      </c>
      <c r="DF13" s="108">
        <v>9909.19</v>
      </c>
      <c r="DG13" s="253">
        <f t="shared" si="42"/>
        <v>1.0798629954862178</v>
      </c>
      <c r="DH13" s="108">
        <v>12075.79</v>
      </c>
      <c r="DI13" s="108">
        <v>7185.5</v>
      </c>
      <c r="DJ13" s="253">
        <f t="shared" si="43"/>
        <v>0.59503353403793868</v>
      </c>
      <c r="DK13" s="108">
        <v>11691.92</v>
      </c>
      <c r="DL13" s="108">
        <v>8046.64</v>
      </c>
      <c r="DM13" s="253">
        <f t="shared" si="0"/>
        <v>0.68822229368658017</v>
      </c>
      <c r="DN13" s="108">
        <v>11791.87</v>
      </c>
      <c r="DO13" s="108">
        <v>7172.48</v>
      </c>
      <c r="DP13" s="253">
        <f t="shared" si="1"/>
        <v>0.60825636646265602</v>
      </c>
      <c r="DQ13" s="108">
        <v>27164.26</v>
      </c>
      <c r="DR13" s="108">
        <v>8591.08</v>
      </c>
      <c r="DS13" s="253">
        <f t="shared" si="2"/>
        <v>0.31626409112561876</v>
      </c>
      <c r="DT13" s="108">
        <v>29872.84</v>
      </c>
      <c r="DU13" s="108">
        <v>17540.740000000002</v>
      </c>
      <c r="DV13" s="253">
        <f t="shared" si="3"/>
        <v>0.58718019445087921</v>
      </c>
      <c r="DW13" s="108">
        <v>18999.25</v>
      </c>
      <c r="DX13" s="108">
        <v>24667.29</v>
      </c>
      <c r="DY13" s="253">
        <f t="shared" si="4"/>
        <v>1.2983296709080623</v>
      </c>
      <c r="DZ13" s="108">
        <v>8812.9699999999993</v>
      </c>
      <c r="EA13" s="108">
        <v>11371.01</v>
      </c>
      <c r="EB13" s="253">
        <f t="shared" si="44"/>
        <v>1.2902585620965465</v>
      </c>
      <c r="EC13" s="108">
        <v>9828.1299999999992</v>
      </c>
      <c r="ED13" s="108">
        <v>5310.56</v>
      </c>
      <c r="EE13" s="253">
        <f t="shared" si="45"/>
        <v>0.54034287295752104</v>
      </c>
      <c r="EF13" s="108">
        <v>9538.59</v>
      </c>
      <c r="EG13" s="108">
        <v>6459.64</v>
      </c>
      <c r="EH13" s="253">
        <f t="shared" si="46"/>
        <v>0.67721120207493979</v>
      </c>
      <c r="EI13" s="108">
        <v>8992.73</v>
      </c>
      <c r="EJ13" s="108">
        <v>4016.45</v>
      </c>
      <c r="EK13" s="253">
        <f t="shared" si="47"/>
        <v>0.44663300243641252</v>
      </c>
      <c r="EL13" s="108">
        <v>12038.97</v>
      </c>
      <c r="EM13" s="108">
        <v>6029.42</v>
      </c>
      <c r="EN13" s="253">
        <f t="shared" si="48"/>
        <v>0.50082523671044954</v>
      </c>
      <c r="EO13" s="108">
        <v>9979.27</v>
      </c>
      <c r="EP13" s="108">
        <v>8795.64</v>
      </c>
      <c r="EQ13" s="253">
        <f t="shared" si="49"/>
        <v>0.88139112379963658</v>
      </c>
      <c r="ER13" s="108">
        <v>20874.89</v>
      </c>
      <c r="ES13" s="108">
        <v>7413.21</v>
      </c>
      <c r="ET13" s="253">
        <f t="shared" si="50"/>
        <v>0.3551257036564025</v>
      </c>
      <c r="EU13" s="108">
        <v>7478.06</v>
      </c>
      <c r="EV13" s="108">
        <v>5642.09</v>
      </c>
      <c r="EW13" s="253">
        <f t="shared" si="51"/>
        <v>0.75448578909503261</v>
      </c>
      <c r="EX13" s="108">
        <v>10603.92</v>
      </c>
      <c r="EY13" s="108">
        <v>6255.83</v>
      </c>
      <c r="EZ13" s="253">
        <f t="shared" si="52"/>
        <v>0.58995446966782095</v>
      </c>
      <c r="FA13" s="108">
        <v>6754.32</v>
      </c>
      <c r="FB13" s="108">
        <v>6403.36</v>
      </c>
      <c r="FC13" s="253">
        <f t="shared" si="53"/>
        <v>0.9480391808501818</v>
      </c>
      <c r="FD13" s="108">
        <v>7760.64</v>
      </c>
      <c r="FE13" s="108">
        <v>4937.7700000000004</v>
      </c>
      <c r="FF13" s="253">
        <f t="shared" si="54"/>
        <v>0.63625809211611417</v>
      </c>
      <c r="FG13" s="108">
        <v>10685.19</v>
      </c>
      <c r="FH13" s="108">
        <v>5727.97</v>
      </c>
      <c r="FI13" s="253">
        <f t="shared" si="55"/>
        <v>0.53606627490947756</v>
      </c>
      <c r="FJ13" s="108">
        <v>13475.83</v>
      </c>
      <c r="FK13" s="108">
        <v>10543.44</v>
      </c>
      <c r="FL13" s="253">
        <f t="shared" si="56"/>
        <v>0.7823963347712164</v>
      </c>
      <c r="FM13" s="108">
        <v>22107.33</v>
      </c>
      <c r="FN13" s="108">
        <v>15376.38</v>
      </c>
      <c r="FO13" s="253">
        <f t="shared" si="57"/>
        <v>0.69553311051130995</v>
      </c>
      <c r="FP13" s="108">
        <v>7972.11</v>
      </c>
      <c r="FQ13" s="108">
        <v>6383.79</v>
      </c>
      <c r="FR13" s="253">
        <f t="shared" si="58"/>
        <v>0.80076541844003657</v>
      </c>
      <c r="FS13" s="108">
        <v>9495.7800000000007</v>
      </c>
      <c r="FT13" s="108">
        <v>5084.74</v>
      </c>
      <c r="FU13" s="253">
        <f t="shared" si="59"/>
        <v>0.53547365250669243</v>
      </c>
      <c r="FV13" s="108">
        <v>7525.42</v>
      </c>
      <c r="FW13" s="108">
        <v>6478.6</v>
      </c>
      <c r="FX13" s="253">
        <f t="shared" si="60"/>
        <v>0.86089547161487334</v>
      </c>
      <c r="FY13" s="108">
        <v>4817.68</v>
      </c>
      <c r="FZ13" s="108">
        <v>7915.94</v>
      </c>
      <c r="GA13" s="253">
        <f t="shared" si="61"/>
        <v>1.6431020740273325</v>
      </c>
      <c r="GB13" s="108">
        <v>7945.61</v>
      </c>
      <c r="GC13" s="108">
        <v>6184.46</v>
      </c>
      <c r="GD13" s="253">
        <f t="shared" si="62"/>
        <v>0.77834930231914234</v>
      </c>
      <c r="GE13" s="108">
        <v>11545.13</v>
      </c>
      <c r="GF13" s="108">
        <v>11434.57</v>
      </c>
      <c r="GG13" s="253">
        <f t="shared" si="63"/>
        <v>0.9904236678149142</v>
      </c>
      <c r="GH13" s="108">
        <v>19256.900000000001</v>
      </c>
      <c r="GI13" s="108">
        <v>14538.63</v>
      </c>
      <c r="GJ13" s="253">
        <f t="shared" si="64"/>
        <v>0.75498288925008683</v>
      </c>
      <c r="GK13" s="108">
        <v>7171.62</v>
      </c>
      <c r="GL13" s="108">
        <v>7333.11</v>
      </c>
      <c r="GM13" s="253">
        <f t="shared" si="65"/>
        <v>1.0225179248203335</v>
      </c>
      <c r="GN13" s="108">
        <v>8351.98</v>
      </c>
      <c r="GO13" s="108">
        <v>5410.44</v>
      </c>
      <c r="GP13" s="253">
        <f t="shared" si="66"/>
        <v>0.64780327539098514</v>
      </c>
      <c r="GQ13" s="108">
        <v>8379.14</v>
      </c>
      <c r="GR13" s="108">
        <v>7976.19</v>
      </c>
      <c r="GS13" s="253">
        <f t="shared" si="67"/>
        <v>0.9519103392472259</v>
      </c>
      <c r="GT13" s="108">
        <v>7408.41</v>
      </c>
      <c r="GU13" s="108">
        <v>5470.07</v>
      </c>
      <c r="GV13" s="253">
        <f t="shared" si="68"/>
        <v>0.73835951303990999</v>
      </c>
      <c r="GW13" s="108">
        <v>7473.89</v>
      </c>
      <c r="GX13" s="108">
        <v>8088.79</v>
      </c>
      <c r="GY13" s="253">
        <f t="shared" si="69"/>
        <v>1.0822730867058519</v>
      </c>
      <c r="GZ13" s="108">
        <v>7473.89</v>
      </c>
      <c r="HA13" s="108">
        <v>9449.76</v>
      </c>
      <c r="HB13" s="253">
        <f t="shared" si="70"/>
        <v>1.2643696923556542</v>
      </c>
      <c r="HC13" s="108">
        <v>21166.799999999999</v>
      </c>
      <c r="HD13" s="108">
        <v>15410.1</v>
      </c>
      <c r="HE13" s="253">
        <f t="shared" si="71"/>
        <v>0.72803163444639718</v>
      </c>
      <c r="HF13" s="108">
        <v>7248.77</v>
      </c>
      <c r="HG13" s="108">
        <v>8978.3799999999992</v>
      </c>
      <c r="HH13" s="253">
        <f t="shared" si="72"/>
        <v>1.2386073775274975</v>
      </c>
      <c r="HI13" s="108">
        <v>11583.93</v>
      </c>
      <c r="HJ13" s="108">
        <v>14473.28</v>
      </c>
      <c r="HK13" s="253">
        <f t="shared" si="73"/>
        <v>1.2494274395649836</v>
      </c>
      <c r="HL13" s="108">
        <v>11019.41</v>
      </c>
      <c r="HM13" s="108">
        <v>7443.25</v>
      </c>
      <c r="HN13" s="253">
        <f t="shared" si="74"/>
        <v>0.67546719833457514</v>
      </c>
      <c r="HO13" s="108">
        <v>6791.76</v>
      </c>
      <c r="HP13" s="108">
        <v>9793.75</v>
      </c>
      <c r="HQ13" s="253">
        <f t="shared" si="75"/>
        <v>1.4420047233706728</v>
      </c>
      <c r="HR13" s="108">
        <v>6374.07</v>
      </c>
      <c r="HS13" s="108">
        <v>8037.72</v>
      </c>
      <c r="HT13" s="253">
        <f t="shared" si="76"/>
        <v>1.2610027815822544</v>
      </c>
      <c r="HU13" s="108">
        <v>6788.1</v>
      </c>
      <c r="HV13" s="108">
        <v>12089.61</v>
      </c>
      <c r="HW13" s="253">
        <f t="shared" si="77"/>
        <v>1.7810005745348478</v>
      </c>
      <c r="HX13" s="108">
        <v>12000.17</v>
      </c>
      <c r="HY13" s="108">
        <v>15888.61</v>
      </c>
      <c r="HZ13" s="253">
        <f t="shared" si="78"/>
        <v>1.3240320762122537</v>
      </c>
      <c r="IA13" s="108">
        <v>5749.94</v>
      </c>
      <c r="IB13" s="108">
        <v>7446.66</v>
      </c>
      <c r="IC13" s="253">
        <f t="shared" si="79"/>
        <v>1.2950848182763648</v>
      </c>
      <c r="ID13" s="353"/>
      <c r="IE13" s="353"/>
      <c r="IF13" s="353"/>
      <c r="IG13" s="353"/>
      <c r="IH13" s="353"/>
      <c r="II13" s="353"/>
      <c r="IJ13" s="353"/>
      <c r="IK13" s="353"/>
      <c r="IL13" s="353"/>
      <c r="IM13" s="353"/>
      <c r="IN13" s="353"/>
      <c r="IO13" s="353"/>
      <c r="IP13" s="353"/>
      <c r="IQ13" s="311">
        <f t="shared" si="80"/>
        <v>197790.57</v>
      </c>
      <c r="IR13" s="311">
        <f t="shared" si="81"/>
        <v>193863.78999999998</v>
      </c>
      <c r="IS13" s="310">
        <f t="shared" si="5"/>
        <v>-3926.7800000000279</v>
      </c>
      <c r="IT13" s="313">
        <f t="shared" si="6"/>
        <v>0.98014677848392862</v>
      </c>
      <c r="IU13" s="317">
        <f t="shared" si="82"/>
        <v>61806.21</v>
      </c>
      <c r="IV13" s="317">
        <f t="shared" si="83"/>
        <v>76704.600000000006</v>
      </c>
      <c r="IW13" s="316">
        <f t="shared" si="84"/>
        <v>14898.390000000007</v>
      </c>
      <c r="IX13" s="320">
        <f t="shared" si="85"/>
        <v>1.2410500498250905</v>
      </c>
      <c r="IZ13" s="244"/>
      <c r="JA13" s="402"/>
      <c r="JB13" s="1495"/>
    </row>
    <row r="14" spans="3:262">
      <c r="C14" s="257" t="s">
        <v>19</v>
      </c>
      <c r="D14" s="108">
        <v>27991.9</v>
      </c>
      <c r="E14" s="108">
        <v>12633.9</v>
      </c>
      <c r="F14" s="243">
        <f t="shared" si="7"/>
        <v>0.45134128087053749</v>
      </c>
      <c r="G14" s="108">
        <v>21485.7</v>
      </c>
      <c r="H14" s="108">
        <v>9242.64</v>
      </c>
      <c r="I14" s="243">
        <f t="shared" si="8"/>
        <v>0.43017634985129638</v>
      </c>
      <c r="J14" s="108">
        <v>15812.88</v>
      </c>
      <c r="K14" s="108">
        <v>10315.950000000001</v>
      </c>
      <c r="L14" s="243">
        <f t="shared" si="9"/>
        <v>0.65237641719914408</v>
      </c>
      <c r="M14" s="108">
        <v>11994.8</v>
      </c>
      <c r="N14" s="108">
        <v>7721.45</v>
      </c>
      <c r="O14" s="243">
        <f t="shared" si="10"/>
        <v>0.64373311768432995</v>
      </c>
      <c r="P14" s="108">
        <v>12814.03</v>
      </c>
      <c r="Q14" s="108">
        <v>7310.78</v>
      </c>
      <c r="R14" s="243">
        <f t="shared" si="11"/>
        <v>0.57052933386296112</v>
      </c>
      <c r="S14" s="108">
        <v>13669.13</v>
      </c>
      <c r="T14" s="108">
        <v>9252.25</v>
      </c>
      <c r="U14" s="243">
        <f t="shared" si="12"/>
        <v>0.6768719004062439</v>
      </c>
      <c r="V14" s="108">
        <v>25272.57</v>
      </c>
      <c r="W14" s="108">
        <v>12846.14</v>
      </c>
      <c r="X14" s="243">
        <f t="shared" si="13"/>
        <v>0.50830366678181127</v>
      </c>
      <c r="Y14" s="108">
        <v>25855.03</v>
      </c>
      <c r="Z14" s="108">
        <v>6452.16</v>
      </c>
      <c r="AA14" s="243">
        <f t="shared" si="14"/>
        <v>0.24955144124760251</v>
      </c>
      <c r="AB14" s="108">
        <v>12311.21</v>
      </c>
      <c r="AC14" s="108">
        <v>4684.07</v>
      </c>
      <c r="AD14" s="243">
        <f t="shared" si="15"/>
        <v>0.38047194386254479</v>
      </c>
      <c r="AE14" s="108">
        <v>15159.24</v>
      </c>
      <c r="AF14" s="108">
        <v>3493.94</v>
      </c>
      <c r="AG14" s="243">
        <f t="shared" si="16"/>
        <v>0.23048253078650383</v>
      </c>
      <c r="AH14" s="108">
        <v>11601.37</v>
      </c>
      <c r="AI14" s="108">
        <v>6712.06</v>
      </c>
      <c r="AJ14" s="243">
        <f t="shared" si="17"/>
        <v>0.57855753242935959</v>
      </c>
      <c r="AK14" s="108">
        <v>14975.66</v>
      </c>
      <c r="AL14" s="108">
        <v>6367.87</v>
      </c>
      <c r="AM14" s="243">
        <f t="shared" si="18"/>
        <v>0.42521464830264577</v>
      </c>
      <c r="AN14" s="108">
        <v>19297.310000000001</v>
      </c>
      <c r="AO14" s="108">
        <v>6979.98</v>
      </c>
      <c r="AP14" s="253">
        <f t="shared" si="19"/>
        <v>0.36170740896010889</v>
      </c>
      <c r="AQ14" s="108">
        <v>28482.080000000002</v>
      </c>
      <c r="AR14" s="108">
        <v>11887.55</v>
      </c>
      <c r="AS14" s="253">
        <f t="shared" si="20"/>
        <v>0.417369447736963</v>
      </c>
      <c r="AT14" s="108">
        <v>23216.69</v>
      </c>
      <c r="AU14" s="108">
        <v>9587.76</v>
      </c>
      <c r="AV14" s="253">
        <f t="shared" si="21"/>
        <v>0.41296842917745813</v>
      </c>
      <c r="AW14" s="108">
        <v>12451.22</v>
      </c>
      <c r="AX14" s="108">
        <v>4725.24</v>
      </c>
      <c r="AY14" s="253">
        <f t="shared" si="22"/>
        <v>0.37950016142996429</v>
      </c>
      <c r="AZ14" s="108">
        <v>9796.17</v>
      </c>
      <c r="BA14" s="108">
        <v>3945.88</v>
      </c>
      <c r="BB14" s="253">
        <f t="shared" si="23"/>
        <v>0.40279823645363444</v>
      </c>
      <c r="BC14" s="108">
        <v>8905.9599999999991</v>
      </c>
      <c r="BD14" s="108">
        <v>3638.39</v>
      </c>
      <c r="BE14" s="253">
        <f t="shared" si="24"/>
        <v>0.40853428490583837</v>
      </c>
      <c r="BF14" s="108">
        <v>12487.61</v>
      </c>
      <c r="BG14" s="108">
        <v>6624.87</v>
      </c>
      <c r="BH14" s="253">
        <f t="shared" si="25"/>
        <v>0.53051544691097818</v>
      </c>
      <c r="BI14" s="108">
        <v>17191</v>
      </c>
      <c r="BJ14" s="108">
        <v>10408.780000000001</v>
      </c>
      <c r="BK14" s="253">
        <f t="shared" si="26"/>
        <v>0.60547844802512951</v>
      </c>
      <c r="BL14" s="108">
        <v>25907.39</v>
      </c>
      <c r="BM14" s="108">
        <v>15883.05</v>
      </c>
      <c r="BN14" s="253">
        <f t="shared" si="27"/>
        <v>0.61307024752396899</v>
      </c>
      <c r="BO14" s="108">
        <v>21464.35</v>
      </c>
      <c r="BP14" s="108">
        <v>9307.9500000000007</v>
      </c>
      <c r="BQ14" s="253">
        <f t="shared" si="28"/>
        <v>0.43364695413557836</v>
      </c>
      <c r="BR14" s="108">
        <v>11484.74</v>
      </c>
      <c r="BS14" s="108">
        <v>7296.37</v>
      </c>
      <c r="BT14" s="253">
        <f t="shared" si="29"/>
        <v>0.6353099852499926</v>
      </c>
      <c r="BU14" s="108">
        <v>9906.4</v>
      </c>
      <c r="BV14" s="108">
        <v>6917.59</v>
      </c>
      <c r="BW14" s="253">
        <f t="shared" si="30"/>
        <v>0.69829504158927569</v>
      </c>
      <c r="BX14" s="108">
        <v>9576.93</v>
      </c>
      <c r="BY14" s="108">
        <v>6868.82</v>
      </c>
      <c r="BZ14" s="253">
        <f t="shared" si="31"/>
        <v>0.71722566626257056</v>
      </c>
      <c r="CA14" s="88">
        <v>8879.27</v>
      </c>
      <c r="CB14" s="108">
        <v>9131.7000000000007</v>
      </c>
      <c r="CC14" s="253">
        <f t="shared" si="32"/>
        <v>1.0284291388819127</v>
      </c>
      <c r="CD14" s="108">
        <v>24981.41</v>
      </c>
      <c r="CE14" s="108">
        <v>8465.9599999999991</v>
      </c>
      <c r="CF14" s="253">
        <f t="shared" si="33"/>
        <v>0.33889039890062245</v>
      </c>
      <c r="CG14" s="108">
        <v>26706.21</v>
      </c>
      <c r="CH14" s="108">
        <v>14336.71</v>
      </c>
      <c r="CI14" s="253">
        <f t="shared" si="34"/>
        <v>0.5368305723650042</v>
      </c>
      <c r="CJ14" s="108">
        <v>23331.49</v>
      </c>
      <c r="CK14" s="108">
        <v>14252.06</v>
      </c>
      <c r="CL14" s="253">
        <f t="shared" si="35"/>
        <v>0.61085082864403428</v>
      </c>
      <c r="CM14" s="108">
        <v>19234.310000000001</v>
      </c>
      <c r="CN14" s="108">
        <v>14509.9</v>
      </c>
      <c r="CO14" s="253">
        <f t="shared" si="36"/>
        <v>0.75437590430849866</v>
      </c>
      <c r="CP14" s="108">
        <v>10744.53</v>
      </c>
      <c r="CQ14" s="108">
        <v>10356.14</v>
      </c>
      <c r="CR14" s="253">
        <f t="shared" si="37"/>
        <v>0.96385230438185743</v>
      </c>
      <c r="CS14" s="108">
        <v>9750.19</v>
      </c>
      <c r="CT14" s="108">
        <v>8241.98</v>
      </c>
      <c r="CU14" s="253">
        <f t="shared" si="38"/>
        <v>0.8453148092498709</v>
      </c>
      <c r="CV14" s="108">
        <v>13633.94</v>
      </c>
      <c r="CW14" s="108">
        <v>9873.73</v>
      </c>
      <c r="CX14" s="253">
        <f t="shared" si="39"/>
        <v>0.72420224821291568</v>
      </c>
      <c r="CY14" s="108">
        <v>20684.03</v>
      </c>
      <c r="CZ14" s="108">
        <v>19241.55</v>
      </c>
      <c r="DA14" s="253">
        <f t="shared" si="40"/>
        <v>0.93026117250845219</v>
      </c>
      <c r="DB14" s="108">
        <v>35028.269999999997</v>
      </c>
      <c r="DC14" s="108">
        <v>23233.68</v>
      </c>
      <c r="DD14" s="253">
        <f t="shared" si="41"/>
        <v>0.66328368486368305</v>
      </c>
      <c r="DE14" s="108">
        <v>24189.3</v>
      </c>
      <c r="DF14" s="108">
        <v>14892.87</v>
      </c>
      <c r="DG14" s="253">
        <f t="shared" si="42"/>
        <v>0.61568007342089281</v>
      </c>
      <c r="DH14" s="108">
        <v>11261.78</v>
      </c>
      <c r="DI14" s="108">
        <v>9553.06</v>
      </c>
      <c r="DJ14" s="253">
        <f t="shared" si="43"/>
        <v>0.84827265316850431</v>
      </c>
      <c r="DK14" s="108">
        <v>14829.12</v>
      </c>
      <c r="DL14" s="108">
        <v>11145.92</v>
      </c>
      <c r="DM14" s="253">
        <f t="shared" si="0"/>
        <v>0.75162383202779393</v>
      </c>
      <c r="DN14" s="108">
        <v>18513.34</v>
      </c>
      <c r="DO14" s="108">
        <v>8923.69</v>
      </c>
      <c r="DP14" s="253">
        <f t="shared" si="1"/>
        <v>0.48201405040905643</v>
      </c>
      <c r="DQ14" s="108">
        <v>40709.24</v>
      </c>
      <c r="DR14" s="108">
        <v>17065.830000000002</v>
      </c>
      <c r="DS14" s="253">
        <f t="shared" si="2"/>
        <v>0.41921268979720583</v>
      </c>
      <c r="DT14" s="108">
        <v>37570.959999999999</v>
      </c>
      <c r="DU14" s="108">
        <v>23932.6</v>
      </c>
      <c r="DV14" s="253">
        <f t="shared" si="3"/>
        <v>0.63699729791306903</v>
      </c>
      <c r="DW14" s="108">
        <v>31372.18</v>
      </c>
      <c r="DX14" s="108">
        <v>28597.86</v>
      </c>
      <c r="DY14" s="253">
        <f t="shared" si="4"/>
        <v>0.91156750981283419</v>
      </c>
      <c r="DZ14" s="108">
        <v>22953.91</v>
      </c>
      <c r="EA14" s="108">
        <v>11088.27</v>
      </c>
      <c r="EB14" s="253">
        <f t="shared" si="44"/>
        <v>0.48306671935195356</v>
      </c>
      <c r="EC14" s="108">
        <v>11773.62</v>
      </c>
      <c r="ED14" s="108">
        <v>8026.56</v>
      </c>
      <c r="EE14" s="253">
        <f t="shared" si="45"/>
        <v>0.68174104481034714</v>
      </c>
      <c r="EF14" s="108">
        <v>10028.280000000001</v>
      </c>
      <c r="EG14" s="108">
        <v>8527.6200000000008</v>
      </c>
      <c r="EH14" s="253">
        <f t="shared" si="46"/>
        <v>0.850357189867056</v>
      </c>
      <c r="EI14" s="108">
        <v>8509.49</v>
      </c>
      <c r="EJ14" s="108">
        <v>7220.86</v>
      </c>
      <c r="EK14" s="253">
        <f t="shared" si="47"/>
        <v>0.84856554270584961</v>
      </c>
      <c r="EL14" s="108">
        <v>11378.74</v>
      </c>
      <c r="EM14" s="108">
        <v>9014.59</v>
      </c>
      <c r="EN14" s="253">
        <f t="shared" si="48"/>
        <v>0.79223094999973642</v>
      </c>
      <c r="EO14" s="108">
        <v>16387.8</v>
      </c>
      <c r="EP14" s="108">
        <v>3945.88</v>
      </c>
      <c r="EQ14" s="253">
        <f t="shared" si="49"/>
        <v>0.24078155701192352</v>
      </c>
      <c r="ER14" s="108">
        <v>30034.76</v>
      </c>
      <c r="ES14" s="108">
        <v>3638.39</v>
      </c>
      <c r="ET14" s="253">
        <f t="shared" si="50"/>
        <v>0.12113930659009761</v>
      </c>
      <c r="EU14" s="108">
        <v>22228.34</v>
      </c>
      <c r="EV14" s="108">
        <v>13080.72</v>
      </c>
      <c r="EW14" s="253">
        <f t="shared" si="51"/>
        <v>0.58847039410050406</v>
      </c>
      <c r="EX14" s="108">
        <v>11538.63</v>
      </c>
      <c r="EY14" s="108">
        <v>9470.1299999999992</v>
      </c>
      <c r="EZ14" s="253">
        <f t="shared" si="52"/>
        <v>0.82073261730378733</v>
      </c>
      <c r="FA14" s="108">
        <v>10802.39</v>
      </c>
      <c r="FB14" s="108">
        <v>7732.77</v>
      </c>
      <c r="FC14" s="253">
        <f t="shared" si="53"/>
        <v>0.71583880974488057</v>
      </c>
      <c r="FD14" s="108">
        <v>8699.83</v>
      </c>
      <c r="FE14" s="108">
        <v>9022.84</v>
      </c>
      <c r="FF14" s="253">
        <f t="shared" si="54"/>
        <v>1.0371283117026424</v>
      </c>
      <c r="FG14" s="108">
        <v>12624.36</v>
      </c>
      <c r="FH14" s="108">
        <v>11996.12</v>
      </c>
      <c r="FI14" s="253">
        <f t="shared" si="55"/>
        <v>0.95023589314626644</v>
      </c>
      <c r="FJ14" s="108">
        <v>17523.12</v>
      </c>
      <c r="FK14" s="108">
        <v>12729.92</v>
      </c>
      <c r="FL14" s="253">
        <f t="shared" si="56"/>
        <v>0.7264642369623675</v>
      </c>
      <c r="FM14" s="108">
        <v>35913.730000000003</v>
      </c>
      <c r="FN14" s="108">
        <v>24132.55</v>
      </c>
      <c r="FO14" s="253">
        <f t="shared" si="57"/>
        <v>0.67195888591911779</v>
      </c>
      <c r="FP14" s="108">
        <v>21187.15</v>
      </c>
      <c r="FQ14" s="108">
        <v>12319.33</v>
      </c>
      <c r="FR14" s="253">
        <f t="shared" si="58"/>
        <v>0.58145290895660806</v>
      </c>
      <c r="FS14" s="108">
        <v>15318.85</v>
      </c>
      <c r="FT14" s="108">
        <v>9009.52</v>
      </c>
      <c r="FU14" s="253">
        <f t="shared" si="59"/>
        <v>0.58813292120492078</v>
      </c>
      <c r="FV14" s="108">
        <v>10481.15</v>
      </c>
      <c r="FW14" s="108">
        <v>12554.71</v>
      </c>
      <c r="FX14" s="253">
        <f t="shared" si="60"/>
        <v>1.1978370694055518</v>
      </c>
      <c r="FY14" s="108">
        <v>5858.2</v>
      </c>
      <c r="FZ14" s="108">
        <v>8539.44</v>
      </c>
      <c r="GA14" s="253">
        <f t="shared" si="61"/>
        <v>1.457690075449797</v>
      </c>
      <c r="GB14" s="108">
        <v>13423.12</v>
      </c>
      <c r="GC14" s="108">
        <v>6898.96</v>
      </c>
      <c r="GD14" s="253">
        <f t="shared" si="62"/>
        <v>0.51396098671545809</v>
      </c>
      <c r="GE14" s="108">
        <v>18049.740000000002</v>
      </c>
      <c r="GF14" s="108">
        <v>13228.8</v>
      </c>
      <c r="GG14" s="253">
        <f t="shared" si="63"/>
        <v>0.73290806404967601</v>
      </c>
      <c r="GH14" s="108">
        <v>24256.19</v>
      </c>
      <c r="GI14" s="108">
        <v>22862.639999999999</v>
      </c>
      <c r="GJ14" s="253">
        <f t="shared" si="64"/>
        <v>0.9425486855107913</v>
      </c>
      <c r="GK14" s="108">
        <v>25657.49</v>
      </c>
      <c r="GL14" s="108">
        <v>15695.7</v>
      </c>
      <c r="GM14" s="253">
        <f t="shared" si="65"/>
        <v>0.61173949595225408</v>
      </c>
      <c r="GN14" s="108">
        <v>14698.8</v>
      </c>
      <c r="GO14" s="108">
        <v>6331.27</v>
      </c>
      <c r="GP14" s="253">
        <f t="shared" si="66"/>
        <v>0.43073380139875367</v>
      </c>
      <c r="GQ14" s="108">
        <v>10227.68</v>
      </c>
      <c r="GR14" s="108">
        <v>7158.39</v>
      </c>
      <c r="GS14" s="253">
        <f t="shared" si="67"/>
        <v>0.6999035949501744</v>
      </c>
      <c r="GT14" s="108">
        <v>13974.5</v>
      </c>
      <c r="GU14" s="108">
        <v>7532.22</v>
      </c>
      <c r="GV14" s="253">
        <f t="shared" si="68"/>
        <v>0.53899745965866397</v>
      </c>
      <c r="GW14" s="108">
        <v>10724.12</v>
      </c>
      <c r="GX14" s="108">
        <v>9476.74</v>
      </c>
      <c r="GY14" s="253">
        <f t="shared" si="69"/>
        <v>0.88368462866883246</v>
      </c>
      <c r="GZ14" s="108">
        <v>10724.12</v>
      </c>
      <c r="HA14" s="108">
        <v>11381.98</v>
      </c>
      <c r="HB14" s="253">
        <f t="shared" si="70"/>
        <v>1.0613439610895812</v>
      </c>
      <c r="HC14" s="108">
        <v>27010.63</v>
      </c>
      <c r="HD14" s="108">
        <v>14218.89</v>
      </c>
      <c r="HE14" s="253">
        <f t="shared" si="71"/>
        <v>0.52641830272007717</v>
      </c>
      <c r="HF14" s="108">
        <v>21436.32</v>
      </c>
      <c r="HG14" s="108">
        <v>18700.45</v>
      </c>
      <c r="HH14" s="253">
        <f t="shared" si="72"/>
        <v>0.87237221687304545</v>
      </c>
      <c r="HI14" s="108">
        <v>15120.66</v>
      </c>
      <c r="HJ14" s="108">
        <v>12504.23</v>
      </c>
      <c r="HK14" s="253">
        <f t="shared" si="73"/>
        <v>0.82696324102254792</v>
      </c>
      <c r="HL14" s="108">
        <v>8445.4699999999993</v>
      </c>
      <c r="HM14" s="108">
        <v>7437.38</v>
      </c>
      <c r="HN14" s="253">
        <f t="shared" si="74"/>
        <v>0.88063541756705077</v>
      </c>
      <c r="HO14" s="108">
        <v>5055.45</v>
      </c>
      <c r="HP14" s="108">
        <v>7311.62</v>
      </c>
      <c r="HQ14" s="253">
        <f t="shared" si="75"/>
        <v>1.4462847026476378</v>
      </c>
      <c r="HR14" s="108">
        <v>6589.36</v>
      </c>
      <c r="HS14" s="108">
        <v>11042.71</v>
      </c>
      <c r="HT14" s="253">
        <f t="shared" si="76"/>
        <v>1.6758395352507678</v>
      </c>
      <c r="HU14" s="108">
        <v>10021.69</v>
      </c>
      <c r="HV14" s="108">
        <v>15127.3</v>
      </c>
      <c r="HW14" s="253">
        <f t="shared" si="77"/>
        <v>1.5094559899577815</v>
      </c>
      <c r="HX14" s="108">
        <v>9496.82</v>
      </c>
      <c r="HY14" s="108">
        <v>21147.24</v>
      </c>
      <c r="HZ14" s="253">
        <f t="shared" si="78"/>
        <v>2.2267706453318059</v>
      </c>
      <c r="IA14" s="108">
        <v>5351.73</v>
      </c>
      <c r="IB14" s="108">
        <v>11249.9</v>
      </c>
      <c r="IC14" s="253">
        <f t="shared" si="79"/>
        <v>2.1021053005289878</v>
      </c>
      <c r="ID14" s="353"/>
      <c r="IE14" s="353"/>
      <c r="IF14" s="353"/>
      <c r="IG14" s="353"/>
      <c r="IH14" s="353"/>
      <c r="II14" s="353"/>
      <c r="IJ14" s="353"/>
      <c r="IK14" s="353"/>
      <c r="IL14" s="353"/>
      <c r="IM14" s="353"/>
      <c r="IN14" s="353"/>
      <c r="IO14" s="353"/>
      <c r="IP14" s="353"/>
      <c r="IQ14" s="311">
        <f t="shared" si="80"/>
        <v>297757.51</v>
      </c>
      <c r="IR14" s="311">
        <f t="shared" si="81"/>
        <v>250479.52000000002</v>
      </c>
      <c r="IS14" s="310">
        <f t="shared" si="5"/>
        <v>-47277.989999999991</v>
      </c>
      <c r="IT14" s="313">
        <f t="shared" si="6"/>
        <v>0.84121982347313429</v>
      </c>
      <c r="IU14" s="317">
        <f t="shared" si="82"/>
        <v>76165.76999999999</v>
      </c>
      <c r="IV14" s="317">
        <f t="shared" si="83"/>
        <v>93270.930000000008</v>
      </c>
      <c r="IW14" s="316">
        <f t="shared" si="84"/>
        <v>17105.160000000018</v>
      </c>
      <c r="IX14" s="320">
        <f t="shared" si="85"/>
        <v>1.2245780486431113</v>
      </c>
      <c r="IZ14" s="244"/>
      <c r="JA14" s="402"/>
      <c r="JB14" s="1495"/>
    </row>
    <row r="15" spans="3:262">
      <c r="C15" s="257" t="s">
        <v>20</v>
      </c>
      <c r="D15" s="108">
        <v>8661.0300000000007</v>
      </c>
      <c r="E15" s="108">
        <v>2758.15</v>
      </c>
      <c r="F15" s="243">
        <f t="shared" si="7"/>
        <v>0.31845519528277816</v>
      </c>
      <c r="G15" s="108">
        <v>22112.98</v>
      </c>
      <c r="H15" s="108">
        <v>6785.08</v>
      </c>
      <c r="I15" s="243">
        <f t="shared" si="8"/>
        <v>0.30683697990953729</v>
      </c>
      <c r="J15" s="108">
        <v>11463</v>
      </c>
      <c r="K15" s="108">
        <v>10501.56</v>
      </c>
      <c r="L15" s="243">
        <f t="shared" si="9"/>
        <v>0.91612666841141055</v>
      </c>
      <c r="M15" s="108">
        <v>5911.14</v>
      </c>
      <c r="N15" s="108">
        <v>7629.22</v>
      </c>
      <c r="O15" s="243">
        <f t="shared" si="10"/>
        <v>1.2906512111031037</v>
      </c>
      <c r="P15" s="108">
        <v>9088.8700000000008</v>
      </c>
      <c r="Q15" s="108">
        <v>6287.58</v>
      </c>
      <c r="R15" s="243">
        <f t="shared" si="11"/>
        <v>0.69178896826558189</v>
      </c>
      <c r="S15" s="108">
        <v>7205.06</v>
      </c>
      <c r="T15" s="108">
        <v>6352.13</v>
      </c>
      <c r="U15" s="243">
        <f t="shared" si="12"/>
        <v>0.88162069434536283</v>
      </c>
      <c r="V15" s="108">
        <v>13389.87</v>
      </c>
      <c r="W15" s="108">
        <v>5807.24</v>
      </c>
      <c r="X15" s="243">
        <f t="shared" si="13"/>
        <v>0.43370398667052029</v>
      </c>
      <c r="Y15" s="108">
        <v>5807.39</v>
      </c>
      <c r="Z15" s="108">
        <v>2326.3200000000002</v>
      </c>
      <c r="AA15" s="243">
        <f t="shared" si="14"/>
        <v>0.40057926194038973</v>
      </c>
      <c r="AB15" s="108">
        <v>10163.17</v>
      </c>
      <c r="AC15" s="108">
        <v>5030.6899999999996</v>
      </c>
      <c r="AD15" s="243">
        <f t="shared" si="15"/>
        <v>0.49499221207556299</v>
      </c>
      <c r="AE15" s="108">
        <v>7934.73</v>
      </c>
      <c r="AF15" s="108">
        <v>4876.5600000000004</v>
      </c>
      <c r="AG15" s="243">
        <f t="shared" si="16"/>
        <v>0.61458423916125704</v>
      </c>
      <c r="AH15" s="108">
        <v>9282.68</v>
      </c>
      <c r="AI15" s="108">
        <v>3793.77</v>
      </c>
      <c r="AJ15" s="243">
        <f t="shared" si="17"/>
        <v>0.40869339458001352</v>
      </c>
      <c r="AK15" s="108">
        <v>10115.049999999999</v>
      </c>
      <c r="AL15" s="108">
        <v>6695.08</v>
      </c>
      <c r="AM15" s="243">
        <f t="shared" si="18"/>
        <v>0.66189292193315907</v>
      </c>
      <c r="AN15" s="108">
        <v>10827.54</v>
      </c>
      <c r="AO15" s="108">
        <v>5478.3</v>
      </c>
      <c r="AP15" s="253">
        <f t="shared" si="19"/>
        <v>0.50595980250361572</v>
      </c>
      <c r="AQ15" s="108">
        <v>19193.5</v>
      </c>
      <c r="AR15" s="108">
        <v>11005.24</v>
      </c>
      <c r="AS15" s="253">
        <f t="shared" si="20"/>
        <v>0.57338369760596031</v>
      </c>
      <c r="AT15" s="108">
        <v>6568.74</v>
      </c>
      <c r="AU15" s="108">
        <v>4039.68</v>
      </c>
      <c r="AV15" s="253">
        <f t="shared" si="21"/>
        <v>0.61498552233761727</v>
      </c>
      <c r="AW15" s="108">
        <v>10944.17</v>
      </c>
      <c r="AX15" s="108">
        <v>5255.02</v>
      </c>
      <c r="AY15" s="253">
        <f t="shared" si="22"/>
        <v>0.48016615238981125</v>
      </c>
      <c r="AZ15" s="108">
        <v>8503.56</v>
      </c>
      <c r="BA15" s="108">
        <v>7008.19</v>
      </c>
      <c r="BB15" s="253">
        <f t="shared" si="23"/>
        <v>0.82414776869922712</v>
      </c>
      <c r="BC15" s="108">
        <v>5530.37</v>
      </c>
      <c r="BD15" s="108">
        <v>5140.63</v>
      </c>
      <c r="BE15" s="253">
        <f t="shared" si="24"/>
        <v>0.92952731914862841</v>
      </c>
      <c r="BF15" s="108">
        <v>3615.99</v>
      </c>
      <c r="BG15" s="108">
        <v>7558.05</v>
      </c>
      <c r="BH15" s="253">
        <f t="shared" si="25"/>
        <v>2.0901744750400306</v>
      </c>
      <c r="BI15" s="108">
        <v>8291.65</v>
      </c>
      <c r="BJ15" s="108">
        <v>11856.57</v>
      </c>
      <c r="BK15" s="253">
        <f t="shared" si="26"/>
        <v>1.4299409647054566</v>
      </c>
      <c r="BL15" s="108">
        <v>15857.57</v>
      </c>
      <c r="BM15" s="108">
        <v>8781.81</v>
      </c>
      <c r="BN15" s="253">
        <f t="shared" si="27"/>
        <v>0.5537929203528662</v>
      </c>
      <c r="BO15" s="108">
        <v>6171.64</v>
      </c>
      <c r="BP15" s="108">
        <v>3707.9</v>
      </c>
      <c r="BQ15" s="253">
        <f t="shared" si="28"/>
        <v>0.60079654678497119</v>
      </c>
      <c r="BR15" s="108">
        <v>9071.7000000000007</v>
      </c>
      <c r="BS15" s="108">
        <v>5601.35</v>
      </c>
      <c r="BT15" s="253">
        <f t="shared" si="29"/>
        <v>0.61745317856631066</v>
      </c>
      <c r="BU15" s="108">
        <v>6330.87</v>
      </c>
      <c r="BV15" s="108">
        <v>7436.46</v>
      </c>
      <c r="BW15" s="253">
        <f t="shared" si="30"/>
        <v>1.1746347658378706</v>
      </c>
      <c r="BX15" s="108">
        <v>6255.18</v>
      </c>
      <c r="BY15" s="108">
        <v>8828.85</v>
      </c>
      <c r="BZ15" s="253">
        <f t="shared" si="31"/>
        <v>1.4114461933949143</v>
      </c>
      <c r="CA15" s="88">
        <v>6561.87</v>
      </c>
      <c r="CB15" s="108">
        <v>3273.22</v>
      </c>
      <c r="CC15" s="253">
        <f t="shared" si="32"/>
        <v>0.49882426808211683</v>
      </c>
      <c r="CD15" s="108">
        <v>11913.3</v>
      </c>
      <c r="CE15" s="108">
        <v>11445.01</v>
      </c>
      <c r="CF15" s="253">
        <f t="shared" si="33"/>
        <v>0.96069183181822004</v>
      </c>
      <c r="CG15" s="108">
        <v>14308.07</v>
      </c>
      <c r="CH15" s="108">
        <v>15451.72</v>
      </c>
      <c r="CI15" s="253">
        <f t="shared" si="34"/>
        <v>1.0799304168906079</v>
      </c>
      <c r="CJ15" s="108">
        <v>8135.16</v>
      </c>
      <c r="CK15" s="108">
        <v>3999.38</v>
      </c>
      <c r="CL15" s="253">
        <f t="shared" si="35"/>
        <v>0.49161663691924928</v>
      </c>
      <c r="CM15" s="108">
        <v>11763.19</v>
      </c>
      <c r="CN15" s="108">
        <v>5800.57</v>
      </c>
      <c r="CO15" s="253">
        <f t="shared" si="36"/>
        <v>0.49311198747958668</v>
      </c>
      <c r="CP15" s="108">
        <v>9947.5</v>
      </c>
      <c r="CQ15" s="108">
        <v>6466.09</v>
      </c>
      <c r="CR15" s="253">
        <f t="shared" si="37"/>
        <v>0.65002161347072129</v>
      </c>
      <c r="CS15" s="108">
        <v>6194.67</v>
      </c>
      <c r="CT15" s="108">
        <v>7034.1</v>
      </c>
      <c r="CU15" s="253">
        <f t="shared" si="38"/>
        <v>1.135508429020432</v>
      </c>
      <c r="CV15" s="108">
        <v>7123.47</v>
      </c>
      <c r="CW15" s="108">
        <v>7547.83</v>
      </c>
      <c r="CX15" s="253">
        <f t="shared" si="39"/>
        <v>1.0595720905682202</v>
      </c>
      <c r="CY15" s="108">
        <v>8958.65</v>
      </c>
      <c r="CZ15" s="108">
        <v>7498.91</v>
      </c>
      <c r="DA15" s="253">
        <f t="shared" si="40"/>
        <v>0.83705803887862573</v>
      </c>
      <c r="DB15" s="108">
        <v>16286.48</v>
      </c>
      <c r="DC15" s="108">
        <v>12315.96</v>
      </c>
      <c r="DD15" s="253">
        <f t="shared" si="41"/>
        <v>0.75620760287060185</v>
      </c>
      <c r="DE15" s="108">
        <v>8392.58</v>
      </c>
      <c r="DF15" s="108">
        <v>4717.1899999999996</v>
      </c>
      <c r="DG15" s="253">
        <f t="shared" si="42"/>
        <v>0.56206673037373489</v>
      </c>
      <c r="DH15" s="108">
        <v>9738.64</v>
      </c>
      <c r="DI15" s="108">
        <v>5342.68</v>
      </c>
      <c r="DJ15" s="253">
        <f t="shared" si="43"/>
        <v>0.54860637624966124</v>
      </c>
      <c r="DK15" s="108">
        <v>8172.98</v>
      </c>
      <c r="DL15" s="108">
        <v>8480.2900000000009</v>
      </c>
      <c r="DM15" s="253">
        <f t="shared" si="0"/>
        <v>1.0376007282533424</v>
      </c>
      <c r="DN15" s="108">
        <v>13402.04</v>
      </c>
      <c r="DO15" s="108">
        <v>7349.05</v>
      </c>
      <c r="DP15" s="253">
        <f t="shared" si="1"/>
        <v>0.54835308654503345</v>
      </c>
      <c r="DQ15" s="108">
        <v>23752.73</v>
      </c>
      <c r="DR15" s="108">
        <v>8759.23</v>
      </c>
      <c r="DS15" s="253">
        <f t="shared" si="2"/>
        <v>0.36876729538036257</v>
      </c>
      <c r="DT15" s="108">
        <v>23543.11</v>
      </c>
      <c r="DU15" s="108">
        <v>11991.79</v>
      </c>
      <c r="DV15" s="253">
        <f t="shared" si="3"/>
        <v>0.50935454151979076</v>
      </c>
      <c r="DW15" s="108">
        <v>25782.16</v>
      </c>
      <c r="DX15" s="108">
        <v>16910.95</v>
      </c>
      <c r="DY15" s="253">
        <f t="shared" si="4"/>
        <v>0.65591672691504521</v>
      </c>
      <c r="DZ15" s="108">
        <v>5723.17</v>
      </c>
      <c r="EA15" s="108">
        <v>8998.94</v>
      </c>
      <c r="EB15" s="253">
        <f t="shared" si="44"/>
        <v>1.5723698579633316</v>
      </c>
      <c r="EC15" s="108">
        <v>9234.84</v>
      </c>
      <c r="ED15" s="108">
        <v>7363.69</v>
      </c>
      <c r="EE15" s="253">
        <f t="shared" si="45"/>
        <v>0.79738143811912277</v>
      </c>
      <c r="EF15" s="108">
        <v>7437.63</v>
      </c>
      <c r="EG15" s="108">
        <v>5000.55</v>
      </c>
      <c r="EH15" s="253">
        <f t="shared" si="46"/>
        <v>0.67233110547311448</v>
      </c>
      <c r="EI15" s="108">
        <v>6367.49</v>
      </c>
      <c r="EJ15" s="108">
        <v>4812.3500000000004</v>
      </c>
      <c r="EK15" s="253">
        <f t="shared" si="47"/>
        <v>0.75576875660582121</v>
      </c>
      <c r="EL15" s="108">
        <v>6882.41</v>
      </c>
      <c r="EM15" s="108">
        <v>3170.46</v>
      </c>
      <c r="EN15" s="253">
        <f t="shared" si="48"/>
        <v>0.46066130904726688</v>
      </c>
      <c r="EO15" s="108">
        <v>11568.56</v>
      </c>
      <c r="EP15" s="108">
        <v>7008.19</v>
      </c>
      <c r="EQ15" s="253">
        <f t="shared" si="49"/>
        <v>0.60579622701528968</v>
      </c>
      <c r="ER15" s="108">
        <v>12714.7</v>
      </c>
      <c r="ES15" s="108">
        <v>5140.63</v>
      </c>
      <c r="ET15" s="253">
        <f t="shared" si="50"/>
        <v>0.40430603946612975</v>
      </c>
      <c r="EU15" s="108">
        <v>6008.43</v>
      </c>
      <c r="EV15" s="108">
        <v>1605.91</v>
      </c>
      <c r="EW15" s="253">
        <f t="shared" si="51"/>
        <v>0.26727614368478952</v>
      </c>
      <c r="EX15" s="108">
        <v>12596.82</v>
      </c>
      <c r="EY15" s="108">
        <v>4231.5</v>
      </c>
      <c r="EZ15" s="253">
        <f t="shared" si="52"/>
        <v>0.33591811266653016</v>
      </c>
      <c r="FA15" s="108">
        <v>5369.08</v>
      </c>
      <c r="FB15" s="108">
        <v>3911.29</v>
      </c>
      <c r="FC15" s="253">
        <f t="shared" si="53"/>
        <v>0.72848420958525484</v>
      </c>
      <c r="FD15" s="108">
        <v>3325.11</v>
      </c>
      <c r="FE15" s="108">
        <v>4663.8100000000004</v>
      </c>
      <c r="FF15" s="253">
        <f t="shared" si="54"/>
        <v>1.4026032221490417</v>
      </c>
      <c r="FG15" s="108">
        <v>6906.09</v>
      </c>
      <c r="FH15" s="108">
        <v>4164.16</v>
      </c>
      <c r="FI15" s="253">
        <f t="shared" si="55"/>
        <v>0.60296926336030954</v>
      </c>
      <c r="FJ15" s="108">
        <v>7885.02</v>
      </c>
      <c r="FK15" s="108">
        <v>9399.09</v>
      </c>
      <c r="FL15" s="253">
        <f t="shared" si="56"/>
        <v>1.192018536414619</v>
      </c>
      <c r="FM15" s="108">
        <v>14179.83</v>
      </c>
      <c r="FN15" s="108">
        <v>9869.67</v>
      </c>
      <c r="FO15" s="253">
        <f t="shared" si="57"/>
        <v>0.69603584810255126</v>
      </c>
      <c r="FP15" s="108">
        <v>5804.17</v>
      </c>
      <c r="FQ15" s="108">
        <v>3034.53</v>
      </c>
      <c r="FR15" s="253">
        <f t="shared" si="58"/>
        <v>0.52281893879745078</v>
      </c>
      <c r="FS15" s="108">
        <v>7054.26</v>
      </c>
      <c r="FT15" s="108">
        <v>6324.59</v>
      </c>
      <c r="FU15" s="253">
        <f t="shared" si="59"/>
        <v>0.89656321144953544</v>
      </c>
      <c r="FV15" s="108">
        <v>7897.43</v>
      </c>
      <c r="FW15" s="108">
        <v>5042.4799999999996</v>
      </c>
      <c r="FX15" s="253">
        <f t="shared" si="60"/>
        <v>0.63849632095504483</v>
      </c>
      <c r="FY15" s="108">
        <v>12333.89</v>
      </c>
      <c r="FZ15" s="108">
        <v>6486.29</v>
      </c>
      <c r="GA15" s="253">
        <f t="shared" si="61"/>
        <v>0.525891669213849</v>
      </c>
      <c r="GB15" s="108">
        <v>8660.2199999999993</v>
      </c>
      <c r="GC15" s="108">
        <v>4974.6899999999996</v>
      </c>
      <c r="GD15" s="253">
        <f t="shared" si="62"/>
        <v>0.57442997983884936</v>
      </c>
      <c r="GE15" s="108">
        <v>7659.03</v>
      </c>
      <c r="GF15" s="108">
        <v>5617.61</v>
      </c>
      <c r="GG15" s="253">
        <f t="shared" si="63"/>
        <v>0.73346233139183414</v>
      </c>
      <c r="GH15" s="108">
        <v>17181.150000000001</v>
      </c>
      <c r="GI15" s="108">
        <v>9140.2999999999993</v>
      </c>
      <c r="GJ15" s="253">
        <f t="shared" si="64"/>
        <v>0.53199582100150444</v>
      </c>
      <c r="GK15" s="108">
        <v>2165.96</v>
      </c>
      <c r="GL15" s="108">
        <v>5596.74</v>
      </c>
      <c r="GM15" s="253">
        <f t="shared" si="65"/>
        <v>2.5839535356146928</v>
      </c>
      <c r="GN15" s="108">
        <v>7761.38</v>
      </c>
      <c r="GO15" s="108">
        <v>5524.64</v>
      </c>
      <c r="GP15" s="253">
        <f t="shared" si="66"/>
        <v>0.7118115592845603</v>
      </c>
      <c r="GQ15" s="108">
        <v>7787.41</v>
      </c>
      <c r="GR15" s="108">
        <v>3591.87</v>
      </c>
      <c r="GS15" s="253">
        <f t="shared" si="67"/>
        <v>0.46124064355157879</v>
      </c>
      <c r="GT15" s="108">
        <v>6456.27</v>
      </c>
      <c r="GU15" s="108">
        <v>6508.98</v>
      </c>
      <c r="GV15" s="253">
        <f t="shared" si="68"/>
        <v>1.0081641567034834</v>
      </c>
      <c r="GW15" s="108">
        <v>4303.82</v>
      </c>
      <c r="GX15" s="108">
        <v>5515.55</v>
      </c>
      <c r="GY15" s="253">
        <f t="shared" si="69"/>
        <v>1.281547555427504</v>
      </c>
      <c r="GZ15" s="108">
        <v>4303.82</v>
      </c>
      <c r="HA15" s="108">
        <v>10997.49</v>
      </c>
      <c r="HB15" s="253">
        <f t="shared" si="70"/>
        <v>2.5552857693862663</v>
      </c>
      <c r="HC15" s="108">
        <v>16426.32</v>
      </c>
      <c r="HD15" s="108">
        <v>12033.95</v>
      </c>
      <c r="HE15" s="253">
        <f t="shared" si="71"/>
        <v>0.73260170263333491</v>
      </c>
      <c r="HF15" s="108">
        <v>7079.42</v>
      </c>
      <c r="HG15" s="108">
        <v>6891.12</v>
      </c>
      <c r="HH15" s="253">
        <f t="shared" si="72"/>
        <v>0.97340177585169407</v>
      </c>
      <c r="HI15" s="108">
        <v>7898.3</v>
      </c>
      <c r="HJ15" s="108">
        <v>8350.74</v>
      </c>
      <c r="HK15" s="253">
        <f t="shared" si="73"/>
        <v>1.0572832128432701</v>
      </c>
      <c r="HL15" s="108">
        <v>6248.14</v>
      </c>
      <c r="HM15" s="108">
        <v>7452.09</v>
      </c>
      <c r="HN15" s="253">
        <f t="shared" si="74"/>
        <v>1.1926893443488782</v>
      </c>
      <c r="HO15" s="108">
        <v>4575.5600000000004</v>
      </c>
      <c r="HP15" s="108">
        <v>4952.34</v>
      </c>
      <c r="HQ15" s="253">
        <f t="shared" si="75"/>
        <v>1.0823462046175769</v>
      </c>
      <c r="HR15" s="108">
        <v>4194.09</v>
      </c>
      <c r="HS15" s="108">
        <v>8569.9599999999991</v>
      </c>
      <c r="HT15" s="253">
        <f t="shared" si="76"/>
        <v>2.0433419406831992</v>
      </c>
      <c r="HU15" s="108">
        <v>7943.52</v>
      </c>
      <c r="HV15" s="108">
        <v>6871.97</v>
      </c>
      <c r="HW15" s="253">
        <f t="shared" si="77"/>
        <v>0.86510388341692346</v>
      </c>
      <c r="HX15" s="108">
        <v>9043.6200000000008</v>
      </c>
      <c r="HY15" s="108">
        <v>11059.89</v>
      </c>
      <c r="HZ15" s="253">
        <f t="shared" si="78"/>
        <v>1.2229494383886097</v>
      </c>
      <c r="IA15" s="108">
        <v>3215.58</v>
      </c>
      <c r="IB15" s="108">
        <v>6610.23</v>
      </c>
      <c r="IC15" s="253">
        <f t="shared" si="79"/>
        <v>2.0556882428675385</v>
      </c>
      <c r="ID15" s="353"/>
      <c r="IE15" s="353"/>
      <c r="IF15" s="353"/>
      <c r="IG15" s="353"/>
      <c r="IH15" s="353"/>
      <c r="II15" s="353"/>
      <c r="IJ15" s="353"/>
      <c r="IK15" s="353"/>
      <c r="IL15" s="353"/>
      <c r="IM15" s="353"/>
      <c r="IN15" s="353"/>
      <c r="IO15" s="353"/>
      <c r="IP15" s="353"/>
      <c r="IQ15" s="311">
        <f t="shared" si="80"/>
        <v>162777.78000000003</v>
      </c>
      <c r="IR15" s="311">
        <f t="shared" si="81"/>
        <v>144537.82</v>
      </c>
      <c r="IS15" s="310">
        <f t="shared" si="5"/>
        <v>-18239.960000000021</v>
      </c>
      <c r="IT15" s="313">
        <f t="shared" si="6"/>
        <v>0.88794563975500818</v>
      </c>
      <c r="IU15" s="317">
        <f t="shared" si="82"/>
        <v>46982.65</v>
      </c>
      <c r="IV15" s="317">
        <f t="shared" si="83"/>
        <v>54148.11</v>
      </c>
      <c r="IW15" s="316">
        <f t="shared" si="84"/>
        <v>7165.4599999999991</v>
      </c>
      <c r="IX15" s="320">
        <f t="shared" si="85"/>
        <v>1.1525128957178874</v>
      </c>
      <c r="IZ15" s="244"/>
      <c r="JA15" s="402"/>
      <c r="JB15" s="1495"/>
    </row>
    <row r="16" spans="3:262">
      <c r="C16" s="257" t="s">
        <v>21</v>
      </c>
      <c r="D16" s="108">
        <v>8476.98</v>
      </c>
      <c r="E16" s="108">
        <v>4631.3500000000004</v>
      </c>
      <c r="F16" s="243">
        <f t="shared" si="7"/>
        <v>0.54634433489285106</v>
      </c>
      <c r="G16" s="108">
        <v>11464.78</v>
      </c>
      <c r="H16" s="108">
        <v>4299.17</v>
      </c>
      <c r="I16" s="243">
        <f t="shared" si="8"/>
        <v>0.37498931510242672</v>
      </c>
      <c r="J16" s="108">
        <v>9469.19</v>
      </c>
      <c r="K16" s="108">
        <v>6770.6</v>
      </c>
      <c r="L16" s="243">
        <f t="shared" si="9"/>
        <v>0.71501363897017589</v>
      </c>
      <c r="M16" s="108">
        <v>7511</v>
      </c>
      <c r="N16" s="108">
        <v>5469.79</v>
      </c>
      <c r="O16" s="243">
        <f t="shared" si="10"/>
        <v>0.7282372520303555</v>
      </c>
      <c r="P16" s="108">
        <v>6892.33</v>
      </c>
      <c r="Q16" s="108">
        <v>5299.39</v>
      </c>
      <c r="R16" s="243">
        <f t="shared" si="11"/>
        <v>0.76888222125173933</v>
      </c>
      <c r="S16" s="108">
        <v>12301.76</v>
      </c>
      <c r="T16" s="108">
        <v>4940.76</v>
      </c>
      <c r="U16" s="243">
        <f t="shared" si="12"/>
        <v>0.40163033582186614</v>
      </c>
      <c r="V16" s="108">
        <v>17737.46</v>
      </c>
      <c r="W16" s="108">
        <v>7795.88</v>
      </c>
      <c r="X16" s="243">
        <f t="shared" si="13"/>
        <v>0.43951501511490376</v>
      </c>
      <c r="Y16" s="108">
        <v>4705.99</v>
      </c>
      <c r="Z16" s="108">
        <v>4358.53</v>
      </c>
      <c r="AA16" s="243">
        <f t="shared" si="14"/>
        <v>0.92616643894270922</v>
      </c>
      <c r="AB16" s="108">
        <v>10514.25</v>
      </c>
      <c r="AC16" s="108">
        <v>5344.59</v>
      </c>
      <c r="AD16" s="243">
        <f t="shared" si="15"/>
        <v>0.50831871032170628</v>
      </c>
      <c r="AE16" s="108">
        <v>4789.4799999999996</v>
      </c>
      <c r="AF16" s="108">
        <v>5039.6400000000003</v>
      </c>
      <c r="AG16" s="243">
        <f t="shared" si="16"/>
        <v>1.0522311399149804</v>
      </c>
      <c r="AH16" s="108">
        <v>6821.84</v>
      </c>
      <c r="AI16" s="108">
        <v>4784.3999999999996</v>
      </c>
      <c r="AJ16" s="243">
        <f t="shared" si="17"/>
        <v>0.70133571001372053</v>
      </c>
      <c r="AK16" s="108">
        <v>6986.74</v>
      </c>
      <c r="AL16" s="108">
        <v>4208.42</v>
      </c>
      <c r="AM16" s="243">
        <f t="shared" si="18"/>
        <v>0.60234386852809751</v>
      </c>
      <c r="AN16" s="108">
        <v>10136.209999999999</v>
      </c>
      <c r="AO16" s="108">
        <v>8168.55</v>
      </c>
      <c r="AP16" s="253">
        <f t="shared" si="19"/>
        <v>0.80587813393763552</v>
      </c>
      <c r="AQ16" s="108">
        <v>16006.07</v>
      </c>
      <c r="AR16" s="108">
        <v>7611.59</v>
      </c>
      <c r="AS16" s="253">
        <f t="shared" si="20"/>
        <v>0.47554396550808536</v>
      </c>
      <c r="AT16" s="108">
        <v>5276.06</v>
      </c>
      <c r="AU16" s="108">
        <v>5199.6400000000003</v>
      </c>
      <c r="AV16" s="253">
        <f t="shared" si="21"/>
        <v>0.98551570679635936</v>
      </c>
      <c r="AW16" s="108">
        <v>8087.51</v>
      </c>
      <c r="AX16" s="108">
        <v>3304.77</v>
      </c>
      <c r="AY16" s="253">
        <f t="shared" si="22"/>
        <v>0.4086263880972017</v>
      </c>
      <c r="AZ16" s="108">
        <v>6344.52</v>
      </c>
      <c r="BA16" s="108">
        <v>4526.6099999999997</v>
      </c>
      <c r="BB16" s="253">
        <f t="shared" si="23"/>
        <v>0.71346768549866646</v>
      </c>
      <c r="BC16" s="108">
        <v>9466.07</v>
      </c>
      <c r="BD16" s="108">
        <v>4348.21</v>
      </c>
      <c r="BE16" s="253">
        <f t="shared" si="24"/>
        <v>0.45934690954112956</v>
      </c>
      <c r="BF16" s="108">
        <v>6774.16</v>
      </c>
      <c r="BG16" s="108">
        <v>2636.75</v>
      </c>
      <c r="BH16" s="253">
        <f t="shared" si="25"/>
        <v>0.38923645145671198</v>
      </c>
      <c r="BI16" s="108">
        <v>10732.59</v>
      </c>
      <c r="BJ16" s="108">
        <v>7347.85</v>
      </c>
      <c r="BK16" s="253">
        <f t="shared" si="26"/>
        <v>0.68462971193346622</v>
      </c>
      <c r="BL16" s="108">
        <v>17371.82</v>
      </c>
      <c r="BM16" s="108">
        <v>7082.55</v>
      </c>
      <c r="BN16" s="253">
        <f t="shared" si="27"/>
        <v>0.40770339549914747</v>
      </c>
      <c r="BO16" s="108">
        <v>6971.42</v>
      </c>
      <c r="BP16" s="108">
        <v>2099.1999999999998</v>
      </c>
      <c r="BQ16" s="253">
        <f t="shared" si="28"/>
        <v>0.30111512432187415</v>
      </c>
      <c r="BR16" s="108">
        <v>6018.97</v>
      </c>
      <c r="BS16" s="108">
        <v>3845.7</v>
      </c>
      <c r="BT16" s="253">
        <f t="shared" si="29"/>
        <v>0.63892991658041154</v>
      </c>
      <c r="BU16" s="108">
        <v>6691.21</v>
      </c>
      <c r="BV16" s="108">
        <v>2347.16</v>
      </c>
      <c r="BW16" s="253">
        <f t="shared" si="30"/>
        <v>0.35078259388062843</v>
      </c>
      <c r="BX16" s="108">
        <v>5267.39</v>
      </c>
      <c r="BY16" s="108">
        <v>4507.09</v>
      </c>
      <c r="BZ16" s="253">
        <f t="shared" si="31"/>
        <v>0.85565906454619833</v>
      </c>
      <c r="CA16" s="88">
        <v>6337.11</v>
      </c>
      <c r="CB16" s="108">
        <v>4637.7299999999996</v>
      </c>
      <c r="CC16" s="253">
        <f t="shared" si="32"/>
        <v>0.73183675208415189</v>
      </c>
      <c r="CD16" s="108">
        <v>12910.91</v>
      </c>
      <c r="CE16" s="108">
        <v>7136.89</v>
      </c>
      <c r="CF16" s="253">
        <f t="shared" si="33"/>
        <v>0.55277978082102663</v>
      </c>
      <c r="CG16" s="108">
        <v>15970.82</v>
      </c>
      <c r="CH16" s="108">
        <v>11245.01</v>
      </c>
      <c r="CI16" s="253">
        <f t="shared" si="34"/>
        <v>0.70409722230918637</v>
      </c>
      <c r="CJ16" s="108">
        <v>5215.82</v>
      </c>
      <c r="CK16" s="108">
        <v>3578.04</v>
      </c>
      <c r="CL16" s="253">
        <f t="shared" si="35"/>
        <v>0.68599759961041606</v>
      </c>
      <c r="CM16" s="108">
        <v>7142.97</v>
      </c>
      <c r="CN16" s="108">
        <v>5593.23</v>
      </c>
      <c r="CO16" s="253">
        <f t="shared" si="36"/>
        <v>0.78303982797071803</v>
      </c>
      <c r="CP16" s="108">
        <v>6841.15</v>
      </c>
      <c r="CQ16" s="108">
        <v>5084.22</v>
      </c>
      <c r="CR16" s="253">
        <f t="shared" si="37"/>
        <v>0.74318206734247905</v>
      </c>
      <c r="CS16" s="108">
        <v>4735.6000000000004</v>
      </c>
      <c r="CT16" s="108">
        <v>6036.68</v>
      </c>
      <c r="CU16" s="253">
        <f t="shared" si="38"/>
        <v>1.2747444885547765</v>
      </c>
      <c r="CV16" s="108">
        <v>7297.01</v>
      </c>
      <c r="CW16" s="108">
        <v>4484.43</v>
      </c>
      <c r="CX16" s="253">
        <f t="shared" si="39"/>
        <v>0.61455719534439446</v>
      </c>
      <c r="CY16" s="108">
        <v>8779.25</v>
      </c>
      <c r="CZ16" s="108">
        <v>5572.06</v>
      </c>
      <c r="DA16" s="253">
        <f t="shared" si="40"/>
        <v>0.63468519520460176</v>
      </c>
      <c r="DB16" s="108">
        <v>12753.43</v>
      </c>
      <c r="DC16" s="108">
        <v>11836.23</v>
      </c>
      <c r="DD16" s="253">
        <f t="shared" si="41"/>
        <v>0.92808209242533179</v>
      </c>
      <c r="DE16" s="108">
        <v>4763.62</v>
      </c>
      <c r="DF16" s="108">
        <v>4628.37</v>
      </c>
      <c r="DG16" s="253">
        <f t="shared" si="42"/>
        <v>0.97160772689677177</v>
      </c>
      <c r="DH16" s="108">
        <v>5949.71</v>
      </c>
      <c r="DI16" s="108">
        <v>6879.1</v>
      </c>
      <c r="DJ16" s="253">
        <f t="shared" si="43"/>
        <v>1.156207613480321</v>
      </c>
      <c r="DK16" s="108">
        <v>8714.9500000000007</v>
      </c>
      <c r="DL16" s="108">
        <v>4152.71</v>
      </c>
      <c r="DM16" s="253">
        <f t="shared" si="0"/>
        <v>0.47650416812488883</v>
      </c>
      <c r="DN16" s="108">
        <v>8951.48</v>
      </c>
      <c r="DO16" s="108">
        <v>5384.23</v>
      </c>
      <c r="DP16" s="253">
        <f t="shared" si="1"/>
        <v>0.60149047978658277</v>
      </c>
      <c r="DQ16" s="108">
        <v>21736.85</v>
      </c>
      <c r="DR16" s="108">
        <v>5249.35</v>
      </c>
      <c r="DS16" s="253">
        <f t="shared" si="2"/>
        <v>0.24149543287090819</v>
      </c>
      <c r="DT16" s="108">
        <v>22104.5</v>
      </c>
      <c r="DU16" s="108">
        <v>10321.6</v>
      </c>
      <c r="DV16" s="253">
        <f t="shared" si="3"/>
        <v>0.46694564455201432</v>
      </c>
      <c r="DW16" s="108">
        <v>14983.48</v>
      </c>
      <c r="DX16" s="108">
        <v>13752.25</v>
      </c>
      <c r="DY16" s="253">
        <f t="shared" si="4"/>
        <v>0.9178275006874238</v>
      </c>
      <c r="DZ16" s="108">
        <v>6038.1</v>
      </c>
      <c r="EA16" s="108">
        <v>6042.77</v>
      </c>
      <c r="EB16" s="253">
        <f t="shared" si="44"/>
        <v>1.0007734221029794</v>
      </c>
      <c r="EC16" s="108">
        <v>8808.8700000000008</v>
      </c>
      <c r="ED16" s="108">
        <v>1914.25</v>
      </c>
      <c r="EE16" s="253">
        <f t="shared" si="45"/>
        <v>0.21730937112251625</v>
      </c>
      <c r="EF16" s="108">
        <v>7524.04</v>
      </c>
      <c r="EG16" s="108">
        <v>5214.2700000000004</v>
      </c>
      <c r="EH16" s="253">
        <f t="shared" si="46"/>
        <v>0.69301465701936726</v>
      </c>
      <c r="EI16" s="108">
        <v>6987.8</v>
      </c>
      <c r="EJ16" s="108">
        <v>2863.28</v>
      </c>
      <c r="EK16" s="253">
        <f t="shared" si="47"/>
        <v>0.40975414293482931</v>
      </c>
      <c r="EL16" s="108">
        <v>6914.22</v>
      </c>
      <c r="EM16" s="108">
        <v>4399.43</v>
      </c>
      <c r="EN16" s="253">
        <f t="shared" si="48"/>
        <v>0.63628724570522777</v>
      </c>
      <c r="EO16" s="108">
        <v>6325.98</v>
      </c>
      <c r="EP16" s="108">
        <v>4526.6099999999997</v>
      </c>
      <c r="EQ16" s="253">
        <f t="shared" si="49"/>
        <v>0.71555869604393307</v>
      </c>
      <c r="ER16" s="108">
        <v>15710.25</v>
      </c>
      <c r="ES16" s="108">
        <v>4348.21</v>
      </c>
      <c r="ET16" s="253">
        <f t="shared" si="50"/>
        <v>0.27677535367037442</v>
      </c>
      <c r="EU16" s="108">
        <v>7616.93</v>
      </c>
      <c r="EV16" s="108">
        <v>3862.53</v>
      </c>
      <c r="EW16" s="253">
        <f t="shared" si="51"/>
        <v>0.50709800405150107</v>
      </c>
      <c r="EX16" s="108">
        <v>5987.43</v>
      </c>
      <c r="EY16" s="108">
        <v>5964.46</v>
      </c>
      <c r="EZ16" s="253">
        <f t="shared" si="52"/>
        <v>0.99616362947040715</v>
      </c>
      <c r="FA16" s="108">
        <v>5714.14</v>
      </c>
      <c r="FB16" s="108">
        <v>5102.42</v>
      </c>
      <c r="FC16" s="253">
        <f t="shared" si="53"/>
        <v>0.89294627012988825</v>
      </c>
      <c r="FD16" s="108">
        <v>6110.76</v>
      </c>
      <c r="FE16" s="108">
        <v>3760.81</v>
      </c>
      <c r="FF16" s="253">
        <f t="shared" si="54"/>
        <v>0.61544063258907233</v>
      </c>
      <c r="FG16" s="108">
        <v>6488.45</v>
      </c>
      <c r="FH16" s="108">
        <v>5593.5</v>
      </c>
      <c r="FI16" s="253">
        <f t="shared" si="55"/>
        <v>0.86207029413804537</v>
      </c>
      <c r="FJ16" s="108">
        <v>9655.02</v>
      </c>
      <c r="FK16" s="108">
        <v>5478.61</v>
      </c>
      <c r="FL16" s="253">
        <f t="shared" si="56"/>
        <v>0.56743642167494213</v>
      </c>
      <c r="FM16" s="108">
        <v>14789.9</v>
      </c>
      <c r="FN16" s="108">
        <v>11179.53</v>
      </c>
      <c r="FO16" s="253">
        <f t="shared" si="57"/>
        <v>0.75588949215342904</v>
      </c>
      <c r="FP16" s="108">
        <v>5386.99</v>
      </c>
      <c r="FQ16" s="108">
        <v>4021.42</v>
      </c>
      <c r="FR16" s="253">
        <f t="shared" si="58"/>
        <v>0.74650593374036345</v>
      </c>
      <c r="FS16" s="108">
        <v>6929.63</v>
      </c>
      <c r="FT16" s="108">
        <v>4572.32</v>
      </c>
      <c r="FU16" s="253">
        <f t="shared" si="59"/>
        <v>0.65982166436014611</v>
      </c>
      <c r="FV16" s="108">
        <v>8664.41</v>
      </c>
      <c r="FW16" s="108">
        <v>5819.94</v>
      </c>
      <c r="FX16" s="253">
        <f t="shared" si="60"/>
        <v>0.67170644048469541</v>
      </c>
      <c r="FY16" s="108">
        <v>9168.43</v>
      </c>
      <c r="FZ16" s="108">
        <v>4186.68</v>
      </c>
      <c r="GA16" s="253">
        <f t="shared" si="61"/>
        <v>0.45664088617135107</v>
      </c>
      <c r="GB16" s="108">
        <v>7374.95</v>
      </c>
      <c r="GC16" s="108">
        <v>4994.43</v>
      </c>
      <c r="GD16" s="253">
        <f t="shared" si="62"/>
        <v>0.67721543874873735</v>
      </c>
      <c r="GE16" s="108">
        <v>8434.8799999999992</v>
      </c>
      <c r="GF16" s="108">
        <v>7858.1</v>
      </c>
      <c r="GG16" s="253">
        <f t="shared" si="63"/>
        <v>0.93161965552562709</v>
      </c>
      <c r="GH16" s="108">
        <v>21070.16</v>
      </c>
      <c r="GI16" s="108">
        <v>10652.44</v>
      </c>
      <c r="GJ16" s="253">
        <f t="shared" si="64"/>
        <v>0.50556996244926478</v>
      </c>
      <c r="GK16" s="108">
        <v>7336.17</v>
      </c>
      <c r="GL16" s="108">
        <v>8149.73</v>
      </c>
      <c r="GM16" s="253">
        <f t="shared" si="65"/>
        <v>1.1108971029842547</v>
      </c>
      <c r="GN16" s="108">
        <v>6037.3</v>
      </c>
      <c r="GO16" s="108">
        <v>5657.08</v>
      </c>
      <c r="GP16" s="253">
        <f t="shared" si="66"/>
        <v>0.93702151624070362</v>
      </c>
      <c r="GQ16" s="108">
        <v>6834.6</v>
      </c>
      <c r="GR16" s="108">
        <v>5497.09</v>
      </c>
      <c r="GS16" s="253">
        <f t="shared" si="67"/>
        <v>0.80430310479033151</v>
      </c>
      <c r="GT16" s="108">
        <v>8437.84</v>
      </c>
      <c r="GU16" s="108">
        <v>2339.4</v>
      </c>
      <c r="GV16" s="253">
        <f t="shared" si="68"/>
        <v>0.2772510500317617</v>
      </c>
      <c r="GW16" s="108">
        <v>7585.91</v>
      </c>
      <c r="GX16" s="108">
        <v>5733.93</v>
      </c>
      <c r="GY16" s="253">
        <f t="shared" si="69"/>
        <v>0.75586580911189305</v>
      </c>
      <c r="GZ16" s="108">
        <v>7585.91</v>
      </c>
      <c r="HA16" s="108">
        <v>5370.1</v>
      </c>
      <c r="HB16" s="253">
        <f t="shared" si="70"/>
        <v>0.70790452299064988</v>
      </c>
      <c r="HC16" s="108">
        <v>22907.32</v>
      </c>
      <c r="HD16" s="108">
        <v>7817.36</v>
      </c>
      <c r="HE16" s="253">
        <f t="shared" si="71"/>
        <v>0.34126034822056878</v>
      </c>
      <c r="HF16" s="108">
        <v>5725.9</v>
      </c>
      <c r="HG16" s="108">
        <v>4345.1899999999996</v>
      </c>
      <c r="HH16" s="253">
        <f t="shared" si="72"/>
        <v>0.75886585514940885</v>
      </c>
      <c r="HI16" s="108">
        <v>7410.8</v>
      </c>
      <c r="HJ16" s="108">
        <v>5655.02</v>
      </c>
      <c r="HK16" s="253">
        <f t="shared" si="73"/>
        <v>0.76307821017973776</v>
      </c>
      <c r="HL16" s="108">
        <v>7300.15</v>
      </c>
      <c r="HM16" s="108">
        <v>6280.26</v>
      </c>
      <c r="HN16" s="253">
        <f t="shared" si="74"/>
        <v>0.8602919118100314</v>
      </c>
      <c r="HO16" s="108">
        <v>4619.6099999999997</v>
      </c>
      <c r="HP16" s="108">
        <v>5452.27</v>
      </c>
      <c r="HQ16" s="253">
        <f t="shared" si="75"/>
        <v>1.1802446526871317</v>
      </c>
      <c r="HR16" s="108">
        <v>5191.8100000000004</v>
      </c>
      <c r="HS16" s="108">
        <v>19247.07</v>
      </c>
      <c r="HT16" s="253">
        <f t="shared" si="76"/>
        <v>3.707198452948008</v>
      </c>
      <c r="HU16" s="108">
        <v>7482.03</v>
      </c>
      <c r="HV16" s="108">
        <v>8522.83</v>
      </c>
      <c r="HW16" s="253">
        <f t="shared" si="77"/>
        <v>1.1391066328255834</v>
      </c>
      <c r="HX16" s="108">
        <v>11343.17</v>
      </c>
      <c r="HY16" s="108">
        <v>13946.67</v>
      </c>
      <c r="HZ16" s="253">
        <f t="shared" si="78"/>
        <v>1.2295213771811584</v>
      </c>
      <c r="IA16" s="108">
        <v>5554.53</v>
      </c>
      <c r="IB16" s="108">
        <v>4518.5600000000004</v>
      </c>
      <c r="IC16" s="253">
        <f t="shared" si="79"/>
        <v>0.81349097043314211</v>
      </c>
      <c r="ID16" s="353"/>
      <c r="IE16" s="353"/>
      <c r="IF16" s="353"/>
      <c r="IG16" s="353"/>
      <c r="IH16" s="353"/>
      <c r="II16" s="353"/>
      <c r="IJ16" s="353"/>
      <c r="IK16" s="353"/>
      <c r="IL16" s="353"/>
      <c r="IM16" s="353"/>
      <c r="IN16" s="353"/>
      <c r="IO16" s="353"/>
      <c r="IP16" s="353"/>
      <c r="IQ16" s="311">
        <f t="shared" si="80"/>
        <v>182827.96999999997</v>
      </c>
      <c r="IR16" s="311">
        <f t="shared" si="81"/>
        <v>146119.33000000002</v>
      </c>
      <c r="IS16" s="310">
        <f t="shared" si="5"/>
        <v>-36708.639999999956</v>
      </c>
      <c r="IT16" s="313">
        <f t="shared" si="6"/>
        <v>0.79921759236291934</v>
      </c>
      <c r="IU16" s="317">
        <f t="shared" si="82"/>
        <v>49073.47</v>
      </c>
      <c r="IV16" s="317">
        <f t="shared" si="83"/>
        <v>63449.31</v>
      </c>
      <c r="IW16" s="316">
        <f t="shared" si="84"/>
        <v>14375.839999999997</v>
      </c>
      <c r="IX16" s="320">
        <f t="shared" si="85"/>
        <v>1.292945251273244</v>
      </c>
      <c r="IZ16" s="244"/>
      <c r="JA16" s="402"/>
      <c r="JB16" s="1495"/>
    </row>
    <row r="17" spans="3:262">
      <c r="C17" s="257" t="s">
        <v>22</v>
      </c>
      <c r="D17" s="108">
        <v>9745.0300000000007</v>
      </c>
      <c r="E17" s="108">
        <v>4846.6899999999996</v>
      </c>
      <c r="F17" s="243">
        <f t="shared" si="7"/>
        <v>0.49734993119569659</v>
      </c>
      <c r="G17" s="108">
        <v>11522.44</v>
      </c>
      <c r="H17" s="108">
        <v>8897.9699999999993</v>
      </c>
      <c r="I17" s="243">
        <f t="shared" si="8"/>
        <v>0.77222966663310888</v>
      </c>
      <c r="J17" s="108">
        <v>11065.18</v>
      </c>
      <c r="K17" s="108">
        <v>13423.39</v>
      </c>
      <c r="L17" s="243">
        <f t="shared" si="9"/>
        <v>1.2131198950220421</v>
      </c>
      <c r="M17" s="108">
        <v>12071.71</v>
      </c>
      <c r="N17" s="108">
        <v>19080.8</v>
      </c>
      <c r="O17" s="243">
        <f t="shared" si="10"/>
        <v>1.580621138181749</v>
      </c>
      <c r="P17" s="108">
        <v>8873.2900000000009</v>
      </c>
      <c r="Q17" s="108">
        <v>11320.88</v>
      </c>
      <c r="R17" s="243">
        <f t="shared" si="11"/>
        <v>1.27583793609811</v>
      </c>
      <c r="S17" s="108">
        <v>11265.17</v>
      </c>
      <c r="T17" s="108">
        <v>9311.26</v>
      </c>
      <c r="U17" s="243">
        <f t="shared" si="12"/>
        <v>0.82655299476173016</v>
      </c>
      <c r="V17" s="108">
        <v>12796.65</v>
      </c>
      <c r="W17" s="108">
        <v>9468.0300000000007</v>
      </c>
      <c r="X17" s="243">
        <f t="shared" si="13"/>
        <v>0.73988348513087421</v>
      </c>
      <c r="Y17" s="108">
        <v>10681.78</v>
      </c>
      <c r="Z17" s="108">
        <v>3734.05</v>
      </c>
      <c r="AA17" s="243">
        <f t="shared" si="14"/>
        <v>0.34957188783142884</v>
      </c>
      <c r="AB17" s="108">
        <v>7528.38</v>
      </c>
      <c r="AC17" s="108">
        <v>8701.83</v>
      </c>
      <c r="AD17" s="243">
        <f t="shared" si="15"/>
        <v>1.1558701872115913</v>
      </c>
      <c r="AE17" s="108">
        <v>11422.35</v>
      </c>
      <c r="AF17" s="108">
        <v>8013.36</v>
      </c>
      <c r="AG17" s="243">
        <f t="shared" si="16"/>
        <v>0.70155090677487553</v>
      </c>
      <c r="AH17" s="108">
        <v>10274.39</v>
      </c>
      <c r="AI17" s="108">
        <v>8002.74</v>
      </c>
      <c r="AJ17" s="243">
        <f t="shared" si="17"/>
        <v>0.77890171581962531</v>
      </c>
      <c r="AK17" s="108">
        <v>12590.72</v>
      </c>
      <c r="AL17" s="108">
        <v>10148.49</v>
      </c>
      <c r="AM17" s="243">
        <f t="shared" si="18"/>
        <v>0.80602936130737557</v>
      </c>
      <c r="AN17" s="108">
        <v>13527.86</v>
      </c>
      <c r="AO17" s="108">
        <v>8820.11</v>
      </c>
      <c r="AP17" s="253">
        <f t="shared" si="19"/>
        <v>0.65199595501431862</v>
      </c>
      <c r="AQ17" s="108">
        <v>18484.8</v>
      </c>
      <c r="AR17" s="108">
        <v>14667.46</v>
      </c>
      <c r="AS17" s="253">
        <f t="shared" si="20"/>
        <v>0.79348762226261571</v>
      </c>
      <c r="AT17" s="108">
        <v>6108.86</v>
      </c>
      <c r="AU17" s="108">
        <v>5343.54</v>
      </c>
      <c r="AV17" s="253">
        <f t="shared" si="21"/>
        <v>0.87471966946369706</v>
      </c>
      <c r="AW17" s="108">
        <v>10789.35</v>
      </c>
      <c r="AX17" s="108">
        <v>8108.15</v>
      </c>
      <c r="AY17" s="253">
        <f t="shared" si="22"/>
        <v>0.75149568787739751</v>
      </c>
      <c r="AZ17" s="108">
        <v>8607.34</v>
      </c>
      <c r="BA17" s="108">
        <v>6590.04</v>
      </c>
      <c r="BB17" s="253">
        <f t="shared" si="23"/>
        <v>0.76563026440224269</v>
      </c>
      <c r="BC17" s="108">
        <v>9036.73</v>
      </c>
      <c r="BD17" s="108">
        <v>7731.57</v>
      </c>
      <c r="BE17" s="253">
        <f t="shared" si="24"/>
        <v>0.85557165036467842</v>
      </c>
      <c r="BF17" s="108">
        <v>8860.98</v>
      </c>
      <c r="BG17" s="108">
        <v>8686.35</v>
      </c>
      <c r="BH17" s="253">
        <f t="shared" si="25"/>
        <v>0.98029224758435307</v>
      </c>
      <c r="BI17" s="108">
        <v>11455.69</v>
      </c>
      <c r="BJ17" s="108">
        <v>9795.9</v>
      </c>
      <c r="BK17" s="253">
        <f t="shared" si="26"/>
        <v>0.8551121756960951</v>
      </c>
      <c r="BL17" s="108">
        <v>14202.76</v>
      </c>
      <c r="BM17" s="108">
        <v>12831.61</v>
      </c>
      <c r="BN17" s="253">
        <f t="shared" si="27"/>
        <v>0.90345890517054439</v>
      </c>
      <c r="BO17" s="108">
        <v>10126.19</v>
      </c>
      <c r="BP17" s="108">
        <v>3691.59</v>
      </c>
      <c r="BQ17" s="253">
        <f t="shared" si="28"/>
        <v>0.36455863459010746</v>
      </c>
      <c r="BR17" s="108">
        <v>12004.43</v>
      </c>
      <c r="BS17" s="108">
        <v>8584.9599999999991</v>
      </c>
      <c r="BT17" s="253">
        <f t="shared" si="29"/>
        <v>0.71514932404120801</v>
      </c>
      <c r="BU17" s="108">
        <v>8328.0499999999993</v>
      </c>
      <c r="BV17" s="108">
        <v>5539.94</v>
      </c>
      <c r="BW17" s="253">
        <f t="shared" si="30"/>
        <v>0.66521454602217811</v>
      </c>
      <c r="BX17" s="108">
        <v>8358.4699999999993</v>
      </c>
      <c r="BY17" s="108">
        <v>8213.14</v>
      </c>
      <c r="BZ17" s="253">
        <f t="shared" si="31"/>
        <v>0.98261284660948711</v>
      </c>
      <c r="CA17" s="88">
        <v>10815.78</v>
      </c>
      <c r="CB17" s="108">
        <v>6000.94</v>
      </c>
      <c r="CC17" s="253">
        <f t="shared" si="32"/>
        <v>0.55483192150727911</v>
      </c>
      <c r="CD17" s="108">
        <v>10170.94</v>
      </c>
      <c r="CE17" s="108">
        <v>9593.3700000000008</v>
      </c>
      <c r="CF17" s="253">
        <f t="shared" si="33"/>
        <v>0.94321370492796142</v>
      </c>
      <c r="CG17" s="108">
        <v>22727.34</v>
      </c>
      <c r="CH17" s="108">
        <v>17212.580000000002</v>
      </c>
      <c r="CI17" s="253">
        <f t="shared" si="34"/>
        <v>0.75735127824021653</v>
      </c>
      <c r="CJ17" s="108">
        <v>7417.83</v>
      </c>
      <c r="CK17" s="108">
        <v>5088.18</v>
      </c>
      <c r="CL17" s="253">
        <f t="shared" si="35"/>
        <v>0.68593914931994937</v>
      </c>
      <c r="CM17" s="108">
        <v>15367.14</v>
      </c>
      <c r="CN17" s="108">
        <v>10561.41</v>
      </c>
      <c r="CO17" s="253">
        <f t="shared" si="36"/>
        <v>0.68727232263127691</v>
      </c>
      <c r="CP17" s="108">
        <v>12638.27</v>
      </c>
      <c r="CQ17" s="108">
        <v>8928.6299999999992</v>
      </c>
      <c r="CR17" s="253">
        <f t="shared" si="37"/>
        <v>0.70647564896144799</v>
      </c>
      <c r="CS17" s="108">
        <v>6203.83</v>
      </c>
      <c r="CT17" s="108">
        <v>10833.21</v>
      </c>
      <c r="CU17" s="253">
        <f t="shared" si="38"/>
        <v>1.7462132263456605</v>
      </c>
      <c r="CV17" s="108">
        <v>11173.96</v>
      </c>
      <c r="CW17" s="108">
        <v>7621.88</v>
      </c>
      <c r="CX17" s="253">
        <f t="shared" si="39"/>
        <v>0.68211090786077633</v>
      </c>
      <c r="CY17" s="108">
        <v>14963.99</v>
      </c>
      <c r="CZ17" s="108">
        <v>11348.13</v>
      </c>
      <c r="DA17" s="253">
        <f t="shared" si="40"/>
        <v>0.75836257575686694</v>
      </c>
      <c r="DB17" s="108">
        <v>24046.32</v>
      </c>
      <c r="DC17" s="108">
        <v>14512.87</v>
      </c>
      <c r="DD17" s="253">
        <f t="shared" si="41"/>
        <v>0.60353808815652465</v>
      </c>
      <c r="DE17" s="108">
        <v>8829.7000000000007</v>
      </c>
      <c r="DF17" s="108">
        <v>6182.44</v>
      </c>
      <c r="DG17" s="253">
        <f t="shared" si="42"/>
        <v>0.70018686931605822</v>
      </c>
      <c r="DH17" s="108">
        <v>13524.11</v>
      </c>
      <c r="DI17" s="108">
        <v>9293.7800000000007</v>
      </c>
      <c r="DJ17" s="253">
        <f t="shared" si="43"/>
        <v>0.68720085831895783</v>
      </c>
      <c r="DK17" s="108">
        <v>15649.61</v>
      </c>
      <c r="DL17" s="108">
        <v>7554.98</v>
      </c>
      <c r="DM17" s="253">
        <f t="shared" si="0"/>
        <v>0.48275835627852703</v>
      </c>
      <c r="DN17" s="108">
        <v>19891.349999999999</v>
      </c>
      <c r="DO17" s="108">
        <v>9346.2099999999991</v>
      </c>
      <c r="DP17" s="253">
        <f t="shared" si="1"/>
        <v>0.46986303091544818</v>
      </c>
      <c r="DQ17" s="108">
        <v>28531.26</v>
      </c>
      <c r="DR17" s="108">
        <v>10768.82</v>
      </c>
      <c r="DS17" s="253">
        <f t="shared" si="2"/>
        <v>0.37743934197087686</v>
      </c>
      <c r="DT17" s="108">
        <v>27887.119999999999</v>
      </c>
      <c r="DU17" s="108">
        <v>11884.52</v>
      </c>
      <c r="DV17" s="253">
        <f t="shared" si="3"/>
        <v>0.42616519741013059</v>
      </c>
      <c r="DW17" s="108">
        <v>29459.06</v>
      </c>
      <c r="DX17" s="108">
        <v>18484.27</v>
      </c>
      <c r="DY17" s="253">
        <f t="shared" si="4"/>
        <v>0.62745620532359148</v>
      </c>
      <c r="DZ17" s="108">
        <v>4508.42</v>
      </c>
      <c r="EA17" s="108">
        <v>7267.41</v>
      </c>
      <c r="EB17" s="253">
        <f t="shared" si="44"/>
        <v>1.6119638365547131</v>
      </c>
      <c r="EC17" s="108">
        <v>8133.8</v>
      </c>
      <c r="ED17" s="108">
        <v>2371.89</v>
      </c>
      <c r="EE17" s="253">
        <f t="shared" si="45"/>
        <v>0.29160908800314733</v>
      </c>
      <c r="EF17" s="108">
        <v>8006.49</v>
      </c>
      <c r="EG17" s="108">
        <v>8632.8700000000008</v>
      </c>
      <c r="EH17" s="253">
        <f t="shared" si="46"/>
        <v>1.07823403264102</v>
      </c>
      <c r="EI17" s="108">
        <v>8816.2900000000009</v>
      </c>
      <c r="EJ17" s="108">
        <v>8978.58</v>
      </c>
      <c r="EK17" s="253">
        <f t="shared" si="47"/>
        <v>1.0184079697922821</v>
      </c>
      <c r="EL17" s="108">
        <v>7957.79</v>
      </c>
      <c r="EM17" s="108">
        <v>7084.3</v>
      </c>
      <c r="EN17" s="253">
        <f t="shared" si="48"/>
        <v>0.8902346003098851</v>
      </c>
      <c r="EO17" s="108">
        <v>12941.51</v>
      </c>
      <c r="EP17" s="108">
        <v>6590.04</v>
      </c>
      <c r="EQ17" s="253">
        <f t="shared" si="49"/>
        <v>0.50921723971932176</v>
      </c>
      <c r="ER17" s="108">
        <v>20028.939999999999</v>
      </c>
      <c r="ES17" s="108">
        <v>7731.57</v>
      </c>
      <c r="ET17" s="253">
        <f t="shared" si="50"/>
        <v>0.38601992916250188</v>
      </c>
      <c r="EU17" s="108">
        <v>6807.48</v>
      </c>
      <c r="EV17" s="108">
        <v>7023.92</v>
      </c>
      <c r="EW17" s="253">
        <f t="shared" si="51"/>
        <v>1.0317944378830346</v>
      </c>
      <c r="EX17" s="108">
        <v>13036.3</v>
      </c>
      <c r="EY17" s="108">
        <v>8119.08</v>
      </c>
      <c r="EZ17" s="253">
        <f t="shared" si="52"/>
        <v>0.62280555065471033</v>
      </c>
      <c r="FA17" s="108">
        <v>7824.24</v>
      </c>
      <c r="FB17" s="108">
        <v>7814.42</v>
      </c>
      <c r="FC17" s="253">
        <f t="shared" si="53"/>
        <v>0.99874492602476406</v>
      </c>
      <c r="FD17" s="108">
        <v>12217.84</v>
      </c>
      <c r="FE17" s="108">
        <v>6484.79</v>
      </c>
      <c r="FF17" s="253">
        <f t="shared" si="54"/>
        <v>0.53076403030322872</v>
      </c>
      <c r="FG17" s="108">
        <v>6932.45</v>
      </c>
      <c r="FH17" s="108">
        <v>5669.6</v>
      </c>
      <c r="FI17" s="253">
        <f t="shared" si="55"/>
        <v>0.8178349645507722</v>
      </c>
      <c r="FJ17" s="108">
        <v>15294.38</v>
      </c>
      <c r="FK17" s="108">
        <v>11059.41</v>
      </c>
      <c r="FL17" s="253">
        <f t="shared" si="56"/>
        <v>0.72310286523546563</v>
      </c>
      <c r="FM17" s="108">
        <v>23557.83</v>
      </c>
      <c r="FN17" s="108">
        <v>11785.35</v>
      </c>
      <c r="FO17" s="253">
        <f t="shared" si="57"/>
        <v>0.50027315758709523</v>
      </c>
      <c r="FP17" s="108">
        <v>10706.19</v>
      </c>
      <c r="FQ17" s="108">
        <v>4825.4399999999996</v>
      </c>
      <c r="FR17" s="253">
        <f t="shared" si="58"/>
        <v>0.45071496022394514</v>
      </c>
      <c r="FS17" s="108">
        <v>12320.15</v>
      </c>
      <c r="FT17" s="108">
        <v>8471.17</v>
      </c>
      <c r="FU17" s="253">
        <f t="shared" si="59"/>
        <v>0.68758659594241955</v>
      </c>
      <c r="FV17" s="108">
        <v>9688.7900000000009</v>
      </c>
      <c r="FW17" s="108">
        <v>11846.89</v>
      </c>
      <c r="FX17" s="253">
        <f t="shared" si="60"/>
        <v>1.2227419522974488</v>
      </c>
      <c r="FY17" s="108">
        <v>13598.89</v>
      </c>
      <c r="FZ17" s="108">
        <v>8512.4599999999991</v>
      </c>
      <c r="GA17" s="253">
        <f t="shared" si="61"/>
        <v>0.62596726644601142</v>
      </c>
      <c r="GB17" s="108">
        <v>8019.3</v>
      </c>
      <c r="GC17" s="108">
        <v>8378.2999999999993</v>
      </c>
      <c r="GD17" s="253">
        <f t="shared" si="62"/>
        <v>1.0447669996134326</v>
      </c>
      <c r="GE17" s="108">
        <v>13386.03</v>
      </c>
      <c r="GF17" s="108">
        <v>5521.6</v>
      </c>
      <c r="GG17" s="253">
        <f t="shared" si="63"/>
        <v>0.41248973743522166</v>
      </c>
      <c r="GH17" s="108">
        <v>26037.040000000001</v>
      </c>
      <c r="GI17" s="108">
        <v>17919.22</v>
      </c>
      <c r="GJ17" s="253">
        <f t="shared" si="64"/>
        <v>0.68822031997492805</v>
      </c>
      <c r="GK17" s="108">
        <v>6234.88</v>
      </c>
      <c r="GL17" s="108">
        <v>4393.5</v>
      </c>
      <c r="GM17" s="253">
        <f t="shared" si="65"/>
        <v>0.70466472490248411</v>
      </c>
      <c r="GN17" s="108">
        <v>10437.91</v>
      </c>
      <c r="GO17" s="108">
        <v>10206.030000000001</v>
      </c>
      <c r="GP17" s="253">
        <f t="shared" si="66"/>
        <v>0.97778482473981865</v>
      </c>
      <c r="GQ17" s="108">
        <v>11409.9</v>
      </c>
      <c r="GR17" s="108">
        <v>8551.6299999999992</v>
      </c>
      <c r="GS17" s="253">
        <f t="shared" si="67"/>
        <v>0.7494921077310055</v>
      </c>
      <c r="GT17" s="108">
        <v>13365.77</v>
      </c>
      <c r="GU17" s="108">
        <v>6885.21</v>
      </c>
      <c r="GV17" s="253">
        <f t="shared" si="68"/>
        <v>0.51513754912736043</v>
      </c>
      <c r="GW17" s="108">
        <v>12707.48</v>
      </c>
      <c r="GX17" s="108">
        <v>8784.83</v>
      </c>
      <c r="GY17" s="253">
        <f t="shared" si="69"/>
        <v>0.69131173135822366</v>
      </c>
      <c r="GZ17" s="108">
        <v>12707.48</v>
      </c>
      <c r="HA17" s="108">
        <v>10609.68</v>
      </c>
      <c r="HB17" s="253">
        <f t="shared" si="70"/>
        <v>0.83491612813870264</v>
      </c>
      <c r="HC17" s="108">
        <v>24004.63</v>
      </c>
      <c r="HD17" s="108">
        <v>15852.38</v>
      </c>
      <c r="HE17" s="253">
        <f t="shared" si="71"/>
        <v>0.66038843339805686</v>
      </c>
      <c r="HF17" s="108">
        <v>8459.59</v>
      </c>
      <c r="HG17" s="108">
        <v>4941.1000000000004</v>
      </c>
      <c r="HH17" s="253">
        <f t="shared" si="72"/>
        <v>0.58408268012988818</v>
      </c>
      <c r="HI17" s="108">
        <v>12898.12</v>
      </c>
      <c r="HJ17" s="108">
        <v>9901.59</v>
      </c>
      <c r="HK17" s="253">
        <f t="shared" si="73"/>
        <v>0.76767699478683715</v>
      </c>
      <c r="HL17" s="108">
        <v>10329.280000000001</v>
      </c>
      <c r="HM17" s="108">
        <v>7746.68</v>
      </c>
      <c r="HN17" s="253">
        <f t="shared" si="74"/>
        <v>0.74997289259270727</v>
      </c>
      <c r="HO17" s="108">
        <v>8183.34</v>
      </c>
      <c r="HP17" s="108">
        <v>13700.99</v>
      </c>
      <c r="HQ17" s="253">
        <f t="shared" si="75"/>
        <v>1.6742540331942704</v>
      </c>
      <c r="HR17" s="108">
        <v>12505.46</v>
      </c>
      <c r="HS17" s="108">
        <v>13986.66</v>
      </c>
      <c r="HT17" s="253">
        <f t="shared" si="76"/>
        <v>1.1184442635456833</v>
      </c>
      <c r="HU17" s="108">
        <v>8987.81</v>
      </c>
      <c r="HV17" s="108">
        <v>13042.62</v>
      </c>
      <c r="HW17" s="253">
        <f t="shared" si="77"/>
        <v>1.4511454959550771</v>
      </c>
      <c r="HX17" s="108">
        <v>22183.62</v>
      </c>
      <c r="HY17" s="108">
        <v>20058.509999999998</v>
      </c>
      <c r="HZ17" s="253">
        <f t="shared" si="78"/>
        <v>0.90420364214677318</v>
      </c>
      <c r="IA17" s="108">
        <v>7181.07</v>
      </c>
      <c r="IB17" s="108">
        <v>4370.7700000000004</v>
      </c>
      <c r="IC17" s="253">
        <f t="shared" si="79"/>
        <v>0.60865163548050649</v>
      </c>
      <c r="ID17" s="353"/>
      <c r="IE17" s="353"/>
      <c r="IF17" s="353"/>
      <c r="IG17" s="353"/>
      <c r="IH17" s="353"/>
      <c r="II17" s="353"/>
      <c r="IJ17" s="353"/>
      <c r="IK17" s="353"/>
      <c r="IL17" s="353"/>
      <c r="IM17" s="353"/>
      <c r="IN17" s="353"/>
      <c r="IO17" s="353"/>
      <c r="IP17" s="353"/>
      <c r="IQ17" s="311">
        <f t="shared" si="80"/>
        <v>268171.66000000003</v>
      </c>
      <c r="IR17" s="311">
        <f t="shared" si="81"/>
        <v>214136.49</v>
      </c>
      <c r="IS17" s="310">
        <f t="shared" si="5"/>
        <v>-54035.170000000042</v>
      </c>
      <c r="IT17" s="313">
        <f t="shared" si="6"/>
        <v>0.79850529321405539</v>
      </c>
      <c r="IU17" s="317">
        <f t="shared" si="82"/>
        <v>83547.22</v>
      </c>
      <c r="IV17" s="317">
        <f t="shared" si="83"/>
        <v>83378.150000000009</v>
      </c>
      <c r="IW17" s="316">
        <f t="shared" si="84"/>
        <v>-169.06999999999243</v>
      </c>
      <c r="IX17" s="320">
        <f t="shared" si="85"/>
        <v>0.99797635397084439</v>
      </c>
      <c r="IZ17" s="244"/>
      <c r="JA17" s="402"/>
      <c r="JB17" s="1495"/>
    </row>
    <row r="18" spans="3:262">
      <c r="C18" s="257" t="s">
        <v>23</v>
      </c>
      <c r="D18" s="108">
        <v>14547.13</v>
      </c>
      <c r="E18" s="108">
        <v>5616.04</v>
      </c>
      <c r="F18" s="243">
        <f t="shared" si="7"/>
        <v>0.38605828091176747</v>
      </c>
      <c r="G18" s="108">
        <v>12752.34</v>
      </c>
      <c r="H18" s="108">
        <v>7422.62</v>
      </c>
      <c r="I18" s="243">
        <f t="shared" si="8"/>
        <v>0.58205944948142851</v>
      </c>
      <c r="J18" s="108">
        <v>9979.14</v>
      </c>
      <c r="K18" s="108">
        <v>5894.18</v>
      </c>
      <c r="L18" s="243">
        <f t="shared" si="9"/>
        <v>0.59065009610046559</v>
      </c>
      <c r="M18" s="108">
        <v>7773.06</v>
      </c>
      <c r="N18" s="108">
        <v>6981.25</v>
      </c>
      <c r="O18" s="243">
        <f t="shared" si="10"/>
        <v>0.89813406817906971</v>
      </c>
      <c r="P18" s="108">
        <v>9529.44</v>
      </c>
      <c r="Q18" s="108">
        <v>4581.66</v>
      </c>
      <c r="R18" s="243">
        <f t="shared" si="11"/>
        <v>0.48079005691834981</v>
      </c>
      <c r="S18" s="108">
        <v>7204.39</v>
      </c>
      <c r="T18" s="108">
        <v>5171.8</v>
      </c>
      <c r="U18" s="243">
        <f t="shared" si="12"/>
        <v>0.71786785557139465</v>
      </c>
      <c r="V18" s="108">
        <v>17123.78</v>
      </c>
      <c r="W18" s="108">
        <v>10110.129999999999</v>
      </c>
      <c r="X18" s="243">
        <f t="shared" si="13"/>
        <v>0.59041461639894932</v>
      </c>
      <c r="Y18" s="108">
        <v>10673.99</v>
      </c>
      <c r="Z18" s="108">
        <v>3617.4</v>
      </c>
      <c r="AA18" s="243">
        <f t="shared" si="14"/>
        <v>0.33889857494713788</v>
      </c>
      <c r="AB18" s="108">
        <v>8916.66</v>
      </c>
      <c r="AC18" s="108">
        <v>3643.03</v>
      </c>
      <c r="AD18" s="243">
        <f t="shared" si="15"/>
        <v>0.40856441761825618</v>
      </c>
      <c r="AE18" s="108">
        <v>6553.37</v>
      </c>
      <c r="AF18" s="108">
        <v>2603.87</v>
      </c>
      <c r="AG18" s="243">
        <f t="shared" si="16"/>
        <v>0.39733297524784955</v>
      </c>
      <c r="AH18" s="108">
        <v>7012.51</v>
      </c>
      <c r="AI18" s="108">
        <v>2113.2399999999998</v>
      </c>
      <c r="AJ18" s="243">
        <f t="shared" si="17"/>
        <v>0.3013528679459993</v>
      </c>
      <c r="AK18" s="108">
        <v>7790.17</v>
      </c>
      <c r="AL18" s="108">
        <v>4097.42</v>
      </c>
      <c r="AM18" s="243">
        <f t="shared" si="18"/>
        <v>0.52597311740308617</v>
      </c>
      <c r="AN18" s="108">
        <v>7729.51</v>
      </c>
      <c r="AO18" s="108">
        <v>4896.1499999999996</v>
      </c>
      <c r="AP18" s="253">
        <f t="shared" si="19"/>
        <v>0.63343601340835309</v>
      </c>
      <c r="AQ18" s="108">
        <v>14847.51</v>
      </c>
      <c r="AR18" s="108">
        <v>8512.42</v>
      </c>
      <c r="AS18" s="253">
        <f t="shared" si="20"/>
        <v>0.57332306898597807</v>
      </c>
      <c r="AT18" s="108">
        <v>11928.74</v>
      </c>
      <c r="AU18" s="108">
        <v>4317.6099999999997</v>
      </c>
      <c r="AV18" s="253">
        <f t="shared" si="21"/>
        <v>0.36195021435625219</v>
      </c>
      <c r="AW18" s="108">
        <v>7041.16</v>
      </c>
      <c r="AX18" s="108">
        <v>4638.5</v>
      </c>
      <c r="AY18" s="253">
        <f t="shared" si="22"/>
        <v>0.65876929369592507</v>
      </c>
      <c r="AZ18" s="108">
        <v>9109.51</v>
      </c>
      <c r="BA18" s="108">
        <v>5420</v>
      </c>
      <c r="BB18" s="253">
        <f t="shared" si="23"/>
        <v>0.5949826060896799</v>
      </c>
      <c r="BC18" s="108">
        <v>8183.58</v>
      </c>
      <c r="BD18" s="108">
        <v>3890.88</v>
      </c>
      <c r="BE18" s="253">
        <f t="shared" si="24"/>
        <v>0.47544961984852596</v>
      </c>
      <c r="BF18" s="108">
        <v>5963.45</v>
      </c>
      <c r="BG18" s="108">
        <v>4570.91</v>
      </c>
      <c r="BH18" s="253">
        <f t="shared" si="25"/>
        <v>0.76648751980816476</v>
      </c>
      <c r="BI18" s="108">
        <v>8019.64</v>
      </c>
      <c r="BJ18" s="108">
        <v>5308.13</v>
      </c>
      <c r="BK18" s="253">
        <f t="shared" si="26"/>
        <v>0.66189130684170361</v>
      </c>
      <c r="BL18" s="108">
        <v>18416.52</v>
      </c>
      <c r="BM18" s="108">
        <v>13035.3</v>
      </c>
      <c r="BN18" s="253">
        <f t="shared" si="27"/>
        <v>0.70780473183858839</v>
      </c>
      <c r="BO18" s="108">
        <v>11368.14</v>
      </c>
      <c r="BP18" s="108">
        <v>5966.34</v>
      </c>
      <c r="BQ18" s="253">
        <f t="shared" si="28"/>
        <v>0.52482991940634094</v>
      </c>
      <c r="BR18" s="108">
        <v>7374.77</v>
      </c>
      <c r="BS18" s="108">
        <v>6086.73</v>
      </c>
      <c r="BT18" s="253">
        <f t="shared" si="29"/>
        <v>0.82534506160870091</v>
      </c>
      <c r="BU18" s="108">
        <v>7639.53</v>
      </c>
      <c r="BV18" s="108">
        <v>5370.31</v>
      </c>
      <c r="BW18" s="253">
        <f t="shared" si="30"/>
        <v>0.70296340219882647</v>
      </c>
      <c r="BX18" s="108">
        <v>5903.22</v>
      </c>
      <c r="BY18" s="108">
        <v>4367.09</v>
      </c>
      <c r="BZ18" s="253">
        <f t="shared" si="31"/>
        <v>0.73978100087748722</v>
      </c>
      <c r="CA18" s="88">
        <v>5690.49</v>
      </c>
      <c r="CB18" s="108">
        <v>5445.3</v>
      </c>
      <c r="CC18" s="253">
        <f t="shared" si="32"/>
        <v>0.95691232213746102</v>
      </c>
      <c r="CD18" s="108">
        <v>11809.29</v>
      </c>
      <c r="CE18" s="108">
        <v>6686.22</v>
      </c>
      <c r="CF18" s="253">
        <f t="shared" si="33"/>
        <v>0.56618306435018528</v>
      </c>
      <c r="CG18" s="108">
        <v>19453.34</v>
      </c>
      <c r="CH18" s="108">
        <v>12779.78</v>
      </c>
      <c r="CI18" s="253">
        <f t="shared" si="34"/>
        <v>0.65694528548825037</v>
      </c>
      <c r="CJ18" s="108">
        <v>9005.94</v>
      </c>
      <c r="CK18" s="108">
        <v>7401.56</v>
      </c>
      <c r="CL18" s="253">
        <f t="shared" si="35"/>
        <v>0.82185313248811342</v>
      </c>
      <c r="CM18" s="108">
        <v>12199.79</v>
      </c>
      <c r="CN18" s="108">
        <v>7996.67</v>
      </c>
      <c r="CO18" s="253">
        <f t="shared" si="36"/>
        <v>0.65547603688260203</v>
      </c>
      <c r="CP18" s="108">
        <v>7128.49</v>
      </c>
      <c r="CQ18" s="108">
        <v>6168.57</v>
      </c>
      <c r="CR18" s="253">
        <f t="shared" si="37"/>
        <v>0.86534034557108164</v>
      </c>
      <c r="CS18" s="108">
        <v>6426.14</v>
      </c>
      <c r="CT18" s="108">
        <v>4765.03</v>
      </c>
      <c r="CU18" s="253">
        <f t="shared" si="38"/>
        <v>0.74150734344412039</v>
      </c>
      <c r="CV18" s="108">
        <v>8587.6200000000008</v>
      </c>
      <c r="CW18" s="108">
        <v>6182.74</v>
      </c>
      <c r="CX18" s="253">
        <f t="shared" si="39"/>
        <v>0.71995966286351742</v>
      </c>
      <c r="CY18" s="108">
        <v>9063.7800000000007</v>
      </c>
      <c r="CZ18" s="108">
        <v>7292.02</v>
      </c>
      <c r="DA18" s="253">
        <f t="shared" si="40"/>
        <v>0.8045230577088146</v>
      </c>
      <c r="DB18" s="108">
        <v>17689.89</v>
      </c>
      <c r="DC18" s="108">
        <v>11838.97</v>
      </c>
      <c r="DD18" s="253">
        <f t="shared" si="41"/>
        <v>0.66925062846631611</v>
      </c>
      <c r="DE18" s="108">
        <v>15664.95</v>
      </c>
      <c r="DF18" s="108">
        <v>5858.74</v>
      </c>
      <c r="DG18" s="253">
        <f t="shared" si="42"/>
        <v>0.37400310885128901</v>
      </c>
      <c r="DH18" s="108">
        <v>7556.43</v>
      </c>
      <c r="DI18" s="108">
        <v>5978.85</v>
      </c>
      <c r="DJ18" s="253">
        <f t="shared" si="43"/>
        <v>0.79122680948543167</v>
      </c>
      <c r="DK18" s="108">
        <v>7688.29</v>
      </c>
      <c r="DL18" s="108">
        <v>5697.27</v>
      </c>
      <c r="DM18" s="253">
        <f t="shared" si="0"/>
        <v>0.74103214108728999</v>
      </c>
      <c r="DN18" s="108">
        <v>9932.5400000000009</v>
      </c>
      <c r="DO18" s="108">
        <v>3580.2</v>
      </c>
      <c r="DP18" s="253">
        <f t="shared" si="1"/>
        <v>0.36045160653770331</v>
      </c>
      <c r="DQ18" s="108">
        <v>21933.03</v>
      </c>
      <c r="DR18" s="108">
        <v>6605.1</v>
      </c>
      <c r="DS18" s="253">
        <f t="shared" si="2"/>
        <v>0.30114854171995392</v>
      </c>
      <c r="DT18" s="108">
        <v>23583.67</v>
      </c>
      <c r="DU18" s="108">
        <v>8628.61</v>
      </c>
      <c r="DV18" s="253">
        <f t="shared" si="3"/>
        <v>0.36587223277801978</v>
      </c>
      <c r="DW18" s="108">
        <v>19268.21</v>
      </c>
      <c r="DX18" s="108">
        <v>17995.54</v>
      </c>
      <c r="DY18" s="253">
        <f t="shared" si="4"/>
        <v>0.93394975454388351</v>
      </c>
      <c r="DZ18" s="108">
        <v>13924.46</v>
      </c>
      <c r="EA18" s="108">
        <v>7741.88</v>
      </c>
      <c r="EB18" s="253">
        <f t="shared" si="44"/>
        <v>0.55599139930740582</v>
      </c>
      <c r="EC18" s="108">
        <v>7826.35</v>
      </c>
      <c r="ED18" s="108">
        <v>5569</v>
      </c>
      <c r="EE18" s="253">
        <f t="shared" si="45"/>
        <v>0.71157052776837215</v>
      </c>
      <c r="EF18" s="108">
        <v>7111.13</v>
      </c>
      <c r="EG18" s="108">
        <v>4865.2299999999996</v>
      </c>
      <c r="EH18" s="253">
        <f t="shared" si="46"/>
        <v>0.68417115142037899</v>
      </c>
      <c r="EI18" s="108">
        <v>6062.27</v>
      </c>
      <c r="EJ18" s="108">
        <v>4874.26</v>
      </c>
      <c r="EK18" s="253">
        <f t="shared" si="47"/>
        <v>0.80403215297240138</v>
      </c>
      <c r="EL18" s="108">
        <v>8377.92</v>
      </c>
      <c r="EM18" s="108">
        <v>5208.45</v>
      </c>
      <c r="EN18" s="253">
        <f t="shared" si="48"/>
        <v>0.62168772201214617</v>
      </c>
      <c r="EO18" s="108">
        <v>6959.48</v>
      </c>
      <c r="EP18" s="108">
        <v>5420</v>
      </c>
      <c r="EQ18" s="253">
        <f t="shared" si="49"/>
        <v>0.77879381792892577</v>
      </c>
      <c r="ER18" s="108">
        <v>16089.04</v>
      </c>
      <c r="ES18" s="108">
        <v>3890.88</v>
      </c>
      <c r="ET18" s="253">
        <f t="shared" si="50"/>
        <v>0.24183419271752696</v>
      </c>
      <c r="EU18" s="108">
        <v>12454.05</v>
      </c>
      <c r="EV18" s="108">
        <v>8297.9599999999991</v>
      </c>
      <c r="EW18" s="253">
        <f t="shared" si="51"/>
        <v>0.66628606758444042</v>
      </c>
      <c r="EX18" s="108">
        <v>6340.15</v>
      </c>
      <c r="EY18" s="108">
        <v>4584.59</v>
      </c>
      <c r="EZ18" s="253">
        <f t="shared" si="52"/>
        <v>0.72310434295718562</v>
      </c>
      <c r="FA18" s="108">
        <v>5286.45</v>
      </c>
      <c r="FB18" s="108">
        <v>5474.6</v>
      </c>
      <c r="FC18" s="253">
        <f t="shared" si="53"/>
        <v>1.0355909920646182</v>
      </c>
      <c r="FD18" s="108">
        <v>6104.7</v>
      </c>
      <c r="FE18" s="108">
        <v>5243.04</v>
      </c>
      <c r="FF18" s="253">
        <f t="shared" si="54"/>
        <v>0.85885301489016663</v>
      </c>
      <c r="FG18" s="108">
        <v>7243.3</v>
      </c>
      <c r="FH18" s="108">
        <v>6754.64</v>
      </c>
      <c r="FI18" s="253">
        <f t="shared" si="55"/>
        <v>0.9325362749023236</v>
      </c>
      <c r="FJ18" s="108">
        <v>10228.36</v>
      </c>
      <c r="FK18" s="108">
        <v>9567.9</v>
      </c>
      <c r="FL18" s="253">
        <f t="shared" si="56"/>
        <v>0.93542855355110688</v>
      </c>
      <c r="FM18" s="108">
        <v>18499.8</v>
      </c>
      <c r="FN18" s="108">
        <v>15247.25</v>
      </c>
      <c r="FO18" s="253">
        <f t="shared" si="57"/>
        <v>0.82418458577930576</v>
      </c>
      <c r="FP18" s="108">
        <v>14000.11</v>
      </c>
      <c r="FQ18" s="108">
        <v>5510.95</v>
      </c>
      <c r="FR18" s="253">
        <f t="shared" si="58"/>
        <v>0.39363619285848467</v>
      </c>
      <c r="FS18" s="108">
        <v>7463.82</v>
      </c>
      <c r="FT18" s="108">
        <v>6484.77</v>
      </c>
      <c r="FU18" s="253">
        <f t="shared" si="59"/>
        <v>0.86882722252144351</v>
      </c>
      <c r="FV18" s="108">
        <v>6815.47</v>
      </c>
      <c r="FW18" s="108">
        <v>6086.57</v>
      </c>
      <c r="FX18" s="253">
        <f t="shared" si="60"/>
        <v>0.89305212993381222</v>
      </c>
      <c r="FY18" s="108">
        <v>5853.44</v>
      </c>
      <c r="FZ18" s="108">
        <v>5306.82</v>
      </c>
      <c r="GA18" s="253">
        <f t="shared" si="61"/>
        <v>0.90661559698228733</v>
      </c>
      <c r="GB18" s="108">
        <v>7882.53</v>
      </c>
      <c r="GC18" s="108">
        <v>5818.56</v>
      </c>
      <c r="GD18" s="253">
        <f t="shared" si="62"/>
        <v>0.73815894135512339</v>
      </c>
      <c r="GE18" s="108">
        <v>8490.23</v>
      </c>
      <c r="GF18" s="108">
        <v>9750.25</v>
      </c>
      <c r="GG18" s="253">
        <f t="shared" si="63"/>
        <v>1.1484082292234723</v>
      </c>
      <c r="GH18" s="108">
        <v>16974.060000000001</v>
      </c>
      <c r="GI18" s="108">
        <v>15080.8</v>
      </c>
      <c r="GJ18" s="253">
        <f t="shared" si="64"/>
        <v>0.88846157018415151</v>
      </c>
      <c r="GK18" s="108">
        <v>9712.3799999999992</v>
      </c>
      <c r="GL18" s="108">
        <v>4541.6000000000004</v>
      </c>
      <c r="GM18" s="253">
        <f t="shared" si="65"/>
        <v>0.46760938101680544</v>
      </c>
      <c r="GN18" s="108">
        <v>6186.13</v>
      </c>
      <c r="GO18" s="108">
        <v>3736.43</v>
      </c>
      <c r="GP18" s="253">
        <f t="shared" si="66"/>
        <v>0.60400120915661326</v>
      </c>
      <c r="GQ18" s="108">
        <v>7237.36</v>
      </c>
      <c r="GR18" s="108">
        <v>5794.79</v>
      </c>
      <c r="GS18" s="253">
        <f t="shared" si="67"/>
        <v>0.80067731880133086</v>
      </c>
      <c r="GT18" s="108">
        <v>7979.2</v>
      </c>
      <c r="GU18" s="108">
        <v>4951.42</v>
      </c>
      <c r="GV18" s="253">
        <f t="shared" si="68"/>
        <v>0.62054090635652703</v>
      </c>
      <c r="GW18" s="108">
        <v>6961.16</v>
      </c>
      <c r="GX18" s="108">
        <v>6479.81</v>
      </c>
      <c r="GY18" s="253">
        <f t="shared" si="69"/>
        <v>0.93085204190106252</v>
      </c>
      <c r="GZ18" s="108">
        <v>6961.16</v>
      </c>
      <c r="HA18" s="108">
        <v>7464.26</v>
      </c>
      <c r="HB18" s="253">
        <f t="shared" si="70"/>
        <v>1.0722724373523953</v>
      </c>
      <c r="HC18" s="108">
        <v>20880.150000000001</v>
      </c>
      <c r="HD18" s="108">
        <v>12475.93</v>
      </c>
      <c r="HE18" s="253">
        <f t="shared" si="71"/>
        <v>0.59750193365469118</v>
      </c>
      <c r="HF18" s="108">
        <v>10314.39</v>
      </c>
      <c r="HG18" s="108">
        <v>8358.2099999999991</v>
      </c>
      <c r="HH18" s="253">
        <f t="shared" si="72"/>
        <v>0.81034457684846117</v>
      </c>
      <c r="HI18" s="108">
        <v>8715.2000000000007</v>
      </c>
      <c r="HJ18" s="108">
        <v>7975.39</v>
      </c>
      <c r="HK18" s="253">
        <f t="shared" si="73"/>
        <v>0.91511267670277208</v>
      </c>
      <c r="HL18" s="108">
        <v>5367.33</v>
      </c>
      <c r="HM18" s="108">
        <v>3877.97</v>
      </c>
      <c r="HN18" s="253">
        <f t="shared" si="74"/>
        <v>0.72251380108918206</v>
      </c>
      <c r="HO18" s="108">
        <v>5921.88</v>
      </c>
      <c r="HP18" s="108">
        <v>3787.34</v>
      </c>
      <c r="HQ18" s="253">
        <f t="shared" si="75"/>
        <v>0.63955027795227193</v>
      </c>
      <c r="HR18" s="108">
        <v>6844.87</v>
      </c>
      <c r="HS18" s="108">
        <v>6702.27</v>
      </c>
      <c r="HT18" s="253">
        <f t="shared" si="76"/>
        <v>0.97916687972160177</v>
      </c>
      <c r="HU18" s="108">
        <v>6130.92</v>
      </c>
      <c r="HV18" s="108">
        <v>9370.61</v>
      </c>
      <c r="HW18" s="253">
        <f t="shared" si="77"/>
        <v>1.5284182471798686</v>
      </c>
      <c r="HX18" s="108">
        <v>11326.73</v>
      </c>
      <c r="HY18" s="108">
        <v>14734.12</v>
      </c>
      <c r="HZ18" s="253">
        <f t="shared" si="78"/>
        <v>1.3008273349854726</v>
      </c>
      <c r="IA18" s="108">
        <v>7141.69</v>
      </c>
      <c r="IB18" s="108">
        <v>5459.2</v>
      </c>
      <c r="IC18" s="253">
        <f t="shared" si="79"/>
        <v>0.7644129050686882</v>
      </c>
      <c r="ID18" s="353"/>
      <c r="IE18" s="353"/>
      <c r="IF18" s="353"/>
      <c r="IG18" s="353"/>
      <c r="IH18" s="353"/>
      <c r="II18" s="353"/>
      <c r="IJ18" s="353"/>
      <c r="IK18" s="353"/>
      <c r="IL18" s="353"/>
      <c r="IM18" s="353"/>
      <c r="IN18" s="353"/>
      <c r="IO18" s="353"/>
      <c r="IP18" s="353"/>
      <c r="IQ18" s="311">
        <f t="shared" si="80"/>
        <v>188018.52000000005</v>
      </c>
      <c r="IR18" s="311">
        <f t="shared" si="81"/>
        <v>154288.87</v>
      </c>
      <c r="IS18" s="310">
        <f t="shared" si="5"/>
        <v>-33729.650000000052</v>
      </c>
      <c r="IT18" s="313">
        <f t="shared" si="6"/>
        <v>0.8206046404364844</v>
      </c>
      <c r="IU18" s="317">
        <f t="shared" si="82"/>
        <v>54621.319999999992</v>
      </c>
      <c r="IV18" s="317">
        <f t="shared" si="83"/>
        <v>54805.91</v>
      </c>
      <c r="IW18" s="316">
        <f t="shared" si="84"/>
        <v>184.59000000001106</v>
      </c>
      <c r="IX18" s="320">
        <f t="shared" si="85"/>
        <v>1.0033794496361497</v>
      </c>
      <c r="IZ18" s="244"/>
      <c r="JA18" s="402"/>
      <c r="JB18" s="1495"/>
    </row>
    <row r="19" spans="3:262">
      <c r="C19" s="257" t="s">
        <v>24</v>
      </c>
      <c r="D19" s="108">
        <v>19413.18</v>
      </c>
      <c r="E19" s="108">
        <v>8543.7000000000007</v>
      </c>
      <c r="F19" s="243">
        <f t="shared" si="7"/>
        <v>0.44009791286126232</v>
      </c>
      <c r="G19" s="108">
        <v>17113.41</v>
      </c>
      <c r="H19" s="108">
        <v>10880.7</v>
      </c>
      <c r="I19" s="243">
        <f t="shared" si="8"/>
        <v>0.63579964483992379</v>
      </c>
      <c r="J19" s="108">
        <v>12216.07</v>
      </c>
      <c r="K19" s="108">
        <v>14819.53</v>
      </c>
      <c r="L19" s="243">
        <f t="shared" si="9"/>
        <v>1.2131176393062582</v>
      </c>
      <c r="M19" s="108">
        <v>10607.18</v>
      </c>
      <c r="N19" s="108">
        <v>12196.41</v>
      </c>
      <c r="O19" s="243">
        <f t="shared" si="10"/>
        <v>1.1498258726636108</v>
      </c>
      <c r="P19" s="108">
        <v>10536.54</v>
      </c>
      <c r="Q19" s="108">
        <v>9705.14</v>
      </c>
      <c r="R19" s="243">
        <f t="shared" si="11"/>
        <v>0.92109364174577224</v>
      </c>
      <c r="S19" s="108">
        <v>12825.99</v>
      </c>
      <c r="T19" s="108">
        <v>9139.9699999999993</v>
      </c>
      <c r="U19" s="243">
        <f t="shared" si="12"/>
        <v>0.71261321738127037</v>
      </c>
      <c r="V19" s="108">
        <v>21055.14</v>
      </c>
      <c r="W19" s="108">
        <v>12455.76</v>
      </c>
      <c r="X19" s="243">
        <f t="shared" si="13"/>
        <v>0.59157811346778033</v>
      </c>
      <c r="Y19" s="108">
        <v>15912.09</v>
      </c>
      <c r="Z19" s="108">
        <v>6752.98</v>
      </c>
      <c r="AA19" s="243">
        <f t="shared" si="14"/>
        <v>0.42439302442356719</v>
      </c>
      <c r="AB19" s="108">
        <v>10753.13</v>
      </c>
      <c r="AC19" s="108">
        <v>4906.04</v>
      </c>
      <c r="AD19" s="243">
        <f t="shared" si="15"/>
        <v>0.45624297297624045</v>
      </c>
      <c r="AE19" s="108">
        <v>8765.56</v>
      </c>
      <c r="AF19" s="108">
        <v>6158.71</v>
      </c>
      <c r="AG19" s="243">
        <f t="shared" si="16"/>
        <v>0.70260314229781107</v>
      </c>
      <c r="AH19" s="108">
        <v>10378.67</v>
      </c>
      <c r="AI19" s="108">
        <v>8326.5400000000009</v>
      </c>
      <c r="AJ19" s="243">
        <f t="shared" si="17"/>
        <v>0.80227427984510546</v>
      </c>
      <c r="AK19" s="108">
        <v>16191.67</v>
      </c>
      <c r="AL19" s="108">
        <v>8995.7800000000007</v>
      </c>
      <c r="AM19" s="243">
        <f t="shared" si="18"/>
        <v>0.55558073997308499</v>
      </c>
      <c r="AN19" s="108">
        <v>18123.689999999999</v>
      </c>
      <c r="AO19" s="108">
        <v>11866.02</v>
      </c>
      <c r="AP19" s="253">
        <f t="shared" si="19"/>
        <v>0.65472428627944979</v>
      </c>
      <c r="AQ19" s="108">
        <v>18677.04</v>
      </c>
      <c r="AR19" s="108">
        <v>13512.77</v>
      </c>
      <c r="AS19" s="253">
        <f t="shared" si="20"/>
        <v>0.7234963356077837</v>
      </c>
      <c r="AT19" s="108">
        <v>14610.76</v>
      </c>
      <c r="AU19" s="108">
        <v>7434.53</v>
      </c>
      <c r="AV19" s="253">
        <f t="shared" si="21"/>
        <v>0.50883937591199913</v>
      </c>
      <c r="AW19" s="108">
        <v>10174.950000000001</v>
      </c>
      <c r="AX19" s="108">
        <v>6673.2</v>
      </c>
      <c r="AY19" s="253">
        <f t="shared" si="22"/>
        <v>0.65584597467309413</v>
      </c>
      <c r="AZ19" s="108">
        <v>11003.44</v>
      </c>
      <c r="BA19" s="108">
        <v>6754.42</v>
      </c>
      <c r="BB19" s="253">
        <f t="shared" si="23"/>
        <v>0.61384621536537665</v>
      </c>
      <c r="BC19" s="108">
        <v>8857.7900000000009</v>
      </c>
      <c r="BD19" s="108">
        <v>6014</v>
      </c>
      <c r="BE19" s="253">
        <f t="shared" si="24"/>
        <v>0.67895039281807301</v>
      </c>
      <c r="BF19" s="108">
        <v>13063.78</v>
      </c>
      <c r="BG19" s="108">
        <v>6617.88</v>
      </c>
      <c r="BH19" s="253">
        <f t="shared" si="25"/>
        <v>0.50658232150265847</v>
      </c>
      <c r="BI19" s="108">
        <v>14798.42</v>
      </c>
      <c r="BJ19" s="108">
        <v>12876.86</v>
      </c>
      <c r="BK19" s="253">
        <f t="shared" si="26"/>
        <v>0.87015100260703515</v>
      </c>
      <c r="BL19" s="108">
        <v>17389.330000000002</v>
      </c>
      <c r="BM19" s="108">
        <v>16191.15</v>
      </c>
      <c r="BN19" s="253">
        <f t="shared" si="27"/>
        <v>0.93109682776737213</v>
      </c>
      <c r="BO19" s="108">
        <v>12818.67</v>
      </c>
      <c r="BP19" s="108">
        <v>8692.16</v>
      </c>
      <c r="BQ19" s="253">
        <f t="shared" si="28"/>
        <v>0.67808594807417621</v>
      </c>
      <c r="BR19" s="108">
        <v>7507.64</v>
      </c>
      <c r="BS19" s="108">
        <v>4761.2299999999996</v>
      </c>
      <c r="BT19" s="253">
        <f t="shared" si="29"/>
        <v>0.63418464390940421</v>
      </c>
      <c r="BU19" s="108">
        <v>8065.79</v>
      </c>
      <c r="BV19" s="108">
        <v>7507.77</v>
      </c>
      <c r="BW19" s="253">
        <f t="shared" si="30"/>
        <v>0.93081644823383702</v>
      </c>
      <c r="BX19" s="108">
        <v>7950.71</v>
      </c>
      <c r="BY19" s="108">
        <v>7668.59</v>
      </c>
      <c r="BZ19" s="253">
        <f t="shared" si="31"/>
        <v>0.96451637652486388</v>
      </c>
      <c r="CA19" s="88">
        <v>12386.88</v>
      </c>
      <c r="CB19" s="108">
        <v>8553.3799999999992</v>
      </c>
      <c r="CC19" s="253">
        <f t="shared" si="32"/>
        <v>0.6905193236714976</v>
      </c>
      <c r="CD19" s="108">
        <v>16230.29</v>
      </c>
      <c r="CE19" s="108">
        <v>7500.91</v>
      </c>
      <c r="CF19" s="253">
        <f t="shared" si="33"/>
        <v>0.46215502002736852</v>
      </c>
      <c r="CG19" s="108">
        <v>24985.05</v>
      </c>
      <c r="CH19" s="108">
        <v>14878.85</v>
      </c>
      <c r="CI19" s="253">
        <f t="shared" si="34"/>
        <v>0.59551011504879925</v>
      </c>
      <c r="CJ19" s="108">
        <v>10965.74</v>
      </c>
      <c r="CK19" s="108">
        <v>10378.49</v>
      </c>
      <c r="CL19" s="253">
        <f t="shared" si="35"/>
        <v>0.94644684262074419</v>
      </c>
      <c r="CM19" s="108">
        <v>13210.48</v>
      </c>
      <c r="CN19" s="108">
        <v>9114.36</v>
      </c>
      <c r="CO19" s="253">
        <f t="shared" si="36"/>
        <v>0.68993405235843064</v>
      </c>
      <c r="CP19" s="108">
        <v>11009.58</v>
      </c>
      <c r="CQ19" s="108">
        <v>8489.34</v>
      </c>
      <c r="CR19" s="253">
        <f t="shared" si="37"/>
        <v>0.77108663545748346</v>
      </c>
      <c r="CS19" s="108">
        <v>6103.57</v>
      </c>
      <c r="CT19" s="108">
        <v>7354.13</v>
      </c>
      <c r="CU19" s="253">
        <f t="shared" si="38"/>
        <v>1.2048899250766356</v>
      </c>
      <c r="CV19" s="108">
        <v>11765.49</v>
      </c>
      <c r="CW19" s="108">
        <v>8132.28</v>
      </c>
      <c r="CX19" s="253">
        <f t="shared" si="39"/>
        <v>0.69119773167118415</v>
      </c>
      <c r="CY19" s="108">
        <v>11270.59</v>
      </c>
      <c r="CZ19" s="108">
        <v>10720.98</v>
      </c>
      <c r="DA19" s="253">
        <f t="shared" si="40"/>
        <v>0.95123502851226061</v>
      </c>
      <c r="DB19" s="108">
        <v>22186.85</v>
      </c>
      <c r="DC19" s="108">
        <v>14965.62</v>
      </c>
      <c r="DD19" s="253">
        <f t="shared" si="41"/>
        <v>0.67452657768002222</v>
      </c>
      <c r="DE19" s="108">
        <v>16728.86</v>
      </c>
      <c r="DF19" s="108">
        <v>7554.44</v>
      </c>
      <c r="DG19" s="253">
        <f t="shared" si="42"/>
        <v>0.45158127929817088</v>
      </c>
      <c r="DH19" s="108">
        <v>7797.98</v>
      </c>
      <c r="DI19" s="108">
        <v>7502.33</v>
      </c>
      <c r="DJ19" s="253">
        <f t="shared" si="43"/>
        <v>0.96208633517911057</v>
      </c>
      <c r="DK19" s="108">
        <v>11220.21</v>
      </c>
      <c r="DL19" s="108">
        <v>6765.01</v>
      </c>
      <c r="DM19" s="253">
        <f t="shared" si="0"/>
        <v>0.60293078293543534</v>
      </c>
      <c r="DN19" s="108">
        <v>13435.23</v>
      </c>
      <c r="DO19" s="108">
        <v>7042.46</v>
      </c>
      <c r="DP19" s="253">
        <f t="shared" si="1"/>
        <v>0.52417859612377316</v>
      </c>
      <c r="DQ19" s="108">
        <v>27621.13</v>
      </c>
      <c r="DR19" s="108">
        <v>10473.66</v>
      </c>
      <c r="DS19" s="253">
        <f t="shared" si="2"/>
        <v>0.37919013450934119</v>
      </c>
      <c r="DT19" s="108">
        <v>36311.4</v>
      </c>
      <c r="DU19" s="108">
        <v>16401.59</v>
      </c>
      <c r="DV19" s="253">
        <f t="shared" si="3"/>
        <v>0.45169258139317126</v>
      </c>
      <c r="DW19" s="108">
        <v>23795.73</v>
      </c>
      <c r="DX19" s="108">
        <v>21728.12</v>
      </c>
      <c r="DY19" s="253">
        <f t="shared" si="4"/>
        <v>0.91311004117125216</v>
      </c>
      <c r="DZ19" s="108">
        <v>14882.63</v>
      </c>
      <c r="EA19" s="108">
        <v>10906.8</v>
      </c>
      <c r="EB19" s="253">
        <f t="shared" si="44"/>
        <v>0.7328543409330206</v>
      </c>
      <c r="EC19" s="108">
        <v>11666.62</v>
      </c>
      <c r="ED19" s="108">
        <v>4660.59</v>
      </c>
      <c r="EE19" s="253">
        <f t="shared" si="45"/>
        <v>0.39948074078010598</v>
      </c>
      <c r="EF19" s="108">
        <v>9421.2199999999993</v>
      </c>
      <c r="EG19" s="108">
        <v>6521.03</v>
      </c>
      <c r="EH19" s="253">
        <f t="shared" si="46"/>
        <v>0.69216407216899722</v>
      </c>
      <c r="EI19" s="108">
        <v>7264.79</v>
      </c>
      <c r="EJ19" s="108">
        <v>6652.06</v>
      </c>
      <c r="EK19" s="253">
        <f t="shared" si="47"/>
        <v>0.91565757578677431</v>
      </c>
      <c r="EL19" s="108">
        <v>12016.24</v>
      </c>
      <c r="EM19" s="108">
        <v>8146.51</v>
      </c>
      <c r="EN19" s="253">
        <f t="shared" si="48"/>
        <v>0.67795832972710268</v>
      </c>
      <c r="EO19" s="108">
        <v>11535.9</v>
      </c>
      <c r="EP19" s="108">
        <v>6754.42</v>
      </c>
      <c r="EQ19" s="253">
        <f t="shared" si="49"/>
        <v>0.58551305056389191</v>
      </c>
      <c r="ER19" s="108">
        <v>24842.31</v>
      </c>
      <c r="ES19" s="108">
        <v>6014</v>
      </c>
      <c r="ET19" s="253">
        <f t="shared" si="50"/>
        <v>0.24208698788478203</v>
      </c>
      <c r="EU19" s="108">
        <v>12258.86</v>
      </c>
      <c r="EV19" s="108">
        <v>8270.67</v>
      </c>
      <c r="EW19" s="253">
        <f t="shared" si="51"/>
        <v>0.67466877017928251</v>
      </c>
      <c r="EX19" s="108">
        <v>10817.92</v>
      </c>
      <c r="EY19" s="108">
        <v>7724.27</v>
      </c>
      <c r="EZ19" s="253">
        <f t="shared" si="52"/>
        <v>0.71402543187599843</v>
      </c>
      <c r="FA19" s="108">
        <v>8396.2099999999991</v>
      </c>
      <c r="FB19" s="108">
        <v>9032.76</v>
      </c>
      <c r="FC19" s="253">
        <f t="shared" si="53"/>
        <v>1.0758139684452868</v>
      </c>
      <c r="FD19" s="108">
        <v>9022.1200000000008</v>
      </c>
      <c r="FE19" s="108">
        <v>7033.41</v>
      </c>
      <c r="FF19" s="253">
        <f t="shared" si="54"/>
        <v>0.77957398039485171</v>
      </c>
      <c r="FG19" s="108">
        <v>15114.47</v>
      </c>
      <c r="FH19" s="108">
        <v>7944.54</v>
      </c>
      <c r="FI19" s="253">
        <f t="shared" si="55"/>
        <v>0.52562478207968921</v>
      </c>
      <c r="FJ19" s="108">
        <v>16147.18</v>
      </c>
      <c r="FK19" s="108">
        <v>13873.52</v>
      </c>
      <c r="FL19" s="253">
        <f t="shared" si="56"/>
        <v>0.85919151207827005</v>
      </c>
      <c r="FM19" s="108">
        <v>16834.36</v>
      </c>
      <c r="FN19" s="108">
        <v>16101.37</v>
      </c>
      <c r="FO19" s="253">
        <f t="shared" si="57"/>
        <v>0.95645869519245164</v>
      </c>
      <c r="FP19" s="108">
        <v>13056.29</v>
      </c>
      <c r="FQ19" s="108">
        <v>7762.03</v>
      </c>
      <c r="FR19" s="253">
        <f t="shared" si="58"/>
        <v>0.59450502401524474</v>
      </c>
      <c r="FS19" s="108">
        <v>11668.26</v>
      </c>
      <c r="FT19" s="108">
        <v>6504.35</v>
      </c>
      <c r="FU19" s="253">
        <f t="shared" si="59"/>
        <v>0.55743958396538984</v>
      </c>
      <c r="FV19" s="108">
        <v>10282.32</v>
      </c>
      <c r="FW19" s="108">
        <v>5176.42</v>
      </c>
      <c r="FX19" s="253">
        <f t="shared" si="60"/>
        <v>0.50342918718732743</v>
      </c>
      <c r="FY19" s="108">
        <v>7588.04</v>
      </c>
      <c r="FZ19" s="108">
        <v>7610.75</v>
      </c>
      <c r="GA19" s="253">
        <f t="shared" si="61"/>
        <v>1.0029928677234174</v>
      </c>
      <c r="GB19" s="108">
        <v>12383.55</v>
      </c>
      <c r="GC19" s="108">
        <v>7537.82</v>
      </c>
      <c r="GD19" s="253">
        <f t="shared" si="62"/>
        <v>0.60869621392896223</v>
      </c>
      <c r="GE19" s="108">
        <v>13156.75</v>
      </c>
      <c r="GF19" s="108">
        <v>11935.65</v>
      </c>
      <c r="GG19" s="253">
        <f t="shared" si="63"/>
        <v>0.90718832538430838</v>
      </c>
      <c r="GH19" s="108">
        <v>24184.47</v>
      </c>
      <c r="GI19" s="108">
        <v>12352.68</v>
      </c>
      <c r="GJ19" s="253">
        <f t="shared" si="64"/>
        <v>0.51076910099745831</v>
      </c>
      <c r="GK19" s="108">
        <v>14784.97</v>
      </c>
      <c r="GL19" s="108">
        <v>7075.9</v>
      </c>
      <c r="GM19" s="253">
        <f t="shared" si="65"/>
        <v>0.47858737623410802</v>
      </c>
      <c r="GN19" s="108">
        <v>9150.4699999999993</v>
      </c>
      <c r="GO19" s="108">
        <v>7182.34</v>
      </c>
      <c r="GP19" s="253">
        <f t="shared" si="66"/>
        <v>0.78491487322509124</v>
      </c>
      <c r="GQ19" s="108">
        <v>8534.48</v>
      </c>
      <c r="GR19" s="108">
        <v>6908.45</v>
      </c>
      <c r="GS19" s="253">
        <f t="shared" si="67"/>
        <v>0.80947521114350263</v>
      </c>
      <c r="GT19" s="108">
        <v>13697.76</v>
      </c>
      <c r="GU19" s="108">
        <v>6038.75</v>
      </c>
      <c r="GV19" s="253">
        <f t="shared" si="68"/>
        <v>0.44085675322096457</v>
      </c>
      <c r="GW19" s="108">
        <v>10637.57</v>
      </c>
      <c r="GX19" s="108">
        <v>7398.06</v>
      </c>
      <c r="GY19" s="253">
        <f t="shared" si="69"/>
        <v>0.69546522373060771</v>
      </c>
      <c r="GZ19" s="108">
        <v>10637.57</v>
      </c>
      <c r="HA19" s="108">
        <v>11384.73</v>
      </c>
      <c r="HB19" s="253">
        <f t="shared" si="70"/>
        <v>1.070237845673401</v>
      </c>
      <c r="HC19" s="108">
        <v>26455.71</v>
      </c>
      <c r="HD19" s="108">
        <v>14905.69</v>
      </c>
      <c r="HE19" s="253">
        <f t="shared" si="71"/>
        <v>0.56342052434049217</v>
      </c>
      <c r="HF19" s="108">
        <v>10125.35</v>
      </c>
      <c r="HG19" s="108">
        <v>9397.34</v>
      </c>
      <c r="HH19" s="253">
        <f t="shared" si="72"/>
        <v>0.92810026320077821</v>
      </c>
      <c r="HI19" s="108">
        <v>10850.29</v>
      </c>
      <c r="HJ19" s="108">
        <v>10652.12</v>
      </c>
      <c r="HK19" s="253">
        <f t="shared" si="73"/>
        <v>0.98173597203392715</v>
      </c>
      <c r="HL19" s="108">
        <v>6647.43</v>
      </c>
      <c r="HM19" s="108">
        <v>7495.16</v>
      </c>
      <c r="HN19" s="253">
        <f t="shared" si="74"/>
        <v>1.1275274805451128</v>
      </c>
      <c r="HO19" s="108">
        <v>6091.33</v>
      </c>
      <c r="HP19" s="108">
        <v>7233.14</v>
      </c>
      <c r="HQ19" s="253">
        <f t="shared" si="75"/>
        <v>1.1874483897605286</v>
      </c>
      <c r="HR19" s="108">
        <v>7347.25</v>
      </c>
      <c r="HS19" s="108">
        <v>10642.41</v>
      </c>
      <c r="HT19" s="253">
        <f t="shared" si="76"/>
        <v>1.4484888904011706</v>
      </c>
      <c r="HU19" s="108">
        <v>8510.73</v>
      </c>
      <c r="HV19" s="108">
        <v>9945.16</v>
      </c>
      <c r="HW19" s="253">
        <f t="shared" si="77"/>
        <v>1.1685437089415363</v>
      </c>
      <c r="HX19" s="108">
        <v>13455.44</v>
      </c>
      <c r="HY19" s="108">
        <v>18902.59</v>
      </c>
      <c r="HZ19" s="253">
        <f t="shared" si="78"/>
        <v>1.4048288275968679</v>
      </c>
      <c r="IA19" s="108">
        <v>10027.69</v>
      </c>
      <c r="IB19" s="108">
        <v>9435.7900000000009</v>
      </c>
      <c r="IC19" s="253">
        <f t="shared" si="79"/>
        <v>0.94097344453209064</v>
      </c>
      <c r="ID19" s="353"/>
      <c r="IE19" s="353"/>
      <c r="IF19" s="353"/>
      <c r="IG19" s="353"/>
      <c r="IH19" s="353"/>
      <c r="II19" s="353"/>
      <c r="IJ19" s="353"/>
      <c r="IK19" s="353"/>
      <c r="IL19" s="353"/>
      <c r="IM19" s="353"/>
      <c r="IN19" s="353"/>
      <c r="IO19" s="353"/>
      <c r="IP19" s="353"/>
      <c r="IQ19" s="311">
        <f t="shared" si="80"/>
        <v>249246.03000000003</v>
      </c>
      <c r="IR19" s="311">
        <f t="shared" si="81"/>
        <v>194041.54</v>
      </c>
      <c r="IS19" s="310">
        <f t="shared" si="5"/>
        <v>-55204.49000000002</v>
      </c>
      <c r="IT19" s="313">
        <f t="shared" si="6"/>
        <v>0.77851406499834719</v>
      </c>
      <c r="IU19" s="317">
        <f t="shared" si="82"/>
        <v>63027.820000000007</v>
      </c>
      <c r="IV19" s="317">
        <f t="shared" si="83"/>
        <v>74267.92</v>
      </c>
      <c r="IW19" s="316">
        <f t="shared" si="84"/>
        <v>11240.099999999991</v>
      </c>
      <c r="IX19" s="320">
        <f t="shared" si="85"/>
        <v>1.1783355350066049</v>
      </c>
      <c r="IZ19" s="244"/>
      <c r="JA19" s="402"/>
      <c r="JB19" s="1495"/>
    </row>
    <row r="20" spans="3:262">
      <c r="C20" s="257" t="s">
        <v>25</v>
      </c>
      <c r="D20" s="108">
        <v>7695.99</v>
      </c>
      <c r="E20" s="108">
        <v>4820.79</v>
      </c>
      <c r="F20" s="243">
        <f t="shared" si="7"/>
        <v>0.6264028409600324</v>
      </c>
      <c r="G20" s="108">
        <v>16879.73</v>
      </c>
      <c r="H20" s="108">
        <v>11062.88</v>
      </c>
      <c r="I20" s="243">
        <f t="shared" si="8"/>
        <v>0.65539436945970109</v>
      </c>
      <c r="J20" s="108">
        <v>13468.82</v>
      </c>
      <c r="K20" s="108">
        <v>12811.06</v>
      </c>
      <c r="L20" s="243">
        <f t="shared" si="9"/>
        <v>0.95116424452921633</v>
      </c>
      <c r="M20" s="108">
        <v>9739.18</v>
      </c>
      <c r="N20" s="108">
        <v>9040.61</v>
      </c>
      <c r="O20" s="243">
        <f t="shared" si="10"/>
        <v>0.92827219540043415</v>
      </c>
      <c r="P20" s="108">
        <v>9527.17</v>
      </c>
      <c r="Q20" s="108">
        <v>8345.39</v>
      </c>
      <c r="R20" s="243">
        <f t="shared" si="11"/>
        <v>0.87595686861890776</v>
      </c>
      <c r="S20" s="108">
        <v>7648.49</v>
      </c>
      <c r="T20" s="108">
        <v>9561.99</v>
      </c>
      <c r="U20" s="243">
        <f t="shared" si="12"/>
        <v>1.2501801009088069</v>
      </c>
      <c r="V20" s="108">
        <v>16581.810000000001</v>
      </c>
      <c r="W20" s="108">
        <v>13256.19</v>
      </c>
      <c r="X20" s="243">
        <f t="shared" si="13"/>
        <v>0.79944167735609073</v>
      </c>
      <c r="Y20" s="108">
        <v>8650.92</v>
      </c>
      <c r="Z20" s="108">
        <v>2703.25</v>
      </c>
      <c r="AA20" s="243">
        <f t="shared" si="14"/>
        <v>0.31248121587068195</v>
      </c>
      <c r="AB20" s="108">
        <v>14882.34</v>
      </c>
      <c r="AC20" s="108">
        <v>4990.6099999999997</v>
      </c>
      <c r="AD20" s="243">
        <f t="shared" si="15"/>
        <v>0.33533772242805898</v>
      </c>
      <c r="AE20" s="108">
        <v>13456.34</v>
      </c>
      <c r="AF20" s="108">
        <v>5423.66</v>
      </c>
      <c r="AG20" s="243">
        <f t="shared" si="16"/>
        <v>0.40305610589506508</v>
      </c>
      <c r="AH20" s="108">
        <v>9673.92</v>
      </c>
      <c r="AI20" s="108">
        <v>6399.17</v>
      </c>
      <c r="AJ20" s="243">
        <f t="shared" si="17"/>
        <v>0.66148676027918363</v>
      </c>
      <c r="AK20" s="108">
        <v>12379.17</v>
      </c>
      <c r="AL20" s="108">
        <v>4649.68</v>
      </c>
      <c r="AM20" s="243">
        <f t="shared" si="18"/>
        <v>0.37560514961827007</v>
      </c>
      <c r="AN20" s="108">
        <v>11895.81</v>
      </c>
      <c r="AO20" s="108">
        <v>4774.6000000000004</v>
      </c>
      <c r="AP20" s="253">
        <f t="shared" si="19"/>
        <v>0.40136821284132823</v>
      </c>
      <c r="AQ20" s="108">
        <v>24391.9</v>
      </c>
      <c r="AR20" s="108">
        <v>12500.9</v>
      </c>
      <c r="AS20" s="253">
        <f t="shared" si="20"/>
        <v>0.51250210110733474</v>
      </c>
      <c r="AT20" s="108">
        <v>11099.63</v>
      </c>
      <c r="AU20" s="108">
        <v>3551.03</v>
      </c>
      <c r="AV20" s="253">
        <f t="shared" si="21"/>
        <v>0.31992327672183674</v>
      </c>
      <c r="AW20" s="108">
        <v>11427.05</v>
      </c>
      <c r="AX20" s="108">
        <v>8149.16</v>
      </c>
      <c r="AY20" s="253">
        <f t="shared" si="22"/>
        <v>0.71314643761950813</v>
      </c>
      <c r="AZ20" s="108">
        <v>9347.61</v>
      </c>
      <c r="BA20" s="108">
        <v>8187.34</v>
      </c>
      <c r="BB20" s="253">
        <f t="shared" si="23"/>
        <v>0.87587522372028781</v>
      </c>
      <c r="BC20" s="108">
        <v>9486.7999999999993</v>
      </c>
      <c r="BD20" s="108">
        <v>6780.75</v>
      </c>
      <c r="BE20" s="253">
        <f t="shared" si="24"/>
        <v>0.71475629295442089</v>
      </c>
      <c r="BF20" s="108">
        <v>11104.77</v>
      </c>
      <c r="BG20" s="108">
        <v>9348.08</v>
      </c>
      <c r="BH20" s="253">
        <f t="shared" si="25"/>
        <v>0.84180761960851058</v>
      </c>
      <c r="BI20" s="108">
        <v>12873.93</v>
      </c>
      <c r="BJ20" s="108">
        <v>9976.0300000000007</v>
      </c>
      <c r="BK20" s="253">
        <f t="shared" si="26"/>
        <v>0.7749016811494237</v>
      </c>
      <c r="BL20" s="108">
        <v>22543.23</v>
      </c>
      <c r="BM20" s="108">
        <v>7608.7</v>
      </c>
      <c r="BN20" s="253">
        <f t="shared" si="27"/>
        <v>0.33751596377271581</v>
      </c>
      <c r="BO20" s="108">
        <v>8510.8799999999992</v>
      </c>
      <c r="BP20" s="108">
        <v>3904.81</v>
      </c>
      <c r="BQ20" s="253">
        <f t="shared" si="28"/>
        <v>0.45880214501908151</v>
      </c>
      <c r="BR20" s="108">
        <v>11415.85</v>
      </c>
      <c r="BS20" s="108">
        <v>5779.66</v>
      </c>
      <c r="BT20" s="253">
        <f t="shared" si="29"/>
        <v>0.50628380716284815</v>
      </c>
      <c r="BU20" s="108">
        <v>7468.66</v>
      </c>
      <c r="BV20" s="108">
        <v>8805.59</v>
      </c>
      <c r="BW20" s="253">
        <f t="shared" si="30"/>
        <v>1.1790053369680773</v>
      </c>
      <c r="BX20" s="108">
        <v>7536.86</v>
      </c>
      <c r="BY20" s="108">
        <v>7386.95</v>
      </c>
      <c r="BZ20" s="253">
        <f t="shared" si="31"/>
        <v>0.98010975392935518</v>
      </c>
      <c r="CA20" s="88">
        <v>10346.030000000001</v>
      </c>
      <c r="CB20" s="108">
        <v>8185.61</v>
      </c>
      <c r="CC20" s="253">
        <f t="shared" si="32"/>
        <v>0.79118367141792545</v>
      </c>
      <c r="CD20" s="108">
        <v>13476.09</v>
      </c>
      <c r="CE20" s="108">
        <v>8444.27</v>
      </c>
      <c r="CF20" s="253">
        <f t="shared" si="33"/>
        <v>0.62661127968127261</v>
      </c>
      <c r="CG20" s="108">
        <v>26690.639999999999</v>
      </c>
      <c r="CH20" s="108">
        <v>13109.47</v>
      </c>
      <c r="CI20" s="253">
        <f t="shared" si="34"/>
        <v>0.49116356895151259</v>
      </c>
      <c r="CJ20" s="108">
        <v>8896.99</v>
      </c>
      <c r="CK20" s="108">
        <v>6611.79</v>
      </c>
      <c r="CL20" s="253">
        <f t="shared" si="35"/>
        <v>0.74314908750037934</v>
      </c>
      <c r="CM20" s="108">
        <v>13860.09</v>
      </c>
      <c r="CN20" s="108">
        <v>11590.99</v>
      </c>
      <c r="CO20" s="253">
        <f t="shared" si="36"/>
        <v>0.83628533436651564</v>
      </c>
      <c r="CP20" s="108">
        <v>11289.08</v>
      </c>
      <c r="CQ20" s="108">
        <v>9872.09</v>
      </c>
      <c r="CR20" s="253">
        <f t="shared" si="37"/>
        <v>0.87448135720537012</v>
      </c>
      <c r="CS20" s="108">
        <v>6765.4</v>
      </c>
      <c r="CT20" s="108">
        <v>6672.47</v>
      </c>
      <c r="CU20" s="253">
        <f t="shared" si="38"/>
        <v>0.98626393117923561</v>
      </c>
      <c r="CV20" s="108">
        <v>5940.41</v>
      </c>
      <c r="CW20" s="108">
        <v>7927.5</v>
      </c>
      <c r="CX20" s="253">
        <f t="shared" si="39"/>
        <v>1.3345038473775379</v>
      </c>
      <c r="CY20" s="108">
        <v>10878.76</v>
      </c>
      <c r="CZ20" s="108">
        <v>13086.43</v>
      </c>
      <c r="DA20" s="253">
        <f t="shared" si="40"/>
        <v>1.2029339740926355</v>
      </c>
      <c r="DB20" s="108">
        <v>22629.97</v>
      </c>
      <c r="DC20" s="108">
        <v>14444.08</v>
      </c>
      <c r="DD20" s="253">
        <f t="shared" si="41"/>
        <v>0.63827216739571457</v>
      </c>
      <c r="DE20" s="108">
        <v>8177.51</v>
      </c>
      <c r="DF20" s="108">
        <v>8707.66</v>
      </c>
      <c r="DG20" s="253">
        <f t="shared" si="42"/>
        <v>1.0648302478382783</v>
      </c>
      <c r="DH20" s="108">
        <v>11191.11</v>
      </c>
      <c r="DI20" s="108">
        <v>8429.2000000000007</v>
      </c>
      <c r="DJ20" s="253">
        <f t="shared" si="43"/>
        <v>0.75320499932535734</v>
      </c>
      <c r="DK20" s="108">
        <v>13317.99</v>
      </c>
      <c r="DL20" s="108">
        <v>9585.02</v>
      </c>
      <c r="DM20" s="253">
        <f t="shared" si="0"/>
        <v>0.71970470018373645</v>
      </c>
      <c r="DN20" s="108">
        <v>15335.41</v>
      </c>
      <c r="DO20" s="108">
        <v>8182.87</v>
      </c>
      <c r="DP20" s="253">
        <f t="shared" si="1"/>
        <v>0.53359316770793863</v>
      </c>
      <c r="DQ20" s="108">
        <v>32952.11</v>
      </c>
      <c r="DR20" s="108">
        <v>9649.2800000000007</v>
      </c>
      <c r="DS20" s="253">
        <f t="shared" si="2"/>
        <v>0.29282737888408361</v>
      </c>
      <c r="DT20" s="108">
        <v>29500.7</v>
      </c>
      <c r="DU20" s="108">
        <v>12214.84</v>
      </c>
      <c r="DV20" s="253">
        <f t="shared" si="3"/>
        <v>0.41405254790564289</v>
      </c>
      <c r="DW20" s="108">
        <v>29186.18</v>
      </c>
      <c r="DX20" s="108">
        <v>21989.98</v>
      </c>
      <c r="DY20" s="253">
        <f t="shared" si="4"/>
        <v>0.7534380998129937</v>
      </c>
      <c r="DZ20" s="108">
        <v>10290.99</v>
      </c>
      <c r="EA20" s="108">
        <v>5859.69</v>
      </c>
      <c r="EB20" s="253">
        <f t="shared" si="44"/>
        <v>0.56940002856867999</v>
      </c>
      <c r="EC20" s="108">
        <v>12644.46</v>
      </c>
      <c r="ED20" s="108">
        <v>2016.91</v>
      </c>
      <c r="EE20" s="253">
        <f t="shared" si="45"/>
        <v>0.15950938197439829</v>
      </c>
      <c r="EF20" s="108">
        <v>8950.2999999999993</v>
      </c>
      <c r="EG20" s="108">
        <v>3688.43</v>
      </c>
      <c r="EH20" s="253">
        <f t="shared" si="46"/>
        <v>0.41210127034847993</v>
      </c>
      <c r="EI20" s="108">
        <v>10853.84</v>
      </c>
      <c r="EJ20" s="108">
        <v>4690.46</v>
      </c>
      <c r="EK20" s="253">
        <f t="shared" si="47"/>
        <v>0.43214751645500576</v>
      </c>
      <c r="EL20" s="108">
        <v>11794.39</v>
      </c>
      <c r="EM20" s="108">
        <v>4230.34</v>
      </c>
      <c r="EN20" s="253">
        <f t="shared" si="48"/>
        <v>0.35867391191914128</v>
      </c>
      <c r="EO20" s="108">
        <v>10621.79</v>
      </c>
      <c r="EP20" s="108">
        <v>8187.34</v>
      </c>
      <c r="EQ20" s="253">
        <f t="shared" si="49"/>
        <v>0.77080605058092844</v>
      </c>
      <c r="ER20" s="108">
        <v>15884.87</v>
      </c>
      <c r="ES20" s="108">
        <v>6780.75</v>
      </c>
      <c r="ET20" s="253">
        <f t="shared" si="50"/>
        <v>0.42686846036511472</v>
      </c>
      <c r="EU20" s="108">
        <v>7463.07</v>
      </c>
      <c r="EV20" s="108">
        <v>5756.69</v>
      </c>
      <c r="EW20" s="253">
        <f t="shared" si="51"/>
        <v>0.77135682768619351</v>
      </c>
      <c r="EX20" s="108">
        <v>10201.57</v>
      </c>
      <c r="EY20" s="108">
        <v>5677.83</v>
      </c>
      <c r="EZ20" s="253">
        <f t="shared" si="52"/>
        <v>0.55656433274486183</v>
      </c>
      <c r="FA20" s="108">
        <v>8769.84</v>
      </c>
      <c r="FB20" s="108">
        <v>9281.76</v>
      </c>
      <c r="FC20" s="253">
        <f t="shared" si="53"/>
        <v>1.0583727867327113</v>
      </c>
      <c r="FD20" s="108">
        <v>8073.33</v>
      </c>
      <c r="FE20" s="108">
        <v>6749.42</v>
      </c>
      <c r="FF20" s="253">
        <f t="shared" si="54"/>
        <v>0.83601438316035637</v>
      </c>
      <c r="FG20" s="108">
        <v>9232.08</v>
      </c>
      <c r="FH20" s="108">
        <v>9006.49</v>
      </c>
      <c r="FI20" s="253">
        <f t="shared" si="55"/>
        <v>0.97556455316678359</v>
      </c>
      <c r="FJ20" s="108">
        <v>16908.759999999998</v>
      </c>
      <c r="FK20" s="108">
        <v>12086.77</v>
      </c>
      <c r="FL20" s="253">
        <f t="shared" si="56"/>
        <v>0.71482296750323515</v>
      </c>
      <c r="FM20" s="108">
        <v>22790.31</v>
      </c>
      <c r="FN20" s="108">
        <v>15892.17</v>
      </c>
      <c r="FO20" s="253">
        <f t="shared" si="57"/>
        <v>0.69732136157867086</v>
      </c>
      <c r="FP20" s="108">
        <v>8738.1</v>
      </c>
      <c r="FQ20" s="108">
        <v>6394.48</v>
      </c>
      <c r="FR20" s="253">
        <f t="shared" si="58"/>
        <v>0.73179295270138811</v>
      </c>
      <c r="FS20" s="108">
        <v>11038.06</v>
      </c>
      <c r="FT20" s="108">
        <v>8198.59</v>
      </c>
      <c r="FU20" s="253">
        <f t="shared" si="59"/>
        <v>0.74275642640101613</v>
      </c>
      <c r="FV20" s="108">
        <v>5858.58</v>
      </c>
      <c r="FW20" s="108">
        <v>7457.68</v>
      </c>
      <c r="FX20" s="253">
        <f t="shared" si="60"/>
        <v>1.2729501005363075</v>
      </c>
      <c r="FY20" s="108">
        <v>6337.8</v>
      </c>
      <c r="FZ20" s="108">
        <v>8194.58</v>
      </c>
      <c r="GA20" s="253">
        <f t="shared" si="61"/>
        <v>1.2929691691123102</v>
      </c>
      <c r="GB20" s="108">
        <v>7383.05</v>
      </c>
      <c r="GC20" s="108">
        <v>6848.37</v>
      </c>
      <c r="GD20" s="253">
        <f t="shared" si="62"/>
        <v>0.92758006514922686</v>
      </c>
      <c r="GE20" s="108">
        <v>12585.51</v>
      </c>
      <c r="GF20" s="108">
        <v>10104.799999999999</v>
      </c>
      <c r="GG20" s="253">
        <f t="shared" si="63"/>
        <v>0.802891579284431</v>
      </c>
      <c r="GH20" s="108">
        <v>16321.05</v>
      </c>
      <c r="GI20" s="108">
        <v>12216.11</v>
      </c>
      <c r="GJ20" s="253">
        <f t="shared" si="64"/>
        <v>0.74848799556401091</v>
      </c>
      <c r="GK20" s="108">
        <v>6700.12</v>
      </c>
      <c r="GL20" s="108">
        <v>5183.29</v>
      </c>
      <c r="GM20" s="253">
        <f t="shared" si="65"/>
        <v>0.77361151740565837</v>
      </c>
      <c r="GN20" s="108">
        <v>9263.33</v>
      </c>
      <c r="GO20" s="108">
        <v>7126.8</v>
      </c>
      <c r="GP20" s="253">
        <f t="shared" si="66"/>
        <v>0.76935616025770437</v>
      </c>
      <c r="GQ20" s="108">
        <v>7032.81</v>
      </c>
      <c r="GR20" s="108">
        <v>6410.68</v>
      </c>
      <c r="GS20" s="253">
        <f t="shared" si="67"/>
        <v>0.91153891545484667</v>
      </c>
      <c r="GT20" s="108">
        <v>9128.56</v>
      </c>
      <c r="GU20" s="108">
        <v>5659.4</v>
      </c>
      <c r="GV20" s="253">
        <f t="shared" si="68"/>
        <v>0.61996634737570877</v>
      </c>
      <c r="GW20" s="108">
        <v>11068.68</v>
      </c>
      <c r="GX20" s="108">
        <v>4362.3900000000003</v>
      </c>
      <c r="GY20" s="253">
        <f t="shared" si="69"/>
        <v>0.39412016609026551</v>
      </c>
      <c r="GZ20" s="108">
        <v>11068.68</v>
      </c>
      <c r="HA20" s="108">
        <v>9498.5300000000007</v>
      </c>
      <c r="HB20" s="253">
        <f t="shared" si="70"/>
        <v>0.85814478329846022</v>
      </c>
      <c r="HC20" s="108">
        <v>23885.03</v>
      </c>
      <c r="HD20" s="108">
        <v>12318.73</v>
      </c>
      <c r="HE20" s="253">
        <f t="shared" si="71"/>
        <v>0.51575107923247321</v>
      </c>
      <c r="HF20" s="108">
        <v>8011.73</v>
      </c>
      <c r="HG20" s="108">
        <v>7254.12</v>
      </c>
      <c r="HH20" s="253">
        <f t="shared" si="72"/>
        <v>0.90543740240871828</v>
      </c>
      <c r="HI20" s="108">
        <v>14992.11</v>
      </c>
      <c r="HJ20" s="108">
        <v>10157.950000000001</v>
      </c>
      <c r="HK20" s="253">
        <f t="shared" si="73"/>
        <v>0.67755305957600365</v>
      </c>
      <c r="HL20" s="108">
        <v>8224.19</v>
      </c>
      <c r="HM20" s="108">
        <v>6222.98</v>
      </c>
      <c r="HN20" s="253">
        <f t="shared" si="74"/>
        <v>0.7566678299017896</v>
      </c>
      <c r="HO20" s="108">
        <v>8623.4599999999991</v>
      </c>
      <c r="HP20" s="108">
        <v>9855.92</v>
      </c>
      <c r="HQ20" s="253">
        <f t="shared" si="75"/>
        <v>1.1429194314115216</v>
      </c>
      <c r="HR20" s="108">
        <v>8395.2999999999993</v>
      </c>
      <c r="HS20" s="108">
        <v>7761.6</v>
      </c>
      <c r="HT20" s="253">
        <f t="shared" si="76"/>
        <v>0.92451728943575584</v>
      </c>
      <c r="HU20" s="108">
        <v>7502.39</v>
      </c>
      <c r="HV20" s="108">
        <v>11713.55</v>
      </c>
      <c r="HW20" s="253">
        <f t="shared" si="77"/>
        <v>1.5613091294907355</v>
      </c>
      <c r="HX20" s="108">
        <v>9897.94</v>
      </c>
      <c r="HY20" s="108">
        <v>15784.07</v>
      </c>
      <c r="HZ20" s="253">
        <f t="shared" si="78"/>
        <v>1.5946823278379136</v>
      </c>
      <c r="IA20" s="108">
        <v>5702.95</v>
      </c>
      <c r="IB20" s="108">
        <v>6590.53</v>
      </c>
      <c r="IC20" s="253">
        <f t="shared" si="79"/>
        <v>1.1556352414101474</v>
      </c>
      <c r="ID20" s="353"/>
      <c r="IE20" s="353"/>
      <c r="IF20" s="353"/>
      <c r="IG20" s="353"/>
      <c r="IH20" s="353"/>
      <c r="II20" s="353"/>
      <c r="IJ20" s="353"/>
      <c r="IK20" s="353"/>
      <c r="IL20" s="353"/>
      <c r="IM20" s="353"/>
      <c r="IN20" s="353"/>
      <c r="IO20" s="353"/>
      <c r="IP20" s="353"/>
      <c r="IQ20" s="311">
        <f t="shared" si="80"/>
        <v>212056.48</v>
      </c>
      <c r="IR20" s="311">
        <f t="shared" si="81"/>
        <v>178724.62</v>
      </c>
      <c r="IS20" s="310">
        <f t="shared" si="5"/>
        <v>-33331.860000000015</v>
      </c>
      <c r="IT20" s="313">
        <f t="shared" si="6"/>
        <v>0.84281612144085383</v>
      </c>
      <c r="IU20" s="317">
        <f t="shared" si="82"/>
        <v>65647.12</v>
      </c>
      <c r="IV20" s="317">
        <f t="shared" si="83"/>
        <v>68750.19</v>
      </c>
      <c r="IW20" s="316">
        <f t="shared" si="84"/>
        <v>3103.070000000007</v>
      </c>
      <c r="IX20" s="320">
        <f t="shared" si="85"/>
        <v>1.0472689434052858</v>
      </c>
      <c r="IZ20" s="244"/>
      <c r="JA20" s="402"/>
      <c r="JB20" s="1495"/>
    </row>
    <row r="21" spans="3:262">
      <c r="C21" s="257" t="s">
        <v>26</v>
      </c>
      <c r="D21" s="108">
        <v>9104.3799999999992</v>
      </c>
      <c r="E21" s="108">
        <v>1466.07</v>
      </c>
      <c r="F21" s="243">
        <f t="shared" si="7"/>
        <v>0.16102908709873709</v>
      </c>
      <c r="G21" s="108">
        <v>7084.84</v>
      </c>
      <c r="H21" s="108">
        <v>8191.98</v>
      </c>
      <c r="I21" s="243">
        <f t="shared" si="8"/>
        <v>1.1562688783374078</v>
      </c>
      <c r="J21" s="108">
        <v>6273.74</v>
      </c>
      <c r="K21" s="108">
        <v>5860.74</v>
      </c>
      <c r="L21" s="243">
        <f t="shared" si="9"/>
        <v>0.93417004848782381</v>
      </c>
      <c r="M21" s="108">
        <v>8224.17</v>
      </c>
      <c r="N21" s="108">
        <v>7794.77</v>
      </c>
      <c r="O21" s="243">
        <f t="shared" si="10"/>
        <v>0.94778804426464924</v>
      </c>
      <c r="P21" s="108">
        <v>8136.97</v>
      </c>
      <c r="Q21" s="108">
        <v>3741.84</v>
      </c>
      <c r="R21" s="243">
        <f t="shared" si="11"/>
        <v>0.45985667883745424</v>
      </c>
      <c r="S21" s="108">
        <v>6618.61</v>
      </c>
      <c r="T21" s="108">
        <v>4195.8</v>
      </c>
      <c r="U21" s="243">
        <f t="shared" si="12"/>
        <v>0.633939754721913</v>
      </c>
      <c r="V21" s="108">
        <v>14144.17</v>
      </c>
      <c r="W21" s="108">
        <v>7131.62</v>
      </c>
      <c r="X21" s="243">
        <f t="shared" si="13"/>
        <v>0.50420915472594008</v>
      </c>
      <c r="Y21" s="108">
        <v>9800.15</v>
      </c>
      <c r="Z21" s="108">
        <v>4939.8900000000003</v>
      </c>
      <c r="AA21" s="243">
        <f t="shared" si="14"/>
        <v>0.50406269291796557</v>
      </c>
      <c r="AB21" s="108">
        <v>6265.11</v>
      </c>
      <c r="AC21" s="108">
        <v>2616.39</v>
      </c>
      <c r="AD21" s="243">
        <f t="shared" si="15"/>
        <v>0.41761277934465635</v>
      </c>
      <c r="AE21" s="108">
        <v>6607.51</v>
      </c>
      <c r="AF21" s="108">
        <v>2454.09</v>
      </c>
      <c r="AG21" s="243">
        <f t="shared" si="16"/>
        <v>0.37140919953204765</v>
      </c>
      <c r="AH21" s="108">
        <v>9968.31</v>
      </c>
      <c r="AI21" s="108">
        <v>4609.6400000000003</v>
      </c>
      <c r="AJ21" s="243">
        <f t="shared" si="17"/>
        <v>0.46242943889184834</v>
      </c>
      <c r="AK21" s="108">
        <v>7417.01</v>
      </c>
      <c r="AL21" s="108">
        <v>6066.05</v>
      </c>
      <c r="AM21" s="243">
        <f t="shared" si="18"/>
        <v>0.81785652169809664</v>
      </c>
      <c r="AN21" s="108">
        <v>7227.66</v>
      </c>
      <c r="AO21" s="108">
        <v>6810.06</v>
      </c>
      <c r="AP21" s="253">
        <f t="shared" si="19"/>
        <v>0.94222196395513913</v>
      </c>
      <c r="AQ21" s="108">
        <v>12034.19</v>
      </c>
      <c r="AR21" s="108">
        <v>8380.7000000000007</v>
      </c>
      <c r="AS21" s="253">
        <f t="shared" si="20"/>
        <v>0.69640748567207267</v>
      </c>
      <c r="AT21" s="108">
        <v>8176.5</v>
      </c>
      <c r="AU21" s="108">
        <v>6097.46</v>
      </c>
      <c r="AV21" s="253">
        <f t="shared" si="21"/>
        <v>0.74572983550418881</v>
      </c>
      <c r="AW21" s="108">
        <v>4635.03</v>
      </c>
      <c r="AX21" s="108">
        <v>3049.83</v>
      </c>
      <c r="AY21" s="253">
        <f t="shared" si="22"/>
        <v>0.65799574112788917</v>
      </c>
      <c r="AZ21" s="108">
        <v>5239.83</v>
      </c>
      <c r="BA21" s="108">
        <v>5388.99</v>
      </c>
      <c r="BB21" s="253">
        <f t="shared" si="23"/>
        <v>1.0284665723887989</v>
      </c>
      <c r="BC21" s="108">
        <v>6259.33</v>
      </c>
      <c r="BD21" s="108">
        <v>4926.43</v>
      </c>
      <c r="BE21" s="253">
        <f t="shared" si="24"/>
        <v>0.78705388595904036</v>
      </c>
      <c r="BF21" s="108">
        <v>8469.99</v>
      </c>
      <c r="BG21" s="108">
        <v>8799.84</v>
      </c>
      <c r="BH21" s="253">
        <f t="shared" si="25"/>
        <v>1.0389433753758859</v>
      </c>
      <c r="BI21" s="108">
        <v>8523.61</v>
      </c>
      <c r="BJ21" s="108">
        <v>6035.09</v>
      </c>
      <c r="BK21" s="253">
        <f t="shared" si="26"/>
        <v>0.70804389220060515</v>
      </c>
      <c r="BL21" s="108">
        <v>13816.75</v>
      </c>
      <c r="BM21" s="108">
        <v>9150.77</v>
      </c>
      <c r="BN21" s="253">
        <f t="shared" si="27"/>
        <v>0.66229540231964823</v>
      </c>
      <c r="BO21" s="108">
        <v>8950.92</v>
      </c>
      <c r="BP21" s="108">
        <v>5725.84</v>
      </c>
      <c r="BQ21" s="253">
        <f t="shared" si="28"/>
        <v>0.639692903075885</v>
      </c>
      <c r="BR21" s="108">
        <v>5528.3</v>
      </c>
      <c r="BS21" s="108">
        <v>4043.27</v>
      </c>
      <c r="BT21" s="253">
        <f t="shared" si="29"/>
        <v>0.7313767342582711</v>
      </c>
      <c r="BU21" s="108">
        <v>6973.51</v>
      </c>
      <c r="BV21" s="108">
        <v>5044.8500000000004</v>
      </c>
      <c r="BW21" s="253">
        <f t="shared" si="30"/>
        <v>0.72343052494367976</v>
      </c>
      <c r="BX21" s="108">
        <v>5525.29</v>
      </c>
      <c r="BY21" s="108">
        <v>3940.86</v>
      </c>
      <c r="BZ21" s="253">
        <f t="shared" si="31"/>
        <v>0.71324039100210124</v>
      </c>
      <c r="CA21" s="88">
        <v>5746.06</v>
      </c>
      <c r="CB21" s="108">
        <v>8164.88</v>
      </c>
      <c r="CC21" s="253">
        <f t="shared" si="32"/>
        <v>1.4209527920000835</v>
      </c>
      <c r="CD21" s="108">
        <v>7942.09</v>
      </c>
      <c r="CE21" s="108">
        <v>4913.8599999999997</v>
      </c>
      <c r="CF21" s="253">
        <f t="shared" si="33"/>
        <v>0.6187111956676391</v>
      </c>
      <c r="CG21" s="108">
        <v>14764.25</v>
      </c>
      <c r="CH21" s="108">
        <v>13965.72</v>
      </c>
      <c r="CI21" s="253">
        <f t="shared" si="34"/>
        <v>0.94591462485395461</v>
      </c>
      <c r="CJ21" s="108">
        <v>6330.05</v>
      </c>
      <c r="CK21" s="108">
        <v>6146.59</v>
      </c>
      <c r="CL21" s="253">
        <f t="shared" si="35"/>
        <v>0.97101760649599922</v>
      </c>
      <c r="CM21" s="108">
        <v>8013.98</v>
      </c>
      <c r="CN21" s="108">
        <v>6061.19</v>
      </c>
      <c r="CO21" s="253">
        <f t="shared" si="36"/>
        <v>0.75632706844788733</v>
      </c>
      <c r="CP21" s="108">
        <v>3104.36</v>
      </c>
      <c r="CQ21" s="108">
        <v>5658.19</v>
      </c>
      <c r="CR21" s="253">
        <f t="shared" si="37"/>
        <v>1.8226590988158589</v>
      </c>
      <c r="CS21" s="108">
        <v>6337.4</v>
      </c>
      <c r="CT21" s="108">
        <v>6562.71</v>
      </c>
      <c r="CU21" s="253">
        <f t="shared" si="38"/>
        <v>1.0355524347524221</v>
      </c>
      <c r="CV21" s="108">
        <v>5352.34</v>
      </c>
      <c r="CW21" s="108">
        <v>3473.21</v>
      </c>
      <c r="CX21" s="253">
        <f t="shared" si="39"/>
        <v>0.64891430663971272</v>
      </c>
      <c r="CY21" s="108">
        <v>7585.02</v>
      </c>
      <c r="CZ21" s="108">
        <v>5800.66</v>
      </c>
      <c r="DA21" s="253">
        <f t="shared" si="40"/>
        <v>0.76475210348819112</v>
      </c>
      <c r="DB21" s="108">
        <v>18546.75</v>
      </c>
      <c r="DC21" s="108">
        <v>10677.15</v>
      </c>
      <c r="DD21" s="253">
        <f t="shared" si="41"/>
        <v>0.5756884629382506</v>
      </c>
      <c r="DE21" s="108">
        <v>12864.17</v>
      </c>
      <c r="DF21" s="108">
        <v>4690.96</v>
      </c>
      <c r="DG21" s="253">
        <f t="shared" si="42"/>
        <v>0.36465314124424664</v>
      </c>
      <c r="DH21" s="108">
        <v>5151.6499999999996</v>
      </c>
      <c r="DI21" s="108">
        <v>7248.98</v>
      </c>
      <c r="DJ21" s="253">
        <f t="shared" si="43"/>
        <v>1.4071181077907078</v>
      </c>
      <c r="DK21" s="108">
        <v>9411.09</v>
      </c>
      <c r="DL21" s="108">
        <v>6437.28</v>
      </c>
      <c r="DM21" s="253">
        <f t="shared" si="0"/>
        <v>0.68401003496938184</v>
      </c>
      <c r="DN21" s="108">
        <v>8615.7800000000007</v>
      </c>
      <c r="DO21" s="108">
        <v>5221.34</v>
      </c>
      <c r="DP21" s="253">
        <f t="shared" si="1"/>
        <v>0.6060205808412007</v>
      </c>
      <c r="DQ21" s="108">
        <v>19281.95</v>
      </c>
      <c r="DR21" s="108">
        <v>7282.16</v>
      </c>
      <c r="DS21" s="253">
        <f t="shared" si="2"/>
        <v>0.37766719652317321</v>
      </c>
      <c r="DT21" s="108">
        <v>21466.59</v>
      </c>
      <c r="DU21" s="108">
        <v>13894.13</v>
      </c>
      <c r="DV21" s="253">
        <f t="shared" si="3"/>
        <v>0.64724439233245701</v>
      </c>
      <c r="DW21" s="108">
        <v>15049.36</v>
      </c>
      <c r="DX21" s="108">
        <v>14287.07</v>
      </c>
      <c r="DY21" s="253">
        <f t="shared" si="4"/>
        <v>0.9493473476612958</v>
      </c>
      <c r="DZ21" s="108">
        <v>9928.77</v>
      </c>
      <c r="EA21" s="108">
        <v>9451.7199999999993</v>
      </c>
      <c r="EB21" s="253">
        <f t="shared" si="44"/>
        <v>0.95195275950596081</v>
      </c>
      <c r="EC21" s="108">
        <v>5673.85</v>
      </c>
      <c r="ED21" s="108">
        <v>7080.29</v>
      </c>
      <c r="EE21" s="253">
        <f t="shared" si="45"/>
        <v>1.2478810684103385</v>
      </c>
      <c r="EF21" s="108">
        <v>5114.18</v>
      </c>
      <c r="EG21" s="108">
        <v>5811.11</v>
      </c>
      <c r="EH21" s="253">
        <f t="shared" si="46"/>
        <v>1.1362740458880993</v>
      </c>
      <c r="EI21" s="108">
        <v>4853.6099999999997</v>
      </c>
      <c r="EJ21" s="108">
        <v>3640.55</v>
      </c>
      <c r="EK21" s="253">
        <f t="shared" si="47"/>
        <v>0.75007056603229361</v>
      </c>
      <c r="EL21" s="108">
        <v>3909.04</v>
      </c>
      <c r="EM21" s="108">
        <v>5701.38</v>
      </c>
      <c r="EN21" s="253">
        <f t="shared" si="48"/>
        <v>1.4585115527085935</v>
      </c>
      <c r="EO21" s="108">
        <v>10404.76</v>
      </c>
      <c r="EP21" s="108">
        <v>5388.99</v>
      </c>
      <c r="EQ21" s="253">
        <f t="shared" si="49"/>
        <v>0.51793506049154425</v>
      </c>
      <c r="ER21" s="108">
        <v>12161.86</v>
      </c>
      <c r="ES21" s="108">
        <v>4926.43</v>
      </c>
      <c r="ET21" s="253">
        <f t="shared" si="50"/>
        <v>0.40507208601315919</v>
      </c>
      <c r="EU21" s="108">
        <v>9162.48</v>
      </c>
      <c r="EV21" s="108">
        <v>4179.45</v>
      </c>
      <c r="EW21" s="253">
        <f t="shared" si="51"/>
        <v>0.45614833538517957</v>
      </c>
      <c r="EX21" s="108">
        <v>7244.9</v>
      </c>
      <c r="EY21" s="108">
        <v>5876.43</v>
      </c>
      <c r="EZ21" s="253">
        <f t="shared" si="52"/>
        <v>0.81111264475700151</v>
      </c>
      <c r="FA21" s="108">
        <v>4704.6400000000003</v>
      </c>
      <c r="FB21" s="108">
        <v>3356.04</v>
      </c>
      <c r="FC21" s="253">
        <f t="shared" si="53"/>
        <v>0.71334682356142021</v>
      </c>
      <c r="FD21" s="108">
        <v>4707.72</v>
      </c>
      <c r="FE21" s="108">
        <v>7176.69</v>
      </c>
      <c r="FF21" s="253">
        <f t="shared" si="54"/>
        <v>1.5244513267569013</v>
      </c>
      <c r="FG21" s="108">
        <v>7711.73</v>
      </c>
      <c r="FH21" s="108">
        <v>7859.24</v>
      </c>
      <c r="FI21" s="253">
        <f t="shared" si="55"/>
        <v>1.0191280037034491</v>
      </c>
      <c r="FJ21" s="108">
        <v>7060.9</v>
      </c>
      <c r="FK21" s="108">
        <v>7166.53</v>
      </c>
      <c r="FL21" s="253">
        <f t="shared" si="56"/>
        <v>1.0149598493109944</v>
      </c>
      <c r="FM21" s="108">
        <v>13160.58</v>
      </c>
      <c r="FN21" s="108">
        <v>10067.76</v>
      </c>
      <c r="FO21" s="253">
        <f t="shared" si="57"/>
        <v>0.76499364009792881</v>
      </c>
      <c r="FP21" s="108">
        <v>8325.67</v>
      </c>
      <c r="FQ21" s="108">
        <v>6327.66</v>
      </c>
      <c r="FR21" s="253">
        <f t="shared" si="58"/>
        <v>0.76001811265639885</v>
      </c>
      <c r="FS21" s="108">
        <v>5641.72</v>
      </c>
      <c r="FT21" s="108">
        <v>5696.61</v>
      </c>
      <c r="FU21" s="253">
        <f t="shared" si="59"/>
        <v>1.0097293024113212</v>
      </c>
      <c r="FV21" s="108">
        <v>6404.84</v>
      </c>
      <c r="FW21" s="108">
        <v>5451.15</v>
      </c>
      <c r="FX21" s="253">
        <f t="shared" si="60"/>
        <v>0.85109854422592901</v>
      </c>
      <c r="FY21" s="108">
        <v>5776.16</v>
      </c>
      <c r="FZ21" s="108">
        <v>7668.82</v>
      </c>
      <c r="GA21" s="253">
        <f t="shared" si="61"/>
        <v>1.3276675161352871</v>
      </c>
      <c r="GB21" s="108">
        <v>7368.03</v>
      </c>
      <c r="GC21" s="108">
        <v>9265.66</v>
      </c>
      <c r="GD21" s="253">
        <f t="shared" si="62"/>
        <v>1.2575491685022999</v>
      </c>
      <c r="GE21" s="108">
        <v>7185.57</v>
      </c>
      <c r="GF21" s="108">
        <v>7951.14</v>
      </c>
      <c r="GG21" s="253">
        <f t="shared" si="63"/>
        <v>1.1065426959865399</v>
      </c>
      <c r="GH21" s="108">
        <v>13111.97</v>
      </c>
      <c r="GI21" s="108">
        <v>9448.98</v>
      </c>
      <c r="GJ21" s="253">
        <f t="shared" si="64"/>
        <v>0.72063770737730481</v>
      </c>
      <c r="GK21" s="108">
        <v>7287.48</v>
      </c>
      <c r="GL21" s="108">
        <v>8070.47</v>
      </c>
      <c r="GM21" s="253">
        <f t="shared" si="65"/>
        <v>1.1074431765164365</v>
      </c>
      <c r="GN21" s="108">
        <v>4284.5</v>
      </c>
      <c r="GO21" s="108">
        <v>5715.96</v>
      </c>
      <c r="GP21" s="253">
        <f t="shared" si="66"/>
        <v>1.3341019955654103</v>
      </c>
      <c r="GQ21" s="108">
        <v>6033.09</v>
      </c>
      <c r="GR21" s="108">
        <v>4759.49</v>
      </c>
      <c r="GS21" s="253">
        <f t="shared" si="67"/>
        <v>0.78889756327188876</v>
      </c>
      <c r="GT21" s="108">
        <v>5782.52</v>
      </c>
      <c r="GU21" s="108">
        <v>6390.88</v>
      </c>
      <c r="GV21" s="253">
        <f t="shared" si="68"/>
        <v>1.1052067264791128</v>
      </c>
      <c r="GW21" s="108">
        <v>6511.43</v>
      </c>
      <c r="GX21" s="108">
        <v>6503.13</v>
      </c>
      <c r="GY21" s="253">
        <f t="shared" si="69"/>
        <v>0.99872531840164136</v>
      </c>
      <c r="GZ21" s="108">
        <v>6511.43</v>
      </c>
      <c r="HA21" s="108">
        <v>10248.99</v>
      </c>
      <c r="HB21" s="253">
        <f t="shared" si="70"/>
        <v>1.5739998740676011</v>
      </c>
      <c r="HC21" s="108">
        <v>13892.66</v>
      </c>
      <c r="HD21" s="108">
        <v>13135.61</v>
      </c>
      <c r="HE21" s="253">
        <f t="shared" si="71"/>
        <v>0.94550719588617305</v>
      </c>
      <c r="HF21" s="108">
        <v>7323.64</v>
      </c>
      <c r="HG21" s="108">
        <v>8953.16</v>
      </c>
      <c r="HH21" s="253">
        <f t="shared" si="72"/>
        <v>1.2225013790956409</v>
      </c>
      <c r="HI21" s="108">
        <v>7186.84</v>
      </c>
      <c r="HJ21" s="108">
        <v>9060.73</v>
      </c>
      <c r="HK21" s="253">
        <f t="shared" si="73"/>
        <v>1.2607390730835804</v>
      </c>
      <c r="HL21" s="108">
        <v>3847.29</v>
      </c>
      <c r="HM21" s="108">
        <v>4032.51</v>
      </c>
      <c r="HN21" s="253">
        <f t="shared" si="74"/>
        <v>1.0481429785641323</v>
      </c>
      <c r="HO21" s="108">
        <v>4117.17</v>
      </c>
      <c r="HP21" s="108">
        <v>5649.62</v>
      </c>
      <c r="HQ21" s="253">
        <f t="shared" si="75"/>
        <v>1.3722095517066333</v>
      </c>
      <c r="HR21" s="108">
        <v>4217.9399999999996</v>
      </c>
      <c r="HS21" s="108">
        <v>6371.63</v>
      </c>
      <c r="HT21" s="253">
        <f t="shared" si="76"/>
        <v>1.5106023319440298</v>
      </c>
      <c r="HU21" s="108">
        <v>5060.16</v>
      </c>
      <c r="HV21" s="108">
        <v>6770.37</v>
      </c>
      <c r="HW21" s="253">
        <f t="shared" si="77"/>
        <v>1.3379754790362359</v>
      </c>
      <c r="HX21" s="108">
        <v>6211.53</v>
      </c>
      <c r="HY21" s="108">
        <v>10457.799999999999</v>
      </c>
      <c r="HZ21" s="253">
        <f t="shared" si="78"/>
        <v>1.6836109621944995</v>
      </c>
      <c r="IA21" s="108">
        <v>4735.84</v>
      </c>
      <c r="IB21" s="108">
        <v>7184.9</v>
      </c>
      <c r="IC21" s="253">
        <f t="shared" si="79"/>
        <v>1.5171331801750059</v>
      </c>
      <c r="ID21" s="353"/>
      <c r="IE21" s="353"/>
      <c r="IF21" s="353"/>
      <c r="IG21" s="353"/>
      <c r="IH21" s="353"/>
      <c r="II21" s="353"/>
      <c r="IJ21" s="353"/>
      <c r="IK21" s="353"/>
      <c r="IL21" s="353"/>
      <c r="IM21" s="353"/>
      <c r="IN21" s="353"/>
      <c r="IO21" s="353"/>
      <c r="IP21" s="353"/>
      <c r="IQ21" s="311">
        <f t="shared" si="80"/>
        <v>142081.63999999998</v>
      </c>
      <c r="IR21" s="311">
        <f t="shared" si="81"/>
        <v>157930.37</v>
      </c>
      <c r="IS21" s="310">
        <f t="shared" si="5"/>
        <v>15848.73000000001</v>
      </c>
      <c r="IT21" s="313">
        <f t="shared" si="6"/>
        <v>1.1115466431834544</v>
      </c>
      <c r="IU21" s="317">
        <f t="shared" si="82"/>
        <v>37964.57</v>
      </c>
      <c r="IV21" s="317">
        <f t="shared" si="83"/>
        <v>51295.820000000007</v>
      </c>
      <c r="IW21" s="316">
        <f t="shared" si="84"/>
        <v>13331.250000000007</v>
      </c>
      <c r="IX21" s="320">
        <f t="shared" si="85"/>
        <v>1.35114976937708</v>
      </c>
      <c r="IZ21" s="244"/>
      <c r="JA21" s="402"/>
      <c r="JB21" s="1495"/>
    </row>
    <row r="22" spans="3:262">
      <c r="C22" s="257" t="s">
        <v>27</v>
      </c>
      <c r="D22" s="108">
        <v>4009.26</v>
      </c>
      <c r="E22" s="108">
        <v>10684.99</v>
      </c>
      <c r="F22" s="243">
        <f t="shared" si="7"/>
        <v>2.6650778447893124</v>
      </c>
      <c r="G22" s="108">
        <v>7378.83</v>
      </c>
      <c r="H22" s="108">
        <v>14706.59</v>
      </c>
      <c r="I22" s="243">
        <f t="shared" si="8"/>
        <v>1.9930788485437394</v>
      </c>
      <c r="J22" s="108">
        <v>7299.88</v>
      </c>
      <c r="K22" s="108">
        <v>11328.29</v>
      </c>
      <c r="L22" s="243">
        <f t="shared" si="9"/>
        <v>1.551846057743415</v>
      </c>
      <c r="M22" s="108">
        <v>3015.62</v>
      </c>
      <c r="N22" s="108">
        <v>9900.01</v>
      </c>
      <c r="O22" s="243">
        <f t="shared" si="10"/>
        <v>3.282910313633681</v>
      </c>
      <c r="P22" s="108">
        <v>3597.75</v>
      </c>
      <c r="Q22" s="108">
        <v>8518.57</v>
      </c>
      <c r="R22" s="243">
        <f t="shared" si="11"/>
        <v>2.3677492877492878</v>
      </c>
      <c r="S22" s="108">
        <v>8738.41</v>
      </c>
      <c r="T22" s="108">
        <v>9944.2199999999993</v>
      </c>
      <c r="U22" s="243">
        <f t="shared" si="12"/>
        <v>1.1379896342698499</v>
      </c>
      <c r="V22" s="108">
        <v>7521.82</v>
      </c>
      <c r="W22" s="108">
        <v>15094.89</v>
      </c>
      <c r="X22" s="243">
        <f t="shared" si="13"/>
        <v>2.0068135105599443</v>
      </c>
      <c r="Y22" s="108">
        <v>2868.66</v>
      </c>
      <c r="Z22" s="108">
        <v>9204.41</v>
      </c>
      <c r="AA22" s="243">
        <f t="shared" si="14"/>
        <v>3.208609594723669</v>
      </c>
      <c r="AB22" s="108">
        <v>3800.55</v>
      </c>
      <c r="AC22" s="108">
        <v>5603.32</v>
      </c>
      <c r="AD22" s="243">
        <f t="shared" si="15"/>
        <v>1.4743445027693358</v>
      </c>
      <c r="AE22" s="108">
        <v>4522.13</v>
      </c>
      <c r="AF22" s="108">
        <v>5443.62</v>
      </c>
      <c r="AG22" s="243">
        <f t="shared" si="16"/>
        <v>1.2037734430456444</v>
      </c>
      <c r="AH22" s="108">
        <v>4868.62</v>
      </c>
      <c r="AI22" s="108">
        <v>4684.53</v>
      </c>
      <c r="AJ22" s="243">
        <f t="shared" si="17"/>
        <v>0.96218846408222447</v>
      </c>
      <c r="AK22" s="108">
        <v>4846.83</v>
      </c>
      <c r="AL22" s="108">
        <v>10094.08</v>
      </c>
      <c r="AM22" s="243">
        <f t="shared" si="18"/>
        <v>2.0826148224715948</v>
      </c>
      <c r="AN22" s="108">
        <v>7301.85</v>
      </c>
      <c r="AO22" s="108">
        <v>7646.44</v>
      </c>
      <c r="AP22" s="253">
        <f t="shared" si="19"/>
        <v>1.0471921499346055</v>
      </c>
      <c r="AQ22" s="108">
        <v>10700.01</v>
      </c>
      <c r="AR22" s="108">
        <v>12020.81</v>
      </c>
      <c r="AS22" s="253">
        <f t="shared" si="20"/>
        <v>1.1234391369727692</v>
      </c>
      <c r="AT22" s="108">
        <v>3989.25</v>
      </c>
      <c r="AU22" s="108">
        <v>11006.3</v>
      </c>
      <c r="AV22" s="253">
        <f t="shared" si="21"/>
        <v>2.7589897850473144</v>
      </c>
      <c r="AW22" s="108">
        <v>5573</v>
      </c>
      <c r="AX22" s="108">
        <v>7645.08</v>
      </c>
      <c r="AY22" s="253">
        <f t="shared" si="22"/>
        <v>1.37180692625157</v>
      </c>
      <c r="AZ22" s="108">
        <v>4255.75</v>
      </c>
      <c r="BA22" s="108">
        <v>8305.58</v>
      </c>
      <c r="BB22" s="253">
        <f t="shared" si="23"/>
        <v>1.9516136991129649</v>
      </c>
      <c r="BC22" s="108">
        <v>4308.74</v>
      </c>
      <c r="BD22" s="108">
        <v>5010.5</v>
      </c>
      <c r="BE22" s="253">
        <f t="shared" si="24"/>
        <v>1.1628689593709531</v>
      </c>
      <c r="BF22" s="108">
        <v>5623.86</v>
      </c>
      <c r="BG22" s="108">
        <v>6273.79</v>
      </c>
      <c r="BH22" s="253">
        <f t="shared" si="25"/>
        <v>1.1155665325950503</v>
      </c>
      <c r="BI22" s="108">
        <v>6215.63</v>
      </c>
      <c r="BJ22" s="108">
        <v>13857.41</v>
      </c>
      <c r="BK22" s="253">
        <f t="shared" si="26"/>
        <v>2.2294457681683113</v>
      </c>
      <c r="BL22" s="108">
        <v>7059.71</v>
      </c>
      <c r="BM22" s="108">
        <v>21285.58</v>
      </c>
      <c r="BN22" s="253">
        <f t="shared" si="27"/>
        <v>3.0150785230554797</v>
      </c>
      <c r="BO22" s="108">
        <v>2932.71</v>
      </c>
      <c r="BP22" s="108">
        <v>10013.700000000001</v>
      </c>
      <c r="BQ22" s="253">
        <f t="shared" si="28"/>
        <v>3.4144869421115627</v>
      </c>
      <c r="BR22" s="108">
        <v>3801.46</v>
      </c>
      <c r="BS22" s="108">
        <v>7925.56</v>
      </c>
      <c r="BT22" s="253">
        <f t="shared" si="29"/>
        <v>2.0848726541907583</v>
      </c>
      <c r="BU22" s="108">
        <v>3579.72</v>
      </c>
      <c r="BV22" s="108">
        <v>9758.49</v>
      </c>
      <c r="BW22" s="253">
        <f t="shared" si="30"/>
        <v>2.7260484060205825</v>
      </c>
      <c r="BX22" s="108">
        <v>2457.54</v>
      </c>
      <c r="BY22" s="108">
        <v>6919.02</v>
      </c>
      <c r="BZ22" s="253">
        <f t="shared" si="31"/>
        <v>2.8154251812788402</v>
      </c>
      <c r="CA22" s="88">
        <v>3324.92</v>
      </c>
      <c r="CB22" s="108">
        <v>11716.12</v>
      </c>
      <c r="CC22" s="253">
        <f t="shared" si="32"/>
        <v>3.523729894253095</v>
      </c>
      <c r="CD22" s="108">
        <v>6089.87</v>
      </c>
      <c r="CE22" s="108">
        <v>11461.15</v>
      </c>
      <c r="CF22" s="253">
        <f t="shared" si="33"/>
        <v>1.8820024072763457</v>
      </c>
      <c r="CG22" s="108">
        <v>8700.75</v>
      </c>
      <c r="CH22" s="108">
        <v>18770.46</v>
      </c>
      <c r="CI22" s="253">
        <f t="shared" si="34"/>
        <v>2.157338160503405</v>
      </c>
      <c r="CJ22" s="108">
        <v>3304.33</v>
      </c>
      <c r="CK22" s="108">
        <v>17522.240000000002</v>
      </c>
      <c r="CL22" s="253">
        <f t="shared" si="35"/>
        <v>5.3028117651687339</v>
      </c>
      <c r="CM22" s="108">
        <v>5515.46</v>
      </c>
      <c r="CN22" s="108">
        <v>12979.01</v>
      </c>
      <c r="CO22" s="253">
        <f t="shared" si="36"/>
        <v>2.3532053536785691</v>
      </c>
      <c r="CP22" s="108">
        <v>3527.59</v>
      </c>
      <c r="CQ22" s="108">
        <v>6253.92</v>
      </c>
      <c r="CR22" s="253">
        <f t="shared" si="37"/>
        <v>1.7728590907673509</v>
      </c>
      <c r="CS22" s="108">
        <v>2881.85</v>
      </c>
      <c r="CT22" s="108">
        <v>12473.98</v>
      </c>
      <c r="CU22" s="253">
        <f t="shared" si="38"/>
        <v>4.3284626194978921</v>
      </c>
      <c r="CV22" s="108">
        <v>2716.64</v>
      </c>
      <c r="CW22" s="108">
        <v>11023.25</v>
      </c>
      <c r="CX22" s="253">
        <f t="shared" si="39"/>
        <v>4.0576778667766069</v>
      </c>
      <c r="CY22" s="108">
        <v>6286.5</v>
      </c>
      <c r="CZ22" s="108">
        <v>11274.9</v>
      </c>
      <c r="DA22" s="253">
        <f t="shared" si="40"/>
        <v>1.7935099021713194</v>
      </c>
      <c r="DB22" s="108">
        <v>7424.66</v>
      </c>
      <c r="DC22" s="108">
        <v>17570.509999999998</v>
      </c>
      <c r="DD22" s="253">
        <f t="shared" si="41"/>
        <v>2.3665070185032042</v>
      </c>
      <c r="DE22" s="108">
        <v>2961.14</v>
      </c>
      <c r="DF22" s="108">
        <v>11761.51</v>
      </c>
      <c r="DG22" s="253">
        <f t="shared" si="42"/>
        <v>3.9719533693104685</v>
      </c>
      <c r="DH22" s="108">
        <v>6061.68</v>
      </c>
      <c r="DI22" s="108">
        <v>8865.0400000000009</v>
      </c>
      <c r="DJ22" s="253">
        <f t="shared" si="43"/>
        <v>1.4624724498818811</v>
      </c>
      <c r="DK22" s="108">
        <v>4919.01</v>
      </c>
      <c r="DL22" s="108">
        <v>8862.69</v>
      </c>
      <c r="DM22" s="253">
        <f t="shared" si="0"/>
        <v>1.8017222977794312</v>
      </c>
      <c r="DN22" s="108">
        <v>7003.46</v>
      </c>
      <c r="DO22" s="108">
        <v>8872.49</v>
      </c>
      <c r="DP22" s="253">
        <f t="shared" si="1"/>
        <v>1.2668723745120269</v>
      </c>
      <c r="DQ22" s="108">
        <v>15372.07</v>
      </c>
      <c r="DR22" s="108">
        <v>14880.28</v>
      </c>
      <c r="DS22" s="253">
        <f t="shared" si="2"/>
        <v>0.96800756176624236</v>
      </c>
      <c r="DT22" s="108">
        <v>9629.02</v>
      </c>
      <c r="DU22" s="108">
        <v>19164.88</v>
      </c>
      <c r="DV22" s="253">
        <f t="shared" si="3"/>
        <v>1.9903250798108219</v>
      </c>
      <c r="DW22" s="108">
        <v>10724.31</v>
      </c>
      <c r="DX22" s="108">
        <v>35101.980000000003</v>
      </c>
      <c r="DY22" s="253">
        <f t="shared" si="4"/>
        <v>3.2731224666202308</v>
      </c>
      <c r="DZ22" s="108">
        <v>3627.19</v>
      </c>
      <c r="EA22" s="108">
        <v>11558.48</v>
      </c>
      <c r="EB22" s="253">
        <f t="shared" si="44"/>
        <v>3.1866210482494712</v>
      </c>
      <c r="EC22" s="108">
        <v>3488.81</v>
      </c>
      <c r="ED22" s="108">
        <v>6908.69</v>
      </c>
      <c r="EE22" s="253">
        <f t="shared" si="45"/>
        <v>1.9802425468856142</v>
      </c>
      <c r="EF22" s="108">
        <v>2758.16</v>
      </c>
      <c r="EG22" s="108">
        <v>6699.62</v>
      </c>
      <c r="EH22" s="253">
        <f t="shared" si="46"/>
        <v>2.4290178959886304</v>
      </c>
      <c r="EI22" s="108">
        <v>5260.53</v>
      </c>
      <c r="EJ22" s="108">
        <v>6379.82</v>
      </c>
      <c r="EK22" s="253">
        <f t="shared" si="47"/>
        <v>1.2127713367284285</v>
      </c>
      <c r="EL22" s="108">
        <v>3391.65</v>
      </c>
      <c r="EM22" s="108">
        <v>9060.11</v>
      </c>
      <c r="EN22" s="253">
        <f t="shared" si="48"/>
        <v>2.6712986304601007</v>
      </c>
      <c r="EO22" s="108">
        <v>3592.74</v>
      </c>
      <c r="EP22" s="108">
        <v>8305.58</v>
      </c>
      <c r="EQ22" s="253">
        <f t="shared" si="49"/>
        <v>2.3117676202564059</v>
      </c>
      <c r="ER22" s="108">
        <v>7285.58</v>
      </c>
      <c r="ES22" s="108">
        <v>5010.5</v>
      </c>
      <c r="ET22" s="253">
        <f t="shared" si="50"/>
        <v>0.68772836205216337</v>
      </c>
      <c r="EU22" s="108">
        <v>3501.06</v>
      </c>
      <c r="EV22" s="108">
        <v>9938.9500000000007</v>
      </c>
      <c r="EW22" s="253">
        <f t="shared" si="51"/>
        <v>2.8388402369568078</v>
      </c>
      <c r="EX22" s="108">
        <v>3045.54</v>
      </c>
      <c r="EY22" s="108">
        <v>6673.32</v>
      </c>
      <c r="EZ22" s="253">
        <f t="shared" si="52"/>
        <v>2.1911779191867451</v>
      </c>
      <c r="FA22" s="108">
        <v>2954.87</v>
      </c>
      <c r="FB22" s="108">
        <v>10069.86</v>
      </c>
      <c r="FC22" s="253">
        <f t="shared" si="53"/>
        <v>3.4078859645263586</v>
      </c>
      <c r="FD22" s="108">
        <v>2354.88</v>
      </c>
      <c r="FE22" s="108">
        <v>8434.7199999999993</v>
      </c>
      <c r="FF22" s="253">
        <f t="shared" si="54"/>
        <v>3.581804593015355</v>
      </c>
      <c r="FG22" s="108">
        <v>3458.43</v>
      </c>
      <c r="FH22" s="108">
        <v>11062.11</v>
      </c>
      <c r="FI22" s="253">
        <f t="shared" si="55"/>
        <v>3.1985930031835257</v>
      </c>
      <c r="FJ22" s="108">
        <v>5797.33</v>
      </c>
      <c r="FK22" s="108">
        <v>14877.83</v>
      </c>
      <c r="FL22" s="253">
        <f t="shared" si="56"/>
        <v>2.5663244976566797</v>
      </c>
      <c r="FM22" s="108">
        <v>9618.82</v>
      </c>
      <c r="FN22" s="108">
        <v>22593.48</v>
      </c>
      <c r="FO22" s="253">
        <f t="shared" si="57"/>
        <v>2.348882711184948</v>
      </c>
      <c r="FP22" s="108">
        <v>3104.39</v>
      </c>
      <c r="FQ22" s="108">
        <v>11700.64</v>
      </c>
      <c r="FR22" s="253">
        <f t="shared" si="58"/>
        <v>3.7690625211394186</v>
      </c>
      <c r="FS22" s="108">
        <v>5672.59</v>
      </c>
      <c r="FT22" s="108">
        <v>7830.27</v>
      </c>
      <c r="FU22" s="253">
        <f t="shared" si="59"/>
        <v>1.3803694608635562</v>
      </c>
      <c r="FV22" s="108">
        <v>3054.52</v>
      </c>
      <c r="FW22" s="108">
        <v>5999.24</v>
      </c>
      <c r="FX22" s="253">
        <f t="shared" si="60"/>
        <v>1.9640532718725037</v>
      </c>
      <c r="FY22" s="108">
        <v>7037.01</v>
      </c>
      <c r="FZ22" s="108">
        <v>9362.5300000000007</v>
      </c>
      <c r="GA22" s="253">
        <f t="shared" si="61"/>
        <v>1.3304699012790944</v>
      </c>
      <c r="GB22" s="108">
        <v>5325.04</v>
      </c>
      <c r="GC22" s="108">
        <v>9660.93</v>
      </c>
      <c r="GD22" s="253">
        <f t="shared" si="62"/>
        <v>1.8142455267941651</v>
      </c>
      <c r="GE22" s="108">
        <v>5667.34</v>
      </c>
      <c r="GF22" s="108">
        <v>11791.06</v>
      </c>
      <c r="GG22" s="253">
        <f t="shared" si="63"/>
        <v>2.080528078428328</v>
      </c>
      <c r="GH22" s="108">
        <v>6999.13</v>
      </c>
      <c r="GI22" s="108">
        <v>18493.62</v>
      </c>
      <c r="GJ22" s="253">
        <f t="shared" si="64"/>
        <v>2.6422741112109644</v>
      </c>
      <c r="GK22" s="108">
        <v>4596.4399999999996</v>
      </c>
      <c r="GL22" s="108">
        <v>11527.99</v>
      </c>
      <c r="GM22" s="253">
        <f t="shared" si="65"/>
        <v>2.5080257764704861</v>
      </c>
      <c r="GN22" s="108">
        <v>3474.54</v>
      </c>
      <c r="GO22" s="108">
        <v>7306.19</v>
      </c>
      <c r="GP22" s="253">
        <f t="shared" si="66"/>
        <v>2.1027790729132487</v>
      </c>
      <c r="GQ22" s="108">
        <v>5276.09</v>
      </c>
      <c r="GR22" s="108">
        <v>9462.92</v>
      </c>
      <c r="GS22" s="253">
        <f t="shared" si="67"/>
        <v>1.7935478735199741</v>
      </c>
      <c r="GT22" s="108">
        <v>4371.58</v>
      </c>
      <c r="GU22" s="108">
        <v>8025.41</v>
      </c>
      <c r="GV22" s="253">
        <f t="shared" si="68"/>
        <v>1.8358145110005992</v>
      </c>
      <c r="GW22" s="108">
        <v>3098.55</v>
      </c>
      <c r="GX22" s="108">
        <v>7204.92</v>
      </c>
      <c r="GY22" s="253">
        <f t="shared" si="69"/>
        <v>2.3252553613787095</v>
      </c>
      <c r="GZ22" s="108">
        <v>3098.55</v>
      </c>
      <c r="HA22" s="108">
        <v>12720.33</v>
      </c>
      <c r="HB22" s="253">
        <f t="shared" si="70"/>
        <v>4.1052524567943065</v>
      </c>
      <c r="HC22" s="108">
        <v>10183.93</v>
      </c>
      <c r="HD22" s="108">
        <v>16506.669999999998</v>
      </c>
      <c r="HE22" s="253">
        <f t="shared" si="71"/>
        <v>1.6208546209567425</v>
      </c>
      <c r="HF22" s="108">
        <v>4817.63</v>
      </c>
      <c r="HG22" s="108">
        <v>15992.55</v>
      </c>
      <c r="HH22" s="253">
        <f t="shared" si="72"/>
        <v>3.3195886774202252</v>
      </c>
      <c r="HI22" s="108">
        <v>4348.4399999999996</v>
      </c>
      <c r="HJ22" s="108">
        <v>13577.33</v>
      </c>
      <c r="HK22" s="253">
        <f t="shared" si="73"/>
        <v>3.1223450248824869</v>
      </c>
      <c r="HL22" s="108">
        <v>2569.33</v>
      </c>
      <c r="HM22" s="108">
        <v>8395.09</v>
      </c>
      <c r="HN22" s="253">
        <f t="shared" si="74"/>
        <v>3.267423803092635</v>
      </c>
      <c r="HP22" s="108">
        <v>10131.719999999999</v>
      </c>
      <c r="HQ22" s="253" t="e">
        <f t="shared" si="75"/>
        <v>#DIV/0!</v>
      </c>
      <c r="HS22" s="108">
        <v>9043.18</v>
      </c>
      <c r="HT22" s="253" t="e">
        <f t="shared" si="76"/>
        <v>#DIV/0!</v>
      </c>
      <c r="HV22" s="108">
        <v>13557.37</v>
      </c>
      <c r="HW22" s="253" t="e">
        <f t="shared" si="77"/>
        <v>#DIV/0!</v>
      </c>
      <c r="HY22" s="108">
        <v>25468.41</v>
      </c>
      <c r="HZ22" s="253" t="e">
        <f t="shared" si="78"/>
        <v>#DIV/0!</v>
      </c>
      <c r="IB22" s="108">
        <v>13738.3</v>
      </c>
      <c r="IC22" s="253" t="e">
        <f t="shared" si="79"/>
        <v>#DIV/0!</v>
      </c>
      <c r="ID22" s="353"/>
      <c r="IE22" s="353"/>
      <c r="IF22" s="353"/>
      <c r="IG22" s="353"/>
      <c r="IH22" s="353"/>
      <c r="II22" s="353"/>
      <c r="IJ22" s="353"/>
      <c r="IK22" s="353"/>
      <c r="IL22" s="353"/>
      <c r="IM22" s="353"/>
      <c r="IN22" s="353"/>
      <c r="IO22" s="353"/>
      <c r="IP22" s="353"/>
      <c r="IQ22" s="311">
        <f t="shared" si="80"/>
        <v>82695.10000000002</v>
      </c>
      <c r="IR22" s="311">
        <f t="shared" si="81"/>
        <v>243758.36999999994</v>
      </c>
      <c r="IS22" s="310">
        <f t="shared" si="5"/>
        <v>161063.2699999999</v>
      </c>
      <c r="IT22" s="313">
        <f t="shared" si="6"/>
        <v>2.9476761017279123</v>
      </c>
      <c r="IU22" s="317">
        <f t="shared" si="82"/>
        <v>11735.4</v>
      </c>
      <c r="IV22" s="317">
        <f t="shared" si="83"/>
        <v>96165.650000000009</v>
      </c>
      <c r="IW22" s="316">
        <f t="shared" si="84"/>
        <v>84430.250000000015</v>
      </c>
      <c r="IX22" s="320">
        <f t="shared" si="85"/>
        <v>8.194492731393904</v>
      </c>
      <c r="IZ22" s="244"/>
      <c r="JA22" s="402"/>
      <c r="JB22" s="1495"/>
    </row>
    <row r="23" spans="3:262">
      <c r="C23" s="340" t="s">
        <v>28</v>
      </c>
      <c r="D23" s="108">
        <v>9847.44</v>
      </c>
      <c r="E23" s="108">
        <v>11643.41</v>
      </c>
      <c r="F23" s="243">
        <f t="shared" si="7"/>
        <v>1.1823793798185112</v>
      </c>
      <c r="G23" s="108">
        <v>19777.509999999998</v>
      </c>
      <c r="H23" s="108">
        <v>20825.900000000001</v>
      </c>
      <c r="I23" s="243">
        <f t="shared" si="8"/>
        <v>1.0530092008549106</v>
      </c>
      <c r="J23" s="108">
        <v>15390.37</v>
      </c>
      <c r="K23" s="108">
        <v>17751.580000000002</v>
      </c>
      <c r="L23" s="243">
        <f t="shared" si="9"/>
        <v>1.1534212627766585</v>
      </c>
      <c r="M23" s="108">
        <v>15039.36</v>
      </c>
      <c r="N23" s="108">
        <v>15145.83</v>
      </c>
      <c r="O23" s="243">
        <f t="shared" si="10"/>
        <v>1.0070794235924934</v>
      </c>
      <c r="P23" s="108">
        <v>16511.349999999999</v>
      </c>
      <c r="Q23" s="108">
        <v>17374.88</v>
      </c>
      <c r="R23" s="243">
        <f t="shared" si="11"/>
        <v>1.0522991760213432</v>
      </c>
      <c r="S23" s="108">
        <v>15975.29</v>
      </c>
      <c r="T23" s="108">
        <v>18464.37</v>
      </c>
      <c r="U23" s="243">
        <f t="shared" si="12"/>
        <v>1.1558081261748612</v>
      </c>
      <c r="V23" s="108">
        <v>26343.32</v>
      </c>
      <c r="W23" s="108">
        <v>26794.95</v>
      </c>
      <c r="X23" s="243">
        <f t="shared" si="13"/>
        <v>1.0171440046281184</v>
      </c>
      <c r="Y23" s="108">
        <v>9203.25</v>
      </c>
      <c r="Z23" s="108">
        <v>10328.450000000001</v>
      </c>
      <c r="AA23" s="243">
        <f t="shared" si="14"/>
        <v>1.1222611577431887</v>
      </c>
      <c r="AB23" s="108">
        <v>11899.94</v>
      </c>
      <c r="AC23" s="108">
        <v>12229.96</v>
      </c>
      <c r="AD23" s="243">
        <f t="shared" si="15"/>
        <v>1.0277329129390567</v>
      </c>
      <c r="AE23" s="108">
        <v>12527.48</v>
      </c>
      <c r="AF23" s="108">
        <v>8634.7199999999993</v>
      </c>
      <c r="AG23" s="243">
        <f t="shared" si="16"/>
        <v>0.68926232570317414</v>
      </c>
      <c r="AH23" s="108">
        <v>14215.27</v>
      </c>
      <c r="AI23" s="108">
        <v>17424.740000000002</v>
      </c>
      <c r="AJ23" s="243">
        <f t="shared" si="17"/>
        <v>1.2257762251438067</v>
      </c>
      <c r="AK23" s="108">
        <v>17110.38</v>
      </c>
      <c r="AL23" s="108">
        <v>11974.82</v>
      </c>
      <c r="AM23" s="243">
        <f t="shared" si="18"/>
        <v>0.69985704584001052</v>
      </c>
      <c r="AN23" s="108">
        <v>21965.63</v>
      </c>
      <c r="AO23" s="108">
        <v>18255.810000000001</v>
      </c>
      <c r="AP23" s="253">
        <f t="shared" si="19"/>
        <v>0.83110796275818177</v>
      </c>
      <c r="AQ23" s="108">
        <v>32561.1</v>
      </c>
      <c r="AR23" s="108">
        <v>31893.19</v>
      </c>
      <c r="AS23" s="253">
        <f t="shared" si="20"/>
        <v>0.97948748660211116</v>
      </c>
      <c r="AT23" s="108">
        <v>8977.31</v>
      </c>
      <c r="AU23" s="108">
        <v>14640.64</v>
      </c>
      <c r="AV23" s="253">
        <f t="shared" si="21"/>
        <v>1.6308493301445532</v>
      </c>
      <c r="AW23" s="108">
        <v>11354.6</v>
      </c>
      <c r="AX23" s="108">
        <v>16259.02</v>
      </c>
      <c r="AY23" s="253">
        <f t="shared" si="22"/>
        <v>1.4319324326704594</v>
      </c>
      <c r="AZ23" s="108">
        <v>13804.97</v>
      </c>
      <c r="BA23" s="108">
        <v>11886.27</v>
      </c>
      <c r="BB23" s="253">
        <f t="shared" si="23"/>
        <v>0.86101382328248455</v>
      </c>
      <c r="BC23" s="108">
        <v>13391.58</v>
      </c>
      <c r="BD23" s="108">
        <v>8662.7999999999993</v>
      </c>
      <c r="BE23" s="253">
        <f t="shared" si="24"/>
        <v>0.64688408686652354</v>
      </c>
      <c r="BF23" s="108">
        <v>11806.12</v>
      </c>
      <c r="BG23" s="108">
        <v>16426.79</v>
      </c>
      <c r="BH23" s="253">
        <f t="shared" si="25"/>
        <v>1.3913792168807364</v>
      </c>
      <c r="BI23" s="108">
        <v>17775.37</v>
      </c>
      <c r="BJ23" s="108">
        <v>16573.060000000001</v>
      </c>
      <c r="BK23" s="253">
        <f t="shared" si="26"/>
        <v>0.9323609016296146</v>
      </c>
      <c r="BL23" s="108">
        <v>34725.279999999999</v>
      </c>
      <c r="BM23" s="108">
        <v>22540.99</v>
      </c>
      <c r="BN23" s="253">
        <f t="shared" si="27"/>
        <v>0.64912334760151691</v>
      </c>
      <c r="BO23" s="108">
        <v>14662.04</v>
      </c>
      <c r="BP23" s="108">
        <v>8553.4599999999991</v>
      </c>
      <c r="BQ23" s="253">
        <f t="shared" si="28"/>
        <v>0.5833744826777173</v>
      </c>
      <c r="BR23" s="108">
        <v>15409.46</v>
      </c>
      <c r="BS23" s="108">
        <v>11369.52</v>
      </c>
      <c r="BT23" s="253">
        <f t="shared" si="29"/>
        <v>0.73782728272113374</v>
      </c>
      <c r="BU23" s="108">
        <v>15855.43</v>
      </c>
      <c r="BV23" s="108">
        <v>11979.99</v>
      </c>
      <c r="BW23" s="253">
        <f t="shared" si="30"/>
        <v>0.75557648073877526</v>
      </c>
      <c r="BX23" s="108">
        <v>10674.29</v>
      </c>
      <c r="BY23" s="108">
        <v>12068.4</v>
      </c>
      <c r="BZ23" s="253">
        <f t="shared" si="31"/>
        <v>1.1306044711170484</v>
      </c>
      <c r="CA23" s="88">
        <v>13638.86</v>
      </c>
      <c r="CB23" s="108">
        <v>14962.51</v>
      </c>
      <c r="CC23" s="253">
        <f t="shared" si="32"/>
        <v>1.0970499000649614</v>
      </c>
      <c r="CD23" s="108">
        <v>24167.759999999998</v>
      </c>
      <c r="CE23" s="108">
        <v>17079.689999999999</v>
      </c>
      <c r="CF23" s="253">
        <f t="shared" si="33"/>
        <v>0.70671382039543584</v>
      </c>
      <c r="CG23" s="108">
        <v>31639.919999999998</v>
      </c>
      <c r="CH23" s="108">
        <v>33377.51</v>
      </c>
      <c r="CI23" s="253">
        <f t="shared" si="34"/>
        <v>1.0549176483379226</v>
      </c>
      <c r="CJ23" s="108">
        <v>10290.450000000001</v>
      </c>
      <c r="CK23" s="108">
        <v>12271.55</v>
      </c>
      <c r="CL23" s="253">
        <f t="shared" si="35"/>
        <v>1.1925183058078119</v>
      </c>
      <c r="CM23" s="108">
        <v>11811.56</v>
      </c>
      <c r="CN23" s="108">
        <v>17417.22</v>
      </c>
      <c r="CO23" s="253">
        <f t="shared" si="36"/>
        <v>1.4745909939076636</v>
      </c>
      <c r="CP23" s="108">
        <v>14467.46</v>
      </c>
      <c r="CQ23" s="108">
        <v>12208.26</v>
      </c>
      <c r="CR23" s="253">
        <f t="shared" si="37"/>
        <v>0.84384266484925485</v>
      </c>
      <c r="CS23" s="108">
        <v>9458.3700000000008</v>
      </c>
      <c r="CT23" s="108">
        <v>12124.05</v>
      </c>
      <c r="CU23" s="253">
        <f t="shared" si="38"/>
        <v>1.2818329162424391</v>
      </c>
      <c r="CV23" s="108">
        <v>15636.22</v>
      </c>
      <c r="CW23" s="108">
        <v>15023.1</v>
      </c>
      <c r="CX23" s="253">
        <f t="shared" si="39"/>
        <v>0.96078847701042847</v>
      </c>
      <c r="CY23" s="108">
        <v>17007.63</v>
      </c>
      <c r="CZ23" s="108">
        <v>22339.63</v>
      </c>
      <c r="DA23" s="253">
        <f t="shared" si="40"/>
        <v>1.3135063497971204</v>
      </c>
      <c r="DB23" s="108">
        <v>33988.67</v>
      </c>
      <c r="DC23" s="108">
        <v>22631.61</v>
      </c>
      <c r="DD23" s="253">
        <f t="shared" si="41"/>
        <v>0.66585747544696516</v>
      </c>
      <c r="DE23" s="108">
        <v>9063.33</v>
      </c>
      <c r="DF23" s="108">
        <v>10210.07</v>
      </c>
      <c r="DG23" s="253">
        <f t="shared" si="42"/>
        <v>1.1265252396194334</v>
      </c>
      <c r="DH23" s="108">
        <v>12064.81</v>
      </c>
      <c r="DI23" s="108">
        <v>12627.21</v>
      </c>
      <c r="DJ23" s="253">
        <f t="shared" si="43"/>
        <v>1.0466149073213751</v>
      </c>
      <c r="DK23" s="108">
        <v>11257.87</v>
      </c>
      <c r="DL23" s="108">
        <v>18001.060000000001</v>
      </c>
      <c r="DM23" s="253">
        <f t="shared" si="0"/>
        <v>1.5989756499231205</v>
      </c>
      <c r="DN23" s="108">
        <v>17242.689999999999</v>
      </c>
      <c r="DO23" s="108">
        <v>13951.77</v>
      </c>
      <c r="DP23" s="253">
        <f t="shared" si="1"/>
        <v>0.80914114908984625</v>
      </c>
      <c r="DQ23" s="108">
        <v>40289.879999999997</v>
      </c>
      <c r="DR23" s="108">
        <v>16453.09</v>
      </c>
      <c r="DS23" s="253">
        <f t="shared" si="2"/>
        <v>0.40836780849185955</v>
      </c>
      <c r="DT23" s="108">
        <v>33083.07</v>
      </c>
      <c r="DU23" s="108">
        <v>28682.7</v>
      </c>
      <c r="DV23" s="253">
        <f t="shared" si="3"/>
        <v>0.86699027629539827</v>
      </c>
      <c r="DW23" s="108">
        <v>38847.800000000003</v>
      </c>
      <c r="DX23" s="108">
        <v>44229.91</v>
      </c>
      <c r="DY23" s="253">
        <f t="shared" si="4"/>
        <v>1.1385434953845521</v>
      </c>
      <c r="DZ23" s="108">
        <v>15075.2</v>
      </c>
      <c r="EA23" s="108">
        <v>18611.759999999998</v>
      </c>
      <c r="EB23" s="253">
        <f t="shared" si="44"/>
        <v>1.2345945659095732</v>
      </c>
      <c r="EC23" s="108">
        <v>13610.76</v>
      </c>
      <c r="ED23" s="108">
        <v>5395.26</v>
      </c>
      <c r="EE23" s="253">
        <f t="shared" si="45"/>
        <v>0.39639667439584564</v>
      </c>
      <c r="EF23" s="108">
        <v>13584.2</v>
      </c>
      <c r="EG23" s="108">
        <v>12350.9</v>
      </c>
      <c r="EH23" s="253">
        <f t="shared" si="46"/>
        <v>0.9092107006669512</v>
      </c>
      <c r="EI23" s="108">
        <v>9647.4500000000007</v>
      </c>
      <c r="EJ23" s="108">
        <v>12885.89</v>
      </c>
      <c r="EK23" s="253">
        <f t="shared" si="47"/>
        <v>1.3356783398721941</v>
      </c>
      <c r="EL23" s="108">
        <v>13591.75</v>
      </c>
      <c r="EM23" s="108">
        <v>11812.63</v>
      </c>
      <c r="EN23" s="253">
        <f t="shared" si="48"/>
        <v>0.86910294847977632</v>
      </c>
      <c r="EO23" s="108">
        <v>16852.05</v>
      </c>
      <c r="EP23" s="108">
        <v>11886.27</v>
      </c>
      <c r="EQ23" s="253">
        <f t="shared" si="49"/>
        <v>0.70533080545096893</v>
      </c>
      <c r="ER23" s="108">
        <v>31861.93</v>
      </c>
      <c r="ES23" s="108">
        <v>8662.7999999999993</v>
      </c>
      <c r="ET23" s="253">
        <f t="shared" si="50"/>
        <v>0.27188560140581564</v>
      </c>
      <c r="EU23" s="108">
        <v>15298.33</v>
      </c>
      <c r="EV23" s="108">
        <v>10991.34</v>
      </c>
      <c r="EW23" s="253">
        <f t="shared" si="51"/>
        <v>0.71846665616443106</v>
      </c>
      <c r="EX23" s="108">
        <v>12375.02</v>
      </c>
      <c r="EY23" s="108">
        <v>11038.4</v>
      </c>
      <c r="EZ23" s="253">
        <f t="shared" si="52"/>
        <v>0.89199047759114725</v>
      </c>
      <c r="FA23" s="108">
        <v>9337.42</v>
      </c>
      <c r="FB23" s="108">
        <v>8975.7900000000009</v>
      </c>
      <c r="FC23" s="253">
        <f t="shared" si="53"/>
        <v>0.9612708863904591</v>
      </c>
      <c r="FD23" s="108">
        <v>10260.370000000001</v>
      </c>
      <c r="FE23" s="108">
        <v>10774.61</v>
      </c>
      <c r="FF23" s="253">
        <f t="shared" si="54"/>
        <v>1.0501190502876601</v>
      </c>
      <c r="FG23" s="108">
        <v>11654.03</v>
      </c>
      <c r="FH23" s="108">
        <v>10628.36</v>
      </c>
      <c r="FI23" s="253">
        <f t="shared" si="55"/>
        <v>0.91199010127827029</v>
      </c>
      <c r="FJ23" s="108">
        <v>17414.78</v>
      </c>
      <c r="FK23" s="108">
        <v>21578.86</v>
      </c>
      <c r="FL23" s="253">
        <f t="shared" si="56"/>
        <v>1.2391118348896744</v>
      </c>
      <c r="FM23" s="108">
        <v>36005.279999999999</v>
      </c>
      <c r="FN23" s="108">
        <v>30234.240000000002</v>
      </c>
      <c r="FO23" s="253">
        <f t="shared" si="57"/>
        <v>0.839716841529909</v>
      </c>
      <c r="FP23" s="108">
        <v>9748.83</v>
      </c>
      <c r="FQ23" s="108">
        <v>11769.14</v>
      </c>
      <c r="FR23" s="253">
        <f t="shared" si="58"/>
        <v>1.2072361503893287</v>
      </c>
      <c r="FS23" s="108">
        <v>13431.62</v>
      </c>
      <c r="FT23" s="108">
        <v>8408.23</v>
      </c>
      <c r="FU23" s="253">
        <f t="shared" si="59"/>
        <v>0.62600267130844967</v>
      </c>
      <c r="FV23" s="108">
        <v>12177.06</v>
      </c>
      <c r="FW23" s="108">
        <v>12533.21</v>
      </c>
      <c r="FX23" s="253">
        <f t="shared" si="60"/>
        <v>1.0292476180621595</v>
      </c>
      <c r="FY23" s="108">
        <v>16335.71</v>
      </c>
      <c r="FZ23" s="108">
        <v>15689.7</v>
      </c>
      <c r="GA23" s="253">
        <f t="shared" si="61"/>
        <v>0.96045412167576438</v>
      </c>
      <c r="GB23" s="108">
        <v>16334.04</v>
      </c>
      <c r="GC23" s="108">
        <v>11785.56</v>
      </c>
      <c r="GD23" s="253">
        <f t="shared" si="62"/>
        <v>0.72153368058361544</v>
      </c>
      <c r="GE23" s="108">
        <v>22638.39</v>
      </c>
      <c r="GF23" s="108">
        <v>22187.1</v>
      </c>
      <c r="GG23" s="253">
        <f t="shared" si="63"/>
        <v>0.98006527849374447</v>
      </c>
      <c r="GH23" s="108">
        <v>42320.33</v>
      </c>
      <c r="GI23" s="108">
        <v>37764.15</v>
      </c>
      <c r="GJ23" s="253">
        <f t="shared" si="64"/>
        <v>0.89234063155934751</v>
      </c>
      <c r="GK23" s="108">
        <v>22400.47</v>
      </c>
      <c r="GL23" s="108">
        <v>14018.38</v>
      </c>
      <c r="GM23" s="253">
        <f t="shared" si="65"/>
        <v>0.62580740493391429</v>
      </c>
      <c r="GN23" s="108">
        <v>20598.96</v>
      </c>
      <c r="GO23" s="108">
        <v>12707.27</v>
      </c>
      <c r="GP23" s="253">
        <f t="shared" si="66"/>
        <v>0.61688891089647246</v>
      </c>
      <c r="GQ23" s="108">
        <v>16051.19</v>
      </c>
      <c r="GR23" s="108">
        <v>11539.22</v>
      </c>
      <c r="GS23" s="253">
        <f t="shared" si="67"/>
        <v>0.71890121542390306</v>
      </c>
      <c r="GT23" s="108">
        <v>13256.86</v>
      </c>
      <c r="GU23" s="108">
        <v>12409.8</v>
      </c>
      <c r="GV23" s="253">
        <f t="shared" si="68"/>
        <v>0.93610402463328413</v>
      </c>
      <c r="GW23" s="108">
        <v>20078.07</v>
      </c>
      <c r="GX23" s="108">
        <v>17273.39</v>
      </c>
      <c r="GY23" s="253">
        <f t="shared" si="69"/>
        <v>0.86031127493827841</v>
      </c>
      <c r="GZ23" s="108">
        <v>20078.07</v>
      </c>
      <c r="HA23" s="108">
        <v>26632.84</v>
      </c>
      <c r="HB23" s="253">
        <f t="shared" si="70"/>
        <v>1.3264641472013994</v>
      </c>
      <c r="HC23" s="108">
        <v>45752.24</v>
      </c>
      <c r="HD23" s="108">
        <v>31106.23</v>
      </c>
      <c r="HE23" s="253">
        <f t="shared" si="71"/>
        <v>0.67988430730386096</v>
      </c>
      <c r="HF23" s="108">
        <v>16112.26</v>
      </c>
      <c r="HG23" s="108">
        <v>11985.73</v>
      </c>
      <c r="HH23" s="253">
        <f t="shared" si="72"/>
        <v>0.74388881510104721</v>
      </c>
      <c r="HI23" s="108">
        <v>20240.86</v>
      </c>
      <c r="HJ23" s="108">
        <v>19478.73</v>
      </c>
      <c r="HK23" s="253">
        <f t="shared" si="73"/>
        <v>0.962346955613546</v>
      </c>
      <c r="HL23" s="108">
        <v>11144.24</v>
      </c>
      <c r="HM23" s="108">
        <v>12627.5</v>
      </c>
      <c r="HN23" s="253">
        <f t="shared" si="74"/>
        <v>1.1330965592987947</v>
      </c>
      <c r="HO23" s="108">
        <v>10092.32</v>
      </c>
      <c r="HP23" s="108">
        <v>11724.28</v>
      </c>
      <c r="HQ23" s="253">
        <f t="shared" si="75"/>
        <v>1.1617031564595655</v>
      </c>
      <c r="HR23" s="108">
        <v>12414.38</v>
      </c>
      <c r="HS23" s="108">
        <v>12124.08</v>
      </c>
      <c r="HT23" s="253">
        <f t="shared" si="76"/>
        <v>0.97661582777392031</v>
      </c>
      <c r="HU23" s="108">
        <v>18541.32</v>
      </c>
      <c r="HV23" s="108">
        <v>18489.439999999999</v>
      </c>
      <c r="HW23" s="253">
        <f t="shared" si="77"/>
        <v>0.99720192521352302</v>
      </c>
      <c r="HX23" s="108">
        <v>28358.49</v>
      </c>
      <c r="HY23" s="108">
        <v>31837.11</v>
      </c>
      <c r="HZ23" s="253">
        <f t="shared" si="78"/>
        <v>1.122665910632054</v>
      </c>
      <c r="IA23" s="108">
        <v>12157.44</v>
      </c>
      <c r="IB23" s="108">
        <v>10983.14</v>
      </c>
      <c r="IC23" s="253">
        <f t="shared" si="79"/>
        <v>0.90340894135607486</v>
      </c>
      <c r="ID23" s="353"/>
      <c r="IE23" s="353"/>
      <c r="IF23" s="353"/>
      <c r="IG23" s="353"/>
      <c r="IH23" s="353"/>
      <c r="II23" s="353"/>
      <c r="IJ23" s="353"/>
      <c r="IK23" s="353"/>
      <c r="IL23" s="353"/>
      <c r="IM23" s="353"/>
      <c r="IN23" s="353"/>
      <c r="IO23" s="353"/>
      <c r="IP23" s="353"/>
      <c r="IQ23" s="311">
        <f t="shared" si="80"/>
        <v>408105.71</v>
      </c>
      <c r="IR23" s="311">
        <f t="shared" si="81"/>
        <v>364091.09</v>
      </c>
      <c r="IS23" s="310">
        <f t="shared" si="5"/>
        <v>-44014.619999999995</v>
      </c>
      <c r="IT23" s="313">
        <f t="shared" si="6"/>
        <v>0.89214897287273931</v>
      </c>
      <c r="IU23" s="317">
        <f t="shared" si="82"/>
        <v>116903.87000000001</v>
      </c>
      <c r="IV23" s="317">
        <f t="shared" si="83"/>
        <v>118266.87</v>
      </c>
      <c r="IW23" s="316">
        <f t="shared" si="84"/>
        <v>1362.9999999999854</v>
      </c>
      <c r="IX23" s="320">
        <f t="shared" si="85"/>
        <v>1.0116591520879503</v>
      </c>
      <c r="IZ23" s="342"/>
      <c r="JA23" s="402"/>
      <c r="JB23" s="342"/>
    </row>
    <row r="24" spans="3:262">
      <c r="C24" s="340" t="s">
        <v>29</v>
      </c>
      <c r="D24" s="108">
        <v>31697.58</v>
      </c>
      <c r="F24" s="243">
        <f t="shared" si="7"/>
        <v>0</v>
      </c>
      <c r="G24" s="108">
        <v>22733.1</v>
      </c>
      <c r="I24" s="243">
        <f t="shared" si="8"/>
        <v>0</v>
      </c>
      <c r="J24" s="108">
        <v>17308.64</v>
      </c>
      <c r="L24" s="243">
        <f t="shared" si="9"/>
        <v>0</v>
      </c>
      <c r="M24" s="108">
        <v>10987.51</v>
      </c>
      <c r="O24" s="243">
        <f t="shared" si="10"/>
        <v>0</v>
      </c>
      <c r="P24" s="108">
        <v>16970.36</v>
      </c>
      <c r="R24" s="243">
        <f t="shared" si="11"/>
        <v>0</v>
      </c>
      <c r="S24" s="108">
        <v>13723.37</v>
      </c>
      <c r="U24" s="243">
        <f t="shared" si="12"/>
        <v>0</v>
      </c>
      <c r="V24" s="108">
        <v>30933.73</v>
      </c>
      <c r="X24" s="243">
        <f t="shared" si="13"/>
        <v>0</v>
      </c>
      <c r="Y24" s="108">
        <v>27050.83</v>
      </c>
      <c r="AA24" s="243">
        <f t="shared" si="14"/>
        <v>0</v>
      </c>
      <c r="AB24" s="108">
        <v>10066.4</v>
      </c>
      <c r="AD24" s="243">
        <f t="shared" si="15"/>
        <v>0</v>
      </c>
      <c r="AE24" s="108">
        <v>11021.93</v>
      </c>
      <c r="AG24" s="243">
        <f t="shared" si="16"/>
        <v>0</v>
      </c>
      <c r="AH24" s="108">
        <v>13559.03</v>
      </c>
      <c r="AJ24" s="243">
        <f t="shared" si="17"/>
        <v>0</v>
      </c>
      <c r="AK24" s="108">
        <v>18009.05</v>
      </c>
      <c r="AM24" s="243">
        <f t="shared" si="18"/>
        <v>0</v>
      </c>
      <c r="AN24" s="108">
        <v>18402.900000000001</v>
      </c>
      <c r="AP24" s="253">
        <f t="shared" si="19"/>
        <v>0</v>
      </c>
      <c r="AQ24" s="108">
        <v>32115.91</v>
      </c>
      <c r="AS24" s="253">
        <f t="shared" si="20"/>
        <v>0</v>
      </c>
      <c r="AT24" s="108">
        <v>31304.34</v>
      </c>
      <c r="AV24" s="253">
        <f t="shared" si="21"/>
        <v>0</v>
      </c>
      <c r="AW24" s="108">
        <v>9774.0300000000007</v>
      </c>
      <c r="AY24" s="253">
        <f t="shared" si="22"/>
        <v>0</v>
      </c>
      <c r="AZ24" s="108">
        <v>10554.05</v>
      </c>
      <c r="BB24" s="253">
        <f t="shared" si="23"/>
        <v>0</v>
      </c>
      <c r="BC24" s="108">
        <v>11311.2</v>
      </c>
      <c r="BE24" s="253">
        <f t="shared" si="24"/>
        <v>0</v>
      </c>
      <c r="BF24" s="108">
        <v>13290.52</v>
      </c>
      <c r="BH24" s="253">
        <f t="shared" si="25"/>
        <v>0</v>
      </c>
      <c r="BI24" s="108">
        <v>13793.91</v>
      </c>
      <c r="BK24" s="253">
        <f t="shared" si="26"/>
        <v>0</v>
      </c>
      <c r="BL24" s="108">
        <v>27926.06</v>
      </c>
      <c r="BN24" s="253">
        <f t="shared" si="27"/>
        <v>0</v>
      </c>
      <c r="BO24" s="108">
        <v>27735.31</v>
      </c>
      <c r="BQ24" s="253">
        <f t="shared" si="28"/>
        <v>0</v>
      </c>
      <c r="BR24" s="108">
        <v>6129.13</v>
      </c>
      <c r="BT24" s="253">
        <f t="shared" si="29"/>
        <v>0</v>
      </c>
      <c r="BU24" s="108">
        <v>9696.75</v>
      </c>
      <c r="BW24" s="253">
        <f t="shared" si="30"/>
        <v>0</v>
      </c>
      <c r="BX24" s="108">
        <v>11963.14</v>
      </c>
      <c r="BZ24" s="253">
        <f t="shared" si="31"/>
        <v>0</v>
      </c>
      <c r="CA24" s="88">
        <v>11110.38</v>
      </c>
      <c r="CC24" s="253">
        <f t="shared" si="32"/>
        <v>0</v>
      </c>
      <c r="CD24" s="108">
        <v>17128.830000000002</v>
      </c>
      <c r="CF24" s="253">
        <f t="shared" si="33"/>
        <v>0</v>
      </c>
      <c r="CG24" s="108">
        <v>30149.81</v>
      </c>
      <c r="CI24" s="253">
        <f t="shared" si="34"/>
        <v>0</v>
      </c>
      <c r="CJ24" s="108">
        <v>24246.26</v>
      </c>
      <c r="CL24" s="253">
        <f t="shared" si="35"/>
        <v>0</v>
      </c>
      <c r="CM24" s="108">
        <v>29605.58</v>
      </c>
      <c r="CO24" s="253">
        <f t="shared" si="36"/>
        <v>0</v>
      </c>
      <c r="CP24" s="108">
        <v>8257.93</v>
      </c>
      <c r="CR24" s="253">
        <f t="shared" si="37"/>
        <v>0</v>
      </c>
      <c r="CS24" s="108">
        <v>9077.42</v>
      </c>
      <c r="CU24" s="253">
        <f t="shared" si="38"/>
        <v>0</v>
      </c>
      <c r="CV24" s="108">
        <v>10481.01</v>
      </c>
      <c r="CX24" s="253">
        <f t="shared" si="39"/>
        <v>0</v>
      </c>
      <c r="CY24" s="108">
        <v>15839.98</v>
      </c>
      <c r="DA24" s="253">
        <f t="shared" si="40"/>
        <v>0</v>
      </c>
      <c r="DB24" s="108">
        <v>31014.65</v>
      </c>
      <c r="DD24" s="253">
        <f t="shared" si="41"/>
        <v>0</v>
      </c>
      <c r="DE24" s="108">
        <v>33439.83</v>
      </c>
      <c r="DG24" s="253">
        <f t="shared" si="42"/>
        <v>0</v>
      </c>
      <c r="DH24" s="108">
        <v>9365.76</v>
      </c>
      <c r="DJ24" s="253">
        <f t="shared" si="43"/>
        <v>0</v>
      </c>
      <c r="DK24" s="108">
        <v>7896.16</v>
      </c>
      <c r="DM24" s="253">
        <f t="shared" si="0"/>
        <v>0</v>
      </c>
      <c r="DN24" s="108">
        <v>16982.78</v>
      </c>
      <c r="DP24" s="253">
        <f t="shared" si="1"/>
        <v>0</v>
      </c>
      <c r="DQ24" s="108">
        <v>21826.1</v>
      </c>
      <c r="DS24" s="253">
        <f t="shared" si="2"/>
        <v>0</v>
      </c>
      <c r="DT24" s="108">
        <v>32238.42</v>
      </c>
      <c r="DV24" s="253">
        <f t="shared" si="3"/>
        <v>0</v>
      </c>
      <c r="DW24" s="108">
        <v>34482.83</v>
      </c>
      <c r="DX24" s="108"/>
      <c r="DY24" s="253">
        <f t="shared" si="4"/>
        <v>0</v>
      </c>
      <c r="DZ24" s="108">
        <v>30930.799999999999</v>
      </c>
      <c r="EB24" s="253">
        <f t="shared" si="44"/>
        <v>0</v>
      </c>
      <c r="EC24" s="108">
        <v>9103.98</v>
      </c>
      <c r="EE24" s="253">
        <f t="shared" si="45"/>
        <v>0</v>
      </c>
      <c r="EF24" s="108">
        <v>8573.32</v>
      </c>
      <c r="EH24" s="253">
        <f t="shared" si="46"/>
        <v>0</v>
      </c>
      <c r="EI24" s="108">
        <v>10189.76</v>
      </c>
      <c r="EK24" s="253">
        <f t="shared" si="47"/>
        <v>0</v>
      </c>
      <c r="EL24" s="108">
        <v>12039.04</v>
      </c>
      <c r="EN24" s="253">
        <f t="shared" si="48"/>
        <v>0</v>
      </c>
      <c r="EO24" s="108">
        <v>18913.23</v>
      </c>
      <c r="EQ24" s="253">
        <f t="shared" si="49"/>
        <v>0</v>
      </c>
      <c r="ER24" s="108">
        <v>27396.06</v>
      </c>
      <c r="ET24" s="253">
        <f t="shared" si="50"/>
        <v>0</v>
      </c>
      <c r="EU24" s="108">
        <v>29755.17</v>
      </c>
      <c r="EW24" s="253">
        <f t="shared" si="51"/>
        <v>0</v>
      </c>
      <c r="EX24" s="108">
        <v>8293.23</v>
      </c>
      <c r="EZ24" s="253">
        <f t="shared" si="52"/>
        <v>0</v>
      </c>
      <c r="FA24" s="108">
        <v>8494.24</v>
      </c>
      <c r="FC24" s="253">
        <f t="shared" si="53"/>
        <v>0</v>
      </c>
      <c r="FD24" s="108">
        <v>9714.86</v>
      </c>
      <c r="FE24" s="108">
        <v>17432.86</v>
      </c>
      <c r="FF24" s="253">
        <f t="shared" si="54"/>
        <v>1.7944530338059426</v>
      </c>
      <c r="FG24" s="108">
        <v>12085.05</v>
      </c>
      <c r="FH24" s="108">
        <v>23657.25</v>
      </c>
      <c r="FI24" s="253">
        <f t="shared" si="55"/>
        <v>1.9575632703215957</v>
      </c>
      <c r="FJ24" s="108">
        <v>21137.9</v>
      </c>
      <c r="FK24" s="108">
        <v>32125.97</v>
      </c>
      <c r="FL24" s="253">
        <f t="shared" si="56"/>
        <v>1.5198278920801025</v>
      </c>
      <c r="FM24" s="108">
        <v>38027.68</v>
      </c>
      <c r="FN24" s="108">
        <v>41859.050000000003</v>
      </c>
      <c r="FO24" s="253">
        <f t="shared" si="57"/>
        <v>1.1007521363385828</v>
      </c>
      <c r="FP24" s="108">
        <v>28130.7</v>
      </c>
      <c r="FQ24" s="108">
        <v>48020.81</v>
      </c>
      <c r="FR24" s="253">
        <f t="shared" si="58"/>
        <v>1.707060613493443</v>
      </c>
      <c r="FS24" s="108">
        <v>8404.23</v>
      </c>
      <c r="FT24" s="108">
        <v>19407.169999999998</v>
      </c>
      <c r="FU24" s="253">
        <f t="shared" si="59"/>
        <v>2.3092145264943964</v>
      </c>
      <c r="FV24" s="108">
        <v>10660.56</v>
      </c>
      <c r="FW24" s="108">
        <v>28355.24</v>
      </c>
      <c r="FX24" s="253">
        <f t="shared" si="60"/>
        <v>2.6598265006716346</v>
      </c>
      <c r="FY24" s="108">
        <v>12857.38</v>
      </c>
      <c r="FZ24" s="108">
        <v>27182.32</v>
      </c>
      <c r="GA24" s="253">
        <f t="shared" si="61"/>
        <v>2.114141450279917</v>
      </c>
      <c r="GB24" s="108">
        <v>14946.61</v>
      </c>
      <c r="GC24" s="108">
        <v>25317.01</v>
      </c>
      <c r="GD24" s="253">
        <f t="shared" si="62"/>
        <v>1.6938295707187112</v>
      </c>
      <c r="GE24" s="108">
        <v>16998.25</v>
      </c>
      <c r="GF24" s="108">
        <v>37999</v>
      </c>
      <c r="GG24" s="253">
        <f t="shared" si="63"/>
        <v>2.235465415557484</v>
      </c>
      <c r="GH24" s="108">
        <v>30380.86</v>
      </c>
      <c r="GI24" s="108">
        <v>52546.58</v>
      </c>
      <c r="GJ24" s="253">
        <f t="shared" si="64"/>
        <v>1.7295948830941585</v>
      </c>
      <c r="GK24" s="108">
        <v>37163.33</v>
      </c>
      <c r="GL24" s="108">
        <v>40117.800000000003</v>
      </c>
      <c r="GM24" s="253">
        <f t="shared" si="65"/>
        <v>1.0794996035070055</v>
      </c>
      <c r="GN24" s="108">
        <v>9671.86</v>
      </c>
      <c r="GO24" s="108">
        <v>20104.78</v>
      </c>
      <c r="GP24" s="253">
        <f t="shared" si="66"/>
        <v>2.0786880703401414</v>
      </c>
      <c r="GQ24" s="108">
        <v>12192.7</v>
      </c>
      <c r="GR24" s="108">
        <v>20283.88</v>
      </c>
      <c r="GS24" s="253">
        <f t="shared" si="67"/>
        <v>1.663608552658558</v>
      </c>
      <c r="GT24" s="108">
        <v>7755.97</v>
      </c>
      <c r="GU24" s="108">
        <v>22618.29</v>
      </c>
      <c r="GV24" s="253">
        <f t="shared" si="68"/>
        <v>2.9162425847443969</v>
      </c>
      <c r="GW24" s="108">
        <v>10371.48</v>
      </c>
      <c r="GX24" s="108">
        <v>18418.02</v>
      </c>
      <c r="GY24" s="253">
        <f t="shared" si="69"/>
        <v>1.7758333429751589</v>
      </c>
      <c r="GZ24" s="108">
        <v>10371.48</v>
      </c>
      <c r="HA24" s="108">
        <v>33593.83</v>
      </c>
      <c r="HB24" s="253">
        <f t="shared" si="70"/>
        <v>3.2390584564594449</v>
      </c>
      <c r="HC24" s="108">
        <v>37440.67</v>
      </c>
      <c r="HD24" s="108">
        <v>48162.92</v>
      </c>
      <c r="HE24" s="253">
        <f t="shared" si="71"/>
        <v>1.2863797576272007</v>
      </c>
      <c r="HF24" s="108">
        <v>27023.67</v>
      </c>
      <c r="HG24" s="108">
        <v>39474.379999999997</v>
      </c>
      <c r="HH24" s="253">
        <f t="shared" si="72"/>
        <v>1.4607334977077502</v>
      </c>
      <c r="HI24" s="108">
        <v>19506.740000000002</v>
      </c>
      <c r="HJ24" s="108">
        <v>36142.43</v>
      </c>
      <c r="HK24" s="253">
        <f t="shared" si="73"/>
        <v>1.8528175389634556</v>
      </c>
      <c r="HL24" s="108">
        <v>5287.43</v>
      </c>
      <c r="HM24" s="108">
        <v>19714.66</v>
      </c>
      <c r="HN24" s="253">
        <f t="shared" si="74"/>
        <v>3.7285902602965901</v>
      </c>
      <c r="HO24" s="108">
        <v>7054.07</v>
      </c>
      <c r="HP24" s="108">
        <v>24335.15</v>
      </c>
      <c r="HQ24" s="253">
        <f t="shared" si="75"/>
        <v>3.449802737993811</v>
      </c>
      <c r="HR24" s="108">
        <v>3703.11</v>
      </c>
      <c r="HS24" s="108">
        <v>22277.94</v>
      </c>
      <c r="HT24" s="253">
        <f t="shared" si="76"/>
        <v>6.0160081661090263</v>
      </c>
      <c r="HU24" s="108">
        <v>6193.5</v>
      </c>
      <c r="HV24" s="108">
        <v>30337.16</v>
      </c>
      <c r="HW24" s="253">
        <f t="shared" si="77"/>
        <v>4.8982255590538468</v>
      </c>
      <c r="HX24" s="108">
        <v>5242.57</v>
      </c>
      <c r="HY24" s="108">
        <v>42429.63</v>
      </c>
      <c r="HZ24" s="253">
        <f t="shared" si="78"/>
        <v>8.0932882155126205</v>
      </c>
      <c r="IA24" s="108">
        <v>7442.01</v>
      </c>
      <c r="IB24" s="108">
        <v>37039.29</v>
      </c>
      <c r="IC24" s="253">
        <f t="shared" si="79"/>
        <v>4.9770545860594115</v>
      </c>
      <c r="ID24" s="353"/>
      <c r="IE24" s="353"/>
      <c r="IF24" s="353"/>
      <c r="IG24" s="353"/>
      <c r="IH24" s="353"/>
      <c r="II24" s="353"/>
      <c r="IJ24" s="353"/>
      <c r="IK24" s="353"/>
      <c r="IL24" s="353"/>
      <c r="IM24" s="353"/>
      <c r="IN24" s="353"/>
      <c r="IO24" s="353"/>
      <c r="IP24" s="353"/>
      <c r="IQ24" s="311">
        <f t="shared" si="80"/>
        <v>321357.17</v>
      </c>
      <c r="IR24" s="311">
        <f t="shared" si="81"/>
        <v>656839</v>
      </c>
      <c r="IS24" s="310">
        <f t="shared" si="5"/>
        <v>335481.83</v>
      </c>
      <c r="IT24" s="313">
        <f t="shared" si="6"/>
        <v>2.0439531503218058</v>
      </c>
      <c r="IU24" s="317">
        <f t="shared" si="82"/>
        <v>74011.09</v>
      </c>
      <c r="IV24" s="317">
        <f t="shared" si="83"/>
        <v>214711.35</v>
      </c>
      <c r="IW24" s="316">
        <f t="shared" si="84"/>
        <v>140700.26</v>
      </c>
      <c r="IX24" s="320">
        <f t="shared" si="85"/>
        <v>2.9010699612720203</v>
      </c>
      <c r="IZ24" s="342"/>
      <c r="JA24" s="402"/>
      <c r="JB24" s="342"/>
    </row>
    <row r="25" spans="3:262">
      <c r="C25" s="340" t="s">
        <v>30</v>
      </c>
      <c r="D25" s="108">
        <v>7402.62</v>
      </c>
      <c r="E25" s="108">
        <v>5519.71</v>
      </c>
      <c r="F25" s="243">
        <f t="shared" si="7"/>
        <v>0.7456427589150868</v>
      </c>
      <c r="G25" s="108">
        <v>20088.91</v>
      </c>
      <c r="H25" s="108">
        <v>18489.689999999999</v>
      </c>
      <c r="I25" s="243">
        <f t="shared" si="8"/>
        <v>0.92039289339242392</v>
      </c>
      <c r="J25" s="108">
        <v>16537.330000000002</v>
      </c>
      <c r="K25" s="108">
        <v>13916.16</v>
      </c>
      <c r="L25" s="243">
        <f t="shared" si="9"/>
        <v>0.841499806800735</v>
      </c>
      <c r="M25" s="108">
        <v>12631.33</v>
      </c>
      <c r="N25" s="108">
        <v>18573.13</v>
      </c>
      <c r="O25" s="243">
        <f t="shared" si="10"/>
        <v>1.4704017708349002</v>
      </c>
      <c r="P25" s="108">
        <v>11480.43</v>
      </c>
      <c r="Q25" s="108">
        <v>15180.84</v>
      </c>
      <c r="R25" s="243">
        <f t="shared" si="11"/>
        <v>1.3223232927686506</v>
      </c>
      <c r="S25" s="108">
        <v>10467.19</v>
      </c>
      <c r="T25" s="108">
        <v>13127.08</v>
      </c>
      <c r="U25" s="243">
        <f t="shared" si="12"/>
        <v>1.2541169119887954</v>
      </c>
      <c r="V25" s="108">
        <v>23831.34</v>
      </c>
      <c r="W25" s="108">
        <v>12237.13</v>
      </c>
      <c r="X25" s="243">
        <f t="shared" si="13"/>
        <v>0.51348896033542379</v>
      </c>
      <c r="Y25" s="108">
        <v>8314.67</v>
      </c>
      <c r="Z25" s="108">
        <v>4584.33</v>
      </c>
      <c r="AA25" s="243">
        <f t="shared" si="14"/>
        <v>0.55135441334412549</v>
      </c>
      <c r="AB25" s="108">
        <v>14189.79</v>
      </c>
      <c r="AC25" s="108">
        <v>9789.82</v>
      </c>
      <c r="AD25" s="243">
        <f t="shared" si="15"/>
        <v>0.68992000586337077</v>
      </c>
      <c r="AE25" s="108">
        <v>15471.91</v>
      </c>
      <c r="AF25" s="108">
        <v>11165.64</v>
      </c>
      <c r="AG25" s="243">
        <f t="shared" si="16"/>
        <v>0.72167172637379606</v>
      </c>
      <c r="AH25" s="108">
        <v>15222.99</v>
      </c>
      <c r="AI25" s="108">
        <v>11376.7</v>
      </c>
      <c r="AJ25" s="243">
        <f t="shared" si="17"/>
        <v>0.74733675841605363</v>
      </c>
      <c r="AK25" s="108">
        <v>21068.45</v>
      </c>
      <c r="AL25" s="108">
        <v>12120.18</v>
      </c>
      <c r="AM25" s="243">
        <f t="shared" si="18"/>
        <v>0.57527630176875855</v>
      </c>
      <c r="AN25" s="108">
        <v>17632.330000000002</v>
      </c>
      <c r="AO25" s="108">
        <v>15034.83</v>
      </c>
      <c r="AP25" s="253">
        <f t="shared" si="19"/>
        <v>0.85268537964069402</v>
      </c>
      <c r="AQ25" s="108">
        <v>27701.96</v>
      </c>
      <c r="AR25" s="108">
        <v>16940.740000000002</v>
      </c>
      <c r="AS25" s="253">
        <f t="shared" si="20"/>
        <v>0.61153579024733273</v>
      </c>
      <c r="AT25" s="108">
        <v>10508.98</v>
      </c>
      <c r="AU25" s="108">
        <v>7454.58</v>
      </c>
      <c r="AV25" s="253">
        <f t="shared" si="21"/>
        <v>0.70935333400577416</v>
      </c>
      <c r="AW25" s="108">
        <v>11872.7</v>
      </c>
      <c r="AX25" s="108">
        <v>12711.65</v>
      </c>
      <c r="AY25" s="253">
        <f t="shared" si="22"/>
        <v>1.0706621071870761</v>
      </c>
      <c r="AZ25" s="108">
        <v>11629.99</v>
      </c>
      <c r="BA25" s="108">
        <v>9714.89</v>
      </c>
      <c r="BB25" s="253">
        <f t="shared" si="23"/>
        <v>0.83533089882278488</v>
      </c>
      <c r="BC25" s="108">
        <v>9764.77</v>
      </c>
      <c r="BD25" s="108">
        <v>11640.38</v>
      </c>
      <c r="BE25" s="253">
        <f t="shared" si="24"/>
        <v>1.1920792809252034</v>
      </c>
      <c r="BF25" s="108">
        <v>8911.02</v>
      </c>
      <c r="BG25" s="108">
        <v>10265.719999999999</v>
      </c>
      <c r="BH25" s="253">
        <f t="shared" si="25"/>
        <v>1.1520252451458979</v>
      </c>
      <c r="BI25" s="108">
        <v>9561.43</v>
      </c>
      <c r="BJ25" s="108">
        <v>13665.26</v>
      </c>
      <c r="BK25" s="253">
        <f t="shared" si="26"/>
        <v>1.4292067190786315</v>
      </c>
      <c r="BL25" s="108">
        <v>18370.150000000001</v>
      </c>
      <c r="BM25" s="108">
        <v>13548.08</v>
      </c>
      <c r="BN25" s="253">
        <f t="shared" si="27"/>
        <v>0.73750513741041845</v>
      </c>
      <c r="BO25" s="108">
        <v>6278.95</v>
      </c>
      <c r="BP25" s="108">
        <v>3785.24</v>
      </c>
      <c r="BQ25" s="253">
        <f t="shared" si="28"/>
        <v>0.60284601724810671</v>
      </c>
      <c r="BR25" s="108">
        <v>11739.25</v>
      </c>
      <c r="BS25" s="108">
        <v>8779.4599999999991</v>
      </c>
      <c r="BT25" s="253">
        <f t="shared" si="29"/>
        <v>0.74787230870796684</v>
      </c>
      <c r="BU25" s="108">
        <v>10161.08</v>
      </c>
      <c r="BV25" s="108">
        <v>8189.16</v>
      </c>
      <c r="BW25" s="253">
        <f t="shared" si="30"/>
        <v>0.80593401488818117</v>
      </c>
      <c r="BX25" s="108">
        <v>9468.51</v>
      </c>
      <c r="BY25" s="108">
        <v>8655.76</v>
      </c>
      <c r="BZ25" s="253">
        <f t="shared" si="31"/>
        <v>0.91416284082712063</v>
      </c>
      <c r="CA25" s="88">
        <v>7661.84</v>
      </c>
      <c r="CB25" s="108">
        <v>10442.879999999999</v>
      </c>
      <c r="CC25" s="253">
        <f t="shared" si="32"/>
        <v>1.3629728629154354</v>
      </c>
      <c r="CD25" s="108">
        <v>16727.45</v>
      </c>
      <c r="CE25" s="108">
        <v>18858.82</v>
      </c>
      <c r="CF25" s="253">
        <f t="shared" si="33"/>
        <v>1.1274175083470581</v>
      </c>
      <c r="CG25" s="108">
        <v>31289.52</v>
      </c>
      <c r="CH25" s="108">
        <v>24639.82</v>
      </c>
      <c r="CI25" s="253">
        <f t="shared" si="34"/>
        <v>0.78747836336255717</v>
      </c>
      <c r="CJ25" s="108">
        <v>8905.2199999999993</v>
      </c>
      <c r="CK25" s="108">
        <v>8671.74</v>
      </c>
      <c r="CL25" s="253">
        <f t="shared" si="35"/>
        <v>0.97378166962747692</v>
      </c>
      <c r="CM25" s="108">
        <v>17814.61</v>
      </c>
      <c r="CN25" s="108">
        <v>11665.33</v>
      </c>
      <c r="CO25" s="253">
        <f t="shared" si="36"/>
        <v>0.65481815206731997</v>
      </c>
      <c r="CP25" s="108">
        <v>12344.67</v>
      </c>
      <c r="CQ25" s="108">
        <v>10891.29</v>
      </c>
      <c r="CR25" s="253">
        <f t="shared" si="37"/>
        <v>0.88226659764902593</v>
      </c>
      <c r="CS25" s="108">
        <v>10091.33</v>
      </c>
      <c r="CT25" s="108">
        <v>12786.34</v>
      </c>
      <c r="CU25" s="253">
        <f t="shared" si="38"/>
        <v>1.2670619234531029</v>
      </c>
      <c r="CV25" s="108">
        <v>8406.48</v>
      </c>
      <c r="CW25" s="108">
        <v>10637.82</v>
      </c>
      <c r="CX25" s="253">
        <f t="shared" si="39"/>
        <v>1.2654309532646244</v>
      </c>
      <c r="CY25" s="108">
        <v>12675.91</v>
      </c>
      <c r="CZ25" s="108">
        <v>15428.06</v>
      </c>
      <c r="DA25" s="253">
        <f t="shared" si="40"/>
        <v>1.2171165620456441</v>
      </c>
      <c r="DB25" s="108">
        <v>22162.06</v>
      </c>
      <c r="DC25" s="108">
        <v>17285.13</v>
      </c>
      <c r="DD25" s="253">
        <f t="shared" si="41"/>
        <v>0.7799423880271058</v>
      </c>
      <c r="DE25" s="108">
        <v>6127.71</v>
      </c>
      <c r="DF25" s="108">
        <v>3791.02</v>
      </c>
      <c r="DG25" s="253">
        <f t="shared" si="42"/>
        <v>0.61866831165312974</v>
      </c>
      <c r="DH25" s="108">
        <v>10001.89</v>
      </c>
      <c r="DI25" s="108">
        <v>7998.28</v>
      </c>
      <c r="DJ25" s="253">
        <f t="shared" si="43"/>
        <v>0.79967686107325719</v>
      </c>
      <c r="DK25" s="108">
        <v>13314.17</v>
      </c>
      <c r="DL25" s="108">
        <v>7920.29</v>
      </c>
      <c r="DM25" s="253">
        <f t="shared" si="0"/>
        <v>0.59487673658966345</v>
      </c>
      <c r="DN25" s="108">
        <v>13563.26</v>
      </c>
      <c r="DO25" s="108">
        <v>11167.2</v>
      </c>
      <c r="DP25" s="253">
        <f t="shared" si="1"/>
        <v>0.82334188093422966</v>
      </c>
      <c r="DQ25" s="108">
        <v>29992.65</v>
      </c>
      <c r="DR25" s="108">
        <v>12263.34</v>
      </c>
      <c r="DS25" s="253">
        <f t="shared" si="2"/>
        <v>0.40887817515291247</v>
      </c>
      <c r="DT25" s="108">
        <v>28769.93</v>
      </c>
      <c r="DU25" s="108">
        <v>20149.8</v>
      </c>
      <c r="DV25" s="253">
        <f t="shared" si="3"/>
        <v>0.70037709511284874</v>
      </c>
      <c r="DW25" s="108">
        <v>26549.18</v>
      </c>
      <c r="DX25" s="108">
        <v>29291.85</v>
      </c>
      <c r="DY25" s="253">
        <f t="shared" si="4"/>
        <v>1.1033052621587558</v>
      </c>
      <c r="DZ25" s="108">
        <v>9895.56</v>
      </c>
      <c r="EA25" s="108">
        <v>11702.29</v>
      </c>
      <c r="EB25" s="253">
        <f t="shared" si="44"/>
        <v>1.1825798641006675</v>
      </c>
      <c r="EC25" s="108">
        <v>7987.39</v>
      </c>
      <c r="ED25" s="108">
        <v>9326.84</v>
      </c>
      <c r="EE25" s="253">
        <f t="shared" si="45"/>
        <v>1.1676955801582243</v>
      </c>
      <c r="EF25" s="108">
        <v>8857.6299999999992</v>
      </c>
      <c r="EG25" s="108">
        <v>7999.56</v>
      </c>
      <c r="EH25" s="253">
        <f t="shared" si="46"/>
        <v>0.90312645707711892</v>
      </c>
      <c r="EI25" s="108">
        <v>9964.2800000000007</v>
      </c>
      <c r="EJ25" s="108">
        <v>7204.81</v>
      </c>
      <c r="EK25" s="253">
        <f t="shared" si="47"/>
        <v>0.72306378383586167</v>
      </c>
      <c r="EL25" s="108">
        <v>14397.26</v>
      </c>
      <c r="EM25" s="108">
        <v>9752.66</v>
      </c>
      <c r="EN25" s="253">
        <f t="shared" si="48"/>
        <v>0.67739694914171167</v>
      </c>
      <c r="EO25" s="108">
        <v>14388.91</v>
      </c>
      <c r="EP25" s="108">
        <v>9714.89</v>
      </c>
      <c r="EQ25" s="253">
        <f t="shared" si="49"/>
        <v>0.67516510979636402</v>
      </c>
      <c r="ER25" s="108">
        <v>21830.5</v>
      </c>
      <c r="ES25" s="108">
        <v>11640.38</v>
      </c>
      <c r="ET25" s="253">
        <f t="shared" si="50"/>
        <v>0.5332163715902063</v>
      </c>
      <c r="EU25" s="108">
        <v>5259.41</v>
      </c>
      <c r="EV25" s="108">
        <v>3459.64</v>
      </c>
      <c r="EW25" s="253">
        <f t="shared" si="51"/>
        <v>0.65780001939381028</v>
      </c>
      <c r="EX25" s="108">
        <v>12793.69</v>
      </c>
      <c r="EY25" s="108">
        <v>9859.7000000000007</v>
      </c>
      <c r="EZ25" s="253">
        <f t="shared" si="52"/>
        <v>0.77066897822285829</v>
      </c>
      <c r="FA25" s="108">
        <v>8877.6200000000008</v>
      </c>
      <c r="FB25" s="108">
        <v>7095.56</v>
      </c>
      <c r="FC25" s="253">
        <f t="shared" si="53"/>
        <v>0.79926376664015808</v>
      </c>
      <c r="FD25" s="108">
        <v>9460.8799999999992</v>
      </c>
      <c r="FE25" s="108">
        <v>11551.8</v>
      </c>
      <c r="FF25" s="253">
        <f t="shared" si="54"/>
        <v>1.2210069253600089</v>
      </c>
      <c r="FG25" s="108">
        <v>12188.54</v>
      </c>
      <c r="FH25" s="108">
        <v>10357.370000000001</v>
      </c>
      <c r="FI25" s="253">
        <f t="shared" si="55"/>
        <v>0.84976297407236634</v>
      </c>
      <c r="FJ25" s="108">
        <v>17459.349999999999</v>
      </c>
      <c r="FK25" s="108">
        <v>11722.74</v>
      </c>
      <c r="FL25" s="253">
        <f t="shared" si="56"/>
        <v>0.67143049426238666</v>
      </c>
      <c r="FM25" s="108">
        <v>30988.29</v>
      </c>
      <c r="FN25" s="108">
        <v>17455.439999999999</v>
      </c>
      <c r="FO25" s="253">
        <f t="shared" si="57"/>
        <v>0.56329148849452482</v>
      </c>
      <c r="FP25" s="108">
        <v>8977.18</v>
      </c>
      <c r="FQ25" s="108">
        <v>8557.68</v>
      </c>
      <c r="FR25" s="253">
        <f t="shared" si="58"/>
        <v>0.95327040340062252</v>
      </c>
      <c r="FS25" s="108">
        <v>11873.51</v>
      </c>
      <c r="FT25" s="108">
        <v>13904.09</v>
      </c>
      <c r="FU25" s="253">
        <f t="shared" si="59"/>
        <v>1.1710176687432781</v>
      </c>
      <c r="FV25" s="108">
        <v>14467.57</v>
      </c>
      <c r="FW25" s="108">
        <v>11338.68</v>
      </c>
      <c r="FX25" s="253">
        <f t="shared" si="60"/>
        <v>0.78373078547399466</v>
      </c>
      <c r="FY25" s="108">
        <v>10547.29</v>
      </c>
      <c r="FZ25" s="108">
        <v>7885.7</v>
      </c>
      <c r="GA25" s="253">
        <f t="shared" si="61"/>
        <v>0.7476517664727147</v>
      </c>
      <c r="GB25" s="108">
        <v>12834.42</v>
      </c>
      <c r="GC25" s="108">
        <v>10468.540000000001</v>
      </c>
      <c r="GD25" s="253">
        <f t="shared" si="62"/>
        <v>0.81566132322302065</v>
      </c>
      <c r="GE25" s="108">
        <v>14554.99</v>
      </c>
      <c r="GF25" s="108">
        <v>18083.25</v>
      </c>
      <c r="GG25" s="253">
        <f t="shared" si="63"/>
        <v>1.2424089607756514</v>
      </c>
      <c r="GH25" s="108">
        <v>24922.85</v>
      </c>
      <c r="GI25" s="108">
        <v>25046.36</v>
      </c>
      <c r="GJ25" s="253">
        <f t="shared" si="64"/>
        <v>1.0049556932694295</v>
      </c>
      <c r="GK25" s="108">
        <v>12898.36</v>
      </c>
      <c r="GL25" s="108">
        <v>8984.18</v>
      </c>
      <c r="GM25" s="253">
        <f t="shared" si="65"/>
        <v>0.69653661395712319</v>
      </c>
      <c r="GN25" s="108">
        <v>9358.06</v>
      </c>
      <c r="GO25" s="108">
        <v>12700.59</v>
      </c>
      <c r="GP25" s="253">
        <f t="shared" si="66"/>
        <v>1.3571819372818725</v>
      </c>
      <c r="GQ25" s="108">
        <v>11279.25</v>
      </c>
      <c r="GR25" s="108">
        <v>11803.58</v>
      </c>
      <c r="GS25" s="253">
        <f t="shared" si="67"/>
        <v>1.0464862468692511</v>
      </c>
      <c r="GT25" s="108">
        <v>11399.6</v>
      </c>
      <c r="GU25" s="108">
        <v>13489.6</v>
      </c>
      <c r="GV25" s="253">
        <f t="shared" si="68"/>
        <v>1.1833397663075897</v>
      </c>
      <c r="GW25" s="108">
        <v>9185.76</v>
      </c>
      <c r="GX25" s="108">
        <v>13881.25</v>
      </c>
      <c r="GY25" s="253">
        <f t="shared" si="69"/>
        <v>1.5111705509397153</v>
      </c>
      <c r="GZ25" s="108">
        <v>9185.76</v>
      </c>
      <c r="HA25" s="108">
        <v>18473.98</v>
      </c>
      <c r="HB25" s="253">
        <f t="shared" si="70"/>
        <v>2.0111542213164721</v>
      </c>
      <c r="HC25" s="108">
        <v>25766.560000000001</v>
      </c>
      <c r="HD25" s="108">
        <v>21708.52</v>
      </c>
      <c r="HE25" s="253">
        <f t="shared" si="71"/>
        <v>0.84250749809054837</v>
      </c>
      <c r="HF25" s="108">
        <v>11015.17</v>
      </c>
      <c r="HG25" s="108">
        <v>12241.94</v>
      </c>
      <c r="HH25" s="253">
        <f t="shared" si="72"/>
        <v>1.1113709547832671</v>
      </c>
      <c r="HI25" s="108">
        <v>15527.41</v>
      </c>
      <c r="HJ25" s="108">
        <v>18006.080000000002</v>
      </c>
      <c r="HK25" s="253">
        <f t="shared" si="73"/>
        <v>1.1596319025516812</v>
      </c>
      <c r="HL25" s="108">
        <v>10680.71</v>
      </c>
      <c r="HM25" s="108">
        <v>10417.1</v>
      </c>
      <c r="HN25" s="253">
        <f t="shared" si="74"/>
        <v>0.97531905650467066</v>
      </c>
      <c r="HO25" s="108">
        <v>9053.89</v>
      </c>
      <c r="HP25" s="108">
        <v>17118.189999999999</v>
      </c>
      <c r="HQ25" s="253">
        <f t="shared" si="75"/>
        <v>1.890700019549608</v>
      </c>
      <c r="HR25" s="108">
        <v>5445.86</v>
      </c>
      <c r="HS25" s="108">
        <v>13607.56</v>
      </c>
      <c r="HT25" s="253">
        <f t="shared" si="76"/>
        <v>2.4986980935977057</v>
      </c>
      <c r="HU25" s="108">
        <v>8835.91</v>
      </c>
      <c r="HV25" s="108">
        <v>19506.439999999999</v>
      </c>
      <c r="HW25" s="253">
        <f t="shared" si="77"/>
        <v>2.2076322642489568</v>
      </c>
      <c r="HX25" s="108">
        <v>17194.38</v>
      </c>
      <c r="HY25" s="108">
        <v>21057.69</v>
      </c>
      <c r="HZ25" s="253">
        <f t="shared" si="78"/>
        <v>1.2246844608529064</v>
      </c>
      <c r="IA25" s="108">
        <v>3814.1</v>
      </c>
      <c r="IB25" s="108">
        <v>8495.17</v>
      </c>
      <c r="IC25" s="253">
        <f t="shared" si="79"/>
        <v>2.227306572979209</v>
      </c>
      <c r="ID25" s="353"/>
      <c r="IE25" s="353"/>
      <c r="IF25" s="353"/>
      <c r="IG25" s="353"/>
      <c r="IH25" s="353"/>
      <c r="II25" s="353"/>
      <c r="IJ25" s="353"/>
      <c r="IK25" s="353"/>
      <c r="IL25" s="353"/>
      <c r="IM25" s="353"/>
      <c r="IN25" s="353"/>
      <c r="IO25" s="353"/>
      <c r="IP25" s="353"/>
      <c r="IQ25" s="311">
        <f t="shared" si="80"/>
        <v>265004.49</v>
      </c>
      <c r="IR25" s="311">
        <f t="shared" si="81"/>
        <v>308281.00000000006</v>
      </c>
      <c r="IS25" s="310">
        <f t="shared" si="5"/>
        <v>43276.510000000068</v>
      </c>
      <c r="IT25" s="313">
        <f t="shared" si="6"/>
        <v>1.1633048179674241</v>
      </c>
      <c r="IU25" s="317">
        <f t="shared" si="82"/>
        <v>77753.33</v>
      </c>
      <c r="IV25" s="317">
        <f t="shared" si="83"/>
        <v>111955</v>
      </c>
      <c r="IW25" s="316">
        <f t="shared" si="84"/>
        <v>34201.67</v>
      </c>
      <c r="IX25" s="320">
        <f t="shared" si="85"/>
        <v>1.4398740221158373</v>
      </c>
      <c r="IZ25" s="244"/>
      <c r="JA25" s="402"/>
      <c r="JB25" s="342"/>
    </row>
    <row r="26" spans="3:262">
      <c r="C26" s="340" t="s">
        <v>31</v>
      </c>
      <c r="D26" s="108">
        <v>25001.67</v>
      </c>
      <c r="E26" s="108">
        <v>25687</v>
      </c>
      <c r="F26" s="243">
        <f t="shared" si="7"/>
        <v>1.0274113689205562</v>
      </c>
      <c r="G26" s="108">
        <v>15981.19</v>
      </c>
      <c r="H26" s="108">
        <v>16256.07</v>
      </c>
      <c r="I26" s="243">
        <f t="shared" si="8"/>
        <v>1.0172002210098245</v>
      </c>
      <c r="J26" s="108">
        <v>15324.42</v>
      </c>
      <c r="K26" s="108">
        <v>17411.52</v>
      </c>
      <c r="L26" s="243">
        <f t="shared" si="9"/>
        <v>1.136194387781071</v>
      </c>
      <c r="M26" s="108">
        <v>13035.31</v>
      </c>
      <c r="N26" s="108">
        <v>15969.46</v>
      </c>
      <c r="O26" s="243">
        <f t="shared" si="10"/>
        <v>1.2250924604017857</v>
      </c>
      <c r="P26" s="108">
        <v>17838.330000000002</v>
      </c>
      <c r="Q26" s="108">
        <v>11563.56</v>
      </c>
      <c r="R26" s="243">
        <f t="shared" si="11"/>
        <v>0.64824229622391771</v>
      </c>
      <c r="S26" s="108">
        <v>18317.53</v>
      </c>
      <c r="T26" s="108">
        <v>18531.79</v>
      </c>
      <c r="U26" s="243">
        <f t="shared" si="12"/>
        <v>1.0116969918979253</v>
      </c>
      <c r="V26" s="108">
        <v>24517.29</v>
      </c>
      <c r="W26" s="108">
        <v>19670.18</v>
      </c>
      <c r="X26" s="243">
        <f t="shared" si="13"/>
        <v>0.80229829642672579</v>
      </c>
      <c r="Y26" s="108">
        <v>31724.240000000002</v>
      </c>
      <c r="Z26" s="108">
        <v>20277.29</v>
      </c>
      <c r="AA26" s="243">
        <f t="shared" si="14"/>
        <v>0.63917338918126954</v>
      </c>
      <c r="AB26" s="108">
        <v>14080.49</v>
      </c>
      <c r="AC26" s="108">
        <v>11416.61</v>
      </c>
      <c r="AD26" s="243">
        <f t="shared" si="15"/>
        <v>0.81081056128018281</v>
      </c>
      <c r="AE26" s="108">
        <v>13468.96</v>
      </c>
      <c r="AF26" s="108">
        <v>12590.95</v>
      </c>
      <c r="AG26" s="243">
        <f t="shared" si="16"/>
        <v>0.93481233888882298</v>
      </c>
      <c r="AH26" s="108">
        <v>12604.24</v>
      </c>
      <c r="AI26" s="108">
        <v>15132.51</v>
      </c>
      <c r="AJ26" s="243">
        <f t="shared" si="17"/>
        <v>1.2005888494665287</v>
      </c>
      <c r="AK26" s="108">
        <v>15852.33</v>
      </c>
      <c r="AL26" s="108">
        <v>15368.63</v>
      </c>
      <c r="AM26" s="243">
        <f t="shared" si="18"/>
        <v>0.96948713532963293</v>
      </c>
      <c r="AN26" s="108">
        <v>22423.86</v>
      </c>
      <c r="AO26" s="108">
        <v>18679.689999999999</v>
      </c>
      <c r="AP26" s="253">
        <f t="shared" si="19"/>
        <v>0.83302740919716756</v>
      </c>
      <c r="AQ26" s="108">
        <v>28636.69</v>
      </c>
      <c r="AR26" s="108">
        <v>32902.21</v>
      </c>
      <c r="AS26" s="253">
        <f t="shared" si="20"/>
        <v>1.1489529690756859</v>
      </c>
      <c r="AT26" s="108">
        <v>30355.48</v>
      </c>
      <c r="AU26" s="108">
        <v>22883.48</v>
      </c>
      <c r="AV26" s="253">
        <f t="shared" si="21"/>
        <v>0.75385004618605933</v>
      </c>
      <c r="AW26" s="108">
        <v>9671.18</v>
      </c>
      <c r="AX26" s="108">
        <v>13859.4</v>
      </c>
      <c r="AY26" s="253">
        <f t="shared" si="22"/>
        <v>1.4330619428032567</v>
      </c>
      <c r="AZ26" s="108">
        <v>10521.49</v>
      </c>
      <c r="BA26" s="108">
        <v>14498.27</v>
      </c>
      <c r="BB26" s="253">
        <f t="shared" si="23"/>
        <v>1.3779673791449691</v>
      </c>
      <c r="BC26" s="108">
        <v>10938.09</v>
      </c>
      <c r="BD26" s="108">
        <v>11794.58</v>
      </c>
      <c r="BE26" s="253">
        <f t="shared" si="24"/>
        <v>1.0783034332319446</v>
      </c>
      <c r="BF26" s="108">
        <v>5950.53</v>
      </c>
      <c r="BG26" s="108">
        <v>14738.49</v>
      </c>
      <c r="BH26" s="253">
        <f t="shared" si="25"/>
        <v>2.4768365170833522</v>
      </c>
      <c r="BI26" s="108">
        <v>25869.98</v>
      </c>
      <c r="BJ26" s="108">
        <v>18887.490000000002</v>
      </c>
      <c r="BK26" s="253">
        <f t="shared" si="26"/>
        <v>0.73009294943405456</v>
      </c>
      <c r="BL26" s="108">
        <v>28389.3</v>
      </c>
      <c r="BM26" s="108">
        <v>31509.64</v>
      </c>
      <c r="BN26" s="253">
        <f t="shared" si="27"/>
        <v>1.1099125374701031</v>
      </c>
      <c r="BO26" s="108">
        <v>30494.07</v>
      </c>
      <c r="BP26" s="108">
        <v>20609.759999999998</v>
      </c>
      <c r="BQ26" s="253">
        <f t="shared" si="28"/>
        <v>0.67586124121837454</v>
      </c>
      <c r="BR26" s="108">
        <v>10902.38</v>
      </c>
      <c r="BS26" s="108">
        <v>11928.77</v>
      </c>
      <c r="BT26" s="253">
        <f t="shared" si="29"/>
        <v>1.0941436640439979</v>
      </c>
      <c r="BU26" s="108">
        <v>10244.26</v>
      </c>
      <c r="BV26" s="108">
        <v>10715.5</v>
      </c>
      <c r="BW26" s="253">
        <f t="shared" si="30"/>
        <v>1.0460003943671872</v>
      </c>
      <c r="BX26" s="108">
        <v>13303.73</v>
      </c>
      <c r="BY26" s="108">
        <v>9858.33</v>
      </c>
      <c r="BZ26" s="253">
        <f t="shared" si="31"/>
        <v>0.74101999965423238</v>
      </c>
      <c r="CA26" s="88">
        <v>14993.09</v>
      </c>
      <c r="CB26" s="108">
        <v>14052.55</v>
      </c>
      <c r="CC26" s="253">
        <f t="shared" si="32"/>
        <v>0.93726843499238643</v>
      </c>
      <c r="CD26" s="108">
        <v>24361.88</v>
      </c>
      <c r="CE26" s="108">
        <v>20559.32</v>
      </c>
      <c r="CF26" s="253">
        <f t="shared" si="33"/>
        <v>0.84391352391523144</v>
      </c>
      <c r="CG26" s="108">
        <v>35912.120000000003</v>
      </c>
      <c r="CH26" s="108">
        <v>32083.39</v>
      </c>
      <c r="CI26" s="253">
        <f t="shared" si="34"/>
        <v>0.89338613259256194</v>
      </c>
      <c r="CJ26" s="108">
        <v>23201.75</v>
      </c>
      <c r="CK26" s="108">
        <v>23549.040000000001</v>
      </c>
      <c r="CL26" s="253">
        <f t="shared" si="35"/>
        <v>1.0149682674798237</v>
      </c>
      <c r="CM26" s="108">
        <v>25495.14</v>
      </c>
      <c r="CN26" s="108">
        <v>20685.59</v>
      </c>
      <c r="CO26" s="253">
        <f t="shared" si="36"/>
        <v>0.81135424241639786</v>
      </c>
      <c r="CP26" s="108">
        <v>11850.29</v>
      </c>
      <c r="CQ26" s="108">
        <v>11062.35</v>
      </c>
      <c r="CR26" s="253">
        <f t="shared" si="37"/>
        <v>0.93350880020657723</v>
      </c>
      <c r="CS26" s="108">
        <v>8895.2000000000007</v>
      </c>
      <c r="CT26" s="108">
        <v>10245.36</v>
      </c>
      <c r="CU26" s="253">
        <f t="shared" si="38"/>
        <v>1.1517852324849356</v>
      </c>
      <c r="CV26" s="108">
        <v>14083.63</v>
      </c>
      <c r="CW26" s="108">
        <v>12789.99</v>
      </c>
      <c r="CX26" s="253">
        <f t="shared" si="39"/>
        <v>0.90814584024147182</v>
      </c>
      <c r="CY26" s="108">
        <v>25017.13</v>
      </c>
      <c r="CZ26" s="108">
        <v>23687.06</v>
      </c>
      <c r="DA26" s="253">
        <f t="shared" si="40"/>
        <v>0.94683362959700013</v>
      </c>
      <c r="DB26" s="108">
        <v>33947.03</v>
      </c>
      <c r="DC26" s="108">
        <v>28285.97</v>
      </c>
      <c r="DD26" s="253">
        <f t="shared" si="41"/>
        <v>0.83323843057846303</v>
      </c>
      <c r="DE26" s="108">
        <v>27597.63</v>
      </c>
      <c r="DF26" s="108">
        <v>19354.419999999998</v>
      </c>
      <c r="DG26" s="253">
        <f t="shared" si="42"/>
        <v>0.70130732240413385</v>
      </c>
      <c r="DH26" s="108">
        <v>14638.61</v>
      </c>
      <c r="DI26" s="108">
        <v>11211.02</v>
      </c>
      <c r="DJ26" s="253">
        <f t="shared" si="43"/>
        <v>0.76585276880796738</v>
      </c>
      <c r="DK26" s="108">
        <v>12432.84</v>
      </c>
      <c r="DL26" s="108">
        <v>14487.02</v>
      </c>
      <c r="DM26" s="253">
        <f t="shared" si="0"/>
        <v>1.1652221053275036</v>
      </c>
      <c r="DN26" s="108">
        <v>20276.77</v>
      </c>
      <c r="DO26" s="108">
        <v>13957.64</v>
      </c>
      <c r="DP26" s="253">
        <f t="shared" si="1"/>
        <v>0.68835618296207923</v>
      </c>
      <c r="DQ26" s="108">
        <v>42957.29</v>
      </c>
      <c r="DR26" s="108">
        <v>21117.39</v>
      </c>
      <c r="DS26" s="253">
        <f t="shared" si="2"/>
        <v>0.49159036801436962</v>
      </c>
      <c r="DT26" s="108">
        <v>45825.75</v>
      </c>
      <c r="DU26" s="108">
        <v>30364.68</v>
      </c>
      <c r="DV26" s="253">
        <f t="shared" si="3"/>
        <v>0.6626117412153647</v>
      </c>
      <c r="DW26" s="108">
        <v>39183.089999999997</v>
      </c>
      <c r="DX26" s="108">
        <v>42625.89</v>
      </c>
      <c r="DY26" s="253">
        <f t="shared" si="4"/>
        <v>1.0878644333563281</v>
      </c>
      <c r="DZ26" s="108">
        <v>32443.87</v>
      </c>
      <c r="EA26" s="108">
        <v>29361.73</v>
      </c>
      <c r="EB26" s="253">
        <f t="shared" si="44"/>
        <v>0.9050008522411167</v>
      </c>
      <c r="EC26" s="108">
        <v>12682.22</v>
      </c>
      <c r="EE26" s="253">
        <f t="shared" si="45"/>
        <v>0</v>
      </c>
      <c r="EF26" s="108">
        <v>8084.38</v>
      </c>
      <c r="EG26" s="108">
        <v>5386.65</v>
      </c>
      <c r="EH26" s="253">
        <f t="shared" si="46"/>
        <v>0.66630341473310251</v>
      </c>
      <c r="EI26" s="108">
        <v>9984.15</v>
      </c>
      <c r="EJ26" s="108">
        <v>13087.28</v>
      </c>
      <c r="EK26" s="253">
        <f t="shared" si="47"/>
        <v>1.3108056269186661</v>
      </c>
      <c r="EL26" s="108">
        <v>11710.76</v>
      </c>
      <c r="EM26" s="108">
        <v>14120.25</v>
      </c>
      <c r="EN26" s="253">
        <f t="shared" si="48"/>
        <v>1.2057500964924566</v>
      </c>
      <c r="EO26" s="108">
        <v>22399.35</v>
      </c>
      <c r="EP26" s="108">
        <v>14498.27</v>
      </c>
      <c r="EQ26" s="253">
        <f t="shared" si="49"/>
        <v>0.6472629786132188</v>
      </c>
      <c r="ER26" s="108">
        <v>33846.94</v>
      </c>
      <c r="ES26" s="108">
        <v>11794.58</v>
      </c>
      <c r="ET26" s="253">
        <f t="shared" si="50"/>
        <v>0.34846813330835813</v>
      </c>
      <c r="EU26" s="108">
        <v>33053.33</v>
      </c>
      <c r="EV26" s="108">
        <v>20195.990000000002</v>
      </c>
      <c r="EW26" s="253">
        <f t="shared" si="51"/>
        <v>0.611012264119833</v>
      </c>
      <c r="EX26" s="108">
        <v>12701.14</v>
      </c>
      <c r="EY26" s="108">
        <v>15914.23</v>
      </c>
      <c r="EZ26" s="253">
        <f t="shared" si="52"/>
        <v>1.2529765044712522</v>
      </c>
      <c r="FA26" s="108">
        <v>10858.29</v>
      </c>
      <c r="FB26" s="108">
        <v>11972.73</v>
      </c>
      <c r="FC26" s="253">
        <f t="shared" si="53"/>
        <v>1.1026349452814392</v>
      </c>
      <c r="FD26" s="108">
        <v>10076.24</v>
      </c>
      <c r="FE26" s="108">
        <v>12546.99</v>
      </c>
      <c r="FF26" s="253">
        <f t="shared" si="54"/>
        <v>1.2452055528649575</v>
      </c>
      <c r="FG26" s="108">
        <v>14599.02</v>
      </c>
      <c r="FH26" s="108">
        <v>14221.28</v>
      </c>
      <c r="FI26" s="253">
        <f t="shared" si="55"/>
        <v>0.97412566048953975</v>
      </c>
      <c r="FJ26" s="108">
        <v>23743.59</v>
      </c>
      <c r="FK26" s="108">
        <v>24876.74</v>
      </c>
      <c r="FL26" s="253">
        <f t="shared" si="56"/>
        <v>1.0477244595278137</v>
      </c>
      <c r="FM26" s="108">
        <v>41179.06</v>
      </c>
      <c r="FN26" s="108">
        <v>26343.01</v>
      </c>
      <c r="FO26" s="253">
        <f t="shared" si="57"/>
        <v>0.6397185851255468</v>
      </c>
      <c r="FP26" s="108">
        <v>40561.919999999998</v>
      </c>
      <c r="FQ26" s="108">
        <v>20578.96</v>
      </c>
      <c r="FR26" s="253">
        <f t="shared" si="58"/>
        <v>0.50734679226229917</v>
      </c>
      <c r="FS26" s="108">
        <v>12032.13</v>
      </c>
      <c r="FT26" s="108">
        <v>11650.98</v>
      </c>
      <c r="FU26" s="253">
        <f t="shared" si="59"/>
        <v>0.9683223169962426</v>
      </c>
      <c r="FV26" s="108">
        <v>13381.59</v>
      </c>
      <c r="FW26" s="108">
        <v>13468.99</v>
      </c>
      <c r="FX26" s="253">
        <f t="shared" si="60"/>
        <v>1.0065313613703604</v>
      </c>
      <c r="FY26" s="108">
        <v>12776.22</v>
      </c>
      <c r="FZ26" s="108">
        <v>13604.72</v>
      </c>
      <c r="GA26" s="253">
        <f t="shared" si="61"/>
        <v>1.0648470361343183</v>
      </c>
      <c r="GB26" s="108">
        <v>17614.2</v>
      </c>
      <c r="GC26" s="108">
        <v>14378.79</v>
      </c>
      <c r="GD26" s="253">
        <f t="shared" si="62"/>
        <v>0.81631808427291619</v>
      </c>
      <c r="GE26" s="108">
        <v>25125.08</v>
      </c>
      <c r="GF26" s="108">
        <v>24440.66</v>
      </c>
      <c r="GG26" s="253">
        <f t="shared" si="63"/>
        <v>0.97275948972102766</v>
      </c>
      <c r="GH26" s="108">
        <v>40524.559999999998</v>
      </c>
      <c r="GI26" s="108">
        <v>27411.37</v>
      </c>
      <c r="GJ26" s="253">
        <f t="shared" si="64"/>
        <v>0.6764137599519896</v>
      </c>
      <c r="GK26" s="108">
        <v>51906.720000000001</v>
      </c>
      <c r="GL26" s="108">
        <v>28704.3</v>
      </c>
      <c r="GM26" s="253">
        <f t="shared" si="65"/>
        <v>0.55299776213946861</v>
      </c>
      <c r="GN26" s="108">
        <v>16943.21</v>
      </c>
      <c r="GO26" s="108">
        <v>14865.47</v>
      </c>
      <c r="GP26" s="253">
        <f t="shared" si="66"/>
        <v>0.87737034481659615</v>
      </c>
      <c r="GQ26" s="108">
        <v>11112.09</v>
      </c>
      <c r="GR26" s="108">
        <v>12724.12</v>
      </c>
      <c r="GS26" s="253">
        <f t="shared" si="67"/>
        <v>1.1450699193401062</v>
      </c>
      <c r="GT26" s="108">
        <v>12540.63</v>
      </c>
      <c r="GU26" s="108">
        <v>16322.1</v>
      </c>
      <c r="GV26" s="253">
        <f t="shared" si="68"/>
        <v>1.3015374825666655</v>
      </c>
      <c r="GW26" s="108">
        <v>14620.9</v>
      </c>
      <c r="GX26" s="108">
        <v>17324.150000000001</v>
      </c>
      <c r="GY26" s="253">
        <f t="shared" si="69"/>
        <v>1.1848894390906171</v>
      </c>
      <c r="GZ26" s="108">
        <v>14620.9</v>
      </c>
      <c r="HA26" s="108">
        <v>24093.37</v>
      </c>
      <c r="HB26" s="253">
        <f t="shared" si="70"/>
        <v>1.6478718820318858</v>
      </c>
      <c r="HC26" s="108">
        <v>44951</v>
      </c>
      <c r="HD26" s="108">
        <v>39032.120000000003</v>
      </c>
      <c r="HE26" s="253">
        <f t="shared" si="71"/>
        <v>0.86832595492870024</v>
      </c>
      <c r="HF26" s="108">
        <v>30982.02</v>
      </c>
      <c r="HG26" s="108">
        <v>23803.18</v>
      </c>
      <c r="HH26" s="253">
        <f t="shared" si="72"/>
        <v>0.76829012440118494</v>
      </c>
      <c r="HI26" s="108">
        <v>21664.04</v>
      </c>
      <c r="HJ26" s="108">
        <v>21503.15</v>
      </c>
      <c r="HK26" s="253">
        <f t="shared" si="73"/>
        <v>0.99257340736076927</v>
      </c>
      <c r="HL26" s="108">
        <v>5209.76</v>
      </c>
      <c r="HM26" s="108">
        <v>12633.53</v>
      </c>
      <c r="HN26" s="253">
        <f t="shared" si="74"/>
        <v>2.4249735112557969</v>
      </c>
      <c r="HO26" s="108">
        <v>8052.95</v>
      </c>
      <c r="HP26" s="108">
        <v>12055.68</v>
      </c>
      <c r="HQ26" s="253">
        <f t="shared" si="75"/>
        <v>1.4970513911051231</v>
      </c>
      <c r="HR26" s="108">
        <v>8208.02</v>
      </c>
      <c r="HS26" s="108">
        <v>14240.15</v>
      </c>
      <c r="HT26" s="253">
        <f t="shared" si="76"/>
        <v>1.7349068350223318</v>
      </c>
      <c r="HU26" s="108">
        <v>11918.41</v>
      </c>
      <c r="HV26" s="108">
        <v>23086.54</v>
      </c>
      <c r="HW26" s="253">
        <f t="shared" si="77"/>
        <v>1.9370486499457562</v>
      </c>
      <c r="HX26" s="108">
        <v>18694.009999999998</v>
      </c>
      <c r="HY26" s="108">
        <v>33444.67</v>
      </c>
      <c r="HZ26" s="253">
        <f t="shared" si="78"/>
        <v>1.7890580993590997</v>
      </c>
      <c r="IA26" s="108">
        <v>14821.47</v>
      </c>
      <c r="IB26" s="108">
        <v>21286.31</v>
      </c>
      <c r="IC26" s="253">
        <f t="shared" si="79"/>
        <v>1.4361807566995717</v>
      </c>
      <c r="ID26" s="353"/>
      <c r="IE26" s="353"/>
      <c r="IF26" s="353"/>
      <c r="IG26" s="353"/>
      <c r="IH26" s="353"/>
      <c r="II26" s="353"/>
      <c r="IJ26" s="353"/>
      <c r="IK26" s="353"/>
      <c r="IL26" s="353"/>
      <c r="IM26" s="353"/>
      <c r="IN26" s="353"/>
      <c r="IO26" s="353"/>
      <c r="IP26" s="353"/>
      <c r="IQ26" s="311">
        <f t="shared" si="80"/>
        <v>433440.36000000004</v>
      </c>
      <c r="IR26" s="311">
        <f t="shared" si="81"/>
        <v>419367</v>
      </c>
      <c r="IS26" s="310">
        <f t="shared" si="5"/>
        <v>-14073.360000000044</v>
      </c>
      <c r="IT26" s="313">
        <f t="shared" si="6"/>
        <v>0.96753103471951707</v>
      </c>
      <c r="IU26" s="317">
        <f t="shared" si="82"/>
        <v>104729.21</v>
      </c>
      <c r="IV26" s="317">
        <f t="shared" si="83"/>
        <v>140766.90000000002</v>
      </c>
      <c r="IW26" s="316">
        <f t="shared" si="84"/>
        <v>36037.690000000017</v>
      </c>
      <c r="IX26" s="320">
        <f t="shared" si="85"/>
        <v>1.3441035218350259</v>
      </c>
      <c r="IZ26" s="244"/>
      <c r="JA26" s="402"/>
      <c r="JB26" s="342"/>
    </row>
    <row r="27" spans="3:262">
      <c r="C27" s="340" t="s">
        <v>32</v>
      </c>
      <c r="D27" s="108">
        <v>39377.25</v>
      </c>
      <c r="E27" s="108">
        <v>24442.83</v>
      </c>
      <c r="F27" s="243">
        <f t="shared" si="7"/>
        <v>0.62073481515341988</v>
      </c>
      <c r="G27" s="108">
        <v>39308.239999999998</v>
      </c>
      <c r="H27" s="108">
        <v>25080.03</v>
      </c>
      <c r="I27" s="243">
        <f t="shared" si="8"/>
        <v>0.63803492601042433</v>
      </c>
      <c r="J27" s="108">
        <v>23756.48</v>
      </c>
      <c r="K27" s="108">
        <v>23882.91</v>
      </c>
      <c r="L27" s="243">
        <f t="shared" si="9"/>
        <v>1.0053219163781839</v>
      </c>
      <c r="M27" s="108">
        <v>19516.46</v>
      </c>
      <c r="N27" s="108">
        <v>22912.28</v>
      </c>
      <c r="O27" s="243">
        <f t="shared" si="10"/>
        <v>1.1739977434432269</v>
      </c>
      <c r="P27" s="108">
        <v>23101.52</v>
      </c>
      <c r="Q27" s="108">
        <v>21036.65</v>
      </c>
      <c r="R27" s="243">
        <f t="shared" si="11"/>
        <v>0.91061756975298602</v>
      </c>
      <c r="S27" s="108">
        <v>25820.560000000001</v>
      </c>
      <c r="T27" s="108">
        <v>19399.810000000001</v>
      </c>
      <c r="U27" s="243">
        <f t="shared" si="12"/>
        <v>0.75133188435882103</v>
      </c>
      <c r="V27" s="108">
        <v>46784.160000000003</v>
      </c>
      <c r="W27" s="108">
        <v>31856.45</v>
      </c>
      <c r="X27" s="243">
        <f t="shared" si="13"/>
        <v>0.6809238425997175</v>
      </c>
      <c r="Y27" s="108">
        <v>31837.21</v>
      </c>
      <c r="Z27" s="108">
        <v>18695.34</v>
      </c>
      <c r="AA27" s="243">
        <f t="shared" si="14"/>
        <v>0.58721665623338226</v>
      </c>
      <c r="AB27" s="108">
        <v>18955.14</v>
      </c>
      <c r="AC27" s="108">
        <v>10222.17</v>
      </c>
      <c r="AD27" s="243">
        <f t="shared" si="15"/>
        <v>0.53928222107565549</v>
      </c>
      <c r="AE27" s="108">
        <v>20399.34</v>
      </c>
      <c r="AF27" s="108">
        <v>18154.32</v>
      </c>
      <c r="AG27" s="243">
        <f t="shared" si="16"/>
        <v>0.88994643944362906</v>
      </c>
      <c r="AH27" s="108">
        <v>24740.28</v>
      </c>
      <c r="AI27" s="108">
        <v>15608.34</v>
      </c>
      <c r="AJ27" s="243">
        <f t="shared" si="17"/>
        <v>0.63088776683206504</v>
      </c>
      <c r="AK27" s="108">
        <v>24838.68</v>
      </c>
      <c r="AL27" s="108">
        <v>17612.07</v>
      </c>
      <c r="AM27" s="243">
        <f t="shared" si="18"/>
        <v>0.7090582108227973</v>
      </c>
      <c r="AN27" s="108">
        <v>32310.78</v>
      </c>
      <c r="AO27" s="108">
        <v>27706.560000000001</v>
      </c>
      <c r="AP27" s="253">
        <f t="shared" si="19"/>
        <v>0.85750204730433632</v>
      </c>
      <c r="AQ27" s="108">
        <v>50797.67</v>
      </c>
      <c r="AR27" s="108">
        <v>44378.85</v>
      </c>
      <c r="AS27" s="253">
        <f t="shared" si="20"/>
        <v>0.87363947992102786</v>
      </c>
      <c r="AT27" s="108">
        <v>34334.32</v>
      </c>
      <c r="AU27" s="108">
        <v>19730.54</v>
      </c>
      <c r="AV27" s="253">
        <f t="shared" si="21"/>
        <v>0.57465940784614344</v>
      </c>
      <c r="AW27" s="108">
        <v>23044.94</v>
      </c>
      <c r="AX27" s="108">
        <v>21081.33</v>
      </c>
      <c r="AY27" s="253">
        <f t="shared" si="22"/>
        <v>0.91479214092117411</v>
      </c>
      <c r="AZ27" s="108">
        <v>18265.95</v>
      </c>
      <c r="BA27" s="108">
        <v>19122.43</v>
      </c>
      <c r="BB27" s="253">
        <f t="shared" si="23"/>
        <v>1.046889430880956</v>
      </c>
      <c r="BC27" s="108">
        <v>21544.48</v>
      </c>
      <c r="BD27" s="108">
        <v>12296.25</v>
      </c>
      <c r="BE27" s="253">
        <f t="shared" si="24"/>
        <v>0.57073784096900926</v>
      </c>
      <c r="BF27" s="108">
        <v>23707.11</v>
      </c>
      <c r="BG27" s="108">
        <v>20537.18</v>
      </c>
      <c r="BH27" s="253">
        <f t="shared" si="25"/>
        <v>0.86628779298699843</v>
      </c>
      <c r="BI27" s="108">
        <v>28584.81</v>
      </c>
      <c r="BJ27" s="108">
        <v>23594.36</v>
      </c>
      <c r="BK27" s="253">
        <f t="shared" si="26"/>
        <v>0.82541601640871498</v>
      </c>
      <c r="BL27" s="108">
        <v>48866.65</v>
      </c>
      <c r="BM27" s="108">
        <v>35726.800000000003</v>
      </c>
      <c r="BN27" s="253">
        <f t="shared" si="27"/>
        <v>0.73110802561665267</v>
      </c>
      <c r="BO27" s="108">
        <v>32757.91</v>
      </c>
      <c r="BP27" s="108">
        <v>13511.54</v>
      </c>
      <c r="BQ27" s="253">
        <f t="shared" si="28"/>
        <v>0.41246648519395779</v>
      </c>
      <c r="BR27" s="108">
        <v>23727.919999999998</v>
      </c>
      <c r="BS27" s="108">
        <v>16353.58</v>
      </c>
      <c r="BT27" s="253">
        <f t="shared" si="29"/>
        <v>0.68921253948934424</v>
      </c>
      <c r="BU27" s="108">
        <v>22379.759999999998</v>
      </c>
      <c r="BV27" s="108">
        <v>14798.93</v>
      </c>
      <c r="BW27" s="253">
        <f t="shared" si="30"/>
        <v>0.66126401712976379</v>
      </c>
      <c r="BX27" s="108">
        <v>22034.36</v>
      </c>
      <c r="BY27" s="108">
        <v>13616.19</v>
      </c>
      <c r="BZ27" s="253">
        <f t="shared" si="31"/>
        <v>0.61795259767018418</v>
      </c>
      <c r="CA27" s="88">
        <v>19517.75</v>
      </c>
      <c r="CB27" s="108">
        <v>19591.63</v>
      </c>
      <c r="CC27" s="253">
        <f t="shared" si="32"/>
        <v>1.0037852723802694</v>
      </c>
      <c r="CD27" s="108">
        <v>33565.980000000003</v>
      </c>
      <c r="CE27" s="108">
        <v>26306.65</v>
      </c>
      <c r="CF27" s="253">
        <f t="shared" si="33"/>
        <v>0.7837295380620497</v>
      </c>
      <c r="CG27" s="108">
        <v>48806.5</v>
      </c>
      <c r="CH27" s="108">
        <v>36305.15</v>
      </c>
      <c r="CI27" s="253">
        <f t="shared" si="34"/>
        <v>0.74385891223505074</v>
      </c>
      <c r="CJ27" s="108">
        <v>28634.639999999999</v>
      </c>
      <c r="CK27" s="108">
        <v>19401.29</v>
      </c>
      <c r="CL27" s="253">
        <f t="shared" si="35"/>
        <v>0.67754614690458836</v>
      </c>
      <c r="CM27" s="108">
        <v>28706.79</v>
      </c>
      <c r="CN27" s="108">
        <v>22845.79</v>
      </c>
      <c r="CO27" s="253">
        <f t="shared" si="36"/>
        <v>0.79583227522129785</v>
      </c>
      <c r="CP27" s="108">
        <v>19311.29</v>
      </c>
      <c r="CQ27" s="108">
        <v>16598.07</v>
      </c>
      <c r="CR27" s="253">
        <f t="shared" si="37"/>
        <v>0.85950084121775394</v>
      </c>
      <c r="CS27" s="108">
        <v>13858.11</v>
      </c>
      <c r="CT27" s="108">
        <v>22107.38</v>
      </c>
      <c r="CU27" s="253">
        <f t="shared" si="38"/>
        <v>1.5952665984033898</v>
      </c>
      <c r="CV27" s="108">
        <v>20051.419999999998</v>
      </c>
      <c r="CW27" s="108">
        <v>17163.169999999998</v>
      </c>
      <c r="CX27" s="253">
        <f t="shared" si="39"/>
        <v>0.85595783241286649</v>
      </c>
      <c r="CY27" s="108">
        <v>33741.589999999997</v>
      </c>
      <c r="CZ27" s="108">
        <v>23026.36</v>
      </c>
      <c r="DA27" s="253">
        <f t="shared" si="40"/>
        <v>0.68243257060500118</v>
      </c>
      <c r="DB27" s="108">
        <v>52618.19</v>
      </c>
      <c r="DC27" s="108">
        <v>34285.01</v>
      </c>
      <c r="DD27" s="253">
        <f t="shared" si="41"/>
        <v>0.65158094567677072</v>
      </c>
      <c r="DE27" s="108">
        <v>33769.71</v>
      </c>
      <c r="DF27" s="108">
        <v>20811.5</v>
      </c>
      <c r="DG27" s="253">
        <f t="shared" si="42"/>
        <v>0.61627713119242067</v>
      </c>
      <c r="DH27" s="108">
        <v>21491.77</v>
      </c>
      <c r="DI27" s="108">
        <v>16089.23</v>
      </c>
      <c r="DJ27" s="253">
        <f t="shared" si="43"/>
        <v>0.7486228449308735</v>
      </c>
      <c r="DK27" s="108">
        <v>18580.25</v>
      </c>
      <c r="DL27" s="108">
        <v>25119.46</v>
      </c>
      <c r="DM27" s="253">
        <f t="shared" si="0"/>
        <v>1.351944134228549</v>
      </c>
      <c r="DN27" s="108">
        <v>26615.86</v>
      </c>
      <c r="DO27" s="108">
        <v>21211.439999999999</v>
      </c>
      <c r="DP27" s="253">
        <f t="shared" si="1"/>
        <v>0.79694738400337239</v>
      </c>
      <c r="DQ27" s="108">
        <v>52073.63</v>
      </c>
      <c r="DR27" s="108">
        <v>25271.48</v>
      </c>
      <c r="DS27" s="253">
        <f t="shared" si="2"/>
        <v>0.48530282985841394</v>
      </c>
      <c r="DT27" s="108">
        <v>51694.69</v>
      </c>
      <c r="DU27" s="108">
        <v>39393.800000000003</v>
      </c>
      <c r="DV27" s="253">
        <f t="shared" si="3"/>
        <v>0.7620473205275049</v>
      </c>
      <c r="DW27" s="108">
        <v>58539.76</v>
      </c>
      <c r="DX27" s="108">
        <v>61603.25</v>
      </c>
      <c r="DY27" s="253">
        <f t="shared" si="4"/>
        <v>1.0523317827063179</v>
      </c>
      <c r="DZ27" s="108">
        <v>33861.18</v>
      </c>
      <c r="EA27" s="108">
        <v>20836.12</v>
      </c>
      <c r="EB27" s="253">
        <f t="shared" si="44"/>
        <v>0.6153394536162059</v>
      </c>
      <c r="EC27" s="108">
        <v>21618.73</v>
      </c>
      <c r="ED27" s="108">
        <v>8336.59</v>
      </c>
      <c r="EE27" s="253">
        <f t="shared" si="45"/>
        <v>0.38561885920218258</v>
      </c>
      <c r="EF27" s="108">
        <v>22109.19</v>
      </c>
      <c r="EG27" s="108">
        <v>9935.42</v>
      </c>
      <c r="EH27" s="253">
        <f t="shared" si="46"/>
        <v>0.44937964710602246</v>
      </c>
      <c r="EI27" s="108">
        <v>20381.73</v>
      </c>
      <c r="EJ27" s="108">
        <v>12752.91</v>
      </c>
      <c r="EK27" s="253">
        <f t="shared" si="47"/>
        <v>0.62570301932171613</v>
      </c>
      <c r="EL27" s="108">
        <v>16931.54</v>
      </c>
      <c r="EM27" s="108">
        <v>14501.23</v>
      </c>
      <c r="EN27" s="253">
        <f t="shared" si="48"/>
        <v>0.85646255449888187</v>
      </c>
      <c r="EO27" s="108">
        <v>26373.7</v>
      </c>
      <c r="EP27" s="108">
        <v>19122.43</v>
      </c>
      <c r="EQ27" s="253">
        <f t="shared" si="49"/>
        <v>0.72505678004982232</v>
      </c>
      <c r="ER27" s="108">
        <v>44788.36</v>
      </c>
      <c r="ES27" s="108">
        <v>12296.25</v>
      </c>
      <c r="ET27" s="253">
        <f t="shared" si="50"/>
        <v>0.27454119775763169</v>
      </c>
      <c r="EU27" s="108">
        <v>22707.73</v>
      </c>
      <c r="EV27" s="108">
        <v>17167.310000000001</v>
      </c>
      <c r="EW27" s="253">
        <f t="shared" si="51"/>
        <v>0.75601171935724099</v>
      </c>
      <c r="EX27" s="108">
        <v>15876.17</v>
      </c>
      <c r="EY27" s="108">
        <v>16193.73</v>
      </c>
      <c r="EZ27" s="253">
        <f t="shared" si="52"/>
        <v>1.0200023053419054</v>
      </c>
      <c r="FA27" s="108">
        <v>18500.89</v>
      </c>
      <c r="FB27" s="108">
        <v>16460.16</v>
      </c>
      <c r="FC27" s="253">
        <f t="shared" si="53"/>
        <v>0.88969557680738609</v>
      </c>
      <c r="FD27" s="108">
        <v>16741.91</v>
      </c>
      <c r="FE27" s="108">
        <v>16453.78</v>
      </c>
      <c r="FF27" s="253">
        <f t="shared" si="54"/>
        <v>0.98278989673221273</v>
      </c>
      <c r="FG27" s="108">
        <v>21115.53</v>
      </c>
      <c r="FH27" s="108">
        <v>17525.13</v>
      </c>
      <c r="FI27" s="253">
        <f t="shared" si="55"/>
        <v>0.82996401226964234</v>
      </c>
      <c r="FJ27" s="108">
        <v>45953.88</v>
      </c>
      <c r="FK27" s="108">
        <v>27213.43</v>
      </c>
      <c r="FL27" s="253">
        <f t="shared" si="56"/>
        <v>0.5921900392306374</v>
      </c>
      <c r="FM27" s="108">
        <v>61533.19</v>
      </c>
      <c r="FN27" s="108">
        <v>35382.29</v>
      </c>
      <c r="FO27" s="253">
        <f t="shared" si="57"/>
        <v>0.57501146941999914</v>
      </c>
      <c r="FP27" s="108">
        <v>31658</v>
      </c>
      <c r="FQ27" s="108">
        <v>16949.77</v>
      </c>
      <c r="FR27" s="253">
        <f t="shared" si="58"/>
        <v>0.53540242592709586</v>
      </c>
      <c r="FS27" s="108">
        <v>21752.76</v>
      </c>
      <c r="FT27" s="108">
        <v>16081.8</v>
      </c>
      <c r="FU27" s="253">
        <f t="shared" si="59"/>
        <v>0.73929928891782015</v>
      </c>
      <c r="FV27" s="108">
        <v>20620.48</v>
      </c>
      <c r="FW27" s="108">
        <v>13744.2</v>
      </c>
      <c r="FX27" s="253">
        <f t="shared" si="60"/>
        <v>0.66653152593926046</v>
      </c>
      <c r="FY27" s="108">
        <v>13457.29</v>
      </c>
      <c r="FZ27" s="108">
        <v>15699</v>
      </c>
      <c r="GA27" s="253">
        <f t="shared" si="61"/>
        <v>1.1665796010935336</v>
      </c>
      <c r="GB27" s="108">
        <v>24296.43</v>
      </c>
      <c r="GC27" s="108">
        <v>19443.16</v>
      </c>
      <c r="GD27" s="253">
        <f t="shared" si="62"/>
        <v>0.80024760839349651</v>
      </c>
      <c r="GE27" s="108">
        <v>28903.71</v>
      </c>
      <c r="GF27" s="108">
        <v>24202.19</v>
      </c>
      <c r="GG27" s="253">
        <f t="shared" si="63"/>
        <v>0.83733852851415957</v>
      </c>
      <c r="GH27" s="108">
        <v>48582.12</v>
      </c>
      <c r="GI27" s="108">
        <v>44578.18</v>
      </c>
      <c r="GJ27" s="253">
        <f t="shared" si="64"/>
        <v>0.91758408237433853</v>
      </c>
      <c r="GK27" s="108">
        <v>42751.360000000001</v>
      </c>
      <c r="GL27" s="108">
        <v>22968.07</v>
      </c>
      <c r="GM27" s="253">
        <f t="shared" si="65"/>
        <v>0.53724770393269361</v>
      </c>
      <c r="GN27" s="108">
        <v>18595.75</v>
      </c>
      <c r="GO27" s="108">
        <v>17383.400000000001</v>
      </c>
      <c r="GP27" s="253">
        <f t="shared" si="66"/>
        <v>0.93480499576516152</v>
      </c>
      <c r="GQ27" s="108">
        <v>21221.67</v>
      </c>
      <c r="GR27" s="108">
        <v>17697.73</v>
      </c>
      <c r="GS27" s="253">
        <f t="shared" si="67"/>
        <v>0.83394615032652952</v>
      </c>
      <c r="GT27" s="108">
        <v>20631.86</v>
      </c>
      <c r="GU27" s="108">
        <v>14087.14</v>
      </c>
      <c r="GV27" s="253">
        <f t="shared" si="68"/>
        <v>0.68278574980636741</v>
      </c>
      <c r="GW27" s="108">
        <v>25265.15</v>
      </c>
      <c r="GX27" s="108">
        <v>18198.38</v>
      </c>
      <c r="GY27" s="253">
        <f t="shared" si="69"/>
        <v>0.7202957433460716</v>
      </c>
      <c r="GZ27" s="108">
        <v>25265.15</v>
      </c>
      <c r="HA27" s="108">
        <v>28820.21</v>
      </c>
      <c r="HB27" s="253">
        <f t="shared" si="70"/>
        <v>1.1407100294278878</v>
      </c>
      <c r="HC27" s="108">
        <v>57913.81</v>
      </c>
      <c r="HD27" s="108">
        <v>30496.84</v>
      </c>
      <c r="HE27" s="253">
        <f t="shared" si="71"/>
        <v>0.52659011727945371</v>
      </c>
      <c r="HF27" s="108">
        <v>31070.42</v>
      </c>
      <c r="HG27" s="108">
        <v>28652.720000000001</v>
      </c>
      <c r="HH27" s="253">
        <f t="shared" si="72"/>
        <v>0.92218643970696257</v>
      </c>
      <c r="HI27" s="108">
        <v>26192.75</v>
      </c>
      <c r="HJ27" s="108">
        <v>25824.09</v>
      </c>
      <c r="HK27" s="253">
        <f t="shared" si="73"/>
        <v>0.98592511286520124</v>
      </c>
      <c r="HL27" s="108">
        <v>14230.56</v>
      </c>
      <c r="HM27" s="108">
        <v>19631.75</v>
      </c>
      <c r="HN27" s="253">
        <f t="shared" si="74"/>
        <v>1.3795486614722119</v>
      </c>
      <c r="HO27" s="108">
        <v>11132.83</v>
      </c>
      <c r="HP27" s="108">
        <v>13488.03</v>
      </c>
      <c r="HQ27" s="253">
        <f t="shared" si="75"/>
        <v>1.2115544744687561</v>
      </c>
      <c r="HR27" s="108">
        <v>15581.31</v>
      </c>
      <c r="HS27" s="108">
        <v>17846.25</v>
      </c>
      <c r="HT27" s="253">
        <f t="shared" si="76"/>
        <v>1.1453626171355298</v>
      </c>
      <c r="HU27" s="108">
        <v>17231.830000000002</v>
      </c>
      <c r="HV27" s="108">
        <v>24324.2</v>
      </c>
      <c r="HW27" s="253">
        <f t="shared" si="77"/>
        <v>1.4115854207011094</v>
      </c>
      <c r="HX27" s="108">
        <v>24537.68</v>
      </c>
      <c r="HY27" s="108">
        <v>38648.01</v>
      </c>
      <c r="HZ27" s="253">
        <f t="shared" si="78"/>
        <v>1.5750474372475312</v>
      </c>
      <c r="IA27" s="108">
        <v>10246.719999999999</v>
      </c>
      <c r="IB27" s="108">
        <v>20826.810000000001</v>
      </c>
      <c r="IC27" s="253">
        <f t="shared" si="79"/>
        <v>2.032534313419319</v>
      </c>
      <c r="ID27" s="353"/>
      <c r="IE27" s="353"/>
      <c r="IF27" s="353"/>
      <c r="IG27" s="353"/>
      <c r="IH27" s="353"/>
      <c r="II27" s="353"/>
      <c r="IJ27" s="353"/>
      <c r="IK27" s="353"/>
      <c r="IL27" s="353"/>
      <c r="IM27" s="353"/>
      <c r="IN27" s="353"/>
      <c r="IO27" s="353"/>
      <c r="IP27" s="353"/>
      <c r="IQ27" s="311">
        <f t="shared" si="80"/>
        <v>540892.92000000004</v>
      </c>
      <c r="IR27" s="311">
        <f t="shared" si="81"/>
        <v>468765.12000000011</v>
      </c>
      <c r="IS27" s="310">
        <f t="shared" si="5"/>
        <v>-72127.79999999993</v>
      </c>
      <c r="IT27" s="313">
        <f t="shared" si="6"/>
        <v>0.86665050080522421</v>
      </c>
      <c r="IU27" s="317">
        <f t="shared" si="82"/>
        <v>139977.38</v>
      </c>
      <c r="IV27" s="317">
        <f t="shared" si="83"/>
        <v>168415.05</v>
      </c>
      <c r="IW27" s="316">
        <f t="shared" si="84"/>
        <v>28437.669999999984</v>
      </c>
      <c r="IX27" s="320">
        <f t="shared" si="85"/>
        <v>1.2031590389818696</v>
      </c>
      <c r="IZ27" s="244"/>
      <c r="JA27" s="402"/>
      <c r="JB27" s="342"/>
    </row>
    <row r="28" spans="3:262">
      <c r="C28" s="340" t="s">
        <v>33</v>
      </c>
      <c r="D28" s="108">
        <v>12647.64</v>
      </c>
      <c r="E28" s="108">
        <v>1848.6</v>
      </c>
      <c r="F28" s="243">
        <f t="shared" si="7"/>
        <v>0.14616165545508886</v>
      </c>
      <c r="G28" s="108">
        <v>11499.81</v>
      </c>
      <c r="H28" s="108">
        <v>11986.58</v>
      </c>
      <c r="I28" s="243">
        <f t="shared" si="8"/>
        <v>1.0423285254278114</v>
      </c>
      <c r="J28" s="108">
        <v>13828.5</v>
      </c>
      <c r="K28" s="108">
        <v>7809.31</v>
      </c>
      <c r="L28" s="243">
        <f t="shared" si="9"/>
        <v>0.56472574755034899</v>
      </c>
      <c r="M28" s="108">
        <v>11164.03</v>
      </c>
      <c r="N28" s="108">
        <v>10073.77</v>
      </c>
      <c r="O28" s="243">
        <f t="shared" si="10"/>
        <v>0.90234171710394906</v>
      </c>
      <c r="P28" s="108">
        <v>11198.45</v>
      </c>
      <c r="Q28" s="108">
        <v>7347.11</v>
      </c>
      <c r="R28" s="243">
        <f t="shared" si="11"/>
        <v>0.6560827614535939</v>
      </c>
      <c r="S28" s="108">
        <v>11099.08</v>
      </c>
      <c r="T28" s="108">
        <v>11843.83</v>
      </c>
      <c r="U28" s="243">
        <f t="shared" si="12"/>
        <v>1.0671001560489699</v>
      </c>
      <c r="V28" s="108">
        <v>15781.43</v>
      </c>
      <c r="W28" s="108">
        <v>7051.16</v>
      </c>
      <c r="X28" s="243">
        <f t="shared" si="13"/>
        <v>0.44680108203122276</v>
      </c>
      <c r="Y28" s="108">
        <v>12488.07</v>
      </c>
      <c r="Z28" s="108">
        <v>1874.21</v>
      </c>
      <c r="AA28" s="243">
        <f t="shared" si="14"/>
        <v>0.15008003638672751</v>
      </c>
      <c r="AB28" s="108">
        <v>11647.56</v>
      </c>
      <c r="AC28" s="108">
        <v>7719.24</v>
      </c>
      <c r="AD28" s="243">
        <f t="shared" si="15"/>
        <v>0.66273451263612293</v>
      </c>
      <c r="AE28" s="108">
        <v>9650.6299999999992</v>
      </c>
      <c r="AF28" s="108">
        <v>6977.17</v>
      </c>
      <c r="AG28" s="243">
        <f t="shared" si="16"/>
        <v>0.72297559848424409</v>
      </c>
      <c r="AH28" s="108">
        <v>15399.2</v>
      </c>
      <c r="AI28" s="108">
        <v>6419.02</v>
      </c>
      <c r="AJ28" s="243">
        <f t="shared" si="17"/>
        <v>0.41684113460439504</v>
      </c>
      <c r="AK28" s="108">
        <v>18228.78</v>
      </c>
      <c r="AL28" s="108">
        <v>6106.71</v>
      </c>
      <c r="AM28" s="243">
        <f t="shared" si="18"/>
        <v>0.33500376876565519</v>
      </c>
      <c r="AN28" s="108">
        <v>12345.01</v>
      </c>
      <c r="AO28" s="108">
        <v>10668.29</v>
      </c>
      <c r="AP28" s="253">
        <f t="shared" si="19"/>
        <v>0.8641783198231513</v>
      </c>
      <c r="AQ28" s="108">
        <v>19752.310000000001</v>
      </c>
      <c r="AR28" s="108">
        <v>10220.280000000001</v>
      </c>
      <c r="AS28" s="253">
        <f t="shared" si="20"/>
        <v>0.51742201291899526</v>
      </c>
      <c r="AT28" s="108">
        <v>11538.45</v>
      </c>
      <c r="AU28" s="108">
        <v>3072.74</v>
      </c>
      <c r="AV28" s="253">
        <f t="shared" si="21"/>
        <v>0.26630439963773295</v>
      </c>
      <c r="AW28" s="108">
        <v>6978.23</v>
      </c>
      <c r="AX28" s="108">
        <v>10338.23</v>
      </c>
      <c r="AY28" s="253">
        <f t="shared" si="22"/>
        <v>1.4814974570915547</v>
      </c>
      <c r="AZ28" s="108">
        <v>6835.86</v>
      </c>
      <c r="BA28" s="108">
        <v>7606.7</v>
      </c>
      <c r="BB28" s="253">
        <f t="shared" si="23"/>
        <v>1.1127641584233732</v>
      </c>
      <c r="BC28" s="108">
        <v>8170.27</v>
      </c>
      <c r="BD28" s="108">
        <v>9487.19</v>
      </c>
      <c r="BE28" s="253">
        <f t="shared" si="24"/>
        <v>1.1611843917030893</v>
      </c>
      <c r="BF28" s="108">
        <v>7557.76</v>
      </c>
      <c r="BG28" s="108">
        <v>7888.56</v>
      </c>
      <c r="BH28" s="253">
        <f t="shared" si="25"/>
        <v>1.0437695825218054</v>
      </c>
      <c r="BI28" s="108">
        <v>7929.85</v>
      </c>
      <c r="BJ28" s="108">
        <v>7406.55</v>
      </c>
      <c r="BK28" s="253">
        <f t="shared" si="26"/>
        <v>0.93400884001588935</v>
      </c>
      <c r="BL28" s="108">
        <v>17234.189999999999</v>
      </c>
      <c r="BM28" s="108">
        <v>7737.13</v>
      </c>
      <c r="BN28" s="253">
        <f t="shared" si="27"/>
        <v>0.44894073930947731</v>
      </c>
      <c r="BO28" s="108">
        <v>10148.540000000001</v>
      </c>
      <c r="BP28" s="108">
        <v>2392.1999999999998</v>
      </c>
      <c r="BQ28" s="253">
        <f t="shared" si="28"/>
        <v>0.23571863538991811</v>
      </c>
      <c r="BR28" s="108">
        <v>6640.48</v>
      </c>
      <c r="BS28" s="108">
        <v>6724.06</v>
      </c>
      <c r="BT28" s="253">
        <f t="shared" si="29"/>
        <v>1.0125864395344917</v>
      </c>
      <c r="BU28" s="108">
        <v>7336.28</v>
      </c>
      <c r="BV28" s="108">
        <v>7990.94</v>
      </c>
      <c r="BW28" s="253">
        <f t="shared" si="30"/>
        <v>1.0892359615499954</v>
      </c>
      <c r="BX28" s="108">
        <v>7020.31</v>
      </c>
      <c r="BY28" s="108">
        <v>8596.34</v>
      </c>
      <c r="BZ28" s="253">
        <f t="shared" si="31"/>
        <v>1.2244957843741942</v>
      </c>
      <c r="CA28" s="88">
        <v>5592.87</v>
      </c>
      <c r="CB28" s="108">
        <v>6666.17</v>
      </c>
      <c r="CC28" s="253">
        <f t="shared" si="32"/>
        <v>1.1919050505375595</v>
      </c>
      <c r="CD28" s="108">
        <v>15157.85</v>
      </c>
      <c r="CE28" s="108">
        <v>11423.63</v>
      </c>
      <c r="CF28" s="253">
        <f t="shared" si="33"/>
        <v>0.75364448124239247</v>
      </c>
      <c r="CG28" s="108">
        <v>14152.46</v>
      </c>
      <c r="CH28" s="108">
        <v>11514.97</v>
      </c>
      <c r="CI28" s="253">
        <f t="shared" si="34"/>
        <v>0.8136373464401242</v>
      </c>
      <c r="CJ28" s="108">
        <v>9719.2000000000007</v>
      </c>
      <c r="CK28" s="108">
        <v>1935.91</v>
      </c>
      <c r="CL28" s="253">
        <f t="shared" si="35"/>
        <v>0.19918408922545064</v>
      </c>
      <c r="CM28" s="108">
        <v>11716.03</v>
      </c>
      <c r="CN28" s="108">
        <v>7866.7</v>
      </c>
      <c r="CO28" s="253">
        <f t="shared" si="36"/>
        <v>0.67144758079315259</v>
      </c>
      <c r="CP28" s="108">
        <v>11080.66</v>
      </c>
      <c r="CQ28" s="108">
        <v>9406.56</v>
      </c>
      <c r="CR28" s="253">
        <f t="shared" si="37"/>
        <v>0.8489169417706165</v>
      </c>
      <c r="CS28" s="108">
        <v>6398.09</v>
      </c>
      <c r="CT28" s="108">
        <v>4923.42</v>
      </c>
      <c r="CU28" s="253">
        <f t="shared" si="38"/>
        <v>0.76951402684238579</v>
      </c>
      <c r="CV28" s="108">
        <v>8919.56</v>
      </c>
      <c r="CW28" s="108">
        <v>6483.37</v>
      </c>
      <c r="CX28" s="253">
        <f t="shared" si="39"/>
        <v>0.72687105641982341</v>
      </c>
      <c r="CY28" s="108">
        <v>9480.56</v>
      </c>
      <c r="CZ28" s="108">
        <v>9550.6</v>
      </c>
      <c r="DA28" s="253">
        <f t="shared" si="40"/>
        <v>1.0073877492468801</v>
      </c>
      <c r="DB28" s="108">
        <v>28646.77</v>
      </c>
      <c r="DC28" s="108">
        <v>6111.41</v>
      </c>
      <c r="DD28" s="253">
        <f t="shared" si="41"/>
        <v>0.21333679154752874</v>
      </c>
      <c r="DE28" s="108">
        <v>27027.63</v>
      </c>
      <c r="DF28" s="108">
        <v>3759.97</v>
      </c>
      <c r="DG28" s="253">
        <f t="shared" si="42"/>
        <v>0.13911578632680704</v>
      </c>
      <c r="DH28" s="108">
        <v>12831.41</v>
      </c>
      <c r="DI28" s="108">
        <v>9338.76</v>
      </c>
      <c r="DJ28" s="253">
        <f t="shared" si="43"/>
        <v>0.72780466059458782</v>
      </c>
      <c r="DK28" s="108">
        <v>14102.53</v>
      </c>
      <c r="DL28" s="108">
        <v>8374.17</v>
      </c>
      <c r="DM28" s="253">
        <f t="shared" si="0"/>
        <v>0.59380621774958109</v>
      </c>
      <c r="DN28" s="108">
        <v>23571.88</v>
      </c>
      <c r="DO28" s="108">
        <v>6450.06</v>
      </c>
      <c r="DP28" s="253">
        <f t="shared" si="1"/>
        <v>0.27363366859155908</v>
      </c>
      <c r="DQ28" s="108">
        <v>35273.879999999997</v>
      </c>
      <c r="DR28" s="108">
        <v>7584.48</v>
      </c>
      <c r="DS28" s="253">
        <f t="shared" si="2"/>
        <v>0.21501689068511884</v>
      </c>
      <c r="DT28" s="108">
        <v>30560.02</v>
      </c>
      <c r="DU28" s="108">
        <v>11401.13</v>
      </c>
      <c r="DV28" s="253">
        <f t="shared" si="3"/>
        <v>0.37307338149647806</v>
      </c>
      <c r="DW28" s="108">
        <v>21379.74</v>
      </c>
      <c r="DX28" s="108">
        <v>22256.59</v>
      </c>
      <c r="DY28" s="253">
        <f t="shared" si="4"/>
        <v>1.0410131273813432</v>
      </c>
      <c r="DZ28" s="108">
        <v>24919.279999999999</v>
      </c>
      <c r="EA28" s="108">
        <v>9834.02</v>
      </c>
      <c r="EB28" s="253">
        <f t="shared" si="44"/>
        <v>0.39463499747986303</v>
      </c>
      <c r="EC28" s="108">
        <v>14413.31</v>
      </c>
      <c r="ED28" s="108">
        <v>7645.55</v>
      </c>
      <c r="EE28" s="253">
        <f t="shared" si="45"/>
        <v>0.53045067371755694</v>
      </c>
      <c r="EF28" s="108">
        <v>6122.39</v>
      </c>
      <c r="EG28" s="108">
        <v>7122.21</v>
      </c>
      <c r="EH28" s="253">
        <f t="shared" si="46"/>
        <v>1.1633055065097127</v>
      </c>
      <c r="EI28" s="108">
        <v>8746.57</v>
      </c>
      <c r="EJ28" s="108">
        <v>6036.77</v>
      </c>
      <c r="EK28" s="253">
        <f t="shared" si="47"/>
        <v>0.69018712478148581</v>
      </c>
      <c r="EL28" s="108">
        <v>8483.67</v>
      </c>
      <c r="EM28" s="108">
        <v>7377.07</v>
      </c>
      <c r="EN28" s="253">
        <f t="shared" si="48"/>
        <v>0.86956116869232303</v>
      </c>
      <c r="EO28" s="108">
        <v>17902.11</v>
      </c>
      <c r="EP28" s="108">
        <v>7606.7</v>
      </c>
      <c r="EQ28" s="253">
        <f t="shared" si="49"/>
        <v>0.4249052206695188</v>
      </c>
      <c r="ER28" s="108">
        <v>16894.93</v>
      </c>
      <c r="ES28" s="108">
        <v>9487.19</v>
      </c>
      <c r="ET28" s="253">
        <f t="shared" si="50"/>
        <v>0.56154065154457578</v>
      </c>
      <c r="EU28" s="108">
        <v>15815.03</v>
      </c>
      <c r="EV28" s="108">
        <v>7850.8</v>
      </c>
      <c r="EW28" s="253">
        <f t="shared" si="51"/>
        <v>0.49641385441570457</v>
      </c>
      <c r="EX28" s="108">
        <v>7576.93</v>
      </c>
      <c r="EY28" s="108">
        <v>6625.69</v>
      </c>
      <c r="EZ28" s="253">
        <f t="shared" si="52"/>
        <v>0.87445574922824931</v>
      </c>
      <c r="FA28" s="108">
        <v>12858.53</v>
      </c>
      <c r="FB28" s="108">
        <v>4409.03</v>
      </c>
      <c r="FC28" s="253">
        <f t="shared" si="53"/>
        <v>0.34288756179749935</v>
      </c>
      <c r="FD28" s="108">
        <v>10872.66</v>
      </c>
      <c r="FE28" s="108">
        <v>4657.1899999999996</v>
      </c>
      <c r="FF28" s="253">
        <f t="shared" si="54"/>
        <v>0.42833952317096274</v>
      </c>
      <c r="FG28" s="108">
        <v>14732.79</v>
      </c>
      <c r="FH28" s="108">
        <v>5950.23</v>
      </c>
      <c r="FI28" s="253">
        <f t="shared" si="55"/>
        <v>0.40387665879986068</v>
      </c>
      <c r="FJ28" s="108">
        <v>20899.53</v>
      </c>
      <c r="FK28" s="108">
        <v>7461.46</v>
      </c>
      <c r="FL28" s="253">
        <f t="shared" si="56"/>
        <v>0.35701568408476175</v>
      </c>
      <c r="FM28" s="108">
        <v>21514.53</v>
      </c>
      <c r="FN28" s="108">
        <v>12306.07</v>
      </c>
      <c r="FO28" s="253">
        <f t="shared" si="57"/>
        <v>0.57198879083112675</v>
      </c>
      <c r="FP28" s="108">
        <v>17202.55</v>
      </c>
      <c r="FQ28" s="108">
        <v>8485.75</v>
      </c>
      <c r="FR28" s="253">
        <f t="shared" si="58"/>
        <v>0.49328442585546911</v>
      </c>
      <c r="FS28" s="108">
        <v>10849.61</v>
      </c>
      <c r="FT28" s="108">
        <v>12382.74</v>
      </c>
      <c r="FU28" s="253">
        <f t="shared" si="59"/>
        <v>1.1413073833990346</v>
      </c>
      <c r="FV28" s="108">
        <v>14018.15</v>
      </c>
      <c r="FW28" s="108">
        <v>6801</v>
      </c>
      <c r="FX28" s="253">
        <f t="shared" si="60"/>
        <v>0.48515674322217983</v>
      </c>
      <c r="FY28" s="108">
        <v>10860.54</v>
      </c>
      <c r="FZ28" s="108">
        <v>7084.75</v>
      </c>
      <c r="GA28" s="253">
        <f t="shared" si="61"/>
        <v>0.65233864982772494</v>
      </c>
      <c r="GB28" s="108">
        <v>15638.68</v>
      </c>
      <c r="GC28" s="108">
        <v>9874.58</v>
      </c>
      <c r="GD28" s="253">
        <f t="shared" si="62"/>
        <v>0.63142029889990714</v>
      </c>
      <c r="GE28" s="108">
        <v>15329.86</v>
      </c>
      <c r="GF28" s="108">
        <v>9265.02</v>
      </c>
      <c r="GG28" s="253">
        <f t="shared" si="63"/>
        <v>0.60437733938861804</v>
      </c>
      <c r="GH28" s="108">
        <v>22315.09</v>
      </c>
      <c r="GI28" s="108">
        <v>12866.01</v>
      </c>
      <c r="GJ28" s="253">
        <f t="shared" si="64"/>
        <v>0.57656097286634289</v>
      </c>
      <c r="GK28" s="108">
        <v>26722.28</v>
      </c>
      <c r="GL28" s="108">
        <v>8468.91</v>
      </c>
      <c r="GM28" s="253">
        <f t="shared" si="65"/>
        <v>0.31692318170455513</v>
      </c>
      <c r="GN28" s="108">
        <v>8452.59</v>
      </c>
      <c r="GO28" s="108">
        <v>8935.5300000000007</v>
      </c>
      <c r="GP28" s="253">
        <f t="shared" si="66"/>
        <v>1.0571351502912125</v>
      </c>
      <c r="GQ28" s="108">
        <v>13637.42</v>
      </c>
      <c r="GR28" s="108">
        <v>4141.04</v>
      </c>
      <c r="GS28" s="253">
        <f t="shared" si="67"/>
        <v>0.30365274370078799</v>
      </c>
      <c r="GT28" s="108">
        <v>13395.24</v>
      </c>
      <c r="GU28" s="108">
        <v>11266.41</v>
      </c>
      <c r="GV28" s="253">
        <f t="shared" si="68"/>
        <v>0.84107563582287437</v>
      </c>
      <c r="GW28" s="108">
        <v>11669.3</v>
      </c>
      <c r="GX28" s="108">
        <v>4702.22</v>
      </c>
      <c r="GY28" s="253">
        <f t="shared" si="69"/>
        <v>0.40295647553837854</v>
      </c>
      <c r="GZ28" s="108">
        <v>11669.3</v>
      </c>
      <c r="HA28" s="108">
        <v>11887.53</v>
      </c>
      <c r="HB28" s="253">
        <f t="shared" si="70"/>
        <v>1.018701207441749</v>
      </c>
      <c r="HC28" s="108">
        <v>26245.78</v>
      </c>
      <c r="HD28" s="108">
        <v>16777.349999999999</v>
      </c>
      <c r="HE28" s="253">
        <f t="shared" si="71"/>
        <v>0.63923990828239818</v>
      </c>
      <c r="HF28" s="108">
        <v>20394.689999999999</v>
      </c>
      <c r="HG28" s="108">
        <v>10022.64</v>
      </c>
      <c r="HH28" s="253">
        <f t="shared" si="72"/>
        <v>0.49143379968021089</v>
      </c>
      <c r="HI28" s="108">
        <v>10710.11</v>
      </c>
      <c r="HJ28" s="108">
        <v>7800.82</v>
      </c>
      <c r="HK28" s="253">
        <f t="shared" si="73"/>
        <v>0.72836039965976063</v>
      </c>
      <c r="HL28" s="108">
        <v>8235.0300000000007</v>
      </c>
      <c r="HM28" s="108">
        <v>7008.97</v>
      </c>
      <c r="HN28" s="253">
        <f t="shared" si="74"/>
        <v>0.85111651080809658</v>
      </c>
      <c r="HO28" s="108">
        <v>5078.13</v>
      </c>
      <c r="HP28" s="108">
        <v>9283.57</v>
      </c>
      <c r="HQ28" s="253">
        <f t="shared" si="75"/>
        <v>1.828147369208744</v>
      </c>
      <c r="HR28" s="108">
        <v>3682.26</v>
      </c>
      <c r="HS28" s="108">
        <v>5346.92</v>
      </c>
      <c r="HT28" s="253">
        <f t="shared" si="76"/>
        <v>1.4520756274679136</v>
      </c>
      <c r="HU28" s="108">
        <v>5627</v>
      </c>
      <c r="HV28" s="108">
        <v>10508.49</v>
      </c>
      <c r="HW28" s="253">
        <f t="shared" si="77"/>
        <v>1.8675119957348498</v>
      </c>
      <c r="HX28" s="108">
        <v>5023.54</v>
      </c>
      <c r="HY28" s="108">
        <v>17454.79</v>
      </c>
      <c r="HZ28" s="253">
        <f t="shared" si="78"/>
        <v>3.4745995851530993</v>
      </c>
      <c r="IA28" s="108">
        <v>5697.8</v>
      </c>
      <c r="IB28" s="108">
        <v>9265.1200000000008</v>
      </c>
      <c r="IC28" s="253">
        <f t="shared" si="79"/>
        <v>1.6260872617501492</v>
      </c>
      <c r="ID28" s="353"/>
      <c r="IE28" s="353"/>
      <c r="IF28" s="353"/>
      <c r="IG28" s="353"/>
      <c r="IH28" s="353"/>
      <c r="II28" s="353"/>
      <c r="IJ28" s="353"/>
      <c r="IK28" s="353"/>
      <c r="IL28" s="353"/>
      <c r="IM28" s="353"/>
      <c r="IN28" s="353"/>
      <c r="IO28" s="353"/>
      <c r="IP28" s="353"/>
      <c r="IQ28" s="311">
        <f t="shared" si="80"/>
        <v>276757.14999999997</v>
      </c>
      <c r="IR28" s="311">
        <f t="shared" si="81"/>
        <v>200365.04</v>
      </c>
      <c r="IS28" s="310">
        <f t="shared" si="5"/>
        <v>-76392.109999999957</v>
      </c>
      <c r="IT28" s="313">
        <f t="shared" si="6"/>
        <v>0.72397421349367141</v>
      </c>
      <c r="IU28" s="317">
        <f t="shared" si="82"/>
        <v>58750.76</v>
      </c>
      <c r="IV28" s="317">
        <f t="shared" si="83"/>
        <v>67426.2</v>
      </c>
      <c r="IW28" s="316">
        <f t="shared" si="84"/>
        <v>8675.4399999999951</v>
      </c>
      <c r="IX28" s="320">
        <f t="shared" si="85"/>
        <v>1.1476651536082256</v>
      </c>
      <c r="IZ28" s="244"/>
      <c r="JA28" s="402"/>
      <c r="JB28" s="342"/>
    </row>
    <row r="29" spans="3:262">
      <c r="C29" s="340" t="s">
        <v>34</v>
      </c>
      <c r="D29" s="108">
        <v>4953.5600000000004</v>
      </c>
      <c r="E29" s="108">
        <v>2220.6999999999998</v>
      </c>
      <c r="F29" s="243">
        <f t="shared" si="7"/>
        <v>0.4483038461227884</v>
      </c>
      <c r="G29" s="108">
        <v>1779.55</v>
      </c>
      <c r="H29" s="108">
        <v>1279.6400000000001</v>
      </c>
      <c r="I29" s="243">
        <f t="shared" si="8"/>
        <v>0.71908066646062219</v>
      </c>
      <c r="J29" s="108">
        <v>2751.81</v>
      </c>
      <c r="K29" s="108">
        <v>1390.74</v>
      </c>
      <c r="L29" s="243">
        <f t="shared" si="9"/>
        <v>0.50539099719820779</v>
      </c>
      <c r="M29" s="108">
        <v>1799.6</v>
      </c>
      <c r="N29">
        <v>583.85</v>
      </c>
      <c r="O29" s="243">
        <f t="shared" si="10"/>
        <v>0.32443320737941767</v>
      </c>
      <c r="P29" s="108">
        <v>1774.58</v>
      </c>
      <c r="Q29">
        <v>651.92999999999995</v>
      </c>
      <c r="R29" s="243">
        <f t="shared" si="11"/>
        <v>0.36737143436756864</v>
      </c>
      <c r="S29" s="108">
        <v>6876.97</v>
      </c>
      <c r="T29" s="108">
        <v>1217.28</v>
      </c>
      <c r="U29" s="243">
        <f t="shared" si="12"/>
        <v>0.17700818819916328</v>
      </c>
      <c r="V29" s="108">
        <v>2829.43</v>
      </c>
      <c r="W29" s="108">
        <v>2862.66</v>
      </c>
      <c r="X29" s="243">
        <f t="shared" si="13"/>
        <v>1.011744414952835</v>
      </c>
      <c r="Y29" s="108">
        <v>9974.36</v>
      </c>
      <c r="Z29" s="108">
        <v>3278.3</v>
      </c>
      <c r="AA29" s="243">
        <f t="shared" si="14"/>
        <v>0.32867271684599314</v>
      </c>
      <c r="AB29" s="108">
        <v>2069.9699999999998</v>
      </c>
      <c r="AC29" s="108">
        <v>1830.53</v>
      </c>
      <c r="AD29" s="243">
        <f t="shared" si="15"/>
        <v>0.88432682599264734</v>
      </c>
      <c r="AE29">
        <v>820.3</v>
      </c>
      <c r="AF29" s="108">
        <v>1774.19</v>
      </c>
      <c r="AG29" s="243">
        <f t="shared" si="16"/>
        <v>2.1628550530293795</v>
      </c>
      <c r="AH29" s="108">
        <v>1393.73</v>
      </c>
      <c r="AI29">
        <v>379.19</v>
      </c>
      <c r="AJ29" s="243">
        <f t="shared" si="17"/>
        <v>0.27206847811269042</v>
      </c>
      <c r="AK29" s="108">
        <v>2980.09</v>
      </c>
      <c r="AL29" s="108">
        <v>2390.08</v>
      </c>
      <c r="AM29" s="243">
        <f t="shared" si="18"/>
        <v>0.80201604649524005</v>
      </c>
      <c r="AN29" s="108">
        <v>3812.62</v>
      </c>
      <c r="AO29" s="108">
        <v>1636.97</v>
      </c>
      <c r="AP29" s="253">
        <f t="shared" si="19"/>
        <v>0.42935566618231036</v>
      </c>
      <c r="AQ29" s="108">
        <v>6021.77</v>
      </c>
      <c r="AR29" s="108">
        <v>2143.6999999999998</v>
      </c>
      <c r="AS29" s="253">
        <f t="shared" si="20"/>
        <v>0.35599167686577199</v>
      </c>
      <c r="AT29" s="108">
        <v>5272.77</v>
      </c>
      <c r="AU29" s="108">
        <v>1669.75</v>
      </c>
      <c r="AV29" s="253">
        <f t="shared" si="21"/>
        <v>0.31667415798527149</v>
      </c>
      <c r="AW29" s="108">
        <v>2685.4</v>
      </c>
      <c r="AX29">
        <v>926.85</v>
      </c>
      <c r="AY29" s="253">
        <f t="shared" si="22"/>
        <v>0.3451441126089223</v>
      </c>
      <c r="AZ29" s="108">
        <v>1981.64</v>
      </c>
      <c r="BA29" s="108">
        <v>1092.7</v>
      </c>
      <c r="BB29" s="253">
        <f t="shared" si="23"/>
        <v>0.55141196180941043</v>
      </c>
      <c r="BC29" s="108">
        <v>6371.11</v>
      </c>
      <c r="BD29" s="108">
        <v>3172.23</v>
      </c>
      <c r="BE29" s="253">
        <f t="shared" si="24"/>
        <v>0.49790852771338123</v>
      </c>
      <c r="BF29">
        <v>137.12</v>
      </c>
      <c r="BG29" s="108">
        <v>1409.8</v>
      </c>
      <c r="BH29" s="253">
        <f t="shared" si="25"/>
        <v>10.281505250875146</v>
      </c>
      <c r="BI29" s="108">
        <v>1589.24</v>
      </c>
      <c r="BJ29" s="108">
        <v>1095.79</v>
      </c>
      <c r="BK29" s="253">
        <f t="shared" si="26"/>
        <v>0.68950567566887311</v>
      </c>
      <c r="BL29" s="108">
        <v>1961.65</v>
      </c>
      <c r="BM29" s="108">
        <v>3246.06</v>
      </c>
      <c r="BN29" s="253">
        <f t="shared" si="27"/>
        <v>1.6547600234496469</v>
      </c>
      <c r="BO29" s="108">
        <v>5970.61</v>
      </c>
      <c r="BP29">
        <v>570.13</v>
      </c>
      <c r="BQ29" s="253">
        <f t="shared" si="28"/>
        <v>9.5489405605122424E-2</v>
      </c>
      <c r="BR29" s="108">
        <v>1897.08</v>
      </c>
      <c r="BS29">
        <v>655.15</v>
      </c>
      <c r="BT29" s="253">
        <f t="shared" si="29"/>
        <v>0.34534653256583803</v>
      </c>
      <c r="BU29" s="108">
        <v>2456.12</v>
      </c>
      <c r="BV29" s="108">
        <v>1292.74</v>
      </c>
      <c r="BW29" s="253">
        <f t="shared" si="30"/>
        <v>0.5263342181978079</v>
      </c>
      <c r="BX29" s="108">
        <v>2628.01</v>
      </c>
      <c r="BY29" s="108">
        <v>1563.15</v>
      </c>
      <c r="BZ29" s="253">
        <f t="shared" si="31"/>
        <v>0.59480367274097135</v>
      </c>
      <c r="CA29" s="88">
        <v>5617.52</v>
      </c>
      <c r="CB29">
        <v>702.63</v>
      </c>
      <c r="CC29" s="253">
        <f t="shared" si="32"/>
        <v>0.12507832637890029</v>
      </c>
      <c r="CD29" s="108">
        <v>2012.8</v>
      </c>
      <c r="CE29" s="108">
        <v>2272.0300000000002</v>
      </c>
      <c r="CF29" s="253">
        <f t="shared" si="33"/>
        <v>1.1287907392686807</v>
      </c>
      <c r="CG29" s="108">
        <v>4527</v>
      </c>
      <c r="CH29" s="108">
        <v>2562.83</v>
      </c>
      <c r="CI29" s="253">
        <f t="shared" si="34"/>
        <v>0.56612105146896397</v>
      </c>
      <c r="CJ29" s="108">
        <v>4282.42</v>
      </c>
      <c r="CK29" s="108">
        <v>3697.11</v>
      </c>
      <c r="CL29" s="253">
        <f t="shared" si="35"/>
        <v>0.86332260731081956</v>
      </c>
      <c r="CM29" s="108">
        <v>4225.3900000000003</v>
      </c>
      <c r="CN29" s="108">
        <v>2865.34</v>
      </c>
      <c r="CO29" s="253">
        <f t="shared" si="36"/>
        <v>0.67812438615133752</v>
      </c>
      <c r="CP29" s="108">
        <v>2490.64</v>
      </c>
      <c r="CQ29" s="108">
        <v>995.8</v>
      </c>
      <c r="CR29" s="253">
        <f t="shared" si="37"/>
        <v>0.39981691452799278</v>
      </c>
      <c r="CS29" s="108">
        <v>1695.32</v>
      </c>
      <c r="CT29">
        <v>517.88</v>
      </c>
      <c r="CU29" s="253">
        <f t="shared" si="38"/>
        <v>0.3054762522709577</v>
      </c>
      <c r="CV29">
        <v>598.39</v>
      </c>
      <c r="CW29" s="108">
        <v>2052.62</v>
      </c>
      <c r="CX29" s="253">
        <f t="shared" si="39"/>
        <v>3.4302378047761493</v>
      </c>
      <c r="CY29" s="108">
        <v>2332.87</v>
      </c>
      <c r="CZ29" s="108">
        <v>2716.41</v>
      </c>
      <c r="DA29" s="253">
        <f t="shared" si="40"/>
        <v>1.1644069322336863</v>
      </c>
      <c r="DB29" s="108">
        <v>16469.41</v>
      </c>
      <c r="DC29" s="108">
        <v>1683.67</v>
      </c>
      <c r="DD29" s="253">
        <f t="shared" si="41"/>
        <v>0.10223013453426687</v>
      </c>
      <c r="DE29" s="108">
        <v>15867.41</v>
      </c>
      <c r="DF29" s="108">
        <v>3329.19</v>
      </c>
      <c r="DG29" s="253">
        <f t="shared" si="42"/>
        <v>0.20981306968181954</v>
      </c>
      <c r="DH29" s="108">
        <v>5900.68</v>
      </c>
      <c r="DI29" s="108">
        <v>2589.65</v>
      </c>
      <c r="DJ29" s="253">
        <f t="shared" si="43"/>
        <v>0.43887314682375589</v>
      </c>
      <c r="DK29" s="108">
        <v>7943.47</v>
      </c>
      <c r="DL29" s="108">
        <v>1006.31</v>
      </c>
      <c r="DM29" s="253">
        <f t="shared" si="0"/>
        <v>0.12668393032264236</v>
      </c>
      <c r="DN29" s="108">
        <v>9535.84</v>
      </c>
      <c r="DO29" s="108">
        <v>1611.32</v>
      </c>
      <c r="DP29" s="253">
        <f t="shared" si="1"/>
        <v>0.168975150589775</v>
      </c>
      <c r="DQ29" s="108">
        <v>24626.76</v>
      </c>
      <c r="DR29" s="108">
        <v>1900.22</v>
      </c>
      <c r="DS29" s="253">
        <f t="shared" si="2"/>
        <v>7.7160779574739033E-2</v>
      </c>
      <c r="DT29" s="108">
        <v>11086.15</v>
      </c>
      <c r="DU29" s="108">
        <v>1898.19</v>
      </c>
      <c r="DV29" s="253">
        <f t="shared" si="3"/>
        <v>0.17122174966061257</v>
      </c>
      <c r="DW29" s="108">
        <v>16737.439999999999</v>
      </c>
      <c r="DX29" s="108">
        <v>6665.84</v>
      </c>
      <c r="DY29" s="253">
        <f t="shared" si="4"/>
        <v>0.39825923199724694</v>
      </c>
      <c r="DZ29" s="108">
        <v>21035.96</v>
      </c>
      <c r="EA29" s="108">
        <v>2686.79</v>
      </c>
      <c r="EB29" s="253">
        <f t="shared" si="44"/>
        <v>0.1277236693737771</v>
      </c>
      <c r="EC29" s="108">
        <v>10777.94</v>
      </c>
      <c r="ED29">
        <v>776.27</v>
      </c>
      <c r="EE29" s="253">
        <f t="shared" si="45"/>
        <v>7.2023967474303993E-2</v>
      </c>
      <c r="EF29" s="108">
        <v>1482.47</v>
      </c>
      <c r="EG29" s="108">
        <v>1059.81</v>
      </c>
      <c r="EH29" s="253">
        <f t="shared" si="46"/>
        <v>0.71489473648707891</v>
      </c>
      <c r="EI29" s="108">
        <v>26771.3</v>
      </c>
      <c r="EJ29">
        <v>551.73</v>
      </c>
      <c r="EK29" s="253">
        <f t="shared" si="47"/>
        <v>2.060901039546081E-2</v>
      </c>
      <c r="EL29" s="108">
        <v>4930.54</v>
      </c>
      <c r="EM29">
        <v>689.27</v>
      </c>
      <c r="EN29" s="253">
        <f t="shared" si="48"/>
        <v>0.13979604668048529</v>
      </c>
      <c r="EO29" s="108">
        <v>5003.46</v>
      </c>
      <c r="EP29" s="108">
        <v>1092.7</v>
      </c>
      <c r="EQ29" s="253">
        <f t="shared" si="49"/>
        <v>0.2183888748985702</v>
      </c>
      <c r="ER29" s="108">
        <v>5296.48</v>
      </c>
      <c r="ES29" s="108">
        <v>3172.23</v>
      </c>
      <c r="ET29" s="253">
        <f t="shared" si="50"/>
        <v>0.59893174334652455</v>
      </c>
      <c r="EU29" s="108">
        <v>8013.62</v>
      </c>
      <c r="EV29" s="108">
        <v>2172.75</v>
      </c>
      <c r="EW29" s="253">
        <f t="shared" si="51"/>
        <v>0.27113214751884918</v>
      </c>
      <c r="EX29" s="108">
        <v>1357.61</v>
      </c>
      <c r="EY29" s="108">
        <v>1482.72</v>
      </c>
      <c r="EZ29" s="253">
        <f t="shared" si="52"/>
        <v>1.0921545952077549</v>
      </c>
      <c r="FA29" s="108">
        <v>2489.37</v>
      </c>
      <c r="FB29" s="108">
        <v>1107.6300000000001</v>
      </c>
      <c r="FC29" s="253">
        <f t="shared" si="53"/>
        <v>0.44494390146904644</v>
      </c>
      <c r="FD29" s="108">
        <v>1520.71</v>
      </c>
      <c r="FE29" s="108">
        <v>2418.69</v>
      </c>
      <c r="FF29" s="253">
        <f t="shared" si="54"/>
        <v>1.5905004899027428</v>
      </c>
      <c r="FG29" s="108">
        <v>2703.35</v>
      </c>
      <c r="FH29">
        <v>864.7</v>
      </c>
      <c r="FI29" s="253">
        <f t="shared" si="55"/>
        <v>0.31986239295688684</v>
      </c>
      <c r="FJ29" s="108">
        <v>5246.22</v>
      </c>
      <c r="FL29" s="253">
        <f t="shared" si="56"/>
        <v>0</v>
      </c>
      <c r="FM29" s="108">
        <v>6402.81</v>
      </c>
      <c r="FO29" s="253">
        <f t="shared" si="57"/>
        <v>0</v>
      </c>
      <c r="FP29" s="108">
        <v>5964.75</v>
      </c>
      <c r="FR29" s="253">
        <f t="shared" si="58"/>
        <v>0</v>
      </c>
      <c r="FS29" s="108">
        <v>1610.64</v>
      </c>
      <c r="FU29" s="253">
        <f t="shared" si="59"/>
        <v>0</v>
      </c>
      <c r="FV29" s="108">
        <v>2896.32</v>
      </c>
      <c r="FX29" s="253">
        <f t="shared" si="60"/>
        <v>0</v>
      </c>
      <c r="FY29" s="108">
        <v>14304.11</v>
      </c>
      <c r="GA29" s="253">
        <f t="shared" si="61"/>
        <v>0</v>
      </c>
      <c r="GB29" s="108">
        <v>7371.34</v>
      </c>
      <c r="GD29" s="253">
        <f t="shared" si="62"/>
        <v>0</v>
      </c>
      <c r="GE29" s="108">
        <v>7200.41</v>
      </c>
      <c r="GG29" s="253">
        <f t="shared" si="63"/>
        <v>0</v>
      </c>
      <c r="GH29" s="108">
        <v>10174.99</v>
      </c>
      <c r="GJ29" s="253">
        <f t="shared" si="64"/>
        <v>0</v>
      </c>
      <c r="GK29" s="108">
        <v>15241.57</v>
      </c>
      <c r="GM29" s="253">
        <f t="shared" si="65"/>
        <v>0</v>
      </c>
      <c r="GN29" s="108">
        <v>4469.57</v>
      </c>
      <c r="GP29" s="253">
        <f t="shared" si="66"/>
        <v>0</v>
      </c>
      <c r="GQ29" s="108">
        <v>3452.31</v>
      </c>
      <c r="GS29" s="253">
        <f t="shared" si="67"/>
        <v>0</v>
      </c>
      <c r="GT29" s="108">
        <v>2608.9</v>
      </c>
      <c r="GV29" s="253">
        <f t="shared" si="68"/>
        <v>0</v>
      </c>
      <c r="GW29" s="108">
        <v>5704.9</v>
      </c>
      <c r="GY29" s="253">
        <f t="shared" si="69"/>
        <v>0</v>
      </c>
      <c r="GZ29" s="108">
        <v>5704.9</v>
      </c>
      <c r="HB29" s="253">
        <f t="shared" si="70"/>
        <v>0</v>
      </c>
      <c r="HC29" s="108">
        <v>8935.75</v>
      </c>
      <c r="HE29" s="253">
        <f t="shared" si="71"/>
        <v>0</v>
      </c>
      <c r="HF29" s="108">
        <v>9151.14</v>
      </c>
      <c r="HH29" s="253">
        <f t="shared" si="72"/>
        <v>0</v>
      </c>
      <c r="HI29" s="108">
        <v>5610.42</v>
      </c>
      <c r="HK29" s="253">
        <f t="shared" si="73"/>
        <v>0</v>
      </c>
      <c r="HL29">
        <v>527.86</v>
      </c>
      <c r="HN29" s="253">
        <f t="shared" si="74"/>
        <v>0</v>
      </c>
      <c r="HO29" s="108">
        <v>1386.43</v>
      </c>
      <c r="HQ29" s="253">
        <f t="shared" si="75"/>
        <v>0</v>
      </c>
      <c r="HR29">
        <v>964.68</v>
      </c>
      <c r="HT29" s="253">
        <f t="shared" si="76"/>
        <v>0</v>
      </c>
      <c r="HU29" s="108">
        <v>1389.18</v>
      </c>
      <c r="HV29" s="108">
        <v>2445.64</v>
      </c>
      <c r="HW29" s="253">
        <f t="shared" si="77"/>
        <v>1.7604918009185273</v>
      </c>
      <c r="HX29" s="108">
        <v>1119.8900000000001</v>
      </c>
      <c r="HY29" s="108">
        <v>5949.02</v>
      </c>
      <c r="HZ29" s="253">
        <f t="shared" si="78"/>
        <v>5.3121467286965682</v>
      </c>
      <c r="IA29" s="108">
        <v>1278.6500000000001</v>
      </c>
      <c r="IB29" s="108">
        <v>3486.41</v>
      </c>
      <c r="IC29" s="253">
        <f t="shared" si="79"/>
        <v>2.7266335588315798</v>
      </c>
      <c r="ID29" s="353"/>
      <c r="IE29" s="353"/>
      <c r="IF29" s="353"/>
      <c r="IG29" s="353"/>
      <c r="IH29" s="353"/>
      <c r="II29" s="353"/>
      <c r="IJ29" s="353"/>
      <c r="IK29" s="353"/>
      <c r="IL29" s="353"/>
      <c r="IM29" s="353"/>
      <c r="IN29" s="353"/>
      <c r="IO29" s="353"/>
      <c r="IP29" s="353"/>
      <c r="IQ29" s="311">
        <f t="shared" si="80"/>
        <v>115790.05999999995</v>
      </c>
      <c r="IR29" s="311">
        <f t="shared" si="81"/>
        <v>8394.66</v>
      </c>
      <c r="IS29" s="310">
        <f t="shared" si="5"/>
        <v>-107395.39999999995</v>
      </c>
      <c r="IT29" s="313">
        <f t="shared" si="6"/>
        <v>7.2498969255219342E-2</v>
      </c>
      <c r="IU29" s="317">
        <f t="shared" si="82"/>
        <v>20149.599999999999</v>
      </c>
      <c r="IV29" s="317">
        <f t="shared" si="83"/>
        <v>8394.66</v>
      </c>
      <c r="IW29" s="316">
        <f t="shared" si="84"/>
        <v>-11754.939999999999</v>
      </c>
      <c r="IX29" s="320">
        <f t="shared" si="85"/>
        <v>0.41661670703140513</v>
      </c>
      <c r="IZ29" s="244"/>
      <c r="JA29" s="402"/>
      <c r="JB29" s="342"/>
    </row>
    <row r="30" spans="3:262">
      <c r="C30" s="340" t="s">
        <v>35</v>
      </c>
      <c r="D30" s="108">
        <v>6991.03</v>
      </c>
      <c r="E30" s="108">
        <v>2850.29</v>
      </c>
      <c r="F30" s="243">
        <f t="shared" si="7"/>
        <v>0.40770673277042152</v>
      </c>
      <c r="G30" s="108">
        <v>4565.17</v>
      </c>
      <c r="H30" s="108">
        <v>2266.56</v>
      </c>
      <c r="I30" s="243">
        <f t="shared" si="8"/>
        <v>0.4964897254647691</v>
      </c>
      <c r="J30" s="108">
        <v>5098.41</v>
      </c>
      <c r="K30" s="108">
        <v>2270.63</v>
      </c>
      <c r="L30" s="243">
        <f t="shared" si="9"/>
        <v>0.44536041628664624</v>
      </c>
      <c r="M30" s="108">
        <v>5676.16</v>
      </c>
      <c r="N30" s="108">
        <v>4579</v>
      </c>
      <c r="O30" s="243">
        <f t="shared" si="10"/>
        <v>0.80670735144886685</v>
      </c>
      <c r="P30" s="108">
        <v>4263.17</v>
      </c>
      <c r="Q30" s="108">
        <v>6232.2</v>
      </c>
      <c r="R30" s="243">
        <f t="shared" si="11"/>
        <v>1.4618699230854035</v>
      </c>
      <c r="S30" s="108">
        <v>3429.85</v>
      </c>
      <c r="T30" s="108">
        <v>2597.12</v>
      </c>
      <c r="U30" s="243">
        <f t="shared" si="12"/>
        <v>0.75721095674737959</v>
      </c>
      <c r="V30" s="108">
        <v>6301.42</v>
      </c>
      <c r="W30" s="108">
        <v>3281.9</v>
      </c>
      <c r="X30" s="243">
        <f t="shared" si="13"/>
        <v>0.52081911696093897</v>
      </c>
      <c r="Y30" s="108">
        <v>8004.65</v>
      </c>
      <c r="Z30" s="108">
        <v>3489.73</v>
      </c>
      <c r="AA30" s="243">
        <f t="shared" si="14"/>
        <v>0.43596284659541645</v>
      </c>
      <c r="AB30" s="108">
        <v>3819.77</v>
      </c>
      <c r="AC30" s="108">
        <v>2111.12</v>
      </c>
      <c r="AD30" s="243">
        <f t="shared" si="15"/>
        <v>0.55268249135419145</v>
      </c>
      <c r="AE30" s="108">
        <v>5938.81</v>
      </c>
      <c r="AF30" s="108">
        <v>1888.7</v>
      </c>
      <c r="AG30" s="243">
        <f t="shared" si="16"/>
        <v>0.31802667537772716</v>
      </c>
      <c r="AH30" s="108">
        <v>5683.68</v>
      </c>
      <c r="AI30" s="108">
        <v>2275.66</v>
      </c>
      <c r="AJ30" s="243">
        <f t="shared" si="17"/>
        <v>0.40038496185569905</v>
      </c>
      <c r="AK30" s="108">
        <v>3824.45</v>
      </c>
      <c r="AL30" s="108">
        <v>2464.37</v>
      </c>
      <c r="AM30" s="243">
        <f t="shared" si="18"/>
        <v>0.6443723934160468</v>
      </c>
      <c r="AN30" s="108">
        <v>4371.76</v>
      </c>
      <c r="AO30" s="108">
        <v>3773.18</v>
      </c>
      <c r="AP30" s="253">
        <f t="shared" si="19"/>
        <v>0.86308031547934916</v>
      </c>
      <c r="AQ30" s="108">
        <v>7941.9</v>
      </c>
      <c r="AR30" s="108">
        <v>4837.0200000000004</v>
      </c>
      <c r="AS30" s="253">
        <f t="shared" si="20"/>
        <v>0.60905073093340389</v>
      </c>
      <c r="AT30" s="108">
        <v>8551.7099999999991</v>
      </c>
      <c r="AU30" s="108">
        <v>3762.67</v>
      </c>
      <c r="AV30" s="253">
        <f t="shared" si="21"/>
        <v>0.4399903645001994</v>
      </c>
      <c r="AW30" s="108">
        <v>4279.07</v>
      </c>
      <c r="AX30" s="108">
        <v>1188.94</v>
      </c>
      <c r="AY30" s="253">
        <f t="shared" si="22"/>
        <v>0.27785009359510365</v>
      </c>
      <c r="AZ30" s="108">
        <v>3544.92</v>
      </c>
      <c r="BA30" s="108">
        <v>2067.59</v>
      </c>
      <c r="BB30" s="253">
        <f t="shared" si="23"/>
        <v>0.58325434706566015</v>
      </c>
      <c r="BC30" s="108">
        <v>2657.54</v>
      </c>
      <c r="BD30" s="108">
        <v>1348.63</v>
      </c>
      <c r="BE30" s="253">
        <f t="shared" si="24"/>
        <v>0.50747307660467955</v>
      </c>
      <c r="BF30" s="108">
        <v>4794.54</v>
      </c>
      <c r="BG30">
        <v>754.06</v>
      </c>
      <c r="BH30" s="253">
        <f t="shared" si="25"/>
        <v>0.15727473334251044</v>
      </c>
      <c r="BI30" s="108">
        <v>3882.73</v>
      </c>
      <c r="BJ30" s="108">
        <v>3640.81</v>
      </c>
      <c r="BK30" s="253">
        <f t="shared" si="26"/>
        <v>0.93769332402716643</v>
      </c>
      <c r="BL30" s="108">
        <v>7904.53</v>
      </c>
      <c r="BM30" s="108">
        <v>1839.69</v>
      </c>
      <c r="BN30" s="253">
        <f t="shared" si="27"/>
        <v>0.23273869540630501</v>
      </c>
      <c r="BO30" s="108">
        <v>6796.36</v>
      </c>
      <c r="BP30" s="108">
        <v>3687.84</v>
      </c>
      <c r="BQ30" s="253">
        <f t="shared" si="28"/>
        <v>0.54261987299083636</v>
      </c>
      <c r="BR30" s="108">
        <v>3910.53</v>
      </c>
      <c r="BS30" s="108">
        <v>2054.5100000000002</v>
      </c>
      <c r="BT30" s="253">
        <f t="shared" si="29"/>
        <v>0.52537891283278737</v>
      </c>
      <c r="BU30" s="108">
        <v>3715.93</v>
      </c>
      <c r="BV30" s="108">
        <v>3079.66</v>
      </c>
      <c r="BW30" s="253">
        <f t="shared" si="30"/>
        <v>0.82877233962964858</v>
      </c>
      <c r="BX30" s="108">
        <v>4245.04</v>
      </c>
      <c r="BY30" s="108">
        <v>1347.74</v>
      </c>
      <c r="BZ30" s="253">
        <f t="shared" si="31"/>
        <v>0.31748581874375742</v>
      </c>
      <c r="CA30" s="88">
        <v>8721.4</v>
      </c>
      <c r="CB30" s="108">
        <v>4158.16</v>
      </c>
      <c r="CC30" s="253">
        <f t="shared" si="32"/>
        <v>0.47677666429701654</v>
      </c>
      <c r="CD30" s="108">
        <v>4939.76</v>
      </c>
      <c r="CE30" s="108">
        <v>6205.26</v>
      </c>
      <c r="CF30" s="253">
        <f t="shared" si="33"/>
        <v>1.2561865353782369</v>
      </c>
      <c r="CG30" s="108">
        <v>7981.11</v>
      </c>
      <c r="CH30" s="108">
        <v>3745.47</v>
      </c>
      <c r="CI30" s="253">
        <f t="shared" si="34"/>
        <v>0.4692918654172164</v>
      </c>
      <c r="CJ30" s="108">
        <v>6323.18</v>
      </c>
      <c r="CK30" s="108">
        <v>3032.15</v>
      </c>
      <c r="CL30" s="253">
        <f t="shared" si="35"/>
        <v>0.47952928747876861</v>
      </c>
      <c r="CM30" s="108">
        <v>10423.200000000001</v>
      </c>
      <c r="CN30" s="108">
        <v>3397.19</v>
      </c>
      <c r="CO30" s="253">
        <f t="shared" si="36"/>
        <v>0.32592581932611864</v>
      </c>
      <c r="CP30" s="108">
        <v>3805.95</v>
      </c>
      <c r="CQ30" s="108">
        <v>1630.75</v>
      </c>
      <c r="CR30" s="253">
        <f t="shared" si="37"/>
        <v>0.42847383701835284</v>
      </c>
      <c r="CS30" s="108">
        <v>3788.12</v>
      </c>
      <c r="CT30" s="108">
        <v>1793.6</v>
      </c>
      <c r="CU30" s="253">
        <f t="shared" si="38"/>
        <v>0.4734802487777578</v>
      </c>
      <c r="CV30" s="108">
        <v>3310.23</v>
      </c>
      <c r="CW30" s="108">
        <v>1302.19</v>
      </c>
      <c r="CX30" s="253">
        <f t="shared" si="39"/>
        <v>0.39338354132492304</v>
      </c>
      <c r="CY30" s="108">
        <v>5005.68</v>
      </c>
      <c r="CZ30" s="108">
        <v>3020.63</v>
      </c>
      <c r="DA30" s="253">
        <f t="shared" si="40"/>
        <v>0.60344049160154067</v>
      </c>
      <c r="DB30" s="108">
        <v>19800.75</v>
      </c>
      <c r="DC30" s="108">
        <v>5340.54</v>
      </c>
      <c r="DD30" s="253">
        <f t="shared" si="41"/>
        <v>0.26971402598386424</v>
      </c>
      <c r="DE30" s="108">
        <v>18256.68</v>
      </c>
      <c r="DF30" s="108">
        <v>3747.78</v>
      </c>
      <c r="DG30" s="253">
        <f t="shared" si="42"/>
        <v>0.20528266913809085</v>
      </c>
      <c r="DH30" s="108">
        <v>16444.47</v>
      </c>
      <c r="DI30" s="108">
        <v>2843.45</v>
      </c>
      <c r="DJ30" s="253">
        <f t="shared" si="43"/>
        <v>0.17291223128504596</v>
      </c>
      <c r="DK30" s="108">
        <v>15195.2</v>
      </c>
      <c r="DL30" s="108">
        <v>2730.66</v>
      </c>
      <c r="DM30" s="253">
        <f t="shared" si="0"/>
        <v>0.17970543329472463</v>
      </c>
      <c r="DN30" s="108">
        <v>20780.89</v>
      </c>
      <c r="DO30" s="108">
        <v>4257.03</v>
      </c>
      <c r="DP30" s="253">
        <f t="shared" si="1"/>
        <v>0.20485311264339495</v>
      </c>
      <c r="DQ30" s="108">
        <v>23275.62</v>
      </c>
      <c r="DR30" s="108">
        <v>2605.39</v>
      </c>
      <c r="DS30" s="253">
        <f t="shared" si="2"/>
        <v>0.11193643821303149</v>
      </c>
      <c r="DT30" s="108">
        <v>24805.98</v>
      </c>
      <c r="DU30" s="108">
        <v>4444.2700000000004</v>
      </c>
      <c r="DV30" s="253">
        <f t="shared" si="3"/>
        <v>0.17916123450877572</v>
      </c>
      <c r="DW30" s="108">
        <v>21367.86</v>
      </c>
      <c r="DX30" s="108">
        <v>7263.89</v>
      </c>
      <c r="DY30" s="253">
        <f t="shared" si="4"/>
        <v>0.3399446645569561</v>
      </c>
      <c r="DZ30" s="108">
        <v>25133.31</v>
      </c>
      <c r="EA30" s="108">
        <v>7794.98</v>
      </c>
      <c r="EB30" s="253">
        <f t="shared" si="44"/>
        <v>0.31014538077157361</v>
      </c>
      <c r="EC30" s="108">
        <v>13741.15</v>
      </c>
      <c r="ED30" s="108">
        <v>2047.08</v>
      </c>
      <c r="EE30" s="253">
        <f t="shared" si="45"/>
        <v>0.14897443081547032</v>
      </c>
      <c r="EF30" s="108">
        <v>3043.82</v>
      </c>
      <c r="EG30" s="108">
        <v>3084.52</v>
      </c>
      <c r="EH30" s="253">
        <f t="shared" si="46"/>
        <v>1.0133713557306279</v>
      </c>
      <c r="EI30" s="108">
        <v>8155.2</v>
      </c>
      <c r="EJ30">
        <v>666.89</v>
      </c>
      <c r="EK30" s="253">
        <f t="shared" si="47"/>
        <v>8.1774818520698456E-2</v>
      </c>
      <c r="EL30" s="108">
        <v>6899.44</v>
      </c>
      <c r="EM30" s="108">
        <v>1094.78</v>
      </c>
      <c r="EN30" s="253">
        <f t="shared" si="48"/>
        <v>0.15867664622056282</v>
      </c>
      <c r="EO30" s="108">
        <v>7072.21</v>
      </c>
      <c r="EP30" s="108">
        <v>2067.59</v>
      </c>
      <c r="EQ30" s="253">
        <f t="shared" si="49"/>
        <v>0.29235415803546561</v>
      </c>
      <c r="ER30" s="108">
        <v>7854.09</v>
      </c>
      <c r="ES30" s="108">
        <v>1348.63</v>
      </c>
      <c r="ET30" s="253">
        <f t="shared" si="50"/>
        <v>0.1717105355298959</v>
      </c>
      <c r="EU30" s="108">
        <v>8620.0499999999993</v>
      </c>
      <c r="EV30" s="108">
        <v>2038.33</v>
      </c>
      <c r="EW30" s="253">
        <f t="shared" si="51"/>
        <v>0.23646382561586071</v>
      </c>
      <c r="EX30" s="108">
        <v>5302.2</v>
      </c>
      <c r="EZ30" s="253">
        <f t="shared" si="52"/>
        <v>0</v>
      </c>
      <c r="FA30" s="108">
        <v>5561.62</v>
      </c>
      <c r="FC30" s="253">
        <f t="shared" si="53"/>
        <v>0</v>
      </c>
      <c r="FD30" s="108">
        <v>4570.2299999999996</v>
      </c>
      <c r="FF30" s="253">
        <f t="shared" si="54"/>
        <v>0</v>
      </c>
      <c r="FG30" s="108">
        <v>6550.43</v>
      </c>
      <c r="FI30" s="253">
        <f t="shared" si="55"/>
        <v>0</v>
      </c>
      <c r="FJ30" s="108">
        <v>8246.0300000000007</v>
      </c>
      <c r="FL30" s="253">
        <f t="shared" si="56"/>
        <v>0</v>
      </c>
      <c r="FM30" s="108">
        <v>7080.12</v>
      </c>
      <c r="FO30" s="253">
        <f t="shared" si="57"/>
        <v>0</v>
      </c>
      <c r="FP30" s="108">
        <v>12538.77</v>
      </c>
      <c r="FR30" s="253">
        <f t="shared" si="58"/>
        <v>0</v>
      </c>
      <c r="FS30" s="108">
        <v>4919.96</v>
      </c>
      <c r="FU30" s="253">
        <f t="shared" si="59"/>
        <v>0</v>
      </c>
      <c r="FV30" s="108">
        <v>8216.11</v>
      </c>
      <c r="FX30" s="253">
        <f t="shared" si="60"/>
        <v>0</v>
      </c>
      <c r="FY30" s="108">
        <v>6027.06</v>
      </c>
      <c r="GA30" s="253">
        <f t="shared" si="61"/>
        <v>0</v>
      </c>
      <c r="GB30" s="108">
        <v>10552.94</v>
      </c>
      <c r="GD30" s="253">
        <f t="shared" si="62"/>
        <v>0</v>
      </c>
      <c r="GE30" s="108">
        <v>11636.85</v>
      </c>
      <c r="GG30" s="253">
        <f t="shared" si="63"/>
        <v>0</v>
      </c>
      <c r="GH30" s="108">
        <v>14028.05</v>
      </c>
      <c r="GJ30" s="253">
        <f t="shared" si="64"/>
        <v>0</v>
      </c>
      <c r="GK30" s="108">
        <v>13427.69</v>
      </c>
      <c r="GM30" s="253">
        <f t="shared" si="65"/>
        <v>0</v>
      </c>
      <c r="GN30" s="108">
        <v>10231.049999999999</v>
      </c>
      <c r="GP30" s="253">
        <f t="shared" si="66"/>
        <v>0</v>
      </c>
      <c r="GQ30" s="108">
        <v>9833.56</v>
      </c>
      <c r="GS30" s="253">
        <f t="shared" si="67"/>
        <v>0</v>
      </c>
      <c r="GT30" s="108">
        <v>9722.43</v>
      </c>
      <c r="GV30" s="253">
        <f t="shared" si="68"/>
        <v>0</v>
      </c>
      <c r="GW30" s="108">
        <v>6844.36</v>
      </c>
      <c r="GY30" s="253">
        <f t="shared" si="69"/>
        <v>0</v>
      </c>
      <c r="GZ30" s="108">
        <v>6844.36</v>
      </c>
      <c r="HB30" s="253">
        <f t="shared" si="70"/>
        <v>0</v>
      </c>
      <c r="HC30" s="108">
        <v>17635.86</v>
      </c>
      <c r="HE30" s="253">
        <f t="shared" si="71"/>
        <v>0</v>
      </c>
      <c r="HF30" s="108">
        <v>14317.43</v>
      </c>
      <c r="HH30" s="253">
        <f t="shared" si="72"/>
        <v>0</v>
      </c>
      <c r="HI30" s="108">
        <v>11683.64</v>
      </c>
      <c r="HK30" s="253">
        <f t="shared" si="73"/>
        <v>0</v>
      </c>
      <c r="HL30" s="108">
        <v>10342</v>
      </c>
      <c r="HN30" s="253">
        <f t="shared" si="74"/>
        <v>0</v>
      </c>
      <c r="HO30" s="108">
        <v>1867.99</v>
      </c>
      <c r="HQ30" s="253">
        <f t="shared" si="75"/>
        <v>0</v>
      </c>
      <c r="HR30" s="108">
        <v>1137.03</v>
      </c>
      <c r="HS30" s="108">
        <v>2734.92</v>
      </c>
      <c r="HT30" s="253">
        <f t="shared" si="76"/>
        <v>2.4053191208675235</v>
      </c>
      <c r="HU30" s="108">
        <v>2415.4299999999998</v>
      </c>
      <c r="HV30" s="108">
        <v>4637.21</v>
      </c>
      <c r="HW30" s="253">
        <f t="shared" si="77"/>
        <v>1.9198279395387159</v>
      </c>
      <c r="HX30" s="108">
        <v>3990.88</v>
      </c>
      <c r="HY30" s="108">
        <v>5163.0600000000004</v>
      </c>
      <c r="HZ30" s="253">
        <f t="shared" si="78"/>
        <v>1.2937146694463377</v>
      </c>
      <c r="IA30" s="108">
        <v>5700.12</v>
      </c>
      <c r="IB30" s="108">
        <v>3678.17</v>
      </c>
      <c r="IC30" s="253">
        <f t="shared" si="79"/>
        <v>0.64527939762671671</v>
      </c>
      <c r="ID30" s="353"/>
      <c r="IE30" s="353"/>
      <c r="IF30" s="353"/>
      <c r="IG30" s="353"/>
      <c r="IH30" s="353"/>
      <c r="II30" s="353"/>
      <c r="IJ30" s="353"/>
      <c r="IK30" s="353"/>
      <c r="IL30" s="353"/>
      <c r="IM30" s="353"/>
      <c r="IN30" s="353"/>
      <c r="IO30" s="353"/>
      <c r="IP30" s="353"/>
      <c r="IQ30" s="311">
        <f t="shared" si="80"/>
        <v>188213.44999999998</v>
      </c>
      <c r="IR30" s="311">
        <f t="shared" si="81"/>
        <v>12535.19</v>
      </c>
      <c r="IS30" s="310">
        <f t="shared" si="5"/>
        <v>-175678.25999999998</v>
      </c>
      <c r="IT30" s="313">
        <f t="shared" si="6"/>
        <v>6.6600925704300096E-2</v>
      </c>
      <c r="IU30" s="317">
        <f t="shared" si="82"/>
        <v>45754.399999999994</v>
      </c>
      <c r="IV30" s="317">
        <f t="shared" si="83"/>
        <v>12535.19</v>
      </c>
      <c r="IW30" s="316">
        <f t="shared" si="84"/>
        <v>-33219.209999999992</v>
      </c>
      <c r="IX30" s="320">
        <f t="shared" si="85"/>
        <v>0.27396687531690944</v>
      </c>
      <c r="IZ30" s="244"/>
      <c r="JA30" s="402"/>
      <c r="JB30" s="342"/>
    </row>
    <row r="31" spans="3:262">
      <c r="C31" s="340" t="s">
        <v>36</v>
      </c>
      <c r="D31" s="108">
        <v>7888.15</v>
      </c>
      <c r="E31" s="108">
        <v>6590.8</v>
      </c>
      <c r="F31" s="243">
        <f t="shared" si="7"/>
        <v>0.83553177868067929</v>
      </c>
      <c r="G31" s="108">
        <v>6470.11</v>
      </c>
      <c r="H31" s="108">
        <v>2925.44</v>
      </c>
      <c r="I31" s="243">
        <f t="shared" si="8"/>
        <v>0.45214687230974437</v>
      </c>
      <c r="J31" s="108">
        <v>3107.8</v>
      </c>
      <c r="K31" s="108">
        <v>3570.23</v>
      </c>
      <c r="L31" s="243">
        <f t="shared" si="9"/>
        <v>1.1487965763562649</v>
      </c>
      <c r="M31" s="108">
        <v>3418.54</v>
      </c>
      <c r="N31" s="108">
        <v>2703.7</v>
      </c>
      <c r="O31" s="243">
        <f t="shared" si="10"/>
        <v>0.79089318832015998</v>
      </c>
      <c r="P31" s="108">
        <v>4310.2700000000004</v>
      </c>
      <c r="Q31" s="108">
        <v>2775.42</v>
      </c>
      <c r="R31" s="243">
        <f t="shared" si="11"/>
        <v>0.64390861825361279</v>
      </c>
      <c r="S31" s="108">
        <v>5535.31</v>
      </c>
      <c r="T31">
        <v>708.41</v>
      </c>
      <c r="U31" s="243">
        <f t="shared" si="12"/>
        <v>0.12798018539160408</v>
      </c>
      <c r="V31" s="108">
        <v>9005.65</v>
      </c>
      <c r="X31" s="243">
        <f t="shared" si="13"/>
        <v>0</v>
      </c>
      <c r="Y31" s="108">
        <v>5236.46</v>
      </c>
      <c r="AA31" s="243">
        <f t="shared" si="14"/>
        <v>0</v>
      </c>
      <c r="AB31" s="108">
        <v>2074.44</v>
      </c>
      <c r="AD31" s="243">
        <f t="shared" si="15"/>
        <v>0</v>
      </c>
      <c r="AE31" s="108">
        <v>5460.14</v>
      </c>
      <c r="AF31" s="108">
        <v>2371.6</v>
      </c>
      <c r="AG31" s="243">
        <f t="shared" si="16"/>
        <v>0.43434783723494264</v>
      </c>
      <c r="AH31" s="108">
        <v>2509.52</v>
      </c>
      <c r="AI31" s="108">
        <v>3548.24</v>
      </c>
      <c r="AJ31" s="243">
        <f t="shared" si="17"/>
        <v>1.4139118237750645</v>
      </c>
      <c r="AK31" s="108">
        <v>3497.09</v>
      </c>
      <c r="AL31" s="108">
        <v>2896.64</v>
      </c>
      <c r="AM31" s="243">
        <f t="shared" si="18"/>
        <v>0.8283001009410681</v>
      </c>
      <c r="AN31" s="108">
        <v>9121.5</v>
      </c>
      <c r="AO31" s="108">
        <v>3202.9</v>
      </c>
      <c r="AP31" s="253">
        <f t="shared" si="19"/>
        <v>0.3511374225730417</v>
      </c>
      <c r="AQ31" s="108">
        <v>9494.2199999999993</v>
      </c>
      <c r="AR31" s="108">
        <v>9620.92</v>
      </c>
      <c r="AS31" s="253">
        <f t="shared" si="20"/>
        <v>1.0133449614607626</v>
      </c>
      <c r="AT31" s="108">
        <v>5215.25</v>
      </c>
      <c r="AU31" s="108">
        <v>5402.8</v>
      </c>
      <c r="AV31" s="253">
        <f t="shared" si="21"/>
        <v>1.0359618426729305</v>
      </c>
      <c r="AW31" s="108">
        <v>2420.1999999999998</v>
      </c>
      <c r="AX31" s="108">
        <v>5426.57</v>
      </c>
      <c r="AY31" s="253">
        <f t="shared" si="22"/>
        <v>2.2421989918188578</v>
      </c>
      <c r="AZ31" s="108">
        <v>2034.97</v>
      </c>
      <c r="BA31" s="108">
        <v>2680.02</v>
      </c>
      <c r="BB31" s="253">
        <f t="shared" si="23"/>
        <v>1.3169825599394585</v>
      </c>
      <c r="BC31" s="108">
        <v>1291.7</v>
      </c>
      <c r="BD31" s="108">
        <v>1628.56</v>
      </c>
      <c r="BE31" s="253">
        <f t="shared" si="24"/>
        <v>1.2607881086939692</v>
      </c>
      <c r="BF31" s="108">
        <v>1453.29</v>
      </c>
      <c r="BG31" s="108">
        <v>1537.8</v>
      </c>
      <c r="BH31" s="253">
        <f t="shared" si="25"/>
        <v>1.0581508164234255</v>
      </c>
      <c r="BI31" s="108">
        <v>4313.1000000000004</v>
      </c>
      <c r="BJ31" s="108">
        <v>4808.6400000000003</v>
      </c>
      <c r="BK31" s="253">
        <f t="shared" si="26"/>
        <v>1.1148918411351465</v>
      </c>
      <c r="BL31" s="108">
        <v>11163.51</v>
      </c>
      <c r="BM31" s="108">
        <v>5091.3599999999997</v>
      </c>
      <c r="BN31" s="253">
        <f t="shared" si="27"/>
        <v>0.4560716118855091</v>
      </c>
      <c r="BO31" s="108">
        <v>7645.88</v>
      </c>
      <c r="BP31" s="108">
        <v>4420.5600000000004</v>
      </c>
      <c r="BQ31" s="253">
        <f t="shared" si="28"/>
        <v>0.57816235672022065</v>
      </c>
      <c r="BR31" s="108">
        <v>1800.62</v>
      </c>
      <c r="BS31" s="108">
        <v>1828.72</v>
      </c>
      <c r="BT31" s="253">
        <f t="shared" si="29"/>
        <v>1.0156057358021127</v>
      </c>
      <c r="BU31" s="108">
        <v>2725.54</v>
      </c>
      <c r="BV31" s="108">
        <v>1905.73</v>
      </c>
      <c r="BW31" s="253">
        <f t="shared" si="30"/>
        <v>0.69921189929335104</v>
      </c>
      <c r="BX31" s="108">
        <v>2505.6</v>
      </c>
      <c r="BY31" s="108">
        <v>2024.56</v>
      </c>
      <c r="BZ31" s="253">
        <f t="shared" si="31"/>
        <v>0.80801404853128989</v>
      </c>
      <c r="CA31" s="88">
        <v>3777.39</v>
      </c>
      <c r="CB31" s="108">
        <v>2510.2800000000002</v>
      </c>
      <c r="CC31" s="253">
        <f t="shared" si="32"/>
        <v>0.66455409687641476</v>
      </c>
      <c r="CD31" s="108">
        <v>8741.01</v>
      </c>
      <c r="CE31" s="108">
        <v>2701.23</v>
      </c>
      <c r="CF31" s="253">
        <f t="shared" si="33"/>
        <v>0.30902950574361543</v>
      </c>
      <c r="CG31" s="108">
        <v>9740.66</v>
      </c>
      <c r="CH31" s="108">
        <v>7397.89</v>
      </c>
      <c r="CI31" s="253">
        <f t="shared" si="34"/>
        <v>0.75948549687598177</v>
      </c>
      <c r="CJ31" s="108">
        <v>7428.71</v>
      </c>
      <c r="CK31" s="108">
        <v>3795.28</v>
      </c>
      <c r="CL31" s="253">
        <f t="shared" si="35"/>
        <v>0.51089354679345411</v>
      </c>
      <c r="CM31" s="108">
        <v>9544.5400000000009</v>
      </c>
      <c r="CN31" s="108">
        <v>3736.27</v>
      </c>
      <c r="CO31" s="253">
        <f t="shared" si="36"/>
        <v>0.39145626714330911</v>
      </c>
      <c r="CP31" s="108">
        <v>3422.76</v>
      </c>
      <c r="CQ31" s="108">
        <v>1836.57</v>
      </c>
      <c r="CR31" s="253">
        <f t="shared" si="37"/>
        <v>0.53657574588928225</v>
      </c>
      <c r="CS31" s="108">
        <v>2556.34</v>
      </c>
      <c r="CT31" s="108">
        <v>2764.48</v>
      </c>
      <c r="CU31" s="253">
        <f t="shared" si="38"/>
        <v>1.0814210942206435</v>
      </c>
      <c r="CV31" s="108">
        <v>3959.32</v>
      </c>
      <c r="CW31" s="108">
        <v>2178.4299999999998</v>
      </c>
      <c r="CX31" s="253">
        <f t="shared" si="39"/>
        <v>0.55020306517280737</v>
      </c>
      <c r="CY31" s="108">
        <v>6206.84</v>
      </c>
      <c r="CZ31" s="108">
        <v>3772.04</v>
      </c>
      <c r="DA31" s="253">
        <f t="shared" si="40"/>
        <v>0.60772309258817692</v>
      </c>
      <c r="DB31" s="108">
        <v>25617.19</v>
      </c>
      <c r="DC31" s="108">
        <v>4415.4799999999996</v>
      </c>
      <c r="DD31" s="253">
        <f t="shared" si="41"/>
        <v>0.17236394780223746</v>
      </c>
      <c r="DE31" s="108">
        <v>17112.13</v>
      </c>
      <c r="DF31" s="108">
        <v>6758.26</v>
      </c>
      <c r="DG31" s="253">
        <f t="shared" si="42"/>
        <v>0.39493972988751253</v>
      </c>
      <c r="DH31" s="108">
        <v>7272.19</v>
      </c>
      <c r="DI31" s="108">
        <v>4858.1000000000004</v>
      </c>
      <c r="DJ31" s="253">
        <f t="shared" si="43"/>
        <v>0.66803810131473473</v>
      </c>
      <c r="DK31" s="108">
        <v>11277.94</v>
      </c>
      <c r="DL31" s="108">
        <v>2782.13</v>
      </c>
      <c r="DM31" s="253">
        <f t="shared" si="0"/>
        <v>0.24668778163387994</v>
      </c>
      <c r="DN31" s="108">
        <v>10009.370000000001</v>
      </c>
      <c r="DO31" s="108">
        <v>4165.57</v>
      </c>
      <c r="DP31" s="253">
        <f t="shared" si="1"/>
        <v>0.41616705147276994</v>
      </c>
      <c r="DQ31" s="108">
        <v>24400.54</v>
      </c>
      <c r="DR31" s="108">
        <v>5607.54</v>
      </c>
      <c r="DS31" s="253">
        <f t="shared" si="2"/>
        <v>0.22981212710866233</v>
      </c>
      <c r="DT31" s="108">
        <v>18688.28</v>
      </c>
      <c r="DU31" s="108">
        <v>6830.28</v>
      </c>
      <c r="DV31" s="253">
        <f t="shared" si="3"/>
        <v>0.36548467809771684</v>
      </c>
      <c r="DW31" s="108">
        <v>16155.97</v>
      </c>
      <c r="DX31" s="108">
        <v>11147.6</v>
      </c>
      <c r="DY31" s="253">
        <f t="shared" si="4"/>
        <v>0.68999880539515734</v>
      </c>
      <c r="DZ31" s="108">
        <v>22901.78</v>
      </c>
      <c r="EA31" s="108">
        <v>8940.34</v>
      </c>
      <c r="EB31" s="253">
        <f t="shared" si="44"/>
        <v>0.39037751650745056</v>
      </c>
      <c r="EC31" s="108">
        <v>12165</v>
      </c>
      <c r="ED31" s="108">
        <v>1857.53</v>
      </c>
      <c r="EE31" s="253">
        <f t="shared" si="45"/>
        <v>0.15269461570078094</v>
      </c>
      <c r="EF31" s="108">
        <v>1739.58</v>
      </c>
      <c r="EG31" s="108">
        <v>3070.3</v>
      </c>
      <c r="EH31" s="253">
        <f t="shared" si="46"/>
        <v>1.7649662562227666</v>
      </c>
      <c r="EI31" s="108">
        <v>5935.68</v>
      </c>
      <c r="EJ31" s="108">
        <v>2008.53</v>
      </c>
      <c r="EK31" s="253">
        <f t="shared" si="47"/>
        <v>0.33838245997088789</v>
      </c>
      <c r="EL31" s="108">
        <v>2797.73</v>
      </c>
      <c r="EM31" s="108">
        <v>2152.14</v>
      </c>
      <c r="EN31" s="253">
        <f t="shared" si="48"/>
        <v>0.7692450665360846</v>
      </c>
      <c r="EO31" s="108">
        <v>5530.28</v>
      </c>
      <c r="EP31" s="108">
        <v>2680.02</v>
      </c>
      <c r="EQ31" s="253">
        <f t="shared" si="49"/>
        <v>0.48460837425953118</v>
      </c>
      <c r="ER31" s="108">
        <v>6483.62</v>
      </c>
      <c r="ES31" s="108">
        <v>1628.56</v>
      </c>
      <c r="ET31" s="253">
        <f t="shared" si="50"/>
        <v>0.25118066759001917</v>
      </c>
      <c r="EU31" s="108">
        <v>5615.49</v>
      </c>
      <c r="EV31" s="108">
        <v>4816.8900000000003</v>
      </c>
      <c r="EW31" s="253">
        <f t="shared" si="51"/>
        <v>0.85778623058717951</v>
      </c>
      <c r="EX31">
        <v>856.81</v>
      </c>
      <c r="EY31" s="108">
        <v>1618.2</v>
      </c>
      <c r="EZ31" s="253">
        <f t="shared" si="52"/>
        <v>1.888633419311166</v>
      </c>
      <c r="FA31" s="108">
        <v>4124.53</v>
      </c>
      <c r="FB31" s="108">
        <v>1399.32</v>
      </c>
      <c r="FC31" s="253">
        <f t="shared" si="53"/>
        <v>0.33926774687055256</v>
      </c>
      <c r="FD31" s="108">
        <v>2428.4699999999998</v>
      </c>
      <c r="FE31">
        <v>806.81</v>
      </c>
      <c r="FF31" s="253">
        <f t="shared" si="54"/>
        <v>0.33222975783106234</v>
      </c>
      <c r="FG31" s="108">
        <v>4024.44</v>
      </c>
      <c r="FH31" s="108">
        <v>3319.94</v>
      </c>
      <c r="FI31" s="253">
        <f t="shared" si="55"/>
        <v>0.82494458856387476</v>
      </c>
      <c r="FJ31" s="108">
        <v>6718.5</v>
      </c>
      <c r="FK31" s="108">
        <v>2356.27</v>
      </c>
      <c r="FL31" s="253">
        <f t="shared" si="56"/>
        <v>0.35071370097492</v>
      </c>
      <c r="FM31" s="108">
        <v>14038.1</v>
      </c>
      <c r="FN31" s="108">
        <v>5126.78</v>
      </c>
      <c r="FO31" s="253">
        <f t="shared" si="57"/>
        <v>0.36520469294277713</v>
      </c>
      <c r="FP31" s="108">
        <v>15569.35</v>
      </c>
      <c r="FQ31" s="108">
        <v>2982.26</v>
      </c>
      <c r="FR31" s="253">
        <f t="shared" si="58"/>
        <v>0.19154685327261575</v>
      </c>
      <c r="FS31" s="108">
        <v>5713.05</v>
      </c>
      <c r="FT31" s="108">
        <v>1683.46</v>
      </c>
      <c r="FU31" s="253">
        <f t="shared" si="59"/>
        <v>0.29466922221930492</v>
      </c>
      <c r="FV31" s="108">
        <v>10073.94</v>
      </c>
      <c r="FW31" s="108">
        <v>2790.46</v>
      </c>
      <c r="FX31" s="253">
        <f t="shared" si="60"/>
        <v>0.2769978776923428</v>
      </c>
      <c r="FY31" s="108">
        <v>7114.52</v>
      </c>
      <c r="FZ31" s="108">
        <v>2693.3</v>
      </c>
      <c r="GA31" s="253">
        <f t="shared" si="61"/>
        <v>0.3785638384599383</v>
      </c>
      <c r="GB31" s="108">
        <v>9411.19</v>
      </c>
      <c r="GC31" s="108">
        <v>2298.41</v>
      </c>
      <c r="GD31" s="253">
        <f t="shared" si="62"/>
        <v>0.24422097524330078</v>
      </c>
      <c r="GE31" s="108">
        <v>13370.4</v>
      </c>
      <c r="GF31" s="108">
        <v>4559.8999999999996</v>
      </c>
      <c r="GG31" s="253">
        <f t="shared" si="63"/>
        <v>0.34104439657751451</v>
      </c>
      <c r="GH31" s="108">
        <v>23037.29</v>
      </c>
      <c r="GI31" s="108">
        <v>5474.53</v>
      </c>
      <c r="GJ31" s="253">
        <f t="shared" si="64"/>
        <v>0.23763776034420714</v>
      </c>
      <c r="GK31" s="108">
        <v>15641.21</v>
      </c>
      <c r="GL31" s="108">
        <v>3739.06</v>
      </c>
      <c r="GM31" s="253">
        <f t="shared" si="65"/>
        <v>0.23905183806112187</v>
      </c>
      <c r="GN31" s="108">
        <v>8594.5</v>
      </c>
      <c r="GO31" s="108">
        <v>1155.68</v>
      </c>
      <c r="GP31" s="253">
        <f t="shared" si="66"/>
        <v>0.13446739193670371</v>
      </c>
      <c r="GQ31" s="108">
        <v>6314.53</v>
      </c>
      <c r="GR31" s="108">
        <v>2305.5500000000002</v>
      </c>
      <c r="GS31" s="253">
        <f t="shared" si="67"/>
        <v>0.3651182273264994</v>
      </c>
      <c r="GT31" s="108">
        <v>5931.16</v>
      </c>
      <c r="GV31" s="253">
        <f t="shared" si="68"/>
        <v>0</v>
      </c>
      <c r="GW31" s="108">
        <v>6998.98</v>
      </c>
      <c r="GY31" s="253">
        <f t="shared" si="69"/>
        <v>0</v>
      </c>
      <c r="GZ31" s="108">
        <v>6998.98</v>
      </c>
      <c r="HB31" s="253">
        <f t="shared" si="70"/>
        <v>0</v>
      </c>
      <c r="HC31" s="108">
        <v>16946.5</v>
      </c>
      <c r="HE31" s="253">
        <f t="shared" si="71"/>
        <v>0</v>
      </c>
      <c r="HF31" s="108">
        <v>20483.990000000002</v>
      </c>
      <c r="HH31" s="253">
        <f t="shared" si="72"/>
        <v>0</v>
      </c>
      <c r="HI31" s="108">
        <v>15102.38</v>
      </c>
      <c r="HK31" s="253">
        <f t="shared" si="73"/>
        <v>0</v>
      </c>
      <c r="HL31" s="108">
        <v>5685.2</v>
      </c>
      <c r="HN31" s="253">
        <f t="shared" si="74"/>
        <v>0</v>
      </c>
      <c r="HO31" s="108">
        <v>3067.84</v>
      </c>
      <c r="HQ31" s="253">
        <f t="shared" si="75"/>
        <v>0</v>
      </c>
      <c r="HR31">
        <v>815.69</v>
      </c>
      <c r="HT31" s="253">
        <f t="shared" si="76"/>
        <v>0</v>
      </c>
      <c r="HU31" s="108">
        <v>2377.61</v>
      </c>
      <c r="HV31" s="108">
        <v>5249.1</v>
      </c>
      <c r="HW31" s="253">
        <f t="shared" si="77"/>
        <v>2.2077211990191832</v>
      </c>
      <c r="HX31" s="108">
        <v>3074.91</v>
      </c>
      <c r="HY31" s="108">
        <v>6323.96</v>
      </c>
      <c r="HZ31" s="253">
        <f t="shared" si="78"/>
        <v>2.0566325518470459</v>
      </c>
      <c r="IA31" s="108">
        <v>3182.44</v>
      </c>
      <c r="IB31" s="108">
        <v>7244.03</v>
      </c>
      <c r="IC31" s="253">
        <f t="shared" si="79"/>
        <v>2.2762502985130904</v>
      </c>
      <c r="ID31" s="353"/>
      <c r="IE31" s="353"/>
      <c r="IF31" s="353"/>
      <c r="IG31" s="353"/>
      <c r="IH31" s="353"/>
      <c r="II31" s="353"/>
      <c r="IJ31" s="353"/>
      <c r="IK31" s="353"/>
      <c r="IL31" s="353"/>
      <c r="IM31" s="353"/>
      <c r="IN31" s="353"/>
      <c r="IO31" s="353"/>
      <c r="IP31" s="353"/>
      <c r="IQ31" s="311">
        <f t="shared" si="80"/>
        <v>202323.22</v>
      </c>
      <c r="IR31" s="311">
        <f t="shared" si="81"/>
        <v>41255.67</v>
      </c>
      <c r="IS31" s="310">
        <f t="shared" si="5"/>
        <v>-161067.54999999999</v>
      </c>
      <c r="IT31" s="313">
        <f t="shared" si="6"/>
        <v>0.20390971436694216</v>
      </c>
      <c r="IU31" s="317">
        <f t="shared" si="82"/>
        <v>50607.62000000001</v>
      </c>
      <c r="IV31" s="317">
        <f t="shared" si="83"/>
        <v>11573.060000000001</v>
      </c>
      <c r="IW31" s="316">
        <f t="shared" si="84"/>
        <v>-39034.560000000012</v>
      </c>
      <c r="IX31" s="320">
        <f t="shared" si="85"/>
        <v>0.22868216288377125</v>
      </c>
      <c r="IZ31" s="244"/>
      <c r="JA31" s="402"/>
      <c r="JB31" s="342"/>
    </row>
    <row r="32" spans="3:262">
      <c r="C32" s="341" t="s">
        <v>37</v>
      </c>
      <c r="D32" s="108">
        <v>10832.17</v>
      </c>
      <c r="E32" s="108"/>
      <c r="F32" s="243">
        <f t="shared" si="7"/>
        <v>0</v>
      </c>
      <c r="G32" s="108">
        <v>5454.18</v>
      </c>
      <c r="H32" s="108">
        <v>4662.03</v>
      </c>
      <c r="I32" s="243">
        <f t="shared" si="8"/>
        <v>0.85476276910552995</v>
      </c>
      <c r="J32" s="108">
        <v>7243.96</v>
      </c>
      <c r="K32" s="108">
        <v>4752.07</v>
      </c>
      <c r="L32" s="243">
        <f t="shared" si="9"/>
        <v>0.65600445060436552</v>
      </c>
      <c r="M32" s="108">
        <v>4137.8</v>
      </c>
      <c r="N32" s="108">
        <v>2078.37</v>
      </c>
      <c r="O32" s="243">
        <f t="shared" si="10"/>
        <v>0.50228865580743387</v>
      </c>
      <c r="P32" s="108">
        <v>6986.64</v>
      </c>
      <c r="Q32" s="108">
        <v>3812.61</v>
      </c>
      <c r="R32" s="243">
        <f t="shared" si="11"/>
        <v>0.54570007900793516</v>
      </c>
      <c r="S32" s="108">
        <v>7797.01</v>
      </c>
      <c r="T32" s="108">
        <v>5943.62</v>
      </c>
      <c r="U32" s="243">
        <f t="shared" si="12"/>
        <v>0.76229477710045257</v>
      </c>
      <c r="V32" s="108">
        <v>14762.17</v>
      </c>
      <c r="W32" s="108">
        <v>6801.77</v>
      </c>
      <c r="X32" s="243">
        <f t="shared" si="13"/>
        <v>0.46075678575710755</v>
      </c>
      <c r="Y32" s="108">
        <v>11344.84</v>
      </c>
      <c r="AA32" s="243">
        <f t="shared" si="14"/>
        <v>0</v>
      </c>
      <c r="AB32" s="108">
        <v>2923.2</v>
      </c>
      <c r="AC32" s="108">
        <v>3212.25</v>
      </c>
      <c r="AD32" s="243">
        <f t="shared" si="15"/>
        <v>1.0988813628899836</v>
      </c>
      <c r="AE32" s="108">
        <v>7001.66</v>
      </c>
      <c r="AF32" s="108">
        <v>3138.63</v>
      </c>
      <c r="AG32" s="243">
        <f t="shared" si="16"/>
        <v>0.44826941039696305</v>
      </c>
      <c r="AH32" s="108">
        <v>6547.97</v>
      </c>
      <c r="AI32" s="108">
        <v>3258.99</v>
      </c>
      <c r="AJ32" s="243">
        <f t="shared" si="17"/>
        <v>0.49770997729067173</v>
      </c>
      <c r="AK32" s="108">
        <v>5939.15</v>
      </c>
      <c r="AL32" s="108">
        <v>3779.66</v>
      </c>
      <c r="AM32" s="243">
        <f t="shared" si="18"/>
        <v>0.63639746428360966</v>
      </c>
      <c r="AN32" s="108">
        <v>8771.4699999999993</v>
      </c>
      <c r="AO32" s="108">
        <v>9231.7000000000007</v>
      </c>
      <c r="AP32" s="253">
        <f t="shared" si="19"/>
        <v>1.0524689704234298</v>
      </c>
      <c r="AQ32" s="108">
        <v>12195.27</v>
      </c>
      <c r="AR32" s="108">
        <v>8783.36</v>
      </c>
      <c r="AS32" s="253">
        <f t="shared" si="20"/>
        <v>0.720226776446934</v>
      </c>
      <c r="AT32" s="108">
        <v>13003.23</v>
      </c>
      <c r="AV32" s="253">
        <f t="shared" si="21"/>
        <v>0</v>
      </c>
      <c r="AW32" s="108">
        <v>5618.39</v>
      </c>
      <c r="AX32" s="108">
        <v>3118.27</v>
      </c>
      <c r="AY32" s="253">
        <f t="shared" si="22"/>
        <v>0.55501131106954127</v>
      </c>
      <c r="AZ32" s="108">
        <v>5676.38</v>
      </c>
      <c r="BA32" s="108">
        <v>3528.56</v>
      </c>
      <c r="BB32" s="253">
        <f t="shared" si="23"/>
        <v>0.62162152639534352</v>
      </c>
      <c r="BC32" s="108">
        <v>2348.5</v>
      </c>
      <c r="BD32" s="108">
        <v>3273.32</v>
      </c>
      <c r="BE32" s="253">
        <f t="shared" si="24"/>
        <v>1.3937917819885033</v>
      </c>
      <c r="BF32" s="108">
        <v>2606.75</v>
      </c>
      <c r="BG32" s="108">
        <v>3521.43</v>
      </c>
      <c r="BH32" s="253">
        <f t="shared" si="25"/>
        <v>1.3508890380742302</v>
      </c>
      <c r="BI32" s="108">
        <v>6843.34</v>
      </c>
      <c r="BJ32" s="108">
        <v>6345.71</v>
      </c>
      <c r="BK32" s="253">
        <f t="shared" si="26"/>
        <v>0.92728258423518339</v>
      </c>
      <c r="BL32" s="108">
        <v>15072.88</v>
      </c>
      <c r="BM32" s="108">
        <v>13060.93</v>
      </c>
      <c r="BN32" s="253">
        <f t="shared" si="27"/>
        <v>0.86651854191103495</v>
      </c>
      <c r="BO32" s="108">
        <v>11785.27</v>
      </c>
      <c r="BQ32" s="253">
        <f t="shared" si="28"/>
        <v>0</v>
      </c>
      <c r="BR32" s="108">
        <v>3104.28</v>
      </c>
      <c r="BS32" s="108">
        <v>6535.3</v>
      </c>
      <c r="BT32" s="253">
        <f t="shared" si="29"/>
        <v>2.105254680634479</v>
      </c>
      <c r="BU32" s="108">
        <v>3864.85</v>
      </c>
      <c r="BV32" s="108">
        <v>5087.91</v>
      </c>
      <c r="BW32" s="253">
        <f t="shared" si="30"/>
        <v>1.3164573010595495</v>
      </c>
      <c r="BX32" s="108">
        <v>6084</v>
      </c>
      <c r="BY32" s="108">
        <v>2154.79</v>
      </c>
      <c r="BZ32" s="253">
        <f t="shared" si="31"/>
        <v>0.35417324128862587</v>
      </c>
      <c r="CA32" s="88">
        <v>4877.75</v>
      </c>
      <c r="CB32" s="108">
        <v>5526.33</v>
      </c>
      <c r="CC32" s="253">
        <f t="shared" si="32"/>
        <v>1.1329670442314592</v>
      </c>
      <c r="CD32" s="108">
        <v>8062.99</v>
      </c>
      <c r="CE32" s="108">
        <v>4985.82</v>
      </c>
      <c r="CF32" s="253">
        <f t="shared" si="33"/>
        <v>0.61835869820004741</v>
      </c>
      <c r="CG32" s="108">
        <v>17825.66</v>
      </c>
      <c r="CH32" s="108">
        <v>10333.51</v>
      </c>
      <c r="CI32" s="253">
        <f t="shared" si="34"/>
        <v>0.57969859180529648</v>
      </c>
      <c r="CJ32" s="108">
        <v>14780.72</v>
      </c>
      <c r="CL32" s="253">
        <f t="shared" si="35"/>
        <v>0</v>
      </c>
      <c r="CM32" s="108">
        <v>12528.74</v>
      </c>
      <c r="CN32" s="108">
        <v>11048.34</v>
      </c>
      <c r="CO32" s="253">
        <f t="shared" si="36"/>
        <v>0.88183967422103104</v>
      </c>
      <c r="CP32" s="108">
        <v>3824.9</v>
      </c>
      <c r="CQ32" s="108">
        <v>3309.53</v>
      </c>
      <c r="CR32" s="253">
        <f t="shared" si="37"/>
        <v>0.86525922246333242</v>
      </c>
      <c r="CS32" s="108">
        <v>3617.71</v>
      </c>
      <c r="CT32" s="108">
        <v>2733.47</v>
      </c>
      <c r="CU32" s="253">
        <f t="shared" si="38"/>
        <v>0.75558018746665701</v>
      </c>
      <c r="CV32" s="108">
        <v>1137.69</v>
      </c>
      <c r="CW32" s="108">
        <v>3665.69</v>
      </c>
      <c r="CX32" s="253">
        <f t="shared" si="39"/>
        <v>3.2220464274099272</v>
      </c>
      <c r="CY32" s="108">
        <v>7900.81</v>
      </c>
      <c r="CZ32" s="108">
        <v>6937.79</v>
      </c>
      <c r="DA32" s="253">
        <f t="shared" si="40"/>
        <v>0.87811123163321225</v>
      </c>
      <c r="DB32" s="108">
        <v>31026.43</v>
      </c>
      <c r="DC32" s="108">
        <v>8033.04</v>
      </c>
      <c r="DD32" s="253">
        <f t="shared" si="41"/>
        <v>0.25890958128279662</v>
      </c>
      <c r="DE32" s="108">
        <v>36302.879999999997</v>
      </c>
      <c r="DF32" s="105"/>
      <c r="DG32" s="253">
        <f t="shared" si="42"/>
        <v>0</v>
      </c>
      <c r="DH32" s="108">
        <v>19037.93</v>
      </c>
      <c r="DI32" s="108">
        <v>6466.44</v>
      </c>
      <c r="DJ32" s="253">
        <f t="shared" si="43"/>
        <v>0.33966087699660624</v>
      </c>
      <c r="DK32" s="108">
        <v>14010.4</v>
      </c>
      <c r="DL32" s="108">
        <v>5026.92</v>
      </c>
      <c r="DM32" s="253">
        <f t="shared" si="0"/>
        <v>0.35879917775366871</v>
      </c>
      <c r="DN32" s="108">
        <v>15904.55</v>
      </c>
      <c r="DO32" s="108">
        <v>3714.68</v>
      </c>
      <c r="DP32" s="253">
        <f t="shared" si="1"/>
        <v>0.23356083636443659</v>
      </c>
      <c r="DQ32" s="108">
        <v>24521.99</v>
      </c>
      <c r="DR32" s="108">
        <v>4337.68</v>
      </c>
      <c r="DS32" s="253">
        <f t="shared" si="2"/>
        <v>0.17688939600742029</v>
      </c>
      <c r="DT32" s="108">
        <v>33153.120000000003</v>
      </c>
      <c r="DU32" s="108">
        <v>8837</v>
      </c>
      <c r="DV32" s="253">
        <f t="shared" si="3"/>
        <v>0.26655108176847303</v>
      </c>
      <c r="DW32" s="108">
        <v>34990.53</v>
      </c>
      <c r="DX32" s="108">
        <v>17143.05</v>
      </c>
      <c r="DY32" s="253">
        <f t="shared" si="4"/>
        <v>0.48993399071120097</v>
      </c>
      <c r="DZ32" s="108">
        <v>35033.49</v>
      </c>
      <c r="EB32" s="253">
        <f t="shared" si="44"/>
        <v>0</v>
      </c>
      <c r="EC32" s="108">
        <v>14890.2</v>
      </c>
      <c r="ED32" s="108">
        <v>1447.23</v>
      </c>
      <c r="EE32" s="253">
        <f t="shared" si="45"/>
        <v>9.719345609864205E-2</v>
      </c>
      <c r="EF32" s="108">
        <v>3140.5</v>
      </c>
      <c r="EG32" s="108">
        <v>1193.8699999999999</v>
      </c>
      <c r="EH32" s="253">
        <f t="shared" si="46"/>
        <v>0.38015284190415538</v>
      </c>
      <c r="EI32" s="108">
        <v>7953.12</v>
      </c>
      <c r="EJ32" s="108">
        <v>2863.33</v>
      </c>
      <c r="EK32" s="253">
        <f t="shared" si="47"/>
        <v>0.36002600237391114</v>
      </c>
      <c r="EL32" s="108">
        <v>7538.56</v>
      </c>
      <c r="EM32" s="108">
        <v>2405.6799999999998</v>
      </c>
      <c r="EN32" s="253">
        <f t="shared" si="48"/>
        <v>0.31911664827234903</v>
      </c>
      <c r="EO32" s="108">
        <v>22253.88</v>
      </c>
      <c r="EP32" s="108">
        <v>3528.56</v>
      </c>
      <c r="EQ32" s="253">
        <f t="shared" si="49"/>
        <v>0.15855931639785961</v>
      </c>
      <c r="ER32" s="108">
        <v>13487.84</v>
      </c>
      <c r="ES32" s="108">
        <v>3273.32</v>
      </c>
      <c r="ET32" s="253">
        <f t="shared" si="50"/>
        <v>0.2426867459874969</v>
      </c>
      <c r="EU32" s="108">
        <v>11420.83</v>
      </c>
      <c r="EV32" s="105"/>
      <c r="EW32" s="253">
        <f t="shared" si="51"/>
        <v>0</v>
      </c>
      <c r="EX32" s="108">
        <v>3510.38</v>
      </c>
      <c r="EY32" s="108">
        <v>5131.8900000000003</v>
      </c>
      <c r="EZ32" s="253">
        <f t="shared" si="52"/>
        <v>1.461918652681476</v>
      </c>
      <c r="FA32" s="108">
        <v>4797.1099999999997</v>
      </c>
      <c r="FB32" s="108">
        <v>3510.87</v>
      </c>
      <c r="FC32" s="253">
        <f t="shared" si="53"/>
        <v>0.7318718978718437</v>
      </c>
      <c r="FD32" s="108">
        <v>6472.84</v>
      </c>
      <c r="FE32" s="108">
        <v>2493.73</v>
      </c>
      <c r="FF32" s="253">
        <f t="shared" si="54"/>
        <v>0.38526056568677736</v>
      </c>
      <c r="FG32" s="108">
        <v>5380.1</v>
      </c>
      <c r="FH32" s="108">
        <v>4438.2700000000004</v>
      </c>
      <c r="FI32" s="253">
        <f t="shared" si="55"/>
        <v>0.82494191557777741</v>
      </c>
      <c r="FJ32" s="108">
        <v>8647.2199999999993</v>
      </c>
      <c r="FK32" s="108">
        <v>6173.81</v>
      </c>
      <c r="FL32" s="253">
        <f t="shared" si="56"/>
        <v>0.71396471929706895</v>
      </c>
      <c r="FM32" s="108">
        <v>17011.759999999998</v>
      </c>
      <c r="FN32" s="108">
        <v>11022.19</v>
      </c>
      <c r="FO32" s="253">
        <f t="shared" si="57"/>
        <v>0.64791591228655954</v>
      </c>
      <c r="FP32" s="108">
        <v>15612.56</v>
      </c>
      <c r="FQ32" s="108">
        <v>3994.63</v>
      </c>
      <c r="FR32" s="253">
        <f t="shared" si="58"/>
        <v>0.25586002551791637</v>
      </c>
      <c r="FS32" s="108">
        <v>5241.79</v>
      </c>
      <c r="FT32" s="108">
        <v>2716.85</v>
      </c>
      <c r="FU32" s="253">
        <f t="shared" si="59"/>
        <v>0.51830576959397456</v>
      </c>
      <c r="FV32" s="108">
        <v>7083.51</v>
      </c>
      <c r="FW32" s="108">
        <v>5141.5600000000004</v>
      </c>
      <c r="FX32" s="253">
        <f t="shared" si="60"/>
        <v>0.72584919058489372</v>
      </c>
      <c r="FY32" s="108">
        <v>7476.18</v>
      </c>
      <c r="FZ32" s="108">
        <v>5108.74</v>
      </c>
      <c r="GA32" s="253">
        <f t="shared" si="61"/>
        <v>0.68333560722186992</v>
      </c>
      <c r="GB32" s="108">
        <v>13116.32</v>
      </c>
      <c r="GC32" s="108">
        <v>4193.16</v>
      </c>
      <c r="GD32" s="253">
        <f t="shared" si="62"/>
        <v>0.31969027898068969</v>
      </c>
      <c r="GE32" s="108">
        <v>11070.9</v>
      </c>
      <c r="GF32" s="108">
        <v>6795.3</v>
      </c>
      <c r="GG32" s="253">
        <f t="shared" si="63"/>
        <v>0.61379833617863055</v>
      </c>
      <c r="GH32" s="108">
        <v>28339.75</v>
      </c>
      <c r="GI32" s="108">
        <v>12406.33</v>
      </c>
      <c r="GJ32" s="253">
        <f t="shared" si="64"/>
        <v>0.43777132825801213</v>
      </c>
      <c r="GK32" s="108">
        <v>24201.45</v>
      </c>
      <c r="GL32" s="108">
        <v>4448.97</v>
      </c>
      <c r="GM32" s="253">
        <f t="shared" si="65"/>
        <v>0.18383072088655847</v>
      </c>
      <c r="GN32" s="108">
        <v>13598.03</v>
      </c>
      <c r="GO32" s="108">
        <v>4548.2700000000004</v>
      </c>
      <c r="GP32" s="253">
        <f t="shared" si="66"/>
        <v>0.33448006806868347</v>
      </c>
      <c r="GQ32" s="108">
        <v>9904.7000000000007</v>
      </c>
      <c r="GR32" s="108">
        <v>4909.9399999999996</v>
      </c>
      <c r="GS32" s="253">
        <f t="shared" si="67"/>
        <v>0.49571819439256104</v>
      </c>
      <c r="GT32" s="108">
        <v>6987.34</v>
      </c>
      <c r="GU32" s="108">
        <v>6453.31</v>
      </c>
      <c r="GV32" s="253">
        <f t="shared" si="68"/>
        <v>0.92357177409429059</v>
      </c>
      <c r="GW32" s="108">
        <v>11775.3</v>
      </c>
      <c r="GX32" s="108">
        <v>3449.09</v>
      </c>
      <c r="GY32" s="253">
        <f t="shared" si="69"/>
        <v>0.29290888554856354</v>
      </c>
      <c r="GZ32" s="108">
        <v>11775.3</v>
      </c>
      <c r="HA32" s="108">
        <v>7727.59</v>
      </c>
      <c r="HB32" s="253">
        <f t="shared" si="70"/>
        <v>0.65625419309911426</v>
      </c>
      <c r="HC32" s="108">
        <v>26160.67</v>
      </c>
      <c r="HD32" s="108">
        <v>12266.58</v>
      </c>
      <c r="HE32" s="253">
        <f t="shared" si="71"/>
        <v>0.46889395416860502</v>
      </c>
      <c r="HF32" s="108">
        <v>22750.48</v>
      </c>
      <c r="HG32" s="108">
        <v>6452.81</v>
      </c>
      <c r="HH32" s="253">
        <f t="shared" si="72"/>
        <v>0.2836340156339559</v>
      </c>
      <c r="HI32" s="108">
        <v>11514.94</v>
      </c>
      <c r="HJ32" s="108">
        <v>6649.51</v>
      </c>
      <c r="HK32" s="253">
        <f t="shared" si="73"/>
        <v>0.57746805454479133</v>
      </c>
      <c r="HL32" s="108">
        <v>9324.3799999999992</v>
      </c>
      <c r="HM32" s="108">
        <v>4123.1899999999996</v>
      </c>
      <c r="HN32" s="253">
        <f t="shared" si="74"/>
        <v>0.44219454805574204</v>
      </c>
      <c r="HO32" s="108">
        <v>1738.53</v>
      </c>
      <c r="HP32" s="108">
        <v>4058.99</v>
      </c>
      <c r="HQ32" s="253">
        <f t="shared" si="75"/>
        <v>2.3347253139146291</v>
      </c>
      <c r="HR32" s="108">
        <v>1880.53</v>
      </c>
      <c r="HS32" s="108">
        <v>2756.44</v>
      </c>
      <c r="HT32" s="253">
        <f t="shared" si="76"/>
        <v>1.4657782646381605</v>
      </c>
      <c r="HU32" s="108">
        <v>3174.19</v>
      </c>
      <c r="HV32" s="108">
        <v>4864.57</v>
      </c>
      <c r="HW32" s="253">
        <f t="shared" si="77"/>
        <v>1.5325390099521452</v>
      </c>
      <c r="HX32" s="108">
        <v>4539.41</v>
      </c>
      <c r="HY32" s="108">
        <v>12285.71</v>
      </c>
      <c r="HZ32" s="253">
        <f t="shared" si="78"/>
        <v>2.7064552441837155</v>
      </c>
      <c r="IA32" s="108">
        <v>4478.51</v>
      </c>
      <c r="IB32" s="108">
        <v>7085.4</v>
      </c>
      <c r="IC32" s="253">
        <f t="shared" si="79"/>
        <v>1.5820886857459286</v>
      </c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311">
        <f t="shared" si="80"/>
        <v>247266.26</v>
      </c>
      <c r="IR32" s="311">
        <f t="shared" si="81"/>
        <v>125351.53999999998</v>
      </c>
      <c r="IS32" s="310">
        <f t="shared" si="5"/>
        <v>-121914.72000000003</v>
      </c>
      <c r="IT32" s="314">
        <f t="shared" si="6"/>
        <v>0.50694963396947068</v>
      </c>
      <c r="IU32" s="317">
        <f t="shared" si="82"/>
        <v>54922.459999999992</v>
      </c>
      <c r="IV32" s="317">
        <f t="shared" si="83"/>
        <v>41191.22</v>
      </c>
      <c r="IW32" s="321">
        <f t="shared" si="84"/>
        <v>-13731.239999999991</v>
      </c>
      <c r="IX32" s="322">
        <f t="shared" si="85"/>
        <v>0.74998862032035718</v>
      </c>
      <c r="IZ32" s="244"/>
    </row>
    <row r="33" spans="3:262">
      <c r="C33" s="244"/>
      <c r="D33" s="245"/>
      <c r="E33" s="245"/>
      <c r="F33" s="245"/>
      <c r="G33" s="245"/>
      <c r="H33" s="245"/>
      <c r="I33" s="243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5"/>
      <c r="CS33" s="245"/>
      <c r="CT33" s="245"/>
      <c r="CU33" s="245"/>
      <c r="CV33" s="245"/>
      <c r="CW33" s="245"/>
      <c r="CX33" s="245"/>
      <c r="CY33" s="245"/>
      <c r="CZ33" s="245"/>
      <c r="DA33" s="245"/>
      <c r="DB33" s="245"/>
      <c r="DC33" s="245"/>
      <c r="DD33" s="245"/>
      <c r="DE33" s="245"/>
      <c r="DF33" s="245"/>
      <c r="DG33" s="245"/>
      <c r="DH33" s="245"/>
      <c r="DI33" s="245"/>
      <c r="DJ33" s="245"/>
      <c r="DK33" s="245"/>
      <c r="DL33" s="245"/>
      <c r="DM33" s="245"/>
      <c r="DN33" s="245"/>
      <c r="DO33" s="245"/>
      <c r="DP33" s="245"/>
      <c r="DQ33" s="245"/>
      <c r="DR33" s="245"/>
      <c r="DS33" s="245"/>
      <c r="DT33" s="245"/>
      <c r="DU33" s="245"/>
      <c r="DV33" s="245"/>
      <c r="DW33" s="245"/>
      <c r="DX33" s="245"/>
      <c r="DY33" s="245"/>
      <c r="DZ33" s="245"/>
      <c r="EA33" s="245"/>
      <c r="EB33" s="245"/>
      <c r="EC33" s="245"/>
      <c r="ED33" s="245"/>
      <c r="EE33" s="245"/>
      <c r="EF33" s="245"/>
      <c r="EG33" s="245"/>
      <c r="EH33" s="245"/>
      <c r="EI33" s="245"/>
      <c r="EJ33" s="245"/>
      <c r="EK33" s="245"/>
      <c r="EL33" s="245"/>
      <c r="EM33" s="245"/>
      <c r="EN33" s="245"/>
      <c r="EO33" s="245"/>
      <c r="EP33" s="245"/>
      <c r="EQ33" s="245"/>
      <c r="ER33" s="245"/>
      <c r="ES33" s="245"/>
      <c r="ET33" s="245"/>
      <c r="EU33" s="245"/>
      <c r="EV33" s="245"/>
      <c r="EW33" s="245"/>
      <c r="EX33" s="245"/>
      <c r="EY33" s="245"/>
      <c r="EZ33" s="245"/>
      <c r="FA33" s="245"/>
      <c r="FB33" s="245"/>
      <c r="FC33" s="245"/>
      <c r="FD33" s="245"/>
      <c r="FE33" s="245"/>
      <c r="FF33" s="245"/>
      <c r="FG33" s="245"/>
      <c r="FH33" s="245"/>
      <c r="FI33" s="245"/>
      <c r="FJ33" s="245"/>
      <c r="FK33" s="245"/>
      <c r="FL33" s="245"/>
      <c r="FM33" s="245"/>
      <c r="FN33" s="245"/>
      <c r="FO33" s="245"/>
      <c r="FP33" s="245"/>
      <c r="FQ33" s="245"/>
      <c r="FR33" s="245"/>
      <c r="FS33" s="245"/>
      <c r="FT33" s="245"/>
      <c r="FU33" s="245"/>
      <c r="FV33" s="245"/>
      <c r="FW33" s="245"/>
      <c r="FX33" s="245"/>
      <c r="FY33" s="245"/>
      <c r="FZ33" s="245"/>
      <c r="GA33" s="245"/>
      <c r="GB33" s="245"/>
      <c r="GC33" s="245"/>
      <c r="GD33" s="245"/>
      <c r="GE33" s="245"/>
      <c r="GF33" s="245"/>
      <c r="GG33" s="245"/>
      <c r="GH33" s="245"/>
      <c r="GI33" s="245"/>
      <c r="GJ33" s="245"/>
      <c r="GK33" s="245"/>
      <c r="GL33" s="245"/>
      <c r="GM33" s="245"/>
      <c r="GN33" s="245"/>
      <c r="GO33" s="245"/>
      <c r="GP33" s="245"/>
      <c r="GQ33" s="245"/>
      <c r="GR33" s="245"/>
      <c r="GS33" s="245"/>
      <c r="GT33" s="245"/>
      <c r="GU33" s="245"/>
      <c r="GV33" s="245"/>
      <c r="GW33" s="245"/>
      <c r="GX33" s="245"/>
      <c r="GY33" s="245"/>
      <c r="GZ33" s="245"/>
      <c r="HA33" s="245"/>
      <c r="HB33" s="245"/>
      <c r="HC33" s="245"/>
      <c r="HD33" s="245"/>
      <c r="HE33" s="245"/>
      <c r="HF33" s="245"/>
      <c r="HG33" s="245"/>
      <c r="HH33" s="245"/>
      <c r="HI33" s="245"/>
      <c r="HJ33" s="245"/>
      <c r="HK33" s="245"/>
      <c r="HL33" s="245"/>
      <c r="HM33" s="245"/>
      <c r="HN33" s="245"/>
      <c r="HO33" s="245"/>
      <c r="HP33" s="245"/>
      <c r="HQ33" s="245"/>
      <c r="HR33" s="245"/>
      <c r="HS33" s="245"/>
      <c r="HT33" s="245"/>
      <c r="HU33" s="245"/>
      <c r="HV33" s="245"/>
      <c r="HW33" s="245"/>
      <c r="HX33" s="245"/>
      <c r="HY33" s="245"/>
      <c r="HZ33" s="245"/>
      <c r="IA33" s="245"/>
      <c r="IB33" s="245"/>
      <c r="IC33" s="245"/>
      <c r="ID33" s="245"/>
      <c r="IE33" s="245"/>
      <c r="IF33" s="245"/>
      <c r="IG33" s="245"/>
      <c r="IH33" s="245"/>
      <c r="II33" s="245"/>
      <c r="IJ33" s="245"/>
      <c r="IK33" s="245"/>
      <c r="IL33" s="245"/>
      <c r="IM33" s="245"/>
      <c r="IN33" s="245"/>
      <c r="IO33" s="245"/>
      <c r="IP33" s="245"/>
      <c r="IQ33" s="246"/>
      <c r="IR33" s="246"/>
      <c r="IS33" s="246"/>
      <c r="IT33" s="247"/>
      <c r="IU33" s="248"/>
      <c r="IV33" s="255"/>
      <c r="IW33" s="246"/>
      <c r="IX33" s="247"/>
      <c r="IZ33" s="244"/>
    </row>
    <row r="34" spans="3:262" ht="16.5">
      <c r="C34" s="261" t="s">
        <v>38</v>
      </c>
      <c r="D34" s="262"/>
      <c r="E34" s="262"/>
      <c r="F34" s="262"/>
      <c r="G34" s="262"/>
      <c r="H34" s="262"/>
      <c r="I34" s="263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262"/>
      <c r="Y34" s="262"/>
      <c r="Z34" s="262"/>
      <c r="AA34" s="262"/>
      <c r="AB34" s="262"/>
      <c r="AC34" s="262"/>
      <c r="AD34" s="262"/>
      <c r="AE34" s="262"/>
      <c r="AF34" s="262"/>
      <c r="AG34" s="262"/>
      <c r="AH34" s="262"/>
      <c r="AI34" s="262"/>
      <c r="AJ34" s="262"/>
      <c r="AK34" s="264">
        <f>SUM(AK4:AK32)</f>
        <v>324633.74000000017</v>
      </c>
      <c r="AL34" s="264">
        <f>SUM(AL4:AL32)</f>
        <v>206213.17</v>
      </c>
      <c r="AM34" s="265">
        <f t="shared" ref="AM34:AM42" si="86">AL34/AK34</f>
        <v>0.63521792281972878</v>
      </c>
      <c r="AN34" s="262"/>
      <c r="AO34" s="262"/>
      <c r="AP34" s="262"/>
      <c r="AQ34" s="262"/>
      <c r="AR34" s="262"/>
      <c r="AS34" s="262"/>
      <c r="AT34" s="264">
        <f>SUM(AT4:AT32)</f>
        <v>341911.63000000006</v>
      </c>
      <c r="AU34" s="264">
        <f>SUM(AU4:AU32)</f>
        <v>205424.96999999997</v>
      </c>
      <c r="AV34" s="265">
        <f t="shared" ref="AV34:AV42" si="87">AU34/AT34</f>
        <v>0.60081305219129266</v>
      </c>
      <c r="AW34" s="264">
        <f>SUM(AW4:AW32)</f>
        <v>367432.43000000011</v>
      </c>
      <c r="AX34" s="264">
        <f>SUM(AX4:AX32)</f>
        <v>201506.30000000002</v>
      </c>
      <c r="AY34" s="265">
        <f t="shared" ref="AY34:AY42" si="88">AX34/AW34</f>
        <v>0.5484172967530383</v>
      </c>
      <c r="AZ34" s="264">
        <f>SUM(AZ4:AZ32)</f>
        <v>228687.99</v>
      </c>
      <c r="BA34" s="264">
        <f>SUM(BA4:BA32)</f>
        <v>203095.86999999997</v>
      </c>
      <c r="BB34" s="265">
        <f t="shared" ref="BB34:BB42" si="89">BA34/AZ34</f>
        <v>0.88809154341686236</v>
      </c>
      <c r="BC34" s="264">
        <f>SUM(BC4:BC32)</f>
        <v>227493.44999999998</v>
      </c>
      <c r="BD34" s="264">
        <f>SUM(BD4:BD32)</f>
        <v>160687.40000000002</v>
      </c>
      <c r="BE34" s="265">
        <f t="shared" ref="BE34:BE42" si="90">BD34/BC34</f>
        <v>0.70633857809972123</v>
      </c>
      <c r="BF34" s="264">
        <f>SUM(BF4:BF32)</f>
        <v>236628.97999999998</v>
      </c>
      <c r="BG34" s="264">
        <f>SUM(BG4:BG32)</f>
        <v>198165.74999999997</v>
      </c>
      <c r="BH34" s="265">
        <f t="shared" ref="BH34:BH42" si="91">BG34/BF34</f>
        <v>0.83745342603429207</v>
      </c>
      <c r="BI34" s="264">
        <f>SUM(BI4:BI32)</f>
        <v>316358.07999999996</v>
      </c>
      <c r="BJ34" s="264">
        <f>SUM(BJ4:BJ32)</f>
        <v>263378.97000000003</v>
      </c>
      <c r="BK34" s="265">
        <f t="shared" ref="BK34:BK42" si="92">BJ34/BI34</f>
        <v>0.8325343547413111</v>
      </c>
      <c r="BL34" s="264">
        <f>SUM(BL4:BL32)</f>
        <v>530231.54</v>
      </c>
      <c r="BM34" s="264">
        <f>SUM(BM4:BM32)</f>
        <v>349184.30999999994</v>
      </c>
      <c r="BN34" s="265">
        <f t="shared" ref="BN34:BN42" si="93">BM34/BL34</f>
        <v>0.65855062111167495</v>
      </c>
      <c r="BO34" s="264">
        <f>SUM(BO4:BO32)</f>
        <v>339298.07</v>
      </c>
      <c r="BP34" s="264">
        <f>SUM(BP4:BP32)</f>
        <v>170660.09</v>
      </c>
      <c r="BQ34" s="265">
        <f t="shared" ref="BQ34:BQ42" si="94">BP34/BO34</f>
        <v>0.50297984306247301</v>
      </c>
      <c r="BR34" s="264">
        <f>SUM(BR4:BR32)</f>
        <v>236494.81</v>
      </c>
      <c r="BS34" s="264">
        <f>SUM(BS4:BS32)</f>
        <v>173663.51999999996</v>
      </c>
      <c r="BT34" s="265">
        <f t="shared" ref="BT34:BT37" si="95">BS34/BR34</f>
        <v>0.73432275321390761</v>
      </c>
      <c r="BU34" s="264">
        <f>SUM(BU4:BU32)</f>
        <v>222824.8</v>
      </c>
      <c r="BV34" s="264">
        <f>SUM(BV4:BV32)</f>
        <v>182004.62000000002</v>
      </c>
      <c r="BW34" s="265">
        <f t="shared" ref="BW34:BW37" si="96">BV34/BU34</f>
        <v>0.81680593901576504</v>
      </c>
      <c r="BX34" s="264">
        <f>SUM(BX4:BX32)</f>
        <v>231515.60000000009</v>
      </c>
      <c r="BY34" s="264">
        <f>SUM(BY4:BY32)</f>
        <v>178100.80999999997</v>
      </c>
      <c r="BZ34" s="265">
        <f t="shared" ref="BZ34:BZ37" si="97">BY34/BX34</f>
        <v>0.76928211317077511</v>
      </c>
      <c r="CA34" s="264">
        <f>SUM(CA4:CA32)</f>
        <v>244866</v>
      </c>
      <c r="CB34" s="264">
        <f>SUM(CB4:CB32)</f>
        <v>213843.21000000002</v>
      </c>
      <c r="CC34" s="265">
        <f t="shared" ref="CC34:CC37" si="98">CB34/CA34</f>
        <v>0.87330707407316666</v>
      </c>
      <c r="CD34" s="264">
        <f>SUM(CD4:CD32)</f>
        <v>388914.4</v>
      </c>
      <c r="CE34" s="264">
        <f>SUM(CE4:CE32)</f>
        <v>274885.06999999995</v>
      </c>
      <c r="CF34" s="265">
        <f t="shared" ref="CF34:CF37" si="99">CE34/CD34</f>
        <v>0.70680095671438226</v>
      </c>
      <c r="CG34" s="264">
        <f>SUM(CG4:CG32)</f>
        <v>589783.32999999996</v>
      </c>
      <c r="CH34" s="264">
        <f>SUM(CH4:CH32)</f>
        <v>429700.81000000006</v>
      </c>
      <c r="CI34" s="265">
        <f t="shared" ref="CI34:CI37" si="100">CH34/CG34</f>
        <v>0.72857401717339165</v>
      </c>
      <c r="CJ34" s="264">
        <f>SUM(CJ4:CJ32)</f>
        <v>316464.38999999996</v>
      </c>
      <c r="CK34" s="264">
        <f>SUM(CK4:CK32)</f>
        <v>229197.35999999996</v>
      </c>
      <c r="CL34" s="265">
        <f t="shared" ref="CL34:CL37" si="101">CK34/CJ34</f>
        <v>0.72424376088570341</v>
      </c>
      <c r="CM34" s="264">
        <f>SUM(CM4:CM32)</f>
        <v>383607.41000000003</v>
      </c>
      <c r="CN34" s="264">
        <f>SUM(CN4:CN32)</f>
        <v>272538.37</v>
      </c>
      <c r="CO34" s="265">
        <f t="shared" ref="CO34:CO37" si="102">CN34/CM34</f>
        <v>0.71046169311484353</v>
      </c>
      <c r="CP34" s="264">
        <f>SUM(CP4:CP32)</f>
        <v>253633.04</v>
      </c>
      <c r="CQ34" s="264">
        <f>SUM(CQ4:CQ32)</f>
        <v>208317.58000000002</v>
      </c>
      <c r="CR34" s="265">
        <f t="shared" ref="CR34:CR37" si="103">CQ34/CP34</f>
        <v>0.82133455483560036</v>
      </c>
      <c r="CS34" s="264">
        <f>SUM(CS4:CS32)</f>
        <v>192645.4</v>
      </c>
      <c r="CT34" s="264">
        <f>SUM(CT4:CT32)</f>
        <v>202540.87000000005</v>
      </c>
      <c r="CU34" s="265">
        <f t="shared" ref="CU34:CU37" si="104">CT34/CS34</f>
        <v>1.0513662407719055</v>
      </c>
      <c r="CV34" s="264">
        <f>SUM(CV4:CV32)</f>
        <v>255965.35000000006</v>
      </c>
      <c r="CW34" s="264">
        <f>SUM(CW4:CW32)</f>
        <v>206016.39</v>
      </c>
      <c r="CX34" s="265">
        <f t="shared" ref="CX34:CX37" si="105">CW34/CV34</f>
        <v>0.80486046255870169</v>
      </c>
      <c r="CY34" s="264">
        <f>SUM(CY4:CY32)</f>
        <v>336859.1</v>
      </c>
      <c r="CZ34" s="264">
        <f>SUM(CZ4:CZ32)</f>
        <v>293976.6399999999</v>
      </c>
      <c r="DA34" s="265">
        <f t="shared" ref="DA34:DA37" si="106">CZ34/CY34</f>
        <v>0.87269911960223112</v>
      </c>
      <c r="DB34" s="264">
        <f>SUM(DB4:DB32)</f>
        <v>649595.76</v>
      </c>
      <c r="DC34" s="264">
        <f>SUM(DC4:DC32)</f>
        <v>388832.59999999986</v>
      </c>
      <c r="DD34" s="265">
        <f t="shared" ref="DD34:DD37" si="107">DC34/DB34</f>
        <v>0.59857625918001656</v>
      </c>
      <c r="DE34" s="264">
        <f>SUM(DE4:DE32)</f>
        <v>416821.82</v>
      </c>
      <c r="DF34" s="264">
        <f>SUM(DF4:DF32)</f>
        <v>209895.65000000002</v>
      </c>
      <c r="DG34" s="265">
        <f t="shared" ref="DG34:DG37" si="108">DF34/DE34</f>
        <v>0.50356204960671214</v>
      </c>
      <c r="DH34" s="264">
        <f>SUM(DH4:DH32)</f>
        <v>303875.56999999995</v>
      </c>
      <c r="DI34" s="264">
        <f>SUM(DI4:DI32)</f>
        <v>214654.05000000005</v>
      </c>
      <c r="DJ34" s="265">
        <f t="shared" ref="DJ34:DJ37" si="109">DI34/DH34</f>
        <v>0.70638797979054413</v>
      </c>
      <c r="DK34" s="264">
        <f>SUM(DK4:DK32)</f>
        <v>323916.98000000004</v>
      </c>
      <c r="DL34" s="264">
        <f>SUM(DL4:DL32)</f>
        <v>224774.06000000003</v>
      </c>
      <c r="DM34" s="265">
        <f t="shared" ref="DM34:DM37" si="110">DL34/DK34</f>
        <v>0.69392490631395731</v>
      </c>
      <c r="DN34" s="264">
        <f>SUM(DN4:DN32)</f>
        <v>421347.41000000003</v>
      </c>
      <c r="DO34" s="264">
        <f>SUM(DO4:DO32)</f>
        <v>213023.88999999998</v>
      </c>
      <c r="DP34" s="265">
        <f t="shared" ref="DP34:DP37" si="111">DO34/DN34</f>
        <v>0.50557778437513112</v>
      </c>
      <c r="DQ34" s="264">
        <f>SUM(DQ4:DQ32)</f>
        <v>802094.8600000001</v>
      </c>
      <c r="DR34" s="264">
        <f>SUM(DR4:DR32)</f>
        <v>266363.00000000006</v>
      </c>
      <c r="DS34" s="265">
        <f t="shared" ref="DS34:DS37" si="112">DR34/DQ34</f>
        <v>0.33208416271362223</v>
      </c>
      <c r="DT34" s="264">
        <f>SUM(DT4:DT32)</f>
        <v>791449.78</v>
      </c>
      <c r="DU34" s="264">
        <f>SUM(DU4:DU32)</f>
        <v>407414.17000000004</v>
      </c>
      <c r="DV34" s="265">
        <f t="shared" ref="DV34:DV37" si="113">DU34/DT34</f>
        <v>0.51476945258611362</v>
      </c>
      <c r="DW34" s="264">
        <f>SUM(DW4:DW32)</f>
        <v>687960.83</v>
      </c>
      <c r="DX34" s="264">
        <f>SUM(DX4:DX32)</f>
        <v>618994.14999999991</v>
      </c>
      <c r="DY34" s="265">
        <f t="shared" ref="DY34:DY44" si="114">DX34/DW34</f>
        <v>0.8997520251261979</v>
      </c>
      <c r="DZ34" s="264">
        <f>SUM(DZ4:DZ32)</f>
        <v>441508.92000000004</v>
      </c>
      <c r="EA34" s="264">
        <f>SUM(EA4:EA32)</f>
        <v>297074.87000000005</v>
      </c>
      <c r="EB34" s="265">
        <f t="shared" ref="EB34:EB44" si="115">EA34/DZ34</f>
        <v>0.67286266832389263</v>
      </c>
      <c r="EC34" s="264">
        <f>SUM(EC4:EC32)</f>
        <v>298238.95000000007</v>
      </c>
      <c r="ED34" s="264">
        <f>SUM(ED4:ED32)</f>
        <v>106931.60999999999</v>
      </c>
      <c r="EE34" s="265">
        <f t="shared" ref="EE34:EE44" si="116">ED34/EC34</f>
        <v>0.358543409571419</v>
      </c>
      <c r="EF34" s="264">
        <f>SUM(EF4:EF32)</f>
        <v>227432.2</v>
      </c>
      <c r="EG34" s="264">
        <f>SUM(EG4:EG32)</f>
        <v>172570.79999999993</v>
      </c>
      <c r="EH34" s="265">
        <f t="shared" ref="EH34:EH44" si="117">EG34/EF34</f>
        <v>0.75877909988119496</v>
      </c>
      <c r="EI34" s="264">
        <f>SUM(EI4:EI32)</f>
        <v>249406.32000000004</v>
      </c>
      <c r="EJ34" s="264">
        <f>SUM(EJ4:EJ32)</f>
        <v>169519.22000000003</v>
      </c>
      <c r="EK34" s="265">
        <f t="shared" ref="EK34:EK44" si="118">EJ34/EI34</f>
        <v>0.67969095570633498</v>
      </c>
      <c r="EL34" s="264">
        <f>SUM(EL4:EL32)</f>
        <v>255511.15000000005</v>
      </c>
      <c r="EM34" s="264">
        <f>SUM(EM4:EM32)</f>
        <v>179422.79000000004</v>
      </c>
      <c r="EN34" s="265">
        <f t="shared" ref="EN34:EN44" si="119">EM34/EL34</f>
        <v>0.70221119508874663</v>
      </c>
      <c r="EO34" s="264">
        <f>SUM(EO4:EO32)</f>
        <v>340270.74000000011</v>
      </c>
      <c r="EP34" s="264">
        <f>SUM(EP4:EP32)</f>
        <v>203095.86999999997</v>
      </c>
      <c r="EQ34" s="265">
        <f t="shared" ref="EQ34:EQ44" si="120">EP34/EO34</f>
        <v>0.59686551362012463</v>
      </c>
      <c r="ER34" s="264">
        <f>SUM(ER4:ER32)</f>
        <v>530020.62</v>
      </c>
      <c r="ES34" s="264">
        <f>SUM(ES4:ES32)</f>
        <v>160687.40000000002</v>
      </c>
      <c r="ET34" s="265">
        <f t="shared" ref="ET34:ET44" si="121">ES34/ER34</f>
        <v>0.30317197847887506</v>
      </c>
      <c r="EU34" s="264">
        <f>SUM(EU4:EU32)</f>
        <v>329363.94999999995</v>
      </c>
      <c r="EV34" s="264">
        <f>SUM(EV4:EV32)</f>
        <v>202533.03</v>
      </c>
      <c r="EW34" s="265">
        <f t="shared" ref="EW34:EW44" si="122">EV34/EU34</f>
        <v>0.61492166947839932</v>
      </c>
      <c r="EX34" s="264">
        <f>SUM(EX4:EX32)</f>
        <v>238345.98</v>
      </c>
      <c r="EY34" s="264">
        <f>SUM(EY4:EY32)</f>
        <v>184472.02000000008</v>
      </c>
      <c r="EZ34" s="265">
        <f t="shared" ref="EZ34:EZ44" si="123">EY34/EX34</f>
        <v>0.77396740654069374</v>
      </c>
      <c r="FA34" s="264">
        <f>SUM(FA4:FA32)</f>
        <v>226762.89</v>
      </c>
      <c r="FB34" s="264">
        <f>SUM(FB4:FB32)</f>
        <v>181095.19</v>
      </c>
      <c r="FC34" s="265">
        <f t="shared" ref="FC34:FC44" si="124">FB34/FA34</f>
        <v>0.79861034581099222</v>
      </c>
      <c r="FD34" s="264">
        <f>SUM(FD4:FD32)</f>
        <v>205801.33000000002</v>
      </c>
      <c r="FE34" s="264">
        <f>SUM(FE4:FE32)</f>
        <v>193271.74</v>
      </c>
      <c r="FF34" s="265">
        <f t="shared" ref="FF34:FF44" si="125">FE34/FD34</f>
        <v>0.93911803193886056</v>
      </c>
      <c r="FG34" s="264">
        <f>SUM(FG4:FG32)</f>
        <v>258784.00999999998</v>
      </c>
      <c r="FH34" s="264">
        <f>SUM(FH4:FH32)</f>
        <v>240484.49999999997</v>
      </c>
      <c r="FI34" s="265">
        <f t="shared" ref="FI34:FI44" si="126">FH34/FG34</f>
        <v>0.92928655058710929</v>
      </c>
      <c r="FJ34" s="264">
        <f>SUM(FJ4:FJ32)</f>
        <v>393433.37999999989</v>
      </c>
      <c r="FK34" s="264">
        <f>SUM(FK4:FK32)</f>
        <v>315254.69</v>
      </c>
      <c r="FL34" s="265">
        <f t="shared" ref="FL34:FL44" si="127">FK34/FJ34</f>
        <v>0.80129116141594314</v>
      </c>
      <c r="FM34" s="264">
        <f>SUM(FM4:FM32)</f>
        <v>623612.58000000007</v>
      </c>
      <c r="FN34" s="264">
        <f>SUM(FN4:FN32)</f>
        <v>453824.73000000004</v>
      </c>
      <c r="FO34" s="265">
        <f t="shared" ref="FO34:FO44" si="128">FN34/FM34</f>
        <v>0.72773504665348476</v>
      </c>
      <c r="FP34" s="264">
        <f>SUM(FP4:FP32)</f>
        <v>364922.54</v>
      </c>
      <c r="FQ34" s="264">
        <f>SUM(FQ4:FQ32)</f>
        <v>252549.37</v>
      </c>
      <c r="FR34" s="265">
        <f t="shared" ref="FR34:FR44" si="129">FQ34/FP34</f>
        <v>0.69206295122247041</v>
      </c>
      <c r="FS34" s="264">
        <f>SUM(FS4:FS32)</f>
        <v>265800.46000000002</v>
      </c>
      <c r="FT34" s="264">
        <f>SUM(FT4:FT32)</f>
        <v>206498.24999999997</v>
      </c>
      <c r="FU34" s="265">
        <f t="shared" ref="FU34:FU44" si="130">FT34/FS34</f>
        <v>0.77689199634944184</v>
      </c>
      <c r="FV34" s="264">
        <f>SUM(FV4:FV32)</f>
        <v>259594.47000000003</v>
      </c>
      <c r="FW34" s="264">
        <f>SUM(FW4:FW32)</f>
        <v>216977.09</v>
      </c>
      <c r="FX34" s="265">
        <f t="shared" ref="FX34:FX44" si="131">FW34/FV34</f>
        <v>0.83583094046648976</v>
      </c>
      <c r="FY34" s="264">
        <f>SUM(FY4:FY32)</f>
        <v>257569.71</v>
      </c>
      <c r="FZ34" s="264">
        <f>SUM(FZ4:FZ32)</f>
        <v>221285.47</v>
      </c>
      <c r="GA34" s="265">
        <f t="shared" ref="GA34:GA44" si="132">FZ34/FY34</f>
        <v>0.85912846661977449</v>
      </c>
      <c r="GB34" s="264">
        <f>SUM(GB4:GB32)</f>
        <v>305268.66000000009</v>
      </c>
      <c r="GC34" s="264">
        <f>SUM(GC4:GC32)</f>
        <v>225449.87000000002</v>
      </c>
      <c r="GD34" s="265">
        <f t="shared" ref="GD34:GD44" si="133">GC34/GB34</f>
        <v>0.7385293662310437</v>
      </c>
      <c r="GE34" s="264">
        <f>SUM(GE4:GE32)</f>
        <v>362789.59</v>
      </c>
      <c r="GF34" s="264">
        <f>SUM(GF4:GF32)</f>
        <v>313418.31000000006</v>
      </c>
      <c r="GG34" s="265">
        <f t="shared" ref="GG34:GG44" si="134">GF34/GE34</f>
        <v>0.86391208193156821</v>
      </c>
      <c r="GH34" s="264">
        <f>SUM(GH4:GH32)</f>
        <v>609733.45000000007</v>
      </c>
      <c r="GI34" s="264">
        <f>SUM(GI4:GI32)</f>
        <v>486880.8000000001</v>
      </c>
      <c r="GJ34" s="265">
        <f t="shared" ref="GJ34:GJ44" si="135">GI34/GH34</f>
        <v>0.79851417041331763</v>
      </c>
      <c r="GK34" s="264">
        <f>SUM(GK4:GK32)</f>
        <v>434854.29000000004</v>
      </c>
      <c r="GL34" s="264">
        <f>SUM(GL4:GL32)</f>
        <v>281150.08999999991</v>
      </c>
      <c r="GM34" s="265">
        <f t="shared" ref="GM34:GM44" si="136">GL34/GK34</f>
        <v>0.64653861411830593</v>
      </c>
      <c r="GN34" s="264">
        <f>SUM(GN4:GN32)</f>
        <v>274349.94</v>
      </c>
      <c r="GO34" s="264">
        <f>SUM(GO4:GO32)</f>
        <v>216951.21999999997</v>
      </c>
      <c r="GP34" s="265">
        <f t="shared" ref="GP34:GP44" si="137">GO34/GN34</f>
        <v>0.79078282284297186</v>
      </c>
      <c r="GQ34" s="264">
        <f>SUM(GQ4:GQ32)</f>
        <v>266459.62</v>
      </c>
      <c r="GR34" s="264">
        <f>SUM(GR4:GR32)</f>
        <v>207266.25</v>
      </c>
      <c r="GS34" s="265">
        <f t="shared" ref="GS34:GS44" si="138">GR34/GQ34</f>
        <v>0.77785238153533354</v>
      </c>
      <c r="GT34" s="264">
        <f>SUM(GT4:GT32)</f>
        <v>258045.04999999996</v>
      </c>
      <c r="GU34" s="264">
        <f>SUM(GU4:GU32)</f>
        <v>207518.82000000004</v>
      </c>
      <c r="GV34" s="265">
        <f t="shared" ref="GV34:GV44" si="139">GU34/GT34</f>
        <v>0.80419608901623985</v>
      </c>
      <c r="GW34" s="264">
        <f>SUM(GW4:GW32)</f>
        <v>275258.57999999996</v>
      </c>
      <c r="GX34" s="264">
        <f>SUM(GX4:GX32)</f>
        <v>222989.28999999998</v>
      </c>
      <c r="GY34" s="265">
        <f t="shared" ref="GY34:GY44" si="140">GX34/GW34</f>
        <v>0.81010840788323479</v>
      </c>
      <c r="GZ34" s="264">
        <f>SUM(GZ4:GZ32)</f>
        <v>275258.57999999996</v>
      </c>
      <c r="HA34" s="264">
        <f>SUM(HA4:HA32)</f>
        <v>331407.93000000011</v>
      </c>
      <c r="HB34" s="265">
        <f t="shared" ref="HB34:HB44" si="141">HA34/GZ34</f>
        <v>1.2039876468155877</v>
      </c>
      <c r="HC34" s="264">
        <f>SUM(HC4:HC32)</f>
        <v>686042.28</v>
      </c>
      <c r="HD34" s="264">
        <f>SUM(HD4:HD32)</f>
        <v>463634.48</v>
      </c>
      <c r="HE34" s="265">
        <f t="shared" ref="HE34:HE44" si="142">HD34/HC34</f>
        <v>0.67581035967637437</v>
      </c>
      <c r="HF34" s="264">
        <f>SUM(HF4:HF32)</f>
        <v>376374.48</v>
      </c>
      <c r="HG34" s="264">
        <f>SUM(HG4:HG32)</f>
        <v>300378.92</v>
      </c>
      <c r="HH34" s="265">
        <f t="shared" ref="HH34:HH44" si="143">HG34/HF34</f>
        <v>0.79808524743760523</v>
      </c>
      <c r="HI34" s="264">
        <f>SUM(HI4:HI32)</f>
        <v>353409.86000000004</v>
      </c>
      <c r="HJ34" s="264">
        <f>SUM(HJ4:HJ32)</f>
        <v>319030.51000000013</v>
      </c>
      <c r="HK34" s="265">
        <f t="shared" ref="HK34:HK44" si="144">HJ34/HI34</f>
        <v>0.90272102198846427</v>
      </c>
      <c r="HL34" s="264">
        <f>SUM(HL4:HL32)</f>
        <v>215863.65</v>
      </c>
      <c r="HM34" s="264">
        <f>SUM(HM4:HM32)</f>
        <v>205531.51</v>
      </c>
      <c r="HN34" s="265">
        <f t="shared" ref="HN34:HN44" si="145">HM34/HL34</f>
        <v>0.95213580424494826</v>
      </c>
      <c r="HO34" s="264">
        <f>SUM(HO4:HO32)</f>
        <v>172022.68999999997</v>
      </c>
      <c r="HP34" s="264">
        <f>SUM(HP4:HP32)</f>
        <v>229866.68999999997</v>
      </c>
      <c r="HQ34" s="265">
        <f t="shared" ref="HQ34:HQ44" si="146">HP34/HO34</f>
        <v>1.3362579668995991</v>
      </c>
      <c r="HR34" s="264">
        <f>SUM(HR4:HR32)</f>
        <v>178785.69999999995</v>
      </c>
      <c r="HS34" s="264">
        <f>SUM(HS4:HS32)</f>
        <v>263505.87</v>
      </c>
      <c r="HT34" s="265">
        <f t="shared" ref="HT34:HT44" si="147">HS34/HR34</f>
        <v>1.4738643526859254</v>
      </c>
      <c r="HU34" s="264">
        <f>SUM(HU4:HU32)</f>
        <v>210578.01</v>
      </c>
      <c r="HV34" s="264">
        <f>SUM(HV4:HV32)</f>
        <v>336800.41</v>
      </c>
      <c r="HW34" s="265">
        <f t="shared" ref="HW34:HW44" si="148">HV34/HU34</f>
        <v>1.5994092165653953</v>
      </c>
      <c r="HX34" s="264">
        <f>SUM(HX4:HX32)</f>
        <v>327985.78999999998</v>
      </c>
      <c r="HY34" s="264">
        <f>SUM(HY4:HY32)</f>
        <v>507472.11</v>
      </c>
      <c r="HZ34" s="265">
        <f t="shared" ref="HZ34:HZ44" si="149">HY34/HX34</f>
        <v>1.5472380983334675</v>
      </c>
      <c r="IA34" s="264">
        <f>SUM(IA4:IA32)</f>
        <v>186410.45</v>
      </c>
      <c r="IB34" s="264">
        <f>SUM(IB4:IB32)</f>
        <v>270748.88000000006</v>
      </c>
      <c r="IC34" s="265">
        <f t="shared" ref="IC34:IC44" si="150">IB34/IA34</f>
        <v>1.4524340239509108</v>
      </c>
      <c r="ID34" s="337"/>
      <c r="IE34" s="337"/>
      <c r="IF34" s="337"/>
      <c r="IG34" s="337"/>
      <c r="IH34" s="337"/>
      <c r="II34" s="337"/>
      <c r="IJ34" s="337"/>
      <c r="IK34" s="337"/>
      <c r="IL34" s="337"/>
      <c r="IM34" s="337"/>
      <c r="IN34" s="337"/>
      <c r="IO34" s="337"/>
      <c r="IP34" s="337"/>
      <c r="IQ34" s="324">
        <f>SUM(IQ4:IQ32)</f>
        <v>6730967.4000000004</v>
      </c>
      <c r="IR34" s="325">
        <f>SUM(IR4:IR32)</f>
        <v>6016563.2600000007</v>
      </c>
      <c r="IS34" s="325">
        <f>SUM(IS4:IS32)</f>
        <v>-714404.1399999999</v>
      </c>
      <c r="IT34" s="326">
        <f t="shared" ref="IT34:IT44" si="151">IR34/IQ34</f>
        <v>0.89386308125634373</v>
      </c>
      <c r="IU34" s="325">
        <f>SUM(IU4:IU32)</f>
        <v>1835020.18</v>
      </c>
      <c r="IV34" s="327">
        <f>SUM(IV4:IV32)</f>
        <v>2162586.0200000005</v>
      </c>
      <c r="IW34" s="327">
        <f>SUM(IW4:IW32)</f>
        <v>327565.84000000003</v>
      </c>
      <c r="IX34" s="328">
        <f t="shared" ref="IX34:IX44" si="152">IV34/IU34</f>
        <v>1.1785080314484611</v>
      </c>
      <c r="IZ34" s="244"/>
      <c r="JA34" s="402"/>
      <c r="JB34" s="342"/>
    </row>
    <row r="35" spans="3:262" ht="16.5">
      <c r="C35" s="266" t="s">
        <v>39</v>
      </c>
      <c r="D35" s="267"/>
      <c r="E35" s="267"/>
      <c r="F35" s="267"/>
      <c r="G35" s="267"/>
      <c r="H35" s="267"/>
      <c r="I35" s="263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7"/>
      <c r="Y35" s="267"/>
      <c r="Z35" s="267"/>
      <c r="AA35" s="267"/>
      <c r="AB35" s="267"/>
      <c r="AC35" s="267"/>
      <c r="AD35" s="267"/>
      <c r="AE35" s="267"/>
      <c r="AF35" s="267"/>
      <c r="AG35" s="267"/>
      <c r="AH35" s="267"/>
      <c r="AI35" s="267"/>
      <c r="AJ35" s="267"/>
      <c r="AK35" s="268">
        <f>SUM(AK4:AK23,AK25:AK32)</f>
        <v>306624.69000000012</v>
      </c>
      <c r="AL35" s="268">
        <f>SUM(AL4:AL23,AL25:AL32)</f>
        <v>206213.17</v>
      </c>
      <c r="AM35" s="269">
        <f t="shared" si="86"/>
        <v>0.67252630569312577</v>
      </c>
      <c r="AN35" s="267"/>
      <c r="AO35" s="267"/>
      <c r="AP35" s="267"/>
      <c r="AQ35" s="267"/>
      <c r="AR35" s="267"/>
      <c r="AS35" s="267"/>
      <c r="AT35" s="268">
        <f>SUM(AT4:AT23,AT25:AT32)</f>
        <v>310607.29000000004</v>
      </c>
      <c r="AU35" s="268">
        <f>SUM(AU4:AU23,AU25:AU32)</f>
        <v>205424.96999999997</v>
      </c>
      <c r="AV35" s="269">
        <f t="shared" si="87"/>
        <v>0.66136557838033982</v>
      </c>
      <c r="AW35" s="268">
        <f>SUM(AW4:AW23,AW25:AW32)</f>
        <v>357658.40000000008</v>
      </c>
      <c r="AX35" s="268">
        <f>SUM(AX4:AX23,AX25:AX32)</f>
        <v>201506.30000000002</v>
      </c>
      <c r="AY35" s="269">
        <f t="shared" si="88"/>
        <v>0.56340435454612547</v>
      </c>
      <c r="AZ35" s="268">
        <f>SUM(AZ4:AZ23,AZ25:AZ32)</f>
        <v>218133.94</v>
      </c>
      <c r="BA35" s="268">
        <f>SUM(BA4:BA23,BA25:BA32)</f>
        <v>203095.86999999997</v>
      </c>
      <c r="BB35" s="269">
        <f t="shared" si="89"/>
        <v>0.93106038427582594</v>
      </c>
      <c r="BC35" s="268">
        <f>SUM(BC4:BC23,BC25:BC32)</f>
        <v>216182.24999999997</v>
      </c>
      <c r="BD35" s="268">
        <f>SUM(BD4:BD23,BD25:BD32)</f>
        <v>160687.40000000002</v>
      </c>
      <c r="BE35" s="269">
        <f t="shared" si="90"/>
        <v>0.74329599215476783</v>
      </c>
      <c r="BF35" s="268">
        <f>SUM(BF4:BF23,BF25:BF32)</f>
        <v>223338.45999999996</v>
      </c>
      <c r="BG35" s="268">
        <f>SUM(BG4:BG23,BG25:BG32)</f>
        <v>198165.74999999997</v>
      </c>
      <c r="BH35" s="269">
        <f t="shared" si="91"/>
        <v>0.88728896044147521</v>
      </c>
      <c r="BI35" s="268">
        <f>SUM(BI4:BI23,BI25:BI32)</f>
        <v>302564.17</v>
      </c>
      <c r="BJ35" s="268">
        <f>SUM(BJ4:BJ23,BJ25:BJ32)</f>
        <v>263378.97000000003</v>
      </c>
      <c r="BK35" s="269">
        <f t="shared" si="92"/>
        <v>0.87048962208578773</v>
      </c>
      <c r="BL35" s="268">
        <f>SUM(BL4:BL23,BL25:BL32)</f>
        <v>502305.4800000001</v>
      </c>
      <c r="BM35" s="268">
        <f>SUM(BM4:BM23,BM25:BM32)</f>
        <v>349184.30999999994</v>
      </c>
      <c r="BN35" s="269">
        <f t="shared" si="93"/>
        <v>0.69516325006050073</v>
      </c>
      <c r="BO35" s="268">
        <f>SUM(BO4:BO23,BO25:BO32)</f>
        <v>311562.76</v>
      </c>
      <c r="BP35" s="268">
        <f>SUM(BP4:BP23,BP25:BP32)</f>
        <v>170660.09</v>
      </c>
      <c r="BQ35" s="269">
        <f t="shared" si="94"/>
        <v>0.54775509756044016</v>
      </c>
      <c r="BR35" s="268">
        <f>SUM(BR4:BR23,BR25:BR32)</f>
        <v>230365.68</v>
      </c>
      <c r="BS35" s="268">
        <f>SUM(BS4:BS23,BS25:BS32)</f>
        <v>173663.51999999996</v>
      </c>
      <c r="BT35" s="269">
        <f t="shared" si="95"/>
        <v>0.7538602104271781</v>
      </c>
      <c r="BU35" s="268">
        <f>SUM(BU4:BU23,BU25:BU32)</f>
        <v>213128.05</v>
      </c>
      <c r="BV35" s="268">
        <f>SUM(BV4:BV23,BV25:BV32)</f>
        <v>182004.62000000002</v>
      </c>
      <c r="BW35" s="269">
        <f t="shared" si="96"/>
        <v>0.85396840068681734</v>
      </c>
      <c r="BX35" s="270">
        <f>SUM(BX4:BX23,BX25:BX32)</f>
        <v>219552.46000000008</v>
      </c>
      <c r="BY35" s="270">
        <f>SUM(BY4:BY23,BY25:BY32)</f>
        <v>178100.80999999997</v>
      </c>
      <c r="BZ35" s="269">
        <f t="shared" si="97"/>
        <v>0.81119933705138125</v>
      </c>
      <c r="CA35" s="270">
        <f>SUM(CA4:CA23,CA25:CA32)</f>
        <v>233755.62</v>
      </c>
      <c r="CB35" s="270">
        <f>SUM(CB4:CB23,CB25:CB32)</f>
        <v>213843.21000000002</v>
      </c>
      <c r="CC35" s="269">
        <f t="shared" si="98"/>
        <v>0.91481526732918772</v>
      </c>
      <c r="CD35" s="270">
        <f>SUM(CD4:CD23,CD25:CD32)</f>
        <v>371785.57</v>
      </c>
      <c r="CE35" s="270">
        <f>SUM(CE4:CE23,CE25:CE32)</f>
        <v>274885.06999999995</v>
      </c>
      <c r="CF35" s="269">
        <f t="shared" si="99"/>
        <v>0.73936454822601083</v>
      </c>
      <c r="CG35" s="270">
        <f>SUM(CG4:CG23,CG25:CG32)</f>
        <v>559633.52000000014</v>
      </c>
      <c r="CH35" s="270">
        <f>SUM(CH4:CH23,CH25:CH32)</f>
        <v>429700.81000000006</v>
      </c>
      <c r="CI35" s="269">
        <f t="shared" si="100"/>
        <v>0.7678253618546651</v>
      </c>
      <c r="CJ35" s="270">
        <f>SUM(CJ4:CJ23,CJ25:CJ32)</f>
        <v>292218.12999999995</v>
      </c>
      <c r="CK35" s="270">
        <f>SUM(CK4:CK23,CK25:CK32)</f>
        <v>229197.35999999996</v>
      </c>
      <c r="CL35" s="269">
        <f t="shared" si="101"/>
        <v>0.78433655023389548</v>
      </c>
      <c r="CM35" s="270">
        <f>SUM(CM4:CM23,CM25:CM32)</f>
        <v>354001.83000000007</v>
      </c>
      <c r="CN35" s="270">
        <f>SUM(CN4:CN23,CN25:CN32)</f>
        <v>272538.37</v>
      </c>
      <c r="CO35" s="269">
        <f t="shared" si="102"/>
        <v>0.76987842124996908</v>
      </c>
      <c r="CP35" s="270">
        <f>SUM(CP4:CP23,CP25:CP32)</f>
        <v>245375.11000000002</v>
      </c>
      <c r="CQ35" s="270">
        <f>SUM(CQ4:CQ23,CQ25:CQ32)</f>
        <v>208317.58000000002</v>
      </c>
      <c r="CR35" s="269">
        <f t="shared" si="103"/>
        <v>0.84897600249674876</v>
      </c>
      <c r="CS35" s="270">
        <f>SUM(CS4:CS23,CS25:CS32)</f>
        <v>183567.98</v>
      </c>
      <c r="CT35" s="270">
        <f>SUM(CT4:CT23,CT25:CT32)</f>
        <v>202540.87000000005</v>
      </c>
      <c r="CU35" s="269">
        <f t="shared" si="104"/>
        <v>1.1033562062403259</v>
      </c>
      <c r="CV35" s="270">
        <f>SUM(CV4:CV23,CV25:CV32)</f>
        <v>245484.34000000005</v>
      </c>
      <c r="CW35" s="270">
        <f>SUM(CW4:CW23,CW25:CW32)</f>
        <v>206016.39</v>
      </c>
      <c r="CX35" s="269">
        <f t="shared" si="105"/>
        <v>0.83922416395277988</v>
      </c>
      <c r="CY35" s="270">
        <f>SUM(CY4:CY23,CY25:CY32)</f>
        <v>321019.12</v>
      </c>
      <c r="CZ35" s="270">
        <f>SUM(CZ4:CZ23,CZ25:CZ32)</f>
        <v>293976.6399999999</v>
      </c>
      <c r="DA35" s="269">
        <f t="shared" si="106"/>
        <v>0.91576053164683746</v>
      </c>
      <c r="DB35" s="270">
        <f>SUM(DB4:DB23,DB25:DB32)</f>
        <v>618581.10999999987</v>
      </c>
      <c r="DC35" s="270">
        <f>SUM(DC4:DC23,DC25:DC32)</f>
        <v>388832.59999999986</v>
      </c>
      <c r="DD35" s="269">
        <f t="shared" si="107"/>
        <v>0.62858789852150498</v>
      </c>
      <c r="DE35" s="270">
        <f>SUM(DE4:DE23,DE25:DE32)</f>
        <v>383381.99</v>
      </c>
      <c r="DF35" s="270">
        <f>SUM(DF4:DF23,DF25:DF32)</f>
        <v>209895.65000000002</v>
      </c>
      <c r="DG35" s="269">
        <f t="shared" si="108"/>
        <v>0.54748437713519105</v>
      </c>
      <c r="DH35" s="270">
        <f>SUM(DH4:DH23,DH25:DH32)</f>
        <v>294509.80999999994</v>
      </c>
      <c r="DI35" s="270">
        <f>SUM(DI4:DI23,DI25:DI32)</f>
        <v>214654.05000000005</v>
      </c>
      <c r="DJ35" s="269">
        <f t="shared" si="109"/>
        <v>0.72885195233394806</v>
      </c>
      <c r="DK35" s="270">
        <f>SUM(DK4:DK23,DK25:DK32)</f>
        <v>316020.82</v>
      </c>
      <c r="DL35" s="270">
        <f>SUM(DL4:DL23,DL25:DL32)</f>
        <v>224774.06000000003</v>
      </c>
      <c r="DM35" s="269">
        <f t="shared" si="110"/>
        <v>0.71126345409773961</v>
      </c>
      <c r="DN35" s="270">
        <f>SUM(DN4:DN23,DN25:DN32)</f>
        <v>404364.63000000006</v>
      </c>
      <c r="DO35" s="270">
        <f>SUM(DO4:DO23,DO25:DO32)</f>
        <v>213023.88999999998</v>
      </c>
      <c r="DP35" s="269">
        <f t="shared" si="111"/>
        <v>0.52681138308263997</v>
      </c>
      <c r="DQ35" s="270">
        <f>SUM(DQ4:DQ23,DQ25:DQ32)</f>
        <v>780268.76000000013</v>
      </c>
      <c r="DR35" s="270">
        <f>SUM(DR4:DR23,DR25:DR32)</f>
        <v>266363.00000000006</v>
      </c>
      <c r="DS35" s="269">
        <f t="shared" si="112"/>
        <v>0.34137340062160121</v>
      </c>
      <c r="DT35" s="270">
        <f>SUM(DT4:DT23,DT25:DT32)</f>
        <v>759211.3600000001</v>
      </c>
      <c r="DU35" s="270">
        <f>SUM(DU4:DU23,DU25:DU32)</f>
        <v>407414.17000000004</v>
      </c>
      <c r="DV35" s="269">
        <f t="shared" si="113"/>
        <v>0.53662812684994599</v>
      </c>
      <c r="DW35" s="270">
        <f>SUM(DW4:DW23,DW25:DW32)</f>
        <v>653477.99999999988</v>
      </c>
      <c r="DX35" s="270">
        <f>SUM(DX4:DX23,DX25:DX32)</f>
        <v>618994.14999999991</v>
      </c>
      <c r="DY35" s="269">
        <f t="shared" si="114"/>
        <v>0.94723028166212175</v>
      </c>
      <c r="DZ35" s="270">
        <f>SUM(DZ4:DZ23,DZ25:DZ32)</f>
        <v>410578.12</v>
      </c>
      <c r="EA35" s="270">
        <f>SUM(EA4:EA23,EA25:EA32)</f>
        <v>297074.87000000005</v>
      </c>
      <c r="EB35" s="269">
        <f t="shared" si="115"/>
        <v>0.72355260918433761</v>
      </c>
      <c r="EC35" s="270">
        <f>SUM(EC4:EC23,EC25:EC32)</f>
        <v>289134.97000000003</v>
      </c>
      <c r="ED35" s="270">
        <f>SUM(ED4:ED23,ED25:ED32)</f>
        <v>106931.60999999999</v>
      </c>
      <c r="EE35" s="269">
        <f t="shared" si="116"/>
        <v>0.36983285003540034</v>
      </c>
      <c r="EF35" s="270">
        <f>SUM(EF4:EF23,EF25:EF32)</f>
        <v>218858.88</v>
      </c>
      <c r="EG35" s="270">
        <f>SUM(EG4:EG23,EG25:EG32)</f>
        <v>172570.79999999993</v>
      </c>
      <c r="EH35" s="269">
        <f t="shared" si="117"/>
        <v>0.78850261867373139</v>
      </c>
      <c r="EI35" s="270">
        <f>SUM(EI4:EI23,EI25:EI32)</f>
        <v>239216.56000000003</v>
      </c>
      <c r="EJ35" s="270">
        <f>SUM(EJ4:EJ23,EJ25:EJ32)</f>
        <v>169519.22000000003</v>
      </c>
      <c r="EK35" s="269">
        <f t="shared" si="118"/>
        <v>0.70864333138140612</v>
      </c>
      <c r="EL35" s="270">
        <f>SUM(EL4:EL23,EL25:EL32)</f>
        <v>243472.11000000004</v>
      </c>
      <c r="EM35" s="270">
        <f>SUM(EM4:EM23,EM25:EM32)</f>
        <v>179422.79000000004</v>
      </c>
      <c r="EN35" s="269">
        <f t="shared" si="119"/>
        <v>0.73693364714340381</v>
      </c>
      <c r="EO35" s="270">
        <f>SUM(EO4:EO23,EO25:EO32)</f>
        <v>321357.51000000007</v>
      </c>
      <c r="EP35" s="270">
        <f>SUM(EP4:EP23,EP25:EP32)</f>
        <v>203095.86999999997</v>
      </c>
      <c r="EQ35" s="269">
        <f t="shared" si="120"/>
        <v>0.63199353890935961</v>
      </c>
      <c r="ER35" s="270">
        <f>SUM(ER4:ER23,ER25:ER32)</f>
        <v>502624.56000000006</v>
      </c>
      <c r="ES35" s="270">
        <f>SUM(ES4:ES23,ES25:ES32)</f>
        <v>160687.40000000002</v>
      </c>
      <c r="ET35" s="269">
        <f t="shared" si="121"/>
        <v>0.31969667379564581</v>
      </c>
      <c r="EU35" s="270">
        <f>SUM(EU4:EU23,EU25:EU32)</f>
        <v>299608.77999999997</v>
      </c>
      <c r="EV35" s="270">
        <f>SUM(EV4:EV23,EV25:EV32)</f>
        <v>202533.03</v>
      </c>
      <c r="EW35" s="269">
        <f t="shared" si="122"/>
        <v>0.67599163816227292</v>
      </c>
      <c r="EX35" s="270">
        <f>SUM(EX4:EX23,EX25:EX32)</f>
        <v>230052.75000000003</v>
      </c>
      <c r="EY35" s="270">
        <f>SUM(EY4:EY23,EY25:EY32)</f>
        <v>184472.02000000008</v>
      </c>
      <c r="EZ35" s="269">
        <f t="shared" si="123"/>
        <v>0.80186835410574342</v>
      </c>
      <c r="FA35" s="270">
        <f>SUM(FA4:FA23,FA25:FA32)</f>
        <v>218268.65000000002</v>
      </c>
      <c r="FB35" s="270">
        <f>SUM(FB4:FB23,FB25:FB32)</f>
        <v>181095.19</v>
      </c>
      <c r="FC35" s="269">
        <f t="shared" si="124"/>
        <v>0.82968942172868154</v>
      </c>
      <c r="FD35" s="270">
        <f>SUM(FD4:FD23,FD25:FD32)</f>
        <v>196086.47</v>
      </c>
      <c r="FE35" s="270">
        <f>SUM(FE4:FE23,FE25:FE32)</f>
        <v>175838.87999999998</v>
      </c>
      <c r="FF35" s="269">
        <f t="shared" si="125"/>
        <v>0.89674152428772869</v>
      </c>
      <c r="FG35" s="270">
        <f>SUM(FG4:FG23,FG25:FG32)</f>
        <v>246698.96</v>
      </c>
      <c r="FH35" s="270">
        <f>SUM(FH4:FH23,FH25:FH32)</f>
        <v>216827.24999999997</v>
      </c>
      <c r="FI35" s="269">
        <f t="shared" si="126"/>
        <v>0.87891432537859093</v>
      </c>
      <c r="FJ35" s="270">
        <f>SUM(FJ4:FJ23,FJ25:FJ32)</f>
        <v>372295.48</v>
      </c>
      <c r="FK35" s="270">
        <f>SUM(FK4:FK23,FK25:FK32)</f>
        <v>283128.71999999997</v>
      </c>
      <c r="FL35" s="269">
        <f t="shared" si="127"/>
        <v>0.7604946479608079</v>
      </c>
      <c r="FM35" s="270">
        <f>SUM(FM4:FM23,FM25:FM32)</f>
        <v>585584.9</v>
      </c>
      <c r="FN35" s="270">
        <f>SUM(FN4:FN23,FN25:FN32)</f>
        <v>411965.68000000005</v>
      </c>
      <c r="FO35" s="269">
        <f t="shared" si="128"/>
        <v>0.70351144641878582</v>
      </c>
      <c r="FP35" s="270">
        <f>SUM(FP4:FP23,FP25:FP32)</f>
        <v>336791.83999999997</v>
      </c>
      <c r="FQ35" s="270">
        <f>SUM(FQ4:FQ23,FQ25:FQ32)</f>
        <v>204528.56</v>
      </c>
      <c r="FR35" s="269">
        <f t="shared" si="129"/>
        <v>0.60728478457197776</v>
      </c>
      <c r="FS35" s="270">
        <f>SUM(FS4:FS23,FS25:FS32)</f>
        <v>257396.23000000004</v>
      </c>
      <c r="FT35" s="270">
        <f>SUM(FT4:FT23,FT25:FT32)</f>
        <v>187091.08</v>
      </c>
      <c r="FU35" s="269">
        <f t="shared" si="130"/>
        <v>0.72686021858206684</v>
      </c>
      <c r="FV35" s="270">
        <f>SUM(FV4:FV23,FV25:FV32)</f>
        <v>248933.91000000003</v>
      </c>
      <c r="FW35" s="270">
        <f>SUM(FW4:FW23,FW25:FW32)</f>
        <v>188621.85</v>
      </c>
      <c r="FX35" s="269">
        <f t="shared" si="131"/>
        <v>0.75771858482438159</v>
      </c>
      <c r="FY35" s="270">
        <f>SUM(FY4:FY23,FY25:FY32)</f>
        <v>244712.33</v>
      </c>
      <c r="FZ35" s="270">
        <f>SUM(FZ4:FZ23,FZ25:FZ32)</f>
        <v>194103.15</v>
      </c>
      <c r="GA35" s="269">
        <f t="shared" si="132"/>
        <v>0.79318908859230752</v>
      </c>
      <c r="GB35" s="270">
        <f>SUM(GB4:GB23,GB25:GB32)</f>
        <v>290322.05</v>
      </c>
      <c r="GC35" s="270">
        <f>SUM(GC4:GC23,GC25:GC32)</f>
        <v>200132.86000000002</v>
      </c>
      <c r="GD35" s="269">
        <f t="shared" si="133"/>
        <v>0.68934777775232714</v>
      </c>
      <c r="GE35" s="270">
        <f>SUM(GE4:GE23,GE25:GE32)</f>
        <v>345791.34</v>
      </c>
      <c r="GF35" s="270">
        <f>SUM(GF4:GF23,GF25:GF32)</f>
        <v>275419.31000000006</v>
      </c>
      <c r="GG35" s="269">
        <f t="shared" si="134"/>
        <v>0.79648990052787338</v>
      </c>
      <c r="GH35" s="270">
        <f>SUM(GH4:GH23,GH25:GH32)</f>
        <v>579352.59000000008</v>
      </c>
      <c r="GI35" s="270">
        <f>SUM(GI4:GI23,GI25:GI32)</f>
        <v>434334.22000000009</v>
      </c>
      <c r="GJ35" s="269">
        <f t="shared" si="135"/>
        <v>0.74968892432154322</v>
      </c>
      <c r="GK35" s="270">
        <f>SUM(GK4:GK23,GK25:GK32)</f>
        <v>397690.96000000008</v>
      </c>
      <c r="GL35" s="270">
        <f>SUM(GL4:GL23,GL25:GL32)</f>
        <v>241032.28999999998</v>
      </c>
      <c r="GM35" s="269">
        <f t="shared" si="136"/>
        <v>0.60607937882218876</v>
      </c>
      <c r="GN35" s="270">
        <f>SUM(GN4:GN23,GN25:GN32)</f>
        <v>264678.08</v>
      </c>
      <c r="GO35" s="270">
        <f>SUM(GO4:GO23,GO25:GO32)</f>
        <v>196846.43999999997</v>
      </c>
      <c r="GP35" s="269">
        <f t="shared" si="137"/>
        <v>0.74372022042777386</v>
      </c>
      <c r="GQ35" s="270">
        <f>SUM(GQ4:GQ23,GQ25:GQ32)</f>
        <v>254266.91999999998</v>
      </c>
      <c r="GR35" s="270">
        <f>SUM(GR4:GR23,GR25:GR32)</f>
        <v>186982.37</v>
      </c>
      <c r="GS35" s="269">
        <f t="shared" si="138"/>
        <v>0.73537827885750928</v>
      </c>
      <c r="GT35" s="270">
        <f>SUM(GT4:GT23,GT24:GT32)</f>
        <v>258045.04999999996</v>
      </c>
      <c r="GU35" s="270">
        <f>SUM(GU4:GU23,GU24:GU32)</f>
        <v>207518.82000000004</v>
      </c>
      <c r="GV35" s="269">
        <f t="shared" si="139"/>
        <v>0.80419608901623985</v>
      </c>
      <c r="GW35" s="270">
        <f>SUM(GW4:GW23,GW24:GW32)</f>
        <v>275258.57999999996</v>
      </c>
      <c r="GX35" s="270">
        <f>SUM(GX4:GX23,GX24:GX32)</f>
        <v>222989.28999999998</v>
      </c>
      <c r="GY35" s="269">
        <f t="shared" si="140"/>
        <v>0.81010840788323479</v>
      </c>
      <c r="GZ35" s="270">
        <f>SUM(GZ4:GZ23,GZ24:GZ32)</f>
        <v>275258.57999999996</v>
      </c>
      <c r="HA35" s="270">
        <f>SUM(HA4:HA23,HA24:HA32)</f>
        <v>331407.93000000011</v>
      </c>
      <c r="HB35" s="269">
        <f t="shared" si="141"/>
        <v>1.2039876468155877</v>
      </c>
      <c r="HC35" s="270">
        <f>SUM(HC4:HC23,HC24:HC32)</f>
        <v>686042.28</v>
      </c>
      <c r="HD35" s="270">
        <f>SUM(HD4:HD23,HD24:HD32)</f>
        <v>463634.48</v>
      </c>
      <c r="HE35" s="269">
        <f t="shared" si="142"/>
        <v>0.67581035967637437</v>
      </c>
      <c r="HF35" s="270">
        <f>SUM(HF4:HF23,HF24:HF32)</f>
        <v>376374.48</v>
      </c>
      <c r="HG35" s="270">
        <f>SUM(HG4:HG23,HG24:HG32)</f>
        <v>300378.92</v>
      </c>
      <c r="HH35" s="269">
        <f t="shared" si="143"/>
        <v>0.79808524743760523</v>
      </c>
      <c r="HI35" s="270">
        <f>SUM(HI4:HI23,HI24:HI32)</f>
        <v>353409.86000000004</v>
      </c>
      <c r="HJ35" s="270">
        <f>SUM(HJ4:HJ23,HJ24:HJ32)</f>
        <v>319030.51000000013</v>
      </c>
      <c r="HK35" s="269">
        <f t="shared" si="144"/>
        <v>0.90272102198846427</v>
      </c>
      <c r="HL35" s="270">
        <f>SUM(HL4:HL23,HL24:HL32)</f>
        <v>215863.65</v>
      </c>
      <c r="HM35" s="270">
        <f>SUM(HM4:HM23,HM24:HM32)</f>
        <v>205531.51</v>
      </c>
      <c r="HN35" s="269">
        <f t="shared" si="145"/>
        <v>0.95213580424494826</v>
      </c>
      <c r="HO35" s="270">
        <f>SUM(HO4:HO23,HO24:HO32)</f>
        <v>172022.68999999997</v>
      </c>
      <c r="HP35" s="270">
        <f>SUM(HP4:HP23,HP24:HP32)</f>
        <v>229866.68999999997</v>
      </c>
      <c r="HQ35" s="269">
        <f t="shared" si="146"/>
        <v>1.3362579668995991</v>
      </c>
      <c r="HR35" s="270">
        <f>SUM(HR4:HR23,HR24:HR32)</f>
        <v>178785.69999999995</v>
      </c>
      <c r="HS35" s="270">
        <f>SUM(HS4:HS23,HS24:HS32)</f>
        <v>263505.87</v>
      </c>
      <c r="HT35" s="269">
        <f t="shared" si="147"/>
        <v>1.4738643526859254</v>
      </c>
      <c r="HU35" s="270">
        <f>SUM(HU4:HU23,HU24:HU32)</f>
        <v>210578.01</v>
      </c>
      <c r="HV35" s="270">
        <f>SUM(HV4:HV23,HV24:HV32)</f>
        <v>336800.41</v>
      </c>
      <c r="HW35" s="269">
        <f t="shared" si="148"/>
        <v>1.5994092165653953</v>
      </c>
      <c r="HX35" s="270">
        <f>SUM(HX4:HX23,HX24:HX32)</f>
        <v>327985.78999999998</v>
      </c>
      <c r="HY35" s="270">
        <f>SUM(HY4:HY23,HY24:HY32)</f>
        <v>507472.11</v>
      </c>
      <c r="HZ35" s="269">
        <f t="shared" si="149"/>
        <v>1.5472380983334675</v>
      </c>
      <c r="IA35" s="270">
        <f>SUM(IA4:IA23,IA24:IA32)</f>
        <v>186410.45</v>
      </c>
      <c r="IB35" s="270">
        <f>SUM(IB4:IB23,IB24:IB32)</f>
        <v>270748.88000000006</v>
      </c>
      <c r="IC35" s="269">
        <f t="shared" si="150"/>
        <v>1.4524340239509108</v>
      </c>
      <c r="ID35" s="338"/>
      <c r="IE35" s="338"/>
      <c r="IF35" s="338"/>
      <c r="IG35" s="338"/>
      <c r="IH35" s="338"/>
      <c r="II35" s="338"/>
      <c r="IJ35" s="338"/>
      <c r="IK35" s="338"/>
      <c r="IL35" s="338"/>
      <c r="IM35" s="338"/>
      <c r="IN35" s="338"/>
      <c r="IO35" s="338"/>
      <c r="IP35" s="338"/>
      <c r="IQ35" s="329">
        <f>SUM(IQ4:IQ23,IQ24:IQ32)</f>
        <v>6730967.4000000004</v>
      </c>
      <c r="IR35" s="329">
        <f>SUM(IR4:IR23,IR24:IR32)</f>
        <v>6016563.2600000007</v>
      </c>
      <c r="IS35" s="270">
        <f>SUM(IS4:IS23,IS25:IS32)</f>
        <v>-1049885.97</v>
      </c>
      <c r="IT35" s="413">
        <f t="shared" si="151"/>
        <v>0.89386308125634373</v>
      </c>
      <c r="IU35" s="270">
        <f>SUM(IU4:IU23,IU24:IU32)</f>
        <v>1835020.18</v>
      </c>
      <c r="IV35" s="270">
        <f>SUM(IV4:IV23,IV24:IV32)</f>
        <v>2162586.0200000005</v>
      </c>
      <c r="IW35" s="271">
        <f>SUM(IW4:IW23,IW25:IW32)</f>
        <v>186865.58000000002</v>
      </c>
      <c r="IX35" s="414">
        <f t="shared" si="152"/>
        <v>1.1785080314484611</v>
      </c>
      <c r="IZ35" s="339"/>
    </row>
    <row r="36" spans="3:262" ht="16.5">
      <c r="C36" s="259" t="s">
        <v>40</v>
      </c>
      <c r="D36" s="250"/>
      <c r="E36" s="250"/>
      <c r="F36" s="250"/>
      <c r="G36" s="250"/>
      <c r="H36" s="250"/>
      <c r="I36" s="243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  <c r="X36" s="250"/>
      <c r="Y36" s="250"/>
      <c r="Z36" s="250"/>
      <c r="AA36" s="250"/>
      <c r="AB36" s="250"/>
      <c r="AC36" s="250"/>
      <c r="AD36" s="250"/>
      <c r="AE36" s="250"/>
      <c r="AF36" s="250"/>
      <c r="AG36" s="250"/>
      <c r="AH36" s="250"/>
      <c r="AI36" s="250"/>
      <c r="AJ36" s="250"/>
      <c r="AK36" s="249">
        <f>SUM(AK4:AK22)</f>
        <v>193285.29000000004</v>
      </c>
      <c r="AL36" s="249">
        <f>SUM(AL4:AL22)</f>
        <v>131500.01</v>
      </c>
      <c r="AM36" s="253">
        <f t="shared" si="86"/>
        <v>0.68034153038754264</v>
      </c>
      <c r="AN36" s="250"/>
      <c r="AO36" s="250"/>
      <c r="AP36" s="250"/>
      <c r="AQ36" s="250"/>
      <c r="AR36" s="250"/>
      <c r="AS36" s="250"/>
      <c r="AT36" s="249">
        <f>SUM(AT4:AT22)</f>
        <v>182849.79</v>
      </c>
      <c r="AU36" s="249">
        <f>SUM(AU4:AU22)</f>
        <v>126807.76999999999</v>
      </c>
      <c r="AV36" s="253">
        <f t="shared" si="87"/>
        <v>0.69350787878946962</v>
      </c>
      <c r="AW36" s="249">
        <f>SUM(AW4:AW22)</f>
        <v>279733.69000000006</v>
      </c>
      <c r="AX36" s="249">
        <f>SUM(AX4:AX22)</f>
        <v>116596.04</v>
      </c>
      <c r="AY36" s="253">
        <f t="shared" si="88"/>
        <v>0.4168108603579353</v>
      </c>
      <c r="AZ36" s="249">
        <f>SUM(AZ4:AZ22)</f>
        <v>143837.76999999999</v>
      </c>
      <c r="BA36" s="249">
        <f>SUM(BA4:BA22)</f>
        <v>130898.44</v>
      </c>
      <c r="BB36" s="253">
        <f t="shared" si="89"/>
        <v>0.91004219545394793</v>
      </c>
      <c r="BC36" s="249">
        <f>SUM(BC4:BC22)</f>
        <v>139704.21</v>
      </c>
      <c r="BD36" s="249">
        <f>SUM(BD4:BD22)</f>
        <v>97383.459999999992</v>
      </c>
      <c r="BE36" s="253">
        <f t="shared" si="90"/>
        <v>0.69706890007108591</v>
      </c>
      <c r="BF36" s="249">
        <f>SUM(BF4:BF22)</f>
        <v>156414.21999999997</v>
      </c>
      <c r="BG36" s="249">
        <f>SUM(BG4:BG22)</f>
        <v>121085.92000000001</v>
      </c>
      <c r="BH36" s="253">
        <f t="shared" si="91"/>
        <v>0.77413626459282303</v>
      </c>
      <c r="BI36" s="249">
        <f>SUM(BI4:BI22)</f>
        <v>196214.32</v>
      </c>
      <c r="BJ36" s="249">
        <f>SUM(BJ4:BJ22)</f>
        <v>167361.30000000002</v>
      </c>
      <c r="BK36" s="253">
        <f t="shared" si="92"/>
        <v>0.85295150731098535</v>
      </c>
      <c r="BL36" s="249">
        <f>SUM(BL4:BL22)</f>
        <v>318617.33999999997</v>
      </c>
      <c r="BM36" s="249">
        <f>SUM(BM4:BM22)</f>
        <v>214883.63</v>
      </c>
      <c r="BN36" s="253">
        <f t="shared" si="93"/>
        <v>0.67442540948964058</v>
      </c>
      <c r="BO36" s="249">
        <f>SUM(BO4:BO22)</f>
        <v>185023.13000000003</v>
      </c>
      <c r="BP36" s="249">
        <f>SUM(BP4:BP22)</f>
        <v>113129.35999999997</v>
      </c>
      <c r="BQ36" s="253">
        <f t="shared" si="94"/>
        <v>0.61143360832778015</v>
      </c>
      <c r="BR36" s="249">
        <f>SUM(BR4:BR22)</f>
        <v>151233.68</v>
      </c>
      <c r="BS36" s="249">
        <f>SUM(BS4:BS22)</f>
        <v>107434.45</v>
      </c>
      <c r="BT36" s="253">
        <f t="shared" si="95"/>
        <v>0.71038706457450485</v>
      </c>
      <c r="BU36" s="249">
        <f>SUM(BU4:BU22)</f>
        <v>134388.79999999999</v>
      </c>
      <c r="BV36" s="249">
        <f>SUM(BV4:BV22)</f>
        <v>116964.06000000001</v>
      </c>
      <c r="BW36" s="253">
        <f t="shared" si="96"/>
        <v>0.87034083197409329</v>
      </c>
      <c r="BX36" s="258">
        <f>SUM(BX4:BX22)</f>
        <v>141588.61000000002</v>
      </c>
      <c r="BY36" s="258">
        <f>SUM(BY4:BY22)</f>
        <v>118215.55</v>
      </c>
      <c r="BZ36" s="253">
        <f t="shared" si="97"/>
        <v>0.83492273848863963</v>
      </c>
      <c r="CA36" s="258">
        <f>SUM(CA4:CA22)</f>
        <v>149357.15000000002</v>
      </c>
      <c r="CB36" s="258">
        <f>SUM(CB4:CB22)</f>
        <v>135230.07</v>
      </c>
      <c r="CC36" s="253">
        <f t="shared" si="98"/>
        <v>0.90541410304093228</v>
      </c>
      <c r="CD36" s="258">
        <f>SUM(CD4:CD22)</f>
        <v>234048.09000000003</v>
      </c>
      <c r="CE36" s="258">
        <f>SUM(CE4:CE22)</f>
        <v>164492.61999999997</v>
      </c>
      <c r="CF36" s="253">
        <f t="shared" si="99"/>
        <v>0.70281547693894852</v>
      </c>
      <c r="CG36" s="258">
        <f>SUM(CG4:CG22)</f>
        <v>357758.57</v>
      </c>
      <c r="CH36" s="258">
        <f>SUM(CH4:CH22)</f>
        <v>267740.27</v>
      </c>
      <c r="CI36" s="253">
        <f t="shared" si="100"/>
        <v>0.74838254748167188</v>
      </c>
      <c r="CJ36" s="258">
        <f>SUM(CJ4:CJ22)</f>
        <v>178651.83999999994</v>
      </c>
      <c r="CK36" s="258">
        <f>SUM(CK4:CK22)</f>
        <v>152843.28999999998</v>
      </c>
      <c r="CL36" s="253">
        <f t="shared" si="101"/>
        <v>0.85553717218921466</v>
      </c>
      <c r="CM36" s="258">
        <f>SUM(CM4:CM22)</f>
        <v>221735.83000000005</v>
      </c>
      <c r="CN36" s="258">
        <f>SUM(CN4:CN22)</f>
        <v>171010.59999999998</v>
      </c>
      <c r="CO36" s="253">
        <f t="shared" si="102"/>
        <v>0.77123575382471987</v>
      </c>
      <c r="CP36" s="258">
        <f>SUM(CP4:CP22)</f>
        <v>162776.48999999996</v>
      </c>
      <c r="CQ36" s="258">
        <f>SUM(CQ4:CQ22)</f>
        <v>140378.4</v>
      </c>
      <c r="CR36" s="253">
        <f t="shared" si="103"/>
        <v>0.8623997236947426</v>
      </c>
      <c r="CS36" s="258">
        <f>SUM(CS4:CS22)</f>
        <v>123209.39000000001</v>
      </c>
      <c r="CT36" s="258">
        <f>SUM(CT4:CT22)</f>
        <v>132544.89000000001</v>
      </c>
      <c r="CU36" s="253">
        <f t="shared" si="104"/>
        <v>1.0757693873819194</v>
      </c>
      <c r="CV36" s="258">
        <f>SUM(CV4:CV22)</f>
        <v>169381.4</v>
      </c>
      <c r="CW36" s="258">
        <f>SUM(CW4:CW22)</f>
        <v>134720.01</v>
      </c>
      <c r="CX36" s="253">
        <f t="shared" si="105"/>
        <v>0.79536483935071978</v>
      </c>
      <c r="CY36" s="258">
        <f>SUM(CY4:CY22)</f>
        <v>201650.09999999998</v>
      </c>
      <c r="CZ36" s="258">
        <f>SUM(CZ4:CZ22)</f>
        <v>183498.06</v>
      </c>
      <c r="DA36" s="253">
        <f t="shared" si="106"/>
        <v>0.90998248947062277</v>
      </c>
      <c r="DB36" s="258">
        <f>SUM(DB4:DB22)</f>
        <v>354304.60999999993</v>
      </c>
      <c r="DC36" s="258">
        <f>SUM(DC4:DC22)</f>
        <v>260760.74</v>
      </c>
      <c r="DD36" s="253">
        <f t="shared" si="107"/>
        <v>0.73597896454127432</v>
      </c>
      <c r="DE36" s="258">
        <f>SUM(DE4:DE22)</f>
        <v>192256.88000000003</v>
      </c>
      <c r="DF36" s="258">
        <f>SUM(DF4:DF22)</f>
        <v>138133.44</v>
      </c>
      <c r="DG36" s="253">
        <f t="shared" si="108"/>
        <v>0.71848372864471732</v>
      </c>
      <c r="DH36" s="258">
        <f>SUM(DH4:DH22)</f>
        <v>174826.05000000002</v>
      </c>
      <c r="DI36" s="258">
        <f>SUM(DI4:DI22)</f>
        <v>140631.91000000003</v>
      </c>
      <c r="DJ36" s="253">
        <f t="shared" si="109"/>
        <v>0.8044104983210455</v>
      </c>
      <c r="DK36" s="272">
        <f>SUM(DK4:DK22)</f>
        <v>197906.15</v>
      </c>
      <c r="DL36" s="272">
        <f>SUM(DL4:DL22)</f>
        <v>139326.04</v>
      </c>
      <c r="DM36" s="273">
        <f t="shared" si="110"/>
        <v>0.70400055784016824</v>
      </c>
      <c r="DN36" s="272">
        <f>SUM(DN4:DN22)</f>
        <v>246863.52000000002</v>
      </c>
      <c r="DO36" s="272">
        <f>SUM(DO4:DO22)</f>
        <v>132537.17999999996</v>
      </c>
      <c r="DP36" s="273">
        <f t="shared" si="111"/>
        <v>0.53688442909669254</v>
      </c>
      <c r="DQ36" s="272">
        <f>SUM(DQ4:DQ22)</f>
        <v>482856.52</v>
      </c>
      <c r="DR36" s="272">
        <f>SUM(DR4:DR22)</f>
        <v>169222.39</v>
      </c>
      <c r="DS36" s="273">
        <f t="shared" si="112"/>
        <v>0.35046102307989963</v>
      </c>
      <c r="DT36" s="272">
        <f>SUM(DT4:DT22)</f>
        <v>481544.37</v>
      </c>
      <c r="DU36" s="272">
        <f>SUM(DU4:DU22)</f>
        <v>255412.32</v>
      </c>
      <c r="DV36" s="273">
        <f t="shared" si="113"/>
        <v>0.53040246322472839</v>
      </c>
      <c r="DW36" s="272">
        <f>SUM(DW4:DW22)</f>
        <v>379726.63</v>
      </c>
      <c r="DX36" s="272">
        <f>SUM(DX4:DX22)</f>
        <v>376766.27999999997</v>
      </c>
      <c r="DY36" s="273">
        <f t="shared" si="114"/>
        <v>0.99220399685953009</v>
      </c>
      <c r="DZ36" s="272">
        <f>SUM(DZ4:DZ22)</f>
        <v>190278.49</v>
      </c>
      <c r="EA36" s="272">
        <f>SUM(EA4:EA22)</f>
        <v>187306.84000000003</v>
      </c>
      <c r="EB36" s="273">
        <f t="shared" si="115"/>
        <v>0.98438262779991603</v>
      </c>
      <c r="EC36" s="272">
        <f>SUM(EC4:EC22)</f>
        <v>167248.26999999999</v>
      </c>
      <c r="ED36" s="272">
        <f>SUM(ED4:ED22)</f>
        <v>70099.259999999995</v>
      </c>
      <c r="EE36" s="273">
        <f t="shared" si="116"/>
        <v>0.41913294529145206</v>
      </c>
      <c r="EF36" s="272">
        <f>SUM(EF4:EF22)</f>
        <v>150694.71999999997</v>
      </c>
      <c r="EG36" s="272">
        <f>SUM(EG4:EG22)</f>
        <v>121367.55999999997</v>
      </c>
      <c r="EH36" s="273">
        <f t="shared" si="117"/>
        <v>0.80538694388230714</v>
      </c>
      <c r="EI36" s="272">
        <f>SUM(EI4:EI22)</f>
        <v>131677.08000000002</v>
      </c>
      <c r="EJ36" s="272">
        <f>SUM(EJ4:EJ22)</f>
        <v>111461.08000000002</v>
      </c>
      <c r="EK36" s="273">
        <f t="shared" si="118"/>
        <v>0.84647290173810052</v>
      </c>
      <c r="EL36" s="272">
        <f>SUM(EL4:EL22)</f>
        <v>156190.85999999999</v>
      </c>
      <c r="EM36" s="272">
        <f>SUM(EM4:EM22)</f>
        <v>115517.08000000002</v>
      </c>
      <c r="EN36" s="273">
        <f t="shared" si="119"/>
        <v>0.73958924357033462</v>
      </c>
      <c r="EO36" s="272">
        <f>SUM(EO4:EO22)</f>
        <v>183581.56000000003</v>
      </c>
      <c r="EP36" s="272">
        <f>SUM(EP4:EP22)</f>
        <v>130898.44</v>
      </c>
      <c r="EQ36" s="273">
        <f t="shared" si="120"/>
        <v>0.71302607952563424</v>
      </c>
      <c r="ER36" s="272">
        <f>SUM(ER4:ER22)</f>
        <v>320279.87000000005</v>
      </c>
      <c r="ES36" s="272">
        <f>SUM(ES4:ES22)</f>
        <v>97383.459999999992</v>
      </c>
      <c r="ET36" s="273">
        <f t="shared" si="121"/>
        <v>0.3040573858107285</v>
      </c>
      <c r="EU36" s="272">
        <f>SUM(EU4:EU22)</f>
        <v>173804.96</v>
      </c>
      <c r="EV36" s="272">
        <f>SUM(EV4:EV22)</f>
        <v>133839.98000000001</v>
      </c>
      <c r="EW36" s="273">
        <f t="shared" si="122"/>
        <v>0.77005846093230035</v>
      </c>
      <c r="EX36" s="272">
        <f>SUM(EX4:EX22)</f>
        <v>157702.80000000002</v>
      </c>
      <c r="EY36" s="272">
        <f>SUM(EY4:EY22)</f>
        <v>116607.46000000002</v>
      </c>
      <c r="EZ36" s="273">
        <f t="shared" si="123"/>
        <v>0.73941274346428854</v>
      </c>
      <c r="FA36" s="272">
        <f>SUM(FA4:FA22)</f>
        <v>140863.27000000002</v>
      </c>
      <c r="FB36" s="272">
        <f>SUM(FB4:FB22)</f>
        <v>126164.09999999998</v>
      </c>
      <c r="FC36" s="273">
        <f t="shared" si="124"/>
        <v>0.89564937687446811</v>
      </c>
      <c r="FD36" s="272">
        <f>SUM(FD4:FD22)</f>
        <v>123682.15999999999</v>
      </c>
      <c r="FE36" s="272">
        <f>SUM(FE4:FE22)</f>
        <v>114135.27999999998</v>
      </c>
      <c r="FF36" s="273">
        <f t="shared" si="125"/>
        <v>0.92281117988236938</v>
      </c>
      <c r="FG36" s="272">
        <f>SUM(FG4:FG22)</f>
        <v>153750.72999999998</v>
      </c>
      <c r="FH36" s="272">
        <f>SUM(FH4:FH22)</f>
        <v>149521.96999999997</v>
      </c>
      <c r="FI36" s="273">
        <f t="shared" si="126"/>
        <v>0.9724960005067943</v>
      </c>
      <c r="FJ36" s="272">
        <f>SUM(FJ4:FJ22)</f>
        <v>217966.37999999995</v>
      </c>
      <c r="FK36" s="272">
        <f>SUM(FK4:FK22)</f>
        <v>181745.40999999997</v>
      </c>
      <c r="FL36" s="273">
        <f t="shared" si="127"/>
        <v>0.83382313364106897</v>
      </c>
      <c r="FM36" s="272">
        <f>SUM(FM4:FM22)</f>
        <v>349831.76</v>
      </c>
      <c r="FN36" s="272">
        <f>SUM(FN4:FN22)</f>
        <v>274095.66000000003</v>
      </c>
      <c r="FO36" s="273">
        <f t="shared" si="128"/>
        <v>0.78350707780219853</v>
      </c>
      <c r="FP36" s="272">
        <f>SUM(FP4:FP22)</f>
        <v>178957.93000000002</v>
      </c>
      <c r="FQ36" s="272">
        <f>SUM(FQ4:FQ22)</f>
        <v>131210.37</v>
      </c>
      <c r="FR36" s="273">
        <f t="shared" si="129"/>
        <v>0.73319114721543766</v>
      </c>
      <c r="FS36" s="272">
        <f>SUM(FS4:FS22)</f>
        <v>169971.16</v>
      </c>
      <c r="FT36" s="272">
        <f>SUM(FT4:FT22)</f>
        <v>120262.93</v>
      </c>
      <c r="FU36" s="273">
        <f t="shared" si="130"/>
        <v>0.70754903361252575</v>
      </c>
      <c r="FV36" s="272">
        <f>SUM(FV4:FV22)</f>
        <v>145999.18</v>
      </c>
      <c r="FW36" s="272">
        <f>SUM(FW4:FW22)</f>
        <v>122803.75000000001</v>
      </c>
      <c r="FX36" s="273">
        <f t="shared" si="131"/>
        <v>0.84112629947647666</v>
      </c>
      <c r="FY36" s="272">
        <f>SUM(FY4:FY22)</f>
        <v>145813.41</v>
      </c>
      <c r="FZ36" s="272">
        <f>SUM(FZ4:FZ22)</f>
        <v>126337.23999999999</v>
      </c>
      <c r="GA36" s="273">
        <f t="shared" si="132"/>
        <v>0.86643087216738146</v>
      </c>
      <c r="GB36" s="272">
        <f>SUM(GB4:GB22)</f>
        <v>163152.49</v>
      </c>
      <c r="GC36" s="272">
        <f>SUM(GC4:GC22)</f>
        <v>127690.66</v>
      </c>
      <c r="GD36" s="273">
        <f t="shared" si="133"/>
        <v>0.78264609997677637</v>
      </c>
      <c r="GE36" s="272">
        <f>SUM(GE4:GE22)</f>
        <v>195960.75000000003</v>
      </c>
      <c r="GF36" s="272">
        <f>SUM(GF4:GF22)</f>
        <v>165885.89000000001</v>
      </c>
      <c r="GG36" s="273">
        <f t="shared" si="134"/>
        <v>0.84652610280375018</v>
      </c>
      <c r="GH36" s="272">
        <f>SUM(GH4:GH22)</f>
        <v>325107.56</v>
      </c>
      <c r="GI36" s="272">
        <f>SUM(GI4:GI22)</f>
        <v>268787.29000000004</v>
      </c>
      <c r="GJ36" s="273">
        <f t="shared" si="135"/>
        <v>0.82676419459455219</v>
      </c>
      <c r="GK36" s="272">
        <f>SUM(GK4:GK22)</f>
        <v>172499.85</v>
      </c>
      <c r="GL36" s="272">
        <f>SUM(GL4:GL22)</f>
        <v>149700.41999999998</v>
      </c>
      <c r="GM36" s="273">
        <f t="shared" si="136"/>
        <v>0.86782927637328366</v>
      </c>
      <c r="GN36" s="272">
        <f>SUM(GN4:GN22)</f>
        <v>153836.36000000002</v>
      </c>
      <c r="GO36" s="272">
        <f>SUM(GO4:GO22)</f>
        <v>124550.23</v>
      </c>
      <c r="GP36" s="273">
        <f t="shared" si="137"/>
        <v>0.8096280359207666</v>
      </c>
      <c r="GQ36" s="272">
        <f>SUM(GQ4:GQ22)</f>
        <v>151460.19999999998</v>
      </c>
      <c r="GR36" s="272">
        <f>SUM(GR4:GR22)</f>
        <v>121861.19</v>
      </c>
      <c r="GS36" s="273">
        <f t="shared" si="138"/>
        <v>0.80457565749946203</v>
      </c>
      <c r="GT36" s="272">
        <f>SUM(GT4:GT22)</f>
        <v>153815.05999999997</v>
      </c>
      <c r="GU36" s="272">
        <f>SUM(GU4:GU22)</f>
        <v>110872.17</v>
      </c>
      <c r="GV36" s="273">
        <f t="shared" si="139"/>
        <v>0.72081478887698003</v>
      </c>
      <c r="GW36" s="272">
        <f>SUM(GW4:GW22)</f>
        <v>152744.37999999998</v>
      </c>
      <c r="GX36" s="272">
        <f>SUM(GX4:GX22)</f>
        <v>129742.79</v>
      </c>
      <c r="GY36" s="273">
        <f t="shared" si="140"/>
        <v>0.84941121892668003</v>
      </c>
      <c r="GZ36" s="272">
        <f>SUM(GZ4:GZ22)</f>
        <v>152744.37999999998</v>
      </c>
      <c r="HA36" s="272">
        <f>SUM(HA4:HA22)</f>
        <v>180178.58</v>
      </c>
      <c r="HB36" s="273">
        <f t="shared" si="141"/>
        <v>1.1796085721779093</v>
      </c>
      <c r="HC36" s="272">
        <f>SUM(HC4:HC22)</f>
        <v>378293.44000000006</v>
      </c>
      <c r="HD36" s="272">
        <f>SUM(HD4:HD22)</f>
        <v>264083.92</v>
      </c>
      <c r="HE36" s="273">
        <f t="shared" si="142"/>
        <v>0.69809278215345194</v>
      </c>
      <c r="HF36" s="272">
        <f>SUM(HF4:HF22)</f>
        <v>173073.21000000002</v>
      </c>
      <c r="HG36" s="272">
        <f>SUM(HG4:HG22)</f>
        <v>167745.51999999999</v>
      </c>
      <c r="HH36" s="273">
        <f t="shared" si="143"/>
        <v>0.96921713071595528</v>
      </c>
      <c r="HI36" s="272">
        <f>SUM(HI4:HI22)</f>
        <v>195656.57000000004</v>
      </c>
      <c r="HJ36" s="272">
        <f>SUM(HJ4:HJ22)</f>
        <v>183625.70000000004</v>
      </c>
      <c r="HK36" s="273">
        <f t="shared" si="144"/>
        <v>0.93851026827261674</v>
      </c>
      <c r="HL36" s="272">
        <f>SUM(HL4:HL22)</f>
        <v>135196.48000000001</v>
      </c>
      <c r="HM36" s="272">
        <f>SUM(HM4:HM22)</f>
        <v>119374.81</v>
      </c>
      <c r="HN36" s="273">
        <f t="shared" si="145"/>
        <v>0.88297276674658975</v>
      </c>
      <c r="HO36" s="272">
        <f>SUM(HO4:HO22)</f>
        <v>113497.70999999998</v>
      </c>
      <c r="HP36" s="272">
        <f>SUM(HP4:HP22)</f>
        <v>137802.79999999999</v>
      </c>
      <c r="HQ36" s="273">
        <f t="shared" si="146"/>
        <v>1.2141460827711856</v>
      </c>
      <c r="HR36" s="272">
        <f>SUM(HR4:HR22)</f>
        <v>124952.83</v>
      </c>
      <c r="HS36" s="272">
        <f>SUM(HS4:HS22)</f>
        <v>172571.61</v>
      </c>
      <c r="HT36" s="273">
        <f t="shared" si="147"/>
        <v>1.3810940496505759</v>
      </c>
      <c r="HU36" s="272">
        <f>SUM(HU4:HU22)</f>
        <v>132873.63</v>
      </c>
      <c r="HV36" s="272">
        <f>SUM(HV4:HV22)</f>
        <v>193351.61999999997</v>
      </c>
      <c r="HW36" s="273">
        <f t="shared" si="148"/>
        <v>1.4551541942520871</v>
      </c>
      <c r="HX36" s="272">
        <f>SUM(HX4:HX22)</f>
        <v>216210.03000000003</v>
      </c>
      <c r="HY36" s="272">
        <f>SUM(HY4:HY22)</f>
        <v>292878.45999999996</v>
      </c>
      <c r="HZ36" s="273">
        <f t="shared" si="149"/>
        <v>1.3546016343460103</v>
      </c>
      <c r="IA36" s="272">
        <f>SUM(IA4:IA22)</f>
        <v>117591.19000000002</v>
      </c>
      <c r="IB36" s="272">
        <f>SUM(IB4:IB22)</f>
        <v>141359.02999999997</v>
      </c>
      <c r="IC36" s="273">
        <f t="shared" si="150"/>
        <v>1.2021226250027741</v>
      </c>
      <c r="ID36" s="275"/>
      <c r="IE36" s="275"/>
      <c r="IF36" s="275"/>
      <c r="IG36" s="275"/>
      <c r="IH36" s="275"/>
      <c r="II36" s="275"/>
      <c r="IJ36" s="275"/>
      <c r="IK36" s="275"/>
      <c r="IL36" s="275"/>
      <c r="IM36" s="275"/>
      <c r="IN36" s="275"/>
      <c r="IO36" s="275"/>
      <c r="IP36" s="275"/>
      <c r="IQ36" s="330">
        <f>SUM(IQ4:IQ22)</f>
        <v>3731816.61</v>
      </c>
      <c r="IR36" s="272">
        <f>SUM(IR4:IR22)</f>
        <v>3411317.95</v>
      </c>
      <c r="IS36" s="272">
        <f>SUM(IS4:IS22)</f>
        <v>-320498.66000000015</v>
      </c>
      <c r="IT36" s="273">
        <f t="shared" si="151"/>
        <v>0.91411725347350348</v>
      </c>
      <c r="IU36" s="272">
        <f>SUM(IU4:IU22)</f>
        <v>1091460.4599999997</v>
      </c>
      <c r="IV36" s="274">
        <f>SUM(IV4:IV22)</f>
        <v>1267350.52</v>
      </c>
      <c r="IW36" s="274">
        <f>SUM(IW4:IW22)</f>
        <v>175890.06000000006</v>
      </c>
      <c r="IX36" s="331">
        <f t="shared" si="152"/>
        <v>1.1611511057395523</v>
      </c>
    </row>
    <row r="37" spans="3:262" ht="16.5">
      <c r="C37" s="259" t="s">
        <v>41</v>
      </c>
      <c r="D37" s="250"/>
      <c r="E37" s="250"/>
      <c r="F37" s="250"/>
      <c r="G37" s="250"/>
      <c r="H37" s="250"/>
      <c r="I37" s="243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  <c r="V37" s="250"/>
      <c r="W37" s="250"/>
      <c r="X37" s="250"/>
      <c r="Y37" s="250"/>
      <c r="Z37" s="250"/>
      <c r="AA37" s="250"/>
      <c r="AB37" s="250"/>
      <c r="AC37" s="250"/>
      <c r="AD37" s="250"/>
      <c r="AE37" s="250"/>
      <c r="AF37" s="250"/>
      <c r="AG37" s="250"/>
      <c r="AH37" s="250"/>
      <c r="AI37" s="250"/>
      <c r="AJ37" s="250"/>
      <c r="AK37" s="249">
        <f>SUM(AK4:AK22)</f>
        <v>193285.29000000004</v>
      </c>
      <c r="AL37" s="249">
        <f>SUM(AL4:AL22)</f>
        <v>131500.01</v>
      </c>
      <c r="AM37" s="253">
        <f t="shared" si="86"/>
        <v>0.68034153038754264</v>
      </c>
      <c r="AN37" s="250"/>
      <c r="AO37" s="250"/>
      <c r="AP37" s="250"/>
      <c r="AQ37" s="250"/>
      <c r="AR37" s="250"/>
      <c r="AS37" s="250"/>
      <c r="AT37" s="249">
        <f>SUM(AT4:AT22)</f>
        <v>182849.79</v>
      </c>
      <c r="AU37" s="249">
        <f>SUM(AU4:AU22)</f>
        <v>126807.76999999999</v>
      </c>
      <c r="AV37" s="253">
        <f t="shared" si="87"/>
        <v>0.69350787878946962</v>
      </c>
      <c r="AW37" s="249">
        <f>SUM(AW4:AW22)</f>
        <v>279733.69000000006</v>
      </c>
      <c r="AX37" s="249">
        <f>SUM(AX4:AX22)</f>
        <v>116596.04</v>
      </c>
      <c r="AY37" s="253">
        <f t="shared" si="88"/>
        <v>0.4168108603579353</v>
      </c>
      <c r="AZ37" s="249">
        <f>SUM(AZ4:AZ22)</f>
        <v>143837.76999999999</v>
      </c>
      <c r="BA37" s="249">
        <f>SUM(BA4:BA22)</f>
        <v>130898.44</v>
      </c>
      <c r="BB37" s="253">
        <f t="shared" si="89"/>
        <v>0.91004219545394793</v>
      </c>
      <c r="BC37" s="249">
        <f>SUM(BC4:BC22)</f>
        <v>139704.21</v>
      </c>
      <c r="BD37" s="249">
        <f>SUM(BD4:BD22)</f>
        <v>97383.459999999992</v>
      </c>
      <c r="BE37" s="253">
        <f t="shared" si="90"/>
        <v>0.69706890007108591</v>
      </c>
      <c r="BF37" s="249">
        <f>SUM(BF4:BF22)</f>
        <v>156414.21999999997</v>
      </c>
      <c r="BG37" s="249">
        <f>SUM(BG4:BG22)</f>
        <v>121085.92000000001</v>
      </c>
      <c r="BH37" s="253">
        <f t="shared" si="91"/>
        <v>0.77413626459282303</v>
      </c>
      <c r="BI37" s="249">
        <f>SUM(BI4:BI22)</f>
        <v>196214.32</v>
      </c>
      <c r="BJ37" s="249">
        <f>SUM(BJ4:BJ22)</f>
        <v>167361.30000000002</v>
      </c>
      <c r="BK37" s="253">
        <f t="shared" si="92"/>
        <v>0.85295150731098535</v>
      </c>
      <c r="BL37" s="249">
        <f>SUM(BL4:BL22)</f>
        <v>318617.33999999997</v>
      </c>
      <c r="BM37" s="249">
        <f>SUM(BM4:BM22)</f>
        <v>214883.63</v>
      </c>
      <c r="BN37" s="253">
        <f t="shared" si="93"/>
        <v>0.67442540948964058</v>
      </c>
      <c r="BO37" s="249">
        <f>SUM(BO4:BO22)</f>
        <v>185023.13000000003</v>
      </c>
      <c r="BP37" s="249">
        <f>SUM(BP4:BP22)</f>
        <v>113129.35999999997</v>
      </c>
      <c r="BQ37" s="253">
        <f t="shared" si="94"/>
        <v>0.61143360832778015</v>
      </c>
      <c r="BR37" s="249">
        <f>SUM(BR4:BR22)</f>
        <v>151233.68</v>
      </c>
      <c r="BS37" s="249">
        <f>SUM(BS4:BS22)</f>
        <v>107434.45</v>
      </c>
      <c r="BT37" s="253">
        <f t="shared" si="95"/>
        <v>0.71038706457450485</v>
      </c>
      <c r="BU37" s="249">
        <f>SUM(BU4:BU22)</f>
        <v>134388.79999999999</v>
      </c>
      <c r="BV37" s="249">
        <f>SUM(BV4:BV22)</f>
        <v>116964.06000000001</v>
      </c>
      <c r="BW37" s="253">
        <f t="shared" si="96"/>
        <v>0.87034083197409329</v>
      </c>
      <c r="BX37" s="258">
        <f>SUM(BX4:BX22)</f>
        <v>141588.61000000002</v>
      </c>
      <c r="BY37" s="258">
        <f>SUM(BY4:BY22)</f>
        <v>118215.55</v>
      </c>
      <c r="BZ37" s="253">
        <f t="shared" si="97"/>
        <v>0.83492273848863963</v>
      </c>
      <c r="CA37" s="258">
        <f>SUM(CA4:CA22)</f>
        <v>149357.15000000002</v>
      </c>
      <c r="CB37" s="258">
        <f>SUM(CB4:CB22)</f>
        <v>135230.07</v>
      </c>
      <c r="CC37" s="253">
        <f t="shared" si="98"/>
        <v>0.90541410304093228</v>
      </c>
      <c r="CD37" s="258">
        <f>SUM(CD4:CD22)</f>
        <v>234048.09000000003</v>
      </c>
      <c r="CE37" s="258">
        <f>SUM(CE4:CE22)</f>
        <v>164492.61999999997</v>
      </c>
      <c r="CF37" s="253">
        <f t="shared" si="99"/>
        <v>0.70281547693894852</v>
      </c>
      <c r="CG37" s="258">
        <f>SUM(CG4:CG22)</f>
        <v>357758.57</v>
      </c>
      <c r="CH37" s="258">
        <f>SUM(CH4:CH22)</f>
        <v>267740.27</v>
      </c>
      <c r="CI37" s="253">
        <f t="shared" si="100"/>
        <v>0.74838254748167188</v>
      </c>
      <c r="CJ37" s="258">
        <f>SUM(CJ4:CJ22)</f>
        <v>178651.83999999994</v>
      </c>
      <c r="CK37" s="258">
        <f>SUM(CK4:CK22)</f>
        <v>152843.28999999998</v>
      </c>
      <c r="CL37" s="253">
        <f t="shared" si="101"/>
        <v>0.85553717218921466</v>
      </c>
      <c r="CM37" s="258">
        <f>SUM(CM4:CM22)</f>
        <v>221735.83000000005</v>
      </c>
      <c r="CN37" s="258">
        <f>SUM(CN4:CN22)</f>
        <v>171010.59999999998</v>
      </c>
      <c r="CO37" s="253">
        <f t="shared" si="102"/>
        <v>0.77123575382471987</v>
      </c>
      <c r="CP37" s="258">
        <f>SUM(CP4:CP22)</f>
        <v>162776.48999999996</v>
      </c>
      <c r="CQ37" s="258">
        <f>SUM(CQ4:CQ22)</f>
        <v>140378.4</v>
      </c>
      <c r="CR37" s="253">
        <f t="shared" si="103"/>
        <v>0.8623997236947426</v>
      </c>
      <c r="CS37" s="258">
        <f>SUM(CS4:CS22)</f>
        <v>123209.39000000001</v>
      </c>
      <c r="CT37" s="258">
        <f>SUM(CT4:CT22)</f>
        <v>132544.89000000001</v>
      </c>
      <c r="CU37" s="253">
        <f t="shared" si="104"/>
        <v>1.0757693873819194</v>
      </c>
      <c r="CV37" s="258">
        <f>SUM(CV4:CV22)</f>
        <v>169381.4</v>
      </c>
      <c r="CW37" s="258">
        <f>SUM(CW4:CW22)</f>
        <v>134720.01</v>
      </c>
      <c r="CX37" s="253">
        <f t="shared" si="105"/>
        <v>0.79536483935071978</v>
      </c>
      <c r="CY37" s="258">
        <f>SUM(CY4:CY22)</f>
        <v>201650.09999999998</v>
      </c>
      <c r="CZ37" s="258">
        <f>SUM(CZ4:CZ22)</f>
        <v>183498.06</v>
      </c>
      <c r="DA37" s="253">
        <f t="shared" si="106"/>
        <v>0.90998248947062277</v>
      </c>
      <c r="DB37" s="258">
        <f>SUM(DB4:DB22)</f>
        <v>354304.60999999993</v>
      </c>
      <c r="DC37" s="258">
        <f>SUM(DC4:DC22)</f>
        <v>260760.74</v>
      </c>
      <c r="DD37" s="253">
        <f t="shared" si="107"/>
        <v>0.73597896454127432</v>
      </c>
      <c r="DE37" s="258">
        <f>SUM(DE4:DE22)</f>
        <v>192256.88000000003</v>
      </c>
      <c r="DF37" s="258">
        <f>SUM(DF4:DF22)</f>
        <v>138133.44</v>
      </c>
      <c r="DG37" s="253">
        <f t="shared" si="108"/>
        <v>0.71848372864471732</v>
      </c>
      <c r="DH37" s="258">
        <f>SUM(DH4:DH22)</f>
        <v>174826.05000000002</v>
      </c>
      <c r="DI37" s="258">
        <f>SUM(DI4:DI22)</f>
        <v>140631.91000000003</v>
      </c>
      <c r="DJ37" s="253">
        <f t="shared" si="109"/>
        <v>0.8044104983210455</v>
      </c>
      <c r="DK37" s="272">
        <f>SUM(DK4:DK22)</f>
        <v>197906.15</v>
      </c>
      <c r="DL37" s="272">
        <f>SUM(DL4:DL22)</f>
        <v>139326.04</v>
      </c>
      <c r="DM37" s="273">
        <f t="shared" si="110"/>
        <v>0.70400055784016824</v>
      </c>
      <c r="DN37" s="272">
        <f>SUM(DN4:DN22)</f>
        <v>246863.52000000002</v>
      </c>
      <c r="DO37" s="272">
        <f>SUM(DO4:DO22)</f>
        <v>132537.17999999996</v>
      </c>
      <c r="DP37" s="273">
        <f t="shared" si="111"/>
        <v>0.53688442909669254</v>
      </c>
      <c r="DQ37" s="272">
        <f>SUM(DQ4:DQ22)</f>
        <v>482856.52</v>
      </c>
      <c r="DR37" s="272">
        <f>SUM(DR4:DR22)</f>
        <v>169222.39</v>
      </c>
      <c r="DS37" s="273">
        <f t="shared" si="112"/>
        <v>0.35046102307989963</v>
      </c>
      <c r="DT37" s="272">
        <f>SUM(DT4:DT22)</f>
        <v>481544.37</v>
      </c>
      <c r="DU37" s="272">
        <f>SUM(DU4:DU22)</f>
        <v>255412.32</v>
      </c>
      <c r="DV37" s="273">
        <f t="shared" si="113"/>
        <v>0.53040246322472839</v>
      </c>
      <c r="DW37" s="272">
        <f>SUM(DW4:DW22)</f>
        <v>379726.63</v>
      </c>
      <c r="DX37" s="272">
        <f>SUM(DX4:DX22)</f>
        <v>376766.27999999997</v>
      </c>
      <c r="DY37" s="273">
        <f t="shared" si="114"/>
        <v>0.99220399685953009</v>
      </c>
      <c r="DZ37" s="272">
        <f>SUM(DZ4:DZ22)</f>
        <v>190278.49</v>
      </c>
      <c r="EA37" s="272">
        <f>SUM(EA4:EA22)</f>
        <v>187306.84000000003</v>
      </c>
      <c r="EB37" s="273">
        <f t="shared" si="115"/>
        <v>0.98438262779991603</v>
      </c>
      <c r="EC37" s="272">
        <f>SUM(EC4:EC22)</f>
        <v>167248.26999999999</v>
      </c>
      <c r="ED37" s="272">
        <f>SUM(ED4:ED22)</f>
        <v>70099.259999999995</v>
      </c>
      <c r="EE37" s="273">
        <f t="shared" si="116"/>
        <v>0.41913294529145206</v>
      </c>
      <c r="EF37" s="272">
        <f>SUM(EF4:EF22)</f>
        <v>150694.71999999997</v>
      </c>
      <c r="EG37" s="272">
        <f>SUM(EG4:EG22)</f>
        <v>121367.55999999997</v>
      </c>
      <c r="EH37" s="273">
        <f t="shared" si="117"/>
        <v>0.80538694388230714</v>
      </c>
      <c r="EI37" s="272">
        <f>SUM(EI4:EI22)</f>
        <v>131677.08000000002</v>
      </c>
      <c r="EJ37" s="272">
        <f>SUM(EJ4:EJ22)</f>
        <v>111461.08000000002</v>
      </c>
      <c r="EK37" s="273">
        <f t="shared" si="118"/>
        <v>0.84647290173810052</v>
      </c>
      <c r="EL37" s="272">
        <f>SUM(EL4:EL22)</f>
        <v>156190.85999999999</v>
      </c>
      <c r="EM37" s="272">
        <f>SUM(EM4:EM22)</f>
        <v>115517.08000000002</v>
      </c>
      <c r="EN37" s="273">
        <f t="shared" si="119"/>
        <v>0.73958924357033462</v>
      </c>
      <c r="EO37" s="272">
        <f>SUM(EO4:EO22)</f>
        <v>183581.56000000003</v>
      </c>
      <c r="EP37" s="272">
        <f>SUM(EP4:EP22)</f>
        <v>130898.44</v>
      </c>
      <c r="EQ37" s="273">
        <f t="shared" si="120"/>
        <v>0.71302607952563424</v>
      </c>
      <c r="ER37" s="272">
        <f>SUM(ER4:ER22)</f>
        <v>320279.87000000005</v>
      </c>
      <c r="ES37" s="272">
        <f>SUM(ES4:ES22)</f>
        <v>97383.459999999992</v>
      </c>
      <c r="ET37" s="273">
        <f t="shared" si="121"/>
        <v>0.3040573858107285</v>
      </c>
      <c r="EU37" s="272">
        <f>SUM(EU4:EU22)</f>
        <v>173804.96</v>
      </c>
      <c r="EV37" s="272">
        <f>SUM(EV4:EV22)</f>
        <v>133839.98000000001</v>
      </c>
      <c r="EW37" s="273">
        <f t="shared" si="122"/>
        <v>0.77005846093230035</v>
      </c>
      <c r="EX37" s="272">
        <f>SUM(EX4:EX22)</f>
        <v>157702.80000000002</v>
      </c>
      <c r="EY37" s="272">
        <f>SUM(EY4:EY22)</f>
        <v>116607.46000000002</v>
      </c>
      <c r="EZ37" s="273">
        <f t="shared" si="123"/>
        <v>0.73941274346428854</v>
      </c>
      <c r="FA37" s="272">
        <f>SUM(FA4:FA22)</f>
        <v>140863.27000000002</v>
      </c>
      <c r="FB37" s="272">
        <f>SUM(FB4:FB22)</f>
        <v>126164.09999999998</v>
      </c>
      <c r="FC37" s="273">
        <f t="shared" si="124"/>
        <v>0.89564937687446811</v>
      </c>
      <c r="FD37" s="272">
        <f>SUM(FD4:FD22)</f>
        <v>123682.15999999999</v>
      </c>
      <c r="FE37" s="272">
        <f>SUM(FE4:FE22)</f>
        <v>114135.27999999998</v>
      </c>
      <c r="FF37" s="273">
        <f t="shared" si="125"/>
        <v>0.92281117988236938</v>
      </c>
      <c r="FG37" s="272">
        <f>SUM(FG4:FG22)</f>
        <v>153750.72999999998</v>
      </c>
      <c r="FH37" s="272">
        <f>SUM(FH4:FH22)</f>
        <v>149521.96999999997</v>
      </c>
      <c r="FI37" s="273">
        <f t="shared" si="126"/>
        <v>0.9724960005067943</v>
      </c>
      <c r="FJ37" s="272">
        <f>SUM(FJ4:FJ22)</f>
        <v>217966.37999999995</v>
      </c>
      <c r="FK37" s="272">
        <f>SUM(FK4:FK22)</f>
        <v>181745.40999999997</v>
      </c>
      <c r="FL37" s="273">
        <f t="shared" si="127"/>
        <v>0.83382313364106897</v>
      </c>
      <c r="FM37" s="272">
        <f>SUM(FM4:FM22)</f>
        <v>349831.76</v>
      </c>
      <c r="FN37" s="272">
        <f>SUM(FN4:FN22)</f>
        <v>274095.66000000003</v>
      </c>
      <c r="FO37" s="273">
        <f t="shared" si="128"/>
        <v>0.78350707780219853</v>
      </c>
      <c r="FP37" s="272">
        <f>SUM(FP4:FP22)</f>
        <v>178957.93000000002</v>
      </c>
      <c r="FQ37" s="272">
        <f>SUM(FQ4:FQ22)</f>
        <v>131210.37</v>
      </c>
      <c r="FR37" s="273">
        <f t="shared" si="129"/>
        <v>0.73319114721543766</v>
      </c>
      <c r="FS37" s="272">
        <f>SUM(FS4:FS22)</f>
        <v>169971.16</v>
      </c>
      <c r="FT37" s="272">
        <f>SUM(FT4:FT22)</f>
        <v>120262.93</v>
      </c>
      <c r="FU37" s="273">
        <f t="shared" si="130"/>
        <v>0.70754903361252575</v>
      </c>
      <c r="FV37" s="272">
        <f>SUM(FV4:FV22)</f>
        <v>145999.18</v>
      </c>
      <c r="FW37" s="272">
        <f>SUM(FW4:FW22)</f>
        <v>122803.75000000001</v>
      </c>
      <c r="FX37" s="273">
        <f t="shared" si="131"/>
        <v>0.84112629947647666</v>
      </c>
      <c r="FY37" s="272">
        <f>SUM(FY4:FY22)</f>
        <v>145813.41</v>
      </c>
      <c r="FZ37" s="272">
        <f>SUM(FZ4:FZ22)</f>
        <v>126337.23999999999</v>
      </c>
      <c r="GA37" s="273">
        <f t="shared" si="132"/>
        <v>0.86643087216738146</v>
      </c>
      <c r="GB37" s="272">
        <f>SUM(GB4:GB22)</f>
        <v>163152.49</v>
      </c>
      <c r="GC37" s="272">
        <f>SUM(GC4:GC22)</f>
        <v>127690.66</v>
      </c>
      <c r="GD37" s="273">
        <f t="shared" si="133"/>
        <v>0.78264609997677637</v>
      </c>
      <c r="GE37" s="272">
        <f>SUM(GE4:GE22)</f>
        <v>195960.75000000003</v>
      </c>
      <c r="GF37" s="272">
        <f>SUM(GF4:GF22)</f>
        <v>165885.89000000001</v>
      </c>
      <c r="GG37" s="273">
        <f t="shared" si="134"/>
        <v>0.84652610280375018</v>
      </c>
      <c r="GH37" s="272">
        <f>SUM(GH4:GH22)</f>
        <v>325107.56</v>
      </c>
      <c r="GI37" s="272">
        <f>SUM(GI4:GI22)</f>
        <v>268787.29000000004</v>
      </c>
      <c r="GJ37" s="273">
        <f t="shared" si="135"/>
        <v>0.82676419459455219</v>
      </c>
      <c r="GK37" s="272">
        <f>SUM(GK4:GK22)</f>
        <v>172499.85</v>
      </c>
      <c r="GL37" s="272">
        <f>SUM(GL4:GL22)</f>
        <v>149700.41999999998</v>
      </c>
      <c r="GM37" s="273">
        <f t="shared" si="136"/>
        <v>0.86782927637328366</v>
      </c>
      <c r="GN37" s="272">
        <f>SUM(GN4:GN22)</f>
        <v>153836.36000000002</v>
      </c>
      <c r="GO37" s="272">
        <f>SUM(GO4:GO22)</f>
        <v>124550.23</v>
      </c>
      <c r="GP37" s="273">
        <f t="shared" si="137"/>
        <v>0.8096280359207666</v>
      </c>
      <c r="GQ37" s="272">
        <f>SUM(GQ4:GQ22)</f>
        <v>151460.19999999998</v>
      </c>
      <c r="GR37" s="272">
        <f>SUM(GR4:GR22)</f>
        <v>121861.19</v>
      </c>
      <c r="GS37" s="273">
        <f t="shared" si="138"/>
        <v>0.80457565749946203</v>
      </c>
      <c r="GT37" s="272">
        <f>SUM(GT4:GT22)</f>
        <v>153815.05999999997</v>
      </c>
      <c r="GU37" s="272">
        <f>SUM(GU4:GU22)</f>
        <v>110872.17</v>
      </c>
      <c r="GV37" s="273">
        <f t="shared" si="139"/>
        <v>0.72081478887698003</v>
      </c>
      <c r="GW37" s="272">
        <f>SUM(GW4:GW22)</f>
        <v>152744.37999999998</v>
      </c>
      <c r="GX37" s="272">
        <f>SUM(GX4:GX22)</f>
        <v>129742.79</v>
      </c>
      <c r="GY37" s="273">
        <f t="shared" si="140"/>
        <v>0.84941121892668003</v>
      </c>
      <c r="GZ37" s="272">
        <f>SUM(GZ4:GZ22)</f>
        <v>152744.37999999998</v>
      </c>
      <c r="HA37" s="272">
        <f>SUM(HA4:HA22)</f>
        <v>180178.58</v>
      </c>
      <c r="HB37" s="273">
        <f t="shared" si="141"/>
        <v>1.1796085721779093</v>
      </c>
      <c r="HC37" s="272">
        <f>SUM(HC4:HC22)</f>
        <v>378293.44000000006</v>
      </c>
      <c r="HD37" s="272">
        <f>SUM(HD4:HD22)</f>
        <v>264083.92</v>
      </c>
      <c r="HE37" s="273">
        <f t="shared" si="142"/>
        <v>0.69809278215345194</v>
      </c>
      <c r="HF37" s="272">
        <f>SUM(HF4:HF22)</f>
        <v>173073.21000000002</v>
      </c>
      <c r="HG37" s="272">
        <f>SUM(HG4:HG22)</f>
        <v>167745.51999999999</v>
      </c>
      <c r="HH37" s="273">
        <f t="shared" si="143"/>
        <v>0.96921713071595528</v>
      </c>
      <c r="HI37" s="272">
        <f>SUM(HI4:HI22)</f>
        <v>195656.57000000004</v>
      </c>
      <c r="HJ37" s="272">
        <f>SUM(HJ4:HJ22)</f>
        <v>183625.70000000004</v>
      </c>
      <c r="HK37" s="273">
        <f t="shared" si="144"/>
        <v>0.93851026827261674</v>
      </c>
      <c r="HL37" s="272">
        <f>SUM(HL4:HL22)</f>
        <v>135196.48000000001</v>
      </c>
      <c r="HM37" s="272">
        <f>SUM(HM4:HM22)</f>
        <v>119374.81</v>
      </c>
      <c r="HN37" s="273">
        <f t="shared" si="145"/>
        <v>0.88297276674658975</v>
      </c>
      <c r="HO37" s="272">
        <f>SUM(HO4:HO22)</f>
        <v>113497.70999999998</v>
      </c>
      <c r="HP37" s="272">
        <f>SUM(HP4:HP22)</f>
        <v>137802.79999999999</v>
      </c>
      <c r="HQ37" s="273">
        <f t="shared" si="146"/>
        <v>1.2141460827711856</v>
      </c>
      <c r="HR37" s="272">
        <f>SUM(HR4:HR22)</f>
        <v>124952.83</v>
      </c>
      <c r="HS37" s="272">
        <f>SUM(HS4:HS22)</f>
        <v>172571.61</v>
      </c>
      <c r="HT37" s="273">
        <f t="shared" si="147"/>
        <v>1.3810940496505759</v>
      </c>
      <c r="HU37" s="272">
        <f>SUM(HU4:HU22)</f>
        <v>132873.63</v>
      </c>
      <c r="HV37" s="272">
        <f>SUM(HV4:HV22)</f>
        <v>193351.61999999997</v>
      </c>
      <c r="HW37" s="273">
        <f t="shared" si="148"/>
        <v>1.4551541942520871</v>
      </c>
      <c r="HX37" s="272">
        <f>SUM(HX4:HX22)</f>
        <v>216210.03000000003</v>
      </c>
      <c r="HY37" s="272">
        <f>SUM(HY4:HY22)</f>
        <v>292878.45999999996</v>
      </c>
      <c r="HZ37" s="273">
        <f t="shared" si="149"/>
        <v>1.3546016343460103</v>
      </c>
      <c r="IA37" s="272">
        <f>SUM(IA4:IA22)</f>
        <v>117591.19000000002</v>
      </c>
      <c r="IB37" s="272">
        <f>SUM(IB4:IB22)</f>
        <v>141359.02999999997</v>
      </c>
      <c r="IC37" s="273">
        <f t="shared" si="150"/>
        <v>1.2021226250027741</v>
      </c>
      <c r="ID37" s="275"/>
      <c r="IE37" s="275"/>
      <c r="IF37" s="275"/>
      <c r="IG37" s="275"/>
      <c r="IH37" s="275"/>
      <c r="II37" s="275"/>
      <c r="IJ37" s="275"/>
      <c r="IK37" s="275"/>
      <c r="IL37" s="275"/>
      <c r="IM37" s="275"/>
      <c r="IN37" s="275"/>
      <c r="IO37" s="275"/>
      <c r="IP37" s="275"/>
      <c r="IQ37" s="330">
        <f>SUM(IQ4:IQ22)</f>
        <v>3731816.61</v>
      </c>
      <c r="IR37" s="272">
        <f>SUM(IR4:IR22)</f>
        <v>3411317.95</v>
      </c>
      <c r="IS37" s="272">
        <f>SUM(IS4:IS22)</f>
        <v>-320498.66000000015</v>
      </c>
      <c r="IT37" s="307">
        <f t="shared" si="151"/>
        <v>0.91411725347350348</v>
      </c>
      <c r="IU37" s="272">
        <f>SUM(IU4:IU22)</f>
        <v>1091460.4599999997</v>
      </c>
      <c r="IV37" s="274">
        <f>SUM(IV4:IV22)</f>
        <v>1267350.52</v>
      </c>
      <c r="IW37" s="274">
        <f>SUM(IW4:IW22)</f>
        <v>175890.06000000006</v>
      </c>
      <c r="IX37" s="415">
        <f t="shared" si="152"/>
        <v>1.1611511057395523</v>
      </c>
      <c r="IZ37" s="339"/>
    </row>
    <row r="38" spans="3:262" ht="16.5">
      <c r="C38" s="259" t="s">
        <v>42</v>
      </c>
      <c r="D38" s="250"/>
      <c r="E38" s="250"/>
      <c r="F38" s="250"/>
      <c r="G38" s="250"/>
      <c r="H38" s="250"/>
      <c r="I38" s="243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  <c r="Y38" s="250"/>
      <c r="Z38" s="250"/>
      <c r="AA38" s="250"/>
      <c r="AB38" s="250"/>
      <c r="AC38" s="250"/>
      <c r="AD38" s="250"/>
      <c r="AE38" s="250"/>
      <c r="AF38" s="250"/>
      <c r="AG38" s="250"/>
      <c r="AH38" s="250"/>
      <c r="AI38" s="250"/>
      <c r="AJ38" s="250"/>
      <c r="AK38" s="249"/>
      <c r="AL38" s="249"/>
      <c r="AM38" s="253"/>
      <c r="AN38" s="250"/>
      <c r="AO38" s="250"/>
      <c r="AP38" s="250"/>
      <c r="AQ38" s="250"/>
      <c r="AR38" s="250"/>
      <c r="AS38" s="250"/>
      <c r="AT38" s="249"/>
      <c r="AU38" s="249"/>
      <c r="AV38" s="253"/>
      <c r="AW38" s="249"/>
      <c r="AX38" s="249"/>
      <c r="AY38" s="253"/>
      <c r="AZ38" s="249"/>
      <c r="BA38" s="249"/>
      <c r="BB38" s="253"/>
      <c r="BC38" s="249"/>
      <c r="BD38" s="249"/>
      <c r="BE38" s="253"/>
      <c r="BF38" s="249"/>
      <c r="BG38" s="249"/>
      <c r="BH38" s="253"/>
      <c r="BI38" s="249"/>
      <c r="BJ38" s="249"/>
      <c r="BK38" s="253"/>
      <c r="BL38" s="249"/>
      <c r="BM38" s="249"/>
      <c r="BN38" s="253"/>
      <c r="BO38" s="272">
        <f>SUM(BO4,BO5,BO11,BO12,BO13,BO7,BO15)</f>
        <v>64793.91</v>
      </c>
      <c r="BP38" s="272">
        <f>SUM(BP4,BP5,BP11,BP12,BP13,BP7,BP15)</f>
        <v>43110.28</v>
      </c>
      <c r="BQ38" s="273">
        <f>BP38/BO38</f>
        <v>0.66534462883934609</v>
      </c>
      <c r="BR38" s="272">
        <f>SUM(BR4,BR5,BR11,BR12,BR13,BR7,BR15)</f>
        <v>62083.67</v>
      </c>
      <c r="BS38" s="272">
        <f>SUM(BS4,BS5,BS11,BS12,BS13,BS7,BS15)</f>
        <v>41378.19</v>
      </c>
      <c r="BT38" s="273">
        <f>BS38/BR38</f>
        <v>0.66649072131206166</v>
      </c>
      <c r="BU38" s="272">
        <f>SUM(BU4,BU5,BU11,BU12,BU13,BU7,BU15)</f>
        <v>49283.020000000004</v>
      </c>
      <c r="BV38" s="272">
        <f>SUM(BV4,BV5,BV11,BV12,BV13,BV7,BV15)</f>
        <v>46249.32</v>
      </c>
      <c r="BW38" s="273">
        <f>BV38/BU38</f>
        <v>0.93844330156715228</v>
      </c>
      <c r="BX38" s="272">
        <f>SUM(BX4,BX5,BX11,BX12,BX13,BX7,BX15)</f>
        <v>58961.81</v>
      </c>
      <c r="BY38" s="272">
        <f>SUM(BY4,BY5,BY11,BY12,BY13,BY7,BY15)</f>
        <v>46363.85</v>
      </c>
      <c r="BZ38" s="273">
        <f>BY38/BX38</f>
        <v>0.78633695268174431</v>
      </c>
      <c r="CA38" s="272">
        <f>SUM(CA4,CA5,CA11,CA12,CA13,CA7,CA15)</f>
        <v>51594.53</v>
      </c>
      <c r="CB38" s="272">
        <f>SUM(CB4,CB5,CB11,CB12,CB13,CB7,CB15)</f>
        <v>49205.579999999994</v>
      </c>
      <c r="CC38" s="273">
        <f>CB38/CA38</f>
        <v>0.95369761096767425</v>
      </c>
      <c r="CD38" s="272">
        <f>SUM(CD4,CD5,CD11,CD12,CD13,CD7,CD15)</f>
        <v>87906.66</v>
      </c>
      <c r="CE38" s="272">
        <f>SUM(CE4,CE5,CE11,CE12,CE13,CE7,CE15)</f>
        <v>62158.55000000001</v>
      </c>
      <c r="CF38" s="273">
        <f>CE38/CD38</f>
        <v>0.70709716419666047</v>
      </c>
      <c r="CG38" s="272">
        <f>SUM(CG4,CG5,CG11,CG12,CG13,CG7,CG15)</f>
        <v>125605.13</v>
      </c>
      <c r="CH38" s="272">
        <f>SUM(CH4,CH5,CH11,CH12,CH13,CH7,CH15)</f>
        <v>101077.20999999999</v>
      </c>
      <c r="CI38" s="273">
        <f>CH38/CG38</f>
        <v>0.80472198866399791</v>
      </c>
      <c r="CJ38" s="272">
        <f>SUM(CJ4,CJ5,CJ11,CJ12,CJ13,CJ7,CJ15)</f>
        <v>61767.41</v>
      </c>
      <c r="CK38" s="272">
        <f>SUM(CK4,CK5,CK11,CK12,CK13,CK7,CK15)</f>
        <v>51321.189999999995</v>
      </c>
      <c r="CL38" s="273">
        <f>CK38/CJ38</f>
        <v>0.83087812812614281</v>
      </c>
      <c r="CM38" s="272">
        <f>SUM(CM4,CM5,CM11,CM12,CM13,CM7,CM15)</f>
        <v>75890.899999999994</v>
      </c>
      <c r="CN38" s="272">
        <f>SUM(CN4,CN5,CN11,CN12,CN13,CN7,CN15)</f>
        <v>63849.72</v>
      </c>
      <c r="CO38" s="273">
        <f>CN38/CM38</f>
        <v>0.84133565420887102</v>
      </c>
      <c r="CP38" s="272">
        <f>SUM(CP4,CP5,CP11,CP12,CP13,CP7,CP15)</f>
        <v>60269.18</v>
      </c>
      <c r="CQ38" s="272">
        <f>SUM(CQ4,CQ5,CQ11,CQ12,CQ13,CQ7,CQ15)</f>
        <v>54878.439999999988</v>
      </c>
      <c r="CR38" s="273">
        <f>CQ38/CP38</f>
        <v>0.91055561067862523</v>
      </c>
      <c r="CS38" s="272">
        <f>SUM(CS4,CS5,CS11,CS12,CS13,CS7,CS15)</f>
        <v>48223.11</v>
      </c>
      <c r="CT38" s="272">
        <f>SUM(CT4,CT5,CT11,CT12,CT13,CT7,CT15)</f>
        <v>43910.170000000006</v>
      </c>
      <c r="CU38" s="273">
        <f>CT38/CS38</f>
        <v>0.91056279862497469</v>
      </c>
      <c r="CV38" s="272">
        <f>SUM(CV4,CV5,CV11,CV12,CV13,CV7,CV15)</f>
        <v>67998.78</v>
      </c>
      <c r="CW38" s="272">
        <f>SUM(CW4,CW5,CW11,CW12,CW13,CW7,CW15)</f>
        <v>49938.380000000005</v>
      </c>
      <c r="CX38" s="273">
        <f>CW38/CV38</f>
        <v>0.73440111719651446</v>
      </c>
      <c r="CY38" s="272">
        <f>SUM(CY4,CY5,CY11,CY12,CY13,CY7,CY15)</f>
        <v>68169.149999999994</v>
      </c>
      <c r="CZ38" s="272">
        <f>SUM(CZ4,CZ5,CZ11,CZ12,CZ13,CZ7,CZ15)</f>
        <v>65423.44</v>
      </c>
      <c r="DA38" s="273">
        <f>CZ38/CY38</f>
        <v>0.95972210303341043</v>
      </c>
      <c r="DB38" s="272">
        <f>SUM(DB4,DB5,DB11,DB12,DB13,DB7,DB15)</f>
        <v>116605.84</v>
      </c>
      <c r="DC38" s="272">
        <f>SUM(DC4,DC5,DC11,DC12,DC13,DC7,DC15)</f>
        <v>91297.63</v>
      </c>
      <c r="DD38" s="273">
        <f>DC38/DB38</f>
        <v>0.78295932690849801</v>
      </c>
      <c r="DE38" s="272">
        <f>SUM(DE4,DE5,DE11,DE12,DE13,DE7,DE15)</f>
        <v>62267.49</v>
      </c>
      <c r="DF38" s="272">
        <f>SUM(DF4,DF5,DF11,DF12,DF13,DF7,DF15)</f>
        <v>52426.12000000001</v>
      </c>
      <c r="DG38" s="273">
        <f>DF38/DE38</f>
        <v>0.84195010911793633</v>
      </c>
      <c r="DH38" s="272">
        <f>SUM(DH4,DH5,DH11,DH12,DH13,DH7,DH15)</f>
        <v>71180.94</v>
      </c>
      <c r="DI38" s="272">
        <f>SUM(DI4,DI5,DI11,DI12,DI13,DI7,DI15)</f>
        <v>48862.909999999996</v>
      </c>
      <c r="DJ38" s="273">
        <f>DI38/DH38</f>
        <v>0.68646058902846741</v>
      </c>
      <c r="DK38" s="272">
        <f>SUM(DK4,DK5,DK11,DK12,DK13,DK7,DK15)</f>
        <v>73887.25</v>
      </c>
      <c r="DL38" s="272">
        <f>SUM(DL4,DL5,DL11,DL12,DL13,DL7,DL15)</f>
        <v>57931.75</v>
      </c>
      <c r="DM38" s="273">
        <f>DL38/DK38</f>
        <v>0.78405611252279661</v>
      </c>
      <c r="DN38" s="272">
        <f>SUM(DN4,DN5,DN11,DN12,DN13,DN7,DN15)</f>
        <v>88030.03</v>
      </c>
      <c r="DO38" s="272">
        <f>SUM(DO4,DO5,DO11,DO12,DO13,DO7,DO15)</f>
        <v>49101.990000000005</v>
      </c>
      <c r="DP38" s="273">
        <f>DO38/DN38</f>
        <v>0.55778681434051547</v>
      </c>
      <c r="DQ38" s="272">
        <f>SUM(DQ4,DQ5,DQ11,DQ12,DQ13,DQ7,DQ15)</f>
        <v>179945.13000000003</v>
      </c>
      <c r="DR38" s="272">
        <f>SUM(DR4,DR5,DR11,DR12,DR13,DR7,DR15)</f>
        <v>61456.67</v>
      </c>
      <c r="DS38" s="273">
        <f>DR38/DQ38</f>
        <v>0.34153005418929638</v>
      </c>
      <c r="DT38" s="272">
        <f>SUM(DT4,DT5,DT11,DT12,DT13,DT7,DT15)</f>
        <v>176321</v>
      </c>
      <c r="DU38" s="272">
        <f>SUM(DU4,DU5,DU11,DU12,DU13,DU7,DU15)</f>
        <v>86515.040000000008</v>
      </c>
      <c r="DV38" s="273">
        <f>DU38/DT38</f>
        <v>0.49066781608543514</v>
      </c>
      <c r="DW38" s="272">
        <f>SUM(DW4,DW5,DW11,DW12,DW13,DW7,DW15)</f>
        <v>129127.15000000001</v>
      </c>
      <c r="DX38" s="272">
        <f>SUM(DX4,DX5,DX11,DX12,DX13,DX7,DX15)</f>
        <v>130690.83</v>
      </c>
      <c r="DY38" s="273">
        <f t="shared" si="114"/>
        <v>1.0121096144381718</v>
      </c>
      <c r="DZ38" s="272">
        <f>SUM(DZ4,DZ5,DZ11,DZ12,DZ13,DZ7,DZ15)</f>
        <v>56386.69</v>
      </c>
      <c r="EA38" s="272">
        <f>SUM(EA4,EA5,EA11,EA12,EA13,EA7,EA15)</f>
        <v>80315.450000000012</v>
      </c>
      <c r="EB38" s="273">
        <f t="shared" si="115"/>
        <v>1.4243689423869359</v>
      </c>
      <c r="EC38" s="272">
        <f>SUM(EC4,EC5,EC11,EC12,EC13,EC7,EC15)</f>
        <v>61585.89</v>
      </c>
      <c r="ED38" s="272">
        <f>SUM(ED4,ED5,ED11,ED12,ED13,ED7,ED15)</f>
        <v>31551.079999999998</v>
      </c>
      <c r="EE38" s="273">
        <f t="shared" si="116"/>
        <v>0.51231020612026545</v>
      </c>
      <c r="EF38" s="272">
        <f>SUM(EF4,EF5,EF11,EF12,EF13,EF7,EF15)</f>
        <v>60249.399999999994</v>
      </c>
      <c r="EG38" s="272">
        <f>SUM(EG4,EG5,EG11,EG12,EG13,EG7,EG15)</f>
        <v>48512.44</v>
      </c>
      <c r="EH38" s="273">
        <f t="shared" si="117"/>
        <v>0.80519374466799676</v>
      </c>
      <c r="EI38" s="272">
        <f>SUM(EI4,EI5,EI11,EI12,EI13,EI7,EI15)</f>
        <v>47176.43</v>
      </c>
      <c r="EJ38" s="272">
        <f>SUM(EJ4,EJ5,EJ11,EJ12,EJ13,EJ7,EJ15)</f>
        <v>47192.6</v>
      </c>
      <c r="EK38" s="273">
        <f t="shared" si="118"/>
        <v>1.0003427559058622</v>
      </c>
      <c r="EL38" s="272">
        <f>SUM(EL4,EL5,EL11,EL12,EL13,EL7,EL15)</f>
        <v>59788.19</v>
      </c>
      <c r="EM38" s="272">
        <f>SUM(EM4,EM5,EM11,EM12,EM13,EM7,EM15)</f>
        <v>37919.85</v>
      </c>
      <c r="EN38" s="273">
        <f t="shared" si="119"/>
        <v>0.63423646041132864</v>
      </c>
      <c r="EO38" s="272">
        <f>SUM(EO4,EO5,EO11,EO12,EO13,EO7,EO15)</f>
        <v>61969.13</v>
      </c>
      <c r="EP38" s="272">
        <f>SUM(EP4,EP5,EP11,EP12,EP13,EP7,EP15)</f>
        <v>63384.55</v>
      </c>
      <c r="EQ38" s="273">
        <f t="shared" si="120"/>
        <v>1.0228407273105173</v>
      </c>
      <c r="ER38" s="272">
        <f>SUM(ER4,ER5,ER11,ER12,ER13,ER7,ER15)</f>
        <v>107440.02</v>
      </c>
      <c r="ES38" s="272">
        <f>SUM(ES4,ES5,ES11,ES12,ES13,ES7,ES15)</f>
        <v>40045.85</v>
      </c>
      <c r="ET38" s="273">
        <f t="shared" si="121"/>
        <v>0.37272749949227485</v>
      </c>
      <c r="EU38" s="272">
        <f>SUM(EU4,EU5,EU11,EU12,EU13,EU7,EU15)</f>
        <v>51449.79</v>
      </c>
      <c r="EV38" s="272">
        <f>SUM(EV4,EV5,EV11,EV12,EV13,EV7,EV15)</f>
        <v>41579.920000000006</v>
      </c>
      <c r="EW38" s="273">
        <f t="shared" si="122"/>
        <v>0.80816500903113508</v>
      </c>
      <c r="EX38" s="272">
        <f>SUM(EX4,EX5,EX11,EX12,EX13,EX7,EX15)</f>
        <v>59497.52</v>
      </c>
      <c r="EY38" s="272">
        <f>SUM(EY4,EY5,EY11,EY12,EY13,EY7,EY15)</f>
        <v>39349.589999999997</v>
      </c>
      <c r="EZ38" s="273">
        <f t="shared" si="123"/>
        <v>0.66136521320552522</v>
      </c>
      <c r="FA38" s="272">
        <f>SUM(FA4,FA5,FA11,FA12,FA13,FA7,FA15)</f>
        <v>57768.77</v>
      </c>
      <c r="FB38" s="272">
        <f>SUM(FB4,FB5,FB11,FB12,FB13,FB7,FB15)</f>
        <v>39882.25</v>
      </c>
      <c r="FC38" s="273">
        <f t="shared" si="124"/>
        <v>0.69037734402169204</v>
      </c>
      <c r="FD38" s="272">
        <f>SUM(FD4,FD5,FD11,FD12,FD13,FD7,FD15)</f>
        <v>45595.12</v>
      </c>
      <c r="FE38" s="272">
        <f>SUM(FE4,FE5,FE11,FE12,FE13,FE7,FE15)</f>
        <v>36301.56</v>
      </c>
      <c r="FF38" s="273">
        <f t="shared" si="125"/>
        <v>0.79617204648216733</v>
      </c>
      <c r="FG38" s="272">
        <f>SUM(FG4,FG5,FG11,FG12,FG13,FG7,FG15)</f>
        <v>55927.39</v>
      </c>
      <c r="FH38" s="272">
        <f>SUM(FH4,FH5,FH11,FH12,FH13,FH7,FH15)</f>
        <v>40469.919999999998</v>
      </c>
      <c r="FI38" s="273">
        <f t="shared" si="126"/>
        <v>0.72361538773756473</v>
      </c>
      <c r="FJ38" s="272">
        <f>SUM(FJ4,FJ5,FJ11,FJ12,FJ13,FJ7,FJ15)</f>
        <v>76369.53</v>
      </c>
      <c r="FK38" s="272">
        <f>SUM(FK4,FK5,FK11,FK12,FK13,FK7,FK15)</f>
        <v>62193.45</v>
      </c>
      <c r="FL38" s="273">
        <f t="shared" si="127"/>
        <v>0.81437518340102388</v>
      </c>
      <c r="FM38" s="272">
        <f>SUM(FM4,FM5,FM11,FM12,FM13,FM7,FM15)</f>
        <v>114772.7</v>
      </c>
      <c r="FN38" s="272">
        <f>SUM(FN4,FN5,FN11,FN12,FN13,FN7,FN15)</f>
        <v>91748.76999999999</v>
      </c>
      <c r="FO38" s="273">
        <f t="shared" si="128"/>
        <v>0.79939541371772205</v>
      </c>
      <c r="FP38" s="272">
        <f>SUM(FP4,FP5,FP11,FP12,FP13,FP7,FP15)</f>
        <v>52815.5</v>
      </c>
      <c r="FQ38" s="272">
        <f>SUM(FQ4,FQ5,FQ11,FQ12,FQ13,FQ7,FQ15)</f>
        <v>40634.36</v>
      </c>
      <c r="FR38" s="273">
        <f t="shared" si="129"/>
        <v>0.76936429646599958</v>
      </c>
      <c r="FS38" s="272">
        <f>SUM(FS4,FS5,FS11,FS12,FS13,FS7,FS15)</f>
        <v>56017.090000000004</v>
      </c>
      <c r="FT38" s="272">
        <f>SUM(FT4,FT5,FT11,FT12,FT13,FT7,FT15)</f>
        <v>41186.520000000004</v>
      </c>
      <c r="FU38" s="273">
        <f t="shared" si="130"/>
        <v>0.73524918913138837</v>
      </c>
      <c r="FV38" s="272">
        <f>SUM(FV4,FV5,FV11,FV12,FV13,FV7,FV15)</f>
        <v>52691.61</v>
      </c>
      <c r="FW38" s="272">
        <f>SUM(FW4,FW5,FW11,FW12,FW13,FW7,FW15)</f>
        <v>39147.869999999995</v>
      </c>
      <c r="FX38" s="273">
        <f t="shared" si="131"/>
        <v>0.74296211484143293</v>
      </c>
      <c r="FY38" s="272">
        <f>SUM(FY4,FY5,FY11,FY12,FY13,FY7,FY15)</f>
        <v>52366.73</v>
      </c>
      <c r="FZ38" s="272">
        <f>SUM(FZ4,FZ5,FZ11,FZ12,FZ13,FZ7,FZ15)</f>
        <v>42829.67</v>
      </c>
      <c r="GA38" s="273">
        <f t="shared" si="132"/>
        <v>0.81787940549276217</v>
      </c>
      <c r="GB38" s="272">
        <f>SUM(GB4,GB5,GB11,GB12,GB13,GB7,GB15)</f>
        <v>55391.57</v>
      </c>
      <c r="GC38" s="272">
        <f>SUM(GC4,GC5,GC11,GC12,GC13,GC7,GC15)</f>
        <v>39215.090000000004</v>
      </c>
      <c r="GD38" s="273">
        <f t="shared" si="133"/>
        <v>0.70796133779923553</v>
      </c>
      <c r="GE38" s="272">
        <f>SUM(GE4,GE5,GE11,GE12,GE13,GE7,GE15)</f>
        <v>67505.319999999992</v>
      </c>
      <c r="GF38" s="272">
        <f>SUM(GF4,GF5,GF11,GF12,GF13,GF7,GF15)</f>
        <v>55061.66</v>
      </c>
      <c r="GG38" s="273">
        <f t="shared" si="134"/>
        <v>0.81566400988840593</v>
      </c>
      <c r="GH38" s="272">
        <f>SUM(GH4,GH5,GH11,GH12,GH13,GH7,GH15)</f>
        <v>108436.41</v>
      </c>
      <c r="GI38" s="272">
        <f>SUM(GI4,GI5,GI11,GI12,GI13,GI7,GI15)</f>
        <v>91455.310000000012</v>
      </c>
      <c r="GJ38" s="273">
        <f t="shared" si="135"/>
        <v>0.84340038553471119</v>
      </c>
      <c r="GK38" s="272">
        <f>SUM(GK4,GK5,GK11,GK12,GK13,GK7,GK15)</f>
        <v>48591.130000000005</v>
      </c>
      <c r="GL38" s="272">
        <f>SUM(GL4,GL5,GL11,GL12,GL13,GL7,GL15)</f>
        <v>50123.649999999994</v>
      </c>
      <c r="GM38" s="273">
        <f t="shared" si="136"/>
        <v>1.0315390895416507</v>
      </c>
      <c r="GN38" s="272">
        <f>SUM(GN4,GN5,GN11,GN12,GN13,GN7,GN15)</f>
        <v>56525.58</v>
      </c>
      <c r="GO38" s="272">
        <f>SUM(GO4,GO5,GO11,GO12,GO13,GO7,GO15)</f>
        <v>47231.040000000001</v>
      </c>
      <c r="GP38" s="273">
        <f t="shared" si="137"/>
        <v>0.83556931215920294</v>
      </c>
      <c r="GQ38" s="272">
        <f>SUM(GQ4,GQ5,GQ11,GQ12,GQ13,GQ7,GQ15)</f>
        <v>60747.7</v>
      </c>
      <c r="GR38" s="272">
        <f>SUM(GR4,GR5,GR11,GR12,GR13,GR7,GR15)</f>
        <v>44168.280000000006</v>
      </c>
      <c r="GS38" s="273">
        <f t="shared" si="138"/>
        <v>0.72707740375355789</v>
      </c>
      <c r="GT38" s="272">
        <f>SUM(GT4,GT5,GT11,GT12,GT13,GT7,GT15)</f>
        <v>48088.229999999996</v>
      </c>
      <c r="GU38" s="272">
        <f>SUM(GU4,GU5,GU11,GU12,GU13,GU7,GU15)</f>
        <v>38735.82</v>
      </c>
      <c r="GV38" s="273">
        <f t="shared" si="139"/>
        <v>0.80551561161639762</v>
      </c>
      <c r="GW38" s="272">
        <f>SUM(GW4,GW5,GW11,GW12,GW13,GW7,GW15)</f>
        <v>50802.729999999996</v>
      </c>
      <c r="GX38" s="272">
        <f>SUM(GX4,GX5,GX11,GX12,GX13,GX7,GX15)</f>
        <v>47204.360000000008</v>
      </c>
      <c r="GY38" s="273">
        <f t="shared" si="140"/>
        <v>0.92916975131060897</v>
      </c>
      <c r="GZ38" s="272">
        <f>SUM(GZ4,GZ5,GZ11,GZ12,GZ13,GZ7,GZ15)</f>
        <v>50802.729999999996</v>
      </c>
      <c r="HA38" s="272">
        <f>SUM(HA4,HA5,HA11,HA12,HA13,HA7,HA15)</f>
        <v>61561.69</v>
      </c>
      <c r="HB38" s="273">
        <f t="shared" si="141"/>
        <v>1.2117791701351484</v>
      </c>
      <c r="HC38" s="272">
        <f>SUM(HC4,HC5,HC11,HC12,HC13,HC7,HC15)</f>
        <v>133721.75</v>
      </c>
      <c r="HD38" s="272">
        <f>SUM(HD4,HD5,HD11,HD12,HD13,HD7,HD15)</f>
        <v>96825.859999999986</v>
      </c>
      <c r="HE38" s="273">
        <f t="shared" si="142"/>
        <v>0.72408460104657613</v>
      </c>
      <c r="HF38" s="272">
        <f>SUM(HF4,HF5,HF11,HF12,HF13,HF7,HF15)</f>
        <v>59192.06</v>
      </c>
      <c r="HG38" s="272">
        <f>SUM(HG4,HG5,HG11,HG12,HG13,HG7,HG15)</f>
        <v>56211.499999999993</v>
      </c>
      <c r="HH38" s="273">
        <f t="shared" si="143"/>
        <v>0.94964594913574552</v>
      </c>
      <c r="HI38" s="272">
        <f>SUM(HI4,HI5,HI11,HI12,HI13,HI7,HI15)</f>
        <v>70954.53</v>
      </c>
      <c r="HJ38" s="272">
        <f>SUM(HJ4,HJ5,HJ11,HJ12,HJ13,HJ7,HJ15)</f>
        <v>69251.040000000008</v>
      </c>
      <c r="HK38" s="273">
        <f t="shared" si="144"/>
        <v>0.97599180771122029</v>
      </c>
      <c r="HL38" s="272">
        <f>SUM(HL4,HL5,HL11,HL12,HL13,HL7,HL15)</f>
        <v>60788.330000000009</v>
      </c>
      <c r="HM38" s="272">
        <f>SUM(HM4,HM5,HM11,HM12,HM13,HM7,HM15)</f>
        <v>51368.66</v>
      </c>
      <c r="HN38" s="273">
        <f t="shared" si="145"/>
        <v>0.84504147424349374</v>
      </c>
      <c r="HO38" s="272">
        <f>SUM(HO4,HO5,HO11,HO12,HO13,HO7,HO15)</f>
        <v>47742.079999999994</v>
      </c>
      <c r="HP38" s="272">
        <f>SUM(HP4,HP5,HP11,HP12,HP13,HP7,HP15)</f>
        <v>49155.259999999995</v>
      </c>
      <c r="HQ38" s="273">
        <f t="shared" si="146"/>
        <v>1.0296003022909768</v>
      </c>
      <c r="HR38" s="272">
        <f>SUM(HR4,HR5,HR11,HR12,HR13,HR7,HR15)</f>
        <v>45320.45</v>
      </c>
      <c r="HS38" s="272">
        <f>SUM(HS4,HS5,HS11,HS12,HS13,HS7,HS15)</f>
        <v>55639.779999999992</v>
      </c>
      <c r="HT38" s="273">
        <f t="shared" si="147"/>
        <v>1.2276969888869151</v>
      </c>
      <c r="HU38" s="272">
        <f>SUM(HU4,HU5,HU11,HU12,HU13,HU7,HU15)</f>
        <v>50549.210000000006</v>
      </c>
      <c r="HV38" s="272">
        <f>SUM(HV4,HV5,HV11,HV12,HV13,HV7,HV15)</f>
        <v>69013.83</v>
      </c>
      <c r="HW38" s="273">
        <f t="shared" si="148"/>
        <v>1.365280090430691</v>
      </c>
      <c r="HX38" s="272">
        <f>SUM(HX4,HX5,HX11,HX12,HX13,HX7,HX15)</f>
        <v>77418.189999999988</v>
      </c>
      <c r="HY38" s="272">
        <f>SUM(HY4,HY5,HY11,HY12,HY13,HY7,HY15)</f>
        <v>93808.84</v>
      </c>
      <c r="HZ38" s="273">
        <f t="shared" si="149"/>
        <v>1.2117157479398577</v>
      </c>
      <c r="IA38" s="272">
        <f>SUM(IA4,IA5,IA11,IA12,IA13,IA7,IA15)</f>
        <v>41351.159999999996</v>
      </c>
      <c r="IB38" s="272">
        <f>SUM(IB4,IB5,IB11,IB12,IB13,IB7,IB15)</f>
        <v>52081.490000000005</v>
      </c>
      <c r="IC38" s="273">
        <f t="shared" si="150"/>
        <v>1.2594928413132791</v>
      </c>
      <c r="ID38" s="275"/>
      <c r="IE38" s="275"/>
      <c r="IF38" s="275"/>
      <c r="IG38" s="275"/>
      <c r="IH38" s="275"/>
      <c r="II38" s="275"/>
      <c r="IJ38" s="275"/>
      <c r="IK38" s="275"/>
      <c r="IL38" s="275"/>
      <c r="IM38" s="275"/>
      <c r="IN38" s="275"/>
      <c r="IO38" s="275"/>
      <c r="IP38" s="275"/>
      <c r="IQ38" s="330">
        <f>SUM(IQ4,IQ5,IQ11,IQ12,IQ13,IQ7,IQ15)</f>
        <v>1306468.9300000002</v>
      </c>
      <c r="IR38" s="272">
        <f>SUM(IR4,IR5,IR11,IR12,IR13,IR7,IR15)</f>
        <v>1179830.0900000001</v>
      </c>
      <c r="IS38" s="272">
        <f>SUM(IS4,IS5,IS11,IS12,IS13,IS7,IS15)</f>
        <v>-126638.84000000007</v>
      </c>
      <c r="IT38" s="273">
        <f t="shared" si="151"/>
        <v>0.90306785175518867</v>
      </c>
      <c r="IU38" s="272">
        <f>SUM(IU4,IU5,IU11,IU12,IU13,IU7,IU15)</f>
        <v>411964.85</v>
      </c>
      <c r="IV38" s="272">
        <f>SUM(IV4,IV5,IV11,IV12,IV13,IV7,IV15)</f>
        <v>444448.90999999992</v>
      </c>
      <c r="IW38" s="272">
        <f>SUM(IW4,IW5,IW11,IW12,IW13,IW7,IW15)</f>
        <v>32484.060000000009</v>
      </c>
      <c r="IX38" s="331">
        <f t="shared" si="152"/>
        <v>1.078851533085893</v>
      </c>
      <c r="IZ38" s="339"/>
    </row>
    <row r="39" spans="3:262" ht="16.5">
      <c r="C39" s="259" t="s">
        <v>43</v>
      </c>
      <c r="D39" s="250"/>
      <c r="E39" s="250"/>
      <c r="F39" s="250"/>
      <c r="G39" s="250"/>
      <c r="H39" s="250"/>
      <c r="I39" s="243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  <c r="X39" s="250"/>
      <c r="Y39" s="250"/>
      <c r="Z39" s="250"/>
      <c r="AA39" s="250"/>
      <c r="AB39" s="250"/>
      <c r="AC39" s="250"/>
      <c r="AD39" s="250"/>
      <c r="AE39" s="250"/>
      <c r="AF39" s="250"/>
      <c r="AG39" s="250"/>
      <c r="AH39" s="250"/>
      <c r="AI39" s="250"/>
      <c r="AJ39" s="250"/>
      <c r="AK39" s="249"/>
      <c r="AL39" s="249"/>
      <c r="AM39" s="253"/>
      <c r="AN39" s="250"/>
      <c r="AO39" s="250"/>
      <c r="AP39" s="250"/>
      <c r="AQ39" s="250"/>
      <c r="AR39" s="250"/>
      <c r="AS39" s="250"/>
      <c r="AT39" s="249"/>
      <c r="AU39" s="249"/>
      <c r="AV39" s="253"/>
      <c r="AW39" s="249"/>
      <c r="AX39" s="249"/>
      <c r="AY39" s="253"/>
      <c r="AZ39" s="249"/>
      <c r="BA39" s="249"/>
      <c r="BB39" s="253"/>
      <c r="BC39" s="249"/>
      <c r="BD39" s="249"/>
      <c r="BE39" s="253"/>
      <c r="BF39" s="249"/>
      <c r="BG39" s="249"/>
      <c r="BH39" s="253"/>
      <c r="BI39" s="249"/>
      <c r="BJ39" s="249"/>
      <c r="BK39" s="253"/>
      <c r="BL39" s="249"/>
      <c r="BM39" s="249"/>
      <c r="BN39" s="253"/>
      <c r="BO39" s="272">
        <f>SUM(BO6,BO8,BO10,BO14,BO22,BO18,BO21)</f>
        <v>71445.539999999994</v>
      </c>
      <c r="BP39" s="272">
        <f>SUM(BP6,BP8,BP10,BP14,BP22,BP18,BP21)</f>
        <v>47459.67</v>
      </c>
      <c r="BQ39" s="273">
        <f>BP39/BO39</f>
        <v>0.66427757421946843</v>
      </c>
      <c r="BR39" s="272">
        <f>SUM(BR6,BR8,BR10,BR14,BR22,BR18,BR21)</f>
        <v>44399.360000000001</v>
      </c>
      <c r="BS39" s="272">
        <f>SUM(BS6,BS8,BS10,BS14,BS22,BS18,BS21)</f>
        <v>37559.74</v>
      </c>
      <c r="BT39" s="273">
        <f>BS39/BR39</f>
        <v>0.84595228399688638</v>
      </c>
      <c r="BU39" s="272">
        <f>SUM(BU6,BU8,BU10,BU14,BU22,BU18,BU21)</f>
        <v>44430.87</v>
      </c>
      <c r="BV39" s="272">
        <f>SUM(BV6,BV8,BV10,BV14,BV22,BV18,BV21)</f>
        <v>39450.409999999996</v>
      </c>
      <c r="BW39" s="273">
        <f>BV39/BU39</f>
        <v>0.88790541351092145</v>
      </c>
      <c r="BX39" s="272">
        <f>SUM(BX6,BX8,BX10,BX14,BX22,BX18,BX21)</f>
        <v>40866.33</v>
      </c>
      <c r="BY39" s="272">
        <f>SUM(BY6,BY8,BY10,BY14,BY22,BY18,BY21)</f>
        <v>36650.65</v>
      </c>
      <c r="BZ39" s="273">
        <f>BY39/BX39</f>
        <v>0.89684221705252221</v>
      </c>
      <c r="CA39" s="272">
        <f>SUM(CA6,CA8,CA10,CA14,CA22,CA18,CA21)</f>
        <v>42024.67</v>
      </c>
      <c r="CB39" s="272">
        <f>SUM(CB6,CB8,CB10,CB14,CB22,CB18,CB21)</f>
        <v>47664.670000000006</v>
      </c>
      <c r="CC39" s="273">
        <f>CB39/CA39</f>
        <v>1.1342068837185397</v>
      </c>
      <c r="CD39" s="272">
        <f>SUM(CD6,CD8,CD10,CD14,CD22,CD18,CD21)</f>
        <v>77012.59</v>
      </c>
      <c r="CE39" s="272">
        <f>SUM(CE6,CE8,CE10,CE14,CE22,CE18,CE21)</f>
        <v>51852.28</v>
      </c>
      <c r="CF39" s="273">
        <f>CE39/CD39</f>
        <v>0.67329614547439587</v>
      </c>
      <c r="CG39" s="272">
        <f>SUM(CG6,CG8,CG10,CG14,CG22,CG18,CG21)</f>
        <v>119432.76</v>
      </c>
      <c r="CH39" s="272">
        <f>SUM(CH6,CH8,CH10,CH14,CH22,CH18,CH21)</f>
        <v>93835.01</v>
      </c>
      <c r="CI39" s="273">
        <f>CH39/CG39</f>
        <v>0.78567228957950896</v>
      </c>
      <c r="CJ39" s="272">
        <f>SUM(CJ6,CJ8,CJ10,CJ14,CJ22,CJ18,CJ21)</f>
        <v>74392.960000000006</v>
      </c>
      <c r="CK39" s="272">
        <f>SUM(CK6,CK8,CK10,CK14,CK22,CK18,CK21)</f>
        <v>67210.42</v>
      </c>
      <c r="CL39" s="273">
        <f>CK39/CJ39</f>
        <v>0.90345134808454985</v>
      </c>
      <c r="CM39" s="272">
        <f>SUM(CM6,CM8,CM10,CM14,CM22,CM18,CM21)</f>
        <v>78129.09</v>
      </c>
      <c r="CN39" s="272">
        <f>SUM(CN6,CN8,CN10,CN14,CN22,CN18,CN21)</f>
        <v>62175.950000000004</v>
      </c>
      <c r="CO39" s="273">
        <f>CN39/CM39</f>
        <v>0.79581049772882295</v>
      </c>
      <c r="CP39" s="272">
        <f>SUM(CP6,CP8,CP10,CP14,CP22,CP18,CP21)</f>
        <v>44747.68</v>
      </c>
      <c r="CQ39" s="272">
        <f>SUM(CQ6,CQ8,CQ10,CQ14,CQ22,CQ18,CQ21)</f>
        <v>43573.36</v>
      </c>
      <c r="CR39" s="273">
        <f>CQ39/CP39</f>
        <v>0.97375685175186733</v>
      </c>
      <c r="CS39" s="272">
        <f>SUM(CS6,CS8,CS10,CS14,CS22,CS18,CS21)</f>
        <v>42208.659999999996</v>
      </c>
      <c r="CT39" s="272">
        <f>SUM(CT6,CT8,CT10,CT14,CT22,CT18,CT21)</f>
        <v>48450.159999999996</v>
      </c>
      <c r="CU39" s="273">
        <f>CT39/CS39</f>
        <v>1.1478724982029753</v>
      </c>
      <c r="CV39" s="272">
        <f>SUM(CV6,CV8,CV10,CV14,CV22,CV18,CV21)</f>
        <v>50740.58</v>
      </c>
      <c r="CW39" s="272">
        <f>SUM(CW6,CW8,CW10,CW14,CW22,CW18,CW21)</f>
        <v>44262.319999999992</v>
      </c>
      <c r="CX39" s="273">
        <f>CW39/CV39</f>
        <v>0.87232585831695242</v>
      </c>
      <c r="CY39" s="272">
        <f>SUM(CY6,CY8,CY10,CY14,CY22,CY18,CY21)</f>
        <v>72963.33</v>
      </c>
      <c r="CZ39" s="272">
        <f>SUM(CZ6,CZ8,CZ10,CZ14,CZ22,CZ18,CZ21)</f>
        <v>66521.86</v>
      </c>
      <c r="DA39" s="273">
        <f>CZ39/CY39</f>
        <v>0.91171633750817016</v>
      </c>
      <c r="DB39" s="272">
        <f>SUM(DB6,DB8,DB10,DB14,DB22,DB18,DB21)</f>
        <v>132344.03999999998</v>
      </c>
      <c r="DC39" s="272">
        <f>SUM(DC6,DC8,DC10,DC14,DC22,DC18,DC21)</f>
        <v>98388.239999999991</v>
      </c>
      <c r="DD39" s="273">
        <f>DC39/DB39</f>
        <v>0.74342781133173819</v>
      </c>
      <c r="DE39" s="272">
        <f>SUM(DE6,DE8,DE10,DE14,DE22,DE18,DE21)</f>
        <v>79965.37999999999</v>
      </c>
      <c r="DF39" s="272">
        <f>SUM(DF6,DF8,DF10,DF14,DF22,DF18,DF21)</f>
        <v>53211.81</v>
      </c>
      <c r="DG39" s="273">
        <f>DF39/DE39</f>
        <v>0.66543559225254734</v>
      </c>
      <c r="DH39" s="272">
        <f>SUM(DH6,DH8,DH10,DH14,DH22,DH18,DH21)</f>
        <v>49767.820000000007</v>
      </c>
      <c r="DI39" s="272">
        <f>SUM(DI6,DI8,DI10,DI14,DI22,DI18,DI21)</f>
        <v>47323.509999999995</v>
      </c>
      <c r="DJ39" s="273">
        <f>DI39/DH39</f>
        <v>0.9508857329897108</v>
      </c>
      <c r="DK39" s="272">
        <f>SUM(DK6,DK8,DK10,DK14,DK22,DK18,DK21)</f>
        <v>63836.58</v>
      </c>
      <c r="DL39" s="272">
        <f>SUM(DL6,DL8,DL10,DL14,DL22,DL18,DL21)</f>
        <v>46198.42</v>
      </c>
      <c r="DM39" s="273">
        <f>DL39/DK39</f>
        <v>0.7236982307009554</v>
      </c>
      <c r="DN39" s="272">
        <f>SUM(DN6,DN8,DN10,DN14,DN22,DN18,DN21)</f>
        <v>68548.569999999992</v>
      </c>
      <c r="DO39" s="272">
        <f>SUM(DO6,DO8,DO10,DO14,DO22,DO18,DO21)</f>
        <v>43033.869999999995</v>
      </c>
      <c r="DP39" s="273">
        <f>DO39/DN39</f>
        <v>0.62778654609425111</v>
      </c>
      <c r="DQ39" s="272">
        <f>SUM(DQ6,DQ8,DQ10,DQ14,DQ22,DQ18,DQ21)</f>
        <v>159910.59</v>
      </c>
      <c r="DR39" s="272">
        <f>SUM(DR6,DR8,DR10,DR14,DR22,DR18,DR21)</f>
        <v>64276.62999999999</v>
      </c>
      <c r="DS39" s="273">
        <f>DR39/DQ39</f>
        <v>0.40195355417048984</v>
      </c>
      <c r="DT39" s="272">
        <f>SUM(DT6,DT8,DT10,DT14,DT22,DT18,DT21)</f>
        <v>160016.56</v>
      </c>
      <c r="DU39" s="272">
        <f>SUM(DU6,DU8,DU10,DU14,DU22,DU18,DU21)</f>
        <v>104079.37000000001</v>
      </c>
      <c r="DV39" s="273">
        <f>DU39/DT39</f>
        <v>0.65042874312508658</v>
      </c>
      <c r="DW39" s="272">
        <f>SUM(DW6,DW8,DW10,DW14,DW22,DW18,DW21)</f>
        <v>127459.36999999998</v>
      </c>
      <c r="DX39" s="272">
        <f>SUM(DX6,DX8,DX10,DX14,DX22,DX18,DX21)</f>
        <v>146778.32</v>
      </c>
      <c r="DY39" s="273">
        <f t="shared" si="114"/>
        <v>1.1515694766104683</v>
      </c>
      <c r="DZ39" s="272">
        <f>SUM(DZ6,DZ8,DZ10,DZ14,DZ22,DZ18,DZ21)</f>
        <v>84815.530000000013</v>
      </c>
      <c r="EA39" s="272">
        <f>SUM(EA6,EA8,EA10,EA14,EA22,EA18,EA21)</f>
        <v>72036.859999999986</v>
      </c>
      <c r="EB39" s="273">
        <f t="shared" si="115"/>
        <v>0.8493357289637874</v>
      </c>
      <c r="EC39" s="272">
        <f>SUM(EC6,EC8,EC10,EC14,EC22,EC18,EC21)</f>
        <v>49961.2</v>
      </c>
      <c r="ED39" s="272">
        <f>SUM(ED6,ED8,ED10,ED14,ED22,ED18,ED21)</f>
        <v>27584.54</v>
      </c>
      <c r="EE39" s="273">
        <f t="shared" si="116"/>
        <v>0.55211924453375827</v>
      </c>
      <c r="EF39" s="272">
        <f>SUM(EF6,EF8,EF10,EF14,EF22,EF18,EF21)</f>
        <v>41836.03</v>
      </c>
      <c r="EG39" s="272">
        <f>SUM(EG6,EG8,EG10,EG14,EG22,EG18,EG21)</f>
        <v>43625.770000000004</v>
      </c>
      <c r="EH39" s="273">
        <f t="shared" si="117"/>
        <v>1.0427798717994992</v>
      </c>
      <c r="EI39" s="272">
        <f>SUM(EI6,EI8,EI10,EI14,EI22,EI18,EI21)</f>
        <v>42078.42</v>
      </c>
      <c r="EJ39" s="272">
        <f>SUM(EJ6,EJ8,EJ10,EJ14,EJ22,EJ18,EJ21)</f>
        <v>34314.990000000005</v>
      </c>
      <c r="EK39" s="273">
        <f t="shared" si="118"/>
        <v>0.81550091472065744</v>
      </c>
      <c r="EL39" s="272">
        <f>SUM(EL6,EL8,EL10,EL14,EL22,EL18,EL21)</f>
        <v>48779.33</v>
      </c>
      <c r="EM39" s="272">
        <f>SUM(EM6,EM8,EM10,EM14,EM22,EM18,EM21)</f>
        <v>44567.57</v>
      </c>
      <c r="EN39" s="273">
        <f t="shared" si="119"/>
        <v>0.91365687064582479</v>
      </c>
      <c r="EO39" s="272">
        <f>SUM(EO6,EO8,EO10,EO14,EO22,EO18,EO21)</f>
        <v>67738.489999999991</v>
      </c>
      <c r="EP39" s="272">
        <f>SUM(EP6,EP8,EP10,EP14,EP22,EP18,EP21)</f>
        <v>37241.379999999997</v>
      </c>
      <c r="EQ39" s="273">
        <f t="shared" si="120"/>
        <v>0.54978166770472747</v>
      </c>
      <c r="ER39" s="272">
        <f>SUM(ER6,ER8,ER10,ER14,ER22,ER18,ER21)</f>
        <v>116962.06000000001</v>
      </c>
      <c r="ES39" s="272">
        <f>SUM(ES6,ES8,ES10,ES14,ES22,ES18,ES21)</f>
        <v>26886.06</v>
      </c>
      <c r="ET39" s="273">
        <f t="shared" si="121"/>
        <v>0.22986992534160222</v>
      </c>
      <c r="EU39" s="272">
        <f>SUM(EU6,EU8,EU10,EU14,EU22,EU18,EU21)</f>
        <v>78037.849999999991</v>
      </c>
      <c r="EV39" s="272">
        <f>SUM(EV6,EV8,EV10,EV14,EV22,EV18,EV21)</f>
        <v>61190.029999999992</v>
      </c>
      <c r="EW39" s="273">
        <f t="shared" si="122"/>
        <v>0.78410707111997568</v>
      </c>
      <c r="EX39" s="272">
        <f>SUM(EX6,EX8,EX10,EX14,EX22,EX18,EX21)</f>
        <v>47214.170000000006</v>
      </c>
      <c r="EY39" s="272">
        <f>SUM(EY6,EY8,EY10,EY14,EY22,EY18,EY21)</f>
        <v>41675.670000000006</v>
      </c>
      <c r="EZ39" s="273">
        <f t="shared" si="123"/>
        <v>0.88269411492354943</v>
      </c>
      <c r="FA39" s="272">
        <f>SUM(FA6,FA8,FA10,FA14,FA22,FA18,FA21)</f>
        <v>42614.06</v>
      </c>
      <c r="FB39" s="272">
        <f>SUM(FB6,FB8,FB10,FB14,FB22,FB18,FB21)</f>
        <v>40906.44</v>
      </c>
      <c r="FC39" s="273">
        <f t="shared" si="124"/>
        <v>0.95992824903330043</v>
      </c>
      <c r="FD39" s="272">
        <f>SUM(FD6,FD8,FD10,FD14,FD22,FD18,FD21)</f>
        <v>34885.770000000004</v>
      </c>
      <c r="FE39" s="272">
        <f>SUM(FE6,FE8,FE10,FE14,FE22,FE18,FE21)</f>
        <v>43673.530000000006</v>
      </c>
      <c r="FF39" s="273">
        <f t="shared" si="125"/>
        <v>1.251900990002514</v>
      </c>
      <c r="FG39" s="272">
        <f>SUM(FG6,FG8,FG10,FG14,FG22,FG18,FG21)</f>
        <v>50775.760000000009</v>
      </c>
      <c r="FH39" s="272">
        <f>SUM(FH6,FH8,FH10,FH14,FH22,FH18,FH21)</f>
        <v>58964.17</v>
      </c>
      <c r="FI39" s="273">
        <f t="shared" si="126"/>
        <v>1.1612661238354678</v>
      </c>
      <c r="FJ39" s="272">
        <f>SUM(FJ6,FJ8,FJ10,FJ14,FJ22,FJ18,FJ21)</f>
        <v>69440.789999999994</v>
      </c>
      <c r="FK39" s="272">
        <f>SUM(FK6,FK8,FK10,FK14,FK22,FK18,FK21)</f>
        <v>66198.840000000011</v>
      </c>
      <c r="FL39" s="273">
        <f t="shared" si="127"/>
        <v>0.95331346316768595</v>
      </c>
      <c r="FM39" s="272">
        <f>SUM(FM6,FM8,FM10,FM14,FM22,FM18,FM21)</f>
        <v>129273.69</v>
      </c>
      <c r="FN39" s="272">
        <f>SUM(FN6,FN8,FN10,FN14,FN22,FN18,FN21)</f>
        <v>111632.98999999999</v>
      </c>
      <c r="FO39" s="273">
        <f t="shared" si="128"/>
        <v>0.8635399051423378</v>
      </c>
      <c r="FP39" s="272">
        <f>SUM(FP6,FP8,FP10,FP14,FP22,FP18,FP21)</f>
        <v>75695.400000000009</v>
      </c>
      <c r="FQ39" s="272">
        <f>SUM(FQ6,FQ8,FQ10,FQ14,FQ22,FQ18,FQ21)</f>
        <v>60593.919999999998</v>
      </c>
      <c r="FR39" s="273">
        <f t="shared" si="129"/>
        <v>0.80049672767433677</v>
      </c>
      <c r="FS39" s="272">
        <f>SUM(FS6,FS8,FS10,FS14,FS22,FS18,FS21)</f>
        <v>54915.76</v>
      </c>
      <c r="FT39" s="272">
        <f>SUM(FT6,FT8,FT10,FT14,FT22,FT18,FT21)</f>
        <v>44077.08</v>
      </c>
      <c r="FU39" s="273">
        <f t="shared" si="130"/>
        <v>0.80263079305467133</v>
      </c>
      <c r="FV39" s="272">
        <f>SUM(FV6,FV8,FV10,FV14,FV22,FV18,FV21)</f>
        <v>46255.72</v>
      </c>
      <c r="FW39" s="272">
        <f>SUM(FW6,FW8,FW10,FW14,FW22,FW18,FW21)</f>
        <v>45039.55</v>
      </c>
      <c r="FX39" s="273">
        <f t="shared" si="131"/>
        <v>0.97370768415235998</v>
      </c>
      <c r="FY39" s="272">
        <f>SUM(FY6,FY8,FY10,FY14,FY22,FY18,FY21)</f>
        <v>46312.47</v>
      </c>
      <c r="FZ39" s="272">
        <f>SUM(FZ6,FZ8,FZ10,FZ14,FZ22,FZ18,FZ21)</f>
        <v>47278.09</v>
      </c>
      <c r="GA39" s="273">
        <f t="shared" si="132"/>
        <v>1.0208501079730792</v>
      </c>
      <c r="GB39" s="272">
        <f>SUM(GB6,GB8,GB10,GB14,GB22,GB18,GB21)</f>
        <v>57219.85</v>
      </c>
      <c r="GC39" s="272">
        <f>SUM(GC6,GC8,GC10,GC14,GC22,GC18,GC21)</f>
        <v>50952.490000000005</v>
      </c>
      <c r="GD39" s="273">
        <f t="shared" si="133"/>
        <v>0.89046877962804882</v>
      </c>
      <c r="GE39" s="272">
        <f>SUM(GE6,GE8,GE10,GE14,GE22,GE18,GE21)</f>
        <v>66463.09</v>
      </c>
      <c r="GF39" s="272">
        <f>SUM(GF6,GF8,GF10,GF14,GF22,GF18,GF21)</f>
        <v>64363.72</v>
      </c>
      <c r="GG39" s="273">
        <f t="shared" si="134"/>
        <v>0.96841299434016692</v>
      </c>
      <c r="GH39" s="272">
        <f>SUM(GH6,GH8,GH10,GH14,GH22,GH18,GH21)</f>
        <v>108958.24</v>
      </c>
      <c r="GI39" s="272">
        <f>SUM(GI6,GI8,GI10,GI14,GI22,GI18,GI21)</f>
        <v>106867.15999999999</v>
      </c>
      <c r="GJ39" s="273">
        <f t="shared" si="135"/>
        <v>0.98080842715521088</v>
      </c>
      <c r="GK39" s="272">
        <f>SUM(GK6,GK8,GK10,GK14,GK22,GK18,GK21)</f>
        <v>78598.23</v>
      </c>
      <c r="GL39" s="272">
        <f>SUM(GL6,GL8,GL10,GL14,GL22,GL18,GL21)</f>
        <v>69296.94</v>
      </c>
      <c r="GM39" s="273">
        <f t="shared" si="136"/>
        <v>0.88166031219787022</v>
      </c>
      <c r="GN39" s="272">
        <f>SUM(GN6,GN8,GN10,GN14,GN22,GN18,GN21)</f>
        <v>54026.149999999994</v>
      </c>
      <c r="GO39" s="272">
        <f>SUM(GO6,GO8,GO10,GO14,GO22,GO18,GO21)</f>
        <v>39893.399999999994</v>
      </c>
      <c r="GP39" s="273">
        <f t="shared" si="137"/>
        <v>0.7384090852300228</v>
      </c>
      <c r="GQ39" s="272">
        <f>SUM(GQ6,GQ8,GQ10,GQ14,GQ22,GQ18,GQ21)</f>
        <v>44202.990000000005</v>
      </c>
      <c r="GR39" s="272">
        <f>SUM(GR6,GR8,GR10,GR14,GR22,GR18,GR21)</f>
        <v>37028.589999999997</v>
      </c>
      <c r="GS39" s="273">
        <f t="shared" si="138"/>
        <v>0.83769423742602012</v>
      </c>
      <c r="GT39" s="272">
        <f>SUM(GT6,GT8,GT10,GT14,GT22,GT18,GT21)</f>
        <v>51419.41</v>
      </c>
      <c r="GU39" s="272">
        <f>SUM(GU6,GU8,GU10,GU14,GU22,GU18,GU21)</f>
        <v>41264.449999999997</v>
      </c>
      <c r="GV39" s="273">
        <f t="shared" si="139"/>
        <v>0.80250726330776634</v>
      </c>
      <c r="GW39" s="272">
        <f>SUM(GW6,GW8,GW10,GW14,GW22,GW18,GW21)</f>
        <v>48590.470000000008</v>
      </c>
      <c r="GX39" s="272">
        <f>SUM(GX6,GX8,GX10,GX14,GX22,GX18,GX21)</f>
        <v>47889.789999999994</v>
      </c>
      <c r="GY39" s="273">
        <f t="shared" si="140"/>
        <v>0.98557988840198474</v>
      </c>
      <c r="GZ39" s="272">
        <f>SUM(GZ6,GZ8,GZ10,GZ14,GZ22,GZ18,GZ21)</f>
        <v>48590.470000000008</v>
      </c>
      <c r="HA39" s="272">
        <f>SUM(HA6,HA8,HA10,HA14,HA22,HA18,HA21)</f>
        <v>70819.64</v>
      </c>
      <c r="HB39" s="273">
        <f t="shared" si="141"/>
        <v>1.4574800367232501</v>
      </c>
      <c r="HC39" s="272">
        <f>SUM(HC6,HC8,HC10,HC14,HC22,HC18,HC21)</f>
        <v>121724.57999999999</v>
      </c>
      <c r="HD39" s="272">
        <f>SUM(HD6,HD8,HD10,HD14,HD22,HD18,HD21)</f>
        <v>101202.93999999999</v>
      </c>
      <c r="HE39" s="273">
        <f t="shared" si="142"/>
        <v>0.83140923550526935</v>
      </c>
      <c r="HF39" s="272">
        <f>SUM(HF6,HF8,HF10,HF14,HF22,HF18,HF21)</f>
        <v>72083.509999999995</v>
      </c>
      <c r="HG39" s="272">
        <f>SUM(HG6,HG8,HG10,HG14,HG22,HG18,HG21)</f>
        <v>80737.84</v>
      </c>
      <c r="HH39" s="273">
        <f t="shared" si="143"/>
        <v>1.1200597751136148</v>
      </c>
      <c r="HI39" s="272">
        <f>SUM(HI6,HI8,HI10,HI14,HI22,HI18,HI21)</f>
        <v>63640.17</v>
      </c>
      <c r="HJ39" s="272">
        <f>SUM(HJ6,HJ8,HJ10,HJ14,HJ22,HJ18,HJ21)</f>
        <v>67849.039999999994</v>
      </c>
      <c r="HK39" s="273">
        <f t="shared" si="144"/>
        <v>1.0661354298707875</v>
      </c>
      <c r="HL39" s="272">
        <f>SUM(HL6,HL8,HL10,HL14,HL22,HL18,HL21)</f>
        <v>32439.75</v>
      </c>
      <c r="HM39" s="272">
        <f>SUM(HM6,HM8,HM10,HM14,HM22,HM18,HM21)</f>
        <v>37119.1</v>
      </c>
      <c r="HN39" s="273">
        <f t="shared" si="145"/>
        <v>1.1442474125108855</v>
      </c>
      <c r="HO39" s="272">
        <f>SUM(HO6,HO8,HO10,HO14,HO22,HO18,HO21)</f>
        <v>29702.190000000002</v>
      </c>
      <c r="HP39" s="272">
        <f>SUM(HP6,HP8,HP10,HP14,HP22,HP18,HP21)</f>
        <v>44052.35</v>
      </c>
      <c r="HQ39" s="273">
        <f t="shared" si="146"/>
        <v>1.4831347452830919</v>
      </c>
      <c r="HR39" s="272">
        <f>SUM(HR6,HR8,HR10,HR14,HR22,HR18,HR21)</f>
        <v>34371.480000000003</v>
      </c>
      <c r="HS39" s="272">
        <f>SUM(HS6,HS8,HS10,HS14,HS22,HS18,HS21)</f>
        <v>55582.15</v>
      </c>
      <c r="HT39" s="273">
        <f t="shared" si="147"/>
        <v>1.6171008638557314</v>
      </c>
      <c r="HU39" s="272">
        <f>SUM(HU6,HU8,HU10,HU14,HU22,HU18,HU21)</f>
        <v>37832.350000000006</v>
      </c>
      <c r="HV39" s="272">
        <f>SUM(HV6,HV8,HV10,HV14,HV22,HV18,HV21)</f>
        <v>71204.010000000009</v>
      </c>
      <c r="HW39" s="273">
        <f t="shared" si="148"/>
        <v>1.882093235022408</v>
      </c>
      <c r="HX39" s="272">
        <f>SUM(HX6,HX8,HX10,HX14,HX22,HX18,HX21)</f>
        <v>62389.16</v>
      </c>
      <c r="HY39" s="272">
        <f>SUM(HY6,HY8,HY10,HY14,HY22,HY18,HY21)</f>
        <v>116703.70000000001</v>
      </c>
      <c r="HZ39" s="273">
        <f t="shared" si="149"/>
        <v>1.8705765552862068</v>
      </c>
      <c r="IA39" s="272">
        <f>SUM(IA6,IA8,IA10,IA14,IA22,IA18,IA21)</f>
        <v>36971.42</v>
      </c>
      <c r="IB39" s="272">
        <f>SUM(IB6,IB8,IB10,IB14,IB22,IB18,IB21)</f>
        <v>60124.07</v>
      </c>
      <c r="IC39" s="273">
        <f t="shared" si="150"/>
        <v>1.6262310184461404</v>
      </c>
      <c r="ID39" s="275"/>
      <c r="IE39" s="275"/>
      <c r="IF39" s="275"/>
      <c r="IG39" s="275"/>
      <c r="IH39" s="275"/>
      <c r="II39" s="275"/>
      <c r="IJ39" s="275"/>
      <c r="IK39" s="275"/>
      <c r="IL39" s="275"/>
      <c r="IM39" s="275"/>
      <c r="IN39" s="275"/>
      <c r="IO39" s="275"/>
      <c r="IP39" s="275"/>
      <c r="IQ39" s="330">
        <f>SUM(IQ6,IQ8,IQ10,IQ14,IQ22,IQ18,IQ21)</f>
        <v>1235431.44</v>
      </c>
      <c r="IR39" s="272">
        <f>SUM(IR6,IR8,IR10,IR14,IR22,IR18,IR21)</f>
        <v>1299815.9500000002</v>
      </c>
      <c r="IS39" s="272">
        <f>SUM(IS6,IS8,IS10,IS14,IS22,IS18,IS21)</f>
        <v>64384.509999999922</v>
      </c>
      <c r="IT39" s="273">
        <f t="shared" si="151"/>
        <v>1.0521150004082787</v>
      </c>
      <c r="IU39" s="272">
        <f>SUM(IU6,IU8,IU10,IU14,IU22,IU18,IU21)</f>
        <v>332458.61</v>
      </c>
      <c r="IV39" s="272">
        <f>SUM(IV6,IV8,IV10,IV14,IV22,IV18,IV21)</f>
        <v>473248.19</v>
      </c>
      <c r="IW39" s="272">
        <f>SUM(IW6,IW8,IW10,IW14,IW22,IW18,IW21)</f>
        <v>140789.58000000007</v>
      </c>
      <c r="IX39" s="331">
        <f t="shared" si="152"/>
        <v>1.4234800235734608</v>
      </c>
      <c r="IZ39" s="339"/>
    </row>
    <row r="40" spans="3:262" ht="16.5">
      <c r="C40" s="259" t="s">
        <v>44</v>
      </c>
      <c r="D40" s="250"/>
      <c r="E40" s="250"/>
      <c r="F40" s="250"/>
      <c r="G40" s="250"/>
      <c r="H40" s="250"/>
      <c r="I40" s="243"/>
      <c r="J40" s="250"/>
      <c r="K40" s="250"/>
      <c r="L40" s="250"/>
      <c r="M40" s="250"/>
      <c r="N40" s="250"/>
      <c r="O40" s="250"/>
      <c r="P40" s="250"/>
      <c r="Q40" s="250"/>
      <c r="R40" s="250"/>
      <c r="S40" s="250"/>
      <c r="T40" s="250"/>
      <c r="U40" s="250"/>
      <c r="V40" s="250"/>
      <c r="W40" s="250"/>
      <c r="X40" s="250"/>
      <c r="Y40" s="250"/>
      <c r="Z40" s="250"/>
      <c r="AA40" s="250"/>
      <c r="AB40" s="250"/>
      <c r="AC40" s="250"/>
      <c r="AD40" s="250"/>
      <c r="AE40" s="250"/>
      <c r="AF40" s="250"/>
      <c r="AG40" s="250"/>
      <c r="AH40" s="250"/>
      <c r="AI40" s="250"/>
      <c r="AJ40" s="250"/>
      <c r="AK40" s="249"/>
      <c r="AL40" s="249"/>
      <c r="AM40" s="253"/>
      <c r="AN40" s="250"/>
      <c r="AO40" s="250"/>
      <c r="AP40" s="250"/>
      <c r="AQ40" s="250"/>
      <c r="AR40" s="250"/>
      <c r="AS40" s="250"/>
      <c r="AT40" s="249"/>
      <c r="AU40" s="249"/>
      <c r="AV40" s="253"/>
      <c r="AW40" s="249"/>
      <c r="AX40" s="249"/>
      <c r="AY40" s="253"/>
      <c r="AZ40" s="249"/>
      <c r="BA40" s="249"/>
      <c r="BB40" s="253"/>
      <c r="BC40" s="249"/>
      <c r="BD40" s="249"/>
      <c r="BE40" s="253"/>
      <c r="BF40" s="249"/>
      <c r="BG40" s="249"/>
      <c r="BH40" s="253"/>
      <c r="BI40" s="249"/>
      <c r="BJ40" s="249"/>
      <c r="BK40" s="253"/>
      <c r="BL40" s="249"/>
      <c r="BM40" s="249"/>
      <c r="BN40" s="253"/>
      <c r="BO40" s="277">
        <f>SUM(BO9,BO20,BO19,BO16,BO17)</f>
        <v>48783.68</v>
      </c>
      <c r="BP40" s="277">
        <f>SUM(BP9,BP20,BP19,BP16,BP17)</f>
        <v>22559.41</v>
      </c>
      <c r="BQ40" s="278">
        <f>BP40/BO40</f>
        <v>0.46243764308063678</v>
      </c>
      <c r="BR40" s="277">
        <f>SUM(BR9,BR20,BR19,BR16,BR17)</f>
        <v>44750.65</v>
      </c>
      <c r="BS40" s="277">
        <f>SUM(BS9,BS20,BS19,BS16,BS17)</f>
        <v>28496.52</v>
      </c>
      <c r="BT40" s="278">
        <f>BS40/BR40</f>
        <v>0.63678449363305334</v>
      </c>
      <c r="BU40" s="277">
        <f>SUM(BU9,BU20,BU19,BU16,BU17)</f>
        <v>40674.910000000003</v>
      </c>
      <c r="BV40" s="277">
        <f>SUM(BV9,BV20,BV19,BV16,BV17)</f>
        <v>31264.329999999998</v>
      </c>
      <c r="BW40" s="278">
        <f>BV40/BU40</f>
        <v>0.76863919305537476</v>
      </c>
      <c r="BX40" s="277">
        <f>SUM(BX9,BX20,BX19,BX16,BX17)</f>
        <v>41760.47</v>
      </c>
      <c r="BY40" s="277">
        <f>SUM(BY9,BY20,BY19,BY16,BY17)</f>
        <v>35201.050000000003</v>
      </c>
      <c r="BZ40" s="278">
        <f>BY40/BX40</f>
        <v>0.84292753410102905</v>
      </c>
      <c r="CA40" s="277">
        <f>SUM(CA9,CA20,CA19,CA16,CA17)</f>
        <v>55737.95</v>
      </c>
      <c r="CB40" s="277">
        <f>SUM(CB9,CB20,CB19,CB16,CB17)</f>
        <v>38359.82</v>
      </c>
      <c r="CC40" s="278">
        <f>CB40/CA40</f>
        <v>0.68821727386816345</v>
      </c>
      <c r="CD40" s="277">
        <f>SUM(CD9,CD20,CD19,CD16,CD17)</f>
        <v>69128.840000000011</v>
      </c>
      <c r="CE40" s="277">
        <f>SUM(CE9,CE20,CE19,CE16,CE17)</f>
        <v>50481.79</v>
      </c>
      <c r="CF40" s="278">
        <f>CE40/CD40</f>
        <v>0.73025657598189109</v>
      </c>
      <c r="CG40" s="277">
        <f>SUM(CG9,CG20,CG19,CG16,CG17)</f>
        <v>112720.68</v>
      </c>
      <c r="CH40" s="277">
        <f>SUM(CH9,CH20,CH19,CH16,CH17)</f>
        <v>72828.05</v>
      </c>
      <c r="CI40" s="278">
        <f>CH40/CG40</f>
        <v>0.6460930682817031</v>
      </c>
      <c r="CJ40" s="277">
        <f>SUM(CJ9,CJ20,CJ19,CJ16,CJ17)</f>
        <v>42491.47</v>
      </c>
      <c r="CK40" s="277">
        <f>SUM(CK9,CK20,CK19,CK16,CK17)</f>
        <v>34311.68</v>
      </c>
      <c r="CL40" s="278">
        <f>CK40/CJ40</f>
        <v>0.80749571619903948</v>
      </c>
      <c r="CM40" s="277">
        <f>SUM(CM9,CM20,CM19,CM16,CM17)</f>
        <v>67715.839999999997</v>
      </c>
      <c r="CN40" s="277">
        <f>SUM(CN9,CN20,CN19,CN16,CN17)</f>
        <v>44984.930000000008</v>
      </c>
      <c r="CO40" s="278">
        <f>CN40/CM40</f>
        <v>0.66431916077538156</v>
      </c>
      <c r="CP40" s="277">
        <f>SUM(CP9,CP20,CP19,CP16,CP17)</f>
        <v>57759.630000000005</v>
      </c>
      <c r="CQ40" s="277">
        <f>SUM(CQ9,CQ20,CQ19,CQ16,CQ17)</f>
        <v>41926.6</v>
      </c>
      <c r="CR40" s="278">
        <f>CQ40/CP40</f>
        <v>0.72588068864014532</v>
      </c>
      <c r="CS40" s="277">
        <f>SUM(CS9,CS20,CS19,CS16,CS17)</f>
        <v>32777.620000000003</v>
      </c>
      <c r="CT40" s="277">
        <f>SUM(CT9,CT20,CT19,CT16,CT17)</f>
        <v>40184.559999999998</v>
      </c>
      <c r="CU40" s="278">
        <f>CT40/CS40</f>
        <v>1.2259755284245772</v>
      </c>
      <c r="CV40" s="277">
        <f>SUM(CV9,CV20,CV19,CV16,CV17)</f>
        <v>50642.04</v>
      </c>
      <c r="CW40" s="277">
        <f>SUM(CW9,CW20,CW19,CW16,CW17)</f>
        <v>40519.31</v>
      </c>
      <c r="CX40" s="278">
        <f>CW40/CV40</f>
        <v>0.80011212028583356</v>
      </c>
      <c r="CY40" s="277">
        <f>SUM(CY9,CY20,CY19,CY16,CY17)</f>
        <v>60517.62</v>
      </c>
      <c r="CZ40" s="277">
        <f>SUM(CZ9,CZ20,CZ19,CZ16,CZ17)</f>
        <v>51552.759999999995</v>
      </c>
      <c r="DA40" s="278">
        <f>CZ40/CY40</f>
        <v>0.85186363905256013</v>
      </c>
      <c r="DB40" s="277">
        <f>SUM(DB9,DB20,DB19,DB16,DB17)</f>
        <v>105354.73000000001</v>
      </c>
      <c r="DC40" s="277">
        <f>SUM(DC9,DC20,DC19,DC16,DC17)</f>
        <v>71074.87</v>
      </c>
      <c r="DD40" s="278">
        <f>DC40/DB40</f>
        <v>0.67462438563508242</v>
      </c>
      <c r="DE40" s="277">
        <f>SUM(DE9,DE20,DE19,DE16,DE17)</f>
        <v>50024.010000000009</v>
      </c>
      <c r="DF40" s="277">
        <f>SUM(DF9,DF20,DF19,DF16,DF17)</f>
        <v>32495.51</v>
      </c>
      <c r="DG40" s="278">
        <f>DF40/DE40</f>
        <v>0.64959826291414846</v>
      </c>
      <c r="DH40" s="277">
        <f>SUM(DH9,DH20,DH19,DH16,DH17)</f>
        <v>53877.29</v>
      </c>
      <c r="DI40" s="277">
        <f>SUM(DI9,DI20,DI19,DI16,DI17)</f>
        <v>44445.49</v>
      </c>
      <c r="DJ40" s="278">
        <f>DI40/DH40</f>
        <v>0.82493922764118233</v>
      </c>
      <c r="DK40" s="277">
        <f>SUM(DK9,DK20,DK19,DK16,DK17)</f>
        <v>60182.319999999992</v>
      </c>
      <c r="DL40" s="277">
        <f>SUM(DL9,DL20,DL19,DL16,DL17)</f>
        <v>35195.869999999995</v>
      </c>
      <c r="DM40" s="278">
        <f>DL40/DK40</f>
        <v>0.58482075799005417</v>
      </c>
      <c r="DN40" s="277">
        <f>SUM(DN9,DN20,DN19,DN16,DN17)</f>
        <v>90284.919999999984</v>
      </c>
      <c r="DO40" s="277">
        <f>SUM(DO9,DO20,DO19,DO16,DO17)</f>
        <v>40401.319999999992</v>
      </c>
      <c r="DP40" s="278">
        <f>DO40/DN40</f>
        <v>0.44748691143548669</v>
      </c>
      <c r="DQ40" s="277">
        <f>SUM(DQ9,DQ20,DQ19,DQ16,DQ17)</f>
        <v>143000.80000000002</v>
      </c>
      <c r="DR40" s="277">
        <f>SUM(DR9,DR20,DR19,DR16,DR17)</f>
        <v>43489.090000000004</v>
      </c>
      <c r="DS40" s="278">
        <f>DR40/DQ40</f>
        <v>0.30411780913113773</v>
      </c>
      <c r="DT40" s="277">
        <f>SUM(DT9,DT20,DT19,DT16,DT17)</f>
        <v>145206.81</v>
      </c>
      <c r="DU40" s="277">
        <f>SUM(DU9,DU20,DU19,DU16,DU17)</f>
        <v>64817.91</v>
      </c>
      <c r="DV40" s="278">
        <f>DU40/DT40</f>
        <v>0.44638340309245828</v>
      </c>
      <c r="DW40" s="277">
        <f>SUM(DW9,DW20,DW19,DW16,DW17)</f>
        <v>123140.10999999999</v>
      </c>
      <c r="DX40" s="277">
        <f>SUM(DX9,DX20,DX19,DX16,DX17)</f>
        <v>99297.13</v>
      </c>
      <c r="DY40" s="278">
        <f t="shared" si="114"/>
        <v>0.80637519326562257</v>
      </c>
      <c r="DZ40" s="277">
        <f>SUM(DZ9,DZ20,DZ19,DZ16,DZ17)</f>
        <v>49076.27</v>
      </c>
      <c r="EA40" s="277">
        <f>SUM(EA9,EA20,EA19,EA16,EA17)</f>
        <v>34954.53</v>
      </c>
      <c r="EB40" s="278">
        <f t="shared" si="115"/>
        <v>0.71224911754703446</v>
      </c>
      <c r="EC40" s="277">
        <f>SUM(EC9,EC20,EC19,EC16,EC17)</f>
        <v>55701.180000000008</v>
      </c>
      <c r="ED40" s="277">
        <f>SUM(ED9,ED20,ED19,ED16,ED17)</f>
        <v>10963.64</v>
      </c>
      <c r="EE40" s="278">
        <f t="shared" si="116"/>
        <v>0.1968295824253633</v>
      </c>
      <c r="EF40" s="277">
        <f>SUM(EF9,EF20,EF19,EF16,EF17)</f>
        <v>48609.29</v>
      </c>
      <c r="EG40" s="277">
        <f>SUM(EG9,EG20,EG19,EG16,EG17)</f>
        <v>29229.35</v>
      </c>
      <c r="EH40" s="278">
        <f t="shared" si="117"/>
        <v>0.60131201258031131</v>
      </c>
      <c r="EI40" s="277">
        <f>SUM(EI9,EI20,EI19,EI16,EI17)</f>
        <v>42422.23</v>
      </c>
      <c r="EJ40" s="277">
        <f>SUM(EJ9,EJ20,EJ19,EJ16,EJ17)</f>
        <v>29953.489999999998</v>
      </c>
      <c r="EK40" s="278">
        <f t="shared" si="118"/>
        <v>0.70608004341120201</v>
      </c>
      <c r="EL40" s="277">
        <f>SUM(EL9,EL20,EL19,EL16,EL17)</f>
        <v>47623.340000000004</v>
      </c>
      <c r="EM40" s="277">
        <f>SUM(EM9,EM20,EM19,EM16,EM17)</f>
        <v>33029.660000000003</v>
      </c>
      <c r="EN40" s="278">
        <f t="shared" si="119"/>
        <v>0.69356034247072973</v>
      </c>
      <c r="EO40" s="277">
        <f>SUM(EO9,EO20,EO19,EO16,EO17)</f>
        <v>53873.94000000001</v>
      </c>
      <c r="EP40" s="277">
        <f>SUM(EP9,EP20,EP19,EP16,EP17)</f>
        <v>30272.510000000002</v>
      </c>
      <c r="EQ40" s="278">
        <f t="shared" si="120"/>
        <v>0.56191379357069482</v>
      </c>
      <c r="ER40" s="277">
        <f>SUM(ER9,ER20,ER19,ER16,ER17)</f>
        <v>95877.790000000008</v>
      </c>
      <c r="ES40" s="277">
        <f>SUM(ES9,ES20,ES19,ES16,ES17)</f>
        <v>30451.55</v>
      </c>
      <c r="ET40" s="278">
        <f t="shared" si="121"/>
        <v>0.31760796739265679</v>
      </c>
      <c r="EU40" s="277">
        <f>SUM(EU9,EU20,EU19,EU16,EU17)</f>
        <v>44317.319999999992</v>
      </c>
      <c r="EV40" s="277">
        <f>SUM(EV9,EV20,EV19,EV16,EV17)</f>
        <v>31070.03</v>
      </c>
      <c r="EW40" s="278">
        <f t="shared" si="122"/>
        <v>0.70108097691827942</v>
      </c>
      <c r="EX40" s="277">
        <f>SUM(EX9,EX20,EX19,EX16,EX17)</f>
        <v>50991.11</v>
      </c>
      <c r="EY40" s="277">
        <f>SUM(EY9,EY20,EY19,EY16,EY17)</f>
        <v>35582.199999999997</v>
      </c>
      <c r="EZ40" s="278">
        <f t="shared" si="123"/>
        <v>0.6978118342589521</v>
      </c>
      <c r="FA40" s="277">
        <f>SUM(FA9,FA20,FA19,FA16,FA17)</f>
        <v>40480.439999999995</v>
      </c>
      <c r="FB40" s="277">
        <f>SUM(FB9,FB20,FB19,FB16,FB17)</f>
        <v>45375.409999999996</v>
      </c>
      <c r="FC40" s="278">
        <f t="shared" si="124"/>
        <v>1.1209218575687419</v>
      </c>
      <c r="FD40" s="277">
        <f>SUM(FD9,FD20,FD19,FD16,FD17)</f>
        <v>43201.270000000004</v>
      </c>
      <c r="FE40" s="277">
        <f>SUM(FE9,FE20,FE19,FE16,FE17)</f>
        <v>34160.19</v>
      </c>
      <c r="FF40" s="278">
        <f t="shared" si="125"/>
        <v>0.79072189312953067</v>
      </c>
      <c r="FG40" s="277">
        <f>SUM(FG9,FG20,FG19,FG16,FG17)</f>
        <v>47047.579999999994</v>
      </c>
      <c r="FH40" s="277">
        <f>SUM(FH9,FH20,FH19,FH16,FH17)</f>
        <v>50087.88</v>
      </c>
      <c r="FI40" s="278">
        <f t="shared" si="126"/>
        <v>1.0646218147670934</v>
      </c>
      <c r="FJ40" s="277">
        <f>SUM(FJ9,FJ20,FJ19,FJ16,FJ17)</f>
        <v>72156.06</v>
      </c>
      <c r="FK40" s="277">
        <f>SUM(FK9,FK20,FK19,FK16,FK17)</f>
        <v>53353.12000000001</v>
      </c>
      <c r="FL40" s="278">
        <f t="shared" si="127"/>
        <v>0.73941287814218248</v>
      </c>
      <c r="FM40" s="277">
        <f>SUM(FM9,FM20,FM19,FM16,FM17)</f>
        <v>105785.37</v>
      </c>
      <c r="FN40" s="277">
        <f>SUM(FN9,FN20,FN19,FN16,FN17)</f>
        <v>70713.900000000009</v>
      </c>
      <c r="FO40" s="278">
        <f t="shared" si="128"/>
        <v>0.66846578123231981</v>
      </c>
      <c r="FP40" s="277">
        <f>SUM(FP9,FP20,FP19,FP16,FP17)</f>
        <v>50447.03</v>
      </c>
      <c r="FQ40" s="277">
        <f>SUM(FQ9,FQ20,FQ19,FQ16,FQ17)</f>
        <v>29982.09</v>
      </c>
      <c r="FR40" s="278">
        <f t="shared" si="129"/>
        <v>0.5943281497443953</v>
      </c>
      <c r="FS40" s="277">
        <f>SUM(FS9,FS20,FS19,FS16,FS17)</f>
        <v>59038.31</v>
      </c>
      <c r="FT40" s="277">
        <f>SUM(FT9,FT20,FT19,FT16,FT17)</f>
        <v>34999.33</v>
      </c>
      <c r="FU40" s="278">
        <f t="shared" si="130"/>
        <v>0.5928240493333905</v>
      </c>
      <c r="FV40" s="277">
        <f>SUM(FV9,FV20,FV19,FV16,FV17)</f>
        <v>47051.85</v>
      </c>
      <c r="FW40" s="277">
        <f>SUM(FW9,FW20,FW19,FW16,FW17)</f>
        <v>38616.33</v>
      </c>
      <c r="FX40" s="278">
        <f t="shared" si="131"/>
        <v>0.82071863274238954</v>
      </c>
      <c r="FY40" s="277">
        <f>SUM(FY9,FY20,FY19,FY16,FY17)</f>
        <v>47134.21</v>
      </c>
      <c r="FZ40" s="277">
        <f>SUM(FZ9,FZ20,FZ19,FZ16,FZ17)</f>
        <v>36229.479999999996</v>
      </c>
      <c r="GA40" s="278">
        <f t="shared" si="132"/>
        <v>0.76864510935899844</v>
      </c>
      <c r="GB40" s="277">
        <f>SUM(GB9,GB20,GB19,GB16,GB17)</f>
        <v>50541.07</v>
      </c>
      <c r="GC40" s="277">
        <f>SUM(GC9,GC20,GC19,GC16,GC17)</f>
        <v>37523.08</v>
      </c>
      <c r="GD40" s="278">
        <f t="shared" si="133"/>
        <v>0.74242749510447648</v>
      </c>
      <c r="GE40" s="277">
        <f>SUM(GE9,GE20,GE19,GE16,GE17)</f>
        <v>61992.34</v>
      </c>
      <c r="GF40" s="277">
        <f>SUM(GF9,GF20,GF19,GF16,GF17)</f>
        <v>46460.509999999995</v>
      </c>
      <c r="GG40" s="278">
        <f t="shared" si="134"/>
        <v>0.74945565855394392</v>
      </c>
      <c r="GH40" s="277">
        <f>SUM(GH9,GH20,GH19,GH16,GH17)</f>
        <v>107712.91</v>
      </c>
      <c r="GI40" s="277">
        <f>SUM(GI9,GI20,GI19,GI16,GI17)</f>
        <v>70464.820000000007</v>
      </c>
      <c r="GJ40" s="278">
        <f t="shared" si="135"/>
        <v>0.65419103429663172</v>
      </c>
      <c r="GK40" s="277">
        <f>SUM(GK9,GK20,GK19,GK16,GK17)</f>
        <v>45310.49</v>
      </c>
      <c r="GL40" s="277">
        <f>SUM(GL9,GL20,GL19,GL16,GL17)</f>
        <v>30279.829999999998</v>
      </c>
      <c r="GM40" s="278">
        <f t="shared" si="136"/>
        <v>0.66827416785825977</v>
      </c>
      <c r="GN40" s="277">
        <f>SUM(GN9,GN20,GN19,GN16,GN17)</f>
        <v>43284.630000000005</v>
      </c>
      <c r="GO40" s="277">
        <f>SUM(GO9,GO20,GO19,GO16,GO17)</f>
        <v>37425.79</v>
      </c>
      <c r="GP40" s="278">
        <f t="shared" si="137"/>
        <v>0.86464387012202704</v>
      </c>
      <c r="GQ40" s="277">
        <f>SUM(GQ9,GQ20,GQ19,GQ16,GQ17)</f>
        <v>46509.51</v>
      </c>
      <c r="GR40" s="277">
        <f>SUM(GR9,GR20,GR19,GR16,GR17)</f>
        <v>40664.32</v>
      </c>
      <c r="GS40" s="278">
        <f t="shared" si="138"/>
        <v>0.87432269228379311</v>
      </c>
      <c r="GT40" s="277">
        <f>SUM(GT9,GT20,GT19,GT16,GT17)</f>
        <v>54307.42</v>
      </c>
      <c r="GU40" s="277">
        <f>SUM(GU9,GU20,GU19,GU16,GU17)</f>
        <v>30871.9</v>
      </c>
      <c r="GV40" s="278">
        <f t="shared" si="139"/>
        <v>0.5684655982552661</v>
      </c>
      <c r="GW40" s="277">
        <f>SUM(GW9,GW20,GW19,GW16,GW17)</f>
        <v>53351.179999999993</v>
      </c>
      <c r="GX40" s="277">
        <f>SUM(GX9,GX20,GX19,GX16,GX17)</f>
        <v>34648.639999999999</v>
      </c>
      <c r="GY40" s="278">
        <f t="shared" si="140"/>
        <v>0.64944467957409757</v>
      </c>
      <c r="GZ40" s="277">
        <f>SUM(GZ9,GZ20,GZ19,GZ16,GZ17)</f>
        <v>53351.179999999993</v>
      </c>
      <c r="HA40" s="277">
        <f>SUM(HA9,HA20,HA19,HA16,HA17)</f>
        <v>47797.25</v>
      </c>
      <c r="HB40" s="278">
        <f t="shared" si="141"/>
        <v>0.89589864741510883</v>
      </c>
      <c r="HC40" s="277">
        <f>SUM(HC9,HC20,HC19,HC16,HC17)</f>
        <v>122847.11000000002</v>
      </c>
      <c r="HD40" s="277">
        <f>SUM(HD9,HD20,HD19,HD16,HD17)</f>
        <v>66055.12</v>
      </c>
      <c r="HE40" s="278">
        <f t="shared" si="142"/>
        <v>0.537701863723127</v>
      </c>
      <c r="HF40" s="277">
        <f>SUM(HF9,HF20,HF19,HF16,HF17)</f>
        <v>41797.64</v>
      </c>
      <c r="HG40" s="277">
        <f>SUM(HG9,HG20,HG19,HG16,HG17)</f>
        <v>30796.18</v>
      </c>
      <c r="HH40" s="278">
        <f t="shared" si="143"/>
        <v>0.73679231650399402</v>
      </c>
      <c r="HI40" s="277">
        <f>SUM(HI9,HI20,HI19,HI16,HI17)</f>
        <v>61061.87</v>
      </c>
      <c r="HJ40" s="277">
        <f>SUM(HJ9,HJ20,HJ19,HJ16,HJ17)</f>
        <v>46525.619999999995</v>
      </c>
      <c r="HK40" s="278">
        <f t="shared" si="144"/>
        <v>0.76194227264903602</v>
      </c>
      <c r="HL40" s="277">
        <f>SUM(HL9,HL20,HL19,HL16,HL17)</f>
        <v>41968.4</v>
      </c>
      <c r="HM40" s="277">
        <f>SUM(HM9,HM20,HM19,HM16,HM17)</f>
        <v>30887.050000000003</v>
      </c>
      <c r="HN40" s="278">
        <f t="shared" si="145"/>
        <v>0.73595967442170784</v>
      </c>
      <c r="HO40" s="277">
        <f>SUM(HO9,HO20,HO19,HO16,HO17)</f>
        <v>36053.440000000002</v>
      </c>
      <c r="HP40" s="277">
        <f>SUM(HP9,HP20,HP19,HP16,HP17)</f>
        <v>44595.19</v>
      </c>
      <c r="HQ40" s="278">
        <f t="shared" si="146"/>
        <v>1.23691914003213</v>
      </c>
      <c r="HR40" s="277">
        <f>SUM(HR9,HR20,HR19,HR16,HR17)</f>
        <v>45260.899999999994</v>
      </c>
      <c r="HS40" s="277">
        <f>SUM(HS9,HS20,HS19,HS16,HS17)</f>
        <v>61349.680000000008</v>
      </c>
      <c r="HT40" s="278">
        <f t="shared" si="147"/>
        <v>1.355467522740379</v>
      </c>
      <c r="HU40" s="277">
        <f>SUM(HU9,HU20,HU19,HU16,HU17)</f>
        <v>44492.07</v>
      </c>
      <c r="HV40" s="277">
        <f>SUM(HV9,HV20,HV19,HV16,HV17)</f>
        <v>53133.78</v>
      </c>
      <c r="HW40" s="278">
        <f t="shared" si="148"/>
        <v>1.1942303426206062</v>
      </c>
      <c r="HX40" s="277">
        <f>SUM(HX9,HX20,HX19,HX16,HX17)</f>
        <v>76402.679999999993</v>
      </c>
      <c r="HY40" s="277">
        <f>SUM(HY9,HY20,HY19,HY16,HY17)</f>
        <v>82365.919999999998</v>
      </c>
      <c r="HZ40" s="278">
        <f t="shared" si="149"/>
        <v>1.0780501416966002</v>
      </c>
      <c r="IA40" s="277">
        <f>SUM(IA9,IA20,IA19,IA16,IA17)</f>
        <v>39268.61</v>
      </c>
      <c r="IB40" s="277">
        <f>SUM(IB9,IB20,IB19,IB16,IB17)</f>
        <v>29153.47</v>
      </c>
      <c r="IC40" s="278">
        <f t="shared" si="150"/>
        <v>0.7424115597674581</v>
      </c>
      <c r="ID40" s="276"/>
      <c r="IE40" s="276"/>
      <c r="IF40" s="276"/>
      <c r="IG40" s="276"/>
      <c r="IH40" s="276"/>
      <c r="II40" s="276"/>
      <c r="IJ40" s="276"/>
      <c r="IK40" s="276"/>
      <c r="IL40" s="276"/>
      <c r="IM40" s="276"/>
      <c r="IN40" s="276"/>
      <c r="IO40" s="276"/>
      <c r="IP40" s="276"/>
      <c r="IQ40" s="332">
        <f>SUM(IQ9,IQ20,IQ19,IQ16,IQ17)</f>
        <v>1189916.24</v>
      </c>
      <c r="IR40" s="277">
        <f>SUM(IR9,IR20,IR19,IR16,IR17)</f>
        <v>931671.90999999992</v>
      </c>
      <c r="IS40" s="277">
        <f>SUM(IS9,IS20,IS19,IS16,IS17)</f>
        <v>-258244.33000000005</v>
      </c>
      <c r="IT40" s="278">
        <f t="shared" si="151"/>
        <v>0.78297268217803295</v>
      </c>
      <c r="IU40" s="277">
        <f>SUM(IU9,IU20,IU19,IU16,IU17)</f>
        <v>347037</v>
      </c>
      <c r="IV40" s="277">
        <f>SUM(IV9,IV20,IV19,IV16,IV17)</f>
        <v>349653.42000000004</v>
      </c>
      <c r="IW40" s="277">
        <f>SUM(IW9,IW20,IW19,IW16,IW17)</f>
        <v>2616.4200000000128</v>
      </c>
      <c r="IX40" s="333">
        <f t="shared" si="152"/>
        <v>1.0075393113702575</v>
      </c>
      <c r="IZ40" s="339"/>
    </row>
    <row r="41" spans="3:262" ht="16.5">
      <c r="C41" s="260" t="s">
        <v>45</v>
      </c>
      <c r="D41" s="250"/>
      <c r="E41" s="250"/>
      <c r="F41" s="250"/>
      <c r="G41" s="250"/>
      <c r="H41" s="250"/>
      <c r="I41" s="243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250"/>
      <c r="Z41" s="250"/>
      <c r="AA41" s="250"/>
      <c r="AB41" s="250"/>
      <c r="AC41" s="250"/>
      <c r="AD41" s="250"/>
      <c r="AE41" s="250"/>
      <c r="AF41" s="250"/>
      <c r="AG41" s="250"/>
      <c r="AH41" s="250"/>
      <c r="AI41" s="250"/>
      <c r="AJ41" s="250"/>
      <c r="AK41" s="249">
        <f>SUM(AK23:AK32)</f>
        <v>131348.45000000001</v>
      </c>
      <c r="AL41" s="249">
        <f>SUM(AL23:AL32)</f>
        <v>74713.159999999989</v>
      </c>
      <c r="AM41" s="253">
        <f t="shared" si="86"/>
        <v>0.56881645729355756</v>
      </c>
      <c r="AN41" s="250"/>
      <c r="AO41" s="250"/>
      <c r="AP41" s="250"/>
      <c r="AQ41" s="250"/>
      <c r="AR41" s="250"/>
      <c r="AS41" s="250"/>
      <c r="AT41" s="249">
        <f>SUM(AT23:AT32)</f>
        <v>159061.84</v>
      </c>
      <c r="AU41" s="249">
        <f>SUM(AU23:AU32)</f>
        <v>78617.2</v>
      </c>
      <c r="AV41" s="253">
        <f t="shared" si="87"/>
        <v>0.49425556752015443</v>
      </c>
      <c r="AW41" s="249">
        <f>SUM(AW23:AW32)</f>
        <v>87698.739999999991</v>
      </c>
      <c r="AX41" s="249">
        <f>SUM(AX23:AX32)</f>
        <v>84910.260000000024</v>
      </c>
      <c r="AY41" s="253">
        <f t="shared" si="88"/>
        <v>0.96820387613322645</v>
      </c>
      <c r="AZ41" s="249">
        <f>SUM(AZ23:AZ32)</f>
        <v>84850.22</v>
      </c>
      <c r="BA41" s="249">
        <f>SUM(BA23:BA32)</f>
        <v>72197.429999999993</v>
      </c>
      <c r="BB41" s="253">
        <f t="shared" si="89"/>
        <v>0.85088088162882769</v>
      </c>
      <c r="BC41" s="249">
        <f>SUM(BC23:BC32)</f>
        <v>87789.239999999991</v>
      </c>
      <c r="BD41" s="249">
        <f>SUM(BD23:BD32)</f>
        <v>63303.94</v>
      </c>
      <c r="BE41" s="253">
        <f t="shared" si="90"/>
        <v>0.72108996501165756</v>
      </c>
      <c r="BF41" s="249">
        <f>SUM(BF23:BF32)</f>
        <v>80214.75999999998</v>
      </c>
      <c r="BG41" s="249">
        <f>SUM(BG23:BG32)</f>
        <v>77079.83</v>
      </c>
      <c r="BH41" s="253">
        <f t="shared" si="91"/>
        <v>0.96091828985089556</v>
      </c>
      <c r="BI41" s="249">
        <f>SUM(BI23:BI32)</f>
        <v>120143.76000000001</v>
      </c>
      <c r="BJ41" s="249">
        <f>SUM(BJ23:BJ32)</f>
        <v>96017.67</v>
      </c>
      <c r="BK41" s="253">
        <f t="shared" si="92"/>
        <v>0.79918982059492716</v>
      </c>
      <c r="BL41" s="249">
        <f>SUM(BL23:BL32)</f>
        <v>211614.2</v>
      </c>
      <c r="BM41" s="249">
        <f>SUM(BM23:BM32)</f>
        <v>134300.68</v>
      </c>
      <c r="BN41" s="253">
        <f t="shared" si="93"/>
        <v>0.63464871450025562</v>
      </c>
      <c r="BO41" s="249">
        <f>SUM(BO23:BO32)</f>
        <v>154274.94</v>
      </c>
      <c r="BP41" s="249">
        <f>SUM(BP23:BP32)</f>
        <v>57530.729999999996</v>
      </c>
      <c r="BQ41" s="253">
        <f t="shared" si="94"/>
        <v>0.37291040268756542</v>
      </c>
      <c r="BR41" s="249">
        <f>SUM(BR23:BR32)</f>
        <v>85261.129999999976</v>
      </c>
      <c r="BS41" s="249">
        <f>SUM(BS23:BS32)</f>
        <v>66229.070000000007</v>
      </c>
      <c r="BT41" s="253">
        <f t="shared" ref="BT41:BT42" si="153">BS41/BR41</f>
        <v>0.7767791724083416</v>
      </c>
      <c r="BU41" s="249">
        <f>SUM(BU23:BU32)</f>
        <v>88435.999999999985</v>
      </c>
      <c r="BV41" s="249">
        <f>SUM(BV23:BV32)</f>
        <v>65040.56</v>
      </c>
      <c r="BW41" s="253">
        <f t="shared" ref="BW41:BW42" si="154">BV41/BU41</f>
        <v>0.7354534352526122</v>
      </c>
      <c r="BX41" s="258">
        <f>SUM(BX23:BX32)</f>
        <v>89926.989999999991</v>
      </c>
      <c r="BY41" s="258">
        <f>SUM(BY23:BY32)</f>
        <v>59885.26</v>
      </c>
      <c r="BZ41" s="253">
        <f t="shared" ref="BZ41:BZ42" si="155">BY41/BX41</f>
        <v>0.66593199661191826</v>
      </c>
      <c r="CA41" s="258">
        <f>SUM(CA23:CA32)</f>
        <v>95508.849999999991</v>
      </c>
      <c r="CB41" s="258">
        <f>SUM(CB23:CB32)</f>
        <v>78613.140000000014</v>
      </c>
      <c r="CC41" s="253">
        <f t="shared" ref="CC41:CC42" si="156">CB41/CA41</f>
        <v>0.82309796422006987</v>
      </c>
      <c r="CD41" s="258">
        <f>SUM(CD23:CD32)</f>
        <v>154866.31</v>
      </c>
      <c r="CE41" s="258">
        <f>SUM(CE23:CE32)</f>
        <v>110392.44999999998</v>
      </c>
      <c r="CF41" s="253">
        <f t="shared" ref="CF41:CF42" si="157">CE41/CD41</f>
        <v>0.71282417718869895</v>
      </c>
      <c r="CG41" s="258">
        <f>SUM(CG23:CG32)</f>
        <v>232024.75999999998</v>
      </c>
      <c r="CH41" s="258">
        <f>SUM(CH23:CH32)</f>
        <v>161960.54</v>
      </c>
      <c r="CI41" s="253">
        <f t="shared" ref="CI41:CI42" si="158">CH41/CG41</f>
        <v>0.69803127907556084</v>
      </c>
      <c r="CJ41" s="258">
        <f>SUM(CJ23:CJ32)</f>
        <v>137812.54999999999</v>
      </c>
      <c r="CK41" s="258">
        <f>SUM(CK23:CK32)</f>
        <v>76354.069999999992</v>
      </c>
      <c r="CL41" s="253">
        <f t="shared" ref="CL41:CL42" si="159">CK41/CJ41</f>
        <v>0.55404293730868481</v>
      </c>
      <c r="CM41" s="258">
        <f>SUM(CM23:CM32)</f>
        <v>161871.57999999999</v>
      </c>
      <c r="CN41" s="258">
        <f>SUM(CN23:CN32)</f>
        <v>101527.76999999999</v>
      </c>
      <c r="CO41" s="253">
        <f t="shared" ref="CO41:CO42" si="160">CN41/CM41</f>
        <v>0.62721183051404084</v>
      </c>
      <c r="CP41" s="258">
        <f>SUM(CP23:CP32)</f>
        <v>90856.549999999988</v>
      </c>
      <c r="CQ41" s="258">
        <f>SUM(CQ23:CQ32)</f>
        <v>67939.180000000008</v>
      </c>
      <c r="CR41" s="253">
        <f t="shared" ref="CR41:CR42" si="161">CQ41/CP41</f>
        <v>0.74776314971237645</v>
      </c>
      <c r="CS41" s="258">
        <f>SUM(CS23:CS32)</f>
        <v>69436.010000000009</v>
      </c>
      <c r="CT41" s="258">
        <f>SUM(CT23:CT32)</f>
        <v>69995.98</v>
      </c>
      <c r="CU41" s="253">
        <f t="shared" ref="CU41:CU42" si="162">CT41/CS41</f>
        <v>1.0080645474876795</v>
      </c>
      <c r="CV41" s="258">
        <f>SUM(CV23:CV32)</f>
        <v>86583.95</v>
      </c>
      <c r="CW41" s="258">
        <f>SUM(CW23:CW32)</f>
        <v>71296.38</v>
      </c>
      <c r="CX41" s="253">
        <f t="shared" ref="CX41:CX42" si="163">CW41/CV41</f>
        <v>0.82343644520722381</v>
      </c>
      <c r="CY41" s="258">
        <f>SUM(CY23:CY32)</f>
        <v>135209</v>
      </c>
      <c r="CZ41" s="258">
        <f>SUM(CZ23:CZ32)</f>
        <v>110478.58</v>
      </c>
      <c r="DA41" s="253">
        <f t="shared" ref="DA41:DA42" si="164">CZ41/CY41</f>
        <v>0.81709486794518116</v>
      </c>
      <c r="DB41" s="258">
        <f>SUM(DB23:DB32)</f>
        <v>295291.14999999997</v>
      </c>
      <c r="DC41" s="258">
        <f>SUM(DC23:DC32)</f>
        <v>128071.85999999999</v>
      </c>
      <c r="DD41" s="253">
        <f t="shared" ref="DD41:DD42" si="165">DC41/DB41</f>
        <v>0.43371384479351988</v>
      </c>
      <c r="DE41" s="258">
        <f>SUM(DE23:DE32)</f>
        <v>224564.94</v>
      </c>
      <c r="DF41" s="258">
        <f>SUM(DF23:DF32)</f>
        <v>71762.209999999992</v>
      </c>
      <c r="DG41" s="253">
        <f t="shared" ref="DG41:DG42" si="166">DF41/DE41</f>
        <v>0.31956105881888774</v>
      </c>
      <c r="DH41" s="258">
        <f>SUM(DH23:DH32)</f>
        <v>129049.51999999999</v>
      </c>
      <c r="DI41" s="258">
        <f>SUM(DI23:DI32)</f>
        <v>74022.14</v>
      </c>
      <c r="DJ41" s="253">
        <f t="shared" ref="DJ41:DJ42" si="167">DI41/DH41</f>
        <v>0.57359484948103645</v>
      </c>
      <c r="DK41" s="285">
        <f>SUM(DK23:DK32)</f>
        <v>126010.82999999999</v>
      </c>
      <c r="DL41" s="286">
        <f>SUM(DL23:DL32)</f>
        <v>85448.02</v>
      </c>
      <c r="DM41" s="284">
        <f t="shared" ref="DM41:DM42" si="168">DL41/DK41</f>
        <v>0.67810060452740462</v>
      </c>
      <c r="DN41" s="285">
        <f>SUM(DN23:DN32)</f>
        <v>174483.88999999998</v>
      </c>
      <c r="DO41" s="286">
        <f>SUM(DO23:DO32)</f>
        <v>80486.709999999992</v>
      </c>
      <c r="DP41" s="284">
        <f t="shared" ref="DP41:DP42" si="169">DO41/DN41</f>
        <v>0.46128447732337924</v>
      </c>
      <c r="DQ41" s="285">
        <f>SUM(DQ23:DQ32)</f>
        <v>319238.34000000003</v>
      </c>
      <c r="DR41" s="286">
        <f>SUM(DR23:DR32)</f>
        <v>97140.609999999986</v>
      </c>
      <c r="DS41" s="284">
        <f t="shared" ref="DS41:DS42" si="170">DR41/DQ41</f>
        <v>0.30428867033953372</v>
      </c>
      <c r="DT41" s="285">
        <f>SUM(DT23:DT32)</f>
        <v>309905.40999999997</v>
      </c>
      <c r="DU41" s="286">
        <f>SUM(DU23:DU32)</f>
        <v>152001.84999999998</v>
      </c>
      <c r="DV41" s="284">
        <f t="shared" ref="DV41:DV42" si="171">DU41/DT41</f>
        <v>0.49047820752790339</v>
      </c>
      <c r="DW41" s="285">
        <f>SUM(DW23:DW32)</f>
        <v>308234.19999999995</v>
      </c>
      <c r="DX41" s="286">
        <f>SUM(DX23:DX32)</f>
        <v>242227.87000000002</v>
      </c>
      <c r="DY41" s="284">
        <f t="shared" si="114"/>
        <v>0.78585656620842226</v>
      </c>
      <c r="DZ41" s="285">
        <f>SUM(DZ23:DZ32)</f>
        <v>251230.42999999996</v>
      </c>
      <c r="EA41" s="286">
        <f>SUM(EA23:EA32)</f>
        <v>109768.02999999998</v>
      </c>
      <c r="EB41" s="284">
        <f t="shared" si="115"/>
        <v>0.43692171366342841</v>
      </c>
      <c r="EC41" s="285">
        <f>SUM(EC23:EC32)</f>
        <v>130990.68</v>
      </c>
      <c r="ED41" s="286">
        <f>SUM(ED23:ED32)</f>
        <v>36832.350000000006</v>
      </c>
      <c r="EE41" s="284">
        <f t="shared" si="116"/>
        <v>0.28118298187321422</v>
      </c>
      <c r="EF41" s="285">
        <f>SUM(EF23:EF32)</f>
        <v>76737.48000000001</v>
      </c>
      <c r="EG41" s="286">
        <f>SUM(EG23:EG32)</f>
        <v>51203.24</v>
      </c>
      <c r="EH41" s="284">
        <f t="shared" si="117"/>
        <v>0.6672520390296891</v>
      </c>
      <c r="EI41" s="285">
        <f>SUM(EI23:EI32)</f>
        <v>117729.23999999999</v>
      </c>
      <c r="EJ41" s="286">
        <f>SUM(EJ23:EJ32)</f>
        <v>58058.140000000007</v>
      </c>
      <c r="EK41" s="284">
        <f t="shared" si="118"/>
        <v>0.49314970520492624</v>
      </c>
      <c r="EL41" s="285">
        <f>SUM(EL23:EL32)</f>
        <v>99320.29</v>
      </c>
      <c r="EM41" s="286">
        <f>SUM(EM23:EM32)</f>
        <v>63905.71</v>
      </c>
      <c r="EN41" s="284">
        <f t="shared" si="119"/>
        <v>0.6434305618721009</v>
      </c>
      <c r="EO41" s="285">
        <f>SUM(EO23:EO32)</f>
        <v>156689.18000000002</v>
      </c>
      <c r="EP41" s="286">
        <f>SUM(EP23:EP32)</f>
        <v>72197.429999999993</v>
      </c>
      <c r="EQ41" s="284">
        <f t="shared" si="120"/>
        <v>0.46076844616839518</v>
      </c>
      <c r="ER41" s="285">
        <f>SUM(ER23:ER32)</f>
        <v>209740.75</v>
      </c>
      <c r="ES41" s="286">
        <f>SUM(ES23:ES32)</f>
        <v>63303.94</v>
      </c>
      <c r="ET41" s="284">
        <f t="shared" si="121"/>
        <v>0.30181993723203526</v>
      </c>
      <c r="EU41" s="285">
        <f>SUM(EU23:EU32)</f>
        <v>155558.98999999996</v>
      </c>
      <c r="EV41" s="286">
        <f>SUM(EV23:EV32)</f>
        <v>68693.05</v>
      </c>
      <c r="EW41" s="284">
        <f t="shared" si="122"/>
        <v>0.44158842892975853</v>
      </c>
      <c r="EX41" s="285">
        <f>SUM(EX23:EX32)</f>
        <v>80643.179999999993</v>
      </c>
      <c r="EY41" s="286">
        <f>SUM(EY23:EY32)</f>
        <v>67864.56</v>
      </c>
      <c r="EZ41" s="284">
        <f t="shared" si="123"/>
        <v>0.84154121898466805</v>
      </c>
      <c r="FA41" s="285">
        <f>SUM(FA23:FA32)</f>
        <v>85899.62</v>
      </c>
      <c r="FB41" s="286">
        <f>SUM(FB23:FB32)</f>
        <v>54931.090000000004</v>
      </c>
      <c r="FC41" s="284">
        <f t="shared" si="124"/>
        <v>0.63948001166943469</v>
      </c>
      <c r="FD41" s="285">
        <f>SUM(FD23:FD32)</f>
        <v>82119.17</v>
      </c>
      <c r="FE41" s="286">
        <f>SUM(FE23:FE32)</f>
        <v>79136.460000000006</v>
      </c>
      <c r="FF41" s="284">
        <f t="shared" si="125"/>
        <v>0.96367827390364524</v>
      </c>
      <c r="FG41" s="285">
        <f>SUM(FG23:FG32)</f>
        <v>105033.28</v>
      </c>
      <c r="FH41" s="286">
        <f>SUM(FH23:FH32)</f>
        <v>90962.53</v>
      </c>
      <c r="FI41" s="284">
        <f t="shared" si="126"/>
        <v>0.86603531756791752</v>
      </c>
      <c r="FJ41" s="285">
        <f>SUM(FJ23:FJ32)</f>
        <v>175467</v>
      </c>
      <c r="FK41" s="286">
        <f>SUM(FK23:FK32)</f>
        <v>133509.28</v>
      </c>
      <c r="FL41" s="284">
        <f t="shared" si="127"/>
        <v>0.76087970957501982</v>
      </c>
      <c r="FM41" s="285">
        <f>SUM(FM23:FM32)</f>
        <v>273780.82</v>
      </c>
      <c r="FN41" s="286">
        <f>SUM(FN23:FN32)</f>
        <v>179729.07</v>
      </c>
      <c r="FO41" s="284">
        <f t="shared" si="128"/>
        <v>0.65647063954297458</v>
      </c>
      <c r="FP41" s="285">
        <f>SUM(FP23:FP32)</f>
        <v>185964.61</v>
      </c>
      <c r="FQ41" s="286">
        <f>SUM(FQ23:FQ32)</f>
        <v>121339</v>
      </c>
      <c r="FR41" s="284">
        <f t="shared" si="129"/>
        <v>0.6524843624816572</v>
      </c>
      <c r="FS41" s="285">
        <f>SUM(FS23:FS32)</f>
        <v>95829.3</v>
      </c>
      <c r="FT41" s="286">
        <f>SUM(FT23:FT32)</f>
        <v>86235.320000000022</v>
      </c>
      <c r="FU41" s="284">
        <f t="shared" si="130"/>
        <v>0.89988469079916078</v>
      </c>
      <c r="FV41" s="285">
        <f>SUM(FV23:FV32)</f>
        <v>113595.29</v>
      </c>
      <c r="FW41" s="286">
        <f>SUM(FW23:FW32)</f>
        <v>94173.34</v>
      </c>
      <c r="FX41" s="284">
        <f t="shared" si="131"/>
        <v>0.82902504144317957</v>
      </c>
      <c r="FY41" s="285">
        <f>SUM(FY23:FY32)</f>
        <v>111756.29999999999</v>
      </c>
      <c r="FZ41" s="286">
        <f>SUM(FZ23:FZ32)</f>
        <v>94948.23000000001</v>
      </c>
      <c r="GA41" s="284">
        <f t="shared" si="132"/>
        <v>0.84960069365217017</v>
      </c>
      <c r="GB41" s="285">
        <f>SUM(GB23:GB32)</f>
        <v>142116.17000000001</v>
      </c>
      <c r="GC41" s="286">
        <f>SUM(GC23:GC32)</f>
        <v>97759.21</v>
      </c>
      <c r="GD41" s="284">
        <f t="shared" si="133"/>
        <v>0.68788238523455847</v>
      </c>
      <c r="GE41" s="285">
        <f>SUM(GE23:GE32)</f>
        <v>166828.83999999997</v>
      </c>
      <c r="GF41" s="286">
        <f>SUM(GF23:GF32)</f>
        <v>147532.41999999998</v>
      </c>
      <c r="GG41" s="284">
        <f t="shared" si="134"/>
        <v>0.88433402761776692</v>
      </c>
      <c r="GH41" s="285">
        <f>SUM(GH23:GH32)</f>
        <v>284625.89</v>
      </c>
      <c r="GI41" s="286">
        <f>SUM(GI23:GI32)</f>
        <v>218093.51</v>
      </c>
      <c r="GJ41" s="284">
        <f t="shared" si="135"/>
        <v>0.76624621182563535</v>
      </c>
      <c r="GK41" s="285">
        <f>SUM(GK23:GK32)</f>
        <v>262354.44</v>
      </c>
      <c r="GL41" s="286">
        <f>SUM(GL23:GL32)</f>
        <v>131449.67000000001</v>
      </c>
      <c r="GM41" s="284">
        <f t="shared" si="136"/>
        <v>0.50103848061424083</v>
      </c>
      <c r="GN41" s="285">
        <f>SUM(GN23:GN32)</f>
        <v>120513.58</v>
      </c>
      <c r="GO41" s="286">
        <f>SUM(GO23:GO32)</f>
        <v>92400.99</v>
      </c>
      <c r="GP41" s="284">
        <f t="shared" si="137"/>
        <v>0.76672678713884368</v>
      </c>
      <c r="GQ41" s="285">
        <f>SUM(GQ23:GQ32)</f>
        <v>114999.41999999998</v>
      </c>
      <c r="GR41" s="286">
        <f>SUM(GR23:GR32)</f>
        <v>85405.06</v>
      </c>
      <c r="GS41" s="284">
        <f t="shared" si="138"/>
        <v>0.7426564412237906</v>
      </c>
      <c r="GT41" s="285">
        <f>SUM(GT23:GT32)</f>
        <v>104229.98999999999</v>
      </c>
      <c r="GU41" s="286">
        <f>SUM(GU23:GU32)</f>
        <v>96646.65</v>
      </c>
      <c r="GV41" s="284">
        <f t="shared" si="139"/>
        <v>0.92724416456338532</v>
      </c>
      <c r="GW41" s="285">
        <f>SUM(GW23:GW32)</f>
        <v>122514.2</v>
      </c>
      <c r="GX41" s="286">
        <f>SUM(GX23:GX32)</f>
        <v>93246.5</v>
      </c>
      <c r="GY41" s="284">
        <f t="shared" si="140"/>
        <v>0.76110769200631434</v>
      </c>
      <c r="GZ41" s="285">
        <f>SUM(GZ23:GZ32)</f>
        <v>122514.2</v>
      </c>
      <c r="HA41" s="286">
        <f>SUM(HA23:HA32)</f>
        <v>151229.34999999998</v>
      </c>
      <c r="HB41" s="284">
        <f t="shared" si="141"/>
        <v>1.2343822185509923</v>
      </c>
      <c r="HC41" s="285">
        <f>SUM(HC23:HC32)</f>
        <v>307748.83999999997</v>
      </c>
      <c r="HD41" s="286">
        <f>SUM(HD23:HD32)</f>
        <v>199550.56</v>
      </c>
      <c r="HE41" s="284">
        <f t="shared" si="142"/>
        <v>0.64842018575927052</v>
      </c>
      <c r="HF41" s="285">
        <f>SUM(HF23:HF32)</f>
        <v>203301.27</v>
      </c>
      <c r="HG41" s="286">
        <f>SUM(HG23:HG32)</f>
        <v>132633.40000000002</v>
      </c>
      <c r="HH41" s="284">
        <f t="shared" si="143"/>
        <v>0.65239828555916068</v>
      </c>
      <c r="HI41" s="285">
        <f>SUM(HI23:HI32)</f>
        <v>157753.29000000004</v>
      </c>
      <c r="HJ41" s="286">
        <f>SUM(HJ23:HJ32)</f>
        <v>135404.81000000003</v>
      </c>
      <c r="HK41" s="284">
        <f t="shared" si="144"/>
        <v>0.85833271686441526</v>
      </c>
      <c r="HL41" s="285">
        <f>SUM(HL23:HL32)</f>
        <v>80667.17</v>
      </c>
      <c r="HM41" s="286">
        <f>SUM(HM23:HM32)</f>
        <v>86156.700000000012</v>
      </c>
      <c r="HN41" s="284">
        <f t="shared" si="145"/>
        <v>1.0680516001739</v>
      </c>
      <c r="HO41" s="285">
        <f>SUM(HO23:HO32)</f>
        <v>58524.979999999996</v>
      </c>
      <c r="HP41" s="286">
        <f>SUM(HP23:HP32)</f>
        <v>92063.89</v>
      </c>
      <c r="HQ41" s="284">
        <f t="shared" si="146"/>
        <v>1.5730699950687725</v>
      </c>
      <c r="HR41" s="285">
        <f>SUM(HR23:HR32)</f>
        <v>53832.87</v>
      </c>
      <c r="HS41" s="286">
        <f>SUM(HS23:HS32)</f>
        <v>90934.26</v>
      </c>
      <c r="HT41" s="284">
        <f t="shared" si="147"/>
        <v>1.6891958388991706</v>
      </c>
      <c r="HU41" s="285">
        <f>SUM(HU23:HU32)</f>
        <v>77704.37999999999</v>
      </c>
      <c r="HV41" s="286">
        <f>SUM(HV23:HV32)</f>
        <v>143448.79</v>
      </c>
      <c r="HW41" s="284">
        <f t="shared" si="148"/>
        <v>1.8460837085374084</v>
      </c>
      <c r="HX41" s="285">
        <f>SUM(HX23:HX32)</f>
        <v>111775.76000000001</v>
      </c>
      <c r="HY41" s="286">
        <f>SUM(HY23:HY32)</f>
        <v>214593.64999999997</v>
      </c>
      <c r="HZ41" s="284">
        <f t="shared" si="149"/>
        <v>1.9198585632519962</v>
      </c>
      <c r="IA41" s="285">
        <f>SUM(IA23:IA32)</f>
        <v>68819.260000000009</v>
      </c>
      <c r="IB41" s="286">
        <f>SUM(IB23:IB32)</f>
        <v>129389.84999999999</v>
      </c>
      <c r="IC41" s="284">
        <f t="shared" si="150"/>
        <v>1.8801400945026141</v>
      </c>
      <c r="ID41" s="245"/>
      <c r="IE41" s="245"/>
      <c r="IF41" s="245"/>
      <c r="IG41" s="245"/>
      <c r="IH41" s="245"/>
      <c r="II41" s="245"/>
      <c r="IJ41" s="245"/>
      <c r="IK41" s="245"/>
      <c r="IL41" s="245"/>
      <c r="IM41" s="245"/>
      <c r="IN41" s="245"/>
      <c r="IO41" s="245"/>
      <c r="IP41" s="245"/>
      <c r="IQ41" s="279">
        <f>SUM(IQ23:IQ32)</f>
        <v>2999150.79</v>
      </c>
      <c r="IR41" s="280">
        <f>SUM(IR23:IR32)</f>
        <v>2605245.31</v>
      </c>
      <c r="IS41" s="280">
        <f>SUM(IS23:IS32)</f>
        <v>-393905.47999999981</v>
      </c>
      <c r="IT41" s="281">
        <f t="shared" si="151"/>
        <v>0.86866099520124496</v>
      </c>
      <c r="IU41" s="280">
        <f>SUM(IU23:IU32)</f>
        <v>743559.72</v>
      </c>
      <c r="IV41" s="280">
        <f>SUM(IV23:IV32)</f>
        <v>895235.49999999988</v>
      </c>
      <c r="IW41" s="280">
        <f>SUM(IW23:IW32)</f>
        <v>151675.77999999997</v>
      </c>
      <c r="IX41" s="334">
        <f t="shared" si="152"/>
        <v>1.2039860093551058</v>
      </c>
    </row>
    <row r="42" spans="3:262" ht="16.5">
      <c r="C42" s="260" t="s">
        <v>46</v>
      </c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1">
        <f>SUM(AK23,AK25:AK32)</f>
        <v>113339.39999999998</v>
      </c>
      <c r="AL42" s="251">
        <f>SUM(AL23,AL25:AL32)</f>
        <v>74713.159999999989</v>
      </c>
      <c r="AM42" s="254">
        <f t="shared" si="86"/>
        <v>0.65919847819910815</v>
      </c>
      <c r="AN42" s="252"/>
      <c r="AO42" s="252"/>
      <c r="AP42" s="252"/>
      <c r="AQ42" s="252"/>
      <c r="AR42" s="252"/>
      <c r="AS42" s="252"/>
      <c r="AT42" s="251">
        <f>SUM(AT23,AT25:AT32)</f>
        <v>127757.49999999999</v>
      </c>
      <c r="AU42" s="251">
        <f>SUM(AU23,AU25:AU32)</f>
        <v>78617.2</v>
      </c>
      <c r="AV42" s="254">
        <f t="shared" si="87"/>
        <v>0.61536269886308048</v>
      </c>
      <c r="AW42" s="251">
        <f>SUM(AW23,AW25:AW32)</f>
        <v>77924.709999999992</v>
      </c>
      <c r="AX42" s="251">
        <f>SUM(AX23,AX25:AX32)</f>
        <v>84910.260000000024</v>
      </c>
      <c r="AY42" s="254">
        <f t="shared" si="88"/>
        <v>1.0896448636125824</v>
      </c>
      <c r="AZ42" s="251">
        <f>SUM(AZ23,AZ25:AZ32)</f>
        <v>74296.17</v>
      </c>
      <c r="BA42" s="251">
        <f>SUM(BA23,BA25:BA32)</f>
        <v>72197.429999999993</v>
      </c>
      <c r="BB42" s="254">
        <f t="shared" si="89"/>
        <v>0.97175170671651034</v>
      </c>
      <c r="BC42" s="251">
        <f>SUM(BC23,BC25:BC32)</f>
        <v>76478.039999999994</v>
      </c>
      <c r="BD42" s="251">
        <f>SUM(BD23,BD25:BD32)</f>
        <v>63303.94</v>
      </c>
      <c r="BE42" s="254">
        <f t="shared" si="90"/>
        <v>0.82774009375763302</v>
      </c>
      <c r="BF42" s="251">
        <f>SUM(BF23,BF25:BF32)</f>
        <v>66924.240000000005</v>
      </c>
      <c r="BG42" s="251">
        <f>SUM(BG23,BG25:BG32)</f>
        <v>77079.83</v>
      </c>
      <c r="BH42" s="254">
        <f t="shared" si="91"/>
        <v>1.1517475581343919</v>
      </c>
      <c r="BI42" s="251">
        <f>SUM(BI23,BI25:BI32)</f>
        <v>106349.85</v>
      </c>
      <c r="BJ42" s="251">
        <f>SUM(BJ23,BJ25:BJ32)</f>
        <v>96017.67</v>
      </c>
      <c r="BK42" s="254">
        <f t="shared" si="92"/>
        <v>0.90284725366326324</v>
      </c>
      <c r="BL42" s="251">
        <f>SUM(BL23,BL25:BL32)</f>
        <v>183688.14</v>
      </c>
      <c r="BM42" s="251">
        <f>SUM(BM23,BM25:BM32)</f>
        <v>134300.68</v>
      </c>
      <c r="BN42" s="254">
        <f t="shared" si="93"/>
        <v>0.73113419298600324</v>
      </c>
      <c r="BO42" s="251">
        <f>SUM(BO23,BO25:BO32)</f>
        <v>126539.63000000002</v>
      </c>
      <c r="BP42" s="251">
        <f>SUM(BP23,BP25:BP32)</f>
        <v>57530.729999999996</v>
      </c>
      <c r="BQ42" s="254">
        <f t="shared" si="94"/>
        <v>0.45464594767662897</v>
      </c>
      <c r="BR42" s="251">
        <f>SUM(BR23,BR25:BR32)</f>
        <v>79131.999999999985</v>
      </c>
      <c r="BS42" s="251">
        <f>SUM(BS23,BS25:BS32)</f>
        <v>66229.070000000007</v>
      </c>
      <c r="BT42" s="254">
        <f t="shared" si="153"/>
        <v>0.83694421978466382</v>
      </c>
      <c r="BU42" s="251">
        <f>SUM(BU23,BU25:BU32)</f>
        <v>78739.249999999985</v>
      </c>
      <c r="BV42" s="251">
        <f>SUM(BV23,BV25:BV32)</f>
        <v>65040.56</v>
      </c>
      <c r="BW42" s="254">
        <f t="shared" si="154"/>
        <v>0.8260246319338832</v>
      </c>
      <c r="BX42" s="323">
        <f>SUM(BX23,BX25:BX32)</f>
        <v>77963.850000000006</v>
      </c>
      <c r="BY42" s="323">
        <f>SUM(BY23,BY25:BY32)</f>
        <v>59885.26</v>
      </c>
      <c r="BZ42" s="254">
        <f t="shared" si="155"/>
        <v>0.7681157356903231</v>
      </c>
      <c r="CA42" s="323">
        <f>SUM(CA23,CA25:CA32)</f>
        <v>84398.47</v>
      </c>
      <c r="CB42" s="323">
        <f>SUM(CB23,CB25:CB32)</f>
        <v>78613.140000000014</v>
      </c>
      <c r="CC42" s="254">
        <f t="shared" si="156"/>
        <v>0.9314521933869182</v>
      </c>
      <c r="CD42" s="323">
        <f>SUM(CD23,CD25:CD32)</f>
        <v>137737.48000000001</v>
      </c>
      <c r="CE42" s="323">
        <f>SUM(CE23,CE25:CE32)</f>
        <v>110392.44999999998</v>
      </c>
      <c r="CF42" s="254">
        <f t="shared" si="157"/>
        <v>0.80146994122442183</v>
      </c>
      <c r="CG42" s="323">
        <f>SUM(CG23,CG25:CG32)</f>
        <v>201874.94999999998</v>
      </c>
      <c r="CH42" s="323">
        <f>SUM(CH23,CH25:CH32)</f>
        <v>161960.54</v>
      </c>
      <c r="CI42" s="254">
        <f t="shared" si="158"/>
        <v>0.80228151140099369</v>
      </c>
      <c r="CJ42" s="323">
        <f>SUM(CJ23,CJ25:CJ32)</f>
        <v>113566.29</v>
      </c>
      <c r="CK42" s="323">
        <f>SUM(CK23,CK25:CK32)</f>
        <v>76354.069999999992</v>
      </c>
      <c r="CL42" s="254">
        <f t="shared" si="159"/>
        <v>0.67233040720093962</v>
      </c>
      <c r="CM42" s="323">
        <f>SUM(CM23,CM25:CM32)</f>
        <v>132266</v>
      </c>
      <c r="CN42" s="323">
        <f>SUM(CN23,CN25:CN32)</f>
        <v>101527.76999999999</v>
      </c>
      <c r="CO42" s="254">
        <f t="shared" si="160"/>
        <v>0.76760293650673639</v>
      </c>
      <c r="CP42" s="323">
        <f>SUM(CP23,CP25:CP32)</f>
        <v>82598.619999999981</v>
      </c>
      <c r="CQ42" s="323">
        <f>SUM(CQ23,CQ25:CQ32)</f>
        <v>67939.180000000008</v>
      </c>
      <c r="CR42" s="254">
        <f t="shared" si="161"/>
        <v>0.82252197433807028</v>
      </c>
      <c r="CS42" s="323">
        <f>SUM(CS23,CS25:CS32)</f>
        <v>60358.590000000004</v>
      </c>
      <c r="CT42" s="323">
        <f>SUM(CT23,CT25:CT32)</f>
        <v>69995.98</v>
      </c>
      <c r="CU42" s="254">
        <f t="shared" si="162"/>
        <v>1.1596689054532254</v>
      </c>
      <c r="CV42" s="323">
        <f>SUM(CV23,CV25:CV32)</f>
        <v>76102.94</v>
      </c>
      <c r="CW42" s="323">
        <f>SUM(CW23,CW25:CW32)</f>
        <v>71296.38</v>
      </c>
      <c r="CX42" s="254">
        <f t="shared" si="163"/>
        <v>0.93684133622170185</v>
      </c>
      <c r="CY42" s="323">
        <f>SUM(CY23,CY25:CY32)</f>
        <v>119369.01999999999</v>
      </c>
      <c r="CZ42" s="323">
        <f>SUM(CZ23,CZ25:CZ32)</f>
        <v>110478.58</v>
      </c>
      <c r="DA42" s="254">
        <f t="shared" si="164"/>
        <v>0.92552137899766629</v>
      </c>
      <c r="DB42" s="323">
        <f>SUM(DB23,DB25:DB32)</f>
        <v>264276.5</v>
      </c>
      <c r="DC42" s="323">
        <f>SUM(DC23,DC25:DC32)</f>
        <v>128071.85999999999</v>
      </c>
      <c r="DD42" s="254">
        <f t="shared" si="165"/>
        <v>0.48461312299807202</v>
      </c>
      <c r="DE42" s="323">
        <f>SUM(DE23,DE25:DE32)</f>
        <v>191125.11000000002</v>
      </c>
      <c r="DF42" s="323">
        <f>SUM(DF23,DF25:DF32)</f>
        <v>71762.209999999992</v>
      </c>
      <c r="DG42" s="254">
        <f t="shared" si="166"/>
        <v>0.37547243269081693</v>
      </c>
      <c r="DH42" s="323">
        <f>SUM(DH23,DH25:DH32)</f>
        <v>119683.76000000001</v>
      </c>
      <c r="DI42" s="323">
        <f>SUM(DI23,DI25:DI32)</f>
        <v>74022.14</v>
      </c>
      <c r="DJ42" s="254">
        <f t="shared" si="167"/>
        <v>0.61848107044765299</v>
      </c>
      <c r="DK42" s="287">
        <f>SUM(DK23,DK25:DK32)</f>
        <v>118114.67</v>
      </c>
      <c r="DL42" s="288">
        <f>SUM(DL23,DL25:DL32)</f>
        <v>85448.02</v>
      </c>
      <c r="DM42" s="289">
        <f t="shared" si="168"/>
        <v>0.72343274548368974</v>
      </c>
      <c r="DN42" s="287">
        <f>SUM(DN23,DN25:DN32)</f>
        <v>157501.10999999999</v>
      </c>
      <c r="DO42" s="288">
        <f>SUM(DO23,DO25:DO32)</f>
        <v>80486.709999999992</v>
      </c>
      <c r="DP42" s="289">
        <f t="shared" si="169"/>
        <v>0.51102312866239485</v>
      </c>
      <c r="DQ42" s="287">
        <f>SUM(DQ23,DQ25:DQ32)</f>
        <v>297412.24</v>
      </c>
      <c r="DR42" s="288">
        <f>SUM(DR23,DR25:DR32)</f>
        <v>97140.609999999986</v>
      </c>
      <c r="DS42" s="289">
        <f t="shared" si="170"/>
        <v>0.32661940880442575</v>
      </c>
      <c r="DT42" s="287">
        <f>SUM(DT23,DT25:DT32)</f>
        <v>277666.99</v>
      </c>
      <c r="DU42" s="288">
        <f>SUM(DU23,DU25:DU32)</f>
        <v>152001.84999999998</v>
      </c>
      <c r="DV42" s="289">
        <f t="shared" si="171"/>
        <v>0.54742499279442614</v>
      </c>
      <c r="DW42" s="287">
        <f>SUM(DW23,DW25:DW32)</f>
        <v>273751.37</v>
      </c>
      <c r="DX42" s="288">
        <f>SUM(DX23,DX25:DX32)</f>
        <v>242227.87000000002</v>
      </c>
      <c r="DY42" s="289">
        <f t="shared" si="114"/>
        <v>0.88484623839508103</v>
      </c>
      <c r="DZ42" s="287">
        <f>SUM(DZ23,DZ25:DZ32)</f>
        <v>220299.62999999998</v>
      </c>
      <c r="EA42" s="288">
        <f>SUM(EA23,EA25:EA32)</f>
        <v>109768.02999999998</v>
      </c>
      <c r="EB42" s="289">
        <f t="shared" si="115"/>
        <v>0.4982669739390847</v>
      </c>
      <c r="EC42" s="287">
        <f>SUM(EC23,EC25:EC32)</f>
        <v>121886.7</v>
      </c>
      <c r="ED42" s="288">
        <f>SUM(ED23,ED25:ED32)</f>
        <v>36832.350000000006</v>
      </c>
      <c r="EE42" s="289">
        <f t="shared" si="116"/>
        <v>0.30218514407232294</v>
      </c>
      <c r="EF42" s="287">
        <f>SUM(EF23,EF25:EF32)</f>
        <v>68164.160000000003</v>
      </c>
      <c r="EG42" s="288">
        <f>SUM(EG23,EG25:EG32)</f>
        <v>51203.24</v>
      </c>
      <c r="EH42" s="289">
        <f t="shared" si="117"/>
        <v>0.75117539774567743</v>
      </c>
      <c r="EI42" s="287">
        <f>SUM(EI23,EI25:EI32)</f>
        <v>107539.47999999998</v>
      </c>
      <c r="EJ42" s="288">
        <f>SUM(EJ23,EJ25:EJ32)</f>
        <v>58058.140000000007</v>
      </c>
      <c r="EK42" s="289">
        <f t="shared" si="118"/>
        <v>0.53987744779870628</v>
      </c>
      <c r="EL42" s="287">
        <f>SUM(EL23,EL25:EL32)</f>
        <v>87281.25</v>
      </c>
      <c r="EM42" s="288">
        <f>SUM(EM23,EM25:EM32)</f>
        <v>63905.71</v>
      </c>
      <c r="EN42" s="289">
        <f t="shared" si="119"/>
        <v>0.73218142499104899</v>
      </c>
      <c r="EO42" s="287">
        <f>SUM(EO23,EO25:EO32)</f>
        <v>137775.95000000001</v>
      </c>
      <c r="EP42" s="288">
        <f>SUM(EP23,EP25:EP32)</f>
        <v>72197.429999999993</v>
      </c>
      <c r="EQ42" s="289">
        <f t="shared" si="120"/>
        <v>0.52402055656302848</v>
      </c>
      <c r="ER42" s="287">
        <f>SUM(ER23,ER25:ER32)</f>
        <v>182344.68999999997</v>
      </c>
      <c r="ES42" s="288">
        <f>SUM(ES23,ES25:ES32)</f>
        <v>63303.94</v>
      </c>
      <c r="ET42" s="289">
        <f t="shared" si="121"/>
        <v>0.34716634742695285</v>
      </c>
      <c r="EU42" s="287">
        <f>SUM(EU23,EU25:EU32)</f>
        <v>125803.82</v>
      </c>
      <c r="EV42" s="288">
        <f>SUM(EV23,EV25:EV32)</f>
        <v>68693.05</v>
      </c>
      <c r="EW42" s="289">
        <f t="shared" si="122"/>
        <v>0.54603310137959249</v>
      </c>
      <c r="EX42" s="287">
        <f>SUM(EX23,EX25:EX32)</f>
        <v>72349.95</v>
      </c>
      <c r="EY42" s="288">
        <f>SUM(EY23,EY25:EY32)</f>
        <v>67864.56</v>
      </c>
      <c r="EZ42" s="289">
        <f t="shared" si="123"/>
        <v>0.93800424188268272</v>
      </c>
      <c r="FA42" s="287">
        <f>SUM(FA23,FA25:FA32)</f>
        <v>77405.38</v>
      </c>
      <c r="FB42" s="288">
        <f>SUM(FB23,FB25:FB32)</f>
        <v>54931.090000000004</v>
      </c>
      <c r="FC42" s="289">
        <f t="shared" si="124"/>
        <v>0.70965467774978952</v>
      </c>
      <c r="FD42" s="287">
        <f>SUM(FD23:FD32)</f>
        <v>82119.17</v>
      </c>
      <c r="FE42" s="287">
        <f>SUM(FE23:FE32)</f>
        <v>79136.460000000006</v>
      </c>
      <c r="FF42" s="289">
        <f t="shared" si="125"/>
        <v>0.96367827390364524</v>
      </c>
      <c r="FG42" s="287">
        <f>SUM(FG23:FG32)</f>
        <v>105033.28</v>
      </c>
      <c r="FH42" s="287">
        <f>SUM(FH23:FH32)</f>
        <v>90962.53</v>
      </c>
      <c r="FI42" s="289">
        <f t="shared" si="126"/>
        <v>0.86603531756791752</v>
      </c>
      <c r="FJ42" s="287">
        <f>SUM(FJ23:FJ32)</f>
        <v>175467</v>
      </c>
      <c r="FK42" s="287">
        <f>SUM(FK23:FK32)</f>
        <v>133509.28</v>
      </c>
      <c r="FL42" s="289">
        <f t="shared" si="127"/>
        <v>0.76087970957501982</v>
      </c>
      <c r="FM42" s="287">
        <f>SUM(FM23:FM32)</f>
        <v>273780.82</v>
      </c>
      <c r="FN42" s="287">
        <f>SUM(FN23:FN32)</f>
        <v>179729.07</v>
      </c>
      <c r="FO42" s="289">
        <f t="shared" si="128"/>
        <v>0.65647063954297458</v>
      </c>
      <c r="FP42" s="287">
        <f>SUM(FP23:FP32)</f>
        <v>185964.61</v>
      </c>
      <c r="FQ42" s="287">
        <f>SUM(FQ23:FQ32)</f>
        <v>121339</v>
      </c>
      <c r="FR42" s="289">
        <f t="shared" si="129"/>
        <v>0.6524843624816572</v>
      </c>
      <c r="FS42" s="287">
        <f>SUM(FS23:FS32)</f>
        <v>95829.3</v>
      </c>
      <c r="FT42" s="287">
        <f>SUM(FT23:FT32)</f>
        <v>86235.320000000022</v>
      </c>
      <c r="FU42" s="289">
        <f t="shared" si="130"/>
        <v>0.89988469079916078</v>
      </c>
      <c r="FV42" s="287">
        <f>SUM(FV23:FV32)</f>
        <v>113595.29</v>
      </c>
      <c r="FW42" s="287">
        <f>SUM(FW23:FW32)</f>
        <v>94173.34</v>
      </c>
      <c r="FX42" s="289">
        <f t="shared" si="131"/>
        <v>0.82902504144317957</v>
      </c>
      <c r="FY42" s="287">
        <f>SUM(FY23:FY32)</f>
        <v>111756.29999999999</v>
      </c>
      <c r="FZ42" s="287">
        <f>SUM(FZ23:FZ32)</f>
        <v>94948.23000000001</v>
      </c>
      <c r="GA42" s="289">
        <f t="shared" si="132"/>
        <v>0.84960069365217017</v>
      </c>
      <c r="GB42" s="287">
        <f>SUM(GB23:GB32)</f>
        <v>142116.17000000001</v>
      </c>
      <c r="GC42" s="287">
        <f>SUM(GC23:GC32)</f>
        <v>97759.21</v>
      </c>
      <c r="GD42" s="289">
        <f t="shared" si="133"/>
        <v>0.68788238523455847</v>
      </c>
      <c r="GE42" s="287">
        <f>SUM(GE23:GE32)</f>
        <v>166828.83999999997</v>
      </c>
      <c r="GF42" s="287">
        <f>SUM(GF23:GF32)</f>
        <v>147532.41999999998</v>
      </c>
      <c r="GG42" s="289">
        <f t="shared" si="134"/>
        <v>0.88433402761776692</v>
      </c>
      <c r="GH42" s="287">
        <f>SUM(GH23:GH32)</f>
        <v>284625.89</v>
      </c>
      <c r="GI42" s="287">
        <f>SUM(GI23:GI32)</f>
        <v>218093.51</v>
      </c>
      <c r="GJ42" s="289">
        <f t="shared" si="135"/>
        <v>0.76624621182563535</v>
      </c>
      <c r="GK42" s="287">
        <f>SUM(GK23:GK32)</f>
        <v>262354.44</v>
      </c>
      <c r="GL42" s="287">
        <f>SUM(GL23:GL32)</f>
        <v>131449.67000000001</v>
      </c>
      <c r="GM42" s="289">
        <f t="shared" si="136"/>
        <v>0.50103848061424083</v>
      </c>
      <c r="GN42" s="287">
        <f>SUM(GN23:GN32)</f>
        <v>120513.58</v>
      </c>
      <c r="GO42" s="287">
        <f>SUM(GO23:GO32)</f>
        <v>92400.99</v>
      </c>
      <c r="GP42" s="289">
        <f t="shared" si="137"/>
        <v>0.76672678713884368</v>
      </c>
      <c r="GQ42" s="287">
        <f>SUM(GQ23:GQ32)</f>
        <v>114999.41999999998</v>
      </c>
      <c r="GR42" s="287">
        <f>SUM(GR23:GR32)</f>
        <v>85405.06</v>
      </c>
      <c r="GS42" s="289">
        <f t="shared" si="138"/>
        <v>0.7426564412237906</v>
      </c>
      <c r="GT42" s="287">
        <f>SUM(GT23:GT32)</f>
        <v>104229.98999999999</v>
      </c>
      <c r="GU42" s="287">
        <f>SUM(GU23:GU32)</f>
        <v>96646.65</v>
      </c>
      <c r="GV42" s="289">
        <f t="shared" si="139"/>
        <v>0.92724416456338532</v>
      </c>
      <c r="GW42" s="287">
        <f>SUM(GW23:GW32)</f>
        <v>122514.2</v>
      </c>
      <c r="GX42" s="287">
        <f>SUM(GX23:GX32)</f>
        <v>93246.5</v>
      </c>
      <c r="GY42" s="289">
        <f t="shared" si="140"/>
        <v>0.76110769200631434</v>
      </c>
      <c r="GZ42" s="287">
        <f>SUM(GZ23:GZ32)</f>
        <v>122514.2</v>
      </c>
      <c r="HA42" s="287">
        <f>SUM(HA23:HA32)</f>
        <v>151229.34999999998</v>
      </c>
      <c r="HB42" s="289">
        <f t="shared" si="141"/>
        <v>1.2343822185509923</v>
      </c>
      <c r="HC42" s="287">
        <f>SUM(HC23:HC32)</f>
        <v>307748.83999999997</v>
      </c>
      <c r="HD42" s="287">
        <f>SUM(HD23:HD32)</f>
        <v>199550.56</v>
      </c>
      <c r="HE42" s="289">
        <f t="shared" si="142"/>
        <v>0.64842018575927052</v>
      </c>
      <c r="HF42" s="287">
        <f>SUM(HF23:HF32)</f>
        <v>203301.27</v>
      </c>
      <c r="HG42" s="287">
        <f>SUM(HG23:HG32)</f>
        <v>132633.40000000002</v>
      </c>
      <c r="HH42" s="289">
        <f t="shared" si="143"/>
        <v>0.65239828555916068</v>
      </c>
      <c r="HI42" s="287">
        <f>SUM(HI23:HI32)</f>
        <v>157753.29000000004</v>
      </c>
      <c r="HJ42" s="287">
        <f>SUM(HJ23:HJ32)</f>
        <v>135404.81000000003</v>
      </c>
      <c r="HK42" s="289">
        <f t="shared" si="144"/>
        <v>0.85833271686441526</v>
      </c>
      <c r="HL42" s="287">
        <f>SUM(HL23:HL32)</f>
        <v>80667.17</v>
      </c>
      <c r="HM42" s="287">
        <f>SUM(HM23:HM32)</f>
        <v>86156.700000000012</v>
      </c>
      <c r="HN42" s="289">
        <f t="shared" si="145"/>
        <v>1.0680516001739</v>
      </c>
      <c r="HO42" s="287">
        <f>SUM(HO23:HO32)</f>
        <v>58524.979999999996</v>
      </c>
      <c r="HP42" s="287">
        <f>SUM(HP23:HP32)</f>
        <v>92063.89</v>
      </c>
      <c r="HQ42" s="289">
        <f t="shared" si="146"/>
        <v>1.5730699950687725</v>
      </c>
      <c r="HR42" s="287">
        <f>SUM(HR23:HR32)</f>
        <v>53832.87</v>
      </c>
      <c r="HS42" s="287">
        <f>SUM(HS23:HS32)</f>
        <v>90934.26</v>
      </c>
      <c r="HT42" s="289">
        <f t="shared" si="147"/>
        <v>1.6891958388991706</v>
      </c>
      <c r="HU42" s="287">
        <f>SUM(HU23:HU32)</f>
        <v>77704.37999999999</v>
      </c>
      <c r="HV42" s="287">
        <f>SUM(HV23:HV32)</f>
        <v>143448.79</v>
      </c>
      <c r="HW42" s="289">
        <f t="shared" si="148"/>
        <v>1.8460837085374084</v>
      </c>
      <c r="HX42" s="287">
        <f>SUM(HX23:HX32)</f>
        <v>111775.76000000001</v>
      </c>
      <c r="HY42" s="287">
        <f>SUM(HY23:HY32)</f>
        <v>214593.64999999997</v>
      </c>
      <c r="HZ42" s="289">
        <f t="shared" si="149"/>
        <v>1.9198585632519962</v>
      </c>
      <c r="IA42" s="287">
        <f>SUM(IA23:IA32)</f>
        <v>68819.260000000009</v>
      </c>
      <c r="IB42" s="287">
        <f>SUM(IB23:IB32)</f>
        <v>129389.84999999999</v>
      </c>
      <c r="IC42" s="289">
        <f t="shared" si="150"/>
        <v>1.8801400945026141</v>
      </c>
      <c r="ID42" s="245"/>
      <c r="IE42" s="245"/>
      <c r="IF42" s="245"/>
      <c r="IG42" s="245"/>
      <c r="IH42" s="245"/>
      <c r="II42" s="245"/>
      <c r="IJ42" s="245"/>
      <c r="IK42" s="245"/>
      <c r="IL42" s="245"/>
      <c r="IM42" s="245"/>
      <c r="IN42" s="245"/>
      <c r="IO42" s="245"/>
      <c r="IP42" s="245"/>
      <c r="IQ42" s="282">
        <f>SUM(IQ23,IQ24:IQ32)</f>
        <v>2999150.79</v>
      </c>
      <c r="IR42" s="282">
        <f>SUM(IR23,IR24:IR32)</f>
        <v>2605245.31</v>
      </c>
      <c r="IS42" s="283">
        <f>SUM(IS23,IS25:IS32)</f>
        <v>-729387.30999999982</v>
      </c>
      <c r="IT42" s="308">
        <f t="shared" si="151"/>
        <v>0.86866099520124496</v>
      </c>
      <c r="IU42" s="283">
        <f>SUM(IU23,IU24:IU32)</f>
        <v>743559.72</v>
      </c>
      <c r="IV42" s="283">
        <f>SUM(IV23,IV24:IV32)</f>
        <v>895235.49999999988</v>
      </c>
      <c r="IW42" s="283">
        <f>SUM(IW23,IW25:IW32)</f>
        <v>10975.519999999975</v>
      </c>
      <c r="IX42" s="416">
        <f t="shared" si="152"/>
        <v>1.2039860093551058</v>
      </c>
      <c r="IZ42" s="339"/>
    </row>
    <row r="43" spans="3:262" ht="16.5">
      <c r="C43" s="260" t="s">
        <v>42</v>
      </c>
      <c r="BO43" s="285">
        <f>SUM(BO23:BO27)</f>
        <v>111928.28</v>
      </c>
      <c r="BP43" s="286">
        <f>SUM(BP23:BP27)</f>
        <v>46460</v>
      </c>
      <c r="BQ43" s="284">
        <f>BP43/BO43</f>
        <v>0.41508723264576208</v>
      </c>
      <c r="BR43" s="285">
        <f>SUM(BR23:BR27)</f>
        <v>67908.139999999985</v>
      </c>
      <c r="BS43" s="286">
        <f>SUM(BS23:BS27)</f>
        <v>48431.33</v>
      </c>
      <c r="BT43" s="284">
        <f>BS43/BR43</f>
        <v>0.71318887544262022</v>
      </c>
      <c r="BU43" s="285">
        <f>SUM(BU23:BU27)</f>
        <v>68337.279999999999</v>
      </c>
      <c r="BV43" s="286">
        <f>SUM(BV23:BV27)</f>
        <v>45683.58</v>
      </c>
      <c r="BW43" s="284">
        <f>BV43/BU43</f>
        <v>0.66850158507918378</v>
      </c>
      <c r="BX43" s="285">
        <f>SUM(BX23:BX27)</f>
        <v>67444.03</v>
      </c>
      <c r="BY43" s="286">
        <f>SUM(BY23:BY27)</f>
        <v>44198.68</v>
      </c>
      <c r="BZ43" s="284">
        <f>BY43/BX43</f>
        <v>0.65533865636439581</v>
      </c>
      <c r="CA43" s="285">
        <f>SUM(CA23:CA27)</f>
        <v>66921.919999999998</v>
      </c>
      <c r="CB43" s="286">
        <f>SUM(CB23:CB27)</f>
        <v>59049.570000000007</v>
      </c>
      <c r="CC43" s="284">
        <f>CB43/CA43</f>
        <v>0.88236515031248364</v>
      </c>
      <c r="CD43" s="285">
        <f>SUM(CD23:CD27)</f>
        <v>115951.9</v>
      </c>
      <c r="CE43" s="286">
        <f>SUM(CE23:CE27)</f>
        <v>82804.479999999996</v>
      </c>
      <c r="CF43" s="284">
        <f>CE43/CD43</f>
        <v>0.71412784094094184</v>
      </c>
      <c r="CG43" s="285">
        <f>SUM(CG23:CG27)</f>
        <v>177797.87</v>
      </c>
      <c r="CH43" s="286">
        <f>SUM(CH23:CH27)</f>
        <v>126405.87</v>
      </c>
      <c r="CI43" s="284">
        <f>CH43/CG43</f>
        <v>0.71095266776817967</v>
      </c>
      <c r="CJ43" s="285">
        <f>SUM(CJ23:CJ27)</f>
        <v>95278.319999999992</v>
      </c>
      <c r="CK43" s="286">
        <f>SUM(CK23:CK27)</f>
        <v>63893.62</v>
      </c>
      <c r="CL43" s="284">
        <f>CK43/CJ43</f>
        <v>0.67059977547882887</v>
      </c>
      <c r="CM43" s="285">
        <f>SUM(CM23:CM27)</f>
        <v>113433.68</v>
      </c>
      <c r="CN43" s="286">
        <f>SUM(CN23:CN27)</f>
        <v>72613.929999999993</v>
      </c>
      <c r="CO43" s="284">
        <f>CN43/CM43</f>
        <v>0.64014435571516326</v>
      </c>
      <c r="CP43" s="285">
        <f>SUM(CP23:CP27)</f>
        <v>66231.64</v>
      </c>
      <c r="CQ43" s="286">
        <f>SUM(CQ23:CQ27)</f>
        <v>50759.97</v>
      </c>
      <c r="CR43" s="284">
        <f>CQ43/CP43</f>
        <v>0.76640062060972669</v>
      </c>
      <c r="CS43" s="285">
        <f>SUM(CS23:CS27)</f>
        <v>51380.430000000008</v>
      </c>
      <c r="CT43" s="286">
        <f>SUM(CT23:CT27)</f>
        <v>57263.130000000005</v>
      </c>
      <c r="CU43" s="284">
        <f>CT43/CS43</f>
        <v>1.1144930083302145</v>
      </c>
      <c r="CV43" s="285">
        <f>SUM(CV23:CV27)</f>
        <v>68658.759999999995</v>
      </c>
      <c r="CW43" s="286">
        <f>SUM(CW23:CW27)</f>
        <v>55614.079999999994</v>
      </c>
      <c r="CX43" s="284">
        <f>CW43/CV43</f>
        <v>0.81000705518130534</v>
      </c>
      <c r="CY43" s="285">
        <f>SUM(CY23:CY27)</f>
        <v>104282.24000000001</v>
      </c>
      <c r="CZ43" s="286">
        <f>SUM(CZ23:CZ27)</f>
        <v>84481.11</v>
      </c>
      <c r="DA43" s="284">
        <f>CZ43/CY43</f>
        <v>0.81011982481388967</v>
      </c>
      <c r="DB43" s="285">
        <f>SUM(DB23:DB27)</f>
        <v>173730.6</v>
      </c>
      <c r="DC43" s="286">
        <f>SUM(DC23:DC27)</f>
        <v>102487.72</v>
      </c>
      <c r="DD43" s="284">
        <f>DC43/DB43</f>
        <v>0.589923248984347</v>
      </c>
      <c r="DE43" s="285">
        <f>SUM(DE23:DE27)</f>
        <v>109998.20999999999</v>
      </c>
      <c r="DF43" s="286">
        <f>SUM(DF23:DF27)</f>
        <v>54167.009999999995</v>
      </c>
      <c r="DG43" s="284">
        <f>DF43/DE43</f>
        <v>0.49243537690295142</v>
      </c>
      <c r="DH43" s="285">
        <f>SUM(DH23:DH27)</f>
        <v>67562.84</v>
      </c>
      <c r="DI43" s="286">
        <f>SUM(DI23:DI27)</f>
        <v>47925.74</v>
      </c>
      <c r="DJ43" s="284">
        <f>DI43/DH43</f>
        <v>0.70935058384165028</v>
      </c>
      <c r="DK43" s="285">
        <f>SUM(DK23:DK27)</f>
        <v>63481.289999999994</v>
      </c>
      <c r="DL43" s="286">
        <f>SUM(DL23:DL27)</f>
        <v>65527.83</v>
      </c>
      <c r="DM43" s="284">
        <f>DL43/DK43</f>
        <v>1.0322384753050862</v>
      </c>
      <c r="DN43" s="285">
        <f>SUM(DN23:DN27)</f>
        <v>94681.36</v>
      </c>
      <c r="DO43" s="286">
        <f>SUM(DO23:DO27)</f>
        <v>60288.05</v>
      </c>
      <c r="DP43" s="284">
        <f>DO43/DN43</f>
        <v>0.63674676831849486</v>
      </c>
      <c r="DQ43" s="285">
        <f>SUM(DQ23:DQ27)</f>
        <v>187139.55000000002</v>
      </c>
      <c r="DR43" s="286">
        <f>SUM(DR23:DR27)</f>
        <v>75105.3</v>
      </c>
      <c r="DS43" s="284">
        <f>DR43/DQ43</f>
        <v>0.40133312279526157</v>
      </c>
      <c r="DT43" s="285">
        <f>SUM(DT23:DT27)</f>
        <v>191611.86</v>
      </c>
      <c r="DU43" s="286">
        <f>SUM(DU23:DU27)</f>
        <v>118590.98</v>
      </c>
      <c r="DV43" s="284">
        <f>DU43/DT43</f>
        <v>0.61891252451701062</v>
      </c>
      <c r="DW43" s="285">
        <f>SUM(DW23:DW27)</f>
        <v>197602.66</v>
      </c>
      <c r="DX43" s="286">
        <f>SUM(DX23:DX27)</f>
        <v>177750.90000000002</v>
      </c>
      <c r="DY43" s="284">
        <f t="shared" si="114"/>
        <v>0.8995369799171733</v>
      </c>
      <c r="DZ43" s="285">
        <f>SUM(DZ23:DZ27)</f>
        <v>122206.60999999999</v>
      </c>
      <c r="EA43" s="286">
        <f>SUM(EA23:EA27)</f>
        <v>80511.899999999994</v>
      </c>
      <c r="EB43" s="284">
        <f t="shared" si="115"/>
        <v>0.65881788227330751</v>
      </c>
      <c r="EC43" s="285">
        <f>SUM(EC23:EC27)</f>
        <v>65003.08</v>
      </c>
      <c r="ED43" s="286">
        <f>SUM(ED23:ED27)</f>
        <v>23058.690000000002</v>
      </c>
      <c r="EE43" s="284">
        <f t="shared" si="116"/>
        <v>0.3547322680709899</v>
      </c>
      <c r="EF43" s="285">
        <f>SUM(EF23:EF27)</f>
        <v>61208.72</v>
      </c>
      <c r="EG43" s="286">
        <f>SUM(EG23:EG27)</f>
        <v>35672.53</v>
      </c>
      <c r="EH43" s="284">
        <f t="shared" si="117"/>
        <v>0.58280143744224677</v>
      </c>
      <c r="EI43" s="285">
        <f>SUM(EI23:EI27)</f>
        <v>60167.369999999995</v>
      </c>
      <c r="EJ43" s="286">
        <f>SUM(EJ23:EJ27)</f>
        <v>45930.89</v>
      </c>
      <c r="EK43" s="284">
        <f t="shared" si="118"/>
        <v>0.76338536984415317</v>
      </c>
      <c r="EL43" s="285">
        <f>SUM(EL23:EL27)</f>
        <v>68670.350000000006</v>
      </c>
      <c r="EM43" s="286">
        <f>SUM(EM23:EM27)</f>
        <v>50186.770000000004</v>
      </c>
      <c r="EN43" s="284">
        <f t="shared" si="119"/>
        <v>0.73083608864670124</v>
      </c>
      <c r="EO43" s="285">
        <f>SUM(EO23:EO27)</f>
        <v>98927.24</v>
      </c>
      <c r="EP43" s="286">
        <f>SUM(EP23:EP27)</f>
        <v>55221.86</v>
      </c>
      <c r="EQ43" s="284">
        <f t="shared" si="120"/>
        <v>0.55820681947661732</v>
      </c>
      <c r="ER43" s="285">
        <f>SUM(ER23:ER27)</f>
        <v>159723.79</v>
      </c>
      <c r="ES43" s="286">
        <f>SUM(ES23:ES27)</f>
        <v>44394.01</v>
      </c>
      <c r="ET43" s="284">
        <f t="shared" si="121"/>
        <v>0.27794237790125065</v>
      </c>
      <c r="EU43" s="285">
        <f>SUM(EU23:EU27)</f>
        <v>106073.97</v>
      </c>
      <c r="EV43" s="286">
        <f>SUM(EV23:EV27)</f>
        <v>51814.28</v>
      </c>
      <c r="EW43" s="284">
        <f t="shared" si="122"/>
        <v>0.48847309099489722</v>
      </c>
      <c r="EX43" s="285">
        <f>SUM(EX23:EX27)</f>
        <v>62039.25</v>
      </c>
      <c r="EY43" s="286">
        <f>SUM(EY23:EY27)</f>
        <v>53006.06</v>
      </c>
      <c r="EZ43" s="284">
        <f t="shared" si="123"/>
        <v>0.85439556409853434</v>
      </c>
      <c r="FA43" s="285">
        <f>SUM(FA23:FA27)</f>
        <v>56068.46</v>
      </c>
      <c r="FB43" s="286">
        <f>SUM(FB23:FB27)</f>
        <v>44504.240000000005</v>
      </c>
      <c r="FC43" s="284">
        <f t="shared" si="124"/>
        <v>0.79374821423666719</v>
      </c>
      <c r="FD43" s="285">
        <f>SUM(FD23:FD27)</f>
        <v>56254.259999999995</v>
      </c>
      <c r="FE43" s="286">
        <f>SUM(FE23:FE27)</f>
        <v>68760.040000000008</v>
      </c>
      <c r="FF43" s="284">
        <f t="shared" si="125"/>
        <v>1.2223081416411845</v>
      </c>
      <c r="FG43" s="285">
        <f>SUM(FG23:FG27)</f>
        <v>71642.17</v>
      </c>
      <c r="FH43" s="286">
        <f>SUM(FH23:FH27)</f>
        <v>76389.39</v>
      </c>
      <c r="FI43" s="284">
        <f t="shared" si="126"/>
        <v>1.0662629286633836</v>
      </c>
      <c r="FJ43" s="285">
        <f>SUM(FJ23:FJ27)</f>
        <v>125709.5</v>
      </c>
      <c r="FK43" s="286">
        <f>SUM(FK23:FK27)</f>
        <v>117517.73999999999</v>
      </c>
      <c r="FL43" s="284">
        <f t="shared" si="127"/>
        <v>0.93483579204435618</v>
      </c>
      <c r="FM43" s="285">
        <f>SUM(FM23:FM27)</f>
        <v>207733.5</v>
      </c>
      <c r="FN43" s="286">
        <f>SUM(FN23:FN27)</f>
        <v>151274.03</v>
      </c>
      <c r="FO43" s="284">
        <f t="shared" si="128"/>
        <v>0.72821201202502239</v>
      </c>
      <c r="FP43" s="285">
        <f>SUM(FP23:FP27)</f>
        <v>119076.63</v>
      </c>
      <c r="FQ43" s="286">
        <f>SUM(FQ23:FQ27)</f>
        <v>105876.36</v>
      </c>
      <c r="FR43" s="284">
        <f t="shared" si="129"/>
        <v>0.88914474653842657</v>
      </c>
      <c r="FS43" s="285">
        <f>SUM(FS23:FS27)</f>
        <v>67494.25</v>
      </c>
      <c r="FT43" s="286">
        <f>SUM(FT23:FT27)</f>
        <v>69452.27</v>
      </c>
      <c r="FU43" s="284">
        <f t="shared" si="130"/>
        <v>1.0290101749408282</v>
      </c>
      <c r="FV43" s="285">
        <f>SUM(FV23:FV27)</f>
        <v>71307.259999999995</v>
      </c>
      <c r="FW43" s="286">
        <f>SUM(FW23:FW27)</f>
        <v>79440.319999999992</v>
      </c>
      <c r="FX43" s="284">
        <f t="shared" si="131"/>
        <v>1.1140565490806966</v>
      </c>
      <c r="FY43" s="285">
        <f>SUM(FY23:FY27)</f>
        <v>65973.89</v>
      </c>
      <c r="FZ43" s="286">
        <f>SUM(FZ23:FZ27)</f>
        <v>80061.440000000002</v>
      </c>
      <c r="GA43" s="284">
        <f t="shared" si="132"/>
        <v>1.2135322019059358</v>
      </c>
      <c r="GB43" s="285">
        <f>SUM(GB23:GB27)</f>
        <v>86025.700000000012</v>
      </c>
      <c r="GC43" s="286">
        <f>SUM(GC23:GC27)</f>
        <v>81393.06</v>
      </c>
      <c r="GD43" s="284">
        <f t="shared" si="133"/>
        <v>0.94614818594908245</v>
      </c>
      <c r="GE43" s="285">
        <f>SUM(GE23:GE27)</f>
        <v>108220.41999999998</v>
      </c>
      <c r="GF43" s="286">
        <f>SUM(GF23:GF27)</f>
        <v>126912.20000000001</v>
      </c>
      <c r="GG43" s="284">
        <f t="shared" si="134"/>
        <v>1.1727195292718327</v>
      </c>
      <c r="GH43" s="285">
        <f>SUM(GH23:GH27)</f>
        <v>186730.72</v>
      </c>
      <c r="GI43" s="286">
        <f>SUM(GI23:GI27)</f>
        <v>187346.64</v>
      </c>
      <c r="GJ43" s="284">
        <f t="shared" si="135"/>
        <v>1.0032984395925857</v>
      </c>
      <c r="GK43" s="285">
        <f>SUM(GK23:GK27)</f>
        <v>167120.24</v>
      </c>
      <c r="GL43" s="286">
        <f>SUM(GL23:GL27)</f>
        <v>114792.73000000001</v>
      </c>
      <c r="GM43" s="284">
        <f t="shared" si="136"/>
        <v>0.68688705808464623</v>
      </c>
      <c r="GN43" s="285">
        <f>SUM(GN23:GN27)</f>
        <v>75167.839999999997</v>
      </c>
      <c r="GO43" s="286">
        <f>SUM(GO23:GO27)</f>
        <v>77761.510000000009</v>
      </c>
      <c r="GP43" s="284">
        <f t="shared" si="137"/>
        <v>1.0345050489677503</v>
      </c>
      <c r="GQ43" s="285">
        <f>SUM(GQ23:GQ27)</f>
        <v>71856.899999999994</v>
      </c>
      <c r="GR43" s="286">
        <f>SUM(GR23:GR27)</f>
        <v>74048.53</v>
      </c>
      <c r="GS43" s="284">
        <f t="shared" si="138"/>
        <v>1.0304999241548134</v>
      </c>
      <c r="GT43" s="285">
        <f>SUM(GT23:GT27)</f>
        <v>65584.92</v>
      </c>
      <c r="GU43" s="286">
        <f>SUM(GU23:GU27)</f>
        <v>78926.929999999993</v>
      </c>
      <c r="GV43" s="284">
        <f t="shared" si="139"/>
        <v>1.2034310631163383</v>
      </c>
      <c r="GW43" s="285">
        <f>SUM(GW23:GW27)</f>
        <v>79521.36</v>
      </c>
      <c r="GX43" s="286">
        <f>SUM(GX23:GX27)</f>
        <v>85095.19</v>
      </c>
      <c r="GY43" s="284">
        <f t="shared" si="140"/>
        <v>1.0700922368530921</v>
      </c>
      <c r="GZ43" s="285">
        <f>SUM(GZ23:GZ27)</f>
        <v>79521.36</v>
      </c>
      <c r="HA43" s="286">
        <f>SUM(HA23:HA27)</f>
        <v>131614.22999999998</v>
      </c>
      <c r="HB43" s="284">
        <f t="shared" si="141"/>
        <v>1.6550802199559964</v>
      </c>
      <c r="HC43" s="285">
        <f>SUM(HC23:HC27)</f>
        <v>211824.28</v>
      </c>
      <c r="HD43" s="286">
        <f>SUM(HD23:HD27)</f>
        <v>170506.63</v>
      </c>
      <c r="HE43" s="284">
        <f t="shared" si="142"/>
        <v>0.80494374865808582</v>
      </c>
      <c r="HF43" s="285">
        <f>SUM(HF23:HF27)</f>
        <v>116203.54</v>
      </c>
      <c r="HG43" s="286">
        <f>SUM(HG23:HG27)</f>
        <v>116157.95000000001</v>
      </c>
      <c r="HH43" s="284">
        <f t="shared" si="143"/>
        <v>0.99960767116044846</v>
      </c>
      <c r="HI43" s="285">
        <f>SUM(HI23:HI27)</f>
        <v>103131.80000000002</v>
      </c>
      <c r="HJ43" s="286">
        <f>SUM(HJ23:HJ27)</f>
        <v>120954.48000000001</v>
      </c>
      <c r="HK43" s="284">
        <f t="shared" si="144"/>
        <v>1.1728145925892886</v>
      </c>
      <c r="HL43" s="285">
        <f>SUM(HL23:HL27)</f>
        <v>46552.7</v>
      </c>
      <c r="HM43" s="286">
        <f>SUM(HM23:HM27)</f>
        <v>75024.540000000008</v>
      </c>
      <c r="HN43" s="284">
        <f t="shared" si="145"/>
        <v>1.6116044826615861</v>
      </c>
      <c r="HO43" s="285">
        <f>SUM(HO23:HO27)</f>
        <v>45386.06</v>
      </c>
      <c r="HP43" s="286">
        <f>SUM(HP23:HP27)</f>
        <v>78721.33</v>
      </c>
      <c r="HQ43" s="284">
        <f t="shared" si="146"/>
        <v>1.7344825701988673</v>
      </c>
      <c r="HR43" s="285">
        <f>SUM(HR23:HR27)</f>
        <v>45352.68</v>
      </c>
      <c r="HS43" s="286">
        <f>SUM(HS23:HS27)</f>
        <v>80095.98</v>
      </c>
      <c r="HT43" s="284">
        <f t="shared" si="147"/>
        <v>1.766069392150585</v>
      </c>
      <c r="HU43" s="285">
        <f>SUM(HU23:HU27)</f>
        <v>62720.97</v>
      </c>
      <c r="HV43" s="286">
        <f>SUM(HV23:HV27)</f>
        <v>115743.77999999998</v>
      </c>
      <c r="HW43" s="284">
        <f t="shared" si="148"/>
        <v>1.8453761158349429</v>
      </c>
      <c r="HX43" s="285">
        <f>SUM(HX23:HX27)</f>
        <v>94027.13</v>
      </c>
      <c r="HY43" s="286">
        <f>SUM(HY23:HY27)</f>
        <v>167417.10999999999</v>
      </c>
      <c r="HZ43" s="284">
        <f t="shared" si="149"/>
        <v>1.7805191969594305</v>
      </c>
      <c r="IA43" s="285">
        <f>SUM(IA23:IA27)</f>
        <v>48481.74</v>
      </c>
      <c r="IB43" s="286">
        <f>SUM(IB23:IB27)</f>
        <v>98630.720000000001</v>
      </c>
      <c r="IC43" s="284">
        <f t="shared" si="150"/>
        <v>2.0343890297666709</v>
      </c>
      <c r="IQ43" s="285">
        <f>SUM(IQ23:IQ27)</f>
        <v>1968800.65</v>
      </c>
      <c r="IR43" s="285">
        <f>SUM(IR23:IR27)</f>
        <v>2217343.21</v>
      </c>
      <c r="IS43" s="286">
        <f>SUM(IS23:IS27)</f>
        <v>248542.56000000011</v>
      </c>
      <c r="IT43" s="284">
        <f t="shared" si="151"/>
        <v>1.126240592210288</v>
      </c>
      <c r="IU43" s="286">
        <f>SUM(IU23,IU24:IU27)</f>
        <v>513374.88000000006</v>
      </c>
      <c r="IV43" s="286">
        <f>SUM(IV23,IV24:IV27)</f>
        <v>754115.16999999993</v>
      </c>
      <c r="IW43" s="286">
        <f>SUM(IW23,IW25:IW27)</f>
        <v>100040.02999999998</v>
      </c>
      <c r="IX43" s="335">
        <f t="shared" si="152"/>
        <v>1.4689366374918849</v>
      </c>
      <c r="IZ43" s="339"/>
    </row>
    <row r="44" spans="3:262" ht="16.5">
      <c r="C44" s="260" t="s">
        <v>43</v>
      </c>
      <c r="BO44" s="287">
        <f>SUM(BO28:BO32)</f>
        <v>42346.66</v>
      </c>
      <c r="BP44" s="288">
        <f>SUM(BP28:BP32)</f>
        <v>11070.73</v>
      </c>
      <c r="BQ44" s="289">
        <f>BP44/BO44</f>
        <v>0.26143100778195966</v>
      </c>
      <c r="BR44" s="287">
        <f>SUM(BR28:BR32)</f>
        <v>17352.989999999998</v>
      </c>
      <c r="BS44" s="288">
        <f>SUM(BS28:BS32)</f>
        <v>17797.740000000002</v>
      </c>
      <c r="BT44" s="289">
        <f>BS44/BR44</f>
        <v>1.0256295889065805</v>
      </c>
      <c r="BU44" s="287">
        <f>SUM(BU28:BU32)</f>
        <v>20098.719999999998</v>
      </c>
      <c r="BV44" s="288">
        <f>SUM(BV28:BV32)</f>
        <v>19356.98</v>
      </c>
      <c r="BW44" s="289">
        <f>BV44/BU44</f>
        <v>0.96309516227899095</v>
      </c>
      <c r="BX44" s="287">
        <f>SUM(BX28:BX32)</f>
        <v>22482.959999999999</v>
      </c>
      <c r="BY44" s="288">
        <f>SUM(BY28:BY32)</f>
        <v>15686.579999999998</v>
      </c>
      <c r="BZ44" s="289">
        <f>BY44/BX44</f>
        <v>0.69770973217049703</v>
      </c>
      <c r="CA44" s="287">
        <f>SUM(CA28:CA32)</f>
        <v>28586.93</v>
      </c>
      <c r="CB44" s="288">
        <f>SUM(CB28:CB32)</f>
        <v>19563.57</v>
      </c>
      <c r="CC44" s="289">
        <f>CB44/CA44</f>
        <v>0.68435365392506298</v>
      </c>
      <c r="CD44" s="287">
        <f>SUM(CD28:CD32)</f>
        <v>38914.410000000003</v>
      </c>
      <c r="CE44" s="288">
        <f>SUM(CE28:CE32)</f>
        <v>27587.969999999998</v>
      </c>
      <c r="CF44" s="289">
        <f>CE44/CD44</f>
        <v>0.70893969611771046</v>
      </c>
      <c r="CG44" s="287">
        <f>SUM(CG28:CG32)</f>
        <v>54226.89</v>
      </c>
      <c r="CH44" s="288">
        <f>SUM(CH28:CH32)</f>
        <v>35554.67</v>
      </c>
      <c r="CI44" s="289">
        <f>CH44/CG44</f>
        <v>0.65566492933671838</v>
      </c>
      <c r="CJ44" s="287">
        <f>SUM(CJ28:CJ32)</f>
        <v>42534.23</v>
      </c>
      <c r="CK44" s="288">
        <f>SUM(CK28:CK32)</f>
        <v>12460.45</v>
      </c>
      <c r="CL44" s="289">
        <f>CK44/CJ44</f>
        <v>0.29295111255099715</v>
      </c>
      <c r="CM44" s="287">
        <f>SUM(CM28:CM32)</f>
        <v>48437.9</v>
      </c>
      <c r="CN44" s="288">
        <f>SUM(CN28:CN32)</f>
        <v>28913.84</v>
      </c>
      <c r="CO44" s="289">
        <f>CN44/CM44</f>
        <v>0.59692596086948446</v>
      </c>
      <c r="CP44" s="287">
        <f>SUM(CP28:CP32)</f>
        <v>24624.910000000003</v>
      </c>
      <c r="CQ44" s="288">
        <f>SUM(CQ28:CQ32)</f>
        <v>17179.21</v>
      </c>
      <c r="CR44" s="289">
        <f>CQ44/CP44</f>
        <v>0.69763544313461434</v>
      </c>
      <c r="CS44" s="287">
        <f>SUM(CS28:CS32)</f>
        <v>18055.579999999998</v>
      </c>
      <c r="CT44" s="288">
        <f>SUM(CT28:CT32)</f>
        <v>12732.849999999999</v>
      </c>
      <c r="CU44" s="289">
        <f>CT44/CS44</f>
        <v>0.70520304526356947</v>
      </c>
      <c r="CV44" s="287">
        <f>SUM(CV28:CV32)</f>
        <v>17925.189999999999</v>
      </c>
      <c r="CW44" s="288">
        <f>SUM(CW28:CW32)</f>
        <v>15682.300000000001</v>
      </c>
      <c r="CX44" s="289">
        <f>CW44/CV44</f>
        <v>0.87487496645781726</v>
      </c>
      <c r="CY44" s="287">
        <f>SUM(CY28:CY32)</f>
        <v>30926.760000000002</v>
      </c>
      <c r="CZ44" s="288">
        <f>SUM(CZ28:CZ32)</f>
        <v>25997.47</v>
      </c>
      <c r="DA44" s="289">
        <f>CZ44/CY44</f>
        <v>0.8406140830788611</v>
      </c>
      <c r="DB44" s="287">
        <f>SUM(DB28:DB32)</f>
        <v>121560.54999999999</v>
      </c>
      <c r="DC44" s="288">
        <f>SUM(DC28:DC32)</f>
        <v>25584.14</v>
      </c>
      <c r="DD44" s="289">
        <f>DC44/DB44</f>
        <v>0.21046416785708852</v>
      </c>
      <c r="DE44" s="287">
        <f>SUM(DE28:DE32)</f>
        <v>114566.73000000001</v>
      </c>
      <c r="DF44" s="288">
        <f>SUM(DF28:DF32)</f>
        <v>17595.2</v>
      </c>
      <c r="DG44" s="289">
        <f>DF44/DE44</f>
        <v>0.15358036316476867</v>
      </c>
      <c r="DH44" s="287">
        <f>SUM(DH28:DH32)</f>
        <v>61486.68</v>
      </c>
      <c r="DI44" s="288">
        <f>SUM(DI28:DI32)</f>
        <v>26096.399999999998</v>
      </c>
      <c r="DJ44" s="289">
        <f>DI44/DH44</f>
        <v>0.42442363126452748</v>
      </c>
      <c r="DK44" s="287">
        <f>SUM(DK28:DK32)</f>
        <v>62529.54</v>
      </c>
      <c r="DL44" s="288">
        <f>SUM(DL28:DL32)</f>
        <v>19920.190000000002</v>
      </c>
      <c r="DM44" s="289">
        <f>DL44/DK44</f>
        <v>0.31857246990782279</v>
      </c>
      <c r="DN44" s="287">
        <f>SUM(DN28:DN32)</f>
        <v>79802.53</v>
      </c>
      <c r="DO44" s="288">
        <f>SUM(DO28:DO32)</f>
        <v>20198.66</v>
      </c>
      <c r="DP44" s="289">
        <f>DO44/DN44</f>
        <v>0.25310801549775425</v>
      </c>
      <c r="DQ44" s="287">
        <f>SUM(DQ28:DQ32)</f>
        <v>132098.78999999998</v>
      </c>
      <c r="DR44" s="288">
        <f>SUM(DR28:DR32)</f>
        <v>22035.309999999998</v>
      </c>
      <c r="DS44" s="289">
        <f>DR44/DQ44</f>
        <v>0.16680932505134985</v>
      </c>
      <c r="DT44" s="287">
        <f>SUM(DT28:DT32)</f>
        <v>118293.54999999999</v>
      </c>
      <c r="DU44" s="288">
        <f>SUM(DU28:DU32)</f>
        <v>33410.869999999995</v>
      </c>
      <c r="DV44" s="289">
        <f>DU44/DT44</f>
        <v>0.28244033592702222</v>
      </c>
      <c r="DW44" s="287">
        <f>SUM(DW28:DW32)</f>
        <v>110631.54</v>
      </c>
      <c r="DX44" s="288">
        <f>SUM(DX28:DX32)</f>
        <v>64476.97</v>
      </c>
      <c r="DY44" s="289">
        <f t="shared" si="114"/>
        <v>0.58280821183543141</v>
      </c>
      <c r="DZ44" s="287">
        <f>SUM(DZ28:DZ32)</f>
        <v>129023.82</v>
      </c>
      <c r="EA44" s="288">
        <f>SUM(EA28:EA32)</f>
        <v>29256.13</v>
      </c>
      <c r="EB44" s="289">
        <f t="shared" si="115"/>
        <v>0.2267498358055125</v>
      </c>
      <c r="EC44" s="287">
        <f>SUM(EC28:EC32)</f>
        <v>65987.600000000006</v>
      </c>
      <c r="ED44" s="288">
        <f>SUM(ED28:ED32)</f>
        <v>13773.66</v>
      </c>
      <c r="EE44" s="289">
        <f t="shared" si="116"/>
        <v>0.20873103431553805</v>
      </c>
      <c r="EF44" s="287">
        <f>SUM(EF28:EF32)</f>
        <v>15528.76</v>
      </c>
      <c r="EG44" s="288">
        <f>SUM(EG28:EG32)</f>
        <v>15530.71</v>
      </c>
      <c r="EH44" s="289">
        <f t="shared" si="117"/>
        <v>1.0001255734520977</v>
      </c>
      <c r="EI44" s="287">
        <f>SUM(EI28:EI32)</f>
        <v>57561.869999999995</v>
      </c>
      <c r="EJ44" s="288">
        <f>SUM(EJ28:EJ32)</f>
        <v>12127.25</v>
      </c>
      <c r="EK44" s="289">
        <f t="shared" si="118"/>
        <v>0.21068200181821753</v>
      </c>
      <c r="EL44" s="287">
        <f>SUM(EL28:EL32)</f>
        <v>30649.94</v>
      </c>
      <c r="EM44" s="288">
        <f>SUM(EM28:EM32)</f>
        <v>13718.94</v>
      </c>
      <c r="EN44" s="289">
        <f t="shared" si="119"/>
        <v>0.44760087621704975</v>
      </c>
      <c r="EO44" s="287">
        <f>SUM(EO28:EO32)</f>
        <v>57761.94</v>
      </c>
      <c r="EP44" s="288">
        <f>SUM(EP28:EP32)</f>
        <v>16975.57</v>
      </c>
      <c r="EQ44" s="289">
        <f t="shared" si="120"/>
        <v>0.29388850166736086</v>
      </c>
      <c r="ER44" s="287">
        <f>SUM(ER28:ER32)</f>
        <v>50016.960000000006</v>
      </c>
      <c r="ES44" s="288">
        <f>SUM(ES28:ES32)</f>
        <v>18909.93</v>
      </c>
      <c r="ET44" s="289">
        <f t="shared" si="121"/>
        <v>0.37807035853438509</v>
      </c>
      <c r="EU44" s="287">
        <f>SUM(EU28:EU32)</f>
        <v>49485.020000000004</v>
      </c>
      <c r="EV44" s="288">
        <f>SUM(EV28:EV32)</f>
        <v>16878.77</v>
      </c>
      <c r="EW44" s="289">
        <f t="shared" si="122"/>
        <v>0.34108847485562294</v>
      </c>
      <c r="EX44" s="287">
        <f>SUM(EX28:EX32)</f>
        <v>18603.93</v>
      </c>
      <c r="EY44" s="288">
        <f>SUM(EY28:EY32)</f>
        <v>14858.5</v>
      </c>
      <c r="EZ44" s="289">
        <f t="shared" si="123"/>
        <v>0.79867533365262067</v>
      </c>
      <c r="FA44" s="287">
        <f>SUM(FA28:FA32)</f>
        <v>29831.16</v>
      </c>
      <c r="FB44" s="288">
        <f>SUM(FB28:FB32)</f>
        <v>10426.849999999999</v>
      </c>
      <c r="FC44" s="289">
        <f t="shared" si="124"/>
        <v>0.34952881483656684</v>
      </c>
      <c r="FD44" s="287">
        <f>SUM(FD28:FD32)</f>
        <v>25864.91</v>
      </c>
      <c r="FE44" s="288">
        <f>SUM(FE28:FE32)</f>
        <v>10376.419999999998</v>
      </c>
      <c r="FF44" s="289">
        <f t="shared" si="125"/>
        <v>0.40117750264740909</v>
      </c>
      <c r="FG44" s="287">
        <f>SUM(FG28:FG32)</f>
        <v>33391.11</v>
      </c>
      <c r="FH44" s="288">
        <f>SUM(FH28:FH32)</f>
        <v>14573.14</v>
      </c>
      <c r="FI44" s="289">
        <f t="shared" si="126"/>
        <v>0.43643772249559837</v>
      </c>
      <c r="FJ44" s="287">
        <f>SUM(FJ28:FJ32)</f>
        <v>49757.5</v>
      </c>
      <c r="FK44" s="288">
        <f>SUM(FK28:FK32)</f>
        <v>15991.54</v>
      </c>
      <c r="FL44" s="289">
        <f t="shared" si="127"/>
        <v>0.3213895392654374</v>
      </c>
      <c r="FM44" s="287">
        <f>SUM(FM28:FM32)</f>
        <v>66047.319999999992</v>
      </c>
      <c r="FN44" s="288">
        <f>SUM(FN28:FN32)</f>
        <v>28455.040000000001</v>
      </c>
      <c r="FO44" s="289">
        <f t="shared" si="128"/>
        <v>0.43082807901970899</v>
      </c>
      <c r="FP44" s="287">
        <f>SUM(FP28:FP32)</f>
        <v>66887.98</v>
      </c>
      <c r="FQ44" s="288">
        <f>SUM(FQ28:FQ32)</f>
        <v>15462.64</v>
      </c>
      <c r="FR44" s="289">
        <f t="shared" si="129"/>
        <v>0.23117217772161755</v>
      </c>
      <c r="FS44" s="287">
        <f>SUM(FS28:FS32)</f>
        <v>28335.05</v>
      </c>
      <c r="FT44" s="288">
        <f>SUM(FT28:FT32)</f>
        <v>16783.05</v>
      </c>
      <c r="FU44" s="289">
        <f t="shared" si="130"/>
        <v>0.59230705433729602</v>
      </c>
      <c r="FV44" s="287">
        <f>SUM(FV28:FV32)</f>
        <v>42288.030000000006</v>
      </c>
      <c r="FW44" s="288">
        <f>SUM(FW28:FW32)</f>
        <v>14733.02</v>
      </c>
      <c r="FX44" s="289">
        <f t="shared" si="131"/>
        <v>0.3483969340733063</v>
      </c>
      <c r="FY44" s="287">
        <f>SUM(FY28:FY32)</f>
        <v>45782.41</v>
      </c>
      <c r="FZ44" s="288">
        <f>SUM(FZ28:FZ32)</f>
        <v>14886.789999999999</v>
      </c>
      <c r="GA44" s="289">
        <f t="shared" si="132"/>
        <v>0.32516396581132356</v>
      </c>
      <c r="GB44" s="287">
        <f>SUM(GB28:GB32)</f>
        <v>56090.47</v>
      </c>
      <c r="GC44" s="288">
        <f>SUM(GC28:GC32)</f>
        <v>16366.15</v>
      </c>
      <c r="GD44" s="289">
        <f t="shared" si="133"/>
        <v>0.29178129546783971</v>
      </c>
      <c r="GE44" s="287">
        <f>SUM(GE28:GE32)</f>
        <v>58608.420000000006</v>
      </c>
      <c r="GF44" s="288">
        <f>SUM(GF28:GF32)</f>
        <v>20620.22</v>
      </c>
      <c r="GG44" s="289">
        <f t="shared" si="134"/>
        <v>0.35183033427620125</v>
      </c>
      <c r="GH44" s="287">
        <f>SUM(GH28:GH32)</f>
        <v>97895.170000000013</v>
      </c>
      <c r="GI44" s="288">
        <f>SUM(GI28:GI32)</f>
        <v>30746.870000000003</v>
      </c>
      <c r="GJ44" s="289">
        <f t="shared" si="135"/>
        <v>0.31407954038999064</v>
      </c>
      <c r="GK44" s="287">
        <f>SUM(GK28:GK32)</f>
        <v>95234.2</v>
      </c>
      <c r="GL44" s="288">
        <f>SUM(GL28:GL32)</f>
        <v>16656.939999999999</v>
      </c>
      <c r="GM44" s="289">
        <f t="shared" si="136"/>
        <v>0.17490502361546587</v>
      </c>
      <c r="GN44" s="287">
        <f>SUM(GN28:GN32)</f>
        <v>45345.74</v>
      </c>
      <c r="GO44" s="288">
        <f>SUM(GO28:GO32)</f>
        <v>14639.480000000001</v>
      </c>
      <c r="GP44" s="289">
        <f t="shared" si="137"/>
        <v>0.32284135180063228</v>
      </c>
      <c r="GQ44" s="287">
        <f>SUM(GQ28:GQ32)</f>
        <v>43142.520000000004</v>
      </c>
      <c r="GR44" s="288">
        <f>SUM(GR28:GR32)</f>
        <v>11356.529999999999</v>
      </c>
      <c r="GS44" s="289">
        <f t="shared" si="138"/>
        <v>0.26323288486625257</v>
      </c>
      <c r="GT44" s="287">
        <f>SUM(GT28:GT32)</f>
        <v>38645.07</v>
      </c>
      <c r="GU44" s="288">
        <f>SUM(GU28:GU32)</f>
        <v>17719.72</v>
      </c>
      <c r="GV44" s="289">
        <f t="shared" si="139"/>
        <v>0.45852472255840138</v>
      </c>
      <c r="GW44" s="287">
        <f>SUM(GW28:GW32)</f>
        <v>42992.84</v>
      </c>
      <c r="GX44" s="288">
        <f>SUM(GX28:GX32)</f>
        <v>8151.31</v>
      </c>
      <c r="GY44" s="289">
        <f t="shared" si="140"/>
        <v>0.18959691892882632</v>
      </c>
      <c r="GZ44" s="287">
        <f>SUM(GZ28:GZ32)</f>
        <v>42992.84</v>
      </c>
      <c r="HA44" s="288">
        <f>SUM(HA28:HA32)</f>
        <v>19615.120000000003</v>
      </c>
      <c r="HB44" s="289">
        <f t="shared" si="141"/>
        <v>0.45624155091871121</v>
      </c>
      <c r="HC44" s="287">
        <f>SUM(HC28:HC32)</f>
        <v>95924.56</v>
      </c>
      <c r="HD44" s="288">
        <f>SUM(HD28:HD32)</f>
        <v>29043.93</v>
      </c>
      <c r="HE44" s="289">
        <f t="shared" si="142"/>
        <v>0.30277887122964131</v>
      </c>
      <c r="HF44" s="287">
        <f>SUM(HF28:HF32)</f>
        <v>87097.73</v>
      </c>
      <c r="HG44" s="288">
        <f>SUM(HG28:HG32)</f>
        <v>16475.45</v>
      </c>
      <c r="HH44" s="289">
        <f t="shared" si="143"/>
        <v>0.18916049821275482</v>
      </c>
      <c r="HI44" s="287">
        <f>SUM(HI28:HI32)</f>
        <v>54621.49</v>
      </c>
      <c r="HJ44" s="288">
        <f>SUM(HJ28:HJ32)</f>
        <v>14450.33</v>
      </c>
      <c r="HK44" s="289">
        <f t="shared" si="144"/>
        <v>0.26455393289344542</v>
      </c>
      <c r="HL44" s="287">
        <f>SUM(HL28:HL32)</f>
        <v>34114.47</v>
      </c>
      <c r="HM44" s="288">
        <f>SUM(HM28:HM32)</f>
        <v>11132.16</v>
      </c>
      <c r="HN44" s="289">
        <f t="shared" si="145"/>
        <v>0.32631783521772428</v>
      </c>
      <c r="HO44" s="287">
        <f>SUM(HO28:HO32)</f>
        <v>13138.920000000002</v>
      </c>
      <c r="HP44" s="288">
        <f>SUM(HP28:HP32)</f>
        <v>13342.56</v>
      </c>
      <c r="HQ44" s="289">
        <f t="shared" si="146"/>
        <v>1.0154989907846306</v>
      </c>
      <c r="HR44" s="287">
        <f>SUM(HR28:HR32)</f>
        <v>8480.19</v>
      </c>
      <c r="HS44" s="288">
        <f>SUM(HS28:HS32)</f>
        <v>10838.28</v>
      </c>
      <c r="HT44" s="289">
        <f t="shared" si="147"/>
        <v>1.2780704205919915</v>
      </c>
      <c r="HU44" s="287">
        <f>SUM(HU28:HU32)</f>
        <v>14983.410000000002</v>
      </c>
      <c r="HV44" s="288">
        <f>SUM(HV28:HV32)</f>
        <v>27705.010000000002</v>
      </c>
      <c r="HW44" s="289">
        <f t="shared" si="148"/>
        <v>1.8490457112232797</v>
      </c>
      <c r="HX44" s="287">
        <f>SUM(HX28:HX32)</f>
        <v>17748.63</v>
      </c>
      <c r="HY44" s="288">
        <f>SUM(HY28:HY32)</f>
        <v>47176.54</v>
      </c>
      <c r="HZ44" s="289">
        <f t="shared" si="149"/>
        <v>2.6580383950761268</v>
      </c>
      <c r="IA44" s="287">
        <f>SUM(IA28:IA32)</f>
        <v>20337.52</v>
      </c>
      <c r="IB44" s="288">
        <f>SUM(IB28:IB32)</f>
        <v>30759.129999999997</v>
      </c>
      <c r="IC44" s="289">
        <f t="shared" si="150"/>
        <v>1.5124326859912121</v>
      </c>
      <c r="IQ44" s="287">
        <f>SUM(IQ28:IQ32)</f>
        <v>1030350.1399999999</v>
      </c>
      <c r="IR44" s="287">
        <f>SUM(IR28:IR32)</f>
        <v>387902.1</v>
      </c>
      <c r="IS44" s="288">
        <f>SUM(IS28:IS32)</f>
        <v>-642448.03999999992</v>
      </c>
      <c r="IT44" s="289">
        <f t="shared" si="151"/>
        <v>0.3764760006729363</v>
      </c>
      <c r="IU44" s="288">
        <f>SUM(IU28:IU32)</f>
        <v>230184.84</v>
      </c>
      <c r="IV44" s="288">
        <f>SUM(IV28:IV32)</f>
        <v>141120.33000000002</v>
      </c>
      <c r="IW44" s="288">
        <f>SUM(IW28:IW32)</f>
        <v>-89064.51</v>
      </c>
      <c r="IX44" s="336">
        <f t="shared" si="152"/>
        <v>0.61307395395804531</v>
      </c>
      <c r="IZ44" s="339"/>
    </row>
  </sheetData>
  <mergeCells count="3">
    <mergeCell ref="C2:C3"/>
    <mergeCell ref="IQ2:IT2"/>
    <mergeCell ref="IU2:IX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DB700-675E-4FDB-8DFF-D9407C2B879A}">
  <dimension ref="A1:CE63"/>
  <sheetViews>
    <sheetView workbookViewId="0">
      <pane xSplit="1" ySplit="1" topLeftCell="AU23" activePane="bottomRight" state="frozen"/>
      <selection pane="bottomRight" activeCell="BA34" sqref="BA34"/>
      <selection pane="bottomLeft"/>
      <selection pane="topRight"/>
    </sheetView>
  </sheetViews>
  <sheetFormatPr defaultRowHeight="15"/>
  <cols>
    <col min="2" max="81" width="11.42578125" bestFit="1" customWidth="1"/>
  </cols>
  <sheetData>
    <row r="1" spans="1:81">
      <c r="A1" t="s">
        <v>519</v>
      </c>
      <c r="B1" s="50">
        <v>44483</v>
      </c>
      <c r="C1" s="50">
        <v>44484</v>
      </c>
      <c r="D1" s="50">
        <v>44485</v>
      </c>
      <c r="E1" s="50">
        <v>44486</v>
      </c>
      <c r="F1" s="50">
        <v>44487</v>
      </c>
      <c r="G1" s="50">
        <v>44488</v>
      </c>
      <c r="H1" s="50">
        <v>44489</v>
      </c>
      <c r="I1" s="50">
        <v>44490</v>
      </c>
      <c r="J1" s="50">
        <v>44491</v>
      </c>
      <c r="K1" s="50">
        <v>44492</v>
      </c>
      <c r="L1" s="50">
        <v>44493</v>
      </c>
      <c r="M1" s="50">
        <v>44494</v>
      </c>
      <c r="N1" s="50">
        <v>44495</v>
      </c>
      <c r="O1" s="50">
        <v>44496</v>
      </c>
      <c r="P1" s="50">
        <v>44497</v>
      </c>
      <c r="Q1" s="50">
        <v>44498</v>
      </c>
      <c r="R1" s="50">
        <v>44499</v>
      </c>
      <c r="S1" s="50">
        <v>44500</v>
      </c>
      <c r="T1" s="50">
        <v>44501</v>
      </c>
      <c r="U1" s="50">
        <v>44502</v>
      </c>
      <c r="V1" s="50">
        <v>44503</v>
      </c>
      <c r="W1" s="50">
        <v>44504</v>
      </c>
      <c r="X1" s="50">
        <v>44505</v>
      </c>
      <c r="Y1" s="50">
        <v>44506</v>
      </c>
      <c r="Z1" s="50">
        <v>44507</v>
      </c>
      <c r="AA1" s="50">
        <v>44508</v>
      </c>
      <c r="AB1" s="50">
        <v>44509</v>
      </c>
      <c r="AC1" s="50">
        <v>44510</v>
      </c>
      <c r="AD1" s="50">
        <v>44511</v>
      </c>
      <c r="AE1" s="50">
        <v>44512</v>
      </c>
      <c r="AF1" s="50">
        <v>44513</v>
      </c>
      <c r="AG1" s="50">
        <v>44514</v>
      </c>
      <c r="AH1" s="50">
        <v>44515</v>
      </c>
      <c r="AI1" s="50">
        <v>44516</v>
      </c>
      <c r="AJ1" s="50">
        <v>44517</v>
      </c>
      <c r="AK1" s="50">
        <v>44518</v>
      </c>
      <c r="AL1" s="50">
        <v>44519</v>
      </c>
      <c r="AM1" s="50">
        <v>44520</v>
      </c>
      <c r="AN1" s="1597">
        <v>44521</v>
      </c>
      <c r="AO1" s="1597">
        <v>44522</v>
      </c>
      <c r="AP1" s="1597">
        <v>44523</v>
      </c>
      <c r="AQ1" s="1597">
        <v>44524</v>
      </c>
      <c r="AR1" s="1597">
        <v>44525</v>
      </c>
      <c r="AS1" s="1597">
        <v>44526</v>
      </c>
      <c r="AT1" s="1597">
        <v>44527</v>
      </c>
      <c r="AU1" s="1600">
        <v>44528</v>
      </c>
      <c r="AV1" s="1600">
        <v>44529</v>
      </c>
      <c r="AW1" s="1600">
        <v>44530</v>
      </c>
      <c r="AX1" s="1600">
        <v>44531</v>
      </c>
      <c r="AY1" s="1600">
        <v>44532</v>
      </c>
      <c r="AZ1" s="1600">
        <v>44533</v>
      </c>
      <c r="BA1" s="1600">
        <v>44534</v>
      </c>
      <c r="BB1" s="1600">
        <v>44535</v>
      </c>
      <c r="BC1" s="1600">
        <v>44536</v>
      </c>
      <c r="BD1" s="1600">
        <v>44537</v>
      </c>
      <c r="BE1" s="1600">
        <v>44538</v>
      </c>
      <c r="BF1" s="1600">
        <v>44539</v>
      </c>
      <c r="BG1" s="1600">
        <v>44540</v>
      </c>
      <c r="BH1" s="1600">
        <v>44541</v>
      </c>
      <c r="BI1" s="1600">
        <v>44542</v>
      </c>
      <c r="BJ1" s="1600">
        <v>44543</v>
      </c>
      <c r="BK1" s="1600">
        <v>44544</v>
      </c>
      <c r="BL1" s="1600">
        <v>44545</v>
      </c>
      <c r="BM1" s="1600">
        <v>44546</v>
      </c>
      <c r="BN1" s="1600">
        <v>44547</v>
      </c>
      <c r="BO1" s="1600">
        <v>44548</v>
      </c>
      <c r="BP1" s="1600">
        <v>44549</v>
      </c>
      <c r="BQ1" s="1600">
        <v>44550</v>
      </c>
      <c r="BR1" s="1600">
        <v>44551</v>
      </c>
      <c r="BS1" s="1600">
        <v>44552</v>
      </c>
      <c r="BT1" s="1600">
        <v>44553</v>
      </c>
      <c r="BU1" s="1600">
        <v>44554</v>
      </c>
      <c r="BV1" s="1600">
        <v>44555</v>
      </c>
      <c r="BW1" s="1600">
        <v>44556</v>
      </c>
      <c r="BX1" s="1600">
        <v>44557</v>
      </c>
      <c r="BY1" s="1600">
        <v>44558</v>
      </c>
      <c r="BZ1" s="1600">
        <v>44559</v>
      </c>
      <c r="CA1" s="1600">
        <v>44560</v>
      </c>
      <c r="CB1" s="1600">
        <v>44561</v>
      </c>
      <c r="CC1" s="1600">
        <v>44562</v>
      </c>
    </row>
    <row r="2" spans="1:81">
      <c r="A2" s="686" t="s">
        <v>9</v>
      </c>
      <c r="B2" s="515">
        <f>$K34*B$32</f>
        <v>10645.529509440003</v>
      </c>
      <c r="C2" s="515">
        <f>$K34*C$32</f>
        <v>12166.319439360001</v>
      </c>
      <c r="D2" s="515">
        <f>$K34*D$32</f>
        <v>16728.689229120002</v>
      </c>
      <c r="E2" s="515">
        <f>$K34*E$32</f>
        <v>9215.9869753152016</v>
      </c>
      <c r="F2" s="515">
        <f t="shared" ref="F2:L2" si="0">$K34*F$32</f>
        <v>9086.7198312720011</v>
      </c>
      <c r="G2" s="515">
        <f t="shared" si="0"/>
        <v>9162.7593277680007</v>
      </c>
      <c r="H2" s="515">
        <f t="shared" si="0"/>
        <v>9466.9173137520011</v>
      </c>
      <c r="I2" s="515">
        <f t="shared" si="0"/>
        <v>10455.430768200002</v>
      </c>
      <c r="J2" s="515">
        <f t="shared" si="0"/>
        <v>11808.933805828801</v>
      </c>
      <c r="K2" s="515">
        <f t="shared" si="0"/>
        <v>16842.748473864001</v>
      </c>
      <c r="L2" s="515">
        <f>$R34*L$32</f>
        <v>13304.515236508802</v>
      </c>
      <c r="M2" s="515">
        <f t="shared" ref="M2:S2" si="1">$R34*M$32</f>
        <v>13117.900748868</v>
      </c>
      <c r="N2" s="515">
        <f t="shared" si="1"/>
        <v>13227.673976892002</v>
      </c>
      <c r="O2" s="515">
        <f t="shared" si="1"/>
        <v>13666.766888988001</v>
      </c>
      <c r="P2" s="515">
        <f t="shared" si="1"/>
        <v>15093.818853300003</v>
      </c>
      <c r="Q2" s="515">
        <f t="shared" si="1"/>
        <v>17047.782312127201</v>
      </c>
      <c r="R2" s="515">
        <f t="shared" si="1"/>
        <v>24314.770007316001</v>
      </c>
      <c r="S2" s="515">
        <f>$Y34*S$32</f>
        <v>8805.2516369568002</v>
      </c>
      <c r="T2" s="515">
        <f t="shared" ref="T2:Z2" si="2">$Y34*T$32</f>
        <v>8681.7456321480004</v>
      </c>
      <c r="U2" s="515">
        <f t="shared" si="2"/>
        <v>8754.3962232120011</v>
      </c>
      <c r="V2" s="515">
        <f t="shared" si="2"/>
        <v>9044.9985874680006</v>
      </c>
      <c r="W2" s="515">
        <f t="shared" si="2"/>
        <v>9989.4562713000014</v>
      </c>
      <c r="X2" s="515">
        <f t="shared" si="2"/>
        <v>11282.6367922392</v>
      </c>
      <c r="Y2" s="515">
        <f t="shared" si="2"/>
        <v>16092.105920676002</v>
      </c>
      <c r="Z2" s="515">
        <f>$AF34*Z$32</f>
        <v>9435.954473820002</v>
      </c>
      <c r="AA2" s="515">
        <f t="shared" ref="AA2:AG2" si="3">$AF34*AA$32</f>
        <v>9303.6019770750008</v>
      </c>
      <c r="AB2" s="515">
        <f t="shared" si="3"/>
        <v>9381.4563869250014</v>
      </c>
      <c r="AC2" s="515">
        <f t="shared" si="3"/>
        <v>9692.874026325002</v>
      </c>
      <c r="AD2" s="515">
        <f t="shared" si="3"/>
        <v>10704.981354375002</v>
      </c>
      <c r="AE2" s="515">
        <f t="shared" si="3"/>
        <v>12090.789849705001</v>
      </c>
      <c r="AF2" s="515">
        <f t="shared" si="3"/>
        <v>17244.751781775001</v>
      </c>
      <c r="AG2" s="515">
        <f>$AM34*AG$32</f>
        <v>11393.019965880003</v>
      </c>
      <c r="AH2" s="515">
        <f t="shared" ref="AH2:AN2" si="4">$AM34*AH$32</f>
        <v>11233.216880550002</v>
      </c>
      <c r="AI2" s="515">
        <f t="shared" si="4"/>
        <v>11327.218695450003</v>
      </c>
      <c r="AJ2" s="515">
        <f t="shared" si="4"/>
        <v>11703.225955050004</v>
      </c>
      <c r="AK2" s="515">
        <f t="shared" si="4"/>
        <v>12925.249548750005</v>
      </c>
      <c r="AL2" s="515">
        <f t="shared" si="4"/>
        <v>14598.481853970003</v>
      </c>
      <c r="AM2" s="515">
        <f t="shared" si="4"/>
        <v>20821.402000350005</v>
      </c>
      <c r="AN2" s="515">
        <f>$AT34*AN$32</f>
        <v>13827.10798728</v>
      </c>
      <c r="AO2" s="515">
        <f t="shared" ref="AO2:AU2" si="5">$AT34*AO$32</f>
        <v>13633.163403299999</v>
      </c>
      <c r="AP2" s="515">
        <f t="shared" si="5"/>
        <v>13747.2484527</v>
      </c>
      <c r="AQ2" s="515">
        <f t="shared" si="5"/>
        <v>14203.5886503</v>
      </c>
      <c r="AR2" s="515">
        <f t="shared" si="5"/>
        <v>15686.694292500002</v>
      </c>
      <c r="AS2" s="515">
        <f t="shared" si="5"/>
        <v>17717.40817182</v>
      </c>
      <c r="AT2" s="515">
        <f t="shared" si="5"/>
        <v>25269.838442100001</v>
      </c>
      <c r="AU2" s="515">
        <f>$BA34*AU$32</f>
        <v>23964.385767209998</v>
      </c>
      <c r="AV2" s="515">
        <f t="shared" ref="AV2:BB2" si="6">$BA34*AV$32</f>
        <v>23628.251643412495</v>
      </c>
      <c r="AW2" s="515">
        <f t="shared" si="6"/>
        <v>23825.977598587499</v>
      </c>
      <c r="AX2" s="515">
        <f t="shared" si="6"/>
        <v>24616.881419287496</v>
      </c>
      <c r="AY2" s="515">
        <f t="shared" si="6"/>
        <v>27187.318836562499</v>
      </c>
      <c r="AZ2" s="515">
        <f t="shared" si="6"/>
        <v>30706.840838677497</v>
      </c>
      <c r="BA2" s="515">
        <f t="shared" si="6"/>
        <v>43796.299071262496</v>
      </c>
      <c r="BB2" s="515">
        <f>$BH34*BB$32</f>
        <v>31204.218875130005</v>
      </c>
      <c r="BC2" s="515">
        <f t="shared" ref="BC2:BI2" si="7">$BH34*BC$32</f>
        <v>30766.535937112501</v>
      </c>
      <c r="BD2" s="515">
        <f t="shared" si="7"/>
        <v>31023.996488887504</v>
      </c>
      <c r="BE2" s="515">
        <f t="shared" si="7"/>
        <v>32053.838695987502</v>
      </c>
      <c r="BF2" s="515">
        <f t="shared" si="7"/>
        <v>35400.825869062508</v>
      </c>
      <c r="BG2" s="515">
        <f t="shared" si="7"/>
        <v>39983.6236906575</v>
      </c>
      <c r="BH2" s="515">
        <f t="shared" si="7"/>
        <v>57027.512218162505</v>
      </c>
      <c r="BI2" s="515">
        <f>$BO34*BI$32</f>
        <v>35023.168554696007</v>
      </c>
      <c r="BJ2" s="515">
        <f t="shared" ref="BJ2:BP2" si="8">$BO34*BJ$32</f>
        <v>34531.919490810003</v>
      </c>
      <c r="BK2" s="515">
        <f t="shared" si="8"/>
        <v>34820.889528390006</v>
      </c>
      <c r="BL2" s="515">
        <f t="shared" si="8"/>
        <v>35976.769678710007</v>
      </c>
      <c r="BM2" s="515">
        <f t="shared" si="8"/>
        <v>39733.380167250012</v>
      </c>
      <c r="BN2" s="515">
        <f t="shared" si="8"/>
        <v>44877.046836174006</v>
      </c>
      <c r="BO2" s="515">
        <f t="shared" si="8"/>
        <v>64006.863323970014</v>
      </c>
      <c r="BP2" s="515">
        <f>$BV34*BP$32</f>
        <v>55453.173324444004</v>
      </c>
      <c r="BQ2" s="515">
        <f t="shared" ref="BQ2:BW2" si="9">$BV34*BQ$32</f>
        <v>54675.364787715</v>
      </c>
      <c r="BR2" s="515">
        <f t="shared" si="9"/>
        <v>55132.899221085005</v>
      </c>
      <c r="BS2" s="515">
        <f t="shared" si="9"/>
        <v>56963.036954565003</v>
      </c>
      <c r="BT2" s="515">
        <f t="shared" si="9"/>
        <v>62910.984588375009</v>
      </c>
      <c r="BU2" s="515">
        <f t="shared" si="9"/>
        <v>71055.097502361008</v>
      </c>
      <c r="BV2" s="515">
        <f t="shared" si="9"/>
        <v>101343.87699145501</v>
      </c>
      <c r="BW2" s="515">
        <f>$CC34*BW$32</f>
        <v>8774.7711987599996</v>
      </c>
      <c r="BX2" s="515">
        <f t="shared" ref="BX2:CC2" si="10">$CC34*BX$32</f>
        <v>8651.6927248499996</v>
      </c>
      <c r="BY2" s="515">
        <f t="shared" si="10"/>
        <v>8724.0918271499995</v>
      </c>
      <c r="BZ2" s="515">
        <f t="shared" si="10"/>
        <v>9013.688236349999</v>
      </c>
      <c r="CA2" s="515">
        <f t="shared" si="10"/>
        <v>9954.8765662500009</v>
      </c>
      <c r="CB2" s="515">
        <f t="shared" si="10"/>
        <v>11243.580587189999</v>
      </c>
      <c r="CC2" s="515">
        <f t="shared" si="10"/>
        <v>16036.401159450001</v>
      </c>
    </row>
    <row r="3" spans="1:81">
      <c r="A3" s="687" t="s">
        <v>10</v>
      </c>
      <c r="B3" s="515">
        <f t="shared" ref="B3:D3" si="11">$K35*B$32</f>
        <v>8787.8401934400026</v>
      </c>
      <c r="C3" s="515">
        <f t="shared" si="11"/>
        <v>10043.245935360002</v>
      </c>
      <c r="D3" s="515">
        <f t="shared" si="11"/>
        <v>13809.463161120004</v>
      </c>
      <c r="E3" s="515">
        <f t="shared" ref="E3:K18" si="12">$K35*E$32</f>
        <v>7607.7587960352021</v>
      </c>
      <c r="F3" s="515">
        <f t="shared" si="12"/>
        <v>7501.0493079720018</v>
      </c>
      <c r="G3" s="515">
        <f t="shared" si="12"/>
        <v>7563.8195950680019</v>
      </c>
      <c r="H3" s="515">
        <f t="shared" si="12"/>
        <v>7814.9007434520017</v>
      </c>
      <c r="I3" s="515">
        <f t="shared" si="12"/>
        <v>8630.9144757000031</v>
      </c>
      <c r="J3" s="515">
        <f t="shared" si="12"/>
        <v>9748.2255860088026</v>
      </c>
      <c r="K3" s="515">
        <f t="shared" si="12"/>
        <v>13903.618591764003</v>
      </c>
      <c r="L3" s="515">
        <f t="shared" ref="L3:R18" si="13">$R35*L$32</f>
        <v>10495.019228025601</v>
      </c>
      <c r="M3" s="515">
        <f t="shared" si="13"/>
        <v>10347.811862615999</v>
      </c>
      <c r="N3" s="515">
        <f t="shared" si="13"/>
        <v>10434.404430504001</v>
      </c>
      <c r="O3" s="515">
        <f t="shared" si="13"/>
        <v>10780.774702056</v>
      </c>
      <c r="P3" s="515">
        <f t="shared" si="13"/>
        <v>11906.478084600001</v>
      </c>
      <c r="Q3" s="515">
        <f t="shared" si="13"/>
        <v>13447.825793006401</v>
      </c>
      <c r="R3" s="515">
        <f t="shared" si="13"/>
        <v>19180.253787192003</v>
      </c>
      <c r="S3" s="515">
        <f t="shared" ref="S3:Y18" si="14">$Y35*S$32</f>
        <v>9980.7121416960017</v>
      </c>
      <c r="T3" s="515">
        <f t="shared" si="14"/>
        <v>9840.7186545600016</v>
      </c>
      <c r="U3" s="515">
        <f t="shared" si="14"/>
        <v>9923.0677646400018</v>
      </c>
      <c r="V3" s="515">
        <f t="shared" si="14"/>
        <v>10252.464204960002</v>
      </c>
      <c r="W3" s="515">
        <f t="shared" si="14"/>
        <v>11323.002636000003</v>
      </c>
      <c r="X3" s="515">
        <f t="shared" si="14"/>
        <v>12788.816795424002</v>
      </c>
      <c r="Y3" s="515">
        <f t="shared" si="14"/>
        <v>18240.327882720005</v>
      </c>
      <c r="Z3" s="515">
        <f t="shared" ref="Z3:AF18" si="15">$AF35*Z$32</f>
        <v>10789.982421120001</v>
      </c>
      <c r="AA3" s="515">
        <f t="shared" si="15"/>
        <v>10638.637783200002</v>
      </c>
      <c r="AB3" s="515">
        <f t="shared" si="15"/>
        <v>10727.6640408</v>
      </c>
      <c r="AC3" s="515">
        <f t="shared" si="15"/>
        <v>11083.769071200002</v>
      </c>
      <c r="AD3" s="515">
        <f t="shared" si="15"/>
        <v>12241.110420000003</v>
      </c>
      <c r="AE3" s="515">
        <f t="shared" si="15"/>
        <v>13825.77780528</v>
      </c>
      <c r="AF3" s="515">
        <f t="shared" si="15"/>
        <v>19719.316058400003</v>
      </c>
      <c r="AG3" s="515">
        <f t="shared" ref="AG3:AM18" si="16">$AM35*AG$32</f>
        <v>12968.068881600002</v>
      </c>
      <c r="AH3" s="515">
        <f t="shared" si="16"/>
        <v>12786.173526</v>
      </c>
      <c r="AI3" s="515">
        <f t="shared" si="16"/>
        <v>12893.170794000001</v>
      </c>
      <c r="AJ3" s="515">
        <f t="shared" si="16"/>
        <v>13321.159866000002</v>
      </c>
      <c r="AK3" s="515">
        <f t="shared" si="16"/>
        <v>14712.124350000002</v>
      </c>
      <c r="AL3" s="515">
        <f t="shared" si="16"/>
        <v>16616.675720400002</v>
      </c>
      <c r="AM3" s="515">
        <f t="shared" si="16"/>
        <v>23699.894862000001</v>
      </c>
      <c r="AN3" s="515">
        <f t="shared" ref="AN3:AT18" si="17">$AT35*AN$32</f>
        <v>10505.35518669</v>
      </c>
      <c r="AO3" s="515">
        <f t="shared" si="17"/>
        <v>10358.002844962501</v>
      </c>
      <c r="AP3" s="515">
        <f t="shared" si="17"/>
        <v>10444.680693037501</v>
      </c>
      <c r="AQ3" s="515">
        <f t="shared" si="17"/>
        <v>10791.3920853375</v>
      </c>
      <c r="AR3" s="515">
        <f t="shared" si="17"/>
        <v>11918.204110312501</v>
      </c>
      <c r="AS3" s="515">
        <f t="shared" si="17"/>
        <v>13461.069806047501</v>
      </c>
      <c r="AT3" s="515">
        <f t="shared" si="17"/>
        <v>19199.143348612499</v>
      </c>
      <c r="AU3" s="515">
        <f>$BA35*AU$32</f>
        <v>14459.14554084</v>
      </c>
      <c r="AV3" s="515">
        <f t="shared" ref="AU3:BA18" si="18">$BA35*AV$32</f>
        <v>14256.335743649999</v>
      </c>
      <c r="AW3" s="515">
        <f t="shared" si="18"/>
        <v>14375.635624349999</v>
      </c>
      <c r="AX3" s="515">
        <f t="shared" si="18"/>
        <v>14852.835147149999</v>
      </c>
      <c r="AY3" s="515">
        <f t="shared" si="18"/>
        <v>16403.73359625</v>
      </c>
      <c r="AZ3" s="515">
        <f t="shared" si="18"/>
        <v>18527.271472709999</v>
      </c>
      <c r="BA3" s="515">
        <f t="shared" si="18"/>
        <v>26424.923575049997</v>
      </c>
      <c r="BB3" s="515">
        <f t="shared" ref="BB3:BH18" si="19">$BH35*BB$32</f>
        <v>15825.879533772</v>
      </c>
      <c r="BC3" s="515">
        <f t="shared" si="19"/>
        <v>15603.899375295001</v>
      </c>
      <c r="BD3" s="515">
        <f t="shared" si="19"/>
        <v>15734.475939105001</v>
      </c>
      <c r="BE3" s="515">
        <f t="shared" si="19"/>
        <v>16256.782194345002</v>
      </c>
      <c r="BF3" s="515">
        <f t="shared" si="19"/>
        <v>17954.277523875004</v>
      </c>
      <c r="BG3" s="515">
        <f t="shared" si="19"/>
        <v>20278.540359693001</v>
      </c>
      <c r="BH3" s="515">
        <f t="shared" si="19"/>
        <v>28922.708883915002</v>
      </c>
      <c r="BI3" s="515">
        <f t="shared" ref="BI3:BO18" si="20">$BO35*BI$32</f>
        <v>21862.272674087999</v>
      </c>
      <c r="BJ3" s="515">
        <f t="shared" si="20"/>
        <v>21555.623634929998</v>
      </c>
      <c r="BK3" s="515">
        <f t="shared" si="20"/>
        <v>21736.005422669998</v>
      </c>
      <c r="BL3" s="515">
        <f t="shared" si="20"/>
        <v>22457.53257363</v>
      </c>
      <c r="BM3" s="515">
        <f t="shared" si="20"/>
        <v>24802.495814250004</v>
      </c>
      <c r="BN3" s="515">
        <f t="shared" si="20"/>
        <v>28013.291636022001</v>
      </c>
      <c r="BO3" s="515">
        <f t="shared" si="20"/>
        <v>39954.565984410001</v>
      </c>
      <c r="BP3" s="515">
        <f t="shared" ref="BP3:BV18" si="21">$BV35*BP$32</f>
        <v>38903.461104815993</v>
      </c>
      <c r="BQ3" s="515">
        <f t="shared" si="21"/>
        <v>38357.785495259988</v>
      </c>
      <c r="BR3" s="515">
        <f t="shared" si="21"/>
        <v>38678.771147939995</v>
      </c>
      <c r="BS3" s="515">
        <f t="shared" si="21"/>
        <v>39962.713758659993</v>
      </c>
      <c r="BT3" s="515">
        <f t="shared" si="21"/>
        <v>44135.527243499993</v>
      </c>
      <c r="BU3" s="515">
        <f t="shared" si="21"/>
        <v>49849.071861203985</v>
      </c>
      <c r="BV3" s="515">
        <f t="shared" si="21"/>
        <v>71098.322068619993</v>
      </c>
      <c r="BW3" s="515">
        <f t="shared" ref="BW3:CC18" si="22">$CC35*BW$32</f>
        <v>8767.8029502000009</v>
      </c>
      <c r="BX3" s="515">
        <f t="shared" si="22"/>
        <v>8644.8222157500004</v>
      </c>
      <c r="BY3" s="515">
        <f t="shared" si="22"/>
        <v>8717.1638242499994</v>
      </c>
      <c r="BZ3" s="515">
        <f t="shared" si="22"/>
        <v>9006.5302582500008</v>
      </c>
      <c r="CA3" s="515">
        <f t="shared" si="22"/>
        <v>9946.9711687500003</v>
      </c>
      <c r="CB3" s="515">
        <f t="shared" si="22"/>
        <v>11234.65180005</v>
      </c>
      <c r="CC3" s="515">
        <f t="shared" si="22"/>
        <v>16023.66628275</v>
      </c>
    </row>
    <row r="4" spans="1:81">
      <c r="A4" s="687" t="s">
        <v>11</v>
      </c>
      <c r="B4" s="515">
        <f t="shared" ref="B4:D4" si="23">$K36*B$32</f>
        <v>10158.769353600001</v>
      </c>
      <c r="C4" s="515">
        <f t="shared" si="23"/>
        <v>11610.0221184</v>
      </c>
      <c r="D4" s="515">
        <f t="shared" si="23"/>
        <v>15963.780412800001</v>
      </c>
      <c r="E4" s="515">
        <f t="shared" si="12"/>
        <v>8794.5917546880009</v>
      </c>
      <c r="F4" s="515">
        <f t="shared" si="12"/>
        <v>8671.235269679999</v>
      </c>
      <c r="G4" s="515">
        <f t="shared" si="12"/>
        <v>8743.7979079199995</v>
      </c>
      <c r="H4" s="515">
        <f t="shared" si="12"/>
        <v>9034.0484608799998</v>
      </c>
      <c r="I4" s="515">
        <f t="shared" si="12"/>
        <v>9977.3627580000011</v>
      </c>
      <c r="J4" s="515">
        <f t="shared" si="12"/>
        <v>11268.977718672</v>
      </c>
      <c r="K4" s="515">
        <f t="shared" si="12"/>
        <v>16072.62437016</v>
      </c>
      <c r="L4" s="515">
        <f t="shared" si="13"/>
        <v>11174.171671080003</v>
      </c>
      <c r="M4" s="515">
        <f t="shared" si="13"/>
        <v>11017.438240050002</v>
      </c>
      <c r="N4" s="515">
        <f t="shared" si="13"/>
        <v>11109.634375950003</v>
      </c>
      <c r="O4" s="515">
        <f t="shared" si="13"/>
        <v>11478.418919550002</v>
      </c>
      <c r="P4" s="515">
        <f t="shared" si="13"/>
        <v>12676.968686250004</v>
      </c>
      <c r="Q4" s="515">
        <f t="shared" si="13"/>
        <v>14318.059905270004</v>
      </c>
      <c r="R4" s="515">
        <f t="shared" si="13"/>
        <v>20421.444101850004</v>
      </c>
      <c r="S4" s="515">
        <f t="shared" si="14"/>
        <v>8374.3830670320003</v>
      </c>
      <c r="T4" s="515">
        <f t="shared" si="14"/>
        <v>8256.9205982700005</v>
      </c>
      <c r="U4" s="515">
        <f t="shared" si="14"/>
        <v>8326.0161681299996</v>
      </c>
      <c r="V4" s="515">
        <f t="shared" si="14"/>
        <v>8602.3984475699999</v>
      </c>
      <c r="W4" s="515">
        <f t="shared" si="14"/>
        <v>9500.6408557500017</v>
      </c>
      <c r="X4" s="515">
        <f t="shared" si="14"/>
        <v>10730.541999258001</v>
      </c>
      <c r="Y4" s="515">
        <f t="shared" si="14"/>
        <v>15304.66872399</v>
      </c>
      <c r="Z4" s="515">
        <f t="shared" si="15"/>
        <v>8701.008095807998</v>
      </c>
      <c r="AA4" s="515">
        <f t="shared" si="15"/>
        <v>8578.9642528799977</v>
      </c>
      <c r="AB4" s="515">
        <f t="shared" si="15"/>
        <v>8650.754748719999</v>
      </c>
      <c r="AC4" s="515">
        <f t="shared" si="15"/>
        <v>8937.9167320799988</v>
      </c>
      <c r="AD4" s="515">
        <f t="shared" si="15"/>
        <v>9871.1931779999995</v>
      </c>
      <c r="AE4" s="515">
        <f t="shared" si="15"/>
        <v>11149.064003951999</v>
      </c>
      <c r="AF4" s="515">
        <f t="shared" si="15"/>
        <v>15901.594828559997</v>
      </c>
      <c r="AG4" s="515">
        <f t="shared" si="16"/>
        <v>13400.553745151999</v>
      </c>
      <c r="AH4" s="515">
        <f t="shared" si="16"/>
        <v>13212.59218272</v>
      </c>
      <c r="AI4" s="515">
        <f t="shared" si="16"/>
        <v>13323.15780768</v>
      </c>
      <c r="AJ4" s="515">
        <f t="shared" si="16"/>
        <v>13765.42030752</v>
      </c>
      <c r="AK4" s="515">
        <f t="shared" si="16"/>
        <v>15202.773432000002</v>
      </c>
      <c r="AL4" s="515">
        <f t="shared" si="16"/>
        <v>17170.841556288</v>
      </c>
      <c r="AM4" s="515">
        <f t="shared" si="16"/>
        <v>24490.285928640002</v>
      </c>
      <c r="AN4" s="515">
        <f t="shared" si="17"/>
        <v>10471.537177920001</v>
      </c>
      <c r="AO4" s="515">
        <f t="shared" si="17"/>
        <v>10324.659181200001</v>
      </c>
      <c r="AP4" s="515">
        <f t="shared" si="17"/>
        <v>10411.0580028</v>
      </c>
      <c r="AQ4" s="515">
        <f t="shared" si="17"/>
        <v>10756.653289200001</v>
      </c>
      <c r="AR4" s="515">
        <f t="shared" si="17"/>
        <v>11879.837970000002</v>
      </c>
      <c r="AS4" s="515">
        <f t="shared" si="17"/>
        <v>13417.736994480001</v>
      </c>
      <c r="AT4" s="515">
        <f t="shared" si="17"/>
        <v>19137.338984400001</v>
      </c>
      <c r="AU4" s="515">
        <f t="shared" si="18"/>
        <v>13075.932421440002</v>
      </c>
      <c r="AV4" s="515">
        <f t="shared" si="18"/>
        <v>12892.5241284</v>
      </c>
      <c r="AW4" s="515">
        <f t="shared" si="18"/>
        <v>13000.411359600001</v>
      </c>
      <c r="AX4" s="515">
        <f t="shared" si="18"/>
        <v>13431.960284400002</v>
      </c>
      <c r="AY4" s="515">
        <f t="shared" si="18"/>
        <v>14834.494290000002</v>
      </c>
      <c r="AZ4" s="515">
        <f t="shared" si="18"/>
        <v>16754.88700536</v>
      </c>
      <c r="BA4" s="515">
        <f t="shared" si="18"/>
        <v>23897.021710800003</v>
      </c>
      <c r="BB4" s="515">
        <f t="shared" si="19"/>
        <v>15045.954648606004</v>
      </c>
      <c r="BC4" s="515">
        <f t="shared" si="19"/>
        <v>14834.914030597503</v>
      </c>
      <c r="BD4" s="515">
        <f t="shared" si="19"/>
        <v>14959.055570602502</v>
      </c>
      <c r="BE4" s="515">
        <f t="shared" si="19"/>
        <v>15455.621730622504</v>
      </c>
      <c r="BF4" s="515">
        <f t="shared" si="19"/>
        <v>17069.461750687507</v>
      </c>
      <c r="BG4" s="515">
        <f t="shared" si="19"/>
        <v>19279.181162776506</v>
      </c>
      <c r="BH4" s="515">
        <f t="shared" si="19"/>
        <v>27497.351111107506</v>
      </c>
      <c r="BI4" s="515">
        <f t="shared" si="20"/>
        <v>18316.765996578</v>
      </c>
      <c r="BJ4" s="515">
        <f t="shared" si="20"/>
        <v>18059.8476616425</v>
      </c>
      <c r="BK4" s="515">
        <f t="shared" si="20"/>
        <v>18210.976093957503</v>
      </c>
      <c r="BL4" s="515">
        <f t="shared" si="20"/>
        <v>18815.4898232175</v>
      </c>
      <c r="BM4" s="515">
        <f t="shared" si="20"/>
        <v>20780.159443312503</v>
      </c>
      <c r="BN4" s="515">
        <f t="shared" si="20"/>
        <v>23470.245538519503</v>
      </c>
      <c r="BO4" s="515">
        <f t="shared" si="20"/>
        <v>33474.947757772505</v>
      </c>
      <c r="BP4" s="515">
        <f t="shared" si="21"/>
        <v>34318.760657076004</v>
      </c>
      <c r="BQ4" s="515">
        <f t="shared" si="21"/>
        <v>33837.391901985</v>
      </c>
      <c r="BR4" s="515">
        <f t="shared" si="21"/>
        <v>34120.549993214998</v>
      </c>
      <c r="BS4" s="515">
        <f t="shared" si="21"/>
        <v>35253.182358135004</v>
      </c>
      <c r="BT4" s="515">
        <f t="shared" si="21"/>
        <v>38934.237544125004</v>
      </c>
      <c r="BU4" s="515">
        <f t="shared" si="21"/>
        <v>43974.451568019002</v>
      </c>
      <c r="BV4" s="515">
        <f t="shared" si="21"/>
        <v>62719.517207445002</v>
      </c>
      <c r="BW4" s="515">
        <f t="shared" si="22"/>
        <v>6358.59642222</v>
      </c>
      <c r="BX4" s="515">
        <f t="shared" si="22"/>
        <v>6269.4081885750002</v>
      </c>
      <c r="BY4" s="515">
        <f t="shared" si="22"/>
        <v>6321.8718554249999</v>
      </c>
      <c r="BZ4" s="515">
        <f t="shared" si="22"/>
        <v>6531.7265228249998</v>
      </c>
      <c r="CA4" s="515">
        <f t="shared" si="22"/>
        <v>7213.7541918750012</v>
      </c>
      <c r="CB4" s="515">
        <f t="shared" si="22"/>
        <v>8147.6074618049997</v>
      </c>
      <c r="CC4" s="515">
        <f t="shared" si="22"/>
        <v>11620.702207275001</v>
      </c>
    </row>
    <row r="5" spans="1:81">
      <c r="A5" s="687" t="s">
        <v>12</v>
      </c>
      <c r="B5" s="515">
        <f t="shared" ref="B5:D5" si="24">$K37*B$32</f>
        <v>9291.2740502400011</v>
      </c>
      <c r="C5" s="515">
        <f t="shared" si="24"/>
        <v>10618.598914560002</v>
      </c>
      <c r="D5" s="515">
        <f t="shared" si="24"/>
        <v>14600.573507520001</v>
      </c>
      <c r="E5" s="515">
        <f t="shared" si="12"/>
        <v>8043.5886777792002</v>
      </c>
      <c r="F5" s="515">
        <f t="shared" si="12"/>
        <v>7930.7660643119998</v>
      </c>
      <c r="G5" s="515">
        <f t="shared" si="12"/>
        <v>7997.1323075279997</v>
      </c>
      <c r="H5" s="515">
        <f t="shared" si="12"/>
        <v>8262.5972803919994</v>
      </c>
      <c r="I5" s="515">
        <f t="shared" si="12"/>
        <v>9125.3584422000004</v>
      </c>
      <c r="J5" s="515">
        <f t="shared" si="12"/>
        <v>10306.677571444799</v>
      </c>
      <c r="K5" s="515">
        <f t="shared" si="12"/>
        <v>14700.122872344</v>
      </c>
      <c r="L5" s="515">
        <f t="shared" si="13"/>
        <v>9602.1388929887999</v>
      </c>
      <c r="M5" s="515">
        <f t="shared" si="13"/>
        <v>9467.4554266679988</v>
      </c>
      <c r="N5" s="515">
        <f t="shared" si="13"/>
        <v>9546.6809950919996</v>
      </c>
      <c r="O5" s="515">
        <f t="shared" si="13"/>
        <v>9863.5832687879993</v>
      </c>
      <c r="P5" s="515">
        <f t="shared" si="13"/>
        <v>10893.515658300001</v>
      </c>
      <c r="Q5" s="515">
        <f t="shared" si="13"/>
        <v>12303.730776247199</v>
      </c>
      <c r="R5" s="515">
        <f t="shared" si="13"/>
        <v>17548.463405915998</v>
      </c>
      <c r="S5" s="515">
        <f t="shared" si="14"/>
        <v>6842.7719816400004</v>
      </c>
      <c r="T5" s="515">
        <f t="shared" si="14"/>
        <v>6746.7925066499993</v>
      </c>
      <c r="U5" s="515">
        <f t="shared" si="14"/>
        <v>6803.25102135</v>
      </c>
      <c r="V5" s="515">
        <f t="shared" si="14"/>
        <v>7029.0850801500001</v>
      </c>
      <c r="W5" s="515">
        <f t="shared" si="14"/>
        <v>7763.0457712500001</v>
      </c>
      <c r="X5" s="515">
        <f t="shared" si="14"/>
        <v>8768.0073329099996</v>
      </c>
      <c r="Y5" s="515">
        <f t="shared" si="14"/>
        <v>12505.56100605</v>
      </c>
      <c r="Z5" s="515">
        <f t="shared" si="15"/>
        <v>7629.1416186299994</v>
      </c>
      <c r="AA5" s="515">
        <f t="shared" si="15"/>
        <v>7522.1322064874994</v>
      </c>
      <c r="AB5" s="515">
        <f t="shared" si="15"/>
        <v>7585.0789195124999</v>
      </c>
      <c r="AC5" s="515">
        <f t="shared" si="15"/>
        <v>7836.8657716124999</v>
      </c>
      <c r="AD5" s="515">
        <f t="shared" si="15"/>
        <v>8655.1730409374995</v>
      </c>
      <c r="AE5" s="515">
        <f t="shared" si="15"/>
        <v>9775.6245327825</v>
      </c>
      <c r="AF5" s="515">
        <f t="shared" si="15"/>
        <v>13942.6969350375</v>
      </c>
      <c r="AG5" s="515">
        <f t="shared" si="16"/>
        <v>9358.3097117999987</v>
      </c>
      <c r="AH5" s="515">
        <f t="shared" si="16"/>
        <v>9227.046291749999</v>
      </c>
      <c r="AI5" s="515">
        <f t="shared" si="16"/>
        <v>9304.2600682499997</v>
      </c>
      <c r="AJ5" s="515">
        <f t="shared" si="16"/>
        <v>9613.1151742499987</v>
      </c>
      <c r="AK5" s="515">
        <f t="shared" si="16"/>
        <v>10616.89426875</v>
      </c>
      <c r="AL5" s="515">
        <f t="shared" si="16"/>
        <v>11991.299490449999</v>
      </c>
      <c r="AM5" s="515">
        <f t="shared" si="16"/>
        <v>17102.851494749997</v>
      </c>
      <c r="AN5" s="515">
        <f t="shared" si="17"/>
        <v>6801.6006355500012</v>
      </c>
      <c r="AO5" s="515">
        <f t="shared" si="17"/>
        <v>6706.1986464375004</v>
      </c>
      <c r="AP5" s="515">
        <f t="shared" si="17"/>
        <v>6762.317463562501</v>
      </c>
      <c r="AQ5" s="515">
        <f t="shared" si="17"/>
        <v>6986.7927320625013</v>
      </c>
      <c r="AR5" s="515">
        <f t="shared" si="17"/>
        <v>7716.3373546875018</v>
      </c>
      <c r="AS5" s="515">
        <f t="shared" si="17"/>
        <v>8715.2522995125018</v>
      </c>
      <c r="AT5" s="515">
        <f t="shared" si="17"/>
        <v>12430.317993187502</v>
      </c>
      <c r="AU5" s="515">
        <f t="shared" si="18"/>
        <v>8124.9188995800005</v>
      </c>
      <c r="AV5" s="515">
        <f t="shared" si="18"/>
        <v>8010.9555156750002</v>
      </c>
      <c r="AW5" s="515">
        <f t="shared" si="18"/>
        <v>8077.9928003249997</v>
      </c>
      <c r="AX5" s="515">
        <f t="shared" si="18"/>
        <v>8346.1419389250004</v>
      </c>
      <c r="AY5" s="515">
        <f t="shared" si="18"/>
        <v>9217.6266393750011</v>
      </c>
      <c r="AZ5" s="515">
        <f t="shared" si="18"/>
        <v>10410.890306145</v>
      </c>
      <c r="BA5" s="515">
        <f t="shared" si="18"/>
        <v>14848.758549975</v>
      </c>
      <c r="BB5" s="515">
        <f t="shared" si="19"/>
        <v>11698.4041335</v>
      </c>
      <c r="BC5" s="515">
        <f t="shared" si="19"/>
        <v>11534.317606875</v>
      </c>
      <c r="BD5" s="515">
        <f t="shared" si="19"/>
        <v>11630.839093125</v>
      </c>
      <c r="BE5" s="515">
        <f t="shared" si="19"/>
        <v>12016.925038125</v>
      </c>
      <c r="BF5" s="515">
        <f t="shared" si="19"/>
        <v>13271.704359375</v>
      </c>
      <c r="BG5" s="515">
        <f t="shared" si="19"/>
        <v>14989.786814625</v>
      </c>
      <c r="BH5" s="515">
        <f t="shared" si="19"/>
        <v>21379.509204375001</v>
      </c>
      <c r="BI5" s="515">
        <f t="shared" si="20"/>
        <v>17499.642224400002</v>
      </c>
      <c r="BJ5" s="515">
        <f t="shared" si="20"/>
        <v>17254.185196500002</v>
      </c>
      <c r="BK5" s="515">
        <f t="shared" si="20"/>
        <v>17398.571683500002</v>
      </c>
      <c r="BL5" s="515">
        <f t="shared" si="20"/>
        <v>17976.117631500001</v>
      </c>
      <c r="BM5" s="515">
        <f t="shared" si="20"/>
        <v>19853.141962500005</v>
      </c>
      <c r="BN5" s="515">
        <f t="shared" si="20"/>
        <v>22423.221431100003</v>
      </c>
      <c r="BO5" s="515">
        <f t="shared" si="20"/>
        <v>31981.606870500007</v>
      </c>
      <c r="BP5" s="515">
        <f t="shared" si="21"/>
        <v>30117.467572038</v>
      </c>
      <c r="BQ5" s="515">
        <f t="shared" si="21"/>
        <v>29695.027845367498</v>
      </c>
      <c r="BR5" s="515">
        <f t="shared" si="21"/>
        <v>29943.521802232499</v>
      </c>
      <c r="BS5" s="515">
        <f t="shared" si="21"/>
        <v>30937.497629692498</v>
      </c>
      <c r="BT5" s="515">
        <f t="shared" si="21"/>
        <v>34167.919068937503</v>
      </c>
      <c r="BU5" s="515">
        <f t="shared" si="21"/>
        <v>38591.111501134495</v>
      </c>
      <c r="BV5" s="515">
        <f t="shared" si="21"/>
        <v>55041.4114455975</v>
      </c>
      <c r="BW5" s="515">
        <f t="shared" si="22"/>
        <v>7319.0697652800009</v>
      </c>
      <c r="BX5" s="515">
        <f t="shared" si="22"/>
        <v>7216.4095458000002</v>
      </c>
      <c r="BY5" s="515">
        <f t="shared" si="22"/>
        <v>7276.7979102000008</v>
      </c>
      <c r="BZ5" s="515">
        <f t="shared" si="22"/>
        <v>7518.3513678000008</v>
      </c>
      <c r="CA5" s="515">
        <f t="shared" si="22"/>
        <v>8303.4001050000006</v>
      </c>
      <c r="CB5" s="515">
        <f t="shared" si="22"/>
        <v>9378.3129913200009</v>
      </c>
      <c r="CC5" s="515">
        <f t="shared" si="22"/>
        <v>13376.022714600002</v>
      </c>
    </row>
    <row r="6" spans="1:81">
      <c r="A6" s="687" t="s">
        <v>13</v>
      </c>
      <c r="B6" s="515">
        <f t="shared" ref="B6:D6" si="25">$K38*B$32</f>
        <v>9349.6406976000017</v>
      </c>
      <c r="C6" s="515">
        <f t="shared" si="25"/>
        <v>10685.303654400001</v>
      </c>
      <c r="D6" s="515">
        <f t="shared" si="25"/>
        <v>14692.292524800001</v>
      </c>
      <c r="E6" s="515">
        <f t="shared" si="12"/>
        <v>8094.1175182080005</v>
      </c>
      <c r="F6" s="515">
        <f t="shared" si="12"/>
        <v>7980.5861668799998</v>
      </c>
      <c r="G6" s="515">
        <f t="shared" si="12"/>
        <v>8047.3693147200001</v>
      </c>
      <c r="H6" s="515">
        <f t="shared" si="12"/>
        <v>8314.5019060800005</v>
      </c>
      <c r="I6" s="515">
        <f t="shared" si="12"/>
        <v>9182.6828280000009</v>
      </c>
      <c r="J6" s="515">
        <f t="shared" si="12"/>
        <v>10371.422859552</v>
      </c>
      <c r="K6" s="515">
        <f t="shared" si="12"/>
        <v>14792.467246560002</v>
      </c>
      <c r="L6" s="515">
        <f t="shared" si="13"/>
        <v>11990.704191479999</v>
      </c>
      <c r="M6" s="515">
        <f t="shared" si="13"/>
        <v>11822.517746549998</v>
      </c>
      <c r="N6" s="515">
        <f t="shared" si="13"/>
        <v>11921.450949449998</v>
      </c>
      <c r="O6" s="515">
        <f t="shared" si="13"/>
        <v>12317.183761049999</v>
      </c>
      <c r="P6" s="515">
        <f t="shared" si="13"/>
        <v>13603.315398749999</v>
      </c>
      <c r="Q6" s="515">
        <f t="shared" si="13"/>
        <v>15364.326410369998</v>
      </c>
      <c r="R6" s="515">
        <f t="shared" si="13"/>
        <v>21913.704442349997</v>
      </c>
      <c r="S6" s="515">
        <f t="shared" si="14"/>
        <v>9087.7972108464</v>
      </c>
      <c r="T6" s="515">
        <f t="shared" si="14"/>
        <v>8960.328108054</v>
      </c>
      <c r="U6" s="515">
        <f t="shared" si="14"/>
        <v>9035.309933225999</v>
      </c>
      <c r="V6" s="515">
        <f t="shared" si="14"/>
        <v>9335.2372339140002</v>
      </c>
      <c r="W6" s="515">
        <f t="shared" si="14"/>
        <v>10310.000961150001</v>
      </c>
      <c r="X6" s="515">
        <f t="shared" si="14"/>
        <v>11644.677449211598</v>
      </c>
      <c r="Y6" s="515">
        <f t="shared" si="14"/>
        <v>16608.474275598001</v>
      </c>
      <c r="Z6" s="515">
        <f t="shared" si="15"/>
        <v>9911.2518156960014</v>
      </c>
      <c r="AA6" s="515">
        <f t="shared" si="15"/>
        <v>9772.2326070599993</v>
      </c>
      <c r="AB6" s="515">
        <f t="shared" si="15"/>
        <v>9854.00861214</v>
      </c>
      <c r="AC6" s="515">
        <f t="shared" si="15"/>
        <v>10181.112632460001</v>
      </c>
      <c r="AD6" s="515">
        <f t="shared" si="15"/>
        <v>11244.200698500001</v>
      </c>
      <c r="AE6" s="515">
        <f t="shared" si="15"/>
        <v>12699.813588924</v>
      </c>
      <c r="AF6" s="515">
        <f t="shared" si="15"/>
        <v>18113.38512522</v>
      </c>
      <c r="AG6" s="515">
        <f t="shared" si="16"/>
        <v>13012.307766360002</v>
      </c>
      <c r="AH6" s="515">
        <f t="shared" si="16"/>
        <v>12829.79189835</v>
      </c>
      <c r="AI6" s="515">
        <f t="shared" si="16"/>
        <v>12937.15417365</v>
      </c>
      <c r="AJ6" s="515">
        <f t="shared" si="16"/>
        <v>13366.60327485</v>
      </c>
      <c r="AK6" s="515">
        <f t="shared" si="16"/>
        <v>14762.312853750002</v>
      </c>
      <c r="AL6" s="515">
        <f t="shared" si="16"/>
        <v>16673.361354090001</v>
      </c>
      <c r="AM6" s="515">
        <f t="shared" si="16"/>
        <v>23780.743978950002</v>
      </c>
      <c r="AN6" s="515">
        <f t="shared" si="17"/>
        <v>9806.9669415900007</v>
      </c>
      <c r="AO6" s="515">
        <f t="shared" si="17"/>
        <v>9669.4104745875011</v>
      </c>
      <c r="AP6" s="515">
        <f t="shared" si="17"/>
        <v>9750.3260434125004</v>
      </c>
      <c r="AQ6" s="515">
        <f t="shared" si="17"/>
        <v>10073.988318712501</v>
      </c>
      <c r="AR6" s="515">
        <f t="shared" si="17"/>
        <v>11125.890713437502</v>
      </c>
      <c r="AS6" s="515">
        <f t="shared" si="17"/>
        <v>12566.187838522501</v>
      </c>
      <c r="AT6" s="515">
        <f t="shared" si="17"/>
        <v>17922.798494737501</v>
      </c>
      <c r="AU6" s="515">
        <f t="shared" si="18"/>
        <v>12423.245660280001</v>
      </c>
      <c r="AV6" s="515">
        <f t="shared" si="18"/>
        <v>12248.99221455</v>
      </c>
      <c r="AW6" s="515">
        <f t="shared" si="18"/>
        <v>12351.49424145</v>
      </c>
      <c r="AX6" s="515">
        <f t="shared" si="18"/>
        <v>12761.502349050001</v>
      </c>
      <c r="AY6" s="515">
        <f t="shared" si="18"/>
        <v>14094.028698750002</v>
      </c>
      <c r="AZ6" s="515">
        <f t="shared" si="18"/>
        <v>15918.564777570002</v>
      </c>
      <c r="BA6" s="515">
        <f t="shared" si="18"/>
        <v>22704.198958350004</v>
      </c>
      <c r="BB6" s="515">
        <f t="shared" si="19"/>
        <v>14415.705657990002</v>
      </c>
      <c r="BC6" s="515">
        <f t="shared" si="19"/>
        <v>14213.5051660875</v>
      </c>
      <c r="BD6" s="515">
        <f t="shared" si="19"/>
        <v>14332.4466319125</v>
      </c>
      <c r="BE6" s="515">
        <f t="shared" si="19"/>
        <v>14808.212495212501</v>
      </c>
      <c r="BF6" s="515">
        <f t="shared" si="19"/>
        <v>16354.451550937501</v>
      </c>
      <c r="BG6" s="515">
        <f t="shared" si="19"/>
        <v>18471.609642622501</v>
      </c>
      <c r="BH6" s="515">
        <f t="shared" si="19"/>
        <v>26345.534680237502</v>
      </c>
      <c r="BI6" s="515">
        <f t="shared" si="20"/>
        <v>20448.103928742003</v>
      </c>
      <c r="BJ6" s="515">
        <f t="shared" si="20"/>
        <v>20161.290589807501</v>
      </c>
      <c r="BK6" s="515">
        <f t="shared" si="20"/>
        <v>20330.004318592502</v>
      </c>
      <c r="BL6" s="515">
        <f t="shared" si="20"/>
        <v>21004.859233732503</v>
      </c>
      <c r="BM6" s="515">
        <f t="shared" si="20"/>
        <v>23198.137707937505</v>
      </c>
      <c r="BN6" s="515">
        <f t="shared" si="20"/>
        <v>26201.242080310501</v>
      </c>
      <c r="BO6" s="515">
        <f t="shared" si="20"/>
        <v>37370.090925877506</v>
      </c>
      <c r="BP6" s="515">
        <f t="shared" si="21"/>
        <v>32486.744455200009</v>
      </c>
      <c r="BQ6" s="515">
        <f t="shared" si="21"/>
        <v>32031.072297000006</v>
      </c>
      <c r="BR6" s="515">
        <f t="shared" si="21"/>
        <v>32299.114743000006</v>
      </c>
      <c r="BS6" s="515">
        <f t="shared" si="21"/>
        <v>33371.284527000003</v>
      </c>
      <c r="BT6" s="515">
        <f t="shared" si="21"/>
        <v>36855.836325000011</v>
      </c>
      <c r="BU6" s="515">
        <f t="shared" si="21"/>
        <v>41626.991863800009</v>
      </c>
      <c r="BV6" s="515">
        <f t="shared" si="21"/>
        <v>59371.40178900001</v>
      </c>
      <c r="BW6" s="515">
        <f t="shared" si="22"/>
        <v>6302.4939148500007</v>
      </c>
      <c r="BX6" s="515">
        <f t="shared" si="22"/>
        <v>6214.0925975625005</v>
      </c>
      <c r="BY6" s="515">
        <f t="shared" si="22"/>
        <v>6266.0933724375</v>
      </c>
      <c r="BZ6" s="515">
        <f t="shared" si="22"/>
        <v>6474.0964719375006</v>
      </c>
      <c r="CA6" s="515">
        <f t="shared" si="22"/>
        <v>7150.1065453125011</v>
      </c>
      <c r="CB6" s="515">
        <f t="shared" si="22"/>
        <v>8075.7203380874998</v>
      </c>
      <c r="CC6" s="515">
        <f t="shared" si="22"/>
        <v>11518.171634812501</v>
      </c>
    </row>
    <row r="7" spans="1:81">
      <c r="A7" s="687" t="s">
        <v>14</v>
      </c>
      <c r="B7" s="515">
        <f t="shared" ref="B7:D7" si="26">$K39*B$32</f>
        <v>12009.828096000003</v>
      </c>
      <c r="C7" s="515">
        <f t="shared" si="26"/>
        <v>13725.517824000002</v>
      </c>
      <c r="D7" s="515">
        <f t="shared" si="26"/>
        <v>18872.587008000002</v>
      </c>
      <c r="E7" s="515">
        <f t="shared" si="12"/>
        <v>10397.079751680001</v>
      </c>
      <c r="F7" s="515">
        <f t="shared" si="12"/>
        <v>10251.2461248</v>
      </c>
      <c r="G7" s="515">
        <f t="shared" si="12"/>
        <v>10337.0306112</v>
      </c>
      <c r="H7" s="515">
        <f t="shared" si="12"/>
        <v>10680.168556800001</v>
      </c>
      <c r="I7" s="515">
        <f t="shared" si="12"/>
        <v>11795.366880000001</v>
      </c>
      <c r="J7" s="515">
        <f t="shared" si="12"/>
        <v>13322.330737920001</v>
      </c>
      <c r="K7" s="515">
        <f t="shared" si="12"/>
        <v>19001.263737600002</v>
      </c>
      <c r="L7" s="515">
        <f t="shared" si="13"/>
        <v>15354.975447072004</v>
      </c>
      <c r="M7" s="515">
        <f t="shared" si="13"/>
        <v>15139.600378920002</v>
      </c>
      <c r="N7" s="515">
        <f t="shared" si="13"/>
        <v>15266.291595480003</v>
      </c>
      <c r="O7" s="515">
        <f t="shared" si="13"/>
        <v>15773.056461720003</v>
      </c>
      <c r="P7" s="515">
        <f t="shared" si="13"/>
        <v>17420.042277000004</v>
      </c>
      <c r="Q7" s="515">
        <f t="shared" si="13"/>
        <v>19675.145931768006</v>
      </c>
      <c r="R7" s="515">
        <f t="shared" si="13"/>
        <v>28062.104468040008</v>
      </c>
      <c r="S7" s="515">
        <f t="shared" si="14"/>
        <v>11841.194583936003</v>
      </c>
      <c r="T7" s="515">
        <f t="shared" si="14"/>
        <v>11675.105220960002</v>
      </c>
      <c r="U7" s="515">
        <f t="shared" si="14"/>
        <v>11772.804846240002</v>
      </c>
      <c r="V7" s="515">
        <f t="shared" si="14"/>
        <v>12163.603347360002</v>
      </c>
      <c r="W7" s="515">
        <f t="shared" si="14"/>
        <v>13433.698476000003</v>
      </c>
      <c r="X7" s="515">
        <f t="shared" si="14"/>
        <v>15172.751805984002</v>
      </c>
      <c r="Y7" s="515">
        <f t="shared" si="14"/>
        <v>21640.466999520006</v>
      </c>
      <c r="Z7" s="515">
        <f t="shared" si="15"/>
        <v>13893.843640320001</v>
      </c>
      <c r="AA7" s="515">
        <f t="shared" si="15"/>
        <v>13698.962995200001</v>
      </c>
      <c r="AB7" s="515">
        <f t="shared" si="15"/>
        <v>13813.598668800001</v>
      </c>
      <c r="AC7" s="515">
        <f t="shared" si="15"/>
        <v>14272.1413632</v>
      </c>
      <c r="AD7" s="515">
        <f t="shared" si="15"/>
        <v>15762.405120000003</v>
      </c>
      <c r="AE7" s="515">
        <f t="shared" si="15"/>
        <v>17802.920110080002</v>
      </c>
      <c r="AF7" s="515">
        <f t="shared" si="15"/>
        <v>25391.801702400004</v>
      </c>
      <c r="AG7" s="515">
        <f t="shared" si="16"/>
        <v>16624.804235129999</v>
      </c>
      <c r="AH7" s="515">
        <f t="shared" si="16"/>
        <v>16391.618037112497</v>
      </c>
      <c r="AI7" s="515">
        <f t="shared" si="16"/>
        <v>16528.786388887496</v>
      </c>
      <c r="AJ7" s="515">
        <f t="shared" si="16"/>
        <v>17077.459795987499</v>
      </c>
      <c r="AK7" s="515">
        <f t="shared" si="16"/>
        <v>18860.648369062499</v>
      </c>
      <c r="AL7" s="515">
        <f t="shared" si="16"/>
        <v>21302.245030657497</v>
      </c>
      <c r="AM7" s="515">
        <f t="shared" si="16"/>
        <v>30382.789918162496</v>
      </c>
      <c r="AN7" s="515">
        <f t="shared" si="17"/>
        <v>17715.53404215</v>
      </c>
      <c r="AO7" s="515">
        <f t="shared" si="17"/>
        <v>17467.048828687501</v>
      </c>
      <c r="AP7" s="515">
        <f t="shared" si="17"/>
        <v>17613.216601312502</v>
      </c>
      <c r="AQ7" s="515">
        <f t="shared" si="17"/>
        <v>18197.887691812502</v>
      </c>
      <c r="AR7" s="515">
        <f t="shared" si="17"/>
        <v>20098.068735937504</v>
      </c>
      <c r="AS7" s="515">
        <f t="shared" si="17"/>
        <v>22699.855088662502</v>
      </c>
      <c r="AT7" s="515">
        <f t="shared" si="17"/>
        <v>32376.161636437504</v>
      </c>
      <c r="AU7" s="515">
        <f t="shared" si="18"/>
        <v>25927.948582199999</v>
      </c>
      <c r="AV7" s="515">
        <f t="shared" si="18"/>
        <v>25564.272735749997</v>
      </c>
      <c r="AW7" s="515">
        <f t="shared" si="18"/>
        <v>25778.199704249997</v>
      </c>
      <c r="AX7" s="515">
        <f t="shared" si="18"/>
        <v>26633.907578249997</v>
      </c>
      <c r="AY7" s="515">
        <f t="shared" si="18"/>
        <v>29414.958168749999</v>
      </c>
      <c r="AZ7" s="515">
        <f t="shared" si="18"/>
        <v>33222.858208049998</v>
      </c>
      <c r="BA7" s="515">
        <f t="shared" si="18"/>
        <v>47384.823522749997</v>
      </c>
      <c r="BB7" s="515">
        <f t="shared" si="19"/>
        <v>31441.090140179997</v>
      </c>
      <c r="BC7" s="515">
        <f t="shared" si="19"/>
        <v>31000.084750424994</v>
      </c>
      <c r="BD7" s="515">
        <f t="shared" si="19"/>
        <v>31259.499685574996</v>
      </c>
      <c r="BE7" s="515">
        <f t="shared" si="19"/>
        <v>32297.159426174996</v>
      </c>
      <c r="BF7" s="515">
        <f t="shared" si="19"/>
        <v>35669.553583125002</v>
      </c>
      <c r="BG7" s="515">
        <f t="shared" si="19"/>
        <v>40287.139428794995</v>
      </c>
      <c r="BH7" s="515">
        <f t="shared" si="19"/>
        <v>57460.408135724996</v>
      </c>
      <c r="BI7" s="515">
        <f t="shared" si="20"/>
        <v>40929.737762340003</v>
      </c>
      <c r="BJ7" s="515">
        <f t="shared" si="20"/>
        <v>40355.640780524998</v>
      </c>
      <c r="BK7" s="515">
        <f t="shared" si="20"/>
        <v>40693.344887474996</v>
      </c>
      <c r="BL7" s="515">
        <f t="shared" si="20"/>
        <v>42044.161315275</v>
      </c>
      <c r="BM7" s="515">
        <f t="shared" si="20"/>
        <v>46434.314705625002</v>
      </c>
      <c r="BN7" s="515">
        <f t="shared" si="20"/>
        <v>52445.447809334997</v>
      </c>
      <c r="BO7" s="515">
        <f t="shared" si="20"/>
        <v>74801.459689424999</v>
      </c>
      <c r="BP7" s="515">
        <f t="shared" si="21"/>
        <v>52047.204399035996</v>
      </c>
      <c r="BQ7" s="515">
        <f t="shared" si="21"/>
        <v>51317.169353834994</v>
      </c>
      <c r="BR7" s="515">
        <f t="shared" si="21"/>
        <v>51746.601733364994</v>
      </c>
      <c r="BS7" s="515">
        <f t="shared" si="21"/>
        <v>53464.331251484997</v>
      </c>
      <c r="BT7" s="515">
        <f t="shared" si="21"/>
        <v>59046.952185375005</v>
      </c>
      <c r="BU7" s="515">
        <f t="shared" si="21"/>
        <v>66690.848541008992</v>
      </c>
      <c r="BV7" s="515">
        <f t="shared" si="21"/>
        <v>95119.272065894998</v>
      </c>
      <c r="BW7" s="515">
        <f t="shared" si="22"/>
        <v>11641.604304960001</v>
      </c>
      <c r="BX7" s="515">
        <f t="shared" si="22"/>
        <v>11478.3144756</v>
      </c>
      <c r="BY7" s="515">
        <f t="shared" si="22"/>
        <v>11574.367316400001</v>
      </c>
      <c r="BZ7" s="515">
        <f t="shared" si="22"/>
        <v>11958.578679600001</v>
      </c>
      <c r="CA7" s="515">
        <f t="shared" si="22"/>
        <v>13207.265610000002</v>
      </c>
      <c r="CB7" s="515">
        <f t="shared" si="22"/>
        <v>14917.00617624</v>
      </c>
      <c r="CC7" s="515">
        <f t="shared" si="22"/>
        <v>21275.7042372</v>
      </c>
    </row>
    <row r="8" spans="1:81">
      <c r="A8" s="687" t="s">
        <v>15</v>
      </c>
      <c r="B8" s="515">
        <f t="shared" ref="B8:D8" si="27">$K40*B$32</f>
        <v>12878.732160000001</v>
      </c>
      <c r="C8" s="515">
        <f t="shared" si="27"/>
        <v>14718.55104</v>
      </c>
      <c r="D8" s="515">
        <f t="shared" si="27"/>
        <v>20238.007680000002</v>
      </c>
      <c r="E8" s="515">
        <f t="shared" si="12"/>
        <v>11149.3024128</v>
      </c>
      <c r="F8" s="515">
        <f t="shared" si="12"/>
        <v>10992.917808</v>
      </c>
      <c r="G8" s="515">
        <f t="shared" si="12"/>
        <v>11084.908751999999</v>
      </c>
      <c r="H8" s="515">
        <f t="shared" si="12"/>
        <v>11452.872528</v>
      </c>
      <c r="I8" s="515">
        <f t="shared" si="12"/>
        <v>12648.754800000001</v>
      </c>
      <c r="J8" s="515">
        <f t="shared" si="12"/>
        <v>14286.193603199999</v>
      </c>
      <c r="K8" s="515">
        <f t="shared" si="12"/>
        <v>20375.994096000002</v>
      </c>
      <c r="L8" s="515">
        <f t="shared" si="13"/>
        <v>17238.607998796801</v>
      </c>
      <c r="M8" s="515">
        <f t="shared" si="13"/>
        <v>16996.812342048001</v>
      </c>
      <c r="N8" s="515">
        <f t="shared" si="13"/>
        <v>17139.045081312001</v>
      </c>
      <c r="O8" s="515">
        <f t="shared" si="13"/>
        <v>17707.976038368</v>
      </c>
      <c r="P8" s="515">
        <f t="shared" si="13"/>
        <v>19557.001648800004</v>
      </c>
      <c r="Q8" s="515">
        <f t="shared" si="13"/>
        <v>22088.7444076992</v>
      </c>
      <c r="R8" s="515">
        <f t="shared" si="13"/>
        <v>31504.551746976002</v>
      </c>
      <c r="S8" s="515">
        <f t="shared" si="14"/>
        <v>12161.110887288001</v>
      </c>
      <c r="T8" s="515">
        <f t="shared" si="14"/>
        <v>11990.53424943</v>
      </c>
      <c r="U8" s="515">
        <f t="shared" si="14"/>
        <v>12090.873448170001</v>
      </c>
      <c r="V8" s="515">
        <f t="shared" si="14"/>
        <v>12492.230243130001</v>
      </c>
      <c r="W8" s="515">
        <f t="shared" si="14"/>
        <v>13796.639826750003</v>
      </c>
      <c r="X8" s="515">
        <f t="shared" si="14"/>
        <v>15582.677564322001</v>
      </c>
      <c r="Y8" s="515">
        <f t="shared" si="14"/>
        <v>22225.132520910003</v>
      </c>
      <c r="Z8" s="515">
        <f t="shared" si="15"/>
        <v>16859.648821049999</v>
      </c>
      <c r="AA8" s="515">
        <f t="shared" si="15"/>
        <v>16623.168598312495</v>
      </c>
      <c r="AB8" s="515">
        <f t="shared" si="15"/>
        <v>16762.274611687499</v>
      </c>
      <c r="AC8" s="515">
        <f t="shared" si="15"/>
        <v>17318.698665187498</v>
      </c>
      <c r="AD8" s="515">
        <f t="shared" si="15"/>
        <v>19127.076839062498</v>
      </c>
      <c r="AE8" s="515">
        <f t="shared" si="15"/>
        <v>21603.163877137496</v>
      </c>
      <c r="AF8" s="515">
        <f t="shared" si="15"/>
        <v>30811.981962562495</v>
      </c>
      <c r="AG8" s="515">
        <f t="shared" si="16"/>
        <v>20100.286861200002</v>
      </c>
      <c r="AH8" s="515">
        <f t="shared" si="16"/>
        <v>19818.352144500001</v>
      </c>
      <c r="AI8" s="515">
        <f t="shared" si="16"/>
        <v>19984.1960955</v>
      </c>
      <c r="AJ8" s="515">
        <f t="shared" si="16"/>
        <v>20647.571899499999</v>
      </c>
      <c r="AK8" s="515">
        <f t="shared" si="16"/>
        <v>22803.543262500003</v>
      </c>
      <c r="AL8" s="515">
        <f t="shared" si="16"/>
        <v>25755.565590300001</v>
      </c>
      <c r="AM8" s="515">
        <f t="shared" si="16"/>
        <v>36734.4351465</v>
      </c>
      <c r="AN8" s="515">
        <f t="shared" si="17"/>
        <v>16756.524061830001</v>
      </c>
      <c r="AO8" s="515">
        <f t="shared" si="17"/>
        <v>16521.4903084875</v>
      </c>
      <c r="AP8" s="515">
        <f t="shared" si="17"/>
        <v>16659.745457512501</v>
      </c>
      <c r="AQ8" s="515">
        <f t="shared" si="17"/>
        <v>17212.766053612504</v>
      </c>
      <c r="AR8" s="515">
        <f t="shared" si="17"/>
        <v>19010.082990937506</v>
      </c>
      <c r="AS8" s="515">
        <f t="shared" si="17"/>
        <v>21471.024643582503</v>
      </c>
      <c r="AT8" s="515">
        <f t="shared" si="17"/>
        <v>30623.515509037505</v>
      </c>
      <c r="AU8" s="515">
        <f t="shared" si="18"/>
        <v>21478.342043718003</v>
      </c>
      <c r="AV8" s="515">
        <f t="shared" si="18"/>
        <v>21177.078170167501</v>
      </c>
      <c r="AW8" s="515">
        <f t="shared" si="18"/>
        <v>21354.292213432502</v>
      </c>
      <c r="AX8" s="515">
        <f t="shared" si="18"/>
        <v>22063.148386492503</v>
      </c>
      <c r="AY8" s="515">
        <f t="shared" si="18"/>
        <v>24366.930948937505</v>
      </c>
      <c r="AZ8" s="515">
        <f t="shared" si="18"/>
        <v>27521.340919054503</v>
      </c>
      <c r="BA8" s="515">
        <f t="shared" si="18"/>
        <v>39252.910583197503</v>
      </c>
      <c r="BB8" s="515">
        <f t="shared" si="19"/>
        <v>27667.735071605999</v>
      </c>
      <c r="BC8" s="515">
        <f t="shared" si="19"/>
        <v>27279.656279347499</v>
      </c>
      <c r="BD8" s="515">
        <f t="shared" si="19"/>
        <v>27507.937921852499</v>
      </c>
      <c r="BE8" s="515">
        <f t="shared" si="19"/>
        <v>28421.064491872501</v>
      </c>
      <c r="BF8" s="515">
        <f t="shared" si="19"/>
        <v>31388.7258444375</v>
      </c>
      <c r="BG8" s="515">
        <f t="shared" si="19"/>
        <v>35452.1390810265</v>
      </c>
      <c r="BH8" s="515">
        <f t="shared" si="19"/>
        <v>50564.383814857501</v>
      </c>
      <c r="BI8" s="515">
        <f t="shared" si="20"/>
        <v>37313.072243244002</v>
      </c>
      <c r="BJ8" s="515">
        <f t="shared" si="20"/>
        <v>36789.704068214996</v>
      </c>
      <c r="BK8" s="515">
        <f t="shared" si="20"/>
        <v>37097.567700585001</v>
      </c>
      <c r="BL8" s="515">
        <f t="shared" si="20"/>
        <v>38329.022230064998</v>
      </c>
      <c r="BM8" s="515">
        <f t="shared" si="20"/>
        <v>42331.249450875002</v>
      </c>
      <c r="BN8" s="515">
        <f t="shared" si="20"/>
        <v>47811.222107060996</v>
      </c>
      <c r="BO8" s="515">
        <f t="shared" si="20"/>
        <v>68191.794569955004</v>
      </c>
      <c r="BP8" s="515">
        <f t="shared" si="21"/>
        <v>57839.964097860007</v>
      </c>
      <c r="BQ8" s="515">
        <f t="shared" si="21"/>
        <v>57028.677472725001</v>
      </c>
      <c r="BR8" s="515">
        <f t="shared" si="21"/>
        <v>57505.904899275003</v>
      </c>
      <c r="BS8" s="515">
        <f t="shared" si="21"/>
        <v>59414.814605475003</v>
      </c>
      <c r="BT8" s="515">
        <f t="shared" si="21"/>
        <v>65618.771150625005</v>
      </c>
      <c r="BU8" s="515">
        <f t="shared" si="21"/>
        <v>74113.419343215006</v>
      </c>
      <c r="BV8" s="515">
        <f t="shared" si="21"/>
        <v>105705.87498082501</v>
      </c>
      <c r="BW8" s="515">
        <f t="shared" si="22"/>
        <v>12345.906195000001</v>
      </c>
      <c r="BX8" s="515">
        <f t="shared" si="22"/>
        <v>12172.73754375</v>
      </c>
      <c r="BY8" s="515">
        <f t="shared" si="22"/>
        <v>12274.60145625</v>
      </c>
      <c r="BZ8" s="515">
        <f t="shared" si="22"/>
        <v>12682.05710625</v>
      </c>
      <c r="CA8" s="515">
        <f t="shared" si="22"/>
        <v>14006.287968750003</v>
      </c>
      <c r="CB8" s="515">
        <f t="shared" si="22"/>
        <v>15819.46561125</v>
      </c>
      <c r="CC8" s="515">
        <f t="shared" si="22"/>
        <v>22562.85661875</v>
      </c>
    </row>
    <row r="9" spans="1:81">
      <c r="A9" s="687" t="s">
        <v>16</v>
      </c>
      <c r="B9" s="515">
        <f t="shared" ref="B9:D9" si="28">$K41*B$32</f>
        <v>12065.232735360001</v>
      </c>
      <c r="C9" s="515">
        <f t="shared" si="28"/>
        <v>13788.837411839999</v>
      </c>
      <c r="D9" s="515">
        <f t="shared" si="28"/>
        <v>18959.651441279999</v>
      </c>
      <c r="E9" s="515">
        <f t="shared" si="12"/>
        <v>10445.044339468799</v>
      </c>
      <c r="F9" s="515">
        <f t="shared" si="12"/>
        <v>10298.537941967999</v>
      </c>
      <c r="G9" s="515">
        <f t="shared" si="12"/>
        <v>10384.718175791999</v>
      </c>
      <c r="H9" s="515">
        <f t="shared" si="12"/>
        <v>10729.439111087999</v>
      </c>
      <c r="I9" s="515">
        <f t="shared" si="12"/>
        <v>11849.7821508</v>
      </c>
      <c r="J9" s="515">
        <f t="shared" si="12"/>
        <v>13383.790312867199</v>
      </c>
      <c r="K9" s="515">
        <f t="shared" si="12"/>
        <v>19088.921792016001</v>
      </c>
      <c r="L9" s="515">
        <f t="shared" si="13"/>
        <v>10264.663067399999</v>
      </c>
      <c r="M9" s="515">
        <f t="shared" si="13"/>
        <v>10120.686770249999</v>
      </c>
      <c r="N9" s="515">
        <f t="shared" si="13"/>
        <v>10205.378709749999</v>
      </c>
      <c r="O9" s="515">
        <f t="shared" si="13"/>
        <v>10544.146467749999</v>
      </c>
      <c r="P9" s="515">
        <f t="shared" si="13"/>
        <v>11645.141681249999</v>
      </c>
      <c r="Q9" s="515">
        <f t="shared" si="13"/>
        <v>13152.658204349998</v>
      </c>
      <c r="R9" s="515">
        <f t="shared" si="13"/>
        <v>18759.26459925</v>
      </c>
      <c r="S9" s="515">
        <f t="shared" si="14"/>
        <v>7313.90922684</v>
      </c>
      <c r="T9" s="515">
        <f t="shared" si="14"/>
        <v>7211.3213911499997</v>
      </c>
      <c r="U9" s="515">
        <f t="shared" si="14"/>
        <v>7271.66717685</v>
      </c>
      <c r="V9" s="515">
        <f t="shared" si="14"/>
        <v>7513.0503196500003</v>
      </c>
      <c r="W9" s="515">
        <f t="shared" si="14"/>
        <v>8297.5455337500007</v>
      </c>
      <c r="X9" s="515">
        <f t="shared" si="14"/>
        <v>9371.7005192100005</v>
      </c>
      <c r="Y9" s="515">
        <f t="shared" si="14"/>
        <v>13366.591532550001</v>
      </c>
      <c r="Z9" s="515">
        <f t="shared" si="15"/>
        <v>8980.4829800700008</v>
      </c>
      <c r="AA9" s="515">
        <f t="shared" si="15"/>
        <v>8854.5191098875002</v>
      </c>
      <c r="AB9" s="515">
        <f t="shared" si="15"/>
        <v>8928.6155041125003</v>
      </c>
      <c r="AC9" s="515">
        <f t="shared" si="15"/>
        <v>9225.0010810125004</v>
      </c>
      <c r="AD9" s="515">
        <f t="shared" si="15"/>
        <v>10188.254205937503</v>
      </c>
      <c r="AE9" s="515">
        <f t="shared" si="15"/>
        <v>11507.170023142502</v>
      </c>
      <c r="AF9" s="515">
        <f t="shared" si="15"/>
        <v>16412.351320837504</v>
      </c>
      <c r="AG9" s="515">
        <f t="shared" si="16"/>
        <v>12043.452481578001</v>
      </c>
      <c r="AH9" s="515">
        <f t="shared" si="16"/>
        <v>11874.5261678925</v>
      </c>
      <c r="AI9" s="515">
        <f t="shared" si="16"/>
        <v>11973.8945877075</v>
      </c>
      <c r="AJ9" s="515">
        <f t="shared" si="16"/>
        <v>12371.3682669675</v>
      </c>
      <c r="AK9" s="515">
        <f t="shared" si="16"/>
        <v>13663.157724562501</v>
      </c>
      <c r="AL9" s="515">
        <f t="shared" si="16"/>
        <v>15431.915597269499</v>
      </c>
      <c r="AM9" s="515">
        <f t="shared" si="16"/>
        <v>22010.1049890225</v>
      </c>
      <c r="AN9" s="515">
        <f t="shared" si="17"/>
        <v>12504.366236502001</v>
      </c>
      <c r="AO9" s="515">
        <f t="shared" si="17"/>
        <v>12328.974960907501</v>
      </c>
      <c r="AP9" s="515">
        <f t="shared" si="17"/>
        <v>12432.1462994925</v>
      </c>
      <c r="AQ9" s="515">
        <f t="shared" si="17"/>
        <v>12844.8316538325</v>
      </c>
      <c r="AR9" s="515">
        <f t="shared" si="17"/>
        <v>14186.059055437501</v>
      </c>
      <c r="AS9" s="515">
        <f t="shared" si="17"/>
        <v>16022.5088822505</v>
      </c>
      <c r="AT9" s="515">
        <f t="shared" si="17"/>
        <v>22852.451496577502</v>
      </c>
      <c r="AU9" s="515">
        <f t="shared" si="18"/>
        <v>15504.869785230001</v>
      </c>
      <c r="AV9" s="515">
        <f t="shared" si="18"/>
        <v>15287.392238737501</v>
      </c>
      <c r="AW9" s="515">
        <f t="shared" si="18"/>
        <v>15415.320207262501</v>
      </c>
      <c r="AX9" s="515">
        <f t="shared" si="18"/>
        <v>15927.0320813625</v>
      </c>
      <c r="AY9" s="515">
        <f t="shared" si="18"/>
        <v>17590.095672187501</v>
      </c>
      <c r="AZ9" s="515">
        <f t="shared" si="18"/>
        <v>19867.213511932499</v>
      </c>
      <c r="BA9" s="515">
        <f t="shared" si="18"/>
        <v>28336.045028287503</v>
      </c>
      <c r="BB9" s="515">
        <f t="shared" si="19"/>
        <v>21771.26232876</v>
      </c>
      <c r="BC9" s="515">
        <f t="shared" si="19"/>
        <v>21465.889837349998</v>
      </c>
      <c r="BD9" s="515">
        <f t="shared" si="19"/>
        <v>21645.52071465</v>
      </c>
      <c r="BE9" s="515">
        <f t="shared" si="19"/>
        <v>22364.04422385</v>
      </c>
      <c r="BF9" s="515">
        <f t="shared" si="19"/>
        <v>24699.245628750003</v>
      </c>
      <c r="BG9" s="515">
        <f t="shared" si="19"/>
        <v>27896.675244689999</v>
      </c>
      <c r="BH9" s="515">
        <f t="shared" si="19"/>
        <v>39788.239321950001</v>
      </c>
      <c r="BI9" s="515">
        <f t="shared" si="20"/>
        <v>28032.320896650002</v>
      </c>
      <c r="BJ9" s="515">
        <f t="shared" si="20"/>
        <v>27639.128276812502</v>
      </c>
      <c r="BK9" s="515">
        <f t="shared" si="20"/>
        <v>27870.418053187503</v>
      </c>
      <c r="BL9" s="515">
        <f t="shared" si="20"/>
        <v>28795.577158687502</v>
      </c>
      <c r="BM9" s="515">
        <f t="shared" si="20"/>
        <v>31802.344251562507</v>
      </c>
      <c r="BN9" s="515">
        <f t="shared" si="20"/>
        <v>35919.302271037501</v>
      </c>
      <c r="BO9" s="515">
        <f t="shared" si="20"/>
        <v>51230.685467062503</v>
      </c>
      <c r="BP9" s="515">
        <f t="shared" si="21"/>
        <v>46795.174247304007</v>
      </c>
      <c r="BQ9" s="515">
        <f t="shared" si="21"/>
        <v>46138.806291690009</v>
      </c>
      <c r="BR9" s="515">
        <f t="shared" si="21"/>
        <v>46524.905089110005</v>
      </c>
      <c r="BS9" s="515">
        <f t="shared" si="21"/>
        <v>48069.300278790011</v>
      </c>
      <c r="BT9" s="515">
        <f t="shared" si="21"/>
        <v>53088.584645250012</v>
      </c>
      <c r="BU9" s="515">
        <f t="shared" si="21"/>
        <v>59961.143239326011</v>
      </c>
      <c r="BV9" s="515">
        <f t="shared" si="21"/>
        <v>85520.88362853002</v>
      </c>
      <c r="BW9" s="515">
        <f t="shared" si="22"/>
        <v>7848.6574194000004</v>
      </c>
      <c r="BX9" s="515">
        <f t="shared" si="22"/>
        <v>7738.5689902499998</v>
      </c>
      <c r="BY9" s="515">
        <f t="shared" si="22"/>
        <v>7803.3268897499993</v>
      </c>
      <c r="BZ9" s="515">
        <f t="shared" si="22"/>
        <v>8062.3584877499998</v>
      </c>
      <c r="CA9" s="515">
        <f t="shared" si="22"/>
        <v>8904.2111812500007</v>
      </c>
      <c r="CB9" s="515">
        <f t="shared" si="22"/>
        <v>10056.90179235</v>
      </c>
      <c r="CC9" s="515">
        <f t="shared" si="22"/>
        <v>14343.874739250001</v>
      </c>
    </row>
    <row r="10" spans="1:81">
      <c r="A10" s="687" t="s">
        <v>17</v>
      </c>
      <c r="B10" s="515">
        <f t="shared" ref="B10:D10" si="29">$K42*B$32</f>
        <v>20800.779108480001</v>
      </c>
      <c r="C10" s="515">
        <f t="shared" si="29"/>
        <v>23772.318981119999</v>
      </c>
      <c r="D10" s="515">
        <f t="shared" si="29"/>
        <v>32686.938599040001</v>
      </c>
      <c r="E10" s="515">
        <f t="shared" si="12"/>
        <v>18007.531628198401</v>
      </c>
      <c r="F10" s="515">
        <f t="shared" si="12"/>
        <v>17754.950739024</v>
      </c>
      <c r="G10" s="515">
        <f t="shared" si="12"/>
        <v>17903.527732655999</v>
      </c>
      <c r="H10" s="515">
        <f t="shared" si="12"/>
        <v>18497.835707184</v>
      </c>
      <c r="I10" s="515">
        <f t="shared" si="12"/>
        <v>20429.336624400003</v>
      </c>
      <c r="J10" s="515">
        <f t="shared" si="12"/>
        <v>23074.007111049599</v>
      </c>
      <c r="K10" s="515">
        <f t="shared" si="12"/>
        <v>32909.804089488003</v>
      </c>
      <c r="L10" s="515">
        <f t="shared" si="13"/>
        <v>23987.349228816001</v>
      </c>
      <c r="M10" s="515">
        <f t="shared" si="13"/>
        <v>23650.893010260002</v>
      </c>
      <c r="N10" s="515">
        <f t="shared" si="13"/>
        <v>23848.808432940001</v>
      </c>
      <c r="O10" s="515">
        <f t="shared" si="13"/>
        <v>24640.470123660001</v>
      </c>
      <c r="P10" s="515">
        <f t="shared" si="13"/>
        <v>27213.370618500005</v>
      </c>
      <c r="Q10" s="515">
        <f t="shared" si="13"/>
        <v>30736.265142204</v>
      </c>
      <c r="R10" s="515">
        <f t="shared" si="13"/>
        <v>43838.266123620007</v>
      </c>
      <c r="S10" s="515">
        <f t="shared" si="14"/>
        <v>16485.995882808002</v>
      </c>
      <c r="T10" s="515">
        <f t="shared" si="14"/>
        <v>16254.756666629999</v>
      </c>
      <c r="U10" s="515">
        <f t="shared" si="14"/>
        <v>16390.779734969998</v>
      </c>
      <c r="V10" s="515">
        <f t="shared" si="14"/>
        <v>16934.87200833</v>
      </c>
      <c r="W10" s="515">
        <f t="shared" si="14"/>
        <v>18703.171896750002</v>
      </c>
      <c r="X10" s="515">
        <f t="shared" si="14"/>
        <v>21124.382513201999</v>
      </c>
      <c r="Y10" s="515">
        <f t="shared" si="14"/>
        <v>30129.109637310001</v>
      </c>
      <c r="Z10" s="515">
        <f t="shared" si="15"/>
        <v>23349.046761810001</v>
      </c>
      <c r="AA10" s="515">
        <f t="shared" si="15"/>
        <v>23021.543630662502</v>
      </c>
      <c r="AB10" s="515">
        <f t="shared" si="15"/>
        <v>23214.1925313375</v>
      </c>
      <c r="AC10" s="515">
        <f t="shared" si="15"/>
        <v>23984.788134037502</v>
      </c>
      <c r="AD10" s="515">
        <f t="shared" si="15"/>
        <v>26489.223842812502</v>
      </c>
      <c r="AE10" s="515">
        <f t="shared" si="15"/>
        <v>29918.3742748275</v>
      </c>
      <c r="AF10" s="515">
        <f t="shared" si="15"/>
        <v>42671.731499512505</v>
      </c>
      <c r="AG10" s="515">
        <f t="shared" si="16"/>
        <v>29095.301851560002</v>
      </c>
      <c r="AH10" s="515">
        <f t="shared" si="16"/>
        <v>28687.19943285</v>
      </c>
      <c r="AI10" s="515">
        <f t="shared" si="16"/>
        <v>28927.25967915</v>
      </c>
      <c r="AJ10" s="515">
        <f t="shared" si="16"/>
        <v>29887.500664349998</v>
      </c>
      <c r="AK10" s="515">
        <f t="shared" si="16"/>
        <v>33008.28386625</v>
      </c>
      <c r="AL10" s="515">
        <f t="shared" si="16"/>
        <v>37281.356250389996</v>
      </c>
      <c r="AM10" s="515">
        <f t="shared" si="16"/>
        <v>53173.344555449999</v>
      </c>
      <c r="AN10" s="515">
        <f t="shared" si="17"/>
        <v>32372.739602279999</v>
      </c>
      <c r="AO10" s="515">
        <f t="shared" si="17"/>
        <v>31918.666522049996</v>
      </c>
      <c r="AP10" s="515">
        <f t="shared" si="17"/>
        <v>32185.768333949996</v>
      </c>
      <c r="AQ10" s="515">
        <f t="shared" si="17"/>
        <v>33254.175581549993</v>
      </c>
      <c r="AR10" s="515">
        <f t="shared" si="17"/>
        <v>36726.49913625</v>
      </c>
      <c r="AS10" s="515">
        <f t="shared" si="17"/>
        <v>41480.911388069995</v>
      </c>
      <c r="AT10" s="515">
        <f t="shared" si="17"/>
        <v>59163.051335849996</v>
      </c>
      <c r="AU10" s="515">
        <f t="shared" si="18"/>
        <v>44788.120340040005</v>
      </c>
      <c r="AV10" s="515">
        <f t="shared" si="18"/>
        <v>44159.90413065</v>
      </c>
      <c r="AW10" s="515">
        <f t="shared" si="18"/>
        <v>44529.443077349999</v>
      </c>
      <c r="AX10" s="515">
        <f t="shared" si="18"/>
        <v>46007.598864150001</v>
      </c>
      <c r="AY10" s="515">
        <f t="shared" si="18"/>
        <v>50811.605171250005</v>
      </c>
      <c r="AZ10" s="515">
        <f t="shared" si="18"/>
        <v>57389.398422509999</v>
      </c>
      <c r="BA10" s="515">
        <f t="shared" si="18"/>
        <v>81852.876694050006</v>
      </c>
      <c r="BB10" s="515">
        <f t="shared" si="19"/>
        <v>59799.571532063994</v>
      </c>
      <c r="BC10" s="515">
        <f t="shared" si="19"/>
        <v>58960.79866403999</v>
      </c>
      <c r="BD10" s="515">
        <f t="shared" si="19"/>
        <v>59454.19446875999</v>
      </c>
      <c r="BE10" s="515">
        <f t="shared" si="19"/>
        <v>61427.777687639995</v>
      </c>
      <c r="BF10" s="515">
        <f t="shared" si="19"/>
        <v>67841.923148999995</v>
      </c>
      <c r="BG10" s="515">
        <f t="shared" si="19"/>
        <v>76624.368473015988</v>
      </c>
      <c r="BH10" s="515">
        <f t="shared" si="19"/>
        <v>109287.17074547999</v>
      </c>
      <c r="BI10" s="515">
        <f t="shared" si="20"/>
        <v>77477.351617259992</v>
      </c>
      <c r="BJ10" s="515">
        <f t="shared" si="20"/>
        <v>76390.623087974993</v>
      </c>
      <c r="BK10" s="515">
        <f t="shared" si="20"/>
        <v>77029.875164024983</v>
      </c>
      <c r="BL10" s="515">
        <f t="shared" si="20"/>
        <v>79586.883468224987</v>
      </c>
      <c r="BM10" s="515">
        <f t="shared" si="20"/>
        <v>87897.16045687499</v>
      </c>
      <c r="BN10" s="515">
        <f t="shared" si="20"/>
        <v>99275.84741056498</v>
      </c>
      <c r="BO10" s="515">
        <f t="shared" si="20"/>
        <v>141594.33484507498</v>
      </c>
      <c r="BP10" s="515">
        <f t="shared" si="21"/>
        <v>102334.663041156</v>
      </c>
      <c r="BQ10" s="515">
        <f t="shared" si="21"/>
        <v>100899.275853285</v>
      </c>
      <c r="BR10" s="515">
        <f t="shared" si="21"/>
        <v>101743.621257915</v>
      </c>
      <c r="BS10" s="515">
        <f t="shared" si="21"/>
        <v>105121.002876435</v>
      </c>
      <c r="BT10" s="515">
        <f t="shared" si="21"/>
        <v>116097.49313662501</v>
      </c>
      <c r="BU10" s="515">
        <f t="shared" si="21"/>
        <v>131126.84133903901</v>
      </c>
      <c r="BV10" s="515">
        <f t="shared" si="21"/>
        <v>187022.507125545</v>
      </c>
      <c r="BW10" s="515">
        <f t="shared" si="22"/>
        <v>16514.250927929999</v>
      </c>
      <c r="BX10" s="515">
        <f t="shared" si="22"/>
        <v>16282.6153951125</v>
      </c>
      <c r="BY10" s="515">
        <f t="shared" si="22"/>
        <v>16418.871590887498</v>
      </c>
      <c r="BZ10" s="515">
        <f t="shared" si="22"/>
        <v>16963.8963739875</v>
      </c>
      <c r="CA10" s="515">
        <f t="shared" si="22"/>
        <v>18735.226919062501</v>
      </c>
      <c r="CB10" s="515">
        <f t="shared" si="22"/>
        <v>21160.5872038575</v>
      </c>
      <c r="CC10" s="515">
        <f t="shared" si="22"/>
        <v>30180.7473641625</v>
      </c>
    </row>
    <row r="11" spans="1:81">
      <c r="A11" s="687" t="s">
        <v>18</v>
      </c>
      <c r="B11" s="515">
        <f t="shared" ref="B11:D11" si="30">$K43*B$32</f>
        <v>13599.974727360001</v>
      </c>
      <c r="C11" s="515">
        <f t="shared" si="30"/>
        <v>15542.82825984</v>
      </c>
      <c r="D11" s="515">
        <f t="shared" si="30"/>
        <v>21371.388857279999</v>
      </c>
      <c r="E11" s="515">
        <f t="shared" si="12"/>
        <v>11773.692406828801</v>
      </c>
      <c r="F11" s="515">
        <f t="shared" si="12"/>
        <v>11608.549856567999</v>
      </c>
      <c r="G11" s="515">
        <f t="shared" si="12"/>
        <v>11705.692533191999</v>
      </c>
      <c r="H11" s="515">
        <f t="shared" si="12"/>
        <v>12094.263239688</v>
      </c>
      <c r="I11" s="515">
        <f t="shared" si="12"/>
        <v>13357.1180358</v>
      </c>
      <c r="J11" s="515">
        <f t="shared" si="12"/>
        <v>15086.2576797072</v>
      </c>
      <c r="K11" s="515">
        <f t="shared" si="12"/>
        <v>21517.102872216001</v>
      </c>
      <c r="L11" s="515">
        <f t="shared" si="13"/>
        <v>17482.8943735344</v>
      </c>
      <c r="M11" s="515">
        <f t="shared" si="13"/>
        <v>17237.672257734001</v>
      </c>
      <c r="N11" s="515">
        <f t="shared" si="13"/>
        <v>17381.920561146002</v>
      </c>
      <c r="O11" s="515">
        <f t="shared" si="13"/>
        <v>17958.913774794</v>
      </c>
      <c r="P11" s="515">
        <f t="shared" si="13"/>
        <v>19834.141719150004</v>
      </c>
      <c r="Q11" s="515">
        <f t="shared" si="13"/>
        <v>22401.761519883599</v>
      </c>
      <c r="R11" s="515">
        <f t="shared" si="13"/>
        <v>31950.999205758002</v>
      </c>
      <c r="S11" s="515">
        <f t="shared" si="14"/>
        <v>11828.0519317872</v>
      </c>
      <c r="T11" s="515">
        <f t="shared" si="14"/>
        <v>11662.146912942</v>
      </c>
      <c r="U11" s="515">
        <f t="shared" si="14"/>
        <v>11759.738100498</v>
      </c>
      <c r="V11" s="515">
        <f t="shared" si="14"/>
        <v>12150.102850722</v>
      </c>
      <c r="W11" s="515">
        <f t="shared" si="14"/>
        <v>13418.788288950002</v>
      </c>
      <c r="X11" s="515">
        <f t="shared" si="14"/>
        <v>15155.911427446799</v>
      </c>
      <c r="Y11" s="515">
        <f t="shared" si="14"/>
        <v>21616.448043654</v>
      </c>
      <c r="Z11" s="515">
        <f t="shared" si="15"/>
        <v>14030.21227482</v>
      </c>
      <c r="AA11" s="515">
        <f t="shared" si="15"/>
        <v>13833.418868324998</v>
      </c>
      <c r="AB11" s="515">
        <f t="shared" si="15"/>
        <v>13949.179695674999</v>
      </c>
      <c r="AC11" s="515">
        <f t="shared" si="15"/>
        <v>14412.223005074999</v>
      </c>
      <c r="AD11" s="515">
        <f t="shared" si="15"/>
        <v>15917.113760624999</v>
      </c>
      <c r="AE11" s="515">
        <f t="shared" si="15"/>
        <v>17977.656487454999</v>
      </c>
      <c r="AF11" s="515">
        <f t="shared" si="15"/>
        <v>25641.023258024998</v>
      </c>
      <c r="AG11" s="515">
        <f t="shared" si="16"/>
        <v>17484.332082840006</v>
      </c>
      <c r="AH11" s="515">
        <f t="shared" si="16"/>
        <v>17239.089801150003</v>
      </c>
      <c r="AI11" s="515">
        <f t="shared" si="16"/>
        <v>17383.349966850004</v>
      </c>
      <c r="AJ11" s="515">
        <f t="shared" si="16"/>
        <v>17960.390629650006</v>
      </c>
      <c r="AK11" s="515">
        <f t="shared" si="16"/>
        <v>19835.772783750006</v>
      </c>
      <c r="AL11" s="515">
        <f t="shared" si="16"/>
        <v>22403.603733210006</v>
      </c>
      <c r="AM11" s="515">
        <f t="shared" si="16"/>
        <v>31953.626702550009</v>
      </c>
      <c r="AN11" s="515">
        <f t="shared" si="17"/>
        <v>13793.458916160002</v>
      </c>
      <c r="AO11" s="515">
        <f t="shared" si="17"/>
        <v>13599.9863076</v>
      </c>
      <c r="AP11" s="515">
        <f t="shared" si="17"/>
        <v>13713.7937244</v>
      </c>
      <c r="AQ11" s="515">
        <f t="shared" si="17"/>
        <v>14169.023391600002</v>
      </c>
      <c r="AR11" s="515">
        <f t="shared" si="17"/>
        <v>15648.519810000002</v>
      </c>
      <c r="AS11" s="515">
        <f t="shared" si="17"/>
        <v>17674.291829040001</v>
      </c>
      <c r="AT11" s="515">
        <f t="shared" si="17"/>
        <v>25208.3428212</v>
      </c>
      <c r="AU11" s="515">
        <f t="shared" si="18"/>
        <v>19781.027790299999</v>
      </c>
      <c r="AV11" s="515">
        <f t="shared" si="18"/>
        <v>19503.571129874999</v>
      </c>
      <c r="AW11" s="515">
        <f t="shared" si="18"/>
        <v>19666.780930124998</v>
      </c>
      <c r="AX11" s="515">
        <f t="shared" si="18"/>
        <v>20319.620131125001</v>
      </c>
      <c r="AY11" s="515">
        <f t="shared" si="18"/>
        <v>22441.347534375003</v>
      </c>
      <c r="AZ11" s="515">
        <f t="shared" si="18"/>
        <v>25346.481978824999</v>
      </c>
      <c r="BA11" s="515">
        <f t="shared" si="18"/>
        <v>36150.970755374998</v>
      </c>
      <c r="BB11" s="515">
        <f t="shared" si="19"/>
        <v>21178.327319100001</v>
      </c>
      <c r="BC11" s="515">
        <f t="shared" si="19"/>
        <v>20881.271572875001</v>
      </c>
      <c r="BD11" s="515">
        <f t="shared" si="19"/>
        <v>21056.010247124999</v>
      </c>
      <c r="BE11" s="515">
        <f t="shared" si="19"/>
        <v>21754.964944125</v>
      </c>
      <c r="BF11" s="515">
        <f t="shared" si="19"/>
        <v>24026.567709375002</v>
      </c>
      <c r="BG11" s="515">
        <f t="shared" si="19"/>
        <v>27136.916111024999</v>
      </c>
      <c r="BH11" s="515">
        <f t="shared" si="19"/>
        <v>38704.616346375005</v>
      </c>
      <c r="BI11" s="515">
        <f t="shared" si="20"/>
        <v>50533.186312350001</v>
      </c>
      <c r="BJ11" s="515">
        <f t="shared" si="20"/>
        <v>49824.387494437498</v>
      </c>
      <c r="BK11" s="515">
        <f t="shared" si="20"/>
        <v>50241.327975562497</v>
      </c>
      <c r="BL11" s="515">
        <f t="shared" si="20"/>
        <v>51909.0899000625</v>
      </c>
      <c r="BM11" s="515">
        <f t="shared" si="20"/>
        <v>57329.316154687505</v>
      </c>
      <c r="BN11" s="515">
        <f t="shared" si="20"/>
        <v>64750.856718712494</v>
      </c>
      <c r="BO11" s="515">
        <f t="shared" si="20"/>
        <v>92352.316569187504</v>
      </c>
      <c r="BP11" s="515">
        <f t="shared" si="21"/>
        <v>55189.803816756008</v>
      </c>
      <c r="BQ11" s="515">
        <f t="shared" si="21"/>
        <v>54415.689406785001</v>
      </c>
      <c r="BR11" s="515">
        <f t="shared" si="21"/>
        <v>54871.050824415004</v>
      </c>
      <c r="BS11" s="515">
        <f t="shared" si="21"/>
        <v>56692.496494935003</v>
      </c>
      <c r="BT11" s="515">
        <f t="shared" si="21"/>
        <v>62612.194924125011</v>
      </c>
      <c r="BU11" s="515">
        <f t="shared" si="21"/>
        <v>70717.628157939005</v>
      </c>
      <c r="BV11" s="515">
        <f t="shared" si="21"/>
        <v>100862.55400504501</v>
      </c>
      <c r="BW11" s="515">
        <f t="shared" si="22"/>
        <v>11675.964759480001</v>
      </c>
      <c r="BX11" s="515">
        <f t="shared" si="22"/>
        <v>11512.192976550001</v>
      </c>
      <c r="BY11" s="515">
        <f t="shared" si="22"/>
        <v>11608.529319450001</v>
      </c>
      <c r="BZ11" s="515">
        <f t="shared" si="22"/>
        <v>11993.874691050001</v>
      </c>
      <c r="CA11" s="515">
        <f t="shared" si="22"/>
        <v>13246.247148750001</v>
      </c>
      <c r="CB11" s="515">
        <f t="shared" si="22"/>
        <v>14961.03405237</v>
      </c>
      <c r="CC11" s="515">
        <f t="shared" si="22"/>
        <v>21338.499952350001</v>
      </c>
    </row>
    <row r="12" spans="1:81">
      <c r="A12" s="687" t="s">
        <v>19</v>
      </c>
      <c r="B12" s="515">
        <f t="shared" ref="B12:D12" si="31">$K44*B$32</f>
        <v>11995.322270400004</v>
      </c>
      <c r="C12" s="515">
        <f t="shared" si="31"/>
        <v>13708.939737600002</v>
      </c>
      <c r="D12" s="515">
        <f t="shared" si="31"/>
        <v>18849.792139200003</v>
      </c>
      <c r="E12" s="515">
        <f t="shared" si="12"/>
        <v>10384.521851232003</v>
      </c>
      <c r="F12" s="515">
        <f t="shared" si="12"/>
        <v>10238.864366520002</v>
      </c>
      <c r="G12" s="515">
        <f t="shared" si="12"/>
        <v>10324.545239880001</v>
      </c>
      <c r="H12" s="515">
        <f t="shared" si="12"/>
        <v>10667.268733320001</v>
      </c>
      <c r="I12" s="515">
        <f t="shared" si="12"/>
        <v>11781.120087000003</v>
      </c>
      <c r="J12" s="515">
        <f t="shared" si="12"/>
        <v>13306.239632808001</v>
      </c>
      <c r="K12" s="515">
        <f t="shared" si="12"/>
        <v>18978.313449240002</v>
      </c>
      <c r="L12" s="515">
        <f t="shared" si="13"/>
        <v>12145.398982272001</v>
      </c>
      <c r="M12" s="515">
        <f t="shared" si="13"/>
        <v>11975.042725920001</v>
      </c>
      <c r="N12" s="515">
        <f t="shared" si="13"/>
        <v>12075.25228848</v>
      </c>
      <c r="O12" s="515">
        <f t="shared" si="13"/>
        <v>12476.09053872</v>
      </c>
      <c r="P12" s="515">
        <f t="shared" si="13"/>
        <v>13778.814852000001</v>
      </c>
      <c r="Q12" s="515">
        <f t="shared" si="13"/>
        <v>15562.545065568</v>
      </c>
      <c r="R12" s="515">
        <f t="shared" si="13"/>
        <v>22196.418107040001</v>
      </c>
      <c r="S12" s="515">
        <f t="shared" si="14"/>
        <v>13465.979143776001</v>
      </c>
      <c r="T12" s="515">
        <f t="shared" si="14"/>
        <v>13277.09989836</v>
      </c>
      <c r="U12" s="515">
        <f t="shared" si="14"/>
        <v>13388.205336840001</v>
      </c>
      <c r="V12" s="515">
        <f t="shared" si="14"/>
        <v>13832.627090760001</v>
      </c>
      <c r="W12" s="515">
        <f t="shared" si="14"/>
        <v>15276.997791000003</v>
      </c>
      <c r="X12" s="515">
        <f t="shared" si="14"/>
        <v>17254.674595944001</v>
      </c>
      <c r="Y12" s="515">
        <f t="shared" si="14"/>
        <v>24609.854623320003</v>
      </c>
      <c r="Z12" s="515">
        <f t="shared" si="15"/>
        <v>15611.90276268</v>
      </c>
      <c r="AA12" s="515">
        <f t="shared" si="15"/>
        <v>15392.923928549999</v>
      </c>
      <c r="AB12" s="515">
        <f t="shared" si="15"/>
        <v>15521.735007449999</v>
      </c>
      <c r="AC12" s="515">
        <f t="shared" si="15"/>
        <v>16036.97932305</v>
      </c>
      <c r="AD12" s="515">
        <f t="shared" si="15"/>
        <v>17711.523348750001</v>
      </c>
      <c r="AE12" s="515">
        <f t="shared" si="15"/>
        <v>20004.360553169998</v>
      </c>
      <c r="AF12" s="515">
        <f t="shared" si="15"/>
        <v>28531.65397635</v>
      </c>
      <c r="AG12" s="515">
        <f t="shared" si="16"/>
        <v>22810.536845460007</v>
      </c>
      <c r="AH12" s="515">
        <f t="shared" si="16"/>
        <v>22490.587071225003</v>
      </c>
      <c r="AI12" s="515">
        <f t="shared" si="16"/>
        <v>22678.792820775005</v>
      </c>
      <c r="AJ12" s="515">
        <f t="shared" si="16"/>
        <v>23431.615818975006</v>
      </c>
      <c r="AK12" s="515">
        <f t="shared" si="16"/>
        <v>25878.290563125007</v>
      </c>
      <c r="AL12" s="515">
        <f t="shared" si="16"/>
        <v>29228.352905115004</v>
      </c>
      <c r="AM12" s="515">
        <f t="shared" si="16"/>
        <v>41687.57352532501</v>
      </c>
      <c r="AN12" s="515">
        <f t="shared" si="17"/>
        <v>27129.236277780004</v>
      </c>
      <c r="AO12" s="515">
        <f t="shared" si="17"/>
        <v>26748.710686425002</v>
      </c>
      <c r="AP12" s="515">
        <f t="shared" si="17"/>
        <v>26972.549269575</v>
      </c>
      <c r="AQ12" s="515">
        <f t="shared" si="17"/>
        <v>27867.903602175003</v>
      </c>
      <c r="AR12" s="515">
        <f t="shared" si="17"/>
        <v>30777.805183125005</v>
      </c>
      <c r="AS12" s="515">
        <f t="shared" si="17"/>
        <v>34762.131963195003</v>
      </c>
      <c r="AT12" s="515">
        <f t="shared" si="17"/>
        <v>49580.246167725003</v>
      </c>
      <c r="AU12" s="515">
        <f t="shared" si="18"/>
        <v>32228.538242039998</v>
      </c>
      <c r="AV12" s="515">
        <f t="shared" si="18"/>
        <v>31776.487788149996</v>
      </c>
      <c r="AW12" s="515">
        <f t="shared" si="18"/>
        <v>32042.399819849998</v>
      </c>
      <c r="AX12" s="515">
        <f t="shared" si="18"/>
        <v>33106.047946649996</v>
      </c>
      <c r="AY12" s="515">
        <f t="shared" si="18"/>
        <v>36562.904358750005</v>
      </c>
      <c r="AZ12" s="515">
        <f t="shared" si="18"/>
        <v>41296.138523009999</v>
      </c>
      <c r="BA12" s="515">
        <f t="shared" si="18"/>
        <v>58899.515021549996</v>
      </c>
      <c r="BB12" s="515">
        <f t="shared" si="19"/>
        <v>41914.368082188004</v>
      </c>
      <c r="BC12" s="515">
        <f t="shared" si="19"/>
        <v>41326.460279054998</v>
      </c>
      <c r="BD12" s="515">
        <f t="shared" si="19"/>
        <v>41672.288398545003</v>
      </c>
      <c r="BE12" s="515">
        <f t="shared" si="19"/>
        <v>43055.600876504999</v>
      </c>
      <c r="BF12" s="515">
        <f t="shared" si="19"/>
        <v>47551.366429875008</v>
      </c>
      <c r="BG12" s="515">
        <f t="shared" si="19"/>
        <v>53707.106956796997</v>
      </c>
      <c r="BH12" s="515">
        <f t="shared" si="19"/>
        <v>76600.928467035003</v>
      </c>
      <c r="BI12" s="515">
        <f t="shared" si="20"/>
        <v>53753.077663740005</v>
      </c>
      <c r="BJ12" s="515">
        <f t="shared" si="20"/>
        <v>52999.115353275003</v>
      </c>
      <c r="BK12" s="515">
        <f t="shared" si="20"/>
        <v>53442.622594724999</v>
      </c>
      <c r="BL12" s="515">
        <f t="shared" si="20"/>
        <v>55216.651560525002</v>
      </c>
      <c r="BM12" s="515">
        <f t="shared" si="20"/>
        <v>60982.245699375009</v>
      </c>
      <c r="BN12" s="515">
        <f t="shared" si="20"/>
        <v>68876.674597185003</v>
      </c>
      <c r="BO12" s="515">
        <f t="shared" si="20"/>
        <v>98236.853981175009</v>
      </c>
      <c r="BP12" s="515">
        <f t="shared" si="21"/>
        <v>61683.50831227201</v>
      </c>
      <c r="BQ12" s="515">
        <f t="shared" si="21"/>
        <v>60818.310588420005</v>
      </c>
      <c r="BR12" s="515">
        <f t="shared" si="21"/>
        <v>61327.250425980004</v>
      </c>
      <c r="BS12" s="515">
        <f t="shared" si="21"/>
        <v>63363.009776220009</v>
      </c>
      <c r="BT12" s="515">
        <f t="shared" si="21"/>
        <v>69979.227664500009</v>
      </c>
      <c r="BU12" s="515">
        <f t="shared" si="21"/>
        <v>79038.356773068008</v>
      </c>
      <c r="BV12" s="515">
        <f t="shared" si="21"/>
        <v>112730.17401954002</v>
      </c>
      <c r="BW12" s="515">
        <f t="shared" si="22"/>
        <v>14470.623565650001</v>
      </c>
      <c r="BX12" s="515">
        <f t="shared" si="22"/>
        <v>14267.6527730625</v>
      </c>
      <c r="BY12" s="515">
        <f t="shared" si="22"/>
        <v>14387.047356937501</v>
      </c>
      <c r="BZ12" s="515">
        <f t="shared" si="22"/>
        <v>14864.625692437501</v>
      </c>
      <c r="CA12" s="515">
        <f t="shared" si="22"/>
        <v>16416.755282812504</v>
      </c>
      <c r="CB12" s="515">
        <f t="shared" si="22"/>
        <v>18541.978875787499</v>
      </c>
      <c r="CC12" s="515">
        <f t="shared" si="22"/>
        <v>26445.900328312502</v>
      </c>
    </row>
    <row r="13" spans="1:81">
      <c r="A13" s="687" t="s">
        <v>20</v>
      </c>
      <c r="B13" s="515">
        <f t="shared" ref="B13:D13" si="32">$K45*B$32</f>
        <v>10400.389554240001</v>
      </c>
      <c r="C13" s="515">
        <f t="shared" si="32"/>
        <v>11886.15949056</v>
      </c>
      <c r="D13" s="515">
        <f t="shared" si="32"/>
        <v>16343.46929952</v>
      </c>
      <c r="E13" s="515">
        <f t="shared" si="12"/>
        <v>9003.7658140992007</v>
      </c>
      <c r="F13" s="515">
        <f t="shared" si="12"/>
        <v>8877.4753695119998</v>
      </c>
      <c r="G13" s="515">
        <f t="shared" si="12"/>
        <v>8951.7638663279995</v>
      </c>
      <c r="H13" s="515">
        <f t="shared" si="12"/>
        <v>9248.917853592</v>
      </c>
      <c r="I13" s="515">
        <f t="shared" si="12"/>
        <v>10214.668312200001</v>
      </c>
      <c r="J13" s="515">
        <f t="shared" si="12"/>
        <v>11537.0035555248</v>
      </c>
      <c r="K13" s="515">
        <f t="shared" si="12"/>
        <v>16454.902044744002</v>
      </c>
      <c r="L13" s="515">
        <f t="shared" si="13"/>
        <v>11993.674614408001</v>
      </c>
      <c r="M13" s="515">
        <f t="shared" si="13"/>
        <v>11825.446505130001</v>
      </c>
      <c r="N13" s="515">
        <f t="shared" si="13"/>
        <v>11924.40421647</v>
      </c>
      <c r="O13" s="515">
        <f t="shared" si="13"/>
        <v>12320.235061830001</v>
      </c>
      <c r="P13" s="515">
        <f t="shared" si="13"/>
        <v>13606.685309250002</v>
      </c>
      <c r="Q13" s="515">
        <f t="shared" si="13"/>
        <v>15368.132571102</v>
      </c>
      <c r="R13" s="515">
        <f t="shared" si="13"/>
        <v>21919.133061810004</v>
      </c>
      <c r="S13" s="515">
        <f t="shared" si="14"/>
        <v>13236.148281888003</v>
      </c>
      <c r="T13" s="515">
        <f t="shared" si="14"/>
        <v>13050.492736680002</v>
      </c>
      <c r="U13" s="515">
        <f t="shared" si="14"/>
        <v>13159.701880920002</v>
      </c>
      <c r="V13" s="515">
        <f t="shared" si="14"/>
        <v>13596.538457880002</v>
      </c>
      <c r="W13" s="515">
        <f t="shared" si="14"/>
        <v>15016.257333000005</v>
      </c>
      <c r="X13" s="515">
        <f t="shared" si="14"/>
        <v>16960.180100472004</v>
      </c>
      <c r="Y13" s="515">
        <f t="shared" si="14"/>
        <v>24189.825449160006</v>
      </c>
      <c r="Z13" s="515">
        <f t="shared" si="15"/>
        <v>14248.783042830002</v>
      </c>
      <c r="AA13" s="515">
        <f t="shared" si="15"/>
        <v>14048.9238747375</v>
      </c>
      <c r="AB13" s="515">
        <f t="shared" si="15"/>
        <v>14166.488091262501</v>
      </c>
      <c r="AC13" s="515">
        <f t="shared" si="15"/>
        <v>14636.744957362502</v>
      </c>
      <c r="AD13" s="515">
        <f t="shared" si="15"/>
        <v>16165.079772187502</v>
      </c>
      <c r="AE13" s="515">
        <f t="shared" si="15"/>
        <v>18257.722826332501</v>
      </c>
      <c r="AF13" s="515">
        <f t="shared" si="15"/>
        <v>26040.473960287502</v>
      </c>
      <c r="AG13" s="515">
        <f t="shared" si="16"/>
        <v>16196.4037431</v>
      </c>
      <c r="AH13" s="515">
        <f t="shared" si="16"/>
        <v>15969.226462875</v>
      </c>
      <c r="AI13" s="515">
        <f t="shared" si="16"/>
        <v>16102.860157125</v>
      </c>
      <c r="AJ13" s="515">
        <f t="shared" si="16"/>
        <v>16637.394934125001</v>
      </c>
      <c r="AK13" s="515">
        <f t="shared" si="16"/>
        <v>18374.632959375002</v>
      </c>
      <c r="AL13" s="515">
        <f t="shared" si="16"/>
        <v>20753.312717025001</v>
      </c>
      <c r="AM13" s="515">
        <f t="shared" si="16"/>
        <v>29599.863276374999</v>
      </c>
      <c r="AN13" s="515">
        <f t="shared" si="17"/>
        <v>13801.179971250001</v>
      </c>
      <c r="AO13" s="515">
        <f t="shared" si="17"/>
        <v>13607.5990640625</v>
      </c>
      <c r="AP13" s="515">
        <f t="shared" si="17"/>
        <v>13721.470185937502</v>
      </c>
      <c r="AQ13" s="515">
        <f t="shared" si="17"/>
        <v>14176.954673437502</v>
      </c>
      <c r="AR13" s="515">
        <f t="shared" si="17"/>
        <v>15657.279257812503</v>
      </c>
      <c r="AS13" s="515">
        <f t="shared" si="17"/>
        <v>17684.1852271875</v>
      </c>
      <c r="AT13" s="515">
        <f t="shared" si="17"/>
        <v>25222.453495312504</v>
      </c>
      <c r="AU13" s="515">
        <f t="shared" si="18"/>
        <v>16232.436584910005</v>
      </c>
      <c r="AV13" s="515">
        <f t="shared" si="18"/>
        <v>16004.753893537503</v>
      </c>
      <c r="AW13" s="515">
        <f t="shared" si="18"/>
        <v>16138.684888462503</v>
      </c>
      <c r="AX13" s="515">
        <f t="shared" si="18"/>
        <v>16674.408868162503</v>
      </c>
      <c r="AY13" s="515">
        <f t="shared" si="18"/>
        <v>18415.511802187506</v>
      </c>
      <c r="AZ13" s="515">
        <f t="shared" si="18"/>
        <v>20799.483511852504</v>
      </c>
      <c r="BA13" s="515">
        <f t="shared" si="18"/>
        <v>29665.715375887507</v>
      </c>
      <c r="BB13" s="515">
        <f t="shared" si="19"/>
        <v>23640.208415460005</v>
      </c>
      <c r="BC13" s="515">
        <f t="shared" si="19"/>
        <v>23308.621333725005</v>
      </c>
      <c r="BD13" s="515">
        <f t="shared" si="19"/>
        <v>23503.672558275004</v>
      </c>
      <c r="BE13" s="515">
        <f t="shared" si="19"/>
        <v>24283.877456475006</v>
      </c>
      <c r="BF13" s="515">
        <f t="shared" si="19"/>
        <v>26819.54337562501</v>
      </c>
      <c r="BG13" s="515">
        <f t="shared" si="19"/>
        <v>30291.455172615006</v>
      </c>
      <c r="BH13" s="515">
        <f t="shared" si="19"/>
        <v>43203.846237825011</v>
      </c>
      <c r="BI13" s="515">
        <f t="shared" si="20"/>
        <v>31910.065256160004</v>
      </c>
      <c r="BJ13" s="515">
        <f t="shared" si="20"/>
        <v>31462.481832600002</v>
      </c>
      <c r="BK13" s="515">
        <f t="shared" si="20"/>
        <v>31725.766199400001</v>
      </c>
      <c r="BL13" s="515">
        <f t="shared" si="20"/>
        <v>32778.903666600003</v>
      </c>
      <c r="BM13" s="515">
        <f t="shared" si="20"/>
        <v>36201.600435000008</v>
      </c>
      <c r="BN13" s="515">
        <f t="shared" si="20"/>
        <v>40888.062164039999</v>
      </c>
      <c r="BO13" s="515">
        <f t="shared" si="20"/>
        <v>58317.487246200006</v>
      </c>
      <c r="BP13" s="515">
        <f t="shared" si="21"/>
        <v>45086.073516288008</v>
      </c>
      <c r="BQ13" s="515">
        <f t="shared" si="21"/>
        <v>44453.678095680007</v>
      </c>
      <c r="BR13" s="515">
        <f t="shared" si="21"/>
        <v>44825.675401920009</v>
      </c>
      <c r="BS13" s="515">
        <f t="shared" si="21"/>
        <v>46313.66462688001</v>
      </c>
      <c r="BT13" s="515">
        <f t="shared" si="21"/>
        <v>51149.62960800001</v>
      </c>
      <c r="BU13" s="515">
        <f t="shared" si="21"/>
        <v>57771.181659072005</v>
      </c>
      <c r="BV13" s="515">
        <f t="shared" si="21"/>
        <v>82397.403332160015</v>
      </c>
      <c r="BW13" s="515">
        <f t="shared" si="22"/>
        <v>8308.78688367</v>
      </c>
      <c r="BX13" s="515">
        <f t="shared" si="22"/>
        <v>8192.2444933874995</v>
      </c>
      <c r="BY13" s="515">
        <f t="shared" si="22"/>
        <v>8260.7988406125005</v>
      </c>
      <c r="BZ13" s="515">
        <f t="shared" si="22"/>
        <v>8535.016229512501</v>
      </c>
      <c r="CA13" s="515">
        <f t="shared" si="22"/>
        <v>9426.2227434375018</v>
      </c>
      <c r="CB13" s="515">
        <f t="shared" si="22"/>
        <v>10646.490124042501</v>
      </c>
      <c r="CC13" s="515">
        <f t="shared" si="22"/>
        <v>15184.787910337502</v>
      </c>
    </row>
    <row r="14" spans="1:81">
      <c r="A14" s="687" t="s">
        <v>21</v>
      </c>
      <c r="B14" s="515">
        <f t="shared" ref="B14:D14" si="33">$K46*B$32</f>
        <v>8772.9288343200005</v>
      </c>
      <c r="C14" s="515">
        <f t="shared" si="33"/>
        <v>10026.204382080001</v>
      </c>
      <c r="D14" s="515">
        <f t="shared" si="33"/>
        <v>13786.03102536</v>
      </c>
      <c r="E14" s="515">
        <f t="shared" si="12"/>
        <v>7594.8498194256008</v>
      </c>
      <c r="F14" s="515">
        <f t="shared" si="12"/>
        <v>7488.3213978659996</v>
      </c>
      <c r="G14" s="515">
        <f t="shared" si="12"/>
        <v>7550.9851752539998</v>
      </c>
      <c r="H14" s="515">
        <f t="shared" si="12"/>
        <v>7801.6402848060006</v>
      </c>
      <c r="I14" s="515">
        <f t="shared" si="12"/>
        <v>8616.2693908500005</v>
      </c>
      <c r="J14" s="515">
        <f t="shared" si="12"/>
        <v>9731.6846283563991</v>
      </c>
      <c r="K14" s="515">
        <f t="shared" si="12"/>
        <v>13880.026691442001</v>
      </c>
      <c r="L14" s="515">
        <f t="shared" si="13"/>
        <v>11575.472091206399</v>
      </c>
      <c r="M14" s="515">
        <f t="shared" si="13"/>
        <v>11413.109858903999</v>
      </c>
      <c r="N14" s="515">
        <f t="shared" si="13"/>
        <v>11508.617054375998</v>
      </c>
      <c r="O14" s="515">
        <f t="shared" si="13"/>
        <v>11890.645836263999</v>
      </c>
      <c r="P14" s="515">
        <f t="shared" si="13"/>
        <v>13132.239377399999</v>
      </c>
      <c r="Q14" s="515">
        <f t="shared" si="13"/>
        <v>14832.267456801597</v>
      </c>
      <c r="R14" s="515">
        <f t="shared" si="13"/>
        <v>21154.843797047997</v>
      </c>
      <c r="S14" s="515">
        <f t="shared" si="14"/>
        <v>8618.9189819040002</v>
      </c>
      <c r="T14" s="515">
        <f t="shared" si="14"/>
        <v>8498.0265539400007</v>
      </c>
      <c r="U14" s="515">
        <f t="shared" si="14"/>
        <v>8569.1397468600007</v>
      </c>
      <c r="V14" s="515">
        <f t="shared" si="14"/>
        <v>8853.592518540001</v>
      </c>
      <c r="W14" s="515">
        <f t="shared" si="14"/>
        <v>9778.0640265000002</v>
      </c>
      <c r="X14" s="515">
        <f t="shared" si="14"/>
        <v>11043.878860475999</v>
      </c>
      <c r="Y14" s="515">
        <f t="shared" si="14"/>
        <v>15751.572231780001</v>
      </c>
      <c r="Z14" s="515">
        <f t="shared" si="15"/>
        <v>10358.842212180001</v>
      </c>
      <c r="AA14" s="515">
        <f t="shared" si="15"/>
        <v>10213.544920425</v>
      </c>
      <c r="AB14" s="515">
        <f t="shared" si="15"/>
        <v>10299.013915575</v>
      </c>
      <c r="AC14" s="515">
        <f t="shared" si="15"/>
        <v>10640.889896175</v>
      </c>
      <c r="AD14" s="515">
        <f t="shared" si="15"/>
        <v>11751.986833125002</v>
      </c>
      <c r="AE14" s="515">
        <f t="shared" si="15"/>
        <v>13273.334946794999</v>
      </c>
      <c r="AF14" s="515">
        <f t="shared" si="15"/>
        <v>18931.382425725002</v>
      </c>
      <c r="AG14" s="515">
        <f t="shared" si="16"/>
        <v>11909.235520979999</v>
      </c>
      <c r="AH14" s="515">
        <f t="shared" si="16"/>
        <v>11742.191788424998</v>
      </c>
      <c r="AI14" s="515">
        <f t="shared" si="16"/>
        <v>11840.452807574999</v>
      </c>
      <c r="AJ14" s="515">
        <f t="shared" si="16"/>
        <v>12233.496884175</v>
      </c>
      <c r="AK14" s="515">
        <f t="shared" si="16"/>
        <v>13510.890133125</v>
      </c>
      <c r="AL14" s="515">
        <f t="shared" si="16"/>
        <v>15259.936273994997</v>
      </c>
      <c r="AM14" s="515">
        <f t="shared" si="16"/>
        <v>21764.815741725</v>
      </c>
      <c r="AN14" s="515">
        <f t="shared" si="17"/>
        <v>11698.629510960001</v>
      </c>
      <c r="AO14" s="515">
        <f t="shared" si="17"/>
        <v>11534.5398231</v>
      </c>
      <c r="AP14" s="515">
        <f t="shared" si="17"/>
        <v>11631.0631689</v>
      </c>
      <c r="AQ14" s="515">
        <f t="shared" si="17"/>
        <v>12017.156552100001</v>
      </c>
      <c r="AR14" s="515">
        <f t="shared" si="17"/>
        <v>13271.960047500002</v>
      </c>
      <c r="AS14" s="515">
        <f t="shared" si="17"/>
        <v>14990.07560274</v>
      </c>
      <c r="AT14" s="515">
        <f t="shared" si="17"/>
        <v>21379.921094700003</v>
      </c>
      <c r="AU14" s="515">
        <f t="shared" si="18"/>
        <v>13904.939439719999</v>
      </c>
      <c r="AV14" s="515">
        <f t="shared" si="18"/>
        <v>13709.903160449998</v>
      </c>
      <c r="AW14" s="515">
        <f t="shared" si="18"/>
        <v>13824.630383549998</v>
      </c>
      <c r="AX14" s="515">
        <f t="shared" si="18"/>
        <v>14283.539275949999</v>
      </c>
      <c r="AY14" s="515">
        <f t="shared" si="18"/>
        <v>15774.99317625</v>
      </c>
      <c r="AZ14" s="515">
        <f t="shared" si="18"/>
        <v>17817.137747429999</v>
      </c>
      <c r="BA14" s="515">
        <f t="shared" si="18"/>
        <v>25412.079916649996</v>
      </c>
      <c r="BB14" s="515">
        <f t="shared" si="19"/>
        <v>15090.195938579998</v>
      </c>
      <c r="BC14" s="515">
        <f t="shared" si="19"/>
        <v>14878.534774424998</v>
      </c>
      <c r="BD14" s="515">
        <f t="shared" si="19"/>
        <v>15003.041341574997</v>
      </c>
      <c r="BE14" s="515">
        <f t="shared" si="19"/>
        <v>15501.067610174998</v>
      </c>
      <c r="BF14" s="515">
        <f t="shared" si="19"/>
        <v>17119.652983125001</v>
      </c>
      <c r="BG14" s="515">
        <f t="shared" si="19"/>
        <v>19335.869878394999</v>
      </c>
      <c r="BH14" s="515">
        <f t="shared" si="19"/>
        <v>27578.204623724996</v>
      </c>
      <c r="BI14" s="515">
        <f t="shared" si="20"/>
        <v>19903.340048760001</v>
      </c>
      <c r="BJ14" s="515">
        <f t="shared" si="20"/>
        <v>19624.167787349998</v>
      </c>
      <c r="BK14" s="515">
        <f t="shared" si="20"/>
        <v>19788.38676465</v>
      </c>
      <c r="BL14" s="515">
        <f t="shared" si="20"/>
        <v>20445.26267385</v>
      </c>
      <c r="BM14" s="515">
        <f t="shared" si="20"/>
        <v>22580.109378750003</v>
      </c>
      <c r="BN14" s="515">
        <f t="shared" si="20"/>
        <v>25503.20717469</v>
      </c>
      <c r="BO14" s="515">
        <f t="shared" si="20"/>
        <v>36374.503471950004</v>
      </c>
      <c r="BP14" s="515">
        <f t="shared" si="21"/>
        <v>37142.439044633997</v>
      </c>
      <c r="BQ14" s="515">
        <f t="shared" si="21"/>
        <v>36621.464239552501</v>
      </c>
      <c r="BR14" s="515">
        <f t="shared" si="21"/>
        <v>36927.9200072475</v>
      </c>
      <c r="BS14" s="515">
        <f t="shared" si="21"/>
        <v>38153.743078027495</v>
      </c>
      <c r="BT14" s="515">
        <f t="shared" si="21"/>
        <v>42137.668058062503</v>
      </c>
      <c r="BU14" s="515">
        <f t="shared" si="21"/>
        <v>47592.580723033498</v>
      </c>
      <c r="BV14" s="515">
        <f t="shared" si="21"/>
        <v>67879.952544442494</v>
      </c>
      <c r="BW14" s="515">
        <f t="shared" si="22"/>
        <v>8372.0161546559993</v>
      </c>
      <c r="BX14" s="515">
        <f t="shared" si="22"/>
        <v>8254.5868851599989</v>
      </c>
      <c r="BY14" s="515">
        <f t="shared" si="22"/>
        <v>8323.6629260400005</v>
      </c>
      <c r="BZ14" s="515">
        <f t="shared" si="22"/>
        <v>8599.9670895599993</v>
      </c>
      <c r="CA14" s="515">
        <f t="shared" si="22"/>
        <v>9497.955621000001</v>
      </c>
      <c r="CB14" s="515">
        <f t="shared" si="22"/>
        <v>10727.509148663999</v>
      </c>
      <c r="CC14" s="515">
        <f t="shared" si="22"/>
        <v>15300.34305492</v>
      </c>
    </row>
    <row r="15" spans="1:81">
      <c r="A15" s="687" t="s">
        <v>22</v>
      </c>
      <c r="B15" s="515">
        <f t="shared" ref="B15:D15" si="34">$K47*B$32</f>
        <v>14259.424016880002</v>
      </c>
      <c r="C15" s="515">
        <f t="shared" si="34"/>
        <v>16296.484590720002</v>
      </c>
      <c r="D15" s="515">
        <f t="shared" si="34"/>
        <v>22407.666312240002</v>
      </c>
      <c r="E15" s="515">
        <f t="shared" si="12"/>
        <v>12344.587077470402</v>
      </c>
      <c r="F15" s="515">
        <f t="shared" si="12"/>
        <v>12171.436928694</v>
      </c>
      <c r="G15" s="515">
        <f t="shared" si="12"/>
        <v>12273.289957386001</v>
      </c>
      <c r="H15" s="515">
        <f t="shared" si="12"/>
        <v>12680.702072154001</v>
      </c>
      <c r="I15" s="515">
        <f t="shared" si="12"/>
        <v>14004.791445150002</v>
      </c>
      <c r="J15" s="515">
        <f t="shared" si="12"/>
        <v>15817.775355867601</v>
      </c>
      <c r="K15" s="515">
        <f t="shared" si="12"/>
        <v>22560.445855278002</v>
      </c>
      <c r="L15" s="515">
        <f t="shared" si="13"/>
        <v>15651.743120064</v>
      </c>
      <c r="M15" s="515">
        <f t="shared" si="13"/>
        <v>15432.20546904</v>
      </c>
      <c r="N15" s="515">
        <f t="shared" si="13"/>
        <v>15561.34526376</v>
      </c>
      <c r="O15" s="515">
        <f t="shared" si="13"/>
        <v>16077.904442640001</v>
      </c>
      <c r="P15" s="515">
        <f t="shared" si="13"/>
        <v>17756.721774000001</v>
      </c>
      <c r="Q15" s="515">
        <f t="shared" si="13"/>
        <v>20055.410120016</v>
      </c>
      <c r="R15" s="515">
        <f t="shared" si="13"/>
        <v>28604.464530480003</v>
      </c>
      <c r="S15" s="515">
        <f t="shared" si="14"/>
        <v>12239.539202217602</v>
      </c>
      <c r="T15" s="515">
        <f t="shared" si="14"/>
        <v>12067.862497236001</v>
      </c>
      <c r="U15" s="515">
        <f t="shared" si="14"/>
        <v>12168.848794284</v>
      </c>
      <c r="V15" s="515">
        <f t="shared" si="14"/>
        <v>12572.793982476001</v>
      </c>
      <c r="W15" s="515">
        <f t="shared" si="14"/>
        <v>13885.615844100003</v>
      </c>
      <c r="X15" s="515">
        <f t="shared" si="14"/>
        <v>15683.1719315544</v>
      </c>
      <c r="Y15" s="515">
        <f t="shared" si="14"/>
        <v>22368.464796132001</v>
      </c>
      <c r="Z15" s="515">
        <f t="shared" si="15"/>
        <v>14342.224257774</v>
      </c>
      <c r="AA15" s="515">
        <f t="shared" si="15"/>
        <v>14141.0544455775</v>
      </c>
      <c r="AB15" s="515">
        <f t="shared" si="15"/>
        <v>14259.3896292225</v>
      </c>
      <c r="AC15" s="515">
        <f t="shared" si="15"/>
        <v>14732.730363802501</v>
      </c>
      <c r="AD15" s="515">
        <f t="shared" si="15"/>
        <v>16271.087751187501</v>
      </c>
      <c r="AE15" s="515">
        <f t="shared" si="15"/>
        <v>18377.454020068501</v>
      </c>
      <c r="AF15" s="515">
        <f t="shared" si="15"/>
        <v>26211.243177367498</v>
      </c>
      <c r="AG15" s="515">
        <f t="shared" si="16"/>
        <v>15805.669144103998</v>
      </c>
      <c r="AH15" s="515">
        <f t="shared" si="16"/>
        <v>15583.972464689998</v>
      </c>
      <c r="AI15" s="515">
        <f t="shared" si="16"/>
        <v>15714.382276109998</v>
      </c>
      <c r="AJ15" s="515">
        <f t="shared" si="16"/>
        <v>16236.021521789999</v>
      </c>
      <c r="AK15" s="515">
        <f t="shared" si="16"/>
        <v>17931.349070249998</v>
      </c>
      <c r="AL15" s="515">
        <f t="shared" si="16"/>
        <v>20252.643713525995</v>
      </c>
      <c r="AM15" s="515">
        <f t="shared" si="16"/>
        <v>28885.773229529997</v>
      </c>
      <c r="AN15" s="515">
        <f t="shared" si="17"/>
        <v>17752.806650880004</v>
      </c>
      <c r="AO15" s="515">
        <f t="shared" si="17"/>
        <v>17503.798636800002</v>
      </c>
      <c r="AP15" s="515">
        <f t="shared" si="17"/>
        <v>17650.2739392</v>
      </c>
      <c r="AQ15" s="515">
        <f t="shared" si="17"/>
        <v>18236.175148800001</v>
      </c>
      <c r="AR15" s="515">
        <f t="shared" si="17"/>
        <v>20140.354080000005</v>
      </c>
      <c r="AS15" s="515">
        <f t="shared" si="17"/>
        <v>22747.614462720001</v>
      </c>
      <c r="AT15" s="515">
        <f t="shared" si="17"/>
        <v>32444.279481600002</v>
      </c>
      <c r="AU15" s="515">
        <f t="shared" si="18"/>
        <v>19182.381606359999</v>
      </c>
      <c r="AV15" s="515">
        <f t="shared" si="18"/>
        <v>18913.32179835</v>
      </c>
      <c r="AW15" s="515">
        <f t="shared" si="18"/>
        <v>19071.59227365</v>
      </c>
      <c r="AX15" s="515">
        <f t="shared" si="18"/>
        <v>19704.674174849999</v>
      </c>
      <c r="AY15" s="515">
        <f t="shared" si="18"/>
        <v>21762.19035375</v>
      </c>
      <c r="AZ15" s="515">
        <f t="shared" si="18"/>
        <v>24579.404814089998</v>
      </c>
      <c r="BA15" s="515">
        <f t="shared" si="18"/>
        <v>35056.910278949996</v>
      </c>
      <c r="BB15" s="515">
        <f t="shared" si="19"/>
        <v>22564.705776480001</v>
      </c>
      <c r="BC15" s="515">
        <f t="shared" si="19"/>
        <v>22248.2041278</v>
      </c>
      <c r="BD15" s="515">
        <f t="shared" si="19"/>
        <v>22434.381568199999</v>
      </c>
      <c r="BE15" s="515">
        <f t="shared" si="19"/>
        <v>23179.091329799998</v>
      </c>
      <c r="BF15" s="515">
        <f t="shared" si="19"/>
        <v>25599.398055000001</v>
      </c>
      <c r="BG15" s="515">
        <f t="shared" si="19"/>
        <v>28913.356494119998</v>
      </c>
      <c r="BH15" s="515">
        <f t="shared" si="19"/>
        <v>41238.303048599999</v>
      </c>
      <c r="BI15" s="515">
        <f t="shared" si="20"/>
        <v>32014.98934452</v>
      </c>
      <c r="BJ15" s="515">
        <f t="shared" si="20"/>
        <v>31565.934213449997</v>
      </c>
      <c r="BK15" s="515">
        <f t="shared" si="20"/>
        <v>31830.084290549999</v>
      </c>
      <c r="BL15" s="515">
        <f t="shared" si="20"/>
        <v>32886.68459895</v>
      </c>
      <c r="BM15" s="515">
        <f t="shared" si="20"/>
        <v>36320.635601250004</v>
      </c>
      <c r="BN15" s="515">
        <f t="shared" si="20"/>
        <v>41022.506973629999</v>
      </c>
      <c r="BO15" s="515">
        <f t="shared" si="20"/>
        <v>58509.24207765</v>
      </c>
      <c r="BP15" s="515">
        <f t="shared" si="21"/>
        <v>47294.348072202003</v>
      </c>
      <c r="BQ15" s="515">
        <f t="shared" si="21"/>
        <v>46630.978503532504</v>
      </c>
      <c r="BR15" s="515">
        <f t="shared" si="21"/>
        <v>47021.195896867503</v>
      </c>
      <c r="BS15" s="515">
        <f t="shared" si="21"/>
        <v>48582.065470207504</v>
      </c>
      <c r="BT15" s="515">
        <f t="shared" si="21"/>
        <v>53654.891583562508</v>
      </c>
      <c r="BU15" s="515">
        <f t="shared" si="21"/>
        <v>60600.761184925504</v>
      </c>
      <c r="BV15" s="515">
        <f t="shared" si="21"/>
        <v>86433.15262370251</v>
      </c>
      <c r="BW15" s="515">
        <f t="shared" si="22"/>
        <v>11621.695114260001</v>
      </c>
      <c r="BX15" s="515">
        <f t="shared" si="22"/>
        <v>11458.684539225</v>
      </c>
      <c r="BY15" s="515">
        <f t="shared" si="22"/>
        <v>11554.573112775</v>
      </c>
      <c r="BZ15" s="515">
        <f t="shared" si="22"/>
        <v>11938.127406975</v>
      </c>
      <c r="CA15" s="515">
        <f t="shared" si="22"/>
        <v>13184.678863125002</v>
      </c>
      <c r="CB15" s="515">
        <f t="shared" si="22"/>
        <v>14891.495472315</v>
      </c>
      <c r="CC15" s="515">
        <f t="shared" si="22"/>
        <v>21239.319041325001</v>
      </c>
    </row>
    <row r="16" spans="1:81">
      <c r="A16" s="687" t="s">
        <v>23</v>
      </c>
      <c r="B16" s="515">
        <f t="shared" ref="B16:D16" si="35">$K48*B$32</f>
        <v>10594.868014080002</v>
      </c>
      <c r="C16" s="515">
        <f t="shared" si="35"/>
        <v>12108.42058752</v>
      </c>
      <c r="D16" s="515">
        <f t="shared" si="35"/>
        <v>16649.078307840002</v>
      </c>
      <c r="E16" s="515">
        <f t="shared" si="12"/>
        <v>9172.1285950464007</v>
      </c>
      <c r="F16" s="515">
        <f t="shared" si="12"/>
        <v>9043.4766263040001</v>
      </c>
      <c r="G16" s="515">
        <f t="shared" si="12"/>
        <v>9119.1542549759997</v>
      </c>
      <c r="H16" s="515">
        <f t="shared" si="12"/>
        <v>9421.8647696640001</v>
      </c>
      <c r="I16" s="515">
        <f t="shared" si="12"/>
        <v>10405.673942400002</v>
      </c>
      <c r="J16" s="515">
        <f t="shared" si="12"/>
        <v>11752.735732761601</v>
      </c>
      <c r="K16" s="515">
        <f t="shared" si="12"/>
        <v>16762.594750848002</v>
      </c>
      <c r="L16" s="515">
        <f t="shared" si="13"/>
        <v>13428.560715811202</v>
      </c>
      <c r="M16" s="515">
        <f t="shared" si="13"/>
        <v>13240.206316332</v>
      </c>
      <c r="N16" s="515">
        <f t="shared" si="13"/>
        <v>13351.003021908</v>
      </c>
      <c r="O16" s="515">
        <f t="shared" si="13"/>
        <v>13794.189844212</v>
      </c>
      <c r="P16" s="515">
        <f t="shared" si="13"/>
        <v>15234.547016700002</v>
      </c>
      <c r="Q16" s="515">
        <f t="shared" si="13"/>
        <v>17206.7283759528</v>
      </c>
      <c r="R16" s="515">
        <f t="shared" si="13"/>
        <v>24541.470285084</v>
      </c>
      <c r="S16" s="515">
        <f t="shared" si="14"/>
        <v>7839.2849967360016</v>
      </c>
      <c r="T16" s="515">
        <f t="shared" si="14"/>
        <v>7729.3280289600007</v>
      </c>
      <c r="U16" s="515">
        <f t="shared" si="14"/>
        <v>7794.0085982400014</v>
      </c>
      <c r="V16" s="515">
        <f t="shared" si="14"/>
        <v>8052.7308753600009</v>
      </c>
      <c r="W16" s="515">
        <f t="shared" si="14"/>
        <v>8893.578276000002</v>
      </c>
      <c r="X16" s="515">
        <f t="shared" si="14"/>
        <v>10044.892409184002</v>
      </c>
      <c r="Y16" s="515">
        <f t="shared" si="14"/>
        <v>14326.746095520002</v>
      </c>
      <c r="Z16" s="515">
        <f t="shared" si="15"/>
        <v>12312.890776872002</v>
      </c>
      <c r="AA16" s="515">
        <f t="shared" si="15"/>
        <v>12140.18521317</v>
      </c>
      <c r="AB16" s="515">
        <f t="shared" si="15"/>
        <v>12241.77672123</v>
      </c>
      <c r="AC16" s="515">
        <f t="shared" si="15"/>
        <v>12648.142753470001</v>
      </c>
      <c r="AD16" s="515">
        <f t="shared" si="15"/>
        <v>13968.832358250002</v>
      </c>
      <c r="AE16" s="515">
        <f t="shared" si="15"/>
        <v>15777.161201718001</v>
      </c>
      <c r="AF16" s="515">
        <f t="shared" si="15"/>
        <v>22502.519035290003</v>
      </c>
      <c r="AG16" s="515">
        <f t="shared" si="16"/>
        <v>12755.796020099999</v>
      </c>
      <c r="AH16" s="515">
        <f t="shared" si="16"/>
        <v>12576.878089124999</v>
      </c>
      <c r="AI16" s="515">
        <f t="shared" si="16"/>
        <v>12682.123930874999</v>
      </c>
      <c r="AJ16" s="515">
        <f t="shared" si="16"/>
        <v>13103.107297875</v>
      </c>
      <c r="AK16" s="515">
        <f t="shared" si="16"/>
        <v>14471.303240625</v>
      </c>
      <c r="AL16" s="515">
        <f t="shared" si="16"/>
        <v>16344.679223774998</v>
      </c>
      <c r="AM16" s="515">
        <f t="shared" si="16"/>
        <v>23311.953947624999</v>
      </c>
      <c r="AN16" s="515">
        <f t="shared" si="17"/>
        <v>17145.800528472002</v>
      </c>
      <c r="AO16" s="515">
        <f t="shared" si="17"/>
        <v>16905.306626670001</v>
      </c>
      <c r="AP16" s="515">
        <f t="shared" si="17"/>
        <v>17046.773627729999</v>
      </c>
      <c r="AQ16" s="515">
        <f t="shared" si="17"/>
        <v>17612.64163197</v>
      </c>
      <c r="AR16" s="515">
        <f t="shared" si="17"/>
        <v>19451.712645750002</v>
      </c>
      <c r="AS16" s="515">
        <f t="shared" si="17"/>
        <v>21969.825264618001</v>
      </c>
      <c r="AT16" s="515">
        <f t="shared" si="17"/>
        <v>31334.940734790001</v>
      </c>
      <c r="AU16" s="515">
        <f t="shared" si="18"/>
        <v>16410.21676875</v>
      </c>
      <c r="AV16" s="515">
        <f t="shared" si="18"/>
        <v>16180.0404609375</v>
      </c>
      <c r="AW16" s="515">
        <f t="shared" si="18"/>
        <v>16315.4382890625</v>
      </c>
      <c r="AX16" s="515">
        <f t="shared" si="18"/>
        <v>16857.029601562499</v>
      </c>
      <c r="AY16" s="515">
        <f t="shared" si="18"/>
        <v>18617.201367187503</v>
      </c>
      <c r="AZ16" s="515">
        <f t="shared" si="18"/>
        <v>21027.282707812497</v>
      </c>
      <c r="BA16" s="515">
        <f t="shared" si="18"/>
        <v>29990.618929687502</v>
      </c>
      <c r="BB16" s="515">
        <f t="shared" si="19"/>
        <v>20184.397449300002</v>
      </c>
      <c r="BC16" s="515">
        <f t="shared" si="19"/>
        <v>19901.282963624999</v>
      </c>
      <c r="BD16" s="515">
        <f t="shared" si="19"/>
        <v>20067.820896375</v>
      </c>
      <c r="BE16" s="515">
        <f t="shared" si="19"/>
        <v>20733.972627375002</v>
      </c>
      <c r="BF16" s="515">
        <f t="shared" si="19"/>
        <v>22898.965753125001</v>
      </c>
      <c r="BG16" s="515">
        <f t="shared" si="19"/>
        <v>25863.340956075001</v>
      </c>
      <c r="BH16" s="515">
        <f t="shared" si="19"/>
        <v>36888.152104125002</v>
      </c>
      <c r="BI16" s="515">
        <f t="shared" si="20"/>
        <v>24644.872539000004</v>
      </c>
      <c r="BJ16" s="515">
        <f t="shared" si="20"/>
        <v>24299.193633750001</v>
      </c>
      <c r="BK16" s="515">
        <f t="shared" si="20"/>
        <v>24502.534166250003</v>
      </c>
      <c r="BL16" s="515">
        <f t="shared" si="20"/>
        <v>25315.896296250005</v>
      </c>
      <c r="BM16" s="515">
        <f t="shared" si="20"/>
        <v>27959.323218750007</v>
      </c>
      <c r="BN16" s="515">
        <f t="shared" si="20"/>
        <v>31578.784697250005</v>
      </c>
      <c r="BO16" s="515">
        <f t="shared" si="20"/>
        <v>45039.92794875001</v>
      </c>
      <c r="BP16" s="515">
        <f t="shared" si="21"/>
        <v>37114.334691714001</v>
      </c>
      <c r="BQ16" s="515">
        <f t="shared" si="21"/>
        <v>36593.754089602502</v>
      </c>
      <c r="BR16" s="515">
        <f t="shared" si="21"/>
        <v>36899.9779731975</v>
      </c>
      <c r="BS16" s="515">
        <f t="shared" si="21"/>
        <v>38124.873507577504</v>
      </c>
      <c r="BT16" s="515">
        <f t="shared" si="21"/>
        <v>42105.783994312507</v>
      </c>
      <c r="BU16" s="515">
        <f t="shared" si="21"/>
        <v>47556.569122303503</v>
      </c>
      <c r="BV16" s="515">
        <f t="shared" si="21"/>
        <v>67828.590216292505</v>
      </c>
      <c r="BW16" s="515">
        <f t="shared" si="22"/>
        <v>8779.4735830200007</v>
      </c>
      <c r="BX16" s="515">
        <f t="shared" si="22"/>
        <v>8656.3291515750007</v>
      </c>
      <c r="BY16" s="515">
        <f t="shared" si="22"/>
        <v>8728.7670524250007</v>
      </c>
      <c r="BZ16" s="515">
        <f t="shared" si="22"/>
        <v>9018.5186558250007</v>
      </c>
      <c r="CA16" s="515">
        <f t="shared" si="22"/>
        <v>9960.2113668750007</v>
      </c>
      <c r="CB16" s="515">
        <f t="shared" si="22"/>
        <v>11249.606002005001</v>
      </c>
      <c r="CC16" s="515">
        <f t="shared" si="22"/>
        <v>16044.995038275001</v>
      </c>
    </row>
    <row r="17" spans="1:83">
      <c r="A17" s="687" t="s">
        <v>24</v>
      </c>
      <c r="B17" s="515">
        <f t="shared" ref="B17:D17" si="36">$K49*B$32</f>
        <v>13379.88951936</v>
      </c>
      <c r="C17" s="515">
        <f t="shared" si="36"/>
        <v>15291.30230784</v>
      </c>
      <c r="D17" s="515">
        <f t="shared" si="36"/>
        <v>21025.54067328</v>
      </c>
      <c r="E17" s="515">
        <f t="shared" si="12"/>
        <v>11583.1614981888</v>
      </c>
      <c r="F17" s="515">
        <f t="shared" si="12"/>
        <v>11420.691411167998</v>
      </c>
      <c r="G17" s="515">
        <f t="shared" si="12"/>
        <v>11516.262050591999</v>
      </c>
      <c r="H17" s="515">
        <f t="shared" si="12"/>
        <v>11898.544608287999</v>
      </c>
      <c r="I17" s="515">
        <f t="shared" si="12"/>
        <v>13140.962920800001</v>
      </c>
      <c r="J17" s="515">
        <f t="shared" si="12"/>
        <v>14842.120302547199</v>
      </c>
      <c r="K17" s="515">
        <f t="shared" si="12"/>
        <v>21168.896632415999</v>
      </c>
      <c r="L17" s="515">
        <f t="shared" si="13"/>
        <v>15119.113630521602</v>
      </c>
      <c r="M17" s="515">
        <f t="shared" si="13"/>
        <v>14907.046855176</v>
      </c>
      <c r="N17" s="515">
        <f t="shared" si="13"/>
        <v>15031.792017144002</v>
      </c>
      <c r="O17" s="515">
        <f t="shared" si="13"/>
        <v>15530.772665016002</v>
      </c>
      <c r="P17" s="515">
        <f t="shared" si="13"/>
        <v>17152.459770600002</v>
      </c>
      <c r="Q17" s="515">
        <f t="shared" si="13"/>
        <v>19372.923653630402</v>
      </c>
      <c r="R17" s="515">
        <f t="shared" si="13"/>
        <v>27631.053375912004</v>
      </c>
      <c r="S17" s="515">
        <f t="shared" si="14"/>
        <v>10369.262047910401</v>
      </c>
      <c r="T17" s="515">
        <f t="shared" si="14"/>
        <v>10223.818603344</v>
      </c>
      <c r="U17" s="515">
        <f t="shared" si="14"/>
        <v>10309.373570736001</v>
      </c>
      <c r="V17" s="515">
        <f t="shared" si="14"/>
        <v>10651.593440304001</v>
      </c>
      <c r="W17" s="515">
        <f t="shared" si="14"/>
        <v>11763.808016400002</v>
      </c>
      <c r="X17" s="515">
        <f t="shared" si="14"/>
        <v>13286.686435977601</v>
      </c>
      <c r="Y17" s="515">
        <f t="shared" si="14"/>
        <v>18950.425277328002</v>
      </c>
      <c r="Z17" s="515">
        <f t="shared" si="15"/>
        <v>13687.004602656001</v>
      </c>
      <c r="AA17" s="515">
        <f t="shared" si="15"/>
        <v>13495.025165160001</v>
      </c>
      <c r="AB17" s="515">
        <f t="shared" si="15"/>
        <v>13607.954246040001</v>
      </c>
      <c r="AC17" s="515">
        <f t="shared" si="15"/>
        <v>14059.670569560001</v>
      </c>
      <c r="AD17" s="515">
        <f t="shared" si="15"/>
        <v>15527.748621000002</v>
      </c>
      <c r="AE17" s="515">
        <f t="shared" si="15"/>
        <v>17537.886260664</v>
      </c>
      <c r="AF17" s="515">
        <f t="shared" si="15"/>
        <v>25013.791414920001</v>
      </c>
      <c r="AG17" s="515">
        <f t="shared" si="16"/>
        <v>15210.768807360002</v>
      </c>
      <c r="AH17" s="515">
        <f t="shared" si="16"/>
        <v>14997.416439600001</v>
      </c>
      <c r="AI17" s="515">
        <f t="shared" si="16"/>
        <v>15122.917832400002</v>
      </c>
      <c r="AJ17" s="515">
        <f t="shared" si="16"/>
        <v>15624.923403600002</v>
      </c>
      <c r="AK17" s="515">
        <f t="shared" si="16"/>
        <v>17256.441510000004</v>
      </c>
      <c r="AL17" s="515">
        <f t="shared" si="16"/>
        <v>19490.36630184</v>
      </c>
      <c r="AM17" s="515">
        <f t="shared" si="16"/>
        <v>27798.558505200002</v>
      </c>
      <c r="AN17" s="515">
        <f t="shared" si="17"/>
        <v>16409.104961760004</v>
      </c>
      <c r="AO17" s="515">
        <f t="shared" si="17"/>
        <v>16178.944248600001</v>
      </c>
      <c r="AP17" s="515">
        <f t="shared" si="17"/>
        <v>16314.332903400002</v>
      </c>
      <c r="AQ17" s="515">
        <f t="shared" si="17"/>
        <v>16855.887522600002</v>
      </c>
      <c r="AR17" s="515">
        <f t="shared" si="17"/>
        <v>18615.940035000003</v>
      </c>
      <c r="AS17" s="515">
        <f t="shared" si="17"/>
        <v>21025.858090440001</v>
      </c>
      <c r="AT17" s="515">
        <f t="shared" si="17"/>
        <v>29988.587038200003</v>
      </c>
      <c r="AU17" s="515">
        <f t="shared" si="18"/>
        <v>22861.253187864004</v>
      </c>
      <c r="AV17" s="515">
        <f t="shared" si="18"/>
        <v>22540.592045790003</v>
      </c>
      <c r="AW17" s="515">
        <f t="shared" si="18"/>
        <v>22729.216247010001</v>
      </c>
      <c r="AX17" s="515">
        <f t="shared" si="18"/>
        <v>23483.713051890001</v>
      </c>
      <c r="AY17" s="515">
        <f t="shared" si="18"/>
        <v>25935.827667750003</v>
      </c>
      <c r="AZ17" s="515">
        <f t="shared" si="18"/>
        <v>29293.338449466002</v>
      </c>
      <c r="BA17" s="515">
        <f t="shared" si="18"/>
        <v>41780.260570230006</v>
      </c>
      <c r="BB17" s="515">
        <f t="shared" si="19"/>
        <v>24447.465783468</v>
      </c>
      <c r="BC17" s="515">
        <f t="shared" si="19"/>
        <v>24104.555784854998</v>
      </c>
      <c r="BD17" s="515">
        <f t="shared" si="19"/>
        <v>24306.267548745</v>
      </c>
      <c r="BE17" s="515">
        <f t="shared" si="19"/>
        <v>25113.114604304999</v>
      </c>
      <c r="BF17" s="515">
        <f t="shared" si="19"/>
        <v>27735.367534875004</v>
      </c>
      <c r="BG17" s="515">
        <f t="shared" si="19"/>
        <v>31325.836932116999</v>
      </c>
      <c r="BH17" s="515">
        <f t="shared" si="19"/>
        <v>44679.155701634998</v>
      </c>
      <c r="BI17" s="515">
        <f t="shared" si="20"/>
        <v>29691.880696799999</v>
      </c>
      <c r="BJ17" s="515">
        <f t="shared" si="20"/>
        <v>29275.410422999998</v>
      </c>
      <c r="BK17" s="515">
        <f t="shared" si="20"/>
        <v>29520.392936999997</v>
      </c>
      <c r="BL17" s="515">
        <f t="shared" si="20"/>
        <v>30500.322992999998</v>
      </c>
      <c r="BM17" s="515">
        <f t="shared" si="20"/>
        <v>33685.095675000004</v>
      </c>
      <c r="BN17" s="515">
        <f t="shared" si="20"/>
        <v>38045.784424199999</v>
      </c>
      <c r="BO17" s="515">
        <f t="shared" si="20"/>
        <v>54263.626851000001</v>
      </c>
      <c r="BP17" s="515">
        <f t="shared" si="21"/>
        <v>49127.864402232</v>
      </c>
      <c r="BQ17" s="515">
        <f t="shared" si="21"/>
        <v>48438.777195269999</v>
      </c>
      <c r="BR17" s="515">
        <f t="shared" si="21"/>
        <v>48844.122611129998</v>
      </c>
      <c r="BS17" s="515">
        <f t="shared" si="21"/>
        <v>50465.504274569998</v>
      </c>
      <c r="BT17" s="515">
        <f t="shared" si="21"/>
        <v>55734.994680750009</v>
      </c>
      <c r="BU17" s="515">
        <f t="shared" si="21"/>
        <v>62950.143083057999</v>
      </c>
      <c r="BV17" s="515">
        <f t="shared" si="21"/>
        <v>89784.009612990005</v>
      </c>
      <c r="BW17" s="515">
        <f t="shared" si="22"/>
        <v>11037.03620418</v>
      </c>
      <c r="BX17" s="515">
        <f t="shared" si="22"/>
        <v>10882.226290424998</v>
      </c>
      <c r="BY17" s="515">
        <f t="shared" si="22"/>
        <v>10973.290945574998</v>
      </c>
      <c r="BZ17" s="515">
        <f t="shared" si="22"/>
        <v>11337.549566174999</v>
      </c>
      <c r="CA17" s="515">
        <f t="shared" si="22"/>
        <v>12521.390083124999</v>
      </c>
      <c r="CB17" s="515">
        <f t="shared" si="22"/>
        <v>14142.340944794998</v>
      </c>
      <c r="CC17" s="515">
        <f t="shared" si="22"/>
        <v>20170.821115724997</v>
      </c>
    </row>
    <row r="18" spans="1:83">
      <c r="A18" s="687" t="s">
        <v>25</v>
      </c>
      <c r="B18" s="515">
        <f t="shared" ref="B18:D18" si="37">$K50*B$32</f>
        <v>17575.219287360003</v>
      </c>
      <c r="C18" s="515">
        <f t="shared" si="37"/>
        <v>20085.964899840001</v>
      </c>
      <c r="D18" s="515">
        <f t="shared" si="37"/>
        <v>27618.20173728</v>
      </c>
      <c r="E18" s="515">
        <f t="shared" si="12"/>
        <v>15215.1184116288</v>
      </c>
      <c r="F18" s="515">
        <f t="shared" si="12"/>
        <v>15001.705034568</v>
      </c>
      <c r="G18" s="515">
        <f t="shared" si="12"/>
        <v>15127.242315192001</v>
      </c>
      <c r="H18" s="515">
        <f t="shared" si="12"/>
        <v>15629.391437688</v>
      </c>
      <c r="I18" s="515">
        <f t="shared" si="12"/>
        <v>17261.376085800002</v>
      </c>
      <c r="J18" s="515">
        <f t="shared" si="12"/>
        <v>19495.939680907199</v>
      </c>
      <c r="K18" s="515">
        <f t="shared" si="12"/>
        <v>27806.507658216</v>
      </c>
      <c r="L18" s="515">
        <f t="shared" si="13"/>
        <v>15593.116372416001</v>
      </c>
      <c r="M18" s="515">
        <f t="shared" si="13"/>
        <v>15374.401043760001</v>
      </c>
      <c r="N18" s="515">
        <f t="shared" si="13"/>
        <v>15503.05711944</v>
      </c>
      <c r="O18" s="515">
        <f t="shared" si="13"/>
        <v>16017.681422160002</v>
      </c>
      <c r="P18" s="515">
        <f t="shared" si="13"/>
        <v>17690.210406000002</v>
      </c>
      <c r="Q18" s="515">
        <f t="shared" si="13"/>
        <v>19980.288553104001</v>
      </c>
      <c r="R18" s="515">
        <f t="shared" si="13"/>
        <v>28497.320763120002</v>
      </c>
      <c r="S18" s="515">
        <f t="shared" si="14"/>
        <v>12936.089988172802</v>
      </c>
      <c r="T18" s="515">
        <f t="shared" si="14"/>
        <v>12754.643181408001</v>
      </c>
      <c r="U18" s="515">
        <f t="shared" si="14"/>
        <v>12861.376597152001</v>
      </c>
      <c r="V18" s="515">
        <f t="shared" si="14"/>
        <v>13288.310260128001</v>
      </c>
      <c r="W18" s="515">
        <f t="shared" si="14"/>
        <v>14675.844664800003</v>
      </c>
      <c r="X18" s="515">
        <f t="shared" si="14"/>
        <v>16575.699465043203</v>
      </c>
      <c r="Y18" s="515">
        <f t="shared" si="14"/>
        <v>23641.451587296004</v>
      </c>
      <c r="Z18" s="515">
        <f t="shared" si="15"/>
        <v>17392.078050984001</v>
      </c>
      <c r="AA18" s="515">
        <f t="shared" si="15"/>
        <v>17148.12976149</v>
      </c>
      <c r="AB18" s="515">
        <f t="shared" si="15"/>
        <v>17291.628755310001</v>
      </c>
      <c r="AC18" s="515">
        <f t="shared" si="15"/>
        <v>17865.62473059</v>
      </c>
      <c r="AD18" s="515">
        <f t="shared" si="15"/>
        <v>19731.111650250001</v>
      </c>
      <c r="AE18" s="515">
        <f t="shared" si="15"/>
        <v>22285.393740246</v>
      </c>
      <c r="AF18" s="515">
        <f t="shared" si="15"/>
        <v>31785.027131130002</v>
      </c>
      <c r="AG18" s="515">
        <f t="shared" si="16"/>
        <v>21517.080789456002</v>
      </c>
      <c r="AH18" s="515">
        <f t="shared" si="16"/>
        <v>21215.27355066</v>
      </c>
      <c r="AI18" s="515">
        <f t="shared" si="16"/>
        <v>21392.807220539999</v>
      </c>
      <c r="AJ18" s="515">
        <f t="shared" si="16"/>
        <v>22102.941900059999</v>
      </c>
      <c r="AK18" s="515">
        <f t="shared" si="16"/>
        <v>24410.879608500003</v>
      </c>
      <c r="AL18" s="515">
        <f t="shared" si="16"/>
        <v>27570.978932364</v>
      </c>
      <c r="AM18" s="515">
        <f t="shared" si="16"/>
        <v>39323.707878419998</v>
      </c>
      <c r="AN18" s="515">
        <f t="shared" si="17"/>
        <v>18474.670166399999</v>
      </c>
      <c r="AO18" s="515">
        <f t="shared" si="17"/>
        <v>18215.537003999998</v>
      </c>
      <c r="AP18" s="515">
        <f t="shared" si="17"/>
        <v>18367.968276</v>
      </c>
      <c r="AQ18" s="515">
        <f t="shared" si="17"/>
        <v>18977.693363999999</v>
      </c>
      <c r="AR18" s="515">
        <f t="shared" si="17"/>
        <v>20959.299900000002</v>
      </c>
      <c r="AS18" s="515">
        <f t="shared" si="17"/>
        <v>23672.576541599999</v>
      </c>
      <c r="AT18" s="515">
        <f t="shared" si="17"/>
        <v>33763.526747999997</v>
      </c>
      <c r="AU18" s="515">
        <f t="shared" si="18"/>
        <v>24124.127482350003</v>
      </c>
      <c r="AV18" s="515">
        <f t="shared" si="18"/>
        <v>23785.752756937502</v>
      </c>
      <c r="AW18" s="515">
        <f t="shared" si="18"/>
        <v>23984.796713062504</v>
      </c>
      <c r="AX18" s="515">
        <f t="shared" si="18"/>
        <v>24780.972537562502</v>
      </c>
      <c r="AY18" s="515">
        <f t="shared" si="18"/>
        <v>27368.543967187506</v>
      </c>
      <c r="AZ18" s="515">
        <f t="shared" si="18"/>
        <v>30911.526386212503</v>
      </c>
      <c r="BA18" s="515">
        <f t="shared" si="18"/>
        <v>44088.236281687503</v>
      </c>
      <c r="BB18" s="515">
        <f t="shared" si="19"/>
        <v>32998.675166100002</v>
      </c>
      <c r="BC18" s="515">
        <f t="shared" si="19"/>
        <v>32535.822461624997</v>
      </c>
      <c r="BD18" s="515">
        <f t="shared" si="19"/>
        <v>32808.088758374994</v>
      </c>
      <c r="BE18" s="515">
        <f t="shared" si="19"/>
        <v>33897.153945374994</v>
      </c>
      <c r="BF18" s="515">
        <f t="shared" si="19"/>
        <v>37436.615803125002</v>
      </c>
      <c r="BG18" s="515">
        <f t="shared" si="19"/>
        <v>42282.955885274998</v>
      </c>
      <c r="BH18" s="515">
        <f t="shared" si="19"/>
        <v>60306.984730124997</v>
      </c>
      <c r="BI18" s="515">
        <f t="shared" si="20"/>
        <v>39141.380890458</v>
      </c>
      <c r="BJ18" s="515">
        <f t="shared" si="20"/>
        <v>38592.3681221925</v>
      </c>
      <c r="BK18" s="515">
        <f t="shared" si="20"/>
        <v>38915.316809407494</v>
      </c>
      <c r="BL18" s="515">
        <f t="shared" si="20"/>
        <v>40207.111558267497</v>
      </c>
      <c r="BM18" s="515">
        <f t="shared" si="20"/>
        <v>44405.444492062503</v>
      </c>
      <c r="BN18" s="515">
        <f t="shared" si="20"/>
        <v>50153.931124489493</v>
      </c>
      <c r="BO18" s="515">
        <f t="shared" si="20"/>
        <v>71533.13421812249</v>
      </c>
      <c r="BP18" s="515">
        <f t="shared" si="21"/>
        <v>48047.878380726004</v>
      </c>
      <c r="BQ18" s="515">
        <f t="shared" si="21"/>
        <v>47373.939492547499</v>
      </c>
      <c r="BR18" s="515">
        <f t="shared" si="21"/>
        <v>47770.374132652498</v>
      </c>
      <c r="BS18" s="515">
        <f t="shared" si="21"/>
        <v>49356.1126930725</v>
      </c>
      <c r="BT18" s="515">
        <f t="shared" si="21"/>
        <v>54509.763014437507</v>
      </c>
      <c r="BU18" s="515">
        <f t="shared" si="21"/>
        <v>61566.299608306494</v>
      </c>
      <c r="BV18" s="515">
        <f t="shared" si="21"/>
        <v>87810.272783257504</v>
      </c>
      <c r="BW18" s="515">
        <f t="shared" si="22"/>
        <v>9478.9637215559997</v>
      </c>
      <c r="BX18" s="515">
        <f t="shared" si="22"/>
        <v>9346.0079597849999</v>
      </c>
      <c r="BY18" s="515">
        <f t="shared" si="22"/>
        <v>9424.2172314149993</v>
      </c>
      <c r="BZ18" s="515">
        <f t="shared" si="22"/>
        <v>9737.0543179350007</v>
      </c>
      <c r="CA18" s="515">
        <f t="shared" si="22"/>
        <v>10753.774849125</v>
      </c>
      <c r="CB18" s="515">
        <f t="shared" si="22"/>
        <v>12145.899884139</v>
      </c>
      <c r="CC18" s="515">
        <f t="shared" si="22"/>
        <v>17323.353666045001</v>
      </c>
    </row>
    <row r="19" spans="1:83">
      <c r="A19" s="687" t="s">
        <v>26</v>
      </c>
      <c r="B19" s="515">
        <f t="shared" ref="B19:D19" si="38">$K51*B$32</f>
        <v>12385.740024000002</v>
      </c>
      <c r="C19" s="515">
        <f t="shared" si="38"/>
        <v>14155.131456000003</v>
      </c>
      <c r="D19" s="515">
        <f t="shared" si="38"/>
        <v>19463.305752000004</v>
      </c>
      <c r="E19" s="515">
        <f t="shared" ref="E19:K30" si="39">$K51*E$32</f>
        <v>10722.512077920001</v>
      </c>
      <c r="F19" s="515">
        <f t="shared" si="39"/>
        <v>10572.113806200001</v>
      </c>
      <c r="G19" s="515">
        <f t="shared" si="39"/>
        <v>10660.583377800001</v>
      </c>
      <c r="H19" s="515">
        <f t="shared" si="39"/>
        <v>11014.461664200002</v>
      </c>
      <c r="I19" s="515">
        <f t="shared" si="39"/>
        <v>12164.566095000002</v>
      </c>
      <c r="J19" s="515">
        <f t="shared" si="39"/>
        <v>13739.324469480001</v>
      </c>
      <c r="K19" s="515">
        <f t="shared" si="39"/>
        <v>19596.010109400002</v>
      </c>
      <c r="L19" s="515">
        <f t="shared" ref="L19:R30" si="40">$R51*L$32</f>
        <v>14789.165274475199</v>
      </c>
      <c r="M19" s="515">
        <f t="shared" si="40"/>
        <v>14581.726487622</v>
      </c>
      <c r="N19" s="515">
        <f t="shared" si="40"/>
        <v>14703.749303417999</v>
      </c>
      <c r="O19" s="515">
        <f t="shared" si="40"/>
        <v>15191.840566601999</v>
      </c>
      <c r="P19" s="515">
        <f t="shared" si="40"/>
        <v>16778.137171950002</v>
      </c>
      <c r="Q19" s="515">
        <f t="shared" si="40"/>
        <v>18950.143293118799</v>
      </c>
      <c r="R19" s="515">
        <f t="shared" si="40"/>
        <v>27028.053698813997</v>
      </c>
      <c r="S19" s="515">
        <f t="shared" ref="S19:Y30" si="41">$Y51*S$32</f>
        <v>9116.7231456000009</v>
      </c>
      <c r="T19" s="515">
        <f t="shared" si="41"/>
        <v>8988.8483160000014</v>
      </c>
      <c r="U19" s="515">
        <f t="shared" si="41"/>
        <v>9064.0688040000005</v>
      </c>
      <c r="V19" s="515">
        <f t="shared" si="41"/>
        <v>9364.950756000002</v>
      </c>
      <c r="W19" s="515">
        <f t="shared" si="41"/>
        <v>10342.817100000002</v>
      </c>
      <c r="X19" s="515">
        <f t="shared" si="41"/>
        <v>11681.741786400002</v>
      </c>
      <c r="Y19" s="515">
        <f t="shared" si="41"/>
        <v>16661.338092000002</v>
      </c>
      <c r="Z19" s="515">
        <f t="shared" ref="Z19:AF30" si="42">$AF51*Z$32</f>
        <v>10048.091312196002</v>
      </c>
      <c r="AA19" s="515">
        <f t="shared" si="42"/>
        <v>9907.1527376850008</v>
      </c>
      <c r="AB19" s="515">
        <f t="shared" si="42"/>
        <v>9990.0577815150009</v>
      </c>
      <c r="AC19" s="515">
        <f t="shared" si="42"/>
        <v>10321.677956835001</v>
      </c>
      <c r="AD19" s="515">
        <f t="shared" si="42"/>
        <v>11399.443526625002</v>
      </c>
      <c r="AE19" s="515">
        <f t="shared" si="42"/>
        <v>12875.153306799</v>
      </c>
      <c r="AF19" s="515">
        <f t="shared" si="42"/>
        <v>18363.467208345002</v>
      </c>
      <c r="AG19" s="515">
        <f t="shared" ref="AG19:AM30" si="43">$AM51*AG$32</f>
        <v>15588.488322540001</v>
      </c>
      <c r="AH19" s="515">
        <f t="shared" si="43"/>
        <v>15369.837908775</v>
      </c>
      <c r="AI19" s="515">
        <f t="shared" si="43"/>
        <v>15498.455799225001</v>
      </c>
      <c r="AJ19" s="515">
        <f t="shared" si="43"/>
        <v>16012.927361025</v>
      </c>
      <c r="AK19" s="515">
        <f t="shared" si="43"/>
        <v>17684.959936875002</v>
      </c>
      <c r="AL19" s="515">
        <f t="shared" si="43"/>
        <v>19974.358386885</v>
      </c>
      <c r="AM19" s="515">
        <f t="shared" si="43"/>
        <v>28488.862734675</v>
      </c>
      <c r="AN19" s="515">
        <f t="shared" ref="AN19:AT30" si="44">$AT51*AN$32</f>
        <v>13162.219791840002</v>
      </c>
      <c r="AO19" s="515">
        <f t="shared" si="44"/>
        <v>12977.601197399999</v>
      </c>
      <c r="AP19" s="515">
        <f t="shared" si="44"/>
        <v>13086.2003706</v>
      </c>
      <c r="AQ19" s="515">
        <f t="shared" si="44"/>
        <v>13520.5970634</v>
      </c>
      <c r="AR19" s="515">
        <f t="shared" si="44"/>
        <v>14932.386315000002</v>
      </c>
      <c r="AS19" s="515">
        <f t="shared" si="44"/>
        <v>16865.45159796</v>
      </c>
      <c r="AT19" s="515">
        <f t="shared" si="44"/>
        <v>24054.7168638</v>
      </c>
      <c r="AU19" s="515">
        <f t="shared" ref="AU19:BA30" si="45">$BA51*AU$32</f>
        <v>14405.614067250001</v>
      </c>
      <c r="AV19" s="515">
        <f t="shared" si="45"/>
        <v>14203.555124062499</v>
      </c>
      <c r="AW19" s="515">
        <f t="shared" si="45"/>
        <v>14322.413325937499</v>
      </c>
      <c r="AX19" s="515">
        <f t="shared" si="45"/>
        <v>14797.846133437501</v>
      </c>
      <c r="AY19" s="515">
        <f t="shared" si="45"/>
        <v>16343.002757812501</v>
      </c>
      <c r="AZ19" s="515">
        <f t="shared" si="45"/>
        <v>18458.678751187497</v>
      </c>
      <c r="BA19" s="515">
        <f t="shared" si="45"/>
        <v>26327.091715312501</v>
      </c>
      <c r="BB19" s="515">
        <f t="shared" ref="BB19:BH30" si="46">$BH51*BB$32</f>
        <v>17183.712593250002</v>
      </c>
      <c r="BC19" s="515">
        <f t="shared" si="46"/>
        <v>16942.686921562501</v>
      </c>
      <c r="BD19" s="515">
        <f t="shared" si="46"/>
        <v>17084.466728437499</v>
      </c>
      <c r="BE19" s="515">
        <f t="shared" si="46"/>
        <v>17651.585955937502</v>
      </c>
      <c r="BF19" s="515">
        <f t="shared" si="46"/>
        <v>19494.723445312502</v>
      </c>
      <c r="BG19" s="515">
        <f t="shared" si="46"/>
        <v>22018.404007687499</v>
      </c>
      <c r="BH19" s="515">
        <f t="shared" si="46"/>
        <v>31404.227222812504</v>
      </c>
      <c r="BI19" s="515">
        <f t="shared" ref="BI19:BO30" si="47">$BO51*BI$32</f>
        <v>19157.446472849999</v>
      </c>
      <c r="BJ19" s="515">
        <f t="shared" si="47"/>
        <v>18888.7364150625</v>
      </c>
      <c r="BK19" s="515">
        <f t="shared" si="47"/>
        <v>19046.801154937501</v>
      </c>
      <c r="BL19" s="515">
        <f t="shared" si="47"/>
        <v>19679.0601144375</v>
      </c>
      <c r="BM19" s="515">
        <f t="shared" si="47"/>
        <v>21733.901732812501</v>
      </c>
      <c r="BN19" s="515">
        <f t="shared" si="47"/>
        <v>24547.454102587501</v>
      </c>
      <c r="BO19" s="515">
        <f t="shared" si="47"/>
        <v>35011.339882312503</v>
      </c>
      <c r="BP19" s="515">
        <f t="shared" ref="BP19:BV30" si="48">$BV51*BP$32</f>
        <v>34594.775023788003</v>
      </c>
      <c r="BQ19" s="515">
        <f t="shared" si="48"/>
        <v>34109.534780055001</v>
      </c>
      <c r="BR19" s="515">
        <f t="shared" si="48"/>
        <v>34394.970217545</v>
      </c>
      <c r="BS19" s="515">
        <f t="shared" si="48"/>
        <v>35536.711967505005</v>
      </c>
      <c r="BT19" s="515">
        <f t="shared" si="48"/>
        <v>39247.372654875006</v>
      </c>
      <c r="BU19" s="515">
        <f t="shared" si="48"/>
        <v>44328.123442197008</v>
      </c>
      <c r="BV19" s="515">
        <f t="shared" si="48"/>
        <v>63223.949404035011</v>
      </c>
      <c r="BW19" s="515">
        <f t="shared" ref="BW19:CC30" si="49">$CC51*BW$32</f>
        <v>7055.0710714260003</v>
      </c>
      <c r="BX19" s="515">
        <f t="shared" si="49"/>
        <v>6956.1138039224998</v>
      </c>
      <c r="BY19" s="515">
        <f t="shared" si="49"/>
        <v>7014.3239612775005</v>
      </c>
      <c r="BZ19" s="515">
        <f t="shared" si="49"/>
        <v>7247.1645906975</v>
      </c>
      <c r="CA19" s="515">
        <f t="shared" si="49"/>
        <v>8003.896636312501</v>
      </c>
      <c r="CB19" s="515">
        <f t="shared" si="49"/>
        <v>9040.0374372315</v>
      </c>
      <c r="CC19" s="515">
        <f t="shared" si="49"/>
        <v>12893.549854132501</v>
      </c>
    </row>
    <row r="20" spans="1:83">
      <c r="A20" s="688" t="s">
        <v>27</v>
      </c>
      <c r="B20" s="515">
        <f t="shared" ref="B20:D20" si="50">$K52*B$32</f>
        <v>13843.746201600003</v>
      </c>
      <c r="C20" s="515">
        <f t="shared" si="50"/>
        <v>15821.424230400004</v>
      </c>
      <c r="D20" s="515">
        <f t="shared" si="50"/>
        <v>21754.458316800003</v>
      </c>
      <c r="E20" s="515">
        <f t="shared" si="39"/>
        <v>11984.728854528003</v>
      </c>
      <c r="F20" s="515">
        <f t="shared" si="39"/>
        <v>11816.626222080002</v>
      </c>
      <c r="G20" s="515">
        <f t="shared" si="39"/>
        <v>11915.510123520002</v>
      </c>
      <c r="H20" s="515">
        <f t="shared" si="39"/>
        <v>12311.045729280002</v>
      </c>
      <c r="I20" s="515">
        <f t="shared" si="39"/>
        <v>13596.536448000003</v>
      </c>
      <c r="J20" s="515">
        <f t="shared" si="39"/>
        <v>15356.669893632003</v>
      </c>
      <c r="K20" s="515">
        <f t="shared" si="39"/>
        <v>21902.784168960003</v>
      </c>
      <c r="L20" s="515">
        <f t="shared" si="40"/>
        <v>13686.688609531202</v>
      </c>
      <c r="M20" s="515">
        <f t="shared" si="40"/>
        <v>13494.713604282</v>
      </c>
      <c r="N20" s="515">
        <f t="shared" si="40"/>
        <v>13607.640077958</v>
      </c>
      <c r="O20" s="515">
        <f t="shared" si="40"/>
        <v>14059.345972662</v>
      </c>
      <c r="P20" s="515">
        <f t="shared" si="40"/>
        <v>15527.390130450003</v>
      </c>
      <c r="Q20" s="515">
        <f t="shared" si="40"/>
        <v>17537.481361882801</v>
      </c>
      <c r="R20" s="515">
        <f t="shared" si="40"/>
        <v>25013.213919234004</v>
      </c>
      <c r="S20" s="515">
        <f t="shared" si="41"/>
        <v>9181.0337378976019</v>
      </c>
      <c r="T20" s="515">
        <f t="shared" si="41"/>
        <v>9052.2568620359998</v>
      </c>
      <c r="U20" s="515">
        <f t="shared" si="41"/>
        <v>9128.007965484001</v>
      </c>
      <c r="V20" s="515">
        <f t="shared" si="41"/>
        <v>9431.0123792760005</v>
      </c>
      <c r="W20" s="515">
        <f t="shared" si="41"/>
        <v>10415.776724100002</v>
      </c>
      <c r="X20" s="515">
        <f t="shared" si="41"/>
        <v>11764.1463654744</v>
      </c>
      <c r="Y20" s="515">
        <f t="shared" si="41"/>
        <v>16778.869413732002</v>
      </c>
      <c r="Z20" s="515">
        <f t="shared" si="42"/>
        <v>10562.58</v>
      </c>
      <c r="AA20" s="515">
        <f t="shared" si="42"/>
        <v>10414.424999999999</v>
      </c>
      <c r="AB20" s="515">
        <f t="shared" si="42"/>
        <v>10501.574999999999</v>
      </c>
      <c r="AC20" s="515">
        <f t="shared" si="42"/>
        <v>10850.174999999999</v>
      </c>
      <c r="AD20" s="515">
        <f t="shared" si="42"/>
        <v>11983.125000000002</v>
      </c>
      <c r="AE20" s="515">
        <f t="shared" si="42"/>
        <v>13534.394999999999</v>
      </c>
      <c r="AF20" s="515">
        <f t="shared" si="42"/>
        <v>19303.724999999999</v>
      </c>
      <c r="AG20" s="515">
        <f t="shared" si="43"/>
        <v>8872.5671999999995</v>
      </c>
      <c r="AH20" s="515">
        <f t="shared" si="43"/>
        <v>8748.1170000000002</v>
      </c>
      <c r="AI20" s="515">
        <f t="shared" si="43"/>
        <v>8821.3230000000003</v>
      </c>
      <c r="AJ20" s="515">
        <f t="shared" si="43"/>
        <v>9114.1470000000008</v>
      </c>
      <c r="AK20" s="515">
        <f t="shared" si="43"/>
        <v>10065.825000000001</v>
      </c>
      <c r="AL20" s="515">
        <f t="shared" si="43"/>
        <v>11368.891799999999</v>
      </c>
      <c r="AM20" s="515">
        <f t="shared" si="43"/>
        <v>16215.129000000001</v>
      </c>
      <c r="AN20" s="515">
        <f t="shared" si="44"/>
        <v>14463.201367944001</v>
      </c>
      <c r="AO20" s="515">
        <f t="shared" si="44"/>
        <v>14260.334682090001</v>
      </c>
      <c r="AP20" s="515">
        <f t="shared" si="44"/>
        <v>14379.66802671</v>
      </c>
      <c r="AQ20" s="515">
        <f t="shared" si="44"/>
        <v>14857.00140519</v>
      </c>
      <c r="AR20" s="515">
        <f t="shared" si="44"/>
        <v>16408.334885250002</v>
      </c>
      <c r="AS20" s="515">
        <f t="shared" si="44"/>
        <v>18532.468419485998</v>
      </c>
      <c r="AT20" s="515">
        <f t="shared" si="44"/>
        <v>26432.335833330002</v>
      </c>
      <c r="AU20" s="515">
        <f t="shared" si="45"/>
        <v>24413.405433480002</v>
      </c>
      <c r="AV20" s="515">
        <f t="shared" si="45"/>
        <v>24070.973179050001</v>
      </c>
      <c r="AW20" s="515">
        <f t="shared" si="45"/>
        <v>24272.403916949999</v>
      </c>
      <c r="AX20" s="515">
        <f t="shared" si="45"/>
        <v>25078.12686855</v>
      </c>
      <c r="AY20" s="515">
        <f t="shared" si="45"/>
        <v>27696.726461250004</v>
      </c>
      <c r="AZ20" s="515">
        <f t="shared" si="45"/>
        <v>31282.193595870001</v>
      </c>
      <c r="BA20" s="515">
        <f t="shared" si="45"/>
        <v>44616.90844485</v>
      </c>
      <c r="BB20" s="515">
        <f t="shared" si="46"/>
        <v>26877.038645520006</v>
      </c>
      <c r="BC20" s="515">
        <f t="shared" si="46"/>
        <v>26500.050479700003</v>
      </c>
      <c r="BD20" s="515">
        <f t="shared" si="46"/>
        <v>26721.808224300003</v>
      </c>
      <c r="BE20" s="515">
        <f t="shared" si="46"/>
        <v>27608.839202700005</v>
      </c>
      <c r="BF20" s="515">
        <f t="shared" si="46"/>
        <v>30491.689882500006</v>
      </c>
      <c r="BG20" s="515">
        <f t="shared" si="46"/>
        <v>34438.977736380002</v>
      </c>
      <c r="BH20" s="515">
        <f t="shared" si="46"/>
        <v>49119.34042890001</v>
      </c>
      <c r="BI20" s="515">
        <f t="shared" si="47"/>
        <v>46445.493240720003</v>
      </c>
      <c r="BJ20" s="515">
        <f t="shared" si="47"/>
        <v>45794.0300517</v>
      </c>
      <c r="BK20" s="515">
        <f t="shared" si="47"/>
        <v>46177.243692300006</v>
      </c>
      <c r="BL20" s="515">
        <f t="shared" si="47"/>
        <v>47710.098254700002</v>
      </c>
      <c r="BM20" s="515">
        <f t="shared" si="47"/>
        <v>52691.875582500012</v>
      </c>
      <c r="BN20" s="515">
        <f t="shared" si="47"/>
        <v>59513.078385180001</v>
      </c>
      <c r="BO20" s="515">
        <f t="shared" si="47"/>
        <v>84881.821392900005</v>
      </c>
      <c r="BP20" s="515">
        <f t="shared" si="48"/>
        <v>64387.618765092004</v>
      </c>
      <c r="BQ20" s="515">
        <f t="shared" si="48"/>
        <v>63484.492099244999</v>
      </c>
      <c r="BR20" s="515">
        <f t="shared" si="48"/>
        <v>64015.743079155</v>
      </c>
      <c r="BS20" s="515">
        <f t="shared" si="48"/>
        <v>66140.746998795003</v>
      </c>
      <c r="BT20" s="515">
        <f t="shared" si="48"/>
        <v>73047.009737625005</v>
      </c>
      <c r="BU20" s="515">
        <f t="shared" si="48"/>
        <v>82503.277180022997</v>
      </c>
      <c r="BV20" s="515">
        <f t="shared" si="48"/>
        <v>117672.092050065</v>
      </c>
      <c r="BW20" s="515">
        <f t="shared" si="49"/>
        <v>11682.5481738</v>
      </c>
      <c r="BX20" s="515">
        <f t="shared" si="49"/>
        <v>11518.68404925</v>
      </c>
      <c r="BY20" s="515">
        <f t="shared" si="49"/>
        <v>11615.074710749999</v>
      </c>
      <c r="BZ20" s="515">
        <f t="shared" si="49"/>
        <v>12000.63735675</v>
      </c>
      <c r="CA20" s="515">
        <f t="shared" si="49"/>
        <v>13253.715956250002</v>
      </c>
      <c r="CB20" s="515">
        <f t="shared" si="49"/>
        <v>14969.469730949999</v>
      </c>
      <c r="CC20" s="515">
        <f t="shared" si="49"/>
        <v>21350.531522249999</v>
      </c>
    </row>
    <row r="21" spans="1:83">
      <c r="A21" s="684" t="s">
        <v>28</v>
      </c>
      <c r="B21" s="515">
        <f t="shared" ref="B21:D21" si="51">$K53*B$32</f>
        <v>20167.428314880006</v>
      </c>
      <c r="C21" s="515">
        <f t="shared" si="51"/>
        <v>23048.489502720004</v>
      </c>
      <c r="D21" s="515">
        <f t="shared" si="51"/>
        <v>31691.673066240004</v>
      </c>
      <c r="E21" s="515">
        <f t="shared" si="39"/>
        <v>17459.230798310404</v>
      </c>
      <c r="F21" s="515">
        <f t="shared" si="39"/>
        <v>17214.340597344002</v>
      </c>
      <c r="G21" s="515">
        <f t="shared" si="39"/>
        <v>17358.393656736003</v>
      </c>
      <c r="H21" s="515">
        <f t="shared" si="39"/>
        <v>17934.605894304004</v>
      </c>
      <c r="I21" s="515">
        <f t="shared" si="39"/>
        <v>19807.295666400005</v>
      </c>
      <c r="J21" s="515">
        <f t="shared" si="39"/>
        <v>22371.440123577602</v>
      </c>
      <c r="K21" s="515">
        <f t="shared" si="39"/>
        <v>31907.752655328004</v>
      </c>
      <c r="L21" s="515">
        <f t="shared" si="40"/>
        <v>19191.852509356802</v>
      </c>
      <c r="M21" s="515">
        <f t="shared" si="40"/>
        <v>18922.659858647999</v>
      </c>
      <c r="N21" s="515">
        <f t="shared" si="40"/>
        <v>19081.008476711999</v>
      </c>
      <c r="O21" s="515">
        <f t="shared" si="40"/>
        <v>19714.402948968</v>
      </c>
      <c r="P21" s="515">
        <f t="shared" si="40"/>
        <v>21772.934983800002</v>
      </c>
      <c r="Q21" s="515">
        <f t="shared" si="40"/>
        <v>24591.540385339202</v>
      </c>
      <c r="R21" s="515">
        <f t="shared" si="40"/>
        <v>35074.218901176006</v>
      </c>
      <c r="S21" s="515">
        <f t="shared" si="41"/>
        <v>16202.0002692096</v>
      </c>
      <c r="T21" s="515">
        <f t="shared" si="41"/>
        <v>15974.744489856001</v>
      </c>
      <c r="U21" s="515">
        <f t="shared" si="41"/>
        <v>16108.424360064</v>
      </c>
      <c r="V21" s="515">
        <f t="shared" si="41"/>
        <v>16643.143840896002</v>
      </c>
      <c r="W21" s="515">
        <f t="shared" si="41"/>
        <v>18380.982153600002</v>
      </c>
      <c r="X21" s="515">
        <f t="shared" si="41"/>
        <v>20760.483843302402</v>
      </c>
      <c r="Y21" s="515">
        <f t="shared" si="41"/>
        <v>29610.091251072001</v>
      </c>
      <c r="Z21" s="515">
        <f t="shared" si="42"/>
        <v>21950.805776256002</v>
      </c>
      <c r="AA21" s="515">
        <f t="shared" si="42"/>
        <v>21642.914936159999</v>
      </c>
      <c r="AB21" s="515">
        <f t="shared" si="42"/>
        <v>21824.027195040002</v>
      </c>
      <c r="AC21" s="515">
        <f t="shared" si="42"/>
        <v>22548.476230560002</v>
      </c>
      <c r="AD21" s="515">
        <f t="shared" si="42"/>
        <v>24902.935596000003</v>
      </c>
      <c r="AE21" s="515">
        <f t="shared" si="42"/>
        <v>28126.733804063999</v>
      </c>
      <c r="AF21" s="515">
        <f t="shared" si="42"/>
        <v>40116.365341920005</v>
      </c>
      <c r="AG21" s="515">
        <f t="shared" si="43"/>
        <v>27990.281331936003</v>
      </c>
      <c r="AH21" s="515">
        <f t="shared" si="43"/>
        <v>27597.67837596</v>
      </c>
      <c r="AI21" s="515">
        <f t="shared" si="43"/>
        <v>27828.621291240001</v>
      </c>
      <c r="AJ21" s="515">
        <f t="shared" si="43"/>
        <v>28752.392952360002</v>
      </c>
      <c r="AK21" s="515">
        <f t="shared" si="43"/>
        <v>31754.650851000006</v>
      </c>
      <c r="AL21" s="515">
        <f t="shared" si="43"/>
        <v>35865.434742983998</v>
      </c>
      <c r="AM21" s="515">
        <f t="shared" si="43"/>
        <v>51153.855734520002</v>
      </c>
      <c r="AN21" s="515">
        <f t="shared" si="44"/>
        <v>28003.699295460003</v>
      </c>
      <c r="AO21" s="515">
        <f t="shared" si="44"/>
        <v>27610.908133724999</v>
      </c>
      <c r="AP21" s="515">
        <f t="shared" si="44"/>
        <v>27841.961758275</v>
      </c>
      <c r="AQ21" s="515">
        <f t="shared" si="44"/>
        <v>28766.176256475002</v>
      </c>
      <c r="AR21" s="515">
        <f t="shared" si="44"/>
        <v>31769.873375625004</v>
      </c>
      <c r="AS21" s="515">
        <f t="shared" si="44"/>
        <v>35882.627892614997</v>
      </c>
      <c r="AT21" s="515">
        <f t="shared" si="44"/>
        <v>51178.377837824999</v>
      </c>
      <c r="AU21" s="515">
        <f t="shared" si="45"/>
        <v>32158.0337841</v>
      </c>
      <c r="AV21" s="515">
        <f t="shared" si="45"/>
        <v>31706.972254124998</v>
      </c>
      <c r="AW21" s="515">
        <f t="shared" si="45"/>
        <v>31972.302565874998</v>
      </c>
      <c r="AX21" s="515">
        <f t="shared" si="45"/>
        <v>33033.623812874997</v>
      </c>
      <c r="AY21" s="515">
        <f t="shared" si="45"/>
        <v>36482.917865625001</v>
      </c>
      <c r="AZ21" s="515">
        <f t="shared" si="45"/>
        <v>41205.797414774999</v>
      </c>
      <c r="BA21" s="515">
        <f t="shared" si="45"/>
        <v>58770.664052624998</v>
      </c>
      <c r="BB21" s="515">
        <f t="shared" si="46"/>
        <v>31546.571118300006</v>
      </c>
      <c r="BC21" s="515">
        <f t="shared" si="46"/>
        <v>31104.086209875004</v>
      </c>
      <c r="BD21" s="515">
        <f t="shared" si="46"/>
        <v>31364.371450125003</v>
      </c>
      <c r="BE21" s="515">
        <f t="shared" si="46"/>
        <v>32405.512411125004</v>
      </c>
      <c r="BF21" s="515">
        <f t="shared" si="46"/>
        <v>35789.22053437501</v>
      </c>
      <c r="BG21" s="515">
        <f t="shared" si="46"/>
        <v>40422.297810825003</v>
      </c>
      <c r="BH21" s="515">
        <f t="shared" si="46"/>
        <v>57653.180715375005</v>
      </c>
      <c r="BI21" s="515">
        <f t="shared" si="47"/>
        <v>40891.618149228001</v>
      </c>
      <c r="BJ21" s="515">
        <f t="shared" si="47"/>
        <v>40318.055848454998</v>
      </c>
      <c r="BK21" s="515">
        <f t="shared" si="47"/>
        <v>40655.445437144997</v>
      </c>
      <c r="BL21" s="515">
        <f t="shared" si="47"/>
        <v>42005.003791905001</v>
      </c>
      <c r="BM21" s="515">
        <f t="shared" si="47"/>
        <v>46391.068444875003</v>
      </c>
      <c r="BN21" s="515">
        <f t="shared" si="47"/>
        <v>52396.603123556997</v>
      </c>
      <c r="BO21" s="515">
        <f t="shared" si="47"/>
        <v>74731.793894835006</v>
      </c>
      <c r="BP21" s="515">
        <f t="shared" si="48"/>
        <v>66598.433965097996</v>
      </c>
      <c r="BQ21" s="515">
        <f t="shared" si="48"/>
        <v>65664.29751509249</v>
      </c>
      <c r="BR21" s="515">
        <f t="shared" si="48"/>
        <v>66213.789544507497</v>
      </c>
      <c r="BS21" s="515">
        <f t="shared" si="48"/>
        <v>68411.757662167496</v>
      </c>
      <c r="BT21" s="515">
        <f t="shared" si="48"/>
        <v>75555.1540445625</v>
      </c>
      <c r="BU21" s="515">
        <f t="shared" si="48"/>
        <v>85336.112168149499</v>
      </c>
      <c r="BV21" s="515">
        <f t="shared" si="48"/>
        <v>121712.4845154225</v>
      </c>
      <c r="BW21" s="515">
        <f t="shared" si="49"/>
        <v>20462.850919349996</v>
      </c>
      <c r="BX21" s="515">
        <f t="shared" si="49"/>
        <v>20175.830733187497</v>
      </c>
      <c r="BY21" s="515">
        <f t="shared" si="49"/>
        <v>20344.666136812495</v>
      </c>
      <c r="BZ21" s="515">
        <f t="shared" si="49"/>
        <v>21020.007751312496</v>
      </c>
      <c r="CA21" s="515">
        <f t="shared" si="49"/>
        <v>23214.867998437498</v>
      </c>
      <c r="CB21" s="515">
        <f t="shared" si="49"/>
        <v>26220.138182962495</v>
      </c>
      <c r="CC21" s="515">
        <f t="shared" si="49"/>
        <v>37397.041902937497</v>
      </c>
    </row>
    <row r="22" spans="1:83">
      <c r="A22" s="685" t="s">
        <v>29</v>
      </c>
      <c r="B22" s="515">
        <f t="shared" ref="B22:D22" si="52">$K54*B$32</f>
        <v>26047.681304400005</v>
      </c>
      <c r="C22" s="515">
        <f t="shared" si="52"/>
        <v>29768.778633600003</v>
      </c>
      <c r="D22" s="515">
        <f t="shared" si="52"/>
        <v>40932.070621200008</v>
      </c>
      <c r="E22" s="515">
        <f t="shared" si="39"/>
        <v>22549.849814952002</v>
      </c>
      <c r="F22" s="515">
        <f t="shared" si="39"/>
        <v>22233.55654197</v>
      </c>
      <c r="G22" s="515">
        <f t="shared" si="39"/>
        <v>22419.611408430002</v>
      </c>
      <c r="H22" s="515">
        <f t="shared" si="39"/>
        <v>23163.830874270003</v>
      </c>
      <c r="I22" s="515">
        <f t="shared" si="39"/>
        <v>25582.544138250003</v>
      </c>
      <c r="J22" s="515">
        <f t="shared" si="39"/>
        <v>28894.320761238003</v>
      </c>
      <c r="K22" s="515">
        <f t="shared" si="39"/>
        <v>41211.152920890003</v>
      </c>
      <c r="L22" s="515">
        <f t="shared" si="40"/>
        <v>22473.985255257605</v>
      </c>
      <c r="M22" s="515">
        <f t="shared" si="40"/>
        <v>22158.756089136001</v>
      </c>
      <c r="N22" s="515">
        <f t="shared" si="40"/>
        <v>22344.185010384004</v>
      </c>
      <c r="O22" s="515">
        <f t="shared" si="40"/>
        <v>23085.900695376004</v>
      </c>
      <c r="P22" s="515">
        <f t="shared" si="40"/>
        <v>25496.476671600005</v>
      </c>
      <c r="Q22" s="515">
        <f t="shared" si="40"/>
        <v>28797.111469814405</v>
      </c>
      <c r="R22" s="515">
        <f t="shared" si="40"/>
        <v>41072.506056432008</v>
      </c>
      <c r="S22" s="515">
        <f t="shared" si="41"/>
        <v>18094.197712723202</v>
      </c>
      <c r="T22" s="515">
        <f t="shared" si="41"/>
        <v>17840.401210152002</v>
      </c>
      <c r="U22" s="515">
        <f t="shared" si="41"/>
        <v>17989.693270488002</v>
      </c>
      <c r="V22" s="515">
        <f t="shared" si="41"/>
        <v>18586.861511832001</v>
      </c>
      <c r="W22" s="515">
        <f t="shared" si="41"/>
        <v>20527.658296200007</v>
      </c>
      <c r="X22" s="515">
        <f t="shared" si="41"/>
        <v>23185.056970180802</v>
      </c>
      <c r="Y22" s="515">
        <f t="shared" si="41"/>
        <v>33068.191364424005</v>
      </c>
      <c r="Z22" s="515">
        <f t="shared" si="42"/>
        <v>26230.457411928001</v>
      </c>
      <c r="AA22" s="515">
        <f t="shared" si="42"/>
        <v>25862.538454829999</v>
      </c>
      <c r="AB22" s="515">
        <f t="shared" si="42"/>
        <v>26078.961370770001</v>
      </c>
      <c r="AC22" s="515">
        <f t="shared" si="42"/>
        <v>26944.653034530002</v>
      </c>
      <c r="AD22" s="515">
        <f t="shared" si="42"/>
        <v>29758.150941750002</v>
      </c>
      <c r="AE22" s="515">
        <f t="shared" si="42"/>
        <v>33610.478845482001</v>
      </c>
      <c r="AF22" s="515">
        <f t="shared" si="42"/>
        <v>47937.675880710005</v>
      </c>
      <c r="AG22" s="515">
        <f t="shared" si="43"/>
        <v>27664.391264201997</v>
      </c>
      <c r="AH22" s="515">
        <f t="shared" si="43"/>
        <v>27276.359373532498</v>
      </c>
      <c r="AI22" s="515">
        <f t="shared" si="43"/>
        <v>27504.613426867498</v>
      </c>
      <c r="AJ22" s="515">
        <f t="shared" si="43"/>
        <v>28417.629640207499</v>
      </c>
      <c r="AK22" s="515">
        <f t="shared" si="43"/>
        <v>31384.932333562498</v>
      </c>
      <c r="AL22" s="515">
        <f t="shared" si="43"/>
        <v>35447.854482925497</v>
      </c>
      <c r="AM22" s="515">
        <f t="shared" si="43"/>
        <v>50558.272813702497</v>
      </c>
      <c r="AN22" s="515">
        <f t="shared" si="44"/>
        <v>25737.451077491998</v>
      </c>
      <c r="AO22" s="515">
        <f t="shared" si="44"/>
        <v>25376.447225744996</v>
      </c>
      <c r="AP22" s="515">
        <f t="shared" si="44"/>
        <v>25588.802432654997</v>
      </c>
      <c r="AQ22" s="515">
        <f t="shared" si="44"/>
        <v>26438.223260294999</v>
      </c>
      <c r="AR22" s="515">
        <f t="shared" si="44"/>
        <v>29198.840950124999</v>
      </c>
      <c r="AS22" s="515">
        <f t="shared" si="44"/>
        <v>32978.763633122995</v>
      </c>
      <c r="AT22" s="515">
        <f t="shared" si="44"/>
        <v>47036.678330564995</v>
      </c>
      <c r="AU22" s="515">
        <f t="shared" si="45"/>
        <v>30418.69233564</v>
      </c>
      <c r="AV22" s="515">
        <f t="shared" si="45"/>
        <v>29992.027509149997</v>
      </c>
      <c r="AW22" s="515">
        <f t="shared" si="45"/>
        <v>30243.006818849997</v>
      </c>
      <c r="AX22" s="515">
        <f t="shared" si="45"/>
        <v>31246.924057649998</v>
      </c>
      <c r="AY22" s="515">
        <f t="shared" si="45"/>
        <v>34509.655083750004</v>
      </c>
      <c r="AZ22" s="515">
        <f t="shared" si="45"/>
        <v>38977.086796409996</v>
      </c>
      <c r="BA22" s="515">
        <f t="shared" si="45"/>
        <v>55591.917098549995</v>
      </c>
      <c r="BB22" s="515">
        <f t="shared" si="46"/>
        <v>43111.554277050003</v>
      </c>
      <c r="BC22" s="515">
        <f t="shared" si="46"/>
        <v>42506.854258312502</v>
      </c>
      <c r="BD22" s="515">
        <f t="shared" si="46"/>
        <v>42862.560151687503</v>
      </c>
      <c r="BE22" s="515">
        <f t="shared" si="46"/>
        <v>44285.383725187508</v>
      </c>
      <c r="BF22" s="515">
        <f t="shared" si="46"/>
        <v>48909.560339062511</v>
      </c>
      <c r="BG22" s="515">
        <f t="shared" si="46"/>
        <v>55241.125241137503</v>
      </c>
      <c r="BH22" s="515">
        <f t="shared" si="46"/>
        <v>78788.855382562513</v>
      </c>
      <c r="BI22" s="515">
        <f t="shared" si="47"/>
        <v>58355.225330219997</v>
      </c>
      <c r="BJ22" s="515">
        <f t="shared" si="47"/>
        <v>57536.71144357499</v>
      </c>
      <c r="BK22" s="515">
        <f t="shared" si="47"/>
        <v>58018.190200424993</v>
      </c>
      <c r="BL22" s="515">
        <f t="shared" si="47"/>
        <v>59944.105227824992</v>
      </c>
      <c r="BM22" s="515">
        <f t="shared" si="47"/>
        <v>66203.329066874998</v>
      </c>
      <c r="BN22" s="515">
        <f t="shared" si="47"/>
        <v>74773.650938804989</v>
      </c>
      <c r="BO22" s="515">
        <f t="shared" si="47"/>
        <v>106647.544642275</v>
      </c>
      <c r="BP22" s="515">
        <f t="shared" si="48"/>
        <v>86828.225972669999</v>
      </c>
      <c r="BQ22" s="515">
        <f t="shared" si="48"/>
        <v>85610.338314637498</v>
      </c>
      <c r="BR22" s="515">
        <f t="shared" si="48"/>
        <v>86326.742819362495</v>
      </c>
      <c r="BS22" s="515">
        <f t="shared" si="48"/>
        <v>89192.360838262495</v>
      </c>
      <c r="BT22" s="515">
        <f t="shared" si="48"/>
        <v>98505.619399687508</v>
      </c>
      <c r="BU22" s="515">
        <f t="shared" si="48"/>
        <v>111257.61958379249</v>
      </c>
      <c r="BV22" s="515">
        <f t="shared" si="48"/>
        <v>158683.59779658751</v>
      </c>
      <c r="BW22" s="515">
        <f t="shared" si="49"/>
        <v>26604.150624324</v>
      </c>
      <c r="BX22" s="515">
        <f t="shared" si="49"/>
        <v>26230.990095764999</v>
      </c>
      <c r="BY22" s="515">
        <f t="shared" si="49"/>
        <v>26450.496289034996</v>
      </c>
      <c r="BZ22" s="515">
        <f t="shared" si="49"/>
        <v>27328.521062115</v>
      </c>
      <c r="CA22" s="515">
        <f t="shared" si="49"/>
        <v>30182.101574625001</v>
      </c>
      <c r="CB22" s="515">
        <f t="shared" si="49"/>
        <v>34089.311814830995</v>
      </c>
      <c r="CC22" s="515">
        <f t="shared" si="49"/>
        <v>48620.621809304997</v>
      </c>
    </row>
    <row r="23" spans="1:83">
      <c r="A23" s="685" t="s">
        <v>30</v>
      </c>
      <c r="B23" s="515">
        <f t="shared" ref="B23:D23" si="53">$K55*B$32</f>
        <v>14623.478856000002</v>
      </c>
      <c r="C23" s="515">
        <f t="shared" si="53"/>
        <v>16712.547264000001</v>
      </c>
      <c r="D23" s="515">
        <f t="shared" si="53"/>
        <v>22979.752488000002</v>
      </c>
      <c r="E23" s="515">
        <f t="shared" si="39"/>
        <v>12659.754552480001</v>
      </c>
      <c r="F23" s="515">
        <f t="shared" si="39"/>
        <v>12482.1837378</v>
      </c>
      <c r="G23" s="515">
        <f t="shared" si="39"/>
        <v>12586.637158199999</v>
      </c>
      <c r="H23" s="515">
        <f t="shared" si="39"/>
        <v>13004.4508398</v>
      </c>
      <c r="I23" s="515">
        <f t="shared" si="39"/>
        <v>14362.345305000001</v>
      </c>
      <c r="J23" s="515">
        <f t="shared" si="39"/>
        <v>16221.616188120001</v>
      </c>
      <c r="K23" s="515">
        <f t="shared" si="39"/>
        <v>23136.4326186</v>
      </c>
      <c r="L23" s="515">
        <f t="shared" si="40"/>
        <v>15093.637394400001</v>
      </c>
      <c r="M23" s="515">
        <f t="shared" si="40"/>
        <v>14881.927958999999</v>
      </c>
      <c r="N23" s="515">
        <f t="shared" si="40"/>
        <v>15006.462921</v>
      </c>
      <c r="O23" s="515">
        <f t="shared" si="40"/>
        <v>15504.602768999999</v>
      </c>
      <c r="P23" s="515">
        <f t="shared" si="40"/>
        <v>17123.557275000003</v>
      </c>
      <c r="Q23" s="515">
        <f t="shared" si="40"/>
        <v>19340.279598599998</v>
      </c>
      <c r="R23" s="515">
        <f t="shared" si="40"/>
        <v>27584.494083000001</v>
      </c>
      <c r="S23" s="515">
        <f t="shared" si="41"/>
        <v>12753.850451040002</v>
      </c>
      <c r="T23" s="515">
        <f t="shared" si="41"/>
        <v>12574.959809400001</v>
      </c>
      <c r="U23" s="515">
        <f t="shared" si="41"/>
        <v>12680.189598600002</v>
      </c>
      <c r="V23" s="515">
        <f t="shared" si="41"/>
        <v>13101.108755400002</v>
      </c>
      <c r="W23" s="515">
        <f t="shared" si="41"/>
        <v>14469.096015000003</v>
      </c>
      <c r="X23" s="515">
        <f t="shared" si="41"/>
        <v>16342.186262760002</v>
      </c>
      <c r="Y23" s="515">
        <f t="shared" si="41"/>
        <v>23308.398307800002</v>
      </c>
      <c r="Z23" s="515">
        <f t="shared" si="42"/>
        <v>15301.376858376003</v>
      </c>
      <c r="AA23" s="515">
        <f t="shared" si="42"/>
        <v>15086.753585610002</v>
      </c>
      <c r="AB23" s="515">
        <f t="shared" si="42"/>
        <v>15213.002569590002</v>
      </c>
      <c r="AC23" s="515">
        <f t="shared" si="42"/>
        <v>15717.998505510002</v>
      </c>
      <c r="AD23" s="515">
        <f t="shared" si="42"/>
        <v>17359.235297250005</v>
      </c>
      <c r="AE23" s="515">
        <f t="shared" si="42"/>
        <v>19606.467212094001</v>
      </c>
      <c r="AF23" s="515">
        <f t="shared" si="42"/>
        <v>27964.149951570005</v>
      </c>
      <c r="AG23" s="515">
        <f t="shared" si="43"/>
        <v>16840.093756752001</v>
      </c>
      <c r="AH23" s="515">
        <f t="shared" si="43"/>
        <v>16603.887821220003</v>
      </c>
      <c r="AI23" s="515">
        <f t="shared" si="43"/>
        <v>16742.83248918</v>
      </c>
      <c r="AJ23" s="515">
        <f t="shared" si="43"/>
        <v>17298.611161020002</v>
      </c>
      <c r="AK23" s="515">
        <f t="shared" si="43"/>
        <v>19104.891844500005</v>
      </c>
      <c r="AL23" s="515">
        <f t="shared" si="43"/>
        <v>21578.106934188003</v>
      </c>
      <c r="AM23" s="515">
        <f t="shared" si="43"/>
        <v>30776.243953140005</v>
      </c>
      <c r="AN23" s="515">
        <f t="shared" si="44"/>
        <v>16173.435476520002</v>
      </c>
      <c r="AO23" s="515">
        <f t="shared" si="44"/>
        <v>15946.580358450001</v>
      </c>
      <c r="AP23" s="515">
        <f t="shared" si="44"/>
        <v>16080.024545550001</v>
      </c>
      <c r="AQ23" s="515">
        <f t="shared" si="44"/>
        <v>16613.80129395</v>
      </c>
      <c r="AR23" s="515">
        <f t="shared" si="44"/>
        <v>18348.575726250005</v>
      </c>
      <c r="AS23" s="515">
        <f t="shared" si="44"/>
        <v>20723.88225663</v>
      </c>
      <c r="AT23" s="515">
        <f t="shared" si="44"/>
        <v>29557.887442650004</v>
      </c>
      <c r="AU23" s="515">
        <f t="shared" si="45"/>
        <v>18421.155109350002</v>
      </c>
      <c r="AV23" s="515">
        <f t="shared" si="45"/>
        <v>18162.772570687503</v>
      </c>
      <c r="AW23" s="515">
        <f t="shared" si="45"/>
        <v>18314.762299312501</v>
      </c>
      <c r="AX23" s="515">
        <f t="shared" si="45"/>
        <v>18922.721213812503</v>
      </c>
      <c r="AY23" s="515">
        <f t="shared" si="45"/>
        <v>20898.587685937506</v>
      </c>
      <c r="AZ23" s="515">
        <f t="shared" si="45"/>
        <v>23604.004855462503</v>
      </c>
      <c r="BA23" s="515">
        <f t="shared" si="45"/>
        <v>33665.724890437501</v>
      </c>
      <c r="BB23" s="515">
        <f t="shared" si="46"/>
        <v>21736.458182249997</v>
      </c>
      <c r="BC23" s="515">
        <f t="shared" si="46"/>
        <v>21431.573867812498</v>
      </c>
      <c r="BD23" s="515">
        <f t="shared" si="46"/>
        <v>21610.917582187496</v>
      </c>
      <c r="BE23" s="515">
        <f t="shared" si="46"/>
        <v>22328.292439687499</v>
      </c>
      <c r="BF23" s="515">
        <f t="shared" si="46"/>
        <v>24659.760726562501</v>
      </c>
      <c r="BG23" s="515">
        <f t="shared" si="46"/>
        <v>27852.078842437495</v>
      </c>
      <c r="BH23" s="515">
        <f t="shared" si="46"/>
        <v>39724.632734062499</v>
      </c>
      <c r="BI23" s="515">
        <f t="shared" si="47"/>
        <v>26649.244263600001</v>
      </c>
      <c r="BJ23" s="515">
        <f t="shared" si="47"/>
        <v>26275.4512335</v>
      </c>
      <c r="BK23" s="515">
        <f t="shared" si="47"/>
        <v>26495.329486499999</v>
      </c>
      <c r="BL23" s="515">
        <f t="shared" si="47"/>
        <v>27374.842498499998</v>
      </c>
      <c r="BM23" s="515">
        <f t="shared" si="47"/>
        <v>30233.259787500003</v>
      </c>
      <c r="BN23" s="515">
        <f t="shared" si="47"/>
        <v>34147.092690899997</v>
      </c>
      <c r="BO23" s="515">
        <f t="shared" si="47"/>
        <v>48703.033039499998</v>
      </c>
      <c r="BP23" s="515">
        <f t="shared" si="48"/>
        <v>45197.092035144</v>
      </c>
      <c r="BQ23" s="515">
        <f t="shared" si="48"/>
        <v>44563.139424089997</v>
      </c>
      <c r="BR23" s="515">
        <f t="shared" si="48"/>
        <v>44936.052724709996</v>
      </c>
      <c r="BS23" s="515">
        <f t="shared" si="48"/>
        <v>46427.70592719</v>
      </c>
      <c r="BT23" s="515">
        <f t="shared" si="48"/>
        <v>51275.578835250002</v>
      </c>
      <c r="BU23" s="515">
        <f t="shared" si="48"/>
        <v>57913.435586285996</v>
      </c>
      <c r="BV23" s="515">
        <f t="shared" si="48"/>
        <v>82600.296087330004</v>
      </c>
      <c r="BW23" s="515">
        <f t="shared" si="49"/>
        <v>17127.942756246004</v>
      </c>
      <c r="BX23" s="515">
        <f t="shared" si="49"/>
        <v>16887.699334747504</v>
      </c>
      <c r="BY23" s="515">
        <f t="shared" si="49"/>
        <v>17029.018994452501</v>
      </c>
      <c r="BZ23" s="515">
        <f t="shared" si="49"/>
        <v>17594.297633272505</v>
      </c>
      <c r="CA23" s="515">
        <f t="shared" si="49"/>
        <v>19431.453209437506</v>
      </c>
      <c r="CB23" s="515">
        <f t="shared" si="49"/>
        <v>21946.943152186504</v>
      </c>
      <c r="CC23" s="515">
        <f t="shared" si="49"/>
        <v>31302.304624657507</v>
      </c>
    </row>
    <row r="24" spans="1:83">
      <c r="A24" s="685" t="s">
        <v>31</v>
      </c>
      <c r="B24" s="515">
        <f t="shared" ref="B24:D24" si="54">$K56*B$32</f>
        <v>29877.378975360007</v>
      </c>
      <c r="C24" s="515">
        <f t="shared" si="54"/>
        <v>34145.575971840008</v>
      </c>
      <c r="D24" s="515">
        <f t="shared" si="54"/>
        <v>46950.166961280011</v>
      </c>
      <c r="E24" s="515">
        <f t="shared" si="39"/>
        <v>25865.273798668804</v>
      </c>
      <c r="F24" s="515">
        <f t="shared" si="39"/>
        <v>25502.477053968003</v>
      </c>
      <c r="G24" s="515">
        <f t="shared" si="39"/>
        <v>25715.886903792005</v>
      </c>
      <c r="H24" s="515">
        <f t="shared" si="39"/>
        <v>26569.526303088005</v>
      </c>
      <c r="I24" s="515">
        <f t="shared" si="39"/>
        <v>29343.854350800008</v>
      </c>
      <c r="J24" s="515">
        <f t="shared" si="39"/>
        <v>33142.549677667201</v>
      </c>
      <c r="K24" s="515">
        <f t="shared" si="39"/>
        <v>47270.281736016012</v>
      </c>
      <c r="L24" s="515">
        <f t="shared" si="40"/>
        <v>27644.983748784005</v>
      </c>
      <c r="M24" s="515">
        <f t="shared" si="40"/>
        <v>27257.224075740003</v>
      </c>
      <c r="N24" s="515">
        <f t="shared" si="40"/>
        <v>27485.318001060004</v>
      </c>
      <c r="O24" s="515">
        <f t="shared" si="40"/>
        <v>28397.693702340006</v>
      </c>
      <c r="P24" s="515">
        <f t="shared" si="40"/>
        <v>31362.914731500008</v>
      </c>
      <c r="Q24" s="515">
        <f t="shared" si="40"/>
        <v>35422.986602196004</v>
      </c>
      <c r="R24" s="515">
        <f t="shared" si="40"/>
        <v>50522.804458380007</v>
      </c>
      <c r="S24" s="515">
        <f t="shared" si="41"/>
        <v>20402.122710959997</v>
      </c>
      <c r="T24" s="515">
        <f t="shared" si="41"/>
        <v>20115.954323099995</v>
      </c>
      <c r="U24" s="515">
        <f t="shared" si="41"/>
        <v>20284.288668899997</v>
      </c>
      <c r="V24" s="515">
        <f t="shared" si="41"/>
        <v>20957.626052099997</v>
      </c>
      <c r="W24" s="515">
        <f t="shared" si="41"/>
        <v>23145.972547499998</v>
      </c>
      <c r="X24" s="515">
        <f t="shared" si="41"/>
        <v>26142.323902739998</v>
      </c>
      <c r="Y24" s="515">
        <f t="shared" si="41"/>
        <v>37286.057594699996</v>
      </c>
      <c r="Z24" s="515">
        <f t="shared" si="42"/>
        <v>32039.281293264001</v>
      </c>
      <c r="AA24" s="515">
        <f t="shared" si="42"/>
        <v>31589.885433539999</v>
      </c>
      <c r="AB24" s="515">
        <f t="shared" si="42"/>
        <v>31854.235939260001</v>
      </c>
      <c r="AC24" s="515">
        <f t="shared" si="42"/>
        <v>32911.637962140005</v>
      </c>
      <c r="AD24" s="515">
        <f t="shared" si="42"/>
        <v>36348.194536500007</v>
      </c>
      <c r="AE24" s="515">
        <f t="shared" si="42"/>
        <v>41053.633538316004</v>
      </c>
      <c r="AF24" s="515">
        <f t="shared" si="42"/>
        <v>58553.637016980007</v>
      </c>
      <c r="AG24" s="515">
        <f t="shared" si="43"/>
        <v>31612.595820623999</v>
      </c>
      <c r="AH24" s="515">
        <f t="shared" si="43"/>
        <v>31169.184823139996</v>
      </c>
      <c r="AI24" s="515">
        <f t="shared" si="43"/>
        <v>31430.014821659999</v>
      </c>
      <c r="AJ24" s="515">
        <f t="shared" si="43"/>
        <v>32473.33481574</v>
      </c>
      <c r="AK24" s="515">
        <f t="shared" si="43"/>
        <v>35864.1247965</v>
      </c>
      <c r="AL24" s="515">
        <f t="shared" si="43"/>
        <v>40506.898770155996</v>
      </c>
      <c r="AM24" s="515">
        <f t="shared" si="43"/>
        <v>57773.844672179999</v>
      </c>
      <c r="AN24" s="515">
        <f t="shared" si="44"/>
        <v>32756.979029040001</v>
      </c>
      <c r="AO24" s="515">
        <f t="shared" si="44"/>
        <v>32297.516451899999</v>
      </c>
      <c r="AP24" s="515">
        <f t="shared" si="44"/>
        <v>32567.7885561</v>
      </c>
      <c r="AQ24" s="515">
        <f t="shared" si="44"/>
        <v>33648.876972899998</v>
      </c>
      <c r="AR24" s="515">
        <f t="shared" si="44"/>
        <v>37162.414327500002</v>
      </c>
      <c r="AS24" s="515">
        <f t="shared" si="44"/>
        <v>41973.25778226</v>
      </c>
      <c r="AT24" s="515">
        <f t="shared" si="44"/>
        <v>59865.271080300001</v>
      </c>
      <c r="AU24" s="515">
        <f t="shared" si="45"/>
        <v>35063.762216742005</v>
      </c>
      <c r="AV24" s="515">
        <f t="shared" si="45"/>
        <v>34571.943769807505</v>
      </c>
      <c r="AW24" s="515">
        <f t="shared" si="45"/>
        <v>34861.248738592505</v>
      </c>
      <c r="AX24" s="515">
        <f t="shared" si="45"/>
        <v>36018.468613732504</v>
      </c>
      <c r="AY24" s="515">
        <f t="shared" si="45"/>
        <v>39779.433207937509</v>
      </c>
      <c r="AZ24" s="515">
        <f t="shared" si="45"/>
        <v>44929.061652310505</v>
      </c>
      <c r="BA24" s="515">
        <f t="shared" si="45"/>
        <v>64081.050585877507</v>
      </c>
      <c r="BB24" s="515">
        <f t="shared" si="46"/>
        <v>48674.524093524007</v>
      </c>
      <c r="BC24" s="515">
        <f t="shared" si="46"/>
        <v>47991.795620265009</v>
      </c>
      <c r="BD24" s="515">
        <f t="shared" si="46"/>
        <v>48393.400604535011</v>
      </c>
      <c r="BE24" s="515">
        <f t="shared" si="46"/>
        <v>49999.820541615009</v>
      </c>
      <c r="BF24" s="515">
        <f t="shared" si="46"/>
        <v>55220.685337125018</v>
      </c>
      <c r="BG24" s="515">
        <f t="shared" si="46"/>
        <v>62369.254057131009</v>
      </c>
      <c r="BH24" s="515">
        <f t="shared" si="46"/>
        <v>88955.504015805011</v>
      </c>
      <c r="BI24" s="515">
        <f t="shared" si="47"/>
        <v>58666.358086560009</v>
      </c>
      <c r="BJ24" s="515">
        <f t="shared" si="47"/>
        <v>57843.480126599999</v>
      </c>
      <c r="BK24" s="515">
        <f t="shared" si="47"/>
        <v>58327.525985400003</v>
      </c>
      <c r="BL24" s="515">
        <f t="shared" si="47"/>
        <v>60263.709420600004</v>
      </c>
      <c r="BM24" s="515">
        <f t="shared" si="47"/>
        <v>66556.305585000009</v>
      </c>
      <c r="BN24" s="515">
        <f t="shared" si="47"/>
        <v>75172.321871640001</v>
      </c>
      <c r="BO24" s="515">
        <f t="shared" si="47"/>
        <v>107216.15772420001</v>
      </c>
      <c r="BP24" s="515">
        <f t="shared" si="48"/>
        <v>108285.64922120399</v>
      </c>
      <c r="BQ24" s="515">
        <f t="shared" si="48"/>
        <v>106766.79110506499</v>
      </c>
      <c r="BR24" s="515">
        <f t="shared" si="48"/>
        <v>107660.23705573499</v>
      </c>
      <c r="BS24" s="515">
        <f t="shared" si="48"/>
        <v>111234.020858415</v>
      </c>
      <c r="BT24" s="515">
        <f t="shared" si="48"/>
        <v>122848.81821712499</v>
      </c>
      <c r="BU24" s="515">
        <f t="shared" si="48"/>
        <v>138752.15613905099</v>
      </c>
      <c r="BV24" s="515">
        <f t="shared" si="48"/>
        <v>197898.27807340497</v>
      </c>
      <c r="BW24" s="515">
        <f t="shared" si="49"/>
        <v>31850.995491000001</v>
      </c>
      <c r="BX24" s="515">
        <f t="shared" si="49"/>
        <v>31404.240603749997</v>
      </c>
      <c r="BY24" s="515">
        <f t="shared" si="49"/>
        <v>31667.037596249997</v>
      </c>
      <c r="BZ24" s="515">
        <f t="shared" si="49"/>
        <v>32718.225566249999</v>
      </c>
      <c r="CA24" s="515">
        <f t="shared" si="49"/>
        <v>36134.58646875</v>
      </c>
      <c r="CB24" s="515">
        <f t="shared" si="49"/>
        <v>40812.372935249994</v>
      </c>
      <c r="CC24" s="515">
        <f t="shared" si="49"/>
        <v>58209.533838750001</v>
      </c>
    </row>
    <row r="25" spans="1:83">
      <c r="A25" s="685" t="s">
        <v>32</v>
      </c>
      <c r="B25" s="515">
        <f t="shared" ref="B25:D25" si="55">$K57*B$32</f>
        <v>27552.053854080004</v>
      </c>
      <c r="C25" s="515">
        <f t="shared" si="55"/>
        <v>31488.061547520003</v>
      </c>
      <c r="D25" s="515">
        <f t="shared" si="55"/>
        <v>43296.084627840006</v>
      </c>
      <c r="E25" s="515">
        <f t="shared" si="39"/>
        <v>23852.206622246402</v>
      </c>
      <c r="F25" s="515">
        <f t="shared" si="39"/>
        <v>23517.645968304001</v>
      </c>
      <c r="G25" s="515">
        <f t="shared" si="39"/>
        <v>23714.446352976</v>
      </c>
      <c r="H25" s="515">
        <f t="shared" si="39"/>
        <v>24501.647891664001</v>
      </c>
      <c r="I25" s="515">
        <f t="shared" si="39"/>
        <v>27060.052892400003</v>
      </c>
      <c r="J25" s="515">
        <f t="shared" si="39"/>
        <v>30563.0997395616</v>
      </c>
      <c r="K25" s="515">
        <f t="shared" si="39"/>
        <v>43591.285204848005</v>
      </c>
      <c r="L25" s="515">
        <f t="shared" si="40"/>
        <v>26976.566531736004</v>
      </c>
      <c r="M25" s="515">
        <f t="shared" si="40"/>
        <v>26598.182347710001</v>
      </c>
      <c r="N25" s="515">
        <f t="shared" si="40"/>
        <v>26820.761279490001</v>
      </c>
      <c r="O25" s="515">
        <f t="shared" si="40"/>
        <v>27711.077006610001</v>
      </c>
      <c r="P25" s="515">
        <f t="shared" si="40"/>
        <v>30604.603119750005</v>
      </c>
      <c r="Q25" s="515">
        <f t="shared" si="40"/>
        <v>34566.508105433997</v>
      </c>
      <c r="R25" s="515">
        <f t="shared" si="40"/>
        <v>49301.233389270004</v>
      </c>
      <c r="S25" s="515">
        <f t="shared" si="41"/>
        <v>22725.53620092</v>
      </c>
      <c r="T25" s="515">
        <f t="shared" si="41"/>
        <v>22406.778679949999</v>
      </c>
      <c r="U25" s="515">
        <f t="shared" si="41"/>
        <v>22594.283104049999</v>
      </c>
      <c r="V25" s="515">
        <f t="shared" si="41"/>
        <v>23344.300800450001</v>
      </c>
      <c r="W25" s="515">
        <f t="shared" si="41"/>
        <v>25781.858313750003</v>
      </c>
      <c r="X25" s="515">
        <f t="shared" si="41"/>
        <v>29119.437062729998</v>
      </c>
      <c r="Y25" s="515">
        <f t="shared" si="41"/>
        <v>41532.229938149998</v>
      </c>
      <c r="Z25" s="515">
        <f t="shared" si="42"/>
        <v>31352.813085131998</v>
      </c>
      <c r="AA25" s="515">
        <f t="shared" si="42"/>
        <v>30913.045904894996</v>
      </c>
      <c r="AB25" s="515">
        <f t="shared" si="42"/>
        <v>31171.732481504998</v>
      </c>
      <c r="AC25" s="515">
        <f t="shared" si="42"/>
        <v>32206.478787944998</v>
      </c>
      <c r="AD25" s="515">
        <f t="shared" si="42"/>
        <v>35569.404283875003</v>
      </c>
      <c r="AE25" s="515">
        <f t="shared" si="42"/>
        <v>40174.025347532996</v>
      </c>
      <c r="AF25" s="515">
        <f t="shared" si="42"/>
        <v>57299.076719115001</v>
      </c>
      <c r="AG25" s="515">
        <f t="shared" si="43"/>
        <v>37386.795717431996</v>
      </c>
      <c r="AH25" s="515">
        <f t="shared" si="43"/>
        <v>36862.393467269998</v>
      </c>
      <c r="AI25" s="515">
        <f t="shared" si="43"/>
        <v>37170.865379129995</v>
      </c>
      <c r="AJ25" s="515">
        <f t="shared" si="43"/>
        <v>38404.753026569997</v>
      </c>
      <c r="AK25" s="515">
        <f t="shared" si="43"/>
        <v>42414.88788075</v>
      </c>
      <c r="AL25" s="515">
        <f t="shared" si="43"/>
        <v>47905.687911857996</v>
      </c>
      <c r="AM25" s="515">
        <f t="shared" si="43"/>
        <v>68326.528476990003</v>
      </c>
      <c r="AN25" s="515">
        <f t="shared" si="44"/>
        <v>30555.126</v>
      </c>
      <c r="AO25" s="515">
        <f t="shared" si="44"/>
        <v>30126.547500000001</v>
      </c>
      <c r="AP25" s="515">
        <f t="shared" si="44"/>
        <v>30378.6525</v>
      </c>
      <c r="AQ25" s="515">
        <f t="shared" si="44"/>
        <v>31387.072499999998</v>
      </c>
      <c r="AR25" s="515">
        <f t="shared" si="44"/>
        <v>34664.4375</v>
      </c>
      <c r="AS25" s="515">
        <f t="shared" si="44"/>
        <v>39151.906499999997</v>
      </c>
      <c r="AT25" s="515">
        <f t="shared" si="44"/>
        <v>55841.2575</v>
      </c>
      <c r="AU25" s="515">
        <f t="shared" si="45"/>
        <v>44559.094208580005</v>
      </c>
      <c r="AV25" s="515">
        <f t="shared" si="45"/>
        <v>43934.090411925004</v>
      </c>
      <c r="AW25" s="515">
        <f t="shared" si="45"/>
        <v>44301.739704075007</v>
      </c>
      <c r="AX25" s="515">
        <f t="shared" si="45"/>
        <v>45772.336872675005</v>
      </c>
      <c r="AY25" s="515">
        <f t="shared" si="45"/>
        <v>50551.777670625008</v>
      </c>
      <c r="AZ25" s="515">
        <f t="shared" si="45"/>
        <v>57095.935070895008</v>
      </c>
      <c r="BA25" s="515">
        <f t="shared" si="45"/>
        <v>81434.318211225007</v>
      </c>
      <c r="BB25" s="515">
        <f t="shared" si="46"/>
        <v>60755.899202460001</v>
      </c>
      <c r="BC25" s="515">
        <f t="shared" si="46"/>
        <v>59903.712497474997</v>
      </c>
      <c r="BD25" s="515">
        <f t="shared" si="46"/>
        <v>60404.998794524996</v>
      </c>
      <c r="BE25" s="515">
        <f t="shared" si="46"/>
        <v>62410.143982725</v>
      </c>
      <c r="BF25" s="515">
        <f t="shared" si="46"/>
        <v>68926.865844375003</v>
      </c>
      <c r="BG25" s="515">
        <f t="shared" si="46"/>
        <v>77849.761931864996</v>
      </c>
      <c r="BH25" s="515">
        <f t="shared" si="46"/>
        <v>111034.914796575</v>
      </c>
      <c r="BI25" s="515">
        <f t="shared" si="47"/>
        <v>75411.998249616008</v>
      </c>
      <c r="BJ25" s="515">
        <f t="shared" si="47"/>
        <v>74354.239198260009</v>
      </c>
      <c r="BK25" s="515">
        <f t="shared" si="47"/>
        <v>74976.450404939998</v>
      </c>
      <c r="BL25" s="515">
        <f t="shared" si="47"/>
        <v>77465.295231660013</v>
      </c>
      <c r="BM25" s="515">
        <f t="shared" si="47"/>
        <v>85554.040918500017</v>
      </c>
      <c r="BN25" s="515">
        <f t="shared" si="47"/>
        <v>96629.40039740401</v>
      </c>
      <c r="BO25" s="515">
        <f t="shared" si="47"/>
        <v>137819.78227962001</v>
      </c>
      <c r="BP25" s="515">
        <f t="shared" si="48"/>
        <v>111311.24452232401</v>
      </c>
      <c r="BQ25" s="515">
        <f t="shared" si="48"/>
        <v>109749.948188265</v>
      </c>
      <c r="BR25" s="515">
        <f t="shared" si="48"/>
        <v>110668.35779653501</v>
      </c>
      <c r="BS25" s="515">
        <f t="shared" si="48"/>
        <v>114341.996229615</v>
      </c>
      <c r="BT25" s="515">
        <f t="shared" si="48"/>
        <v>126281.32113712502</v>
      </c>
      <c r="BU25" s="515">
        <f t="shared" si="48"/>
        <v>142629.01216433101</v>
      </c>
      <c r="BV25" s="515">
        <f t="shared" si="48"/>
        <v>203427.72823180503</v>
      </c>
      <c r="BW25" s="515">
        <f t="shared" si="49"/>
        <v>32700.7855944</v>
      </c>
      <c r="BX25" s="515">
        <f t="shared" si="49"/>
        <v>32242.111208999999</v>
      </c>
      <c r="BY25" s="515">
        <f t="shared" si="49"/>
        <v>32511.919671</v>
      </c>
      <c r="BZ25" s="515">
        <f t="shared" si="49"/>
        <v>33591.153519</v>
      </c>
      <c r="CA25" s="515">
        <f t="shared" si="49"/>
        <v>37098.663525000004</v>
      </c>
      <c r="CB25" s="515">
        <f t="shared" si="49"/>
        <v>41901.254148599997</v>
      </c>
      <c r="CC25" s="515">
        <f t="shared" si="49"/>
        <v>59762.574333000004</v>
      </c>
    </row>
    <row r="26" spans="1:83">
      <c r="A26" s="685" t="s">
        <v>33</v>
      </c>
      <c r="B26" s="515">
        <f t="shared" ref="B26:D26" si="56">$K58*B$32</f>
        <v>12570.2768268</v>
      </c>
      <c r="C26" s="515">
        <f t="shared" si="56"/>
        <v>14366.0306592</v>
      </c>
      <c r="D26" s="515">
        <f t="shared" si="56"/>
        <v>19753.292156399999</v>
      </c>
      <c r="E26" s="515">
        <f t="shared" si="39"/>
        <v>10882.268224343999</v>
      </c>
      <c r="F26" s="515">
        <f t="shared" si="39"/>
        <v>10729.62914859</v>
      </c>
      <c r="G26" s="515">
        <f t="shared" si="39"/>
        <v>10819.416840209999</v>
      </c>
      <c r="H26" s="515">
        <f t="shared" si="39"/>
        <v>11178.56760669</v>
      </c>
      <c r="I26" s="515">
        <f t="shared" si="39"/>
        <v>12345.807597750001</v>
      </c>
      <c r="J26" s="515">
        <f t="shared" si="39"/>
        <v>13944.028508586</v>
      </c>
      <c r="K26" s="515">
        <f t="shared" si="39"/>
        <v>19887.973693830001</v>
      </c>
      <c r="L26" s="515">
        <f t="shared" si="40"/>
        <v>11218.681350576</v>
      </c>
      <c r="M26" s="515">
        <f t="shared" si="40"/>
        <v>11061.323608859999</v>
      </c>
      <c r="N26" s="515">
        <f t="shared" si="40"/>
        <v>11153.88698634</v>
      </c>
      <c r="O26" s="515">
        <f t="shared" si="40"/>
        <v>11524.140496259999</v>
      </c>
      <c r="P26" s="515">
        <f t="shared" si="40"/>
        <v>12727.4644035</v>
      </c>
      <c r="Q26" s="515">
        <f t="shared" si="40"/>
        <v>14375.092522643999</v>
      </c>
      <c r="R26" s="515">
        <f t="shared" si="40"/>
        <v>20502.788111819998</v>
      </c>
      <c r="S26" s="515">
        <f t="shared" si="41"/>
        <v>9850.9471093152006</v>
      </c>
      <c r="T26" s="515">
        <f t="shared" si="41"/>
        <v>9712.7737587720003</v>
      </c>
      <c r="U26" s="515">
        <f t="shared" si="41"/>
        <v>9794.0522002679991</v>
      </c>
      <c r="V26" s="515">
        <f t="shared" si="41"/>
        <v>10119.165966252</v>
      </c>
      <c r="W26" s="515">
        <f t="shared" si="41"/>
        <v>11175.7857057</v>
      </c>
      <c r="X26" s="515">
        <f t="shared" si="41"/>
        <v>12622.541964328799</v>
      </c>
      <c r="Y26" s="515">
        <f t="shared" si="41"/>
        <v>18003.174791363999</v>
      </c>
      <c r="Z26" s="515">
        <f t="shared" si="42"/>
        <v>12940.903809288002</v>
      </c>
      <c r="AA26" s="515">
        <f t="shared" si="42"/>
        <v>12759.389481930002</v>
      </c>
      <c r="AB26" s="515">
        <f t="shared" si="42"/>
        <v>12866.162615670002</v>
      </c>
      <c r="AC26" s="515">
        <f t="shared" si="42"/>
        <v>13293.255150630002</v>
      </c>
      <c r="AD26" s="515">
        <f t="shared" si="42"/>
        <v>14681.305889250003</v>
      </c>
      <c r="AE26" s="515">
        <f t="shared" si="42"/>
        <v>16581.867669822001</v>
      </c>
      <c r="AF26" s="515">
        <f t="shared" si="42"/>
        <v>23650.249123410005</v>
      </c>
      <c r="AG26" s="515">
        <f t="shared" si="43"/>
        <v>13581.395893674002</v>
      </c>
      <c r="AH26" s="515">
        <f t="shared" si="43"/>
        <v>13390.897766452501</v>
      </c>
      <c r="AI26" s="515">
        <f t="shared" si="43"/>
        <v>13502.955488347501</v>
      </c>
      <c r="AJ26" s="515">
        <f t="shared" si="43"/>
        <v>13951.186375927502</v>
      </c>
      <c r="AK26" s="515">
        <f t="shared" si="43"/>
        <v>15407.936760562503</v>
      </c>
      <c r="AL26" s="515">
        <f t="shared" si="43"/>
        <v>17402.564210293502</v>
      </c>
      <c r="AM26" s="515">
        <f t="shared" si="43"/>
        <v>24820.785399742501</v>
      </c>
      <c r="AN26" s="515">
        <f t="shared" si="44"/>
        <v>15256.799054784</v>
      </c>
      <c r="AO26" s="515">
        <f t="shared" si="44"/>
        <v>15042.801048239999</v>
      </c>
      <c r="AP26" s="515">
        <f t="shared" si="44"/>
        <v>15168.682228559999</v>
      </c>
      <c r="AQ26" s="515">
        <f t="shared" si="44"/>
        <v>15672.20694984</v>
      </c>
      <c r="AR26" s="515">
        <f t="shared" si="44"/>
        <v>17308.662294000002</v>
      </c>
      <c r="AS26" s="515">
        <f t="shared" si="44"/>
        <v>19549.347303695999</v>
      </c>
      <c r="AT26" s="515">
        <f t="shared" si="44"/>
        <v>27882.681440880002</v>
      </c>
      <c r="AU26" s="515">
        <f t="shared" si="45"/>
        <v>15530.950895040001</v>
      </c>
      <c r="AV26" s="515">
        <f t="shared" si="45"/>
        <v>15313.1075244</v>
      </c>
      <c r="AW26" s="515">
        <f t="shared" si="45"/>
        <v>15441.250683600001</v>
      </c>
      <c r="AX26" s="515">
        <f t="shared" si="45"/>
        <v>15953.823320400001</v>
      </c>
      <c r="AY26" s="515">
        <f t="shared" si="45"/>
        <v>17619.684390000002</v>
      </c>
      <c r="AZ26" s="515">
        <f t="shared" si="45"/>
        <v>19900.632623760001</v>
      </c>
      <c r="BA26" s="515">
        <f t="shared" si="45"/>
        <v>28383.709762800001</v>
      </c>
      <c r="BB26" s="515">
        <f t="shared" si="46"/>
        <v>19341.585648</v>
      </c>
      <c r="BC26" s="515">
        <f t="shared" si="46"/>
        <v>19070.29278</v>
      </c>
      <c r="BD26" s="515">
        <f t="shared" si="46"/>
        <v>19229.876820000001</v>
      </c>
      <c r="BE26" s="515">
        <f t="shared" si="46"/>
        <v>19868.21298</v>
      </c>
      <c r="BF26" s="515">
        <f t="shared" si="46"/>
        <v>21942.805500000002</v>
      </c>
      <c r="BG26" s="515">
        <f t="shared" si="46"/>
        <v>24783.401411999999</v>
      </c>
      <c r="BH26" s="515">
        <f t="shared" si="46"/>
        <v>35347.864860000001</v>
      </c>
      <c r="BI26" s="515">
        <f t="shared" si="47"/>
        <v>28753.590273408001</v>
      </c>
      <c r="BJ26" s="515">
        <f t="shared" si="47"/>
        <v>28350.28083888</v>
      </c>
      <c r="BK26" s="515">
        <f t="shared" si="47"/>
        <v>28587.521682720002</v>
      </c>
      <c r="BL26" s="515">
        <f t="shared" si="47"/>
        <v>29536.485058080001</v>
      </c>
      <c r="BM26" s="515">
        <f t="shared" si="47"/>
        <v>32620.616028000004</v>
      </c>
      <c r="BN26" s="515">
        <f t="shared" si="47"/>
        <v>36843.503048352002</v>
      </c>
      <c r="BO26" s="515">
        <f t="shared" si="47"/>
        <v>52548.846910560002</v>
      </c>
      <c r="BP26" s="515">
        <f t="shared" si="48"/>
        <v>41038.594846451997</v>
      </c>
      <c r="BQ26" s="515">
        <f t="shared" si="48"/>
        <v>40462.970991344999</v>
      </c>
      <c r="BR26" s="515">
        <f t="shared" si="48"/>
        <v>40801.573259054996</v>
      </c>
      <c r="BS26" s="515">
        <f t="shared" si="48"/>
        <v>42155.982329895</v>
      </c>
      <c r="BT26" s="515">
        <f t="shared" si="48"/>
        <v>46557.811810125</v>
      </c>
      <c r="BU26" s="515">
        <f t="shared" si="48"/>
        <v>52584.932175362992</v>
      </c>
      <c r="BV26" s="515">
        <f t="shared" si="48"/>
        <v>75000.402297765002</v>
      </c>
      <c r="BW26" s="515">
        <f t="shared" si="49"/>
        <v>13101.091697988</v>
      </c>
      <c r="BX26" s="515">
        <f t="shared" si="49"/>
        <v>12917.330510804999</v>
      </c>
      <c r="BY26" s="515">
        <f t="shared" si="49"/>
        <v>13025.425326795001</v>
      </c>
      <c r="BZ26" s="515">
        <f t="shared" si="49"/>
        <v>13457.804590755</v>
      </c>
      <c r="CA26" s="515">
        <f t="shared" si="49"/>
        <v>14863.037198625001</v>
      </c>
      <c r="CB26" s="515">
        <f t="shared" si="49"/>
        <v>16787.124923247</v>
      </c>
      <c r="CC26" s="515">
        <f t="shared" si="49"/>
        <v>23943.001741784999</v>
      </c>
    </row>
    <row r="27" spans="1:83">
      <c r="A27" s="685" t="s">
        <v>34</v>
      </c>
      <c r="B27" s="515">
        <f t="shared" ref="B27:D27" si="57">$K59*B$32</f>
        <v>3245.2629350400002</v>
      </c>
      <c r="C27" s="515">
        <f t="shared" si="57"/>
        <v>3708.8719257600001</v>
      </c>
      <c r="D27" s="515">
        <f t="shared" si="57"/>
        <v>5099.6988979200005</v>
      </c>
      <c r="E27" s="515">
        <f t="shared" si="39"/>
        <v>2809.4704837632003</v>
      </c>
      <c r="F27" s="515">
        <f t="shared" si="39"/>
        <v>2770.0637195519998</v>
      </c>
      <c r="G27" s="515">
        <f t="shared" si="39"/>
        <v>2793.244169088</v>
      </c>
      <c r="H27" s="515">
        <f t="shared" si="39"/>
        <v>2885.9659672319999</v>
      </c>
      <c r="I27" s="515">
        <f t="shared" si="39"/>
        <v>3187.3118112000002</v>
      </c>
      <c r="J27" s="515">
        <f t="shared" si="39"/>
        <v>3599.9238129408</v>
      </c>
      <c r="K27" s="515">
        <f t="shared" si="39"/>
        <v>5134.4695722240003</v>
      </c>
      <c r="L27" s="515">
        <f t="shared" si="40"/>
        <v>2312.5866236640004</v>
      </c>
      <c r="M27" s="515">
        <f t="shared" si="40"/>
        <v>2280.1493525400001</v>
      </c>
      <c r="N27" s="515">
        <f t="shared" si="40"/>
        <v>2299.2301002600002</v>
      </c>
      <c r="O27" s="515">
        <f t="shared" si="40"/>
        <v>2375.5530911400006</v>
      </c>
      <c r="P27" s="515">
        <f t="shared" si="40"/>
        <v>2623.6028115000008</v>
      </c>
      <c r="Q27" s="515">
        <f t="shared" si="40"/>
        <v>2963.2401209160003</v>
      </c>
      <c r="R27" s="515">
        <f t="shared" si="40"/>
        <v>4226.3856199800011</v>
      </c>
      <c r="S27" s="515">
        <f t="shared" si="41"/>
        <v>1851.0705617040001</v>
      </c>
      <c r="T27" s="515">
        <f t="shared" si="41"/>
        <v>1825.10670069</v>
      </c>
      <c r="U27" s="515">
        <f t="shared" si="41"/>
        <v>1840.3795601100001</v>
      </c>
      <c r="V27" s="515">
        <f t="shared" si="41"/>
        <v>1901.4709977900002</v>
      </c>
      <c r="W27" s="515">
        <f t="shared" si="41"/>
        <v>2100.0181702500004</v>
      </c>
      <c r="X27" s="515">
        <f t="shared" si="41"/>
        <v>2371.8750679260002</v>
      </c>
      <c r="Y27" s="515">
        <f t="shared" si="41"/>
        <v>3382.9383615300003</v>
      </c>
      <c r="Z27" s="515">
        <f t="shared" si="42"/>
        <v>2953.6268441400007</v>
      </c>
      <c r="AA27" s="515">
        <f t="shared" si="42"/>
        <v>2912.1980847750001</v>
      </c>
      <c r="AB27" s="515">
        <f t="shared" si="42"/>
        <v>2936.5679432250004</v>
      </c>
      <c r="AC27" s="515">
        <f t="shared" si="42"/>
        <v>3034.0473770250005</v>
      </c>
      <c r="AD27" s="515">
        <f t="shared" si="42"/>
        <v>3350.8555368750008</v>
      </c>
      <c r="AE27" s="515">
        <f t="shared" si="42"/>
        <v>3784.6390172850006</v>
      </c>
      <c r="AF27" s="515">
        <f t="shared" si="42"/>
        <v>5397.9236466750008</v>
      </c>
      <c r="AG27" s="515">
        <f t="shared" si="43"/>
        <v>3208.8921423300008</v>
      </c>
      <c r="AH27" s="515">
        <f t="shared" si="43"/>
        <v>3163.8829291125007</v>
      </c>
      <c r="AI27" s="515">
        <f t="shared" si="43"/>
        <v>3190.3589368875005</v>
      </c>
      <c r="AJ27" s="515">
        <f t="shared" si="43"/>
        <v>3296.2629679875008</v>
      </c>
      <c r="AK27" s="515">
        <f t="shared" si="43"/>
        <v>3640.4510690625011</v>
      </c>
      <c r="AL27" s="515">
        <f t="shared" si="43"/>
        <v>4111.7240074575011</v>
      </c>
      <c r="AM27" s="515">
        <f t="shared" si="43"/>
        <v>5864.4357221625014</v>
      </c>
      <c r="AN27" s="515">
        <f t="shared" si="44"/>
        <v>3644.9912280600006</v>
      </c>
      <c r="AO27" s="515">
        <f t="shared" si="44"/>
        <v>3593.8651134750003</v>
      </c>
      <c r="AP27" s="515">
        <f t="shared" si="44"/>
        <v>3623.9392985250001</v>
      </c>
      <c r="AQ27" s="515">
        <f t="shared" si="44"/>
        <v>3744.2360387250005</v>
      </c>
      <c r="AR27" s="515">
        <f t="shared" si="44"/>
        <v>4135.2004443750011</v>
      </c>
      <c r="AS27" s="515">
        <f t="shared" si="44"/>
        <v>4670.520938265</v>
      </c>
      <c r="AT27" s="515">
        <f t="shared" si="44"/>
        <v>6661.431988575001</v>
      </c>
      <c r="AU27" s="515">
        <f t="shared" si="45"/>
        <v>4356.1769932799998</v>
      </c>
      <c r="AV27" s="515">
        <f t="shared" si="45"/>
        <v>4295.0755007999996</v>
      </c>
      <c r="AW27" s="515">
        <f t="shared" si="45"/>
        <v>4331.0175552000001</v>
      </c>
      <c r="AX27" s="515">
        <f t="shared" si="45"/>
        <v>4474.7857727999999</v>
      </c>
      <c r="AY27" s="515">
        <f t="shared" si="45"/>
        <v>4942.0324800000008</v>
      </c>
      <c r="AZ27" s="515">
        <f t="shared" si="45"/>
        <v>5581.8010483199996</v>
      </c>
      <c r="BA27" s="515">
        <f t="shared" si="45"/>
        <v>7961.1650496000002</v>
      </c>
      <c r="BB27" s="515">
        <f t="shared" si="46"/>
        <v>8971.3352131200008</v>
      </c>
      <c r="BC27" s="515">
        <f t="shared" si="46"/>
        <v>8845.4996532000005</v>
      </c>
      <c r="BD27" s="515">
        <f t="shared" si="46"/>
        <v>8919.5205707999994</v>
      </c>
      <c r="BE27" s="515">
        <f t="shared" si="46"/>
        <v>9215.6042412000006</v>
      </c>
      <c r="BF27" s="515">
        <f t="shared" si="46"/>
        <v>10177.876170000001</v>
      </c>
      <c r="BG27" s="515">
        <f t="shared" si="46"/>
        <v>11495.44850328</v>
      </c>
      <c r="BH27" s="515">
        <f t="shared" si="46"/>
        <v>16395.633248400001</v>
      </c>
      <c r="BI27" s="515">
        <f t="shared" si="47"/>
        <v>11170.99122552</v>
      </c>
      <c r="BJ27" s="515">
        <f t="shared" si="47"/>
        <v>11014.3024047</v>
      </c>
      <c r="BK27" s="515">
        <f t="shared" si="47"/>
        <v>11106.4722993</v>
      </c>
      <c r="BL27" s="515">
        <f t="shared" si="47"/>
        <v>11475.1518777</v>
      </c>
      <c r="BM27" s="515">
        <f t="shared" si="47"/>
        <v>12673.360507500001</v>
      </c>
      <c r="BN27" s="515">
        <f t="shared" si="47"/>
        <v>14313.984631379999</v>
      </c>
      <c r="BO27" s="515">
        <f t="shared" si="47"/>
        <v>20415.6316539</v>
      </c>
      <c r="BP27" s="515">
        <f t="shared" si="48"/>
        <v>14817.829950629999</v>
      </c>
      <c r="BQ27" s="515">
        <f t="shared" si="48"/>
        <v>14609.989101487497</v>
      </c>
      <c r="BR27" s="515">
        <f t="shared" si="48"/>
        <v>14732.248424512498</v>
      </c>
      <c r="BS27" s="515">
        <f t="shared" si="48"/>
        <v>15221.2857166125</v>
      </c>
      <c r="BT27" s="515">
        <f t="shared" si="48"/>
        <v>16810.656915937499</v>
      </c>
      <c r="BU27" s="515">
        <f t="shared" si="48"/>
        <v>18986.872865782498</v>
      </c>
      <c r="BV27" s="515">
        <f t="shared" si="48"/>
        <v>27080.440050037498</v>
      </c>
      <c r="BW27" s="515">
        <f t="shared" si="49"/>
        <v>3985.0057050300002</v>
      </c>
      <c r="BX27" s="515">
        <f t="shared" si="49"/>
        <v>3929.1104104874998</v>
      </c>
      <c r="BY27" s="515">
        <f t="shared" si="49"/>
        <v>3961.9899955124997</v>
      </c>
      <c r="BZ27" s="515">
        <f t="shared" si="49"/>
        <v>4093.5083356125001</v>
      </c>
      <c r="CA27" s="515">
        <f t="shared" si="49"/>
        <v>4520.9429409375007</v>
      </c>
      <c r="CB27" s="515">
        <f t="shared" si="49"/>
        <v>5106.1995543824996</v>
      </c>
      <c r="CC27" s="515">
        <f t="shared" si="49"/>
        <v>7282.8280830374997</v>
      </c>
    </row>
    <row r="28" spans="1:83">
      <c r="A28" s="685" t="s">
        <v>35</v>
      </c>
      <c r="B28" s="515">
        <f t="shared" ref="B28:D28" si="58">$K60*B$32</f>
        <v>4471.7049216000005</v>
      </c>
      <c r="C28" s="515">
        <f t="shared" si="58"/>
        <v>5110.5199104000003</v>
      </c>
      <c r="D28" s="515">
        <f t="shared" si="58"/>
        <v>7026.9648767999997</v>
      </c>
      <c r="E28" s="515">
        <f t="shared" si="39"/>
        <v>3871.218832128</v>
      </c>
      <c r="F28" s="515">
        <f t="shared" si="39"/>
        <v>3816.9195580799997</v>
      </c>
      <c r="G28" s="515">
        <f t="shared" si="39"/>
        <v>3848.8603075199999</v>
      </c>
      <c r="H28" s="515">
        <f t="shared" si="39"/>
        <v>3976.6233052799998</v>
      </c>
      <c r="I28" s="515">
        <f t="shared" si="39"/>
        <v>4391.8530479999999</v>
      </c>
      <c r="J28" s="515">
        <f t="shared" si="39"/>
        <v>4960.3983880320002</v>
      </c>
      <c r="K28" s="515">
        <f t="shared" si="39"/>
        <v>7074.8760009600001</v>
      </c>
      <c r="L28" s="515">
        <f t="shared" si="40"/>
        <v>4140.0302610240014</v>
      </c>
      <c r="M28" s="515">
        <f t="shared" si="40"/>
        <v>4081.9605296400009</v>
      </c>
      <c r="N28" s="515">
        <f t="shared" si="40"/>
        <v>4116.1191951600013</v>
      </c>
      <c r="O28" s="515">
        <f t="shared" si="40"/>
        <v>4252.7538572400008</v>
      </c>
      <c r="P28" s="515">
        <f t="shared" si="40"/>
        <v>4696.816509000002</v>
      </c>
      <c r="Q28" s="515">
        <f t="shared" si="40"/>
        <v>5304.8407552560011</v>
      </c>
      <c r="R28" s="515">
        <f t="shared" si="40"/>
        <v>7566.1444126800025</v>
      </c>
      <c r="S28" s="515">
        <f t="shared" si="41"/>
        <v>3571.2776903328004</v>
      </c>
      <c r="T28" s="515">
        <f t="shared" si="41"/>
        <v>3521.1855115080002</v>
      </c>
      <c r="U28" s="515">
        <f t="shared" si="41"/>
        <v>3550.6514990520004</v>
      </c>
      <c r="V28" s="515">
        <f t="shared" si="41"/>
        <v>3668.5154492280003</v>
      </c>
      <c r="W28" s="515">
        <f t="shared" si="41"/>
        <v>4051.5732873000006</v>
      </c>
      <c r="X28" s="515">
        <f t="shared" si="41"/>
        <v>4576.0678655832007</v>
      </c>
      <c r="Y28" s="515">
        <f t="shared" si="41"/>
        <v>6526.716240996001</v>
      </c>
      <c r="Z28" s="515">
        <f t="shared" si="42"/>
        <v>3674.5031529359999</v>
      </c>
      <c r="AA28" s="515">
        <f t="shared" si="42"/>
        <v>3622.9630922099996</v>
      </c>
      <c r="AB28" s="515">
        <f t="shared" si="42"/>
        <v>3653.2807749899998</v>
      </c>
      <c r="AC28" s="515">
        <f t="shared" si="42"/>
        <v>3774.55150611</v>
      </c>
      <c r="AD28" s="515">
        <f t="shared" si="42"/>
        <v>4168.6813822499998</v>
      </c>
      <c r="AE28" s="515">
        <f t="shared" si="42"/>
        <v>4708.336135734</v>
      </c>
      <c r="AF28" s="515">
        <f t="shared" si="42"/>
        <v>6715.3667357699997</v>
      </c>
      <c r="AG28" s="515">
        <f t="shared" si="43"/>
        <v>4377.7732188959999</v>
      </c>
      <c r="AH28" s="515">
        <f t="shared" si="43"/>
        <v>4316.3688090599999</v>
      </c>
      <c r="AI28" s="515">
        <f t="shared" si="43"/>
        <v>4352.4890501399996</v>
      </c>
      <c r="AJ28" s="515">
        <f t="shared" si="43"/>
        <v>4496.9700144600001</v>
      </c>
      <c r="AK28" s="515">
        <f t="shared" si="43"/>
        <v>4966.5331485000006</v>
      </c>
      <c r="AL28" s="515">
        <f t="shared" si="43"/>
        <v>5609.4734397239999</v>
      </c>
      <c r="AM28" s="515">
        <f t="shared" si="43"/>
        <v>8000.6333992199998</v>
      </c>
      <c r="AN28" s="515">
        <f t="shared" si="44"/>
        <v>3707.9477681400003</v>
      </c>
      <c r="AO28" s="515">
        <f t="shared" si="44"/>
        <v>3655.9385997750005</v>
      </c>
      <c r="AP28" s="515">
        <f t="shared" si="44"/>
        <v>3686.5322282250004</v>
      </c>
      <c r="AQ28" s="515">
        <f t="shared" si="44"/>
        <v>3808.9067420250003</v>
      </c>
      <c r="AR28" s="515">
        <f t="shared" si="44"/>
        <v>4206.6239118750009</v>
      </c>
      <c r="AS28" s="515">
        <f t="shared" si="44"/>
        <v>4751.1904982850001</v>
      </c>
      <c r="AT28" s="515">
        <f t="shared" si="44"/>
        <v>6776.4887016750008</v>
      </c>
      <c r="AU28" s="515">
        <f t="shared" si="45"/>
        <v>5689.4887942200012</v>
      </c>
      <c r="AV28" s="515">
        <f t="shared" si="45"/>
        <v>5609.6857335750001</v>
      </c>
      <c r="AW28" s="515">
        <f t="shared" si="45"/>
        <v>5656.6287104250005</v>
      </c>
      <c r="AX28" s="515">
        <f t="shared" si="45"/>
        <v>5844.4006178250011</v>
      </c>
      <c r="AY28" s="515">
        <f t="shared" si="45"/>
        <v>6454.6593168750014</v>
      </c>
      <c r="AZ28" s="515">
        <f t="shared" si="45"/>
        <v>7290.2443048050009</v>
      </c>
      <c r="BA28" s="515">
        <f t="shared" si="45"/>
        <v>10397.869372275001</v>
      </c>
      <c r="BB28" s="515">
        <f t="shared" si="46"/>
        <v>5644.2488186700002</v>
      </c>
      <c r="BC28" s="515">
        <f t="shared" si="46"/>
        <v>5565.0803121375002</v>
      </c>
      <c r="BD28" s="515">
        <f t="shared" si="46"/>
        <v>5611.6500218624997</v>
      </c>
      <c r="BE28" s="515">
        <f t="shared" si="46"/>
        <v>5797.9288607625003</v>
      </c>
      <c r="BF28" s="515">
        <f t="shared" si="46"/>
        <v>6403.3350871875009</v>
      </c>
      <c r="BG28" s="515">
        <f t="shared" si="46"/>
        <v>7232.2759202924999</v>
      </c>
      <c r="BH28" s="515">
        <f t="shared" si="46"/>
        <v>10315.190704087499</v>
      </c>
      <c r="BI28" s="515">
        <f t="shared" si="47"/>
        <v>7247.1284146800008</v>
      </c>
      <c r="BJ28" s="515">
        <f t="shared" si="47"/>
        <v>7145.477273550001</v>
      </c>
      <c r="BK28" s="515">
        <f t="shared" si="47"/>
        <v>7205.2720624500007</v>
      </c>
      <c r="BL28" s="515">
        <f t="shared" si="47"/>
        <v>7444.4512180500005</v>
      </c>
      <c r="BM28" s="515">
        <f t="shared" si="47"/>
        <v>8221.7834737500016</v>
      </c>
      <c r="BN28" s="515">
        <f t="shared" si="47"/>
        <v>9286.1307161700006</v>
      </c>
      <c r="BO28" s="515">
        <f t="shared" si="47"/>
        <v>13244.545741350001</v>
      </c>
      <c r="BP28" s="515">
        <f t="shared" si="48"/>
        <v>13214.572519680001</v>
      </c>
      <c r="BQ28" s="515">
        <f t="shared" si="48"/>
        <v>13029.219604800001</v>
      </c>
      <c r="BR28" s="515">
        <f t="shared" si="48"/>
        <v>13138.2507312</v>
      </c>
      <c r="BS28" s="515">
        <f t="shared" si="48"/>
        <v>13574.3752368</v>
      </c>
      <c r="BT28" s="515">
        <f t="shared" si="48"/>
        <v>14991.779880000002</v>
      </c>
      <c r="BU28" s="515">
        <f t="shared" si="48"/>
        <v>16932.533929920002</v>
      </c>
      <c r="BV28" s="515">
        <f t="shared" si="48"/>
        <v>24150.394497600002</v>
      </c>
      <c r="BW28" s="515">
        <f t="shared" si="49"/>
        <v>5763.7380049199992</v>
      </c>
      <c r="BX28" s="515">
        <f t="shared" si="49"/>
        <v>5682.893494949999</v>
      </c>
      <c r="BY28" s="515">
        <f t="shared" si="49"/>
        <v>5730.4490890499992</v>
      </c>
      <c r="BZ28" s="515">
        <f t="shared" si="49"/>
        <v>5920.6714654499992</v>
      </c>
      <c r="CA28" s="515">
        <f t="shared" si="49"/>
        <v>6538.8941887499996</v>
      </c>
      <c r="CB28" s="515">
        <f t="shared" si="49"/>
        <v>7385.3837637299985</v>
      </c>
      <c r="CC28" s="515">
        <f t="shared" si="49"/>
        <v>10533.564093149998</v>
      </c>
    </row>
    <row r="29" spans="1:83">
      <c r="A29" s="685" t="s">
        <v>36</v>
      </c>
      <c r="B29" s="515">
        <f t="shared" ref="B29:D29" si="59">$K61*B$32</f>
        <v>3428.7079680000002</v>
      </c>
      <c r="C29" s="515">
        <f t="shared" si="59"/>
        <v>3918.5233920000001</v>
      </c>
      <c r="D29" s="515">
        <f t="shared" si="59"/>
        <v>5387.9696640000002</v>
      </c>
      <c r="E29" s="515">
        <f t="shared" si="39"/>
        <v>2968.2814694399999</v>
      </c>
      <c r="F29" s="515">
        <f t="shared" si="39"/>
        <v>2926.6471583999996</v>
      </c>
      <c r="G29" s="515">
        <f t="shared" si="39"/>
        <v>2951.1379296</v>
      </c>
      <c r="H29" s="515">
        <f t="shared" si="39"/>
        <v>3049.1010143999997</v>
      </c>
      <c r="I29" s="515">
        <f t="shared" si="39"/>
        <v>3367.4810400000001</v>
      </c>
      <c r="J29" s="515">
        <f t="shared" si="39"/>
        <v>3803.4167673599995</v>
      </c>
      <c r="K29" s="515">
        <f t="shared" si="39"/>
        <v>5424.7058207999999</v>
      </c>
      <c r="L29" s="515">
        <f t="shared" si="40"/>
        <v>3588.0299043984005</v>
      </c>
      <c r="M29" s="515">
        <f t="shared" si="40"/>
        <v>3537.7027522740004</v>
      </c>
      <c r="N29" s="515">
        <f t="shared" si="40"/>
        <v>3567.3069594060003</v>
      </c>
      <c r="O29" s="515">
        <f t="shared" si="40"/>
        <v>3685.7237879340005</v>
      </c>
      <c r="P29" s="515">
        <f t="shared" si="40"/>
        <v>4070.578480650001</v>
      </c>
      <c r="Q29" s="515">
        <f t="shared" si="40"/>
        <v>4597.5333675996008</v>
      </c>
      <c r="R29" s="515">
        <f t="shared" si="40"/>
        <v>6557.3318797380007</v>
      </c>
      <c r="S29" s="515">
        <f t="shared" si="41"/>
        <v>4082.715483984</v>
      </c>
      <c r="T29" s="515">
        <f t="shared" si="41"/>
        <v>4025.4496727399996</v>
      </c>
      <c r="U29" s="515">
        <f t="shared" si="41"/>
        <v>4059.1354440599998</v>
      </c>
      <c r="V29" s="515">
        <f t="shared" si="41"/>
        <v>4193.8785293399997</v>
      </c>
      <c r="W29" s="515">
        <f t="shared" si="41"/>
        <v>4631.7935565000007</v>
      </c>
      <c r="X29" s="515">
        <f t="shared" si="41"/>
        <v>5231.4002859960001</v>
      </c>
      <c r="Y29" s="515">
        <f t="shared" si="41"/>
        <v>7461.3983473799999</v>
      </c>
      <c r="Z29" s="515">
        <f t="shared" si="42"/>
        <v>4778.7436960200002</v>
      </c>
      <c r="AA29" s="515">
        <f t="shared" si="42"/>
        <v>4711.7151128249998</v>
      </c>
      <c r="AB29" s="515">
        <f t="shared" si="42"/>
        <v>4751.1436911750006</v>
      </c>
      <c r="AC29" s="515">
        <f t="shared" si="42"/>
        <v>4908.8580045750005</v>
      </c>
      <c r="AD29" s="515">
        <f t="shared" si="42"/>
        <v>5421.4295231250007</v>
      </c>
      <c r="AE29" s="515">
        <f t="shared" si="42"/>
        <v>6123.2582177550003</v>
      </c>
      <c r="AF29" s="515">
        <f t="shared" si="42"/>
        <v>8733.4301045250013</v>
      </c>
      <c r="AG29" s="515">
        <f t="shared" si="43"/>
        <v>6895.4880367799997</v>
      </c>
      <c r="AH29" s="515">
        <f t="shared" si="43"/>
        <v>6798.7691451749997</v>
      </c>
      <c r="AI29" s="515">
        <f t="shared" si="43"/>
        <v>6855.6626108249993</v>
      </c>
      <c r="AJ29" s="515">
        <f t="shared" si="43"/>
        <v>7083.2364734249995</v>
      </c>
      <c r="AK29" s="515">
        <f t="shared" si="43"/>
        <v>7822.8515268750007</v>
      </c>
      <c r="AL29" s="515">
        <f t="shared" si="43"/>
        <v>8835.5552154449997</v>
      </c>
      <c r="AM29" s="515">
        <f t="shared" si="43"/>
        <v>12601.902641475001</v>
      </c>
      <c r="AN29" s="515">
        <f t="shared" si="44"/>
        <v>5762.7796734900003</v>
      </c>
      <c r="AO29" s="515">
        <f t="shared" si="44"/>
        <v>5681.9486054625004</v>
      </c>
      <c r="AP29" s="515">
        <f t="shared" si="44"/>
        <v>5729.4962925375003</v>
      </c>
      <c r="AQ29" s="515">
        <f t="shared" si="44"/>
        <v>5919.6870408374998</v>
      </c>
      <c r="AR29" s="515">
        <f t="shared" si="44"/>
        <v>6537.806972812501</v>
      </c>
      <c r="AS29" s="515">
        <f t="shared" si="44"/>
        <v>7384.1558027475003</v>
      </c>
      <c r="AT29" s="515">
        <f t="shared" si="44"/>
        <v>10531.8126871125</v>
      </c>
      <c r="AU29" s="515">
        <f t="shared" si="45"/>
        <v>5019.4857012300008</v>
      </c>
      <c r="AV29" s="515">
        <f t="shared" si="45"/>
        <v>4949.0803737374999</v>
      </c>
      <c r="AW29" s="515">
        <f t="shared" si="45"/>
        <v>4990.4952722625003</v>
      </c>
      <c r="AX29" s="515">
        <f t="shared" si="45"/>
        <v>5156.1548663625008</v>
      </c>
      <c r="AY29" s="515">
        <f t="shared" si="45"/>
        <v>5694.5485471875008</v>
      </c>
      <c r="AZ29" s="515">
        <f t="shared" si="45"/>
        <v>6431.7337409325</v>
      </c>
      <c r="BA29" s="515">
        <f t="shared" si="45"/>
        <v>9173.4000232875005</v>
      </c>
      <c r="BB29" s="515">
        <f t="shared" si="46"/>
        <v>6706.8132516000014</v>
      </c>
      <c r="BC29" s="515">
        <f t="shared" si="46"/>
        <v>6612.7407885000011</v>
      </c>
      <c r="BD29" s="515">
        <f t="shared" si="46"/>
        <v>6668.077531500001</v>
      </c>
      <c r="BE29" s="515">
        <f t="shared" si="46"/>
        <v>6889.4245035000013</v>
      </c>
      <c r="BF29" s="515">
        <f t="shared" si="46"/>
        <v>7608.8021625000019</v>
      </c>
      <c r="BG29" s="515">
        <f t="shared" si="46"/>
        <v>8593.7961879000013</v>
      </c>
      <c r="BH29" s="515">
        <f t="shared" si="46"/>
        <v>12257.088574500001</v>
      </c>
      <c r="BI29" s="515">
        <f t="shared" si="47"/>
        <v>8045.8521343200027</v>
      </c>
      <c r="BJ29" s="515">
        <f t="shared" si="47"/>
        <v>7932.9977727000023</v>
      </c>
      <c r="BK29" s="515">
        <f t="shared" si="47"/>
        <v>7999.3826913000021</v>
      </c>
      <c r="BL29" s="515">
        <f t="shared" si="47"/>
        <v>8264.922365700002</v>
      </c>
      <c r="BM29" s="515">
        <f t="shared" si="47"/>
        <v>9127.9263075000035</v>
      </c>
      <c r="BN29" s="515">
        <f t="shared" si="47"/>
        <v>10309.577858580002</v>
      </c>
      <c r="BO29" s="515">
        <f t="shared" si="47"/>
        <v>14704.259469900004</v>
      </c>
      <c r="BP29" s="515">
        <f t="shared" si="48"/>
        <v>18310.485219263999</v>
      </c>
      <c r="BQ29" s="515">
        <f t="shared" si="48"/>
        <v>18053.654981039999</v>
      </c>
      <c r="BR29" s="515">
        <f t="shared" si="48"/>
        <v>18204.731591759999</v>
      </c>
      <c r="BS29" s="515">
        <f t="shared" si="48"/>
        <v>18809.038034639998</v>
      </c>
      <c r="BT29" s="515">
        <f t="shared" si="48"/>
        <v>20773.033974000002</v>
      </c>
      <c r="BU29" s="515">
        <f t="shared" si="48"/>
        <v>23462.197644815999</v>
      </c>
      <c r="BV29" s="515">
        <f t="shared" si="48"/>
        <v>33463.469274479998</v>
      </c>
      <c r="BW29" s="515">
        <f t="shared" si="49"/>
        <v>6723.2924035200003</v>
      </c>
      <c r="BX29" s="515">
        <f t="shared" si="49"/>
        <v>6628.9887971999997</v>
      </c>
      <c r="BY29" s="515">
        <f t="shared" si="49"/>
        <v>6684.4615068000003</v>
      </c>
      <c r="BZ29" s="515">
        <f t="shared" si="49"/>
        <v>6906.3523451999999</v>
      </c>
      <c r="CA29" s="515">
        <f t="shared" si="49"/>
        <v>7627.4975700000005</v>
      </c>
      <c r="CB29" s="515">
        <f t="shared" si="49"/>
        <v>8614.9118008799996</v>
      </c>
      <c r="CC29" s="515">
        <f t="shared" si="49"/>
        <v>12287.205176400001</v>
      </c>
    </row>
    <row r="30" spans="1:83">
      <c r="A30" s="685" t="s">
        <v>37</v>
      </c>
      <c r="B30" s="515">
        <f t="shared" ref="B30:D30" si="60">$K62*B$32</f>
        <v>6118.6400352000019</v>
      </c>
      <c r="C30" s="515">
        <f t="shared" si="60"/>
        <v>6992.7314688000015</v>
      </c>
      <c r="D30" s="515">
        <f t="shared" si="60"/>
        <v>9615.0057696000022</v>
      </c>
      <c r="E30" s="515">
        <f t="shared" si="39"/>
        <v>5296.9940876160008</v>
      </c>
      <c r="F30" s="515">
        <f t="shared" si="39"/>
        <v>5222.6963157600012</v>
      </c>
      <c r="G30" s="515">
        <f t="shared" si="39"/>
        <v>5266.4008874400006</v>
      </c>
      <c r="H30" s="515">
        <f t="shared" si="39"/>
        <v>5441.2191741600009</v>
      </c>
      <c r="I30" s="515">
        <f t="shared" si="39"/>
        <v>6009.378606000002</v>
      </c>
      <c r="J30" s="515">
        <f t="shared" si="39"/>
        <v>6787.319981904001</v>
      </c>
      <c r="K30" s="515">
        <f t="shared" si="39"/>
        <v>9680.5626271200017</v>
      </c>
      <c r="L30" s="515">
        <f t="shared" si="40"/>
        <v>6134.8939663392002</v>
      </c>
      <c r="M30" s="515">
        <f t="shared" si="40"/>
        <v>6048.8434734120001</v>
      </c>
      <c r="N30" s="515">
        <f t="shared" si="40"/>
        <v>6099.4614104279999</v>
      </c>
      <c r="O30" s="515">
        <f t="shared" si="40"/>
        <v>6301.9331584920001</v>
      </c>
      <c r="P30" s="515">
        <f t="shared" si="40"/>
        <v>6959.9663397000013</v>
      </c>
      <c r="Q30" s="515">
        <f t="shared" si="40"/>
        <v>7860.9656185847998</v>
      </c>
      <c r="R30" s="515">
        <f t="shared" si="40"/>
        <v>11211.873049044001</v>
      </c>
      <c r="S30" s="515">
        <f t="shared" si="41"/>
        <v>6213.9816960479993</v>
      </c>
      <c r="T30" s="515">
        <f t="shared" si="41"/>
        <v>6126.8218867799987</v>
      </c>
      <c r="U30" s="515">
        <f t="shared" si="41"/>
        <v>6178.0923628199989</v>
      </c>
      <c r="V30" s="515">
        <f t="shared" si="41"/>
        <v>6383.1742669799996</v>
      </c>
      <c r="W30" s="515">
        <f t="shared" si="41"/>
        <v>7049.6904555000001</v>
      </c>
      <c r="X30" s="515">
        <f t="shared" si="41"/>
        <v>7962.3049290119989</v>
      </c>
      <c r="Y30" s="515">
        <f t="shared" si="41"/>
        <v>11356.410442859999</v>
      </c>
      <c r="Z30" s="515">
        <f t="shared" si="42"/>
        <v>9594.8761255200006</v>
      </c>
      <c r="AA30" s="515">
        <f t="shared" si="42"/>
        <v>9460.2945296999987</v>
      </c>
      <c r="AB30" s="515">
        <f t="shared" si="42"/>
        <v>9539.4601743000003</v>
      </c>
      <c r="AC30" s="515">
        <f t="shared" si="42"/>
        <v>9856.1227526999992</v>
      </c>
      <c r="AD30" s="515">
        <f t="shared" si="42"/>
        <v>10885.276132500001</v>
      </c>
      <c r="AE30" s="515">
        <f t="shared" si="42"/>
        <v>12294.42460638</v>
      </c>
      <c r="AF30" s="515">
        <f t="shared" si="42"/>
        <v>17535.190278900001</v>
      </c>
      <c r="AG30" s="515">
        <f t="shared" si="43"/>
        <v>10356.400678176002</v>
      </c>
      <c r="AH30" s="515">
        <f t="shared" si="43"/>
        <v>10211.13763236</v>
      </c>
      <c r="AI30" s="515">
        <f t="shared" si="43"/>
        <v>10296.586482840001</v>
      </c>
      <c r="AJ30" s="515">
        <f t="shared" si="43"/>
        <v>10638.381884760001</v>
      </c>
      <c r="AK30" s="515">
        <f t="shared" si="43"/>
        <v>11749.216941000002</v>
      </c>
      <c r="AL30" s="515">
        <f t="shared" si="43"/>
        <v>13270.206479544</v>
      </c>
      <c r="AM30" s="515">
        <f t="shared" si="43"/>
        <v>18926.920381320004</v>
      </c>
      <c r="AN30" s="515">
        <f t="shared" si="44"/>
        <v>7729.5557016720004</v>
      </c>
      <c r="AO30" s="515">
        <f t="shared" si="44"/>
        <v>7621.1378411700007</v>
      </c>
      <c r="AP30" s="515">
        <f t="shared" si="44"/>
        <v>7684.9130532300005</v>
      </c>
      <c r="AQ30" s="515">
        <f t="shared" si="44"/>
        <v>7940.0139014700007</v>
      </c>
      <c r="AR30" s="515">
        <f t="shared" si="44"/>
        <v>8769.0916582500013</v>
      </c>
      <c r="AS30" s="515">
        <f t="shared" si="44"/>
        <v>9904.2904329180001</v>
      </c>
      <c r="AT30" s="515">
        <f t="shared" si="44"/>
        <v>14126.209471290002</v>
      </c>
      <c r="AU30" s="515">
        <f t="shared" si="45"/>
        <v>10529.06493366</v>
      </c>
      <c r="AV30" s="515">
        <f t="shared" si="45"/>
        <v>10381.380029475</v>
      </c>
      <c r="AW30" s="515">
        <f t="shared" si="45"/>
        <v>10468.253502525</v>
      </c>
      <c r="AX30" s="515">
        <f t="shared" si="45"/>
        <v>10815.747394725</v>
      </c>
      <c r="AY30" s="515">
        <f t="shared" si="45"/>
        <v>11945.102544375</v>
      </c>
      <c r="AZ30" s="515">
        <f t="shared" si="45"/>
        <v>13491.450364664999</v>
      </c>
      <c r="BA30" s="515">
        <f t="shared" si="45"/>
        <v>19242.474280574999</v>
      </c>
      <c r="BB30" s="515">
        <f t="shared" si="46"/>
        <v>15133.783506660002</v>
      </c>
      <c r="BC30" s="515">
        <f t="shared" si="46"/>
        <v>14921.510965725</v>
      </c>
      <c r="BD30" s="515">
        <f t="shared" si="46"/>
        <v>15046.377166275</v>
      </c>
      <c r="BE30" s="515">
        <f t="shared" si="46"/>
        <v>15545.841968475001</v>
      </c>
      <c r="BF30" s="515">
        <f t="shared" si="46"/>
        <v>17169.102575625002</v>
      </c>
      <c r="BG30" s="515">
        <f t="shared" si="46"/>
        <v>19391.720945415</v>
      </c>
      <c r="BH30" s="515">
        <f t="shared" si="46"/>
        <v>27657.863421825001</v>
      </c>
      <c r="BI30" s="515">
        <f t="shared" si="47"/>
        <v>17108.207453610001</v>
      </c>
      <c r="BJ30" s="515">
        <f t="shared" si="47"/>
        <v>16868.2408474125</v>
      </c>
      <c r="BK30" s="515">
        <f t="shared" si="47"/>
        <v>17009.397674587501</v>
      </c>
      <c r="BL30" s="515">
        <f t="shared" si="47"/>
        <v>17574.024983287502</v>
      </c>
      <c r="BM30" s="515">
        <f t="shared" si="47"/>
        <v>19409.063736562504</v>
      </c>
      <c r="BN30" s="515">
        <f t="shared" si="47"/>
        <v>21921.655260277501</v>
      </c>
      <c r="BO30" s="515">
        <f t="shared" si="47"/>
        <v>31266.237219262504</v>
      </c>
      <c r="BP30" s="515">
        <f t="shared" si="48"/>
        <v>31069.653654816004</v>
      </c>
      <c r="BQ30" s="515">
        <f t="shared" si="48"/>
        <v>30633.858182760003</v>
      </c>
      <c r="BR30" s="515">
        <f t="shared" si="48"/>
        <v>30890.208460440001</v>
      </c>
      <c r="BS30" s="515">
        <f t="shared" si="48"/>
        <v>31915.609571160003</v>
      </c>
      <c r="BT30" s="515">
        <f t="shared" si="48"/>
        <v>35248.163181000004</v>
      </c>
      <c r="BU30" s="515">
        <f t="shared" si="48"/>
        <v>39811.198123704002</v>
      </c>
      <c r="BV30" s="515">
        <f t="shared" si="48"/>
        <v>56781.586506120009</v>
      </c>
      <c r="BW30" s="515">
        <f t="shared" si="49"/>
        <v>8115.2409038400001</v>
      </c>
      <c r="BX30" s="515">
        <f t="shared" si="49"/>
        <v>8001.4132673999993</v>
      </c>
      <c r="BY30" s="515">
        <f t="shared" si="49"/>
        <v>8068.3707005999995</v>
      </c>
      <c r="BZ30" s="515">
        <f t="shared" si="49"/>
        <v>8336.2004333999994</v>
      </c>
      <c r="CA30" s="515">
        <f t="shared" si="49"/>
        <v>9206.647065000001</v>
      </c>
      <c r="CB30" s="515">
        <f t="shared" si="49"/>
        <v>10398.48937596</v>
      </c>
      <c r="CC30" s="515">
        <f t="shared" si="49"/>
        <v>14831.071453799999</v>
      </c>
    </row>
    <row r="32" spans="1:83">
      <c r="B32" s="566">
        <v>0.14000000000000001</v>
      </c>
      <c r="C32" s="566">
        <v>0.16</v>
      </c>
      <c r="D32" s="566">
        <v>0.22</v>
      </c>
      <c r="E32" s="1546">
        <v>0.1212</v>
      </c>
      <c r="F32" s="1546">
        <v>0.1195</v>
      </c>
      <c r="G32" s="1546">
        <v>0.1205</v>
      </c>
      <c r="H32" s="1546">
        <v>0.1245</v>
      </c>
      <c r="I32" s="1546">
        <v>0.13750000000000001</v>
      </c>
      <c r="J32" s="1546">
        <v>0.15529999999999999</v>
      </c>
      <c r="K32" s="1546">
        <v>0.2215</v>
      </c>
      <c r="L32" s="1546">
        <v>0.1212</v>
      </c>
      <c r="M32" s="1546">
        <v>0.1195</v>
      </c>
      <c r="N32" s="1546">
        <v>0.1205</v>
      </c>
      <c r="O32" s="1546">
        <v>0.1245</v>
      </c>
      <c r="P32" s="1546">
        <v>0.13750000000000001</v>
      </c>
      <c r="Q32" s="1546">
        <v>0.15529999999999999</v>
      </c>
      <c r="R32" s="1546">
        <v>0.2215</v>
      </c>
      <c r="S32" s="1546">
        <v>0.1212</v>
      </c>
      <c r="T32" s="1546">
        <v>0.1195</v>
      </c>
      <c r="U32" s="1546">
        <v>0.1205</v>
      </c>
      <c r="V32" s="1546">
        <v>0.1245</v>
      </c>
      <c r="W32" s="1546">
        <v>0.13750000000000001</v>
      </c>
      <c r="X32" s="1546">
        <v>0.15529999999999999</v>
      </c>
      <c r="Y32" s="1546">
        <v>0.2215</v>
      </c>
      <c r="Z32" s="1546">
        <v>0.1212</v>
      </c>
      <c r="AA32" s="1546">
        <v>0.1195</v>
      </c>
      <c r="AB32" s="1546">
        <v>0.1205</v>
      </c>
      <c r="AC32" s="1546">
        <v>0.1245</v>
      </c>
      <c r="AD32" s="1546">
        <v>0.13750000000000001</v>
      </c>
      <c r="AE32" s="1546">
        <v>0.15529999999999999</v>
      </c>
      <c r="AF32" s="1546">
        <v>0.2215</v>
      </c>
      <c r="AG32" s="1546">
        <v>0.1212</v>
      </c>
      <c r="AH32" s="1546">
        <v>0.1195</v>
      </c>
      <c r="AI32" s="1546">
        <v>0.1205</v>
      </c>
      <c r="AJ32" s="1546">
        <v>0.1245</v>
      </c>
      <c r="AK32" s="1546">
        <v>0.13750000000000001</v>
      </c>
      <c r="AL32" s="1546">
        <v>0.15529999999999999</v>
      </c>
      <c r="AM32" s="1546">
        <v>0.2215</v>
      </c>
      <c r="AN32" s="1546">
        <v>0.1212</v>
      </c>
      <c r="AO32" s="1546">
        <v>0.1195</v>
      </c>
      <c r="AP32" s="1546">
        <v>0.1205</v>
      </c>
      <c r="AQ32" s="1546">
        <v>0.1245</v>
      </c>
      <c r="AR32" s="1546">
        <v>0.13750000000000001</v>
      </c>
      <c r="AS32" s="1546">
        <v>0.15529999999999999</v>
      </c>
      <c r="AT32" s="1546">
        <v>0.2215</v>
      </c>
      <c r="AU32" s="1546">
        <v>0.1212</v>
      </c>
      <c r="AV32" s="1546">
        <v>0.1195</v>
      </c>
      <c r="AW32" s="1546">
        <v>0.1205</v>
      </c>
      <c r="AX32" s="1546">
        <v>0.1245</v>
      </c>
      <c r="AY32" s="1546">
        <v>0.13750000000000001</v>
      </c>
      <c r="AZ32" s="1546">
        <v>0.15529999999999999</v>
      </c>
      <c r="BA32" s="1546">
        <v>0.2215</v>
      </c>
      <c r="BB32" s="1546">
        <v>0.1212</v>
      </c>
      <c r="BC32" s="1546">
        <v>0.1195</v>
      </c>
      <c r="BD32" s="1546">
        <v>0.1205</v>
      </c>
      <c r="BE32" s="1546">
        <v>0.1245</v>
      </c>
      <c r="BF32" s="1546">
        <v>0.13750000000000001</v>
      </c>
      <c r="BG32" s="1546">
        <v>0.15529999999999999</v>
      </c>
      <c r="BH32" s="1546">
        <v>0.2215</v>
      </c>
      <c r="BI32" s="1546">
        <v>0.1212</v>
      </c>
      <c r="BJ32" s="1546">
        <v>0.1195</v>
      </c>
      <c r="BK32" s="1546">
        <v>0.1205</v>
      </c>
      <c r="BL32" s="1546">
        <v>0.1245</v>
      </c>
      <c r="BM32" s="1546">
        <v>0.13750000000000001</v>
      </c>
      <c r="BN32" s="1546">
        <v>0.15529999999999999</v>
      </c>
      <c r="BO32" s="1546">
        <v>0.2215</v>
      </c>
      <c r="BP32" s="1546">
        <v>0.1212</v>
      </c>
      <c r="BQ32" s="1546">
        <v>0.1195</v>
      </c>
      <c r="BR32" s="1546">
        <v>0.1205</v>
      </c>
      <c r="BS32" s="1546">
        <v>0.1245</v>
      </c>
      <c r="BT32" s="1546">
        <v>0.13750000000000001</v>
      </c>
      <c r="BU32" s="1546">
        <v>0.15529999999999999</v>
      </c>
      <c r="BV32" s="1546">
        <v>0.2215</v>
      </c>
      <c r="BW32" s="1546">
        <v>0.1212</v>
      </c>
      <c r="BX32" s="1546">
        <v>0.1195</v>
      </c>
      <c r="BY32" s="1546">
        <v>0.1205</v>
      </c>
      <c r="BZ32" s="1546">
        <v>0.1245</v>
      </c>
      <c r="CA32" s="1546">
        <v>0.13750000000000001</v>
      </c>
      <c r="CB32" s="1546">
        <v>0.15529999999999999</v>
      </c>
      <c r="CC32" s="1546">
        <v>0.2215</v>
      </c>
      <c r="CD32" s="566"/>
      <c r="CE32" s="566"/>
    </row>
    <row r="33" spans="1:81">
      <c r="J33" s="55" t="s">
        <v>520</v>
      </c>
      <c r="K33">
        <v>38</v>
      </c>
      <c r="Q33" s="55" t="s">
        <v>520</v>
      </c>
      <c r="R33">
        <v>39</v>
      </c>
      <c r="X33" s="55" t="s">
        <v>520</v>
      </c>
      <c r="Y33">
        <v>40</v>
      </c>
      <c r="AE33" s="55" t="s">
        <v>520</v>
      </c>
      <c r="AF33">
        <v>41</v>
      </c>
      <c r="AL33" s="55" t="s">
        <v>520</v>
      </c>
      <c r="AM33">
        <v>42</v>
      </c>
      <c r="AS33" s="55" t="s">
        <v>520</v>
      </c>
      <c r="AT33">
        <v>43</v>
      </c>
      <c r="AZ33" s="55" t="s">
        <v>520</v>
      </c>
      <c r="BA33">
        <v>44</v>
      </c>
      <c r="BG33" s="55" t="s">
        <v>520</v>
      </c>
      <c r="BH33">
        <v>45</v>
      </c>
      <c r="BN33" s="55" t="s">
        <v>520</v>
      </c>
      <c r="BO33">
        <v>46</v>
      </c>
      <c r="BU33" s="55" t="s">
        <v>520</v>
      </c>
      <c r="BV33">
        <v>47</v>
      </c>
      <c r="CB33" s="55" t="s">
        <v>520</v>
      </c>
      <c r="CC33">
        <v>48</v>
      </c>
    </row>
    <row r="34" spans="1:81">
      <c r="A34" s="686" t="s">
        <v>469</v>
      </c>
      <c r="J34" s="566">
        <v>1.08</v>
      </c>
      <c r="K34" s="348">
        <f>'Proy 2021 vs 2019 Sem'!IK6*J34</f>
        <v>76039.496496000007</v>
      </c>
      <c r="M34" s="1549"/>
      <c r="N34" s="348"/>
      <c r="Q34" s="566">
        <v>1.08</v>
      </c>
      <c r="R34" s="348">
        <f>'Proy 2021 vs 2019 Sem'!IP6*Q34</f>
        <v>109773.22802400001</v>
      </c>
      <c r="X34" s="566">
        <v>1.08</v>
      </c>
      <c r="Y34" s="348">
        <f>'Proy 2021 vs 2019 Sem'!IY6*X34</f>
        <v>72650.591064000007</v>
      </c>
      <c r="AE34" s="566">
        <v>1.05</v>
      </c>
      <c r="AF34" s="348">
        <f>'Proy 2021 vs 2019 Sem'!JD6*AE34</f>
        <v>77854.409850000011</v>
      </c>
      <c r="AL34" s="566">
        <v>1.05</v>
      </c>
      <c r="AM34" s="348">
        <f>'Proy 2021 vs 2019 Sem'!JI6*AL34</f>
        <v>94001.814900000027</v>
      </c>
      <c r="AS34" s="566">
        <v>1.05</v>
      </c>
      <c r="AT34" s="348">
        <f>'Proy 2021 vs 2019 Sem'!JN6*AS34</f>
        <v>114085.0494</v>
      </c>
      <c r="AZ34" s="566">
        <v>1.05</v>
      </c>
      <c r="BA34" s="348">
        <f>'Proy 2021 vs 2019 Sem'!JX6*AZ34</f>
        <v>197725.95517499998</v>
      </c>
      <c r="BG34" s="566">
        <v>1.05</v>
      </c>
      <c r="BH34" s="348">
        <f>'Proy 2021 vs 2019 Sem'!KC6*BG34</f>
        <v>257460.55177500003</v>
      </c>
      <c r="BN34" s="566">
        <v>1.05</v>
      </c>
      <c r="BO34" s="348">
        <f>'Proy 2021 vs 2019 Sem'!KH6*BN34</f>
        <v>288970.03758000006</v>
      </c>
      <c r="BU34" s="566">
        <v>1.05</v>
      </c>
      <c r="BV34" s="348">
        <f>'Proy 2021 vs 2019 Sem'!KM6*BU34</f>
        <v>457534.43337000004</v>
      </c>
      <c r="CB34" s="566">
        <v>1.05</v>
      </c>
      <c r="CC34" s="348">
        <f>'Proy 2021 vs 2019 Sem'!KR6*CB34</f>
        <v>72399.102299999999</v>
      </c>
    </row>
    <row r="35" spans="1:81">
      <c r="A35" s="687" t="s">
        <v>470</v>
      </c>
      <c r="J35" s="566">
        <v>1.08</v>
      </c>
      <c r="K35" s="348">
        <f>'Proy 2021 vs 2019 Sem'!IK7*J35</f>
        <v>62770.287096000015</v>
      </c>
      <c r="Q35" s="566">
        <v>1.08</v>
      </c>
      <c r="R35" s="348">
        <f>'Proy 2021 vs 2019 Sem'!IP7*Q35</f>
        <v>86592.567888000005</v>
      </c>
      <c r="X35" s="566">
        <v>1.08</v>
      </c>
      <c r="Y35" s="348">
        <f>'Proy 2021 vs 2019 Sem'!IY7*X35</f>
        <v>82349.110080000013</v>
      </c>
      <c r="AE35" s="566">
        <v>1.05</v>
      </c>
      <c r="AF35" s="348">
        <f>'Proy 2021 vs 2019 Sem'!JD7*AE35</f>
        <v>89026.257600000012</v>
      </c>
      <c r="AL35" s="566">
        <v>1.05</v>
      </c>
      <c r="AM35" s="348">
        <f>'Proy 2021 vs 2019 Sem'!JI7*AL35</f>
        <v>106997.26800000001</v>
      </c>
      <c r="AS35" s="566">
        <v>1.05</v>
      </c>
      <c r="AT35" s="348">
        <f>'Proy 2021 vs 2019 Sem'!JN7*AS35</f>
        <v>86677.848075000002</v>
      </c>
      <c r="AZ35" s="566">
        <v>1.05</v>
      </c>
      <c r="BA35" s="348">
        <f>'Proy 2021 vs 2019 Sem'!JX7*AZ35</f>
        <v>119299.88069999999</v>
      </c>
      <c r="BG35" s="566">
        <v>1.05</v>
      </c>
      <c r="BH35" s="348">
        <f>'Proy 2021 vs 2019 Sem'!KC7*BG35</f>
        <v>130576.56381000001</v>
      </c>
      <c r="BN35" s="566">
        <v>1.05</v>
      </c>
      <c r="BO35" s="348">
        <f>'Proy 2021 vs 2019 Sem'!KH7*BN35</f>
        <v>180381.78774</v>
      </c>
      <c r="BU35" s="566">
        <v>1.05</v>
      </c>
      <c r="BV35" s="348">
        <f>'Proy 2021 vs 2019 Sem'!KM7*BU35</f>
        <v>320985.65267999994</v>
      </c>
      <c r="CB35" s="566">
        <v>1.05</v>
      </c>
      <c r="CC35" s="348">
        <f>'Proy 2021 vs 2019 Sem'!KR7*CB35</f>
        <v>72341.608500000002</v>
      </c>
    </row>
    <row r="36" spans="1:81">
      <c r="A36" s="687" t="s">
        <v>471</v>
      </c>
      <c r="J36" s="566">
        <v>1.08</v>
      </c>
      <c r="K36" s="348">
        <f>'Proy 2021 vs 2019 Sem'!IK8*J36</f>
        <v>72562.63824</v>
      </c>
      <c r="Q36" s="566">
        <v>1.08</v>
      </c>
      <c r="R36" s="348">
        <f>'Proy 2021 vs 2019 Sem'!IP8*Q36</f>
        <v>92196.135900000023</v>
      </c>
      <c r="X36" s="566">
        <v>1.08</v>
      </c>
      <c r="Y36" s="348">
        <f>'Proy 2021 vs 2019 Sem'!IY8*X36</f>
        <v>69095.569860000003</v>
      </c>
      <c r="AE36" s="566">
        <v>1.05</v>
      </c>
      <c r="AF36" s="348">
        <f>'Proy 2021 vs 2019 Sem'!JD8*AE36</f>
        <v>71790.495839999989</v>
      </c>
      <c r="AL36" s="566">
        <v>1.05</v>
      </c>
      <c r="AM36" s="348">
        <f>'Proy 2021 vs 2019 Sem'!JI8*AL36</f>
        <v>110565.62496</v>
      </c>
      <c r="AS36" s="566">
        <v>1.05</v>
      </c>
      <c r="AT36" s="348">
        <f>'Proy 2021 vs 2019 Sem'!JN8*AS36</f>
        <v>86398.82160000001</v>
      </c>
      <c r="AZ36" s="566">
        <v>1.05</v>
      </c>
      <c r="BA36" s="348">
        <f>'Proy 2021 vs 2019 Sem'!JX8*AZ36</f>
        <v>107887.23120000001</v>
      </c>
      <c r="BG36" s="566">
        <v>1.05</v>
      </c>
      <c r="BH36" s="348">
        <f>'Proy 2021 vs 2019 Sem'!KC8*BG36</f>
        <v>124141.54000500003</v>
      </c>
      <c r="BN36" s="566">
        <v>1.05</v>
      </c>
      <c r="BO36" s="348">
        <f>'Proy 2021 vs 2019 Sem'!KH8*BN36</f>
        <v>151128.43231500001</v>
      </c>
      <c r="BU36" s="566">
        <v>1.05</v>
      </c>
      <c r="BV36" s="348">
        <f>'Proy 2021 vs 2019 Sem'!KM8*BU36</f>
        <v>283158.09123000002</v>
      </c>
      <c r="CB36" s="566">
        <v>1.05</v>
      </c>
      <c r="CC36" s="348">
        <f>'Proy 2021 vs 2019 Sem'!KR8*CB36</f>
        <v>52463.666850000001</v>
      </c>
    </row>
    <row r="37" spans="1:81">
      <c r="A37" s="687" t="s">
        <v>472</v>
      </c>
      <c r="J37" s="566">
        <v>1.08</v>
      </c>
      <c r="K37" s="348">
        <f>'Proy 2021 vs 2019 Sem'!IK9*J37</f>
        <v>66366.243216000003</v>
      </c>
      <c r="Q37" s="566">
        <v>1.08</v>
      </c>
      <c r="R37" s="348">
        <f>'Proy 2021 vs 2019 Sem'!IP9*Q37</f>
        <v>79225.568423999997</v>
      </c>
      <c r="X37" s="566">
        <v>1.08</v>
      </c>
      <c r="Y37" s="348">
        <f>'Proy 2021 vs 2019 Sem'!IY9*X37</f>
        <v>56458.5147</v>
      </c>
      <c r="AE37" s="566">
        <v>1.05</v>
      </c>
      <c r="AF37" s="348">
        <f>'Proy 2021 vs 2019 Sem'!JD9*AE37</f>
        <v>62946.713024999997</v>
      </c>
      <c r="AL37" s="566">
        <v>1.05</v>
      </c>
      <c r="AM37" s="348">
        <f>'Proy 2021 vs 2019 Sem'!JI9*AL37</f>
        <v>77213.776499999993</v>
      </c>
      <c r="AS37" s="566">
        <v>1.05</v>
      </c>
      <c r="AT37" s="348">
        <f>'Proy 2021 vs 2019 Sem'!JN9*AS37</f>
        <v>56118.817125000009</v>
      </c>
      <c r="AZ37" s="566">
        <v>1.05</v>
      </c>
      <c r="BA37" s="348">
        <f>'Proy 2021 vs 2019 Sem'!JX9*AZ37</f>
        <v>67037.284650000001</v>
      </c>
      <c r="BG37" s="566">
        <v>1.05</v>
      </c>
      <c r="BH37" s="348">
        <f>'Proy 2021 vs 2019 Sem'!KC9*BG37</f>
        <v>96521.486250000002</v>
      </c>
      <c r="BN37" s="566">
        <v>1.05</v>
      </c>
      <c r="BO37" s="348">
        <f>'Proy 2021 vs 2019 Sem'!KH9*BN37</f>
        <v>144386.48700000002</v>
      </c>
      <c r="BU37" s="566">
        <v>1.05</v>
      </c>
      <c r="BV37" s="348">
        <f>'Proy 2021 vs 2019 Sem'!KM9*BU37</f>
        <v>248493.95686499999</v>
      </c>
      <c r="CB37" s="566">
        <v>1.05</v>
      </c>
      <c r="CC37" s="348">
        <f>'Proy 2021 vs 2019 Sem'!KR9*CB37</f>
        <v>60388.364400000006</v>
      </c>
    </row>
    <row r="38" spans="1:81">
      <c r="A38" s="687" t="s">
        <v>473</v>
      </c>
      <c r="J38" s="566">
        <v>1.08</v>
      </c>
      <c r="K38" s="348">
        <f>'Proy 2021 vs 2019 Sem'!IK10*J38</f>
        <v>66783.147840000005</v>
      </c>
      <c r="Q38" s="566">
        <v>1.08</v>
      </c>
      <c r="R38" s="348">
        <f>'Proy 2021 vs 2019 Sem'!IP10*Q38</f>
        <v>98933.202899999989</v>
      </c>
      <c r="X38" s="566">
        <v>1.08</v>
      </c>
      <c r="Y38" s="348">
        <f>'Proy 2021 vs 2019 Sem'!IY10*X38</f>
        <v>74981.825171999997</v>
      </c>
      <c r="AE38" s="566">
        <v>1.05</v>
      </c>
      <c r="AF38" s="348">
        <f>'Proy 2021 vs 2019 Sem'!JD10*AE38</f>
        <v>81776.005080000003</v>
      </c>
      <c r="AL38" s="566">
        <v>1.05</v>
      </c>
      <c r="AM38" s="348">
        <f>'Proy 2021 vs 2019 Sem'!JI10*AL38</f>
        <v>107362.27530000001</v>
      </c>
      <c r="AS38" s="566">
        <v>1.05</v>
      </c>
      <c r="AT38" s="348">
        <f>'Proy 2021 vs 2019 Sem'!JN10*AS38</f>
        <v>80915.568825000009</v>
      </c>
      <c r="AZ38" s="566">
        <v>1.05</v>
      </c>
      <c r="BA38" s="348">
        <f>'Proy 2021 vs 2019 Sem'!JX10*AZ38</f>
        <v>102502.02690000001</v>
      </c>
      <c r="BG38" s="566">
        <v>1.05</v>
      </c>
      <c r="BH38" s="348">
        <f>'Proy 2021 vs 2019 Sem'!KC10*BG38</f>
        <v>118941.46582500001</v>
      </c>
      <c r="BN38" s="566">
        <v>1.05</v>
      </c>
      <c r="BO38" s="348">
        <f>'Proy 2021 vs 2019 Sem'!KH10*BN38</f>
        <v>168713.72878500001</v>
      </c>
      <c r="BU38" s="566">
        <v>1.05</v>
      </c>
      <c r="BV38" s="348">
        <f>'Proy 2021 vs 2019 Sem'!KM10*BU38</f>
        <v>268042.44600000005</v>
      </c>
      <c r="CB38" s="566">
        <v>1.05</v>
      </c>
      <c r="CC38" s="348">
        <f>'Proy 2021 vs 2019 Sem'!KR10*CB38</f>
        <v>52000.774875000003</v>
      </c>
    </row>
    <row r="39" spans="1:81">
      <c r="A39" s="687" t="s">
        <v>474</v>
      </c>
      <c r="J39" s="566">
        <v>1.08</v>
      </c>
      <c r="K39" s="348">
        <f>'Proy 2021 vs 2019 Sem'!IK11*J39</f>
        <v>85784.486400000009</v>
      </c>
      <c r="Q39" s="566">
        <v>1.08</v>
      </c>
      <c r="R39" s="348">
        <f>'Proy 2021 vs 2019 Sem'!IP11*Q39</f>
        <v>126691.21656000003</v>
      </c>
      <c r="X39" s="566">
        <v>1.08</v>
      </c>
      <c r="Y39" s="348">
        <f>'Proy 2021 vs 2019 Sem'!IY11*X39</f>
        <v>97699.625280000022</v>
      </c>
      <c r="AE39" s="566">
        <v>1.05</v>
      </c>
      <c r="AF39" s="348">
        <f>'Proy 2021 vs 2019 Sem'!JD11*AE39</f>
        <v>114635.67360000001</v>
      </c>
      <c r="AL39" s="566">
        <v>1.05</v>
      </c>
      <c r="AM39" s="348">
        <f>'Proy 2021 vs 2019 Sem'!JI11*AL39</f>
        <v>137168.35177499999</v>
      </c>
      <c r="AS39" s="566">
        <v>1.05</v>
      </c>
      <c r="AT39" s="348">
        <f>'Proy 2021 vs 2019 Sem'!JN11*AS39</f>
        <v>146167.77262500001</v>
      </c>
      <c r="AZ39" s="566">
        <v>1.05</v>
      </c>
      <c r="BA39" s="348">
        <f>'Proy 2021 vs 2019 Sem'!JX11*AZ39</f>
        <v>213926.96849999999</v>
      </c>
      <c r="BG39" s="566">
        <v>1.05</v>
      </c>
      <c r="BH39" s="348">
        <f>'Proy 2021 vs 2019 Sem'!KC11*BG39</f>
        <v>259414.93514999998</v>
      </c>
      <c r="BN39" s="566">
        <v>1.05</v>
      </c>
      <c r="BO39" s="348">
        <f>'Proy 2021 vs 2019 Sem'!KH11*BN39</f>
        <v>337704.10694999999</v>
      </c>
      <c r="BU39" s="566">
        <v>1.05</v>
      </c>
      <c r="BV39" s="348">
        <f>'Proy 2021 vs 2019 Sem'!KM11*BU39</f>
        <v>429432.37952999998</v>
      </c>
      <c r="CB39" s="566">
        <v>1.05</v>
      </c>
      <c r="CC39" s="348">
        <f>'Proy 2021 vs 2019 Sem'!KR11*CB39</f>
        <v>96052.840800000005</v>
      </c>
    </row>
    <row r="40" spans="1:81">
      <c r="A40" s="687" t="s">
        <v>475</v>
      </c>
      <c r="J40" s="566">
        <v>1.08</v>
      </c>
      <c r="K40" s="348">
        <f>'Proy 2021 vs 2019 Sem'!IK12*J40</f>
        <v>91990.944000000003</v>
      </c>
      <c r="Q40" s="566">
        <v>1.08</v>
      </c>
      <c r="R40" s="348">
        <f>'Proy 2021 vs 2019 Sem'!IP12*Q40</f>
        <v>142232.739264</v>
      </c>
      <c r="X40" s="566">
        <v>1.08</v>
      </c>
      <c r="Y40" s="348">
        <f>'Proy 2021 vs 2019 Sem'!IY12*X40</f>
        <v>100339.19874000001</v>
      </c>
      <c r="AE40" s="566">
        <v>1.05</v>
      </c>
      <c r="AF40" s="348">
        <f>'Proy 2021 vs 2019 Sem'!JD12*AE40</f>
        <v>139106.01337499998</v>
      </c>
      <c r="AL40" s="566">
        <v>1.05</v>
      </c>
      <c r="AM40" s="348">
        <f>'Proy 2021 vs 2019 Sem'!JI12*AL40</f>
        <v>165843.951</v>
      </c>
      <c r="AS40" s="566">
        <v>1.05</v>
      </c>
      <c r="AT40" s="348">
        <f>'Proy 2021 vs 2019 Sem'!JN12*AS40</f>
        <v>138255.14902500002</v>
      </c>
      <c r="AZ40" s="566">
        <v>1.05</v>
      </c>
      <c r="BA40" s="348">
        <f>'Proy 2021 vs 2019 Sem'!JX12*AZ40</f>
        <v>177214.04326500001</v>
      </c>
      <c r="BG40" s="566">
        <v>1.05</v>
      </c>
      <c r="BH40" s="348">
        <f>'Proy 2021 vs 2019 Sem'!KC12*BG40</f>
        <v>228281.642505</v>
      </c>
      <c r="BN40" s="566">
        <v>1.05</v>
      </c>
      <c r="BO40" s="348">
        <f>'Proy 2021 vs 2019 Sem'!KH12*BN40</f>
        <v>307863.63237000001</v>
      </c>
      <c r="BU40" s="566">
        <v>1.05</v>
      </c>
      <c r="BV40" s="348">
        <f>'Proy 2021 vs 2019 Sem'!KM12*BU40</f>
        <v>477227.42655000003</v>
      </c>
      <c r="CB40" s="566">
        <v>1.05</v>
      </c>
      <c r="CC40" s="348">
        <f>'Proy 2021 vs 2019 Sem'!KR12*CB40</f>
        <v>101863.91250000001</v>
      </c>
    </row>
    <row r="41" spans="1:81">
      <c r="A41" s="687" t="s">
        <v>476</v>
      </c>
      <c r="J41" s="566">
        <v>1.08</v>
      </c>
      <c r="K41" s="348">
        <f>'Proy 2021 vs 2019 Sem'!IK13*J41</f>
        <v>86180.233823999995</v>
      </c>
      <c r="Q41" s="566">
        <v>1.08</v>
      </c>
      <c r="R41" s="348">
        <f>'Proy 2021 vs 2019 Sem'!IP13*Q41</f>
        <v>84691.939499999993</v>
      </c>
      <c r="X41" s="566">
        <v>1.08</v>
      </c>
      <c r="Y41" s="348">
        <f>'Proy 2021 vs 2019 Sem'!IY13*X41</f>
        <v>60345.7857</v>
      </c>
      <c r="AE41" s="566">
        <v>1.05</v>
      </c>
      <c r="AF41" s="348">
        <f>'Proy 2021 vs 2019 Sem'!JD13*AE41</f>
        <v>74096.394225000011</v>
      </c>
      <c r="AL41" s="566">
        <v>1.05</v>
      </c>
      <c r="AM41" s="348">
        <f>'Proy 2021 vs 2019 Sem'!JI13*AL41</f>
        <v>99368.419815000001</v>
      </c>
      <c r="AS41" s="566">
        <v>1.05</v>
      </c>
      <c r="AT41" s="348">
        <f>'Proy 2021 vs 2019 Sem'!JN13*AS41</f>
        <v>103171.338585</v>
      </c>
      <c r="AZ41" s="566">
        <v>1.05</v>
      </c>
      <c r="BA41" s="348">
        <f>'Proy 2021 vs 2019 Sem'!JX13*AZ41</f>
        <v>127927.968525</v>
      </c>
      <c r="BG41" s="566">
        <v>1.05</v>
      </c>
      <c r="BH41" s="348">
        <f>'Proy 2021 vs 2019 Sem'!KC13*BG41</f>
        <v>179630.87729999999</v>
      </c>
      <c r="BN41" s="566">
        <v>1.05</v>
      </c>
      <c r="BO41" s="348">
        <f>'Proy 2021 vs 2019 Sem'!KH13*BN41</f>
        <v>231289.77637500002</v>
      </c>
      <c r="BU41" s="566">
        <v>1.05</v>
      </c>
      <c r="BV41" s="348">
        <f>'Proy 2021 vs 2019 Sem'!KM13*BU41</f>
        <v>386098.79742000008</v>
      </c>
      <c r="CB41" s="566">
        <v>1.05</v>
      </c>
      <c r="CC41" s="348">
        <f>'Proy 2021 vs 2019 Sem'!KR13*CB41</f>
        <v>64757.8995</v>
      </c>
    </row>
    <row r="42" spans="1:81">
      <c r="A42" s="687" t="s">
        <v>17</v>
      </c>
      <c r="J42" s="566">
        <v>1.08</v>
      </c>
      <c r="K42" s="348">
        <f>'Proy 2021 vs 2019 Sem'!IK14*J42</f>
        <v>148576.993632</v>
      </c>
      <c r="Q42" s="566">
        <v>1.08</v>
      </c>
      <c r="R42" s="348">
        <f>'Proy 2021 vs 2019 Sem'!IP14*Q42</f>
        <v>197915.42268000002</v>
      </c>
      <c r="X42" s="566">
        <v>1.08</v>
      </c>
      <c r="Y42" s="348">
        <f>'Proy 2021 vs 2019 Sem'!IY14*X42</f>
        <v>136023.06834</v>
      </c>
      <c r="AE42" s="566">
        <v>1.05</v>
      </c>
      <c r="AF42" s="348">
        <f>'Proy 2021 vs 2019 Sem'!JD14*AE42</f>
        <v>192648.90067500001</v>
      </c>
      <c r="AL42" s="566">
        <v>1.05</v>
      </c>
      <c r="AM42" s="348">
        <f>'Proy 2021 vs 2019 Sem'!JI14*AL42</f>
        <v>240060.2463</v>
      </c>
      <c r="AS42" s="566">
        <v>1.05</v>
      </c>
      <c r="AT42" s="348">
        <f>'Proy 2021 vs 2019 Sem'!JN14*AS42</f>
        <v>267101.81189999997</v>
      </c>
      <c r="AZ42" s="566">
        <v>1.05</v>
      </c>
      <c r="BA42" s="348">
        <f>'Proy 2021 vs 2019 Sem'!JX14*AZ42</f>
        <v>369538.94670000003</v>
      </c>
      <c r="BG42" s="566">
        <v>1.05</v>
      </c>
      <c r="BH42" s="348">
        <f>'Proy 2021 vs 2019 Sem'!KC14*BG42</f>
        <v>493395.80471999996</v>
      </c>
      <c r="BN42" s="566">
        <v>1.05</v>
      </c>
      <c r="BO42" s="348">
        <f>'Proy 2021 vs 2019 Sem'!KH14*BN42</f>
        <v>639252.07604999992</v>
      </c>
      <c r="BU42" s="566">
        <v>1.05</v>
      </c>
      <c r="BV42" s="348">
        <f>'Proy 2021 vs 2019 Sem'!KM14*BU42</f>
        <v>844345.40463</v>
      </c>
      <c r="CB42" s="566">
        <v>1.05</v>
      </c>
      <c r="CC42" s="348">
        <f>'Proy 2021 vs 2019 Sem'!KR14*CB42</f>
        <v>136256.195775</v>
      </c>
    </row>
    <row r="43" spans="1:81">
      <c r="A43" s="687" t="s">
        <v>18</v>
      </c>
      <c r="J43" s="566">
        <v>1.08</v>
      </c>
      <c r="K43" s="348">
        <f>'Proy 2021 vs 2019 Sem'!IK15*J43</f>
        <v>97142.676624</v>
      </c>
      <c r="Q43" s="566">
        <v>1.08</v>
      </c>
      <c r="R43" s="348">
        <f>'Proy 2021 vs 2019 Sem'!IP15*Q43</f>
        <v>144248.30341200001</v>
      </c>
      <c r="X43" s="566">
        <v>1.08</v>
      </c>
      <c r="Y43" s="348">
        <f>'Proy 2021 vs 2019 Sem'!IY15*X43</f>
        <v>97591.187556000004</v>
      </c>
      <c r="AE43" s="566">
        <v>1.05</v>
      </c>
      <c r="AF43" s="348">
        <f>'Proy 2021 vs 2019 Sem'!JD15*AE43</f>
        <v>115760.82734999999</v>
      </c>
      <c r="AL43" s="566">
        <v>1.05</v>
      </c>
      <c r="AM43" s="348">
        <f>'Proy 2021 vs 2019 Sem'!JI15*AL43</f>
        <v>144260.16570000004</v>
      </c>
      <c r="AS43" s="566">
        <v>1.05</v>
      </c>
      <c r="AT43" s="348">
        <f>'Proy 2021 vs 2019 Sem'!JN15*AS43</f>
        <v>113807.41680000001</v>
      </c>
      <c r="AZ43" s="566">
        <v>1.05</v>
      </c>
      <c r="BA43" s="348">
        <f>'Proy 2021 vs 2019 Sem'!JX15*AZ43</f>
        <v>163209.80025</v>
      </c>
      <c r="BG43" s="566">
        <v>1.05</v>
      </c>
      <c r="BH43" s="348">
        <f>'Proy 2021 vs 2019 Sem'!KC15*BG43</f>
        <v>174738.67425000001</v>
      </c>
      <c r="BN43" s="566">
        <v>1.05</v>
      </c>
      <c r="BO43" s="348">
        <f>'Proy 2021 vs 2019 Sem'!KH15*BN43</f>
        <v>416940.48112499999</v>
      </c>
      <c r="BU43" s="566">
        <v>1.05</v>
      </c>
      <c r="BV43" s="348">
        <f>'Proy 2021 vs 2019 Sem'!KM15*BU43</f>
        <v>455361.41763000004</v>
      </c>
      <c r="CB43" s="566">
        <v>1.05</v>
      </c>
      <c r="CC43" s="348">
        <f>'Proy 2021 vs 2019 Sem'!KR15*CB43</f>
        <v>96336.342900000003</v>
      </c>
    </row>
    <row r="44" spans="1:81">
      <c r="A44" s="687" t="s">
        <v>19</v>
      </c>
      <c r="J44" s="566">
        <v>1.08</v>
      </c>
      <c r="K44" s="348">
        <f>'Proy 2021 vs 2019 Sem'!IK16*J44</f>
        <v>85680.873360000012</v>
      </c>
      <c r="Q44" s="566">
        <v>1.08</v>
      </c>
      <c r="R44" s="348">
        <f>'Proy 2021 vs 2019 Sem'!IP16*Q44</f>
        <v>100209.56256000001</v>
      </c>
      <c r="X44" s="566">
        <v>1.08</v>
      </c>
      <c r="Y44" s="348">
        <f>'Proy 2021 vs 2019 Sem'!IY16*X44</f>
        <v>111105.43848000001</v>
      </c>
      <c r="AE44" s="566">
        <v>1.05</v>
      </c>
      <c r="AF44" s="348">
        <f>'Proy 2021 vs 2019 Sem'!JD16*AE44</f>
        <v>128811.07889999999</v>
      </c>
      <c r="AL44" s="566">
        <v>1.05</v>
      </c>
      <c r="AM44" s="348">
        <f>'Proy 2021 vs 2019 Sem'!JI16*AL44</f>
        <v>188205.74955000004</v>
      </c>
      <c r="AS44" s="566">
        <v>1.05</v>
      </c>
      <c r="AT44" s="348">
        <f>'Proy 2021 vs 2019 Sem'!JN16*AS44</f>
        <v>223838.58315000002</v>
      </c>
      <c r="AZ44" s="566">
        <v>1.05</v>
      </c>
      <c r="BA44" s="348">
        <f>'Proy 2021 vs 2019 Sem'!JX16*AZ44</f>
        <v>265912.03169999999</v>
      </c>
      <c r="BG44" s="566">
        <v>1.05</v>
      </c>
      <c r="BH44" s="348">
        <f>'Proy 2021 vs 2019 Sem'!KC16*BG44</f>
        <v>345828.11949000001</v>
      </c>
      <c r="BN44" s="566">
        <v>1.05</v>
      </c>
      <c r="BO44" s="348">
        <f>'Proy 2021 vs 2019 Sem'!KH16*BN44</f>
        <v>443507.24145000003</v>
      </c>
      <c r="BU44" s="566">
        <v>1.05</v>
      </c>
      <c r="BV44" s="348">
        <f>'Proy 2021 vs 2019 Sem'!KM16*BU44</f>
        <v>508939.83756000007</v>
      </c>
      <c r="CB44" s="566">
        <v>1.05</v>
      </c>
      <c r="CC44" s="348">
        <f>'Proy 2021 vs 2019 Sem'!KR16*CB44</f>
        <v>119394.58387500001</v>
      </c>
    </row>
    <row r="45" spans="1:81">
      <c r="A45" s="687" t="s">
        <v>20</v>
      </c>
      <c r="J45" s="566">
        <v>1.08</v>
      </c>
      <c r="K45" s="348">
        <f>'Proy 2021 vs 2019 Sem'!IK17*J45</f>
        <v>74288.496815999999</v>
      </c>
      <c r="Q45" s="566">
        <v>1.08</v>
      </c>
      <c r="R45" s="348">
        <f>'Proy 2021 vs 2019 Sem'!IP17*Q45</f>
        <v>98957.711340000009</v>
      </c>
      <c r="X45" s="566">
        <v>1.08</v>
      </c>
      <c r="Y45" s="348">
        <f>'Proy 2021 vs 2019 Sem'!IY17*X45</f>
        <v>109209.14424000002</v>
      </c>
      <c r="AE45" s="566">
        <v>1.05</v>
      </c>
      <c r="AF45" s="348">
        <f>'Proy 2021 vs 2019 Sem'!JD17*AE45</f>
        <v>117564.21652500001</v>
      </c>
      <c r="AL45" s="566">
        <v>1.05</v>
      </c>
      <c r="AM45" s="348">
        <f>'Proy 2021 vs 2019 Sem'!JI17*AL45</f>
        <v>133633.69425</v>
      </c>
      <c r="AS45" s="566">
        <v>1.05</v>
      </c>
      <c r="AT45" s="348">
        <f>'Proy 2021 vs 2019 Sem'!JN17*AS45</f>
        <v>113871.12187500001</v>
      </c>
      <c r="AZ45" s="566">
        <v>1.05</v>
      </c>
      <c r="BA45" s="348">
        <f>'Proy 2021 vs 2019 Sem'!JX17*AZ45</f>
        <v>133930.99492500004</v>
      </c>
      <c r="BG45" s="566">
        <v>1.05</v>
      </c>
      <c r="BH45" s="348">
        <f>'Proy 2021 vs 2019 Sem'!KC17*BG45</f>
        <v>195051.22455000004</v>
      </c>
      <c r="BN45" s="566">
        <v>1.05</v>
      </c>
      <c r="BO45" s="348">
        <f>'Proy 2021 vs 2019 Sem'!KH17*BN45</f>
        <v>263284.36680000002</v>
      </c>
      <c r="BU45" s="566">
        <v>1.05</v>
      </c>
      <c r="BV45" s="348">
        <f>'Proy 2021 vs 2019 Sem'!KM17*BU45</f>
        <v>371997.30624000006</v>
      </c>
      <c r="CB45" s="566">
        <v>1.05</v>
      </c>
      <c r="CC45" s="348">
        <f>'Proy 2021 vs 2019 Sem'!KR17*CB45</f>
        <v>68554.347225000005</v>
      </c>
    </row>
    <row r="46" spans="1:81">
      <c r="A46" s="687" t="s">
        <v>21</v>
      </c>
      <c r="J46" s="566">
        <v>1.08</v>
      </c>
      <c r="K46" s="348">
        <f>'Proy 2021 vs 2019 Sem'!IK18*J46</f>
        <v>62663.777388000002</v>
      </c>
      <c r="Q46" s="566">
        <v>1.08</v>
      </c>
      <c r="R46" s="348">
        <f>'Proy 2021 vs 2019 Sem'!IP18*Q46</f>
        <v>95507.195471999992</v>
      </c>
      <c r="X46" s="566">
        <v>1.08</v>
      </c>
      <c r="Y46" s="348">
        <f>'Proy 2021 vs 2019 Sem'!IY18*X46</f>
        <v>71113.192920000001</v>
      </c>
      <c r="AE46" s="566">
        <v>1.05</v>
      </c>
      <c r="AF46" s="348">
        <f>'Proy 2021 vs 2019 Sem'!JD18*AE46</f>
        <v>85468.995150000002</v>
      </c>
      <c r="AL46" s="566">
        <v>1.05</v>
      </c>
      <c r="AM46" s="348">
        <f>'Proy 2021 vs 2019 Sem'!JI18*AL46</f>
        <v>98261.019149999993</v>
      </c>
      <c r="AS46" s="566">
        <v>1.05</v>
      </c>
      <c r="AT46" s="348">
        <f>'Proy 2021 vs 2019 Sem'!JN18*AS46</f>
        <v>96523.34580000001</v>
      </c>
      <c r="AZ46" s="566">
        <v>1.05</v>
      </c>
      <c r="BA46" s="348">
        <f>'Proy 2021 vs 2019 Sem'!JX18*AZ46</f>
        <v>114727.22309999999</v>
      </c>
      <c r="BG46" s="566">
        <v>1.05</v>
      </c>
      <c r="BH46" s="348">
        <f>'Proy 2021 vs 2019 Sem'!KC18*BG46</f>
        <v>124506.56714999999</v>
      </c>
      <c r="BN46" s="566">
        <v>1.05</v>
      </c>
      <c r="BO46" s="348">
        <f>'Proy 2021 vs 2019 Sem'!KH18*BN46</f>
        <v>164218.9773</v>
      </c>
      <c r="BU46" s="566">
        <v>1.05</v>
      </c>
      <c r="BV46" s="348">
        <f>'Proy 2021 vs 2019 Sem'!KM18*BU46</f>
        <v>306455.76769499999</v>
      </c>
      <c r="CB46" s="566">
        <v>1.05</v>
      </c>
      <c r="CC46" s="348">
        <f>'Proy 2021 vs 2019 Sem'!KR18*CB46</f>
        <v>69076.04088</v>
      </c>
    </row>
    <row r="47" spans="1:81">
      <c r="A47" s="687" t="s">
        <v>22</v>
      </c>
      <c r="J47" s="566">
        <v>1.08</v>
      </c>
      <c r="K47" s="348">
        <f>'Proy 2021 vs 2019 Sem'!IK19*J47</f>
        <v>101853.02869200001</v>
      </c>
      <c r="Q47" s="566">
        <v>1.08</v>
      </c>
      <c r="R47" s="348">
        <f>'Proy 2021 vs 2019 Sem'!IP19*Q47</f>
        <v>129139.79472000001</v>
      </c>
      <c r="X47" s="566">
        <v>1.08</v>
      </c>
      <c r="Y47" s="348">
        <f>'Proy 2021 vs 2019 Sem'!IY19*X47</f>
        <v>100986.29704800001</v>
      </c>
      <c r="AE47" s="566">
        <v>1.05</v>
      </c>
      <c r="AF47" s="348">
        <f>'Proy 2021 vs 2019 Sem'!JD19*AE47</f>
        <v>118335.183645</v>
      </c>
      <c r="AL47" s="566">
        <v>1.05</v>
      </c>
      <c r="AM47" s="348">
        <f>'Proy 2021 vs 2019 Sem'!JI19*AL47</f>
        <v>130409.81141999998</v>
      </c>
      <c r="AS47" s="566">
        <v>1.05</v>
      </c>
      <c r="AT47" s="348">
        <f>'Proy 2021 vs 2019 Sem'!JN19*AS47</f>
        <v>146475.30240000002</v>
      </c>
      <c r="AZ47" s="566">
        <v>1.05</v>
      </c>
      <c r="BA47" s="348">
        <f>'Proy 2021 vs 2019 Sem'!JX19*AZ47</f>
        <v>158270.47529999999</v>
      </c>
      <c r="BG47" s="566">
        <v>1.05</v>
      </c>
      <c r="BH47" s="348">
        <f>'Proy 2021 vs 2019 Sem'!KC19*BG47</f>
        <v>186177.44039999999</v>
      </c>
      <c r="BN47" s="566">
        <v>1.05</v>
      </c>
      <c r="BO47" s="348">
        <f>'Proy 2021 vs 2019 Sem'!KH19*BN47</f>
        <v>264150.07709999999</v>
      </c>
      <c r="BU47" s="566">
        <v>1.05</v>
      </c>
      <c r="BV47" s="348">
        <f>'Proy 2021 vs 2019 Sem'!KM19*BU47</f>
        <v>390217.39333500003</v>
      </c>
      <c r="CB47" s="566">
        <v>1.05</v>
      </c>
      <c r="CC47" s="348">
        <f>'Proy 2021 vs 2019 Sem'!KR19*CB47</f>
        <v>95888.573550000001</v>
      </c>
    </row>
    <row r="48" spans="1:81">
      <c r="A48" s="687" t="s">
        <v>23</v>
      </c>
      <c r="J48" s="566">
        <v>1.08</v>
      </c>
      <c r="K48" s="348">
        <f>'Proy 2021 vs 2019 Sem'!IK20*J48</f>
        <v>75677.628672000006</v>
      </c>
      <c r="Q48" s="566">
        <v>1.08</v>
      </c>
      <c r="R48" s="348">
        <f>'Proy 2021 vs 2019 Sem'!IP20*Q48</f>
        <v>110796.70557600001</v>
      </c>
      <c r="X48" s="566">
        <v>1.08</v>
      </c>
      <c r="Y48" s="348">
        <f>'Proy 2021 vs 2019 Sem'!IY20*X48</f>
        <v>64680.569280000011</v>
      </c>
      <c r="AE48" s="566">
        <v>1.05</v>
      </c>
      <c r="AF48" s="348">
        <f>'Proy 2021 vs 2019 Sem'!JD20*AE48</f>
        <v>101591.50806000001</v>
      </c>
      <c r="AL48" s="566">
        <v>1.05</v>
      </c>
      <c r="AM48" s="348">
        <f>'Proy 2021 vs 2019 Sem'!JI20*AL48</f>
        <v>105245.84174999999</v>
      </c>
      <c r="AS48" s="566">
        <v>1.05</v>
      </c>
      <c r="AT48" s="348">
        <f>'Proy 2021 vs 2019 Sem'!JN20*AS48</f>
        <v>141467.00106000001</v>
      </c>
      <c r="AZ48" s="566">
        <v>1.05</v>
      </c>
      <c r="BA48" s="348">
        <f>'Proy 2021 vs 2019 Sem'!JX20*AZ48</f>
        <v>135397.828125</v>
      </c>
      <c r="BG48" s="566">
        <v>1.05</v>
      </c>
      <c r="BH48" s="348">
        <f>'Proy 2021 vs 2019 Sem'!KC20*BG48</f>
        <v>166537.93275000001</v>
      </c>
      <c r="BN48" s="566">
        <v>1.05</v>
      </c>
      <c r="BO48" s="348">
        <f>'Proy 2021 vs 2019 Sem'!KH20*BN48</f>
        <v>203340.53250000003</v>
      </c>
      <c r="BU48" s="566">
        <v>1.05</v>
      </c>
      <c r="BV48" s="348">
        <f>'Proy 2021 vs 2019 Sem'!KM20*BU48</f>
        <v>306223.88359500002</v>
      </c>
      <c r="CB48" s="566">
        <v>1.05</v>
      </c>
      <c r="CC48" s="348">
        <f>'Proy 2021 vs 2019 Sem'!KR20*CB48</f>
        <v>72437.900850000005</v>
      </c>
    </row>
    <row r="49" spans="1:81">
      <c r="A49" s="687" t="s">
        <v>24</v>
      </c>
      <c r="J49" s="566">
        <v>1.08</v>
      </c>
      <c r="K49" s="348">
        <f>'Proy 2021 vs 2019 Sem'!IK21*J49</f>
        <v>95570.639423999994</v>
      </c>
      <c r="Q49" s="566">
        <v>1.08</v>
      </c>
      <c r="R49" s="348">
        <f>'Proy 2021 vs 2019 Sem'!IP21*Q49</f>
        <v>124745.16196800001</v>
      </c>
      <c r="X49" s="566">
        <v>1.08</v>
      </c>
      <c r="Y49" s="348">
        <f>'Proy 2021 vs 2019 Sem'!IY21*X49</f>
        <v>85554.967392000006</v>
      </c>
      <c r="AE49" s="566">
        <v>1.05</v>
      </c>
      <c r="AF49" s="348">
        <f>'Proy 2021 vs 2019 Sem'!JD21*AE49</f>
        <v>112929.08088000001</v>
      </c>
      <c r="AL49" s="566">
        <v>1.05</v>
      </c>
      <c r="AM49" s="348">
        <f>'Proy 2021 vs 2019 Sem'!JI21*AL49</f>
        <v>125501.39280000002</v>
      </c>
      <c r="AS49" s="566">
        <v>1.05</v>
      </c>
      <c r="AT49" s="348">
        <f>'Proy 2021 vs 2019 Sem'!JN21*AS49</f>
        <v>135388.65480000002</v>
      </c>
      <c r="AZ49" s="566">
        <v>1.05</v>
      </c>
      <c r="BA49" s="348">
        <f>'Proy 2021 vs 2019 Sem'!JX21*AZ49</f>
        <v>188624.20122000002</v>
      </c>
      <c r="BG49" s="566">
        <v>1.05</v>
      </c>
      <c r="BH49" s="348">
        <f>'Proy 2021 vs 2019 Sem'!KC21*BG49</f>
        <v>201711.76389</v>
      </c>
      <c r="BN49" s="566">
        <v>1.05</v>
      </c>
      <c r="BO49" s="348">
        <f>'Proy 2021 vs 2019 Sem'!KH21*BN49</f>
        <v>244982.514</v>
      </c>
      <c r="BU49" s="566">
        <v>1.05</v>
      </c>
      <c r="BV49" s="348">
        <f>'Proy 2021 vs 2019 Sem'!KM21*BU49</f>
        <v>405345.41586000001</v>
      </c>
      <c r="CB49" s="566">
        <v>1.05</v>
      </c>
      <c r="CC49" s="348">
        <f>'Proy 2021 vs 2019 Sem'!KR21*CB49</f>
        <v>91064.655149999991</v>
      </c>
    </row>
    <row r="50" spans="1:81">
      <c r="A50" s="687" t="s">
        <v>25</v>
      </c>
      <c r="J50" s="566">
        <v>1.08</v>
      </c>
      <c r="K50" s="348">
        <f>'Proy 2021 vs 2019 Sem'!IK22*J50</f>
        <v>125537.28062400001</v>
      </c>
      <c r="Q50" s="566">
        <v>1.08</v>
      </c>
      <c r="R50" s="348">
        <f>'Proy 2021 vs 2019 Sem'!IP22*Q50</f>
        <v>128656.07568000001</v>
      </c>
      <c r="X50" s="566">
        <v>1.08</v>
      </c>
      <c r="Y50" s="348">
        <f>'Proy 2021 vs 2019 Sem'!IY22*X50</f>
        <v>106733.41574400001</v>
      </c>
      <c r="AE50" s="566">
        <v>1.05</v>
      </c>
      <c r="AF50" s="348">
        <f>'Proy 2021 vs 2019 Sem'!JD22*AE50</f>
        <v>143498.99382</v>
      </c>
      <c r="AL50" s="566">
        <v>1.05</v>
      </c>
      <c r="AM50" s="348">
        <f>'Proy 2021 vs 2019 Sem'!JI22*AL50</f>
        <v>177533.66988</v>
      </c>
      <c r="AS50" s="566">
        <v>1.05</v>
      </c>
      <c r="AT50" s="348">
        <f>'Proy 2021 vs 2019 Sem'!JN22*AS50</f>
        <v>152431.272</v>
      </c>
      <c r="AZ50" s="566">
        <v>1.05</v>
      </c>
      <c r="BA50" s="348">
        <f>'Proy 2021 vs 2019 Sem'!JX22*AZ50</f>
        <v>199043.95612500003</v>
      </c>
      <c r="BG50" s="566">
        <v>1.05</v>
      </c>
      <c r="BH50" s="348">
        <f>'Proy 2021 vs 2019 Sem'!KC22*BG50</f>
        <v>272266.29674999998</v>
      </c>
      <c r="BN50" s="566">
        <v>1.05</v>
      </c>
      <c r="BO50" s="348">
        <f>'Proy 2021 vs 2019 Sem'!KH22*BN50</f>
        <v>322948.68721499998</v>
      </c>
      <c r="BU50" s="566">
        <v>1.05</v>
      </c>
      <c r="BV50" s="348">
        <f>'Proy 2021 vs 2019 Sem'!KM22*BU50</f>
        <v>396434.640105</v>
      </c>
      <c r="CB50" s="566">
        <v>1.05</v>
      </c>
      <c r="CC50" s="348">
        <f>'Proy 2021 vs 2019 Sem'!KR22*CB50</f>
        <v>78209.271630000003</v>
      </c>
    </row>
    <row r="51" spans="1:81">
      <c r="A51" s="687" t="s">
        <v>26</v>
      </c>
      <c r="J51" s="566">
        <v>1.08</v>
      </c>
      <c r="K51" s="348">
        <f>'Proy 2021 vs 2019 Sem'!IK23*J51</f>
        <v>88469.57160000001</v>
      </c>
      <c r="Q51" s="566">
        <v>1.08</v>
      </c>
      <c r="R51" s="348">
        <f>'Proy 2021 vs 2019 Sem'!IP23*Q51</f>
        <v>122022.815796</v>
      </c>
      <c r="X51" s="566">
        <v>1.08</v>
      </c>
      <c r="Y51" s="348">
        <f>'Proy 2021 vs 2019 Sem'!IY23*X51</f>
        <v>75220.488000000012</v>
      </c>
      <c r="AE51" s="566">
        <v>1.05</v>
      </c>
      <c r="AF51" s="348">
        <f>'Proy 2021 vs 2019 Sem'!JD23*AE51</f>
        <v>82905.04383000001</v>
      </c>
      <c r="AL51" s="566">
        <v>1.05</v>
      </c>
      <c r="AM51" s="348">
        <f>'Proy 2021 vs 2019 Sem'!JI23*AL51</f>
        <v>128617.89045000001</v>
      </c>
      <c r="AS51" s="566">
        <v>1.05</v>
      </c>
      <c r="AT51" s="348">
        <f>'Proy 2021 vs 2019 Sem'!JN23*AS51</f>
        <v>108599.1732</v>
      </c>
      <c r="AZ51" s="566">
        <v>1.05</v>
      </c>
      <c r="BA51" s="348">
        <f>'Proy 2021 vs 2019 Sem'!JX23*AZ51</f>
        <v>118858.201875</v>
      </c>
      <c r="BG51" s="566">
        <v>1.05</v>
      </c>
      <c r="BH51" s="348">
        <f>'Proy 2021 vs 2019 Sem'!KC23*BG51</f>
        <v>141779.80687500001</v>
      </c>
      <c r="BN51" s="566">
        <v>1.05</v>
      </c>
      <c r="BO51" s="348">
        <f>'Proy 2021 vs 2019 Sem'!KH23*BN51</f>
        <v>158064.739875</v>
      </c>
      <c r="BU51" s="566">
        <v>1.05</v>
      </c>
      <c r="BV51" s="348">
        <f>'Proy 2021 vs 2019 Sem'!KM23*BU51</f>
        <v>285435.43749000004</v>
      </c>
      <c r="CB51" s="566">
        <v>1.05</v>
      </c>
      <c r="CC51" s="348">
        <f>'Proy 2021 vs 2019 Sem'!KR23*CB51</f>
        <v>58210.157355000003</v>
      </c>
    </row>
    <row r="52" spans="1:81">
      <c r="A52" s="688" t="s">
        <v>27</v>
      </c>
      <c r="J52" s="566">
        <v>1.08</v>
      </c>
      <c r="K52" s="348">
        <f>'Proy 2021 vs 2019 Sem'!IK24*J52</f>
        <v>98883.901440000016</v>
      </c>
      <c r="Q52" s="566">
        <v>1.08</v>
      </c>
      <c r="R52" s="348">
        <f>'Proy 2021 vs 2019 Sem'!IP24*Q52</f>
        <v>112926.47367600001</v>
      </c>
      <c r="X52" s="566">
        <v>1.08</v>
      </c>
      <c r="Y52" s="348">
        <f>'Proy 2021 vs 2019 Sem'!IY24*X52</f>
        <v>75751.103448000009</v>
      </c>
      <c r="AE52" s="566">
        <v>1.05</v>
      </c>
      <c r="AF52" s="348">
        <f>'Proy 2021 vs 2019 Sem'!JD24*AE52</f>
        <v>87150</v>
      </c>
      <c r="AL52" s="566">
        <v>1.05</v>
      </c>
      <c r="AM52" s="348">
        <f>'Proy 2021 vs 2019 Sem'!JI24*AL52</f>
        <v>73206</v>
      </c>
      <c r="AS52" s="566">
        <v>1.05</v>
      </c>
      <c r="AT52" s="348">
        <f>'Proy 2021 vs 2019 Sem'!JN24*AS52</f>
        <v>119333.34462</v>
      </c>
      <c r="AZ52" s="566">
        <v>1.05</v>
      </c>
      <c r="BA52" s="348">
        <f>'Proy 2021 vs 2019 Sem'!JX24*AZ52</f>
        <v>201430.73790000001</v>
      </c>
      <c r="BG52" s="566">
        <v>1.05</v>
      </c>
      <c r="BH52" s="348">
        <f>'Proy 2021 vs 2019 Sem'!KC24*BG52</f>
        <v>221757.74460000003</v>
      </c>
      <c r="BN52" s="566">
        <v>1.05</v>
      </c>
      <c r="BO52" s="348">
        <f>'Proy 2021 vs 2019 Sem'!KH24*BN52</f>
        <v>383213.64060000004</v>
      </c>
      <c r="BU52" s="566">
        <v>1.05</v>
      </c>
      <c r="BV52" s="348">
        <f>'Proy 2021 vs 2019 Sem'!KM24*BU52</f>
        <v>531250.97990999999</v>
      </c>
      <c r="CB52" s="566">
        <v>1.05</v>
      </c>
      <c r="CC52" s="348">
        <f>'Proy 2021 vs 2019 Sem'!KR24*CB52</f>
        <v>96390.661500000002</v>
      </c>
    </row>
    <row r="53" spans="1:81">
      <c r="A53" s="684" t="s">
        <v>477</v>
      </c>
      <c r="J53" s="566">
        <v>1.08</v>
      </c>
      <c r="K53" s="348">
        <f>'Proy 2021 vs 2019 Sem'!IK25*J53</f>
        <v>144053.05939200002</v>
      </c>
      <c r="Q53" s="566">
        <v>1.08</v>
      </c>
      <c r="R53" s="348">
        <f>'Proy 2021 vs 2019 Sem'!IP25*Q53</f>
        <v>158348.61806400001</v>
      </c>
      <c r="X53" s="566">
        <v>1.08</v>
      </c>
      <c r="Y53" s="348">
        <f>'Proy 2021 vs 2019 Sem'!IY25*X53</f>
        <v>133679.87020800001</v>
      </c>
      <c r="AE53" s="566">
        <v>1.05</v>
      </c>
      <c r="AF53" s="348">
        <f>'Proy 2021 vs 2019 Sem'!JD25*AE53</f>
        <v>181112.25888000001</v>
      </c>
      <c r="AL53" s="566">
        <v>1.05</v>
      </c>
      <c r="AM53" s="348">
        <f>'Proy 2021 vs 2019 Sem'!JI25*AL53</f>
        <v>230942.91528000002</v>
      </c>
      <c r="AS53" s="566">
        <v>1.05</v>
      </c>
      <c r="AT53" s="348">
        <f>'Proy 2021 vs 2019 Sem'!JN25*AS53</f>
        <v>231053.62455000001</v>
      </c>
      <c r="AZ53" s="566">
        <v>1.05</v>
      </c>
      <c r="BA53" s="348">
        <f>'Proy 2021 vs 2019 Sem'!JX25*AZ53</f>
        <v>265330.31174999999</v>
      </c>
      <c r="BG53" s="566">
        <v>1.05</v>
      </c>
      <c r="BH53" s="348">
        <f>'Proy 2021 vs 2019 Sem'!KC25*BG53</f>
        <v>260285.24025000003</v>
      </c>
      <c r="BN53" s="566">
        <v>1.05</v>
      </c>
      <c r="BO53" s="348">
        <f>'Proy 2021 vs 2019 Sem'!KH25*BN53</f>
        <v>337389.58869</v>
      </c>
      <c r="BU53" s="566">
        <v>1.05</v>
      </c>
      <c r="BV53" s="348">
        <f>'Proy 2021 vs 2019 Sem'!KM25*BU53</f>
        <v>549492.029415</v>
      </c>
      <c r="CB53" s="566">
        <v>1.05</v>
      </c>
      <c r="CC53" s="348">
        <f>'Proy 2021 vs 2019 Sem'!KR25*CB53</f>
        <v>168835.40362499998</v>
      </c>
    </row>
    <row r="54" spans="1:81">
      <c r="A54" s="685" t="s">
        <v>478</v>
      </c>
      <c r="J54" s="566">
        <v>1.08</v>
      </c>
      <c r="K54" s="348">
        <f>'Proy 2021 vs 2019 Sem'!IK26*J54</f>
        <v>186054.86646000002</v>
      </c>
      <c r="Q54" s="566">
        <v>1.08</v>
      </c>
      <c r="R54" s="348">
        <f>'Proy 2021 vs 2019 Sem'!IP26*Q54</f>
        <v>185428.92124800003</v>
      </c>
      <c r="X54" s="566">
        <v>1.08</v>
      </c>
      <c r="Y54" s="348">
        <f>'Proy 2021 vs 2019 Sem'!IY26*X54</f>
        <v>149292.06033600002</v>
      </c>
      <c r="AE54" s="566">
        <v>1.05</v>
      </c>
      <c r="AF54" s="348">
        <f>'Proy 2021 vs 2019 Sem'!JD26*AE54</f>
        <v>216422.91594000001</v>
      </c>
      <c r="AL54" s="566">
        <v>1.05</v>
      </c>
      <c r="AM54" s="348">
        <f>'Proy 2021 vs 2019 Sem'!JI26*AL54</f>
        <v>228254.05333499998</v>
      </c>
      <c r="AS54" s="566">
        <v>1.05</v>
      </c>
      <c r="AT54" s="348">
        <f>'Proy 2021 vs 2019 Sem'!JN26*AS54</f>
        <v>212355.20690999998</v>
      </c>
      <c r="AZ54" s="566">
        <v>1.05</v>
      </c>
      <c r="BA54" s="348">
        <f>'Proy 2021 vs 2019 Sem'!JX26*AZ54</f>
        <v>250979.30969999998</v>
      </c>
      <c r="BG54" s="566">
        <v>1.05</v>
      </c>
      <c r="BH54" s="348">
        <f>'Proy 2021 vs 2019 Sem'!KC26*BG54</f>
        <v>355705.89337500004</v>
      </c>
      <c r="BN54" s="566">
        <v>1.05</v>
      </c>
      <c r="BO54" s="348">
        <f>'Proy 2021 vs 2019 Sem'!KH26*BN54</f>
        <v>481478.75684999995</v>
      </c>
      <c r="BU54" s="566">
        <v>1.05</v>
      </c>
      <c r="BV54" s="348">
        <f>'Proy 2021 vs 2019 Sem'!KM26*BU54</f>
        <v>716404.50472500001</v>
      </c>
      <c r="CB54" s="566">
        <v>1.05</v>
      </c>
      <c r="CC54" s="348">
        <f>'Proy 2021 vs 2019 Sem'!KR26*CB54</f>
        <v>219506.19326999999</v>
      </c>
    </row>
    <row r="55" spans="1:81">
      <c r="A55" s="685" t="s">
        <v>479</v>
      </c>
      <c r="J55" s="566">
        <v>1.08</v>
      </c>
      <c r="K55" s="348">
        <f>'Proy 2021 vs 2019 Sem'!IK27*J55</f>
        <v>104453.4204</v>
      </c>
      <c r="Q55" s="566">
        <v>1.08</v>
      </c>
      <c r="R55" s="348">
        <f>'Proy 2021 vs 2019 Sem'!IP27*Q55</f>
        <v>124534.962</v>
      </c>
      <c r="X55" s="566">
        <v>1.08</v>
      </c>
      <c r="Y55" s="348">
        <f>'Proy 2021 vs 2019 Sem'!IY27*X55</f>
        <v>105229.78920000001</v>
      </c>
      <c r="AE55" s="566">
        <v>1.05</v>
      </c>
      <c r="AF55" s="348">
        <f>'Proy 2021 vs 2019 Sem'!JD27*AE55</f>
        <v>126248.98398000002</v>
      </c>
      <c r="AL55" s="566">
        <v>1.05</v>
      </c>
      <c r="AM55" s="348">
        <f>'Proy 2021 vs 2019 Sem'!JI27*AL55</f>
        <v>138944.66796000002</v>
      </c>
      <c r="AS55" s="566">
        <v>1.05</v>
      </c>
      <c r="AT55" s="348">
        <f>'Proy 2021 vs 2019 Sem'!JN27*AS55</f>
        <v>133444.18710000001</v>
      </c>
      <c r="AZ55" s="566">
        <v>1.05</v>
      </c>
      <c r="BA55" s="348">
        <f>'Proy 2021 vs 2019 Sem'!JX27*AZ55</f>
        <v>151989.72862500002</v>
      </c>
      <c r="BG55" s="566">
        <v>1.05</v>
      </c>
      <c r="BH55" s="348">
        <f>'Proy 2021 vs 2019 Sem'!KC27*BG55</f>
        <v>179343.71437499998</v>
      </c>
      <c r="BN55" s="566">
        <v>1.05</v>
      </c>
      <c r="BO55" s="348">
        <f>'Proy 2021 vs 2019 Sem'!KH27*BN55</f>
        <v>219878.253</v>
      </c>
      <c r="BU55" s="566">
        <v>1.05</v>
      </c>
      <c r="BV55" s="348">
        <f>'Proy 2021 vs 2019 Sem'!KM27*BU55</f>
        <v>372913.30061999999</v>
      </c>
      <c r="CB55" s="566">
        <v>1.05</v>
      </c>
      <c r="CC55" s="348">
        <f>'Proy 2021 vs 2019 Sem'!KR27*CB55</f>
        <v>141319.65970500003</v>
      </c>
    </row>
    <row r="56" spans="1:81">
      <c r="A56" s="685" t="s">
        <v>228</v>
      </c>
      <c r="J56" s="566">
        <v>1.08</v>
      </c>
      <c r="K56" s="348">
        <f>'Proy 2021 vs 2019 Sem'!IK28*J56</f>
        <v>213409.84982400003</v>
      </c>
      <c r="Q56" s="566">
        <v>1.08</v>
      </c>
      <c r="R56" s="348">
        <f>'Proy 2021 vs 2019 Sem'!IP28*Q56</f>
        <v>228093.92532000004</v>
      </c>
      <c r="X56" s="566">
        <v>1.08</v>
      </c>
      <c r="Y56" s="348">
        <f>'Proy 2021 vs 2019 Sem'!IY28*X56</f>
        <v>168334.34579999998</v>
      </c>
      <c r="AE56" s="566">
        <v>1.05</v>
      </c>
      <c r="AF56" s="348">
        <f>'Proy 2021 vs 2019 Sem'!JD28*AE56</f>
        <v>264350.50572000002</v>
      </c>
      <c r="AL56" s="566">
        <v>1.05</v>
      </c>
      <c r="AM56" s="348">
        <f>'Proy 2021 vs 2019 Sem'!JI28*AL56</f>
        <v>260829.99851999999</v>
      </c>
      <c r="AS56" s="566">
        <v>1.05</v>
      </c>
      <c r="AT56" s="348">
        <f>'Proy 2021 vs 2019 Sem'!JN28*AS56</f>
        <v>270272.1042</v>
      </c>
      <c r="AZ56" s="566">
        <v>1.05</v>
      </c>
      <c r="BA56" s="348">
        <f>'Proy 2021 vs 2019 Sem'!JX28*AZ56</f>
        <v>289304.96878500003</v>
      </c>
      <c r="BG56" s="566">
        <v>1.05</v>
      </c>
      <c r="BH56" s="348">
        <f>'Proy 2021 vs 2019 Sem'!KC28*BG56</f>
        <v>401604.98427000007</v>
      </c>
      <c r="BN56" s="566">
        <v>1.05</v>
      </c>
      <c r="BO56" s="348">
        <f>'Proy 2021 vs 2019 Sem'!KH28*BN56</f>
        <v>484045.85880000005</v>
      </c>
      <c r="BU56" s="566">
        <v>1.05</v>
      </c>
      <c r="BV56" s="348">
        <f>'Proy 2021 vs 2019 Sem'!KM28*BU56</f>
        <v>893445.95066999993</v>
      </c>
      <c r="CB56" s="566">
        <v>1.05</v>
      </c>
      <c r="CC56" s="348">
        <f>'Proy 2021 vs 2019 Sem'!KR28*CB56</f>
        <v>262796.99249999999</v>
      </c>
    </row>
    <row r="57" spans="1:81">
      <c r="A57" s="685" t="s">
        <v>229</v>
      </c>
      <c r="J57" s="566">
        <v>1.08</v>
      </c>
      <c r="K57" s="348">
        <f>'Proy 2021 vs 2019 Sem'!IK29*J57</f>
        <v>196800.38467200001</v>
      </c>
      <c r="Q57" s="566">
        <v>1.08</v>
      </c>
      <c r="R57" s="348">
        <f>'Proy 2021 vs 2019 Sem'!IP29*Q57</f>
        <v>222578.93178000001</v>
      </c>
      <c r="X57" s="566">
        <v>1.08</v>
      </c>
      <c r="Y57" s="348">
        <f>'Proy 2021 vs 2019 Sem'!IY29*X57</f>
        <v>187504.4241</v>
      </c>
      <c r="AE57" s="566">
        <v>1.05</v>
      </c>
      <c r="AF57" s="348">
        <f>'Proy 2021 vs 2019 Sem'!JD29*AE57</f>
        <v>258686.57660999999</v>
      </c>
      <c r="AL57" s="566">
        <v>1.05</v>
      </c>
      <c r="AM57" s="348">
        <f>'Proy 2021 vs 2019 Sem'!JI29*AL57</f>
        <v>308471.91185999999</v>
      </c>
      <c r="AS57" s="566">
        <v>1.05</v>
      </c>
      <c r="AT57" s="348">
        <f>'Proy 2021 vs 2019 Sem'!JN29*AS57</f>
        <v>252105</v>
      </c>
      <c r="AZ57" s="566">
        <v>1.05</v>
      </c>
      <c r="BA57" s="348">
        <f>'Proy 2021 vs 2019 Sem'!JX29*AZ57</f>
        <v>367649.29215000005</v>
      </c>
      <c r="BG57" s="566">
        <v>1.05</v>
      </c>
      <c r="BH57" s="348">
        <f>'Proy 2021 vs 2019 Sem'!KC29*BG57</f>
        <v>501286.29704999999</v>
      </c>
      <c r="BN57" s="566">
        <v>1.05</v>
      </c>
      <c r="BO57" s="348">
        <f>'Proy 2021 vs 2019 Sem'!KH29*BN57</f>
        <v>622211.20668000006</v>
      </c>
      <c r="BU57" s="566">
        <v>1.05</v>
      </c>
      <c r="BV57" s="348">
        <f>'Proy 2021 vs 2019 Sem'!KM29*BU57</f>
        <v>918409.60827000008</v>
      </c>
      <c r="CB57" s="566">
        <v>1.05</v>
      </c>
      <c r="CC57" s="348">
        <f>'Proy 2021 vs 2019 Sem'!KR29*CB57</f>
        <v>269808.462</v>
      </c>
    </row>
    <row r="58" spans="1:81">
      <c r="A58" s="685" t="s">
        <v>230</v>
      </c>
      <c r="J58" s="566">
        <v>1.08</v>
      </c>
      <c r="K58" s="348">
        <f>'Proy 2021 vs 2019 Sem'!IK30*J58</f>
        <v>89787.691619999998</v>
      </c>
      <c r="Q58" s="566">
        <v>1.08</v>
      </c>
      <c r="R58" s="348">
        <f>'Proy 2021 vs 2019 Sem'!IP30*Q58</f>
        <v>92563.377479999996</v>
      </c>
      <c r="X58" s="566">
        <v>1.08</v>
      </c>
      <c r="Y58" s="348">
        <f>'Proy 2021 vs 2019 Sem'!IY30*X58</f>
        <v>81278.441495999999</v>
      </c>
      <c r="AE58" s="566">
        <v>1.05</v>
      </c>
      <c r="AF58" s="348">
        <f>'Proy 2021 vs 2019 Sem'!JD30*AE58</f>
        <v>106773.13374000002</v>
      </c>
      <c r="AL58" s="566">
        <v>1.05</v>
      </c>
      <c r="AM58" s="348">
        <f>'Proy 2021 vs 2019 Sem'!JI30*AL58</f>
        <v>112057.72189500001</v>
      </c>
      <c r="AS58" s="566">
        <v>1.05</v>
      </c>
      <c r="AT58" s="348">
        <f>'Proy 2021 vs 2019 Sem'!JN30*AS58</f>
        <v>125881.18032</v>
      </c>
      <c r="AZ58" s="566">
        <v>1.05</v>
      </c>
      <c r="BA58" s="348">
        <f>'Proy 2021 vs 2019 Sem'!JX30*AZ58</f>
        <v>128143.15920000001</v>
      </c>
      <c r="BG58" s="566">
        <v>1.05</v>
      </c>
      <c r="BH58" s="348">
        <f>'Proy 2021 vs 2019 Sem'!KC30*BG58</f>
        <v>159584.04</v>
      </c>
      <c r="BN58" s="566">
        <v>1.05</v>
      </c>
      <c r="BO58" s="348">
        <f>'Proy 2021 vs 2019 Sem'!KH30*BN58</f>
        <v>237240.84384000002</v>
      </c>
      <c r="BU58" s="566">
        <v>1.05</v>
      </c>
      <c r="BV58" s="348">
        <f>'Proy 2021 vs 2019 Sem'!KM30*BU58</f>
        <v>338602.26770999999</v>
      </c>
      <c r="CB58" s="566">
        <v>1.05</v>
      </c>
      <c r="CC58" s="348">
        <f>'Proy 2021 vs 2019 Sem'!KR30*CB58</f>
        <v>108094.81599</v>
      </c>
    </row>
    <row r="59" spans="1:81">
      <c r="A59" s="685" t="s">
        <v>231</v>
      </c>
      <c r="J59" s="566">
        <v>1.08</v>
      </c>
      <c r="K59" s="348">
        <f>'Proy 2021 vs 2019 Sem'!IK31*J59</f>
        <v>23180.449536</v>
      </c>
      <c r="Q59" s="566">
        <v>1.08</v>
      </c>
      <c r="R59" s="348">
        <f>'Proy 2021 vs 2019 Sem'!IP31*Q59</f>
        <v>19080.747720000003</v>
      </c>
      <c r="X59" s="566">
        <v>1.08</v>
      </c>
      <c r="Y59" s="348">
        <f>'Proy 2021 vs 2019 Sem'!IY31*X59</f>
        <v>15272.859420000001</v>
      </c>
      <c r="AE59" s="566">
        <v>1.05</v>
      </c>
      <c r="AF59" s="348">
        <f>'Proy 2021 vs 2019 Sem'!JD31*AE59</f>
        <v>24369.858450000003</v>
      </c>
      <c r="AL59" s="566">
        <v>1.05</v>
      </c>
      <c r="AM59" s="348">
        <f>'Proy 2021 vs 2019 Sem'!JI31*AL59</f>
        <v>26476.007775000005</v>
      </c>
      <c r="AS59" s="566">
        <v>1.05</v>
      </c>
      <c r="AT59" s="348">
        <f>'Proy 2021 vs 2019 Sem'!JN31*AS59</f>
        <v>30074.185050000004</v>
      </c>
      <c r="AZ59" s="566">
        <v>1.05</v>
      </c>
      <c r="BA59" s="348">
        <f>'Proy 2021 vs 2019 Sem'!JX31*AZ59</f>
        <v>35942.054400000001</v>
      </c>
      <c r="BG59" s="566">
        <v>1.05</v>
      </c>
      <c r="BH59" s="348">
        <f>'Proy 2021 vs 2019 Sem'!KC31*BG59</f>
        <v>74020.917600000001</v>
      </c>
      <c r="BN59" s="566">
        <v>1.05</v>
      </c>
      <c r="BO59" s="348">
        <f>'Proy 2021 vs 2019 Sem'!KH31*BN59</f>
        <v>92169.8946</v>
      </c>
      <c r="BU59" s="566">
        <v>1.05</v>
      </c>
      <c r="BV59" s="348">
        <f>'Proy 2021 vs 2019 Sem'!KM31*BU59</f>
        <v>122259.32302499999</v>
      </c>
      <c r="CB59" s="566">
        <v>1.05</v>
      </c>
      <c r="CC59" s="348">
        <f>'Proy 2021 vs 2019 Sem'!KR31*CB59</f>
        <v>32879.585025</v>
      </c>
    </row>
    <row r="60" spans="1:81">
      <c r="A60" s="685" t="s">
        <v>232</v>
      </c>
      <c r="J60" s="566">
        <v>1.08</v>
      </c>
      <c r="K60" s="348">
        <f>'Proy 2021 vs 2019 Sem'!IK32*J60</f>
        <v>31940.74944</v>
      </c>
      <c r="Q60" s="566">
        <v>1.08</v>
      </c>
      <c r="R60" s="348">
        <f>'Proy 2021 vs 2019 Sem'!IP32*Q60</f>
        <v>34158.66552000001</v>
      </c>
      <c r="X60" s="566">
        <v>1.08</v>
      </c>
      <c r="Y60" s="348">
        <f>'Proy 2021 vs 2019 Sem'!IY32*X60</f>
        <v>29465.987544000003</v>
      </c>
      <c r="AE60" s="566">
        <v>1.05</v>
      </c>
      <c r="AF60" s="348">
        <f>'Proy 2021 vs 2019 Sem'!JD32*AE60</f>
        <v>30317.682779999999</v>
      </c>
      <c r="AL60" s="566">
        <v>1.05</v>
      </c>
      <c r="AM60" s="348">
        <f>'Proy 2021 vs 2019 Sem'!JI32*AL60</f>
        <v>36120.24108</v>
      </c>
      <c r="AS60" s="566">
        <v>1.05</v>
      </c>
      <c r="AT60" s="348">
        <f>'Proy 2021 vs 2019 Sem'!JN32*AS60</f>
        <v>30593.628450000004</v>
      </c>
      <c r="AZ60" s="566">
        <v>1.05</v>
      </c>
      <c r="BA60" s="348">
        <f>'Proy 2021 vs 2019 Sem'!JX32*AZ60</f>
        <v>46942.976850000006</v>
      </c>
      <c r="BG60" s="566">
        <v>1.05</v>
      </c>
      <c r="BH60" s="348">
        <f>'Proy 2021 vs 2019 Sem'!KC32*BG60</f>
        <v>46569.709725000001</v>
      </c>
      <c r="BN60" s="566">
        <v>1.05</v>
      </c>
      <c r="BO60" s="348">
        <f>'Proy 2021 vs 2019 Sem'!KH32*BN60</f>
        <v>59794.788900000007</v>
      </c>
      <c r="BU60" s="566">
        <v>1.05</v>
      </c>
      <c r="BV60" s="348">
        <f>'Proy 2021 vs 2019 Sem'!KM32*BU60</f>
        <v>109031.12640000001</v>
      </c>
      <c r="CB60" s="566">
        <v>1.05</v>
      </c>
      <c r="CC60" s="348">
        <f>'Proy 2021 vs 2019 Sem'!KR32*CB60</f>
        <v>47555.594099999995</v>
      </c>
    </row>
    <row r="61" spans="1:81">
      <c r="A61" s="685" t="s">
        <v>233</v>
      </c>
      <c r="J61" s="566">
        <v>1.08</v>
      </c>
      <c r="K61" s="348">
        <f>'Proy 2021 vs 2019 Sem'!IK33*J61</f>
        <v>24490.771199999999</v>
      </c>
      <c r="Q61" s="566">
        <v>1.08</v>
      </c>
      <c r="R61" s="348">
        <f>'Proy 2021 vs 2019 Sem'!IP33*Q61</f>
        <v>29604.207132000003</v>
      </c>
      <c r="X61" s="566">
        <v>1.08</v>
      </c>
      <c r="Y61" s="348">
        <f>'Proy 2021 vs 2019 Sem'!IY33*X61</f>
        <v>33685.77132</v>
      </c>
      <c r="AE61" s="566">
        <v>1.05</v>
      </c>
      <c r="AF61" s="348">
        <f>'Proy 2021 vs 2019 Sem'!JD33*AE61</f>
        <v>39428.578350000003</v>
      </c>
      <c r="AL61" s="566">
        <v>1.05</v>
      </c>
      <c r="AM61" s="348">
        <f>'Proy 2021 vs 2019 Sem'!JI33*AL61</f>
        <v>56893.465649999998</v>
      </c>
      <c r="AS61" s="566">
        <v>1.05</v>
      </c>
      <c r="AT61" s="348">
        <f>'Proy 2021 vs 2019 Sem'!JN33*AS61</f>
        <v>47547.687075000002</v>
      </c>
      <c r="AZ61" s="566">
        <v>1.05</v>
      </c>
      <c r="BA61" s="348">
        <f>'Proy 2021 vs 2019 Sem'!JX33*AZ61</f>
        <v>41414.898525000004</v>
      </c>
      <c r="BG61" s="566">
        <v>1.05</v>
      </c>
      <c r="BH61" s="348">
        <f>'Proy 2021 vs 2019 Sem'!KC33*BG61</f>
        <v>55336.743000000009</v>
      </c>
      <c r="BN61" s="566">
        <v>1.05</v>
      </c>
      <c r="BO61" s="348">
        <f>'Proy 2021 vs 2019 Sem'!KH33*BN61</f>
        <v>66384.918600000019</v>
      </c>
      <c r="BU61" s="566">
        <v>1.05</v>
      </c>
      <c r="BV61" s="348">
        <f>'Proy 2021 vs 2019 Sem'!KM33*BU61</f>
        <v>151076.61072</v>
      </c>
      <c r="CB61" s="566">
        <v>1.05</v>
      </c>
      <c r="CC61" s="348">
        <f>'Proy 2021 vs 2019 Sem'!KR33*CB61</f>
        <v>55472.709600000002</v>
      </c>
    </row>
    <row r="62" spans="1:81">
      <c r="A62" s="685" t="s">
        <v>37</v>
      </c>
      <c r="J62" s="566">
        <v>1.08</v>
      </c>
      <c r="K62" s="348">
        <f>'Proy 2021 vs 2019 Sem'!IK34*J62</f>
        <v>43704.571680000008</v>
      </c>
      <c r="Q62" s="566">
        <v>1.08</v>
      </c>
      <c r="R62" s="348">
        <f>'Proy 2021 vs 2019 Sem'!IP34*Q62</f>
        <v>50617.937016000003</v>
      </c>
      <c r="X62" s="566">
        <v>1.08</v>
      </c>
      <c r="Y62" s="348">
        <f>'Proy 2021 vs 2019 Sem'!IY34*X62</f>
        <v>51270.476039999994</v>
      </c>
      <c r="AE62" s="566">
        <v>1.05</v>
      </c>
      <c r="AF62" s="348">
        <f>'Proy 2021 vs 2019 Sem'!JD34*AE62</f>
        <v>79165.6446</v>
      </c>
      <c r="AL62" s="566">
        <v>1.05</v>
      </c>
      <c r="AM62" s="348">
        <f>'Proy 2021 vs 2019 Sem'!JI34*AL62</f>
        <v>85448.850480000008</v>
      </c>
      <c r="AS62" s="566">
        <v>1.05</v>
      </c>
      <c r="AT62" s="348">
        <f>'Proy 2021 vs 2019 Sem'!JN34*AS62</f>
        <v>63775.212060000005</v>
      </c>
      <c r="AZ62" s="566">
        <v>1.05</v>
      </c>
      <c r="BA62" s="348">
        <f>'Proy 2021 vs 2019 Sem'!JX34*AZ62</f>
        <v>86873.473050000001</v>
      </c>
      <c r="BG62" s="566">
        <v>1.05</v>
      </c>
      <c r="BH62" s="348">
        <f>'Proy 2021 vs 2019 Sem'!KC34*BG62</f>
        <v>124866.20055000001</v>
      </c>
      <c r="BN62" s="566">
        <v>1.05</v>
      </c>
      <c r="BO62" s="348">
        <f>'Proy 2021 vs 2019 Sem'!KH34*BN62</f>
        <v>141156.82717500001</v>
      </c>
      <c r="BU62" s="566">
        <v>1.05</v>
      </c>
      <c r="BV62" s="348">
        <f>'Proy 2021 vs 2019 Sem'!KM34*BU62</f>
        <v>256350.27768000003</v>
      </c>
      <c r="CB62" s="566">
        <v>1.05</v>
      </c>
      <c r="CC62" s="348">
        <f>'Proy 2021 vs 2019 Sem'!KR34*CB62</f>
        <v>66957.433199999999</v>
      </c>
    </row>
    <row r="63" spans="1:81">
      <c r="K63" s="544">
        <f>SUM(K34:K62)</f>
        <v>2720698.159608</v>
      </c>
      <c r="R63" s="544">
        <f>SUM(R34:R62)</f>
        <v>3330472.1146199992</v>
      </c>
      <c r="Y63" s="544">
        <f>SUM(Y34:Y62)</f>
        <v>2602903.1185080004</v>
      </c>
      <c r="AE63" s="544"/>
      <c r="AF63" s="544">
        <f>SUM(AF34:AF62)</f>
        <v>3324771.9304800006</v>
      </c>
      <c r="AM63" s="544">
        <f>SUM(AM34:AM62)</f>
        <v>3927896.7973349998</v>
      </c>
      <c r="AT63" s="544">
        <f>SUM(AT34:AT62)</f>
        <v>3827729.4085799996</v>
      </c>
      <c r="BA63" s="544">
        <f>SUM(BA34:BA62)</f>
        <v>4827035.9291699994</v>
      </c>
      <c r="BH63" s="544">
        <f>SUM(BH34:BH62)</f>
        <v>6077324.1782400003</v>
      </c>
      <c r="BO63" s="544">
        <f>SUM(BO34:BO62)</f>
        <v>8056092.2602649992</v>
      </c>
      <c r="BV63" s="544">
        <f>SUM(BV34:BV62)</f>
        <v>12100965.666930001</v>
      </c>
      <c r="CC63" s="544">
        <f>SUM(CC34:CC62)</f>
        <v>2927313.7494299999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42BF1-D9A2-4933-981F-6466D05B68B6}">
  <sheetPr>
    <pageSetUpPr fitToPage="1"/>
  </sheetPr>
  <dimension ref="A1:CG71"/>
  <sheetViews>
    <sheetView workbookViewId="0">
      <pane xSplit="1" ySplit="1" topLeftCell="U2" activePane="bottomRight" state="frozen"/>
      <selection pane="bottomRight" activeCell="U2" sqref="U2"/>
      <selection pane="bottomLeft"/>
      <selection pane="topRight"/>
    </sheetView>
  </sheetViews>
  <sheetFormatPr defaultRowHeight="15"/>
  <cols>
    <col min="2" max="19" width="11.42578125" hidden="1" customWidth="1"/>
    <col min="20" max="20" width="11.42578125" customWidth="1"/>
    <col min="21" max="83" width="11.42578125" bestFit="1" customWidth="1"/>
  </cols>
  <sheetData>
    <row r="1" spans="1:83">
      <c r="A1" s="9" t="s">
        <v>519</v>
      </c>
      <c r="B1" s="50">
        <v>44483</v>
      </c>
      <c r="C1" s="50">
        <v>44484</v>
      </c>
      <c r="D1" s="50">
        <v>44485</v>
      </c>
      <c r="E1" s="50">
        <v>44486</v>
      </c>
      <c r="F1" s="50">
        <v>44487</v>
      </c>
      <c r="G1" s="50">
        <v>44488</v>
      </c>
      <c r="H1" s="50">
        <v>44489</v>
      </c>
      <c r="I1" s="50">
        <v>44490</v>
      </c>
      <c r="J1" s="50">
        <v>44491</v>
      </c>
      <c r="K1" s="50">
        <v>44492</v>
      </c>
      <c r="L1" s="1570" t="s">
        <v>521</v>
      </c>
      <c r="M1" s="50">
        <v>44493</v>
      </c>
      <c r="N1" s="50">
        <v>44494</v>
      </c>
      <c r="O1" s="50">
        <v>44495</v>
      </c>
      <c r="P1" s="50">
        <v>44496</v>
      </c>
      <c r="Q1" s="50">
        <v>44497</v>
      </c>
      <c r="R1" s="50">
        <v>44498</v>
      </c>
      <c r="S1" s="50">
        <v>44499</v>
      </c>
      <c r="T1" s="1570" t="s">
        <v>522</v>
      </c>
      <c r="U1" s="50">
        <v>44500</v>
      </c>
      <c r="V1" s="50">
        <v>44501</v>
      </c>
      <c r="W1" s="50">
        <v>44502</v>
      </c>
      <c r="X1" s="50">
        <v>44503</v>
      </c>
      <c r="Y1" s="50">
        <v>44504</v>
      </c>
      <c r="Z1" s="50">
        <v>44505</v>
      </c>
      <c r="AA1" s="50">
        <v>44506</v>
      </c>
      <c r="AB1" s="50">
        <v>44507</v>
      </c>
      <c r="AC1" s="50">
        <v>44508</v>
      </c>
      <c r="AD1" s="50">
        <v>44509</v>
      </c>
      <c r="AE1" s="50">
        <v>44510</v>
      </c>
      <c r="AF1" s="50">
        <v>44511</v>
      </c>
      <c r="AG1" s="50">
        <v>44512</v>
      </c>
      <c r="AH1" s="50">
        <v>44513</v>
      </c>
      <c r="AI1" s="50">
        <v>44514</v>
      </c>
      <c r="AJ1" s="50">
        <v>44515</v>
      </c>
      <c r="AK1" s="50">
        <v>44516</v>
      </c>
      <c r="AL1" s="50">
        <v>44517</v>
      </c>
      <c r="AM1" s="50">
        <v>44518</v>
      </c>
      <c r="AN1" s="50">
        <v>44519</v>
      </c>
      <c r="AO1" s="50">
        <v>44520</v>
      </c>
      <c r="AP1" s="50">
        <v>44521</v>
      </c>
      <c r="AQ1" s="50">
        <v>44522</v>
      </c>
      <c r="AR1" s="50">
        <v>44523</v>
      </c>
      <c r="AS1" s="50">
        <v>44524</v>
      </c>
      <c r="AT1" s="50">
        <v>44525</v>
      </c>
      <c r="AU1" s="50">
        <v>44526</v>
      </c>
      <c r="AV1" s="50">
        <v>44527</v>
      </c>
      <c r="AW1" s="50">
        <v>44528</v>
      </c>
      <c r="AX1" s="50">
        <v>44529</v>
      </c>
      <c r="AY1" s="50">
        <v>44530</v>
      </c>
      <c r="AZ1" s="50">
        <v>44531</v>
      </c>
      <c r="BA1" s="50">
        <v>44532</v>
      </c>
      <c r="BB1" s="50">
        <v>44533</v>
      </c>
      <c r="BC1" s="50">
        <v>44534</v>
      </c>
      <c r="BD1" s="50">
        <v>44535</v>
      </c>
      <c r="BE1" s="50">
        <v>44536</v>
      </c>
      <c r="BF1" s="50">
        <v>44537</v>
      </c>
      <c r="BG1" s="50">
        <v>44538</v>
      </c>
      <c r="BH1" s="50">
        <v>44539</v>
      </c>
      <c r="BI1" s="50">
        <v>44540</v>
      </c>
      <c r="BJ1" s="50">
        <v>44541</v>
      </c>
      <c r="BK1" s="50">
        <v>44542</v>
      </c>
      <c r="BL1" s="50">
        <v>44543</v>
      </c>
      <c r="BM1" s="50">
        <v>44544</v>
      </c>
      <c r="BN1" s="50">
        <v>44545</v>
      </c>
      <c r="BO1" s="50">
        <v>44546</v>
      </c>
      <c r="BP1" s="50">
        <v>44547</v>
      </c>
      <c r="BQ1" s="50">
        <v>44548</v>
      </c>
      <c r="BR1" s="50">
        <v>44549</v>
      </c>
      <c r="BS1" s="50">
        <v>44550</v>
      </c>
      <c r="BT1" s="50">
        <v>44551</v>
      </c>
      <c r="BU1" s="50">
        <v>44552</v>
      </c>
      <c r="BV1" s="50">
        <v>44553</v>
      </c>
      <c r="BW1" s="50">
        <v>44554</v>
      </c>
      <c r="BX1" s="50">
        <v>44555</v>
      </c>
      <c r="BY1" s="50">
        <v>44556</v>
      </c>
      <c r="BZ1" s="50">
        <v>44557</v>
      </c>
      <c r="CA1" s="50">
        <v>44558</v>
      </c>
      <c r="CB1" s="50">
        <v>44559</v>
      </c>
      <c r="CC1" s="50">
        <v>44560</v>
      </c>
      <c r="CD1" s="50">
        <v>44561</v>
      </c>
      <c r="CE1" s="50">
        <v>44562</v>
      </c>
    </row>
    <row r="2" spans="1:83">
      <c r="A2" s="1567" t="s">
        <v>9</v>
      </c>
      <c r="B2" s="574">
        <f>'Vtas Diarias 2021'!XD7</f>
        <v>9401.5264000000006</v>
      </c>
      <c r="C2" s="574">
        <f>'Vtas Diarias 2021'!XH7</f>
        <v>10744.6016</v>
      </c>
      <c r="D2" s="574">
        <f>'Vtas Diarias 2021'!XL7</f>
        <v>14773.8272</v>
      </c>
      <c r="E2" s="574">
        <f>$K42*E$40</f>
        <v>9215.9869753152016</v>
      </c>
      <c r="F2" s="574">
        <f t="shared" ref="F2:M2" si="0">$K42*F$40</f>
        <v>9086.7198312720011</v>
      </c>
      <c r="G2" s="574">
        <f t="shared" si="0"/>
        <v>9162.7593277680007</v>
      </c>
      <c r="H2" s="574">
        <f t="shared" si="0"/>
        <v>9466.9173137520011</v>
      </c>
      <c r="I2" s="574">
        <f t="shared" si="0"/>
        <v>10455.430768200002</v>
      </c>
      <c r="J2" s="574">
        <f t="shared" si="0"/>
        <v>11808.933805828801</v>
      </c>
      <c r="K2" s="574">
        <f t="shared" si="0"/>
        <v>16842.748473864001</v>
      </c>
      <c r="L2" s="1571">
        <f>SUM(M2:S2)</f>
        <v>109773.22802400001</v>
      </c>
      <c r="M2" s="574">
        <f>$S42*M$40</f>
        <v>13304.515236508802</v>
      </c>
      <c r="N2" s="574">
        <f t="shared" ref="N2:U2" si="1">$S42*N$40</f>
        <v>13117.900748868</v>
      </c>
      <c r="O2" s="574">
        <f t="shared" si="1"/>
        <v>13227.673976892002</v>
      </c>
      <c r="P2" s="574">
        <f t="shared" si="1"/>
        <v>13666.766888988001</v>
      </c>
      <c r="Q2" s="574">
        <f t="shared" si="1"/>
        <v>15093.818853300003</v>
      </c>
      <c r="R2" s="574">
        <f t="shared" si="1"/>
        <v>17047.782312127201</v>
      </c>
      <c r="S2" s="574">
        <f t="shared" si="1"/>
        <v>24314.770007316001</v>
      </c>
      <c r="T2" s="1571">
        <f>SUM(U2:AA2)</f>
        <v>72650.591064000007</v>
      </c>
      <c r="U2" s="574">
        <f>$AA42*U$40</f>
        <v>8805.2516369568002</v>
      </c>
      <c r="V2" s="574">
        <f t="shared" ref="V2:AB2" si="2">$AA42*V$40</f>
        <v>8681.7456321480004</v>
      </c>
      <c r="W2" s="574">
        <f t="shared" si="2"/>
        <v>8754.3962232120011</v>
      </c>
      <c r="X2" s="574">
        <f t="shared" si="2"/>
        <v>9044.9985874680006</v>
      </c>
      <c r="Y2" s="574">
        <f t="shared" si="2"/>
        <v>9989.4562713000014</v>
      </c>
      <c r="Z2" s="574">
        <f t="shared" si="2"/>
        <v>11282.6367922392</v>
      </c>
      <c r="AA2" s="574">
        <f t="shared" si="2"/>
        <v>16092.105920676002</v>
      </c>
      <c r="AB2" s="574">
        <f>$AH42*AB$40</f>
        <v>9705.5531730720013</v>
      </c>
      <c r="AC2" s="574">
        <f t="shared" ref="AC2:AI2" si="3">$AH42*AC$40</f>
        <v>9569.4191764200004</v>
      </c>
      <c r="AD2" s="574">
        <f t="shared" si="3"/>
        <v>9649.4979979800009</v>
      </c>
      <c r="AE2" s="574">
        <f t="shared" si="3"/>
        <v>9969.8132842200012</v>
      </c>
      <c r="AF2" s="574">
        <f t="shared" si="3"/>
        <v>11010.837964500002</v>
      </c>
      <c r="AG2" s="574">
        <f t="shared" si="3"/>
        <v>12436.240988268</v>
      </c>
      <c r="AH2" s="574">
        <f t="shared" si="3"/>
        <v>17737.458975540001</v>
      </c>
      <c r="AI2" s="574">
        <f>$AO42*AI$40</f>
        <v>11718.534822048003</v>
      </c>
      <c r="AJ2" s="574">
        <f t="shared" ref="AJ2:AP2" si="4">$AO42*AJ$40</f>
        <v>11554.165934280001</v>
      </c>
      <c r="AK2" s="574">
        <f t="shared" si="4"/>
        <v>11650.853515320003</v>
      </c>
      <c r="AL2" s="574">
        <f t="shared" si="4"/>
        <v>12037.603839480002</v>
      </c>
      <c r="AM2" s="574">
        <f t="shared" si="4"/>
        <v>13294.542393000003</v>
      </c>
      <c r="AN2" s="574">
        <f t="shared" si="4"/>
        <v>15015.581335512003</v>
      </c>
      <c r="AO2" s="574">
        <f t="shared" si="4"/>
        <v>21416.299200360005</v>
      </c>
      <c r="AP2" s="574">
        <f>$AV42*AP$40</f>
        <v>14222.168215488002</v>
      </c>
      <c r="AQ2" s="574">
        <f t="shared" ref="AQ2:AW2" si="5">$AV42*AQ$40</f>
        <v>14022.682357680002</v>
      </c>
      <c r="AR2" s="574">
        <f t="shared" si="5"/>
        <v>14140.026979920001</v>
      </c>
      <c r="AS2" s="574">
        <f t="shared" si="5"/>
        <v>14609.405468880001</v>
      </c>
      <c r="AT2" s="574">
        <f t="shared" si="5"/>
        <v>16134.885558000004</v>
      </c>
      <c r="AU2" s="574">
        <f t="shared" si="5"/>
        <v>18223.619833872002</v>
      </c>
      <c r="AV2" s="574">
        <f t="shared" si="5"/>
        <v>25991.833826160004</v>
      </c>
      <c r="AW2" s="574">
        <f>$BC42*AW$40</f>
        <v>24649.082503415997</v>
      </c>
      <c r="AX2" s="574">
        <f t="shared" ref="AX2:BD2" si="6">$BC42*AX$40</f>
        <v>24303.344547509998</v>
      </c>
      <c r="AY2" s="574">
        <f t="shared" si="6"/>
        <v>24506.719815689998</v>
      </c>
      <c r="AZ2" s="574">
        <f t="shared" si="6"/>
        <v>25320.220888409996</v>
      </c>
      <c r="BA2" s="574">
        <f t="shared" si="6"/>
        <v>27964.09937475</v>
      </c>
      <c r="BB2" s="574">
        <f t="shared" si="6"/>
        <v>31584.179148353996</v>
      </c>
      <c r="BC2" s="574">
        <f t="shared" si="6"/>
        <v>45047.621901869999</v>
      </c>
      <c r="BD2" s="574">
        <f>$BJ42*BD$40</f>
        <v>32095.767985848004</v>
      </c>
      <c r="BE2" s="574">
        <f t="shared" ref="BE2:BK2" si="7">$BJ42*BE$40</f>
        <v>31645.579821030002</v>
      </c>
      <c r="BF2" s="574">
        <f t="shared" si="7"/>
        <v>31910.39638857</v>
      </c>
      <c r="BG2" s="574">
        <f t="shared" si="7"/>
        <v>32969.662658730005</v>
      </c>
      <c r="BH2" s="574">
        <f t="shared" si="7"/>
        <v>36412.278036750009</v>
      </c>
      <c r="BI2" s="574">
        <f t="shared" si="7"/>
        <v>41126.012938961998</v>
      </c>
      <c r="BJ2" s="574">
        <f t="shared" si="7"/>
        <v>58656.869710110004</v>
      </c>
      <c r="BK2" s="574">
        <f>$BQ42*BK$40</f>
        <v>36023.830513401605</v>
      </c>
      <c r="BL2" s="574">
        <f t="shared" ref="BL2:BR2" si="8">$BQ42*BL$40</f>
        <v>35518.545761976005</v>
      </c>
      <c r="BM2" s="574">
        <f t="shared" si="8"/>
        <v>35815.772086344004</v>
      </c>
      <c r="BN2" s="574">
        <f t="shared" si="8"/>
        <v>37004.677383816001</v>
      </c>
      <c r="BO2" s="574">
        <f t="shared" si="8"/>
        <v>40868.61960060001</v>
      </c>
      <c r="BP2" s="574">
        <f t="shared" si="8"/>
        <v>46159.248174350403</v>
      </c>
      <c r="BQ2" s="574">
        <f t="shared" si="8"/>
        <v>65835.630847512002</v>
      </c>
      <c r="BR2" s="574">
        <f>$BX42*BR$40</f>
        <v>57037.54970514241</v>
      </c>
      <c r="BS2" s="574">
        <f t="shared" ref="BS2:BY2" si="9">$BX42*BS$40</f>
        <v>56237.518067364006</v>
      </c>
      <c r="BT2" s="574">
        <f t="shared" si="9"/>
        <v>56708.124913116008</v>
      </c>
      <c r="BU2" s="574">
        <f t="shared" si="9"/>
        <v>58590.552296124006</v>
      </c>
      <c r="BV2" s="574">
        <f t="shared" si="9"/>
        <v>64708.441290900009</v>
      </c>
      <c r="BW2" s="574">
        <f t="shared" si="9"/>
        <v>73085.243145285611</v>
      </c>
      <c r="BX2" s="574">
        <f t="shared" si="9"/>
        <v>104239.41633406801</v>
      </c>
      <c r="BY2" s="574">
        <f>$CE42*BY$40</f>
        <v>9025.4789472960001</v>
      </c>
      <c r="BZ2" s="574">
        <f t="shared" ref="BZ2:CE2" si="10">$CE42*BZ$40</f>
        <v>8898.8839455599991</v>
      </c>
      <c r="CA2" s="574">
        <f t="shared" si="10"/>
        <v>8973.3515936399999</v>
      </c>
      <c r="CB2" s="574">
        <f t="shared" si="10"/>
        <v>9271.2221859599995</v>
      </c>
      <c r="CC2" s="574">
        <f t="shared" si="10"/>
        <v>10239.301611000001</v>
      </c>
      <c r="CD2" s="574">
        <f t="shared" si="10"/>
        <v>11564.825746823999</v>
      </c>
      <c r="CE2" s="574">
        <f t="shared" si="10"/>
        <v>16494.584049720001</v>
      </c>
    </row>
    <row r="3" spans="1:83">
      <c r="A3" s="1567" t="s">
        <v>10</v>
      </c>
      <c r="B3" s="574">
        <f>'Vtas Diarias 2021'!XD8</f>
        <v>7348.4359200000008</v>
      </c>
      <c r="C3" s="574">
        <f>'Vtas Diarias 2021'!XH8</f>
        <v>8398.2124800000001</v>
      </c>
      <c r="D3" s="574">
        <f>'Vtas Diarias 2021'!XL8</f>
        <v>11547.542160000001</v>
      </c>
      <c r="E3" s="574">
        <f t="shared" ref="E3:K18" si="11">$K43*E$40</f>
        <v>7607.7587960352021</v>
      </c>
      <c r="F3" s="574">
        <f t="shared" si="11"/>
        <v>7501.0493079720018</v>
      </c>
      <c r="G3" s="574">
        <f t="shared" si="11"/>
        <v>7563.8195950680019</v>
      </c>
      <c r="H3" s="574">
        <f t="shared" si="11"/>
        <v>7814.9007434520017</v>
      </c>
      <c r="I3" s="574">
        <f t="shared" si="11"/>
        <v>8630.9144757000031</v>
      </c>
      <c r="J3" s="574">
        <f t="shared" si="11"/>
        <v>9748.2255860088026</v>
      </c>
      <c r="K3" s="574">
        <f t="shared" si="11"/>
        <v>13903.618591764003</v>
      </c>
      <c r="L3" s="1571">
        <f t="shared" ref="L3:L24" si="12">SUM(M3:S3)</f>
        <v>86592.567888000005</v>
      </c>
      <c r="M3" s="574">
        <f t="shared" ref="M3:S18" si="13">$S43*M$40</f>
        <v>10495.019228025601</v>
      </c>
      <c r="N3" s="574">
        <f t="shared" si="13"/>
        <v>10347.811862615999</v>
      </c>
      <c r="O3" s="574">
        <f t="shared" si="13"/>
        <v>10434.404430504001</v>
      </c>
      <c r="P3" s="574">
        <f t="shared" si="13"/>
        <v>10780.774702056</v>
      </c>
      <c r="Q3" s="574">
        <f t="shared" si="13"/>
        <v>11906.478084600001</v>
      </c>
      <c r="R3" s="574">
        <f t="shared" si="13"/>
        <v>13447.825793006401</v>
      </c>
      <c r="S3" s="574">
        <f t="shared" si="13"/>
        <v>19180.253787192003</v>
      </c>
      <c r="T3" s="1571">
        <f>SUM(U3:AA3)</f>
        <v>82349.110080000013</v>
      </c>
      <c r="U3" s="574">
        <f t="shared" ref="U3:AA18" si="14">$AA43*U$40</f>
        <v>9980.7121416960017</v>
      </c>
      <c r="V3" s="574">
        <f t="shared" si="14"/>
        <v>9840.7186545600016</v>
      </c>
      <c r="W3" s="574">
        <f t="shared" si="14"/>
        <v>9923.0677646400018</v>
      </c>
      <c r="X3" s="574">
        <f t="shared" si="14"/>
        <v>10252.464204960002</v>
      </c>
      <c r="Y3" s="574">
        <f t="shared" si="14"/>
        <v>11323.002636000003</v>
      </c>
      <c r="Z3" s="574">
        <f t="shared" si="14"/>
        <v>12788.816795424002</v>
      </c>
      <c r="AA3" s="574">
        <f t="shared" si="14"/>
        <v>18240.327882720005</v>
      </c>
      <c r="AB3" s="574">
        <f t="shared" ref="AB3:AH18" si="15">$AH43*AB$40</f>
        <v>11098.267633152003</v>
      </c>
      <c r="AC3" s="574">
        <f t="shared" si="15"/>
        <v>10942.598862720002</v>
      </c>
      <c r="AD3" s="574">
        <f t="shared" si="15"/>
        <v>11034.168727680002</v>
      </c>
      <c r="AE3" s="574">
        <f t="shared" si="15"/>
        <v>11400.448187520002</v>
      </c>
      <c r="AF3" s="574">
        <f t="shared" si="15"/>
        <v>12590.856432000004</v>
      </c>
      <c r="AG3" s="574">
        <f t="shared" si="15"/>
        <v>14220.800028288002</v>
      </c>
      <c r="AH3" s="574">
        <f t="shared" si="15"/>
        <v>20282.725088640003</v>
      </c>
      <c r="AI3" s="574">
        <f t="shared" ref="AI3:AO18" si="16">$AO43*AI$40</f>
        <v>13338.585135360001</v>
      </c>
      <c r="AJ3" s="574">
        <f t="shared" si="16"/>
        <v>13151.4927696</v>
      </c>
      <c r="AK3" s="574">
        <f t="shared" si="16"/>
        <v>13261.5471024</v>
      </c>
      <c r="AL3" s="574">
        <f t="shared" si="16"/>
        <v>13701.764433600001</v>
      </c>
      <c r="AM3" s="574">
        <f t="shared" si="16"/>
        <v>15132.470760000002</v>
      </c>
      <c r="AN3" s="574">
        <f t="shared" si="16"/>
        <v>17091.437883840001</v>
      </c>
      <c r="AO3" s="574">
        <f t="shared" si="16"/>
        <v>24377.034715199999</v>
      </c>
      <c r="AP3" s="574">
        <f t="shared" ref="AP3:AV18" si="17">$AV43*AP$40</f>
        <v>10805.508192024001</v>
      </c>
      <c r="AQ3" s="574">
        <f t="shared" si="17"/>
        <v>10653.94578339</v>
      </c>
      <c r="AR3" s="574">
        <f t="shared" si="17"/>
        <v>10743.100141409999</v>
      </c>
      <c r="AS3" s="574">
        <f t="shared" si="17"/>
        <v>11099.717573489999</v>
      </c>
      <c r="AT3" s="574">
        <f t="shared" si="17"/>
        <v>12258.724227750001</v>
      </c>
      <c r="AU3" s="574">
        <f t="shared" si="17"/>
        <v>13845.671800505999</v>
      </c>
      <c r="AV3" s="574">
        <f t="shared" si="17"/>
        <v>19747.690301430001</v>
      </c>
      <c r="AW3" s="574">
        <f t="shared" ref="AW3:BC18" si="18">$BC43*AW$40</f>
        <v>14872.263984864001</v>
      </c>
      <c r="AX3" s="574">
        <f t="shared" si="18"/>
        <v>14663.659622039999</v>
      </c>
      <c r="AY3" s="574">
        <f t="shared" si="18"/>
        <v>14786.36807076</v>
      </c>
      <c r="AZ3" s="574">
        <f t="shared" si="18"/>
        <v>15277.20186564</v>
      </c>
      <c r="BA3" s="574">
        <f t="shared" si="18"/>
        <v>16872.411699</v>
      </c>
      <c r="BB3" s="574">
        <f t="shared" si="18"/>
        <v>19056.622086216001</v>
      </c>
      <c r="BC3" s="574">
        <f t="shared" si="18"/>
        <v>27179.921391480002</v>
      </c>
      <c r="BD3" s="574">
        <f t="shared" ref="BD3:BJ18" si="19">$BJ43*BD$40</f>
        <v>16278.047520451202</v>
      </c>
      <c r="BE3" s="574">
        <f t="shared" si="19"/>
        <v>16049.725071732</v>
      </c>
      <c r="BF3" s="574">
        <f t="shared" si="19"/>
        <v>16184.032394508002</v>
      </c>
      <c r="BG3" s="574">
        <f t="shared" si="19"/>
        <v>16721.261685612</v>
      </c>
      <c r="BH3" s="574">
        <f t="shared" si="19"/>
        <v>18467.256881700003</v>
      </c>
      <c r="BI3" s="574">
        <f t="shared" si="19"/>
        <v>20857.927227112803</v>
      </c>
      <c r="BJ3" s="574">
        <f t="shared" si="19"/>
        <v>29749.071994884005</v>
      </c>
      <c r="BK3" s="574">
        <f t="shared" ref="BK3:BQ18" si="20">$BQ43*BK$40</f>
        <v>22486.909036204801</v>
      </c>
      <c r="BL3" s="574">
        <f t="shared" si="20"/>
        <v>22171.498595927998</v>
      </c>
      <c r="BM3" s="574">
        <f t="shared" si="20"/>
        <v>22357.034149031999</v>
      </c>
      <c r="BN3" s="574">
        <f t="shared" si="20"/>
        <v>23099.176361448001</v>
      </c>
      <c r="BO3" s="574">
        <f t="shared" si="20"/>
        <v>25511.138551800002</v>
      </c>
      <c r="BP3" s="574">
        <f t="shared" si="20"/>
        <v>28813.671397051199</v>
      </c>
      <c r="BQ3" s="574">
        <f t="shared" si="20"/>
        <v>41096.125012536002</v>
      </c>
      <c r="BR3" s="574">
        <f t="shared" ref="BR3:BX18" si="21">$BX43*BR$40</f>
        <v>40014.988564953594</v>
      </c>
      <c r="BS3" s="574">
        <f t="shared" si="21"/>
        <v>39453.722223695993</v>
      </c>
      <c r="BT3" s="574">
        <f t="shared" si="21"/>
        <v>39783.878895023998</v>
      </c>
      <c r="BU3" s="574">
        <f t="shared" si="21"/>
        <v>41104.505580335994</v>
      </c>
      <c r="BV3" s="574">
        <f t="shared" si="21"/>
        <v>45396.542307600001</v>
      </c>
      <c r="BW3" s="574">
        <f t="shared" si="21"/>
        <v>51273.331057238393</v>
      </c>
      <c r="BX3" s="574">
        <f t="shared" si="21"/>
        <v>73129.702699151996</v>
      </c>
      <c r="BY3" s="574">
        <f t="shared" ref="BY3:CE18" si="22">$CE43*BY$40</f>
        <v>9018.311605920002</v>
      </c>
      <c r="BZ3" s="574">
        <f t="shared" si="22"/>
        <v>8891.8171362000012</v>
      </c>
      <c r="CA3" s="574">
        <f t="shared" si="22"/>
        <v>8966.2256478000018</v>
      </c>
      <c r="CB3" s="574">
        <f t="shared" si="22"/>
        <v>9263.8596942000022</v>
      </c>
      <c r="CC3" s="574">
        <f t="shared" si="22"/>
        <v>10231.170345000002</v>
      </c>
      <c r="CD3" s="574">
        <f t="shared" si="22"/>
        <v>11555.641851480001</v>
      </c>
      <c r="CE3" s="574">
        <f t="shared" si="22"/>
        <v>16481.485319400002</v>
      </c>
    </row>
    <row r="4" spans="1:83">
      <c r="A4" s="1567" t="s">
        <v>11</v>
      </c>
      <c r="B4" s="574">
        <f>'Vtas Diarias 2021'!XD9</f>
        <v>8168.0322360000009</v>
      </c>
      <c r="C4" s="574">
        <f>'Vtas Diarias 2021'!XH9</f>
        <v>9334.8939840000003</v>
      </c>
      <c r="D4" s="574">
        <f>'Vtas Diarias 2021'!XL9</f>
        <v>12835.479228</v>
      </c>
      <c r="E4" s="574">
        <f t="shared" si="11"/>
        <v>8794.5917546880009</v>
      </c>
      <c r="F4" s="574">
        <f t="shared" si="11"/>
        <v>8671.235269679999</v>
      </c>
      <c r="G4" s="574">
        <f t="shared" si="11"/>
        <v>8743.7979079199995</v>
      </c>
      <c r="H4" s="574">
        <f t="shared" si="11"/>
        <v>9034.0484608799998</v>
      </c>
      <c r="I4" s="574">
        <f t="shared" si="11"/>
        <v>9977.3627580000011</v>
      </c>
      <c r="J4" s="574">
        <f t="shared" si="11"/>
        <v>11268.977718672</v>
      </c>
      <c r="K4" s="574">
        <f t="shared" si="11"/>
        <v>16072.62437016</v>
      </c>
      <c r="L4" s="1571">
        <f t="shared" si="12"/>
        <v>92196.135900000023</v>
      </c>
      <c r="M4" s="574">
        <f t="shared" si="13"/>
        <v>11174.171671080003</v>
      </c>
      <c r="N4" s="574">
        <f t="shared" si="13"/>
        <v>11017.438240050002</v>
      </c>
      <c r="O4" s="574">
        <f t="shared" si="13"/>
        <v>11109.634375950003</v>
      </c>
      <c r="P4" s="574">
        <f t="shared" si="13"/>
        <v>11478.418919550002</v>
      </c>
      <c r="Q4" s="574">
        <f t="shared" si="13"/>
        <v>12676.968686250004</v>
      </c>
      <c r="R4" s="574">
        <f t="shared" si="13"/>
        <v>14318.059905270004</v>
      </c>
      <c r="S4" s="574">
        <f t="shared" si="13"/>
        <v>20421.444101850004</v>
      </c>
      <c r="T4" s="1571">
        <f t="shared" ref="T3:T24" si="23">SUM(U4:AA4)</f>
        <v>69095.569860000003</v>
      </c>
      <c r="U4" s="574">
        <f t="shared" si="14"/>
        <v>8374.3830670320003</v>
      </c>
      <c r="V4" s="574">
        <f t="shared" si="14"/>
        <v>8256.9205982700005</v>
      </c>
      <c r="W4" s="574">
        <f t="shared" si="14"/>
        <v>8326.0161681299996</v>
      </c>
      <c r="X4" s="574">
        <f t="shared" si="14"/>
        <v>8602.3984475699999</v>
      </c>
      <c r="Y4" s="574">
        <f t="shared" si="14"/>
        <v>9500.6408557500017</v>
      </c>
      <c r="Z4" s="574">
        <f t="shared" si="14"/>
        <v>10730.541999258001</v>
      </c>
      <c r="AA4" s="574">
        <f t="shared" si="14"/>
        <v>15304.66872399</v>
      </c>
      <c r="AB4" s="574">
        <f t="shared" si="15"/>
        <v>8949.608327116799</v>
      </c>
      <c r="AC4" s="574">
        <f t="shared" si="15"/>
        <v>8824.0775172479989</v>
      </c>
      <c r="AD4" s="574">
        <f t="shared" si="15"/>
        <v>8897.919170111998</v>
      </c>
      <c r="AE4" s="574">
        <f t="shared" si="15"/>
        <v>9193.2857815679981</v>
      </c>
      <c r="AF4" s="574">
        <f t="shared" si="15"/>
        <v>10153.227268799999</v>
      </c>
      <c r="AG4" s="574">
        <f t="shared" si="15"/>
        <v>11467.608689779197</v>
      </c>
      <c r="AH4" s="574">
        <f t="shared" si="15"/>
        <v>16355.926109375998</v>
      </c>
      <c r="AI4" s="574">
        <f t="shared" si="16"/>
        <v>13783.426709299201</v>
      </c>
      <c r="AJ4" s="574">
        <f t="shared" si="16"/>
        <v>13590.094816512001</v>
      </c>
      <c r="AK4" s="574">
        <f t="shared" si="16"/>
        <v>13703.819459328</v>
      </c>
      <c r="AL4" s="574">
        <f t="shared" si="16"/>
        <v>14158.718030592001</v>
      </c>
      <c r="AM4" s="574">
        <f t="shared" si="16"/>
        <v>15637.138387200002</v>
      </c>
      <c r="AN4" s="574">
        <f t="shared" si="16"/>
        <v>17661.437029324799</v>
      </c>
      <c r="AO4" s="574">
        <f t="shared" si="16"/>
        <v>25190.008383744003</v>
      </c>
      <c r="AP4" s="574">
        <f t="shared" si="17"/>
        <v>10770.723954432002</v>
      </c>
      <c r="AQ4" s="574">
        <f t="shared" si="17"/>
        <v>10619.649443520002</v>
      </c>
      <c r="AR4" s="574">
        <f t="shared" si="17"/>
        <v>10708.516802880002</v>
      </c>
      <c r="AS4" s="574">
        <f t="shared" si="17"/>
        <v>11063.986240320002</v>
      </c>
      <c r="AT4" s="574">
        <f t="shared" si="17"/>
        <v>12219.261912000004</v>
      </c>
      <c r="AU4" s="574">
        <f t="shared" si="17"/>
        <v>13801.100908608001</v>
      </c>
      <c r="AV4" s="574">
        <f t="shared" si="17"/>
        <v>19684.120098240004</v>
      </c>
      <c r="AW4" s="574">
        <f t="shared" si="18"/>
        <v>13449.530490624002</v>
      </c>
      <c r="AX4" s="574">
        <f t="shared" si="18"/>
        <v>13260.881960640001</v>
      </c>
      <c r="AY4" s="574">
        <f t="shared" si="18"/>
        <v>13371.851684160001</v>
      </c>
      <c r="AZ4" s="574">
        <f t="shared" si="18"/>
        <v>13815.730578240002</v>
      </c>
      <c r="BA4" s="574">
        <f t="shared" si="18"/>
        <v>15258.336984000003</v>
      </c>
      <c r="BB4" s="574">
        <f t="shared" si="18"/>
        <v>17233.598062656001</v>
      </c>
      <c r="BC4" s="574">
        <f t="shared" si="18"/>
        <v>24579.793759680004</v>
      </c>
      <c r="BD4" s="574">
        <f t="shared" si="19"/>
        <v>15475.839067137604</v>
      </c>
      <c r="BE4" s="574">
        <f t="shared" si="19"/>
        <v>15258.768717186003</v>
      </c>
      <c r="BF4" s="574">
        <f t="shared" si="19"/>
        <v>15386.457158334002</v>
      </c>
      <c r="BG4" s="574">
        <f t="shared" si="19"/>
        <v>15897.210922926004</v>
      </c>
      <c r="BH4" s="574">
        <f t="shared" si="19"/>
        <v>17557.160657850007</v>
      </c>
      <c r="BI4" s="574">
        <f t="shared" si="19"/>
        <v>19830.014910284404</v>
      </c>
      <c r="BJ4" s="574">
        <f t="shared" si="19"/>
        <v>28282.989714282005</v>
      </c>
      <c r="BK4" s="574">
        <f t="shared" si="20"/>
        <v>18840.102167908804</v>
      </c>
      <c r="BL4" s="574">
        <f t="shared" si="20"/>
        <v>18575.843309118001</v>
      </c>
      <c r="BM4" s="574">
        <f t="shared" si="20"/>
        <v>18731.289696642001</v>
      </c>
      <c r="BN4" s="574">
        <f t="shared" si="20"/>
        <v>19353.075246738001</v>
      </c>
      <c r="BO4" s="574">
        <f t="shared" si="20"/>
        <v>21373.878284550003</v>
      </c>
      <c r="BP4" s="574">
        <f t="shared" si="20"/>
        <v>24140.823982477203</v>
      </c>
      <c r="BQ4" s="574">
        <f t="shared" si="20"/>
        <v>34431.374836566007</v>
      </c>
      <c r="BR4" s="574">
        <f t="shared" si="21"/>
        <v>35299.296675849604</v>
      </c>
      <c r="BS4" s="574">
        <f t="shared" si="21"/>
        <v>34804.174527755997</v>
      </c>
      <c r="BT4" s="574">
        <f t="shared" si="21"/>
        <v>35095.422850164003</v>
      </c>
      <c r="BU4" s="574">
        <f t="shared" si="21"/>
        <v>36260.416139795998</v>
      </c>
      <c r="BV4" s="574">
        <f t="shared" si="21"/>
        <v>40046.644331100004</v>
      </c>
      <c r="BW4" s="574">
        <f t="shared" si="21"/>
        <v>45230.864469962398</v>
      </c>
      <c r="BX4" s="574">
        <f t="shared" si="21"/>
        <v>64511.503413372004</v>
      </c>
      <c r="BY4" s="574">
        <f t="shared" si="22"/>
        <v>6540.2706057120004</v>
      </c>
      <c r="BZ4" s="574">
        <f t="shared" si="22"/>
        <v>6448.5341368199997</v>
      </c>
      <c r="CA4" s="574">
        <f t="shared" si="22"/>
        <v>6502.4967655800001</v>
      </c>
      <c r="CB4" s="574">
        <f t="shared" si="22"/>
        <v>6718.3472806199998</v>
      </c>
      <c r="CC4" s="574">
        <f t="shared" si="22"/>
        <v>7419.8614545000009</v>
      </c>
      <c r="CD4" s="574">
        <f t="shared" si="22"/>
        <v>8380.3962464279994</v>
      </c>
      <c r="CE4" s="574">
        <f t="shared" si="22"/>
        <v>11952.72227034</v>
      </c>
    </row>
    <row r="5" spans="1:83">
      <c r="A5" s="1567" t="s">
        <v>12</v>
      </c>
      <c r="B5" s="574">
        <f>'Vtas Diarias 2021'!XD10</f>
        <v>6609.5629600000011</v>
      </c>
      <c r="C5" s="574">
        <f>'Vtas Diarias 2021'!XH10</f>
        <v>7553.7862400000013</v>
      </c>
      <c r="D5" s="574">
        <f>'Vtas Diarias 2021'!XL10</f>
        <v>10386.456080000002</v>
      </c>
      <c r="E5" s="574">
        <f t="shared" si="11"/>
        <v>8043.5886777792002</v>
      </c>
      <c r="F5" s="574">
        <f t="shared" si="11"/>
        <v>7930.7660643119998</v>
      </c>
      <c r="G5" s="574">
        <f t="shared" si="11"/>
        <v>7997.1323075279997</v>
      </c>
      <c r="H5" s="574">
        <f t="shared" si="11"/>
        <v>8262.5972803919994</v>
      </c>
      <c r="I5" s="574">
        <f t="shared" si="11"/>
        <v>9125.3584422000004</v>
      </c>
      <c r="J5" s="574">
        <f t="shared" si="11"/>
        <v>10306.677571444799</v>
      </c>
      <c r="K5" s="574">
        <f t="shared" si="11"/>
        <v>14700.122872344</v>
      </c>
      <c r="L5" s="1571">
        <f t="shared" si="12"/>
        <v>79225.568423999997</v>
      </c>
      <c r="M5" s="574">
        <f t="shared" si="13"/>
        <v>9602.1388929887999</v>
      </c>
      <c r="N5" s="574">
        <f t="shared" si="13"/>
        <v>9467.4554266679988</v>
      </c>
      <c r="O5" s="574">
        <f t="shared" si="13"/>
        <v>9546.6809950919996</v>
      </c>
      <c r="P5" s="574">
        <f t="shared" si="13"/>
        <v>9863.5832687879993</v>
      </c>
      <c r="Q5" s="574">
        <f t="shared" si="13"/>
        <v>10893.515658300001</v>
      </c>
      <c r="R5" s="574">
        <f t="shared" si="13"/>
        <v>12303.730776247199</v>
      </c>
      <c r="S5" s="574">
        <f t="shared" si="13"/>
        <v>17548.463405915998</v>
      </c>
      <c r="T5" s="1571">
        <f t="shared" si="23"/>
        <v>56458.5147</v>
      </c>
      <c r="U5" s="574">
        <f t="shared" si="14"/>
        <v>6842.7719816400004</v>
      </c>
      <c r="V5" s="574">
        <f t="shared" si="14"/>
        <v>6746.7925066499993</v>
      </c>
      <c r="W5" s="574">
        <f t="shared" si="14"/>
        <v>6803.25102135</v>
      </c>
      <c r="X5" s="574">
        <f t="shared" si="14"/>
        <v>7029.0850801500001</v>
      </c>
      <c r="Y5" s="574">
        <f t="shared" si="14"/>
        <v>7763.0457712500001</v>
      </c>
      <c r="Z5" s="574">
        <f t="shared" si="14"/>
        <v>8768.0073329099996</v>
      </c>
      <c r="AA5" s="574">
        <f t="shared" si="14"/>
        <v>12505.56100605</v>
      </c>
      <c r="AB5" s="574">
        <f t="shared" si="15"/>
        <v>7847.1170934479997</v>
      </c>
      <c r="AC5" s="574">
        <f t="shared" si="15"/>
        <v>7737.0502695299992</v>
      </c>
      <c r="AD5" s="574">
        <f t="shared" si="15"/>
        <v>7801.7954600699995</v>
      </c>
      <c r="AE5" s="574">
        <f t="shared" si="15"/>
        <v>8060.7762222299998</v>
      </c>
      <c r="AF5" s="574">
        <f t="shared" si="15"/>
        <v>8902.46369925</v>
      </c>
      <c r="AG5" s="574">
        <f t="shared" si="15"/>
        <v>10054.928090861998</v>
      </c>
      <c r="AH5" s="574">
        <f t="shared" si="15"/>
        <v>14341.059704609999</v>
      </c>
      <c r="AI5" s="574">
        <f t="shared" si="16"/>
        <v>9625.6899892799993</v>
      </c>
      <c r="AJ5" s="574">
        <f t="shared" si="16"/>
        <v>9490.6761857999991</v>
      </c>
      <c r="AK5" s="574">
        <f t="shared" si="16"/>
        <v>9570.0960701999993</v>
      </c>
      <c r="AL5" s="574">
        <f t="shared" si="16"/>
        <v>9887.7756078000002</v>
      </c>
      <c r="AM5" s="574">
        <f t="shared" si="16"/>
        <v>10920.234105</v>
      </c>
      <c r="AN5" s="574">
        <f t="shared" si="16"/>
        <v>12333.908047319999</v>
      </c>
      <c r="AO5" s="574">
        <f t="shared" si="16"/>
        <v>17591.504394600001</v>
      </c>
      <c r="AP5" s="574">
        <f t="shared" si="17"/>
        <v>6995.9320822800009</v>
      </c>
      <c r="AQ5" s="574">
        <f t="shared" si="17"/>
        <v>6897.8043220500012</v>
      </c>
      <c r="AR5" s="574">
        <f t="shared" si="17"/>
        <v>6955.5265339500011</v>
      </c>
      <c r="AS5" s="574">
        <f t="shared" si="17"/>
        <v>7186.4153815500013</v>
      </c>
      <c r="AT5" s="574">
        <f t="shared" si="17"/>
        <v>7936.8041362500016</v>
      </c>
      <c r="AU5" s="574">
        <f t="shared" si="17"/>
        <v>8964.2595080700012</v>
      </c>
      <c r="AV5" s="574">
        <f t="shared" si="17"/>
        <v>12785.469935850002</v>
      </c>
      <c r="AW5" s="574">
        <f t="shared" si="18"/>
        <v>8357.059439568</v>
      </c>
      <c r="AX5" s="574">
        <f t="shared" si="18"/>
        <v>8239.8399589799992</v>
      </c>
      <c r="AY5" s="574">
        <f t="shared" si="18"/>
        <v>8308.7925946199994</v>
      </c>
      <c r="AZ5" s="574">
        <f t="shared" si="18"/>
        <v>8584.60313718</v>
      </c>
      <c r="BA5" s="574">
        <f t="shared" si="18"/>
        <v>9480.9874005000001</v>
      </c>
      <c r="BB5" s="574">
        <f t="shared" si="18"/>
        <v>10708.344314891998</v>
      </c>
      <c r="BC5" s="574">
        <f t="shared" si="18"/>
        <v>15273.008794259998</v>
      </c>
      <c r="BD5" s="574">
        <f t="shared" si="19"/>
        <v>12032.644251600001</v>
      </c>
      <c r="BE5" s="574">
        <f t="shared" si="19"/>
        <v>11863.869538499999</v>
      </c>
      <c r="BF5" s="574">
        <f t="shared" si="19"/>
        <v>11963.1487815</v>
      </c>
      <c r="BG5" s="574">
        <f t="shared" si="19"/>
        <v>12360.2657535</v>
      </c>
      <c r="BH5" s="574">
        <f t="shared" si="19"/>
        <v>13650.895912500002</v>
      </c>
      <c r="BI5" s="574">
        <f t="shared" si="19"/>
        <v>15418.066437899999</v>
      </c>
      <c r="BJ5" s="574">
        <f t="shared" si="19"/>
        <v>21990.3523245</v>
      </c>
      <c r="BK5" s="574">
        <f t="shared" si="20"/>
        <v>17999.632002240003</v>
      </c>
      <c r="BL5" s="574">
        <f t="shared" si="20"/>
        <v>17747.1619164</v>
      </c>
      <c r="BM5" s="574">
        <f t="shared" si="20"/>
        <v>17895.6737316</v>
      </c>
      <c r="BN5" s="574">
        <f t="shared" si="20"/>
        <v>18489.720992400002</v>
      </c>
      <c r="BO5" s="574">
        <f t="shared" si="20"/>
        <v>20420.374590000003</v>
      </c>
      <c r="BP5" s="574">
        <f t="shared" si="20"/>
        <v>23063.884900560002</v>
      </c>
      <c r="BQ5" s="574">
        <f t="shared" si="20"/>
        <v>32895.367066800005</v>
      </c>
      <c r="BR5" s="574">
        <f t="shared" si="21"/>
        <v>30977.966645524801</v>
      </c>
      <c r="BS5" s="574">
        <f t="shared" si="21"/>
        <v>30543.457212377998</v>
      </c>
      <c r="BT5" s="574">
        <f t="shared" si="21"/>
        <v>30799.050996581998</v>
      </c>
      <c r="BU5" s="574">
        <f t="shared" si="21"/>
        <v>31821.426133397999</v>
      </c>
      <c r="BV5" s="574">
        <f t="shared" si="21"/>
        <v>35144.145328049999</v>
      </c>
      <c r="BW5" s="574">
        <f t="shared" si="21"/>
        <v>39693.714686881198</v>
      </c>
      <c r="BX5" s="574">
        <f t="shared" si="21"/>
        <v>56614.023201185999</v>
      </c>
      <c r="BY5" s="574">
        <f t="shared" si="22"/>
        <v>7528.1860442880006</v>
      </c>
      <c r="BZ5" s="574">
        <f t="shared" si="22"/>
        <v>7422.5926756800009</v>
      </c>
      <c r="CA5" s="574">
        <f t="shared" si="22"/>
        <v>7484.706421920001</v>
      </c>
      <c r="CB5" s="574">
        <f t="shared" si="22"/>
        <v>7733.1614068800009</v>
      </c>
      <c r="CC5" s="574">
        <f t="shared" si="22"/>
        <v>8540.6401080000014</v>
      </c>
      <c r="CD5" s="574">
        <f t="shared" si="22"/>
        <v>9646.2647910720007</v>
      </c>
      <c r="CE5" s="574">
        <f t="shared" si="22"/>
        <v>13758.194792160002</v>
      </c>
    </row>
    <row r="6" spans="1:83">
      <c r="A6" s="1567" t="s">
        <v>13</v>
      </c>
      <c r="B6" s="574">
        <f>'Vtas Diarias 2021'!XD11</f>
        <v>9386.2257720000016</v>
      </c>
      <c r="C6" s="574">
        <f>'Vtas Diarias 2021'!XH11</f>
        <v>10727.115168000002</v>
      </c>
      <c r="D6" s="574">
        <f>'Vtas Diarias 2021'!XL11</f>
        <v>14749.783356000002</v>
      </c>
      <c r="E6" s="574">
        <f t="shared" si="11"/>
        <v>8094.1175182080005</v>
      </c>
      <c r="F6" s="574">
        <f t="shared" si="11"/>
        <v>7980.5861668799998</v>
      </c>
      <c r="G6" s="574">
        <f t="shared" si="11"/>
        <v>8047.3693147200001</v>
      </c>
      <c r="H6" s="574">
        <f t="shared" si="11"/>
        <v>8314.5019060800005</v>
      </c>
      <c r="I6" s="574">
        <f t="shared" si="11"/>
        <v>9182.6828280000009</v>
      </c>
      <c r="J6" s="574">
        <f t="shared" si="11"/>
        <v>10371.422859552</v>
      </c>
      <c r="K6" s="574">
        <f t="shared" si="11"/>
        <v>14792.467246560002</v>
      </c>
      <c r="L6" s="1571">
        <f t="shared" si="12"/>
        <v>98933.202899999975</v>
      </c>
      <c r="M6" s="574">
        <f t="shared" si="13"/>
        <v>11990.704191479999</v>
      </c>
      <c r="N6" s="574">
        <f t="shared" si="13"/>
        <v>11822.517746549998</v>
      </c>
      <c r="O6" s="574">
        <f t="shared" si="13"/>
        <v>11921.450949449998</v>
      </c>
      <c r="P6" s="574">
        <f t="shared" si="13"/>
        <v>12317.183761049999</v>
      </c>
      <c r="Q6" s="574">
        <f t="shared" si="13"/>
        <v>13603.315398749999</v>
      </c>
      <c r="R6" s="574">
        <f t="shared" si="13"/>
        <v>15364.326410369998</v>
      </c>
      <c r="S6" s="574">
        <f t="shared" si="13"/>
        <v>21913.704442349997</v>
      </c>
      <c r="T6" s="1571">
        <f t="shared" si="23"/>
        <v>74981.825171999997</v>
      </c>
      <c r="U6" s="574">
        <f t="shared" si="14"/>
        <v>9087.7972108464</v>
      </c>
      <c r="V6" s="574">
        <f t="shared" si="14"/>
        <v>8960.328108054</v>
      </c>
      <c r="W6" s="574">
        <f t="shared" si="14"/>
        <v>9035.309933225999</v>
      </c>
      <c r="X6" s="574">
        <f t="shared" si="14"/>
        <v>9335.2372339140002</v>
      </c>
      <c r="Y6" s="574">
        <f t="shared" si="14"/>
        <v>10310.000961150001</v>
      </c>
      <c r="Z6" s="574">
        <f t="shared" si="14"/>
        <v>11644.677449211598</v>
      </c>
      <c r="AA6" s="574">
        <f t="shared" si="14"/>
        <v>16608.474275598001</v>
      </c>
      <c r="AB6" s="574">
        <f t="shared" si="15"/>
        <v>10194.4304390016</v>
      </c>
      <c r="AC6" s="574">
        <f t="shared" si="15"/>
        <v>10051.439252976001</v>
      </c>
      <c r="AD6" s="574">
        <f t="shared" si="15"/>
        <v>10135.551715344001</v>
      </c>
      <c r="AE6" s="574">
        <f t="shared" si="15"/>
        <v>10472.001564816001</v>
      </c>
      <c r="AF6" s="574">
        <f t="shared" si="15"/>
        <v>11565.463575600003</v>
      </c>
      <c r="AG6" s="574">
        <f t="shared" si="15"/>
        <v>13062.6654057504</v>
      </c>
      <c r="AH6" s="574">
        <f t="shared" si="15"/>
        <v>18630.910414512004</v>
      </c>
      <c r="AI6" s="574">
        <f t="shared" si="16"/>
        <v>13384.087988256002</v>
      </c>
      <c r="AJ6" s="574">
        <f t="shared" si="16"/>
        <v>13196.357381160002</v>
      </c>
      <c r="AK6" s="574">
        <f t="shared" si="16"/>
        <v>13306.787150040002</v>
      </c>
      <c r="AL6" s="574">
        <f t="shared" si="16"/>
        <v>13748.506225560002</v>
      </c>
      <c r="AM6" s="574">
        <f t="shared" si="16"/>
        <v>15184.093221000003</v>
      </c>
      <c r="AN6" s="574">
        <f t="shared" si="16"/>
        <v>17149.743107064001</v>
      </c>
      <c r="AO6" s="574">
        <f t="shared" si="16"/>
        <v>24460.193806920004</v>
      </c>
      <c r="AP6" s="574">
        <f t="shared" si="17"/>
        <v>10087.165997064001</v>
      </c>
      <c r="AQ6" s="574">
        <f t="shared" si="17"/>
        <v>9945.6793452900001</v>
      </c>
      <c r="AR6" s="574">
        <f t="shared" si="17"/>
        <v>10028.906787510001</v>
      </c>
      <c r="AS6" s="574">
        <f t="shared" si="17"/>
        <v>10361.816556390002</v>
      </c>
      <c r="AT6" s="574">
        <f t="shared" si="17"/>
        <v>11443.773305250003</v>
      </c>
      <c r="AU6" s="574">
        <f t="shared" si="17"/>
        <v>12925.221776766</v>
      </c>
      <c r="AV6" s="574">
        <f t="shared" si="17"/>
        <v>18434.878451730005</v>
      </c>
      <c r="AW6" s="574">
        <f t="shared" si="18"/>
        <v>12778.195536288002</v>
      </c>
      <c r="AX6" s="574">
        <f t="shared" si="18"/>
        <v>12598.96342068</v>
      </c>
      <c r="AY6" s="574">
        <f t="shared" si="18"/>
        <v>12704.394076920002</v>
      </c>
      <c r="AZ6" s="574">
        <f t="shared" si="18"/>
        <v>13126.116701880001</v>
      </c>
      <c r="BA6" s="574">
        <f t="shared" si="18"/>
        <v>14496.715233000003</v>
      </c>
      <c r="BB6" s="574">
        <f t="shared" si="18"/>
        <v>16373.380914072</v>
      </c>
      <c r="BC6" s="574">
        <f t="shared" si="18"/>
        <v>23352.890357160002</v>
      </c>
      <c r="BD6" s="574">
        <f t="shared" si="19"/>
        <v>14827.582962504002</v>
      </c>
      <c r="BE6" s="574">
        <f t="shared" si="19"/>
        <v>14619.605313690001</v>
      </c>
      <c r="BF6" s="574">
        <f t="shared" si="19"/>
        <v>14741.945107110001</v>
      </c>
      <c r="BG6" s="574">
        <f t="shared" si="19"/>
        <v>15231.304280790002</v>
      </c>
      <c r="BH6" s="574">
        <f t="shared" si="19"/>
        <v>16821.721595250005</v>
      </c>
      <c r="BI6" s="574">
        <f t="shared" si="19"/>
        <v>18999.369918126002</v>
      </c>
      <c r="BJ6" s="574">
        <f t="shared" si="19"/>
        <v>27098.264242530004</v>
      </c>
      <c r="BK6" s="574">
        <f t="shared" si="20"/>
        <v>21032.335469563204</v>
      </c>
      <c r="BL6" s="574">
        <f t="shared" si="20"/>
        <v>20737.327463802001</v>
      </c>
      <c r="BM6" s="574">
        <f t="shared" si="20"/>
        <v>20910.861584838003</v>
      </c>
      <c r="BN6" s="574">
        <f t="shared" si="20"/>
        <v>21604.998068982004</v>
      </c>
      <c r="BO6" s="574">
        <f t="shared" si="20"/>
        <v>23860.941642450005</v>
      </c>
      <c r="BP6" s="574">
        <f t="shared" si="20"/>
        <v>26949.848996890803</v>
      </c>
      <c r="BQ6" s="574">
        <f t="shared" si="20"/>
        <v>38437.807809474005</v>
      </c>
      <c r="BR6" s="574">
        <f t="shared" si="21"/>
        <v>33414.937153920007</v>
      </c>
      <c r="BS6" s="574">
        <f t="shared" si="21"/>
        <v>32946.245791200003</v>
      </c>
      <c r="BT6" s="574">
        <f t="shared" si="21"/>
        <v>33221.946592800006</v>
      </c>
      <c r="BU6" s="574">
        <f t="shared" si="21"/>
        <v>34324.749799200006</v>
      </c>
      <c r="BV6" s="574">
        <f t="shared" si="21"/>
        <v>37908.86022000001</v>
      </c>
      <c r="BW6" s="574">
        <f t="shared" si="21"/>
        <v>42816.33448848001</v>
      </c>
      <c r="BX6" s="574">
        <f t="shared" si="21"/>
        <v>61067.727554400015</v>
      </c>
      <c r="BY6" s="574">
        <f t="shared" si="22"/>
        <v>6482.5651695600009</v>
      </c>
      <c r="BZ6" s="574">
        <f t="shared" si="22"/>
        <v>6391.6381003500001</v>
      </c>
      <c r="CA6" s="574">
        <f t="shared" si="22"/>
        <v>6445.1246116500006</v>
      </c>
      <c r="CB6" s="574">
        <f t="shared" si="22"/>
        <v>6659.0706568500009</v>
      </c>
      <c r="CC6" s="574">
        <f t="shared" si="22"/>
        <v>7354.3953037500014</v>
      </c>
      <c r="CD6" s="574">
        <f t="shared" si="22"/>
        <v>8306.4552048900005</v>
      </c>
      <c r="CE6" s="574">
        <f t="shared" si="22"/>
        <v>11847.262252950002</v>
      </c>
    </row>
    <row r="7" spans="1:83">
      <c r="A7" s="1567" t="s">
        <v>14</v>
      </c>
      <c r="B7" s="574">
        <f>'Vtas Diarias 2021'!XD12</f>
        <v>11381.461252000003</v>
      </c>
      <c r="C7" s="574">
        <f>'Vtas Diarias 2021'!XH12</f>
        <v>13007.384288000001</v>
      </c>
      <c r="D7" s="574">
        <f>'Vtas Diarias 2021'!XL12</f>
        <v>17885.153396000002</v>
      </c>
      <c r="E7" s="574">
        <f t="shared" si="11"/>
        <v>10397.079751680001</v>
      </c>
      <c r="F7" s="574">
        <f t="shared" si="11"/>
        <v>10251.2461248</v>
      </c>
      <c r="G7" s="574">
        <f t="shared" si="11"/>
        <v>10337.0306112</v>
      </c>
      <c r="H7" s="574">
        <f t="shared" si="11"/>
        <v>10680.168556800001</v>
      </c>
      <c r="I7" s="574">
        <f t="shared" si="11"/>
        <v>11795.366880000001</v>
      </c>
      <c r="J7" s="574">
        <f t="shared" si="11"/>
        <v>13322.330737920001</v>
      </c>
      <c r="K7" s="574">
        <f t="shared" si="11"/>
        <v>19001.263737600002</v>
      </c>
      <c r="L7" s="1571">
        <f t="shared" si="12"/>
        <v>126691.21656000002</v>
      </c>
      <c r="M7" s="574">
        <f t="shared" si="13"/>
        <v>15354.975447072004</v>
      </c>
      <c r="N7" s="574">
        <f t="shared" si="13"/>
        <v>15139.600378920002</v>
      </c>
      <c r="O7" s="574">
        <f t="shared" si="13"/>
        <v>15266.291595480003</v>
      </c>
      <c r="P7" s="574">
        <f t="shared" si="13"/>
        <v>15773.056461720003</v>
      </c>
      <c r="Q7" s="574">
        <f t="shared" si="13"/>
        <v>17420.042277000004</v>
      </c>
      <c r="R7" s="574">
        <f t="shared" si="13"/>
        <v>19675.145931768006</v>
      </c>
      <c r="S7" s="574">
        <f t="shared" si="13"/>
        <v>28062.104468040008</v>
      </c>
      <c r="T7" s="1571">
        <f t="shared" si="23"/>
        <v>97699.625280000037</v>
      </c>
      <c r="U7" s="574">
        <f t="shared" si="14"/>
        <v>11841.194583936003</v>
      </c>
      <c r="V7" s="574">
        <f t="shared" si="14"/>
        <v>11675.105220960002</v>
      </c>
      <c r="W7" s="574">
        <f t="shared" si="14"/>
        <v>11772.804846240002</v>
      </c>
      <c r="X7" s="574">
        <f t="shared" si="14"/>
        <v>12163.603347360002</v>
      </c>
      <c r="Y7" s="574">
        <f t="shared" si="14"/>
        <v>13433.698476000003</v>
      </c>
      <c r="Z7" s="574">
        <f t="shared" si="14"/>
        <v>15172.751805984002</v>
      </c>
      <c r="AA7" s="574">
        <f t="shared" si="14"/>
        <v>21640.466999520006</v>
      </c>
      <c r="AB7" s="574">
        <f t="shared" si="15"/>
        <v>14290.810601472002</v>
      </c>
      <c r="AC7" s="574">
        <f t="shared" si="15"/>
        <v>14090.361937920001</v>
      </c>
      <c r="AD7" s="574">
        <f t="shared" si="15"/>
        <v>14208.272916480002</v>
      </c>
      <c r="AE7" s="574">
        <f t="shared" si="15"/>
        <v>14679.916830720002</v>
      </c>
      <c r="AF7" s="574">
        <f t="shared" si="15"/>
        <v>16212.759552000003</v>
      </c>
      <c r="AG7" s="574">
        <f t="shared" si="15"/>
        <v>18311.574970368001</v>
      </c>
      <c r="AH7" s="574">
        <f t="shared" si="15"/>
        <v>26117.281751040005</v>
      </c>
      <c r="AI7" s="574">
        <f t="shared" si="16"/>
        <v>17099.798641848</v>
      </c>
      <c r="AJ7" s="574">
        <f t="shared" si="16"/>
        <v>16859.94998103</v>
      </c>
      <c r="AK7" s="574">
        <f t="shared" si="16"/>
        <v>17001.037428569998</v>
      </c>
      <c r="AL7" s="574">
        <f t="shared" si="16"/>
        <v>17565.38721873</v>
      </c>
      <c r="AM7" s="574">
        <f t="shared" si="16"/>
        <v>19399.524036750001</v>
      </c>
      <c r="AN7" s="574">
        <f t="shared" si="16"/>
        <v>21910.880602961999</v>
      </c>
      <c r="AO7" s="574">
        <f t="shared" si="16"/>
        <v>31250.869630109999</v>
      </c>
      <c r="AP7" s="574">
        <f t="shared" si="17"/>
        <v>18221.692157640002</v>
      </c>
      <c r="AQ7" s="574">
        <f t="shared" si="17"/>
        <v>17966.107366650001</v>
      </c>
      <c r="AR7" s="574">
        <f t="shared" si="17"/>
        <v>18116.451361350002</v>
      </c>
      <c r="AS7" s="574">
        <f t="shared" si="17"/>
        <v>18717.827340150001</v>
      </c>
      <c r="AT7" s="574">
        <f t="shared" si="17"/>
        <v>20672.299271250002</v>
      </c>
      <c r="AU7" s="574">
        <f t="shared" si="17"/>
        <v>23348.422376909999</v>
      </c>
      <c r="AV7" s="574">
        <f t="shared" si="17"/>
        <v>33301.194826049999</v>
      </c>
      <c r="AW7" s="574">
        <f t="shared" si="18"/>
        <v>26668.74711312</v>
      </c>
      <c r="AX7" s="574">
        <f t="shared" si="18"/>
        <v>26294.680528199999</v>
      </c>
      <c r="AY7" s="574">
        <f t="shared" si="18"/>
        <v>26514.719695799999</v>
      </c>
      <c r="AZ7" s="574">
        <f t="shared" si="18"/>
        <v>27394.876366199998</v>
      </c>
      <c r="BA7" s="574">
        <f t="shared" si="18"/>
        <v>30255.385545000001</v>
      </c>
      <c r="BB7" s="574">
        <f t="shared" si="18"/>
        <v>34172.082728279995</v>
      </c>
      <c r="BC7" s="574">
        <f t="shared" si="18"/>
        <v>48738.675623399999</v>
      </c>
      <c r="BD7" s="574">
        <f t="shared" si="19"/>
        <v>32339.407001327996</v>
      </c>
      <c r="BE7" s="574">
        <f t="shared" si="19"/>
        <v>31885.801457579993</v>
      </c>
      <c r="BF7" s="574">
        <f t="shared" si="19"/>
        <v>32152.628248019992</v>
      </c>
      <c r="BG7" s="574">
        <f t="shared" si="19"/>
        <v>33219.935409779995</v>
      </c>
      <c r="BH7" s="574">
        <f t="shared" si="19"/>
        <v>36688.6836855</v>
      </c>
      <c r="BI7" s="574">
        <f t="shared" si="19"/>
        <v>41438.20055533199</v>
      </c>
      <c r="BJ7" s="574">
        <f t="shared" si="19"/>
        <v>59102.13408245999</v>
      </c>
      <c r="BK7" s="574">
        <f t="shared" si="20"/>
        <v>42099.158841263998</v>
      </c>
      <c r="BL7" s="574">
        <f t="shared" si="20"/>
        <v>41508.65908854</v>
      </c>
      <c r="BM7" s="574">
        <f t="shared" si="20"/>
        <v>41856.011884259999</v>
      </c>
      <c r="BN7" s="574">
        <f t="shared" si="20"/>
        <v>43245.42306714</v>
      </c>
      <c r="BO7" s="574">
        <f t="shared" si="20"/>
        <v>47761.009411500003</v>
      </c>
      <c r="BP7" s="574">
        <f t="shared" si="20"/>
        <v>53943.889175315999</v>
      </c>
      <c r="BQ7" s="574">
        <f t="shared" si="20"/>
        <v>76938.644251980004</v>
      </c>
      <c r="BR7" s="574">
        <f t="shared" si="21"/>
        <v>53534.267381865597</v>
      </c>
      <c r="BS7" s="574">
        <f t="shared" si="21"/>
        <v>52783.374192515992</v>
      </c>
      <c r="BT7" s="574">
        <f t="shared" si="21"/>
        <v>53225.076068603994</v>
      </c>
      <c r="BU7" s="574">
        <f t="shared" si="21"/>
        <v>54991.883572955994</v>
      </c>
      <c r="BV7" s="574">
        <f t="shared" si="21"/>
        <v>60734.007962099997</v>
      </c>
      <c r="BW7" s="574">
        <f t="shared" si="21"/>
        <v>68596.301356466385</v>
      </c>
      <c r="BX7" s="574">
        <f t="shared" si="21"/>
        <v>97836.965553491988</v>
      </c>
      <c r="BY7" s="574">
        <f t="shared" si="22"/>
        <v>11974.221570816002</v>
      </c>
      <c r="BZ7" s="574">
        <f t="shared" si="22"/>
        <v>11806.266317760002</v>
      </c>
      <c r="CA7" s="574">
        <f t="shared" si="22"/>
        <v>11905.063525440002</v>
      </c>
      <c r="CB7" s="574">
        <f t="shared" si="22"/>
        <v>12300.252356160003</v>
      </c>
      <c r="CC7" s="574">
        <f t="shared" si="22"/>
        <v>13584.616056000004</v>
      </c>
      <c r="CD7" s="574">
        <f t="shared" si="22"/>
        <v>15343.206352704003</v>
      </c>
      <c r="CE7" s="574">
        <f t="shared" si="22"/>
        <v>21883.581501120007</v>
      </c>
    </row>
    <row r="8" spans="1:83">
      <c r="A8" s="1567" t="s">
        <v>15</v>
      </c>
      <c r="B8" s="574">
        <f>'Vtas Diarias 2021'!XD13</f>
        <v>11321.603552</v>
      </c>
      <c r="C8" s="574">
        <f>'Vtas Diarias 2021'!XH13</f>
        <v>12938.975488</v>
      </c>
      <c r="D8" s="574">
        <f>'Vtas Diarias 2021'!XL13</f>
        <v>17791.091295999999</v>
      </c>
      <c r="E8" s="574">
        <f t="shared" si="11"/>
        <v>11149.3024128</v>
      </c>
      <c r="F8" s="574">
        <f t="shared" si="11"/>
        <v>10992.917808</v>
      </c>
      <c r="G8" s="574">
        <f t="shared" si="11"/>
        <v>11084.908751999999</v>
      </c>
      <c r="H8" s="574">
        <f t="shared" si="11"/>
        <v>11452.872528</v>
      </c>
      <c r="I8" s="574">
        <f t="shared" si="11"/>
        <v>12648.754800000001</v>
      </c>
      <c r="J8" s="574">
        <f t="shared" si="11"/>
        <v>14286.193603199999</v>
      </c>
      <c r="K8" s="574">
        <f t="shared" si="11"/>
        <v>20375.994096000002</v>
      </c>
      <c r="L8" s="1571">
        <f t="shared" si="12"/>
        <v>142232.739264</v>
      </c>
      <c r="M8" s="574">
        <f t="shared" si="13"/>
        <v>17238.607998796801</v>
      </c>
      <c r="N8" s="574">
        <f t="shared" si="13"/>
        <v>16996.812342048001</v>
      </c>
      <c r="O8" s="574">
        <f t="shared" si="13"/>
        <v>17139.045081312001</v>
      </c>
      <c r="P8" s="574">
        <f t="shared" si="13"/>
        <v>17707.976038368</v>
      </c>
      <c r="Q8" s="574">
        <f t="shared" si="13"/>
        <v>19557.001648800004</v>
      </c>
      <c r="R8" s="574">
        <f t="shared" si="13"/>
        <v>22088.7444076992</v>
      </c>
      <c r="S8" s="574">
        <f t="shared" si="13"/>
        <v>31504.551746976002</v>
      </c>
      <c r="T8" s="1571">
        <f t="shared" si="23"/>
        <v>100339.19874000002</v>
      </c>
      <c r="U8" s="574">
        <f t="shared" si="14"/>
        <v>12161.110887288001</v>
      </c>
      <c r="V8" s="574">
        <f t="shared" si="14"/>
        <v>11990.53424943</v>
      </c>
      <c r="W8" s="574">
        <f t="shared" si="14"/>
        <v>12090.873448170001</v>
      </c>
      <c r="X8" s="574">
        <f t="shared" si="14"/>
        <v>12492.230243130001</v>
      </c>
      <c r="Y8" s="574">
        <f t="shared" si="14"/>
        <v>13796.639826750003</v>
      </c>
      <c r="Z8" s="574">
        <f t="shared" si="14"/>
        <v>15582.677564322001</v>
      </c>
      <c r="AA8" s="574">
        <f t="shared" si="14"/>
        <v>22225.132520910003</v>
      </c>
      <c r="AB8" s="574">
        <f t="shared" si="15"/>
        <v>17341.353073079998</v>
      </c>
      <c r="AC8" s="574">
        <f t="shared" si="15"/>
        <v>17098.116272549996</v>
      </c>
      <c r="AD8" s="574">
        <f t="shared" si="15"/>
        <v>17241.196743449997</v>
      </c>
      <c r="AE8" s="574">
        <f t="shared" si="15"/>
        <v>17813.518627049998</v>
      </c>
      <c r="AF8" s="574">
        <f t="shared" si="15"/>
        <v>19673.564748749999</v>
      </c>
      <c r="AG8" s="574">
        <f t="shared" si="15"/>
        <v>22220.397130769998</v>
      </c>
      <c r="AH8" s="574">
        <f t="shared" si="15"/>
        <v>31692.324304349997</v>
      </c>
      <c r="AI8" s="574">
        <f t="shared" si="16"/>
        <v>20674.580771520003</v>
      </c>
      <c r="AJ8" s="574">
        <f t="shared" si="16"/>
        <v>20384.590777200003</v>
      </c>
      <c r="AK8" s="574">
        <f t="shared" si="16"/>
        <v>20555.1731268</v>
      </c>
      <c r="AL8" s="574">
        <f t="shared" si="16"/>
        <v>21237.502525200001</v>
      </c>
      <c r="AM8" s="574">
        <f t="shared" si="16"/>
        <v>23455.073070000006</v>
      </c>
      <c r="AN8" s="574">
        <f t="shared" si="16"/>
        <v>26491.43889288</v>
      </c>
      <c r="AO8" s="574">
        <f t="shared" si="16"/>
        <v>37783.990436400003</v>
      </c>
      <c r="AP8" s="574">
        <f t="shared" si="17"/>
        <v>17235.281892168005</v>
      </c>
      <c r="AQ8" s="574">
        <f t="shared" si="17"/>
        <v>16993.532888730002</v>
      </c>
      <c r="AR8" s="574">
        <f t="shared" si="17"/>
        <v>17135.738184870002</v>
      </c>
      <c r="AS8" s="574">
        <f t="shared" si="17"/>
        <v>17704.559369430004</v>
      </c>
      <c r="AT8" s="574">
        <f t="shared" si="17"/>
        <v>19553.228219250006</v>
      </c>
      <c r="AU8" s="574">
        <f t="shared" si="17"/>
        <v>22084.482490542003</v>
      </c>
      <c r="AV8" s="574">
        <f t="shared" si="17"/>
        <v>31498.473095010006</v>
      </c>
      <c r="AW8" s="574">
        <f t="shared" si="18"/>
        <v>22092.008959252798</v>
      </c>
      <c r="AX8" s="574">
        <f t="shared" si="18"/>
        <v>21782.137546457998</v>
      </c>
      <c r="AY8" s="574">
        <f t="shared" si="18"/>
        <v>21964.414848101998</v>
      </c>
      <c r="AZ8" s="574">
        <f t="shared" si="18"/>
        <v>22693.524054678001</v>
      </c>
      <c r="BA8" s="574">
        <f t="shared" si="18"/>
        <v>25063.12897605</v>
      </c>
      <c r="BB8" s="574">
        <f t="shared" si="18"/>
        <v>28307.664945313198</v>
      </c>
      <c r="BC8" s="574">
        <f t="shared" si="18"/>
        <v>40374.422314145995</v>
      </c>
      <c r="BD8" s="574">
        <f t="shared" si="19"/>
        <v>28458.241787937601</v>
      </c>
      <c r="BE8" s="574">
        <f t="shared" si="19"/>
        <v>28059.075030185999</v>
      </c>
      <c r="BF8" s="574">
        <f t="shared" si="19"/>
        <v>28293.879005333998</v>
      </c>
      <c r="BG8" s="574">
        <f t="shared" si="19"/>
        <v>29233.094905925998</v>
      </c>
      <c r="BH8" s="574">
        <f t="shared" si="19"/>
        <v>32285.546582850002</v>
      </c>
      <c r="BI8" s="574">
        <f t="shared" si="19"/>
        <v>36465.057340484396</v>
      </c>
      <c r="BJ8" s="574">
        <f t="shared" si="19"/>
        <v>52009.080495282004</v>
      </c>
      <c r="BK8" s="574">
        <f t="shared" si="20"/>
        <v>38379.160021622403</v>
      </c>
      <c r="BL8" s="574">
        <f t="shared" si="20"/>
        <v>37840.838470164003</v>
      </c>
      <c r="BM8" s="574">
        <f t="shared" si="20"/>
        <v>38157.498206315999</v>
      </c>
      <c r="BN8" s="574">
        <f t="shared" si="20"/>
        <v>39424.137150924005</v>
      </c>
      <c r="BO8" s="574">
        <f t="shared" si="20"/>
        <v>43540.713720900007</v>
      </c>
      <c r="BP8" s="574">
        <f t="shared" si="20"/>
        <v>49177.257024405604</v>
      </c>
      <c r="BQ8" s="574">
        <f t="shared" si="20"/>
        <v>70140.131557668006</v>
      </c>
      <c r="BR8" s="574">
        <f t="shared" si="21"/>
        <v>59492.534500656002</v>
      </c>
      <c r="BS8" s="574">
        <f t="shared" si="21"/>
        <v>58658.068257660001</v>
      </c>
      <c r="BT8" s="574">
        <f t="shared" si="21"/>
        <v>59148.93075354</v>
      </c>
      <c r="BU8" s="574">
        <f t="shared" si="21"/>
        <v>61112.380737059997</v>
      </c>
      <c r="BV8" s="574">
        <f t="shared" si="21"/>
        <v>67493.593183500008</v>
      </c>
      <c r="BW8" s="574">
        <f t="shared" si="21"/>
        <v>76230.945610163995</v>
      </c>
      <c r="BX8" s="574">
        <f t="shared" si="21"/>
        <v>108726.04283742</v>
      </c>
      <c r="BY8" s="574">
        <f t="shared" si="22"/>
        <v>12698.646372000001</v>
      </c>
      <c r="BZ8" s="574">
        <f t="shared" si="22"/>
        <v>12520.530045000001</v>
      </c>
      <c r="CA8" s="574">
        <f t="shared" si="22"/>
        <v>12625.304355</v>
      </c>
      <c r="CB8" s="574">
        <f t="shared" si="22"/>
        <v>13044.401595000001</v>
      </c>
      <c r="CC8" s="574">
        <f t="shared" si="22"/>
        <v>14406.467625000003</v>
      </c>
      <c r="CD8" s="574">
        <f t="shared" si="22"/>
        <v>16271.450343</v>
      </c>
      <c r="CE8" s="574">
        <f t="shared" si="22"/>
        <v>23207.509665000001</v>
      </c>
    </row>
    <row r="9" spans="1:83">
      <c r="A9" s="1567" t="s">
        <v>16</v>
      </c>
      <c r="B9" s="574">
        <f>'Vtas Diarias 2021'!XD14</f>
        <v>9268.4927580000021</v>
      </c>
      <c r="C9" s="574">
        <f>'Vtas Diarias 2021'!XH14</f>
        <v>10592.563152000001</v>
      </c>
      <c r="D9" s="574">
        <f>'Vtas Diarias 2021'!XL14</f>
        <v>14564.774334000002</v>
      </c>
      <c r="E9" s="574">
        <f t="shared" si="11"/>
        <v>10445.044339468799</v>
      </c>
      <c r="F9" s="574">
        <f t="shared" si="11"/>
        <v>10298.537941967999</v>
      </c>
      <c r="G9" s="574">
        <f t="shared" si="11"/>
        <v>10384.718175791999</v>
      </c>
      <c r="H9" s="574">
        <f t="shared" si="11"/>
        <v>10729.439111087999</v>
      </c>
      <c r="I9" s="574">
        <f t="shared" si="11"/>
        <v>11849.7821508</v>
      </c>
      <c r="J9" s="574">
        <f t="shared" si="11"/>
        <v>13383.790312867199</v>
      </c>
      <c r="K9" s="574">
        <f t="shared" si="11"/>
        <v>19088.921792016001</v>
      </c>
      <c r="L9" s="1571">
        <f t="shared" si="12"/>
        <v>84691.939499999993</v>
      </c>
      <c r="M9" s="574">
        <f t="shared" si="13"/>
        <v>10264.663067399999</v>
      </c>
      <c r="N9" s="574">
        <f t="shared" si="13"/>
        <v>10120.686770249999</v>
      </c>
      <c r="O9" s="574">
        <f t="shared" si="13"/>
        <v>10205.378709749999</v>
      </c>
      <c r="P9" s="574">
        <f t="shared" si="13"/>
        <v>10544.146467749999</v>
      </c>
      <c r="Q9" s="574">
        <f t="shared" si="13"/>
        <v>11645.141681249999</v>
      </c>
      <c r="R9" s="574">
        <f t="shared" si="13"/>
        <v>13152.658204349998</v>
      </c>
      <c r="S9" s="574">
        <f t="shared" si="13"/>
        <v>18759.26459925</v>
      </c>
      <c r="T9" s="1571">
        <f t="shared" si="23"/>
        <v>60345.7857</v>
      </c>
      <c r="U9" s="574">
        <f t="shared" si="14"/>
        <v>7313.90922684</v>
      </c>
      <c r="V9" s="574">
        <f t="shared" si="14"/>
        <v>7211.3213911499997</v>
      </c>
      <c r="W9" s="574">
        <f t="shared" si="14"/>
        <v>7271.66717685</v>
      </c>
      <c r="X9" s="574">
        <f t="shared" si="14"/>
        <v>7513.0503196500003</v>
      </c>
      <c r="Y9" s="574">
        <f t="shared" si="14"/>
        <v>8297.5455337500007</v>
      </c>
      <c r="Z9" s="574">
        <f t="shared" si="14"/>
        <v>9371.7005192100005</v>
      </c>
      <c r="AA9" s="574">
        <f t="shared" si="14"/>
        <v>13366.591532550001</v>
      </c>
      <c r="AB9" s="574">
        <f t="shared" si="15"/>
        <v>9237.0682080719998</v>
      </c>
      <c r="AC9" s="574">
        <f t="shared" si="15"/>
        <v>9107.5053701699999</v>
      </c>
      <c r="AD9" s="574">
        <f t="shared" si="15"/>
        <v>9183.7188042300004</v>
      </c>
      <c r="AE9" s="574">
        <f t="shared" si="15"/>
        <v>9488.5725404700006</v>
      </c>
      <c r="AF9" s="574">
        <f t="shared" si="15"/>
        <v>10479.34718325</v>
      </c>
      <c r="AG9" s="574">
        <f t="shared" si="15"/>
        <v>11835.946309518</v>
      </c>
      <c r="AH9" s="574">
        <f t="shared" si="15"/>
        <v>16881.275644289999</v>
      </c>
      <c r="AI9" s="574">
        <f t="shared" si="16"/>
        <v>12387.551123908801</v>
      </c>
      <c r="AJ9" s="574">
        <f t="shared" si="16"/>
        <v>12213.798344118</v>
      </c>
      <c r="AK9" s="574">
        <f t="shared" si="16"/>
        <v>12316.005861642001</v>
      </c>
      <c r="AL9" s="574">
        <f t="shared" si="16"/>
        <v>12724.835931738002</v>
      </c>
      <c r="AM9" s="574">
        <f t="shared" si="16"/>
        <v>14053.533659550003</v>
      </c>
      <c r="AN9" s="574">
        <f t="shared" si="16"/>
        <v>15872.827471477201</v>
      </c>
      <c r="AO9" s="574">
        <f t="shared" si="16"/>
        <v>22638.965131566001</v>
      </c>
      <c r="AP9" s="574">
        <f t="shared" si="17"/>
        <v>12861.633843259202</v>
      </c>
      <c r="AQ9" s="574">
        <f t="shared" si="17"/>
        <v>12681.231388362001</v>
      </c>
      <c r="AR9" s="574">
        <f t="shared" si="17"/>
        <v>12787.350479478</v>
      </c>
      <c r="AS9" s="574">
        <f t="shared" si="17"/>
        <v>13211.826843942001</v>
      </c>
      <c r="AT9" s="574">
        <f t="shared" si="17"/>
        <v>14591.375028450002</v>
      </c>
      <c r="AU9" s="574">
        <f t="shared" si="17"/>
        <v>16480.2948503148</v>
      </c>
      <c r="AV9" s="574">
        <f t="shared" si="17"/>
        <v>23505.378682194001</v>
      </c>
      <c r="AW9" s="574">
        <f t="shared" si="18"/>
        <v>15947.866064808002</v>
      </c>
      <c r="AX9" s="574">
        <f t="shared" si="18"/>
        <v>15724.174874130002</v>
      </c>
      <c r="AY9" s="574">
        <f t="shared" si="18"/>
        <v>15855.757927470002</v>
      </c>
      <c r="AZ9" s="574">
        <f t="shared" si="18"/>
        <v>16382.090140830001</v>
      </c>
      <c r="BA9" s="574">
        <f t="shared" si="18"/>
        <v>18092.669834250002</v>
      </c>
      <c r="BB9" s="574">
        <f t="shared" si="18"/>
        <v>20434.848183702001</v>
      </c>
      <c r="BC9" s="574">
        <f t="shared" si="18"/>
        <v>29145.646314810005</v>
      </c>
      <c r="BD9" s="574">
        <f t="shared" si="19"/>
        <v>22393.298395295998</v>
      </c>
      <c r="BE9" s="574">
        <f t="shared" si="19"/>
        <v>22079.200975559997</v>
      </c>
      <c r="BF9" s="574">
        <f t="shared" si="19"/>
        <v>22263.964163639997</v>
      </c>
      <c r="BG9" s="574">
        <f t="shared" si="19"/>
        <v>23003.016915959997</v>
      </c>
      <c r="BH9" s="574">
        <f t="shared" si="19"/>
        <v>25404.938361</v>
      </c>
      <c r="BI9" s="574">
        <f t="shared" si="19"/>
        <v>28693.723108823997</v>
      </c>
      <c r="BJ9" s="574">
        <f t="shared" si="19"/>
        <v>40925.046159719997</v>
      </c>
      <c r="BK9" s="574">
        <f t="shared" si="20"/>
        <v>28833.244350840003</v>
      </c>
      <c r="BL9" s="574">
        <f t="shared" si="20"/>
        <v>28428.81765615</v>
      </c>
      <c r="BM9" s="574">
        <f t="shared" si="20"/>
        <v>28666.715711850004</v>
      </c>
      <c r="BN9" s="574">
        <f t="shared" si="20"/>
        <v>29618.307934650002</v>
      </c>
      <c r="BO9" s="574">
        <f t="shared" si="20"/>
        <v>32710.982658750007</v>
      </c>
      <c r="BP9" s="574">
        <f t="shared" si="20"/>
        <v>36945.56805021</v>
      </c>
      <c r="BQ9" s="574">
        <f t="shared" si="20"/>
        <v>52694.419337550004</v>
      </c>
      <c r="BR9" s="574">
        <f t="shared" si="21"/>
        <v>48132.179225798413</v>
      </c>
      <c r="BS9" s="574">
        <f t="shared" si="21"/>
        <v>47457.05790002401</v>
      </c>
      <c r="BT9" s="574">
        <f t="shared" si="21"/>
        <v>47854.188091656011</v>
      </c>
      <c r="BU9" s="574">
        <f t="shared" si="21"/>
        <v>49442.708858184014</v>
      </c>
      <c r="BV9" s="574">
        <f t="shared" si="21"/>
        <v>54605.401349400017</v>
      </c>
      <c r="BW9" s="574">
        <f t="shared" si="21"/>
        <v>61674.318760449612</v>
      </c>
      <c r="BX9" s="574">
        <f t="shared" si="21"/>
        <v>87964.337446488018</v>
      </c>
      <c r="BY9" s="574">
        <f t="shared" si="22"/>
        <v>8072.9047742399998</v>
      </c>
      <c r="BZ9" s="574">
        <f t="shared" si="22"/>
        <v>7959.6709613999992</v>
      </c>
      <c r="CA9" s="574">
        <f t="shared" si="22"/>
        <v>8026.2790865999996</v>
      </c>
      <c r="CB9" s="574">
        <f t="shared" si="22"/>
        <v>8292.7115873999992</v>
      </c>
      <c r="CC9" s="574">
        <f t="shared" si="22"/>
        <v>9158.6172150000002</v>
      </c>
      <c r="CD9" s="574">
        <f t="shared" si="22"/>
        <v>10344.241843559999</v>
      </c>
      <c r="CE9" s="574">
        <f t="shared" si="22"/>
        <v>14753.699731799999</v>
      </c>
    </row>
    <row r="10" spans="1:83">
      <c r="A10" s="1567" t="s">
        <v>17</v>
      </c>
      <c r="B10" s="574">
        <f>'Vtas Diarias 2021'!XD15</f>
        <v>18601.225944000002</v>
      </c>
      <c r="C10" s="574">
        <f>'Vtas Diarias 2021'!XH15</f>
        <v>21258.543936000002</v>
      </c>
      <c r="D10" s="574">
        <f>'Vtas Diarias 2021'!XL15</f>
        <v>29230.497912000003</v>
      </c>
      <c r="E10" s="574">
        <f t="shared" si="11"/>
        <v>18007.531628198401</v>
      </c>
      <c r="F10" s="574">
        <f t="shared" si="11"/>
        <v>17754.950739024</v>
      </c>
      <c r="G10" s="574">
        <f t="shared" si="11"/>
        <v>17903.527732655999</v>
      </c>
      <c r="H10" s="574">
        <f t="shared" si="11"/>
        <v>18497.835707184</v>
      </c>
      <c r="I10" s="574">
        <f t="shared" si="11"/>
        <v>20429.336624400003</v>
      </c>
      <c r="J10" s="574">
        <f t="shared" si="11"/>
        <v>23074.007111049599</v>
      </c>
      <c r="K10" s="574">
        <f t="shared" si="11"/>
        <v>32909.804089488003</v>
      </c>
      <c r="L10" s="1571">
        <f t="shared" si="12"/>
        <v>197915.42268000002</v>
      </c>
      <c r="M10" s="574">
        <f t="shared" si="13"/>
        <v>23987.349228816001</v>
      </c>
      <c r="N10" s="574">
        <f t="shared" si="13"/>
        <v>23650.893010260002</v>
      </c>
      <c r="O10" s="574">
        <f t="shared" si="13"/>
        <v>23848.808432940001</v>
      </c>
      <c r="P10" s="574">
        <f t="shared" si="13"/>
        <v>24640.470123660001</v>
      </c>
      <c r="Q10" s="574">
        <f t="shared" si="13"/>
        <v>27213.370618500005</v>
      </c>
      <c r="R10" s="574">
        <f t="shared" si="13"/>
        <v>30736.265142204</v>
      </c>
      <c r="S10" s="574">
        <f t="shared" si="13"/>
        <v>43838.266123620007</v>
      </c>
      <c r="T10" s="1571">
        <f t="shared" si="23"/>
        <v>136023.06834</v>
      </c>
      <c r="U10" s="574">
        <f t="shared" si="14"/>
        <v>16485.995882808002</v>
      </c>
      <c r="V10" s="574">
        <f t="shared" si="14"/>
        <v>16254.756666629999</v>
      </c>
      <c r="W10" s="574">
        <f t="shared" si="14"/>
        <v>16390.779734969998</v>
      </c>
      <c r="X10" s="574">
        <f t="shared" si="14"/>
        <v>16934.87200833</v>
      </c>
      <c r="Y10" s="574">
        <f t="shared" si="14"/>
        <v>18703.171896750002</v>
      </c>
      <c r="Z10" s="574">
        <f t="shared" si="14"/>
        <v>21124.382513201999</v>
      </c>
      <c r="AA10" s="574">
        <f t="shared" si="14"/>
        <v>30129.109637310001</v>
      </c>
      <c r="AB10" s="574">
        <f t="shared" si="15"/>
        <v>24016.162383576004</v>
      </c>
      <c r="AC10" s="574">
        <f t="shared" si="15"/>
        <v>23679.302020110001</v>
      </c>
      <c r="AD10" s="574">
        <f t="shared" si="15"/>
        <v>23877.455175090003</v>
      </c>
      <c r="AE10" s="574">
        <f t="shared" si="15"/>
        <v>24670.067795010003</v>
      </c>
      <c r="AF10" s="574">
        <f t="shared" si="15"/>
        <v>27246.058809750004</v>
      </c>
      <c r="AG10" s="574">
        <f t="shared" si="15"/>
        <v>30773.184968394002</v>
      </c>
      <c r="AH10" s="574">
        <f t="shared" si="15"/>
        <v>43890.923828070008</v>
      </c>
      <c r="AI10" s="574">
        <f t="shared" si="16"/>
        <v>29926.596190176002</v>
      </c>
      <c r="AJ10" s="574">
        <f t="shared" si="16"/>
        <v>29506.83370236</v>
      </c>
      <c r="AK10" s="574">
        <f t="shared" si="16"/>
        <v>29753.752812840001</v>
      </c>
      <c r="AL10" s="574">
        <f t="shared" si="16"/>
        <v>30741.429254760002</v>
      </c>
      <c r="AM10" s="574">
        <f t="shared" si="16"/>
        <v>33951.377691000002</v>
      </c>
      <c r="AN10" s="574">
        <f t="shared" si="16"/>
        <v>38346.537857543997</v>
      </c>
      <c r="AO10" s="574">
        <f t="shared" si="16"/>
        <v>54692.58297132</v>
      </c>
      <c r="AP10" s="574">
        <f t="shared" si="17"/>
        <v>33297.675019488001</v>
      </c>
      <c r="AQ10" s="574">
        <f t="shared" si="17"/>
        <v>32830.628422679998</v>
      </c>
      <c r="AR10" s="574">
        <f t="shared" si="17"/>
        <v>33105.36171492</v>
      </c>
      <c r="AS10" s="574">
        <f t="shared" si="17"/>
        <v>34204.29488388</v>
      </c>
      <c r="AT10" s="574">
        <f t="shared" si="17"/>
        <v>37775.827683000003</v>
      </c>
      <c r="AU10" s="574">
        <f t="shared" si="17"/>
        <v>42666.080284871998</v>
      </c>
      <c r="AV10" s="574">
        <f t="shared" si="17"/>
        <v>60853.424231159996</v>
      </c>
      <c r="AW10" s="574">
        <f t="shared" si="18"/>
        <v>46067.780921184007</v>
      </c>
      <c r="AX10" s="574">
        <f t="shared" si="18"/>
        <v>45421.615677240006</v>
      </c>
      <c r="AY10" s="574">
        <f t="shared" si="18"/>
        <v>45801.71287956</v>
      </c>
      <c r="AZ10" s="574">
        <f t="shared" si="18"/>
        <v>47322.101688840004</v>
      </c>
      <c r="BA10" s="574">
        <f t="shared" si="18"/>
        <v>52263.365319000011</v>
      </c>
      <c r="BB10" s="574">
        <f t="shared" si="18"/>
        <v>59029.095520296003</v>
      </c>
      <c r="BC10" s="574">
        <f t="shared" si="18"/>
        <v>84191.530313880008</v>
      </c>
      <c r="BD10" s="574">
        <f t="shared" si="19"/>
        <v>61508.130718694403</v>
      </c>
      <c r="BE10" s="574">
        <f t="shared" si="19"/>
        <v>60645.392911584</v>
      </c>
      <c r="BF10" s="574">
        <f t="shared" si="19"/>
        <v>61152.885739295998</v>
      </c>
      <c r="BG10" s="574">
        <f t="shared" si="19"/>
        <v>63182.857050143997</v>
      </c>
      <c r="BH10" s="574">
        <f t="shared" si="19"/>
        <v>69780.263810400007</v>
      </c>
      <c r="BI10" s="574">
        <f t="shared" si="19"/>
        <v>78813.63614367359</v>
      </c>
      <c r="BJ10" s="574">
        <f t="shared" si="19"/>
        <v>112409.661338208</v>
      </c>
      <c r="BK10" s="574">
        <f t="shared" si="20"/>
        <v>79690.990234896002</v>
      </c>
      <c r="BL10" s="574">
        <f t="shared" si="20"/>
        <v>78573.212319059996</v>
      </c>
      <c r="BM10" s="574">
        <f t="shared" si="20"/>
        <v>79230.728740139995</v>
      </c>
      <c r="BN10" s="574">
        <f t="shared" si="20"/>
        <v>81860.794424459993</v>
      </c>
      <c r="BO10" s="574">
        <f t="shared" si="20"/>
        <v>90408.507898500015</v>
      </c>
      <c r="BP10" s="574">
        <f t="shared" si="20"/>
        <v>102112.30019372399</v>
      </c>
      <c r="BQ10" s="574">
        <f t="shared" si="20"/>
        <v>145639.88726921999</v>
      </c>
      <c r="BR10" s="574">
        <f t="shared" si="21"/>
        <v>105258.51055661761</v>
      </c>
      <c r="BS10" s="574">
        <f t="shared" si="21"/>
        <v>103782.112306236</v>
      </c>
      <c r="BT10" s="574">
        <f t="shared" si="21"/>
        <v>104650.581865284</v>
      </c>
      <c r="BU10" s="574">
        <f t="shared" si="21"/>
        <v>108124.460101476</v>
      </c>
      <c r="BV10" s="574">
        <f t="shared" si="21"/>
        <v>119414.56436910002</v>
      </c>
      <c r="BW10" s="574">
        <f t="shared" si="21"/>
        <v>134873.32252015441</v>
      </c>
      <c r="BX10" s="574">
        <f t="shared" si="21"/>
        <v>192366.007329132</v>
      </c>
      <c r="BY10" s="574">
        <f t="shared" si="22"/>
        <v>16986.086668728003</v>
      </c>
      <c r="BZ10" s="574">
        <f t="shared" si="22"/>
        <v>16747.832977830003</v>
      </c>
      <c r="CA10" s="574">
        <f t="shared" si="22"/>
        <v>16887.982207770001</v>
      </c>
      <c r="CB10" s="574">
        <f t="shared" si="22"/>
        <v>17448.579127530003</v>
      </c>
      <c r="CC10" s="574">
        <f t="shared" si="22"/>
        <v>19270.519116750005</v>
      </c>
      <c r="CD10" s="574">
        <f t="shared" si="22"/>
        <v>21765.175409682</v>
      </c>
      <c r="CE10" s="574">
        <f t="shared" si="22"/>
        <v>31043.054431710003</v>
      </c>
    </row>
    <row r="11" spans="1:83">
      <c r="A11" s="1567" t="s">
        <v>18</v>
      </c>
      <c r="B11" s="574">
        <f>'Vtas Diarias 2021'!XD16</f>
        <v>11978.159634000001</v>
      </c>
      <c r="C11" s="574">
        <f>'Vtas Diarias 2021'!XH16</f>
        <v>13689.325296000001</v>
      </c>
      <c r="D11" s="574">
        <f>'Vtas Diarias 2021'!XL16</f>
        <v>18822.822282000001</v>
      </c>
      <c r="E11" s="574">
        <f t="shared" si="11"/>
        <v>11773.692406828801</v>
      </c>
      <c r="F11" s="574">
        <f t="shared" si="11"/>
        <v>11608.549856567999</v>
      </c>
      <c r="G11" s="574">
        <f t="shared" si="11"/>
        <v>11705.692533191999</v>
      </c>
      <c r="H11" s="574">
        <f t="shared" si="11"/>
        <v>12094.263239688</v>
      </c>
      <c r="I11" s="574">
        <f t="shared" si="11"/>
        <v>13357.1180358</v>
      </c>
      <c r="J11" s="574">
        <f t="shared" si="11"/>
        <v>15086.2576797072</v>
      </c>
      <c r="K11" s="574">
        <f t="shared" si="11"/>
        <v>21517.102872216001</v>
      </c>
      <c r="L11" s="1571">
        <f t="shared" si="12"/>
        <v>144248.30341200001</v>
      </c>
      <c r="M11" s="574">
        <f t="shared" si="13"/>
        <v>17482.8943735344</v>
      </c>
      <c r="N11" s="574">
        <f t="shared" si="13"/>
        <v>17237.672257734001</v>
      </c>
      <c r="O11" s="574">
        <f t="shared" si="13"/>
        <v>17381.920561146002</v>
      </c>
      <c r="P11" s="574">
        <f t="shared" si="13"/>
        <v>17958.913774794</v>
      </c>
      <c r="Q11" s="574">
        <f t="shared" si="13"/>
        <v>19834.141719150004</v>
      </c>
      <c r="R11" s="574">
        <f t="shared" si="13"/>
        <v>22401.761519883599</v>
      </c>
      <c r="S11" s="574">
        <f t="shared" si="13"/>
        <v>31950.999205758002</v>
      </c>
      <c r="T11" s="1571">
        <f t="shared" si="23"/>
        <v>97591.187556000004</v>
      </c>
      <c r="U11" s="574">
        <f t="shared" si="14"/>
        <v>11828.0519317872</v>
      </c>
      <c r="V11" s="574">
        <f t="shared" si="14"/>
        <v>11662.146912942</v>
      </c>
      <c r="W11" s="574">
        <f t="shared" si="14"/>
        <v>11759.738100498</v>
      </c>
      <c r="X11" s="574">
        <f t="shared" si="14"/>
        <v>12150.102850722</v>
      </c>
      <c r="Y11" s="574">
        <f t="shared" si="14"/>
        <v>13418.788288950002</v>
      </c>
      <c r="Z11" s="574">
        <f t="shared" si="14"/>
        <v>15155.911427446799</v>
      </c>
      <c r="AA11" s="574">
        <f t="shared" si="14"/>
        <v>21616.448043654</v>
      </c>
      <c r="AB11" s="574">
        <f t="shared" si="15"/>
        <v>14431.075482672</v>
      </c>
      <c r="AC11" s="574">
        <f t="shared" si="15"/>
        <v>14228.659407419998</v>
      </c>
      <c r="AD11" s="574">
        <f t="shared" si="15"/>
        <v>14347.727686979999</v>
      </c>
      <c r="AE11" s="574">
        <f t="shared" si="15"/>
        <v>14824.000805219999</v>
      </c>
      <c r="AF11" s="574">
        <f t="shared" si="15"/>
        <v>16371.8884395</v>
      </c>
      <c r="AG11" s="574">
        <f t="shared" si="15"/>
        <v>18491.303815667998</v>
      </c>
      <c r="AH11" s="574">
        <f t="shared" si="15"/>
        <v>26373.623922539999</v>
      </c>
      <c r="AI11" s="574">
        <f t="shared" si="16"/>
        <v>17983.884428064004</v>
      </c>
      <c r="AJ11" s="574">
        <f t="shared" si="16"/>
        <v>17731.635224040005</v>
      </c>
      <c r="AK11" s="574">
        <f t="shared" si="16"/>
        <v>17880.017108760003</v>
      </c>
      <c r="AL11" s="574">
        <f t="shared" si="16"/>
        <v>18473.544647640003</v>
      </c>
      <c r="AM11" s="574">
        <f t="shared" si="16"/>
        <v>20402.509149000005</v>
      </c>
      <c r="AN11" s="574">
        <f t="shared" si="16"/>
        <v>23043.706697016005</v>
      </c>
      <c r="AO11" s="574">
        <f t="shared" si="16"/>
        <v>32866.587465480006</v>
      </c>
      <c r="AP11" s="574">
        <f t="shared" si="17"/>
        <v>14187.557742336001</v>
      </c>
      <c r="AQ11" s="574">
        <f t="shared" si="17"/>
        <v>13988.55734496</v>
      </c>
      <c r="AR11" s="574">
        <f t="shared" si="17"/>
        <v>14105.616402240001</v>
      </c>
      <c r="AS11" s="574">
        <f t="shared" si="17"/>
        <v>14573.852631360001</v>
      </c>
      <c r="AT11" s="574">
        <f t="shared" si="17"/>
        <v>16095.620376000003</v>
      </c>
      <c r="AU11" s="574">
        <f t="shared" si="17"/>
        <v>18179.271595583999</v>
      </c>
      <c r="AV11" s="574">
        <f t="shared" si="17"/>
        <v>25928.581187520002</v>
      </c>
      <c r="AW11" s="574">
        <f t="shared" si="18"/>
        <v>20346.200012879999</v>
      </c>
      <c r="AX11" s="574">
        <f t="shared" si="18"/>
        <v>20060.8160193</v>
      </c>
      <c r="AY11" s="574">
        <f t="shared" si="18"/>
        <v>20228.6889567</v>
      </c>
      <c r="AZ11" s="574">
        <f t="shared" si="18"/>
        <v>20900.180706299998</v>
      </c>
      <c r="BA11" s="574">
        <f t="shared" si="18"/>
        <v>23082.528892500002</v>
      </c>
      <c r="BB11" s="574">
        <f t="shared" si="18"/>
        <v>26070.667178219999</v>
      </c>
      <c r="BC11" s="574">
        <f t="shared" si="18"/>
        <v>37183.8556341</v>
      </c>
      <c r="BD11" s="574">
        <f t="shared" si="19"/>
        <v>21783.422385360001</v>
      </c>
      <c r="BE11" s="574">
        <f t="shared" si="19"/>
        <v>21477.879332100001</v>
      </c>
      <c r="BF11" s="574">
        <f t="shared" si="19"/>
        <v>21657.610539900001</v>
      </c>
      <c r="BG11" s="574">
        <f t="shared" si="19"/>
        <v>22376.535371099999</v>
      </c>
      <c r="BH11" s="574">
        <f t="shared" si="19"/>
        <v>24713.041072500004</v>
      </c>
      <c r="BI11" s="574">
        <f t="shared" si="19"/>
        <v>27912.25657134</v>
      </c>
      <c r="BJ11" s="574">
        <f t="shared" si="19"/>
        <v>39810.462527700001</v>
      </c>
      <c r="BK11" s="574">
        <f t="shared" si="20"/>
        <v>51976.99163556</v>
      </c>
      <c r="BL11" s="574">
        <f t="shared" si="20"/>
        <v>51247.941422849995</v>
      </c>
      <c r="BM11" s="574">
        <f t="shared" si="20"/>
        <v>51676.794489150001</v>
      </c>
      <c r="BN11" s="574">
        <f t="shared" si="20"/>
        <v>53392.206754350002</v>
      </c>
      <c r="BO11" s="574">
        <f t="shared" si="20"/>
        <v>58967.296616250009</v>
      </c>
      <c r="BP11" s="574">
        <f t="shared" si="20"/>
        <v>66600.881196389993</v>
      </c>
      <c r="BQ11" s="574">
        <f t="shared" si="20"/>
        <v>94990.954185449998</v>
      </c>
      <c r="BR11" s="574">
        <f t="shared" si="21"/>
        <v>56766.655354377603</v>
      </c>
      <c r="BS11" s="574">
        <f t="shared" si="21"/>
        <v>55970.423389835996</v>
      </c>
      <c r="BT11" s="574">
        <f t="shared" si="21"/>
        <v>56438.795133683998</v>
      </c>
      <c r="BU11" s="574">
        <f t="shared" si="21"/>
        <v>58312.282109076004</v>
      </c>
      <c r="BV11" s="574">
        <f t="shared" si="21"/>
        <v>64401.114779100004</v>
      </c>
      <c r="BW11" s="574">
        <f t="shared" si="21"/>
        <v>72738.131819594404</v>
      </c>
      <c r="BX11" s="574">
        <f t="shared" si="21"/>
        <v>103744.341262332</v>
      </c>
      <c r="BY11" s="574">
        <f t="shared" si="22"/>
        <v>12009.563752608001</v>
      </c>
      <c r="BZ11" s="574">
        <f t="shared" si="22"/>
        <v>11841.112775879999</v>
      </c>
      <c r="CA11" s="574">
        <f t="shared" si="22"/>
        <v>11940.20158572</v>
      </c>
      <c r="CB11" s="574">
        <f t="shared" si="22"/>
        <v>12336.556825080001</v>
      </c>
      <c r="CC11" s="574">
        <f t="shared" si="22"/>
        <v>13624.711353000001</v>
      </c>
      <c r="CD11" s="574">
        <f t="shared" si="22"/>
        <v>15388.492168151999</v>
      </c>
      <c r="CE11" s="574">
        <f t="shared" si="22"/>
        <v>21948.171379560001</v>
      </c>
    </row>
    <row r="12" spans="1:83">
      <c r="A12" s="1567" t="s">
        <v>19</v>
      </c>
      <c r="B12" s="574">
        <f>'Vtas Diarias 2021'!XD17</f>
        <v>9128.7998760000028</v>
      </c>
      <c r="C12" s="574">
        <f>'Vtas Diarias 2021'!XH17</f>
        <v>10432.914144000002</v>
      </c>
      <c r="D12" s="574">
        <f>'Vtas Diarias 2021'!XL17</f>
        <v>14345.256948000002</v>
      </c>
      <c r="E12" s="574">
        <f t="shared" si="11"/>
        <v>10384.521851232003</v>
      </c>
      <c r="F12" s="574">
        <f t="shared" si="11"/>
        <v>10238.864366520002</v>
      </c>
      <c r="G12" s="574">
        <f t="shared" si="11"/>
        <v>10324.545239880001</v>
      </c>
      <c r="H12" s="574">
        <f t="shared" si="11"/>
        <v>10667.268733320001</v>
      </c>
      <c r="I12" s="574">
        <f t="shared" si="11"/>
        <v>11781.120087000003</v>
      </c>
      <c r="J12" s="574">
        <f t="shared" si="11"/>
        <v>13306.239632808001</v>
      </c>
      <c r="K12" s="574">
        <f t="shared" si="11"/>
        <v>18978.313449240002</v>
      </c>
      <c r="L12" s="1571">
        <f t="shared" si="12"/>
        <v>100209.56255999999</v>
      </c>
      <c r="M12" s="574">
        <f t="shared" si="13"/>
        <v>12145.398982272001</v>
      </c>
      <c r="N12" s="574">
        <f t="shared" si="13"/>
        <v>11975.042725920001</v>
      </c>
      <c r="O12" s="574">
        <f t="shared" si="13"/>
        <v>12075.25228848</v>
      </c>
      <c r="P12" s="574">
        <f t="shared" si="13"/>
        <v>12476.09053872</v>
      </c>
      <c r="Q12" s="574">
        <f t="shared" si="13"/>
        <v>13778.814852000001</v>
      </c>
      <c r="R12" s="574">
        <f t="shared" si="13"/>
        <v>15562.545065568</v>
      </c>
      <c r="S12" s="574">
        <f t="shared" si="13"/>
        <v>22196.418107040001</v>
      </c>
      <c r="T12" s="1571">
        <f t="shared" si="23"/>
        <v>111105.43848000001</v>
      </c>
      <c r="U12" s="574">
        <f t="shared" si="14"/>
        <v>13465.979143776001</v>
      </c>
      <c r="V12" s="574">
        <f t="shared" si="14"/>
        <v>13277.09989836</v>
      </c>
      <c r="W12" s="574">
        <f t="shared" si="14"/>
        <v>13388.205336840001</v>
      </c>
      <c r="X12" s="574">
        <f t="shared" si="14"/>
        <v>13832.627090760001</v>
      </c>
      <c r="Y12" s="574">
        <f t="shared" si="14"/>
        <v>15276.997791000003</v>
      </c>
      <c r="Z12" s="574">
        <f t="shared" si="14"/>
        <v>17254.674595944001</v>
      </c>
      <c r="AA12" s="574">
        <f t="shared" si="14"/>
        <v>24609.854623320003</v>
      </c>
      <c r="AB12" s="574">
        <f t="shared" si="15"/>
        <v>16057.957127328</v>
      </c>
      <c r="AC12" s="574">
        <f t="shared" si="15"/>
        <v>15832.721755079998</v>
      </c>
      <c r="AD12" s="574">
        <f t="shared" si="15"/>
        <v>15965.213150519998</v>
      </c>
      <c r="AE12" s="574">
        <f t="shared" si="15"/>
        <v>16495.178732279997</v>
      </c>
      <c r="AF12" s="574">
        <f t="shared" si="15"/>
        <v>18217.566873</v>
      </c>
      <c r="AG12" s="574">
        <f t="shared" si="15"/>
        <v>20575.913711832</v>
      </c>
      <c r="AH12" s="574">
        <f t="shared" si="15"/>
        <v>29346.844089959999</v>
      </c>
      <c r="AI12" s="574">
        <f t="shared" si="16"/>
        <v>23462.266469616006</v>
      </c>
      <c r="AJ12" s="574">
        <f t="shared" si="16"/>
        <v>23133.175273260003</v>
      </c>
      <c r="AK12" s="574">
        <f t="shared" si="16"/>
        <v>23326.758329940003</v>
      </c>
      <c r="AL12" s="574">
        <f t="shared" si="16"/>
        <v>24101.090556660005</v>
      </c>
      <c r="AM12" s="574">
        <f t="shared" si="16"/>
        <v>26617.670293500007</v>
      </c>
      <c r="AN12" s="574">
        <f t="shared" si="16"/>
        <v>30063.448702404006</v>
      </c>
      <c r="AO12" s="574">
        <f t="shared" si="16"/>
        <v>42878.647054620007</v>
      </c>
      <c r="AP12" s="574">
        <f t="shared" si="17"/>
        <v>27904.357314288001</v>
      </c>
      <c r="AQ12" s="574">
        <f t="shared" si="17"/>
        <v>27512.95956318</v>
      </c>
      <c r="AR12" s="574">
        <f t="shared" si="17"/>
        <v>27743.193534419999</v>
      </c>
      <c r="AS12" s="574">
        <f t="shared" si="17"/>
        <v>28664.129419380002</v>
      </c>
      <c r="AT12" s="574">
        <f t="shared" si="17"/>
        <v>31657.171045500003</v>
      </c>
      <c r="AU12" s="574">
        <f t="shared" si="17"/>
        <v>35755.335733571999</v>
      </c>
      <c r="AV12" s="574">
        <f t="shared" si="17"/>
        <v>50996.824629660005</v>
      </c>
      <c r="AW12" s="574">
        <f t="shared" si="18"/>
        <v>33149.353620384005</v>
      </c>
      <c r="AX12" s="574">
        <f t="shared" si="18"/>
        <v>32684.387439240003</v>
      </c>
      <c r="AY12" s="574">
        <f t="shared" si="18"/>
        <v>32957.896957560006</v>
      </c>
      <c r="AZ12" s="574">
        <f t="shared" si="18"/>
        <v>34051.935030840003</v>
      </c>
      <c r="BA12" s="574">
        <f t="shared" si="18"/>
        <v>37607.55876900001</v>
      </c>
      <c r="BB12" s="574">
        <f t="shared" si="18"/>
        <v>42476.028195096005</v>
      </c>
      <c r="BC12" s="574">
        <f t="shared" si="18"/>
        <v>60582.358307880007</v>
      </c>
      <c r="BD12" s="574">
        <f t="shared" si="19"/>
        <v>43111.921455964803</v>
      </c>
      <c r="BE12" s="574">
        <f t="shared" si="19"/>
        <v>42507.216287028001</v>
      </c>
      <c r="BF12" s="574">
        <f t="shared" si="19"/>
        <v>42862.925209932</v>
      </c>
      <c r="BG12" s="574">
        <f t="shared" si="19"/>
        <v>44285.760901548005</v>
      </c>
      <c r="BH12" s="574">
        <f t="shared" si="19"/>
        <v>48909.976899300011</v>
      </c>
      <c r="BI12" s="574">
        <f t="shared" si="19"/>
        <v>55241.595726991203</v>
      </c>
      <c r="BJ12" s="574">
        <f t="shared" si="19"/>
        <v>78789.526423236006</v>
      </c>
      <c r="BK12" s="574">
        <f t="shared" si="20"/>
        <v>55288.879882704001</v>
      </c>
      <c r="BL12" s="574">
        <f t="shared" si="20"/>
        <v>54513.375791940001</v>
      </c>
      <c r="BM12" s="574">
        <f t="shared" si="20"/>
        <v>54969.554668860001</v>
      </c>
      <c r="BN12" s="574">
        <f t="shared" si="20"/>
        <v>56794.270176539998</v>
      </c>
      <c r="BO12" s="574">
        <f t="shared" si="20"/>
        <v>62724.595576500004</v>
      </c>
      <c r="BP12" s="574">
        <f t="shared" si="20"/>
        <v>70844.579585675994</v>
      </c>
      <c r="BQ12" s="574">
        <f t="shared" si="20"/>
        <v>101043.62123778</v>
      </c>
      <c r="BR12" s="574">
        <f t="shared" si="21"/>
        <v>63445.89426405121</v>
      </c>
      <c r="BS12" s="574">
        <f t="shared" si="21"/>
        <v>62555.976605232005</v>
      </c>
      <c r="BT12" s="574">
        <f t="shared" si="21"/>
        <v>63079.457581008006</v>
      </c>
      <c r="BU12" s="574">
        <f t="shared" si="21"/>
        <v>65173.381484112011</v>
      </c>
      <c r="BV12" s="574">
        <f t="shared" si="21"/>
        <v>71978.634169200013</v>
      </c>
      <c r="BW12" s="574">
        <f t="shared" si="21"/>
        <v>81296.5955380128</v>
      </c>
      <c r="BX12" s="574">
        <f t="shared" si="21"/>
        <v>115951.03613438402</v>
      </c>
      <c r="BY12" s="574">
        <f t="shared" si="22"/>
        <v>14884.069953240001</v>
      </c>
      <c r="BZ12" s="574">
        <f t="shared" si="22"/>
        <v>14675.299995150001</v>
      </c>
      <c r="CA12" s="574">
        <f t="shared" si="22"/>
        <v>14798.10585285</v>
      </c>
      <c r="CB12" s="574">
        <f t="shared" si="22"/>
        <v>15289.32928365</v>
      </c>
      <c r="CC12" s="574">
        <f t="shared" si="22"/>
        <v>16885.805433750003</v>
      </c>
      <c r="CD12" s="574">
        <f t="shared" si="22"/>
        <v>19071.74970081</v>
      </c>
      <c r="CE12" s="574">
        <f t="shared" si="22"/>
        <v>27201.497480550002</v>
      </c>
    </row>
    <row r="13" spans="1:83">
      <c r="A13" s="1567" t="s">
        <v>20</v>
      </c>
      <c r="B13" s="574">
        <f>'Vtas Diarias 2021'!XD18</f>
        <v>9300.6129720000008</v>
      </c>
      <c r="C13" s="574">
        <f>'Vtas Diarias 2021'!XH18</f>
        <v>10629.271968000001</v>
      </c>
      <c r="D13" s="574">
        <f>'Vtas Diarias 2021'!XL18</f>
        <v>14615.248956000001</v>
      </c>
      <c r="E13" s="574">
        <f t="shared" si="11"/>
        <v>9003.7658140992007</v>
      </c>
      <c r="F13" s="574">
        <f t="shared" si="11"/>
        <v>8877.4753695119998</v>
      </c>
      <c r="G13" s="574">
        <f t="shared" si="11"/>
        <v>8951.7638663279995</v>
      </c>
      <c r="H13" s="574">
        <f t="shared" si="11"/>
        <v>9248.917853592</v>
      </c>
      <c r="I13" s="574">
        <f t="shared" si="11"/>
        <v>10214.668312200001</v>
      </c>
      <c r="J13" s="574">
        <f t="shared" si="11"/>
        <v>11537.0035555248</v>
      </c>
      <c r="K13" s="574">
        <f t="shared" si="11"/>
        <v>16454.902044744002</v>
      </c>
      <c r="L13" s="1571">
        <f t="shared" si="12"/>
        <v>98957.711340000009</v>
      </c>
      <c r="M13" s="574">
        <f t="shared" si="13"/>
        <v>11993.674614408001</v>
      </c>
      <c r="N13" s="574">
        <f t="shared" si="13"/>
        <v>11825.446505130001</v>
      </c>
      <c r="O13" s="574">
        <f t="shared" si="13"/>
        <v>11924.40421647</v>
      </c>
      <c r="P13" s="574">
        <f t="shared" si="13"/>
        <v>12320.235061830001</v>
      </c>
      <c r="Q13" s="574">
        <f t="shared" si="13"/>
        <v>13606.685309250002</v>
      </c>
      <c r="R13" s="574">
        <f t="shared" si="13"/>
        <v>15368.132571102</v>
      </c>
      <c r="S13" s="574">
        <f t="shared" si="13"/>
        <v>21919.133061810004</v>
      </c>
      <c r="T13" s="1571">
        <f t="shared" si="23"/>
        <v>109209.14424000002</v>
      </c>
      <c r="U13" s="574">
        <f t="shared" si="14"/>
        <v>13236.148281888003</v>
      </c>
      <c r="V13" s="574">
        <f t="shared" si="14"/>
        <v>13050.492736680002</v>
      </c>
      <c r="W13" s="574">
        <f t="shared" si="14"/>
        <v>13159.701880920002</v>
      </c>
      <c r="X13" s="574">
        <f t="shared" si="14"/>
        <v>13596.538457880002</v>
      </c>
      <c r="Y13" s="574">
        <f t="shared" si="14"/>
        <v>15016.257333000005</v>
      </c>
      <c r="Z13" s="574">
        <f t="shared" si="14"/>
        <v>16960.180100472004</v>
      </c>
      <c r="AA13" s="574">
        <f t="shared" si="14"/>
        <v>24189.825449160006</v>
      </c>
      <c r="AB13" s="574">
        <f t="shared" si="15"/>
        <v>14655.891129768002</v>
      </c>
      <c r="AC13" s="574">
        <f t="shared" si="15"/>
        <v>14450.321699730002</v>
      </c>
      <c r="AD13" s="574">
        <f t="shared" si="15"/>
        <v>14571.244893870002</v>
      </c>
      <c r="AE13" s="574">
        <f t="shared" si="15"/>
        <v>15054.937670430003</v>
      </c>
      <c r="AF13" s="574">
        <f t="shared" si="15"/>
        <v>16626.939194250004</v>
      </c>
      <c r="AG13" s="574">
        <f t="shared" si="15"/>
        <v>18779.372049942001</v>
      </c>
      <c r="AH13" s="574">
        <f t="shared" si="15"/>
        <v>26784.487502010004</v>
      </c>
      <c r="AI13" s="574">
        <f t="shared" si="16"/>
        <v>16659.158135760001</v>
      </c>
      <c r="AJ13" s="574">
        <f t="shared" si="16"/>
        <v>16425.490076099999</v>
      </c>
      <c r="AK13" s="574">
        <f t="shared" si="16"/>
        <v>16562.9418759</v>
      </c>
      <c r="AL13" s="574">
        <f t="shared" si="16"/>
        <v>17112.7490751</v>
      </c>
      <c r="AM13" s="574">
        <f t="shared" si="16"/>
        <v>18899.622472500003</v>
      </c>
      <c r="AN13" s="574">
        <f t="shared" si="16"/>
        <v>21346.264508939999</v>
      </c>
      <c r="AO13" s="574">
        <f t="shared" si="16"/>
        <v>30445.573655700002</v>
      </c>
      <c r="AP13" s="574">
        <f t="shared" si="17"/>
        <v>14195.499399</v>
      </c>
      <c r="AQ13" s="574">
        <f t="shared" si="17"/>
        <v>13996.387608749999</v>
      </c>
      <c r="AR13" s="574">
        <f t="shared" si="17"/>
        <v>14113.51219125</v>
      </c>
      <c r="AS13" s="574">
        <f t="shared" si="17"/>
        <v>14582.01052125</v>
      </c>
      <c r="AT13" s="574">
        <f t="shared" si="17"/>
        <v>16104.630093750002</v>
      </c>
      <c r="AU13" s="574">
        <f t="shared" si="17"/>
        <v>18189.447662250001</v>
      </c>
      <c r="AV13" s="574">
        <f t="shared" si="17"/>
        <v>25943.09502375</v>
      </c>
      <c r="AW13" s="574">
        <f t="shared" si="18"/>
        <v>16696.220487336002</v>
      </c>
      <c r="AX13" s="574">
        <f t="shared" si="18"/>
        <v>16462.03257621</v>
      </c>
      <c r="AY13" s="574">
        <f t="shared" si="18"/>
        <v>16599.79017099</v>
      </c>
      <c r="AZ13" s="574">
        <f t="shared" si="18"/>
        <v>17150.820550110002</v>
      </c>
      <c r="BA13" s="574">
        <f t="shared" si="18"/>
        <v>18941.669282250004</v>
      </c>
      <c r="BB13" s="574">
        <f t="shared" si="18"/>
        <v>21393.754469334002</v>
      </c>
      <c r="BC13" s="574">
        <f t="shared" si="18"/>
        <v>30513.307243770003</v>
      </c>
      <c r="BD13" s="574">
        <f t="shared" si="19"/>
        <v>24315.642941616006</v>
      </c>
      <c r="BE13" s="574">
        <f t="shared" si="19"/>
        <v>23974.581943260004</v>
      </c>
      <c r="BF13" s="574">
        <f t="shared" si="19"/>
        <v>24175.206059940003</v>
      </c>
      <c r="BG13" s="574">
        <f t="shared" si="19"/>
        <v>24977.702526660003</v>
      </c>
      <c r="BH13" s="574">
        <f t="shared" si="19"/>
        <v>27585.816043500006</v>
      </c>
      <c r="BI13" s="574">
        <f t="shared" si="19"/>
        <v>31156.925320404003</v>
      </c>
      <c r="BJ13" s="574">
        <f t="shared" si="19"/>
        <v>44438.24184462001</v>
      </c>
      <c r="BK13" s="574">
        <f t="shared" si="20"/>
        <v>32821.781406336006</v>
      </c>
      <c r="BL13" s="574">
        <f t="shared" si="20"/>
        <v>32361.409884960005</v>
      </c>
      <c r="BM13" s="574">
        <f t="shared" si="20"/>
        <v>32632.216662240004</v>
      </c>
      <c r="BN13" s="574">
        <f t="shared" si="20"/>
        <v>33715.443771360005</v>
      </c>
      <c r="BO13" s="574">
        <f t="shared" si="20"/>
        <v>37235.93187600001</v>
      </c>
      <c r="BP13" s="574">
        <f t="shared" si="20"/>
        <v>42056.292511584004</v>
      </c>
      <c r="BQ13" s="574">
        <f t="shared" si="20"/>
        <v>59983.701167520012</v>
      </c>
      <c r="BR13" s="574">
        <f t="shared" si="21"/>
        <v>46374.24704532481</v>
      </c>
      <c r="BS13" s="574">
        <f t="shared" si="21"/>
        <v>45723.783184128006</v>
      </c>
      <c r="BT13" s="574">
        <f t="shared" si="21"/>
        <v>46106.408984832007</v>
      </c>
      <c r="BU13" s="574">
        <f t="shared" si="21"/>
        <v>47636.912187648006</v>
      </c>
      <c r="BV13" s="574">
        <f t="shared" si="21"/>
        <v>52611.04759680001</v>
      </c>
      <c r="BW13" s="574">
        <f t="shared" si="21"/>
        <v>59421.786849331205</v>
      </c>
      <c r="BX13" s="574">
        <f t="shared" si="21"/>
        <v>84751.614855936015</v>
      </c>
      <c r="BY13" s="574">
        <f t="shared" si="22"/>
        <v>8546.1807946320005</v>
      </c>
      <c r="BZ13" s="574">
        <f t="shared" si="22"/>
        <v>8426.3086217700002</v>
      </c>
      <c r="CA13" s="574">
        <f t="shared" si="22"/>
        <v>8496.8216646300007</v>
      </c>
      <c r="CB13" s="574">
        <f t="shared" si="22"/>
        <v>8778.8738360700008</v>
      </c>
      <c r="CC13" s="574">
        <f t="shared" si="22"/>
        <v>9695.5433932500018</v>
      </c>
      <c r="CD13" s="574">
        <f t="shared" si="22"/>
        <v>10950.675556157999</v>
      </c>
      <c r="CE13" s="574">
        <f t="shared" si="22"/>
        <v>15618.63899349</v>
      </c>
    </row>
    <row r="14" spans="1:83">
      <c r="A14" s="1567" t="s">
        <v>21</v>
      </c>
      <c r="B14" s="574">
        <f>'Vtas Diarias 2021'!XD19</f>
        <v>6932.2174880000011</v>
      </c>
      <c r="C14" s="574">
        <f>'Vtas Diarias 2021'!XH19</f>
        <v>7922.5342720000008</v>
      </c>
      <c r="D14" s="574">
        <f>'Vtas Diarias 2021'!XL19</f>
        <v>10893.484624000001</v>
      </c>
      <c r="E14" s="574">
        <f t="shared" si="11"/>
        <v>7594.8498194256008</v>
      </c>
      <c r="F14" s="574">
        <f t="shared" si="11"/>
        <v>7488.3213978659996</v>
      </c>
      <c r="G14" s="574">
        <f t="shared" si="11"/>
        <v>7550.9851752539998</v>
      </c>
      <c r="H14" s="574">
        <f t="shared" si="11"/>
        <v>7801.6402848060006</v>
      </c>
      <c r="I14" s="574">
        <f t="shared" si="11"/>
        <v>8616.2693908500005</v>
      </c>
      <c r="J14" s="574">
        <f t="shared" si="11"/>
        <v>9731.6846283563991</v>
      </c>
      <c r="K14" s="574">
        <f t="shared" si="11"/>
        <v>13880.026691442001</v>
      </c>
      <c r="L14" s="1571">
        <f t="shared" si="12"/>
        <v>95507.195471999992</v>
      </c>
      <c r="M14" s="574">
        <f t="shared" si="13"/>
        <v>11575.472091206399</v>
      </c>
      <c r="N14" s="574">
        <f t="shared" si="13"/>
        <v>11413.109858903999</v>
      </c>
      <c r="O14" s="574">
        <f t="shared" si="13"/>
        <v>11508.617054375998</v>
      </c>
      <c r="P14" s="574">
        <f t="shared" si="13"/>
        <v>11890.645836263999</v>
      </c>
      <c r="Q14" s="574">
        <f t="shared" si="13"/>
        <v>13132.239377399999</v>
      </c>
      <c r="R14" s="574">
        <f t="shared" si="13"/>
        <v>14832.267456801597</v>
      </c>
      <c r="S14" s="574">
        <f t="shared" si="13"/>
        <v>21154.843797047997</v>
      </c>
      <c r="T14" s="1571">
        <f t="shared" si="23"/>
        <v>71113.192920000001</v>
      </c>
      <c r="U14" s="574">
        <f t="shared" si="14"/>
        <v>8618.9189819040002</v>
      </c>
      <c r="V14" s="574">
        <f t="shared" si="14"/>
        <v>8498.0265539400007</v>
      </c>
      <c r="W14" s="574">
        <f t="shared" si="14"/>
        <v>8569.1397468600007</v>
      </c>
      <c r="X14" s="574">
        <f t="shared" si="14"/>
        <v>8853.592518540001</v>
      </c>
      <c r="Y14" s="574">
        <f t="shared" si="14"/>
        <v>9778.0640265000002</v>
      </c>
      <c r="Z14" s="574">
        <f t="shared" si="14"/>
        <v>11043.878860475999</v>
      </c>
      <c r="AA14" s="574">
        <f t="shared" si="14"/>
        <v>15751.572231780001</v>
      </c>
      <c r="AB14" s="574">
        <f t="shared" si="15"/>
        <v>10654.809132528002</v>
      </c>
      <c r="AC14" s="574">
        <f t="shared" si="15"/>
        <v>10505.360489580002</v>
      </c>
      <c r="AD14" s="574">
        <f t="shared" si="15"/>
        <v>10593.271456020002</v>
      </c>
      <c r="AE14" s="574">
        <f t="shared" si="15"/>
        <v>10944.915321780003</v>
      </c>
      <c r="AF14" s="574">
        <f t="shared" si="15"/>
        <v>12087.757885500003</v>
      </c>
      <c r="AG14" s="574">
        <f t="shared" si="15"/>
        <v>13652.573088132001</v>
      </c>
      <c r="AH14" s="574">
        <f t="shared" si="15"/>
        <v>19472.279066460003</v>
      </c>
      <c r="AI14" s="574">
        <f t="shared" si="16"/>
        <v>12249.499393008</v>
      </c>
      <c r="AJ14" s="574">
        <f t="shared" si="16"/>
        <v>12077.68298238</v>
      </c>
      <c r="AK14" s="574">
        <f t="shared" si="16"/>
        <v>12178.75145922</v>
      </c>
      <c r="AL14" s="574">
        <f t="shared" si="16"/>
        <v>12583.025366580001</v>
      </c>
      <c r="AM14" s="574">
        <f t="shared" si="16"/>
        <v>13896.915565500001</v>
      </c>
      <c r="AN14" s="574">
        <f t="shared" si="16"/>
        <v>15695.934453251999</v>
      </c>
      <c r="AO14" s="574">
        <f t="shared" si="16"/>
        <v>22386.667620060001</v>
      </c>
      <c r="AP14" s="574">
        <f t="shared" si="17"/>
        <v>12032.876068416001</v>
      </c>
      <c r="AQ14" s="574">
        <f t="shared" si="17"/>
        <v>11864.098103760001</v>
      </c>
      <c r="AR14" s="574">
        <f t="shared" si="17"/>
        <v>11963.37925944</v>
      </c>
      <c r="AS14" s="574">
        <f t="shared" si="17"/>
        <v>12360.503882160001</v>
      </c>
      <c r="AT14" s="574">
        <f t="shared" si="17"/>
        <v>13651.158906000002</v>
      </c>
      <c r="AU14" s="574">
        <f t="shared" si="17"/>
        <v>15418.363477104002</v>
      </c>
      <c r="AV14" s="574">
        <f t="shared" si="17"/>
        <v>21990.775983120002</v>
      </c>
      <c r="AW14" s="574">
        <f t="shared" si="18"/>
        <v>14302.223423711999</v>
      </c>
      <c r="AX14" s="574">
        <f t="shared" si="18"/>
        <v>14101.614679319999</v>
      </c>
      <c r="AY14" s="574">
        <f t="shared" si="18"/>
        <v>14219.619823079998</v>
      </c>
      <c r="AZ14" s="574">
        <f t="shared" si="18"/>
        <v>14691.640398119998</v>
      </c>
      <c r="BA14" s="574">
        <f t="shared" si="18"/>
        <v>16225.707267</v>
      </c>
      <c r="BB14" s="574">
        <f t="shared" si="18"/>
        <v>18326.198825927997</v>
      </c>
      <c r="BC14" s="574">
        <f t="shared" si="18"/>
        <v>26138.139342839997</v>
      </c>
      <c r="BD14" s="574">
        <f t="shared" si="19"/>
        <v>15521.344393968</v>
      </c>
      <c r="BE14" s="574">
        <f t="shared" si="19"/>
        <v>15303.635767979998</v>
      </c>
      <c r="BF14" s="574">
        <f t="shared" si="19"/>
        <v>15431.699665619999</v>
      </c>
      <c r="BG14" s="574">
        <f t="shared" si="19"/>
        <v>15943.955256179999</v>
      </c>
      <c r="BH14" s="574">
        <f t="shared" si="19"/>
        <v>17608.7859255</v>
      </c>
      <c r="BI14" s="574">
        <f t="shared" si="19"/>
        <v>19888.323303491998</v>
      </c>
      <c r="BJ14" s="574">
        <f t="shared" si="19"/>
        <v>28366.153327259999</v>
      </c>
      <c r="BK14" s="574">
        <f t="shared" si="20"/>
        <v>20472.006907296</v>
      </c>
      <c r="BL14" s="574">
        <f t="shared" si="20"/>
        <v>20184.85829556</v>
      </c>
      <c r="BM14" s="574">
        <f t="shared" si="20"/>
        <v>20353.769243639999</v>
      </c>
      <c r="BN14" s="574">
        <f t="shared" si="20"/>
        <v>21029.413035959999</v>
      </c>
      <c r="BO14" s="574">
        <f t="shared" si="20"/>
        <v>23225.255361000003</v>
      </c>
      <c r="BP14" s="574">
        <f t="shared" si="20"/>
        <v>26231.870236823997</v>
      </c>
      <c r="BQ14" s="574">
        <f t="shared" si="20"/>
        <v>37413.774999720001</v>
      </c>
      <c r="BR14" s="574">
        <f t="shared" si="21"/>
        <v>38203.651588766399</v>
      </c>
      <c r="BS14" s="574">
        <f t="shared" si="21"/>
        <v>37667.791789253999</v>
      </c>
      <c r="BT14" s="574">
        <f t="shared" si="21"/>
        <v>37983.003436025996</v>
      </c>
      <c r="BU14" s="574">
        <f t="shared" si="21"/>
        <v>39243.850023113999</v>
      </c>
      <c r="BV14" s="574">
        <f t="shared" si="21"/>
        <v>43341.601431150004</v>
      </c>
      <c r="BW14" s="574">
        <f t="shared" si="21"/>
        <v>48952.368743691601</v>
      </c>
      <c r="BX14" s="574">
        <f t="shared" si="21"/>
        <v>69819.379759998003</v>
      </c>
      <c r="BY14" s="574">
        <f t="shared" si="22"/>
        <v>8611.2166162176018</v>
      </c>
      <c r="BZ14" s="574">
        <f t="shared" si="22"/>
        <v>8490.4322247360014</v>
      </c>
      <c r="CA14" s="574">
        <f t="shared" si="22"/>
        <v>8561.4818667840009</v>
      </c>
      <c r="CB14" s="574">
        <f t="shared" si="22"/>
        <v>8845.6804349760005</v>
      </c>
      <c r="CC14" s="574">
        <f t="shared" si="22"/>
        <v>9769.3257816000023</v>
      </c>
      <c r="CD14" s="574">
        <f t="shared" si="22"/>
        <v>11034.009410054401</v>
      </c>
      <c r="CE14" s="574">
        <f t="shared" si="22"/>
        <v>15737.495713632003</v>
      </c>
    </row>
    <row r="15" spans="1:83">
      <c r="A15" s="1567" t="s">
        <v>22</v>
      </c>
      <c r="B15" s="574">
        <f>'Vtas Diarias 2021'!XD20</f>
        <v>11253.326560000003</v>
      </c>
      <c r="C15" s="574">
        <f>'Vtas Diarias 2021'!XH20</f>
        <v>12860.944640000002</v>
      </c>
      <c r="D15" s="574">
        <f>'Vtas Diarias 2021'!XL20</f>
        <v>17683.798880000002</v>
      </c>
      <c r="E15" s="574">
        <f t="shared" si="11"/>
        <v>12344.587077470402</v>
      </c>
      <c r="F15" s="574">
        <f t="shared" si="11"/>
        <v>12171.436928694</v>
      </c>
      <c r="G15" s="574">
        <f t="shared" si="11"/>
        <v>12273.289957386001</v>
      </c>
      <c r="H15" s="574">
        <f t="shared" si="11"/>
        <v>12680.702072154001</v>
      </c>
      <c r="I15" s="574">
        <f t="shared" si="11"/>
        <v>14004.791445150002</v>
      </c>
      <c r="J15" s="574">
        <f t="shared" si="11"/>
        <v>15817.775355867601</v>
      </c>
      <c r="K15" s="574">
        <f t="shared" si="11"/>
        <v>22560.445855278002</v>
      </c>
      <c r="L15" s="1571">
        <f t="shared" si="12"/>
        <v>129139.79472000001</v>
      </c>
      <c r="M15" s="574">
        <f t="shared" si="13"/>
        <v>15651.743120064</v>
      </c>
      <c r="N15" s="574">
        <f t="shared" si="13"/>
        <v>15432.20546904</v>
      </c>
      <c r="O15" s="574">
        <f t="shared" si="13"/>
        <v>15561.34526376</v>
      </c>
      <c r="P15" s="574">
        <f t="shared" si="13"/>
        <v>16077.904442640001</v>
      </c>
      <c r="Q15" s="574">
        <f t="shared" si="13"/>
        <v>17756.721774000001</v>
      </c>
      <c r="R15" s="574">
        <f t="shared" si="13"/>
        <v>20055.410120016</v>
      </c>
      <c r="S15" s="574">
        <f t="shared" si="13"/>
        <v>28604.464530480003</v>
      </c>
      <c r="T15" s="1571">
        <f t="shared" si="23"/>
        <v>100986.29704800001</v>
      </c>
      <c r="U15" s="574">
        <f t="shared" si="14"/>
        <v>12239.539202217602</v>
      </c>
      <c r="V15" s="574">
        <f t="shared" si="14"/>
        <v>12067.862497236001</v>
      </c>
      <c r="W15" s="574">
        <f t="shared" si="14"/>
        <v>12168.848794284</v>
      </c>
      <c r="X15" s="574">
        <f t="shared" si="14"/>
        <v>12572.793982476001</v>
      </c>
      <c r="Y15" s="574">
        <f t="shared" si="14"/>
        <v>13885.615844100003</v>
      </c>
      <c r="Z15" s="574">
        <f t="shared" si="14"/>
        <v>15683.1719315544</v>
      </c>
      <c r="AA15" s="574">
        <f t="shared" si="14"/>
        <v>22368.464796132001</v>
      </c>
      <c r="AB15" s="574">
        <f t="shared" si="15"/>
        <v>14752.002093710402</v>
      </c>
      <c r="AC15" s="574">
        <f t="shared" si="15"/>
        <v>14545.084572594</v>
      </c>
      <c r="AD15" s="574">
        <f t="shared" si="15"/>
        <v>14666.800761486</v>
      </c>
      <c r="AE15" s="574">
        <f t="shared" si="15"/>
        <v>15153.665517054</v>
      </c>
      <c r="AF15" s="574">
        <f t="shared" si="15"/>
        <v>16735.975972650001</v>
      </c>
      <c r="AG15" s="574">
        <f t="shared" si="15"/>
        <v>18902.5241349276</v>
      </c>
      <c r="AH15" s="574">
        <f t="shared" si="15"/>
        <v>26960.135839578001</v>
      </c>
      <c r="AI15" s="574">
        <f t="shared" si="16"/>
        <v>16257.2596910784</v>
      </c>
      <c r="AJ15" s="574">
        <f t="shared" si="16"/>
        <v>16029.228820823999</v>
      </c>
      <c r="AK15" s="574">
        <f t="shared" si="16"/>
        <v>16163.364626855999</v>
      </c>
      <c r="AL15" s="574">
        <f t="shared" si="16"/>
        <v>16699.907850984</v>
      </c>
      <c r="AM15" s="574">
        <f t="shared" si="16"/>
        <v>18443.673329400001</v>
      </c>
      <c r="AN15" s="574">
        <f t="shared" si="16"/>
        <v>20831.290676769597</v>
      </c>
      <c r="AO15" s="574">
        <f t="shared" si="16"/>
        <v>29711.081036087999</v>
      </c>
      <c r="AP15" s="574">
        <f t="shared" si="17"/>
        <v>18260.029698048002</v>
      </c>
      <c r="AQ15" s="574">
        <f t="shared" si="17"/>
        <v>18003.907169279999</v>
      </c>
      <c r="AR15" s="574">
        <f t="shared" si="17"/>
        <v>18154.567480319998</v>
      </c>
      <c r="AS15" s="574">
        <f t="shared" si="17"/>
        <v>18757.208724479999</v>
      </c>
      <c r="AT15" s="574">
        <f t="shared" si="17"/>
        <v>20715.792768000003</v>
      </c>
      <c r="AU15" s="574">
        <f t="shared" si="17"/>
        <v>23397.546304511998</v>
      </c>
      <c r="AV15" s="574">
        <f t="shared" si="17"/>
        <v>33371.258895359999</v>
      </c>
      <c r="AW15" s="574">
        <f t="shared" si="18"/>
        <v>19730.449652256</v>
      </c>
      <c r="AX15" s="574">
        <f t="shared" si="18"/>
        <v>19453.702421159996</v>
      </c>
      <c r="AY15" s="574">
        <f t="shared" si="18"/>
        <v>19616.494910039997</v>
      </c>
      <c r="AZ15" s="574">
        <f t="shared" si="18"/>
        <v>20267.66486556</v>
      </c>
      <c r="BA15" s="574">
        <f t="shared" si="18"/>
        <v>22383.967220999999</v>
      </c>
      <c r="BB15" s="574">
        <f t="shared" si="18"/>
        <v>25281.673523063997</v>
      </c>
      <c r="BC15" s="574">
        <f t="shared" si="18"/>
        <v>36058.536286919996</v>
      </c>
      <c r="BD15" s="574">
        <f t="shared" si="19"/>
        <v>23209.411655808002</v>
      </c>
      <c r="BE15" s="574">
        <f t="shared" si="19"/>
        <v>22883.867102879998</v>
      </c>
      <c r="BF15" s="574">
        <f t="shared" si="19"/>
        <v>23075.363898719999</v>
      </c>
      <c r="BG15" s="574">
        <f t="shared" si="19"/>
        <v>23841.35108208</v>
      </c>
      <c r="BH15" s="574">
        <f t="shared" si="19"/>
        <v>26330.809428000004</v>
      </c>
      <c r="BI15" s="574">
        <f t="shared" si="19"/>
        <v>29739.452393952</v>
      </c>
      <c r="BJ15" s="574">
        <f t="shared" si="19"/>
        <v>42416.540278560002</v>
      </c>
      <c r="BK15" s="574">
        <f t="shared" si="20"/>
        <v>32929.703325792005</v>
      </c>
      <c r="BL15" s="574">
        <f t="shared" si="20"/>
        <v>32467.81804812</v>
      </c>
      <c r="BM15" s="574">
        <f t="shared" si="20"/>
        <v>32739.515270280001</v>
      </c>
      <c r="BN15" s="574">
        <f t="shared" si="20"/>
        <v>33826.30415892</v>
      </c>
      <c r="BO15" s="574">
        <f t="shared" si="20"/>
        <v>37358.368047000004</v>
      </c>
      <c r="BP15" s="574">
        <f t="shared" si="20"/>
        <v>42194.578601447996</v>
      </c>
      <c r="BQ15" s="574">
        <f t="shared" si="20"/>
        <v>60180.93470844</v>
      </c>
      <c r="BR15" s="574">
        <f t="shared" si="21"/>
        <v>48645.615159979207</v>
      </c>
      <c r="BS15" s="574">
        <f t="shared" si="21"/>
        <v>47963.292175062001</v>
      </c>
      <c r="BT15" s="574">
        <f t="shared" si="21"/>
        <v>48364.658636778004</v>
      </c>
      <c r="BU15" s="574">
        <f t="shared" si="21"/>
        <v>49970.124483642008</v>
      </c>
      <c r="BV15" s="574">
        <f t="shared" si="21"/>
        <v>55187.88848595001</v>
      </c>
      <c r="BW15" s="574">
        <f t="shared" si="21"/>
        <v>62332.211504494808</v>
      </c>
      <c r="BX15" s="574">
        <f t="shared" si="21"/>
        <v>88902.671270094012</v>
      </c>
      <c r="BY15" s="574">
        <f t="shared" si="22"/>
        <v>11953.743546096001</v>
      </c>
      <c r="BZ15" s="574">
        <f t="shared" si="22"/>
        <v>11786.07552606</v>
      </c>
      <c r="CA15" s="574">
        <f t="shared" si="22"/>
        <v>11884.70377314</v>
      </c>
      <c r="CB15" s="574">
        <f t="shared" si="22"/>
        <v>12279.21676146</v>
      </c>
      <c r="CC15" s="574">
        <f t="shared" si="22"/>
        <v>13561.383973500002</v>
      </c>
      <c r="CD15" s="574">
        <f t="shared" si="22"/>
        <v>15316.966771523999</v>
      </c>
      <c r="CE15" s="574">
        <f t="shared" si="22"/>
        <v>21846.156728220001</v>
      </c>
    </row>
    <row r="16" spans="1:83">
      <c r="A16" s="1567" t="s">
        <v>23</v>
      </c>
      <c r="B16" s="574">
        <f>'Vtas Diarias 2021'!XD21</f>
        <v>9019.0038540000005</v>
      </c>
      <c r="C16" s="574">
        <f>'Vtas Diarias 2021'!XH21</f>
        <v>10307.432976</v>
      </c>
      <c r="D16" s="574">
        <f>'Vtas Diarias 2021'!XL21</f>
        <v>14172.720342000001</v>
      </c>
      <c r="E16" s="574">
        <f t="shared" si="11"/>
        <v>9172.1285950464007</v>
      </c>
      <c r="F16" s="574">
        <f t="shared" si="11"/>
        <v>9043.4766263040001</v>
      </c>
      <c r="G16" s="574">
        <f t="shared" si="11"/>
        <v>9119.1542549759997</v>
      </c>
      <c r="H16" s="574">
        <f t="shared" si="11"/>
        <v>9421.8647696640001</v>
      </c>
      <c r="I16" s="574">
        <f t="shared" si="11"/>
        <v>10405.673942400002</v>
      </c>
      <c r="J16" s="574">
        <f t="shared" si="11"/>
        <v>11752.735732761601</v>
      </c>
      <c r="K16" s="574">
        <f t="shared" si="11"/>
        <v>16762.594750848002</v>
      </c>
      <c r="L16" s="1571">
        <f t="shared" si="12"/>
        <v>110796.70557599999</v>
      </c>
      <c r="M16" s="574">
        <f t="shared" si="13"/>
        <v>13428.560715811202</v>
      </c>
      <c r="N16" s="574">
        <f t="shared" si="13"/>
        <v>13240.206316332</v>
      </c>
      <c r="O16" s="574">
        <f t="shared" si="13"/>
        <v>13351.003021908</v>
      </c>
      <c r="P16" s="574">
        <f t="shared" si="13"/>
        <v>13794.189844212</v>
      </c>
      <c r="Q16" s="574">
        <f t="shared" si="13"/>
        <v>15234.547016700002</v>
      </c>
      <c r="R16" s="574">
        <f t="shared" si="13"/>
        <v>17206.7283759528</v>
      </c>
      <c r="S16" s="574">
        <f t="shared" si="13"/>
        <v>24541.470285084</v>
      </c>
      <c r="T16" s="1571">
        <f t="shared" si="23"/>
        <v>64680.569280000011</v>
      </c>
      <c r="U16" s="574">
        <f t="shared" si="14"/>
        <v>7839.2849967360016</v>
      </c>
      <c r="V16" s="574">
        <f t="shared" si="14"/>
        <v>7729.3280289600007</v>
      </c>
      <c r="W16" s="574">
        <f t="shared" si="14"/>
        <v>7794.0085982400014</v>
      </c>
      <c r="X16" s="574">
        <f t="shared" si="14"/>
        <v>8052.7308753600009</v>
      </c>
      <c r="Y16" s="574">
        <f t="shared" si="14"/>
        <v>8893.578276000002</v>
      </c>
      <c r="Z16" s="574">
        <f t="shared" si="14"/>
        <v>10044.892409184002</v>
      </c>
      <c r="AA16" s="574">
        <f t="shared" si="14"/>
        <v>14326.746095520002</v>
      </c>
      <c r="AB16" s="574">
        <f t="shared" si="15"/>
        <v>12664.687656211201</v>
      </c>
      <c r="AC16" s="574">
        <f t="shared" si="15"/>
        <v>12487.047647832</v>
      </c>
      <c r="AD16" s="574">
        <f t="shared" si="15"/>
        <v>12591.541770408001</v>
      </c>
      <c r="AE16" s="574">
        <f t="shared" si="15"/>
        <v>13009.518260712</v>
      </c>
      <c r="AF16" s="574">
        <f t="shared" si="15"/>
        <v>14367.941854200002</v>
      </c>
      <c r="AG16" s="574">
        <f t="shared" si="15"/>
        <v>16227.937236052801</v>
      </c>
      <c r="AH16" s="574">
        <f t="shared" si="15"/>
        <v>23145.448150584001</v>
      </c>
      <c r="AI16" s="574">
        <f t="shared" si="16"/>
        <v>13120.24733496</v>
      </c>
      <c r="AJ16" s="574">
        <f t="shared" si="16"/>
        <v>12936.2174631</v>
      </c>
      <c r="AK16" s="574">
        <f t="shared" si="16"/>
        <v>13044.470328899999</v>
      </c>
      <c r="AL16" s="574">
        <f t="shared" si="16"/>
        <v>13477.481792099999</v>
      </c>
      <c r="AM16" s="574">
        <f t="shared" si="16"/>
        <v>14884.769047500002</v>
      </c>
      <c r="AN16" s="574">
        <f t="shared" si="16"/>
        <v>16811.670058740001</v>
      </c>
      <c r="AO16" s="574">
        <f t="shared" si="16"/>
        <v>23978.0097747</v>
      </c>
      <c r="AP16" s="574">
        <f t="shared" si="17"/>
        <v>17635.680543571198</v>
      </c>
      <c r="AQ16" s="574">
        <f t="shared" si="17"/>
        <v>17388.315387431998</v>
      </c>
      <c r="AR16" s="574">
        <f t="shared" si="17"/>
        <v>17533.824302808</v>
      </c>
      <c r="AS16" s="574">
        <f t="shared" si="17"/>
        <v>18115.859964312</v>
      </c>
      <c r="AT16" s="574">
        <f t="shared" si="17"/>
        <v>20007.475864200002</v>
      </c>
      <c r="AU16" s="574">
        <f t="shared" si="17"/>
        <v>22597.534557892799</v>
      </c>
      <c r="AV16" s="574">
        <f t="shared" si="17"/>
        <v>32230.224755783998</v>
      </c>
      <c r="AW16" s="574">
        <f t="shared" si="18"/>
        <v>16879.080105000005</v>
      </c>
      <c r="AX16" s="574">
        <f t="shared" si="18"/>
        <v>16642.327331250002</v>
      </c>
      <c r="AY16" s="574">
        <f t="shared" si="18"/>
        <v>16781.593668750003</v>
      </c>
      <c r="AZ16" s="574">
        <f t="shared" si="18"/>
        <v>17338.659018750004</v>
      </c>
      <c r="BA16" s="574">
        <f t="shared" si="18"/>
        <v>19149.121406250004</v>
      </c>
      <c r="BB16" s="574">
        <f t="shared" si="18"/>
        <v>21628.062213750003</v>
      </c>
      <c r="BC16" s="574">
        <f t="shared" si="18"/>
        <v>30847.493756250005</v>
      </c>
      <c r="BD16" s="574">
        <f t="shared" si="19"/>
        <v>20761.094519279999</v>
      </c>
      <c r="BE16" s="574">
        <f t="shared" si="19"/>
        <v>20469.8910483</v>
      </c>
      <c r="BF16" s="574">
        <f t="shared" si="19"/>
        <v>20641.187207700001</v>
      </c>
      <c r="BG16" s="574">
        <f t="shared" si="19"/>
        <v>21326.3718453</v>
      </c>
      <c r="BH16" s="574">
        <f t="shared" si="19"/>
        <v>23553.221917500003</v>
      </c>
      <c r="BI16" s="574">
        <f t="shared" si="19"/>
        <v>26602.29355482</v>
      </c>
      <c r="BJ16" s="574">
        <f t="shared" si="19"/>
        <v>37942.099307100005</v>
      </c>
      <c r="BK16" s="574">
        <f t="shared" si="20"/>
        <v>25349.011754400006</v>
      </c>
      <c r="BL16" s="574">
        <f t="shared" si="20"/>
        <v>24993.456309000005</v>
      </c>
      <c r="BM16" s="574">
        <f t="shared" si="20"/>
        <v>25202.606571000004</v>
      </c>
      <c r="BN16" s="574">
        <f t="shared" si="20"/>
        <v>26039.207619000004</v>
      </c>
      <c r="BO16" s="574">
        <f t="shared" si="20"/>
        <v>28758.161025000009</v>
      </c>
      <c r="BP16" s="574">
        <f t="shared" si="20"/>
        <v>32481.035688600005</v>
      </c>
      <c r="BQ16" s="574">
        <f t="shared" si="20"/>
        <v>46326.783033000014</v>
      </c>
      <c r="BR16" s="574">
        <f t="shared" si="21"/>
        <v>38174.7442543344</v>
      </c>
      <c r="BS16" s="574">
        <f t="shared" si="21"/>
        <v>37639.289920733994</v>
      </c>
      <c r="BT16" s="574">
        <f t="shared" si="21"/>
        <v>37954.263058145996</v>
      </c>
      <c r="BU16" s="574">
        <f t="shared" si="21"/>
        <v>39214.155607793997</v>
      </c>
      <c r="BV16" s="574">
        <f t="shared" si="21"/>
        <v>43308.80639415</v>
      </c>
      <c r="BW16" s="574">
        <f t="shared" si="21"/>
        <v>48915.328240083596</v>
      </c>
      <c r="BX16" s="574">
        <f t="shared" si="21"/>
        <v>69766.549936757991</v>
      </c>
      <c r="BY16" s="574">
        <f t="shared" si="22"/>
        <v>9030.3156853920009</v>
      </c>
      <c r="BZ16" s="574">
        <f t="shared" si="22"/>
        <v>8903.6528416199999</v>
      </c>
      <c r="CA16" s="574">
        <f t="shared" si="22"/>
        <v>8978.1603967800002</v>
      </c>
      <c r="CB16" s="574">
        <f t="shared" si="22"/>
        <v>9276.1906174200012</v>
      </c>
      <c r="CC16" s="574">
        <f t="shared" si="22"/>
        <v>10244.788834500001</v>
      </c>
      <c r="CD16" s="574">
        <f t="shared" si="22"/>
        <v>11571.023316348001</v>
      </c>
      <c r="CE16" s="574">
        <f t="shared" si="22"/>
        <v>16503.42346794</v>
      </c>
    </row>
    <row r="17" spans="1:83">
      <c r="A17" s="1567" t="s">
        <v>24</v>
      </c>
      <c r="B17" s="574">
        <f>'Vtas Diarias 2021'!XD22</f>
        <v>10398.005800000001</v>
      </c>
      <c r="C17" s="574">
        <f>'Vtas Diarias 2021'!XH22</f>
        <v>11883.4352</v>
      </c>
      <c r="D17" s="574">
        <f>'Vtas Diarias 2021'!XL22</f>
        <v>16339.723400000001</v>
      </c>
      <c r="E17" s="574">
        <f t="shared" si="11"/>
        <v>11583.1614981888</v>
      </c>
      <c r="F17" s="574">
        <f t="shared" si="11"/>
        <v>11420.691411167998</v>
      </c>
      <c r="G17" s="574">
        <f t="shared" si="11"/>
        <v>11516.262050591999</v>
      </c>
      <c r="H17" s="574">
        <f t="shared" si="11"/>
        <v>11898.544608287999</v>
      </c>
      <c r="I17" s="574">
        <f t="shared" si="11"/>
        <v>13140.962920800001</v>
      </c>
      <c r="J17" s="574">
        <f t="shared" si="11"/>
        <v>14842.120302547199</v>
      </c>
      <c r="K17" s="574">
        <f t="shared" si="11"/>
        <v>21168.896632415999</v>
      </c>
      <c r="L17" s="1571">
        <f t="shared" si="12"/>
        <v>124745.16196800001</v>
      </c>
      <c r="M17" s="574">
        <f t="shared" si="13"/>
        <v>15119.113630521602</v>
      </c>
      <c r="N17" s="574">
        <f t="shared" si="13"/>
        <v>14907.046855176</v>
      </c>
      <c r="O17" s="574">
        <f t="shared" si="13"/>
        <v>15031.792017144002</v>
      </c>
      <c r="P17" s="574">
        <f t="shared" si="13"/>
        <v>15530.772665016002</v>
      </c>
      <c r="Q17" s="574">
        <f t="shared" si="13"/>
        <v>17152.459770600002</v>
      </c>
      <c r="R17" s="574">
        <f t="shared" si="13"/>
        <v>19372.923653630402</v>
      </c>
      <c r="S17" s="574">
        <f t="shared" si="13"/>
        <v>27631.053375912004</v>
      </c>
      <c r="T17" s="1571">
        <f t="shared" si="23"/>
        <v>85554.96739200002</v>
      </c>
      <c r="U17" s="574">
        <f t="shared" si="14"/>
        <v>10369.262047910401</v>
      </c>
      <c r="V17" s="574">
        <f t="shared" si="14"/>
        <v>10223.818603344</v>
      </c>
      <c r="W17" s="574">
        <f t="shared" si="14"/>
        <v>10309.373570736001</v>
      </c>
      <c r="X17" s="574">
        <f t="shared" si="14"/>
        <v>10651.593440304001</v>
      </c>
      <c r="Y17" s="574">
        <f t="shared" si="14"/>
        <v>11763.808016400002</v>
      </c>
      <c r="Z17" s="574">
        <f t="shared" si="14"/>
        <v>13286.686435977601</v>
      </c>
      <c r="AA17" s="574">
        <f t="shared" si="14"/>
        <v>18950.425277328002</v>
      </c>
      <c r="AB17" s="574">
        <f t="shared" si="15"/>
        <v>14078.061877017601</v>
      </c>
      <c r="AC17" s="574">
        <f t="shared" si="15"/>
        <v>13880.597312735999</v>
      </c>
      <c r="AD17" s="574">
        <f t="shared" si="15"/>
        <v>13996.752938784</v>
      </c>
      <c r="AE17" s="574">
        <f t="shared" si="15"/>
        <v>14461.375442976001</v>
      </c>
      <c r="AF17" s="574">
        <f t="shared" si="15"/>
        <v>15971.398581600002</v>
      </c>
      <c r="AG17" s="574">
        <f t="shared" si="15"/>
        <v>18038.968725254399</v>
      </c>
      <c r="AH17" s="574">
        <f t="shared" si="15"/>
        <v>25728.471169632001</v>
      </c>
      <c r="AI17" s="574">
        <f t="shared" si="16"/>
        <v>15645.362201856004</v>
      </c>
      <c r="AJ17" s="574">
        <f t="shared" si="16"/>
        <v>15425.914052160002</v>
      </c>
      <c r="AK17" s="574">
        <f t="shared" si="16"/>
        <v>15555.001199040003</v>
      </c>
      <c r="AL17" s="574">
        <f t="shared" si="16"/>
        <v>16071.349786560004</v>
      </c>
      <c r="AM17" s="574">
        <f t="shared" si="16"/>
        <v>17749.482696000006</v>
      </c>
      <c r="AN17" s="574">
        <f t="shared" si="16"/>
        <v>20047.233910464005</v>
      </c>
      <c r="AO17" s="574">
        <f t="shared" si="16"/>
        <v>28592.803033920009</v>
      </c>
      <c r="AP17" s="574">
        <f t="shared" si="17"/>
        <v>16877.936532095999</v>
      </c>
      <c r="AQ17" s="574">
        <f t="shared" si="17"/>
        <v>16641.199798559999</v>
      </c>
      <c r="AR17" s="574">
        <f t="shared" si="17"/>
        <v>16780.456700639999</v>
      </c>
      <c r="AS17" s="574">
        <f t="shared" si="17"/>
        <v>17337.48430896</v>
      </c>
      <c r="AT17" s="574">
        <f t="shared" si="17"/>
        <v>19147.824036000002</v>
      </c>
      <c r="AU17" s="574">
        <f t="shared" si="17"/>
        <v>21626.596893023998</v>
      </c>
      <c r="AV17" s="574">
        <f t="shared" si="17"/>
        <v>30845.403810719999</v>
      </c>
      <c r="AW17" s="574">
        <f t="shared" si="18"/>
        <v>23514.431850374403</v>
      </c>
      <c r="AX17" s="574">
        <f t="shared" si="18"/>
        <v>23184.608961384001</v>
      </c>
      <c r="AY17" s="574">
        <f t="shared" si="18"/>
        <v>23378.622425496</v>
      </c>
      <c r="AZ17" s="574">
        <f t="shared" si="18"/>
        <v>24154.676281944001</v>
      </c>
      <c r="BA17" s="574">
        <f t="shared" si="18"/>
        <v>26676.851315400003</v>
      </c>
      <c r="BB17" s="574">
        <f t="shared" si="18"/>
        <v>30130.290976593602</v>
      </c>
      <c r="BC17" s="574">
        <f t="shared" si="18"/>
        <v>42973.982300808006</v>
      </c>
      <c r="BD17" s="574">
        <f t="shared" si="19"/>
        <v>25145.964805852804</v>
      </c>
      <c r="BE17" s="574">
        <f t="shared" si="19"/>
        <v>24793.257378708</v>
      </c>
      <c r="BF17" s="574">
        <f t="shared" si="19"/>
        <v>25000.732335852001</v>
      </c>
      <c r="BG17" s="574">
        <f t="shared" si="19"/>
        <v>25830.632164428003</v>
      </c>
      <c r="BH17" s="574">
        <f t="shared" si="19"/>
        <v>28527.806607300005</v>
      </c>
      <c r="BI17" s="574">
        <f t="shared" si="19"/>
        <v>32220.860844463201</v>
      </c>
      <c r="BJ17" s="574">
        <f t="shared" si="19"/>
        <v>45955.703007396005</v>
      </c>
      <c r="BK17" s="574">
        <f t="shared" si="20"/>
        <v>30540.220145280004</v>
      </c>
      <c r="BL17" s="574">
        <f t="shared" si="20"/>
        <v>30111.850720800001</v>
      </c>
      <c r="BM17" s="574">
        <f t="shared" si="20"/>
        <v>30363.832735200001</v>
      </c>
      <c r="BN17" s="574">
        <f t="shared" si="20"/>
        <v>31371.760792800003</v>
      </c>
      <c r="BO17" s="574">
        <f t="shared" si="20"/>
        <v>34647.526980000002</v>
      </c>
      <c r="BP17" s="574">
        <f t="shared" si="20"/>
        <v>39132.80683632</v>
      </c>
      <c r="BQ17" s="574">
        <f t="shared" si="20"/>
        <v>55814.016189600006</v>
      </c>
      <c r="BR17" s="574">
        <f t="shared" si="21"/>
        <v>50531.517670867201</v>
      </c>
      <c r="BS17" s="574">
        <f t="shared" si="21"/>
        <v>49822.742257992002</v>
      </c>
      <c r="BT17" s="574">
        <f t="shared" si="21"/>
        <v>50239.668971448002</v>
      </c>
      <c r="BU17" s="574">
        <f t="shared" si="21"/>
        <v>51907.375825272</v>
      </c>
      <c r="BV17" s="574">
        <f t="shared" si="21"/>
        <v>57327.423100200009</v>
      </c>
      <c r="BW17" s="574">
        <f t="shared" si="21"/>
        <v>64748.718599716798</v>
      </c>
      <c r="BX17" s="574">
        <f t="shared" si="21"/>
        <v>92349.267030504008</v>
      </c>
      <c r="BY17" s="574">
        <f t="shared" si="22"/>
        <v>11352.380095728</v>
      </c>
      <c r="BZ17" s="574">
        <f t="shared" si="22"/>
        <v>11193.147041579999</v>
      </c>
      <c r="CA17" s="574">
        <f t="shared" si="22"/>
        <v>11286.813544019999</v>
      </c>
      <c r="CB17" s="574">
        <f t="shared" si="22"/>
        <v>11661.47955378</v>
      </c>
      <c r="CC17" s="574">
        <f t="shared" si="22"/>
        <v>12879.1440855</v>
      </c>
      <c r="CD17" s="574">
        <f t="shared" si="22"/>
        <v>14546.407828931999</v>
      </c>
      <c r="CE17" s="574">
        <f t="shared" si="22"/>
        <v>20747.130290459998</v>
      </c>
    </row>
    <row r="18" spans="1:83">
      <c r="A18" s="1567" t="s">
        <v>25</v>
      </c>
      <c r="B18" s="574">
        <f>'Vtas Diarias 2021'!XD23</f>
        <v>10465.009170000001</v>
      </c>
      <c r="C18" s="574">
        <f>'Vtas Diarias 2021'!XH23</f>
        <v>11960.010479999999</v>
      </c>
      <c r="D18" s="574">
        <f>'Vtas Diarias 2021'!XL23</f>
        <v>16445.01441</v>
      </c>
      <c r="E18" s="574">
        <f t="shared" si="11"/>
        <v>15215.1184116288</v>
      </c>
      <c r="F18" s="574">
        <f t="shared" si="11"/>
        <v>15001.705034568</v>
      </c>
      <c r="G18" s="574">
        <f t="shared" si="11"/>
        <v>15127.242315192001</v>
      </c>
      <c r="H18" s="574">
        <f t="shared" si="11"/>
        <v>15629.391437688</v>
      </c>
      <c r="I18" s="574">
        <f t="shared" si="11"/>
        <v>17261.376085800002</v>
      </c>
      <c r="J18" s="574">
        <f t="shared" si="11"/>
        <v>19495.939680907199</v>
      </c>
      <c r="K18" s="574">
        <f t="shared" si="11"/>
        <v>27806.507658216</v>
      </c>
      <c r="L18" s="1571">
        <f t="shared" si="12"/>
        <v>128656.07568000002</v>
      </c>
      <c r="M18" s="574">
        <f t="shared" si="13"/>
        <v>15593.116372416001</v>
      </c>
      <c r="N18" s="574">
        <f t="shared" si="13"/>
        <v>15374.401043760001</v>
      </c>
      <c r="O18" s="574">
        <f t="shared" si="13"/>
        <v>15503.05711944</v>
      </c>
      <c r="P18" s="574">
        <f t="shared" si="13"/>
        <v>16017.681422160002</v>
      </c>
      <c r="Q18" s="574">
        <f t="shared" si="13"/>
        <v>17690.210406000002</v>
      </c>
      <c r="R18" s="574">
        <f t="shared" si="13"/>
        <v>19980.288553104001</v>
      </c>
      <c r="S18" s="574">
        <f t="shared" si="13"/>
        <v>28497.320763120002</v>
      </c>
      <c r="T18" s="1571">
        <f t="shared" si="23"/>
        <v>106733.415744</v>
      </c>
      <c r="U18" s="574">
        <f t="shared" si="14"/>
        <v>12936.089988172802</v>
      </c>
      <c r="V18" s="574">
        <f t="shared" si="14"/>
        <v>12754.643181408001</v>
      </c>
      <c r="W18" s="574">
        <f t="shared" si="14"/>
        <v>12861.376597152001</v>
      </c>
      <c r="X18" s="574">
        <f t="shared" si="14"/>
        <v>13288.310260128001</v>
      </c>
      <c r="Y18" s="574">
        <f t="shared" si="14"/>
        <v>14675.844664800003</v>
      </c>
      <c r="Z18" s="574">
        <f t="shared" si="14"/>
        <v>16575.699465043203</v>
      </c>
      <c r="AA18" s="574">
        <f t="shared" si="14"/>
        <v>23641.451587296004</v>
      </c>
      <c r="AB18" s="574">
        <f t="shared" si="15"/>
        <v>17888.994566726404</v>
      </c>
      <c r="AC18" s="574">
        <f t="shared" si="15"/>
        <v>17638.076326104001</v>
      </c>
      <c r="AD18" s="574">
        <f t="shared" si="15"/>
        <v>17785.675291176001</v>
      </c>
      <c r="AE18" s="574">
        <f t="shared" si="15"/>
        <v>18376.071151464002</v>
      </c>
      <c r="AF18" s="574">
        <f t="shared" si="15"/>
        <v>20294.857697400006</v>
      </c>
      <c r="AG18" s="574">
        <f t="shared" si="15"/>
        <v>22922.119275681602</v>
      </c>
      <c r="AH18" s="574">
        <f t="shared" si="15"/>
        <v>32693.170763448004</v>
      </c>
      <c r="AI18" s="574">
        <f t="shared" si="16"/>
        <v>22131.8545262976</v>
      </c>
      <c r="AJ18" s="574">
        <f t="shared" si="16"/>
        <v>21821.424223536</v>
      </c>
      <c r="AK18" s="574">
        <f t="shared" si="16"/>
        <v>22004.030283984001</v>
      </c>
      <c r="AL18" s="574">
        <f t="shared" si="16"/>
        <v>22734.454525776</v>
      </c>
      <c r="AM18" s="574">
        <f t="shared" si="16"/>
        <v>25108.333311600003</v>
      </c>
      <c r="AN18" s="574">
        <f t="shared" si="16"/>
        <v>28358.7211875744</v>
      </c>
      <c r="AO18" s="574">
        <f t="shared" si="16"/>
        <v>40447.242389232</v>
      </c>
      <c r="AP18" s="574">
        <f t="shared" si="17"/>
        <v>19002.517885439996</v>
      </c>
      <c r="AQ18" s="574">
        <f t="shared" si="17"/>
        <v>18735.980918399997</v>
      </c>
      <c r="AR18" s="574">
        <f t="shared" si="17"/>
        <v>18892.767369599998</v>
      </c>
      <c r="AS18" s="574">
        <f t="shared" si="17"/>
        <v>19519.913174399997</v>
      </c>
      <c r="AT18" s="574">
        <f t="shared" si="17"/>
        <v>21558.137039999998</v>
      </c>
      <c r="AU18" s="574">
        <f t="shared" si="17"/>
        <v>24348.935871359998</v>
      </c>
      <c r="AV18" s="574">
        <f t="shared" si="17"/>
        <v>34728.198940799994</v>
      </c>
      <c r="AW18" s="574">
        <f t="shared" si="18"/>
        <v>24813.388267560003</v>
      </c>
      <c r="AX18" s="574">
        <f t="shared" si="18"/>
        <v>24465.345692850002</v>
      </c>
      <c r="AY18" s="574">
        <f t="shared" si="18"/>
        <v>24670.076619150001</v>
      </c>
      <c r="AZ18" s="574">
        <f t="shared" si="18"/>
        <v>25489.000324350003</v>
      </c>
      <c r="BA18" s="574">
        <f t="shared" si="18"/>
        <v>28150.502366250006</v>
      </c>
      <c r="BB18" s="574">
        <f t="shared" si="18"/>
        <v>31794.712854390003</v>
      </c>
      <c r="BC18" s="574">
        <f t="shared" si="18"/>
        <v>45347.900175450006</v>
      </c>
      <c r="BD18" s="574">
        <f t="shared" si="19"/>
        <v>33941.494456560002</v>
      </c>
      <c r="BE18" s="574">
        <f t="shared" si="19"/>
        <v>33465.417389100003</v>
      </c>
      <c r="BF18" s="574">
        <f t="shared" si="19"/>
        <v>33745.462722900003</v>
      </c>
      <c r="BG18" s="574">
        <f t="shared" si="19"/>
        <v>34865.644058100006</v>
      </c>
      <c r="BH18" s="574">
        <f t="shared" si="19"/>
        <v>38506.233397500007</v>
      </c>
      <c r="BI18" s="574">
        <f t="shared" si="19"/>
        <v>43491.040339140003</v>
      </c>
      <c r="BJ18" s="574">
        <f t="shared" si="19"/>
        <v>62030.041436700005</v>
      </c>
      <c r="BK18" s="574">
        <f t="shared" si="20"/>
        <v>40259.706058756798</v>
      </c>
      <c r="BL18" s="574">
        <f t="shared" si="20"/>
        <v>39695.007211397999</v>
      </c>
      <c r="BM18" s="574">
        <f t="shared" si="20"/>
        <v>40027.183003961996</v>
      </c>
      <c r="BN18" s="574">
        <f t="shared" si="20"/>
        <v>41355.886174218002</v>
      </c>
      <c r="BO18" s="574">
        <f t="shared" si="20"/>
        <v>45674.171477550008</v>
      </c>
      <c r="BP18" s="574">
        <f t="shared" si="20"/>
        <v>51586.9005851892</v>
      </c>
      <c r="BQ18" s="574">
        <f t="shared" si="20"/>
        <v>73576.938052925994</v>
      </c>
      <c r="BR18" s="574">
        <f t="shared" si="21"/>
        <v>49420.674905889609</v>
      </c>
      <c r="BS18" s="574">
        <f t="shared" si="21"/>
        <v>48727.480620906004</v>
      </c>
      <c r="BT18" s="574">
        <f t="shared" si="21"/>
        <v>49135.241965014007</v>
      </c>
      <c r="BU18" s="574">
        <f t="shared" si="21"/>
        <v>50766.287341446005</v>
      </c>
      <c r="BV18" s="574">
        <f t="shared" si="21"/>
        <v>56067.184814850014</v>
      </c>
      <c r="BW18" s="574">
        <f t="shared" si="21"/>
        <v>63325.336739972408</v>
      </c>
      <c r="BX18" s="574">
        <f t="shared" si="21"/>
        <v>90319.137719922015</v>
      </c>
      <c r="BY18" s="574">
        <f t="shared" si="22"/>
        <v>9749.7912564576018</v>
      </c>
      <c r="BZ18" s="574">
        <f t="shared" si="22"/>
        <v>9613.0367586360007</v>
      </c>
      <c r="CA18" s="574">
        <f t="shared" si="22"/>
        <v>9693.480580884001</v>
      </c>
      <c r="CB18" s="574">
        <f t="shared" si="22"/>
        <v>10015.255869876002</v>
      </c>
      <c r="CC18" s="574">
        <f t="shared" si="22"/>
        <v>11061.025559100002</v>
      </c>
      <c r="CD18" s="574">
        <f t="shared" si="22"/>
        <v>12492.9255951144</v>
      </c>
      <c r="CE18" s="574">
        <f t="shared" si="22"/>
        <v>17818.306627932001</v>
      </c>
    </row>
    <row r="19" spans="1:83">
      <c r="A19" s="1567" t="s">
        <v>26</v>
      </c>
      <c r="B19" s="574">
        <f>'Vtas Diarias 2021'!XD24</f>
        <v>10703.009100000001</v>
      </c>
      <c r="C19" s="574">
        <f>'Vtas Diarias 2021'!XH24</f>
        <v>12232.010400000001</v>
      </c>
      <c r="D19" s="574">
        <f>'Vtas Diarias 2021'!XL24</f>
        <v>16819.014299999999</v>
      </c>
      <c r="E19" s="574">
        <f>$K59*E$40</f>
        <v>10722.512077920001</v>
      </c>
      <c r="F19" s="574">
        <f>$K59*F$40</f>
        <v>10572.113806200001</v>
      </c>
      <c r="G19" s="574">
        <f>$K59*G$40</f>
        <v>10660.583377800001</v>
      </c>
      <c r="H19" s="574">
        <f>$K59*H$40</f>
        <v>11014.461664200002</v>
      </c>
      <c r="I19" s="574">
        <f>$K59*I$40</f>
        <v>12164.566095000002</v>
      </c>
      <c r="J19" s="574">
        <f>$K59*J$40</f>
        <v>13739.324469480001</v>
      </c>
      <c r="K19" s="574">
        <f>$K59*K$40</f>
        <v>19596.010109400002</v>
      </c>
      <c r="L19" s="1571">
        <f t="shared" si="12"/>
        <v>122022.815796</v>
      </c>
      <c r="M19" s="574">
        <f>$S59*M$40</f>
        <v>14789.165274475199</v>
      </c>
      <c r="N19" s="574">
        <f>$S59*N$40</f>
        <v>14581.726487622</v>
      </c>
      <c r="O19" s="574">
        <f>$S59*O$40</f>
        <v>14703.749303417999</v>
      </c>
      <c r="P19" s="574">
        <f>$S59*P$40</f>
        <v>15191.840566601999</v>
      </c>
      <c r="Q19" s="574">
        <f>$S59*Q$40</f>
        <v>16778.137171950002</v>
      </c>
      <c r="R19" s="574">
        <f>$S59*R$40</f>
        <v>18950.143293118799</v>
      </c>
      <c r="S19" s="574">
        <f>$S59*S$40</f>
        <v>27028.053698813997</v>
      </c>
      <c r="T19" s="1571">
        <f t="shared" si="23"/>
        <v>75220.488000000012</v>
      </c>
      <c r="U19" s="574">
        <f>$AA59*U$40</f>
        <v>9116.7231456000009</v>
      </c>
      <c r="V19" s="574">
        <f>$AA59*V$40</f>
        <v>8988.8483160000014</v>
      </c>
      <c r="W19" s="574">
        <f>$AA59*W$40</f>
        <v>9064.0688040000005</v>
      </c>
      <c r="X19" s="574">
        <f>$AA59*X$40</f>
        <v>9364.950756000002</v>
      </c>
      <c r="Y19" s="574">
        <f>$AA59*Y$40</f>
        <v>10342.817100000002</v>
      </c>
      <c r="Z19" s="574">
        <f>$AA59*Z$40</f>
        <v>11681.741786400002</v>
      </c>
      <c r="AA19" s="574">
        <f>$AA59*AA$40</f>
        <v>16661.338092000002</v>
      </c>
      <c r="AB19" s="574">
        <f>$AH59*AB$40</f>
        <v>10335.179635401602</v>
      </c>
      <c r="AC19" s="574">
        <f>$AH59*AC$40</f>
        <v>10190.214244476001</v>
      </c>
      <c r="AD19" s="574">
        <f>$AH59*AD$40</f>
        <v>10275.488003844001</v>
      </c>
      <c r="AE19" s="574">
        <f>$AH59*AE$40</f>
        <v>10616.583041316002</v>
      </c>
      <c r="AF19" s="574">
        <f>$AH59*AF$40</f>
        <v>11725.141913100002</v>
      </c>
      <c r="AG19" s="574">
        <f>$AH59*AG$40</f>
        <v>13243.014829850401</v>
      </c>
      <c r="AH19" s="574">
        <f>$AH59*AH$40</f>
        <v>18888.137700012005</v>
      </c>
      <c r="AI19" s="574">
        <f>$AO59*AI$40</f>
        <v>16033.873703184003</v>
      </c>
      <c r="AJ19" s="574">
        <f>$AO59*AJ$40</f>
        <v>15808.976134740002</v>
      </c>
      <c r="AK19" s="574">
        <f>$AO59*AK$40</f>
        <v>15941.268822060003</v>
      </c>
      <c r="AL19" s="574">
        <f>$AO59*AL$40</f>
        <v>16470.439571340004</v>
      </c>
      <c r="AM19" s="574">
        <f>$AO59*AM$40</f>
        <v>18190.244506500007</v>
      </c>
      <c r="AN19" s="574">
        <f>$AO59*AN$40</f>
        <v>20545.054340796003</v>
      </c>
      <c r="AO19" s="574">
        <f>$AO59*AO$40</f>
        <v>29302.830241380005</v>
      </c>
      <c r="AP19" s="574">
        <f>$AV59*AP$40</f>
        <v>13538.283214464002</v>
      </c>
      <c r="AQ19" s="574">
        <f>$AV59*AQ$40</f>
        <v>13348.38980304</v>
      </c>
      <c r="AR19" s="574">
        <f>$AV59*AR$40</f>
        <v>13460.091809760001</v>
      </c>
      <c r="AS19" s="574">
        <f>$AV59*AS$40</f>
        <v>13906.899836640001</v>
      </c>
      <c r="AT19" s="574">
        <f>$AV59*AT$40</f>
        <v>15359.025924000001</v>
      </c>
      <c r="AU19" s="574">
        <f>$AV59*AU$40</f>
        <v>17347.321643616</v>
      </c>
      <c r="AV19" s="574">
        <f>$AV59*AV$40</f>
        <v>24741.994488480002</v>
      </c>
      <c r="AW19" s="574">
        <f>$BC59*AW$40</f>
        <v>14817.203040600001</v>
      </c>
      <c r="AX19" s="574">
        <f>$BC59*AX$40</f>
        <v>14609.370984749999</v>
      </c>
      <c r="AY19" s="574">
        <f>$BC59*AY$40</f>
        <v>14731.62513525</v>
      </c>
      <c r="AZ19" s="574">
        <f>$BC59*AZ$40</f>
        <v>15220.64173725</v>
      </c>
      <c r="BA19" s="574">
        <f>$BC59*BA$40</f>
        <v>16809.945693750004</v>
      </c>
      <c r="BB19" s="574">
        <f>$BC59*BB$40</f>
        <v>18986.069572649998</v>
      </c>
      <c r="BC19" s="574">
        <f>$BC59*BC$40</f>
        <v>27079.294335750001</v>
      </c>
      <c r="BD19" s="574">
        <f>$BJ59*BD$40</f>
        <v>17674.675810200002</v>
      </c>
      <c r="BE19" s="574">
        <f>$BJ59*BE$40</f>
        <v>17426.763690750002</v>
      </c>
      <c r="BF19" s="574">
        <f>$BJ59*BF$40</f>
        <v>17572.594349250001</v>
      </c>
      <c r="BG19" s="574">
        <f>$BJ59*BG$40</f>
        <v>18155.916983250001</v>
      </c>
      <c r="BH19" s="574">
        <f>$BJ59*BH$40</f>
        <v>20051.715543750004</v>
      </c>
      <c r="BI19" s="574">
        <f>$BJ59*BI$40</f>
        <v>22647.501265050003</v>
      </c>
      <c r="BJ19" s="574">
        <f>$BJ59*BJ$40</f>
        <v>32301.490857750006</v>
      </c>
      <c r="BK19" s="574">
        <f>$BQ59*BK$40</f>
        <v>19704.802086360003</v>
      </c>
      <c r="BL19" s="574">
        <f>$BQ59*BL$40</f>
        <v>19428.414598350002</v>
      </c>
      <c r="BM19" s="574">
        <f>$BQ59*BM$40</f>
        <v>19590.99547365</v>
      </c>
      <c r="BN19" s="574">
        <f>$BQ59*BN$40</f>
        <v>20241.318974850001</v>
      </c>
      <c r="BO19" s="574">
        <f>$BQ59*BO$40</f>
        <v>22354.870353750004</v>
      </c>
      <c r="BP19" s="574">
        <f>$BQ59*BP$40</f>
        <v>25248.809934090001</v>
      </c>
      <c r="BQ19" s="574">
        <f>$BQ59*BQ$40</f>
        <v>36011.663878950007</v>
      </c>
      <c r="BR19" s="574">
        <f>$BX59*BR$40</f>
        <v>35583.197167324804</v>
      </c>
      <c r="BS19" s="574">
        <f>$BX59*BS$40</f>
        <v>35084.092916628004</v>
      </c>
      <c r="BT19" s="574">
        <f>$BX59*BT$40</f>
        <v>35377.683652332002</v>
      </c>
      <c r="BU19" s="574">
        <f>$BX59*BU$40</f>
        <v>36552.046595148007</v>
      </c>
      <c r="BV19" s="574">
        <f>$BX59*BV$40</f>
        <v>40368.726159300008</v>
      </c>
      <c r="BW19" s="574">
        <f>$BX59*BW$40</f>
        <v>45594.641254831207</v>
      </c>
      <c r="BX19" s="574">
        <f>$BX59*BX$40</f>
        <v>65030.34795843601</v>
      </c>
      <c r="BY19" s="574">
        <f>$CE59*BY$40</f>
        <v>7256.6445306096002</v>
      </c>
      <c r="BZ19" s="574">
        <f>$CE59*BZ$40</f>
        <v>7154.8599126059999</v>
      </c>
      <c r="CA19" s="574">
        <f>$CE59*CA$40</f>
        <v>7214.7332173140003</v>
      </c>
      <c r="CB19" s="574">
        <f>$CE59*CB$40</f>
        <v>7454.2264361460002</v>
      </c>
      <c r="CC19" s="574">
        <f>$CE59*CC$40</f>
        <v>8232.5793973500004</v>
      </c>
      <c r="CD19" s="574">
        <f>$CE59*CD$40</f>
        <v>9298.3242211523993</v>
      </c>
      <c r="CE19" s="574">
        <f>$CE59*CE$40</f>
        <v>13261.936992822</v>
      </c>
    </row>
    <row r="20" spans="1:83">
      <c r="A20" s="1567" t="s">
        <v>27</v>
      </c>
      <c r="B20" s="574">
        <f>'Vtas Diarias 2021'!XD25</f>
        <v>11199.957356000003</v>
      </c>
      <c r="C20" s="574">
        <f>'Vtas Diarias 2021'!XH25</f>
        <v>12799.951264000003</v>
      </c>
      <c r="D20" s="574">
        <f>'Vtas Diarias 2021'!XL25</f>
        <v>17599.932988000004</v>
      </c>
      <c r="E20" s="574">
        <f>$K60*E$40</f>
        <v>11984.728854528003</v>
      </c>
      <c r="F20" s="574">
        <f>$K60*F$40</f>
        <v>11816.626222080002</v>
      </c>
      <c r="G20" s="574">
        <f>$K60*G$40</f>
        <v>11915.510123520002</v>
      </c>
      <c r="H20" s="574">
        <f>$K60*H$40</f>
        <v>12311.045729280002</v>
      </c>
      <c r="I20" s="574">
        <f>$K60*I$40</f>
        <v>13596.536448000003</v>
      </c>
      <c r="J20" s="574">
        <f>$K60*J$40</f>
        <v>15356.669893632003</v>
      </c>
      <c r="K20" s="574">
        <f>$K60*K$40</f>
        <v>21902.784168960003</v>
      </c>
      <c r="L20" s="1571">
        <f t="shared" si="12"/>
        <v>112926.47367600002</v>
      </c>
      <c r="M20" s="574">
        <f>$S60*M$40</f>
        <v>13686.688609531202</v>
      </c>
      <c r="N20" s="574">
        <f>$S60*N$40</f>
        <v>13494.713604282</v>
      </c>
      <c r="O20" s="574">
        <f>$S60*O$40</f>
        <v>13607.640077958</v>
      </c>
      <c r="P20" s="574">
        <f>$S60*P$40</f>
        <v>14059.345972662</v>
      </c>
      <c r="Q20" s="574">
        <f>$S60*Q$40</f>
        <v>15527.390130450003</v>
      </c>
      <c r="R20" s="574">
        <f>$S60*R$40</f>
        <v>17537.481361882801</v>
      </c>
      <c r="S20" s="574">
        <f>$S60*S$40</f>
        <v>25013.213919234004</v>
      </c>
      <c r="T20" s="1571">
        <f t="shared" si="23"/>
        <v>75751.103448000009</v>
      </c>
      <c r="U20" s="574">
        <f>$AA60*U$40</f>
        <v>9181.0337378976019</v>
      </c>
      <c r="V20" s="574">
        <f>$AA60*V$40</f>
        <v>9052.2568620359998</v>
      </c>
      <c r="W20" s="574">
        <f>$AA60*W$40</f>
        <v>9128.007965484001</v>
      </c>
      <c r="X20" s="574">
        <f>$AA60*X$40</f>
        <v>9431.0123792760005</v>
      </c>
      <c r="Y20" s="574">
        <f>$AA60*Y$40</f>
        <v>10415.776724100002</v>
      </c>
      <c r="Z20" s="574">
        <f>$AA60*Z$40</f>
        <v>11764.1463654744</v>
      </c>
      <c r="AA20" s="574">
        <f>$AA60*AA$40</f>
        <v>16778.869413732002</v>
      </c>
      <c r="AB20" s="574">
        <f>$AH60*AB$40</f>
        <v>10864.368</v>
      </c>
      <c r="AC20" s="574">
        <f>$AH60*AC$40</f>
        <v>10711.98</v>
      </c>
      <c r="AD20" s="574">
        <f>$AH60*AD$40</f>
        <v>10801.619999999999</v>
      </c>
      <c r="AE20" s="574">
        <f>$AH60*AE$40</f>
        <v>11160.18</v>
      </c>
      <c r="AF20" s="574">
        <f>$AH60*AF$40</f>
        <v>12325.500000000002</v>
      </c>
      <c r="AG20" s="574">
        <f>$AH60*AG$40</f>
        <v>13921.091999999999</v>
      </c>
      <c r="AH20" s="574">
        <f>$AH60*AH$40</f>
        <v>19855.260000000002</v>
      </c>
      <c r="AI20" s="574">
        <f>$AO60*AI$40</f>
        <v>9126.0691200000001</v>
      </c>
      <c r="AJ20" s="574">
        <f>$AO60*AJ$40</f>
        <v>8998.0632000000005</v>
      </c>
      <c r="AK20" s="574">
        <f>$AO60*AK$40</f>
        <v>9073.3608000000004</v>
      </c>
      <c r="AL20" s="574">
        <f>$AO60*AL$40</f>
        <v>9374.5511999999999</v>
      </c>
      <c r="AM20" s="574">
        <f>$AO60*AM$40</f>
        <v>10353.420000000002</v>
      </c>
      <c r="AN20" s="574">
        <f>$AO60*AN$40</f>
        <v>11693.717280000001</v>
      </c>
      <c r="AO20" s="574">
        <f>$AO60*AO$40</f>
        <v>16678.418400000002</v>
      </c>
      <c r="AP20" s="574">
        <f>$AV60*AP$40</f>
        <v>14876.4356927424</v>
      </c>
      <c r="AQ20" s="574">
        <f>$AV60*AQ$40</f>
        <v>14667.772815863998</v>
      </c>
      <c r="AR20" s="574">
        <f>$AV60*AR$40</f>
        <v>14790.515684615999</v>
      </c>
      <c r="AS20" s="574">
        <f>$AV60*AS$40</f>
        <v>15281.487159623999</v>
      </c>
      <c r="AT20" s="574">
        <f>$AV60*AT$40</f>
        <v>16877.1444534</v>
      </c>
      <c r="AU20" s="574">
        <f>$AV60*AU$40</f>
        <v>19061.9675171856</v>
      </c>
      <c r="AV20" s="574">
        <f>$AV60*AV$40</f>
        <v>27187.545428567999</v>
      </c>
      <c r="AW20" s="574">
        <f>$BC60*AW$40</f>
        <v>25110.931303008005</v>
      </c>
      <c r="AX20" s="574">
        <f>$BC60*AX$40</f>
        <v>24758.715269880002</v>
      </c>
      <c r="AY20" s="574">
        <f>$BC60*AY$40</f>
        <v>24965.901171720005</v>
      </c>
      <c r="AZ20" s="574">
        <f>$BC60*AZ$40</f>
        <v>25794.644779080005</v>
      </c>
      <c r="BA20" s="574">
        <f>$BC60*BA$40</f>
        <v>28488.061503000008</v>
      </c>
      <c r="BB20" s="574">
        <f>$BC60*BB$40</f>
        <v>32175.970555752003</v>
      </c>
      <c r="BC20" s="574">
        <f>$BC60*BC$40</f>
        <v>45891.677257560012</v>
      </c>
      <c r="BD20" s="574">
        <f>$BJ60*BD$40</f>
        <v>27644.954035392002</v>
      </c>
      <c r="BE20" s="574">
        <f>$BJ60*BE$40</f>
        <v>27257.19477912</v>
      </c>
      <c r="BF20" s="574">
        <f>$BJ60*BF$40</f>
        <v>27485.28845928</v>
      </c>
      <c r="BG20" s="574">
        <f>$BJ60*BG$40</f>
        <v>28397.66317992</v>
      </c>
      <c r="BH20" s="574">
        <f>$BJ60*BH$40</f>
        <v>31362.881022000005</v>
      </c>
      <c r="BI20" s="574">
        <f>$BJ60*BI$40</f>
        <v>35422.948528847999</v>
      </c>
      <c r="BJ20" s="574">
        <f>$BJ60*BJ$40</f>
        <v>50522.750155440008</v>
      </c>
      <c r="BK20" s="574">
        <f>$BQ60*BK$40</f>
        <v>47772.507333312009</v>
      </c>
      <c r="BL20" s="574">
        <f>$BQ60*BL$40</f>
        <v>47102.430910320007</v>
      </c>
      <c r="BM20" s="574">
        <f>$BQ60*BM$40</f>
        <v>47496.593512080006</v>
      </c>
      <c r="BN20" s="574">
        <f>$BQ60*BN$40</f>
        <v>49073.243919120003</v>
      </c>
      <c r="BO20" s="574">
        <f>$BQ60*BO$40</f>
        <v>54197.357742000015</v>
      </c>
      <c r="BP20" s="574">
        <f>$BQ60*BP$40</f>
        <v>61213.452053328008</v>
      </c>
      <c r="BQ20" s="574">
        <f>$BQ60*BQ$40</f>
        <v>87307.016289840016</v>
      </c>
      <c r="BR20" s="574">
        <f>$BX60*BR$40</f>
        <v>66227.265015523211</v>
      </c>
      <c r="BS20" s="574">
        <f>$BX60*BS$40</f>
        <v>65298.334730652001</v>
      </c>
      <c r="BT20" s="574">
        <f>$BX60*BT$40</f>
        <v>65844.764309988008</v>
      </c>
      <c r="BU20" s="574">
        <f>$BX60*BU$40</f>
        <v>68030.482627332007</v>
      </c>
      <c r="BV20" s="574">
        <f>$BX60*BV$40</f>
        <v>75134.067158700011</v>
      </c>
      <c r="BW20" s="574">
        <f>$BX60*BW$40</f>
        <v>84860.513670880799</v>
      </c>
      <c r="BX20" s="574">
        <f>$BX60*BX$40</f>
        <v>121034.151822924</v>
      </c>
      <c r="BY20" s="574">
        <f>$CE60*BY$40</f>
        <v>12016.335264480002</v>
      </c>
      <c r="BZ20" s="574">
        <f>$CE60*BZ$40</f>
        <v>11847.789307800002</v>
      </c>
      <c r="CA20" s="574">
        <f>$CE60*CA$40</f>
        <v>11946.9339882</v>
      </c>
      <c r="CB20" s="574">
        <f>$CE60*CB$40</f>
        <v>12343.512709800001</v>
      </c>
      <c r="CC20" s="574">
        <f>$CE60*CC$40</f>
        <v>13632.393555000002</v>
      </c>
      <c r="CD20" s="574">
        <f>$CE60*CD$40</f>
        <v>15397.168866120001</v>
      </c>
      <c r="CE20" s="574">
        <f>$CE60*CE$40</f>
        <v>21960.546708600003</v>
      </c>
    </row>
    <row r="21" spans="1:83">
      <c r="A21" s="1567" t="s">
        <v>42</v>
      </c>
      <c r="B21" s="574"/>
      <c r="C21" s="574"/>
      <c r="D21" s="574"/>
      <c r="E21" s="574"/>
      <c r="F21" s="574"/>
      <c r="G21" s="574"/>
      <c r="H21" s="574"/>
      <c r="I21" s="574"/>
      <c r="J21" s="574"/>
      <c r="K21" s="574"/>
      <c r="L21" s="1571">
        <f t="shared" si="12"/>
        <v>801404.74126799998</v>
      </c>
      <c r="M21" s="574">
        <f>M2+M3+M5+M9+M10+M11+M13</f>
        <v>97130.254641681589</v>
      </c>
      <c r="N21" s="574">
        <f t="shared" ref="N21:BZ21" si="24">N2+N3+N5+N9+N10+N11+N13</f>
        <v>95767.866581526003</v>
      </c>
      <c r="O21" s="574">
        <f t="shared" si="24"/>
        <v>96569.271322793997</v>
      </c>
      <c r="P21" s="574">
        <f t="shared" si="24"/>
        <v>99774.890287865986</v>
      </c>
      <c r="Q21" s="574">
        <f t="shared" si="24"/>
        <v>110193.15192435001</v>
      </c>
      <c r="R21" s="574">
        <f t="shared" si="24"/>
        <v>124458.15631892039</v>
      </c>
      <c r="S21" s="574">
        <f t="shared" si="24"/>
        <v>177511.15019086201</v>
      </c>
      <c r="T21" s="1571">
        <f t="shared" si="23"/>
        <v>614627.40168000013</v>
      </c>
      <c r="U21" s="574">
        <f t="shared" si="24"/>
        <v>74492.841083616018</v>
      </c>
      <c r="V21" s="574">
        <f t="shared" si="24"/>
        <v>73447.97450076</v>
      </c>
      <c r="W21" s="574">
        <f t="shared" si="24"/>
        <v>74062.601902440001</v>
      </c>
      <c r="X21" s="574">
        <f t="shared" si="24"/>
        <v>76521.111509160008</v>
      </c>
      <c r="Y21" s="574">
        <f t="shared" si="24"/>
        <v>84511.267731000014</v>
      </c>
      <c r="Z21" s="574">
        <f t="shared" si="24"/>
        <v>95451.635480904006</v>
      </c>
      <c r="AA21" s="574">
        <f t="shared" si="24"/>
        <v>136139.96947212002</v>
      </c>
      <c r="AB21" s="574">
        <f t="shared" si="24"/>
        <v>90991.135103760011</v>
      </c>
      <c r="AC21" s="574">
        <f t="shared" si="24"/>
        <v>89714.856806100011</v>
      </c>
      <c r="AD21" s="574">
        <f t="shared" si="24"/>
        <v>90465.608745899997</v>
      </c>
      <c r="AE21" s="574">
        <f t="shared" si="24"/>
        <v>93468.616505100013</v>
      </c>
      <c r="AF21" s="574">
        <f t="shared" si="24"/>
        <v>103228.39172250002</v>
      </c>
      <c r="AG21" s="574">
        <f t="shared" si="24"/>
        <v>116591.77625094001</v>
      </c>
      <c r="AH21" s="574">
        <f t="shared" si="24"/>
        <v>166291.55466570004</v>
      </c>
      <c r="AI21" s="574">
        <f t="shared" si="24"/>
        <v>111639.9998245968</v>
      </c>
      <c r="AJ21" s="574">
        <f t="shared" si="24"/>
        <v>110074.09223629801</v>
      </c>
      <c r="AK21" s="574">
        <f t="shared" si="24"/>
        <v>110995.21434706201</v>
      </c>
      <c r="AL21" s="574">
        <f t="shared" si="24"/>
        <v>114679.702790118</v>
      </c>
      <c r="AM21" s="574">
        <f t="shared" si="24"/>
        <v>126654.29023005001</v>
      </c>
      <c r="AN21" s="574">
        <f t="shared" si="24"/>
        <v>143050.26380164921</v>
      </c>
      <c r="AO21" s="574">
        <f t="shared" si="24"/>
        <v>204028.547534226</v>
      </c>
      <c r="AP21" s="574">
        <f t="shared" si="24"/>
        <v>106565.9744938752</v>
      </c>
      <c r="AQ21" s="574">
        <f t="shared" si="24"/>
        <v>105071.237227872</v>
      </c>
      <c r="AR21" s="574">
        <f t="shared" si="24"/>
        <v>105950.49444316801</v>
      </c>
      <c r="AS21" s="574">
        <f t="shared" si="24"/>
        <v>109467.523304352</v>
      </c>
      <c r="AT21" s="574">
        <f t="shared" si="24"/>
        <v>120897.86710320001</v>
      </c>
      <c r="AU21" s="574">
        <f t="shared" si="24"/>
        <v>136548.64553546879</v>
      </c>
      <c r="AV21" s="574">
        <f t="shared" si="24"/>
        <v>194755.473188064</v>
      </c>
      <c r="AW21" s="574">
        <f t="shared" si="24"/>
        <v>146936.473414056</v>
      </c>
      <c r="AX21" s="574">
        <f t="shared" si="24"/>
        <v>144875.48327541002</v>
      </c>
      <c r="AY21" s="574">
        <f t="shared" si="24"/>
        <v>146087.83041579</v>
      </c>
      <c r="AZ21" s="574">
        <f t="shared" si="24"/>
        <v>150937.21897731</v>
      </c>
      <c r="BA21" s="574">
        <f t="shared" si="24"/>
        <v>166697.73180225003</v>
      </c>
      <c r="BB21" s="574">
        <f t="shared" si="24"/>
        <v>188277.510901014</v>
      </c>
      <c r="BC21" s="574">
        <f t="shared" si="24"/>
        <v>268534.89159417001</v>
      </c>
      <c r="BD21" s="574">
        <f t="shared" si="24"/>
        <v>190406.95419886563</v>
      </c>
      <c r="BE21" s="574">
        <f t="shared" si="24"/>
        <v>187736.22959376604</v>
      </c>
      <c r="BF21" s="574">
        <f t="shared" si="24"/>
        <v>189307.24406735401</v>
      </c>
      <c r="BG21" s="574">
        <f t="shared" si="24"/>
        <v>195591.30196170599</v>
      </c>
      <c r="BH21" s="574">
        <f t="shared" si="24"/>
        <v>216014.49011835002</v>
      </c>
      <c r="BI21" s="574">
        <f t="shared" si="24"/>
        <v>243978.54774821637</v>
      </c>
      <c r="BJ21" s="574">
        <f t="shared" si="24"/>
        <v>347979.70589974202</v>
      </c>
      <c r="BK21" s="574">
        <f t="shared" si="24"/>
        <v>269833.37917947845</v>
      </c>
      <c r="BL21" s="574">
        <f t="shared" si="24"/>
        <v>266048.58755732398</v>
      </c>
      <c r="BM21" s="574">
        <f t="shared" si="24"/>
        <v>268274.93557035597</v>
      </c>
      <c r="BN21" s="574">
        <f t="shared" si="24"/>
        <v>277180.32762248395</v>
      </c>
      <c r="BO21" s="574">
        <f t="shared" si="24"/>
        <v>306122.85179190006</v>
      </c>
      <c r="BP21" s="574">
        <f t="shared" si="24"/>
        <v>345751.8464238696</v>
      </c>
      <c r="BQ21" s="574">
        <f t="shared" si="24"/>
        <v>493136.08488658804</v>
      </c>
      <c r="BR21" s="574">
        <f t="shared" si="24"/>
        <v>384562.09709773923</v>
      </c>
      <c r="BS21" s="574">
        <f t="shared" si="24"/>
        <v>379168.07428366202</v>
      </c>
      <c r="BT21" s="574">
        <f t="shared" si="24"/>
        <v>382341.028880178</v>
      </c>
      <c r="BU21" s="574">
        <f t="shared" si="24"/>
        <v>395032.84726624197</v>
      </c>
      <c r="BV21" s="574">
        <f t="shared" si="24"/>
        <v>436281.25702095008</v>
      </c>
      <c r="BW21" s="574">
        <f t="shared" si="24"/>
        <v>492759.84883893491</v>
      </c>
      <c r="BX21" s="574">
        <f t="shared" si="24"/>
        <v>702809.44312829408</v>
      </c>
      <c r="BY21" s="574">
        <f t="shared" si="24"/>
        <v>71186.712587711998</v>
      </c>
      <c r="BZ21" s="574">
        <f t="shared" si="24"/>
        <v>70188.219094319997</v>
      </c>
      <c r="CA21" s="574">
        <f t="shared" ref="CA21:CE21" si="25">CA2+CA3+CA5+CA9+CA10+CA11+CA13</f>
        <v>70775.568208080003</v>
      </c>
      <c r="CB21" s="574">
        <f t="shared" si="25"/>
        <v>73124.964663120016</v>
      </c>
      <c r="CC21" s="574">
        <f t="shared" si="25"/>
        <v>80760.503142000016</v>
      </c>
      <c r="CD21" s="574">
        <f t="shared" si="25"/>
        <v>91215.317366928008</v>
      </c>
      <c r="CE21" s="574">
        <f t="shared" si="25"/>
        <v>130097.82869783998</v>
      </c>
    </row>
    <row r="22" spans="1:83">
      <c r="A22" s="1567" t="s">
        <v>43</v>
      </c>
      <c r="B22" s="574"/>
      <c r="C22" s="574"/>
      <c r="D22" s="574"/>
      <c r="E22" s="574"/>
      <c r="F22" s="574"/>
      <c r="G22" s="574"/>
      <c r="H22" s="574"/>
      <c r="I22" s="574"/>
      <c r="J22" s="574"/>
      <c r="K22" s="574"/>
      <c r="L22" s="1571">
        <f t="shared" si="12"/>
        <v>715251.30624000006</v>
      </c>
      <c r="M22" s="574">
        <f>M7+M12+M17+M18+M19+M20</f>
        <v>86688.458316288015</v>
      </c>
      <c r="N22" s="574">
        <f t="shared" ref="N22:BZ22" si="26">N7+N12+N17+N18+N19+N20</f>
        <v>85472.531095680009</v>
      </c>
      <c r="O22" s="574">
        <f t="shared" si="26"/>
        <v>86187.782401919991</v>
      </c>
      <c r="P22" s="574">
        <f t="shared" si="26"/>
        <v>89048.787626880017</v>
      </c>
      <c r="Q22" s="574">
        <f t="shared" si="26"/>
        <v>98347.054608000006</v>
      </c>
      <c r="R22" s="574">
        <f t="shared" si="26"/>
        <v>111078.52785907201</v>
      </c>
      <c r="S22" s="574">
        <f t="shared" si="26"/>
        <v>158428.16433216003</v>
      </c>
      <c r="T22" s="1571">
        <f t="shared" si="23"/>
        <v>552065.03834400012</v>
      </c>
      <c r="U22" s="574">
        <f t="shared" si="26"/>
        <v>66910.282647292814</v>
      </c>
      <c r="V22" s="574">
        <f t="shared" si="26"/>
        <v>65971.772082108</v>
      </c>
      <c r="W22" s="574">
        <f t="shared" si="26"/>
        <v>66523.837120452008</v>
      </c>
      <c r="X22" s="574">
        <f t="shared" si="26"/>
        <v>68732.097273828011</v>
      </c>
      <c r="Y22" s="574">
        <f t="shared" si="26"/>
        <v>75908.942772300012</v>
      </c>
      <c r="Z22" s="574">
        <f t="shared" si="26"/>
        <v>85735.700454823207</v>
      </c>
      <c r="AA22" s="574">
        <f t="shared" si="26"/>
        <v>122282.40599319602</v>
      </c>
      <c r="AB22" s="574">
        <f t="shared" si="26"/>
        <v>83515.371807945616</v>
      </c>
      <c r="AC22" s="574">
        <f t="shared" si="26"/>
        <v>82343.951576315987</v>
      </c>
      <c r="AD22" s="574">
        <f t="shared" si="26"/>
        <v>83033.02230080399</v>
      </c>
      <c r="AE22" s="574">
        <f t="shared" si="26"/>
        <v>85789.305198755988</v>
      </c>
      <c r="AF22" s="574">
        <f t="shared" si="26"/>
        <v>94747.224617100015</v>
      </c>
      <c r="AG22" s="574">
        <f t="shared" si="26"/>
        <v>107012.6835129864</v>
      </c>
      <c r="AH22" s="574">
        <f t="shared" si="26"/>
        <v>152629.16547409203</v>
      </c>
      <c r="AI22" s="574">
        <f t="shared" si="26"/>
        <v>103499.22466280161</v>
      </c>
      <c r="AJ22" s="574">
        <f t="shared" si="26"/>
        <v>102047.50286472602</v>
      </c>
      <c r="AK22" s="574">
        <f t="shared" si="26"/>
        <v>102901.45686359401</v>
      </c>
      <c r="AL22" s="574">
        <f t="shared" si="26"/>
        <v>106317.27285906601</v>
      </c>
      <c r="AM22" s="574">
        <f t="shared" si="26"/>
        <v>117418.67484435003</v>
      </c>
      <c r="AN22" s="574">
        <f t="shared" si="26"/>
        <v>132619.05602420043</v>
      </c>
      <c r="AO22" s="574">
        <f t="shared" si="26"/>
        <v>189150.81074926202</v>
      </c>
      <c r="AP22" s="574">
        <f t="shared" si="26"/>
        <v>110421.22279667039</v>
      </c>
      <c r="AQ22" s="574">
        <f t="shared" si="26"/>
        <v>108872.41026569399</v>
      </c>
      <c r="AR22" s="574">
        <f t="shared" si="26"/>
        <v>109783.47646038601</v>
      </c>
      <c r="AS22" s="574">
        <f t="shared" si="26"/>
        <v>113427.741239154</v>
      </c>
      <c r="AT22" s="574">
        <f t="shared" si="26"/>
        <v>125271.60177015001</v>
      </c>
      <c r="AU22" s="574">
        <f t="shared" si="26"/>
        <v>141488.5800356676</v>
      </c>
      <c r="AV22" s="574">
        <f t="shared" si="26"/>
        <v>201801.16212427802</v>
      </c>
      <c r="AW22" s="574">
        <f t="shared" si="26"/>
        <v>148074.05519504641</v>
      </c>
      <c r="AX22" s="574">
        <f t="shared" si="26"/>
        <v>145997.108876304</v>
      </c>
      <c r="AY22" s="574">
        <f t="shared" si="26"/>
        <v>147218.842004976</v>
      </c>
      <c r="AZ22" s="574">
        <f t="shared" si="26"/>
        <v>152105.774519664</v>
      </c>
      <c r="BA22" s="574">
        <f t="shared" si="26"/>
        <v>167988.3051924</v>
      </c>
      <c r="BB22" s="574">
        <f t="shared" si="26"/>
        <v>189735.15488276159</v>
      </c>
      <c r="BC22" s="574">
        <f t="shared" si="26"/>
        <v>270613.888000848</v>
      </c>
      <c r="BD22" s="574">
        <f t="shared" si="26"/>
        <v>179858.4175652976</v>
      </c>
      <c r="BE22" s="574">
        <f t="shared" si="26"/>
        <v>177335.650982286</v>
      </c>
      <c r="BF22" s="574">
        <f t="shared" si="26"/>
        <v>178819.63132523399</v>
      </c>
      <c r="BG22" s="574">
        <f t="shared" si="26"/>
        <v>184755.55269702603</v>
      </c>
      <c r="BH22" s="574">
        <f t="shared" si="26"/>
        <v>204047.29715535004</v>
      </c>
      <c r="BI22" s="574">
        <f t="shared" si="26"/>
        <v>230462.14725982441</v>
      </c>
      <c r="BJ22" s="574">
        <f t="shared" si="26"/>
        <v>328701.64596298203</v>
      </c>
      <c r="BK22" s="574">
        <f t="shared" si="26"/>
        <v>235665.27434767681</v>
      </c>
      <c r="BL22" s="574">
        <f t="shared" si="26"/>
        <v>232359.73832134804</v>
      </c>
      <c r="BM22" s="574">
        <f t="shared" si="26"/>
        <v>234304.17127801201</v>
      </c>
      <c r="BN22" s="574">
        <f t="shared" si="26"/>
        <v>242081.90310466799</v>
      </c>
      <c r="BO22" s="574">
        <f t="shared" si="26"/>
        <v>267359.53154130001</v>
      </c>
      <c r="BP22" s="574">
        <f t="shared" si="26"/>
        <v>301970.43816991919</v>
      </c>
      <c r="BQ22" s="574">
        <f t="shared" si="26"/>
        <v>430691.89990107599</v>
      </c>
      <c r="BR22" s="574">
        <f t="shared" si="26"/>
        <v>318742.81640552165</v>
      </c>
      <c r="BS22" s="574">
        <f t="shared" si="26"/>
        <v>314272.00132392597</v>
      </c>
      <c r="BT22" s="574">
        <f t="shared" si="26"/>
        <v>316901.89254839404</v>
      </c>
      <c r="BU22" s="574">
        <f t="shared" si="26"/>
        <v>327421.45744626602</v>
      </c>
      <c r="BV22" s="574">
        <f t="shared" si="26"/>
        <v>361610.04336435004</v>
      </c>
      <c r="BW22" s="574">
        <f t="shared" si="26"/>
        <v>408422.1071598804</v>
      </c>
      <c r="BX22" s="574">
        <f t="shared" si="26"/>
        <v>582520.90621966205</v>
      </c>
      <c r="BY22" s="574">
        <f t="shared" si="26"/>
        <v>67233.442671331199</v>
      </c>
      <c r="BZ22" s="574">
        <f t="shared" si="26"/>
        <v>66290.399333531997</v>
      </c>
      <c r="CA22" s="574">
        <f t="shared" ref="CA22:CE22" si="27">CA7+CA12+CA17+CA18+CA19+CA20</f>
        <v>66845.130708708006</v>
      </c>
      <c r="CB22" s="574">
        <f t="shared" si="27"/>
        <v>69064.056209411996</v>
      </c>
      <c r="CC22" s="574">
        <f t="shared" si="27"/>
        <v>76275.564086700004</v>
      </c>
      <c r="CD22" s="574">
        <f t="shared" si="27"/>
        <v>86149.782564832814</v>
      </c>
      <c r="CE22" s="574">
        <f t="shared" si="27"/>
        <v>122872.99960148401</v>
      </c>
    </row>
    <row r="23" spans="1:83">
      <c r="A23" s="1567" t="s">
        <v>44</v>
      </c>
      <c r="B23" s="574"/>
      <c r="C23" s="574"/>
      <c r="D23" s="574"/>
      <c r="E23" s="574"/>
      <c r="F23" s="574"/>
      <c r="G23" s="574"/>
      <c r="H23" s="574"/>
      <c r="I23" s="574"/>
      <c r="J23" s="574"/>
      <c r="K23" s="574"/>
      <c r="L23" s="1571">
        <f t="shared" si="12"/>
        <v>668805.77383200009</v>
      </c>
      <c r="M23" s="574">
        <f>M4+M6+M8+M14+M15+M16</f>
        <v>81059.259788438401</v>
      </c>
      <c r="N23" s="574">
        <f t="shared" ref="N23:BZ23" si="28">N4+N6+N8+N14+N15+N16</f>
        <v>79922.289972924002</v>
      </c>
      <c r="O23" s="574">
        <f t="shared" si="28"/>
        <v>80591.095746756007</v>
      </c>
      <c r="P23" s="574">
        <f t="shared" si="28"/>
        <v>83266.318842084002</v>
      </c>
      <c r="Q23" s="574">
        <f t="shared" si="28"/>
        <v>91960.793901900004</v>
      </c>
      <c r="R23" s="574">
        <f t="shared" si="28"/>
        <v>103865.53667610959</v>
      </c>
      <c r="S23" s="574">
        <f t="shared" si="28"/>
        <v>148140.47890378803</v>
      </c>
      <c r="T23" s="1571">
        <f t="shared" si="23"/>
        <v>481196.65302000009</v>
      </c>
      <c r="U23" s="574">
        <f t="shared" si="28"/>
        <v>58321.034346024011</v>
      </c>
      <c r="V23" s="574">
        <f t="shared" si="28"/>
        <v>57503.000035890007</v>
      </c>
      <c r="W23" s="574">
        <f t="shared" si="28"/>
        <v>57984.19668891</v>
      </c>
      <c r="X23" s="574">
        <f t="shared" si="28"/>
        <v>59908.983300990003</v>
      </c>
      <c r="Y23" s="574">
        <f t="shared" si="28"/>
        <v>66164.539790250012</v>
      </c>
      <c r="Z23" s="574">
        <f t="shared" si="28"/>
        <v>74729.840214006006</v>
      </c>
      <c r="AA23" s="574">
        <f t="shared" si="28"/>
        <v>106585.05864393001</v>
      </c>
      <c r="AB23" s="574">
        <f t="shared" si="28"/>
        <v>74556.890721648</v>
      </c>
      <c r="AC23" s="574">
        <f t="shared" si="28"/>
        <v>73511.125752780004</v>
      </c>
      <c r="AD23" s="574">
        <f t="shared" si="28"/>
        <v>74126.281616820008</v>
      </c>
      <c r="AE23" s="574">
        <f t="shared" si="28"/>
        <v>76586.905072980007</v>
      </c>
      <c r="AF23" s="574">
        <f t="shared" si="28"/>
        <v>84583.931305500009</v>
      </c>
      <c r="AG23" s="574">
        <f t="shared" si="28"/>
        <v>95533.705685412002</v>
      </c>
      <c r="AH23" s="574">
        <f t="shared" si="28"/>
        <v>136257.02388486001</v>
      </c>
      <c r="AI23" s="574">
        <f t="shared" si="28"/>
        <v>89469.101888121615</v>
      </c>
      <c r="AJ23" s="574">
        <f t="shared" si="28"/>
        <v>88214.172241175998</v>
      </c>
      <c r="AK23" s="574">
        <f t="shared" si="28"/>
        <v>88952.366151144</v>
      </c>
      <c r="AL23" s="574">
        <f t="shared" si="28"/>
        <v>91905.141791016009</v>
      </c>
      <c r="AM23" s="574">
        <f t="shared" si="28"/>
        <v>101501.66262060001</v>
      </c>
      <c r="AN23" s="574">
        <f t="shared" si="28"/>
        <v>114641.5142180304</v>
      </c>
      <c r="AO23" s="574">
        <f t="shared" si="28"/>
        <v>163509.95105791203</v>
      </c>
      <c r="AP23" s="574">
        <f t="shared" si="28"/>
        <v>86021.758153699207</v>
      </c>
      <c r="AQ23" s="574">
        <f t="shared" si="28"/>
        <v>84815.182338012004</v>
      </c>
      <c r="AR23" s="574">
        <f t="shared" si="28"/>
        <v>85524.932817828012</v>
      </c>
      <c r="AS23" s="574">
        <f t="shared" si="28"/>
        <v>88363.934737092</v>
      </c>
      <c r="AT23" s="574">
        <f t="shared" si="28"/>
        <v>97590.690974700032</v>
      </c>
      <c r="AU23" s="574">
        <f t="shared" si="28"/>
        <v>110224.2495154248</v>
      </c>
      <c r="AV23" s="574">
        <f t="shared" si="28"/>
        <v>157209.73127924401</v>
      </c>
      <c r="AW23" s="574">
        <f t="shared" si="28"/>
        <v>99231.488167132804</v>
      </c>
      <c r="AX23" s="574">
        <f t="shared" si="28"/>
        <v>97839.627359507984</v>
      </c>
      <c r="AY23" s="574">
        <f t="shared" si="28"/>
        <v>98658.369011051996</v>
      </c>
      <c r="AZ23" s="574">
        <f t="shared" si="28"/>
        <v>101933.335617228</v>
      </c>
      <c r="BA23" s="574">
        <f t="shared" si="28"/>
        <v>112576.97708730001</v>
      </c>
      <c r="BB23" s="574">
        <f t="shared" si="28"/>
        <v>127150.57848478321</v>
      </c>
      <c r="BC23" s="574">
        <f t="shared" si="28"/>
        <v>181351.275816996</v>
      </c>
      <c r="BD23" s="574">
        <f t="shared" si="28"/>
        <v>118253.5143866352</v>
      </c>
      <c r="BE23" s="574">
        <f t="shared" si="28"/>
        <v>116594.84298022199</v>
      </c>
      <c r="BF23" s="574">
        <f t="shared" si="28"/>
        <v>117570.532042818</v>
      </c>
      <c r="BG23" s="574">
        <f t="shared" si="28"/>
        <v>121473.288293202</v>
      </c>
      <c r="BH23" s="574">
        <f t="shared" si="28"/>
        <v>134157.24610695001</v>
      </c>
      <c r="BI23" s="574">
        <f t="shared" si="28"/>
        <v>151524.51142115879</v>
      </c>
      <c r="BJ23" s="574">
        <f t="shared" si="28"/>
        <v>216115.12736501399</v>
      </c>
      <c r="BK23" s="574">
        <f t="shared" si="28"/>
        <v>157002.31964658241</v>
      </c>
      <c r="BL23" s="574">
        <f t="shared" si="28"/>
        <v>154800.14189576401</v>
      </c>
      <c r="BM23" s="574">
        <f t="shared" si="28"/>
        <v>156095.54057271601</v>
      </c>
      <c r="BN23" s="574">
        <f t="shared" si="28"/>
        <v>161277.13528052397</v>
      </c>
      <c r="BO23" s="574">
        <f t="shared" si="28"/>
        <v>178117.31808090003</v>
      </c>
      <c r="BP23" s="574">
        <f t="shared" si="28"/>
        <v>201175.41453064562</v>
      </c>
      <c r="BQ23" s="574">
        <f t="shared" si="28"/>
        <v>286930.80694486806</v>
      </c>
      <c r="BR23" s="574">
        <f t="shared" si="28"/>
        <v>253230.7793335056</v>
      </c>
      <c r="BS23" s="574">
        <f t="shared" si="28"/>
        <v>249678.86246166599</v>
      </c>
      <c r="BT23" s="574">
        <f t="shared" si="28"/>
        <v>251768.22532745401</v>
      </c>
      <c r="BU23" s="574">
        <f t="shared" si="28"/>
        <v>260125.676790606</v>
      </c>
      <c r="BV23" s="574">
        <f t="shared" si="28"/>
        <v>287287.39404585003</v>
      </c>
      <c r="BW23" s="574">
        <f t="shared" si="28"/>
        <v>324478.05305687641</v>
      </c>
      <c r="BX23" s="574">
        <f t="shared" si="28"/>
        <v>462793.87477204204</v>
      </c>
      <c r="BY23" s="574">
        <f t="shared" si="28"/>
        <v>55316.757994977605</v>
      </c>
      <c r="BZ23" s="574">
        <f t="shared" si="28"/>
        <v>54540.862874586004</v>
      </c>
      <c r="CA23" s="574">
        <f t="shared" ref="CA23:CE23" si="29">CA4+CA6+CA8+CA14+CA15+CA16</f>
        <v>54997.271768933992</v>
      </c>
      <c r="CB23" s="574">
        <f t="shared" si="29"/>
        <v>56822.907346325999</v>
      </c>
      <c r="CC23" s="574">
        <f t="shared" si="29"/>
        <v>62756.22297285001</v>
      </c>
      <c r="CD23" s="574">
        <f t="shared" si="29"/>
        <v>70880.301292244403</v>
      </c>
      <c r="CE23" s="574">
        <f t="shared" si="29"/>
        <v>101094.570098082</v>
      </c>
    </row>
    <row r="24" spans="1:83">
      <c r="A24" s="1567" t="s">
        <v>523</v>
      </c>
      <c r="B24" s="574"/>
      <c r="C24" s="574"/>
      <c r="D24" s="574"/>
      <c r="E24" s="574"/>
      <c r="F24" s="574"/>
      <c r="G24" s="574"/>
      <c r="H24" s="574"/>
      <c r="I24" s="574"/>
      <c r="J24" s="574"/>
      <c r="K24" s="574"/>
      <c r="L24" s="1571">
        <f t="shared" si="12"/>
        <v>2185461.8213399998</v>
      </c>
      <c r="M24" s="574">
        <f>M21+M22+M23</f>
        <v>264877.97274640802</v>
      </c>
      <c r="N24" s="574">
        <f t="shared" ref="N24:BZ24" si="30">N21+N22+N23</f>
        <v>261162.68765013001</v>
      </c>
      <c r="O24" s="574">
        <f t="shared" si="30"/>
        <v>263348.14947146998</v>
      </c>
      <c r="P24" s="574">
        <f t="shared" si="30"/>
        <v>272089.99675683002</v>
      </c>
      <c r="Q24" s="574">
        <f t="shared" si="30"/>
        <v>300501.00043424999</v>
      </c>
      <c r="R24" s="574">
        <f t="shared" si="30"/>
        <v>339402.22085410199</v>
      </c>
      <c r="S24" s="574">
        <f t="shared" si="30"/>
        <v>484079.79342681007</v>
      </c>
      <c r="T24" s="1571">
        <f t="shared" si="23"/>
        <v>1647889.0930440004</v>
      </c>
      <c r="U24" s="574">
        <f t="shared" si="30"/>
        <v>199724.15807693286</v>
      </c>
      <c r="V24" s="574">
        <f t="shared" si="30"/>
        <v>196922.74661875798</v>
      </c>
      <c r="W24" s="574">
        <f t="shared" si="30"/>
        <v>198570.635711802</v>
      </c>
      <c r="X24" s="574">
        <f t="shared" si="30"/>
        <v>205162.19208397804</v>
      </c>
      <c r="Y24" s="574">
        <f t="shared" si="30"/>
        <v>226584.75029355002</v>
      </c>
      <c r="Z24" s="574">
        <f t="shared" si="30"/>
        <v>255917.17614973325</v>
      </c>
      <c r="AA24" s="574">
        <f t="shared" si="30"/>
        <v>365007.43410924607</v>
      </c>
      <c r="AB24" s="574">
        <f t="shared" si="30"/>
        <v>249063.39763335363</v>
      </c>
      <c r="AC24" s="574">
        <f t="shared" si="30"/>
        <v>245569.934135196</v>
      </c>
      <c r="AD24" s="574">
        <f t="shared" si="30"/>
        <v>247624.91266352398</v>
      </c>
      <c r="AE24" s="574">
        <f t="shared" si="30"/>
        <v>255844.82677683601</v>
      </c>
      <c r="AF24" s="574">
        <f t="shared" si="30"/>
        <v>282559.54764510004</v>
      </c>
      <c r="AG24" s="574">
        <f t="shared" si="30"/>
        <v>319138.16544933838</v>
      </c>
      <c r="AH24" s="574">
        <f t="shared" si="30"/>
        <v>455177.74402465206</v>
      </c>
      <c r="AI24" s="574">
        <f t="shared" si="30"/>
        <v>304608.32637552003</v>
      </c>
      <c r="AJ24" s="574">
        <f t="shared" si="30"/>
        <v>300335.76734220004</v>
      </c>
      <c r="AK24" s="574">
        <f t="shared" si="30"/>
        <v>302849.03736179997</v>
      </c>
      <c r="AL24" s="574">
        <f t="shared" si="30"/>
        <v>312902.11744020006</v>
      </c>
      <c r="AM24" s="574">
        <f t="shared" si="30"/>
        <v>345574.62769500003</v>
      </c>
      <c r="AN24" s="574">
        <f t="shared" si="30"/>
        <v>390310.83404387999</v>
      </c>
      <c r="AO24" s="574">
        <f t="shared" si="30"/>
        <v>556689.30934140005</v>
      </c>
      <c r="AP24" s="574">
        <f t="shared" si="30"/>
        <v>303008.95544424478</v>
      </c>
      <c r="AQ24" s="574">
        <f t="shared" si="30"/>
        <v>298758.82983157795</v>
      </c>
      <c r="AR24" s="574">
        <f t="shared" si="30"/>
        <v>301258.90372138203</v>
      </c>
      <c r="AS24" s="574">
        <f t="shared" si="30"/>
        <v>311259.19928059797</v>
      </c>
      <c r="AT24" s="574">
        <f t="shared" si="30"/>
        <v>343760.15984805004</v>
      </c>
      <c r="AU24" s="574">
        <f t="shared" si="30"/>
        <v>388261.47508656117</v>
      </c>
      <c r="AV24" s="574">
        <f t="shared" si="30"/>
        <v>553766.36659158603</v>
      </c>
      <c r="AW24" s="574">
        <f t="shared" si="30"/>
        <v>394242.01677623519</v>
      </c>
      <c r="AX24" s="574">
        <f t="shared" si="30"/>
        <v>388712.21951122198</v>
      </c>
      <c r="AY24" s="574">
        <f t="shared" si="30"/>
        <v>391965.04143181798</v>
      </c>
      <c r="AZ24" s="574">
        <f t="shared" si="30"/>
        <v>404976.329114202</v>
      </c>
      <c r="BA24" s="574">
        <f t="shared" si="30"/>
        <v>447263.01408195007</v>
      </c>
      <c r="BB24" s="574">
        <f t="shared" si="30"/>
        <v>505163.2442685588</v>
      </c>
      <c r="BC24" s="574">
        <f t="shared" si="30"/>
        <v>720500.05541201402</v>
      </c>
      <c r="BD24" s="574">
        <f t="shared" si="30"/>
        <v>488518.88615079847</v>
      </c>
      <c r="BE24" s="574">
        <f t="shared" si="30"/>
        <v>481666.72355627397</v>
      </c>
      <c r="BF24" s="574">
        <f t="shared" si="30"/>
        <v>485697.407435406</v>
      </c>
      <c r="BG24" s="574">
        <f t="shared" si="30"/>
        <v>501820.14295193402</v>
      </c>
      <c r="BH24" s="574">
        <f t="shared" si="30"/>
        <v>554219.0333806501</v>
      </c>
      <c r="BI24" s="574">
        <f t="shared" si="30"/>
        <v>625965.20642919955</v>
      </c>
      <c r="BJ24" s="574">
        <f t="shared" si="30"/>
        <v>892796.47922773799</v>
      </c>
      <c r="BK24" s="574">
        <f t="shared" si="30"/>
        <v>662500.97317373776</v>
      </c>
      <c r="BL24" s="574">
        <f t="shared" si="30"/>
        <v>653208.46777443599</v>
      </c>
      <c r="BM24" s="574">
        <f t="shared" si="30"/>
        <v>658674.647421084</v>
      </c>
      <c r="BN24" s="574">
        <f t="shared" si="30"/>
        <v>680539.36600767588</v>
      </c>
      <c r="BO24" s="574">
        <f t="shared" si="30"/>
        <v>751599.70141410013</v>
      </c>
      <c r="BP24" s="574">
        <f t="shared" si="30"/>
        <v>848897.69912443438</v>
      </c>
      <c r="BQ24" s="574">
        <f t="shared" si="30"/>
        <v>1210758.791732532</v>
      </c>
      <c r="BR24" s="574">
        <f t="shared" si="30"/>
        <v>956535.69283676636</v>
      </c>
      <c r="BS24" s="574">
        <f t="shared" si="30"/>
        <v>943118.93806925404</v>
      </c>
      <c r="BT24" s="574">
        <f t="shared" si="30"/>
        <v>951011.14675602608</v>
      </c>
      <c r="BU24" s="574">
        <f t="shared" si="30"/>
        <v>982579.98150311399</v>
      </c>
      <c r="BV24" s="574">
        <f t="shared" si="30"/>
        <v>1085178.6944311501</v>
      </c>
      <c r="BW24" s="574">
        <f t="shared" si="30"/>
        <v>1225660.0090556918</v>
      </c>
      <c r="BX24" s="574">
        <f t="shared" si="30"/>
        <v>1748124.224119998</v>
      </c>
      <c r="BY24" s="574">
        <f t="shared" si="30"/>
        <v>193736.91325402082</v>
      </c>
      <c r="BZ24" s="574">
        <f t="shared" si="30"/>
        <v>191019.48130243801</v>
      </c>
      <c r="CA24" s="574">
        <f t="shared" ref="CA24:CE24" si="31">CA21+CA22+CA23</f>
        <v>192617.97068572202</v>
      </c>
      <c r="CB24" s="574">
        <f t="shared" si="31"/>
        <v>199011.92821885803</v>
      </c>
      <c r="CC24" s="574">
        <f t="shared" si="31"/>
        <v>219792.29020155006</v>
      </c>
      <c r="CD24" s="574">
        <f t="shared" si="31"/>
        <v>248245.40122400521</v>
      </c>
      <c r="CE24" s="574">
        <f t="shared" si="31"/>
        <v>354065.39839740598</v>
      </c>
    </row>
    <row r="25" spans="1:83">
      <c r="A25" s="1569"/>
      <c r="B25" s="574"/>
      <c r="C25" s="574"/>
      <c r="D25" s="574"/>
      <c r="E25" s="574"/>
      <c r="F25" s="574"/>
      <c r="G25" s="574"/>
      <c r="H25" s="574"/>
      <c r="I25" s="574"/>
      <c r="J25" s="574"/>
      <c r="K25" s="574"/>
      <c r="L25" s="574"/>
      <c r="M25" s="574"/>
      <c r="N25" s="574"/>
      <c r="O25" s="574"/>
      <c r="P25" s="574"/>
      <c r="Q25" s="574"/>
      <c r="R25" s="574"/>
      <c r="S25" s="574"/>
      <c r="T25" s="574"/>
      <c r="U25" s="574"/>
      <c r="V25" s="574"/>
      <c r="W25" s="574"/>
      <c r="X25" s="574"/>
      <c r="Y25" s="574"/>
      <c r="Z25" s="574"/>
      <c r="AA25" s="574"/>
      <c r="AB25" s="574"/>
      <c r="AC25" s="574"/>
      <c r="AD25" s="574"/>
      <c r="AE25" s="574"/>
      <c r="AF25" s="574"/>
      <c r="AG25" s="574"/>
      <c r="AH25" s="574"/>
      <c r="AI25" s="574"/>
      <c r="AJ25" s="574"/>
      <c r="AK25" s="574"/>
      <c r="AL25" s="574"/>
      <c r="AM25" s="574"/>
      <c r="AN25" s="574"/>
      <c r="AO25" s="574"/>
      <c r="AP25" s="574"/>
      <c r="AQ25" s="574"/>
      <c r="AR25" s="574"/>
      <c r="AS25" s="574"/>
      <c r="AT25" s="574"/>
      <c r="AU25" s="574"/>
      <c r="AV25" s="574"/>
      <c r="AW25" s="574"/>
      <c r="AX25" s="574"/>
      <c r="AY25" s="574"/>
      <c r="AZ25" s="574"/>
      <c r="BA25" s="574"/>
      <c r="BB25" s="574"/>
      <c r="BC25" s="574"/>
      <c r="BD25" s="574"/>
      <c r="BE25" s="574"/>
      <c r="BF25" s="574"/>
      <c r="BG25" s="574"/>
      <c r="BH25" s="574"/>
      <c r="BI25" s="574"/>
      <c r="BJ25" s="574"/>
      <c r="BK25" s="574"/>
      <c r="BL25" s="574"/>
      <c r="BM25" s="574"/>
      <c r="BN25" s="574"/>
      <c r="BO25" s="574"/>
      <c r="BP25" s="574"/>
      <c r="BQ25" s="574"/>
      <c r="BR25" s="574"/>
      <c r="BS25" s="574"/>
      <c r="BT25" s="574"/>
      <c r="BU25" s="574"/>
      <c r="BV25" s="574"/>
      <c r="BW25" s="574"/>
      <c r="BX25" s="574"/>
      <c r="BY25" s="574"/>
      <c r="BZ25" s="574"/>
      <c r="CA25" s="574"/>
      <c r="CB25" s="574"/>
      <c r="CC25" s="574"/>
      <c r="CD25" s="574"/>
      <c r="CE25" s="574"/>
    </row>
    <row r="26" spans="1:83">
      <c r="A26" s="9" t="s">
        <v>519</v>
      </c>
      <c r="B26" s="50">
        <v>44483</v>
      </c>
      <c r="C26" s="50">
        <v>44484</v>
      </c>
      <c r="D26" s="50">
        <v>44485</v>
      </c>
      <c r="E26" s="50">
        <v>44486</v>
      </c>
      <c r="F26" s="50">
        <v>44487</v>
      </c>
      <c r="G26" s="50">
        <v>44488</v>
      </c>
      <c r="H26" s="50">
        <v>44489</v>
      </c>
      <c r="I26" s="50">
        <v>44490</v>
      </c>
      <c r="J26" s="50">
        <v>44491</v>
      </c>
      <c r="K26" s="50">
        <v>44492</v>
      </c>
      <c r="L26" s="1570" t="s">
        <v>521</v>
      </c>
      <c r="M26" s="50">
        <v>44493</v>
      </c>
      <c r="N26" s="50">
        <v>44494</v>
      </c>
      <c r="O26" s="50">
        <v>44495</v>
      </c>
      <c r="P26" s="50">
        <v>44496</v>
      </c>
      <c r="Q26" s="50">
        <v>44497</v>
      </c>
      <c r="R26" s="50">
        <v>44498</v>
      </c>
      <c r="S26" s="50">
        <v>44499</v>
      </c>
      <c r="T26" s="1570" t="s">
        <v>522</v>
      </c>
      <c r="U26" s="50">
        <v>44500</v>
      </c>
      <c r="V26" s="50">
        <v>44501</v>
      </c>
      <c r="W26" s="50">
        <v>44502</v>
      </c>
      <c r="X26" s="50">
        <v>44503</v>
      </c>
      <c r="Y26" s="50">
        <v>44504</v>
      </c>
      <c r="Z26" s="50">
        <v>44505</v>
      </c>
      <c r="AA26" s="50">
        <v>44506</v>
      </c>
      <c r="AB26" s="50">
        <v>44507</v>
      </c>
      <c r="AC26" s="50">
        <v>44508</v>
      </c>
      <c r="AD26" s="50">
        <v>44509</v>
      </c>
      <c r="AE26" s="50">
        <v>44510</v>
      </c>
      <c r="AF26" s="50">
        <v>44511</v>
      </c>
      <c r="AG26" s="50">
        <v>44512</v>
      </c>
      <c r="AH26" s="50">
        <v>44513</v>
      </c>
      <c r="AI26" s="50">
        <v>44514</v>
      </c>
      <c r="AJ26" s="50">
        <v>44515</v>
      </c>
      <c r="AK26" s="50">
        <v>44516</v>
      </c>
      <c r="AL26" s="50">
        <v>44517</v>
      </c>
      <c r="AM26" s="50">
        <v>44518</v>
      </c>
      <c r="AN26" s="50">
        <v>44519</v>
      </c>
      <c r="AO26" s="50">
        <v>44520</v>
      </c>
      <c r="AP26" s="50">
        <v>44521</v>
      </c>
      <c r="AQ26" s="50">
        <v>44522</v>
      </c>
      <c r="AR26" s="50">
        <v>44523</v>
      </c>
      <c r="AS26" s="50">
        <v>44524</v>
      </c>
      <c r="AT26" s="50">
        <v>44525</v>
      </c>
      <c r="AU26" s="50">
        <v>44526</v>
      </c>
      <c r="AV26" s="50">
        <v>44527</v>
      </c>
      <c r="AW26" s="50">
        <v>44528</v>
      </c>
      <c r="AX26" s="50">
        <v>44529</v>
      </c>
      <c r="AY26" s="50">
        <v>44530</v>
      </c>
      <c r="AZ26" s="50">
        <v>44531</v>
      </c>
      <c r="BA26" s="50">
        <v>44532</v>
      </c>
      <c r="BB26" s="50">
        <v>44533</v>
      </c>
      <c r="BC26" s="50">
        <v>44534</v>
      </c>
      <c r="BD26" s="50">
        <v>44535</v>
      </c>
      <c r="BE26" s="50">
        <v>44536</v>
      </c>
      <c r="BF26" s="50">
        <v>44537</v>
      </c>
      <c r="BG26" s="50">
        <v>44538</v>
      </c>
      <c r="BH26" s="50">
        <v>44539</v>
      </c>
      <c r="BI26" s="50">
        <v>44540</v>
      </c>
      <c r="BJ26" s="50">
        <v>44541</v>
      </c>
      <c r="BK26" s="50">
        <v>44542</v>
      </c>
      <c r="BL26" s="50">
        <v>44543</v>
      </c>
      <c r="BM26" s="50">
        <v>44544</v>
      </c>
      <c r="BN26" s="50">
        <v>44545</v>
      </c>
      <c r="BO26" s="50">
        <v>44546</v>
      </c>
      <c r="BP26" s="50">
        <v>44547</v>
      </c>
      <c r="BQ26" s="50">
        <v>44548</v>
      </c>
      <c r="BR26" s="50">
        <v>44549</v>
      </c>
      <c r="BS26" s="50">
        <v>44550</v>
      </c>
      <c r="BT26" s="50">
        <v>44551</v>
      </c>
      <c r="BU26" s="50">
        <v>44552</v>
      </c>
      <c r="BV26" s="50">
        <v>44553</v>
      </c>
      <c r="BW26" s="50">
        <v>44554</v>
      </c>
      <c r="BX26" s="50">
        <v>44555</v>
      </c>
      <c r="BY26" s="50">
        <v>44556</v>
      </c>
      <c r="BZ26" s="50">
        <v>44557</v>
      </c>
      <c r="CA26" s="50">
        <v>44558</v>
      </c>
      <c r="CB26" s="50">
        <v>44559</v>
      </c>
      <c r="CC26" s="50">
        <v>44560</v>
      </c>
      <c r="CD26" s="50">
        <v>44561</v>
      </c>
      <c r="CE26" s="50">
        <v>44562</v>
      </c>
    </row>
    <row r="27" spans="1:83">
      <c r="A27" s="1568" t="s">
        <v>28</v>
      </c>
      <c r="B27" s="574">
        <f>'Vtas Diarias 2021'!XD26</f>
        <v>19947.304789999998</v>
      </c>
      <c r="C27" s="574">
        <f>'Vtas Diarias 2021'!XH26</f>
        <v>22796.919759999997</v>
      </c>
      <c r="D27" s="574">
        <f>'Vtas Diarias 2021'!XL26</f>
        <v>31345.764669999997</v>
      </c>
      <c r="E27" s="574">
        <f>$K61*E$40</f>
        <v>17459.230798310404</v>
      </c>
      <c r="F27" s="574">
        <f>$K61*F$40</f>
        <v>17214.340597344002</v>
      </c>
      <c r="G27" s="574">
        <f>$K61*G$40</f>
        <v>17358.393656736003</v>
      </c>
      <c r="H27" s="574">
        <f>$K61*H$40</f>
        <v>17934.605894304004</v>
      </c>
      <c r="I27" s="574">
        <f>$K61*I$40</f>
        <v>19807.295666400005</v>
      </c>
      <c r="J27" s="574">
        <f>$K61*J$40</f>
        <v>22371.440123577602</v>
      </c>
      <c r="K27" s="574">
        <f>$K61*K$40</f>
        <v>31907.752655328004</v>
      </c>
      <c r="L27" s="1571">
        <f t="shared" ref="L27:L39" si="32">SUM(M27:S27)</f>
        <v>158348.61806400001</v>
      </c>
      <c r="M27" s="574">
        <f>$S61*M$40</f>
        <v>19191.852509356802</v>
      </c>
      <c r="N27" s="574">
        <f>$S61*N$40</f>
        <v>18922.659858647999</v>
      </c>
      <c r="O27" s="574">
        <f>$S61*O$40</f>
        <v>19081.008476711999</v>
      </c>
      <c r="P27" s="574">
        <f>$S61*P$40</f>
        <v>19714.402948968</v>
      </c>
      <c r="Q27" s="574">
        <f>$S61*Q$40</f>
        <v>21772.934983800002</v>
      </c>
      <c r="R27" s="574">
        <f>$S61*R$40</f>
        <v>24591.540385339202</v>
      </c>
      <c r="S27" s="574">
        <f>$S61*S$40</f>
        <v>35074.218901176006</v>
      </c>
      <c r="T27" s="1571">
        <f>SUM(U27:AA27)</f>
        <v>133679.87020800001</v>
      </c>
      <c r="U27" s="574">
        <f>$AA61*U$40</f>
        <v>16202.0002692096</v>
      </c>
      <c r="V27" s="574">
        <f>$AA61*V$40</f>
        <v>15974.744489856001</v>
      </c>
      <c r="W27" s="574">
        <f>$AA61*W$40</f>
        <v>16108.424360064</v>
      </c>
      <c r="X27" s="574">
        <f>$AA61*X$40</f>
        <v>16643.143840896002</v>
      </c>
      <c r="Y27" s="574">
        <f>$AA61*Y$40</f>
        <v>18380.982153600002</v>
      </c>
      <c r="Z27" s="574">
        <f>$AA61*Z$40</f>
        <v>20760.483843302402</v>
      </c>
      <c r="AA27" s="574">
        <f>$AA61*AA$40</f>
        <v>29610.091251072001</v>
      </c>
      <c r="AB27" s="574">
        <f>$AH61*AB$40</f>
        <v>22577.971655577599</v>
      </c>
      <c r="AC27" s="574">
        <f>$AH61*AC$40</f>
        <v>22261.283934335999</v>
      </c>
      <c r="AD27" s="574">
        <f>$AH61*AD$40</f>
        <v>22447.570829183998</v>
      </c>
      <c r="AE27" s="574">
        <f>$AH61*AE$40</f>
        <v>23192.718408575998</v>
      </c>
      <c r="AF27" s="574">
        <f>$AH61*AF$40</f>
        <v>25614.448041600001</v>
      </c>
      <c r="AG27" s="574">
        <f>$AH61*AG$40</f>
        <v>28930.354769894398</v>
      </c>
      <c r="AH27" s="574">
        <f>$AH61*AH$40</f>
        <v>41262.547208832002</v>
      </c>
      <c r="AI27" s="574">
        <f>$AO61*AI$40</f>
        <v>28790.003655705605</v>
      </c>
      <c r="AJ27" s="574">
        <f>$AO61*AJ$40</f>
        <v>28386.183472416003</v>
      </c>
      <c r="AK27" s="574">
        <f>$AO61*AK$40</f>
        <v>28623.724756704003</v>
      </c>
      <c r="AL27" s="574">
        <f>$AO61*AL$40</f>
        <v>29573.889893856001</v>
      </c>
      <c r="AM27" s="574">
        <f>$AO61*AM$40</f>
        <v>32661.926589600007</v>
      </c>
      <c r="AN27" s="574">
        <f>$AO61*AN$40</f>
        <v>36890.161449926403</v>
      </c>
      <c r="AO27" s="574">
        <f>$AO61*AO$40</f>
        <v>52615.394469792009</v>
      </c>
      <c r="AP27" s="574">
        <f>$AV61*AP$40</f>
        <v>28803.804989616001</v>
      </c>
      <c r="AQ27" s="574">
        <f>$AV61*AQ$40</f>
        <v>28399.791223259999</v>
      </c>
      <c r="AR27" s="574">
        <f>$AV61*AR$40</f>
        <v>28637.44637994</v>
      </c>
      <c r="AS27" s="574">
        <f>$AV61*AS$40</f>
        <v>29588.067006660003</v>
      </c>
      <c r="AT27" s="574">
        <f>$AV61*AT$40</f>
        <v>32677.584043500006</v>
      </c>
      <c r="AU27" s="574">
        <f>$AV61*AU$40</f>
        <v>36907.845832404004</v>
      </c>
      <c r="AV27" s="574">
        <f>$AV61*AV$40</f>
        <v>52640.617204620001</v>
      </c>
      <c r="AW27" s="574">
        <f>$BC61*AW$40</f>
        <v>33076.834749360001</v>
      </c>
      <c r="AX27" s="574">
        <f>$BC61*AX$40</f>
        <v>32612.885747100001</v>
      </c>
      <c r="AY27" s="574">
        <f>$BC61*AY$40</f>
        <v>32885.796924900002</v>
      </c>
      <c r="AZ27" s="574">
        <f>$BC61*AZ$40</f>
        <v>33977.441636100004</v>
      </c>
      <c r="BA27" s="574">
        <f>$BC61*BA$40</f>
        <v>37525.286947500004</v>
      </c>
      <c r="BB27" s="574">
        <f>$BC61*BB$40</f>
        <v>42383.105912339997</v>
      </c>
      <c r="BC27" s="574">
        <f>$BC61*BC$40</f>
        <v>60449.825882700003</v>
      </c>
      <c r="BD27" s="574">
        <f>$BJ61*BD$40</f>
        <v>32447.901721680006</v>
      </c>
      <c r="BE27" s="574">
        <f>$BJ61*BE$40</f>
        <v>31992.774387300004</v>
      </c>
      <c r="BF27" s="574">
        <f>$BJ61*BF$40</f>
        <v>32260.496348700002</v>
      </c>
      <c r="BG27" s="574">
        <f>$BJ61*BG$40</f>
        <v>33331.384194300001</v>
      </c>
      <c r="BH27" s="574">
        <f>$BJ61*BH$40</f>
        <v>36811.769692500005</v>
      </c>
      <c r="BI27" s="574">
        <f>$BJ61*BI$40</f>
        <v>41577.22060542</v>
      </c>
      <c r="BJ27" s="574">
        <f>$BJ61*BJ$40</f>
        <v>59300.414450100005</v>
      </c>
      <c r="BK27" s="574">
        <f>$BQ61*BK$40</f>
        <v>42059.950096348803</v>
      </c>
      <c r="BL27" s="574">
        <f>$BQ61*BL$40</f>
        <v>41470.000301268003</v>
      </c>
      <c r="BM27" s="574">
        <f>$BQ61*BM$40</f>
        <v>41817.029592492006</v>
      </c>
      <c r="BN27" s="574">
        <f>$BQ61*BN$40</f>
        <v>43205.146757388007</v>
      </c>
      <c r="BO27" s="574">
        <f>$BQ61*BO$40</f>
        <v>47716.527543300013</v>
      </c>
      <c r="BP27" s="574">
        <f>$BQ61*BP$40</f>
        <v>53893.648927087204</v>
      </c>
      <c r="BQ27" s="574">
        <f>$BQ61*BQ$40</f>
        <v>76866.988006116007</v>
      </c>
      <c r="BR27" s="574">
        <f>$BX61*BR$40</f>
        <v>68501.246364100807</v>
      </c>
      <c r="BS27" s="574">
        <f>$BX61*BS$40</f>
        <v>67540.420301238002</v>
      </c>
      <c r="BT27" s="574">
        <f>$BX61*BT$40</f>
        <v>68105.612102922008</v>
      </c>
      <c r="BU27" s="574">
        <f>$BX61*BU$40</f>
        <v>70366.379309658005</v>
      </c>
      <c r="BV27" s="574">
        <f>$BX61*BV$40</f>
        <v>77713.872731550015</v>
      </c>
      <c r="BW27" s="574">
        <f>$BX61*BW$40</f>
        <v>87774.286801525202</v>
      </c>
      <c r="BX27" s="574">
        <f>$BX61*BX$40</f>
        <v>125189.98407300601</v>
      </c>
      <c r="BY27" s="574">
        <f>$CE61*BY$40</f>
        <v>21047.503802759999</v>
      </c>
      <c r="BZ27" s="574">
        <f>$CE61*BZ$40</f>
        <v>20752.283039849997</v>
      </c>
      <c r="CA27" s="574">
        <f>$CE61*CA$40</f>
        <v>20925.942312149997</v>
      </c>
      <c r="CB27" s="574">
        <f>$CE61*CB$40</f>
        <v>21620.579401349998</v>
      </c>
      <c r="CC27" s="574">
        <f>$CE61*CC$40</f>
        <v>23878.149941249998</v>
      </c>
      <c r="CD27" s="574">
        <f>$CE61*CD$40</f>
        <v>26969.284988189997</v>
      </c>
      <c r="CE27" s="574">
        <f>$CE61*CE$40</f>
        <v>38465.528814449994</v>
      </c>
    </row>
    <row r="28" spans="1:83">
      <c r="A28" s="1568" t="s">
        <v>29</v>
      </c>
      <c r="B28" s="574">
        <f>'Vtas Diarias 2021'!XD27</f>
        <v>20356.959840000007</v>
      </c>
      <c r="C28" s="574">
        <f>'Vtas Diarias 2021'!XH27</f>
        <v>23265.096960000006</v>
      </c>
      <c r="D28" s="574">
        <f>'Vtas Diarias 2021'!XL27</f>
        <v>31989.508320000008</v>
      </c>
      <c r="E28" s="574">
        <f>$K62*E$40</f>
        <v>22549.849814952002</v>
      </c>
      <c r="F28" s="574">
        <f>$K62*F$40</f>
        <v>22233.55654197</v>
      </c>
      <c r="G28" s="574">
        <f>$K62*G$40</f>
        <v>22419.611408430002</v>
      </c>
      <c r="H28" s="574">
        <f>$K62*H$40</f>
        <v>23163.830874270003</v>
      </c>
      <c r="I28" s="574">
        <f>$K62*I$40</f>
        <v>25582.544138250003</v>
      </c>
      <c r="J28" s="574">
        <f>$K62*J$40</f>
        <v>28894.320761238003</v>
      </c>
      <c r="K28" s="574">
        <f>$K62*K$40</f>
        <v>41211.152920890003</v>
      </c>
      <c r="L28" s="1571">
        <f t="shared" si="32"/>
        <v>185428.92124800003</v>
      </c>
      <c r="M28" s="574">
        <f>$S62*M$40</f>
        <v>22473.985255257605</v>
      </c>
      <c r="N28" s="574">
        <f>$S62*N$40</f>
        <v>22158.756089136001</v>
      </c>
      <c r="O28" s="574">
        <f>$S62*O$40</f>
        <v>22344.185010384004</v>
      </c>
      <c r="P28" s="574">
        <f>$S62*P$40</f>
        <v>23085.900695376004</v>
      </c>
      <c r="Q28" s="574">
        <f>$S62*Q$40</f>
        <v>25496.476671600005</v>
      </c>
      <c r="R28" s="574">
        <f>$S62*R$40</f>
        <v>28797.111469814405</v>
      </c>
      <c r="S28" s="574">
        <f>$S62*S$40</f>
        <v>41072.506056432008</v>
      </c>
      <c r="T28" s="1571">
        <f t="shared" ref="T27:T39" si="33">SUM(U28:AA28)</f>
        <v>149292.06033600002</v>
      </c>
      <c r="U28" s="574">
        <f>$AA62*U$40</f>
        <v>18094.197712723202</v>
      </c>
      <c r="V28" s="574">
        <f>$AA62*V$40</f>
        <v>17840.401210152002</v>
      </c>
      <c r="W28" s="574">
        <f>$AA62*W$40</f>
        <v>17989.693270488002</v>
      </c>
      <c r="X28" s="574">
        <f>$AA62*X$40</f>
        <v>18586.861511832001</v>
      </c>
      <c r="Y28" s="574">
        <f>$AA62*Y$40</f>
        <v>20527.658296200007</v>
      </c>
      <c r="Z28" s="574">
        <f>$AA62*Z$40</f>
        <v>23185.056970180802</v>
      </c>
      <c r="AA28" s="574">
        <f>$AA62*AA$40</f>
        <v>33068.191364424005</v>
      </c>
      <c r="AB28" s="574">
        <f>$AH62*AB$40</f>
        <v>26979.899052268804</v>
      </c>
      <c r="AC28" s="574">
        <f>$AH62*AC$40</f>
        <v>26601.468124968</v>
      </c>
      <c r="AD28" s="574">
        <f>$AH62*AD$40</f>
        <v>26824.074552792001</v>
      </c>
      <c r="AE28" s="574">
        <f>$AH62*AE$40</f>
        <v>27714.500264088001</v>
      </c>
      <c r="AF28" s="574">
        <f>$AH62*AF$40</f>
        <v>30608.383825800003</v>
      </c>
      <c r="AG28" s="574">
        <f>$AH62*AG$40</f>
        <v>34570.778241067201</v>
      </c>
      <c r="AH28" s="574">
        <f>$AH62*AH$40</f>
        <v>49307.323763016</v>
      </c>
      <c r="AI28" s="574">
        <f>$AO62*AI$40</f>
        <v>28454.8024431792</v>
      </c>
      <c r="AJ28" s="574">
        <f>$AO62*AJ$40</f>
        <v>28055.683927061997</v>
      </c>
      <c r="AK28" s="574">
        <f>$AO62*AK$40</f>
        <v>28290.459524777998</v>
      </c>
      <c r="AL28" s="574">
        <f>$AO62*AL$40</f>
        <v>29229.561915642</v>
      </c>
      <c r="AM28" s="574">
        <f>$AO62*AM$40</f>
        <v>32281.644685950003</v>
      </c>
      <c r="AN28" s="574">
        <f>$AO62*AN$40</f>
        <v>36460.650325294795</v>
      </c>
      <c r="AO28" s="574">
        <f>$AO62*AO$40</f>
        <v>52002.794894093997</v>
      </c>
      <c r="AP28" s="574">
        <f>$AV62*AP$40</f>
        <v>26472.806822563201</v>
      </c>
      <c r="AQ28" s="574">
        <f>$AV62*AQ$40</f>
        <v>26101.488575051997</v>
      </c>
      <c r="AR28" s="574">
        <f>$AV62*AR$40</f>
        <v>26319.911073587999</v>
      </c>
      <c r="AS28" s="574">
        <f>$AV62*AS$40</f>
        <v>27193.601067732001</v>
      </c>
      <c r="AT28" s="574">
        <f>$AV62*AT$40</f>
        <v>30033.093548700002</v>
      </c>
      <c r="AU28" s="574">
        <f>$AV62*AU$40</f>
        <v>33921.014022640797</v>
      </c>
      <c r="AV28" s="574">
        <f>$AV62*AV$40</f>
        <v>48380.583425723999</v>
      </c>
      <c r="AW28" s="574">
        <f>$BC62*AW$40</f>
        <v>31287.797830943997</v>
      </c>
      <c r="AX28" s="574">
        <f>$BC62*AX$40</f>
        <v>30848.942580839997</v>
      </c>
      <c r="AY28" s="574">
        <f>$BC62*AY$40</f>
        <v>31107.092727959996</v>
      </c>
      <c r="AZ28" s="574">
        <f>$BC62*AZ$40</f>
        <v>32139.693316439996</v>
      </c>
      <c r="BA28" s="574">
        <f>$BC62*BA$40</f>
        <v>35495.645229000002</v>
      </c>
      <c r="BB28" s="574">
        <f>$BC62*BB$40</f>
        <v>40090.717847735992</v>
      </c>
      <c r="BC28" s="574">
        <f>$BC62*BC$40</f>
        <v>57180.257587079999</v>
      </c>
      <c r="BD28" s="574">
        <f>$BJ62*BD$40</f>
        <v>44343.31297068001</v>
      </c>
      <c r="BE28" s="574">
        <f>$BJ62*BE$40</f>
        <v>43721.33580855</v>
      </c>
      <c r="BF28" s="574">
        <f>$BJ62*BF$40</f>
        <v>44087.204727450007</v>
      </c>
      <c r="BG28" s="574">
        <f>$BJ62*BG$40</f>
        <v>45550.680403050006</v>
      </c>
      <c r="BH28" s="574">
        <f>$BJ62*BH$40</f>
        <v>50306.976348750009</v>
      </c>
      <c r="BI28" s="574">
        <f>$BJ62*BI$40</f>
        <v>56819.443105170008</v>
      </c>
      <c r="BJ28" s="574">
        <f>$BJ62*BJ$40</f>
        <v>81039.965536350006</v>
      </c>
      <c r="BK28" s="574">
        <f>$BQ62*BK$40</f>
        <v>60022.517482511998</v>
      </c>
      <c r="BL28" s="574">
        <f>$BQ62*BL$40</f>
        <v>59180.617484819995</v>
      </c>
      <c r="BM28" s="574">
        <f>$BQ62*BM$40</f>
        <v>59675.852777579996</v>
      </c>
      <c r="BN28" s="574">
        <f>$BQ62*BN$40</f>
        <v>61656.793948619998</v>
      </c>
      <c r="BO28" s="574">
        <f>$BQ62*BO$40</f>
        <v>68094.852754499996</v>
      </c>
      <c r="BP28" s="574">
        <f>$BQ62*BP$40</f>
        <v>76910.040965627995</v>
      </c>
      <c r="BQ28" s="574">
        <f>$BQ62*BQ$40</f>
        <v>109694.61734633999</v>
      </c>
      <c r="BR28" s="574">
        <f>$BX62*BR$40</f>
        <v>89309.032429031999</v>
      </c>
      <c r="BS28" s="574">
        <f>$BX62*BS$40</f>
        <v>88056.347980769991</v>
      </c>
      <c r="BT28" s="574">
        <f>$BX62*BT$40</f>
        <v>88793.221185629984</v>
      </c>
      <c r="BU28" s="574">
        <f>$BX62*BU$40</f>
        <v>91740.714005069996</v>
      </c>
      <c r="BV28" s="574">
        <f>$BX62*BV$40</f>
        <v>101320.06566825</v>
      </c>
      <c r="BW28" s="574">
        <f>$BX62*BW$40</f>
        <v>114436.40871475798</v>
      </c>
      <c r="BX28" s="574">
        <f>$BX62*BX$40</f>
        <v>163217.41487648999</v>
      </c>
      <c r="BY28" s="574">
        <f>$CE62*BY$40</f>
        <v>27364.2692135904</v>
      </c>
      <c r="BZ28" s="574">
        <f>$CE62*BZ$40</f>
        <v>26980.446955643998</v>
      </c>
      <c r="CA28" s="574">
        <f>$CE62*CA$40</f>
        <v>27206.224754435996</v>
      </c>
      <c r="CB28" s="574">
        <f>$CE62*CB$40</f>
        <v>28109.335949603999</v>
      </c>
      <c r="CC28" s="574">
        <f>$CE62*CC$40</f>
        <v>31044.4473339</v>
      </c>
      <c r="CD28" s="574">
        <f>$CE62*CD$40</f>
        <v>35063.292152397597</v>
      </c>
      <c r="CE28" s="574">
        <f>$CE62*CE$40</f>
        <v>50009.782432428001</v>
      </c>
    </row>
    <row r="29" spans="1:83">
      <c r="A29" s="1568" t="s">
        <v>30</v>
      </c>
      <c r="B29" s="574">
        <f>'Vtas Diarias 2021'!XD28</f>
        <v>13640.962706000002</v>
      </c>
      <c r="C29" s="574">
        <f>'Vtas Diarias 2021'!XH28</f>
        <v>15589.671664</v>
      </c>
      <c r="D29" s="574">
        <f>'Vtas Diarias 2021'!XL28</f>
        <v>21435.798537999999</v>
      </c>
      <c r="E29" s="574">
        <f>$K63*E$40</f>
        <v>12659.754552480001</v>
      </c>
      <c r="F29" s="574">
        <f>$K63*F$40</f>
        <v>12482.1837378</v>
      </c>
      <c r="G29" s="574">
        <f>$K63*G$40</f>
        <v>12586.637158199999</v>
      </c>
      <c r="H29" s="574">
        <f>$K63*H$40</f>
        <v>13004.4508398</v>
      </c>
      <c r="I29" s="574">
        <f>$K63*I$40</f>
        <v>14362.345305000001</v>
      </c>
      <c r="J29" s="574">
        <f>$K63*J$40</f>
        <v>16221.616188120001</v>
      </c>
      <c r="K29" s="574">
        <f>$K63*K$40</f>
        <v>23136.4326186</v>
      </c>
      <c r="L29" s="1571">
        <f t="shared" si="32"/>
        <v>124534.962</v>
      </c>
      <c r="M29" s="574">
        <f>$S63*M$40</f>
        <v>15093.637394400001</v>
      </c>
      <c r="N29" s="574">
        <f>$S63*N$40</f>
        <v>14881.927958999999</v>
      </c>
      <c r="O29" s="574">
        <f>$S63*O$40</f>
        <v>15006.462921</v>
      </c>
      <c r="P29" s="574">
        <f>$S63*P$40</f>
        <v>15504.602768999999</v>
      </c>
      <c r="Q29" s="574">
        <f>$S63*Q$40</f>
        <v>17123.557275000003</v>
      </c>
      <c r="R29" s="574">
        <f>$S63*R$40</f>
        <v>19340.279598599998</v>
      </c>
      <c r="S29" s="574">
        <f>$S63*S$40</f>
        <v>27584.494083000001</v>
      </c>
      <c r="T29" s="1571">
        <f t="shared" si="33"/>
        <v>105229.78920000001</v>
      </c>
      <c r="U29" s="574">
        <f>$AA63*U$40</f>
        <v>12753.850451040002</v>
      </c>
      <c r="V29" s="574">
        <f>$AA63*V$40</f>
        <v>12574.959809400001</v>
      </c>
      <c r="W29" s="574">
        <f>$AA63*W$40</f>
        <v>12680.189598600002</v>
      </c>
      <c r="X29" s="574">
        <f>$AA63*X$40</f>
        <v>13101.108755400002</v>
      </c>
      <c r="Y29" s="574">
        <f>$AA63*Y$40</f>
        <v>14469.096015000003</v>
      </c>
      <c r="Z29" s="574">
        <f>$AA63*Z$40</f>
        <v>16342.186262760002</v>
      </c>
      <c r="AA29" s="574">
        <f>$AA63*AA$40</f>
        <v>23308.398307800002</v>
      </c>
      <c r="AB29" s="574">
        <f>$AH63*AB$40</f>
        <v>15738.559054329602</v>
      </c>
      <c r="AC29" s="574">
        <f>$AH63*AC$40</f>
        <v>15517.803688056001</v>
      </c>
      <c r="AD29" s="574">
        <f>$AH63*AD$40</f>
        <v>15647.659785864002</v>
      </c>
      <c r="AE29" s="574">
        <f>$AH63*AE$40</f>
        <v>16167.084177096003</v>
      </c>
      <c r="AF29" s="574">
        <f>$AH63*AF$40</f>
        <v>17855.213448600003</v>
      </c>
      <c r="AG29" s="574">
        <f>$AH63*AG$40</f>
        <v>20166.651989582402</v>
      </c>
      <c r="AH29" s="574">
        <f>$AH63*AH$40</f>
        <v>28763.125664472005</v>
      </c>
      <c r="AI29" s="574">
        <f>$AO63*AI$40</f>
        <v>17321.239292659204</v>
      </c>
      <c r="AJ29" s="574">
        <f>$AO63*AJ$40</f>
        <v>17078.284616112003</v>
      </c>
      <c r="AK29" s="574">
        <f>$AO63*AK$40</f>
        <v>17221.199131728001</v>
      </c>
      <c r="AL29" s="574">
        <f>$AO63*AL$40</f>
        <v>17792.857194192002</v>
      </c>
      <c r="AM29" s="574">
        <f>$AO63*AM$40</f>
        <v>19650.745897200006</v>
      </c>
      <c r="AN29" s="574">
        <f>$AO63*AN$40</f>
        <v>22194.624275164802</v>
      </c>
      <c r="AO29" s="574">
        <f>$AO63*AO$40</f>
        <v>31655.565208944005</v>
      </c>
      <c r="AP29" s="574">
        <f>$AV63*AP$40</f>
        <v>16635.533632992003</v>
      </c>
      <c r="AQ29" s="574">
        <f>$AV63*AQ$40</f>
        <v>16402.19694012</v>
      </c>
      <c r="AR29" s="574">
        <f>$AV63*AR$40</f>
        <v>16539.453818280002</v>
      </c>
      <c r="AS29" s="574">
        <f>$AV63*AS$40</f>
        <v>17088.481330920004</v>
      </c>
      <c r="AT29" s="574">
        <f>$AV63*AT$40</f>
        <v>18872.820747000005</v>
      </c>
      <c r="AU29" s="574">
        <f>$AV63*AU$40</f>
        <v>21315.993178248002</v>
      </c>
      <c r="AV29" s="574">
        <f>$AV63*AV$40</f>
        <v>30402.398512440006</v>
      </c>
      <c r="AW29" s="574">
        <f>$BC63*AW$40</f>
        <v>18947.473826760001</v>
      </c>
      <c r="AX29" s="574">
        <f>$BC63*AX$40</f>
        <v>18681.70892985</v>
      </c>
      <c r="AY29" s="574">
        <f>$BC63*AY$40</f>
        <v>18838.041222150001</v>
      </c>
      <c r="AZ29" s="574">
        <f>$BC63*AZ$40</f>
        <v>19463.370391349999</v>
      </c>
      <c r="BA29" s="574">
        <f>$BC63*BA$40</f>
        <v>21495.690191250003</v>
      </c>
      <c r="BB29" s="574">
        <f>$BC63*BB$40</f>
        <v>24278.404994189998</v>
      </c>
      <c r="BC29" s="574">
        <f>$BC63*BC$40</f>
        <v>34627.60274445</v>
      </c>
      <c r="BD29" s="574">
        <f>$BJ63*BD$40</f>
        <v>22357.499844599995</v>
      </c>
      <c r="BE29" s="574">
        <f>$BJ63*BE$40</f>
        <v>22043.904549749997</v>
      </c>
      <c r="BF29" s="574">
        <f>$BJ63*BF$40</f>
        <v>22228.372370249996</v>
      </c>
      <c r="BG29" s="574">
        <f>$BJ63*BG$40</f>
        <v>22966.243652249996</v>
      </c>
      <c r="BH29" s="574">
        <f>$BJ63*BH$40</f>
        <v>25364.325318749998</v>
      </c>
      <c r="BI29" s="574">
        <f>$BJ63*BI$40</f>
        <v>28647.852523649995</v>
      </c>
      <c r="BJ29" s="574">
        <f>$BJ63*BJ$40</f>
        <v>40859.622240749995</v>
      </c>
      <c r="BK29" s="574">
        <f>$BQ63*BK$40</f>
        <v>27410.651242560001</v>
      </c>
      <c r="BL29" s="574">
        <f>$BQ63*BL$40</f>
        <v>27026.178411599998</v>
      </c>
      <c r="BM29" s="574">
        <f>$BQ63*BM$40</f>
        <v>27252.338900399998</v>
      </c>
      <c r="BN29" s="574">
        <f>$BQ63*BN$40</f>
        <v>28156.980855599999</v>
      </c>
      <c r="BO29" s="574">
        <f>$BQ63*BO$40</f>
        <v>31097.067210000001</v>
      </c>
      <c r="BP29" s="574">
        <f>$BQ63*BP$40</f>
        <v>35122.723910639994</v>
      </c>
      <c r="BQ29" s="574">
        <f>$BQ63*BQ$40</f>
        <v>50094.548269200001</v>
      </c>
      <c r="BR29" s="574">
        <f>$BX63*BR$40</f>
        <v>46488.437521862405</v>
      </c>
      <c r="BS29" s="574">
        <f>$BX63*BS$40</f>
        <v>45836.371979064003</v>
      </c>
      <c r="BT29" s="574">
        <f>$BX63*BT$40</f>
        <v>46219.939945416001</v>
      </c>
      <c r="BU29" s="574">
        <f>$BX63*BU$40</f>
        <v>47754.211810824003</v>
      </c>
      <c r="BV29" s="574">
        <f>$BX63*BV$40</f>
        <v>52740.595373400007</v>
      </c>
      <c r="BW29" s="574">
        <f>$BX63*BW$40</f>
        <v>59568.1051744656</v>
      </c>
      <c r="BX29" s="574">
        <f>$BX63*BX$40</f>
        <v>84960.304546968007</v>
      </c>
      <c r="BY29" s="574">
        <f>$CE63*BY$40</f>
        <v>17617.3125492816</v>
      </c>
      <c r="BZ29" s="574">
        <f>$CE63*BZ$40</f>
        <v>17370.205030026002</v>
      </c>
      <c r="CA29" s="574">
        <f>$CE63*CA$40</f>
        <v>17515.562394294</v>
      </c>
      <c r="CB29" s="574">
        <f>$CE63*CB$40</f>
        <v>18096.991851366001</v>
      </c>
      <c r="CC29" s="574">
        <f>$CE63*CC$40</f>
        <v>19986.637586850004</v>
      </c>
      <c r="CD29" s="574">
        <f>$CE63*CD$40</f>
        <v>22573.998670820401</v>
      </c>
      <c r="CE29" s="574">
        <f>$CE63*CE$40</f>
        <v>32196.656185362001</v>
      </c>
    </row>
    <row r="30" spans="1:83">
      <c r="A30" s="1568" t="s">
        <v>31</v>
      </c>
      <c r="B30" s="574">
        <f>'Vtas Diarias 2021'!XD29</f>
        <v>27198.955476000006</v>
      </c>
      <c r="C30" s="574">
        <f>'Vtas Diarias 2021'!XH29</f>
        <v>31084.520544000003</v>
      </c>
      <c r="D30" s="574">
        <f>'Vtas Diarias 2021'!XL29</f>
        <v>42741.215748000002</v>
      </c>
      <c r="E30" s="574">
        <f>$K64*E$40</f>
        <v>25865.273798668804</v>
      </c>
      <c r="F30" s="574">
        <f>$K64*F$40</f>
        <v>25502.477053968003</v>
      </c>
      <c r="G30" s="574">
        <f>$K64*G$40</f>
        <v>25715.886903792005</v>
      </c>
      <c r="H30" s="574">
        <f>$K64*H$40</f>
        <v>26569.526303088005</v>
      </c>
      <c r="I30" s="574">
        <f>$K64*I$40</f>
        <v>29343.854350800008</v>
      </c>
      <c r="J30" s="574">
        <f>$K64*J$40</f>
        <v>33142.549677667201</v>
      </c>
      <c r="K30" s="574">
        <f>$K64*K$40</f>
        <v>47270.281736016012</v>
      </c>
      <c r="L30" s="1571">
        <f t="shared" si="32"/>
        <v>228093.92532000004</v>
      </c>
      <c r="M30" s="574">
        <f>$S64*M$40</f>
        <v>27644.983748784005</v>
      </c>
      <c r="N30" s="574">
        <f>$S64*N$40</f>
        <v>27257.224075740003</v>
      </c>
      <c r="O30" s="574">
        <f>$S64*O$40</f>
        <v>27485.318001060004</v>
      </c>
      <c r="P30" s="574">
        <f>$S64*P$40</f>
        <v>28397.693702340006</v>
      </c>
      <c r="Q30" s="574">
        <f>$S64*Q$40</f>
        <v>31362.914731500008</v>
      </c>
      <c r="R30" s="574">
        <f>$S64*R$40</f>
        <v>35422.986602196004</v>
      </c>
      <c r="S30" s="574">
        <f>$S64*S$40</f>
        <v>50522.804458380007</v>
      </c>
      <c r="T30" s="1571">
        <f t="shared" si="33"/>
        <v>168334.34579999998</v>
      </c>
      <c r="U30" s="574">
        <f>$AA64*U$40</f>
        <v>20402.122710959997</v>
      </c>
      <c r="V30" s="574">
        <f>$AA64*V$40</f>
        <v>20115.954323099995</v>
      </c>
      <c r="W30" s="574">
        <f>$AA64*W$40</f>
        <v>20284.288668899997</v>
      </c>
      <c r="X30" s="574">
        <f>$AA64*X$40</f>
        <v>20957.626052099997</v>
      </c>
      <c r="Y30" s="574">
        <f>$AA64*Y$40</f>
        <v>23145.972547499998</v>
      </c>
      <c r="Z30" s="574">
        <f>$AA64*Z$40</f>
        <v>26142.323902739998</v>
      </c>
      <c r="AA30" s="574">
        <f>$AA64*AA$40</f>
        <v>37286.057594699996</v>
      </c>
      <c r="AB30" s="574">
        <f>$AH64*AB$40</f>
        <v>32954.689330214402</v>
      </c>
      <c r="AC30" s="574">
        <f>$AH64*AC$40</f>
        <v>32492.453588784003</v>
      </c>
      <c r="AD30" s="574">
        <f>$AH64*AD$40</f>
        <v>32764.356966096002</v>
      </c>
      <c r="AE30" s="574">
        <f>$AH64*AE$40</f>
        <v>33851.970475344002</v>
      </c>
      <c r="AF30" s="574">
        <f>$AH64*AF$40</f>
        <v>37386.714380400008</v>
      </c>
      <c r="AG30" s="574">
        <f>$AH64*AG$40</f>
        <v>42226.594496553604</v>
      </c>
      <c r="AH30" s="574">
        <f>$AH64*AH$40</f>
        <v>60226.598074608009</v>
      </c>
      <c r="AI30" s="574">
        <f>$AO64*AI$40</f>
        <v>32515.812844070399</v>
      </c>
      <c r="AJ30" s="574">
        <f>$AO64*AJ$40</f>
        <v>32059.732960943998</v>
      </c>
      <c r="AK30" s="574">
        <f>$AO64*AK$40</f>
        <v>32328.015245135997</v>
      </c>
      <c r="AL30" s="574">
        <f>$AO64*AL$40</f>
        <v>33401.144381904</v>
      </c>
      <c r="AM30" s="574">
        <f>$AO64*AM$40</f>
        <v>36888.814076400005</v>
      </c>
      <c r="AN30" s="574">
        <f>$AO64*AN$40</f>
        <v>41664.2387350176</v>
      </c>
      <c r="AO30" s="574">
        <f>$AO64*AO$40</f>
        <v>59424.525948527997</v>
      </c>
      <c r="AP30" s="574">
        <f>$AV64*AP$40</f>
        <v>33692.892715584007</v>
      </c>
      <c r="AQ30" s="574">
        <f>$AV64*AQ$40</f>
        <v>33220.302636240005</v>
      </c>
      <c r="AR30" s="574">
        <f>$AV64*AR$40</f>
        <v>33498.296800560005</v>
      </c>
      <c r="AS30" s="574">
        <f>$AV64*AS$40</f>
        <v>34610.273457840005</v>
      </c>
      <c r="AT30" s="574">
        <f>$AV64*AT$40</f>
        <v>38224.197594000012</v>
      </c>
      <c r="AU30" s="574">
        <f>$AV64*AU$40</f>
        <v>43172.493718896003</v>
      </c>
      <c r="AV30" s="574">
        <f>$AV64*AV$40</f>
        <v>61575.70739688001</v>
      </c>
      <c r="AW30" s="574">
        <f>$BC64*AW$40</f>
        <v>36065.583994363202</v>
      </c>
      <c r="AX30" s="574">
        <f>$BC64*AX$40</f>
        <v>35559.713591801999</v>
      </c>
      <c r="AY30" s="574">
        <f>$BC64*AY$40</f>
        <v>35857.284416837996</v>
      </c>
      <c r="AZ30" s="574">
        <f>$BC64*AZ$40</f>
        <v>37047.567716981997</v>
      </c>
      <c r="BA30" s="574">
        <f>$BC64*BA$40</f>
        <v>40915.988442450005</v>
      </c>
      <c r="BB30" s="574">
        <f>$BC64*BB$40</f>
        <v>46212.7491280908</v>
      </c>
      <c r="BC30" s="574">
        <f>$BC64*BC$40</f>
        <v>65911.937745474002</v>
      </c>
      <c r="BD30" s="574">
        <f>$BJ64*BD$40</f>
        <v>50065.224781910409</v>
      </c>
      <c r="BE30" s="574">
        <f>$BJ64*BE$40</f>
        <v>49362.989780844007</v>
      </c>
      <c r="BF30" s="574">
        <f>$BJ64*BF$40</f>
        <v>49776.069193236006</v>
      </c>
      <c r="BG30" s="574">
        <f>$BJ64*BG$40</f>
        <v>51428.386842804008</v>
      </c>
      <c r="BH30" s="574">
        <f>$BJ64*BH$40</f>
        <v>56798.419203900019</v>
      </c>
      <c r="BI30" s="574">
        <f>$BJ64*BI$40</f>
        <v>64151.232744477609</v>
      </c>
      <c r="BJ30" s="574">
        <f>$BJ64*BJ$40</f>
        <v>91497.08984482802</v>
      </c>
      <c r="BK30" s="574">
        <f>$BQ64*BK$40</f>
        <v>60342.539746176015</v>
      </c>
      <c r="BL30" s="574">
        <f>$BQ64*BL$40</f>
        <v>59496.150987360008</v>
      </c>
      <c r="BM30" s="574">
        <f>$BQ64*BM$40</f>
        <v>59994.026727840006</v>
      </c>
      <c r="BN30" s="574">
        <f>$BQ64*BN$40</f>
        <v>61985.529689760013</v>
      </c>
      <c r="BO30" s="574">
        <f>$BQ64*BO$40</f>
        <v>68457.914316000024</v>
      </c>
      <c r="BP30" s="574">
        <f>$BQ64*BP$40</f>
        <v>77320.102496544016</v>
      </c>
      <c r="BQ30" s="574">
        <f>$BQ64*BQ$40</f>
        <v>110279.47651632002</v>
      </c>
      <c r="BR30" s="574">
        <f>$BX64*BR$40</f>
        <v>111379.52491323841</v>
      </c>
      <c r="BS30" s="574">
        <f>$BX64*BS$40</f>
        <v>109817.27085092399</v>
      </c>
      <c r="BT30" s="574">
        <f>$BX64*BT$40</f>
        <v>110736.24382875599</v>
      </c>
      <c r="BU30" s="574">
        <f>$BX64*BU$40</f>
        <v>114412.13574008401</v>
      </c>
      <c r="BV30" s="574">
        <f>$BX64*BV$40</f>
        <v>126358.78445190001</v>
      </c>
      <c r="BW30" s="574">
        <f>$BX64*BW$40</f>
        <v>142716.50345730959</v>
      </c>
      <c r="BX30" s="574">
        <f>$BX64*BX$40</f>
        <v>203552.51458978801</v>
      </c>
      <c r="BY30" s="574">
        <f>$CE64*BY$40</f>
        <v>32761.023933600001</v>
      </c>
      <c r="BZ30" s="574">
        <f>$CE64*BZ$40</f>
        <v>32301.504621</v>
      </c>
      <c r="CA30" s="574">
        <f>$CE64*CA$40</f>
        <v>32571.810098999998</v>
      </c>
      <c r="CB30" s="574">
        <f>$CE64*CB$40</f>
        <v>33653.032011000003</v>
      </c>
      <c r="CC30" s="574">
        <f>$CE64*CC$40</f>
        <v>37167.003225</v>
      </c>
      <c r="CD30" s="574">
        <f>$CE64*CD$40</f>
        <v>41978.440733399999</v>
      </c>
      <c r="CE30" s="574">
        <f>$CE64*CE$40</f>
        <v>59872.663377000004</v>
      </c>
    </row>
    <row r="31" spans="1:83">
      <c r="A31" s="1568" t="s">
        <v>32</v>
      </c>
      <c r="B31" s="574">
        <f>'Vtas Diarias 2021'!XD30</f>
        <v>27945.651832000007</v>
      </c>
      <c r="C31" s="574">
        <f>'Vtas Diarias 2021'!XH30</f>
        <v>31937.887808000003</v>
      </c>
      <c r="D31" s="574">
        <f>'Vtas Diarias 2021'!XL30</f>
        <v>43914.595736000003</v>
      </c>
      <c r="E31" s="574">
        <f>$K65*E$40</f>
        <v>23852.206622246402</v>
      </c>
      <c r="F31" s="574">
        <f>$K65*F$40</f>
        <v>23517.645968304001</v>
      </c>
      <c r="G31" s="574">
        <f>$K65*G$40</f>
        <v>23714.446352976</v>
      </c>
      <c r="H31" s="574">
        <f>$K65*H$40</f>
        <v>24501.647891664001</v>
      </c>
      <c r="I31" s="574">
        <f>$K65*I$40</f>
        <v>27060.052892400003</v>
      </c>
      <c r="J31" s="574">
        <f>$K65*J$40</f>
        <v>30563.0997395616</v>
      </c>
      <c r="K31" s="574">
        <f>$K65*K$40</f>
        <v>43591.285204848005</v>
      </c>
      <c r="L31" s="1571">
        <f t="shared" si="32"/>
        <v>222578.93178000001</v>
      </c>
      <c r="M31" s="574">
        <f>$S65*M$40</f>
        <v>26976.566531736004</v>
      </c>
      <c r="N31" s="574">
        <f>$S65*N$40</f>
        <v>26598.182347710001</v>
      </c>
      <c r="O31" s="574">
        <f>$S65*O$40</f>
        <v>26820.761279490001</v>
      </c>
      <c r="P31" s="574">
        <f>$S65*P$40</f>
        <v>27711.077006610001</v>
      </c>
      <c r="Q31" s="574">
        <f>$S65*Q$40</f>
        <v>30604.603119750005</v>
      </c>
      <c r="R31" s="574">
        <f>$S65*R$40</f>
        <v>34566.508105433997</v>
      </c>
      <c r="S31" s="574">
        <f>$S65*S$40</f>
        <v>49301.233389270004</v>
      </c>
      <c r="T31" s="1571">
        <f t="shared" si="33"/>
        <v>187504.4241</v>
      </c>
      <c r="U31" s="574">
        <f>$AA65*U$40</f>
        <v>22725.53620092</v>
      </c>
      <c r="V31" s="574">
        <f>$AA65*V$40</f>
        <v>22406.778679949999</v>
      </c>
      <c r="W31" s="574">
        <f>$AA65*W$40</f>
        <v>22594.283104049999</v>
      </c>
      <c r="X31" s="574">
        <f>$AA65*X$40</f>
        <v>23344.300800450001</v>
      </c>
      <c r="Y31" s="574">
        <f>$AA65*Y$40</f>
        <v>25781.858313750003</v>
      </c>
      <c r="Z31" s="574">
        <f>$AA65*Z$40</f>
        <v>29119.437062729998</v>
      </c>
      <c r="AA31" s="574">
        <f>$AA65*AA$40</f>
        <v>41532.229938149998</v>
      </c>
      <c r="AB31" s="574">
        <f>$AH65*AB$40</f>
        <v>32248.607744707198</v>
      </c>
      <c r="AC31" s="574">
        <f>$AH65*AC$40</f>
        <v>31796.275787891995</v>
      </c>
      <c r="AD31" s="574">
        <f>$AH65*AD$40</f>
        <v>32062.353409547995</v>
      </c>
      <c r="AE31" s="574">
        <f>$AH65*AE$40</f>
        <v>33126.663896171995</v>
      </c>
      <c r="AF31" s="574">
        <f>$AH65*AF$40</f>
        <v>36585.6729777</v>
      </c>
      <c r="AG31" s="574">
        <f>$AH65*AG$40</f>
        <v>41321.854643176797</v>
      </c>
      <c r="AH31" s="574">
        <f>$AH65*AH$40</f>
        <v>58936.193196803993</v>
      </c>
      <c r="AI31" s="574">
        <f>$AO65*AI$40</f>
        <v>38454.989880787209</v>
      </c>
      <c r="AJ31" s="574">
        <f>$AO65*AJ$40</f>
        <v>37915.604709192005</v>
      </c>
      <c r="AK31" s="574">
        <f>$AO65*AK$40</f>
        <v>38232.890104248007</v>
      </c>
      <c r="AL31" s="574">
        <f>$AO65*AL$40</f>
        <v>39502.031684472007</v>
      </c>
      <c r="AM31" s="574">
        <f>$AO65*AM$40</f>
        <v>43626.741820200012</v>
      </c>
      <c r="AN31" s="574">
        <f>$AO65*AN$40</f>
        <v>49274.421852196807</v>
      </c>
      <c r="AO31" s="574">
        <f>$AO65*AO$40</f>
        <v>70278.715004904006</v>
      </c>
      <c r="AP31" s="574">
        <f>$AV65*AP$40</f>
        <v>31428.129600000004</v>
      </c>
      <c r="AQ31" s="574">
        <f>$AV65*AQ$40</f>
        <v>30987.306</v>
      </c>
      <c r="AR31" s="574">
        <f>$AV65*AR$40</f>
        <v>31246.614000000001</v>
      </c>
      <c r="AS31" s="574">
        <f>$AV65*AS$40</f>
        <v>32283.846000000005</v>
      </c>
      <c r="AT31" s="574">
        <f>$AV65*AT$40</f>
        <v>35654.850000000006</v>
      </c>
      <c r="AU31" s="574">
        <f>$AV65*AU$40</f>
        <v>40270.532400000004</v>
      </c>
      <c r="AV31" s="574">
        <f>$AV65*AV$40</f>
        <v>57436.722000000009</v>
      </c>
      <c r="AW31" s="574">
        <f>$BC65*AW$40</f>
        <v>45832.211185968008</v>
      </c>
      <c r="AX31" s="574">
        <f>$BC65*AX$40</f>
        <v>45189.350137980007</v>
      </c>
      <c r="AY31" s="574">
        <f>$BC65*AY$40</f>
        <v>45567.503695620006</v>
      </c>
      <c r="AZ31" s="574">
        <f>$BC65*AZ$40</f>
        <v>47080.117926180006</v>
      </c>
      <c r="BA31" s="574">
        <f>$BC65*BA$40</f>
        <v>51996.114175500014</v>
      </c>
      <c r="BB31" s="574">
        <f>$BC65*BB$40</f>
        <v>58727.247501492006</v>
      </c>
      <c r="BC31" s="574">
        <f>$BC65*BC$40</f>
        <v>83761.013017260018</v>
      </c>
      <c r="BD31" s="574">
        <f>$BJ65*BD$40</f>
        <v>62491.782036816003</v>
      </c>
      <c r="BE31" s="574">
        <f>$BJ65*BE$40</f>
        <v>61615.247140259999</v>
      </c>
      <c r="BF31" s="574">
        <f>$BJ65*BF$40</f>
        <v>62130.855902939998</v>
      </c>
      <c r="BG31" s="574">
        <f>$BJ65*BG$40</f>
        <v>64193.290953659998</v>
      </c>
      <c r="BH31" s="574">
        <f>$BJ65*BH$40</f>
        <v>70896.204868500005</v>
      </c>
      <c r="BI31" s="574">
        <f>$BJ65*BI$40</f>
        <v>80074.040844203992</v>
      </c>
      <c r="BJ31" s="574">
        <f>$BJ65*BJ$40</f>
        <v>114207.34093362</v>
      </c>
      <c r="BK31" s="574">
        <f>$BQ65*BK$40</f>
        <v>77566.626771033611</v>
      </c>
      <c r="BL31" s="574">
        <f>$BQ65*BL$40</f>
        <v>76478.646032496006</v>
      </c>
      <c r="BM31" s="574">
        <f>$BQ65*BM$40</f>
        <v>77118.634702224008</v>
      </c>
      <c r="BN31" s="574">
        <f>$BQ65*BN$40</f>
        <v>79678.589381136015</v>
      </c>
      <c r="BO31" s="574">
        <f>$BQ65*BO$40</f>
        <v>87998.442087600022</v>
      </c>
      <c r="BP31" s="574">
        <f>$BQ65*BP$40</f>
        <v>99390.2404087584</v>
      </c>
      <c r="BQ31" s="574">
        <f>$BQ65*BQ$40</f>
        <v>141757.490344752</v>
      </c>
      <c r="BR31" s="574">
        <f>$BX65*BR$40</f>
        <v>114491.56579439041</v>
      </c>
      <c r="BS31" s="574">
        <f>$BX65*BS$40</f>
        <v>112885.66099364401</v>
      </c>
      <c r="BT31" s="574">
        <f>$BX65*BT$40</f>
        <v>113830.31087643601</v>
      </c>
      <c r="BU31" s="574">
        <f>$BX65*BU$40</f>
        <v>117608.91040760401</v>
      </c>
      <c r="BV31" s="574">
        <f>$BX65*BV$40</f>
        <v>129889.35888390001</v>
      </c>
      <c r="BW31" s="574">
        <f>$BX65*BW$40</f>
        <v>146704.12679759759</v>
      </c>
      <c r="BX31" s="574">
        <f>$BX65*BX$40</f>
        <v>209239.94903842802</v>
      </c>
      <c r="BY31" s="574">
        <f>$CE65*BY$40</f>
        <v>33635.093754240006</v>
      </c>
      <c r="BZ31" s="574">
        <f>$CE65*BZ$40</f>
        <v>33163.314386400001</v>
      </c>
      <c r="CA31" s="574">
        <f>$CE65*CA$40</f>
        <v>33440.831661600001</v>
      </c>
      <c r="CB31" s="574">
        <f>$CE65*CB$40</f>
        <v>34550.900762400001</v>
      </c>
      <c r="CC31" s="574">
        <f>$CE65*CC$40</f>
        <v>38158.625340000006</v>
      </c>
      <c r="CD31" s="574">
        <f>$CE65*CD$40</f>
        <v>43098.432838560002</v>
      </c>
      <c r="CE31" s="574">
        <f>$CE65*CE$40</f>
        <v>61470.076456800009</v>
      </c>
    </row>
    <row r="32" spans="1:83">
      <c r="A32" s="1568" t="s">
        <v>33</v>
      </c>
      <c r="B32" s="574">
        <f>'Vtas Diarias 2021'!XD31</f>
        <v>12102.738368000002</v>
      </c>
      <c r="C32" s="574">
        <f>'Vtas Diarias 2021'!XH31</f>
        <v>13831.700992</v>
      </c>
      <c r="D32" s="574">
        <f>'Vtas Diarias 2021'!XL31</f>
        <v>19018.588864000001</v>
      </c>
      <c r="E32" s="574">
        <f>$K66*E$40</f>
        <v>10882.268224343999</v>
      </c>
      <c r="F32" s="574">
        <f>$K66*F$40</f>
        <v>10729.62914859</v>
      </c>
      <c r="G32" s="574">
        <f>$K66*G$40</f>
        <v>10819.416840209999</v>
      </c>
      <c r="H32" s="574">
        <f>$K66*H$40</f>
        <v>11178.56760669</v>
      </c>
      <c r="I32" s="574">
        <f>$K66*I$40</f>
        <v>12345.807597750001</v>
      </c>
      <c r="J32" s="574">
        <f>$K66*J$40</f>
        <v>13944.028508586</v>
      </c>
      <c r="K32" s="574">
        <f>$K66*K$40</f>
        <v>19887.973693830001</v>
      </c>
      <c r="L32" s="1571">
        <f t="shared" si="32"/>
        <v>92563.377479999996</v>
      </c>
      <c r="M32" s="574">
        <f>$S66*M$40</f>
        <v>11218.681350576</v>
      </c>
      <c r="N32" s="574">
        <f>$S66*N$40</f>
        <v>11061.323608859999</v>
      </c>
      <c r="O32" s="574">
        <f>$S66*O$40</f>
        <v>11153.88698634</v>
      </c>
      <c r="P32" s="574">
        <f>$S66*P$40</f>
        <v>11524.140496259999</v>
      </c>
      <c r="Q32" s="574">
        <f>$S66*Q$40</f>
        <v>12727.4644035</v>
      </c>
      <c r="R32" s="574">
        <f>$S66*R$40</f>
        <v>14375.092522643999</v>
      </c>
      <c r="S32" s="574">
        <f>$S66*S$40</f>
        <v>20502.788111819998</v>
      </c>
      <c r="T32" s="1571">
        <f t="shared" si="33"/>
        <v>81278.441495999999</v>
      </c>
      <c r="U32" s="574">
        <f>$AA66*U$40</f>
        <v>9850.9471093152006</v>
      </c>
      <c r="V32" s="574">
        <f>$AA66*V$40</f>
        <v>9712.7737587720003</v>
      </c>
      <c r="W32" s="574">
        <f>$AA66*W$40</f>
        <v>9794.0522002679991</v>
      </c>
      <c r="X32" s="574">
        <f>$AA66*X$40</f>
        <v>10119.165966252</v>
      </c>
      <c r="Y32" s="574">
        <f>$AA66*Y$40</f>
        <v>11175.7857057</v>
      </c>
      <c r="Z32" s="574">
        <f>$AA66*Z$40</f>
        <v>12622.541964328799</v>
      </c>
      <c r="AA32" s="574">
        <f>$AA66*AA$40</f>
        <v>18003.174791363999</v>
      </c>
      <c r="AB32" s="574">
        <f>$AH66*AB$40</f>
        <v>13310.643918124802</v>
      </c>
      <c r="AC32" s="574">
        <f>$AH66*AC$40</f>
        <v>13123.943467128001</v>
      </c>
      <c r="AD32" s="574">
        <f>$AH66*AD$40</f>
        <v>13233.767261832001</v>
      </c>
      <c r="AE32" s="574">
        <f>$AH66*AE$40</f>
        <v>13673.062440648002</v>
      </c>
      <c r="AF32" s="574">
        <f>$AH66*AF$40</f>
        <v>15100.771771800004</v>
      </c>
      <c r="AG32" s="574">
        <f>$AH66*AG$40</f>
        <v>17055.635317531203</v>
      </c>
      <c r="AH32" s="574">
        <f>$AH66*AH$40</f>
        <v>24325.970526936002</v>
      </c>
      <c r="AI32" s="574">
        <f>$AO66*AI$40</f>
        <v>13969.435776350401</v>
      </c>
      <c r="AJ32" s="574">
        <f>$AO66*AJ$40</f>
        <v>13773.494845494002</v>
      </c>
      <c r="AK32" s="574">
        <f>$AO66*AK$40</f>
        <v>13888.754216586001</v>
      </c>
      <c r="AL32" s="574">
        <f>$AO66*AL$40</f>
        <v>14349.791700954001</v>
      </c>
      <c r="AM32" s="574">
        <f>$AO66*AM$40</f>
        <v>15848.163525150003</v>
      </c>
      <c r="AN32" s="574">
        <f>$AO66*AN$40</f>
        <v>17899.7803305876</v>
      </c>
      <c r="AO32" s="574">
        <f>$AO66*AO$40</f>
        <v>25529.950696878004</v>
      </c>
      <c r="AP32" s="574">
        <f>$AV66*AP$40</f>
        <v>15692.7075992064</v>
      </c>
      <c r="AQ32" s="574">
        <f>$AV66*AQ$40</f>
        <v>15472.595363904</v>
      </c>
      <c r="AR32" s="574">
        <f>$AV66*AR$40</f>
        <v>15602.073149375999</v>
      </c>
      <c r="AS32" s="574">
        <f>$AV66*AS$40</f>
        <v>16119.984291264</v>
      </c>
      <c r="AT32" s="574">
        <f>$AV66*AT$40</f>
        <v>17803.195502400002</v>
      </c>
      <c r="AU32" s="574">
        <f>$AV66*AU$40</f>
        <v>20107.9000838016</v>
      </c>
      <c r="AV32" s="574">
        <f>$AV66*AV$40</f>
        <v>28679.329482048001</v>
      </c>
      <c r="AW32" s="574">
        <f>$BC66*AW$40</f>
        <v>15974.692349184003</v>
      </c>
      <c r="AX32" s="574">
        <f>$BC66*AX$40</f>
        <v>15750.624882240001</v>
      </c>
      <c r="AY32" s="574">
        <f>$BC66*AY$40</f>
        <v>15882.429274560001</v>
      </c>
      <c r="AZ32" s="574">
        <f>$BC66*AZ$40</f>
        <v>16409.646843840001</v>
      </c>
      <c r="BA32" s="574">
        <f>$BC66*BA$40</f>
        <v>18123.103944000002</v>
      </c>
      <c r="BB32" s="574">
        <f>$BC66*BB$40</f>
        <v>20469.222127296001</v>
      </c>
      <c r="BC32" s="574">
        <f>$BC66*BC$40</f>
        <v>29194.672898880002</v>
      </c>
      <c r="BD32" s="574">
        <f>$BJ66*BD$40</f>
        <v>19894.202380800001</v>
      </c>
      <c r="BE32" s="574">
        <f>$BJ66*BE$40</f>
        <v>19615.158287999999</v>
      </c>
      <c r="BF32" s="574">
        <f>$BJ66*BF$40</f>
        <v>19779.301872</v>
      </c>
      <c r="BG32" s="574">
        <f>$BJ66*BG$40</f>
        <v>20435.876208000001</v>
      </c>
      <c r="BH32" s="574">
        <f>$BJ66*BH$40</f>
        <v>22569.742800000004</v>
      </c>
      <c r="BI32" s="574">
        <f>$BJ66*BI$40</f>
        <v>25491.498595199999</v>
      </c>
      <c r="BJ32" s="574">
        <f>$BJ66*BJ$40</f>
        <v>36357.803855999999</v>
      </c>
      <c r="BK32" s="574">
        <f>$BQ66*BK$40</f>
        <v>29575.121424076806</v>
      </c>
      <c r="BL32" s="574">
        <f>$BQ66*BL$40</f>
        <v>29160.288862848003</v>
      </c>
      <c r="BM32" s="574">
        <f>$BQ66*BM$40</f>
        <v>29404.308016512005</v>
      </c>
      <c r="BN32" s="574">
        <f>$BQ66*BN$40</f>
        <v>30380.384631168006</v>
      </c>
      <c r="BO32" s="574">
        <f>$BQ66*BO$40</f>
        <v>33552.633628800009</v>
      </c>
      <c r="BP32" s="574">
        <f>$BQ66*BP$40</f>
        <v>37896.174564019202</v>
      </c>
      <c r="BQ32" s="574">
        <f>$BQ66*BQ$40</f>
        <v>54050.242536576006</v>
      </c>
      <c r="BR32" s="574">
        <f>$BX66*BR$40</f>
        <v>42211.126127779207</v>
      </c>
      <c r="BS32" s="574">
        <f>$BX66*BS$40</f>
        <v>41619.055876812003</v>
      </c>
      <c r="BT32" s="574">
        <f>$BX66*BT$40</f>
        <v>41967.332495028</v>
      </c>
      <c r="BU32" s="574">
        <f>$BX66*BU$40</f>
        <v>43360.438967892005</v>
      </c>
      <c r="BV32" s="574">
        <f>$BX66*BV$40</f>
        <v>47888.03500470001</v>
      </c>
      <c r="BW32" s="574">
        <f>$BX66*BW$40</f>
        <v>54087.358808944802</v>
      </c>
      <c r="BX32" s="574">
        <f>$BX66*BX$40</f>
        <v>77143.270934844011</v>
      </c>
      <c r="BY32" s="574">
        <f>$CE66*BY$40</f>
        <v>13475.408603644801</v>
      </c>
      <c r="BZ32" s="574">
        <f>$CE66*BZ$40</f>
        <v>13286.397096827999</v>
      </c>
      <c r="CA32" s="574">
        <f>$CE66*CA$40</f>
        <v>13397.580336132</v>
      </c>
      <c r="CB32" s="574">
        <f>$CE66*CB$40</f>
        <v>13842.313293348001</v>
      </c>
      <c r="CC32" s="574">
        <f>$CE66*CC$40</f>
        <v>15287.695404300002</v>
      </c>
      <c r="CD32" s="574">
        <f>$CE66*CD$40</f>
        <v>17266.757063911198</v>
      </c>
      <c r="CE32" s="574">
        <f>$CE66*CE$40</f>
        <v>24627.087505836</v>
      </c>
    </row>
    <row r="33" spans="1:85">
      <c r="A33" s="1568" t="s">
        <v>34</v>
      </c>
      <c r="B33" s="574">
        <f>'Vtas Diarias 2021'!XD32</f>
        <v>1693.3812840000003</v>
      </c>
      <c r="C33" s="574">
        <f>'Vtas Diarias 2021'!XH32</f>
        <v>1935.2928960000002</v>
      </c>
      <c r="D33" s="574">
        <f>'Vtas Diarias 2021'!XL32</f>
        <v>2661.0277320000005</v>
      </c>
      <c r="E33" s="574">
        <f>$K67*E$40</f>
        <v>2809.4704837632003</v>
      </c>
      <c r="F33" s="574">
        <f>$K67*F$40</f>
        <v>2770.0637195519998</v>
      </c>
      <c r="G33" s="574">
        <f>$K67*G$40</f>
        <v>2793.244169088</v>
      </c>
      <c r="H33" s="574">
        <f>$K67*H$40</f>
        <v>2885.9659672319999</v>
      </c>
      <c r="I33" s="574">
        <f>$K67*I$40</f>
        <v>3187.3118112000002</v>
      </c>
      <c r="J33" s="574">
        <f>$K67*J$40</f>
        <v>3599.9238129408</v>
      </c>
      <c r="K33" s="574">
        <f>$K67*K$40</f>
        <v>5134.4695722240003</v>
      </c>
      <c r="L33" s="1571">
        <f t="shared" si="32"/>
        <v>19080.747720000003</v>
      </c>
      <c r="M33" s="574">
        <f>$S67*M$40</f>
        <v>2312.5866236640004</v>
      </c>
      <c r="N33" s="574">
        <f>$S67*N$40</f>
        <v>2280.1493525400001</v>
      </c>
      <c r="O33" s="574">
        <f>$S67*O$40</f>
        <v>2299.2301002600002</v>
      </c>
      <c r="P33" s="574">
        <f>$S67*P$40</f>
        <v>2375.5530911400006</v>
      </c>
      <c r="Q33" s="574">
        <f>$S67*Q$40</f>
        <v>2623.6028115000008</v>
      </c>
      <c r="R33" s="574">
        <f>$S67*R$40</f>
        <v>2963.2401209160003</v>
      </c>
      <c r="S33" s="574">
        <f>$S67*S$40</f>
        <v>4226.3856199800011</v>
      </c>
      <c r="T33" s="1571">
        <f t="shared" si="33"/>
        <v>15272.859420000001</v>
      </c>
      <c r="U33" s="574">
        <f>$AA67*U$40</f>
        <v>1851.0705617040001</v>
      </c>
      <c r="V33" s="574">
        <f>$AA67*V$40</f>
        <v>1825.10670069</v>
      </c>
      <c r="W33" s="574">
        <f>$AA67*W$40</f>
        <v>1840.3795601100001</v>
      </c>
      <c r="X33" s="574">
        <f>$AA67*X$40</f>
        <v>1901.4709977900002</v>
      </c>
      <c r="Y33" s="574">
        <f>$AA67*Y$40</f>
        <v>2100.0181702500004</v>
      </c>
      <c r="Z33" s="574">
        <f>$AA67*Z$40</f>
        <v>2371.8750679260002</v>
      </c>
      <c r="AA33" s="574">
        <f>$AA67*AA$40</f>
        <v>3382.9383615300003</v>
      </c>
      <c r="AB33" s="574">
        <f>$AH67*AB$40</f>
        <v>3038.0161825440005</v>
      </c>
      <c r="AC33" s="574">
        <f>$AH67*AC$40</f>
        <v>2995.4037443400002</v>
      </c>
      <c r="AD33" s="574">
        <f>$AH67*AD$40</f>
        <v>3020.4698844600002</v>
      </c>
      <c r="AE33" s="574">
        <f>$AH67*AE$40</f>
        <v>3120.7344449400002</v>
      </c>
      <c r="AF33" s="574">
        <f>$AH67*AF$40</f>
        <v>3446.5942665000007</v>
      </c>
      <c r="AG33" s="574">
        <f>$AH67*AG$40</f>
        <v>3892.7715606360002</v>
      </c>
      <c r="AH33" s="574">
        <f>$AH67*AH$40</f>
        <v>5552.1500365800011</v>
      </c>
      <c r="AI33" s="574">
        <f>$AO67*AI$40</f>
        <v>3300.5747749680008</v>
      </c>
      <c r="AJ33" s="574">
        <f>$AO67*AJ$40</f>
        <v>3254.2795842300006</v>
      </c>
      <c r="AK33" s="574">
        <f>$AO67*AK$40</f>
        <v>3281.512049370001</v>
      </c>
      <c r="AL33" s="574">
        <f>$AO67*AL$40</f>
        <v>3390.4419099300007</v>
      </c>
      <c r="AM33" s="574">
        <f>$AO67*AM$40</f>
        <v>3744.4639567500012</v>
      </c>
      <c r="AN33" s="574">
        <f>$AO67*AN$40</f>
        <v>4229.2018362420013</v>
      </c>
      <c r="AO33" s="574">
        <f>$AO67*AO$40</f>
        <v>6031.9910285100013</v>
      </c>
      <c r="AP33" s="574">
        <f>$AV67*AP$40</f>
        <v>3749.1338345760005</v>
      </c>
      <c r="AQ33" s="574">
        <f>$AV67*AQ$40</f>
        <v>3696.54697386</v>
      </c>
      <c r="AR33" s="574">
        <f>$AV67*AR$40</f>
        <v>3727.4804213400002</v>
      </c>
      <c r="AS33" s="574">
        <f>$AV67*AS$40</f>
        <v>3851.2142112600004</v>
      </c>
      <c r="AT33" s="574">
        <f>$AV67*AT$40</f>
        <v>4253.3490285000007</v>
      </c>
      <c r="AU33" s="574">
        <f>$AV67*AU$40</f>
        <v>4803.9643936439998</v>
      </c>
      <c r="AV33" s="574">
        <f>$AV67*AV$40</f>
        <v>6851.7586168200005</v>
      </c>
      <c r="AW33" s="574">
        <f>$BC67*AW$40</f>
        <v>4480.639193088</v>
      </c>
      <c r="AX33" s="574">
        <f>$BC67*AX$40</f>
        <v>4417.7919436800003</v>
      </c>
      <c r="AY33" s="574">
        <f>$BC67*AY$40</f>
        <v>4454.7609139200003</v>
      </c>
      <c r="AZ33" s="574">
        <f>$BC67*AZ$40</f>
        <v>4602.6367948800007</v>
      </c>
      <c r="BA33" s="574">
        <f>$BC67*BA$40</f>
        <v>5083.233408000001</v>
      </c>
      <c r="BB33" s="574">
        <f>$BC67*BB$40</f>
        <v>5741.2810782719998</v>
      </c>
      <c r="BC33" s="574">
        <f>$BC67*BC$40</f>
        <v>8188.6269081600003</v>
      </c>
      <c r="BD33" s="574">
        <f>$BJ67*BD$40</f>
        <v>9227.6590763519998</v>
      </c>
      <c r="BE33" s="574">
        <f>$BJ67*BE$40</f>
        <v>9098.2282147199985</v>
      </c>
      <c r="BF33" s="574">
        <f>$BJ67*BF$40</f>
        <v>9174.3640156799993</v>
      </c>
      <c r="BG33" s="574">
        <f>$BJ67*BG$40</f>
        <v>9478.9072195199988</v>
      </c>
      <c r="BH33" s="574">
        <f>$BJ67*BH$40</f>
        <v>10468.672632</v>
      </c>
      <c r="BI33" s="574">
        <f>$BJ67*BI$40</f>
        <v>11823.889889087999</v>
      </c>
      <c r="BJ33" s="574">
        <f>$BJ67*BJ$40</f>
        <v>16864.079912639998</v>
      </c>
      <c r="BK33" s="574">
        <f>$BQ67*BK$40</f>
        <v>11490.162403392</v>
      </c>
      <c r="BL33" s="574">
        <f>$BQ67*BL$40</f>
        <v>11328.99675912</v>
      </c>
      <c r="BM33" s="574">
        <f>$BQ67*BM$40</f>
        <v>11423.800079279999</v>
      </c>
      <c r="BN33" s="574">
        <f>$BQ67*BN$40</f>
        <v>11803.01335992</v>
      </c>
      <c r="BO33" s="574">
        <f>$BQ67*BO$40</f>
        <v>13035.456522000002</v>
      </c>
      <c r="BP33" s="574">
        <f>$BQ67*BP$40</f>
        <v>14722.955620847999</v>
      </c>
      <c r="BQ33" s="574">
        <f>$BQ67*BQ$40</f>
        <v>20998.935415440003</v>
      </c>
      <c r="BR33" s="574">
        <f>$BX67*BR$40</f>
        <v>15241.196520648</v>
      </c>
      <c r="BS33" s="574">
        <f>$BX67*BS$40</f>
        <v>15027.417361530001</v>
      </c>
      <c r="BT33" s="574">
        <f>$BX67*BT$40</f>
        <v>15153.169808070001</v>
      </c>
      <c r="BU33" s="574">
        <f>$BX67*BU$40</f>
        <v>15656.179594230001</v>
      </c>
      <c r="BV33" s="574">
        <f>$BX67*BV$40</f>
        <v>17290.961399250002</v>
      </c>
      <c r="BW33" s="574">
        <f>$BX67*BW$40</f>
        <v>19529.354947661999</v>
      </c>
      <c r="BX33" s="574">
        <f>$BX67*BX$40</f>
        <v>27854.166908610001</v>
      </c>
      <c r="BY33" s="574">
        <f>$CE67*BY$40</f>
        <v>4098.8630108879997</v>
      </c>
      <c r="BZ33" s="574">
        <f>$CE67*BZ$40</f>
        <v>4041.3707079299998</v>
      </c>
      <c r="CA33" s="574">
        <f>$CE67*CA$40</f>
        <v>4075.18970967</v>
      </c>
      <c r="CB33" s="574">
        <f>$CE67*CB$40</f>
        <v>4210.4657166300003</v>
      </c>
      <c r="CC33" s="574">
        <f>$CE67*CC$40</f>
        <v>4650.1127392500002</v>
      </c>
      <c r="CD33" s="574">
        <f>$CE67*CD$40</f>
        <v>5252.0909702219997</v>
      </c>
      <c r="CE33" s="574">
        <f>$CE67*CE$40</f>
        <v>7490.90888541</v>
      </c>
    </row>
    <row r="34" spans="1:85">
      <c r="A34" s="1568" t="s">
        <v>35</v>
      </c>
      <c r="B34" s="574">
        <f>'Vtas Diarias 2021'!XD33</f>
        <v>3089.5016879999998</v>
      </c>
      <c r="C34" s="574">
        <f>'Vtas Diarias 2021'!XH33</f>
        <v>3530.8590719999997</v>
      </c>
      <c r="D34" s="574">
        <f>'Vtas Diarias 2021'!XL33</f>
        <v>4854.931223999999</v>
      </c>
      <c r="E34" s="574">
        <f>$K68*E$40</f>
        <v>3871.218832128</v>
      </c>
      <c r="F34" s="574">
        <f>$K68*F$40</f>
        <v>3816.9195580799997</v>
      </c>
      <c r="G34" s="574">
        <f>$K68*G$40</f>
        <v>3848.8603075199999</v>
      </c>
      <c r="H34" s="574">
        <f>$K68*H$40</f>
        <v>3976.6233052799998</v>
      </c>
      <c r="I34" s="574">
        <f>$K68*I$40</f>
        <v>4391.8530479999999</v>
      </c>
      <c r="J34" s="574">
        <f>$K68*J$40</f>
        <v>4960.3983880320002</v>
      </c>
      <c r="K34" s="574">
        <f>$K68*K$40</f>
        <v>7074.8760009600001</v>
      </c>
      <c r="L34" s="1571">
        <f t="shared" si="32"/>
        <v>34158.665520000017</v>
      </c>
      <c r="M34" s="574">
        <f>$S68*M$40</f>
        <v>4140.0302610240014</v>
      </c>
      <c r="N34" s="574">
        <f>$S68*N$40</f>
        <v>4081.9605296400009</v>
      </c>
      <c r="O34" s="574">
        <f>$S68*O$40</f>
        <v>4116.1191951600013</v>
      </c>
      <c r="P34" s="574">
        <f>$S68*P$40</f>
        <v>4252.7538572400008</v>
      </c>
      <c r="Q34" s="574">
        <f>$S68*Q$40</f>
        <v>4696.816509000002</v>
      </c>
      <c r="R34" s="574">
        <f>$S68*R$40</f>
        <v>5304.8407552560011</v>
      </c>
      <c r="S34" s="574">
        <f>$S68*S$40</f>
        <v>7566.1444126800025</v>
      </c>
      <c r="T34" s="1571">
        <f t="shared" si="33"/>
        <v>29465.987544000003</v>
      </c>
      <c r="U34" s="574">
        <f>$AA68*U$40</f>
        <v>3571.2776903328004</v>
      </c>
      <c r="V34" s="574">
        <f>$AA68*V$40</f>
        <v>3521.1855115080002</v>
      </c>
      <c r="W34" s="574">
        <f>$AA68*W$40</f>
        <v>3550.6514990520004</v>
      </c>
      <c r="X34" s="574">
        <f>$AA68*X$40</f>
        <v>3668.5154492280003</v>
      </c>
      <c r="Y34" s="574">
        <f>$AA68*Y$40</f>
        <v>4051.5732873000006</v>
      </c>
      <c r="Z34" s="574">
        <f>$AA68*Z$40</f>
        <v>4576.0678655832007</v>
      </c>
      <c r="AA34" s="574">
        <f>$AA68*AA$40</f>
        <v>6526.716240996001</v>
      </c>
      <c r="AB34" s="574">
        <f>$AH68*AB$40</f>
        <v>3779.4889573056003</v>
      </c>
      <c r="AC34" s="574">
        <f>$AH68*AC$40</f>
        <v>3726.476323416</v>
      </c>
      <c r="AD34" s="574">
        <f>$AH68*AD$40</f>
        <v>3757.6602257039999</v>
      </c>
      <c r="AE34" s="574">
        <f>$AH68*AE$40</f>
        <v>3882.395834856</v>
      </c>
      <c r="AF34" s="574">
        <f>$AH68*AF$40</f>
        <v>4287.7865646000009</v>
      </c>
      <c r="AG34" s="574">
        <f>$AH68*AG$40</f>
        <v>4842.8600253264003</v>
      </c>
      <c r="AH34" s="574">
        <f>$AH68*AH$40</f>
        <v>6907.2343567920007</v>
      </c>
      <c r="AI34" s="574">
        <f>$AO68*AI$40</f>
        <v>4502.8524537216008</v>
      </c>
      <c r="AJ34" s="574">
        <f>$AO68*AJ$40</f>
        <v>4439.6936321760004</v>
      </c>
      <c r="AK34" s="574">
        <f>$AO68*AK$40</f>
        <v>4476.8458801440001</v>
      </c>
      <c r="AL34" s="574">
        <f>$AO68*AL$40</f>
        <v>4625.4548720160001</v>
      </c>
      <c r="AM34" s="574">
        <f>$AO68*AM$40</f>
        <v>5108.4340956000005</v>
      </c>
      <c r="AN34" s="574">
        <f>$AO68*AN$40</f>
        <v>5769.7441094304004</v>
      </c>
      <c r="AO34" s="574">
        <f>$AO68*AO$40</f>
        <v>8229.222924912001</v>
      </c>
      <c r="AP34" s="574">
        <f>$AV68*AP$40</f>
        <v>3813.8891329440007</v>
      </c>
      <c r="AQ34" s="574">
        <f>$AV68*AQ$40</f>
        <v>3760.3939883400003</v>
      </c>
      <c r="AR34" s="574">
        <f>$AV68*AR$40</f>
        <v>3791.8617204600005</v>
      </c>
      <c r="AS34" s="574">
        <f>$AV68*AS$40</f>
        <v>3917.7326489400007</v>
      </c>
      <c r="AT34" s="574">
        <f>$AV68*AT$40</f>
        <v>4326.813166500001</v>
      </c>
      <c r="AU34" s="574">
        <f>$AV68*AU$40</f>
        <v>4886.9387982360004</v>
      </c>
      <c r="AV34" s="574">
        <f>$AV68*AV$40</f>
        <v>6970.1026645800011</v>
      </c>
      <c r="AW34" s="574">
        <f>$BC68*AW$40</f>
        <v>5852.0456169120007</v>
      </c>
      <c r="AX34" s="574">
        <f>$BC68*AX$40</f>
        <v>5769.962468820001</v>
      </c>
      <c r="AY34" s="574">
        <f>$BC68*AY$40</f>
        <v>5818.2466735800008</v>
      </c>
      <c r="AZ34" s="574">
        <f>$BC68*AZ$40</f>
        <v>6011.3834926200007</v>
      </c>
      <c r="BA34" s="574">
        <f>$BC68*BA$40</f>
        <v>6639.0781545000018</v>
      </c>
      <c r="BB34" s="574">
        <f>$BC68*BB$40</f>
        <v>7498.5369992280012</v>
      </c>
      <c r="BC34" s="574">
        <f>$BC68*BC$40</f>
        <v>10694.951354340003</v>
      </c>
      <c r="BD34" s="574">
        <f>$BJ68*BD$40</f>
        <v>5805.5130706320006</v>
      </c>
      <c r="BE34" s="574">
        <f>$BJ68*BE$40</f>
        <v>5724.08260677</v>
      </c>
      <c r="BF34" s="574">
        <f>$BJ68*BF$40</f>
        <v>5771.9828796300008</v>
      </c>
      <c r="BG34" s="574">
        <f>$BJ68*BG$40</f>
        <v>5963.5839710700002</v>
      </c>
      <c r="BH34" s="574">
        <f>$BJ68*BH$40</f>
        <v>6586.2875182500011</v>
      </c>
      <c r="BI34" s="574">
        <f>$BJ68*BI$40</f>
        <v>7438.912375158</v>
      </c>
      <c r="BJ34" s="574">
        <f>$BJ68*BJ$40</f>
        <v>10609.910438490002</v>
      </c>
      <c r="BK34" s="574">
        <f>$BQ68*BK$40</f>
        <v>7454.1892265280012</v>
      </c>
      <c r="BL34" s="574">
        <f>$BQ68*BL$40</f>
        <v>7349.6337670800003</v>
      </c>
      <c r="BM34" s="574">
        <f>$BQ68*BM$40</f>
        <v>7411.1369785200004</v>
      </c>
      <c r="BN34" s="574">
        <f>$BQ68*BN$40</f>
        <v>7657.1498242800008</v>
      </c>
      <c r="BO34" s="574">
        <f>$BQ68*BO$40</f>
        <v>8456.6915730000019</v>
      </c>
      <c r="BP34" s="574">
        <f>$BQ68*BP$40</f>
        <v>9551.4487366320009</v>
      </c>
      <c r="BQ34" s="574">
        <f>$BQ68*BQ$40</f>
        <v>13622.961333960002</v>
      </c>
      <c r="BR34" s="574">
        <f>$BX68*BR$40</f>
        <v>13592.131734528002</v>
      </c>
      <c r="BS34" s="574">
        <f>$BX68*BS$40</f>
        <v>13401.483022080001</v>
      </c>
      <c r="BT34" s="574">
        <f>$BX68*BT$40</f>
        <v>13513.629323520001</v>
      </c>
      <c r="BU34" s="574">
        <f>$BX68*BU$40</f>
        <v>13962.214529280001</v>
      </c>
      <c r="BV34" s="574">
        <f>$BX68*BV$40</f>
        <v>15420.116448000002</v>
      </c>
      <c r="BW34" s="574">
        <f>$BX68*BW$40</f>
        <v>17416.320613632</v>
      </c>
      <c r="BX34" s="574">
        <f>$BX68*BX$40</f>
        <v>24840.405768960001</v>
      </c>
      <c r="BY34" s="574">
        <f>$CE68*BY$40</f>
        <v>5928.4162336319996</v>
      </c>
      <c r="BZ34" s="574">
        <f>$CE68*BZ$40</f>
        <v>5845.2618805199991</v>
      </c>
      <c r="CA34" s="574">
        <f>$CE68*CA$40</f>
        <v>5894.1762058799995</v>
      </c>
      <c r="CB34" s="574">
        <f>$CE68*CB$40</f>
        <v>6089.8335073199996</v>
      </c>
      <c r="CC34" s="574">
        <f>$CE68*CC$40</f>
        <v>6725.7197369999994</v>
      </c>
      <c r="CD34" s="574">
        <f>$CE68*CD$40</f>
        <v>7596.3947284079986</v>
      </c>
      <c r="CE34" s="574">
        <f>$CE68*CE$40</f>
        <v>10834.523067239999</v>
      </c>
    </row>
    <row r="35" spans="1:85">
      <c r="A35" s="1568" t="s">
        <v>36</v>
      </c>
      <c r="B35" s="574">
        <f>'Vtas Diarias 2021'!XD34</f>
        <v>3760.7299660000008</v>
      </c>
      <c r="C35" s="574">
        <f>'Vtas Diarias 2021'!XH34</f>
        <v>4297.9771040000005</v>
      </c>
      <c r="D35" s="574">
        <f>'Vtas Diarias 2021'!XL34</f>
        <v>5909.7185180000006</v>
      </c>
      <c r="E35" s="574">
        <f>$K69*E$40</f>
        <v>2968.2814694399999</v>
      </c>
      <c r="F35" s="574">
        <f>$K69*F$40</f>
        <v>2926.6471583999996</v>
      </c>
      <c r="G35" s="574">
        <f>$K69*G$40</f>
        <v>2951.1379296</v>
      </c>
      <c r="H35" s="574">
        <f>$K69*H$40</f>
        <v>3049.1010143999997</v>
      </c>
      <c r="I35" s="574">
        <f>$K69*I$40</f>
        <v>3367.4810400000001</v>
      </c>
      <c r="J35" s="574">
        <f>$K69*J$40</f>
        <v>3803.4167673599995</v>
      </c>
      <c r="K35" s="574">
        <f>$K69*K$40</f>
        <v>5424.7058207999999</v>
      </c>
      <c r="L35" s="1571">
        <f t="shared" si="32"/>
        <v>29604.207132000003</v>
      </c>
      <c r="M35" s="574">
        <f>$S69*M$40</f>
        <v>3588.0299043984005</v>
      </c>
      <c r="N35" s="574">
        <f>$S69*N$40</f>
        <v>3537.7027522740004</v>
      </c>
      <c r="O35" s="574">
        <f>$S69*O$40</f>
        <v>3567.3069594060003</v>
      </c>
      <c r="P35" s="574">
        <f>$S69*P$40</f>
        <v>3685.7237879340005</v>
      </c>
      <c r="Q35" s="574">
        <f>$S69*Q$40</f>
        <v>4070.578480650001</v>
      </c>
      <c r="R35" s="574">
        <f>$S69*R$40</f>
        <v>4597.5333675996008</v>
      </c>
      <c r="S35" s="574">
        <f>$S69*S$40</f>
        <v>6557.3318797380007</v>
      </c>
      <c r="T35" s="1571">
        <f t="shared" si="33"/>
        <v>33685.77132</v>
      </c>
      <c r="U35" s="574">
        <f>$AA69*U$40</f>
        <v>4082.715483984</v>
      </c>
      <c r="V35" s="574">
        <f>$AA69*V$40</f>
        <v>4025.4496727399996</v>
      </c>
      <c r="W35" s="574">
        <f>$AA69*W$40</f>
        <v>4059.1354440599998</v>
      </c>
      <c r="X35" s="574">
        <f>$AA69*X$40</f>
        <v>4193.8785293399997</v>
      </c>
      <c r="Y35" s="574">
        <f>$AA69*Y$40</f>
        <v>4631.7935565000007</v>
      </c>
      <c r="Z35" s="574">
        <f>$AA69*Z$40</f>
        <v>5231.4002859960001</v>
      </c>
      <c r="AA35" s="574">
        <f>$AA69*AA$40</f>
        <v>7461.3983473799999</v>
      </c>
      <c r="AB35" s="574">
        <f>$AH69*AB$40</f>
        <v>4915.2792301920008</v>
      </c>
      <c r="AC35" s="574">
        <f>$AH69*AC$40</f>
        <v>4846.3355446200003</v>
      </c>
      <c r="AD35" s="574">
        <f>$AH69*AD$40</f>
        <v>4886.8906537800003</v>
      </c>
      <c r="AE35" s="574">
        <f>$AH69*AE$40</f>
        <v>5049.1110904200004</v>
      </c>
      <c r="AF35" s="574">
        <f>$AH69*AF$40</f>
        <v>5576.3275095000017</v>
      </c>
      <c r="AG35" s="574">
        <f>$AH69*AG$40</f>
        <v>6298.2084525480004</v>
      </c>
      <c r="AH35" s="574">
        <f>$AH69*AH$40</f>
        <v>8982.9566789400014</v>
      </c>
      <c r="AI35" s="574">
        <f>$AO69*AI$40</f>
        <v>7092.5019806880009</v>
      </c>
      <c r="AJ35" s="574">
        <f>$AO69*AJ$40</f>
        <v>6993.0196921799998</v>
      </c>
      <c r="AK35" s="574">
        <f>$AO69*AK$40</f>
        <v>7051.5386854200005</v>
      </c>
      <c r="AL35" s="574">
        <f>$AO69*AL$40</f>
        <v>7285.61465838</v>
      </c>
      <c r="AM35" s="574">
        <f>$AO69*AM$40</f>
        <v>8046.3615705000011</v>
      </c>
      <c r="AN35" s="574">
        <f>$AO69*AN$40</f>
        <v>9087.9996501719997</v>
      </c>
      <c r="AO35" s="574">
        <f>$AO69*AO$40</f>
        <v>12961.957002660001</v>
      </c>
      <c r="AP35" s="574">
        <f>$AV69*AP$40</f>
        <v>5927.4305213040006</v>
      </c>
      <c r="AQ35" s="574">
        <f>$AV69*AQ$40</f>
        <v>5844.2899941900005</v>
      </c>
      <c r="AR35" s="574">
        <f>$AV69*AR$40</f>
        <v>5893.196186610001</v>
      </c>
      <c r="AS35" s="574">
        <f>$AV69*AS$40</f>
        <v>6088.820956290001</v>
      </c>
      <c r="AT35" s="574">
        <f>$AV69*AT$40</f>
        <v>6724.6014577500018</v>
      </c>
      <c r="AU35" s="574">
        <f>$AV69*AU$40</f>
        <v>7595.1316828260005</v>
      </c>
      <c r="AV35" s="574">
        <f>$AV69*AV$40</f>
        <v>10832.721621030001</v>
      </c>
      <c r="AW35" s="574">
        <f>$BC69*AW$40</f>
        <v>5162.8995784080016</v>
      </c>
      <c r="AX35" s="574">
        <f>$BC69*AX$40</f>
        <v>5090.4826701300008</v>
      </c>
      <c r="AY35" s="574">
        <f>$BC69*AY$40</f>
        <v>5133.0808514700011</v>
      </c>
      <c r="AZ35" s="574">
        <f>$BC69*AZ$40</f>
        <v>5303.4735768300015</v>
      </c>
      <c r="BA35" s="574">
        <f>$BC69*BA$40</f>
        <v>5857.2499342500023</v>
      </c>
      <c r="BB35" s="574">
        <f>$BC69*BB$40</f>
        <v>6615.4975621020012</v>
      </c>
      <c r="BC35" s="574">
        <f>$BC69*BC$40</f>
        <v>9435.4971668100025</v>
      </c>
      <c r="BD35" s="574">
        <f>$BJ69*BD$40</f>
        <v>6898.4364873600016</v>
      </c>
      <c r="BE35" s="574">
        <f>$BJ69*BE$40</f>
        <v>6801.6762396000013</v>
      </c>
      <c r="BF35" s="574">
        <f>$BJ69*BF$40</f>
        <v>6858.5940324000012</v>
      </c>
      <c r="BG35" s="574">
        <f>$BJ69*BG$40</f>
        <v>7086.2652036000009</v>
      </c>
      <c r="BH35" s="574">
        <f>$BJ69*BH$40</f>
        <v>7826.1965100000016</v>
      </c>
      <c r="BI35" s="574">
        <f>$BJ69*BI$40</f>
        <v>8839.333221840001</v>
      </c>
      <c r="BJ35" s="574">
        <f>$BJ69*BJ$40</f>
        <v>12607.291105200002</v>
      </c>
      <c r="BK35" s="574">
        <f>$BQ69*BK$40</f>
        <v>8275.7336238720018</v>
      </c>
      <c r="BL35" s="574">
        <f>$BQ69*BL$40</f>
        <v>8159.6548519200023</v>
      </c>
      <c r="BM35" s="574">
        <f>$BQ69*BM$40</f>
        <v>8227.9364824800014</v>
      </c>
      <c r="BN35" s="574">
        <f>$BQ69*BN$40</f>
        <v>8501.0630047200029</v>
      </c>
      <c r="BO35" s="574">
        <f>$BQ69*BO$40</f>
        <v>9388.7242020000031</v>
      </c>
      <c r="BP35" s="574">
        <f>$BQ69*BP$40</f>
        <v>10604.137225968003</v>
      </c>
      <c r="BQ35" s="574">
        <f>$BQ69*BQ$40</f>
        <v>15124.381169040005</v>
      </c>
      <c r="BR35" s="574">
        <f>$BX69*BR$40</f>
        <v>18833.641939814403</v>
      </c>
      <c r="BS35" s="574">
        <f>$BX69*BS$40</f>
        <v>18569.473694783999</v>
      </c>
      <c r="BT35" s="574">
        <f>$BX69*BT$40</f>
        <v>18724.866780095999</v>
      </c>
      <c r="BU35" s="574">
        <f>$BX69*BU$40</f>
        <v>19346.439121343999</v>
      </c>
      <c r="BV35" s="574">
        <f>$BX69*BV$40</f>
        <v>21366.549230400004</v>
      </c>
      <c r="BW35" s="574">
        <f>$BX69*BW$40</f>
        <v>24132.546148953599</v>
      </c>
      <c r="BX35" s="574">
        <f>$BX69*BX$40</f>
        <v>34419.568396608003</v>
      </c>
      <c r="BY35" s="574">
        <f>$CE69*BY$40</f>
        <v>6915.3864721920008</v>
      </c>
      <c r="BZ35" s="574">
        <f>$CE69*BZ$40</f>
        <v>6818.3884771200001</v>
      </c>
      <c r="CA35" s="574">
        <f>$CE69*CA$40</f>
        <v>6875.4461212800006</v>
      </c>
      <c r="CB35" s="574">
        <f>$CE69*CB$40</f>
        <v>7103.6766979200002</v>
      </c>
      <c r="CC35" s="574">
        <f>$CE69*CC$40</f>
        <v>7845.4260720000011</v>
      </c>
      <c r="CD35" s="574">
        <f>$CE69*CD$40</f>
        <v>8861.0521380480004</v>
      </c>
      <c r="CE35" s="574">
        <f>$CE69*CE$40</f>
        <v>12638.26818144</v>
      </c>
    </row>
    <row r="36" spans="1:85">
      <c r="A36" s="1568" t="s">
        <v>37</v>
      </c>
      <c r="B36" s="574">
        <f>'Vtas Diarias 2021'!XD35</f>
        <v>6574.5505280000007</v>
      </c>
      <c r="C36" s="574">
        <f>'Vtas Diarias 2021'!XH35</f>
        <v>7513.7720319999999</v>
      </c>
      <c r="D36" s="574">
        <f>'Vtas Diarias 2021'!XL35</f>
        <v>10331.436544</v>
      </c>
      <c r="E36" s="574">
        <f>$K70*E$40</f>
        <v>5296.9940876160008</v>
      </c>
      <c r="F36" s="574">
        <f>$K70*F$40</f>
        <v>5222.6963157600012</v>
      </c>
      <c r="G36" s="574">
        <f>$K70*G$40</f>
        <v>5266.4008874400006</v>
      </c>
      <c r="H36" s="574">
        <f>$K70*H$40</f>
        <v>5441.2191741600009</v>
      </c>
      <c r="I36" s="574">
        <f>$K70*I$40</f>
        <v>6009.378606000002</v>
      </c>
      <c r="J36" s="574">
        <f>$K70*J$40</f>
        <v>6787.319981904001</v>
      </c>
      <c r="K36" s="574">
        <f>$K70*K$40</f>
        <v>9680.5626271200017</v>
      </c>
      <c r="L36" s="1571">
        <f t="shared" si="32"/>
        <v>50617.937016000003</v>
      </c>
      <c r="M36" s="574">
        <f>$S70*M$40</f>
        <v>6134.8939663392002</v>
      </c>
      <c r="N36" s="574">
        <f>$S70*N$40</f>
        <v>6048.8434734120001</v>
      </c>
      <c r="O36" s="574">
        <f>$S70*O$40</f>
        <v>6099.4614104279999</v>
      </c>
      <c r="P36" s="574">
        <f>$S70*P$40</f>
        <v>6301.9331584920001</v>
      </c>
      <c r="Q36" s="574">
        <f>$S70*Q$40</f>
        <v>6959.9663397000013</v>
      </c>
      <c r="R36" s="574">
        <f>$S70*R$40</f>
        <v>7860.9656185847998</v>
      </c>
      <c r="S36" s="574">
        <f>$S70*S$40</f>
        <v>11211.873049044001</v>
      </c>
      <c r="T36" s="1571">
        <f t="shared" si="33"/>
        <v>51270.476039999994</v>
      </c>
      <c r="U36" s="574">
        <f>$AA70*U$40</f>
        <v>6213.9816960479993</v>
      </c>
      <c r="V36" s="574">
        <f>$AA70*V$40</f>
        <v>6126.8218867799987</v>
      </c>
      <c r="W36" s="574">
        <f>$AA70*W$40</f>
        <v>6178.0923628199989</v>
      </c>
      <c r="X36" s="574">
        <f>$AA70*X$40</f>
        <v>6383.1742669799996</v>
      </c>
      <c r="Y36" s="574">
        <f>$AA70*Y$40</f>
        <v>7049.6904555000001</v>
      </c>
      <c r="Z36" s="574">
        <f>$AA70*Z$40</f>
        <v>7962.3049290119989</v>
      </c>
      <c r="AA36" s="574">
        <f>$AA70*AA$40</f>
        <v>11356.410442859999</v>
      </c>
      <c r="AB36" s="574">
        <f>$AH70*AB$40</f>
        <v>9869.0154433919997</v>
      </c>
      <c r="AC36" s="574">
        <f>$AH70*AC$40</f>
        <v>9730.5886591199996</v>
      </c>
      <c r="AD36" s="574">
        <f>$AH70*AD$40</f>
        <v>9812.0161792799991</v>
      </c>
      <c r="AE36" s="574">
        <f>$AH70*AE$40</f>
        <v>10137.72625992</v>
      </c>
      <c r="AF36" s="574">
        <f>$AH70*AF$40</f>
        <v>11196.284022000002</v>
      </c>
      <c r="AG36" s="574">
        <f>$AH70*AG$40</f>
        <v>12645.693880847999</v>
      </c>
      <c r="AH36" s="574">
        <f>$AH70*AH$40</f>
        <v>18036.195715440001</v>
      </c>
      <c r="AI36" s="574">
        <f>$AO70*AI$40</f>
        <v>10652.297840409601</v>
      </c>
      <c r="AJ36" s="574">
        <f>$AO70*AJ$40</f>
        <v>10502.884421856001</v>
      </c>
      <c r="AK36" s="574">
        <f>$AO70*AK$40</f>
        <v>10590.774668064001</v>
      </c>
      <c r="AL36" s="574">
        <f>$AO70*AL$40</f>
        <v>10942.335652896001</v>
      </c>
      <c r="AM36" s="574">
        <f>$AO70*AM$40</f>
        <v>12084.908853600002</v>
      </c>
      <c r="AN36" s="574">
        <f>$AO70*AN$40</f>
        <v>13649.355236102401</v>
      </c>
      <c r="AO36" s="574">
        <f>$AO70*AO$40</f>
        <v>19467.689535072004</v>
      </c>
      <c r="AP36" s="574">
        <f>$AV70*AP$40</f>
        <v>7950.4001502912015</v>
      </c>
      <c r="AQ36" s="574">
        <f>$AV70*AQ$40</f>
        <v>7838.8846366320013</v>
      </c>
      <c r="AR36" s="574">
        <f>$AV70*AR$40</f>
        <v>7904.4819976080007</v>
      </c>
      <c r="AS36" s="574">
        <f>$AV70*AS$40</f>
        <v>8166.8714415120012</v>
      </c>
      <c r="AT36" s="574">
        <f>$AV70*AT$40</f>
        <v>9019.637134200002</v>
      </c>
      <c r="AU36" s="574">
        <f>$AV70*AU$40</f>
        <v>10187.270159572801</v>
      </c>
      <c r="AV36" s="574">
        <f>$AV70*AV$40</f>
        <v>14529.815456184002</v>
      </c>
      <c r="AW36" s="574">
        <f>$BC70*AW$40</f>
        <v>10829.895360336001</v>
      </c>
      <c r="AX36" s="574">
        <f>$BC70*AX$40</f>
        <v>10677.990887460001</v>
      </c>
      <c r="AY36" s="574">
        <f>$BC70*AY$40</f>
        <v>10767.34645974</v>
      </c>
      <c r="AZ36" s="574">
        <f>$BC70*AZ$40</f>
        <v>11124.76874886</v>
      </c>
      <c r="BA36" s="574">
        <f>$BC70*BA$40</f>
        <v>12286.391188500002</v>
      </c>
      <c r="BB36" s="574">
        <f>$BC70*BB$40</f>
        <v>13876.920375084001</v>
      </c>
      <c r="BC36" s="574">
        <f>$BC70*BC$40</f>
        <v>19792.259260020001</v>
      </c>
      <c r="BD36" s="574">
        <f>$BJ70*BD$40</f>
        <v>15566.177321136003</v>
      </c>
      <c r="BE36" s="574">
        <f>$BJ70*BE$40</f>
        <v>15347.839850460001</v>
      </c>
      <c r="BF36" s="574">
        <f>$BJ70*BF$40</f>
        <v>15476.273656740002</v>
      </c>
      <c r="BG36" s="574">
        <f>$BJ70*BG$40</f>
        <v>15990.008881860002</v>
      </c>
      <c r="BH36" s="574">
        <f>$BJ70*BH$40</f>
        <v>17659.648363500004</v>
      </c>
      <c r="BI36" s="574">
        <f>$BJ70*BI$40</f>
        <v>19945.770115284002</v>
      </c>
      <c r="BJ36" s="574">
        <f>$BJ70*BJ$40</f>
        <v>28448.088091020003</v>
      </c>
      <c r="BK36" s="574">
        <f>$BQ70*BK$40</f>
        <v>17597.013380855999</v>
      </c>
      <c r="BL36" s="574">
        <f>$BQ70*BL$40</f>
        <v>17350.190585910001</v>
      </c>
      <c r="BM36" s="574">
        <f>$BQ70*BM$40</f>
        <v>17495.38046529</v>
      </c>
      <c r="BN36" s="574">
        <f>$BQ70*BN$40</f>
        <v>18076.13998281</v>
      </c>
      <c r="BO36" s="574">
        <f>$BQ70*BO$40</f>
        <v>19963.608414750001</v>
      </c>
      <c r="BP36" s="574">
        <f>$BQ70*BP$40</f>
        <v>22547.988267713998</v>
      </c>
      <c r="BQ36" s="574">
        <f>$BQ70*BQ$40</f>
        <v>32159.558282670001</v>
      </c>
      <c r="BR36" s="574">
        <f>$BX70*BR$40</f>
        <v>31957.358044953606</v>
      </c>
      <c r="BS36" s="574">
        <f>$BX70*BS$40</f>
        <v>31509.111273696006</v>
      </c>
      <c r="BT36" s="574">
        <f>$BX70*BT$40</f>
        <v>31772.785845024006</v>
      </c>
      <c r="BU36" s="574">
        <f>$BX70*BU$40</f>
        <v>32827.484130336008</v>
      </c>
      <c r="BV36" s="574">
        <f>$BX70*BV$40</f>
        <v>36255.253557600008</v>
      </c>
      <c r="BW36" s="574">
        <f>$BX70*BW$40</f>
        <v>40948.660927238408</v>
      </c>
      <c r="BX36" s="574">
        <f>$BX70*BX$40</f>
        <v>58403.917549152015</v>
      </c>
      <c r="BY36" s="574">
        <f>$CE70*BY$40</f>
        <v>8347.1049296640012</v>
      </c>
      <c r="BZ36" s="574">
        <f>$CE70*BZ$40</f>
        <v>8230.025075040001</v>
      </c>
      <c r="CA36" s="574">
        <f>$CE70*CA$40</f>
        <v>8298.8955777600004</v>
      </c>
      <c r="CB36" s="574">
        <f>$CE70*CB$40</f>
        <v>8574.3775886399999</v>
      </c>
      <c r="CC36" s="574">
        <f>$CE70*CC$40</f>
        <v>9469.6941240000015</v>
      </c>
      <c r="CD36" s="574">
        <f>$CE70*CD$40</f>
        <v>10695.589072416</v>
      </c>
      <c r="CE36" s="574">
        <f>$CE70*CE$40</f>
        <v>15254.81635248</v>
      </c>
    </row>
    <row r="37" spans="1:85">
      <c r="A37" s="1568" t="s">
        <v>42</v>
      </c>
      <c r="B37" s="574"/>
      <c r="C37" s="574"/>
      <c r="D37" s="574"/>
      <c r="E37" s="574"/>
      <c r="F37" s="574"/>
      <c r="G37" s="574"/>
      <c r="H37" s="574"/>
      <c r="I37" s="574"/>
      <c r="J37" s="574"/>
      <c r="K37" s="574"/>
      <c r="L37" s="1571">
        <f t="shared" si="32"/>
        <v>918985.35841200012</v>
      </c>
      <c r="M37" s="574">
        <f>M27+M28+M29+M30+M31</f>
        <v>111381.02543953442</v>
      </c>
      <c r="N37" s="574">
        <f t="shared" ref="N37:BZ37" si="34">N27+N28+N29+N30+N31</f>
        <v>109818.750330234</v>
      </c>
      <c r="O37" s="574">
        <f t="shared" si="34"/>
        <v>110737.73568864602</v>
      </c>
      <c r="P37" s="574">
        <f t="shared" si="34"/>
        <v>114413.677122294</v>
      </c>
      <c r="Q37" s="574">
        <f t="shared" si="34"/>
        <v>126360.48678165002</v>
      </c>
      <c r="R37" s="574">
        <f t="shared" si="34"/>
        <v>142718.42616138363</v>
      </c>
      <c r="S37" s="574">
        <f t="shared" si="34"/>
        <v>203555.25688825801</v>
      </c>
      <c r="T37" s="1571">
        <f t="shared" si="33"/>
        <v>744040.48964400007</v>
      </c>
      <c r="U37" s="574">
        <f t="shared" si="34"/>
        <v>90177.70734485281</v>
      </c>
      <c r="V37" s="574">
        <f t="shared" si="34"/>
        <v>88912.838512458009</v>
      </c>
      <c r="W37" s="574">
        <f t="shared" si="34"/>
        <v>89656.87900210201</v>
      </c>
      <c r="X37" s="574">
        <f t="shared" si="34"/>
        <v>92633.040960678001</v>
      </c>
      <c r="Y37" s="574">
        <f t="shared" si="34"/>
        <v>102305.56732605002</v>
      </c>
      <c r="Z37" s="574">
        <f t="shared" si="34"/>
        <v>115549.48804171319</v>
      </c>
      <c r="AA37" s="574">
        <f t="shared" si="34"/>
        <v>164804.96845614602</v>
      </c>
      <c r="AB37" s="574">
        <f t="shared" si="34"/>
        <v>130499.72683709761</v>
      </c>
      <c r="AC37" s="574">
        <f t="shared" si="34"/>
        <v>128669.28512403599</v>
      </c>
      <c r="AD37" s="574">
        <f t="shared" si="34"/>
        <v>129746.015543484</v>
      </c>
      <c r="AE37" s="574">
        <f t="shared" si="34"/>
        <v>134052.93722127599</v>
      </c>
      <c r="AF37" s="574">
        <f t="shared" si="34"/>
        <v>148050.43267410001</v>
      </c>
      <c r="AG37" s="574">
        <f t="shared" si="34"/>
        <v>167216.23414027441</v>
      </c>
      <c r="AH37" s="574">
        <f t="shared" si="34"/>
        <v>238495.78790773201</v>
      </c>
      <c r="AI37" s="574">
        <f t="shared" si="34"/>
        <v>145536.84811640161</v>
      </c>
      <c r="AJ37" s="574">
        <f t="shared" si="34"/>
        <v>143495.489685726</v>
      </c>
      <c r="AK37" s="574">
        <f t="shared" si="34"/>
        <v>144696.28876259402</v>
      </c>
      <c r="AL37" s="574">
        <f t="shared" si="34"/>
        <v>149499.485070066</v>
      </c>
      <c r="AM37" s="574">
        <f t="shared" si="34"/>
        <v>165109.87306935003</v>
      </c>
      <c r="AN37" s="574">
        <f t="shared" si="34"/>
        <v>186484.09663760039</v>
      </c>
      <c r="AO37" s="574">
        <f t="shared" si="34"/>
        <v>265976.99552626204</v>
      </c>
      <c r="AP37" s="574">
        <f t="shared" si="34"/>
        <v>137033.16776075523</v>
      </c>
      <c r="AQ37" s="574">
        <f t="shared" si="34"/>
        <v>135111.08537467202</v>
      </c>
      <c r="AR37" s="574">
        <f t="shared" si="34"/>
        <v>136241.72207236799</v>
      </c>
      <c r="AS37" s="574">
        <f t="shared" si="34"/>
        <v>140764.26886315201</v>
      </c>
      <c r="AT37" s="574">
        <f t="shared" si="34"/>
        <v>155462.54593320005</v>
      </c>
      <c r="AU37" s="574">
        <f t="shared" si="34"/>
        <v>175587.87915218881</v>
      </c>
      <c r="AV37" s="574">
        <f t="shared" si="34"/>
        <v>250436.02853966405</v>
      </c>
      <c r="AW37" s="574">
        <f t="shared" si="34"/>
        <v>165209.9015873952</v>
      </c>
      <c r="AX37" s="574">
        <f t="shared" si="34"/>
        <v>162892.60098757202</v>
      </c>
      <c r="AY37" s="574">
        <f t="shared" si="34"/>
        <v>164255.71898746799</v>
      </c>
      <c r="AZ37" s="574">
        <f t="shared" si="34"/>
        <v>169708.19098705199</v>
      </c>
      <c r="BA37" s="574">
        <f t="shared" si="34"/>
        <v>187428.72498570004</v>
      </c>
      <c r="BB37" s="574">
        <f t="shared" si="34"/>
        <v>211692.2253838488</v>
      </c>
      <c r="BC37" s="574">
        <f t="shared" si="34"/>
        <v>301930.63697696402</v>
      </c>
      <c r="BD37" s="574">
        <f t="shared" si="34"/>
        <v>211705.72135568643</v>
      </c>
      <c r="BE37" s="574">
        <f t="shared" si="34"/>
        <v>208736.25166670402</v>
      </c>
      <c r="BF37" s="574">
        <f t="shared" si="34"/>
        <v>210482.99854257601</v>
      </c>
      <c r="BG37" s="574">
        <f t="shared" si="34"/>
        <v>217469.986046064</v>
      </c>
      <c r="BH37" s="574">
        <f t="shared" si="34"/>
        <v>240177.69543240004</v>
      </c>
      <c r="BI37" s="574">
        <f t="shared" si="34"/>
        <v>271269.78982292162</v>
      </c>
      <c r="BJ37" s="574">
        <f t="shared" si="34"/>
        <v>386904.43300564802</v>
      </c>
      <c r="BK37" s="574">
        <f t="shared" si="34"/>
        <v>267402.28533863043</v>
      </c>
      <c r="BL37" s="574">
        <f t="shared" si="34"/>
        <v>263651.59321754402</v>
      </c>
      <c r="BM37" s="574">
        <f t="shared" si="34"/>
        <v>265857.88270053605</v>
      </c>
      <c r="BN37" s="574">
        <f t="shared" si="34"/>
        <v>274683.04063250404</v>
      </c>
      <c r="BO37" s="574">
        <f t="shared" si="34"/>
        <v>303364.80391140003</v>
      </c>
      <c r="BP37" s="574">
        <f t="shared" si="34"/>
        <v>342636.7567086576</v>
      </c>
      <c r="BQ37" s="574">
        <f t="shared" si="34"/>
        <v>488693.120482728</v>
      </c>
      <c r="BR37" s="574">
        <f t="shared" si="34"/>
        <v>430169.80702262401</v>
      </c>
      <c r="BS37" s="574">
        <f t="shared" si="34"/>
        <v>424136.07210564008</v>
      </c>
      <c r="BT37" s="574">
        <f t="shared" si="34"/>
        <v>427685.32793915999</v>
      </c>
      <c r="BU37" s="574">
        <f t="shared" si="34"/>
        <v>441882.35127324</v>
      </c>
      <c r="BV37" s="574">
        <f t="shared" si="34"/>
        <v>488022.67710900004</v>
      </c>
      <c r="BW37" s="574">
        <f t="shared" si="34"/>
        <v>551199.43094565603</v>
      </c>
      <c r="BX37" s="574">
        <f t="shared" si="34"/>
        <v>786160.16712468001</v>
      </c>
      <c r="BY37" s="574">
        <f t="shared" si="34"/>
        <v>132425.20325347199</v>
      </c>
      <c r="BZ37" s="574">
        <f t="shared" si="34"/>
        <v>130567.75403292</v>
      </c>
      <c r="CA37" s="574">
        <f t="shared" ref="CA37:CE37" si="35">CA27+CA28+CA29+CA30+CA31</f>
        <v>131660.37122147999</v>
      </c>
      <c r="CB37" s="574">
        <f t="shared" si="35"/>
        <v>136030.83997572001</v>
      </c>
      <c r="CC37" s="574">
        <f t="shared" si="35"/>
        <v>150234.863427</v>
      </c>
      <c r="CD37" s="574">
        <f t="shared" si="35"/>
        <v>169683.44938336799</v>
      </c>
      <c r="CE37" s="574">
        <f t="shared" si="35"/>
        <v>242014.70726604</v>
      </c>
    </row>
    <row r="38" spans="1:85">
      <c r="A38" s="1568" t="s">
        <v>43</v>
      </c>
      <c r="B38" s="574"/>
      <c r="C38" s="574"/>
      <c r="D38" s="574"/>
      <c r="E38" s="574"/>
      <c r="F38" s="574"/>
      <c r="G38" s="574"/>
      <c r="H38" s="574"/>
      <c r="I38" s="574"/>
      <c r="J38" s="574"/>
      <c r="K38" s="574"/>
      <c r="L38" s="1571">
        <f t="shared" si="32"/>
        <v>226024.93486800004</v>
      </c>
      <c r="M38" s="574">
        <f>M32+M33+M34+M35+M36</f>
        <v>27394.222106001605</v>
      </c>
      <c r="N38" s="574">
        <f t="shared" ref="N38:BZ38" si="36">N32+N33+N34+N35+N36</f>
        <v>27009.979716725997</v>
      </c>
      <c r="O38" s="574">
        <f t="shared" si="36"/>
        <v>27236.004651594001</v>
      </c>
      <c r="P38" s="574">
        <f t="shared" si="36"/>
        <v>28140.104391065997</v>
      </c>
      <c r="Q38" s="574">
        <f t="shared" si="36"/>
        <v>31078.428544350005</v>
      </c>
      <c r="R38" s="574">
        <f t="shared" si="36"/>
        <v>35101.672385000405</v>
      </c>
      <c r="S38" s="574">
        <f t="shared" si="36"/>
        <v>50064.523073262004</v>
      </c>
      <c r="T38" s="1571">
        <f t="shared" si="33"/>
        <v>210973.53581999999</v>
      </c>
      <c r="U38" s="574">
        <f>U32+U33+U34+U35+U36</f>
        <v>25569.992541383999</v>
      </c>
      <c r="V38" s="574">
        <f t="shared" si="36"/>
        <v>25211.337530489996</v>
      </c>
      <c r="W38" s="574">
        <f t="shared" si="36"/>
        <v>25422.311066310001</v>
      </c>
      <c r="X38" s="574">
        <f t="shared" si="36"/>
        <v>26266.20520959</v>
      </c>
      <c r="Y38" s="574">
        <f t="shared" si="36"/>
        <v>29008.861175250004</v>
      </c>
      <c r="Z38" s="574">
        <f t="shared" si="36"/>
        <v>32764.190112845998</v>
      </c>
      <c r="AA38" s="574">
        <f t="shared" si="36"/>
        <v>46730.638184129995</v>
      </c>
      <c r="AB38" s="574">
        <f t="shared" si="36"/>
        <v>34912.443731558407</v>
      </c>
      <c r="AC38" s="574">
        <f t="shared" si="36"/>
        <v>34422.747738624006</v>
      </c>
      <c r="AD38" s="574">
        <f t="shared" si="36"/>
        <v>34710.804205056003</v>
      </c>
      <c r="AE38" s="574">
        <f t="shared" si="36"/>
        <v>35863.030070784007</v>
      </c>
      <c r="AF38" s="574">
        <f t="shared" si="36"/>
        <v>39607.764134400015</v>
      </c>
      <c r="AG38" s="574">
        <f t="shared" si="36"/>
        <v>44735.169236889604</v>
      </c>
      <c r="AH38" s="574">
        <f t="shared" si="36"/>
        <v>63804.507314688002</v>
      </c>
      <c r="AI38" s="574">
        <f t="shared" si="36"/>
        <v>39517.662826137603</v>
      </c>
      <c r="AJ38" s="574">
        <f t="shared" si="36"/>
        <v>38963.372175936005</v>
      </c>
      <c r="AK38" s="574">
        <f t="shared" si="36"/>
        <v>39289.425499584002</v>
      </c>
      <c r="AL38" s="574">
        <f t="shared" si="36"/>
        <v>40593.638794176004</v>
      </c>
      <c r="AM38" s="574">
        <f t="shared" si="36"/>
        <v>44832.332001600007</v>
      </c>
      <c r="AN38" s="574">
        <f t="shared" si="36"/>
        <v>50636.081162534407</v>
      </c>
      <c r="AO38" s="574">
        <f t="shared" si="36"/>
        <v>72220.811188032007</v>
      </c>
      <c r="AP38" s="574">
        <f t="shared" si="36"/>
        <v>37133.561238321599</v>
      </c>
      <c r="AQ38" s="574">
        <f t="shared" si="36"/>
        <v>36612.710956925999</v>
      </c>
      <c r="AR38" s="574">
        <f t="shared" si="36"/>
        <v>36919.093475394009</v>
      </c>
      <c r="AS38" s="574">
        <f t="shared" si="36"/>
        <v>38144.623549266005</v>
      </c>
      <c r="AT38" s="574">
        <f t="shared" si="36"/>
        <v>42127.596289350011</v>
      </c>
      <c r="AU38" s="574">
        <f t="shared" si="36"/>
        <v>47581.205118080405</v>
      </c>
      <c r="AV38" s="574">
        <f t="shared" si="36"/>
        <v>67863.727840662003</v>
      </c>
      <c r="AW38" s="574">
        <f t="shared" si="36"/>
        <v>42300.172097928007</v>
      </c>
      <c r="AX38" s="574">
        <f t="shared" si="36"/>
        <v>41706.852852330005</v>
      </c>
      <c r="AY38" s="574">
        <f t="shared" si="36"/>
        <v>42055.864173270005</v>
      </c>
      <c r="AZ38" s="574">
        <f t="shared" si="36"/>
        <v>43451.90945703</v>
      </c>
      <c r="BA38" s="574">
        <f t="shared" si="36"/>
        <v>47989.056629250015</v>
      </c>
      <c r="BB38" s="574">
        <f t="shared" si="36"/>
        <v>54201.458141982002</v>
      </c>
      <c r="BC38" s="574">
        <f t="shared" si="36"/>
        <v>77306.007588210021</v>
      </c>
      <c r="BD38" s="574">
        <f t="shared" si="36"/>
        <v>57391.988336280003</v>
      </c>
      <c r="BE38" s="574">
        <f t="shared" si="36"/>
        <v>56586.985199550007</v>
      </c>
      <c r="BF38" s="574">
        <f t="shared" si="36"/>
        <v>57060.516456450001</v>
      </c>
      <c r="BG38" s="574">
        <f t="shared" si="36"/>
        <v>58954.641484050007</v>
      </c>
      <c r="BH38" s="574">
        <f t="shared" si="36"/>
        <v>65110.547823750007</v>
      </c>
      <c r="BI38" s="574">
        <f t="shared" si="36"/>
        <v>73539.404196570002</v>
      </c>
      <c r="BJ38" s="574">
        <f t="shared" si="36"/>
        <v>104887.17340335</v>
      </c>
      <c r="BK38" s="574">
        <f t="shared" si="36"/>
        <v>74392.220058724808</v>
      </c>
      <c r="BL38" s="574">
        <f t="shared" si="36"/>
        <v>73348.764826878003</v>
      </c>
      <c r="BM38" s="574">
        <f t="shared" si="36"/>
        <v>73962.562022082013</v>
      </c>
      <c r="BN38" s="574">
        <f t="shared" si="36"/>
        <v>76417.750802898008</v>
      </c>
      <c r="BO38" s="574">
        <f t="shared" si="36"/>
        <v>84397.114340550019</v>
      </c>
      <c r="BP38" s="574">
        <f t="shared" si="36"/>
        <v>95322.704415181201</v>
      </c>
      <c r="BQ38" s="574">
        <f t="shared" si="36"/>
        <v>135956.07873768601</v>
      </c>
      <c r="BR38" s="574">
        <f t="shared" si="36"/>
        <v>121835.45436772323</v>
      </c>
      <c r="BS38" s="574">
        <f t="shared" si="36"/>
        <v>120126.54122890202</v>
      </c>
      <c r="BT38" s="574">
        <f t="shared" si="36"/>
        <v>121131.784251738</v>
      </c>
      <c r="BU38" s="574">
        <f t="shared" si="36"/>
        <v>125152.756343082</v>
      </c>
      <c r="BV38" s="574">
        <f t="shared" si="36"/>
        <v>138220.91563995002</v>
      </c>
      <c r="BW38" s="574">
        <f t="shared" si="36"/>
        <v>156114.24144643079</v>
      </c>
      <c r="BX38" s="574">
        <f t="shared" si="36"/>
        <v>222661.32955817404</v>
      </c>
      <c r="BY38" s="574">
        <f t="shared" si="36"/>
        <v>38765.179250020803</v>
      </c>
      <c r="BZ38" s="574">
        <f t="shared" si="36"/>
        <v>38221.443237437998</v>
      </c>
      <c r="CA38" s="574">
        <f t="shared" ref="CA38:CE38" si="37">CA32+CA33+CA34+CA35+CA36</f>
        <v>38541.287950721999</v>
      </c>
      <c r="CB38" s="574">
        <f t="shared" si="37"/>
        <v>39820.666803858003</v>
      </c>
      <c r="CC38" s="574">
        <f t="shared" si="37"/>
        <v>43978.648076550002</v>
      </c>
      <c r="CD38" s="574">
        <f t="shared" si="37"/>
        <v>49671.883973005191</v>
      </c>
      <c r="CE38" s="574">
        <f t="shared" si="37"/>
        <v>70845.603992406002</v>
      </c>
    </row>
    <row r="39" spans="1:85">
      <c r="A39" s="1568" t="s">
        <v>524</v>
      </c>
      <c r="B39" s="399"/>
      <c r="C39" s="399"/>
      <c r="D39" s="399"/>
      <c r="E39" s="399"/>
      <c r="F39" s="399"/>
      <c r="G39" s="399"/>
      <c r="H39" s="399"/>
      <c r="I39" s="399"/>
      <c r="J39" s="399"/>
      <c r="K39" s="399"/>
      <c r="L39" s="1571">
        <f t="shared" si="32"/>
        <v>1145010.2932800001</v>
      </c>
      <c r="M39" s="574">
        <f>M37+M38</f>
        <v>138775.24754553603</v>
      </c>
      <c r="N39" s="574">
        <f t="shared" ref="N39:BZ39" si="38">N37+N38</f>
        <v>136828.73004696</v>
      </c>
      <c r="O39" s="574">
        <f t="shared" si="38"/>
        <v>137973.74034024001</v>
      </c>
      <c r="P39" s="574">
        <f t="shared" si="38"/>
        <v>142553.78151336001</v>
      </c>
      <c r="Q39" s="574">
        <f t="shared" si="38"/>
        <v>157438.91532600002</v>
      </c>
      <c r="R39" s="574">
        <f t="shared" si="38"/>
        <v>177820.09854638402</v>
      </c>
      <c r="S39" s="574">
        <f t="shared" si="38"/>
        <v>253619.77996152002</v>
      </c>
      <c r="T39" s="1571">
        <f>SUM(U39:AA39)</f>
        <v>955014.02546400006</v>
      </c>
      <c r="U39" s="574">
        <f t="shared" si="38"/>
        <v>115747.69988623681</v>
      </c>
      <c r="V39" s="574">
        <f t="shared" si="38"/>
        <v>114124.17604294801</v>
      </c>
      <c r="W39" s="574">
        <f t="shared" si="38"/>
        <v>115079.19006841202</v>
      </c>
      <c r="X39" s="574">
        <f t="shared" si="38"/>
        <v>118899.246170268</v>
      </c>
      <c r="Y39" s="574">
        <f t="shared" si="38"/>
        <v>131314.42850130002</v>
      </c>
      <c r="Z39" s="574">
        <f t="shared" si="38"/>
        <v>148313.67815455919</v>
      </c>
      <c r="AA39" s="574">
        <f t="shared" si="38"/>
        <v>211535.606640276</v>
      </c>
      <c r="AB39" s="574">
        <f t="shared" si="38"/>
        <v>165412.170568656</v>
      </c>
      <c r="AC39" s="574">
        <f t="shared" si="38"/>
        <v>163092.03286266001</v>
      </c>
      <c r="AD39" s="574">
        <f t="shared" si="38"/>
        <v>164456.81974854</v>
      </c>
      <c r="AE39" s="574">
        <f t="shared" si="38"/>
        <v>169915.96729206</v>
      </c>
      <c r="AF39" s="574">
        <f t="shared" si="38"/>
        <v>187658.19680850004</v>
      </c>
      <c r="AG39" s="574">
        <f t="shared" si="38"/>
        <v>211951.40337716401</v>
      </c>
      <c r="AH39" s="574">
        <f t="shared" si="38"/>
        <v>302300.29522242001</v>
      </c>
      <c r="AI39" s="574">
        <f t="shared" si="38"/>
        <v>185054.5109425392</v>
      </c>
      <c r="AJ39" s="574">
        <f t="shared" si="38"/>
        <v>182458.86186166201</v>
      </c>
      <c r="AK39" s="574">
        <f t="shared" si="38"/>
        <v>183985.71426217802</v>
      </c>
      <c r="AL39" s="574">
        <f t="shared" si="38"/>
        <v>190093.12386424199</v>
      </c>
      <c r="AM39" s="574">
        <f t="shared" si="38"/>
        <v>209942.20507095003</v>
      </c>
      <c r="AN39" s="574">
        <f t="shared" si="38"/>
        <v>237120.17780013481</v>
      </c>
      <c r="AO39" s="574">
        <f t="shared" si="38"/>
        <v>338197.80671429401</v>
      </c>
      <c r="AP39" s="574">
        <f t="shared" si="38"/>
        <v>174166.72899907682</v>
      </c>
      <c r="AQ39" s="574">
        <f t="shared" si="38"/>
        <v>171723.79633159802</v>
      </c>
      <c r="AR39" s="574">
        <f t="shared" si="38"/>
        <v>173160.815547762</v>
      </c>
      <c r="AS39" s="574">
        <f t="shared" si="38"/>
        <v>178908.89241241803</v>
      </c>
      <c r="AT39" s="574">
        <f t="shared" si="38"/>
        <v>197590.14222255006</v>
      </c>
      <c r="AU39" s="574">
        <f t="shared" si="38"/>
        <v>223169.0842702692</v>
      </c>
      <c r="AV39" s="574">
        <f t="shared" si="38"/>
        <v>318299.75638032606</v>
      </c>
      <c r="AW39" s="574">
        <f t="shared" si="38"/>
        <v>207510.07368532321</v>
      </c>
      <c r="AX39" s="574">
        <f t="shared" si="38"/>
        <v>204599.45383990201</v>
      </c>
      <c r="AY39" s="574">
        <f t="shared" si="38"/>
        <v>206311.583160738</v>
      </c>
      <c r="AZ39" s="574">
        <f t="shared" si="38"/>
        <v>213160.100444082</v>
      </c>
      <c r="BA39" s="574">
        <f t="shared" si="38"/>
        <v>235417.78161495004</v>
      </c>
      <c r="BB39" s="574">
        <f t="shared" si="38"/>
        <v>265893.6835258308</v>
      </c>
      <c r="BC39" s="574">
        <f t="shared" si="38"/>
        <v>379236.64456517401</v>
      </c>
      <c r="BD39" s="574">
        <f t="shared" si="38"/>
        <v>269097.70969196642</v>
      </c>
      <c r="BE39" s="574">
        <f t="shared" si="38"/>
        <v>265323.23686625401</v>
      </c>
      <c r="BF39" s="574">
        <f t="shared" si="38"/>
        <v>267543.51499902603</v>
      </c>
      <c r="BG39" s="574">
        <f t="shared" si="38"/>
        <v>276424.62753011403</v>
      </c>
      <c r="BH39" s="574">
        <f t="shared" si="38"/>
        <v>305288.24325615005</v>
      </c>
      <c r="BI39" s="574">
        <f t="shared" si="38"/>
        <v>344809.19401949161</v>
      </c>
      <c r="BJ39" s="574">
        <f t="shared" si="38"/>
        <v>491791.60640899802</v>
      </c>
      <c r="BK39" s="574">
        <f t="shared" si="38"/>
        <v>341794.50539735524</v>
      </c>
      <c r="BL39" s="574">
        <f t="shared" si="38"/>
        <v>337000.358044422</v>
      </c>
      <c r="BM39" s="574">
        <f t="shared" si="38"/>
        <v>339820.44472261809</v>
      </c>
      <c r="BN39" s="574">
        <f t="shared" si="38"/>
        <v>351100.79143540206</v>
      </c>
      <c r="BO39" s="574">
        <f t="shared" si="38"/>
        <v>387761.91825195006</v>
      </c>
      <c r="BP39" s="574">
        <f t="shared" si="38"/>
        <v>437959.46112383879</v>
      </c>
      <c r="BQ39" s="574">
        <f t="shared" si="38"/>
        <v>624649.19922041404</v>
      </c>
      <c r="BR39" s="574">
        <f t="shared" si="38"/>
        <v>552005.26139034727</v>
      </c>
      <c r="BS39" s="574">
        <f t="shared" si="38"/>
        <v>544262.61333454214</v>
      </c>
      <c r="BT39" s="574">
        <f t="shared" si="38"/>
        <v>548817.11219089804</v>
      </c>
      <c r="BU39" s="574">
        <f t="shared" si="38"/>
        <v>567035.107616322</v>
      </c>
      <c r="BV39" s="574">
        <f t="shared" si="38"/>
        <v>626243.59274895</v>
      </c>
      <c r="BW39" s="574">
        <f t="shared" si="38"/>
        <v>707313.67239208682</v>
      </c>
      <c r="BX39" s="574">
        <f t="shared" si="38"/>
        <v>1008821.496682854</v>
      </c>
      <c r="BY39" s="574">
        <f t="shared" si="38"/>
        <v>171190.38250349279</v>
      </c>
      <c r="BZ39" s="574">
        <f t="shared" si="38"/>
        <v>168789.19727035798</v>
      </c>
      <c r="CA39" s="574">
        <f t="shared" ref="CA39:CE39" si="39">CA37+CA38</f>
        <v>170201.65917220199</v>
      </c>
      <c r="CB39" s="574">
        <f t="shared" si="39"/>
        <v>175851.50677957802</v>
      </c>
      <c r="CC39" s="574">
        <f t="shared" si="39"/>
        <v>194213.51150354999</v>
      </c>
      <c r="CD39" s="574">
        <f t="shared" si="39"/>
        <v>219355.33335637319</v>
      </c>
      <c r="CE39" s="574">
        <f t="shared" si="39"/>
        <v>312860.31125844602</v>
      </c>
    </row>
    <row r="40" spans="1:85">
      <c r="B40" s="566">
        <v>0.14000000000000001</v>
      </c>
      <c r="C40" s="566">
        <v>0.16</v>
      </c>
      <c r="D40" s="566">
        <v>0.22</v>
      </c>
      <c r="E40" s="1546">
        <v>0.1212</v>
      </c>
      <c r="F40" s="1546">
        <v>0.1195</v>
      </c>
      <c r="G40" s="1546">
        <v>0.1205</v>
      </c>
      <c r="H40" s="1546">
        <v>0.1245</v>
      </c>
      <c r="I40" s="1546">
        <v>0.13750000000000001</v>
      </c>
      <c r="J40" s="1546">
        <v>0.15529999999999999</v>
      </c>
      <c r="K40" s="1546">
        <v>0.2215</v>
      </c>
      <c r="L40" s="1546"/>
      <c r="M40" s="1546">
        <v>0.1212</v>
      </c>
      <c r="N40" s="1546">
        <v>0.1195</v>
      </c>
      <c r="O40" s="1546">
        <v>0.1205</v>
      </c>
      <c r="P40" s="1546">
        <v>0.1245</v>
      </c>
      <c r="Q40" s="1546">
        <v>0.13750000000000001</v>
      </c>
      <c r="R40" s="1546">
        <v>0.15529999999999999</v>
      </c>
      <c r="S40" s="1546">
        <v>0.2215</v>
      </c>
      <c r="T40" s="1546"/>
      <c r="U40" s="1546">
        <v>0.1212</v>
      </c>
      <c r="V40" s="1546">
        <v>0.1195</v>
      </c>
      <c r="W40" s="1546">
        <v>0.1205</v>
      </c>
      <c r="X40" s="1546">
        <v>0.1245</v>
      </c>
      <c r="Y40" s="1546">
        <v>0.13750000000000001</v>
      </c>
      <c r="Z40" s="1546">
        <v>0.15529999999999999</v>
      </c>
      <c r="AA40" s="1546">
        <v>0.2215</v>
      </c>
      <c r="AB40" s="1546">
        <v>0.1212</v>
      </c>
      <c r="AC40" s="1546">
        <v>0.1195</v>
      </c>
      <c r="AD40" s="1546">
        <v>0.1205</v>
      </c>
      <c r="AE40" s="1546">
        <v>0.1245</v>
      </c>
      <c r="AF40" s="1546">
        <v>0.13750000000000001</v>
      </c>
      <c r="AG40" s="1546">
        <v>0.15529999999999999</v>
      </c>
      <c r="AH40" s="1546">
        <v>0.2215</v>
      </c>
      <c r="AI40" s="1546">
        <v>0.1212</v>
      </c>
      <c r="AJ40" s="1546">
        <v>0.1195</v>
      </c>
      <c r="AK40" s="1546">
        <v>0.1205</v>
      </c>
      <c r="AL40" s="1546">
        <v>0.1245</v>
      </c>
      <c r="AM40" s="1546">
        <v>0.13750000000000001</v>
      </c>
      <c r="AN40" s="1546">
        <v>0.15529999999999999</v>
      </c>
      <c r="AO40" s="1546">
        <v>0.2215</v>
      </c>
      <c r="AP40" s="1546">
        <v>0.1212</v>
      </c>
      <c r="AQ40" s="1546">
        <v>0.1195</v>
      </c>
      <c r="AR40" s="1546">
        <v>0.1205</v>
      </c>
      <c r="AS40" s="1546">
        <v>0.1245</v>
      </c>
      <c r="AT40" s="1546">
        <v>0.13750000000000001</v>
      </c>
      <c r="AU40" s="1546">
        <v>0.15529999999999999</v>
      </c>
      <c r="AV40" s="1546">
        <v>0.2215</v>
      </c>
      <c r="AW40" s="1546">
        <v>0.1212</v>
      </c>
      <c r="AX40" s="1546">
        <v>0.1195</v>
      </c>
      <c r="AY40" s="1546">
        <v>0.1205</v>
      </c>
      <c r="AZ40" s="1546">
        <v>0.1245</v>
      </c>
      <c r="BA40" s="1546">
        <v>0.13750000000000001</v>
      </c>
      <c r="BB40" s="1546">
        <v>0.15529999999999999</v>
      </c>
      <c r="BC40" s="1546">
        <v>0.2215</v>
      </c>
      <c r="BD40" s="1546">
        <v>0.1212</v>
      </c>
      <c r="BE40" s="1546">
        <v>0.1195</v>
      </c>
      <c r="BF40" s="1546">
        <v>0.1205</v>
      </c>
      <c r="BG40" s="1546">
        <v>0.1245</v>
      </c>
      <c r="BH40" s="1546">
        <v>0.13750000000000001</v>
      </c>
      <c r="BI40" s="1546">
        <v>0.15529999999999999</v>
      </c>
      <c r="BJ40" s="1546">
        <v>0.2215</v>
      </c>
      <c r="BK40" s="1546">
        <v>0.1212</v>
      </c>
      <c r="BL40" s="1546">
        <v>0.1195</v>
      </c>
      <c r="BM40" s="1546">
        <v>0.1205</v>
      </c>
      <c r="BN40" s="1546">
        <v>0.1245</v>
      </c>
      <c r="BO40" s="1546">
        <v>0.13750000000000001</v>
      </c>
      <c r="BP40" s="1546">
        <v>0.15529999999999999</v>
      </c>
      <c r="BQ40" s="1546">
        <v>0.2215</v>
      </c>
      <c r="BR40" s="1546">
        <v>0.1212</v>
      </c>
      <c r="BS40" s="1546">
        <v>0.1195</v>
      </c>
      <c r="BT40" s="1546">
        <v>0.1205</v>
      </c>
      <c r="BU40" s="1546">
        <v>0.1245</v>
      </c>
      <c r="BV40" s="1546">
        <v>0.13750000000000001</v>
      </c>
      <c r="BW40" s="1546">
        <v>0.15529999999999999</v>
      </c>
      <c r="BX40" s="1546">
        <v>0.2215</v>
      </c>
      <c r="BY40" s="1546">
        <v>0.1212</v>
      </c>
      <c r="BZ40" s="1546">
        <v>0.1195</v>
      </c>
      <c r="CA40" s="1546">
        <v>0.1205</v>
      </c>
      <c r="CB40" s="1546">
        <v>0.1245</v>
      </c>
      <c r="CC40" s="1546">
        <v>0.13750000000000001</v>
      </c>
      <c r="CD40" s="1546">
        <v>0.15529999999999999</v>
      </c>
      <c r="CE40" s="1546">
        <v>0.2215</v>
      </c>
      <c r="CF40" s="566"/>
      <c r="CG40" s="566"/>
    </row>
    <row r="41" spans="1:85">
      <c r="J41" s="55" t="s">
        <v>520</v>
      </c>
      <c r="K41">
        <v>38</v>
      </c>
      <c r="R41" s="55" t="s">
        <v>520</v>
      </c>
      <c r="S41">
        <v>39</v>
      </c>
      <c r="Z41" s="55" t="s">
        <v>520</v>
      </c>
      <c r="AA41">
        <v>40</v>
      </c>
      <c r="AG41" s="55" t="s">
        <v>520</v>
      </c>
      <c r="AH41">
        <v>41</v>
      </c>
      <c r="AN41" s="55" t="s">
        <v>520</v>
      </c>
      <c r="AO41">
        <v>42</v>
      </c>
      <c r="AU41" s="55" t="s">
        <v>520</v>
      </c>
      <c r="AV41">
        <v>43</v>
      </c>
      <c r="BB41" s="55" t="s">
        <v>520</v>
      </c>
      <c r="BC41">
        <v>44</v>
      </c>
      <c r="BI41" s="55" t="s">
        <v>520</v>
      </c>
      <c r="BJ41">
        <v>45</v>
      </c>
      <c r="BP41" s="55" t="s">
        <v>520</v>
      </c>
      <c r="BQ41">
        <v>46</v>
      </c>
      <c r="BW41" s="55" t="s">
        <v>520</v>
      </c>
      <c r="BX41">
        <v>47</v>
      </c>
      <c r="CD41" s="55" t="s">
        <v>520</v>
      </c>
      <c r="CE41">
        <v>48</v>
      </c>
    </row>
    <row r="42" spans="1:85">
      <c r="A42" s="686" t="s">
        <v>469</v>
      </c>
      <c r="J42" s="566">
        <v>1.08</v>
      </c>
      <c r="K42" s="348">
        <f>'Proy 2021 vs 2019 Sem'!IK6*J42</f>
        <v>76039.496496000007</v>
      </c>
      <c r="L42" s="348"/>
      <c r="N42" s="1549"/>
      <c r="O42" s="348"/>
      <c r="R42" s="566">
        <v>1.08</v>
      </c>
      <c r="S42" s="348">
        <f>'Proy 2021 vs 2019 Sem'!IP6*R42</f>
        <v>109773.22802400001</v>
      </c>
      <c r="T42" s="348"/>
      <c r="Z42" s="566">
        <v>1.08</v>
      </c>
      <c r="AA42" s="348">
        <f>'Proy 2021 vs 2019 Sem'!IY6*Z42</f>
        <v>72650.591064000007</v>
      </c>
      <c r="AG42" s="566">
        <v>1.08</v>
      </c>
      <c r="AH42" s="348">
        <f>'Proy 2021 vs 2019 Sem'!JD6*AG42</f>
        <v>80078.821560000011</v>
      </c>
      <c r="AN42" s="566">
        <v>1.08</v>
      </c>
      <c r="AO42" s="348">
        <f>'Proy 2021 vs 2019 Sem'!JI6*AN42</f>
        <v>96687.581040000019</v>
      </c>
      <c r="AU42" s="566">
        <v>1.08</v>
      </c>
      <c r="AV42" s="348">
        <f>'Proy 2021 vs 2019 Sem'!JN6*AU42</f>
        <v>117344.62224000001</v>
      </c>
      <c r="BB42" s="566">
        <v>1.08</v>
      </c>
      <c r="BC42" s="348">
        <f>'Proy 2021 vs 2019 Sem'!JX6*BB42</f>
        <v>203375.26817999998</v>
      </c>
      <c r="BI42" s="566">
        <v>1.08</v>
      </c>
      <c r="BJ42" s="348">
        <f>'Proy 2021 vs 2019 Sem'!KC6*BI42</f>
        <v>264816.56754000002</v>
      </c>
      <c r="BP42" s="566">
        <v>1.08</v>
      </c>
      <c r="BQ42" s="348">
        <f>'Proy 2021 vs 2019 Sem'!KH6*BP42</f>
        <v>297226.32436800003</v>
      </c>
      <c r="BW42" s="566">
        <v>1.08</v>
      </c>
      <c r="BX42" s="348">
        <f>'Proy 2021 vs 2019 Sem'!KM6*BW42</f>
        <v>470606.84575200005</v>
      </c>
      <c r="CD42" s="566">
        <v>1.08</v>
      </c>
      <c r="CE42" s="348">
        <f>'Proy 2021 vs 2019 Sem'!KR6*CD42</f>
        <v>74467.648079999999</v>
      </c>
    </row>
    <row r="43" spans="1:85">
      <c r="A43" s="687" t="s">
        <v>470</v>
      </c>
      <c r="J43" s="566">
        <v>1.08</v>
      </c>
      <c r="K43" s="348">
        <f>'Proy 2021 vs 2019 Sem'!IK7*J43</f>
        <v>62770.287096000015</v>
      </c>
      <c r="L43" s="348"/>
      <c r="R43" s="566">
        <v>1.08</v>
      </c>
      <c r="S43" s="348">
        <f>'Proy 2021 vs 2019 Sem'!IP7*R43</f>
        <v>86592.567888000005</v>
      </c>
      <c r="T43" s="348"/>
      <c r="Z43" s="566">
        <v>1.08</v>
      </c>
      <c r="AA43" s="348">
        <f>'Proy 2021 vs 2019 Sem'!IY7*Z43</f>
        <v>82349.110080000013</v>
      </c>
      <c r="AG43" s="566">
        <v>1.08</v>
      </c>
      <c r="AH43" s="348">
        <f>'Proy 2021 vs 2019 Sem'!JD7*AG43</f>
        <v>91569.864960000021</v>
      </c>
      <c r="AN43" s="566">
        <v>1.08</v>
      </c>
      <c r="AO43" s="348">
        <f>'Proy 2021 vs 2019 Sem'!JI7*AN43</f>
        <v>110054.3328</v>
      </c>
      <c r="AU43" s="566">
        <v>1.08</v>
      </c>
      <c r="AV43" s="348">
        <f>'Proy 2021 vs 2019 Sem'!JN7*AU43</f>
        <v>89154.35802</v>
      </c>
      <c r="BB43" s="566">
        <v>1.08</v>
      </c>
      <c r="BC43" s="348">
        <f>'Proy 2021 vs 2019 Sem'!JX7*BB43</f>
        <v>122708.44872</v>
      </c>
      <c r="BI43" s="566">
        <v>1.08</v>
      </c>
      <c r="BJ43" s="348">
        <f>'Proy 2021 vs 2019 Sem'!KC7*BI43</f>
        <v>134307.32277600002</v>
      </c>
      <c r="BP43" s="566">
        <v>1.08</v>
      </c>
      <c r="BQ43" s="348">
        <f>'Proy 2021 vs 2019 Sem'!KH7*BP43</f>
        <v>185535.55310399999</v>
      </c>
      <c r="BW43" s="566">
        <v>1.08</v>
      </c>
      <c r="BX43" s="348">
        <f>'Proy 2021 vs 2019 Sem'!KM7*BW43</f>
        <v>330156.67132799997</v>
      </c>
      <c r="CD43" s="566">
        <v>1.08</v>
      </c>
      <c r="CE43" s="348">
        <f>'Proy 2021 vs 2019 Sem'!KR7*CD43</f>
        <v>74408.511600000013</v>
      </c>
    </row>
    <row r="44" spans="1:85">
      <c r="A44" s="687" t="s">
        <v>471</v>
      </c>
      <c r="J44" s="566">
        <v>1.08</v>
      </c>
      <c r="K44" s="348">
        <f>'Proy 2021 vs 2019 Sem'!IK8*J44</f>
        <v>72562.63824</v>
      </c>
      <c r="L44" s="348"/>
      <c r="R44" s="566">
        <v>1.08</v>
      </c>
      <c r="S44" s="348">
        <f>'Proy 2021 vs 2019 Sem'!IP8*R44</f>
        <v>92196.135900000023</v>
      </c>
      <c r="T44" s="348"/>
      <c r="Z44" s="566">
        <v>1.08</v>
      </c>
      <c r="AA44" s="348">
        <f>'Proy 2021 vs 2019 Sem'!IY8*Z44</f>
        <v>69095.569860000003</v>
      </c>
      <c r="AG44" s="566">
        <v>1.08</v>
      </c>
      <c r="AH44" s="348">
        <f>'Proy 2021 vs 2019 Sem'!JD8*AG44</f>
        <v>73841.652863999989</v>
      </c>
      <c r="AN44" s="566">
        <v>1.08</v>
      </c>
      <c r="AO44" s="348">
        <f>'Proy 2021 vs 2019 Sem'!JI8*AN44</f>
        <v>113724.64281600001</v>
      </c>
      <c r="AU44" s="566">
        <v>1.08</v>
      </c>
      <c r="AV44" s="348">
        <f>'Proy 2021 vs 2019 Sem'!JN8*AU44</f>
        <v>88867.359360000017</v>
      </c>
      <c r="BB44" s="566">
        <v>1.08</v>
      </c>
      <c r="BC44" s="348">
        <f>'Proy 2021 vs 2019 Sem'!JX8*BB44</f>
        <v>110969.72352000001</v>
      </c>
      <c r="BI44" s="566">
        <v>1.08</v>
      </c>
      <c r="BJ44" s="348">
        <f>'Proy 2021 vs 2019 Sem'!KC8*BI44</f>
        <v>127688.44114800003</v>
      </c>
      <c r="BP44" s="566">
        <v>1.08</v>
      </c>
      <c r="BQ44" s="348">
        <f>'Proy 2021 vs 2019 Sem'!KH8*BP44</f>
        <v>155446.38752400002</v>
      </c>
      <c r="BW44" s="566">
        <v>1.08</v>
      </c>
      <c r="BX44" s="348">
        <f>'Proy 2021 vs 2019 Sem'!KM8*BW44</f>
        <v>291248.32240800001</v>
      </c>
      <c r="CD44" s="566">
        <v>1.08</v>
      </c>
      <c r="CE44" s="348">
        <f>'Proy 2021 vs 2019 Sem'!KR8*CD44</f>
        <v>53962.62876</v>
      </c>
    </row>
    <row r="45" spans="1:85">
      <c r="A45" s="687" t="s">
        <v>472</v>
      </c>
      <c r="J45" s="566">
        <v>1.08</v>
      </c>
      <c r="K45" s="348">
        <f>'Proy 2021 vs 2019 Sem'!IK9*J45</f>
        <v>66366.243216000003</v>
      </c>
      <c r="L45" s="348"/>
      <c r="R45" s="566">
        <v>1.08</v>
      </c>
      <c r="S45" s="348">
        <f>'Proy 2021 vs 2019 Sem'!IP9*R45</f>
        <v>79225.568423999997</v>
      </c>
      <c r="T45" s="348"/>
      <c r="Z45" s="566">
        <v>1.08</v>
      </c>
      <c r="AA45" s="348">
        <f>'Proy 2021 vs 2019 Sem'!IY9*Z45</f>
        <v>56458.5147</v>
      </c>
      <c r="AG45" s="566">
        <v>1.08</v>
      </c>
      <c r="AH45" s="348">
        <f>'Proy 2021 vs 2019 Sem'!JD9*AG45</f>
        <v>64745.190539999996</v>
      </c>
      <c r="AN45" s="566">
        <v>1.08</v>
      </c>
      <c r="AO45" s="348">
        <f>'Proy 2021 vs 2019 Sem'!JI9*AN45</f>
        <v>79419.884399999995</v>
      </c>
      <c r="AU45" s="566">
        <v>1.08</v>
      </c>
      <c r="AV45" s="348">
        <f>'Proy 2021 vs 2019 Sem'!JN9*AU45</f>
        <v>57722.211900000009</v>
      </c>
      <c r="BB45" s="566">
        <v>1.08</v>
      </c>
      <c r="BC45" s="348">
        <f>'Proy 2021 vs 2019 Sem'!JX9*BB45</f>
        <v>68952.635639999993</v>
      </c>
      <c r="BI45" s="566">
        <v>1.08</v>
      </c>
      <c r="BJ45" s="348">
        <f>'Proy 2021 vs 2019 Sem'!KC9*BI45</f>
        <v>99279.243000000002</v>
      </c>
      <c r="BP45" s="566">
        <v>1.08</v>
      </c>
      <c r="BQ45" s="348">
        <f>'Proy 2021 vs 2019 Sem'!KH9*BP45</f>
        <v>148511.81520000001</v>
      </c>
      <c r="BW45" s="566">
        <v>1.08</v>
      </c>
      <c r="BX45" s="348">
        <f>'Proy 2021 vs 2019 Sem'!KM9*BW45</f>
        <v>255593.784204</v>
      </c>
      <c r="CD45" s="566">
        <v>1.08</v>
      </c>
      <c r="CE45" s="348">
        <f>'Proy 2021 vs 2019 Sem'!KR9*CD45</f>
        <v>62113.746240000008</v>
      </c>
    </row>
    <row r="46" spans="1:85">
      <c r="A46" s="687" t="s">
        <v>473</v>
      </c>
      <c r="J46" s="566">
        <v>1.08</v>
      </c>
      <c r="K46" s="348">
        <f>'Proy 2021 vs 2019 Sem'!IK10*J46</f>
        <v>66783.147840000005</v>
      </c>
      <c r="L46" s="348"/>
      <c r="R46" s="566">
        <v>1.08</v>
      </c>
      <c r="S46" s="348">
        <f>'Proy 2021 vs 2019 Sem'!IP10*R46</f>
        <v>98933.202899999989</v>
      </c>
      <c r="T46" s="348"/>
      <c r="Z46" s="566">
        <v>1.08</v>
      </c>
      <c r="AA46" s="348">
        <f>'Proy 2021 vs 2019 Sem'!IY10*Z46</f>
        <v>74981.825171999997</v>
      </c>
      <c r="AG46" s="566">
        <v>1.08</v>
      </c>
      <c r="AH46" s="348">
        <f>'Proy 2021 vs 2019 Sem'!JD10*AG46</f>
        <v>84112.462368000008</v>
      </c>
      <c r="AN46" s="566">
        <v>1.08</v>
      </c>
      <c r="AO46" s="348">
        <f>'Proy 2021 vs 2019 Sem'!JI10*AN46</f>
        <v>110429.76888000002</v>
      </c>
      <c r="AU46" s="566">
        <v>1.08</v>
      </c>
      <c r="AV46" s="348">
        <f>'Proy 2021 vs 2019 Sem'!JN10*AU46</f>
        <v>83227.442220000012</v>
      </c>
      <c r="BB46" s="566">
        <v>1.08</v>
      </c>
      <c r="BC46" s="348">
        <f>'Proy 2021 vs 2019 Sem'!JX10*BB46</f>
        <v>105430.65624000001</v>
      </c>
      <c r="BI46" s="566">
        <v>1.08</v>
      </c>
      <c r="BJ46" s="348">
        <f>'Proy 2021 vs 2019 Sem'!KC10*BI46</f>
        <v>122339.79342000002</v>
      </c>
      <c r="BP46" s="566">
        <v>1.08</v>
      </c>
      <c r="BQ46" s="348">
        <f>'Proy 2021 vs 2019 Sem'!KH10*BP46</f>
        <v>173534.12103600003</v>
      </c>
      <c r="BW46" s="566">
        <v>1.08</v>
      </c>
      <c r="BX46" s="348">
        <f>'Proy 2021 vs 2019 Sem'!KM10*BW46</f>
        <v>275700.80160000006</v>
      </c>
      <c r="CD46" s="566">
        <v>1.08</v>
      </c>
      <c r="CE46" s="348">
        <f>'Proy 2021 vs 2019 Sem'!KR10*CD46</f>
        <v>53486.511300000006</v>
      </c>
    </row>
    <row r="47" spans="1:85">
      <c r="A47" s="687" t="s">
        <v>474</v>
      </c>
      <c r="J47" s="566">
        <v>1.08</v>
      </c>
      <c r="K47" s="348">
        <f>'Proy 2021 vs 2019 Sem'!IK11*J47</f>
        <v>85784.486400000009</v>
      </c>
      <c r="L47" s="348"/>
      <c r="R47" s="566">
        <v>1.08</v>
      </c>
      <c r="S47" s="348">
        <f>'Proy 2021 vs 2019 Sem'!IP11*R47</f>
        <v>126691.21656000003</v>
      </c>
      <c r="T47" s="348"/>
      <c r="Z47" s="566">
        <v>1.08</v>
      </c>
      <c r="AA47" s="348">
        <f>'Proy 2021 vs 2019 Sem'!IY11*Z47</f>
        <v>97699.625280000022</v>
      </c>
      <c r="AG47" s="566">
        <v>1.08</v>
      </c>
      <c r="AH47" s="348">
        <f>'Proy 2021 vs 2019 Sem'!JD11*AG47</f>
        <v>117910.97856000002</v>
      </c>
      <c r="AN47" s="566">
        <v>1.08</v>
      </c>
      <c r="AO47" s="348">
        <f>'Proy 2021 vs 2019 Sem'!JI11*AN47</f>
        <v>141087.44753999999</v>
      </c>
      <c r="AU47" s="566">
        <v>1.08</v>
      </c>
      <c r="AV47" s="348">
        <f>'Proy 2021 vs 2019 Sem'!JN11*AU47</f>
        <v>150343.99470000001</v>
      </c>
      <c r="BB47" s="566">
        <v>1.08</v>
      </c>
      <c r="BC47" s="348">
        <f>'Proy 2021 vs 2019 Sem'!JX11*BB47</f>
        <v>220039.16759999999</v>
      </c>
      <c r="BI47" s="566">
        <v>1.08</v>
      </c>
      <c r="BJ47" s="348">
        <f>'Proy 2021 vs 2019 Sem'!KC11*BI47</f>
        <v>266826.79043999995</v>
      </c>
      <c r="BP47" s="566">
        <v>1.08</v>
      </c>
      <c r="BQ47" s="348">
        <f>'Proy 2021 vs 2019 Sem'!KH11*BP47</f>
        <v>347352.79571999999</v>
      </c>
      <c r="BW47" s="566">
        <v>1.08</v>
      </c>
      <c r="BX47" s="348">
        <f>'Proy 2021 vs 2019 Sem'!KM11*BW47</f>
        <v>441701.87608799996</v>
      </c>
      <c r="CD47" s="566">
        <v>1.08</v>
      </c>
      <c r="CE47" s="348">
        <f>'Proy 2021 vs 2019 Sem'!KR11*CD47</f>
        <v>98797.207680000021</v>
      </c>
    </row>
    <row r="48" spans="1:85">
      <c r="A48" s="687" t="s">
        <v>475</v>
      </c>
      <c r="J48" s="566">
        <v>1.08</v>
      </c>
      <c r="K48" s="348">
        <f>'Proy 2021 vs 2019 Sem'!IK12*J48</f>
        <v>91990.944000000003</v>
      </c>
      <c r="L48" s="348"/>
      <c r="R48" s="566">
        <v>1.08</v>
      </c>
      <c r="S48" s="348">
        <f>'Proy 2021 vs 2019 Sem'!IP12*R48</f>
        <v>142232.739264</v>
      </c>
      <c r="T48" s="348"/>
      <c r="Z48" s="566">
        <v>1.08</v>
      </c>
      <c r="AA48" s="348">
        <f>'Proy 2021 vs 2019 Sem'!IY12*Z48</f>
        <v>100339.19874000001</v>
      </c>
      <c r="AG48" s="566">
        <v>1.08</v>
      </c>
      <c r="AH48" s="348">
        <f>'Proy 2021 vs 2019 Sem'!JD12*AG48</f>
        <v>143080.47089999999</v>
      </c>
      <c r="AN48" s="566">
        <v>1.08</v>
      </c>
      <c r="AO48" s="348">
        <f>'Proy 2021 vs 2019 Sem'!JI12*AN48</f>
        <v>170582.34960000002</v>
      </c>
      <c r="AU48" s="566">
        <v>1.08</v>
      </c>
      <c r="AV48" s="348">
        <f>'Proy 2021 vs 2019 Sem'!JN12*AU48</f>
        <v>142205.29614000002</v>
      </c>
      <c r="BB48" s="566">
        <v>1.08</v>
      </c>
      <c r="BC48" s="348">
        <f>'Proy 2021 vs 2019 Sem'!JX12*BB48</f>
        <v>182277.30164399999</v>
      </c>
      <c r="BI48" s="566">
        <v>1.08</v>
      </c>
      <c r="BJ48" s="348">
        <f>'Proy 2021 vs 2019 Sem'!KC12*BI48</f>
        <v>234803.975148</v>
      </c>
      <c r="BP48" s="566">
        <v>1.08</v>
      </c>
      <c r="BQ48" s="348">
        <f>'Proy 2021 vs 2019 Sem'!KH12*BP48</f>
        <v>316659.73615200003</v>
      </c>
      <c r="BW48" s="566">
        <v>1.08</v>
      </c>
      <c r="BX48" s="348">
        <f>'Proy 2021 vs 2019 Sem'!KM12*BW48</f>
        <v>490862.49588</v>
      </c>
      <c r="CD48" s="566">
        <v>1.08</v>
      </c>
      <c r="CE48" s="348">
        <f>'Proy 2021 vs 2019 Sem'!KR12*CD48</f>
        <v>104774.31000000001</v>
      </c>
    </row>
    <row r="49" spans="1:83">
      <c r="A49" s="687" t="s">
        <v>476</v>
      </c>
      <c r="J49" s="566">
        <v>1.08</v>
      </c>
      <c r="K49" s="348">
        <f>'Proy 2021 vs 2019 Sem'!IK13*J49</f>
        <v>86180.233823999995</v>
      </c>
      <c r="L49" s="348"/>
      <c r="R49" s="566">
        <v>1.08</v>
      </c>
      <c r="S49" s="348">
        <f>'Proy 2021 vs 2019 Sem'!IP13*R49</f>
        <v>84691.939499999993</v>
      </c>
      <c r="T49" s="348"/>
      <c r="Z49" s="566">
        <v>1.08</v>
      </c>
      <c r="AA49" s="348">
        <f>'Proy 2021 vs 2019 Sem'!IY13*Z49</f>
        <v>60345.7857</v>
      </c>
      <c r="AG49" s="566">
        <v>1.08</v>
      </c>
      <c r="AH49" s="348">
        <f>'Proy 2021 vs 2019 Sem'!JD13*AG49</f>
        <v>76213.43406</v>
      </c>
      <c r="AN49" s="566">
        <v>1.08</v>
      </c>
      <c r="AO49" s="348">
        <f>'Proy 2021 vs 2019 Sem'!JI13*AN49</f>
        <v>102207.51752400001</v>
      </c>
      <c r="AU49" s="566">
        <v>1.08</v>
      </c>
      <c r="AV49" s="348">
        <f>'Proy 2021 vs 2019 Sem'!JN13*AU49</f>
        <v>106119.09111600001</v>
      </c>
      <c r="BB49" s="566">
        <v>1.08</v>
      </c>
      <c r="BC49" s="348">
        <f>'Proy 2021 vs 2019 Sem'!JX13*BB49</f>
        <v>131583.05334000001</v>
      </c>
      <c r="BI49" s="566">
        <v>1.08</v>
      </c>
      <c r="BJ49" s="348">
        <f>'Proy 2021 vs 2019 Sem'!KC13*BI49</f>
        <v>184763.18807999999</v>
      </c>
      <c r="BP49" s="566">
        <v>1.08</v>
      </c>
      <c r="BQ49" s="348">
        <f>'Proy 2021 vs 2019 Sem'!KH13*BP49</f>
        <v>237898.05570000003</v>
      </c>
      <c r="BW49" s="566">
        <v>1.08</v>
      </c>
      <c r="BX49" s="348">
        <f>'Proy 2021 vs 2019 Sem'!KM13*BW49</f>
        <v>397130.19163200009</v>
      </c>
      <c r="CD49" s="566">
        <v>1.08</v>
      </c>
      <c r="CE49" s="348">
        <f>'Proy 2021 vs 2019 Sem'!KR13*CD49</f>
        <v>66608.125199999995</v>
      </c>
    </row>
    <row r="50" spans="1:83">
      <c r="A50" s="687" t="s">
        <v>17</v>
      </c>
      <c r="J50" s="566">
        <v>1.08</v>
      </c>
      <c r="K50" s="348">
        <f>'Proy 2021 vs 2019 Sem'!IK14*J50</f>
        <v>148576.993632</v>
      </c>
      <c r="L50" s="348"/>
      <c r="R50" s="566">
        <v>1.08</v>
      </c>
      <c r="S50" s="348">
        <f>'Proy 2021 vs 2019 Sem'!IP14*R50</f>
        <v>197915.42268000002</v>
      </c>
      <c r="T50" s="348"/>
      <c r="Z50" s="566">
        <v>1.08</v>
      </c>
      <c r="AA50" s="348">
        <f>'Proy 2021 vs 2019 Sem'!IY14*Z50</f>
        <v>136023.06834</v>
      </c>
      <c r="AG50" s="566">
        <v>1.08</v>
      </c>
      <c r="AH50" s="348">
        <f>'Proy 2021 vs 2019 Sem'!JD14*AG50</f>
        <v>198153.15498000002</v>
      </c>
      <c r="AN50" s="566">
        <v>1.08</v>
      </c>
      <c r="AO50" s="348">
        <f>'Proy 2021 vs 2019 Sem'!JI14*AN50</f>
        <v>246919.11048</v>
      </c>
      <c r="AU50" s="566">
        <v>1.08</v>
      </c>
      <c r="AV50" s="348">
        <f>'Proy 2021 vs 2019 Sem'!JN14*AU50</f>
        <v>274733.29223999998</v>
      </c>
      <c r="BB50" s="566">
        <v>1.08</v>
      </c>
      <c r="BC50" s="348">
        <f>'Proy 2021 vs 2019 Sem'!JX14*BB50</f>
        <v>380097.20232000004</v>
      </c>
      <c r="BI50" s="566">
        <v>1.08</v>
      </c>
      <c r="BJ50" s="348">
        <f>'Proy 2021 vs 2019 Sem'!KC14*BI50</f>
        <v>507492.827712</v>
      </c>
      <c r="BP50" s="566">
        <v>1.08</v>
      </c>
      <c r="BQ50" s="348">
        <f>'Proy 2021 vs 2019 Sem'!KH14*BP50</f>
        <v>657516.42108</v>
      </c>
      <c r="BW50" s="566">
        <v>1.08</v>
      </c>
      <c r="BX50" s="348">
        <f>'Proy 2021 vs 2019 Sem'!KM14*BW50</f>
        <v>868469.55904800002</v>
      </c>
      <c r="CD50" s="566">
        <v>1.08</v>
      </c>
      <c r="CE50" s="348">
        <f>'Proy 2021 vs 2019 Sem'!KR14*CD50</f>
        <v>140149.22994000002</v>
      </c>
    </row>
    <row r="51" spans="1:83">
      <c r="A51" s="687" t="s">
        <v>18</v>
      </c>
      <c r="J51" s="566">
        <v>1.08</v>
      </c>
      <c r="K51" s="348">
        <f>'Proy 2021 vs 2019 Sem'!IK15*J51</f>
        <v>97142.676624</v>
      </c>
      <c r="L51" s="348"/>
      <c r="R51" s="566">
        <v>1.08</v>
      </c>
      <c r="S51" s="348">
        <f>'Proy 2021 vs 2019 Sem'!IP15*R51</f>
        <v>144248.30341200001</v>
      </c>
      <c r="T51" s="348"/>
      <c r="Z51" s="566">
        <v>1.08</v>
      </c>
      <c r="AA51" s="348">
        <f>'Proy 2021 vs 2019 Sem'!IY15*Z51</f>
        <v>97591.187556000004</v>
      </c>
      <c r="AG51" s="566">
        <v>1.08</v>
      </c>
      <c r="AH51" s="348">
        <f>'Proy 2021 vs 2019 Sem'!JD15*AG51</f>
        <v>119068.27956</v>
      </c>
      <c r="AN51" s="566">
        <v>1.08</v>
      </c>
      <c r="AO51" s="348">
        <f>'Proy 2021 vs 2019 Sem'!JI15*AN51</f>
        <v>148381.88472000003</v>
      </c>
      <c r="AU51" s="566">
        <v>1.08</v>
      </c>
      <c r="AV51" s="348">
        <f>'Proy 2021 vs 2019 Sem'!JN15*AU51</f>
        <v>117059.05728000001</v>
      </c>
      <c r="BB51" s="566">
        <v>1.08</v>
      </c>
      <c r="BC51" s="348">
        <f>'Proy 2021 vs 2019 Sem'!JX15*BB51</f>
        <v>167872.9374</v>
      </c>
      <c r="BI51" s="566">
        <v>1.08</v>
      </c>
      <c r="BJ51" s="348">
        <f>'Proy 2021 vs 2019 Sem'!KC15*BI51</f>
        <v>179731.2078</v>
      </c>
      <c r="BP51" s="566">
        <v>1.08</v>
      </c>
      <c r="BQ51" s="348">
        <f>'Proy 2021 vs 2019 Sem'!KH15*BP51</f>
        <v>428853.06630000001</v>
      </c>
      <c r="BW51" s="566">
        <v>1.08</v>
      </c>
      <c r="BX51" s="348">
        <f>'Proy 2021 vs 2019 Sem'!KM15*BW51</f>
        <v>468371.74384800001</v>
      </c>
      <c r="CD51" s="566">
        <v>1.08</v>
      </c>
      <c r="CE51" s="348">
        <f>'Proy 2021 vs 2019 Sem'!KR15*CD51</f>
        <v>99088.809840000002</v>
      </c>
    </row>
    <row r="52" spans="1:83">
      <c r="A52" s="687" t="s">
        <v>19</v>
      </c>
      <c r="J52" s="566">
        <v>1.08</v>
      </c>
      <c r="K52" s="348">
        <f>'Proy 2021 vs 2019 Sem'!IK16*J52</f>
        <v>85680.873360000012</v>
      </c>
      <c r="L52" s="348"/>
      <c r="R52" s="566">
        <v>1.08</v>
      </c>
      <c r="S52" s="348">
        <f>'Proy 2021 vs 2019 Sem'!IP16*R52</f>
        <v>100209.56256000001</v>
      </c>
      <c r="T52" s="348"/>
      <c r="Z52" s="566">
        <v>1.08</v>
      </c>
      <c r="AA52" s="348">
        <f>'Proy 2021 vs 2019 Sem'!IY16*Z52</f>
        <v>111105.43848000001</v>
      </c>
      <c r="AG52" s="566">
        <v>1.08</v>
      </c>
      <c r="AH52" s="348">
        <f>'Proy 2021 vs 2019 Sem'!JD16*AG52</f>
        <v>132491.39543999999</v>
      </c>
      <c r="AN52" s="566">
        <v>1.08</v>
      </c>
      <c r="AO52" s="348">
        <f>'Proy 2021 vs 2019 Sem'!JI16*AN52</f>
        <v>193583.05668000004</v>
      </c>
      <c r="AU52" s="566">
        <v>1.08</v>
      </c>
      <c r="AV52" s="348">
        <f>'Proy 2021 vs 2019 Sem'!JN16*AU52</f>
        <v>230233.97124000001</v>
      </c>
      <c r="BB52" s="566">
        <v>1.08</v>
      </c>
      <c r="BC52" s="348">
        <f>'Proy 2021 vs 2019 Sem'!JX16*BB52</f>
        <v>273509.51832000003</v>
      </c>
      <c r="BI52" s="566">
        <v>1.08</v>
      </c>
      <c r="BJ52" s="348">
        <f>'Proy 2021 vs 2019 Sem'!KC16*BI52</f>
        <v>355708.92290400004</v>
      </c>
      <c r="BP52" s="566">
        <v>1.08</v>
      </c>
      <c r="BQ52" s="348">
        <f>'Proy 2021 vs 2019 Sem'!KH16*BP52</f>
        <v>456178.87692000001</v>
      </c>
      <c r="BW52" s="566">
        <v>1.08</v>
      </c>
      <c r="BX52" s="348">
        <f>'Proy 2021 vs 2019 Sem'!KM16*BW52</f>
        <v>523480.97577600006</v>
      </c>
      <c r="CD52" s="566">
        <v>1.08</v>
      </c>
      <c r="CE52" s="348">
        <f>'Proy 2021 vs 2019 Sem'!KR16*CD52</f>
        <v>122805.85770000001</v>
      </c>
    </row>
    <row r="53" spans="1:83">
      <c r="A53" s="687" t="s">
        <v>20</v>
      </c>
      <c r="J53" s="566">
        <v>1.08</v>
      </c>
      <c r="K53" s="348">
        <f>'Proy 2021 vs 2019 Sem'!IK17*J53</f>
        <v>74288.496815999999</v>
      </c>
      <c r="L53" s="348"/>
      <c r="R53" s="566">
        <v>1.08</v>
      </c>
      <c r="S53" s="348">
        <f>'Proy 2021 vs 2019 Sem'!IP17*R53</f>
        <v>98957.711340000009</v>
      </c>
      <c r="T53" s="348"/>
      <c r="Z53" s="566">
        <v>1.08</v>
      </c>
      <c r="AA53" s="348">
        <f>'Proy 2021 vs 2019 Sem'!IY17*Z53</f>
        <v>109209.14424000002</v>
      </c>
      <c r="AG53" s="566">
        <v>1.08</v>
      </c>
      <c r="AH53" s="348">
        <f>'Proy 2021 vs 2019 Sem'!JD17*AG53</f>
        <v>120923.19414000002</v>
      </c>
      <c r="AN53" s="566">
        <v>1.08</v>
      </c>
      <c r="AO53" s="348">
        <f>'Proy 2021 vs 2019 Sem'!JI17*AN53</f>
        <v>137451.79980000001</v>
      </c>
      <c r="AU53" s="566">
        <v>1.08</v>
      </c>
      <c r="AV53" s="348">
        <f>'Proy 2021 vs 2019 Sem'!JN17*AU53</f>
        <v>117124.5825</v>
      </c>
      <c r="BB53" s="566">
        <v>1.08</v>
      </c>
      <c r="BC53" s="348">
        <f>'Proy 2021 vs 2019 Sem'!JX17*BB53</f>
        <v>137757.59478000001</v>
      </c>
      <c r="BI53" s="566">
        <v>1.08</v>
      </c>
      <c r="BJ53" s="348">
        <f>'Proy 2021 vs 2019 Sem'!KC17*BI53</f>
        <v>200624.11668000004</v>
      </c>
      <c r="BP53" s="566">
        <v>1.08</v>
      </c>
      <c r="BQ53" s="348">
        <f>'Proy 2021 vs 2019 Sem'!KH17*BP53</f>
        <v>270806.77728000004</v>
      </c>
      <c r="BW53" s="566">
        <v>1.08</v>
      </c>
      <c r="BX53" s="348">
        <f>'Proy 2021 vs 2019 Sem'!KM17*BW53</f>
        <v>382625.80070400005</v>
      </c>
      <c r="CD53" s="566">
        <v>1.08</v>
      </c>
      <c r="CE53" s="348">
        <f>'Proy 2021 vs 2019 Sem'!KR17*CD53</f>
        <v>70513.042860000001</v>
      </c>
    </row>
    <row r="54" spans="1:83">
      <c r="A54" s="687" t="s">
        <v>21</v>
      </c>
      <c r="J54" s="566">
        <v>1.08</v>
      </c>
      <c r="K54" s="348">
        <f>'Proy 2021 vs 2019 Sem'!IK18*J54</f>
        <v>62663.777388000002</v>
      </c>
      <c r="L54" s="348"/>
      <c r="R54" s="566">
        <v>1.08</v>
      </c>
      <c r="S54" s="348">
        <f>'Proy 2021 vs 2019 Sem'!IP18*R54</f>
        <v>95507.195471999992</v>
      </c>
      <c r="T54" s="348"/>
      <c r="Z54" s="566">
        <v>1.08</v>
      </c>
      <c r="AA54" s="348">
        <f>'Proy 2021 vs 2019 Sem'!IY18*Z54</f>
        <v>71113.192920000001</v>
      </c>
      <c r="AG54" s="566">
        <v>1.08</v>
      </c>
      <c r="AH54" s="348">
        <f>'Proy 2021 vs 2019 Sem'!JD18*AG54</f>
        <v>87910.966440000018</v>
      </c>
      <c r="AN54" s="566">
        <v>1.08</v>
      </c>
      <c r="AO54" s="348">
        <f>'Proy 2021 vs 2019 Sem'!JI18*AN54</f>
        <v>101068.47684</v>
      </c>
      <c r="AU54" s="566">
        <v>1.08</v>
      </c>
      <c r="AV54" s="348">
        <f>'Proy 2021 vs 2019 Sem'!JN18*AU54</f>
        <v>99281.155680000011</v>
      </c>
      <c r="BB54" s="566">
        <v>1.08</v>
      </c>
      <c r="BC54" s="348">
        <f>'Proy 2021 vs 2019 Sem'!JX18*BB54</f>
        <v>118005.14375999999</v>
      </c>
      <c r="BI54" s="566">
        <v>1.08</v>
      </c>
      <c r="BJ54" s="348">
        <f>'Proy 2021 vs 2019 Sem'!KC18*BI54</f>
        <v>128063.89764</v>
      </c>
      <c r="BP54" s="566">
        <v>1.08</v>
      </c>
      <c r="BQ54" s="348">
        <f>'Proy 2021 vs 2019 Sem'!KH18*BP54</f>
        <v>168910.94808</v>
      </c>
      <c r="BW54" s="566">
        <v>1.08</v>
      </c>
      <c r="BX54" s="348">
        <f>'Proy 2021 vs 2019 Sem'!KM18*BW54</f>
        <v>315211.64677200001</v>
      </c>
      <c r="CD54" s="566">
        <v>1.08</v>
      </c>
      <c r="CE54" s="348">
        <f>'Proy 2021 vs 2019 Sem'!KR18*CD54</f>
        <v>71049.642048000009</v>
      </c>
    </row>
    <row r="55" spans="1:83">
      <c r="A55" s="687" t="s">
        <v>22</v>
      </c>
      <c r="J55" s="566">
        <v>1.08</v>
      </c>
      <c r="K55" s="348">
        <f>'Proy 2021 vs 2019 Sem'!IK19*J55</f>
        <v>101853.02869200001</v>
      </c>
      <c r="L55" s="348"/>
      <c r="R55" s="566">
        <v>1.08</v>
      </c>
      <c r="S55" s="348">
        <f>'Proy 2021 vs 2019 Sem'!IP19*R55</f>
        <v>129139.79472000001</v>
      </c>
      <c r="T55" s="348"/>
      <c r="Z55" s="566">
        <v>1.08</v>
      </c>
      <c r="AA55" s="348">
        <f>'Proy 2021 vs 2019 Sem'!IY19*Z55</f>
        <v>100986.29704800001</v>
      </c>
      <c r="AG55" s="566">
        <v>1.08</v>
      </c>
      <c r="AH55" s="348">
        <f>'Proy 2021 vs 2019 Sem'!JD19*AG55</f>
        <v>121716.18889200001</v>
      </c>
      <c r="AN55" s="566">
        <v>1.08</v>
      </c>
      <c r="AO55" s="348">
        <f>'Proy 2021 vs 2019 Sem'!JI19*AN55</f>
        <v>134135.80603199999</v>
      </c>
      <c r="AU55" s="566">
        <v>1.08</v>
      </c>
      <c r="AV55" s="348">
        <f>'Proy 2021 vs 2019 Sem'!JN19*AU55</f>
        <v>150660.31104</v>
      </c>
      <c r="BB55" s="566">
        <v>1.08</v>
      </c>
      <c r="BC55" s="348">
        <f>'Proy 2021 vs 2019 Sem'!JX19*BB55</f>
        <v>162792.48887999999</v>
      </c>
      <c r="BI55" s="566">
        <v>1.08</v>
      </c>
      <c r="BJ55" s="348">
        <f>'Proy 2021 vs 2019 Sem'!KC19*BI55</f>
        <v>191496.79584000001</v>
      </c>
      <c r="BP55" s="566">
        <v>1.08</v>
      </c>
      <c r="BQ55" s="348">
        <f>'Proy 2021 vs 2019 Sem'!KH19*BP55</f>
        <v>271697.22216</v>
      </c>
      <c r="BW55" s="566">
        <v>1.08</v>
      </c>
      <c r="BX55" s="348">
        <f>'Proy 2021 vs 2019 Sem'!KM19*BW55</f>
        <v>401366.46171600005</v>
      </c>
      <c r="CD55" s="566">
        <v>1.08</v>
      </c>
      <c r="CE55" s="348">
        <f>'Proy 2021 vs 2019 Sem'!KR19*CD55</f>
        <v>98628.247080000001</v>
      </c>
    </row>
    <row r="56" spans="1:83">
      <c r="A56" s="687" t="s">
        <v>23</v>
      </c>
      <c r="J56" s="566">
        <v>1.08</v>
      </c>
      <c r="K56" s="348">
        <f>'Proy 2021 vs 2019 Sem'!IK20*J56</f>
        <v>75677.628672000006</v>
      </c>
      <c r="L56" s="348"/>
      <c r="R56" s="566">
        <v>1.08</v>
      </c>
      <c r="S56" s="348">
        <f>'Proy 2021 vs 2019 Sem'!IP20*R56</f>
        <v>110796.70557600001</v>
      </c>
      <c r="T56" s="348"/>
      <c r="Z56" s="566">
        <v>1.08</v>
      </c>
      <c r="AA56" s="348">
        <f>'Proy 2021 vs 2019 Sem'!IY20*Z56</f>
        <v>64680.569280000011</v>
      </c>
      <c r="AG56" s="566">
        <v>1.08</v>
      </c>
      <c r="AH56" s="348">
        <f>'Proy 2021 vs 2019 Sem'!JD20*AG56</f>
        <v>104494.12257600001</v>
      </c>
      <c r="AN56" s="566">
        <v>1.08</v>
      </c>
      <c r="AO56" s="348">
        <f>'Proy 2021 vs 2019 Sem'!JI20*AN56</f>
        <v>108252.8658</v>
      </c>
      <c r="AU56" s="566">
        <v>1.08</v>
      </c>
      <c r="AV56" s="348">
        <f>'Proy 2021 vs 2019 Sem'!JN20*AU56</f>
        <v>145508.91537599999</v>
      </c>
      <c r="BB56" s="566">
        <v>1.08</v>
      </c>
      <c r="BC56" s="348">
        <f>'Proy 2021 vs 2019 Sem'!JX20*BB56</f>
        <v>139266.33750000002</v>
      </c>
      <c r="BI56" s="566">
        <v>1.08</v>
      </c>
      <c r="BJ56" s="348">
        <f>'Proy 2021 vs 2019 Sem'!KC20*BI56</f>
        <v>171296.1594</v>
      </c>
      <c r="BP56" s="566">
        <v>1.08</v>
      </c>
      <c r="BQ56" s="348">
        <f>'Proy 2021 vs 2019 Sem'!KH20*BP56</f>
        <v>209150.26200000005</v>
      </c>
      <c r="BW56" s="566">
        <v>1.08</v>
      </c>
      <c r="BX56" s="348">
        <f>'Proy 2021 vs 2019 Sem'!KM20*BW56</f>
        <v>314973.13741199998</v>
      </c>
      <c r="CD56" s="566">
        <v>1.08</v>
      </c>
      <c r="CE56" s="348">
        <f>'Proy 2021 vs 2019 Sem'!KR20*CD56</f>
        <v>74507.555160000004</v>
      </c>
    </row>
    <row r="57" spans="1:83">
      <c r="A57" s="687" t="s">
        <v>24</v>
      </c>
      <c r="J57" s="566">
        <v>1.08</v>
      </c>
      <c r="K57" s="348">
        <f>'Proy 2021 vs 2019 Sem'!IK21*J57</f>
        <v>95570.639423999994</v>
      </c>
      <c r="L57" s="348"/>
      <c r="R57" s="566">
        <v>1.08</v>
      </c>
      <c r="S57" s="348">
        <f>'Proy 2021 vs 2019 Sem'!IP21*R57</f>
        <v>124745.16196800001</v>
      </c>
      <c r="T57" s="348"/>
      <c r="Z57" s="566">
        <v>1.08</v>
      </c>
      <c r="AA57" s="348">
        <f>'Proy 2021 vs 2019 Sem'!IY21*Z57</f>
        <v>85554.967392000006</v>
      </c>
      <c r="AG57" s="566">
        <v>1.08</v>
      </c>
      <c r="AH57" s="348">
        <f>'Proy 2021 vs 2019 Sem'!JD21*AG57</f>
        <v>116155.62604800001</v>
      </c>
      <c r="AN57" s="566">
        <v>1.08</v>
      </c>
      <c r="AO57" s="348">
        <f>'Proy 2021 vs 2019 Sem'!JI21*AN57</f>
        <v>129087.14688000003</v>
      </c>
      <c r="AU57" s="566">
        <v>1.08</v>
      </c>
      <c r="AV57" s="348">
        <f>'Proy 2021 vs 2019 Sem'!JN21*AU57</f>
        <v>139256.90208</v>
      </c>
      <c r="BB57" s="566">
        <v>1.08</v>
      </c>
      <c r="BC57" s="348">
        <f>'Proy 2021 vs 2019 Sem'!JX21*BB57</f>
        <v>194013.46411200002</v>
      </c>
      <c r="BI57" s="566">
        <v>1.08</v>
      </c>
      <c r="BJ57" s="348">
        <f>'Proy 2021 vs 2019 Sem'!KC21*BI57</f>
        <v>207474.95714400001</v>
      </c>
      <c r="BP57" s="566">
        <v>1.08</v>
      </c>
      <c r="BQ57" s="348">
        <f>'Proy 2021 vs 2019 Sem'!KH21*BP57</f>
        <v>251982.01440000001</v>
      </c>
      <c r="BW57" s="566">
        <v>1.08</v>
      </c>
      <c r="BX57" s="348">
        <f>'Proy 2021 vs 2019 Sem'!KM21*BW57</f>
        <v>416926.71345600003</v>
      </c>
      <c r="CD57" s="566">
        <v>1.08</v>
      </c>
      <c r="CE57" s="348">
        <f>'Proy 2021 vs 2019 Sem'!KR21*CD57</f>
        <v>93666.502439999997</v>
      </c>
    </row>
    <row r="58" spans="1:83">
      <c r="A58" s="687" t="s">
        <v>25</v>
      </c>
      <c r="J58" s="566">
        <v>1.08</v>
      </c>
      <c r="K58" s="348">
        <f>'Proy 2021 vs 2019 Sem'!IK22*J58</f>
        <v>125537.28062400001</v>
      </c>
      <c r="L58" s="348"/>
      <c r="R58" s="566">
        <v>1.08</v>
      </c>
      <c r="S58" s="348">
        <f>'Proy 2021 vs 2019 Sem'!IP22*R58</f>
        <v>128656.07568000001</v>
      </c>
      <c r="T58" s="348"/>
      <c r="Z58" s="566">
        <v>1.08</v>
      </c>
      <c r="AA58" s="348">
        <f>'Proy 2021 vs 2019 Sem'!IY22*Z58</f>
        <v>106733.41574400001</v>
      </c>
      <c r="AG58" s="566">
        <v>1.08</v>
      </c>
      <c r="AH58" s="348">
        <f>'Proy 2021 vs 2019 Sem'!JD22*AG58</f>
        <v>147598.96507200002</v>
      </c>
      <c r="AN58" s="566">
        <v>1.08</v>
      </c>
      <c r="AO58" s="348">
        <f>'Proy 2021 vs 2019 Sem'!JI22*AN58</f>
        <v>182606.060448</v>
      </c>
      <c r="AU58" s="566">
        <v>1.08</v>
      </c>
      <c r="AV58" s="348">
        <f>'Proy 2021 vs 2019 Sem'!JN22*AU58</f>
        <v>156786.45119999998</v>
      </c>
      <c r="BB58" s="566">
        <v>1.08</v>
      </c>
      <c r="BC58" s="348">
        <f>'Proy 2021 vs 2019 Sem'!JX22*BB58</f>
        <v>204730.92630000002</v>
      </c>
      <c r="BI58" s="566">
        <v>1.08</v>
      </c>
      <c r="BJ58" s="348">
        <f>'Proy 2021 vs 2019 Sem'!KC22*BI58</f>
        <v>280045.33380000002</v>
      </c>
      <c r="BP58" s="566">
        <v>1.08</v>
      </c>
      <c r="BQ58" s="348">
        <f>'Proy 2021 vs 2019 Sem'!KH22*BP58</f>
        <v>332175.792564</v>
      </c>
      <c r="BW58" s="566">
        <v>1.08</v>
      </c>
      <c r="BX58" s="348">
        <f>'Proy 2021 vs 2019 Sem'!KM22*BW58</f>
        <v>407761.34410800005</v>
      </c>
      <c r="CD58" s="566">
        <v>1.08</v>
      </c>
      <c r="CE58" s="348">
        <f>'Proy 2021 vs 2019 Sem'!KR22*CD58</f>
        <v>80443.822248000011</v>
      </c>
    </row>
    <row r="59" spans="1:83">
      <c r="A59" s="687" t="s">
        <v>26</v>
      </c>
      <c r="J59" s="566">
        <v>1.08</v>
      </c>
      <c r="K59" s="348">
        <f>'Proy 2021 vs 2019 Sem'!IK23*J59</f>
        <v>88469.57160000001</v>
      </c>
      <c r="L59" s="348"/>
      <c r="R59" s="566">
        <v>1.08</v>
      </c>
      <c r="S59" s="348">
        <f>'Proy 2021 vs 2019 Sem'!IP23*R59</f>
        <v>122022.815796</v>
      </c>
      <c r="T59" s="348"/>
      <c r="Z59" s="566">
        <v>1.08</v>
      </c>
      <c r="AA59" s="348">
        <f>'Proy 2021 vs 2019 Sem'!IY23*Z59</f>
        <v>75220.488000000012</v>
      </c>
      <c r="AG59" s="566">
        <v>1.08</v>
      </c>
      <c r="AH59" s="348">
        <f>'Proy 2021 vs 2019 Sem'!JD23*AG59</f>
        <v>85273.759368000014</v>
      </c>
      <c r="AN59" s="566">
        <v>1.08</v>
      </c>
      <c r="AO59" s="348">
        <f>'Proy 2021 vs 2019 Sem'!JI23*AN59</f>
        <v>132292.68732000003</v>
      </c>
      <c r="AU59" s="566">
        <v>1.08</v>
      </c>
      <c r="AV59" s="348">
        <f>'Proy 2021 vs 2019 Sem'!JN23*AU59</f>
        <v>111702.00672</v>
      </c>
      <c r="BB59" s="566">
        <v>1.08</v>
      </c>
      <c r="BC59" s="348">
        <f>'Proy 2021 vs 2019 Sem'!JX23*BB59</f>
        <v>122254.1505</v>
      </c>
      <c r="BI59" s="566">
        <v>1.08</v>
      </c>
      <c r="BJ59" s="348">
        <f>'Proy 2021 vs 2019 Sem'!KC23*BI59</f>
        <v>145830.65850000002</v>
      </c>
      <c r="BP59" s="566">
        <v>1.08</v>
      </c>
      <c r="BQ59" s="348">
        <f>'Proy 2021 vs 2019 Sem'!KH23*BP59</f>
        <v>162580.87530000001</v>
      </c>
      <c r="BW59" s="566">
        <v>1.08</v>
      </c>
      <c r="BX59" s="348">
        <f>'Proy 2021 vs 2019 Sem'!KM23*BW59</f>
        <v>293590.73570400005</v>
      </c>
      <c r="CD59" s="566">
        <v>1.08</v>
      </c>
      <c r="CE59" s="348">
        <f>'Proy 2021 vs 2019 Sem'!KR23*CD59</f>
        <v>59873.304708000003</v>
      </c>
    </row>
    <row r="60" spans="1:83">
      <c r="A60" s="688" t="s">
        <v>27</v>
      </c>
      <c r="J60" s="566">
        <v>1.08</v>
      </c>
      <c r="K60" s="348">
        <f>'Proy 2021 vs 2019 Sem'!IK24*J60</f>
        <v>98883.901440000016</v>
      </c>
      <c r="L60" s="348"/>
      <c r="R60" s="566">
        <v>1.08</v>
      </c>
      <c r="S60" s="348">
        <f>'Proy 2021 vs 2019 Sem'!IP24*R60</f>
        <v>112926.47367600001</v>
      </c>
      <c r="T60" s="348"/>
      <c r="Z60" s="566">
        <v>1.08</v>
      </c>
      <c r="AA60" s="348">
        <f>'Proy 2021 vs 2019 Sem'!IY24*Z60</f>
        <v>75751.103448000009</v>
      </c>
      <c r="AG60" s="566">
        <v>1.08</v>
      </c>
      <c r="AH60" s="348">
        <f>'Proy 2021 vs 2019 Sem'!JD24*AG60</f>
        <v>89640</v>
      </c>
      <c r="AN60" s="566">
        <v>1.08</v>
      </c>
      <c r="AO60" s="348">
        <f>'Proy 2021 vs 2019 Sem'!JI24*AN60</f>
        <v>75297.600000000006</v>
      </c>
      <c r="AU60" s="566">
        <v>1.08</v>
      </c>
      <c r="AV60" s="348">
        <f>'Proy 2021 vs 2019 Sem'!JN24*AU60</f>
        <v>122742.86875199999</v>
      </c>
      <c r="BB60" s="566">
        <v>1.08</v>
      </c>
      <c r="BC60" s="348">
        <f>'Proy 2021 vs 2019 Sem'!JX24*BB60</f>
        <v>207185.90184000004</v>
      </c>
      <c r="BI60" s="566">
        <v>1.08</v>
      </c>
      <c r="BJ60" s="348">
        <f>'Proy 2021 vs 2019 Sem'!KC24*BI60</f>
        <v>228093.68016000002</v>
      </c>
      <c r="BP60" s="566">
        <v>1.08</v>
      </c>
      <c r="BQ60" s="348">
        <f>'Proy 2021 vs 2019 Sem'!KH24*BP60</f>
        <v>394162.60176000005</v>
      </c>
      <c r="BW60" s="566">
        <v>1.08</v>
      </c>
      <c r="BX60" s="348">
        <f>'Proy 2021 vs 2019 Sem'!KM24*BW60</f>
        <v>546429.57933600002</v>
      </c>
      <c r="CD60" s="566">
        <v>1.08</v>
      </c>
      <c r="CE60" s="348">
        <f>'Proy 2021 vs 2019 Sem'!KR24*CD60</f>
        <v>99144.680400000012</v>
      </c>
    </row>
    <row r="61" spans="1:83">
      <c r="A61" s="684" t="s">
        <v>477</v>
      </c>
      <c r="J61" s="566">
        <v>1.08</v>
      </c>
      <c r="K61" s="348">
        <f>'Proy 2021 vs 2019 Sem'!IK25*J61</f>
        <v>144053.05939200002</v>
      </c>
      <c r="L61" s="348"/>
      <c r="R61" s="566">
        <v>1.08</v>
      </c>
      <c r="S61" s="348">
        <f>'Proy 2021 vs 2019 Sem'!IP25*R61</f>
        <v>158348.61806400001</v>
      </c>
      <c r="T61" s="348"/>
      <c r="Z61" s="566">
        <v>1.08</v>
      </c>
      <c r="AA61" s="348">
        <f>'Proy 2021 vs 2019 Sem'!IY25*Z61</f>
        <v>133679.87020800001</v>
      </c>
      <c r="AG61" s="566">
        <v>1.08</v>
      </c>
      <c r="AH61" s="348">
        <f>'Proy 2021 vs 2019 Sem'!JD25*AG61</f>
        <v>186286.894848</v>
      </c>
      <c r="AN61" s="566">
        <v>1.08</v>
      </c>
      <c r="AO61" s="348">
        <f>'Proy 2021 vs 2019 Sem'!JI25*AN61</f>
        <v>237541.28428800002</v>
      </c>
      <c r="AU61" s="566">
        <v>1.08</v>
      </c>
      <c r="AV61" s="348">
        <f>'Proy 2021 vs 2019 Sem'!JN25*AU61</f>
        <v>237655.15668000001</v>
      </c>
      <c r="BB61" s="566">
        <v>1.08</v>
      </c>
      <c r="BC61" s="348">
        <f>'Proy 2021 vs 2019 Sem'!JX25*BB61</f>
        <v>272911.1778</v>
      </c>
      <c r="BI61" s="566">
        <v>1.08</v>
      </c>
      <c r="BJ61" s="348">
        <f>'Proy 2021 vs 2019 Sem'!KC25*BI61</f>
        <v>267721.96140000003</v>
      </c>
      <c r="BP61" s="566">
        <v>1.08</v>
      </c>
      <c r="BQ61" s="348">
        <f>'Proy 2021 vs 2019 Sem'!KH25*BP61</f>
        <v>347029.29122400004</v>
      </c>
      <c r="BW61" s="566">
        <v>1.08</v>
      </c>
      <c r="BX61" s="348">
        <f>'Proy 2021 vs 2019 Sem'!KM25*BW61</f>
        <v>565191.80168400006</v>
      </c>
      <c r="CD61" s="566">
        <v>1.08</v>
      </c>
      <c r="CE61" s="348">
        <f>'Proy 2021 vs 2019 Sem'!KR25*CD61</f>
        <v>173659.27229999998</v>
      </c>
    </row>
    <row r="62" spans="1:83">
      <c r="A62" s="685" t="s">
        <v>478</v>
      </c>
      <c r="J62" s="566">
        <v>1.08</v>
      </c>
      <c r="K62" s="348">
        <f>'Proy 2021 vs 2019 Sem'!IK26*J62</f>
        <v>186054.86646000002</v>
      </c>
      <c r="L62" s="348"/>
      <c r="R62" s="566">
        <v>1.08</v>
      </c>
      <c r="S62" s="348">
        <f>'Proy 2021 vs 2019 Sem'!IP26*R62</f>
        <v>185428.92124800003</v>
      </c>
      <c r="T62" s="348"/>
      <c r="Z62" s="566">
        <v>1.08</v>
      </c>
      <c r="AA62" s="348">
        <f>'Proy 2021 vs 2019 Sem'!IY26*Z62</f>
        <v>149292.06033600002</v>
      </c>
      <c r="AG62" s="566">
        <v>1.08</v>
      </c>
      <c r="AH62" s="348">
        <f>'Proy 2021 vs 2019 Sem'!JD26*AG62</f>
        <v>222606.42782400001</v>
      </c>
      <c r="AN62" s="566">
        <v>1.08</v>
      </c>
      <c r="AO62" s="348">
        <f>'Proy 2021 vs 2019 Sem'!JI26*AN62</f>
        <v>234775.59771599999</v>
      </c>
      <c r="AU62" s="566">
        <v>1.08</v>
      </c>
      <c r="AV62" s="348">
        <f>'Proy 2021 vs 2019 Sem'!JN26*AU62</f>
        <v>218422.498536</v>
      </c>
      <c r="BB62" s="566">
        <v>1.08</v>
      </c>
      <c r="BC62" s="348">
        <f>'Proy 2021 vs 2019 Sem'!JX26*BB62</f>
        <v>258150.14711999998</v>
      </c>
      <c r="BI62" s="566">
        <v>1.08</v>
      </c>
      <c r="BJ62" s="348">
        <f>'Proy 2021 vs 2019 Sem'!KC26*BI62</f>
        <v>365868.91890000005</v>
      </c>
      <c r="BP62" s="566">
        <v>1.08</v>
      </c>
      <c r="BQ62" s="348">
        <f>'Proy 2021 vs 2019 Sem'!KH26*BP62</f>
        <v>495235.29275999998</v>
      </c>
      <c r="BW62" s="566">
        <v>1.08</v>
      </c>
      <c r="BX62" s="348">
        <f>'Proy 2021 vs 2019 Sem'!KM26*BW62</f>
        <v>736873.20485999994</v>
      </c>
      <c r="CD62" s="566">
        <v>1.08</v>
      </c>
      <c r="CE62" s="348">
        <f>'Proy 2021 vs 2019 Sem'!KR26*CD62</f>
        <v>225777.79879199999</v>
      </c>
    </row>
    <row r="63" spans="1:83">
      <c r="A63" s="685" t="s">
        <v>479</v>
      </c>
      <c r="J63" s="566">
        <v>1.08</v>
      </c>
      <c r="K63" s="348">
        <f>'Proy 2021 vs 2019 Sem'!IK27*J63</f>
        <v>104453.4204</v>
      </c>
      <c r="L63" s="348"/>
      <c r="R63" s="566">
        <v>1.08</v>
      </c>
      <c r="S63" s="348">
        <f>'Proy 2021 vs 2019 Sem'!IP27*R63</f>
        <v>124534.962</v>
      </c>
      <c r="T63" s="348"/>
      <c r="Z63" s="566">
        <v>1.08</v>
      </c>
      <c r="AA63" s="348">
        <f>'Proy 2021 vs 2019 Sem'!IY27*Z63</f>
        <v>105229.78920000001</v>
      </c>
      <c r="AG63" s="566">
        <v>1.08</v>
      </c>
      <c r="AH63" s="348">
        <f>'Proy 2021 vs 2019 Sem'!JD27*AG63</f>
        <v>129856.09780800002</v>
      </c>
      <c r="AN63" s="566">
        <v>1.08</v>
      </c>
      <c r="AO63" s="348">
        <f>'Proy 2021 vs 2019 Sem'!JI27*AN63</f>
        <v>142914.51561600002</v>
      </c>
      <c r="AU63" s="566">
        <v>1.08</v>
      </c>
      <c r="AV63" s="348">
        <f>'Proy 2021 vs 2019 Sem'!JN27*AU63</f>
        <v>137256.87816000002</v>
      </c>
      <c r="BB63" s="566">
        <v>1.08</v>
      </c>
      <c r="BC63" s="348">
        <f>'Proy 2021 vs 2019 Sem'!JX27*BB63</f>
        <v>156332.2923</v>
      </c>
      <c r="BI63" s="566">
        <v>1.08</v>
      </c>
      <c r="BJ63" s="348">
        <f>'Proy 2021 vs 2019 Sem'!KC27*BI63</f>
        <v>184467.82049999997</v>
      </c>
      <c r="BP63" s="566">
        <v>1.08</v>
      </c>
      <c r="BQ63" s="348">
        <f>'Proy 2021 vs 2019 Sem'!KH27*BP63</f>
        <v>226160.48879999999</v>
      </c>
      <c r="BW63" s="566">
        <v>1.08</v>
      </c>
      <c r="BX63" s="348">
        <f>'Proy 2021 vs 2019 Sem'!KM27*BW63</f>
        <v>383567.96635200002</v>
      </c>
      <c r="CD63" s="566">
        <v>1.08</v>
      </c>
      <c r="CE63" s="348">
        <f>'Proy 2021 vs 2019 Sem'!KR27*CD63</f>
        <v>145357.364268</v>
      </c>
    </row>
    <row r="64" spans="1:83">
      <c r="A64" s="685" t="s">
        <v>228</v>
      </c>
      <c r="J64" s="566">
        <v>1.08</v>
      </c>
      <c r="K64" s="348">
        <f>'Proy 2021 vs 2019 Sem'!IK28*J64</f>
        <v>213409.84982400003</v>
      </c>
      <c r="L64" s="348"/>
      <c r="R64" s="566">
        <v>1.08</v>
      </c>
      <c r="S64" s="348">
        <f>'Proy 2021 vs 2019 Sem'!IP28*R64</f>
        <v>228093.92532000004</v>
      </c>
      <c r="T64" s="348"/>
      <c r="Z64" s="566">
        <v>1.08</v>
      </c>
      <c r="AA64" s="348">
        <f>'Proy 2021 vs 2019 Sem'!IY28*Z64</f>
        <v>168334.34579999998</v>
      </c>
      <c r="AG64" s="566">
        <v>1.08</v>
      </c>
      <c r="AH64" s="348">
        <f>'Proy 2021 vs 2019 Sem'!JD28*AG64</f>
        <v>271903.37731200003</v>
      </c>
      <c r="AN64" s="566">
        <v>1.08</v>
      </c>
      <c r="AO64" s="348">
        <f>'Proy 2021 vs 2019 Sem'!JI28*AN64</f>
        <v>268282.28419199999</v>
      </c>
      <c r="AU64" s="566">
        <v>1.08</v>
      </c>
      <c r="AV64" s="348">
        <f>'Proy 2021 vs 2019 Sem'!JN28*AU64</f>
        <v>277994.16432000004</v>
      </c>
      <c r="BB64" s="566">
        <v>1.08</v>
      </c>
      <c r="BC64" s="348">
        <f>'Proy 2021 vs 2019 Sem'!JX28*BB64</f>
        <v>297570.82503599999</v>
      </c>
      <c r="BI64" s="566">
        <v>1.08</v>
      </c>
      <c r="BJ64" s="348">
        <f>'Proy 2021 vs 2019 Sem'!KC28*BI64</f>
        <v>413079.41239200009</v>
      </c>
      <c r="BP64" s="566">
        <v>1.08</v>
      </c>
      <c r="BQ64" s="348">
        <f>'Proy 2021 vs 2019 Sem'!KH28*BP64</f>
        <v>497875.74048000009</v>
      </c>
      <c r="BW64" s="566">
        <v>1.08</v>
      </c>
      <c r="BX64" s="348">
        <f>'Proy 2021 vs 2019 Sem'!KM28*BW64</f>
        <v>918972.977832</v>
      </c>
      <c r="CD64" s="566">
        <v>1.08</v>
      </c>
      <c r="CE64" s="348">
        <f>'Proy 2021 vs 2019 Sem'!KR28*CD64</f>
        <v>270305.478</v>
      </c>
    </row>
    <row r="65" spans="1:83">
      <c r="A65" s="685" t="s">
        <v>229</v>
      </c>
      <c r="J65" s="566">
        <v>1.08</v>
      </c>
      <c r="K65" s="348">
        <f>'Proy 2021 vs 2019 Sem'!IK29*J65</f>
        <v>196800.38467200001</v>
      </c>
      <c r="L65" s="348"/>
      <c r="R65" s="566">
        <v>1.08</v>
      </c>
      <c r="S65" s="348">
        <f>'Proy 2021 vs 2019 Sem'!IP29*R65</f>
        <v>222578.93178000001</v>
      </c>
      <c r="T65" s="348"/>
      <c r="Z65" s="566">
        <v>1.08</v>
      </c>
      <c r="AA65" s="348">
        <f>'Proy 2021 vs 2019 Sem'!IY29*Z65</f>
        <v>187504.4241</v>
      </c>
      <c r="AG65" s="566">
        <v>1.08</v>
      </c>
      <c r="AH65" s="348">
        <f>'Proy 2021 vs 2019 Sem'!JD29*AG65</f>
        <v>266077.62165599997</v>
      </c>
      <c r="AN65" s="566">
        <v>1.08</v>
      </c>
      <c r="AO65" s="348">
        <f>'Proy 2021 vs 2019 Sem'!JI29*AN65</f>
        <v>317285.39505600004</v>
      </c>
      <c r="AU65" s="566">
        <v>1.08</v>
      </c>
      <c r="AV65" s="348">
        <f>'Proy 2021 vs 2019 Sem'!JN29*AU65</f>
        <v>259308.00000000003</v>
      </c>
      <c r="BB65" s="566">
        <v>1.08</v>
      </c>
      <c r="BC65" s="348">
        <f>'Proy 2021 vs 2019 Sem'!JX29*BB65</f>
        <v>378153.55764000007</v>
      </c>
      <c r="BI65" s="566">
        <v>1.08</v>
      </c>
      <c r="BJ65" s="348">
        <f>'Proy 2021 vs 2019 Sem'!KC29*BI65</f>
        <v>515608.76267999999</v>
      </c>
      <c r="BP65" s="566">
        <v>1.08</v>
      </c>
      <c r="BQ65" s="348">
        <f>'Proy 2021 vs 2019 Sem'!KH29*BP65</f>
        <v>639988.66972800007</v>
      </c>
      <c r="BW65" s="566">
        <v>1.08</v>
      </c>
      <c r="BX65" s="348">
        <f>'Proy 2021 vs 2019 Sem'!KM29*BW65</f>
        <v>944649.88279200008</v>
      </c>
      <c r="CD65" s="566">
        <v>1.08</v>
      </c>
      <c r="CE65" s="348">
        <f>'Proy 2021 vs 2019 Sem'!KR29*CD65</f>
        <v>277517.27520000003</v>
      </c>
    </row>
    <row r="66" spans="1:83">
      <c r="A66" s="685" t="s">
        <v>230</v>
      </c>
      <c r="J66" s="566">
        <v>1.08</v>
      </c>
      <c r="K66" s="348">
        <f>'Proy 2021 vs 2019 Sem'!IK30*J66</f>
        <v>89787.691619999998</v>
      </c>
      <c r="L66" s="348"/>
      <c r="R66" s="566">
        <v>1.08</v>
      </c>
      <c r="S66" s="348">
        <f>'Proy 2021 vs 2019 Sem'!IP30*R66</f>
        <v>92563.377479999996</v>
      </c>
      <c r="T66" s="348"/>
      <c r="Z66" s="566">
        <v>1.08</v>
      </c>
      <c r="AA66" s="348">
        <f>'Proy 2021 vs 2019 Sem'!IY30*Z66</f>
        <v>81278.441495999999</v>
      </c>
      <c r="AG66" s="566">
        <v>1.08</v>
      </c>
      <c r="AH66" s="348">
        <f>'Proy 2021 vs 2019 Sem'!JD30*AG66</f>
        <v>109823.79470400001</v>
      </c>
      <c r="AN66" s="566">
        <v>1.08</v>
      </c>
      <c r="AO66" s="348">
        <f>'Proy 2021 vs 2019 Sem'!JI30*AN66</f>
        <v>115259.37109200002</v>
      </c>
      <c r="AU66" s="566">
        <v>1.08</v>
      </c>
      <c r="AV66" s="348">
        <f>'Proy 2021 vs 2019 Sem'!JN30*AU66</f>
        <v>129477.785472</v>
      </c>
      <c r="BB66" s="566">
        <v>1.08</v>
      </c>
      <c r="BC66" s="348">
        <f>'Proy 2021 vs 2019 Sem'!JX30*BB66</f>
        <v>131804.39232000001</v>
      </c>
      <c r="BI66" s="566">
        <v>1.08</v>
      </c>
      <c r="BJ66" s="348">
        <f>'Proy 2021 vs 2019 Sem'!KC30*BI66</f>
        <v>164143.584</v>
      </c>
      <c r="BP66" s="566">
        <v>1.08</v>
      </c>
      <c r="BQ66" s="348">
        <f>'Proy 2021 vs 2019 Sem'!KH30*BP66</f>
        <v>244019.15366400004</v>
      </c>
      <c r="BW66" s="566">
        <v>1.08</v>
      </c>
      <c r="BX66" s="348">
        <f>'Proy 2021 vs 2019 Sem'!KM30*BW66</f>
        <v>348276.61821600003</v>
      </c>
      <c r="CD66" s="566">
        <v>1.08</v>
      </c>
      <c r="CE66" s="348">
        <f>'Proy 2021 vs 2019 Sem'!KR30*CD66</f>
        <v>111183.239304</v>
      </c>
    </row>
    <row r="67" spans="1:83">
      <c r="A67" s="685" t="s">
        <v>231</v>
      </c>
      <c r="J67" s="566">
        <v>1.08</v>
      </c>
      <c r="K67" s="348">
        <f>'Proy 2021 vs 2019 Sem'!IK31*J67</f>
        <v>23180.449536</v>
      </c>
      <c r="L67" s="348"/>
      <c r="R67" s="566">
        <v>1.08</v>
      </c>
      <c r="S67" s="348">
        <f>'Proy 2021 vs 2019 Sem'!IP31*R67</f>
        <v>19080.747720000003</v>
      </c>
      <c r="T67" s="348"/>
      <c r="Z67" s="566">
        <v>1.08</v>
      </c>
      <c r="AA67" s="348">
        <f>'Proy 2021 vs 2019 Sem'!IY31*Z67</f>
        <v>15272.859420000001</v>
      </c>
      <c r="AG67" s="566">
        <v>1.08</v>
      </c>
      <c r="AH67" s="348">
        <f>'Proy 2021 vs 2019 Sem'!JD31*AG67</f>
        <v>25066.140120000004</v>
      </c>
      <c r="AN67" s="566">
        <v>1.08</v>
      </c>
      <c r="AO67" s="348">
        <f>'Proy 2021 vs 2019 Sem'!JI31*AN67</f>
        <v>27232.465140000008</v>
      </c>
      <c r="AU67" s="566">
        <v>1.08</v>
      </c>
      <c r="AV67" s="348">
        <f>'Proy 2021 vs 2019 Sem'!JN31*AU67</f>
        <v>30933.447480000003</v>
      </c>
      <c r="BB67" s="566">
        <v>1.08</v>
      </c>
      <c r="BC67" s="348">
        <f>'Proy 2021 vs 2019 Sem'!JX31*BB67</f>
        <v>36968.970240000002</v>
      </c>
      <c r="BI67" s="566">
        <v>1.08</v>
      </c>
      <c r="BJ67" s="348">
        <f>'Proy 2021 vs 2019 Sem'!KC31*BI67</f>
        <v>76135.800959999993</v>
      </c>
      <c r="BP67" s="566">
        <v>1.08</v>
      </c>
      <c r="BQ67" s="348">
        <f>'Proy 2021 vs 2019 Sem'!KH31*BP67</f>
        <v>94803.320160000003</v>
      </c>
      <c r="BW67" s="566">
        <v>1.08</v>
      </c>
      <c r="BX67" s="348">
        <f>'Proy 2021 vs 2019 Sem'!KM31*BW67</f>
        <v>125752.44654</v>
      </c>
      <c r="CD67" s="566">
        <v>1.08</v>
      </c>
      <c r="CE67" s="348">
        <f>'Proy 2021 vs 2019 Sem'!KR31*CD67</f>
        <v>33819.00174</v>
      </c>
    </row>
    <row r="68" spans="1:83">
      <c r="A68" s="685" t="s">
        <v>232</v>
      </c>
      <c r="J68" s="566">
        <v>1.08</v>
      </c>
      <c r="K68" s="348">
        <f>'Proy 2021 vs 2019 Sem'!IK32*J68</f>
        <v>31940.74944</v>
      </c>
      <c r="L68" s="348"/>
      <c r="R68" s="566">
        <v>1.08</v>
      </c>
      <c r="S68" s="348">
        <f>'Proy 2021 vs 2019 Sem'!IP32*R68</f>
        <v>34158.66552000001</v>
      </c>
      <c r="T68" s="348"/>
      <c r="Z68" s="566">
        <v>1.08</v>
      </c>
      <c r="AA68" s="348">
        <f>'Proy 2021 vs 2019 Sem'!IY32*Z68</f>
        <v>29465.987544000003</v>
      </c>
      <c r="AG68" s="566">
        <v>1.08</v>
      </c>
      <c r="AH68" s="348">
        <f>'Proy 2021 vs 2019 Sem'!JD32*AG68</f>
        <v>31183.902288000001</v>
      </c>
      <c r="AN68" s="566">
        <v>1.08</v>
      </c>
      <c r="AO68" s="348">
        <f>'Proy 2021 vs 2019 Sem'!JI32*AN68</f>
        <v>37152.247968000003</v>
      </c>
      <c r="AU68" s="566">
        <v>1.08</v>
      </c>
      <c r="AV68" s="348">
        <f>'Proy 2021 vs 2019 Sem'!JN32*AU68</f>
        <v>31467.732120000004</v>
      </c>
      <c r="BB68" s="566">
        <v>1.08</v>
      </c>
      <c r="BC68" s="348">
        <f>'Proy 2021 vs 2019 Sem'!JX32*BB68</f>
        <v>48284.204760000008</v>
      </c>
      <c r="BI68" s="566">
        <v>1.08</v>
      </c>
      <c r="BJ68" s="348">
        <f>'Proy 2021 vs 2019 Sem'!KC32*BI68</f>
        <v>47900.272860000005</v>
      </c>
      <c r="BP68" s="566">
        <v>1.08</v>
      </c>
      <c r="BQ68" s="348">
        <f>'Proy 2021 vs 2019 Sem'!KH32*BP68</f>
        <v>61503.211440000006</v>
      </c>
      <c r="BW68" s="566">
        <v>1.08</v>
      </c>
      <c r="BX68" s="348">
        <f>'Proy 2021 vs 2019 Sem'!KM32*BW68</f>
        <v>112146.30144000001</v>
      </c>
      <c r="CD68" s="566">
        <v>1.08</v>
      </c>
      <c r="CE68" s="348">
        <f>'Proy 2021 vs 2019 Sem'!KR32*CD68</f>
        <v>48914.325359999995</v>
      </c>
    </row>
    <row r="69" spans="1:83">
      <c r="A69" s="685" t="s">
        <v>233</v>
      </c>
      <c r="J69" s="566">
        <v>1.08</v>
      </c>
      <c r="K69" s="348">
        <f>'Proy 2021 vs 2019 Sem'!IK33*J69</f>
        <v>24490.771199999999</v>
      </c>
      <c r="L69" s="348"/>
      <c r="R69" s="566">
        <v>1.08</v>
      </c>
      <c r="S69" s="348">
        <f>'Proy 2021 vs 2019 Sem'!IP33*R69</f>
        <v>29604.207132000003</v>
      </c>
      <c r="T69" s="348"/>
      <c r="Z69" s="566">
        <v>1.08</v>
      </c>
      <c r="AA69" s="348">
        <f>'Proy 2021 vs 2019 Sem'!IY33*Z69</f>
        <v>33685.77132</v>
      </c>
      <c r="AG69" s="566">
        <v>1.08</v>
      </c>
      <c r="AH69" s="348">
        <f>'Proy 2021 vs 2019 Sem'!JD33*AG69</f>
        <v>40555.109160000007</v>
      </c>
      <c r="AN69" s="566">
        <v>1.08</v>
      </c>
      <c r="AO69" s="348">
        <f>'Proy 2021 vs 2019 Sem'!JI33*AN69</f>
        <v>58518.993240000003</v>
      </c>
      <c r="AU69" s="566">
        <v>1.08</v>
      </c>
      <c r="AV69" s="348">
        <f>'Proy 2021 vs 2019 Sem'!JN33*AU69</f>
        <v>48906.192420000007</v>
      </c>
      <c r="BB69" s="566">
        <v>1.08</v>
      </c>
      <c r="BC69" s="348">
        <f>'Proy 2021 vs 2019 Sem'!JX33*BB69</f>
        <v>42598.18134000001</v>
      </c>
      <c r="BI69" s="566">
        <v>1.08</v>
      </c>
      <c r="BJ69" s="348">
        <f>'Proy 2021 vs 2019 Sem'!KC33*BI69</f>
        <v>56917.79280000001</v>
      </c>
      <c r="BP69" s="566">
        <v>1.08</v>
      </c>
      <c r="BQ69" s="348">
        <f>'Proy 2021 vs 2019 Sem'!KH33*BP69</f>
        <v>68281.63056000002</v>
      </c>
      <c r="BW69" s="566">
        <v>1.08</v>
      </c>
      <c r="BX69" s="348">
        <f>'Proy 2021 vs 2019 Sem'!KM33*BW69</f>
        <v>155393.08531200001</v>
      </c>
      <c r="CD69" s="566">
        <v>1.08</v>
      </c>
      <c r="CE69" s="348">
        <f>'Proy 2021 vs 2019 Sem'!KR33*CD69</f>
        <v>57057.644160000003</v>
      </c>
    </row>
    <row r="70" spans="1:83">
      <c r="A70" s="685" t="s">
        <v>37</v>
      </c>
      <c r="J70" s="566">
        <v>1.08</v>
      </c>
      <c r="K70" s="348">
        <f>'Proy 2021 vs 2019 Sem'!IK34*J70</f>
        <v>43704.571680000008</v>
      </c>
      <c r="L70" s="348"/>
      <c r="R70" s="566">
        <v>1.08</v>
      </c>
      <c r="S70" s="348">
        <f>'Proy 2021 vs 2019 Sem'!IP34*R70</f>
        <v>50617.937016000003</v>
      </c>
      <c r="T70" s="348"/>
      <c r="Z70" s="566">
        <v>1.08</v>
      </c>
      <c r="AA70" s="348">
        <f>'Proy 2021 vs 2019 Sem'!IY34*Z70</f>
        <v>51270.476039999994</v>
      </c>
      <c r="AG70" s="566">
        <v>1.08</v>
      </c>
      <c r="AH70" s="348">
        <f>'Proy 2021 vs 2019 Sem'!JD34*AG70</f>
        <v>81427.52016</v>
      </c>
      <c r="AN70" s="566">
        <v>1.08</v>
      </c>
      <c r="AO70" s="348">
        <f>'Proy 2021 vs 2019 Sem'!JI34*AN70</f>
        <v>87890.246208000011</v>
      </c>
      <c r="AU70" s="566">
        <v>1.08</v>
      </c>
      <c r="AV70" s="348">
        <f>'Proy 2021 vs 2019 Sem'!JN34*AU70</f>
        <v>65597.360976000011</v>
      </c>
      <c r="BB70" s="566">
        <v>1.08</v>
      </c>
      <c r="BC70" s="348">
        <f>'Proy 2021 vs 2019 Sem'!JX34*BB70</f>
        <v>89355.572280000008</v>
      </c>
      <c r="BI70" s="566">
        <v>1.08</v>
      </c>
      <c r="BJ70" s="348">
        <f>'Proy 2021 vs 2019 Sem'!KC34*BI70</f>
        <v>128433.80628000002</v>
      </c>
      <c r="BP70" s="566">
        <v>1.08</v>
      </c>
      <c r="BQ70" s="348">
        <f>'Proy 2021 vs 2019 Sem'!KH34*BP70</f>
        <v>145189.87938</v>
      </c>
      <c r="BW70" s="566">
        <v>1.08</v>
      </c>
      <c r="BX70" s="348">
        <f>'Proy 2021 vs 2019 Sem'!KM34*BW70</f>
        <v>263674.57132800005</v>
      </c>
      <c r="CD70" s="566">
        <v>1.08</v>
      </c>
      <c r="CE70" s="348">
        <f>'Proy 2021 vs 2019 Sem'!KR34*CD70</f>
        <v>68870.502720000004</v>
      </c>
    </row>
    <row r="71" spans="1:83">
      <c r="K71" s="544">
        <f>SUM(K42:K70)</f>
        <v>2720698.159608</v>
      </c>
      <c r="L71" s="544"/>
      <c r="S71" s="544">
        <f>SUM(S42:S70)</f>
        <v>3330472.1146199992</v>
      </c>
      <c r="T71" s="544"/>
      <c r="AA71" s="544">
        <f>SUM(AA42:AA70)</f>
        <v>2602903.1185080004</v>
      </c>
      <c r="AG71" s="544"/>
      <c r="AH71" s="544">
        <f>SUM(AH42:AH70)</f>
        <v>3419765.4142080005</v>
      </c>
      <c r="AO71" s="544">
        <f>SUM(AO42:AO70)</f>
        <v>4040122.4201160008</v>
      </c>
      <c r="AV71" s="544">
        <f>SUM(AV42:AV70)</f>
        <v>3937093.1059679999</v>
      </c>
      <c r="BC71" s="544">
        <f>SUM(BC42:BC70)</f>
        <v>4964951.241431999</v>
      </c>
      <c r="BJ71" s="544">
        <f>SUM(BJ42:BJ70)</f>
        <v>6250962.0119039994</v>
      </c>
      <c r="BQ71" s="544">
        <f>SUM(BQ42:BQ70)</f>
        <v>8286266.3248439999</v>
      </c>
      <c r="BX71" s="544">
        <f>SUM(BX42:BX70)</f>
        <v>12446707.543128001</v>
      </c>
      <c r="CE71" s="544">
        <f>SUM(CE42:CE70)</f>
        <v>3010951.2851280011</v>
      </c>
    </row>
  </sheetData>
  <pageMargins left="0.7" right="0.7" top="0.75" bottom="0.75" header="0.3" footer="0.3"/>
  <pageSetup fitToHeight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9110A-0BED-482F-BA0F-D4C8DC76A69B}">
  <dimension ref="B1:DE31"/>
  <sheetViews>
    <sheetView workbookViewId="0">
      <pane xSplit="12" ySplit="3" topLeftCell="R4" activePane="bottomRight" state="frozen"/>
      <selection pane="bottomRight" activeCell="U4" sqref="U4"/>
      <selection pane="bottomLeft"/>
      <selection pane="topRight"/>
    </sheetView>
  </sheetViews>
  <sheetFormatPr defaultColWidth="9.140625" defaultRowHeight="15" outlineLevelCol="1"/>
  <cols>
    <col min="1" max="1" width="5.140625" customWidth="1"/>
    <col min="2" max="2" width="12.140625" bestFit="1" customWidth="1"/>
    <col min="3" max="4" width="13.85546875" hidden="1" customWidth="1"/>
    <col min="5" max="5" width="12.140625" hidden="1" customWidth="1"/>
    <col min="6" max="6" width="13.85546875" hidden="1" customWidth="1"/>
    <col min="7" max="7" width="14.85546875" hidden="1" customWidth="1"/>
    <col min="8" max="12" width="14.85546875" hidden="1" customWidth="1" outlineLevel="1"/>
    <col min="13" max="13" width="14.85546875" style="497" bestFit="1" customWidth="1" collapsed="1"/>
    <col min="14" max="17" width="14.85546875" hidden="1" customWidth="1" outlineLevel="1"/>
    <col min="18" max="18" width="14.85546875" style="497" bestFit="1" customWidth="1" collapsed="1"/>
    <col min="19" max="22" width="14.85546875" hidden="1" customWidth="1" outlineLevel="1"/>
    <col min="23" max="23" width="14.85546875" style="497" bestFit="1" customWidth="1" collapsed="1"/>
    <col min="24" max="28" width="14.85546875" hidden="1" customWidth="1" outlineLevel="1"/>
    <col min="29" max="29" width="14.85546875" style="497" bestFit="1" customWidth="1" collapsed="1"/>
    <col min="30" max="33" width="14.85546875" customWidth="1" outlineLevel="1"/>
    <col min="34" max="34" width="14.85546875" style="497" bestFit="1" customWidth="1"/>
    <col min="35" max="38" width="14.85546875" hidden="1" customWidth="1" outlineLevel="1"/>
    <col min="39" max="39" width="14.85546875" style="497" bestFit="1" customWidth="1" collapsed="1"/>
    <col min="40" max="44" width="14.85546875" hidden="1" customWidth="1" outlineLevel="1"/>
    <col min="45" max="45" width="14.85546875" style="497" bestFit="1" customWidth="1" collapsed="1"/>
    <col min="46" max="49" width="14.85546875" hidden="1" customWidth="1" outlineLevel="1"/>
    <col min="50" max="50" width="13.85546875" style="497" bestFit="1" customWidth="1" collapsed="1"/>
    <col min="51" max="54" width="13.85546875" hidden="1" customWidth="1" outlineLevel="1"/>
    <col min="55" max="55" width="14.85546875" style="497" bestFit="1" customWidth="1" collapsed="1"/>
    <col min="56" max="60" width="14.85546875" hidden="1" customWidth="1" outlineLevel="1"/>
    <col min="61" max="61" width="14.85546875" style="497" bestFit="1" customWidth="1" collapsed="1"/>
    <col min="62" max="65" width="14.85546875" hidden="1" customWidth="1" outlineLevel="1"/>
    <col min="66" max="66" width="14.85546875" style="497" bestFit="1" customWidth="1" collapsed="1"/>
    <col min="67" max="70" width="14.85546875" hidden="1" customWidth="1" outlineLevel="1"/>
    <col min="71" max="71" width="9.140625" style="497" collapsed="1"/>
    <col min="72" max="76" width="9.140625" hidden="1" customWidth="1" outlineLevel="1"/>
    <col min="77" max="77" width="9.140625" style="497" collapsed="1"/>
    <col min="78" max="81" width="9.140625" hidden="1" customWidth="1" outlineLevel="1"/>
    <col min="82" max="82" width="9.140625" style="497" collapsed="1"/>
    <col min="83" max="86" width="9.140625" hidden="1" customWidth="1" outlineLevel="1"/>
    <col min="87" max="87" width="9.140625" style="497" collapsed="1"/>
    <col min="88" max="92" width="9.140625" hidden="1" customWidth="1" outlineLevel="1"/>
    <col min="93" max="93" width="9.140625" style="497" collapsed="1"/>
    <col min="94" max="97" width="9.140625" hidden="1" customWidth="1" outlineLevel="1"/>
    <col min="98" max="98" width="9.140625" style="497" collapsed="1"/>
    <col min="99" max="102" width="9.140625" hidden="1" customWidth="1" outlineLevel="1"/>
    <col min="103" max="103" width="9.140625" style="497" collapsed="1"/>
    <col min="104" max="108" width="9.140625" hidden="1" customWidth="1" outlineLevel="1"/>
    <col min="109" max="109" width="9.140625" style="497" collapsed="1"/>
  </cols>
  <sheetData>
    <row r="1" spans="2:109">
      <c r="H1" s="1866">
        <f>'Proy 2021 vs 2019 Sem'!EW3</f>
        <v>0.81539351101059032</v>
      </c>
      <c r="I1" s="1866"/>
      <c r="J1" s="1866"/>
      <c r="K1" s="1866"/>
      <c r="L1" s="1866"/>
      <c r="M1" s="1866"/>
      <c r="N1" s="1866">
        <f>'Proy 2021 vs 2019 Sem'!FU3</f>
        <v>0.84692886068341444</v>
      </c>
      <c r="O1" s="1866"/>
      <c r="P1" s="1866"/>
      <c r="Q1" s="1866"/>
      <c r="R1" s="1866"/>
      <c r="S1" s="1866">
        <f>'Proy 2021 vs 2019 Sem'!GS3</f>
        <v>0.82477526448609451</v>
      </c>
      <c r="T1" s="1866"/>
      <c r="U1" s="1866"/>
      <c r="V1" s="1866"/>
      <c r="W1" s="1866"/>
      <c r="X1" s="1866">
        <f>'Proy 2021 vs 2019 Sem'!HV3</f>
        <v>0.79461826585195716</v>
      </c>
      <c r="Y1" s="1866"/>
      <c r="Z1" s="1866"/>
      <c r="AA1" s="1866"/>
      <c r="AB1" s="1866"/>
      <c r="AC1" s="1866"/>
      <c r="AD1" s="1866">
        <f>'Proy 2021 vs 2019 Sem'!IT3</f>
        <v>0.8272751580942812</v>
      </c>
      <c r="AE1" s="1866"/>
      <c r="AF1" s="1866"/>
      <c r="AG1" s="1866"/>
      <c r="AH1" s="1866"/>
      <c r="AI1" s="1866">
        <f>'Proy 2021 vs 2019 Sem'!JS3</f>
        <v>0.90217239802489813</v>
      </c>
      <c r="AJ1" s="1866"/>
      <c r="AK1" s="1866"/>
      <c r="AL1" s="1866"/>
      <c r="AM1" s="1866"/>
      <c r="AN1" s="1866">
        <f>'Proy 2021 vs 2019 Sem'!KV3</f>
        <v>0.95962035322184069</v>
      </c>
      <c r="AO1" s="1866"/>
      <c r="AP1" s="1866"/>
      <c r="AQ1" s="1866"/>
      <c r="AR1" s="1866"/>
      <c r="AS1" s="1866"/>
      <c r="AT1" s="1866">
        <f>'Proy 2022 vs 2019 sem'!W3</f>
        <v>0.99642289404045847</v>
      </c>
      <c r="AU1" s="1866"/>
      <c r="AV1" s="1866"/>
      <c r="AW1" s="1866"/>
      <c r="AX1" s="1866"/>
      <c r="AY1" s="1866">
        <f>'Proy 2022 vs 2019 sem'!AU3</f>
        <v>1.0017643407011398</v>
      </c>
      <c r="AZ1" s="1866"/>
      <c r="BA1" s="1866"/>
      <c r="BB1" s="1866"/>
      <c r="BC1" s="1866"/>
      <c r="BD1" s="1866">
        <f>'Proy 2022 vs 2019 sem'!BX3</f>
        <v>1.0017664377825779</v>
      </c>
      <c r="BE1" s="1866"/>
      <c r="BF1" s="1866"/>
      <c r="BG1" s="1866"/>
      <c r="BH1" s="1866"/>
      <c r="BI1" s="1866"/>
      <c r="BJ1" s="1866">
        <f>'Proy 2022 vs 2019 sem'!CV3</f>
        <v>0.99710318235620821</v>
      </c>
      <c r="BK1" s="1866"/>
      <c r="BL1" s="1866"/>
      <c r="BM1" s="1866"/>
      <c r="BN1" s="1866"/>
      <c r="BO1" s="1866">
        <f>'Proy 2022 vs 2019 sem'!DT3</f>
        <v>0.99934931854843578</v>
      </c>
      <c r="BP1" s="1866"/>
      <c r="BQ1" s="1866"/>
      <c r="BR1" s="1866"/>
      <c r="BS1" s="1866"/>
      <c r="BT1" s="1866">
        <f>'Proy 2022 vs 2019 sem'!EW3</f>
        <v>0.99951189238214544</v>
      </c>
      <c r="BU1" s="1866"/>
      <c r="BV1" s="1866"/>
      <c r="BW1" s="1866"/>
      <c r="BX1" s="1866"/>
      <c r="BY1" s="1866"/>
      <c r="BZ1" s="1866">
        <f>'Proy 2022 vs 2019 sem'!FU3</f>
        <v>0.99758246273116424</v>
      </c>
      <c r="CA1" s="1866"/>
      <c r="CB1" s="1866"/>
      <c r="CC1" s="1866"/>
      <c r="CD1" s="1866"/>
      <c r="CE1" s="1866">
        <f>'Proy 2022 vs 2019 sem'!GS3</f>
        <v>1.0013460693377629</v>
      </c>
      <c r="CF1" s="1866"/>
      <c r="CG1" s="1866"/>
      <c r="CH1" s="1866"/>
      <c r="CI1" s="1866"/>
      <c r="CJ1" s="1866">
        <f>'Proy 2022 vs 2019 sem'!HV3</f>
        <v>1.0009510144538907</v>
      </c>
      <c r="CK1" s="1866"/>
      <c r="CL1" s="1866"/>
      <c r="CM1" s="1866"/>
      <c r="CN1" s="1866"/>
      <c r="CO1" s="1866"/>
      <c r="CP1" s="1866">
        <f>'Proy 2022 vs 2019 sem'!IT3</f>
        <v>1.0048235380064243</v>
      </c>
      <c r="CQ1" s="1866"/>
      <c r="CR1" s="1866"/>
      <c r="CS1" s="1866"/>
      <c r="CT1" s="1866"/>
      <c r="CU1" s="1866">
        <f>'Proy 2022 vs 2019 sem'!JR3</f>
        <v>1.0010029385287584</v>
      </c>
      <c r="CV1" s="1866"/>
      <c r="CW1" s="1866"/>
      <c r="CX1" s="1866"/>
      <c r="CY1" s="1866"/>
      <c r="CZ1" s="1866">
        <f>'Proy 2022 vs 2019 sem'!KU3</f>
        <v>0.99660606474036961</v>
      </c>
      <c r="DA1" s="1866"/>
      <c r="DB1" s="1866"/>
      <c r="DC1" s="1866"/>
      <c r="DD1" s="1866"/>
      <c r="DE1" s="1866"/>
    </row>
    <row r="2" spans="2:109">
      <c r="C2" s="534">
        <v>44197</v>
      </c>
      <c r="D2" s="534">
        <v>44228</v>
      </c>
      <c r="E2" s="534">
        <v>44256</v>
      </c>
      <c r="F2" s="534">
        <v>44287</v>
      </c>
      <c r="G2" s="534">
        <v>44317</v>
      </c>
      <c r="H2" s="1868">
        <v>44348</v>
      </c>
      <c r="I2" s="1868"/>
      <c r="J2" s="1868"/>
      <c r="K2" s="1868"/>
      <c r="L2" s="1868"/>
      <c r="M2" s="1868"/>
      <c r="N2" s="1867">
        <v>44378</v>
      </c>
      <c r="O2" s="1867"/>
      <c r="P2" s="1867"/>
      <c r="Q2" s="1867"/>
      <c r="R2" s="1867"/>
      <c r="S2" s="1868">
        <v>44409</v>
      </c>
      <c r="T2" s="1868"/>
      <c r="U2" s="1868"/>
      <c r="V2" s="1868"/>
      <c r="W2" s="1868"/>
      <c r="X2" s="1867">
        <v>44440</v>
      </c>
      <c r="Y2" s="1867"/>
      <c r="Z2" s="1867"/>
      <c r="AA2" s="1867"/>
      <c r="AB2" s="1867"/>
      <c r="AC2" s="1867"/>
      <c r="AD2" s="1868">
        <v>44470</v>
      </c>
      <c r="AE2" s="1868"/>
      <c r="AF2" s="1868"/>
      <c r="AG2" s="1868"/>
      <c r="AH2" s="1868"/>
      <c r="AI2" s="1867">
        <v>44501</v>
      </c>
      <c r="AJ2" s="1867"/>
      <c r="AK2" s="1867"/>
      <c r="AL2" s="1867"/>
      <c r="AM2" s="1867"/>
      <c r="AN2" s="1868">
        <v>44531</v>
      </c>
      <c r="AO2" s="1868"/>
      <c r="AP2" s="1868"/>
      <c r="AQ2" s="1868"/>
      <c r="AR2" s="1868"/>
      <c r="AS2" s="1868"/>
      <c r="AT2" s="1867">
        <v>44562</v>
      </c>
      <c r="AU2" s="1867"/>
      <c r="AV2" s="1867"/>
      <c r="AW2" s="1867"/>
      <c r="AX2" s="1867"/>
      <c r="AY2" s="1868">
        <v>44593</v>
      </c>
      <c r="AZ2" s="1868"/>
      <c r="BA2" s="1868"/>
      <c r="BB2" s="1868"/>
      <c r="BC2" s="1868"/>
      <c r="BD2" s="1867">
        <v>44621</v>
      </c>
      <c r="BE2" s="1867"/>
      <c r="BF2" s="1867"/>
      <c r="BG2" s="1867"/>
      <c r="BH2" s="1867"/>
      <c r="BI2" s="1867"/>
      <c r="BJ2" s="1868">
        <v>44652</v>
      </c>
      <c r="BK2" s="1868"/>
      <c r="BL2" s="1868"/>
      <c r="BM2" s="1868"/>
      <c r="BN2" s="1868"/>
      <c r="BO2" s="1867">
        <v>44682</v>
      </c>
      <c r="BP2" s="1867"/>
      <c r="BQ2" s="1867"/>
      <c r="BR2" s="1867"/>
      <c r="BS2" s="1867"/>
      <c r="BT2" s="1868">
        <v>44713</v>
      </c>
      <c r="BU2" s="1868"/>
      <c r="BV2" s="1868"/>
      <c r="BW2" s="1868"/>
      <c r="BX2" s="1868"/>
      <c r="BY2" s="1868"/>
      <c r="BZ2" s="1867">
        <v>44743</v>
      </c>
      <c r="CA2" s="1867"/>
      <c r="CB2" s="1867"/>
      <c r="CC2" s="1867"/>
      <c r="CD2" s="1867"/>
      <c r="CE2" s="1868">
        <v>44774</v>
      </c>
      <c r="CF2" s="1868"/>
      <c r="CG2" s="1868"/>
      <c r="CH2" s="1868"/>
      <c r="CI2" s="1868"/>
      <c r="CJ2" s="1867">
        <v>44805</v>
      </c>
      <c r="CK2" s="1867"/>
      <c r="CL2" s="1867"/>
      <c r="CM2" s="1867"/>
      <c r="CN2" s="1867"/>
      <c r="CO2" s="1867"/>
      <c r="CP2" s="1868">
        <v>44835</v>
      </c>
      <c r="CQ2" s="1868"/>
      <c r="CR2" s="1868"/>
      <c r="CS2" s="1868"/>
      <c r="CT2" s="1868"/>
      <c r="CU2" s="1867">
        <v>44866</v>
      </c>
      <c r="CV2" s="1867"/>
      <c r="CW2" s="1867"/>
      <c r="CX2" s="1867"/>
      <c r="CY2" s="1867"/>
      <c r="CZ2" s="1868">
        <v>44896</v>
      </c>
      <c r="DA2" s="1868"/>
      <c r="DB2" s="1868"/>
      <c r="DC2" s="1868"/>
      <c r="DD2" s="1868"/>
      <c r="DE2" s="1868"/>
    </row>
    <row r="3" spans="2:109">
      <c r="C3" s="534"/>
      <c r="D3" s="534"/>
      <c r="E3" s="534"/>
      <c r="F3" s="534"/>
      <c r="G3" s="534"/>
      <c r="H3" s="674" t="s">
        <v>196</v>
      </c>
      <c r="I3" s="1562" t="s">
        <v>197</v>
      </c>
      <c r="J3" s="674" t="s">
        <v>198</v>
      </c>
      <c r="K3" s="1562" t="s">
        <v>199</v>
      </c>
      <c r="L3" s="674" t="s">
        <v>200</v>
      </c>
      <c r="M3" s="968"/>
      <c r="N3" s="674" t="s">
        <v>201</v>
      </c>
      <c r="O3" s="1562" t="s">
        <v>202</v>
      </c>
      <c r="P3" s="674" t="s">
        <v>203</v>
      </c>
      <c r="Q3" s="1562" t="s">
        <v>204</v>
      </c>
      <c r="R3" s="967"/>
      <c r="S3" s="674" t="s">
        <v>205</v>
      </c>
      <c r="T3" s="1562" t="s">
        <v>206</v>
      </c>
      <c r="U3" s="674" t="s">
        <v>207</v>
      </c>
      <c r="V3" s="1562" t="s">
        <v>208</v>
      </c>
      <c r="W3" s="968"/>
      <c r="X3" s="674" t="s">
        <v>209</v>
      </c>
      <c r="Y3" s="1562" t="s">
        <v>210</v>
      </c>
      <c r="Z3" s="674" t="s">
        <v>211</v>
      </c>
      <c r="AA3" s="1562" t="s">
        <v>212</v>
      </c>
      <c r="AB3" s="674" t="s">
        <v>213</v>
      </c>
      <c r="AC3" s="967"/>
      <c r="AD3" s="674" t="s">
        <v>214</v>
      </c>
      <c r="AE3" s="1562" t="s">
        <v>215</v>
      </c>
      <c r="AF3" s="674" t="s">
        <v>216</v>
      </c>
      <c r="AG3" s="1562" t="s">
        <v>217</v>
      </c>
      <c r="AH3" s="968"/>
      <c r="AI3" s="674" t="s">
        <v>218</v>
      </c>
      <c r="AJ3" s="1562" t="s">
        <v>219</v>
      </c>
      <c r="AK3" s="674" t="s">
        <v>220</v>
      </c>
      <c r="AL3" s="1562" t="s">
        <v>221</v>
      </c>
      <c r="AM3" s="967"/>
      <c r="AN3" s="674" t="s">
        <v>222</v>
      </c>
      <c r="AO3" s="1562" t="s">
        <v>223</v>
      </c>
      <c r="AP3" s="674" t="s">
        <v>224</v>
      </c>
      <c r="AQ3" s="1562" t="s">
        <v>225</v>
      </c>
      <c r="AR3" s="674" t="s">
        <v>226</v>
      </c>
      <c r="AS3" s="968"/>
      <c r="AT3" s="674" t="s">
        <v>175</v>
      </c>
      <c r="AU3" s="1562" t="s">
        <v>176</v>
      </c>
      <c r="AV3" s="674" t="s">
        <v>177</v>
      </c>
      <c r="AW3" s="1562" t="s">
        <v>178</v>
      </c>
      <c r="AX3" s="967"/>
      <c r="AY3" s="674" t="s">
        <v>179</v>
      </c>
      <c r="AZ3" s="1562" t="s">
        <v>180</v>
      </c>
      <c r="BA3" s="674" t="s">
        <v>181</v>
      </c>
      <c r="BB3" s="1562" t="s">
        <v>182</v>
      </c>
      <c r="BC3" s="968"/>
      <c r="BD3" s="674" t="s">
        <v>183</v>
      </c>
      <c r="BE3" s="1562" t="s">
        <v>184</v>
      </c>
      <c r="BF3" s="674" t="s">
        <v>185</v>
      </c>
      <c r="BG3" s="1562" t="s">
        <v>186</v>
      </c>
      <c r="BH3" s="674" t="s">
        <v>187</v>
      </c>
      <c r="BI3" s="967"/>
      <c r="BJ3" s="674" t="s">
        <v>188</v>
      </c>
      <c r="BK3" s="1562" t="s">
        <v>189</v>
      </c>
      <c r="BL3" s="674" t="s">
        <v>190</v>
      </c>
      <c r="BM3" s="1562" t="s">
        <v>191</v>
      </c>
      <c r="BN3" s="968"/>
      <c r="BO3" s="674" t="s">
        <v>192</v>
      </c>
      <c r="BP3" s="1562" t="s">
        <v>193</v>
      </c>
      <c r="BQ3" s="674" t="s">
        <v>194</v>
      </c>
      <c r="BR3" s="1562" t="s">
        <v>195</v>
      </c>
      <c r="BS3" s="967"/>
      <c r="BT3" s="972" t="s">
        <v>196</v>
      </c>
      <c r="BU3" s="973" t="s">
        <v>197</v>
      </c>
      <c r="BV3" s="972" t="s">
        <v>198</v>
      </c>
      <c r="BW3" s="973" t="s">
        <v>199</v>
      </c>
      <c r="BX3" s="972" t="s">
        <v>200</v>
      </c>
      <c r="BY3" s="968"/>
      <c r="BZ3" s="972" t="s">
        <v>201</v>
      </c>
      <c r="CA3" s="973" t="s">
        <v>202</v>
      </c>
      <c r="CB3" s="972" t="s">
        <v>203</v>
      </c>
      <c r="CC3" s="973" t="s">
        <v>204</v>
      </c>
      <c r="CD3" s="967"/>
      <c r="CE3" s="972" t="s">
        <v>205</v>
      </c>
      <c r="CF3" s="973" t="s">
        <v>206</v>
      </c>
      <c r="CG3" s="972" t="s">
        <v>207</v>
      </c>
      <c r="CH3" s="973" t="s">
        <v>208</v>
      </c>
      <c r="CI3" s="968"/>
      <c r="CJ3" s="972" t="s">
        <v>209</v>
      </c>
      <c r="CK3" s="973" t="s">
        <v>210</v>
      </c>
      <c r="CL3" s="972" t="s">
        <v>211</v>
      </c>
      <c r="CM3" s="973" t="s">
        <v>212</v>
      </c>
      <c r="CN3" s="972" t="s">
        <v>213</v>
      </c>
      <c r="CO3" s="967"/>
      <c r="CP3" s="972" t="s">
        <v>214</v>
      </c>
      <c r="CQ3" s="973" t="s">
        <v>215</v>
      </c>
      <c r="CR3" s="972" t="s">
        <v>216</v>
      </c>
      <c r="CS3" s="973" t="s">
        <v>217</v>
      </c>
      <c r="CT3" s="968"/>
      <c r="CU3" s="972" t="s">
        <v>218</v>
      </c>
      <c r="CV3" s="973" t="s">
        <v>219</v>
      </c>
      <c r="CW3" s="972" t="s">
        <v>220</v>
      </c>
      <c r="CX3" s="973" t="s">
        <v>221</v>
      </c>
      <c r="CY3" s="967"/>
      <c r="CZ3" s="972" t="s">
        <v>222</v>
      </c>
      <c r="DA3" s="973" t="s">
        <v>223</v>
      </c>
      <c r="DB3" s="972" t="s">
        <v>224</v>
      </c>
      <c r="DC3" s="973" t="s">
        <v>225</v>
      </c>
      <c r="DD3" s="972" t="s">
        <v>226</v>
      </c>
      <c r="DE3" s="968"/>
    </row>
    <row r="4" spans="2:109">
      <c r="B4" s="423" t="s">
        <v>38</v>
      </c>
      <c r="C4" s="563" t="e">
        <f>#REF!/1000</f>
        <v>#REF!</v>
      </c>
      <c r="D4" s="563" t="e">
        <f>#REF!/1000</f>
        <v>#REF!</v>
      </c>
      <c r="E4" s="563" t="e">
        <f>#REF!/1000</f>
        <v>#REF!</v>
      </c>
      <c r="F4" s="563" t="e">
        <f>#REF!/1000</f>
        <v>#REF!</v>
      </c>
      <c r="G4" s="563" t="e">
        <f>#REF!/1000</f>
        <v>#REF!</v>
      </c>
      <c r="H4" s="563">
        <f>'Proy 2021 vs 2019 Sem'!DY35/1000</f>
        <v>2487.9248596973948</v>
      </c>
      <c r="I4" s="563">
        <f>'Proy 2021 vs 2019 Sem'!ED35/1000</f>
        <v>2779.5537993424091</v>
      </c>
      <c r="J4" s="563">
        <f>'Proy 2021 vs 2019 Sem'!EI35/1000</f>
        <v>2684.3117442500006</v>
      </c>
      <c r="K4" s="563">
        <f>'Proy 2021 vs 2019 Sem'!EN35/1000</f>
        <v>2725.5309027999997</v>
      </c>
      <c r="L4" s="563">
        <f>'Proy 2021 vs 2019 Sem'!ES35/1000</f>
        <v>2267.4668025999999</v>
      </c>
      <c r="M4" s="958">
        <f>SUM(H4:L4)</f>
        <v>12944.788108689803</v>
      </c>
      <c r="N4" s="563">
        <f>'Proy 2021 vs 2019 Sem'!FB35/1000</f>
        <v>2447.1453114999999</v>
      </c>
      <c r="O4" s="563">
        <f>'Proy 2021 vs 2019 Sem'!FG35/1000</f>
        <v>2682.1376944199997</v>
      </c>
      <c r="P4" s="563">
        <f>'Proy 2021 vs 2019 Sem'!FL35/1000</f>
        <v>2563.7899207199998</v>
      </c>
      <c r="Q4" s="563">
        <f>'Proy 2021 vs 2019 Sem'!FQ35/1000</f>
        <v>2541.1007580800001</v>
      </c>
      <c r="R4" s="958">
        <f>SUM(N4:Q4)</f>
        <v>10234.173684719999</v>
      </c>
      <c r="S4" s="563">
        <f>'Proy 2021 vs 2019 Sem'!FZ35/1000</f>
        <v>2425.9694023899997</v>
      </c>
      <c r="T4" s="563">
        <f>'Proy 2021 vs 2019 Sem'!GE35/1000</f>
        <v>2592.4092866850001</v>
      </c>
      <c r="U4" s="563">
        <f>'Proy 2021 vs 2019 Sem'!GJ35/1000</f>
        <v>2415.6773264749995</v>
      </c>
      <c r="V4" s="563">
        <f>'Proy 2021 vs 2019 Sem'!GO35/1000</f>
        <v>2190.5101763000002</v>
      </c>
      <c r="W4" s="958">
        <f>SUM(S4:V4)</f>
        <v>9624.5661918499991</v>
      </c>
      <c r="X4" s="563">
        <f>'Proy 2021 vs 2019 Sem'!GX35/1000</f>
        <v>2305.7294539999998</v>
      </c>
      <c r="Y4" s="563">
        <f>'Proy 2021 vs 2019 Sem'!HC35/1000</f>
        <v>2317.2304850499995</v>
      </c>
      <c r="Z4" s="563">
        <f>'Proy 2021 vs 2019 Sem'!HH35/1000</f>
        <v>2226.3145519000004</v>
      </c>
      <c r="AA4" s="563">
        <f>'Proy 2021 vs 2019 Sem'!HM35/1000</f>
        <v>2155.7717040349999</v>
      </c>
      <c r="AB4" s="563">
        <f>'Proy 2021 vs 2019 Sem'!HR35/1000</f>
        <v>2286.4655982499999</v>
      </c>
      <c r="AC4" s="958">
        <f>SUM(X4:AB4)</f>
        <v>11291.511793235</v>
      </c>
      <c r="AD4" s="563">
        <f>'Proy 2021 vs 2019 Sem'!IA35/1000</f>
        <v>2089.5633084000006</v>
      </c>
      <c r="AE4" s="563">
        <f>'Proy 2021 vs 2019 Sem'!IF35/1000</f>
        <v>2344.1100363</v>
      </c>
      <c r="AF4" s="563">
        <f>'Proy 2021 vs 2019 Sem'!IK35/1000</f>
        <v>2519.1649626000003</v>
      </c>
      <c r="AG4" s="563">
        <f>'Proy 2021 vs 2019 Sem'!IP35/1000</f>
        <v>3083.7704765000003</v>
      </c>
      <c r="AH4" s="958">
        <f>SUM(AD4:AG4)</f>
        <v>10036.6087838</v>
      </c>
      <c r="AI4" s="563">
        <f>'Proy 2021 vs 2019 Sem'!IY35/1000</f>
        <v>2410.0954801000003</v>
      </c>
      <c r="AJ4" s="563">
        <f>'Proy 2021 vs 2019 Sem'!JD35/1000</f>
        <v>3166.4494575999993</v>
      </c>
      <c r="AK4" s="563">
        <f>'Proy 2021 vs 2019 Sem'!JI35/1000</f>
        <v>3740.8540927000008</v>
      </c>
      <c r="AL4" s="563">
        <f>'Proy 2021 vs 2019 Sem'!JN35/1000</f>
        <v>3645.4565795999993</v>
      </c>
      <c r="AM4" s="958">
        <f>SUM(AI4:AL4)</f>
        <v>12962.855609999999</v>
      </c>
      <c r="AN4" s="563">
        <f>'Proy 2021 vs 2019 Sem'!JX35/1000</f>
        <v>4597.1770754000008</v>
      </c>
      <c r="AO4" s="563">
        <f>'Proy 2021 vs 2019 Sem'!KC35/1000</f>
        <v>5787.9277888000006</v>
      </c>
      <c r="AP4" s="563">
        <f>'Proy 2021 vs 2019 Sem'!KH35/1000</f>
        <v>7672.4688192999984</v>
      </c>
      <c r="AQ4" s="563">
        <f>'Proy 2021 vs 2019 Sem'!KM35/1000</f>
        <v>11524.729206600001</v>
      </c>
      <c r="AR4" s="563">
        <f>'Proy 2021 vs 2019 Sem'!KR35/1000</f>
        <v>2787.9178566000005</v>
      </c>
      <c r="AS4" s="958">
        <f>SUM(AN4:AR4)</f>
        <v>32370.220746700001</v>
      </c>
      <c r="AT4" s="563">
        <f>'Proy 2022 vs 2019 sem'!D35/1000</f>
        <v>1952.1792859499997</v>
      </c>
      <c r="AU4" s="563">
        <f>'Proy 2022 vs 2019 sem'!I35/1000</f>
        <v>2032.4448092</v>
      </c>
      <c r="AV4" s="563">
        <f>'Proy 2022 vs 2019 sem'!N35/1000</f>
        <v>1981.1291597499999</v>
      </c>
      <c r="AW4" s="563">
        <f>'Proy 2022 vs 2019 sem'!S35/1000</f>
        <v>2022.2896890500001</v>
      </c>
      <c r="AX4" s="958">
        <f>SUM(AT4:AW4)</f>
        <v>7988.0429439499985</v>
      </c>
      <c r="AY4" s="563">
        <f>'Proy 2022 vs 2019 sem'!AB35/1000</f>
        <v>2082.0759787499996</v>
      </c>
      <c r="AZ4" s="563">
        <f>'Proy 2022 vs 2019 sem'!AG35/1000</f>
        <v>2736.4773965499999</v>
      </c>
      <c r="BA4" s="563">
        <f>'Proy 2022 vs 2019 sem'!AL35/1000</f>
        <v>1925.8317966249999</v>
      </c>
      <c r="BB4" s="563">
        <f>'Proy 2022 vs 2019 sem'!AQ35/1000</f>
        <v>2243.9382412200002</v>
      </c>
      <c r="BC4" s="958">
        <f>SUM(AY4:BB4)</f>
        <v>8988.3234131450008</v>
      </c>
      <c r="BD4" s="563">
        <f>'Proy 2022 vs 2019 sem'!AZ35/1000</f>
        <v>2202.2867936400003</v>
      </c>
      <c r="BE4" s="563">
        <f>'Proy 2022 vs 2019 sem'!BE35/1000</f>
        <v>2385.1245447000001</v>
      </c>
      <c r="BF4" s="563">
        <f>'Proy 2022 vs 2019 sem'!BJ35/1000</f>
        <v>2649.2809597400005</v>
      </c>
      <c r="BG4" s="563">
        <f>'Proy 2022 vs 2019 sem'!BO35/1000</f>
        <v>2519.4826335000002</v>
      </c>
      <c r="BH4" s="563">
        <f>'Proy 2022 vs 2019 sem'!BT35/1000</f>
        <v>2645.1453520599998</v>
      </c>
      <c r="BI4" s="958">
        <f>SUM(BD4:BH4)</f>
        <v>12401.320283640001</v>
      </c>
      <c r="BJ4" s="563">
        <f>'Proy 2022 vs 2019 sem'!CC35/1000</f>
        <v>2764.3378248800004</v>
      </c>
      <c r="BK4" s="563">
        <f>'Proy 2022 vs 2019 sem'!CH35/1000</f>
        <v>2926.0634939249999</v>
      </c>
      <c r="BL4" s="563">
        <f>'Proy 2022 vs 2019 sem'!CM35/1000</f>
        <v>2835.7538184</v>
      </c>
      <c r="BM4" s="563">
        <f>'Proy 2022 vs 2019 sem'!CR35/1000</f>
        <v>3368.5231468750003</v>
      </c>
      <c r="BN4" s="958">
        <f>SUM(BJ4:BM4)</f>
        <v>11894.678284080001</v>
      </c>
      <c r="BO4" s="563">
        <f>'Proy 2022 vs 2019 sem'!DA35/1000</f>
        <v>4005.3941361000007</v>
      </c>
      <c r="BP4" s="563">
        <f>'Proy 2022 vs 2019 sem'!DF35/1000</f>
        <v>2885.9743777499998</v>
      </c>
      <c r="BQ4" s="563">
        <f>'Proy 2022 vs 2019 sem'!DK35/1000</f>
        <v>2589.3692965999999</v>
      </c>
      <c r="BR4" s="563">
        <f>'Proy 2022 vs 2019 sem'!DP35/1000</f>
        <v>2580.1587198749994</v>
      </c>
      <c r="BS4" s="958">
        <f>SUM(BO4:BR4)</f>
        <v>12060.896530325001</v>
      </c>
      <c r="BT4" s="563">
        <f>'Proy 2022 vs 2019 sem'!DY35/1000</f>
        <v>2654.6269944999999</v>
      </c>
      <c r="BU4" s="563">
        <f>'Proy 2022 vs 2019 sem'!ED35/1000</f>
        <v>3050.7370074999994</v>
      </c>
      <c r="BV4" s="563">
        <f>'Proy 2022 vs 2019 sem'!EI35/1000</f>
        <v>3197.6742625300003</v>
      </c>
      <c r="BW4" s="563">
        <f>'Proy 2022 vs 2019 sem'!EN35/1000</f>
        <v>3405.6218741800003</v>
      </c>
      <c r="BX4" s="563">
        <f>'Proy 2022 vs 2019 sem'!ES35/1000</f>
        <v>3261.6429010400002</v>
      </c>
      <c r="BY4" s="958">
        <f>SUM(BT4:BX4)</f>
        <v>15570.303039750001</v>
      </c>
      <c r="BZ4" s="563">
        <f>'Proy 2022 vs 2019 sem'!FB35/1000</f>
        <v>2930.5775118400002</v>
      </c>
      <c r="CA4" s="563">
        <f>'Proy 2022 vs 2019 sem'!FG35/1000</f>
        <v>3036.3645083899996</v>
      </c>
      <c r="CB4" s="563">
        <f>'Proy 2022 vs 2019 sem'!FL35/1000</f>
        <v>2824.5232080000001</v>
      </c>
      <c r="CC4" s="563">
        <f>'Proy 2022 vs 2019 sem'!FQ35/1000</f>
        <v>2961.1656318199998</v>
      </c>
      <c r="CD4" s="958">
        <f>SUM(BZ4:CC4)</f>
        <v>11752.63086005</v>
      </c>
      <c r="CE4" s="563">
        <f>'Proy 2022 vs 2019 sem'!FZ35/1000</f>
        <v>2825.1440570099994</v>
      </c>
      <c r="CF4" s="563">
        <f>'Proy 2022 vs 2019 sem'!GE35/1000</f>
        <v>2719.6000347150002</v>
      </c>
      <c r="CG4" s="563">
        <f>'Proy 2022 vs 2019 sem'!GJ35/1000</f>
        <v>2777.3629264999995</v>
      </c>
      <c r="CH4" s="563">
        <f>'Proy 2022 vs 2019 sem'!GO35/1000</f>
        <v>2696.9631350199993</v>
      </c>
      <c r="CI4" s="958">
        <f>SUM(CE4:CH4)</f>
        <v>11019.070153244998</v>
      </c>
      <c r="CJ4" s="563">
        <f>'Proy 2022 vs 2019 sem'!GX35/1000</f>
        <v>2709.8969999999999</v>
      </c>
      <c r="CK4" s="563">
        <f>'Proy 2022 vs 2019 sem'!HC35/1000</f>
        <v>2690.867679</v>
      </c>
      <c r="CL4" s="563">
        <f>'Proy 2022 vs 2019 sem'!HH35/1000</f>
        <v>2536.4275024999993</v>
      </c>
      <c r="CM4" s="563">
        <f>'Proy 2022 vs 2019 sem'!HM35/1000</f>
        <v>2506.0888890000001</v>
      </c>
      <c r="CN4" s="563">
        <f>'Proy 2022 vs 2019 sem'!HR35/1000</f>
        <v>2652.4532404000006</v>
      </c>
      <c r="CO4" s="958">
        <f>SUM(CJ4:CN4)</f>
        <v>13095.734310899999</v>
      </c>
      <c r="CP4" s="563">
        <f>'Proy 2022 vs 2019 sem'!IA35/1000</f>
        <v>2448.7177572000001</v>
      </c>
      <c r="CQ4" s="563">
        <f>'Proy 2022 vs 2019 sem'!IF35/1000</f>
        <v>2679.7506715300001</v>
      </c>
      <c r="CR4" s="563">
        <f>'Proy 2022 vs 2019 sem'!IK35/1000</f>
        <v>2889.1227866000013</v>
      </c>
      <c r="CS4" s="563">
        <f>'Proy 2022 vs 2019 sem'!IP35/1000</f>
        <v>3444.0586604999994</v>
      </c>
      <c r="CT4" s="958">
        <f>SUM(CP4:CS4)</f>
        <v>11461.64987583</v>
      </c>
      <c r="CU4" s="563">
        <f>'Proy 2022 vs 2019 sem'!IY35/1000</f>
        <v>2521.0375205000005</v>
      </c>
      <c r="CV4" s="563">
        <f>'Proy 2022 vs 2019 sem'!JD35/1000</f>
        <v>3183.1043901200001</v>
      </c>
      <c r="CW4" s="563">
        <f>'Proy 2022 vs 2019 sem'!JI35/1000</f>
        <v>3837.8289169999994</v>
      </c>
      <c r="CX4" s="563">
        <f>'Proy 2022 vs 2019 sem'!JN35/1000</f>
        <v>4012.0760059999993</v>
      </c>
      <c r="CY4" s="958">
        <f>SUM(CU4:CX4)</f>
        <v>13554.046833619999</v>
      </c>
      <c r="CZ4" s="563">
        <f>'Proy 2022 vs 2019 sem'!JW35/1000</f>
        <v>5375.5637740399989</v>
      </c>
      <c r="DA4" s="563">
        <f>'Proy 2022 vs 2019 sem'!KB35/1000</f>
        <v>6665.2786087800014</v>
      </c>
      <c r="DB4" s="563">
        <f>'Proy 2022 vs 2019 sem'!KG35/1000</f>
        <v>8740.8475965249982</v>
      </c>
      <c r="DC4" s="563">
        <f>'Proy 2022 vs 2019 sem'!KL35/1000</f>
        <v>7632.5476292500025</v>
      </c>
      <c r="DD4" s="563">
        <f>'Proy 2022 vs 2019 sem'!KQ35/1000</f>
        <v>2715.7928969300001</v>
      </c>
      <c r="DE4" s="958">
        <f>SUM(CZ4:DD4)</f>
        <v>31130.030505525003</v>
      </c>
    </row>
    <row r="6" spans="2:109">
      <c r="B6" s="969" t="s">
        <v>488</v>
      </c>
      <c r="C6" s="461"/>
      <c r="D6" s="461"/>
      <c r="E6" s="461"/>
      <c r="F6" s="461"/>
      <c r="G6" s="461"/>
      <c r="H6" s="1869"/>
      <c r="I6" s="1869"/>
      <c r="J6" s="1869"/>
      <c r="K6" s="1869"/>
      <c r="L6" s="1869"/>
      <c r="M6" s="1869"/>
      <c r="N6" s="1870"/>
      <c r="O6" s="1870"/>
      <c r="P6" s="1870"/>
      <c r="Q6" s="1870"/>
      <c r="R6" s="1870"/>
      <c r="S6" s="970"/>
      <c r="T6" s="970"/>
      <c r="U6" s="970"/>
      <c r="V6" s="970"/>
      <c r="W6" s="970"/>
      <c r="X6" s="970"/>
      <c r="Y6" s="970"/>
      <c r="Z6" s="970"/>
      <c r="AA6" s="970"/>
      <c r="AB6" s="970"/>
      <c r="AC6" s="970"/>
      <c r="AD6" s="970"/>
      <c r="AE6" s="970"/>
      <c r="AF6" s="970"/>
      <c r="AG6" s="970"/>
      <c r="AH6" s="970"/>
      <c r="AI6" s="970"/>
      <c r="AJ6" s="970"/>
      <c r="AK6" s="970"/>
      <c r="AL6" s="970"/>
      <c r="AM6" s="970"/>
      <c r="AN6" s="971"/>
      <c r="AO6" s="971"/>
      <c r="AP6" s="971"/>
      <c r="AQ6" s="971"/>
      <c r="AR6" s="971"/>
      <c r="AS6" s="970"/>
      <c r="AT6" s="971"/>
      <c r="AU6" s="971"/>
      <c r="AV6" s="971"/>
      <c r="AW6" s="971"/>
      <c r="AX6" s="970"/>
      <c r="AY6" s="971"/>
      <c r="AZ6" s="971"/>
      <c r="BA6" s="971"/>
      <c r="BB6" s="971"/>
      <c r="BC6" s="970"/>
      <c r="BD6" s="971"/>
      <c r="BE6" s="971"/>
      <c r="BF6" s="971"/>
      <c r="BG6" s="971"/>
      <c r="BH6" s="971"/>
      <c r="BI6" s="971"/>
      <c r="BJ6" s="971"/>
      <c r="BK6" s="971"/>
      <c r="BL6" s="971"/>
      <c r="BM6" s="971"/>
      <c r="BN6" s="970"/>
      <c r="BO6" s="971"/>
      <c r="BP6" s="971"/>
      <c r="BQ6" s="971"/>
      <c r="BR6" s="971"/>
      <c r="BS6" s="970"/>
      <c r="BT6" s="971"/>
      <c r="BU6" s="971"/>
      <c r="BV6" s="971"/>
      <c r="BW6" s="971"/>
      <c r="BX6" s="971"/>
      <c r="BY6" s="970"/>
      <c r="BZ6" s="971"/>
      <c r="CA6" s="971"/>
      <c r="CB6" s="971"/>
      <c r="CC6" s="971"/>
      <c r="CD6" s="970"/>
      <c r="CE6" s="971"/>
      <c r="CF6" s="971"/>
      <c r="CG6" s="971"/>
      <c r="CH6" s="971"/>
      <c r="CI6" s="970"/>
      <c r="CJ6" s="971"/>
      <c r="CK6" s="971"/>
      <c r="CL6" s="971"/>
      <c r="CM6" s="971"/>
      <c r="CN6" s="971"/>
      <c r="CO6" s="970"/>
      <c r="CP6" s="971"/>
      <c r="CQ6" s="971"/>
      <c r="CR6" s="971"/>
      <c r="CS6" s="971"/>
      <c r="CT6" s="970"/>
      <c r="CU6" s="971"/>
      <c r="CV6" s="971"/>
      <c r="CW6" s="971"/>
      <c r="CX6" s="971"/>
      <c r="CY6" s="970"/>
      <c r="CZ6" s="971"/>
      <c r="DA6" s="971"/>
      <c r="DB6" s="971"/>
      <c r="DC6" s="971"/>
      <c r="DD6" s="971"/>
      <c r="DE6" s="970"/>
    </row>
    <row r="7" spans="2:109">
      <c r="B7" s="471" t="s">
        <v>489</v>
      </c>
      <c r="C7" s="468" t="e">
        <f>C4*0.5</f>
        <v>#REF!</v>
      </c>
      <c r="D7" s="468" t="e">
        <f t="shared" ref="D7:BN7" si="0">D4*0.5</f>
        <v>#REF!</v>
      </c>
      <c r="E7" s="468" t="e">
        <f t="shared" si="0"/>
        <v>#REF!</v>
      </c>
      <c r="F7" s="468" t="e">
        <f t="shared" si="0"/>
        <v>#REF!</v>
      </c>
      <c r="G7" s="468" t="e">
        <f t="shared" si="0"/>
        <v>#REF!</v>
      </c>
      <c r="H7" s="468">
        <f>H4*0.5</f>
        <v>1243.9624298486974</v>
      </c>
      <c r="I7" s="468">
        <f>I4*0.5</f>
        <v>1389.7768996712045</v>
      </c>
      <c r="J7" s="468">
        <f>J4*0.5</f>
        <v>1342.1558721250003</v>
      </c>
      <c r="K7" s="468">
        <f>K4*0.5</f>
        <v>1362.7654513999998</v>
      </c>
      <c r="L7" s="468">
        <f>L4*0.5</f>
        <v>1133.7334013</v>
      </c>
      <c r="M7" s="963">
        <f>SUM(I7:L7)</f>
        <v>5228.4316244962047</v>
      </c>
      <c r="N7" s="468">
        <f>N4*0.5</f>
        <v>1223.57265575</v>
      </c>
      <c r="O7" s="468">
        <f>O4*0.5</f>
        <v>1341.0688472099998</v>
      </c>
      <c r="P7" s="468">
        <f>P4*0.5</f>
        <v>1281.8949603599999</v>
      </c>
      <c r="Q7" s="468">
        <f>Q4*0.5</f>
        <v>1270.5503790400001</v>
      </c>
      <c r="R7" s="963">
        <f>SUM(N7:Q7)</f>
        <v>5117.0868423599995</v>
      </c>
      <c r="S7" s="468">
        <f>S4*0.5</f>
        <v>1212.9847011949998</v>
      </c>
      <c r="T7" s="468">
        <f>T4*0.5</f>
        <v>1296.2046433425</v>
      </c>
      <c r="U7" s="468">
        <f>U4*0.5</f>
        <v>1207.8386632374998</v>
      </c>
      <c r="V7" s="468">
        <f>V4*0.5</f>
        <v>1095.2550881500001</v>
      </c>
      <c r="W7" s="963">
        <f t="shared" ref="W7:W11" si="1">SUM(S7:V7)</f>
        <v>4812.2830959249995</v>
      </c>
      <c r="X7" s="468">
        <f>X4*0.5</f>
        <v>1152.8647269999999</v>
      </c>
      <c r="Y7" s="468">
        <f>Y4*0.5</f>
        <v>1158.6152425249998</v>
      </c>
      <c r="Z7" s="468">
        <f>Z4*0.5</f>
        <v>1113.1572759500002</v>
      </c>
      <c r="AA7" s="468">
        <f>AA4*0.5</f>
        <v>1077.8858520174999</v>
      </c>
      <c r="AB7" s="468">
        <f>AB4*0.5</f>
        <v>1143.2327991249999</v>
      </c>
      <c r="AC7" s="963">
        <f>SUM(X7:AB7)</f>
        <v>5645.7558966175002</v>
      </c>
      <c r="AD7" s="468">
        <f>AD4*0.5</f>
        <v>1044.7816542000003</v>
      </c>
      <c r="AE7" s="468">
        <f>AE4*0.5</f>
        <v>1172.05501815</v>
      </c>
      <c r="AF7" s="468">
        <f>AF4*0.5</f>
        <v>1259.5824813000002</v>
      </c>
      <c r="AG7" s="468">
        <f>AG4*0.5</f>
        <v>1541.8852382500002</v>
      </c>
      <c r="AH7" s="963">
        <f>SUM(AD7:AG7)</f>
        <v>5018.3043919000002</v>
      </c>
      <c r="AI7" s="468">
        <f>AI4*0.5</f>
        <v>1205.0477400500001</v>
      </c>
      <c r="AJ7" s="468">
        <f>AJ4*0.5</f>
        <v>1583.2247287999996</v>
      </c>
      <c r="AK7" s="468">
        <f>AK4*0.5</f>
        <v>1870.4270463500004</v>
      </c>
      <c r="AL7" s="468">
        <f>AL4*0.5</f>
        <v>1822.7282897999996</v>
      </c>
      <c r="AM7" s="963">
        <f t="shared" ref="AM7:AM11" si="2">SUM(AI7:AL7)</f>
        <v>6481.4278049999994</v>
      </c>
      <c r="AN7" s="468">
        <f>AN4*0.5</f>
        <v>2298.5885377000004</v>
      </c>
      <c r="AO7" s="468">
        <f>AO4*0.5</f>
        <v>2893.9638944000003</v>
      </c>
      <c r="AP7" s="468">
        <f>AP4*0.5</f>
        <v>3836.2344096499992</v>
      </c>
      <c r="AQ7" s="468">
        <f>AQ4*0.5</f>
        <v>5762.3646033000005</v>
      </c>
      <c r="AR7" s="468">
        <f>AR4*0.5</f>
        <v>1393.9589283000003</v>
      </c>
      <c r="AS7" s="963">
        <f>SUM(AN7:AR7)</f>
        <v>16185.11037335</v>
      </c>
      <c r="AT7" s="468">
        <f>AT4*0.5</f>
        <v>976.08964297499983</v>
      </c>
      <c r="AU7" s="468">
        <f>AU4*0.5</f>
        <v>1016.2224046</v>
      </c>
      <c r="AV7" s="468">
        <f>AV4*0.5</f>
        <v>990.56457987499994</v>
      </c>
      <c r="AW7" s="468">
        <f>AW4*0.5</f>
        <v>1011.1448445250001</v>
      </c>
      <c r="AX7" s="963">
        <f>SUM(AT7:AW7)</f>
        <v>3994.0214719749993</v>
      </c>
      <c r="AY7" s="468">
        <f>AY4*0.5</f>
        <v>1041.0379893749998</v>
      </c>
      <c r="AZ7" s="468">
        <f>AZ4*0.5</f>
        <v>1368.2386982749999</v>
      </c>
      <c r="BA7" s="468">
        <f>BA4*0.5</f>
        <v>962.91589831249996</v>
      </c>
      <c r="BB7" s="468">
        <f>BB4*0.5</f>
        <v>1121.9691206100001</v>
      </c>
      <c r="BC7" s="963">
        <f t="shared" ref="BC7:BC11" si="3">SUM(AY7:BB7)</f>
        <v>4494.1617065725004</v>
      </c>
      <c r="BD7" s="468">
        <f>BD4*0.5</f>
        <v>1101.1433968200001</v>
      </c>
      <c r="BE7" s="468">
        <f>BE4*0.5</f>
        <v>1192.5622723500001</v>
      </c>
      <c r="BF7" s="468">
        <f>BF4*0.5</f>
        <v>1324.6404798700003</v>
      </c>
      <c r="BG7" s="468">
        <f>BG4*0.5</f>
        <v>1259.7413167500001</v>
      </c>
      <c r="BH7" s="468">
        <f>BH4*0.5</f>
        <v>1322.5726760299999</v>
      </c>
      <c r="BI7" s="963">
        <f>SUM(BD7:BH7)</f>
        <v>6200.6601418200007</v>
      </c>
      <c r="BJ7" s="468">
        <f>BJ4*0.5</f>
        <v>1382.1689124400002</v>
      </c>
      <c r="BK7" s="468">
        <f>BK4*0.5</f>
        <v>1463.0317469624999</v>
      </c>
      <c r="BL7" s="468">
        <f>BL4*0.5</f>
        <v>1417.8769092</v>
      </c>
      <c r="BM7" s="468">
        <f>BM4*0.5</f>
        <v>1684.2615734375001</v>
      </c>
      <c r="BN7" s="963">
        <f>SUM(BJ7:BM7)</f>
        <v>5947.3391420400003</v>
      </c>
      <c r="BO7" s="468">
        <f>BO4*0.5</f>
        <v>2002.6970680500003</v>
      </c>
      <c r="BP7" s="468">
        <f>BP4*0.5</f>
        <v>1442.9871888749999</v>
      </c>
      <c r="BQ7" s="468">
        <f>BQ4*0.5</f>
        <v>1294.6846482999999</v>
      </c>
      <c r="BR7" s="468">
        <f>BR4*0.5</f>
        <v>1290.0793599374997</v>
      </c>
      <c r="BS7" s="963">
        <f t="shared" ref="BS7:BS11" si="4">SUM(BO7:BR7)</f>
        <v>6030.4482651625003</v>
      </c>
      <c r="BT7" s="468">
        <f>BT4*0.5</f>
        <v>1327.31349725</v>
      </c>
      <c r="BU7" s="468">
        <f>BU4*0.5</f>
        <v>1525.3685037499997</v>
      </c>
      <c r="BV7" s="468">
        <f>BV4*0.5</f>
        <v>1598.8371312650002</v>
      </c>
      <c r="BW7" s="468">
        <f>BW4*0.5</f>
        <v>1702.8109370900002</v>
      </c>
      <c r="BX7" s="468">
        <f>BX4*0.5</f>
        <v>1630.8214505200001</v>
      </c>
      <c r="BY7" s="963">
        <f>SUM(BT7:BX7)</f>
        <v>7785.1515198750003</v>
      </c>
      <c r="BZ7" s="468">
        <f>BZ4*0.5</f>
        <v>1465.2887559200001</v>
      </c>
      <c r="CA7" s="468">
        <f>CA4*0.5</f>
        <v>1518.1822541949998</v>
      </c>
      <c r="CB7" s="468">
        <f>CB4*0.5</f>
        <v>1412.261604</v>
      </c>
      <c r="CC7" s="468">
        <f>CC4*0.5</f>
        <v>1480.5828159099999</v>
      </c>
      <c r="CD7" s="963">
        <f>SUM(BZ7:CC7)</f>
        <v>5876.3154300249998</v>
      </c>
      <c r="CE7" s="468">
        <f>CE4*0.5</f>
        <v>1412.5720285049997</v>
      </c>
      <c r="CF7" s="468">
        <f>CF4*0.5</f>
        <v>1359.8000173575001</v>
      </c>
      <c r="CG7" s="468">
        <f>CG4*0.5</f>
        <v>1388.6814632499998</v>
      </c>
      <c r="CH7" s="468">
        <f>CH4*0.5</f>
        <v>1348.4815675099996</v>
      </c>
      <c r="CI7" s="963">
        <f t="shared" ref="CI7:CI11" si="5">SUM(CE7:CH7)</f>
        <v>5509.5350766224992</v>
      </c>
      <c r="CJ7" s="468">
        <f>CJ4*0.5</f>
        <v>1354.9485</v>
      </c>
      <c r="CK7" s="468">
        <f>CK4*0.5</f>
        <v>1345.4338395</v>
      </c>
      <c r="CL7" s="468">
        <f>CL4*0.5</f>
        <v>1268.2137512499996</v>
      </c>
      <c r="CM7" s="468">
        <f>CM4*0.5</f>
        <v>1253.0444445000001</v>
      </c>
      <c r="CN7" s="468">
        <f>CN4*0.5</f>
        <v>1326.2266202000003</v>
      </c>
      <c r="CO7" s="963">
        <f>SUM(CJ7:CN7)</f>
        <v>6547.8671554499997</v>
      </c>
      <c r="CP7" s="468">
        <f>CP4*0.5</f>
        <v>1224.3588786</v>
      </c>
      <c r="CQ7" s="468">
        <f>CQ4*0.5</f>
        <v>1339.875335765</v>
      </c>
      <c r="CR7" s="468">
        <f>CR4*0.5</f>
        <v>1444.5613933000006</v>
      </c>
      <c r="CS7" s="468">
        <f>CS4*0.5</f>
        <v>1722.0293302499997</v>
      </c>
      <c r="CT7" s="963">
        <f>SUM(CP7:CS7)</f>
        <v>5730.8249379150002</v>
      </c>
      <c r="CU7" s="468">
        <f>CU4*0.5</f>
        <v>1260.5187602500002</v>
      </c>
      <c r="CV7" s="468">
        <f>CV4*0.5</f>
        <v>1591.55219506</v>
      </c>
      <c r="CW7" s="468">
        <f>CW4*0.5</f>
        <v>1918.9144584999997</v>
      </c>
      <c r="CX7" s="468">
        <f>CX4*0.5</f>
        <v>2006.0380029999997</v>
      </c>
      <c r="CY7" s="963">
        <f t="shared" ref="CY7:CY11" si="6">SUM(CU7:CX7)</f>
        <v>6777.0234168099996</v>
      </c>
      <c r="CZ7" s="468">
        <f>CZ4*0.5</f>
        <v>2687.7818870199994</v>
      </c>
      <c r="DA7" s="468">
        <f>DA4*0.5</f>
        <v>3332.6393043900007</v>
      </c>
      <c r="DB7" s="468">
        <f>DB4*0.5</f>
        <v>4370.4237982624991</v>
      </c>
      <c r="DC7" s="468">
        <f>DC4*0.5</f>
        <v>3816.2738146250013</v>
      </c>
      <c r="DD7" s="468">
        <f>DD4*0.5</f>
        <v>1357.896448465</v>
      </c>
      <c r="DE7" s="963">
        <f>SUM(CZ7:DD7)</f>
        <v>15565.015252762501</v>
      </c>
    </row>
    <row r="8" spans="2:109">
      <c r="B8" s="471" t="s">
        <v>490</v>
      </c>
      <c r="C8" s="469" t="e">
        <f>(C4*0.5)*0.1</f>
        <v>#REF!</v>
      </c>
      <c r="D8" s="469" t="e">
        <f t="shared" ref="D8:BN8" si="7">(D4*0.5)*0.1</f>
        <v>#REF!</v>
      </c>
      <c r="E8" s="469" t="e">
        <f t="shared" si="7"/>
        <v>#REF!</v>
      </c>
      <c r="F8" s="469" t="e">
        <f t="shared" si="7"/>
        <v>#REF!</v>
      </c>
      <c r="G8" s="469" t="e">
        <f t="shared" si="7"/>
        <v>#REF!</v>
      </c>
      <c r="H8" s="469">
        <f>(H4*0.5)*0.1</f>
        <v>124.39624298486974</v>
      </c>
      <c r="I8" s="469">
        <f>(I4*0.5)*0.1</f>
        <v>138.97768996712045</v>
      </c>
      <c r="J8" s="469">
        <f>(J4*0.5)*0.1</f>
        <v>134.21558721250003</v>
      </c>
      <c r="K8" s="469">
        <f>(K4*0.5)*0.1</f>
        <v>136.27654514</v>
      </c>
      <c r="L8" s="469">
        <f>(L4*0.5)*0.1</f>
        <v>113.37334013</v>
      </c>
      <c r="M8" s="565">
        <f t="shared" ref="M8:M11" si="8">SUM(I8:L8)</f>
        <v>522.84316244962054</v>
      </c>
      <c r="N8" s="469">
        <f>(N4*0.5)*0.1</f>
        <v>122.357265575</v>
      </c>
      <c r="O8" s="469">
        <f>(O4*0.5)*0.1</f>
        <v>134.106884721</v>
      </c>
      <c r="P8" s="469">
        <f>(P4*0.5)*0.1</f>
        <v>128.18949603600001</v>
      </c>
      <c r="Q8" s="469">
        <f>(Q4*0.5)*0.1</f>
        <v>127.05503790400002</v>
      </c>
      <c r="R8" s="565">
        <f t="shared" ref="R7:R11" si="9">SUM(N8:Q8)</f>
        <v>511.70868423600001</v>
      </c>
      <c r="S8" s="469">
        <f>(S4*0.5)*0.1</f>
        <v>121.2984701195</v>
      </c>
      <c r="T8" s="469">
        <f>(T4*0.5)*0.1</f>
        <v>129.62046433425002</v>
      </c>
      <c r="U8" s="469">
        <f>(U4*0.5)*0.1</f>
        <v>120.78386632374998</v>
      </c>
      <c r="V8" s="469">
        <f>(V4*0.5)*0.1</f>
        <v>109.52550881500002</v>
      </c>
      <c r="W8" s="565">
        <f t="shared" si="1"/>
        <v>481.22830959250001</v>
      </c>
      <c r="X8" s="469">
        <f>(X4*0.5)*0.1</f>
        <v>115.28647269999999</v>
      </c>
      <c r="Y8" s="469">
        <f>(Y4*0.5)*0.1</f>
        <v>115.86152425249998</v>
      </c>
      <c r="Z8" s="469">
        <f>(Z4*0.5)*0.1</f>
        <v>111.31572759500003</v>
      </c>
      <c r="AA8" s="469">
        <f>(AA4*0.5)*0.1</f>
        <v>107.78858520175</v>
      </c>
      <c r="AB8" s="469">
        <f>(AB4*0.5)*0.1</f>
        <v>114.3232799125</v>
      </c>
      <c r="AC8" s="963">
        <f t="shared" ref="AC8:AC11" si="10">SUM(X8:AB8)</f>
        <v>564.57558966174997</v>
      </c>
      <c r="AD8" s="469">
        <f>(AD4*0.5)*0.1</f>
        <v>104.47816542000004</v>
      </c>
      <c r="AE8" s="469">
        <f>(AE4*0.5)*0.1</f>
        <v>117.20550181500001</v>
      </c>
      <c r="AF8" s="469">
        <f>(AF4*0.5)*0.1</f>
        <v>125.95824813000002</v>
      </c>
      <c r="AG8" s="469">
        <f>(AG4*0.5)*0.1</f>
        <v>154.18852382500003</v>
      </c>
      <c r="AH8" s="565">
        <f t="shared" ref="AH8:AH11" si="11">SUM(AD8:AG8)</f>
        <v>501.83043919000011</v>
      </c>
      <c r="AI8" s="469">
        <f>(AI4*0.5)*0.1</f>
        <v>120.50477400500002</v>
      </c>
      <c r="AJ8" s="469">
        <f>(AJ4*0.5)*0.1</f>
        <v>158.32247287999996</v>
      </c>
      <c r="AK8" s="469">
        <f>(AK4*0.5)*0.1</f>
        <v>187.04270463500006</v>
      </c>
      <c r="AL8" s="469">
        <f>(AL4*0.5)*0.1</f>
        <v>182.27282897999999</v>
      </c>
      <c r="AM8" s="565">
        <f t="shared" si="2"/>
        <v>648.14278050000007</v>
      </c>
      <c r="AN8" s="469">
        <f>(AN4*0.5)*0.1</f>
        <v>229.85885377000005</v>
      </c>
      <c r="AO8" s="469">
        <f>(AO4*0.5)*0.1</f>
        <v>289.39638944000006</v>
      </c>
      <c r="AP8" s="469">
        <f>(AP4*0.5)*0.1</f>
        <v>383.62344096499993</v>
      </c>
      <c r="AQ8" s="469">
        <f>(AQ4*0.5)*0.1</f>
        <v>576.23646033000011</v>
      </c>
      <c r="AR8" s="469">
        <f>(AR4*0.5)*0.1</f>
        <v>139.39589283000004</v>
      </c>
      <c r="AS8" s="565">
        <f t="shared" ref="AS8:AS11" si="12">SUM(AN8:AR8)</f>
        <v>1618.5110373350001</v>
      </c>
      <c r="AT8" s="469">
        <f>(AT4*0.5)*0.1</f>
        <v>97.608964297499995</v>
      </c>
      <c r="AU8" s="469">
        <f>(AU4*0.5)*0.1</f>
        <v>101.62224046</v>
      </c>
      <c r="AV8" s="469">
        <f>(AV4*0.5)*0.1</f>
        <v>99.056457987499996</v>
      </c>
      <c r="AW8" s="469">
        <f>(AW4*0.5)*0.1</f>
        <v>101.11448445250001</v>
      </c>
      <c r="AX8" s="565">
        <f t="shared" ref="AX8:AX11" si="13">SUM(AT8:AW8)</f>
        <v>399.40214719749997</v>
      </c>
      <c r="AY8" s="469">
        <f>(AY4*0.5)*0.1</f>
        <v>104.10379893749999</v>
      </c>
      <c r="AZ8" s="469">
        <f>(AZ4*0.5)*0.1</f>
        <v>136.8238698275</v>
      </c>
      <c r="BA8" s="469">
        <f>(BA4*0.5)*0.1</f>
        <v>96.291589831250008</v>
      </c>
      <c r="BB8" s="469">
        <f>(BB4*0.5)*0.1</f>
        <v>112.19691206100002</v>
      </c>
      <c r="BC8" s="565">
        <f t="shared" si="3"/>
        <v>449.41617065725006</v>
      </c>
      <c r="BD8" s="469">
        <f>(BD4*0.5)*0.1</f>
        <v>110.11433968200002</v>
      </c>
      <c r="BE8" s="469">
        <f>(BE4*0.5)*0.1</f>
        <v>119.25622723500001</v>
      </c>
      <c r="BF8" s="469">
        <f>(BF4*0.5)*0.1</f>
        <v>132.46404798700004</v>
      </c>
      <c r="BG8" s="469">
        <f>(BG4*0.5)*0.1</f>
        <v>125.97413167500002</v>
      </c>
      <c r="BH8" s="469">
        <f>(BH4*0.5)*0.1</f>
        <v>132.257267603</v>
      </c>
      <c r="BI8" s="565">
        <f t="shared" ref="BI8:BI11" si="14">SUM(BD8:BH8)</f>
        <v>620.06601418200012</v>
      </c>
      <c r="BJ8" s="469">
        <f>(BJ4*0.5)*0.1</f>
        <v>138.21689124400004</v>
      </c>
      <c r="BK8" s="469">
        <f>(BK4*0.5)*0.1</f>
        <v>146.30317469625001</v>
      </c>
      <c r="BL8" s="469">
        <f>(BL4*0.5)*0.1</f>
        <v>141.78769092000002</v>
      </c>
      <c r="BM8" s="469">
        <f>(BM4*0.5)*0.1</f>
        <v>168.42615734375002</v>
      </c>
      <c r="BN8" s="565">
        <f t="shared" ref="BN8:BN11" si="15">SUM(BJ8:BM8)</f>
        <v>594.73391420400003</v>
      </c>
      <c r="BO8" s="469">
        <f>(BO4*0.5)*0.1</f>
        <v>200.26970680500006</v>
      </c>
      <c r="BP8" s="469">
        <f>(BP4*0.5)*0.1</f>
        <v>144.2987188875</v>
      </c>
      <c r="BQ8" s="469">
        <f>(BQ4*0.5)*0.1</f>
        <v>129.46846482999999</v>
      </c>
      <c r="BR8" s="469">
        <f>(BR4*0.5)*0.1</f>
        <v>129.00793599374998</v>
      </c>
      <c r="BS8" s="565">
        <f t="shared" si="4"/>
        <v>603.04482651624994</v>
      </c>
      <c r="BT8" s="469">
        <f>(BT4*0.5)*0.1</f>
        <v>132.731349725</v>
      </c>
      <c r="BU8" s="469">
        <f>(BU4*0.5)*0.1</f>
        <v>152.53685037499997</v>
      </c>
      <c r="BV8" s="469">
        <f>(BV4*0.5)*0.1</f>
        <v>159.88371312650003</v>
      </c>
      <c r="BW8" s="469">
        <f>(BW4*0.5)*0.1</f>
        <v>170.28109370900003</v>
      </c>
      <c r="BX8" s="469">
        <f>(BX4*0.5)*0.1</f>
        <v>163.08214505200002</v>
      </c>
      <c r="BY8" s="565">
        <f t="shared" ref="BY8:BY11" si="16">SUM(BT8:BX8)</f>
        <v>778.51515198749996</v>
      </c>
      <c r="BZ8" s="469">
        <f>(BZ4*0.5)*0.1</f>
        <v>146.52887559200002</v>
      </c>
      <c r="CA8" s="469">
        <f>(CA4*0.5)*0.1</f>
        <v>151.81822541949998</v>
      </c>
      <c r="CB8" s="469">
        <f>(CB4*0.5)*0.1</f>
        <v>141.2261604</v>
      </c>
      <c r="CC8" s="469">
        <f>(CC4*0.5)*0.1</f>
        <v>148.058281591</v>
      </c>
      <c r="CD8" s="565">
        <f t="shared" ref="CD8:CD11" si="17">SUM(BZ8:CC8)</f>
        <v>587.63154300249994</v>
      </c>
      <c r="CE8" s="469">
        <f>(CE4*0.5)*0.1</f>
        <v>141.25720285049997</v>
      </c>
      <c r="CF8" s="469">
        <f>(CF4*0.5)*0.1</f>
        <v>135.98000173575002</v>
      </c>
      <c r="CG8" s="469">
        <f>(CG4*0.5)*0.1</f>
        <v>138.86814632499997</v>
      </c>
      <c r="CH8" s="469">
        <f>(CH4*0.5)*0.1</f>
        <v>134.84815675099998</v>
      </c>
      <c r="CI8" s="565">
        <f t="shared" si="5"/>
        <v>550.95350766224988</v>
      </c>
      <c r="CJ8" s="469">
        <f>(CJ4*0.5)*0.1</f>
        <v>135.49485000000001</v>
      </c>
      <c r="CK8" s="469">
        <f>(CK4*0.5)*0.1</f>
        <v>134.54338394999999</v>
      </c>
      <c r="CL8" s="469">
        <f>(CL4*0.5)*0.1</f>
        <v>126.82137512499997</v>
      </c>
      <c r="CM8" s="469">
        <f>(CM4*0.5)*0.1</f>
        <v>125.30444445000001</v>
      </c>
      <c r="CN8" s="469">
        <f>(CN4*0.5)*0.1</f>
        <v>132.62266202000004</v>
      </c>
      <c r="CO8" s="565">
        <f t="shared" ref="CO8:CO11" si="18">SUM(CJ8:CN8)</f>
        <v>654.78671554499999</v>
      </c>
      <c r="CP8" s="469">
        <f>(CP4*0.5)*0.1</f>
        <v>122.43588786000001</v>
      </c>
      <c r="CQ8" s="469">
        <f>(CQ4*0.5)*0.1</f>
        <v>133.9875335765</v>
      </c>
      <c r="CR8" s="469">
        <f>(CR4*0.5)*0.1</f>
        <v>144.45613933000007</v>
      </c>
      <c r="CS8" s="469">
        <f>(CS4*0.5)*0.1</f>
        <v>172.20293302499999</v>
      </c>
      <c r="CT8" s="565">
        <f t="shared" ref="CT8:CT11" si="19">SUM(CP8:CS8)</f>
        <v>573.08249379150004</v>
      </c>
      <c r="CU8" s="469">
        <f>(CU4*0.5)*0.1</f>
        <v>126.05187602500003</v>
      </c>
      <c r="CV8" s="469">
        <f>(CV4*0.5)*0.1</f>
        <v>159.15521950600001</v>
      </c>
      <c r="CW8" s="469">
        <f>(CW4*0.5)*0.1</f>
        <v>191.89144584999997</v>
      </c>
      <c r="CX8" s="469">
        <f>(CX4*0.5)*0.1</f>
        <v>200.60380029999999</v>
      </c>
      <c r="CY8" s="565">
        <f t="shared" si="6"/>
        <v>677.70234168100001</v>
      </c>
      <c r="CZ8" s="469">
        <f>(CZ4*0.5)*0.1</f>
        <v>268.77818870199997</v>
      </c>
      <c r="DA8" s="469">
        <f>(DA4*0.5)*0.1</f>
        <v>333.26393043900009</v>
      </c>
      <c r="DB8" s="469">
        <f>(DB4*0.5)*0.1</f>
        <v>437.04237982624994</v>
      </c>
      <c r="DC8" s="469">
        <f>(DC4*0.5)*0.1</f>
        <v>381.62738146250013</v>
      </c>
      <c r="DD8" s="469">
        <f>(DD4*0.5)*0.1</f>
        <v>135.78964484650001</v>
      </c>
      <c r="DE8" s="565">
        <f t="shared" ref="DE8:DE11" si="20">SUM(CZ8:DD8)</f>
        <v>1556.5015252762503</v>
      </c>
    </row>
    <row r="9" spans="2:109">
      <c r="B9" s="471" t="s">
        <v>491</v>
      </c>
      <c r="C9" s="469" t="e">
        <f>(C4*0.5)*0.15</f>
        <v>#REF!</v>
      </c>
      <c r="D9" s="469" t="e">
        <f t="shared" ref="D9:BN9" si="21">(D4*0.5)*0.15</f>
        <v>#REF!</v>
      </c>
      <c r="E9" s="469" t="e">
        <f t="shared" si="21"/>
        <v>#REF!</v>
      </c>
      <c r="F9" s="469" t="e">
        <f t="shared" si="21"/>
        <v>#REF!</v>
      </c>
      <c r="G9" s="469" t="e">
        <f t="shared" si="21"/>
        <v>#REF!</v>
      </c>
      <c r="H9" s="469">
        <f>(H4*0.5)*0.15</f>
        <v>186.59436447730459</v>
      </c>
      <c r="I9" s="469">
        <f>(I4*0.5)*0.15</f>
        <v>208.46653495068068</v>
      </c>
      <c r="J9" s="469">
        <f>(J4*0.5)*0.15</f>
        <v>201.32338081875005</v>
      </c>
      <c r="K9" s="469">
        <f>(K4*0.5)*0.15</f>
        <v>204.41481770999997</v>
      </c>
      <c r="L9" s="469">
        <f>(L4*0.5)*0.15</f>
        <v>170.06001019499999</v>
      </c>
      <c r="M9" s="565">
        <f t="shared" si="8"/>
        <v>784.26474367443075</v>
      </c>
      <c r="N9" s="469">
        <f>(N4*0.5)*0.15</f>
        <v>183.53589836249998</v>
      </c>
      <c r="O9" s="469">
        <f>(O4*0.5)*0.15</f>
        <v>201.16032708149996</v>
      </c>
      <c r="P9" s="469">
        <f>(P4*0.5)*0.15</f>
        <v>192.28424405399997</v>
      </c>
      <c r="Q9" s="469">
        <f>(Q4*0.5)*0.15</f>
        <v>190.582556856</v>
      </c>
      <c r="R9" s="565">
        <f t="shared" si="9"/>
        <v>767.56302635399993</v>
      </c>
      <c r="S9" s="469">
        <f>(S4*0.5)*0.15</f>
        <v>181.94770517924997</v>
      </c>
      <c r="T9" s="469">
        <f>(T4*0.5)*0.15</f>
        <v>194.430696501375</v>
      </c>
      <c r="U9" s="469">
        <f>(U4*0.5)*0.15</f>
        <v>181.17579948562496</v>
      </c>
      <c r="V9" s="469">
        <f>(V4*0.5)*0.15</f>
        <v>164.28826322250001</v>
      </c>
      <c r="W9" s="565">
        <f t="shared" si="1"/>
        <v>721.84246438874993</v>
      </c>
      <c r="X9" s="469">
        <f>(X4*0.5)*0.15</f>
        <v>172.92970904999999</v>
      </c>
      <c r="Y9" s="469">
        <f>(Y4*0.5)*0.15</f>
        <v>173.79228637874996</v>
      </c>
      <c r="Z9" s="469">
        <f>(Z4*0.5)*0.15</f>
        <v>166.97359139250003</v>
      </c>
      <c r="AA9" s="469">
        <f>(AA4*0.5)*0.15</f>
        <v>161.68287780262497</v>
      </c>
      <c r="AB9" s="469">
        <f>(AB4*0.5)*0.15</f>
        <v>171.48491986874998</v>
      </c>
      <c r="AC9" s="963">
        <f t="shared" si="10"/>
        <v>846.86338449262496</v>
      </c>
      <c r="AD9" s="469">
        <f>(AD4*0.5)*0.15</f>
        <v>156.71724813000003</v>
      </c>
      <c r="AE9" s="469">
        <f>(AE4*0.5)*0.15</f>
        <v>175.80825272249999</v>
      </c>
      <c r="AF9" s="469">
        <f>(AF4*0.5)*0.15</f>
        <v>188.93737219500002</v>
      </c>
      <c r="AG9" s="469">
        <f>(AG4*0.5)*0.15</f>
        <v>231.28278573750001</v>
      </c>
      <c r="AH9" s="565">
        <f t="shared" si="11"/>
        <v>752.74565878500016</v>
      </c>
      <c r="AI9" s="469">
        <f>(AI4*0.5)*0.15</f>
        <v>180.7571610075</v>
      </c>
      <c r="AJ9" s="469">
        <f>(AJ4*0.5)*0.15</f>
        <v>237.48370931999995</v>
      </c>
      <c r="AK9" s="469">
        <f>(AK4*0.5)*0.15</f>
        <v>280.56405695250004</v>
      </c>
      <c r="AL9" s="469">
        <f>(AL4*0.5)*0.15</f>
        <v>273.40924346999992</v>
      </c>
      <c r="AM9" s="565">
        <f t="shared" si="2"/>
        <v>972.21417074999977</v>
      </c>
      <c r="AN9" s="469">
        <f>(AN4*0.5)*0.15</f>
        <v>344.78828065500005</v>
      </c>
      <c r="AO9" s="469">
        <f>(AO4*0.5)*0.15</f>
        <v>434.09458416000001</v>
      </c>
      <c r="AP9" s="469">
        <f>(AP4*0.5)*0.15</f>
        <v>575.43516144749981</v>
      </c>
      <c r="AQ9" s="469">
        <f>(AQ4*0.5)*0.15</f>
        <v>864.354690495</v>
      </c>
      <c r="AR9" s="469">
        <f>(AR4*0.5)*0.15</f>
        <v>209.09383924500003</v>
      </c>
      <c r="AS9" s="565">
        <f t="shared" si="12"/>
        <v>2427.7665560024998</v>
      </c>
      <c r="AT9" s="469">
        <f>(AT4*0.5)*0.15</f>
        <v>146.41344644624996</v>
      </c>
      <c r="AU9" s="469">
        <f>(AU4*0.5)*0.15</f>
        <v>152.43336069</v>
      </c>
      <c r="AV9" s="469">
        <f>(AV4*0.5)*0.15</f>
        <v>148.58468698124997</v>
      </c>
      <c r="AW9" s="469">
        <f>(AW4*0.5)*0.15</f>
        <v>151.67172667874999</v>
      </c>
      <c r="AX9" s="565">
        <f t="shared" si="13"/>
        <v>599.10322079624996</v>
      </c>
      <c r="AY9" s="469">
        <f>(AY4*0.5)*0.15</f>
        <v>156.15569840624997</v>
      </c>
      <c r="AZ9" s="469">
        <f>(AZ4*0.5)*0.15</f>
        <v>205.23580474124998</v>
      </c>
      <c r="BA9" s="469">
        <f>(BA4*0.5)*0.15</f>
        <v>144.43738474687498</v>
      </c>
      <c r="BB9" s="469">
        <f>(BB4*0.5)*0.15</f>
        <v>168.29536809150002</v>
      </c>
      <c r="BC9" s="565">
        <f t="shared" si="3"/>
        <v>674.12425598587492</v>
      </c>
      <c r="BD9" s="469">
        <f>(BD4*0.5)*0.15</f>
        <v>165.17150952300003</v>
      </c>
      <c r="BE9" s="469">
        <f>(BE4*0.5)*0.15</f>
        <v>178.8843408525</v>
      </c>
      <c r="BF9" s="469">
        <f>(BF4*0.5)*0.15</f>
        <v>198.69607198050002</v>
      </c>
      <c r="BG9" s="469">
        <f>(BG4*0.5)*0.15</f>
        <v>188.96119751250001</v>
      </c>
      <c r="BH9" s="469">
        <f>(BH4*0.5)*0.15</f>
        <v>198.38590140449998</v>
      </c>
      <c r="BI9" s="565">
        <f t="shared" si="14"/>
        <v>930.09902127300006</v>
      </c>
      <c r="BJ9" s="469">
        <f>(BJ4*0.5)*0.15</f>
        <v>207.32533686600001</v>
      </c>
      <c r="BK9" s="469">
        <f>(BK4*0.5)*0.15</f>
        <v>219.45476204437497</v>
      </c>
      <c r="BL9" s="469">
        <f>(BL4*0.5)*0.15</f>
        <v>212.68153637999998</v>
      </c>
      <c r="BM9" s="469">
        <f>(BM4*0.5)*0.15</f>
        <v>252.63923601562502</v>
      </c>
      <c r="BN9" s="565">
        <f t="shared" si="15"/>
        <v>892.10087130599993</v>
      </c>
      <c r="BO9" s="469">
        <f>(BO4*0.5)*0.15</f>
        <v>300.40456020750003</v>
      </c>
      <c r="BP9" s="469">
        <f>(BP4*0.5)*0.15</f>
        <v>216.44807833124997</v>
      </c>
      <c r="BQ9" s="469">
        <f>(BQ4*0.5)*0.15</f>
        <v>194.202697245</v>
      </c>
      <c r="BR9" s="469">
        <f>(BR4*0.5)*0.15</f>
        <v>193.51190399062494</v>
      </c>
      <c r="BS9" s="565">
        <f t="shared" si="4"/>
        <v>904.56723977437491</v>
      </c>
      <c r="BT9" s="469">
        <f>(BT4*0.5)*0.15</f>
        <v>199.09702458749999</v>
      </c>
      <c r="BU9" s="469">
        <f>(BU4*0.5)*0.15</f>
        <v>228.80527556249996</v>
      </c>
      <c r="BV9" s="469">
        <f>(BV4*0.5)*0.15</f>
        <v>239.82556968975001</v>
      </c>
      <c r="BW9" s="469">
        <f>(BW4*0.5)*0.15</f>
        <v>255.42164056350001</v>
      </c>
      <c r="BX9" s="469">
        <f>(BX4*0.5)*0.15</f>
        <v>244.62321757800001</v>
      </c>
      <c r="BY9" s="565">
        <f t="shared" si="16"/>
        <v>1167.77272798125</v>
      </c>
      <c r="BZ9" s="469">
        <f>(BZ4*0.5)*0.15</f>
        <v>219.793313388</v>
      </c>
      <c r="CA9" s="469">
        <f>(CA4*0.5)*0.15</f>
        <v>227.72733812924997</v>
      </c>
      <c r="CB9" s="469">
        <f>(CB4*0.5)*0.15</f>
        <v>211.83924060000001</v>
      </c>
      <c r="CC9" s="469">
        <f>(CC4*0.5)*0.15</f>
        <v>222.08742238649998</v>
      </c>
      <c r="CD9" s="565">
        <f t="shared" si="17"/>
        <v>881.44731450374991</v>
      </c>
      <c r="CE9" s="469">
        <f>(CE4*0.5)*0.15</f>
        <v>211.88580427574996</v>
      </c>
      <c r="CF9" s="469">
        <f>(CF4*0.5)*0.15</f>
        <v>203.97000260362501</v>
      </c>
      <c r="CG9" s="469">
        <f>(CG4*0.5)*0.15</f>
        <v>208.30221948749997</v>
      </c>
      <c r="CH9" s="469">
        <f>(CH4*0.5)*0.15</f>
        <v>202.27223512649994</v>
      </c>
      <c r="CI9" s="565">
        <f t="shared" si="5"/>
        <v>826.43026149337493</v>
      </c>
      <c r="CJ9" s="469">
        <f>(CJ4*0.5)*0.15</f>
        <v>203.24227499999998</v>
      </c>
      <c r="CK9" s="469">
        <f>(CK4*0.5)*0.15</f>
        <v>201.815075925</v>
      </c>
      <c r="CL9" s="469">
        <f>(CL4*0.5)*0.15</f>
        <v>190.23206268749993</v>
      </c>
      <c r="CM9" s="469">
        <f>(CM4*0.5)*0.15</f>
        <v>187.95666667500001</v>
      </c>
      <c r="CN9" s="469">
        <f>(CN4*0.5)*0.15</f>
        <v>198.93399303000004</v>
      </c>
      <c r="CO9" s="565">
        <f t="shared" si="18"/>
        <v>982.18007331749982</v>
      </c>
      <c r="CP9" s="469">
        <f>(CP4*0.5)*0.15</f>
        <v>183.65383179</v>
      </c>
      <c r="CQ9" s="469">
        <f>(CQ4*0.5)*0.15</f>
        <v>200.98130036475001</v>
      </c>
      <c r="CR9" s="469">
        <f>(CR4*0.5)*0.15</f>
        <v>216.68420899500009</v>
      </c>
      <c r="CS9" s="469">
        <f>(CS4*0.5)*0.15</f>
        <v>258.30439953749993</v>
      </c>
      <c r="CT9" s="565">
        <f t="shared" si="19"/>
        <v>859.62374068725012</v>
      </c>
      <c r="CU9" s="469">
        <f>(CU4*0.5)*0.15</f>
        <v>189.07781403750002</v>
      </c>
      <c r="CV9" s="469">
        <f>(CV4*0.5)*0.15</f>
        <v>238.732829259</v>
      </c>
      <c r="CW9" s="469">
        <f>(CW4*0.5)*0.15</f>
        <v>287.83716877499995</v>
      </c>
      <c r="CX9" s="469">
        <f>(CX4*0.5)*0.15</f>
        <v>300.90570044999993</v>
      </c>
      <c r="CY9" s="565">
        <f t="shared" si="6"/>
        <v>1016.5535125214999</v>
      </c>
      <c r="CZ9" s="469">
        <f>(CZ4*0.5)*0.15</f>
        <v>403.16728305299989</v>
      </c>
      <c r="DA9" s="469">
        <f>(DA4*0.5)*0.15</f>
        <v>499.89589565850008</v>
      </c>
      <c r="DB9" s="469">
        <f>(DB4*0.5)*0.15</f>
        <v>655.56356973937488</v>
      </c>
      <c r="DC9" s="469">
        <f>(DC4*0.5)*0.15</f>
        <v>572.44107219375019</v>
      </c>
      <c r="DD9" s="469">
        <f>(DD4*0.5)*0.15</f>
        <v>203.68446726975</v>
      </c>
      <c r="DE9" s="565">
        <f t="shared" si="20"/>
        <v>2334.7522879143748</v>
      </c>
    </row>
    <row r="10" spans="2:109">
      <c r="B10" s="471" t="s">
        <v>248</v>
      </c>
      <c r="C10" s="469" t="e">
        <f>(C4*0.5)*0.65</f>
        <v>#REF!</v>
      </c>
      <c r="D10" s="469" t="e">
        <f t="shared" ref="D10:BN10" si="22">(D4*0.5)*0.65</f>
        <v>#REF!</v>
      </c>
      <c r="E10" s="469" t="e">
        <f t="shared" si="22"/>
        <v>#REF!</v>
      </c>
      <c r="F10" s="469" t="e">
        <f t="shared" si="22"/>
        <v>#REF!</v>
      </c>
      <c r="G10" s="469" t="e">
        <f t="shared" si="22"/>
        <v>#REF!</v>
      </c>
      <c r="H10" s="469">
        <f>(H4*0.5)*0.65</f>
        <v>808.57557940165339</v>
      </c>
      <c r="I10" s="469">
        <f>(I4*0.5)*0.65</f>
        <v>903.35498478628301</v>
      </c>
      <c r="J10" s="469">
        <f>(J4*0.5)*0.65</f>
        <v>872.40131688125018</v>
      </c>
      <c r="K10" s="469">
        <f>(K4*0.5)*0.65</f>
        <v>885.79754340999989</v>
      </c>
      <c r="L10" s="469">
        <f>(L4*0.5)*0.65</f>
        <v>736.926710845</v>
      </c>
      <c r="M10" s="565">
        <f t="shared" si="8"/>
        <v>3398.4805559225329</v>
      </c>
      <c r="N10" s="469">
        <f>(N4*0.5)*0.65</f>
        <v>795.32222623749999</v>
      </c>
      <c r="O10" s="469">
        <f>(O4*0.5)*0.65</f>
        <v>871.6947506864999</v>
      </c>
      <c r="P10" s="469">
        <f>(P4*0.5)*0.65</f>
        <v>833.23172423400001</v>
      </c>
      <c r="Q10" s="469">
        <f>(Q4*0.5)*0.65</f>
        <v>825.85774637600002</v>
      </c>
      <c r="R10" s="565">
        <f t="shared" si="9"/>
        <v>3326.1064475339999</v>
      </c>
      <c r="S10" s="469">
        <f>(S4*0.5)*0.65</f>
        <v>788.44005577674989</v>
      </c>
      <c r="T10" s="469">
        <f>(T4*0.5)*0.65</f>
        <v>842.53301817262502</v>
      </c>
      <c r="U10" s="469">
        <f>(U4*0.5)*0.65</f>
        <v>785.0951311043749</v>
      </c>
      <c r="V10" s="469">
        <f>(V4*0.5)*0.65</f>
        <v>711.91580729750012</v>
      </c>
      <c r="W10" s="565">
        <f t="shared" si="1"/>
        <v>3127.9840123512499</v>
      </c>
      <c r="X10" s="469">
        <f>(X4*0.5)*0.65</f>
        <v>749.36207254999999</v>
      </c>
      <c r="Y10" s="469">
        <f>(Y4*0.5)*0.65</f>
        <v>753.09990764124984</v>
      </c>
      <c r="Z10" s="469">
        <f>(Z4*0.5)*0.65</f>
        <v>723.55222936750022</v>
      </c>
      <c r="AA10" s="469">
        <f>(AA4*0.5)*0.65</f>
        <v>700.62580381137502</v>
      </c>
      <c r="AB10" s="469">
        <f>(AB4*0.5)*0.65</f>
        <v>743.10131943124998</v>
      </c>
      <c r="AC10" s="963">
        <f t="shared" si="10"/>
        <v>3669.7413328013754</v>
      </c>
      <c r="AD10" s="469">
        <f>(AD4*0.5)*0.65</f>
        <v>679.10807523000017</v>
      </c>
      <c r="AE10" s="469">
        <f>(AE4*0.5)*0.65</f>
        <v>761.83576179750003</v>
      </c>
      <c r="AF10" s="469">
        <f>(AF4*0.5)*0.65</f>
        <v>818.72861284500016</v>
      </c>
      <c r="AG10" s="469">
        <f>(AG4*0.5)*0.65</f>
        <v>1002.2254048625001</v>
      </c>
      <c r="AH10" s="565">
        <f t="shared" si="11"/>
        <v>3261.8978547350002</v>
      </c>
      <c r="AI10" s="469">
        <f>(AI4*0.5)*0.65</f>
        <v>783.2810310325001</v>
      </c>
      <c r="AJ10" s="469">
        <f>(AJ4*0.5)*0.65</f>
        <v>1029.0960737199998</v>
      </c>
      <c r="AK10" s="469">
        <f>(AK4*0.5)*0.65</f>
        <v>1215.7775801275004</v>
      </c>
      <c r="AL10" s="469">
        <f>(AL4*0.5)*0.65</f>
        <v>1184.7733883699998</v>
      </c>
      <c r="AM10" s="565">
        <f t="shared" si="2"/>
        <v>4212.9280732500001</v>
      </c>
      <c r="AN10" s="469">
        <f>(AN4*0.5)*0.65</f>
        <v>1494.0825495050003</v>
      </c>
      <c r="AO10" s="469">
        <f>(AO4*0.5)*0.65</f>
        <v>1881.0765313600002</v>
      </c>
      <c r="AP10" s="469">
        <f>(AP4*0.5)*0.65</f>
        <v>2493.5523662724995</v>
      </c>
      <c r="AQ10" s="469">
        <f>(AQ4*0.5)*0.65</f>
        <v>3745.5369921450006</v>
      </c>
      <c r="AR10" s="469">
        <f>(AR4*0.5)*0.65</f>
        <v>906.07330339500015</v>
      </c>
      <c r="AS10" s="965">
        <f t="shared" si="12"/>
        <v>10520.321742677501</v>
      </c>
      <c r="AT10" s="469">
        <f>(AT4*0.5)*0.65</f>
        <v>634.45826793374988</v>
      </c>
      <c r="AU10" s="469">
        <f>(AU4*0.5)*0.65</f>
        <v>660.54456299000003</v>
      </c>
      <c r="AV10" s="469">
        <f>(AV4*0.5)*0.65</f>
        <v>643.86697691874997</v>
      </c>
      <c r="AW10" s="469">
        <f>(AW4*0.5)*0.65</f>
        <v>657.24414894125005</v>
      </c>
      <c r="AX10" s="565">
        <f t="shared" si="13"/>
        <v>2596.1139567837499</v>
      </c>
      <c r="AY10" s="469">
        <f>(AY4*0.5)*0.65</f>
        <v>676.67469309374997</v>
      </c>
      <c r="AZ10" s="469">
        <f>(AZ4*0.5)*0.65</f>
        <v>889.35515387875</v>
      </c>
      <c r="BA10" s="469">
        <f>(BA4*0.5)*0.65</f>
        <v>625.89533390312499</v>
      </c>
      <c r="BB10" s="469">
        <f>(BB4*0.5)*0.65</f>
        <v>729.27992839650005</v>
      </c>
      <c r="BC10" s="565">
        <f t="shared" si="3"/>
        <v>2921.2051092721249</v>
      </c>
      <c r="BD10" s="469">
        <f>(BD4*0.5)*0.65</f>
        <v>715.74320793300012</v>
      </c>
      <c r="BE10" s="469">
        <f>(BE4*0.5)*0.65</f>
        <v>775.16547702750006</v>
      </c>
      <c r="BF10" s="469">
        <f>(BF4*0.5)*0.65</f>
        <v>861.01631191550018</v>
      </c>
      <c r="BG10" s="469">
        <f>(BG4*0.5)*0.65</f>
        <v>818.83185588750007</v>
      </c>
      <c r="BH10" s="469">
        <f>(BH4*0.5)*0.65</f>
        <v>859.67223941949999</v>
      </c>
      <c r="BI10" s="565">
        <f t="shared" si="14"/>
        <v>4030.4290921830002</v>
      </c>
      <c r="BJ10" s="469">
        <f>(BJ4*0.5)*0.65</f>
        <v>898.40979308600015</v>
      </c>
      <c r="BK10" s="469">
        <f>(BK4*0.5)*0.65</f>
        <v>950.97063552562497</v>
      </c>
      <c r="BL10" s="469">
        <f>(BL4*0.5)*0.65</f>
        <v>921.61999098000001</v>
      </c>
      <c r="BM10" s="469">
        <f>(BM4*0.5)*0.65</f>
        <v>1094.7700227343751</v>
      </c>
      <c r="BN10" s="565">
        <f t="shared" si="15"/>
        <v>3865.7704423260002</v>
      </c>
      <c r="BO10" s="469">
        <f>(BO4*0.5)*0.65</f>
        <v>1301.7530942325002</v>
      </c>
      <c r="BP10" s="469">
        <f>(BP4*0.5)*0.65</f>
        <v>937.94167276874998</v>
      </c>
      <c r="BQ10" s="469">
        <f>(BQ4*0.5)*0.65</f>
        <v>841.54502139499994</v>
      </c>
      <c r="BR10" s="469">
        <f>(BR4*0.5)*0.65</f>
        <v>838.55158395937485</v>
      </c>
      <c r="BS10" s="565">
        <f t="shared" si="4"/>
        <v>3919.7913723556248</v>
      </c>
      <c r="BT10" s="469">
        <f>(BT4*0.5)*0.65</f>
        <v>862.75377321250005</v>
      </c>
      <c r="BU10" s="469">
        <f>(BU4*0.5)*0.65</f>
        <v>991.48952743749987</v>
      </c>
      <c r="BV10" s="469">
        <f>(BV4*0.5)*0.65</f>
        <v>1039.24413532225</v>
      </c>
      <c r="BW10" s="469">
        <f>(BW4*0.5)*0.65</f>
        <v>1106.8271091085001</v>
      </c>
      <c r="BX10" s="469">
        <f>(BX4*0.5)*0.65</f>
        <v>1060.033942838</v>
      </c>
      <c r="BY10" s="565">
        <f t="shared" si="16"/>
        <v>5060.3484879187499</v>
      </c>
      <c r="BZ10" s="469">
        <f>(BZ4*0.5)*0.65</f>
        <v>952.43769134800004</v>
      </c>
      <c r="CA10" s="469">
        <f>(CA4*0.5)*0.65</f>
        <v>986.81846522674994</v>
      </c>
      <c r="CB10" s="469">
        <f>(CB4*0.5)*0.65</f>
        <v>917.97004260000006</v>
      </c>
      <c r="CC10" s="469">
        <f>(CC4*0.5)*0.65</f>
        <v>962.37883034150002</v>
      </c>
      <c r="CD10" s="565">
        <f t="shared" si="17"/>
        <v>3819.6050295162499</v>
      </c>
      <c r="CE10" s="469">
        <f>(CE4*0.5)*0.65</f>
        <v>918.17181852824979</v>
      </c>
      <c r="CF10" s="469">
        <f>(CF4*0.5)*0.65</f>
        <v>883.87001128237512</v>
      </c>
      <c r="CG10" s="469">
        <f>(CG4*0.5)*0.65</f>
        <v>902.64295111249987</v>
      </c>
      <c r="CH10" s="469">
        <f>(CH4*0.5)*0.65</f>
        <v>876.51301888149976</v>
      </c>
      <c r="CI10" s="565">
        <f t="shared" si="5"/>
        <v>3581.1977998046245</v>
      </c>
      <c r="CJ10" s="469">
        <f>(CJ4*0.5)*0.65</f>
        <v>880.71652500000005</v>
      </c>
      <c r="CK10" s="469">
        <f>(CK4*0.5)*0.65</f>
        <v>874.53199567499996</v>
      </c>
      <c r="CL10" s="469">
        <f>(CL4*0.5)*0.65</f>
        <v>824.33893831249975</v>
      </c>
      <c r="CM10" s="469">
        <f>(CM4*0.5)*0.65</f>
        <v>814.47888892500009</v>
      </c>
      <c r="CN10" s="469">
        <f>(CN4*0.5)*0.65</f>
        <v>862.04730313000027</v>
      </c>
      <c r="CO10" s="565">
        <f t="shared" si="18"/>
        <v>4256.1136510425004</v>
      </c>
      <c r="CP10" s="469">
        <f>(CP4*0.5)*0.65</f>
        <v>795.83327109000004</v>
      </c>
      <c r="CQ10" s="469">
        <f>(CQ4*0.5)*0.65</f>
        <v>870.91896824725006</v>
      </c>
      <c r="CR10" s="469">
        <f>(CR4*0.5)*0.65</f>
        <v>938.9649056450005</v>
      </c>
      <c r="CS10" s="469">
        <f>(CS4*0.5)*0.65</f>
        <v>1119.3190646624998</v>
      </c>
      <c r="CT10" s="565">
        <f t="shared" si="19"/>
        <v>3725.0362096447507</v>
      </c>
      <c r="CU10" s="469">
        <f>(CU4*0.5)*0.65</f>
        <v>819.33719416250017</v>
      </c>
      <c r="CV10" s="469">
        <f>(CV4*0.5)*0.65</f>
        <v>1034.508926789</v>
      </c>
      <c r="CW10" s="469">
        <f>(CW4*0.5)*0.65</f>
        <v>1247.2943980249997</v>
      </c>
      <c r="CX10" s="469">
        <f>(CX4*0.5)*0.65</f>
        <v>1303.9247019499999</v>
      </c>
      <c r="CY10" s="565">
        <f t="shared" si="6"/>
        <v>4405.0652209264999</v>
      </c>
      <c r="CZ10" s="469">
        <f>(CZ4*0.5)*0.65</f>
        <v>1747.0582265629996</v>
      </c>
      <c r="DA10" s="469">
        <f>(DA4*0.5)*0.65</f>
        <v>2166.2155478535005</v>
      </c>
      <c r="DB10" s="469">
        <f>(DB4*0.5)*0.65</f>
        <v>2840.7754688706245</v>
      </c>
      <c r="DC10" s="469">
        <f>(DC4*0.5)*0.65</f>
        <v>2480.5779795062508</v>
      </c>
      <c r="DD10" s="469">
        <f>(DD4*0.5)*0.65</f>
        <v>882.63269150225005</v>
      </c>
      <c r="DE10" s="565">
        <f t="shared" si="20"/>
        <v>10117.259914295628</v>
      </c>
    </row>
    <row r="11" spans="2:109" hidden="1">
      <c r="B11" s="471" t="s">
        <v>492</v>
      </c>
      <c r="C11" s="469" t="e">
        <f>(C4*0.5)*0.1</f>
        <v>#REF!</v>
      </c>
      <c r="D11" s="469" t="e">
        <f t="shared" ref="D11:BN11" si="23">(D4*0.5)*0.1</f>
        <v>#REF!</v>
      </c>
      <c r="E11" s="469" t="e">
        <f t="shared" si="23"/>
        <v>#REF!</v>
      </c>
      <c r="F11" s="469" t="e">
        <f t="shared" si="23"/>
        <v>#REF!</v>
      </c>
      <c r="G11" s="469" t="e">
        <f t="shared" si="23"/>
        <v>#REF!</v>
      </c>
      <c r="H11" s="469">
        <f>(H4*0.5)*0.1</f>
        <v>124.39624298486974</v>
      </c>
      <c r="I11" s="469">
        <f>(I4*0.5)*0.1</f>
        <v>138.97768996712045</v>
      </c>
      <c r="J11" s="469">
        <f>(J4*0.5)*0.1</f>
        <v>134.21558721250003</v>
      </c>
      <c r="K11" s="469">
        <f>(K4*0.5)*0.1</f>
        <v>136.27654514</v>
      </c>
      <c r="L11" s="469">
        <f>(L4*0.5)*0.1</f>
        <v>113.37334013</v>
      </c>
      <c r="M11" s="565">
        <f t="shared" si="8"/>
        <v>522.84316244962054</v>
      </c>
      <c r="N11" s="469">
        <f>(N4*0.5)*0.1</f>
        <v>122.357265575</v>
      </c>
      <c r="O11" s="469">
        <f>(O4*0.5)*0.1</f>
        <v>134.106884721</v>
      </c>
      <c r="P11" s="469">
        <f>(P4*0.5)*0.1</f>
        <v>128.18949603600001</v>
      </c>
      <c r="Q11" s="469">
        <f>(Q4*0.5)*0.1</f>
        <v>127.05503790400002</v>
      </c>
      <c r="R11" s="565">
        <f t="shared" si="9"/>
        <v>511.70868423600001</v>
      </c>
      <c r="S11" s="469">
        <f>(S4*0.5)*0.1</f>
        <v>121.2984701195</v>
      </c>
      <c r="T11" s="469">
        <f>(T4*0.5)*0.1</f>
        <v>129.62046433425002</v>
      </c>
      <c r="U11" s="469">
        <f>(U4*0.5)*0.1</f>
        <v>120.78386632374998</v>
      </c>
      <c r="V11" s="469">
        <f>(V4*0.5)*0.1</f>
        <v>109.52550881500002</v>
      </c>
      <c r="W11" s="565">
        <f t="shared" si="1"/>
        <v>481.22830959250001</v>
      </c>
      <c r="X11" s="469">
        <f>(X4*0.5)*0.1</f>
        <v>115.28647269999999</v>
      </c>
      <c r="Y11" s="469">
        <f>(Y4*0.5)*0.1</f>
        <v>115.86152425249998</v>
      </c>
      <c r="Z11" s="469">
        <f>(Z4*0.5)*0.1</f>
        <v>111.31572759500003</v>
      </c>
      <c r="AA11" s="469">
        <f>(AA4*0.5)*0.1</f>
        <v>107.78858520175</v>
      </c>
      <c r="AB11" s="469">
        <f>(AB4*0.5)*0.1</f>
        <v>114.3232799125</v>
      </c>
      <c r="AC11" s="963">
        <f t="shared" si="10"/>
        <v>564.57558966174997</v>
      </c>
      <c r="AD11" s="469">
        <f>(AD4*0.5)*0.1</f>
        <v>104.47816542000004</v>
      </c>
      <c r="AE11" s="469">
        <f>(AE4*0.5)*0.1</f>
        <v>117.20550181500001</v>
      </c>
      <c r="AF11" s="469">
        <f>(AF4*0.5)*0.1</f>
        <v>125.95824813000002</v>
      </c>
      <c r="AG11" s="469">
        <f>(AG4*0.5)*0.1</f>
        <v>154.18852382500003</v>
      </c>
      <c r="AH11" s="565">
        <f t="shared" si="11"/>
        <v>501.83043919000011</v>
      </c>
      <c r="AI11" s="469">
        <f>(AI4*0.5)*0.1</f>
        <v>120.50477400500002</v>
      </c>
      <c r="AJ11" s="469">
        <f>(AJ4*0.5)*0.1</f>
        <v>158.32247287999996</v>
      </c>
      <c r="AK11" s="469">
        <f>(AK4*0.5)*0.1</f>
        <v>187.04270463500006</v>
      </c>
      <c r="AL11" s="469">
        <f>(AL4*0.5)*0.1</f>
        <v>182.27282897999999</v>
      </c>
      <c r="AM11" s="565">
        <f t="shared" si="2"/>
        <v>648.14278050000007</v>
      </c>
      <c r="AN11" s="469">
        <f>(AN4*0.5)*0.1</f>
        <v>229.85885377000005</v>
      </c>
      <c r="AO11" s="469">
        <f>(AO4*0.5)*0.1</f>
        <v>289.39638944000006</v>
      </c>
      <c r="AP11" s="469">
        <f>(AP4*0.5)*0.1</f>
        <v>383.62344096499993</v>
      </c>
      <c r="AQ11" s="469">
        <f>(AQ4*0.5)*0.1</f>
        <v>576.23646033000011</v>
      </c>
      <c r="AR11" s="469">
        <f>(AR4*0.5)*0.1</f>
        <v>139.39589283000004</v>
      </c>
      <c r="AS11" s="965">
        <f t="shared" si="12"/>
        <v>1618.5110373350001</v>
      </c>
      <c r="AT11" s="469">
        <f>(AT4*0.5)*0.1</f>
        <v>97.608964297499995</v>
      </c>
      <c r="AU11" s="469">
        <f>(AU4*0.5)*0.1</f>
        <v>101.62224046</v>
      </c>
      <c r="AV11" s="469">
        <f>(AV4*0.5)*0.1</f>
        <v>99.056457987499996</v>
      </c>
      <c r="AW11" s="469">
        <f>(AW4*0.5)*0.1</f>
        <v>101.11448445250001</v>
      </c>
      <c r="AX11" s="565">
        <f t="shared" si="13"/>
        <v>399.40214719749997</v>
      </c>
      <c r="AY11" s="469">
        <f>(AY4*0.5)*0.1</f>
        <v>104.10379893749999</v>
      </c>
      <c r="AZ11" s="469">
        <f>(AZ4*0.5)*0.1</f>
        <v>136.8238698275</v>
      </c>
      <c r="BA11" s="469">
        <f>(BA4*0.5)*0.1</f>
        <v>96.291589831250008</v>
      </c>
      <c r="BB11" s="469">
        <f>(BB4*0.5)*0.1</f>
        <v>112.19691206100002</v>
      </c>
      <c r="BC11" s="565">
        <f t="shared" si="3"/>
        <v>449.41617065725006</v>
      </c>
      <c r="BD11" s="469">
        <f>(BD4*0.5)*0.1</f>
        <v>110.11433968200002</v>
      </c>
      <c r="BE11" s="469">
        <f>(BE4*0.5)*0.1</f>
        <v>119.25622723500001</v>
      </c>
      <c r="BF11" s="469">
        <f>(BF4*0.5)*0.1</f>
        <v>132.46404798700004</v>
      </c>
      <c r="BG11" s="469">
        <f>(BG4*0.5)*0.1</f>
        <v>125.97413167500002</v>
      </c>
      <c r="BH11" s="469">
        <f>(BH4*0.5)*0.1</f>
        <v>132.257267603</v>
      </c>
      <c r="BI11" s="565">
        <f t="shared" si="14"/>
        <v>620.06601418200012</v>
      </c>
      <c r="BJ11" s="469">
        <f>(BJ4*0.5)*0.1</f>
        <v>138.21689124400004</v>
      </c>
      <c r="BK11" s="469">
        <f>(BK4*0.5)*0.1</f>
        <v>146.30317469625001</v>
      </c>
      <c r="BL11" s="469">
        <f>(BL4*0.5)*0.1</f>
        <v>141.78769092000002</v>
      </c>
      <c r="BM11" s="469">
        <f>(BM4*0.5)*0.1</f>
        <v>168.42615734375002</v>
      </c>
      <c r="BN11" s="565">
        <f t="shared" si="15"/>
        <v>594.73391420400003</v>
      </c>
      <c r="BO11" s="469">
        <f>(BO4*0.5)*0.1</f>
        <v>200.26970680500006</v>
      </c>
      <c r="BP11" s="469">
        <f>(BP4*0.5)*0.1</f>
        <v>144.2987188875</v>
      </c>
      <c r="BQ11" s="469">
        <f>(BQ4*0.5)*0.1</f>
        <v>129.46846482999999</v>
      </c>
      <c r="BR11" s="469">
        <f>(BR4*0.5)*0.1</f>
        <v>129.00793599374998</v>
      </c>
      <c r="BS11" s="565">
        <f t="shared" si="4"/>
        <v>603.04482651624994</v>
      </c>
      <c r="BT11" s="469">
        <f>(BT4*0.5)*0.1</f>
        <v>132.731349725</v>
      </c>
      <c r="BU11" s="469">
        <f>(BU4*0.5)*0.1</f>
        <v>152.53685037499997</v>
      </c>
      <c r="BV11" s="469">
        <f>(BV4*0.5)*0.1</f>
        <v>159.88371312650003</v>
      </c>
      <c r="BW11" s="469">
        <f>(BW4*0.5)*0.1</f>
        <v>170.28109370900003</v>
      </c>
      <c r="BX11" s="469">
        <f>(BX4*0.5)*0.1</f>
        <v>163.08214505200002</v>
      </c>
      <c r="BY11" s="565">
        <f t="shared" si="16"/>
        <v>778.51515198749996</v>
      </c>
      <c r="BZ11" s="469">
        <f>(BZ4*0.5)*0.1</f>
        <v>146.52887559200002</v>
      </c>
      <c r="CA11" s="469">
        <f>(CA4*0.5)*0.1</f>
        <v>151.81822541949998</v>
      </c>
      <c r="CB11" s="469">
        <f>(CB4*0.5)*0.1</f>
        <v>141.2261604</v>
      </c>
      <c r="CC11" s="469">
        <f>(CC4*0.5)*0.1</f>
        <v>148.058281591</v>
      </c>
      <c r="CD11" s="565">
        <f t="shared" si="17"/>
        <v>587.63154300249994</v>
      </c>
      <c r="CE11" s="469">
        <f>(CE4*0.5)*0.1</f>
        <v>141.25720285049997</v>
      </c>
      <c r="CF11" s="469">
        <f>(CF4*0.5)*0.1</f>
        <v>135.98000173575002</v>
      </c>
      <c r="CG11" s="469">
        <f>(CG4*0.5)*0.1</f>
        <v>138.86814632499997</v>
      </c>
      <c r="CH11" s="469">
        <f>(CH4*0.5)*0.1</f>
        <v>134.84815675099998</v>
      </c>
      <c r="CI11" s="565">
        <f t="shared" si="5"/>
        <v>550.95350766224988</v>
      </c>
      <c r="CJ11" s="469">
        <f>(CJ4*0.5)*0.1</f>
        <v>135.49485000000001</v>
      </c>
      <c r="CK11" s="469">
        <f>(CK4*0.5)*0.1</f>
        <v>134.54338394999999</v>
      </c>
      <c r="CL11" s="469">
        <f>(CL4*0.5)*0.1</f>
        <v>126.82137512499997</v>
      </c>
      <c r="CM11" s="469">
        <f>(CM4*0.5)*0.1</f>
        <v>125.30444445000001</v>
      </c>
      <c r="CN11" s="469">
        <f>(CN4*0.5)*0.1</f>
        <v>132.62266202000004</v>
      </c>
      <c r="CO11" s="565">
        <f t="shared" si="18"/>
        <v>654.78671554499999</v>
      </c>
      <c r="CP11" s="469">
        <f>(CP4*0.5)*0.1</f>
        <v>122.43588786000001</v>
      </c>
      <c r="CQ11" s="469">
        <f>(CQ4*0.5)*0.1</f>
        <v>133.9875335765</v>
      </c>
      <c r="CR11" s="469">
        <f>(CR4*0.5)*0.1</f>
        <v>144.45613933000007</v>
      </c>
      <c r="CS11" s="469">
        <f>(CS4*0.5)*0.1</f>
        <v>172.20293302499999</v>
      </c>
      <c r="CT11" s="565">
        <f t="shared" si="19"/>
        <v>573.08249379150004</v>
      </c>
      <c r="CU11" s="469">
        <f>(CU4*0.5)*0.1</f>
        <v>126.05187602500003</v>
      </c>
      <c r="CV11" s="469">
        <f>(CV4*0.5)*0.1</f>
        <v>159.15521950600001</v>
      </c>
      <c r="CW11" s="469">
        <f>(CW4*0.5)*0.1</f>
        <v>191.89144584999997</v>
      </c>
      <c r="CX11" s="469">
        <f>(CX4*0.5)*0.1</f>
        <v>200.60380029999999</v>
      </c>
      <c r="CY11" s="565">
        <f t="shared" si="6"/>
        <v>677.70234168100001</v>
      </c>
      <c r="CZ11" s="469">
        <f>(CZ4*0.5)*0.1</f>
        <v>268.77818870199997</v>
      </c>
      <c r="DA11" s="469">
        <f>(DA4*0.5)*0.1</f>
        <v>333.26393043900009</v>
      </c>
      <c r="DB11" s="469">
        <f>(DB4*0.5)*0.1</f>
        <v>437.04237982624994</v>
      </c>
      <c r="DC11" s="469">
        <f>(DC4*0.5)*0.1</f>
        <v>381.62738146250013</v>
      </c>
      <c r="DD11" s="469">
        <f>(DD4*0.5)*0.1</f>
        <v>135.78964484650001</v>
      </c>
      <c r="DE11" s="565">
        <f t="shared" si="20"/>
        <v>1556.5015252762503</v>
      </c>
    </row>
    <row r="12" spans="2:109">
      <c r="B12" s="564" t="s">
        <v>38</v>
      </c>
      <c r="C12" s="565" t="e">
        <f>SUM(C7:C11)</f>
        <v>#REF!</v>
      </c>
      <c r="D12" s="565" t="e">
        <f t="shared" ref="D12:BN12" si="24">SUM(D7:D11)</f>
        <v>#REF!</v>
      </c>
      <c r="E12" s="565" t="e">
        <f t="shared" si="24"/>
        <v>#REF!</v>
      </c>
      <c r="F12" s="565" t="e">
        <f t="shared" si="24"/>
        <v>#REF!</v>
      </c>
      <c r="G12" s="565" t="e">
        <f t="shared" si="24"/>
        <v>#REF!</v>
      </c>
      <c r="H12" s="565">
        <f>SUM(H7:H11)</f>
        <v>2487.9248596973948</v>
      </c>
      <c r="I12" s="565">
        <f>SUM(I7:I11)</f>
        <v>2779.5537993424091</v>
      </c>
      <c r="J12" s="565">
        <f>SUM(J7:J11)</f>
        <v>2684.3117442500006</v>
      </c>
      <c r="K12" s="565">
        <f>SUM(K7:K11)</f>
        <v>2725.5309027999997</v>
      </c>
      <c r="L12" s="565">
        <f>SUM(L7:L11)</f>
        <v>2267.4668025999999</v>
      </c>
      <c r="M12" s="964">
        <f>SUM(M7:M11)</f>
        <v>10456.863248992409</v>
      </c>
      <c r="N12" s="565">
        <f>SUM(N7:N11)</f>
        <v>2447.1453114999999</v>
      </c>
      <c r="O12" s="565">
        <f>SUM(O7:O11)</f>
        <v>2682.1376944199992</v>
      </c>
      <c r="P12" s="565">
        <f>SUM(P7:P11)</f>
        <v>2563.7899207200003</v>
      </c>
      <c r="Q12" s="565">
        <f>SUM(Q7:Q11)</f>
        <v>2541.1007580800001</v>
      </c>
      <c r="R12" s="966">
        <f>SUM(R7:R11)</f>
        <v>10234.173684720001</v>
      </c>
      <c r="S12" s="565">
        <f>SUM(S7:S11)</f>
        <v>2425.9694023899997</v>
      </c>
      <c r="T12" s="565">
        <f>SUM(T7:T11)</f>
        <v>2592.4092866850001</v>
      </c>
      <c r="U12" s="565">
        <f>SUM(U7:U11)</f>
        <v>2415.6773264749995</v>
      </c>
      <c r="V12" s="565">
        <f>SUM(V7:V11)</f>
        <v>2190.5101763000007</v>
      </c>
      <c r="W12" s="964">
        <f t="shared" si="24"/>
        <v>9624.5661918499991</v>
      </c>
      <c r="X12" s="565">
        <f>SUM(X7:X11)</f>
        <v>2305.7294539999998</v>
      </c>
      <c r="Y12" s="565">
        <f>SUM(Y7:Y11)</f>
        <v>2317.2304850499995</v>
      </c>
      <c r="Z12" s="565">
        <f>SUM(Z7:Z11)</f>
        <v>2226.3145519000009</v>
      </c>
      <c r="AA12" s="565">
        <f>SUM(AA7:AA11)</f>
        <v>2155.7717040349999</v>
      </c>
      <c r="AB12" s="565">
        <f>SUM(AB7:AB11)</f>
        <v>2286.4655982499999</v>
      </c>
      <c r="AC12" s="966">
        <f>SUM(AC7:AC11)</f>
        <v>11291.511793235002</v>
      </c>
      <c r="AD12" s="565">
        <f>SUM(AD7:AD11)</f>
        <v>2089.5633084000006</v>
      </c>
      <c r="AE12" s="565">
        <f>SUM(AE7:AE11)</f>
        <v>2344.1100363</v>
      </c>
      <c r="AF12" s="565">
        <f>SUM(AF7:AF11)</f>
        <v>2519.1649626000003</v>
      </c>
      <c r="AG12" s="565">
        <f>SUM(AG7:AG11)</f>
        <v>3083.7704765000003</v>
      </c>
      <c r="AH12" s="964">
        <f>SUM(AH7:AH11)</f>
        <v>10036.6087838</v>
      </c>
      <c r="AI12" s="565">
        <f>SUM(AI7:AI11)</f>
        <v>2410.0954801000003</v>
      </c>
      <c r="AJ12" s="565">
        <f>SUM(AJ7:AJ11)</f>
        <v>3166.4494575999993</v>
      </c>
      <c r="AK12" s="565">
        <f>SUM(AK7:AK11)</f>
        <v>3740.8540927000008</v>
      </c>
      <c r="AL12" s="565">
        <f>SUM(AL7:AL11)</f>
        <v>3645.4565795999997</v>
      </c>
      <c r="AM12" s="966">
        <f t="shared" ref="AM12" si="25">SUM(AM7:AM11)</f>
        <v>12962.855610000001</v>
      </c>
      <c r="AN12" s="565">
        <f>SUM(AN7:AN11)</f>
        <v>4597.1770754000008</v>
      </c>
      <c r="AO12" s="565">
        <f>SUM(AO7:AO11)</f>
        <v>5787.9277888000006</v>
      </c>
      <c r="AP12" s="565">
        <f>SUM(AP7:AP11)</f>
        <v>7672.4688192999974</v>
      </c>
      <c r="AQ12" s="565">
        <f>SUM(AQ7:AQ11)</f>
        <v>11524.729206600001</v>
      </c>
      <c r="AR12" s="565">
        <f>SUM(AR7:AR11)</f>
        <v>2787.9178566000005</v>
      </c>
      <c r="AS12" s="964">
        <f>SUM(AS7:AS11)</f>
        <v>32370.220746700001</v>
      </c>
      <c r="AT12" s="565">
        <f>SUM(AT7:AT11)</f>
        <v>1952.1792859499999</v>
      </c>
      <c r="AU12" s="565">
        <f>SUM(AU7:AU11)</f>
        <v>2032.4448092</v>
      </c>
      <c r="AV12" s="565">
        <f>SUM(AV7:AV11)</f>
        <v>1981.1291597499996</v>
      </c>
      <c r="AW12" s="565">
        <f>SUM(AW7:AW11)</f>
        <v>2022.2896890499999</v>
      </c>
      <c r="AX12" s="966">
        <f>SUM(AX7:AX11)</f>
        <v>7988.0429439499994</v>
      </c>
      <c r="AY12" s="565">
        <f>SUM(AY7:AY11)</f>
        <v>2082.0759787499996</v>
      </c>
      <c r="AZ12" s="565">
        <f>SUM(AZ7:AZ11)</f>
        <v>2736.4773965499999</v>
      </c>
      <c r="BA12" s="565">
        <f>SUM(BA7:BA11)</f>
        <v>1925.8317966250002</v>
      </c>
      <c r="BB12" s="565">
        <f>SUM(BB7:BB11)</f>
        <v>2243.9382412200002</v>
      </c>
      <c r="BC12" s="964">
        <f t="shared" ref="BC12" si="26">SUM(BC7:BC11)</f>
        <v>8988.3234131450008</v>
      </c>
      <c r="BD12" s="565">
        <f>SUM(BD7:BD11)</f>
        <v>2202.2867936399998</v>
      </c>
      <c r="BE12" s="565">
        <f>SUM(BE7:BE11)</f>
        <v>2385.1245447000001</v>
      </c>
      <c r="BF12" s="565">
        <f>SUM(BF7:BF11)</f>
        <v>2649.2809597400005</v>
      </c>
      <c r="BG12" s="565">
        <f>SUM(BG7:BG11)</f>
        <v>2519.4826335000002</v>
      </c>
      <c r="BH12" s="565">
        <f>SUM(BH7:BH11)</f>
        <v>2645.1453520599998</v>
      </c>
      <c r="BI12" s="966">
        <f>SUM(BI7:BI11)</f>
        <v>12401.320283640001</v>
      </c>
      <c r="BJ12" s="565">
        <f>SUM(BJ7:BJ11)</f>
        <v>2764.3378248800004</v>
      </c>
      <c r="BK12" s="565">
        <f>SUM(BK7:BK11)</f>
        <v>2926.0634939249999</v>
      </c>
      <c r="BL12" s="565">
        <f>SUM(BL7:BL11)</f>
        <v>2835.7538184</v>
      </c>
      <c r="BM12" s="565">
        <f>SUM(BM7:BM11)</f>
        <v>3368.5231468750003</v>
      </c>
      <c r="BN12" s="964">
        <f>SUM(BN7:BN11)</f>
        <v>11894.678284080001</v>
      </c>
      <c r="BO12" s="565">
        <f>SUM(BO7:BO11)</f>
        <v>4005.3941361000007</v>
      </c>
      <c r="BP12" s="565">
        <f>SUM(BP7:BP11)</f>
        <v>2885.9743777499998</v>
      </c>
      <c r="BQ12" s="565">
        <f>SUM(BQ7:BQ11)</f>
        <v>2589.3692965999999</v>
      </c>
      <c r="BR12" s="565">
        <f>SUM(BR7:BR11)</f>
        <v>2580.1587198749994</v>
      </c>
      <c r="BS12" s="966">
        <f t="shared" ref="BS12" si="27">SUM(BS7:BS11)</f>
        <v>12060.896530325001</v>
      </c>
      <c r="BT12" s="565">
        <f>SUM(BT7:BT11)</f>
        <v>2654.6269945000004</v>
      </c>
      <c r="BU12" s="565">
        <f>SUM(BU7:BU11)</f>
        <v>3050.7370074999994</v>
      </c>
      <c r="BV12" s="565">
        <f>SUM(BV7:BV11)</f>
        <v>3197.6742625300003</v>
      </c>
      <c r="BW12" s="565">
        <f>SUM(BW7:BW11)</f>
        <v>3405.6218741800003</v>
      </c>
      <c r="BX12" s="565">
        <f>SUM(BX7:BX11)</f>
        <v>3261.6429010400002</v>
      </c>
      <c r="BY12" s="964">
        <f>SUM(BY7:BY11)</f>
        <v>15570.303039750001</v>
      </c>
      <c r="BZ12" s="565">
        <f>SUM(BZ7:BZ11)</f>
        <v>2930.5775118400002</v>
      </c>
      <c r="CA12" s="565">
        <f>SUM(CA7:CA11)</f>
        <v>3036.3645083899996</v>
      </c>
      <c r="CB12" s="565">
        <f>SUM(CB7:CB11)</f>
        <v>2824.5232080000001</v>
      </c>
      <c r="CC12" s="565">
        <f>SUM(CC7:CC11)</f>
        <v>2961.1656318200003</v>
      </c>
      <c r="CD12" s="966">
        <f>SUM(CD7:CD11)</f>
        <v>11752.63086005</v>
      </c>
      <c r="CE12" s="565">
        <f>SUM(CE7:CE11)</f>
        <v>2825.1440570099994</v>
      </c>
      <c r="CF12" s="565">
        <f>SUM(CF7:CF11)</f>
        <v>2719.6000347150002</v>
      </c>
      <c r="CG12" s="565">
        <f>SUM(CG7:CG11)</f>
        <v>2777.3629264999995</v>
      </c>
      <c r="CH12" s="565">
        <f>SUM(CH7:CH11)</f>
        <v>2696.9631350199993</v>
      </c>
      <c r="CI12" s="964">
        <f t="shared" ref="CI12" si="28">SUM(CI7:CI11)</f>
        <v>11019.070153244998</v>
      </c>
      <c r="CJ12" s="565">
        <f>SUM(CJ7:CJ11)</f>
        <v>2709.8969999999999</v>
      </c>
      <c r="CK12" s="565">
        <f>SUM(CK7:CK11)</f>
        <v>2690.867679</v>
      </c>
      <c r="CL12" s="565">
        <f>SUM(CL7:CL11)</f>
        <v>2536.4275024999993</v>
      </c>
      <c r="CM12" s="565">
        <f>SUM(CM7:CM11)</f>
        <v>2506.0888890000001</v>
      </c>
      <c r="CN12" s="565">
        <f>SUM(CN7:CN11)</f>
        <v>2652.4532404000006</v>
      </c>
      <c r="CO12" s="966">
        <f>SUM(CO7:CO11)</f>
        <v>13095.734310899999</v>
      </c>
      <c r="CP12" s="565">
        <f>SUM(CP7:CP11)</f>
        <v>2448.7177572000001</v>
      </c>
      <c r="CQ12" s="565">
        <f>SUM(CQ7:CQ11)</f>
        <v>2679.7506715300001</v>
      </c>
      <c r="CR12" s="565">
        <f>SUM(CR7:CR11)</f>
        <v>2889.1227866000013</v>
      </c>
      <c r="CS12" s="565">
        <f>SUM(CS7:CS11)</f>
        <v>3444.0586604999999</v>
      </c>
      <c r="CT12" s="964">
        <f>SUM(CT7:CT11)</f>
        <v>11461.649875830002</v>
      </c>
      <c r="CU12" s="565">
        <f>SUM(CU7:CU11)</f>
        <v>2521.0375205000005</v>
      </c>
      <c r="CV12" s="565">
        <f>SUM(CV7:CV11)</f>
        <v>3183.1043901200001</v>
      </c>
      <c r="CW12" s="565">
        <f>SUM(CW7:CW11)</f>
        <v>3837.8289169999994</v>
      </c>
      <c r="CX12" s="565">
        <f>SUM(CX7:CX11)</f>
        <v>4012.0760059999993</v>
      </c>
      <c r="CY12" s="966">
        <f t="shared" ref="CY12" si="29">SUM(CY7:CY11)</f>
        <v>13554.046833619999</v>
      </c>
      <c r="CZ12" s="565">
        <f>SUM(CZ7:CZ11)</f>
        <v>5375.5637740399989</v>
      </c>
      <c r="DA12" s="565">
        <f>SUM(DA7:DA11)</f>
        <v>6665.2786087800014</v>
      </c>
      <c r="DB12" s="565">
        <f>SUM(DB7:DB11)</f>
        <v>8740.8475965249963</v>
      </c>
      <c r="DC12" s="565">
        <f>SUM(DC7:DC11)</f>
        <v>7632.5476292500025</v>
      </c>
      <c r="DD12" s="565">
        <f>SUM(DD7:DD11)</f>
        <v>2715.7928969300001</v>
      </c>
      <c r="DE12" s="964">
        <f>SUM(DE7:DE11)</f>
        <v>31130.030505525006</v>
      </c>
    </row>
    <row r="16" spans="2:109">
      <c r="M16" s="961">
        <v>44348</v>
      </c>
      <c r="N16" s="534"/>
      <c r="O16" s="534"/>
      <c r="P16" s="534"/>
      <c r="Q16" s="534"/>
      <c r="R16" s="961">
        <v>44378</v>
      </c>
      <c r="S16" s="534"/>
      <c r="T16" s="534"/>
      <c r="U16" s="534"/>
      <c r="V16" s="534"/>
      <c r="W16" s="961">
        <v>44409</v>
      </c>
      <c r="X16" s="534"/>
      <c r="Y16" s="534"/>
      <c r="Z16" s="534"/>
      <c r="AA16" s="534"/>
      <c r="AB16" s="534"/>
      <c r="AC16" s="961">
        <v>44440</v>
      </c>
      <c r="AD16" s="534"/>
      <c r="AE16" s="534"/>
      <c r="AF16" s="534"/>
      <c r="AG16" s="534"/>
      <c r="AH16" s="961">
        <v>44470</v>
      </c>
      <c r="AI16" s="534"/>
      <c r="AJ16" s="534"/>
      <c r="AK16" s="534"/>
      <c r="AL16" s="534"/>
      <c r="AM16" s="961">
        <v>44501</v>
      </c>
      <c r="AN16" s="534"/>
      <c r="AO16" s="534"/>
      <c r="AP16" s="534"/>
      <c r="AQ16" s="534"/>
      <c r="AR16" s="534"/>
      <c r="AS16" s="961">
        <v>44531</v>
      </c>
      <c r="AT16" s="534"/>
      <c r="AU16" s="534"/>
      <c r="AV16" s="534"/>
      <c r="AW16" s="534"/>
      <c r="AX16" s="961">
        <v>44562</v>
      </c>
      <c r="AY16" s="534"/>
      <c r="AZ16" s="534"/>
      <c r="BA16" s="534"/>
      <c r="BB16" s="534"/>
      <c r="BC16" s="961">
        <v>44593</v>
      </c>
      <c r="BD16" s="534"/>
      <c r="BE16" s="534"/>
      <c r="BF16" s="534"/>
      <c r="BG16" s="534"/>
      <c r="BH16" s="534"/>
      <c r="BI16" s="961">
        <v>44621</v>
      </c>
      <c r="BJ16" s="534"/>
      <c r="BK16" s="534"/>
      <c r="BL16" s="534"/>
      <c r="BM16" s="534"/>
      <c r="BN16" s="961">
        <v>44652</v>
      </c>
      <c r="BO16" s="534"/>
      <c r="BP16" s="534"/>
      <c r="BQ16" s="534"/>
      <c r="BR16" s="534"/>
      <c r="BS16" s="961">
        <v>44682</v>
      </c>
      <c r="BT16" s="534"/>
      <c r="BU16" s="534"/>
      <c r="BV16" s="534"/>
      <c r="BW16" s="534"/>
      <c r="BX16" s="534"/>
      <c r="BY16" s="961">
        <v>44713</v>
      </c>
      <c r="BZ16" s="534"/>
      <c r="CA16" s="534"/>
      <c r="CB16" s="534"/>
      <c r="CC16" s="534"/>
      <c r="CD16" s="961">
        <v>44743</v>
      </c>
      <c r="CE16" s="534"/>
      <c r="CF16" s="534"/>
      <c r="CG16" s="534"/>
      <c r="CH16" s="534"/>
      <c r="CI16" s="961">
        <v>44774</v>
      </c>
      <c r="CJ16" s="534"/>
      <c r="CK16" s="534"/>
      <c r="CL16" s="534"/>
      <c r="CM16" s="534"/>
      <c r="CN16" s="534"/>
      <c r="CO16" s="961">
        <v>44805</v>
      </c>
      <c r="CP16" s="534"/>
      <c r="CQ16" s="534"/>
      <c r="CR16" s="534"/>
      <c r="CS16" s="534"/>
      <c r="CT16" s="961">
        <v>44835</v>
      </c>
      <c r="CU16" s="534"/>
      <c r="CV16" s="534"/>
      <c r="CW16" s="534"/>
      <c r="CX16" s="534"/>
      <c r="CY16" s="961">
        <v>44866</v>
      </c>
      <c r="CZ16" s="534"/>
      <c r="DA16" s="534"/>
      <c r="DB16" s="534"/>
      <c r="DC16" s="534"/>
      <c r="DD16" s="534"/>
      <c r="DE16" s="961">
        <v>44896</v>
      </c>
    </row>
    <row r="17" spans="2:109">
      <c r="M17" s="958">
        <v>13183.787785351864</v>
      </c>
      <c r="N17" s="563"/>
      <c r="O17" s="563"/>
      <c r="P17" s="563"/>
      <c r="Q17" s="563"/>
      <c r="R17" s="958">
        <v>10719.695588241329</v>
      </c>
      <c r="S17" s="563"/>
      <c r="T17" s="563"/>
      <c r="U17" s="563"/>
      <c r="V17" s="563"/>
      <c r="W17" s="958">
        <v>10628.942585998311</v>
      </c>
      <c r="X17" s="563"/>
      <c r="Y17" s="563"/>
      <c r="Z17" s="563"/>
      <c r="AA17" s="563"/>
      <c r="AB17" s="563"/>
      <c r="AC17" s="958">
        <v>12676.747752946276</v>
      </c>
      <c r="AD17" s="563"/>
      <c r="AE17" s="563"/>
      <c r="AF17" s="563"/>
      <c r="AG17" s="563"/>
      <c r="AH17" s="958">
        <v>12633.122874000002</v>
      </c>
      <c r="AI17" s="563"/>
      <c r="AJ17" s="563"/>
      <c r="AK17" s="563"/>
      <c r="AL17" s="563"/>
      <c r="AM17" s="958">
        <v>15096.680337000002</v>
      </c>
      <c r="AN17" s="563"/>
      <c r="AO17" s="563"/>
      <c r="AP17" s="563"/>
      <c r="AQ17" s="563"/>
      <c r="AR17" s="563"/>
      <c r="AS17" s="958">
        <v>36767.124842250007</v>
      </c>
      <c r="AT17" s="563"/>
      <c r="AU17" s="563"/>
      <c r="AV17" s="563"/>
      <c r="AW17" s="563"/>
      <c r="AX17" s="958">
        <v>9724.9828204999994</v>
      </c>
      <c r="AY17" s="563"/>
      <c r="AZ17" s="563"/>
      <c r="BA17" s="563"/>
      <c r="BB17" s="563"/>
      <c r="BC17" s="958">
        <v>10800.508452000002</v>
      </c>
      <c r="BD17" s="563"/>
      <c r="BE17" s="563"/>
      <c r="BF17" s="563"/>
      <c r="BG17" s="563"/>
      <c r="BH17" s="563"/>
      <c r="BI17" s="958">
        <v>10150.754269999999</v>
      </c>
      <c r="BJ17" s="563"/>
      <c r="BK17" s="563"/>
      <c r="BL17" s="563"/>
      <c r="BM17" s="563"/>
      <c r="BN17" s="958">
        <v>13131.327826442355</v>
      </c>
      <c r="BO17" s="563"/>
      <c r="BP17" s="563"/>
      <c r="BQ17" s="563"/>
      <c r="BR17" s="563"/>
      <c r="BS17" s="958">
        <v>13404.574398533799</v>
      </c>
      <c r="BT17" s="563"/>
      <c r="BU17" s="563"/>
      <c r="BV17" s="563"/>
      <c r="BW17" s="563"/>
      <c r="BX17" s="563"/>
      <c r="BY17" s="958">
        <v>17143.622920054189</v>
      </c>
      <c r="BZ17" s="563"/>
      <c r="CA17" s="563"/>
      <c r="CB17" s="563"/>
      <c r="CC17" s="563"/>
      <c r="CD17" s="958">
        <v>13116.518105416664</v>
      </c>
      <c r="CE17" s="563"/>
      <c r="CF17" s="563"/>
      <c r="CG17" s="563"/>
      <c r="CH17" s="563"/>
      <c r="CI17" s="958">
        <v>11531.226554360319</v>
      </c>
      <c r="CJ17" s="563"/>
      <c r="CK17" s="563"/>
      <c r="CL17" s="563"/>
      <c r="CM17" s="563"/>
      <c r="CN17" s="563"/>
      <c r="CO17" s="958">
        <v>13307.524673113081</v>
      </c>
      <c r="CP17" s="563"/>
      <c r="CQ17" s="563"/>
      <c r="CR17" s="563"/>
      <c r="CS17" s="563"/>
      <c r="CT17" s="958">
        <v>11731.325775999998</v>
      </c>
      <c r="CU17" s="563"/>
      <c r="CV17" s="563"/>
      <c r="CW17" s="563"/>
      <c r="CX17" s="563"/>
      <c r="CY17" s="958">
        <v>13685.854646</v>
      </c>
      <c r="CZ17" s="563"/>
      <c r="DA17" s="563"/>
      <c r="DB17" s="563"/>
      <c r="DC17" s="563"/>
      <c r="DD17" s="563"/>
      <c r="DE17" s="958">
        <v>31678.010643499991</v>
      </c>
    </row>
    <row r="20" spans="2:109">
      <c r="B20" s="497" t="s">
        <v>525</v>
      </c>
    </row>
    <row r="21" spans="2:109">
      <c r="M21" s="960">
        <v>0.8</v>
      </c>
      <c r="N21" s="566"/>
      <c r="O21" s="566"/>
      <c r="P21" s="566"/>
      <c r="Q21" s="566"/>
      <c r="R21" s="960">
        <v>0.8</v>
      </c>
      <c r="S21" s="566"/>
      <c r="T21" s="566"/>
      <c r="U21" s="566"/>
      <c r="V21" s="566"/>
      <c r="W21" s="960">
        <v>0.8</v>
      </c>
      <c r="X21" s="566"/>
      <c r="Y21" s="566"/>
      <c r="Z21" s="566"/>
      <c r="AA21" s="566"/>
      <c r="AB21" s="566"/>
      <c r="AC21" s="960">
        <v>0.8</v>
      </c>
      <c r="AD21" s="566"/>
      <c r="AE21" s="566"/>
      <c r="AF21" s="566"/>
      <c r="AG21" s="566"/>
      <c r="AH21" s="960">
        <v>0.8</v>
      </c>
      <c r="AI21" s="566"/>
      <c r="AJ21" s="566"/>
      <c r="AK21" s="566"/>
      <c r="AL21" s="566"/>
      <c r="AM21" s="960">
        <v>0.8</v>
      </c>
      <c r="AN21" s="566"/>
      <c r="AO21" s="566"/>
      <c r="AP21" s="566"/>
      <c r="AQ21" s="566"/>
      <c r="AR21" s="566"/>
      <c r="AS21" s="960">
        <v>0.8</v>
      </c>
      <c r="AT21" s="566"/>
      <c r="AU21" s="566"/>
      <c r="AV21" s="566"/>
      <c r="AW21" s="566"/>
      <c r="AX21" s="960">
        <v>1</v>
      </c>
      <c r="AY21" s="566"/>
      <c r="AZ21" s="566"/>
      <c r="BA21" s="566"/>
      <c r="BB21" s="566"/>
      <c r="BC21" s="960">
        <v>1</v>
      </c>
      <c r="BD21" s="566"/>
      <c r="BE21" s="566"/>
      <c r="BF21" s="566"/>
      <c r="BG21" s="566"/>
      <c r="BH21" s="566"/>
      <c r="BI21" s="960">
        <v>1</v>
      </c>
      <c r="BJ21" s="566"/>
      <c r="BK21" s="566"/>
      <c r="BL21" s="566"/>
      <c r="BM21" s="566"/>
      <c r="BN21" s="960">
        <v>1</v>
      </c>
      <c r="BO21" s="566"/>
      <c r="BP21" s="566"/>
      <c r="BQ21" s="566"/>
      <c r="BR21" s="566"/>
      <c r="BS21" s="960">
        <v>1</v>
      </c>
      <c r="BT21" s="566"/>
      <c r="BU21" s="566"/>
      <c r="BV21" s="566"/>
      <c r="BW21" s="566"/>
      <c r="BX21" s="566"/>
      <c r="BY21" s="960">
        <v>1</v>
      </c>
      <c r="BZ21" s="566"/>
      <c r="CA21" s="566"/>
      <c r="CB21" s="566"/>
      <c r="CC21" s="566"/>
      <c r="CD21" s="960">
        <v>1</v>
      </c>
      <c r="CE21" s="566"/>
      <c r="CF21" s="566"/>
      <c r="CG21" s="566"/>
      <c r="CH21" s="566"/>
      <c r="CI21" s="960">
        <v>1</v>
      </c>
      <c r="CJ21" s="566"/>
      <c r="CK21" s="566"/>
      <c r="CL21" s="566"/>
      <c r="CM21" s="566"/>
      <c r="CN21" s="566"/>
      <c r="CO21" s="960">
        <v>1</v>
      </c>
      <c r="CP21" s="566"/>
      <c r="CQ21" s="566"/>
      <c r="CR21" s="566"/>
      <c r="CS21" s="566"/>
      <c r="CT21" s="960">
        <v>1</v>
      </c>
      <c r="CU21" s="566"/>
      <c r="CV21" s="566"/>
      <c r="CW21" s="566"/>
      <c r="CX21" s="566"/>
      <c r="CY21" s="960">
        <v>1</v>
      </c>
      <c r="CZ21" s="566"/>
      <c r="DA21" s="566"/>
      <c r="DB21" s="566"/>
      <c r="DC21" s="566"/>
      <c r="DD21" s="566"/>
      <c r="DE21" s="960">
        <v>1</v>
      </c>
    </row>
    <row r="22" spans="2:109">
      <c r="M22" s="961">
        <v>44348</v>
      </c>
      <c r="N22" s="534"/>
      <c r="O22" s="534"/>
      <c r="P22" s="534"/>
      <c r="Q22" s="534"/>
      <c r="R22" s="961">
        <v>44378</v>
      </c>
      <c r="S22" s="534"/>
      <c r="T22" s="534"/>
      <c r="U22" s="534"/>
      <c r="V22" s="534"/>
      <c r="W22" s="961">
        <v>44409</v>
      </c>
      <c r="X22" s="534"/>
      <c r="Y22" s="534"/>
      <c r="Z22" s="534"/>
      <c r="AA22" s="534"/>
      <c r="AB22" s="534"/>
      <c r="AC22" s="961">
        <v>44440</v>
      </c>
      <c r="AD22" s="534"/>
      <c r="AE22" s="534"/>
      <c r="AF22" s="534"/>
      <c r="AG22" s="534"/>
      <c r="AH22" s="961">
        <v>44470</v>
      </c>
      <c r="AI22" s="534"/>
      <c r="AJ22" s="534"/>
      <c r="AK22" s="534"/>
      <c r="AL22" s="534"/>
      <c r="AM22" s="961">
        <v>44501</v>
      </c>
      <c r="AN22" s="534"/>
      <c r="AO22" s="534"/>
      <c r="AP22" s="534"/>
      <c r="AQ22" s="534"/>
      <c r="AR22" s="534"/>
      <c r="AS22" s="961">
        <v>44531</v>
      </c>
      <c r="AT22" s="534"/>
      <c r="AU22" s="534"/>
      <c r="AV22" s="534"/>
      <c r="AW22" s="534"/>
      <c r="AX22" s="961">
        <v>44562</v>
      </c>
      <c r="AY22" s="534"/>
      <c r="AZ22" s="534"/>
      <c r="BA22" s="534"/>
      <c r="BB22" s="534"/>
      <c r="BC22" s="961">
        <v>44593</v>
      </c>
      <c r="BD22" s="534"/>
      <c r="BE22" s="534"/>
      <c r="BF22" s="534"/>
      <c r="BG22" s="534"/>
      <c r="BH22" s="534"/>
      <c r="BI22" s="961">
        <v>44621</v>
      </c>
      <c r="BJ22" s="534"/>
      <c r="BK22" s="534"/>
      <c r="BL22" s="534"/>
      <c r="BM22" s="534"/>
      <c r="BN22" s="961">
        <v>44652</v>
      </c>
      <c r="BO22" s="534"/>
      <c r="BP22" s="534"/>
      <c r="BQ22" s="534"/>
      <c r="BR22" s="534"/>
      <c r="BS22" s="961">
        <v>44682</v>
      </c>
      <c r="BT22" s="534"/>
      <c r="BU22" s="534"/>
      <c r="BV22" s="534"/>
      <c r="BW22" s="534"/>
      <c r="BX22" s="534"/>
      <c r="BY22" s="961">
        <v>44713</v>
      </c>
      <c r="BZ22" s="534"/>
      <c r="CA22" s="534"/>
      <c r="CB22" s="534"/>
      <c r="CC22" s="534"/>
      <c r="CD22" s="961">
        <v>44743</v>
      </c>
      <c r="CE22" s="534"/>
      <c r="CF22" s="534"/>
      <c r="CG22" s="534"/>
      <c r="CH22" s="534"/>
      <c r="CI22" s="961">
        <v>44774</v>
      </c>
      <c r="CJ22" s="534"/>
      <c r="CK22" s="534"/>
      <c r="CL22" s="534"/>
      <c r="CM22" s="534"/>
      <c r="CN22" s="534"/>
      <c r="CO22" s="961">
        <v>44805</v>
      </c>
      <c r="CP22" s="534"/>
      <c r="CQ22" s="534"/>
      <c r="CR22" s="534"/>
      <c r="CS22" s="534"/>
      <c r="CT22" s="961">
        <v>44835</v>
      </c>
      <c r="CU22" s="534"/>
      <c r="CV22" s="534"/>
      <c r="CW22" s="534"/>
      <c r="CX22" s="534"/>
      <c r="CY22" s="961">
        <v>44866</v>
      </c>
      <c r="CZ22" s="534"/>
      <c r="DA22" s="534"/>
      <c r="DB22" s="534"/>
      <c r="DC22" s="534"/>
      <c r="DD22" s="534"/>
      <c r="DE22" s="961">
        <v>44896</v>
      </c>
    </row>
    <row r="23" spans="2:109">
      <c r="B23" s="423" t="s">
        <v>38</v>
      </c>
      <c r="C23" s="563" t="e">
        <f>#REF!/1000</f>
        <v>#REF!</v>
      </c>
      <c r="D23" s="563" t="e">
        <f>#REF!/1000</f>
        <v>#REF!</v>
      </c>
      <c r="E23" s="563" t="e">
        <f>#REF!/1000</f>
        <v>#REF!</v>
      </c>
      <c r="F23" s="563" t="e">
        <f>#REF!/1000</f>
        <v>#REF!</v>
      </c>
      <c r="G23" s="563" t="e">
        <f>#REF!/1000</f>
        <v>#REF!</v>
      </c>
      <c r="H23" s="563">
        <f>'Proy 2021 vs 2019 Sem'!EA35/1000</f>
        <v>2467.4263799999999</v>
      </c>
      <c r="I23" s="563">
        <f>('Proy 2021 vs 2019 Sem'!EC35*0.85)/1000</f>
        <v>2696.3591539999998</v>
      </c>
      <c r="J23" s="563">
        <f>('Proy 2021 vs 2019 Sem'!EH35*0.85)/1000</f>
        <v>2834.3683414999996</v>
      </c>
      <c r="K23" s="563">
        <f>('Proy 2021 vs 2019 Sem'!EM35*0.85)/1000</f>
        <v>2885.8986989999999</v>
      </c>
      <c r="L23" s="563">
        <f>('Proy 2021 vs 2019 Sem'!ER35*0.85)/1000</f>
        <v>2749.3894554999993</v>
      </c>
      <c r="M23" s="958">
        <f>(('Proy 2021 vs 2019 Sem'!DX35+'Proy 2021 vs 2019 Sem'!EC35+'Proy 2021 vs 2019 Sem'!EH35+'Proy 2021 vs 2019 Sem'!EM35+'Proy 2021 vs 2019 Sem'!ER35)/1000)*M21</f>
        <v>12740.596888</v>
      </c>
      <c r="N23" s="563"/>
      <c r="O23" s="563"/>
      <c r="P23" s="563"/>
      <c r="Q23" s="563"/>
      <c r="R23" s="958">
        <f>('Proy 2021 vs 2019 Sem'!FA35+'Proy 2021 vs 2019 Sem'!FF35+'Proy 2021 vs 2019 Sem'!FK35+'Proy 2021 vs 2019 Sem'!FP35)*R21/1000</f>
        <v>9674.1957680000032</v>
      </c>
      <c r="S23" s="563"/>
      <c r="T23" s="563"/>
      <c r="U23" s="563"/>
      <c r="V23" s="563"/>
      <c r="W23" s="958">
        <f>(('Proy 2021 vs 2019 Sem'!FY35+'Proy 2021 vs 2019 Sem'!GD35+'Proy 2021 vs 2019 Sem'!GI35+'Proy 2021 vs 2019 Sem'!GN35)/1000)*W21</f>
        <v>9342.4451360000003</v>
      </c>
      <c r="X23" s="563"/>
      <c r="Y23" s="563"/>
      <c r="Z23" s="563"/>
      <c r="AA23" s="563"/>
      <c r="AB23" s="563"/>
      <c r="AC23" s="958">
        <f>(('Proy 2021 vs 2019 Sem'!GW35+'Proy 2021 vs 2019 Sem'!HB35+'Proy 2021 vs 2019 Sem'!HG35+'Proy 2021 vs 2019 Sem'!HL35+'Proy 2021 vs 2019 Sem'!HQ35)/1000)*AC21</f>
        <v>11369.382848000003</v>
      </c>
      <c r="AD23" s="563"/>
      <c r="AE23" s="563"/>
      <c r="AF23" s="563"/>
      <c r="AG23" s="563"/>
      <c r="AH23" s="958">
        <f>(('Proy 2021 vs 2019 Sem'!HZ35+'Proy 2021 vs 2019 Sem'!IE35+'Proy 2021 vs 2019 Sem'!IJ35+'Proy 2021 vs 2019 Sem'!IO35)/1000)*AH21</f>
        <v>9674.2087040000006</v>
      </c>
      <c r="AI23" s="563"/>
      <c r="AJ23" s="563"/>
      <c r="AK23" s="563"/>
      <c r="AL23" s="563"/>
      <c r="AM23" s="958">
        <f>(('Proy 2021 vs 2019 Sem'!IX35+'Proy 2021 vs 2019 Sem'!JC35+'Proy 2021 vs 2019 Sem'!JH35+'Proy 2021 vs 2019 Sem'!JM35)/1000)*AM21</f>
        <v>11507.940712000001</v>
      </c>
      <c r="AN23" s="563"/>
      <c r="AO23" s="563"/>
      <c r="AP23" s="563"/>
      <c r="AQ23" s="563"/>
      <c r="AR23" s="563"/>
      <c r="AS23" s="958">
        <f>(('Proy 2021 vs 2019 Sem'!JW35+'Proy 2021 vs 2019 Sem'!KB35+'Proy 2021 vs 2019 Sem'!KG35+'Proy 2021 vs 2019 Sem'!KL35+'Proy 2021 vs 2019 Sem'!KQ35)/1000)*AS21</f>
        <v>26580.969856</v>
      </c>
      <c r="AT23" s="563"/>
      <c r="AU23" s="563"/>
      <c r="AV23" s="563"/>
      <c r="AW23" s="563"/>
      <c r="AX23" s="958">
        <f>(('Proy 2022 vs 2019 sem'!C35+'Proy 2022 vs 2019 sem'!H35+'Proy 2022 vs 2019 sem'!M35+'Proy 2022 vs 2019 sem'!R35)/1000)*AX21</f>
        <v>8016.9342999999999</v>
      </c>
      <c r="AY23" s="563"/>
      <c r="AZ23" s="563"/>
      <c r="BA23" s="563"/>
      <c r="BB23" s="563"/>
      <c r="BC23" s="958">
        <f>(('Proy 2022 vs 2019 sem'!AA35+'Proy 2022 vs 2019 sem'!AF35+'Proy 2022 vs 2019 sem'!AK35+'Proy 2022 vs 2019 sem'!AP35)/1000)*BC21</f>
        <v>8969.8817400000007</v>
      </c>
      <c r="BD23" s="563"/>
      <c r="BE23" s="563"/>
      <c r="BF23" s="563"/>
      <c r="BG23" s="563"/>
      <c r="BH23" s="563"/>
      <c r="BI23" s="958">
        <f>(('Proy 2022 vs 2019 sem'!AY35+'Proy 2022 vs 2019 sem'!BD35+'Proy 2022 vs 2019 sem'!BI35+'Proy 2022 vs 2019 sem'!BN35+'Proy 2022 vs 2019 sem'!BS35)/1000)*BI21</f>
        <v>12378.041710000001</v>
      </c>
      <c r="BJ23" s="563"/>
      <c r="BK23" s="563"/>
      <c r="BL23" s="563"/>
      <c r="BM23" s="563"/>
      <c r="BN23" s="958">
        <f>(('Proy 2022 vs 2019 sem'!CB35+'Proy 2022 vs 2019 sem'!CG35+'Proy 2022 vs 2019 sem'!CL35+'Proy 2022 vs 2019 sem'!CQ35)/1000)*BN21</f>
        <v>11930.252790000002</v>
      </c>
      <c r="BO23" s="563"/>
      <c r="BP23" s="563"/>
      <c r="BQ23" s="563"/>
      <c r="BR23" s="563"/>
      <c r="BS23" s="958">
        <f>(('Proy 2022 vs 2019 sem'!CZ35+'Proy 2022 vs 2019 sem'!DE35+'Proy 2022 vs 2019 sem'!DJ35+'Proy 2022 vs 2019 sem'!DO35)/1000)*BS21</f>
        <v>12062.41771</v>
      </c>
      <c r="BT23" s="563"/>
      <c r="BU23" s="563"/>
      <c r="BV23" s="563"/>
      <c r="BW23" s="563"/>
      <c r="BX23" s="563"/>
      <c r="BY23" s="958">
        <f>(('Proy 2022 vs 2019 sem'!DX35+'Proy 2022 vs 2019 sem'!EC35+'Proy 2022 vs 2019 sem'!EH35+'Proy 2022 vs 2019 sem'!EM35+'Proy 2022 vs 2019 sem'!ER35)/1000)*BY21</f>
        <v>15580.199299999998</v>
      </c>
      <c r="BZ23" s="563"/>
      <c r="CA23" s="563"/>
      <c r="CB23" s="563"/>
      <c r="CC23" s="563"/>
      <c r="CD23" s="958">
        <f>(('Proy 2022 vs 2019 sem'!FA35+'Proy 2022 vs 2019 sem'!FF35+'Proy 2022 vs 2019 sem'!FK35+'Proy 2022 vs 2019 sem'!FP35)/1000)*CD21</f>
        <v>11781.094960000002</v>
      </c>
      <c r="CE23" s="563"/>
      <c r="CF23" s="563"/>
      <c r="CG23" s="563"/>
      <c r="CH23" s="563"/>
      <c r="CI23" s="958">
        <f>(('Proy 2022 vs 2019 sem'!FY35+'Proy 2022 vs 2019 sem'!GD35+'Proy 2022 vs 2019 sem'!GI35+'Proy 2022 vs 2019 sem'!GN35+'Proy 2022 vs 2019 sem'!Y35)/1000)*CI21</f>
        <v>11004.8948</v>
      </c>
      <c r="CJ23" s="563"/>
      <c r="CK23" s="563"/>
      <c r="CL23" s="563"/>
      <c r="CM23" s="563"/>
      <c r="CN23" s="563"/>
      <c r="CO23" s="958">
        <f>(('Proy 2022 vs 2019 sem'!GW35+'Proy 2022 vs 2019 sem'!HB35+'Proy 2022 vs 2019 sem'!HG35+'Proy 2022 vs 2019 sem'!HL35+'Proy 2022 vs 2019 sem'!HQ35)/1000)*CO21</f>
        <v>13084.143700000002</v>
      </c>
      <c r="CP23" s="563"/>
      <c r="CQ23" s="563"/>
      <c r="CR23" s="563"/>
      <c r="CS23" s="563"/>
      <c r="CT23" s="958">
        <f>(('Proy 2022 vs 2019 sem'!HZ35+'Proy 2022 vs 2019 sem'!IE35+'Proy 2022 vs 2019 sem'!IJ35+'Proy 2022 vs 2019 sem'!IO35)/1000)*CT21</f>
        <v>11406.50518</v>
      </c>
      <c r="CU23" s="563"/>
      <c r="CV23" s="563"/>
      <c r="CW23" s="563"/>
      <c r="CX23" s="563"/>
      <c r="CY23" s="958">
        <f>(('Proy 2022 vs 2019 sem'!IX35+'Proy 2022 vs 2019 sem'!JC35+'Proy 2022 vs 2019 sem'!JH35+'Proy 2022 vs 2019 sem'!JM35)/1000)*CY21</f>
        <v>13544.550399999998</v>
      </c>
      <c r="CZ23" s="563"/>
      <c r="DA23" s="563"/>
      <c r="DB23" s="563"/>
      <c r="DC23" s="563"/>
      <c r="DD23" s="563"/>
      <c r="DE23" s="958">
        <f>(('Proy 2022 vs 2019 sem'!JV35+'Proy 2022 vs 2019 sem'!KA35+'Proy 2022 vs 2019 sem'!KF35+'Proy 2022 vs 2019 sem'!KK35+'Proy 2022 vs 2019 sem'!KP35)/1000)*DE21</f>
        <v>31237.951049999996</v>
      </c>
    </row>
    <row r="25" spans="2:109">
      <c r="B25" s="470" t="s">
        <v>488</v>
      </c>
      <c r="C25" s="461"/>
      <c r="D25" s="461"/>
      <c r="E25" s="461"/>
      <c r="F25" s="461"/>
      <c r="G25" s="461"/>
      <c r="H25" s="461"/>
      <c r="I25" s="461"/>
      <c r="J25" s="461"/>
      <c r="K25" s="461"/>
      <c r="L25" s="461"/>
      <c r="M25" s="962"/>
      <c r="N25" s="461"/>
      <c r="O25" s="461"/>
      <c r="P25" s="461"/>
      <c r="Q25" s="461"/>
      <c r="R25" s="962"/>
      <c r="S25" s="461"/>
      <c r="T25" s="461"/>
      <c r="U25" s="461"/>
      <c r="V25" s="461"/>
      <c r="W25" s="962"/>
      <c r="X25" s="461"/>
      <c r="Y25" s="461"/>
      <c r="Z25" s="461"/>
      <c r="AA25" s="461"/>
      <c r="AB25" s="461"/>
      <c r="AC25" s="962"/>
      <c r="AD25" s="461"/>
      <c r="AE25" s="461"/>
      <c r="AF25" s="461"/>
      <c r="AG25" s="461"/>
      <c r="AH25" s="962"/>
      <c r="AI25" s="461"/>
      <c r="AJ25" s="461"/>
      <c r="AK25" s="461"/>
      <c r="AL25" s="461"/>
      <c r="AM25" s="962"/>
      <c r="AN25" s="461"/>
      <c r="AO25" s="461"/>
      <c r="AP25" s="461"/>
      <c r="AQ25" s="461"/>
      <c r="AR25" s="461"/>
      <c r="AS25" s="962"/>
      <c r="AT25" s="461"/>
      <c r="AU25" s="461"/>
      <c r="AV25" s="461"/>
      <c r="AW25" s="461"/>
      <c r="AX25" s="962"/>
      <c r="AY25" s="461"/>
      <c r="AZ25" s="461"/>
      <c r="BA25" s="461"/>
      <c r="BB25" s="461"/>
      <c r="BC25" s="962"/>
      <c r="BD25" s="461"/>
      <c r="BE25" s="461"/>
      <c r="BF25" s="461"/>
      <c r="BG25" s="461"/>
      <c r="BH25" s="461"/>
      <c r="BI25" s="461"/>
      <c r="BJ25" s="461"/>
      <c r="BK25" s="461"/>
      <c r="BL25" s="461"/>
      <c r="BM25" s="461"/>
      <c r="BN25" s="962"/>
      <c r="BO25" s="461"/>
      <c r="BP25" s="461"/>
      <c r="BQ25" s="461"/>
      <c r="BR25" s="461"/>
      <c r="BS25" s="962"/>
      <c r="BT25" s="461"/>
      <c r="BU25" s="461"/>
      <c r="BV25" s="461"/>
      <c r="BW25" s="461"/>
      <c r="BX25" s="461"/>
      <c r="BY25" s="962"/>
      <c r="BZ25" s="461"/>
      <c r="CA25" s="461"/>
      <c r="CB25" s="461"/>
      <c r="CC25" s="461"/>
      <c r="CD25" s="962"/>
      <c r="CE25" s="461"/>
      <c r="CF25" s="461"/>
      <c r="CG25" s="461"/>
      <c r="CH25" s="461"/>
      <c r="CI25" s="962"/>
      <c r="CJ25" s="461"/>
      <c r="CK25" s="461"/>
      <c r="CL25" s="461"/>
      <c r="CM25" s="461"/>
      <c r="CN25" s="461"/>
      <c r="CO25" s="962"/>
      <c r="CP25" s="461"/>
      <c r="CQ25" s="461"/>
      <c r="CR25" s="461"/>
      <c r="CS25" s="461"/>
      <c r="CT25" s="962"/>
      <c r="CU25" s="461"/>
      <c r="CV25" s="461"/>
      <c r="CW25" s="461"/>
      <c r="CX25" s="461"/>
      <c r="CY25" s="962"/>
      <c r="CZ25" s="461"/>
      <c r="DA25" s="461"/>
      <c r="DB25" s="461"/>
      <c r="DC25" s="461"/>
      <c r="DD25" s="461"/>
      <c r="DE25" s="962"/>
    </row>
    <row r="26" spans="2:109">
      <c r="B26" s="471" t="s">
        <v>489</v>
      </c>
      <c r="C26" s="468" t="e">
        <f>C23*0.5</f>
        <v>#REF!</v>
      </c>
      <c r="D26" s="468" t="e">
        <f t="shared" ref="D26:DE26" si="30">D23*0.5</f>
        <v>#REF!</v>
      </c>
      <c r="E26" s="468" t="e">
        <f t="shared" si="30"/>
        <v>#REF!</v>
      </c>
      <c r="F26" s="468" t="e">
        <f t="shared" si="30"/>
        <v>#REF!</v>
      </c>
      <c r="G26" s="468" t="e">
        <f t="shared" si="30"/>
        <v>#REF!</v>
      </c>
      <c r="H26" s="468">
        <f t="shared" si="30"/>
        <v>1233.7131899999999</v>
      </c>
      <c r="I26" s="468">
        <f t="shared" si="30"/>
        <v>1348.1795769999999</v>
      </c>
      <c r="J26" s="468">
        <f t="shared" si="30"/>
        <v>1417.1841707499998</v>
      </c>
      <c r="K26" s="468">
        <f t="shared" si="30"/>
        <v>1442.9493494999999</v>
      </c>
      <c r="L26" s="468">
        <f t="shared" si="30"/>
        <v>1374.6947277499996</v>
      </c>
      <c r="M26" s="963">
        <f t="shared" si="30"/>
        <v>6370.298444</v>
      </c>
      <c r="N26" s="468"/>
      <c r="O26" s="468"/>
      <c r="P26" s="468"/>
      <c r="Q26" s="468"/>
      <c r="R26" s="963">
        <f>R23*0.5</f>
        <v>4837.0978840000016</v>
      </c>
      <c r="S26" s="468"/>
      <c r="T26" s="468"/>
      <c r="U26" s="468"/>
      <c r="V26" s="468"/>
      <c r="W26" s="963">
        <f t="shared" si="30"/>
        <v>4671.2225680000001</v>
      </c>
      <c r="X26" s="468"/>
      <c r="Y26" s="468"/>
      <c r="Z26" s="468"/>
      <c r="AA26" s="468"/>
      <c r="AB26" s="468"/>
      <c r="AC26" s="963">
        <f t="shared" si="30"/>
        <v>5684.6914240000015</v>
      </c>
      <c r="AD26" s="468"/>
      <c r="AE26" s="468"/>
      <c r="AF26" s="468"/>
      <c r="AG26" s="468"/>
      <c r="AH26" s="963">
        <f t="shared" si="30"/>
        <v>4837.1043520000003</v>
      </c>
      <c r="AI26" s="468"/>
      <c r="AJ26" s="468"/>
      <c r="AK26" s="468"/>
      <c r="AL26" s="468"/>
      <c r="AM26" s="963">
        <f t="shared" si="30"/>
        <v>5753.9703560000007</v>
      </c>
      <c r="AN26" s="468"/>
      <c r="AO26" s="468"/>
      <c r="AP26" s="468"/>
      <c r="AQ26" s="468"/>
      <c r="AR26" s="468"/>
      <c r="AS26" s="963">
        <f t="shared" si="30"/>
        <v>13290.484928</v>
      </c>
      <c r="AT26" s="468"/>
      <c r="AU26" s="468"/>
      <c r="AV26" s="468"/>
      <c r="AW26" s="468"/>
      <c r="AX26" s="963">
        <f t="shared" si="30"/>
        <v>4008.4671499999999</v>
      </c>
      <c r="AY26" s="468"/>
      <c r="AZ26" s="468"/>
      <c r="BA26" s="468"/>
      <c r="BB26" s="468"/>
      <c r="BC26" s="963">
        <f t="shared" si="30"/>
        <v>4484.9408700000004</v>
      </c>
      <c r="BD26" s="468"/>
      <c r="BE26" s="468"/>
      <c r="BF26" s="468"/>
      <c r="BG26" s="468"/>
      <c r="BH26" s="468"/>
      <c r="BI26" s="963">
        <f t="shared" si="30"/>
        <v>6189.0208550000007</v>
      </c>
      <c r="BJ26" s="468"/>
      <c r="BK26" s="468"/>
      <c r="BL26" s="468"/>
      <c r="BM26" s="468"/>
      <c r="BN26" s="963">
        <f t="shared" si="30"/>
        <v>5965.1263950000011</v>
      </c>
      <c r="BO26" s="468"/>
      <c r="BP26" s="468"/>
      <c r="BQ26" s="468"/>
      <c r="BR26" s="468"/>
      <c r="BS26" s="963">
        <f t="shared" si="30"/>
        <v>6031.2088549999999</v>
      </c>
      <c r="BT26" s="468"/>
      <c r="BU26" s="468"/>
      <c r="BV26" s="468"/>
      <c r="BW26" s="468"/>
      <c r="BX26" s="468"/>
      <c r="BY26" s="963">
        <f t="shared" si="30"/>
        <v>7790.0996499999992</v>
      </c>
      <c r="BZ26" s="468"/>
      <c r="CA26" s="468"/>
      <c r="CB26" s="468"/>
      <c r="CC26" s="468"/>
      <c r="CD26" s="963">
        <f t="shared" si="30"/>
        <v>5890.5474800000011</v>
      </c>
      <c r="CE26" s="468"/>
      <c r="CF26" s="468"/>
      <c r="CG26" s="468"/>
      <c r="CH26" s="468"/>
      <c r="CI26" s="963">
        <f t="shared" si="30"/>
        <v>5502.4474</v>
      </c>
      <c r="CJ26" s="468"/>
      <c r="CK26" s="468"/>
      <c r="CL26" s="468"/>
      <c r="CM26" s="468"/>
      <c r="CN26" s="468"/>
      <c r="CO26" s="963">
        <f t="shared" si="30"/>
        <v>6542.0718500000012</v>
      </c>
      <c r="CP26" s="468"/>
      <c r="CQ26" s="468"/>
      <c r="CR26" s="468"/>
      <c r="CS26" s="468"/>
      <c r="CT26" s="963">
        <f t="shared" si="30"/>
        <v>5703.2525900000001</v>
      </c>
      <c r="CU26" s="468"/>
      <c r="CV26" s="468"/>
      <c r="CW26" s="468"/>
      <c r="CX26" s="468"/>
      <c r="CY26" s="963">
        <f t="shared" si="30"/>
        <v>6772.2751999999991</v>
      </c>
      <c r="CZ26" s="468"/>
      <c r="DA26" s="468"/>
      <c r="DB26" s="468"/>
      <c r="DC26" s="468"/>
      <c r="DD26" s="468"/>
      <c r="DE26" s="963">
        <f t="shared" si="30"/>
        <v>15618.975524999998</v>
      </c>
    </row>
    <row r="27" spans="2:109">
      <c r="B27" s="471" t="s">
        <v>490</v>
      </c>
      <c r="C27" s="469" t="e">
        <f>(C23*0.5)*0.1</f>
        <v>#REF!</v>
      </c>
      <c r="D27" s="469" t="e">
        <f t="shared" ref="D27:DE27" si="31">(D23*0.5)*0.1</f>
        <v>#REF!</v>
      </c>
      <c r="E27" s="469" t="e">
        <f t="shared" si="31"/>
        <v>#REF!</v>
      </c>
      <c r="F27" s="469" t="e">
        <f t="shared" si="31"/>
        <v>#REF!</v>
      </c>
      <c r="G27" s="469" t="e">
        <f t="shared" si="31"/>
        <v>#REF!</v>
      </c>
      <c r="H27" s="469">
        <f t="shared" si="31"/>
        <v>123.371319</v>
      </c>
      <c r="I27" s="469">
        <f t="shared" ref="I27:L27" si="32">(I23*0.5)*0.1</f>
        <v>134.81795769999999</v>
      </c>
      <c r="J27" s="469">
        <f t="shared" si="32"/>
        <v>141.71841707499999</v>
      </c>
      <c r="K27" s="469">
        <f t="shared" si="32"/>
        <v>144.29493495</v>
      </c>
      <c r="L27" s="469">
        <f t="shared" si="32"/>
        <v>137.46947277499996</v>
      </c>
      <c r="M27" s="565">
        <f t="shared" si="31"/>
        <v>637.0298444</v>
      </c>
      <c r="N27" s="469"/>
      <c r="O27" s="469"/>
      <c r="P27" s="469"/>
      <c r="Q27" s="469"/>
      <c r="R27" s="565">
        <f t="shared" si="31"/>
        <v>483.70978840000021</v>
      </c>
      <c r="S27" s="469"/>
      <c r="T27" s="469"/>
      <c r="U27" s="469"/>
      <c r="V27" s="469"/>
      <c r="W27" s="565">
        <f t="shared" si="31"/>
        <v>467.12225680000006</v>
      </c>
      <c r="X27" s="469"/>
      <c r="Y27" s="469"/>
      <c r="Z27" s="469"/>
      <c r="AA27" s="469"/>
      <c r="AB27" s="469"/>
      <c r="AC27" s="565">
        <f t="shared" si="31"/>
        <v>568.46914240000012</v>
      </c>
      <c r="AD27" s="469"/>
      <c r="AE27" s="469"/>
      <c r="AF27" s="469"/>
      <c r="AG27" s="469"/>
      <c r="AH27" s="565">
        <f t="shared" si="31"/>
        <v>483.71043520000006</v>
      </c>
      <c r="AI27" s="469"/>
      <c r="AJ27" s="469"/>
      <c r="AK27" s="469"/>
      <c r="AL27" s="469"/>
      <c r="AM27" s="565">
        <f t="shared" si="31"/>
        <v>575.39703560000009</v>
      </c>
      <c r="AN27" s="469"/>
      <c r="AO27" s="469"/>
      <c r="AP27" s="469"/>
      <c r="AQ27" s="469"/>
      <c r="AR27" s="469"/>
      <c r="AS27" s="565">
        <f t="shared" si="31"/>
        <v>1329.0484928000001</v>
      </c>
      <c r="AT27" s="469"/>
      <c r="AU27" s="469"/>
      <c r="AV27" s="469"/>
      <c r="AW27" s="469"/>
      <c r="AX27" s="565">
        <f t="shared" si="31"/>
        <v>400.84671500000002</v>
      </c>
      <c r="AY27" s="469"/>
      <c r="AZ27" s="469"/>
      <c r="BA27" s="469"/>
      <c r="BB27" s="469"/>
      <c r="BC27" s="565">
        <f t="shared" si="31"/>
        <v>448.49408700000004</v>
      </c>
      <c r="BD27" s="469"/>
      <c r="BE27" s="469"/>
      <c r="BF27" s="469"/>
      <c r="BG27" s="469"/>
      <c r="BH27" s="469"/>
      <c r="BI27" s="565">
        <f t="shared" si="31"/>
        <v>618.90208550000011</v>
      </c>
      <c r="BJ27" s="469"/>
      <c r="BK27" s="469"/>
      <c r="BL27" s="469"/>
      <c r="BM27" s="469"/>
      <c r="BN27" s="565">
        <f t="shared" si="31"/>
        <v>596.51263950000009</v>
      </c>
      <c r="BO27" s="469"/>
      <c r="BP27" s="469"/>
      <c r="BQ27" s="469"/>
      <c r="BR27" s="469"/>
      <c r="BS27" s="565">
        <f t="shared" si="31"/>
        <v>603.12088549999999</v>
      </c>
      <c r="BT27" s="469"/>
      <c r="BU27" s="469"/>
      <c r="BV27" s="469"/>
      <c r="BW27" s="469"/>
      <c r="BX27" s="469"/>
      <c r="BY27" s="565">
        <f t="shared" si="31"/>
        <v>779.00996499999997</v>
      </c>
      <c r="BZ27" s="469"/>
      <c r="CA27" s="469"/>
      <c r="CB27" s="469"/>
      <c r="CC27" s="469"/>
      <c r="CD27" s="565">
        <f t="shared" si="31"/>
        <v>589.05474800000013</v>
      </c>
      <c r="CE27" s="469"/>
      <c r="CF27" s="469"/>
      <c r="CG27" s="469"/>
      <c r="CH27" s="469"/>
      <c r="CI27" s="565">
        <f t="shared" si="31"/>
        <v>550.24473999999998</v>
      </c>
      <c r="CJ27" s="469"/>
      <c r="CK27" s="469"/>
      <c r="CL27" s="469"/>
      <c r="CM27" s="469"/>
      <c r="CN27" s="469"/>
      <c r="CO27" s="565">
        <f t="shared" si="31"/>
        <v>654.20718500000021</v>
      </c>
      <c r="CP27" s="469"/>
      <c r="CQ27" s="469"/>
      <c r="CR27" s="469"/>
      <c r="CS27" s="469"/>
      <c r="CT27" s="565">
        <f t="shared" si="31"/>
        <v>570.32525900000007</v>
      </c>
      <c r="CU27" s="469"/>
      <c r="CV27" s="469"/>
      <c r="CW27" s="469"/>
      <c r="CX27" s="469"/>
      <c r="CY27" s="565">
        <f t="shared" si="31"/>
        <v>677.22751999999991</v>
      </c>
      <c r="CZ27" s="469"/>
      <c r="DA27" s="469"/>
      <c r="DB27" s="469"/>
      <c r="DC27" s="469"/>
      <c r="DD27" s="469"/>
      <c r="DE27" s="565">
        <f t="shared" si="31"/>
        <v>1561.8975524999998</v>
      </c>
    </row>
    <row r="28" spans="2:109">
      <c r="B28" s="471" t="s">
        <v>491</v>
      </c>
      <c r="C28" s="469" t="e">
        <f>(C23*0.5)*0.15</f>
        <v>#REF!</v>
      </c>
      <c r="D28" s="469" t="e">
        <f t="shared" ref="D28:DE28" si="33">(D23*0.5)*0.15</f>
        <v>#REF!</v>
      </c>
      <c r="E28" s="469" t="e">
        <f t="shared" si="33"/>
        <v>#REF!</v>
      </c>
      <c r="F28" s="469" t="e">
        <f t="shared" si="33"/>
        <v>#REF!</v>
      </c>
      <c r="G28" s="469" t="e">
        <f t="shared" si="33"/>
        <v>#REF!</v>
      </c>
      <c r="H28" s="469">
        <f t="shared" si="33"/>
        <v>185.05697849999999</v>
      </c>
      <c r="I28" s="469">
        <f t="shared" ref="I28:L28" si="34">(I23*0.5)*0.15</f>
        <v>202.22693654999998</v>
      </c>
      <c r="J28" s="469">
        <f t="shared" si="34"/>
        <v>212.57762561249996</v>
      </c>
      <c r="K28" s="469">
        <f t="shared" si="34"/>
        <v>216.44240242499998</v>
      </c>
      <c r="L28" s="469">
        <f t="shared" si="34"/>
        <v>206.20420916249995</v>
      </c>
      <c r="M28" s="565">
        <f t="shared" si="33"/>
        <v>955.5447666</v>
      </c>
      <c r="N28" s="469"/>
      <c r="O28" s="469"/>
      <c r="P28" s="469"/>
      <c r="Q28" s="469"/>
      <c r="R28" s="565">
        <f t="shared" si="33"/>
        <v>725.5646826000002</v>
      </c>
      <c r="S28" s="469"/>
      <c r="T28" s="469"/>
      <c r="U28" s="469"/>
      <c r="V28" s="469"/>
      <c r="W28" s="565">
        <f t="shared" si="33"/>
        <v>700.68338519999998</v>
      </c>
      <c r="X28" s="469"/>
      <c r="Y28" s="469"/>
      <c r="Z28" s="469"/>
      <c r="AA28" s="469"/>
      <c r="AB28" s="469"/>
      <c r="AC28" s="565">
        <f t="shared" si="33"/>
        <v>852.70371360000024</v>
      </c>
      <c r="AD28" s="469"/>
      <c r="AE28" s="469"/>
      <c r="AF28" s="469"/>
      <c r="AG28" s="469"/>
      <c r="AH28" s="565">
        <f t="shared" si="33"/>
        <v>725.56565280000007</v>
      </c>
      <c r="AI28" s="469"/>
      <c r="AJ28" s="469"/>
      <c r="AK28" s="469"/>
      <c r="AL28" s="469"/>
      <c r="AM28" s="565">
        <f t="shared" si="33"/>
        <v>863.09555340000009</v>
      </c>
      <c r="AN28" s="469"/>
      <c r="AO28" s="469"/>
      <c r="AP28" s="469"/>
      <c r="AQ28" s="469"/>
      <c r="AR28" s="469"/>
      <c r="AS28" s="565">
        <f t="shared" si="33"/>
        <v>1993.5727391999999</v>
      </c>
      <c r="AT28" s="469"/>
      <c r="AU28" s="469"/>
      <c r="AV28" s="469"/>
      <c r="AW28" s="469"/>
      <c r="AX28" s="565">
        <f t="shared" si="33"/>
        <v>601.27007249999997</v>
      </c>
      <c r="AY28" s="469"/>
      <c r="AZ28" s="469"/>
      <c r="BA28" s="469"/>
      <c r="BB28" s="469"/>
      <c r="BC28" s="565">
        <f t="shared" si="33"/>
        <v>672.74113050000005</v>
      </c>
      <c r="BD28" s="469"/>
      <c r="BE28" s="469"/>
      <c r="BF28" s="469"/>
      <c r="BG28" s="469"/>
      <c r="BH28" s="469"/>
      <c r="BI28" s="565">
        <f t="shared" si="33"/>
        <v>928.35312825000005</v>
      </c>
      <c r="BJ28" s="469"/>
      <c r="BK28" s="469"/>
      <c r="BL28" s="469"/>
      <c r="BM28" s="469"/>
      <c r="BN28" s="565">
        <f t="shared" si="33"/>
        <v>894.76895925000019</v>
      </c>
      <c r="BO28" s="469"/>
      <c r="BP28" s="469"/>
      <c r="BQ28" s="469"/>
      <c r="BR28" s="469"/>
      <c r="BS28" s="565">
        <f t="shared" si="33"/>
        <v>904.68132824999998</v>
      </c>
      <c r="BT28" s="469"/>
      <c r="BU28" s="469"/>
      <c r="BV28" s="469"/>
      <c r="BW28" s="469"/>
      <c r="BX28" s="469"/>
      <c r="BY28" s="565">
        <f t="shared" si="33"/>
        <v>1168.5149474999998</v>
      </c>
      <c r="BZ28" s="469"/>
      <c r="CA28" s="469"/>
      <c r="CB28" s="469"/>
      <c r="CC28" s="469"/>
      <c r="CD28" s="565">
        <f t="shared" si="33"/>
        <v>883.58212200000014</v>
      </c>
      <c r="CE28" s="469"/>
      <c r="CF28" s="469"/>
      <c r="CG28" s="469"/>
      <c r="CH28" s="469"/>
      <c r="CI28" s="565">
        <f t="shared" si="33"/>
        <v>825.36711000000003</v>
      </c>
      <c r="CJ28" s="469"/>
      <c r="CK28" s="469"/>
      <c r="CL28" s="469"/>
      <c r="CM28" s="469"/>
      <c r="CN28" s="469"/>
      <c r="CO28" s="565">
        <f t="shared" si="33"/>
        <v>981.31077750000009</v>
      </c>
      <c r="CP28" s="469"/>
      <c r="CQ28" s="469"/>
      <c r="CR28" s="469"/>
      <c r="CS28" s="469"/>
      <c r="CT28" s="565">
        <f t="shared" si="33"/>
        <v>855.48788849999994</v>
      </c>
      <c r="CU28" s="469"/>
      <c r="CV28" s="469"/>
      <c r="CW28" s="469"/>
      <c r="CX28" s="469"/>
      <c r="CY28" s="565">
        <f t="shared" si="33"/>
        <v>1015.8412799999999</v>
      </c>
      <c r="CZ28" s="469"/>
      <c r="DA28" s="469"/>
      <c r="DB28" s="469"/>
      <c r="DC28" s="469"/>
      <c r="DD28" s="469"/>
      <c r="DE28" s="565">
        <f t="shared" si="33"/>
        <v>2342.8463287499994</v>
      </c>
    </row>
    <row r="29" spans="2:109">
      <c r="B29" s="472" t="s">
        <v>248</v>
      </c>
      <c r="C29" s="469" t="e">
        <f>(C23*0.5)*0.65</f>
        <v>#REF!</v>
      </c>
      <c r="D29" s="469" t="e">
        <f t="shared" ref="D29:DE29" si="35">(D23*0.5)*0.65</f>
        <v>#REF!</v>
      </c>
      <c r="E29" s="469" t="e">
        <f t="shared" si="35"/>
        <v>#REF!</v>
      </c>
      <c r="F29" s="469" t="e">
        <f t="shared" si="35"/>
        <v>#REF!</v>
      </c>
      <c r="G29" s="469" t="e">
        <f t="shared" si="35"/>
        <v>#REF!</v>
      </c>
      <c r="H29" s="469">
        <f t="shared" si="35"/>
        <v>801.91357349999998</v>
      </c>
      <c r="I29" s="469">
        <f t="shared" ref="I29:L29" si="36">(I23*0.5)*0.65</f>
        <v>876.31672504999995</v>
      </c>
      <c r="J29" s="469">
        <f t="shared" si="36"/>
        <v>921.16971098749991</v>
      </c>
      <c r="K29" s="469">
        <f t="shared" si="36"/>
        <v>937.91707717500003</v>
      </c>
      <c r="L29" s="469">
        <f t="shared" si="36"/>
        <v>893.55157303749979</v>
      </c>
      <c r="M29" s="565">
        <f t="shared" si="35"/>
        <v>4140.6939886</v>
      </c>
      <c r="N29" s="469"/>
      <c r="O29" s="469"/>
      <c r="P29" s="469"/>
      <c r="Q29" s="469"/>
      <c r="R29" s="565">
        <f t="shared" si="35"/>
        <v>3144.113624600001</v>
      </c>
      <c r="S29" s="469"/>
      <c r="T29" s="469"/>
      <c r="U29" s="469"/>
      <c r="V29" s="469"/>
      <c r="W29" s="565">
        <f t="shared" si="35"/>
        <v>3036.2946692</v>
      </c>
      <c r="X29" s="469"/>
      <c r="Y29" s="469"/>
      <c r="Z29" s="469"/>
      <c r="AA29" s="469"/>
      <c r="AB29" s="469"/>
      <c r="AC29" s="565">
        <f t="shared" si="35"/>
        <v>3695.0494256000011</v>
      </c>
      <c r="AD29" s="469"/>
      <c r="AE29" s="469"/>
      <c r="AF29" s="469"/>
      <c r="AG29" s="469"/>
      <c r="AH29" s="565">
        <f t="shared" si="35"/>
        <v>3144.1178288000001</v>
      </c>
      <c r="AI29" s="469"/>
      <c r="AJ29" s="469"/>
      <c r="AK29" s="469"/>
      <c r="AL29" s="469"/>
      <c r="AM29" s="565">
        <f t="shared" si="35"/>
        <v>3740.0807314000008</v>
      </c>
      <c r="AN29" s="469"/>
      <c r="AO29" s="469"/>
      <c r="AP29" s="469"/>
      <c r="AQ29" s="469"/>
      <c r="AR29" s="469"/>
      <c r="AS29" s="565">
        <f t="shared" si="35"/>
        <v>8638.8152031999998</v>
      </c>
      <c r="AT29" s="469"/>
      <c r="AU29" s="469"/>
      <c r="AV29" s="469"/>
      <c r="AW29" s="469"/>
      <c r="AX29" s="565">
        <f t="shared" si="35"/>
        <v>2605.5036475000002</v>
      </c>
      <c r="AY29" s="469"/>
      <c r="AZ29" s="469"/>
      <c r="BA29" s="469"/>
      <c r="BB29" s="469"/>
      <c r="BC29" s="565">
        <f t="shared" si="35"/>
        <v>2915.2115655000002</v>
      </c>
      <c r="BD29" s="469"/>
      <c r="BE29" s="469"/>
      <c r="BF29" s="469"/>
      <c r="BG29" s="469"/>
      <c r="BH29" s="469"/>
      <c r="BI29" s="565">
        <f t="shared" si="35"/>
        <v>4022.8635557500006</v>
      </c>
      <c r="BJ29" s="469"/>
      <c r="BK29" s="469"/>
      <c r="BL29" s="469"/>
      <c r="BM29" s="469"/>
      <c r="BN29" s="565">
        <f t="shared" si="35"/>
        <v>3877.3321567500006</v>
      </c>
      <c r="BO29" s="469"/>
      <c r="BP29" s="469"/>
      <c r="BQ29" s="469"/>
      <c r="BR29" s="469"/>
      <c r="BS29" s="565">
        <f t="shared" si="35"/>
        <v>3920.2857557500001</v>
      </c>
      <c r="BT29" s="469"/>
      <c r="BU29" s="469"/>
      <c r="BV29" s="469"/>
      <c r="BW29" s="469"/>
      <c r="BX29" s="469"/>
      <c r="BY29" s="565">
        <f t="shared" si="35"/>
        <v>5063.5647724999999</v>
      </c>
      <c r="BZ29" s="469"/>
      <c r="CA29" s="469"/>
      <c r="CB29" s="469"/>
      <c r="CC29" s="469"/>
      <c r="CD29" s="565">
        <f t="shared" si="35"/>
        <v>3828.8558620000008</v>
      </c>
      <c r="CE29" s="469"/>
      <c r="CF29" s="469"/>
      <c r="CG29" s="469"/>
      <c r="CH29" s="469"/>
      <c r="CI29" s="565">
        <f t="shared" si="35"/>
        <v>3576.5908100000001</v>
      </c>
      <c r="CJ29" s="469"/>
      <c r="CK29" s="469"/>
      <c r="CL29" s="469"/>
      <c r="CM29" s="469"/>
      <c r="CN29" s="469"/>
      <c r="CO29" s="565">
        <f t="shared" si="35"/>
        <v>4252.3467025000009</v>
      </c>
      <c r="CP29" s="469"/>
      <c r="CQ29" s="469"/>
      <c r="CR29" s="469"/>
      <c r="CS29" s="469"/>
      <c r="CT29" s="565">
        <f t="shared" si="35"/>
        <v>3707.1141835000003</v>
      </c>
      <c r="CU29" s="469"/>
      <c r="CV29" s="469"/>
      <c r="CW29" s="469"/>
      <c r="CX29" s="469"/>
      <c r="CY29" s="565">
        <f t="shared" si="35"/>
        <v>4401.9788799999997</v>
      </c>
      <c r="CZ29" s="469"/>
      <c r="DA29" s="469"/>
      <c r="DB29" s="469"/>
      <c r="DC29" s="469"/>
      <c r="DD29" s="469"/>
      <c r="DE29" s="565">
        <f t="shared" si="35"/>
        <v>10152.334091249999</v>
      </c>
    </row>
    <row r="30" spans="2:109" hidden="1">
      <c r="B30" s="471" t="s">
        <v>492</v>
      </c>
      <c r="C30" s="469" t="e">
        <f>(C23*0.5)*0.1</f>
        <v>#REF!</v>
      </c>
      <c r="D30" s="469" t="e">
        <f t="shared" ref="D30:DE30" si="37">(D23*0.5)*0.1</f>
        <v>#REF!</v>
      </c>
      <c r="E30" s="469" t="e">
        <f t="shared" si="37"/>
        <v>#REF!</v>
      </c>
      <c r="F30" s="469" t="e">
        <f t="shared" si="37"/>
        <v>#REF!</v>
      </c>
      <c r="G30" s="469" t="e">
        <f t="shared" si="37"/>
        <v>#REF!</v>
      </c>
      <c r="H30" s="469">
        <f t="shared" si="37"/>
        <v>123.371319</v>
      </c>
      <c r="I30" s="469">
        <f t="shared" ref="I30:L30" si="38">(I23*0.5)*0.1</f>
        <v>134.81795769999999</v>
      </c>
      <c r="J30" s="469">
        <f t="shared" si="38"/>
        <v>141.71841707499999</v>
      </c>
      <c r="K30" s="469">
        <f t="shared" si="38"/>
        <v>144.29493495</v>
      </c>
      <c r="L30" s="469">
        <f t="shared" si="38"/>
        <v>137.46947277499996</v>
      </c>
      <c r="M30" s="565">
        <f t="shared" si="37"/>
        <v>637.0298444</v>
      </c>
      <c r="N30" s="469"/>
      <c r="O30" s="469"/>
      <c r="P30" s="469"/>
      <c r="Q30" s="469"/>
      <c r="R30" s="565">
        <f t="shared" si="37"/>
        <v>483.70978840000021</v>
      </c>
      <c r="S30" s="469"/>
      <c r="T30" s="469"/>
      <c r="U30" s="469"/>
      <c r="V30" s="469"/>
      <c r="W30" s="565">
        <f t="shared" si="37"/>
        <v>467.12225680000006</v>
      </c>
      <c r="X30" s="469"/>
      <c r="Y30" s="469"/>
      <c r="Z30" s="469"/>
      <c r="AA30" s="469"/>
      <c r="AB30" s="469"/>
      <c r="AC30" s="565">
        <f t="shared" si="37"/>
        <v>568.46914240000012</v>
      </c>
      <c r="AD30" s="469"/>
      <c r="AE30" s="469"/>
      <c r="AF30" s="469"/>
      <c r="AG30" s="469"/>
      <c r="AH30" s="565">
        <f t="shared" si="37"/>
        <v>483.71043520000006</v>
      </c>
      <c r="AI30" s="469"/>
      <c r="AJ30" s="469"/>
      <c r="AK30" s="469"/>
      <c r="AL30" s="469"/>
      <c r="AM30" s="565">
        <f t="shared" si="37"/>
        <v>575.39703560000009</v>
      </c>
      <c r="AN30" s="469"/>
      <c r="AO30" s="469"/>
      <c r="AP30" s="469"/>
      <c r="AQ30" s="469"/>
      <c r="AR30" s="469"/>
      <c r="AS30" s="565">
        <f t="shared" si="37"/>
        <v>1329.0484928000001</v>
      </c>
      <c r="AT30" s="469"/>
      <c r="AU30" s="469"/>
      <c r="AV30" s="469"/>
      <c r="AW30" s="469"/>
      <c r="AX30" s="565">
        <f t="shared" si="37"/>
        <v>400.84671500000002</v>
      </c>
      <c r="AY30" s="469"/>
      <c r="AZ30" s="469"/>
      <c r="BA30" s="469"/>
      <c r="BB30" s="469"/>
      <c r="BC30" s="565">
        <f t="shared" si="37"/>
        <v>448.49408700000004</v>
      </c>
      <c r="BD30" s="469"/>
      <c r="BE30" s="469"/>
      <c r="BF30" s="469"/>
      <c r="BG30" s="469"/>
      <c r="BH30" s="469"/>
      <c r="BI30" s="565">
        <f t="shared" si="37"/>
        <v>618.90208550000011</v>
      </c>
      <c r="BJ30" s="469"/>
      <c r="BK30" s="469"/>
      <c r="BL30" s="469"/>
      <c r="BM30" s="469"/>
      <c r="BN30" s="565">
        <f t="shared" si="37"/>
        <v>596.51263950000009</v>
      </c>
      <c r="BO30" s="469"/>
      <c r="BP30" s="469"/>
      <c r="BQ30" s="469"/>
      <c r="BR30" s="469"/>
      <c r="BS30" s="565">
        <f t="shared" si="37"/>
        <v>603.12088549999999</v>
      </c>
      <c r="BT30" s="469"/>
      <c r="BU30" s="469"/>
      <c r="BV30" s="469"/>
      <c r="BW30" s="469"/>
      <c r="BX30" s="469"/>
      <c r="BY30" s="565">
        <f t="shared" si="37"/>
        <v>779.00996499999997</v>
      </c>
      <c r="BZ30" s="469"/>
      <c r="CA30" s="469"/>
      <c r="CB30" s="469"/>
      <c r="CC30" s="469"/>
      <c r="CD30" s="565">
        <f t="shared" si="37"/>
        <v>589.05474800000013</v>
      </c>
      <c r="CE30" s="469"/>
      <c r="CF30" s="469"/>
      <c r="CG30" s="469"/>
      <c r="CH30" s="469"/>
      <c r="CI30" s="565">
        <f t="shared" si="37"/>
        <v>550.24473999999998</v>
      </c>
      <c r="CJ30" s="469"/>
      <c r="CK30" s="469"/>
      <c r="CL30" s="469"/>
      <c r="CM30" s="469"/>
      <c r="CN30" s="469"/>
      <c r="CO30" s="565">
        <f t="shared" si="37"/>
        <v>654.20718500000021</v>
      </c>
      <c r="CP30" s="469"/>
      <c r="CQ30" s="469"/>
      <c r="CR30" s="469"/>
      <c r="CS30" s="469"/>
      <c r="CT30" s="565">
        <f t="shared" si="37"/>
        <v>570.32525900000007</v>
      </c>
      <c r="CU30" s="469"/>
      <c r="CV30" s="469"/>
      <c r="CW30" s="469"/>
      <c r="CX30" s="469"/>
      <c r="CY30" s="565">
        <f t="shared" si="37"/>
        <v>677.22751999999991</v>
      </c>
      <c r="CZ30" s="469"/>
      <c r="DA30" s="469"/>
      <c r="DB30" s="469"/>
      <c r="DC30" s="469"/>
      <c r="DD30" s="469"/>
      <c r="DE30" s="565">
        <f t="shared" si="37"/>
        <v>1561.8975524999998</v>
      </c>
    </row>
    <row r="31" spans="2:109">
      <c r="B31" s="564" t="s">
        <v>38</v>
      </c>
      <c r="C31" s="565" t="e">
        <f>SUM(C26:C30)</f>
        <v>#REF!</v>
      </c>
      <c r="D31" s="565" t="e">
        <f t="shared" ref="D31:DE31" si="39">SUM(D26:D30)</f>
        <v>#REF!</v>
      </c>
      <c r="E31" s="565" t="e">
        <f t="shared" si="39"/>
        <v>#REF!</v>
      </c>
      <c r="F31" s="565" t="e">
        <f t="shared" si="39"/>
        <v>#REF!</v>
      </c>
      <c r="G31" s="565" t="e">
        <f t="shared" si="39"/>
        <v>#REF!</v>
      </c>
      <c r="H31" s="565">
        <f t="shared" si="39"/>
        <v>2467.4263799999999</v>
      </c>
      <c r="I31" s="565">
        <f t="shared" ref="H31:L31" si="40">SUM(I26:I30)</f>
        <v>2696.3591539999998</v>
      </c>
      <c r="J31" s="565">
        <f t="shared" si="40"/>
        <v>2834.3683415</v>
      </c>
      <c r="K31" s="565">
        <f t="shared" si="40"/>
        <v>2885.8986989999999</v>
      </c>
      <c r="L31" s="565">
        <f>SUM(L26:L30)</f>
        <v>2749.3894554999993</v>
      </c>
      <c r="M31" s="565">
        <f t="shared" si="39"/>
        <v>12740.596888</v>
      </c>
      <c r="N31" s="565"/>
      <c r="O31" s="565"/>
      <c r="P31" s="565"/>
      <c r="Q31" s="565"/>
      <c r="R31" s="565">
        <f t="shared" si="39"/>
        <v>9674.1957680000032</v>
      </c>
      <c r="S31" s="565"/>
      <c r="T31" s="565"/>
      <c r="U31" s="565"/>
      <c r="V31" s="565"/>
      <c r="W31" s="565">
        <f t="shared" si="39"/>
        <v>9342.4451360000003</v>
      </c>
      <c r="X31" s="565"/>
      <c r="Y31" s="565"/>
      <c r="Z31" s="565"/>
      <c r="AA31" s="565"/>
      <c r="AB31" s="565"/>
      <c r="AC31" s="565">
        <f t="shared" si="39"/>
        <v>11369.382848000003</v>
      </c>
      <c r="AD31" s="565"/>
      <c r="AE31" s="565"/>
      <c r="AF31" s="565"/>
      <c r="AG31" s="565"/>
      <c r="AH31" s="565">
        <f t="shared" si="39"/>
        <v>9674.2087040000006</v>
      </c>
      <c r="AI31" s="565"/>
      <c r="AJ31" s="565"/>
      <c r="AK31" s="565"/>
      <c r="AL31" s="565"/>
      <c r="AM31" s="565">
        <f t="shared" si="39"/>
        <v>11507.940712000003</v>
      </c>
      <c r="AN31" s="565"/>
      <c r="AO31" s="565"/>
      <c r="AP31" s="565"/>
      <c r="AQ31" s="565"/>
      <c r="AR31" s="565"/>
      <c r="AS31" s="565">
        <f t="shared" si="39"/>
        <v>26580.969856</v>
      </c>
      <c r="AT31" s="565"/>
      <c r="AU31" s="565"/>
      <c r="AV31" s="565"/>
      <c r="AW31" s="565"/>
      <c r="AX31" s="565">
        <f t="shared" si="39"/>
        <v>8016.934299999999</v>
      </c>
      <c r="AY31" s="565"/>
      <c r="AZ31" s="565"/>
      <c r="BA31" s="565"/>
      <c r="BB31" s="565"/>
      <c r="BC31" s="565">
        <f t="shared" si="39"/>
        <v>8969.8817400000007</v>
      </c>
      <c r="BD31" s="565"/>
      <c r="BE31" s="565"/>
      <c r="BF31" s="565"/>
      <c r="BG31" s="565"/>
      <c r="BH31" s="565"/>
      <c r="BI31" s="565">
        <f t="shared" si="39"/>
        <v>12378.041710000001</v>
      </c>
      <c r="BJ31" s="565"/>
      <c r="BK31" s="565"/>
      <c r="BL31" s="565"/>
      <c r="BM31" s="565"/>
      <c r="BN31" s="565">
        <f t="shared" si="39"/>
        <v>11930.252790000002</v>
      </c>
      <c r="BO31" s="565"/>
      <c r="BP31" s="565"/>
      <c r="BQ31" s="565"/>
      <c r="BR31" s="565"/>
      <c r="BS31" s="565">
        <f t="shared" si="39"/>
        <v>12062.41771</v>
      </c>
      <c r="BT31" s="565"/>
      <c r="BU31" s="565"/>
      <c r="BV31" s="565"/>
      <c r="BW31" s="565"/>
      <c r="BX31" s="565"/>
      <c r="BY31" s="565">
        <f t="shared" si="39"/>
        <v>15580.199299999998</v>
      </c>
      <c r="BZ31" s="565"/>
      <c r="CA31" s="565"/>
      <c r="CB31" s="565"/>
      <c r="CC31" s="565"/>
      <c r="CD31" s="565">
        <f t="shared" si="39"/>
        <v>11781.094960000002</v>
      </c>
      <c r="CE31" s="565"/>
      <c r="CF31" s="565"/>
      <c r="CG31" s="565"/>
      <c r="CH31" s="565"/>
      <c r="CI31" s="565">
        <f t="shared" si="39"/>
        <v>11004.8948</v>
      </c>
      <c r="CJ31" s="565"/>
      <c r="CK31" s="565"/>
      <c r="CL31" s="565"/>
      <c r="CM31" s="565"/>
      <c r="CN31" s="565"/>
      <c r="CO31" s="565">
        <f t="shared" si="39"/>
        <v>13084.143700000001</v>
      </c>
      <c r="CP31" s="565"/>
      <c r="CQ31" s="565"/>
      <c r="CR31" s="565"/>
      <c r="CS31" s="565"/>
      <c r="CT31" s="565">
        <f t="shared" si="39"/>
        <v>11406.50518</v>
      </c>
      <c r="CU31" s="565"/>
      <c r="CV31" s="565"/>
      <c r="CW31" s="565"/>
      <c r="CX31" s="565"/>
      <c r="CY31" s="565">
        <f t="shared" si="39"/>
        <v>13544.5504</v>
      </c>
      <c r="CZ31" s="565"/>
      <c r="DA31" s="565"/>
      <c r="DB31" s="565"/>
      <c r="DC31" s="565"/>
      <c r="DD31" s="565"/>
      <c r="DE31" s="565">
        <f t="shared" si="39"/>
        <v>31237.951049999992</v>
      </c>
    </row>
  </sheetData>
  <mergeCells count="40">
    <mergeCell ref="H2:M2"/>
    <mergeCell ref="H6:M6"/>
    <mergeCell ref="H1:M1"/>
    <mergeCell ref="N6:R6"/>
    <mergeCell ref="N2:R2"/>
    <mergeCell ref="N1:R1"/>
    <mergeCell ref="S2:W2"/>
    <mergeCell ref="S1:W1"/>
    <mergeCell ref="X1:AC1"/>
    <mergeCell ref="X2:AC2"/>
    <mergeCell ref="AD2:AH2"/>
    <mergeCell ref="AD1:AH1"/>
    <mergeCell ref="AI2:AM2"/>
    <mergeCell ref="AI1:AM1"/>
    <mergeCell ref="AN2:AS2"/>
    <mergeCell ref="AN1:AS1"/>
    <mergeCell ref="AT1:AX1"/>
    <mergeCell ref="AT2:AX2"/>
    <mergeCell ref="AY1:BC1"/>
    <mergeCell ref="AY2:BC2"/>
    <mergeCell ref="BD1:BI1"/>
    <mergeCell ref="BD2:BI2"/>
    <mergeCell ref="BJ1:BN1"/>
    <mergeCell ref="BJ2:BN2"/>
    <mergeCell ref="BO1:BS1"/>
    <mergeCell ref="BO2:BS2"/>
    <mergeCell ref="BT1:BY1"/>
    <mergeCell ref="BT2:BY2"/>
    <mergeCell ref="BZ2:CD2"/>
    <mergeCell ref="BZ1:CD1"/>
    <mergeCell ref="CU1:CY1"/>
    <mergeCell ref="CU2:CY2"/>
    <mergeCell ref="CZ1:DE1"/>
    <mergeCell ref="CZ2:DE2"/>
    <mergeCell ref="CE2:CI2"/>
    <mergeCell ref="CE1:CI1"/>
    <mergeCell ref="CJ2:CO2"/>
    <mergeCell ref="CJ1:CO1"/>
    <mergeCell ref="CP2:CT2"/>
    <mergeCell ref="CP1:CT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C6557-24B1-447C-A5DA-91B4A263238F}">
  <dimension ref="B2:BLB48"/>
  <sheetViews>
    <sheetView workbookViewId="0">
      <pane xSplit="2" ySplit="6" topLeftCell="CQ30" activePane="bottomRight" state="frozen"/>
      <selection pane="bottomRight" activeCell="AD6" sqref="AD6"/>
      <selection pane="bottomLeft" activeCell="A7" sqref="A7"/>
      <selection pane="topRight" activeCell="AE1" sqref="AE1"/>
    </sheetView>
  </sheetViews>
  <sheetFormatPr defaultColWidth="9.140625" defaultRowHeight="15" outlineLevelCol="1"/>
  <cols>
    <col min="1" max="1" width="2.85546875" customWidth="1"/>
    <col min="2" max="2" width="11.5703125" customWidth="1"/>
    <col min="3" max="3" width="11.5703125" customWidth="1" outlineLevel="1"/>
    <col min="4" max="5" width="12.85546875" customWidth="1" outlineLevel="1"/>
    <col min="6" max="6" width="8.42578125" customWidth="1" outlineLevel="1"/>
    <col min="7" max="7" width="12.85546875" customWidth="1" outlineLevel="1"/>
    <col min="8" max="8" width="11.28515625" customWidth="1" outlineLevel="1"/>
    <col min="9" max="9" width="12.28515625" customWidth="1" outlineLevel="1"/>
    <col min="10" max="30" width="11.28515625" customWidth="1" outlineLevel="1"/>
    <col min="31" max="31" width="13.85546875" customWidth="1"/>
    <col min="32" max="32" width="14.28515625" customWidth="1"/>
    <col min="33" max="33" width="12" customWidth="1"/>
    <col min="34" max="34" width="11.140625" customWidth="1"/>
    <col min="35" max="61" width="9.140625" customWidth="1" outlineLevel="1"/>
    <col min="62" max="62" width="16.7109375" customWidth="1" outlineLevel="1"/>
    <col min="63" max="63" width="16.7109375" bestFit="1" customWidth="1"/>
    <col min="64" max="64" width="12.140625" customWidth="1"/>
    <col min="65" max="65" width="11.140625" customWidth="1"/>
    <col min="66" max="66" width="12.28515625" customWidth="1"/>
    <col min="67" max="94" width="9.140625" customWidth="1" outlineLevel="1"/>
    <col min="95" max="95" width="16.7109375" bestFit="1" customWidth="1"/>
    <col min="96" max="96" width="15.28515625" bestFit="1" customWidth="1"/>
    <col min="97" max="97" width="10.28515625" customWidth="1"/>
    <col min="98" max="98" width="11" customWidth="1"/>
    <col min="99" max="126" width="9.140625" customWidth="1" outlineLevel="1"/>
    <col min="127" max="127" width="16.7109375" bestFit="1" customWidth="1"/>
    <col min="128" max="128" width="15.28515625" bestFit="1" customWidth="1"/>
    <col min="129" max="130" width="11.7109375" customWidth="1"/>
    <col min="131" max="158" width="9.140625" customWidth="1" outlineLevel="1"/>
    <col min="159" max="159" width="16.7109375" bestFit="1" customWidth="1"/>
    <col min="160" max="160" width="15.28515625" bestFit="1" customWidth="1"/>
    <col min="161" max="161" width="11.140625" customWidth="1"/>
    <col min="162" max="162" width="12.28515625" customWidth="1"/>
    <col min="163" max="190" width="9.140625" customWidth="1" outlineLevel="1"/>
    <col min="191" max="191" width="16.7109375" bestFit="1" customWidth="1"/>
    <col min="192" max="192" width="15.28515625" bestFit="1" customWidth="1"/>
    <col min="193" max="193" width="12" customWidth="1"/>
    <col min="194" max="194" width="11.85546875" customWidth="1"/>
    <col min="195" max="222" width="9.140625" hidden="1" customWidth="1" outlineLevel="1"/>
    <col min="223" max="223" width="16.7109375" bestFit="1" customWidth="1" collapsed="1"/>
    <col min="224" max="224" width="15.28515625" bestFit="1" customWidth="1"/>
    <col min="225" max="225" width="12" customWidth="1"/>
    <col min="226" max="226" width="11" customWidth="1"/>
    <col min="227" max="254" width="9.140625" hidden="1" customWidth="1" outlineLevel="1"/>
    <col min="255" max="255" width="16.7109375" bestFit="1" customWidth="1" collapsed="1"/>
    <col min="256" max="256" width="15.28515625" bestFit="1" customWidth="1"/>
    <col min="257" max="257" width="11.85546875" customWidth="1"/>
    <col min="258" max="258" width="11.28515625" customWidth="1"/>
    <col min="259" max="259" width="11.5703125" hidden="1" customWidth="1" outlineLevel="1"/>
    <col min="260" max="261" width="12.85546875" hidden="1" customWidth="1" outlineLevel="1"/>
    <col min="262" max="262" width="8.42578125" hidden="1" customWidth="1" outlineLevel="1"/>
    <col min="263" max="263" width="12.85546875" hidden="1" customWidth="1" outlineLevel="1"/>
    <col min="264" max="264" width="11.28515625" hidden="1" customWidth="1" outlineLevel="1"/>
    <col min="265" max="265" width="12.28515625" hidden="1" customWidth="1" outlineLevel="1"/>
    <col min="266" max="286" width="11.28515625" hidden="1" customWidth="1" outlineLevel="1"/>
    <col min="287" max="287" width="13.85546875" customWidth="1" collapsed="1"/>
    <col min="288" max="288" width="14.28515625" customWidth="1"/>
    <col min="289" max="289" width="12" customWidth="1"/>
    <col min="290" max="290" width="11.140625" customWidth="1"/>
    <col min="291" max="317" width="9.140625" hidden="1" customWidth="1" outlineLevel="1"/>
    <col min="318" max="318" width="16.7109375" hidden="1" customWidth="1" outlineLevel="1"/>
    <col min="319" max="319" width="16.7109375" bestFit="1" customWidth="1" collapsed="1"/>
    <col min="320" max="320" width="12.140625" customWidth="1"/>
    <col min="321" max="321" width="11.140625" customWidth="1"/>
    <col min="322" max="322" width="12.28515625" customWidth="1"/>
    <col min="323" max="350" width="9.140625" hidden="1" customWidth="1" outlineLevel="1"/>
    <col min="351" max="351" width="16.7109375" bestFit="1" customWidth="1" collapsed="1"/>
    <col min="352" max="352" width="15.28515625" bestFit="1" customWidth="1"/>
    <col min="353" max="353" width="10.28515625" customWidth="1"/>
    <col min="354" max="354" width="11" customWidth="1"/>
    <col min="355" max="382" width="9.140625" hidden="1" customWidth="1" outlineLevel="1"/>
    <col min="383" max="383" width="16.7109375" bestFit="1" customWidth="1" collapsed="1"/>
    <col min="384" max="384" width="15.28515625" bestFit="1" customWidth="1"/>
    <col min="385" max="386" width="11.7109375" customWidth="1"/>
    <col min="387" max="414" width="9.140625" hidden="1" customWidth="1" outlineLevel="1"/>
    <col min="415" max="415" width="16.7109375" bestFit="1" customWidth="1" collapsed="1"/>
    <col min="416" max="416" width="15.28515625" bestFit="1" customWidth="1"/>
    <col min="417" max="418" width="11" customWidth="1"/>
    <col min="419" max="446" width="9.140625" hidden="1" customWidth="1" outlineLevel="1"/>
    <col min="447" max="447" width="16.7109375" bestFit="1" customWidth="1" collapsed="1"/>
    <col min="448" max="448" width="15.28515625" bestFit="1" customWidth="1"/>
    <col min="449" max="449" width="11.140625" customWidth="1"/>
    <col min="450" max="450" width="12.28515625" customWidth="1"/>
    <col min="451" max="478" width="9.140625" hidden="1" customWidth="1" outlineLevel="1"/>
    <col min="479" max="479" width="16.7109375" bestFit="1" customWidth="1" collapsed="1"/>
    <col min="480" max="480" width="15.28515625" bestFit="1" customWidth="1"/>
    <col min="481" max="481" width="12" customWidth="1"/>
    <col min="482" max="482" width="11.85546875" customWidth="1"/>
    <col min="483" max="510" width="9.140625" hidden="1" customWidth="1" outlineLevel="1"/>
    <col min="511" max="511" width="16.7109375" bestFit="1" customWidth="1" collapsed="1"/>
    <col min="512" max="512" width="15.28515625" bestFit="1" customWidth="1"/>
    <col min="513" max="513" width="12" customWidth="1"/>
    <col min="514" max="514" width="11" customWidth="1"/>
    <col min="515" max="542" width="9.140625" hidden="1" customWidth="1" outlineLevel="1"/>
    <col min="543" max="543" width="16.7109375" bestFit="1" customWidth="1" collapsed="1"/>
    <col min="544" max="544" width="15.28515625" bestFit="1" customWidth="1"/>
    <col min="545" max="545" width="11.85546875" customWidth="1"/>
    <col min="546" max="546" width="11.28515625" customWidth="1"/>
    <col min="547" max="574" width="9.140625" hidden="1" customWidth="1" outlineLevel="1"/>
    <col min="575" max="575" width="16.7109375" bestFit="1" customWidth="1" collapsed="1"/>
    <col min="576" max="576" width="15.28515625" bestFit="1" customWidth="1"/>
    <col min="577" max="577" width="11.140625" customWidth="1"/>
    <col min="578" max="578" width="12.28515625" customWidth="1"/>
    <col min="579" max="606" width="9.140625" hidden="1" customWidth="1" outlineLevel="1"/>
    <col min="607" max="607" width="16.7109375" bestFit="1" customWidth="1" collapsed="1"/>
    <col min="608" max="608" width="15.28515625" bestFit="1" customWidth="1"/>
    <col min="609" max="609" width="12" customWidth="1"/>
    <col min="610" max="610" width="11.85546875" customWidth="1"/>
    <col min="611" max="638" width="9.140625" hidden="1" customWidth="1" outlineLevel="1"/>
    <col min="639" max="639" width="16.7109375" bestFit="1" customWidth="1" collapsed="1"/>
    <col min="640" max="640" width="15.28515625" bestFit="1" customWidth="1"/>
    <col min="641" max="641" width="12" customWidth="1"/>
    <col min="642" max="642" width="11" customWidth="1"/>
    <col min="643" max="670" width="9.140625" hidden="1" customWidth="1" outlineLevel="1"/>
    <col min="671" max="671" width="16.7109375" bestFit="1" customWidth="1" collapsed="1"/>
    <col min="672" max="672" width="15.28515625" bestFit="1" customWidth="1"/>
    <col min="673" max="673" width="11.85546875" customWidth="1"/>
    <col min="674" max="674" width="11.28515625" customWidth="1"/>
    <col min="675" max="675" width="11.5703125" hidden="1" customWidth="1" outlineLevel="1"/>
    <col min="676" max="677" width="12.85546875" hidden="1" customWidth="1" outlineLevel="1"/>
    <col min="678" max="678" width="8.42578125" hidden="1" customWidth="1" outlineLevel="1"/>
    <col min="679" max="679" width="12.85546875" hidden="1" customWidth="1" outlineLevel="1"/>
    <col min="680" max="680" width="11.28515625" hidden="1" customWidth="1" outlineLevel="1"/>
    <col min="681" max="681" width="12.28515625" hidden="1" customWidth="1" outlineLevel="1"/>
    <col min="682" max="684" width="11.28515625" hidden="1" customWidth="1" outlineLevel="1"/>
    <col min="685" max="685" width="12.7109375" hidden="1" customWidth="1" outlineLevel="1"/>
    <col min="686" max="702" width="11.28515625" hidden="1" customWidth="1" outlineLevel="1"/>
    <col min="703" max="703" width="13.85546875" customWidth="1" collapsed="1"/>
    <col min="704" max="704" width="14.28515625" customWidth="1"/>
    <col min="705" max="705" width="12" customWidth="1"/>
    <col min="706" max="706" width="11.140625" customWidth="1"/>
    <col min="707" max="733" width="9.140625" hidden="1" customWidth="1" outlineLevel="1"/>
    <col min="734" max="734" width="16.7109375" hidden="1" customWidth="1" outlineLevel="1"/>
    <col min="735" max="735" width="16.7109375" bestFit="1" customWidth="1" collapsed="1"/>
    <col min="736" max="736" width="14.28515625" customWidth="1"/>
    <col min="737" max="737" width="11.140625" customWidth="1"/>
    <col min="738" max="738" width="12.28515625" customWidth="1"/>
    <col min="739" max="766" width="9.140625" hidden="1" customWidth="1" outlineLevel="1"/>
    <col min="767" max="767" width="16.7109375" bestFit="1" customWidth="1" collapsed="1"/>
    <col min="768" max="768" width="15.28515625" bestFit="1" customWidth="1"/>
    <col min="769" max="769" width="10.28515625" customWidth="1"/>
    <col min="770" max="770" width="11" customWidth="1"/>
    <col min="771" max="798" width="9.140625" hidden="1" customWidth="1" outlineLevel="1"/>
    <col min="799" max="799" width="16.7109375" bestFit="1" customWidth="1" collapsed="1"/>
    <col min="800" max="800" width="15.28515625" bestFit="1" customWidth="1"/>
    <col min="801" max="802" width="11.7109375" customWidth="1"/>
    <col min="803" max="830" width="9.140625" hidden="1" customWidth="1" outlineLevel="1"/>
    <col min="831" max="831" width="16.7109375" bestFit="1" customWidth="1" collapsed="1"/>
    <col min="832" max="832" width="15.28515625" bestFit="1" customWidth="1"/>
    <col min="833" max="834" width="11" customWidth="1"/>
    <col min="835" max="862" width="9.140625" hidden="1" customWidth="1" outlineLevel="1"/>
    <col min="863" max="863" width="16.7109375" bestFit="1" customWidth="1" collapsed="1"/>
    <col min="864" max="864" width="15.28515625" bestFit="1" customWidth="1"/>
    <col min="865" max="865" width="11.140625" customWidth="1"/>
    <col min="866" max="866" width="12.28515625" customWidth="1"/>
    <col min="867" max="894" width="9.140625" hidden="1" customWidth="1" outlineLevel="1"/>
    <col min="895" max="895" width="16.7109375" bestFit="1" customWidth="1" collapsed="1"/>
    <col min="896" max="896" width="15.28515625" bestFit="1" customWidth="1"/>
    <col min="897" max="897" width="12" customWidth="1"/>
    <col min="898" max="898" width="11.85546875" customWidth="1"/>
    <col min="899" max="926" width="9.140625" hidden="1" customWidth="1" outlineLevel="1"/>
    <col min="927" max="927" width="16.7109375" bestFit="1" customWidth="1" collapsed="1"/>
    <col min="928" max="928" width="15.28515625" bestFit="1" customWidth="1"/>
    <col min="929" max="929" width="12" customWidth="1"/>
    <col min="930" max="930" width="11" customWidth="1"/>
    <col min="931" max="958" width="9.140625" hidden="1" customWidth="1" outlineLevel="1"/>
    <col min="959" max="959" width="16.7109375" bestFit="1" customWidth="1" collapsed="1"/>
    <col min="960" max="960" width="15.28515625" bestFit="1" customWidth="1"/>
    <col min="961" max="961" width="11.85546875" customWidth="1"/>
    <col min="962" max="962" width="11.28515625" customWidth="1"/>
    <col min="963" max="990" width="9.140625" customWidth="1" outlineLevel="1"/>
    <col min="991" max="991" width="16.7109375" bestFit="1" customWidth="1"/>
    <col min="992" max="992" width="15.28515625" bestFit="1" customWidth="1"/>
    <col min="993" max="993" width="11.140625" customWidth="1"/>
    <col min="994" max="994" width="12.28515625" customWidth="1"/>
    <col min="995" max="1022" width="9.140625" customWidth="1" outlineLevel="1"/>
    <col min="1023" max="1023" width="16.7109375" bestFit="1" customWidth="1"/>
    <col min="1024" max="1024" width="15.28515625" bestFit="1" customWidth="1"/>
    <col min="1025" max="1025" width="12" customWidth="1"/>
    <col min="1026" max="1026" width="11.85546875" customWidth="1"/>
    <col min="1027" max="1054" width="9.140625" hidden="1" customWidth="1" outlineLevel="1"/>
    <col min="1055" max="1055" width="16.7109375" bestFit="1" customWidth="1" collapsed="1"/>
    <col min="1056" max="1056" width="15.28515625" bestFit="1" customWidth="1"/>
    <col min="1057" max="1057" width="12" customWidth="1"/>
    <col min="1058" max="1058" width="11" customWidth="1"/>
    <col min="1059" max="1086" width="9.140625" hidden="1" customWidth="1" outlineLevel="1"/>
    <col min="1087" max="1087" width="16.7109375" bestFit="1" customWidth="1" collapsed="1"/>
    <col min="1088" max="1088" width="15.28515625" bestFit="1" customWidth="1"/>
    <col min="1089" max="1089" width="11.85546875" customWidth="1"/>
    <col min="1090" max="1090" width="11.28515625" customWidth="1"/>
    <col min="1091" max="1091" width="11.5703125" hidden="1" customWidth="1" outlineLevel="1"/>
    <col min="1092" max="1093" width="12.85546875" hidden="1" customWidth="1" outlineLevel="1"/>
    <col min="1094" max="1094" width="8.42578125" hidden="1" customWidth="1" outlineLevel="1"/>
    <col min="1095" max="1095" width="12.85546875" hidden="1" customWidth="1" outlineLevel="1"/>
    <col min="1096" max="1096" width="11.28515625" hidden="1" customWidth="1" outlineLevel="1"/>
    <col min="1097" max="1097" width="12.28515625" hidden="1" customWidth="1" outlineLevel="1"/>
    <col min="1098" max="1118" width="11.28515625" hidden="1" customWidth="1" outlineLevel="1"/>
    <col min="1119" max="1119" width="13.85546875" customWidth="1" collapsed="1"/>
    <col min="1120" max="1120" width="14.28515625" customWidth="1"/>
    <col min="1121" max="1121" width="12" customWidth="1"/>
    <col min="1122" max="1122" width="11.140625" customWidth="1"/>
    <col min="1123" max="1149" width="9.140625" hidden="1" customWidth="1" outlineLevel="1"/>
    <col min="1150" max="1150" width="16.7109375" hidden="1" customWidth="1" outlineLevel="1"/>
    <col min="1151" max="1151" width="16.7109375" bestFit="1" customWidth="1" collapsed="1"/>
    <col min="1152" max="1152" width="12.140625" customWidth="1"/>
    <col min="1153" max="1153" width="11.140625" customWidth="1"/>
    <col min="1154" max="1154" width="12.28515625" customWidth="1"/>
    <col min="1155" max="1182" width="9.140625" hidden="1" customWidth="1" outlineLevel="1"/>
    <col min="1183" max="1183" width="16.7109375" bestFit="1" customWidth="1" collapsed="1"/>
    <col min="1184" max="1184" width="15.28515625" bestFit="1" customWidth="1"/>
    <col min="1185" max="1185" width="10.28515625" customWidth="1"/>
    <col min="1186" max="1186" width="11" customWidth="1"/>
    <col min="1187" max="1214" width="9.140625" hidden="1" customWidth="1" outlineLevel="1"/>
    <col min="1215" max="1215" width="16.7109375" bestFit="1" customWidth="1" collapsed="1"/>
    <col min="1216" max="1216" width="15.28515625" bestFit="1" customWidth="1"/>
    <col min="1217" max="1218" width="11.7109375" customWidth="1"/>
    <col min="1219" max="1246" width="9.140625" hidden="1" customWidth="1" outlineLevel="1"/>
    <col min="1247" max="1247" width="16.7109375" bestFit="1" customWidth="1" collapsed="1"/>
    <col min="1248" max="1248" width="15.28515625" bestFit="1" customWidth="1"/>
    <col min="1249" max="1250" width="11" customWidth="1"/>
    <col min="1251" max="1278" width="9.140625" hidden="1" customWidth="1" outlineLevel="1"/>
    <col min="1279" max="1279" width="16.7109375" bestFit="1" customWidth="1" collapsed="1"/>
    <col min="1280" max="1280" width="15.28515625" bestFit="1" customWidth="1"/>
    <col min="1281" max="1281" width="11.140625" customWidth="1"/>
    <col min="1282" max="1282" width="12.28515625" customWidth="1"/>
    <col min="1283" max="1310" width="9.140625" hidden="1" customWidth="1" outlineLevel="1"/>
    <col min="1311" max="1311" width="16.7109375" bestFit="1" customWidth="1" collapsed="1"/>
    <col min="1312" max="1312" width="15.28515625" bestFit="1" customWidth="1"/>
    <col min="1313" max="1313" width="12" customWidth="1"/>
    <col min="1314" max="1314" width="11.85546875" customWidth="1"/>
    <col min="1315" max="1342" width="9.140625" hidden="1" customWidth="1" outlineLevel="1"/>
    <col min="1343" max="1343" width="16.7109375" bestFit="1" customWidth="1" collapsed="1"/>
    <col min="1344" max="1344" width="15.28515625" bestFit="1" customWidth="1"/>
    <col min="1345" max="1345" width="12" customWidth="1"/>
    <col min="1346" max="1346" width="11" customWidth="1"/>
    <col min="1347" max="1374" width="9.140625" hidden="1" customWidth="1" outlineLevel="1"/>
    <col min="1375" max="1375" width="16.7109375" bestFit="1" customWidth="1" collapsed="1"/>
    <col min="1376" max="1376" width="15.28515625" bestFit="1" customWidth="1"/>
    <col min="1377" max="1377" width="11.85546875" customWidth="1"/>
    <col min="1378" max="1378" width="11.28515625" customWidth="1"/>
    <col min="1379" max="1406" width="9.140625" hidden="1" customWidth="1" outlineLevel="1"/>
    <col min="1407" max="1407" width="16.7109375" bestFit="1" customWidth="1" collapsed="1"/>
    <col min="1408" max="1408" width="15.28515625" bestFit="1" customWidth="1"/>
    <col min="1409" max="1409" width="11.140625" customWidth="1"/>
    <col min="1410" max="1410" width="12.28515625" customWidth="1"/>
    <col min="1411" max="1438" width="9.140625" hidden="1" customWidth="1" outlineLevel="1"/>
    <col min="1439" max="1439" width="16.7109375" bestFit="1" customWidth="1" collapsed="1"/>
    <col min="1440" max="1440" width="15.28515625" bestFit="1" customWidth="1"/>
    <col min="1441" max="1441" width="12" customWidth="1"/>
    <col min="1442" max="1442" width="11.85546875" customWidth="1"/>
    <col min="1443" max="1470" width="9.140625" hidden="1" customWidth="1" outlineLevel="1"/>
    <col min="1471" max="1471" width="16.7109375" bestFit="1" customWidth="1" collapsed="1"/>
    <col min="1472" max="1472" width="15.28515625" bestFit="1" customWidth="1"/>
    <col min="1473" max="1473" width="12" customWidth="1"/>
    <col min="1474" max="1474" width="11" customWidth="1"/>
    <col min="1475" max="1502" width="9.140625" hidden="1" customWidth="1" outlineLevel="1"/>
    <col min="1503" max="1503" width="16.7109375" bestFit="1" customWidth="1" collapsed="1"/>
    <col min="1504" max="1504" width="15.28515625" bestFit="1" customWidth="1"/>
    <col min="1505" max="1505" width="11.85546875" customWidth="1"/>
    <col min="1506" max="1506" width="11.28515625" customWidth="1"/>
    <col min="1507" max="1507" width="11.5703125" hidden="1" customWidth="1" outlineLevel="1"/>
    <col min="1508" max="1509" width="12.85546875" hidden="1" customWidth="1" outlineLevel="1"/>
    <col min="1510" max="1510" width="8.42578125" hidden="1" customWidth="1" outlineLevel="1"/>
    <col min="1511" max="1511" width="12.85546875" hidden="1" customWidth="1" outlineLevel="1"/>
    <col min="1512" max="1512" width="11.28515625" hidden="1" customWidth="1" outlineLevel="1"/>
    <col min="1513" max="1513" width="12.28515625" hidden="1" customWidth="1" outlineLevel="1"/>
    <col min="1514" max="1534" width="11.28515625" hidden="1" customWidth="1" outlineLevel="1"/>
    <col min="1535" max="1535" width="13.85546875" customWidth="1" collapsed="1"/>
    <col min="1536" max="1536" width="14.28515625" customWidth="1"/>
    <col min="1537" max="1537" width="12" customWidth="1"/>
    <col min="1538" max="1538" width="11.140625" customWidth="1"/>
    <col min="1539" max="1565" width="9.140625" hidden="1" customWidth="1" outlineLevel="1"/>
    <col min="1566" max="1566" width="16.7109375" hidden="1" customWidth="1" outlineLevel="1"/>
    <col min="1567" max="1567" width="16.7109375" bestFit="1" customWidth="1" collapsed="1"/>
    <col min="1568" max="1568" width="12.140625" customWidth="1"/>
    <col min="1569" max="1569" width="11.140625" customWidth="1"/>
    <col min="1570" max="1570" width="12.28515625" customWidth="1"/>
    <col min="1571" max="1598" width="9.140625" hidden="1" customWidth="1" outlineLevel="1"/>
    <col min="1599" max="1599" width="16.7109375" bestFit="1" customWidth="1" collapsed="1"/>
    <col min="1600" max="1600" width="15.28515625" bestFit="1" customWidth="1"/>
    <col min="1601" max="1601" width="10.28515625" customWidth="1"/>
    <col min="1602" max="1602" width="11" customWidth="1"/>
    <col min="1603" max="1630" width="9.140625" hidden="1" customWidth="1" outlineLevel="1"/>
    <col min="1631" max="1631" width="16.7109375" bestFit="1" customWidth="1" collapsed="1"/>
    <col min="1632" max="1632" width="15.28515625" bestFit="1" customWidth="1"/>
    <col min="1633" max="1634" width="11.7109375" customWidth="1"/>
    <col min="1635" max="1662" width="9.140625" hidden="1" customWidth="1" outlineLevel="1"/>
    <col min="1663" max="1663" width="16.7109375" bestFit="1" customWidth="1" collapsed="1"/>
    <col min="1664" max="1664" width="15.28515625" bestFit="1" customWidth="1"/>
    <col min="1665" max="1666" width="11" customWidth="1"/>
  </cols>
  <sheetData>
    <row r="2" spans="2:1666" s="756" customFormat="1" ht="30" customHeight="1">
      <c r="C2" s="1805" t="s">
        <v>48</v>
      </c>
      <c r="D2" s="1805"/>
      <c r="E2" s="1805"/>
      <c r="F2" s="1805"/>
      <c r="G2" s="1805"/>
      <c r="H2" s="1805"/>
      <c r="I2" s="1805"/>
      <c r="J2" s="1805"/>
      <c r="K2" s="1805"/>
      <c r="L2" s="1805"/>
      <c r="M2" s="1805"/>
      <c r="N2" s="1805"/>
      <c r="O2" s="1805"/>
      <c r="P2" s="1805"/>
      <c r="Q2" s="1805"/>
      <c r="R2" s="1805"/>
      <c r="S2" s="1805"/>
      <c r="T2" s="1805"/>
      <c r="U2" s="1805"/>
      <c r="V2" s="1805"/>
      <c r="W2" s="1805"/>
      <c r="X2" s="1805"/>
      <c r="Y2" s="1805"/>
      <c r="Z2" s="1805"/>
      <c r="AA2" s="1805"/>
      <c r="AB2" s="1805"/>
      <c r="AC2" s="1805"/>
      <c r="AD2" s="1805"/>
      <c r="AE2" s="1805"/>
      <c r="AF2" s="1805"/>
      <c r="AG2" s="1805"/>
      <c r="AH2" s="1805"/>
      <c r="AI2" s="1805"/>
      <c r="AJ2" s="1805"/>
      <c r="AK2" s="1805"/>
      <c r="AL2" s="1805"/>
      <c r="AM2" s="1805"/>
      <c r="AN2" s="1805"/>
      <c r="AO2" s="1805"/>
      <c r="AP2" s="1805"/>
      <c r="AQ2" s="1805"/>
      <c r="AR2" s="1805"/>
      <c r="AS2" s="1805"/>
      <c r="AT2" s="1805"/>
      <c r="AU2" s="1805"/>
      <c r="AV2" s="1805"/>
      <c r="AW2" s="1805"/>
      <c r="AX2" s="1805"/>
      <c r="AY2" s="1805"/>
      <c r="AZ2" s="1805"/>
      <c r="BA2" s="1805"/>
      <c r="BB2" s="1805"/>
      <c r="BC2" s="1805"/>
      <c r="BD2" s="1805"/>
      <c r="BE2" s="1805"/>
      <c r="BF2" s="1805"/>
      <c r="BG2" s="1805"/>
      <c r="BH2" s="1805"/>
      <c r="BI2" s="1805"/>
      <c r="BJ2" s="1805"/>
      <c r="BK2" s="1805"/>
      <c r="BL2" s="1805"/>
      <c r="BM2" s="1805"/>
      <c r="BN2" s="1805"/>
      <c r="BO2" s="1805"/>
      <c r="BP2" s="1805"/>
      <c r="BQ2" s="1805"/>
      <c r="BR2" s="1805"/>
      <c r="BS2" s="1805"/>
      <c r="BT2" s="1805"/>
      <c r="BU2" s="1805"/>
      <c r="BV2" s="1805"/>
      <c r="BW2" s="1805"/>
      <c r="BX2" s="1805"/>
      <c r="BY2" s="1805"/>
      <c r="BZ2" s="1805"/>
      <c r="CA2" s="1805"/>
      <c r="CB2" s="1805"/>
      <c r="CC2" s="1805"/>
      <c r="CD2" s="1805"/>
      <c r="CE2" s="1805"/>
      <c r="CF2" s="1805"/>
      <c r="CG2" s="1805"/>
      <c r="CH2" s="1805"/>
      <c r="CI2" s="1805"/>
      <c r="CJ2" s="1805"/>
      <c r="CK2" s="1805"/>
      <c r="CL2" s="1805"/>
      <c r="CM2" s="1805"/>
      <c r="CN2" s="1805"/>
      <c r="CO2" s="1805"/>
      <c r="CP2" s="1805"/>
      <c r="CQ2" s="1805"/>
      <c r="CR2" s="1805"/>
      <c r="CS2" s="1805"/>
      <c r="CT2" s="1805"/>
      <c r="CU2" s="1805"/>
      <c r="CV2" s="1805"/>
      <c r="CW2" s="1805"/>
      <c r="CX2" s="1805"/>
      <c r="CY2" s="1805"/>
      <c r="CZ2" s="1805"/>
      <c r="DA2" s="1805"/>
      <c r="DB2" s="1805"/>
      <c r="DC2" s="1805"/>
      <c r="DD2" s="1805"/>
      <c r="DE2" s="1805"/>
      <c r="DF2" s="1805"/>
      <c r="DG2" s="1805"/>
      <c r="DH2" s="1805"/>
      <c r="DI2" s="1805"/>
      <c r="DJ2" s="1805"/>
      <c r="DK2" s="1805"/>
      <c r="DL2" s="1805"/>
      <c r="DM2" s="1805"/>
      <c r="DN2" s="1805"/>
      <c r="DO2" s="1805"/>
      <c r="DP2" s="1805"/>
      <c r="DQ2" s="1805"/>
      <c r="DR2" s="1805"/>
      <c r="DS2" s="1805"/>
      <c r="DT2" s="1805"/>
      <c r="DU2" s="1805"/>
      <c r="DV2" s="1805"/>
      <c r="DW2" s="1805"/>
      <c r="DX2" s="1805"/>
      <c r="DY2" s="1805"/>
      <c r="DZ2" s="1805"/>
      <c r="EA2" s="1806" t="s">
        <v>49</v>
      </c>
      <c r="EB2" s="1806"/>
      <c r="EC2" s="1806"/>
      <c r="ED2" s="1806"/>
      <c r="EE2" s="1806"/>
      <c r="EF2" s="1806"/>
      <c r="EG2" s="1806"/>
      <c r="EH2" s="1806"/>
      <c r="EI2" s="1806"/>
      <c r="EJ2" s="1806"/>
      <c r="EK2" s="1806"/>
      <c r="EL2" s="1806"/>
      <c r="EM2" s="1806"/>
      <c r="EN2" s="1806"/>
      <c r="EO2" s="1806"/>
      <c r="EP2" s="1806"/>
      <c r="EQ2" s="1806"/>
      <c r="ER2" s="1806"/>
      <c r="ES2" s="1806"/>
      <c r="ET2" s="1806"/>
      <c r="EU2" s="1806"/>
      <c r="EV2" s="1806"/>
      <c r="EW2" s="1806"/>
      <c r="EX2" s="1806"/>
      <c r="EY2" s="1806"/>
      <c r="EZ2" s="1806"/>
      <c r="FA2" s="1806"/>
      <c r="FB2" s="1806"/>
      <c r="FC2" s="1806"/>
      <c r="FD2" s="1806"/>
      <c r="FE2" s="1806"/>
      <c r="FF2" s="1806"/>
      <c r="FG2" s="1807"/>
      <c r="FH2" s="1807"/>
      <c r="FI2" s="1807"/>
      <c r="FJ2" s="1807"/>
      <c r="FK2" s="1807"/>
      <c r="FL2" s="1807"/>
      <c r="FM2" s="1807"/>
      <c r="FN2" s="1807"/>
      <c r="FO2" s="1807"/>
      <c r="FP2" s="1807"/>
      <c r="FQ2" s="1807"/>
      <c r="FR2" s="1807"/>
      <c r="FS2" s="1807"/>
      <c r="FT2" s="1807"/>
      <c r="FU2" s="1807"/>
      <c r="FV2" s="1807"/>
      <c r="FW2" s="1807"/>
      <c r="FX2" s="1807"/>
      <c r="FY2" s="1807"/>
      <c r="FZ2" s="1807"/>
      <c r="GA2" s="1807"/>
      <c r="GB2" s="1807"/>
      <c r="GC2" s="1807"/>
      <c r="GD2" s="1807"/>
      <c r="GE2" s="1807"/>
      <c r="GF2" s="1807"/>
      <c r="GG2" s="1807"/>
      <c r="GH2" s="1807"/>
      <c r="GI2" s="1807"/>
      <c r="GJ2" s="1807"/>
      <c r="GK2" s="1807"/>
      <c r="GL2" s="1807"/>
      <c r="GM2" s="1807"/>
      <c r="GN2" s="1807"/>
      <c r="GO2" s="1807"/>
      <c r="GP2" s="1807"/>
      <c r="GQ2" s="1807"/>
      <c r="GR2" s="1807"/>
      <c r="GS2" s="1807"/>
      <c r="GT2" s="1807"/>
      <c r="GU2" s="1807"/>
      <c r="GV2" s="1807"/>
      <c r="GW2" s="1807"/>
      <c r="GX2" s="1807"/>
      <c r="GY2" s="1807"/>
      <c r="GZ2" s="1807"/>
      <c r="HA2" s="1807"/>
      <c r="HB2" s="1807"/>
      <c r="HC2" s="1807"/>
      <c r="HD2" s="1807"/>
      <c r="HE2" s="1807"/>
      <c r="HF2" s="1807"/>
      <c r="HG2" s="1807"/>
      <c r="HH2" s="1807"/>
      <c r="HI2" s="1807"/>
      <c r="HJ2" s="1807"/>
      <c r="HK2" s="1807"/>
      <c r="HL2" s="1807"/>
      <c r="HM2" s="1807"/>
      <c r="HN2" s="1807"/>
      <c r="HO2" s="1807"/>
      <c r="HP2" s="1807"/>
      <c r="HQ2" s="1807"/>
      <c r="HR2" s="1807"/>
      <c r="HS2" s="1807"/>
      <c r="HT2" s="1807"/>
      <c r="HU2" s="1807"/>
      <c r="HV2" s="1807"/>
      <c r="HW2" s="1807"/>
      <c r="HX2" s="1807"/>
      <c r="HY2" s="1807"/>
      <c r="HZ2" s="1807"/>
      <c r="IA2" s="1807"/>
      <c r="IB2" s="1807"/>
      <c r="IC2" s="1807"/>
      <c r="ID2" s="1807"/>
      <c r="IE2" s="1807"/>
      <c r="IF2" s="1807"/>
      <c r="IG2" s="1807"/>
      <c r="IH2" s="1807"/>
      <c r="II2" s="1807"/>
      <c r="IJ2" s="1807"/>
      <c r="IK2" s="1807"/>
      <c r="IL2" s="1807"/>
      <c r="IM2" s="1807"/>
      <c r="IN2" s="1807"/>
      <c r="IO2" s="1807"/>
      <c r="IP2" s="1807"/>
      <c r="IQ2" s="1807"/>
      <c r="IR2" s="1807"/>
      <c r="IS2" s="1807"/>
      <c r="IT2" s="1807"/>
      <c r="IU2" s="1807"/>
      <c r="IV2" s="1807"/>
      <c r="IW2" s="1807"/>
      <c r="IX2" s="1807"/>
      <c r="IY2" s="1805" t="s">
        <v>50</v>
      </c>
      <c r="IZ2" s="1805"/>
      <c r="JA2" s="1805"/>
      <c r="JB2" s="1805"/>
      <c r="JC2" s="1805"/>
      <c r="JD2" s="1805"/>
      <c r="JE2" s="1805"/>
      <c r="JF2" s="1805"/>
      <c r="JG2" s="1805"/>
      <c r="JH2" s="1805"/>
      <c r="JI2" s="1805"/>
      <c r="JJ2" s="1805"/>
      <c r="JK2" s="1805"/>
      <c r="JL2" s="1805"/>
      <c r="JM2" s="1805"/>
      <c r="JN2" s="1805"/>
      <c r="JO2" s="1805"/>
      <c r="JP2" s="1805"/>
      <c r="JQ2" s="1805"/>
      <c r="JR2" s="1805"/>
      <c r="JS2" s="1805"/>
      <c r="JT2" s="1805"/>
      <c r="JU2" s="1805"/>
      <c r="JV2" s="1805"/>
      <c r="JW2" s="1805"/>
      <c r="JX2" s="1805"/>
      <c r="JY2" s="1805"/>
      <c r="JZ2" s="1805"/>
      <c r="KA2" s="1805"/>
      <c r="KB2" s="1805"/>
      <c r="KC2" s="1805"/>
      <c r="KD2" s="1805"/>
      <c r="KE2" s="1805"/>
      <c r="KF2" s="1805"/>
      <c r="KG2" s="1805"/>
      <c r="KH2" s="1805"/>
      <c r="KI2" s="1805"/>
      <c r="KJ2" s="1805"/>
      <c r="KK2" s="1805"/>
      <c r="KL2" s="1805"/>
      <c r="KM2" s="1805"/>
      <c r="KN2" s="1805"/>
      <c r="KO2" s="1805"/>
      <c r="KP2" s="1805"/>
      <c r="KQ2" s="1805"/>
      <c r="KR2" s="1805"/>
      <c r="KS2" s="1805"/>
      <c r="KT2" s="1805"/>
      <c r="KU2" s="1805"/>
      <c r="KV2" s="1805"/>
      <c r="KW2" s="1805"/>
      <c r="KX2" s="1805"/>
      <c r="KY2" s="1805"/>
      <c r="KZ2" s="1805"/>
      <c r="LA2" s="1805"/>
      <c r="LB2" s="1805"/>
      <c r="LC2" s="1805"/>
      <c r="LD2" s="1805"/>
      <c r="LE2" s="1805"/>
      <c r="LF2" s="1805"/>
      <c r="LG2" s="1805"/>
      <c r="LH2" s="1805"/>
      <c r="LI2" s="1805"/>
      <c r="LJ2" s="1805"/>
      <c r="LK2" s="1805"/>
      <c r="LL2" s="1805"/>
      <c r="LM2" s="1805"/>
      <c r="LN2" s="1805"/>
      <c r="LO2" s="1805"/>
      <c r="LP2" s="1805"/>
      <c r="LQ2" s="1805"/>
      <c r="LR2" s="1805"/>
      <c r="LS2" s="1805"/>
      <c r="LT2" s="1805"/>
      <c r="LU2" s="1805"/>
      <c r="LV2" s="1805"/>
      <c r="LW2" s="1805"/>
      <c r="LX2" s="1805"/>
      <c r="LY2" s="1805"/>
      <c r="LZ2" s="1805"/>
      <c r="MA2" s="1805"/>
      <c r="MB2" s="1805"/>
      <c r="MC2" s="1805"/>
      <c r="MD2" s="1805"/>
      <c r="ME2" s="1805"/>
      <c r="MF2" s="1805"/>
      <c r="MG2" s="1805"/>
      <c r="MH2" s="1805"/>
      <c r="MI2" s="1805"/>
      <c r="MJ2" s="1805"/>
      <c r="MK2" s="1805"/>
      <c r="ML2" s="1805"/>
      <c r="MM2" s="1805"/>
      <c r="MN2" s="1805"/>
      <c r="MO2" s="1805"/>
      <c r="MP2" s="1805"/>
      <c r="MQ2" s="1805"/>
      <c r="MR2" s="1805"/>
      <c r="MS2" s="1805"/>
      <c r="MT2" s="1805"/>
      <c r="MU2" s="1805"/>
      <c r="MV2" s="1805"/>
      <c r="MW2" s="1805"/>
      <c r="MX2" s="1805"/>
      <c r="MY2" s="1805"/>
      <c r="MZ2" s="1805"/>
      <c r="NA2" s="1805"/>
      <c r="NB2" s="1805"/>
      <c r="NC2" s="1805"/>
      <c r="ND2" s="1805"/>
      <c r="NE2" s="1805"/>
      <c r="NF2" s="1805"/>
      <c r="NG2" s="1805"/>
      <c r="NH2" s="1805"/>
      <c r="NI2" s="1805"/>
      <c r="NJ2" s="1805"/>
      <c r="NK2" s="1805"/>
      <c r="NL2" s="1805"/>
      <c r="NM2" s="1805"/>
      <c r="NN2" s="1805"/>
      <c r="NO2" s="1805"/>
      <c r="NP2" s="1805"/>
      <c r="NQ2" s="1805"/>
      <c r="NR2" s="1805"/>
      <c r="NS2" s="1805"/>
      <c r="NT2" s="1805"/>
      <c r="NU2" s="1805"/>
      <c r="NV2" s="1805"/>
      <c r="NW2" s="1805"/>
      <c r="NX2" s="1805"/>
      <c r="NY2" s="1805"/>
      <c r="NZ2" s="1805"/>
      <c r="OA2" s="1805"/>
      <c r="OB2" s="1805"/>
      <c r="OC2" s="1805"/>
      <c r="OD2" s="1805"/>
      <c r="OE2" s="1805"/>
      <c r="OF2" s="1805"/>
      <c r="OG2" s="1805"/>
      <c r="OH2" s="1805"/>
      <c r="OI2" s="1805"/>
      <c r="OJ2" s="1805"/>
      <c r="OK2" s="1805"/>
      <c r="OL2" s="1805"/>
      <c r="OM2" s="1805"/>
      <c r="ON2" s="1805"/>
      <c r="OO2" s="1805"/>
      <c r="OP2" s="1805"/>
      <c r="OQ2" s="1805"/>
      <c r="OR2" s="1805"/>
      <c r="OS2" s="1805"/>
      <c r="OT2" s="1805"/>
      <c r="OU2" s="1805"/>
      <c r="OV2" s="1805"/>
      <c r="OW2" s="1805"/>
      <c r="OX2" s="1805"/>
      <c r="OY2" s="1805"/>
      <c r="OZ2" s="1805"/>
      <c r="PA2" s="1805"/>
      <c r="PB2" s="1805"/>
      <c r="PC2" s="1806" t="s">
        <v>51</v>
      </c>
      <c r="PD2" s="1806"/>
      <c r="PE2" s="1806"/>
      <c r="PF2" s="1806"/>
      <c r="PG2" s="1806"/>
      <c r="PH2" s="1806"/>
      <c r="PI2" s="1806"/>
      <c r="PJ2" s="1806"/>
      <c r="PK2" s="1806"/>
      <c r="PL2" s="1806"/>
      <c r="PM2" s="1806"/>
      <c r="PN2" s="1806"/>
      <c r="PO2" s="1806"/>
      <c r="PP2" s="1806"/>
      <c r="PQ2" s="1806"/>
      <c r="PR2" s="1806"/>
      <c r="PS2" s="1806"/>
      <c r="PT2" s="1806"/>
      <c r="PU2" s="1806"/>
      <c r="PV2" s="1806"/>
      <c r="PW2" s="1806"/>
      <c r="PX2" s="1806"/>
      <c r="PY2" s="1806"/>
      <c r="PZ2" s="1806"/>
      <c r="QA2" s="1806"/>
      <c r="QB2" s="1806"/>
      <c r="QC2" s="1806"/>
      <c r="QD2" s="1806"/>
      <c r="QE2" s="1806"/>
      <c r="QF2" s="1806"/>
      <c r="QG2" s="1806"/>
      <c r="QH2" s="1806"/>
      <c r="QI2" s="1807"/>
      <c r="QJ2" s="1807"/>
      <c r="QK2" s="1807"/>
      <c r="QL2" s="1807"/>
      <c r="QM2" s="1807"/>
      <c r="QN2" s="1807"/>
      <c r="QO2" s="1807"/>
      <c r="QP2" s="1807"/>
      <c r="QQ2" s="1807"/>
      <c r="QR2" s="1807"/>
      <c r="QS2" s="1807"/>
      <c r="QT2" s="1807"/>
      <c r="QU2" s="1807"/>
      <c r="QV2" s="1807"/>
      <c r="QW2" s="1807"/>
      <c r="QX2" s="1807"/>
      <c r="QY2" s="1807"/>
      <c r="QZ2" s="1807"/>
      <c r="RA2" s="1807"/>
      <c r="RB2" s="1807"/>
      <c r="RC2" s="1807"/>
      <c r="RD2" s="1807"/>
      <c r="RE2" s="1807"/>
      <c r="RF2" s="1807"/>
      <c r="RG2" s="1807"/>
      <c r="RH2" s="1807"/>
      <c r="RI2" s="1807"/>
      <c r="RJ2" s="1807"/>
      <c r="RK2" s="1807"/>
      <c r="RL2" s="1807"/>
      <c r="RM2" s="1807"/>
      <c r="RN2" s="1807"/>
      <c r="RO2" s="1807"/>
      <c r="RP2" s="1807"/>
      <c r="RQ2" s="1807"/>
      <c r="RR2" s="1807"/>
      <c r="RS2" s="1807"/>
      <c r="RT2" s="1807"/>
      <c r="RU2" s="1807"/>
      <c r="RV2" s="1807"/>
      <c r="RW2" s="1807"/>
      <c r="RX2" s="1807"/>
      <c r="RY2" s="1807"/>
      <c r="RZ2" s="1807"/>
      <c r="SA2" s="1807"/>
      <c r="SB2" s="1807"/>
      <c r="SC2" s="1807"/>
      <c r="SD2" s="1807"/>
      <c r="SE2" s="1807"/>
      <c r="SF2" s="1807"/>
      <c r="SG2" s="1807"/>
      <c r="SH2" s="1807"/>
      <c r="SI2" s="1807"/>
      <c r="SJ2" s="1807"/>
      <c r="SK2" s="1807"/>
      <c r="SL2" s="1807"/>
      <c r="SM2" s="1807"/>
      <c r="SN2" s="1807"/>
      <c r="SO2" s="1807"/>
      <c r="SP2" s="1807"/>
      <c r="SQ2" s="1807"/>
      <c r="SR2" s="1807"/>
      <c r="SS2" s="1807"/>
      <c r="ST2" s="1807"/>
      <c r="SU2" s="1807"/>
      <c r="SV2" s="1807"/>
      <c r="SW2" s="1807"/>
      <c r="SX2" s="1807"/>
      <c r="SY2" s="1807"/>
      <c r="SZ2" s="1807"/>
      <c r="TA2" s="1807"/>
      <c r="TB2" s="1807"/>
      <c r="TC2" s="1807"/>
      <c r="TD2" s="1807"/>
      <c r="TE2" s="1807"/>
      <c r="TF2" s="1807"/>
      <c r="TG2" s="1807"/>
      <c r="TH2" s="1807"/>
      <c r="TI2" s="1807"/>
      <c r="TJ2" s="1807"/>
      <c r="TK2" s="1807"/>
      <c r="TL2" s="1807"/>
      <c r="TM2" s="1807"/>
      <c r="TN2" s="1807"/>
      <c r="TO2" s="1807"/>
      <c r="TP2" s="1807"/>
      <c r="TQ2" s="1807"/>
      <c r="TR2" s="1807"/>
      <c r="TS2" s="1807"/>
      <c r="TT2" s="1807"/>
      <c r="TU2" s="1807"/>
      <c r="TV2" s="1807"/>
      <c r="TW2" s="1807"/>
      <c r="TX2" s="1807"/>
      <c r="TY2" s="1807"/>
      <c r="TZ2" s="1807"/>
      <c r="UA2" s="1804" t="s">
        <v>52</v>
      </c>
      <c r="UB2" s="1804"/>
      <c r="UC2" s="1804"/>
      <c r="UD2" s="1804"/>
      <c r="UE2" s="1804"/>
      <c r="UF2" s="1804"/>
      <c r="UG2" s="1804"/>
      <c r="UH2" s="1804"/>
      <c r="UI2" s="1804"/>
      <c r="UJ2" s="1804"/>
      <c r="UK2" s="1804"/>
      <c r="UL2" s="1804"/>
      <c r="UM2" s="1804"/>
      <c r="UN2" s="1804"/>
      <c r="UO2" s="1804"/>
      <c r="UP2" s="1804"/>
      <c r="UQ2" s="1804"/>
      <c r="UR2" s="1804"/>
      <c r="US2" s="1804"/>
      <c r="UT2" s="1804"/>
      <c r="UU2" s="1804"/>
      <c r="UV2" s="1804"/>
      <c r="UW2" s="1804"/>
      <c r="UX2" s="1804"/>
      <c r="UY2" s="1804"/>
      <c r="UZ2" s="1804"/>
      <c r="VA2" s="1804"/>
      <c r="VB2" s="1804"/>
      <c r="VC2" s="1804"/>
      <c r="VD2" s="1804"/>
      <c r="VE2" s="1804"/>
      <c r="VF2" s="1804"/>
      <c r="VG2" s="1805"/>
      <c r="VH2" s="1805"/>
      <c r="VI2" s="1805"/>
      <c r="VJ2" s="1805"/>
      <c r="VK2" s="1805"/>
      <c r="VL2" s="1805"/>
      <c r="VM2" s="1805"/>
      <c r="VN2" s="1805"/>
      <c r="VO2" s="1805"/>
      <c r="VP2" s="1805"/>
      <c r="VQ2" s="1805"/>
      <c r="VR2" s="1805"/>
      <c r="VS2" s="1805"/>
      <c r="VT2" s="1805"/>
      <c r="VU2" s="1805"/>
      <c r="VV2" s="1805"/>
      <c r="VW2" s="1805"/>
      <c r="VX2" s="1805"/>
      <c r="VY2" s="1805"/>
      <c r="VZ2" s="1805"/>
      <c r="WA2" s="1805"/>
      <c r="WB2" s="1805"/>
      <c r="WC2" s="1805"/>
      <c r="WD2" s="1805"/>
      <c r="WE2" s="1805"/>
      <c r="WF2" s="1805"/>
      <c r="WG2" s="1805"/>
      <c r="WH2" s="1805"/>
      <c r="WI2" s="1805"/>
      <c r="WJ2" s="1805"/>
      <c r="WK2" s="1805"/>
      <c r="WL2" s="1805"/>
      <c r="WM2" s="1805"/>
      <c r="WN2" s="1805"/>
      <c r="WO2" s="1805"/>
      <c r="WP2" s="1805"/>
      <c r="WQ2" s="1805"/>
      <c r="WR2" s="1805"/>
      <c r="WS2" s="1805"/>
      <c r="WT2" s="1805"/>
      <c r="WU2" s="1805"/>
      <c r="WV2" s="1805"/>
      <c r="WW2" s="1805"/>
      <c r="WX2" s="1805"/>
      <c r="WY2" s="1805"/>
      <c r="WZ2" s="1805"/>
      <c r="XA2" s="1805"/>
      <c r="XB2" s="1805"/>
      <c r="XC2" s="1805"/>
      <c r="XD2" s="1805"/>
      <c r="XE2" s="1805"/>
      <c r="XF2" s="1805"/>
      <c r="XG2" s="1805"/>
      <c r="XH2" s="1805"/>
      <c r="XI2" s="1805"/>
      <c r="XJ2" s="1805"/>
      <c r="XK2" s="1805"/>
      <c r="XL2" s="1805"/>
      <c r="XM2" s="1805"/>
      <c r="XN2" s="1805"/>
      <c r="XO2" s="1805"/>
      <c r="XP2" s="1805"/>
      <c r="XQ2" s="1805"/>
      <c r="XR2" s="1805"/>
      <c r="XS2" s="1805"/>
      <c r="XT2" s="1805"/>
      <c r="XU2" s="1805"/>
      <c r="XV2" s="1805"/>
      <c r="XW2" s="1805"/>
      <c r="XX2" s="1805"/>
      <c r="XY2" s="1805"/>
      <c r="XZ2" s="1805"/>
      <c r="YA2" s="1805"/>
      <c r="YB2" s="1805"/>
      <c r="YC2" s="1805"/>
      <c r="YD2" s="1805"/>
      <c r="YE2" s="1805"/>
      <c r="YF2" s="1805"/>
      <c r="YG2" s="1805"/>
      <c r="YH2" s="1805"/>
      <c r="YI2" s="1805"/>
      <c r="YJ2" s="1805"/>
      <c r="YK2" s="1805"/>
      <c r="YL2" s="1805"/>
      <c r="YM2" s="1805"/>
      <c r="YN2" s="1805"/>
      <c r="YO2" s="1805"/>
      <c r="YP2" s="1805"/>
      <c r="YQ2" s="1805"/>
      <c r="YR2" s="1805"/>
      <c r="YS2" s="1805"/>
      <c r="YT2" s="1805"/>
      <c r="YU2" s="1805"/>
      <c r="YV2" s="1805"/>
      <c r="YW2" s="1805"/>
      <c r="YX2" s="1805"/>
      <c r="YY2" s="1794" t="s">
        <v>53</v>
      </c>
      <c r="YZ2" s="1794"/>
      <c r="ZA2" s="1794"/>
      <c r="ZB2" s="1794"/>
      <c r="ZC2" s="1794"/>
      <c r="ZD2" s="1794"/>
      <c r="ZE2" s="1794"/>
      <c r="ZF2" s="1794"/>
      <c r="ZG2" s="1794"/>
      <c r="ZH2" s="1794"/>
      <c r="ZI2" s="1794"/>
      <c r="ZJ2" s="1794"/>
      <c r="ZK2" s="1794"/>
      <c r="ZL2" s="1794"/>
      <c r="ZM2" s="1794"/>
      <c r="ZN2" s="1794"/>
      <c r="ZO2" s="1794"/>
      <c r="ZP2" s="1794"/>
      <c r="ZQ2" s="1794"/>
      <c r="ZR2" s="1794"/>
      <c r="ZS2" s="1794"/>
      <c r="ZT2" s="1794"/>
      <c r="ZU2" s="1794"/>
      <c r="ZV2" s="1794"/>
      <c r="ZW2" s="1794"/>
      <c r="ZX2" s="1794"/>
      <c r="ZY2" s="1794"/>
      <c r="ZZ2" s="1794"/>
      <c r="AAA2" s="1794"/>
      <c r="AAB2" s="1794"/>
      <c r="AAC2" s="1794"/>
      <c r="AAD2" s="1794"/>
      <c r="AAE2" s="1794"/>
      <c r="AAF2" s="1794"/>
      <c r="AAG2" s="1794"/>
      <c r="AAH2" s="1794"/>
      <c r="AAI2" s="1794"/>
      <c r="AAJ2" s="1794"/>
      <c r="AAK2" s="1794"/>
      <c r="AAL2" s="1794"/>
      <c r="AAM2" s="1794"/>
      <c r="AAN2" s="1794"/>
      <c r="AAO2" s="1794"/>
      <c r="AAP2" s="1794"/>
      <c r="AAQ2" s="1794"/>
      <c r="AAR2" s="1794"/>
      <c r="AAS2" s="1794"/>
      <c r="AAT2" s="1794"/>
      <c r="AAU2" s="1794"/>
      <c r="AAV2" s="1794"/>
      <c r="AAW2" s="1794"/>
      <c r="AAX2" s="1794"/>
      <c r="AAY2" s="1794"/>
      <c r="AAZ2" s="1794"/>
      <c r="ABA2" s="1794"/>
      <c r="ABB2" s="1794"/>
      <c r="ABC2" s="1794"/>
      <c r="ABD2" s="1794"/>
      <c r="ABE2" s="1794"/>
      <c r="ABF2" s="1794"/>
      <c r="ABG2" s="1794"/>
      <c r="ABH2" s="1794"/>
      <c r="ABI2" s="1794"/>
      <c r="ABJ2" s="1794"/>
      <c r="ABK2" s="1794"/>
      <c r="ABL2" s="1794"/>
      <c r="ABM2" s="1794"/>
      <c r="ABN2" s="1794"/>
      <c r="ABO2" s="1794"/>
      <c r="ABP2" s="1794"/>
      <c r="ABQ2" s="1794"/>
      <c r="ABR2" s="1794"/>
      <c r="ABS2" s="1794"/>
      <c r="ABT2" s="1794"/>
      <c r="ABU2" s="1794"/>
      <c r="ABV2" s="1794"/>
      <c r="ABW2" s="1794"/>
      <c r="ABX2" s="1794"/>
      <c r="ABY2" s="1794"/>
      <c r="ABZ2" s="1794"/>
      <c r="ACA2" s="1794"/>
      <c r="ACB2" s="1794"/>
      <c r="ACC2" s="1794"/>
      <c r="ACD2" s="1794"/>
      <c r="ACE2" s="1794"/>
      <c r="ACF2" s="1794"/>
      <c r="ACG2" s="1794"/>
      <c r="ACH2" s="1794"/>
      <c r="ACI2" s="1794"/>
      <c r="ACJ2" s="1794"/>
      <c r="ACK2" s="1794"/>
      <c r="ACL2" s="1794"/>
      <c r="ACM2" s="1794"/>
      <c r="ACN2" s="1794"/>
      <c r="ACO2" s="1794"/>
      <c r="ACP2" s="1794"/>
      <c r="ACQ2" s="1794"/>
      <c r="ACR2" s="1794"/>
      <c r="ACS2" s="1794"/>
      <c r="ACT2" s="1794"/>
      <c r="ACU2" s="1794"/>
      <c r="ACV2" s="1794"/>
      <c r="ACW2" s="1794"/>
      <c r="ACX2" s="1794"/>
      <c r="ACY2" s="1794"/>
      <c r="ACZ2" s="1794"/>
      <c r="ADA2" s="1794"/>
      <c r="ADB2" s="1794"/>
      <c r="ADC2" s="1794"/>
      <c r="ADD2" s="1794"/>
      <c r="ADE2" s="1794"/>
      <c r="ADF2" s="1794"/>
      <c r="ADG2" s="1794"/>
      <c r="ADH2" s="1794"/>
      <c r="ADI2" s="1794"/>
      <c r="ADJ2" s="1794"/>
      <c r="ADK2" s="1794"/>
      <c r="ADL2" s="1794"/>
      <c r="ADM2" s="1794"/>
      <c r="ADN2" s="1794"/>
      <c r="ADO2" s="1794"/>
      <c r="ADP2" s="1794"/>
      <c r="ADQ2" s="1794"/>
      <c r="ADR2" s="1794"/>
      <c r="ADS2" s="1794"/>
      <c r="ADT2" s="1794"/>
      <c r="ADU2" s="1794"/>
      <c r="ADV2" s="1794"/>
      <c r="ADW2" s="1794"/>
      <c r="ADX2" s="1794"/>
      <c r="ADY2" s="1794"/>
      <c r="ADZ2" s="1794"/>
      <c r="AEA2" s="1794"/>
      <c r="AEB2" s="1794"/>
      <c r="AEC2" s="1794"/>
      <c r="AED2" s="1794"/>
      <c r="AEE2" s="1794"/>
      <c r="AEF2" s="1794"/>
      <c r="AEG2" s="1794"/>
      <c r="AEH2" s="1794"/>
      <c r="AEI2" s="1794"/>
      <c r="AEJ2" s="1794"/>
      <c r="AEK2" s="1794"/>
      <c r="AEL2" s="1794"/>
      <c r="AEM2" s="1794"/>
      <c r="AEN2" s="1794"/>
      <c r="AEO2" s="1794"/>
      <c r="AEP2" s="1794"/>
      <c r="AEQ2" s="1794"/>
      <c r="AER2" s="1794"/>
      <c r="AES2" s="1794"/>
      <c r="AET2" s="1794"/>
      <c r="AEU2" s="1794"/>
      <c r="AEV2" s="1794"/>
      <c r="AEW2" s="1794"/>
      <c r="AEX2" s="1794"/>
      <c r="AEY2" s="1794"/>
      <c r="AEZ2" s="1794"/>
      <c r="AFA2" s="1794"/>
      <c r="AFB2" s="1794"/>
      <c r="AFC2" s="1804" t="s">
        <v>54</v>
      </c>
      <c r="AFD2" s="1804"/>
      <c r="AFE2" s="1804"/>
      <c r="AFF2" s="1804"/>
      <c r="AFG2" s="1804"/>
      <c r="AFH2" s="1804"/>
      <c r="AFI2" s="1804"/>
      <c r="AFJ2" s="1804"/>
      <c r="AFK2" s="1804"/>
      <c r="AFL2" s="1804"/>
      <c r="AFM2" s="1804"/>
      <c r="AFN2" s="1804"/>
      <c r="AFO2" s="1804"/>
      <c r="AFP2" s="1804"/>
      <c r="AFQ2" s="1804"/>
      <c r="AFR2" s="1804"/>
      <c r="AFS2" s="1804"/>
      <c r="AFT2" s="1804"/>
      <c r="AFU2" s="1804"/>
      <c r="AFV2" s="1804"/>
      <c r="AFW2" s="1804"/>
      <c r="AFX2" s="1804"/>
      <c r="AFY2" s="1804"/>
      <c r="AFZ2" s="1804"/>
      <c r="AGA2" s="1804"/>
      <c r="AGB2" s="1804"/>
      <c r="AGC2" s="1804"/>
      <c r="AGD2" s="1804"/>
      <c r="AGE2" s="1804"/>
      <c r="AGF2" s="1804"/>
      <c r="AGG2" s="1804"/>
      <c r="AGH2" s="1804"/>
      <c r="AGI2" s="1805"/>
      <c r="AGJ2" s="1805"/>
      <c r="AGK2" s="1805"/>
      <c r="AGL2" s="1805"/>
      <c r="AGM2" s="1805"/>
      <c r="AGN2" s="1805"/>
      <c r="AGO2" s="1805"/>
      <c r="AGP2" s="1805"/>
      <c r="AGQ2" s="1805"/>
      <c r="AGR2" s="1805"/>
      <c r="AGS2" s="1805"/>
      <c r="AGT2" s="1805"/>
      <c r="AGU2" s="1805"/>
      <c r="AGV2" s="1805"/>
      <c r="AGW2" s="1805"/>
      <c r="AGX2" s="1805"/>
      <c r="AGY2" s="1805"/>
      <c r="AGZ2" s="1805"/>
      <c r="AHA2" s="1805"/>
      <c r="AHB2" s="1805"/>
      <c r="AHC2" s="1805"/>
      <c r="AHD2" s="1805"/>
      <c r="AHE2" s="1805"/>
      <c r="AHF2" s="1805"/>
      <c r="AHG2" s="1805"/>
      <c r="AHH2" s="1805"/>
      <c r="AHI2" s="1805"/>
      <c r="AHJ2" s="1805"/>
      <c r="AHK2" s="1805"/>
      <c r="AHL2" s="1805"/>
      <c r="AHM2" s="1805"/>
      <c r="AHN2" s="1805"/>
      <c r="AHO2" s="1805"/>
      <c r="AHP2" s="1805"/>
      <c r="AHQ2" s="1805"/>
      <c r="AHR2" s="1805"/>
      <c r="AHS2" s="1805"/>
      <c r="AHT2" s="1805"/>
      <c r="AHU2" s="1805"/>
      <c r="AHV2" s="1805"/>
      <c r="AHW2" s="1805"/>
      <c r="AHX2" s="1805"/>
      <c r="AHY2" s="1805"/>
      <c r="AHZ2" s="1805"/>
      <c r="AIA2" s="1805"/>
      <c r="AIB2" s="1805"/>
      <c r="AIC2" s="1805"/>
      <c r="AID2" s="1805"/>
      <c r="AIE2" s="1805"/>
      <c r="AIF2" s="1805"/>
      <c r="AIG2" s="1805"/>
      <c r="AIH2" s="1805"/>
      <c r="AII2" s="1805"/>
      <c r="AIJ2" s="1805"/>
      <c r="AIK2" s="1805"/>
      <c r="AIL2" s="1805"/>
      <c r="AIM2" s="1805"/>
      <c r="AIN2" s="1805"/>
      <c r="AIO2" s="1805"/>
      <c r="AIP2" s="1805"/>
      <c r="AIQ2" s="1805"/>
      <c r="AIR2" s="1805"/>
      <c r="AIS2" s="1805"/>
      <c r="AIT2" s="1805"/>
      <c r="AIU2" s="1805"/>
      <c r="AIV2" s="1805"/>
      <c r="AIW2" s="1805"/>
      <c r="AIX2" s="1805"/>
      <c r="AIY2" s="1805"/>
      <c r="AIZ2" s="1805"/>
      <c r="AJA2" s="1805"/>
      <c r="AJB2" s="1805"/>
      <c r="AJC2" s="1805"/>
      <c r="AJD2" s="1805"/>
      <c r="AJE2" s="1805"/>
      <c r="AJF2" s="1805"/>
      <c r="AJG2" s="1805"/>
      <c r="AJH2" s="1805"/>
      <c r="AJI2" s="1805"/>
      <c r="AJJ2" s="1805"/>
      <c r="AJK2" s="1805"/>
      <c r="AJL2" s="1805"/>
      <c r="AJM2" s="1805"/>
      <c r="AJN2" s="1805"/>
      <c r="AJO2" s="1805"/>
      <c r="AJP2" s="1805"/>
      <c r="AJQ2" s="1805"/>
      <c r="AJR2" s="1805"/>
      <c r="AJS2" s="1805"/>
      <c r="AJT2" s="1805"/>
      <c r="AJU2" s="1805"/>
      <c r="AJV2" s="1805"/>
      <c r="AJW2" s="1805"/>
      <c r="AJX2" s="1805"/>
      <c r="AJY2" s="1805"/>
      <c r="AJZ2" s="1805"/>
      <c r="AKA2" s="1806" t="s">
        <v>55</v>
      </c>
      <c r="AKB2" s="1806"/>
      <c r="AKC2" s="1806"/>
      <c r="AKD2" s="1806"/>
      <c r="AKE2" s="1806"/>
      <c r="AKF2" s="1806"/>
      <c r="AKG2" s="1806"/>
      <c r="AKH2" s="1806"/>
      <c r="AKI2" s="1806"/>
      <c r="AKJ2" s="1806"/>
      <c r="AKK2" s="1806"/>
      <c r="AKL2" s="1806"/>
      <c r="AKM2" s="1806"/>
      <c r="AKN2" s="1806"/>
      <c r="AKO2" s="1806"/>
      <c r="AKP2" s="1806"/>
      <c r="AKQ2" s="1806"/>
      <c r="AKR2" s="1806"/>
      <c r="AKS2" s="1806"/>
      <c r="AKT2" s="1806"/>
      <c r="AKU2" s="1806"/>
      <c r="AKV2" s="1806"/>
      <c r="AKW2" s="1806"/>
      <c r="AKX2" s="1806"/>
      <c r="AKY2" s="1806"/>
      <c r="AKZ2" s="1806"/>
      <c r="ALA2" s="1806"/>
      <c r="ALB2" s="1806"/>
      <c r="ALC2" s="1806"/>
      <c r="ALD2" s="1806"/>
      <c r="ALE2" s="1806"/>
      <c r="ALF2" s="1806"/>
      <c r="ALG2" s="1807"/>
      <c r="ALH2" s="1807"/>
      <c r="ALI2" s="1807"/>
      <c r="ALJ2" s="1807"/>
      <c r="ALK2" s="1807"/>
      <c r="ALL2" s="1807"/>
      <c r="ALM2" s="1807"/>
      <c r="ALN2" s="1807"/>
      <c r="ALO2" s="1807"/>
      <c r="ALP2" s="1807"/>
      <c r="ALQ2" s="1807"/>
      <c r="ALR2" s="1807"/>
      <c r="ALS2" s="1807"/>
      <c r="ALT2" s="1807"/>
      <c r="ALU2" s="1807"/>
      <c r="ALV2" s="1807"/>
      <c r="ALW2" s="1807"/>
      <c r="ALX2" s="1807"/>
      <c r="ALY2" s="1807"/>
      <c r="ALZ2" s="1807"/>
      <c r="AMA2" s="1807"/>
      <c r="AMB2" s="1807"/>
      <c r="AMC2" s="1807"/>
      <c r="AMD2" s="1807"/>
      <c r="AME2" s="1807"/>
      <c r="AMF2" s="1807"/>
      <c r="AMG2" s="1807"/>
      <c r="AMH2" s="1807"/>
      <c r="AMI2" s="1807"/>
      <c r="AMJ2" s="1807"/>
      <c r="AMK2" s="1807"/>
      <c r="AML2" s="1807"/>
      <c r="AMM2" s="1807"/>
      <c r="AMN2" s="1807"/>
      <c r="AMO2" s="1807"/>
      <c r="AMP2" s="1807"/>
      <c r="AMQ2" s="1807"/>
      <c r="AMR2" s="1807"/>
      <c r="AMS2" s="1807"/>
      <c r="AMT2" s="1807"/>
      <c r="AMU2" s="1807"/>
      <c r="AMV2" s="1807"/>
      <c r="AMW2" s="1807"/>
      <c r="AMX2" s="1807"/>
      <c r="AMY2" s="1807"/>
      <c r="AMZ2" s="1807"/>
      <c r="ANA2" s="1807"/>
      <c r="ANB2" s="1807"/>
      <c r="ANC2" s="1807"/>
      <c r="AND2" s="1807"/>
      <c r="ANE2" s="1807"/>
      <c r="ANF2" s="1807"/>
      <c r="ANG2" s="1807"/>
      <c r="ANH2" s="1807"/>
      <c r="ANI2" s="1807"/>
      <c r="ANJ2" s="1807"/>
      <c r="ANK2" s="1807"/>
      <c r="ANL2" s="1807"/>
      <c r="ANM2" s="1807"/>
      <c r="ANN2" s="1807"/>
      <c r="ANO2" s="1807"/>
      <c r="ANP2" s="1807"/>
      <c r="ANQ2" s="1807"/>
      <c r="ANR2" s="1807"/>
      <c r="ANS2" s="1807"/>
      <c r="ANT2" s="1807"/>
      <c r="ANU2" s="1807"/>
      <c r="ANV2" s="1807"/>
      <c r="ANW2" s="1807"/>
      <c r="ANX2" s="1807"/>
      <c r="ANY2" s="1807"/>
      <c r="ANZ2" s="1807"/>
      <c r="AOA2" s="1807"/>
      <c r="AOB2" s="1807"/>
      <c r="AOC2" s="1807"/>
      <c r="AOD2" s="1807"/>
      <c r="AOE2" s="1807"/>
      <c r="AOF2" s="1807"/>
      <c r="AOG2" s="1807"/>
      <c r="AOH2" s="1807"/>
      <c r="AOI2" s="1807"/>
      <c r="AOJ2" s="1807"/>
      <c r="AOK2" s="1807"/>
      <c r="AOL2" s="1807"/>
      <c r="AOM2" s="1807"/>
      <c r="AON2" s="1807"/>
      <c r="AOO2" s="1807"/>
      <c r="AOP2" s="1807"/>
      <c r="AOQ2" s="1807"/>
      <c r="AOR2" s="1807"/>
      <c r="AOS2" s="1807"/>
      <c r="AOT2" s="1807"/>
      <c r="AOU2" s="1807"/>
      <c r="AOV2" s="1807"/>
      <c r="AOW2" s="1807"/>
      <c r="AOX2" s="1807"/>
      <c r="AOY2" s="1805" t="s">
        <v>56</v>
      </c>
      <c r="AOZ2" s="1805"/>
      <c r="APA2" s="1805"/>
      <c r="APB2" s="1805"/>
      <c r="APC2" s="1805"/>
      <c r="APD2" s="1805"/>
      <c r="APE2" s="1805"/>
      <c r="APF2" s="1805"/>
      <c r="APG2" s="1805"/>
      <c r="APH2" s="1805"/>
      <c r="API2" s="1805"/>
      <c r="APJ2" s="1805"/>
      <c r="APK2" s="1805"/>
      <c r="APL2" s="1805"/>
      <c r="APM2" s="1805"/>
      <c r="APN2" s="1805"/>
      <c r="APO2" s="1805"/>
      <c r="APP2" s="1805"/>
      <c r="APQ2" s="1805"/>
      <c r="APR2" s="1805"/>
      <c r="APS2" s="1805"/>
      <c r="APT2" s="1805"/>
      <c r="APU2" s="1805"/>
      <c r="APV2" s="1805"/>
      <c r="APW2" s="1805"/>
      <c r="APX2" s="1805"/>
      <c r="APY2" s="1805"/>
      <c r="APZ2" s="1805"/>
      <c r="AQA2" s="1805"/>
      <c r="AQB2" s="1805"/>
      <c r="AQC2" s="1805"/>
      <c r="AQD2" s="1805"/>
      <c r="AQE2" s="1805"/>
      <c r="AQF2" s="1805"/>
      <c r="AQG2" s="1805"/>
      <c r="AQH2" s="1805"/>
      <c r="AQI2" s="1805"/>
      <c r="AQJ2" s="1805"/>
      <c r="AQK2" s="1805"/>
      <c r="AQL2" s="1805"/>
      <c r="AQM2" s="1805"/>
      <c r="AQN2" s="1805"/>
      <c r="AQO2" s="1805"/>
      <c r="AQP2" s="1805"/>
      <c r="AQQ2" s="1805"/>
      <c r="AQR2" s="1805"/>
      <c r="AQS2" s="1805"/>
      <c r="AQT2" s="1805"/>
      <c r="AQU2" s="1805"/>
      <c r="AQV2" s="1805"/>
      <c r="AQW2" s="1805"/>
      <c r="AQX2" s="1805"/>
      <c r="AQY2" s="1805"/>
      <c r="AQZ2" s="1805"/>
      <c r="ARA2" s="1805"/>
      <c r="ARB2" s="1805"/>
      <c r="ARC2" s="1805"/>
      <c r="ARD2" s="1805"/>
      <c r="ARE2" s="1805"/>
      <c r="ARF2" s="1805"/>
      <c r="ARG2" s="1805"/>
      <c r="ARH2" s="1805"/>
      <c r="ARI2" s="1805"/>
      <c r="ARJ2" s="1805"/>
      <c r="ARK2" s="1805"/>
      <c r="ARL2" s="1805"/>
      <c r="ARM2" s="1805"/>
      <c r="ARN2" s="1805"/>
      <c r="ARO2" s="1805"/>
      <c r="ARP2" s="1805"/>
      <c r="ARQ2" s="1805"/>
      <c r="ARR2" s="1805"/>
      <c r="ARS2" s="1805"/>
      <c r="ART2" s="1805"/>
      <c r="ARU2" s="1805"/>
      <c r="ARV2" s="1805"/>
      <c r="ARW2" s="1805"/>
      <c r="ARX2" s="1805"/>
      <c r="ARY2" s="1805"/>
      <c r="ARZ2" s="1805"/>
      <c r="ASA2" s="1805"/>
      <c r="ASB2" s="1805"/>
      <c r="ASC2" s="1805"/>
      <c r="ASD2" s="1805"/>
      <c r="ASE2" s="1805"/>
      <c r="ASF2" s="1805"/>
      <c r="ASG2" s="1805"/>
      <c r="ASH2" s="1805"/>
      <c r="ASI2" s="1805"/>
      <c r="ASJ2" s="1805"/>
      <c r="ASK2" s="1805"/>
      <c r="ASL2" s="1805"/>
      <c r="ASM2" s="1805"/>
      <c r="ASN2" s="1805"/>
      <c r="ASO2" s="1805"/>
      <c r="ASP2" s="1805"/>
      <c r="ASQ2" s="1805"/>
      <c r="ASR2" s="1805"/>
      <c r="ASS2" s="1805"/>
      <c r="AST2" s="1805"/>
      <c r="ASU2" s="1805"/>
      <c r="ASV2" s="1805"/>
      <c r="ASW2" s="1805"/>
      <c r="ASX2" s="1805"/>
      <c r="ASY2" s="1805"/>
      <c r="ASZ2" s="1805"/>
      <c r="ATA2" s="1805"/>
      <c r="ATB2" s="1805"/>
      <c r="ATC2" s="1805"/>
      <c r="ATD2" s="1805"/>
      <c r="ATE2" s="1805"/>
      <c r="ATF2" s="1805"/>
      <c r="ATG2" s="1805"/>
      <c r="ATH2" s="1805"/>
      <c r="ATI2" s="1805"/>
      <c r="ATJ2" s="1805"/>
      <c r="ATK2" s="1805"/>
      <c r="ATL2" s="1805"/>
      <c r="ATM2" s="1805"/>
      <c r="ATN2" s="1805"/>
      <c r="ATO2" s="1805"/>
      <c r="ATP2" s="1805"/>
      <c r="ATQ2" s="1805"/>
      <c r="ATR2" s="1805"/>
      <c r="ATS2" s="1805"/>
      <c r="ATT2" s="1805"/>
      <c r="ATU2" s="1805"/>
      <c r="ATV2" s="1805"/>
      <c r="ATW2" s="1805"/>
      <c r="ATX2" s="1805"/>
      <c r="ATY2" s="1805"/>
      <c r="ATZ2" s="1805"/>
      <c r="AUA2" s="1805"/>
      <c r="AUB2" s="1805"/>
      <c r="AUC2" s="1805"/>
      <c r="AUD2" s="1805"/>
      <c r="AUE2" s="1805"/>
      <c r="AUF2" s="1805"/>
      <c r="AUG2" s="1805"/>
      <c r="AUH2" s="1805"/>
      <c r="AUI2" s="1805"/>
      <c r="AUJ2" s="1805"/>
      <c r="AUK2" s="1805"/>
      <c r="AUL2" s="1805"/>
      <c r="AUM2" s="1805"/>
      <c r="AUN2" s="1805"/>
      <c r="AUO2" s="1805"/>
      <c r="AUP2" s="1805"/>
      <c r="AUQ2" s="1805"/>
      <c r="AUR2" s="1805"/>
      <c r="AUS2" s="1805"/>
      <c r="AUT2" s="1805"/>
      <c r="AUU2" s="1805"/>
      <c r="AUV2" s="1805"/>
      <c r="AUW2" s="1805"/>
      <c r="AUX2" s="1805"/>
      <c r="AUY2" s="1805"/>
      <c r="AUZ2" s="1805"/>
      <c r="AVA2" s="1805"/>
      <c r="AVB2" s="1805"/>
      <c r="AVC2" s="1806" t="s">
        <v>57</v>
      </c>
      <c r="AVD2" s="1806"/>
      <c r="AVE2" s="1806"/>
      <c r="AVF2" s="1806"/>
      <c r="AVG2" s="1806"/>
      <c r="AVH2" s="1806"/>
      <c r="AVI2" s="1806"/>
      <c r="AVJ2" s="1806"/>
      <c r="AVK2" s="1806"/>
      <c r="AVL2" s="1806"/>
      <c r="AVM2" s="1806"/>
      <c r="AVN2" s="1806"/>
      <c r="AVO2" s="1806"/>
      <c r="AVP2" s="1806"/>
      <c r="AVQ2" s="1806"/>
      <c r="AVR2" s="1806"/>
      <c r="AVS2" s="1806"/>
      <c r="AVT2" s="1806"/>
      <c r="AVU2" s="1806"/>
      <c r="AVV2" s="1806"/>
      <c r="AVW2" s="1806"/>
      <c r="AVX2" s="1806"/>
      <c r="AVY2" s="1806"/>
      <c r="AVZ2" s="1806"/>
      <c r="AWA2" s="1806"/>
      <c r="AWB2" s="1806"/>
      <c r="AWC2" s="1806"/>
      <c r="AWD2" s="1806"/>
      <c r="AWE2" s="1806"/>
      <c r="AWF2" s="1806"/>
      <c r="AWG2" s="1806"/>
      <c r="AWH2" s="1806"/>
      <c r="AWI2" s="1807"/>
      <c r="AWJ2" s="1807"/>
      <c r="AWK2" s="1807"/>
      <c r="AWL2" s="1807"/>
      <c r="AWM2" s="1807"/>
      <c r="AWN2" s="1807"/>
      <c r="AWO2" s="1807"/>
      <c r="AWP2" s="1807"/>
      <c r="AWQ2" s="1807"/>
      <c r="AWR2" s="1807"/>
      <c r="AWS2" s="1807"/>
      <c r="AWT2" s="1807"/>
      <c r="AWU2" s="1807"/>
      <c r="AWV2" s="1807"/>
      <c r="AWW2" s="1807"/>
      <c r="AWX2" s="1807"/>
      <c r="AWY2" s="1807"/>
      <c r="AWZ2" s="1807"/>
      <c r="AXA2" s="1807"/>
      <c r="AXB2" s="1807"/>
      <c r="AXC2" s="1807"/>
      <c r="AXD2" s="1807"/>
      <c r="AXE2" s="1807"/>
      <c r="AXF2" s="1807"/>
      <c r="AXG2" s="1807"/>
      <c r="AXH2" s="1807"/>
      <c r="AXI2" s="1807"/>
      <c r="AXJ2" s="1807"/>
      <c r="AXK2" s="1807"/>
      <c r="AXL2" s="1807"/>
      <c r="AXM2" s="1807"/>
      <c r="AXN2" s="1807"/>
      <c r="AXO2" s="1807"/>
      <c r="AXP2" s="1807"/>
      <c r="AXQ2" s="1807"/>
      <c r="AXR2" s="1807"/>
      <c r="AXS2" s="1807"/>
      <c r="AXT2" s="1807"/>
      <c r="AXU2" s="1807"/>
      <c r="AXV2" s="1807"/>
      <c r="AXW2" s="1807"/>
      <c r="AXX2" s="1807"/>
      <c r="AXY2" s="1807"/>
      <c r="AXZ2" s="1807"/>
      <c r="AYA2" s="1807"/>
      <c r="AYB2" s="1807"/>
      <c r="AYC2" s="1807"/>
      <c r="AYD2" s="1807"/>
      <c r="AYE2" s="1807"/>
      <c r="AYF2" s="1807"/>
      <c r="AYG2" s="1807"/>
      <c r="AYH2" s="1807"/>
      <c r="AYI2" s="1807"/>
      <c r="AYJ2" s="1807"/>
      <c r="AYK2" s="1807"/>
      <c r="AYL2" s="1807"/>
      <c r="AYM2" s="1807"/>
      <c r="AYN2" s="1807"/>
      <c r="AYO2" s="1807"/>
      <c r="AYP2" s="1807"/>
      <c r="AYQ2" s="1807"/>
      <c r="AYR2" s="1807"/>
      <c r="AYS2" s="1807"/>
      <c r="AYT2" s="1807"/>
      <c r="AYU2" s="1807"/>
      <c r="AYV2" s="1807"/>
      <c r="AYW2" s="1807"/>
      <c r="AYX2" s="1807"/>
      <c r="AYY2" s="1807"/>
      <c r="AYZ2" s="1807"/>
      <c r="AZA2" s="1807"/>
      <c r="AZB2" s="1807"/>
      <c r="AZC2" s="1807"/>
      <c r="AZD2" s="1807"/>
      <c r="AZE2" s="1807"/>
      <c r="AZF2" s="1807"/>
      <c r="AZG2" s="1807"/>
      <c r="AZH2" s="1807"/>
      <c r="AZI2" s="1807"/>
      <c r="AZJ2" s="1807"/>
      <c r="AZK2" s="1807"/>
      <c r="AZL2" s="1807"/>
      <c r="AZM2" s="1807"/>
      <c r="AZN2" s="1807"/>
      <c r="AZO2" s="1807"/>
      <c r="AZP2" s="1807"/>
      <c r="AZQ2" s="1807"/>
      <c r="AZR2" s="1807"/>
      <c r="AZS2" s="1807"/>
      <c r="AZT2" s="1807"/>
      <c r="AZU2" s="1807"/>
      <c r="AZV2" s="1807"/>
      <c r="AZW2" s="1807"/>
      <c r="AZX2" s="1807"/>
      <c r="AZY2" s="1807"/>
      <c r="AZZ2" s="1807"/>
      <c r="BAA2" s="1804" t="s">
        <v>58</v>
      </c>
      <c r="BAB2" s="1804"/>
      <c r="BAC2" s="1804"/>
      <c r="BAD2" s="1804"/>
      <c r="BAE2" s="1804"/>
      <c r="BAF2" s="1804"/>
      <c r="BAG2" s="1804"/>
      <c r="BAH2" s="1804"/>
      <c r="BAI2" s="1804"/>
      <c r="BAJ2" s="1804"/>
      <c r="BAK2" s="1804"/>
      <c r="BAL2" s="1804"/>
      <c r="BAM2" s="1804"/>
      <c r="BAN2" s="1804"/>
      <c r="BAO2" s="1804"/>
      <c r="BAP2" s="1804"/>
      <c r="BAQ2" s="1804"/>
      <c r="BAR2" s="1804"/>
      <c r="BAS2" s="1804"/>
      <c r="BAT2" s="1804"/>
      <c r="BAU2" s="1804"/>
      <c r="BAV2" s="1804"/>
      <c r="BAW2" s="1804"/>
      <c r="BAX2" s="1804"/>
      <c r="BAY2" s="1804"/>
      <c r="BAZ2" s="1804"/>
      <c r="BBA2" s="1804"/>
      <c r="BBB2" s="1804"/>
      <c r="BBC2" s="1804"/>
      <c r="BBD2" s="1804"/>
      <c r="BBE2" s="1804"/>
      <c r="BBF2" s="1804"/>
      <c r="BBG2" s="1805"/>
      <c r="BBH2" s="1805"/>
      <c r="BBI2" s="1805"/>
      <c r="BBJ2" s="1805"/>
      <c r="BBK2" s="1805"/>
      <c r="BBL2" s="1805"/>
      <c r="BBM2" s="1805"/>
      <c r="BBN2" s="1805"/>
      <c r="BBO2" s="1805"/>
      <c r="BBP2" s="1805"/>
      <c r="BBQ2" s="1805"/>
      <c r="BBR2" s="1805"/>
      <c r="BBS2" s="1805"/>
      <c r="BBT2" s="1805"/>
      <c r="BBU2" s="1805"/>
      <c r="BBV2" s="1805"/>
      <c r="BBW2" s="1805"/>
      <c r="BBX2" s="1805"/>
      <c r="BBY2" s="1805"/>
      <c r="BBZ2" s="1805"/>
      <c r="BCA2" s="1805"/>
      <c r="BCB2" s="1805"/>
      <c r="BCC2" s="1805"/>
      <c r="BCD2" s="1805"/>
      <c r="BCE2" s="1805"/>
      <c r="BCF2" s="1805"/>
      <c r="BCG2" s="1805"/>
      <c r="BCH2" s="1805"/>
      <c r="BCI2" s="1805"/>
      <c r="BCJ2" s="1805"/>
      <c r="BCK2" s="1805"/>
      <c r="BCL2" s="1805"/>
      <c r="BCM2" s="1805"/>
      <c r="BCN2" s="1805"/>
      <c r="BCO2" s="1805"/>
      <c r="BCP2" s="1805"/>
      <c r="BCQ2" s="1805"/>
      <c r="BCR2" s="1805"/>
      <c r="BCS2" s="1805"/>
      <c r="BCT2" s="1805"/>
      <c r="BCU2" s="1805"/>
      <c r="BCV2" s="1805"/>
      <c r="BCW2" s="1805"/>
      <c r="BCX2" s="1805"/>
      <c r="BCY2" s="1805"/>
      <c r="BCZ2" s="1805"/>
      <c r="BDA2" s="1805"/>
      <c r="BDB2" s="1805"/>
      <c r="BDC2" s="1805"/>
      <c r="BDD2" s="1805"/>
      <c r="BDE2" s="1805"/>
      <c r="BDF2" s="1805"/>
      <c r="BDG2" s="1805"/>
      <c r="BDH2" s="1805"/>
      <c r="BDI2" s="1805"/>
      <c r="BDJ2" s="1805"/>
      <c r="BDK2" s="1805"/>
      <c r="BDL2" s="1805"/>
      <c r="BDM2" s="1805"/>
      <c r="BDN2" s="1805"/>
      <c r="BDO2" s="1805"/>
      <c r="BDP2" s="1805"/>
      <c r="BDQ2" s="1805"/>
      <c r="BDR2" s="1805"/>
      <c r="BDS2" s="1805"/>
      <c r="BDT2" s="1805"/>
      <c r="BDU2" s="1805"/>
      <c r="BDV2" s="1805"/>
      <c r="BDW2" s="1805"/>
      <c r="BDX2" s="1805"/>
      <c r="BDY2" s="1805"/>
      <c r="BDZ2" s="1805"/>
      <c r="BEA2" s="1805"/>
      <c r="BEB2" s="1805"/>
      <c r="BEC2" s="1805"/>
      <c r="BED2" s="1805"/>
      <c r="BEE2" s="1805"/>
      <c r="BEF2" s="1805"/>
      <c r="BEG2" s="1805"/>
      <c r="BEH2" s="1805"/>
      <c r="BEI2" s="1805"/>
      <c r="BEJ2" s="1805"/>
      <c r="BEK2" s="1805"/>
      <c r="BEL2" s="1805"/>
      <c r="BEM2" s="1805"/>
      <c r="BEN2" s="1805"/>
      <c r="BEO2" s="1805"/>
      <c r="BEP2" s="1805"/>
      <c r="BEQ2" s="1805"/>
      <c r="BER2" s="1805"/>
      <c r="BES2" s="1805"/>
      <c r="BET2" s="1805"/>
      <c r="BEU2" s="1805"/>
      <c r="BEV2" s="1805"/>
      <c r="BEW2" s="1805"/>
      <c r="BEX2" s="1805"/>
      <c r="BEY2" s="1794" t="s">
        <v>59</v>
      </c>
      <c r="BEZ2" s="1794"/>
      <c r="BFA2" s="1794"/>
      <c r="BFB2" s="1794"/>
      <c r="BFC2" s="1794"/>
      <c r="BFD2" s="1794"/>
      <c r="BFE2" s="1794"/>
      <c r="BFF2" s="1794"/>
      <c r="BFG2" s="1794"/>
      <c r="BFH2" s="1794"/>
      <c r="BFI2" s="1794"/>
      <c r="BFJ2" s="1794"/>
      <c r="BFK2" s="1794"/>
      <c r="BFL2" s="1794"/>
      <c r="BFM2" s="1794"/>
      <c r="BFN2" s="1794"/>
      <c r="BFO2" s="1794"/>
      <c r="BFP2" s="1794"/>
      <c r="BFQ2" s="1794"/>
      <c r="BFR2" s="1794"/>
      <c r="BFS2" s="1794"/>
      <c r="BFT2" s="1794"/>
      <c r="BFU2" s="1794"/>
      <c r="BFV2" s="1794"/>
      <c r="BFW2" s="1794"/>
      <c r="BFX2" s="1794"/>
      <c r="BFY2" s="1794"/>
      <c r="BFZ2" s="1794"/>
      <c r="BGA2" s="1794"/>
      <c r="BGB2" s="1794"/>
      <c r="BGC2" s="1794"/>
      <c r="BGD2" s="1794"/>
      <c r="BGE2" s="1794"/>
      <c r="BGF2" s="1794"/>
      <c r="BGG2" s="1794"/>
      <c r="BGH2" s="1794"/>
      <c r="BGI2" s="1794"/>
      <c r="BGJ2" s="1794"/>
      <c r="BGK2" s="1794"/>
      <c r="BGL2" s="1794"/>
      <c r="BGM2" s="1794"/>
      <c r="BGN2" s="1794"/>
      <c r="BGO2" s="1794"/>
      <c r="BGP2" s="1794"/>
      <c r="BGQ2" s="1794"/>
      <c r="BGR2" s="1794"/>
      <c r="BGS2" s="1794"/>
      <c r="BGT2" s="1794"/>
      <c r="BGU2" s="1794"/>
      <c r="BGV2" s="1794"/>
      <c r="BGW2" s="1794"/>
      <c r="BGX2" s="1794"/>
      <c r="BGY2" s="1794"/>
      <c r="BGZ2" s="1794"/>
      <c r="BHA2" s="1794"/>
      <c r="BHB2" s="1794"/>
      <c r="BHC2" s="1794"/>
      <c r="BHD2" s="1794"/>
      <c r="BHE2" s="1794"/>
      <c r="BHF2" s="1794"/>
      <c r="BHG2" s="1794"/>
      <c r="BHH2" s="1794"/>
      <c r="BHI2" s="1794"/>
      <c r="BHJ2" s="1794"/>
      <c r="BHK2" s="1794"/>
      <c r="BHL2" s="1794"/>
      <c r="BHM2" s="1794"/>
      <c r="BHN2" s="1794"/>
      <c r="BHO2" s="1794"/>
      <c r="BHP2" s="1794"/>
      <c r="BHQ2" s="1794"/>
      <c r="BHR2" s="1794"/>
      <c r="BHS2" s="1794"/>
      <c r="BHT2" s="1794"/>
      <c r="BHU2" s="1794"/>
      <c r="BHV2" s="1794"/>
      <c r="BHW2" s="1794"/>
      <c r="BHX2" s="1794"/>
      <c r="BHY2" s="1794"/>
      <c r="BHZ2" s="1794"/>
      <c r="BIA2" s="1794"/>
      <c r="BIB2" s="1794"/>
      <c r="BIC2" s="1794"/>
      <c r="BID2" s="1794"/>
      <c r="BIE2" s="1794"/>
      <c r="BIF2" s="1794"/>
      <c r="BIG2" s="1794"/>
      <c r="BIH2" s="1794"/>
      <c r="BII2" s="1794"/>
      <c r="BIJ2" s="1794"/>
      <c r="BIK2" s="1794"/>
      <c r="BIL2" s="1794"/>
      <c r="BIM2" s="1794"/>
      <c r="BIN2" s="1794"/>
      <c r="BIO2" s="1794"/>
      <c r="BIP2" s="1794"/>
      <c r="BIQ2" s="1794"/>
      <c r="BIR2" s="1794"/>
      <c r="BIS2" s="1794"/>
      <c r="BIT2" s="1794"/>
      <c r="BIU2" s="1794"/>
      <c r="BIV2" s="1794"/>
      <c r="BIW2" s="1794"/>
      <c r="BIX2" s="1794"/>
      <c r="BIY2" s="1794"/>
      <c r="BIZ2" s="1794"/>
      <c r="BJA2" s="1794"/>
      <c r="BJB2" s="1794"/>
      <c r="BJC2" s="1794"/>
      <c r="BJD2" s="1794"/>
      <c r="BJE2" s="1794"/>
      <c r="BJF2" s="1794"/>
      <c r="BJG2" s="1794"/>
      <c r="BJH2" s="1794"/>
      <c r="BJI2" s="1794"/>
      <c r="BJJ2" s="1794"/>
      <c r="BJK2" s="1794"/>
      <c r="BJL2" s="1794"/>
      <c r="BJM2" s="1794"/>
      <c r="BJN2" s="1794"/>
      <c r="BJO2" s="1794"/>
      <c r="BJP2" s="1794"/>
      <c r="BJQ2" s="1794"/>
      <c r="BJR2" s="1794"/>
      <c r="BJS2" s="1794"/>
      <c r="BJT2" s="1794"/>
      <c r="BJU2" s="1794"/>
      <c r="BJV2" s="1794"/>
      <c r="BJW2" s="1794"/>
      <c r="BJX2" s="1794"/>
      <c r="BJY2" s="1794"/>
      <c r="BJZ2" s="1794"/>
      <c r="BKA2" s="1794"/>
      <c r="BKB2" s="1794"/>
      <c r="BKC2" s="1794"/>
      <c r="BKD2" s="1794"/>
      <c r="BKE2" s="1794"/>
      <c r="BKF2" s="1794"/>
      <c r="BKG2" s="1794"/>
      <c r="BKH2" s="1794"/>
      <c r="BKI2" s="1794"/>
      <c r="BKJ2" s="1794"/>
      <c r="BKK2" s="1794"/>
      <c r="BKL2" s="1794"/>
      <c r="BKM2" s="1794"/>
      <c r="BKN2" s="1794"/>
      <c r="BKO2" s="1794"/>
      <c r="BKP2" s="1794"/>
      <c r="BKQ2" s="1794"/>
      <c r="BKR2" s="1794"/>
      <c r="BKS2" s="1794"/>
      <c r="BKT2" s="1794"/>
      <c r="BKU2" s="1794"/>
      <c r="BKV2" s="1794"/>
      <c r="BKW2" s="1794"/>
      <c r="BKX2" s="1794"/>
      <c r="BKY2" s="1794"/>
      <c r="BKZ2" s="1794"/>
      <c r="BLA2" s="1794"/>
      <c r="BLB2" s="1794"/>
    </row>
    <row r="3" spans="2:1666" ht="27" customHeight="1">
      <c r="C3" s="1778" t="s">
        <v>175</v>
      </c>
      <c r="D3" s="1779"/>
      <c r="E3" s="1779"/>
      <c r="F3" s="1779"/>
      <c r="G3" s="1780"/>
      <c r="H3" s="1780"/>
      <c r="I3" s="1780"/>
      <c r="J3" s="1780"/>
      <c r="K3" s="1780"/>
      <c r="L3" s="1780"/>
      <c r="M3" s="1780"/>
      <c r="N3" s="1780"/>
      <c r="O3" s="1780"/>
      <c r="P3" s="1780"/>
      <c r="Q3" s="1780"/>
      <c r="R3" s="1780"/>
      <c r="S3" s="1780"/>
      <c r="T3" s="1780"/>
      <c r="U3" s="1780"/>
      <c r="V3" s="1780"/>
      <c r="W3" s="1780"/>
      <c r="X3" s="1780"/>
      <c r="Y3" s="1780"/>
      <c r="Z3" s="1780"/>
      <c r="AA3" s="1780"/>
      <c r="AB3" s="1780"/>
      <c r="AC3" s="1780"/>
      <c r="AD3" s="1780"/>
      <c r="AE3" s="1780"/>
      <c r="AF3" s="1780"/>
      <c r="AG3" s="1780"/>
      <c r="AH3" s="1780"/>
      <c r="AI3" s="1789" t="s">
        <v>176</v>
      </c>
      <c r="AJ3" s="1790"/>
      <c r="AK3" s="1790"/>
      <c r="AL3" s="1790"/>
      <c r="AM3" s="1791"/>
      <c r="AN3" s="1791"/>
      <c r="AO3" s="1791"/>
      <c r="AP3" s="1791"/>
      <c r="AQ3" s="1791"/>
      <c r="AR3" s="1791"/>
      <c r="AS3" s="1791"/>
      <c r="AT3" s="1791"/>
      <c r="AU3" s="1791"/>
      <c r="AV3" s="1791"/>
      <c r="AW3" s="1791"/>
      <c r="AX3" s="1791"/>
      <c r="AY3" s="1791"/>
      <c r="AZ3" s="1791"/>
      <c r="BA3" s="1791"/>
      <c r="BB3" s="1791"/>
      <c r="BC3" s="1791"/>
      <c r="BD3" s="1791"/>
      <c r="BE3" s="1791"/>
      <c r="BF3" s="1791"/>
      <c r="BG3" s="1791"/>
      <c r="BH3" s="1791"/>
      <c r="BI3" s="1791"/>
      <c r="BJ3" s="1791"/>
      <c r="BK3" s="1791"/>
      <c r="BL3" s="1791"/>
      <c r="BM3" s="1791"/>
      <c r="BN3" s="1791"/>
      <c r="BO3" s="1778" t="s">
        <v>177</v>
      </c>
      <c r="BP3" s="1779"/>
      <c r="BQ3" s="1779"/>
      <c r="BR3" s="1779"/>
      <c r="BS3" s="1780"/>
      <c r="BT3" s="1780"/>
      <c r="BU3" s="1780"/>
      <c r="BV3" s="1780"/>
      <c r="BW3" s="1780"/>
      <c r="BX3" s="1780"/>
      <c r="BY3" s="1780"/>
      <c r="BZ3" s="1780"/>
      <c r="CA3" s="1780"/>
      <c r="CB3" s="1780"/>
      <c r="CC3" s="1780"/>
      <c r="CD3" s="1780"/>
      <c r="CE3" s="1780"/>
      <c r="CF3" s="1780"/>
      <c r="CG3" s="1780"/>
      <c r="CH3" s="1780"/>
      <c r="CI3" s="1780"/>
      <c r="CJ3" s="1780"/>
      <c r="CK3" s="1780"/>
      <c r="CL3" s="1780"/>
      <c r="CM3" s="1780"/>
      <c r="CN3" s="1780"/>
      <c r="CO3" s="1780"/>
      <c r="CP3" s="1780"/>
      <c r="CQ3" s="1780"/>
      <c r="CR3" s="1780"/>
      <c r="CS3" s="1780"/>
      <c r="CT3" s="1780"/>
      <c r="CU3" s="1789" t="s">
        <v>178</v>
      </c>
      <c r="CV3" s="1790"/>
      <c r="CW3" s="1790"/>
      <c r="CX3" s="1790"/>
      <c r="CY3" s="1791"/>
      <c r="CZ3" s="1791"/>
      <c r="DA3" s="1791"/>
      <c r="DB3" s="1791"/>
      <c r="DC3" s="1791"/>
      <c r="DD3" s="1791"/>
      <c r="DE3" s="1791"/>
      <c r="DF3" s="1791"/>
      <c r="DG3" s="1791"/>
      <c r="DH3" s="1791"/>
      <c r="DI3" s="1791"/>
      <c r="DJ3" s="1791"/>
      <c r="DK3" s="1791"/>
      <c r="DL3" s="1791"/>
      <c r="DM3" s="1791"/>
      <c r="DN3" s="1791"/>
      <c r="DO3" s="1791"/>
      <c r="DP3" s="1791"/>
      <c r="DQ3" s="1791"/>
      <c r="DR3" s="1791"/>
      <c r="DS3" s="1791"/>
      <c r="DT3" s="1791"/>
      <c r="DU3" s="1791"/>
      <c r="DV3" s="1791"/>
      <c r="DW3" s="1791"/>
      <c r="DX3" s="1791"/>
      <c r="DY3" s="1791"/>
      <c r="DZ3" s="1791"/>
      <c r="EA3" s="1797" t="s">
        <v>179</v>
      </c>
      <c r="EB3" s="1798"/>
      <c r="EC3" s="1798"/>
      <c r="ED3" s="1798"/>
      <c r="EE3" s="1798"/>
      <c r="EF3" s="1798"/>
      <c r="EG3" s="1798"/>
      <c r="EH3" s="1798"/>
      <c r="EI3" s="1798"/>
      <c r="EJ3" s="1798"/>
      <c r="EK3" s="1798"/>
      <c r="EL3" s="1798"/>
      <c r="EM3" s="1798"/>
      <c r="EN3" s="1798"/>
      <c r="EO3" s="1798"/>
      <c r="EP3" s="1798"/>
      <c r="EQ3" s="1798"/>
      <c r="ER3" s="1798"/>
      <c r="ES3" s="1798"/>
      <c r="ET3" s="1798"/>
      <c r="EU3" s="1798"/>
      <c r="EV3" s="1798"/>
      <c r="EW3" s="1798"/>
      <c r="EX3" s="1798"/>
      <c r="EY3" s="1798"/>
      <c r="EZ3" s="1798"/>
      <c r="FA3" s="1798"/>
      <c r="FB3" s="1798"/>
      <c r="FC3" s="1798"/>
      <c r="FD3" s="1798"/>
      <c r="FE3" s="1798"/>
      <c r="FF3" s="1799"/>
      <c r="FG3" s="1790" t="s">
        <v>180</v>
      </c>
      <c r="FH3" s="1790"/>
      <c r="FI3" s="1790"/>
      <c r="FJ3" s="1790"/>
      <c r="FK3" s="1791"/>
      <c r="FL3" s="1791"/>
      <c r="FM3" s="1791"/>
      <c r="FN3" s="1791"/>
      <c r="FO3" s="1791"/>
      <c r="FP3" s="1791"/>
      <c r="FQ3" s="1791"/>
      <c r="FR3" s="1791"/>
      <c r="FS3" s="1791"/>
      <c r="FT3" s="1791"/>
      <c r="FU3" s="1791"/>
      <c r="FV3" s="1791"/>
      <c r="FW3" s="1791"/>
      <c r="FX3" s="1791"/>
      <c r="FY3" s="1791"/>
      <c r="FZ3" s="1791"/>
      <c r="GA3" s="1791"/>
      <c r="GB3" s="1791"/>
      <c r="GC3" s="1791"/>
      <c r="GD3" s="1791"/>
      <c r="GE3" s="1791"/>
      <c r="GF3" s="1791"/>
      <c r="GG3" s="1791"/>
      <c r="GH3" s="1791"/>
      <c r="GI3" s="1791"/>
      <c r="GJ3" s="1791"/>
      <c r="GK3" s="1791"/>
      <c r="GL3" s="1791"/>
      <c r="GM3" s="1778" t="s">
        <v>181</v>
      </c>
      <c r="GN3" s="1779"/>
      <c r="GO3" s="1779"/>
      <c r="GP3" s="1779"/>
      <c r="GQ3" s="1780"/>
      <c r="GR3" s="1780"/>
      <c r="GS3" s="1780"/>
      <c r="GT3" s="1780"/>
      <c r="GU3" s="1780"/>
      <c r="GV3" s="1780"/>
      <c r="GW3" s="1780"/>
      <c r="GX3" s="1780"/>
      <c r="GY3" s="1780"/>
      <c r="GZ3" s="1780"/>
      <c r="HA3" s="1780"/>
      <c r="HB3" s="1780"/>
      <c r="HC3" s="1780"/>
      <c r="HD3" s="1780"/>
      <c r="HE3" s="1780"/>
      <c r="HF3" s="1780"/>
      <c r="HG3" s="1780"/>
      <c r="HH3" s="1780"/>
      <c r="HI3" s="1780"/>
      <c r="HJ3" s="1780"/>
      <c r="HK3" s="1780"/>
      <c r="HL3" s="1780"/>
      <c r="HM3" s="1780"/>
      <c r="HN3" s="1780"/>
      <c r="HO3" s="1780"/>
      <c r="HP3" s="1780"/>
      <c r="HQ3" s="1780"/>
      <c r="HR3" s="1780"/>
      <c r="HS3" s="1789" t="s">
        <v>182</v>
      </c>
      <c r="HT3" s="1790"/>
      <c r="HU3" s="1790"/>
      <c r="HV3" s="1790"/>
      <c r="HW3" s="1791"/>
      <c r="HX3" s="1791"/>
      <c r="HY3" s="1791"/>
      <c r="HZ3" s="1791"/>
      <c r="IA3" s="1791"/>
      <c r="IB3" s="1791"/>
      <c r="IC3" s="1791"/>
      <c r="ID3" s="1791"/>
      <c r="IE3" s="1791"/>
      <c r="IF3" s="1791"/>
      <c r="IG3" s="1791"/>
      <c r="IH3" s="1791"/>
      <c r="II3" s="1791"/>
      <c r="IJ3" s="1791"/>
      <c r="IK3" s="1791"/>
      <c r="IL3" s="1791"/>
      <c r="IM3" s="1791"/>
      <c r="IN3" s="1791"/>
      <c r="IO3" s="1791"/>
      <c r="IP3" s="1791"/>
      <c r="IQ3" s="1791"/>
      <c r="IR3" s="1791"/>
      <c r="IS3" s="1791"/>
      <c r="IT3" s="1791"/>
      <c r="IU3" s="1791"/>
      <c r="IV3" s="1791"/>
      <c r="IW3" s="1791"/>
      <c r="IX3" s="1791"/>
      <c r="IY3" s="1778" t="s">
        <v>183</v>
      </c>
      <c r="IZ3" s="1779"/>
      <c r="JA3" s="1779"/>
      <c r="JB3" s="1779"/>
      <c r="JC3" s="1780"/>
      <c r="JD3" s="1780"/>
      <c r="JE3" s="1780"/>
      <c r="JF3" s="1780"/>
      <c r="JG3" s="1780"/>
      <c r="JH3" s="1780"/>
      <c r="JI3" s="1780"/>
      <c r="JJ3" s="1780"/>
      <c r="JK3" s="1780"/>
      <c r="JL3" s="1780"/>
      <c r="JM3" s="1780"/>
      <c r="JN3" s="1780"/>
      <c r="JO3" s="1780"/>
      <c r="JP3" s="1780"/>
      <c r="JQ3" s="1780"/>
      <c r="JR3" s="1780"/>
      <c r="JS3" s="1780"/>
      <c r="JT3" s="1780"/>
      <c r="JU3" s="1780"/>
      <c r="JV3" s="1780"/>
      <c r="JW3" s="1780"/>
      <c r="JX3" s="1780"/>
      <c r="JY3" s="1780"/>
      <c r="JZ3" s="1780"/>
      <c r="KA3" s="1780"/>
      <c r="KB3" s="1780"/>
      <c r="KC3" s="1780"/>
      <c r="KD3" s="1780"/>
      <c r="KE3" s="1789" t="s">
        <v>184</v>
      </c>
      <c r="KF3" s="1790"/>
      <c r="KG3" s="1790"/>
      <c r="KH3" s="1790"/>
      <c r="KI3" s="1791"/>
      <c r="KJ3" s="1791"/>
      <c r="KK3" s="1791"/>
      <c r="KL3" s="1791"/>
      <c r="KM3" s="1791"/>
      <c r="KN3" s="1791"/>
      <c r="KO3" s="1791"/>
      <c r="KP3" s="1791"/>
      <c r="KQ3" s="1791"/>
      <c r="KR3" s="1791"/>
      <c r="KS3" s="1791"/>
      <c r="KT3" s="1791"/>
      <c r="KU3" s="1791"/>
      <c r="KV3" s="1791"/>
      <c r="KW3" s="1791"/>
      <c r="KX3" s="1791"/>
      <c r="KY3" s="1791"/>
      <c r="KZ3" s="1791"/>
      <c r="LA3" s="1791"/>
      <c r="LB3" s="1791"/>
      <c r="LC3" s="1791"/>
      <c r="LD3" s="1791"/>
      <c r="LE3" s="1791"/>
      <c r="LF3" s="1791"/>
      <c r="LG3" s="1791"/>
      <c r="LH3" s="1791"/>
      <c r="LI3" s="1791"/>
      <c r="LJ3" s="1791"/>
      <c r="LK3" s="1778" t="s">
        <v>185</v>
      </c>
      <c r="LL3" s="1779"/>
      <c r="LM3" s="1779"/>
      <c r="LN3" s="1779"/>
      <c r="LO3" s="1780"/>
      <c r="LP3" s="1780"/>
      <c r="LQ3" s="1780"/>
      <c r="LR3" s="1780"/>
      <c r="LS3" s="1780"/>
      <c r="LT3" s="1780"/>
      <c r="LU3" s="1780"/>
      <c r="LV3" s="1780"/>
      <c r="LW3" s="1780"/>
      <c r="LX3" s="1780"/>
      <c r="LY3" s="1780"/>
      <c r="LZ3" s="1780"/>
      <c r="MA3" s="1780"/>
      <c r="MB3" s="1780"/>
      <c r="MC3" s="1780"/>
      <c r="MD3" s="1780"/>
      <c r="ME3" s="1780"/>
      <c r="MF3" s="1780"/>
      <c r="MG3" s="1780"/>
      <c r="MH3" s="1780"/>
      <c r="MI3" s="1780"/>
      <c r="MJ3" s="1780"/>
      <c r="MK3" s="1780"/>
      <c r="ML3" s="1780"/>
      <c r="MM3" s="1780"/>
      <c r="MN3" s="1780"/>
      <c r="MO3" s="1780"/>
      <c r="MP3" s="1780"/>
      <c r="MQ3" s="1789" t="s">
        <v>186</v>
      </c>
      <c r="MR3" s="1790"/>
      <c r="MS3" s="1790"/>
      <c r="MT3" s="1790"/>
      <c r="MU3" s="1791"/>
      <c r="MV3" s="1791"/>
      <c r="MW3" s="1791"/>
      <c r="MX3" s="1791"/>
      <c r="MY3" s="1791"/>
      <c r="MZ3" s="1791"/>
      <c r="NA3" s="1791"/>
      <c r="NB3" s="1791"/>
      <c r="NC3" s="1791"/>
      <c r="ND3" s="1791"/>
      <c r="NE3" s="1791"/>
      <c r="NF3" s="1791"/>
      <c r="NG3" s="1791"/>
      <c r="NH3" s="1791"/>
      <c r="NI3" s="1791"/>
      <c r="NJ3" s="1791"/>
      <c r="NK3" s="1791"/>
      <c r="NL3" s="1791"/>
      <c r="NM3" s="1791"/>
      <c r="NN3" s="1791"/>
      <c r="NO3" s="1791"/>
      <c r="NP3" s="1791"/>
      <c r="NQ3" s="1791"/>
      <c r="NR3" s="1791"/>
      <c r="NS3" s="1791"/>
      <c r="NT3" s="1791"/>
      <c r="NU3" s="1791"/>
      <c r="NV3" s="1791"/>
      <c r="NW3" s="1778" t="s">
        <v>187</v>
      </c>
      <c r="NX3" s="1779"/>
      <c r="NY3" s="1779"/>
      <c r="NZ3" s="1779"/>
      <c r="OA3" s="1780"/>
      <c r="OB3" s="1780"/>
      <c r="OC3" s="1780"/>
      <c r="OD3" s="1780"/>
      <c r="OE3" s="1780"/>
      <c r="OF3" s="1780"/>
      <c r="OG3" s="1780"/>
      <c r="OH3" s="1780"/>
      <c r="OI3" s="1780"/>
      <c r="OJ3" s="1780"/>
      <c r="OK3" s="1780"/>
      <c r="OL3" s="1780"/>
      <c r="OM3" s="1780"/>
      <c r="ON3" s="1780"/>
      <c r="OO3" s="1780"/>
      <c r="OP3" s="1780"/>
      <c r="OQ3" s="1780"/>
      <c r="OR3" s="1780"/>
      <c r="OS3" s="1780"/>
      <c r="OT3" s="1780"/>
      <c r="OU3" s="1780"/>
      <c r="OV3" s="1780"/>
      <c r="OW3" s="1780"/>
      <c r="OX3" s="1780"/>
      <c r="OY3" s="1780"/>
      <c r="OZ3" s="1780"/>
      <c r="PA3" s="1780"/>
      <c r="PB3" s="1780"/>
      <c r="PC3" s="1797" t="s">
        <v>188</v>
      </c>
      <c r="PD3" s="1798"/>
      <c r="PE3" s="1798"/>
      <c r="PF3" s="1798"/>
      <c r="PG3" s="1798"/>
      <c r="PH3" s="1798"/>
      <c r="PI3" s="1798"/>
      <c r="PJ3" s="1798"/>
      <c r="PK3" s="1798"/>
      <c r="PL3" s="1798"/>
      <c r="PM3" s="1798"/>
      <c r="PN3" s="1798"/>
      <c r="PO3" s="1798"/>
      <c r="PP3" s="1798"/>
      <c r="PQ3" s="1798"/>
      <c r="PR3" s="1798"/>
      <c r="PS3" s="1798"/>
      <c r="PT3" s="1798"/>
      <c r="PU3" s="1798"/>
      <c r="PV3" s="1798"/>
      <c r="PW3" s="1798"/>
      <c r="PX3" s="1798"/>
      <c r="PY3" s="1798"/>
      <c r="PZ3" s="1798"/>
      <c r="QA3" s="1798"/>
      <c r="QB3" s="1798"/>
      <c r="QC3" s="1798"/>
      <c r="QD3" s="1798"/>
      <c r="QE3" s="1798"/>
      <c r="QF3" s="1798"/>
      <c r="QG3" s="1798"/>
      <c r="QH3" s="1799"/>
      <c r="QI3" s="1790" t="s">
        <v>189</v>
      </c>
      <c r="QJ3" s="1790"/>
      <c r="QK3" s="1790"/>
      <c r="QL3" s="1790"/>
      <c r="QM3" s="1791"/>
      <c r="QN3" s="1791"/>
      <c r="QO3" s="1791"/>
      <c r="QP3" s="1791"/>
      <c r="QQ3" s="1791"/>
      <c r="QR3" s="1791"/>
      <c r="QS3" s="1791"/>
      <c r="QT3" s="1791"/>
      <c r="QU3" s="1791"/>
      <c r="QV3" s="1791"/>
      <c r="QW3" s="1791"/>
      <c r="QX3" s="1791"/>
      <c r="QY3" s="1791"/>
      <c r="QZ3" s="1791"/>
      <c r="RA3" s="1791"/>
      <c r="RB3" s="1791"/>
      <c r="RC3" s="1791"/>
      <c r="RD3" s="1791"/>
      <c r="RE3" s="1791"/>
      <c r="RF3" s="1791"/>
      <c r="RG3" s="1791"/>
      <c r="RH3" s="1791"/>
      <c r="RI3" s="1791"/>
      <c r="RJ3" s="1791"/>
      <c r="RK3" s="1791"/>
      <c r="RL3" s="1791"/>
      <c r="RM3" s="1791"/>
      <c r="RN3" s="1791"/>
      <c r="RO3" s="1778" t="s">
        <v>190</v>
      </c>
      <c r="RP3" s="1779"/>
      <c r="RQ3" s="1779"/>
      <c r="RR3" s="1779"/>
      <c r="RS3" s="1780"/>
      <c r="RT3" s="1780"/>
      <c r="RU3" s="1780"/>
      <c r="RV3" s="1780"/>
      <c r="RW3" s="1780"/>
      <c r="RX3" s="1780"/>
      <c r="RY3" s="1780"/>
      <c r="RZ3" s="1780"/>
      <c r="SA3" s="1780"/>
      <c r="SB3" s="1780"/>
      <c r="SC3" s="1780"/>
      <c r="SD3" s="1780"/>
      <c r="SE3" s="1780"/>
      <c r="SF3" s="1780"/>
      <c r="SG3" s="1780"/>
      <c r="SH3" s="1780"/>
      <c r="SI3" s="1780"/>
      <c r="SJ3" s="1780"/>
      <c r="SK3" s="1780"/>
      <c r="SL3" s="1780"/>
      <c r="SM3" s="1780"/>
      <c r="SN3" s="1780"/>
      <c r="SO3" s="1780"/>
      <c r="SP3" s="1780"/>
      <c r="SQ3" s="1780"/>
      <c r="SR3" s="1780"/>
      <c r="SS3" s="1780"/>
      <c r="ST3" s="1780"/>
      <c r="SU3" s="1789" t="s">
        <v>191</v>
      </c>
      <c r="SV3" s="1790"/>
      <c r="SW3" s="1790"/>
      <c r="SX3" s="1790"/>
      <c r="SY3" s="1791"/>
      <c r="SZ3" s="1791"/>
      <c r="TA3" s="1791"/>
      <c r="TB3" s="1791"/>
      <c r="TC3" s="1791"/>
      <c r="TD3" s="1791"/>
      <c r="TE3" s="1791"/>
      <c r="TF3" s="1791"/>
      <c r="TG3" s="1791"/>
      <c r="TH3" s="1791"/>
      <c r="TI3" s="1791"/>
      <c r="TJ3" s="1791"/>
      <c r="TK3" s="1791"/>
      <c r="TL3" s="1791"/>
      <c r="TM3" s="1791"/>
      <c r="TN3" s="1791"/>
      <c r="TO3" s="1791"/>
      <c r="TP3" s="1791"/>
      <c r="TQ3" s="1791"/>
      <c r="TR3" s="1791"/>
      <c r="TS3" s="1791"/>
      <c r="TT3" s="1791"/>
      <c r="TU3" s="1791"/>
      <c r="TV3" s="1791"/>
      <c r="TW3" s="1791"/>
      <c r="TX3" s="1791"/>
      <c r="TY3" s="1791"/>
      <c r="TZ3" s="1791"/>
      <c r="UA3" s="1797" t="s">
        <v>192</v>
      </c>
      <c r="UB3" s="1798"/>
      <c r="UC3" s="1798"/>
      <c r="UD3" s="1798"/>
      <c r="UE3" s="1798"/>
      <c r="UF3" s="1798"/>
      <c r="UG3" s="1798"/>
      <c r="UH3" s="1798"/>
      <c r="UI3" s="1798"/>
      <c r="UJ3" s="1798"/>
      <c r="UK3" s="1798"/>
      <c r="UL3" s="1798"/>
      <c r="UM3" s="1798"/>
      <c r="UN3" s="1798"/>
      <c r="UO3" s="1798"/>
      <c r="UP3" s="1798"/>
      <c r="UQ3" s="1798"/>
      <c r="UR3" s="1798"/>
      <c r="US3" s="1798"/>
      <c r="UT3" s="1798"/>
      <c r="UU3" s="1798"/>
      <c r="UV3" s="1798"/>
      <c r="UW3" s="1798"/>
      <c r="UX3" s="1798"/>
      <c r="UY3" s="1798"/>
      <c r="UZ3" s="1798"/>
      <c r="VA3" s="1798"/>
      <c r="VB3" s="1798"/>
      <c r="VC3" s="1798"/>
      <c r="VD3" s="1798"/>
      <c r="VE3" s="1798"/>
      <c r="VF3" s="1799"/>
      <c r="VG3" s="1790" t="s">
        <v>193</v>
      </c>
      <c r="VH3" s="1790"/>
      <c r="VI3" s="1790"/>
      <c r="VJ3" s="1790"/>
      <c r="VK3" s="1791"/>
      <c r="VL3" s="1791"/>
      <c r="VM3" s="1791"/>
      <c r="VN3" s="1791"/>
      <c r="VO3" s="1791"/>
      <c r="VP3" s="1791"/>
      <c r="VQ3" s="1791"/>
      <c r="VR3" s="1791"/>
      <c r="VS3" s="1791"/>
      <c r="VT3" s="1791"/>
      <c r="VU3" s="1791"/>
      <c r="VV3" s="1791"/>
      <c r="VW3" s="1791"/>
      <c r="VX3" s="1791"/>
      <c r="VY3" s="1791"/>
      <c r="VZ3" s="1791"/>
      <c r="WA3" s="1791"/>
      <c r="WB3" s="1791"/>
      <c r="WC3" s="1791"/>
      <c r="WD3" s="1791"/>
      <c r="WE3" s="1791"/>
      <c r="WF3" s="1791"/>
      <c r="WG3" s="1791"/>
      <c r="WH3" s="1791"/>
      <c r="WI3" s="1791"/>
      <c r="WJ3" s="1791"/>
      <c r="WK3" s="1791"/>
      <c r="WL3" s="1791"/>
      <c r="WM3" s="1778" t="s">
        <v>194</v>
      </c>
      <c r="WN3" s="1779"/>
      <c r="WO3" s="1779"/>
      <c r="WP3" s="1779"/>
      <c r="WQ3" s="1780"/>
      <c r="WR3" s="1780"/>
      <c r="WS3" s="1780"/>
      <c r="WT3" s="1780"/>
      <c r="WU3" s="1780"/>
      <c r="WV3" s="1780"/>
      <c r="WW3" s="1780"/>
      <c r="WX3" s="1780"/>
      <c r="WY3" s="1780"/>
      <c r="WZ3" s="1780"/>
      <c r="XA3" s="1780"/>
      <c r="XB3" s="1780"/>
      <c r="XC3" s="1780"/>
      <c r="XD3" s="1780"/>
      <c r="XE3" s="1780"/>
      <c r="XF3" s="1780"/>
      <c r="XG3" s="1780"/>
      <c r="XH3" s="1780"/>
      <c r="XI3" s="1780"/>
      <c r="XJ3" s="1780"/>
      <c r="XK3" s="1780"/>
      <c r="XL3" s="1780"/>
      <c r="XM3" s="1780"/>
      <c r="XN3" s="1780"/>
      <c r="XO3" s="1780"/>
      <c r="XP3" s="1780"/>
      <c r="XQ3" s="1780"/>
      <c r="XR3" s="1780"/>
      <c r="XS3" s="1789" t="s">
        <v>195</v>
      </c>
      <c r="XT3" s="1790"/>
      <c r="XU3" s="1790"/>
      <c r="XV3" s="1790"/>
      <c r="XW3" s="1791"/>
      <c r="XX3" s="1791"/>
      <c r="XY3" s="1791"/>
      <c r="XZ3" s="1791"/>
      <c r="YA3" s="1791"/>
      <c r="YB3" s="1791"/>
      <c r="YC3" s="1791"/>
      <c r="YD3" s="1791"/>
      <c r="YE3" s="1791"/>
      <c r="YF3" s="1791"/>
      <c r="YG3" s="1791"/>
      <c r="YH3" s="1791"/>
      <c r="YI3" s="1791"/>
      <c r="YJ3" s="1791"/>
      <c r="YK3" s="1791"/>
      <c r="YL3" s="1791"/>
      <c r="YM3" s="1791"/>
      <c r="YN3" s="1791"/>
      <c r="YO3" s="1791"/>
      <c r="YP3" s="1791"/>
      <c r="YQ3" s="1791"/>
      <c r="YR3" s="1791"/>
      <c r="YS3" s="1791"/>
      <c r="YT3" s="1791"/>
      <c r="YU3" s="1791"/>
      <c r="YV3" s="1791"/>
      <c r="YW3" s="1791"/>
      <c r="YX3" s="1791"/>
      <c r="YY3" s="1829" t="s">
        <v>196</v>
      </c>
      <c r="YZ3" s="1780"/>
      <c r="ZA3" s="1780"/>
      <c r="ZB3" s="1780"/>
      <c r="ZC3" s="1780"/>
      <c r="ZD3" s="1780"/>
      <c r="ZE3" s="1780"/>
      <c r="ZF3" s="1780"/>
      <c r="ZG3" s="1780"/>
      <c r="ZH3" s="1780"/>
      <c r="ZI3" s="1780"/>
      <c r="ZJ3" s="1780"/>
      <c r="ZK3" s="1780"/>
      <c r="ZL3" s="1780"/>
      <c r="ZM3" s="1780"/>
      <c r="ZN3" s="1780"/>
      <c r="ZO3" s="1780"/>
      <c r="ZP3" s="1780"/>
      <c r="ZQ3" s="1780"/>
      <c r="ZR3" s="1780"/>
      <c r="ZS3" s="1780"/>
      <c r="ZT3" s="1780"/>
      <c r="ZU3" s="1780"/>
      <c r="ZV3" s="1780"/>
      <c r="ZW3" s="1780"/>
      <c r="ZX3" s="1780"/>
      <c r="ZY3" s="1780"/>
      <c r="ZZ3" s="1780"/>
      <c r="AAA3" s="1780"/>
      <c r="AAB3" s="1780"/>
      <c r="AAC3" s="1780"/>
      <c r="AAD3" s="1879"/>
      <c r="AAE3" s="1789" t="s">
        <v>197</v>
      </c>
      <c r="AAF3" s="1790"/>
      <c r="AAG3" s="1790"/>
      <c r="AAH3" s="1790"/>
      <c r="AAI3" s="1791"/>
      <c r="AAJ3" s="1791"/>
      <c r="AAK3" s="1791"/>
      <c r="AAL3" s="1791"/>
      <c r="AAM3" s="1791"/>
      <c r="AAN3" s="1791"/>
      <c r="AAO3" s="1791"/>
      <c r="AAP3" s="1791"/>
      <c r="AAQ3" s="1791"/>
      <c r="AAR3" s="1791"/>
      <c r="AAS3" s="1791"/>
      <c r="AAT3" s="1791"/>
      <c r="AAU3" s="1791"/>
      <c r="AAV3" s="1791"/>
      <c r="AAW3" s="1791"/>
      <c r="AAX3" s="1791"/>
      <c r="AAY3" s="1791"/>
      <c r="AAZ3" s="1791"/>
      <c r="ABA3" s="1791"/>
      <c r="ABB3" s="1791"/>
      <c r="ABC3" s="1791"/>
      <c r="ABD3" s="1791"/>
      <c r="ABE3" s="1791"/>
      <c r="ABF3" s="1791"/>
      <c r="ABG3" s="1791"/>
      <c r="ABH3" s="1791"/>
      <c r="ABI3" s="1791"/>
      <c r="ABJ3" s="1791"/>
      <c r="ABK3" s="1778" t="s">
        <v>198</v>
      </c>
      <c r="ABL3" s="1779"/>
      <c r="ABM3" s="1779"/>
      <c r="ABN3" s="1779"/>
      <c r="ABO3" s="1780"/>
      <c r="ABP3" s="1780"/>
      <c r="ABQ3" s="1780"/>
      <c r="ABR3" s="1780"/>
      <c r="ABS3" s="1780"/>
      <c r="ABT3" s="1780"/>
      <c r="ABU3" s="1780"/>
      <c r="ABV3" s="1780"/>
      <c r="ABW3" s="1780"/>
      <c r="ABX3" s="1780"/>
      <c r="ABY3" s="1780"/>
      <c r="ABZ3" s="1780"/>
      <c r="ACA3" s="1780"/>
      <c r="ACB3" s="1780"/>
      <c r="ACC3" s="1780"/>
      <c r="ACD3" s="1780"/>
      <c r="ACE3" s="1780"/>
      <c r="ACF3" s="1780"/>
      <c r="ACG3" s="1780"/>
      <c r="ACH3" s="1780"/>
      <c r="ACI3" s="1780"/>
      <c r="ACJ3" s="1780"/>
      <c r="ACK3" s="1780"/>
      <c r="ACL3" s="1780"/>
      <c r="ACM3" s="1780"/>
      <c r="ACN3" s="1780"/>
      <c r="ACO3" s="1780"/>
      <c r="ACP3" s="1780"/>
      <c r="ACQ3" s="1789" t="s">
        <v>199</v>
      </c>
      <c r="ACR3" s="1790"/>
      <c r="ACS3" s="1790"/>
      <c r="ACT3" s="1790"/>
      <c r="ACU3" s="1791"/>
      <c r="ACV3" s="1791"/>
      <c r="ACW3" s="1791"/>
      <c r="ACX3" s="1791"/>
      <c r="ACY3" s="1791"/>
      <c r="ACZ3" s="1791"/>
      <c r="ADA3" s="1791"/>
      <c r="ADB3" s="1791"/>
      <c r="ADC3" s="1791"/>
      <c r="ADD3" s="1791"/>
      <c r="ADE3" s="1791"/>
      <c r="ADF3" s="1791"/>
      <c r="ADG3" s="1791"/>
      <c r="ADH3" s="1791"/>
      <c r="ADI3" s="1791"/>
      <c r="ADJ3" s="1791"/>
      <c r="ADK3" s="1791"/>
      <c r="ADL3" s="1791"/>
      <c r="ADM3" s="1791"/>
      <c r="ADN3" s="1791"/>
      <c r="ADO3" s="1791"/>
      <c r="ADP3" s="1791"/>
      <c r="ADQ3" s="1791"/>
      <c r="ADR3" s="1791"/>
      <c r="ADS3" s="1791"/>
      <c r="ADT3" s="1791"/>
      <c r="ADU3" s="1791"/>
      <c r="ADV3" s="1791"/>
      <c r="ADW3" s="1778" t="s">
        <v>200</v>
      </c>
      <c r="ADX3" s="1779"/>
      <c r="ADY3" s="1779"/>
      <c r="ADZ3" s="1779"/>
      <c r="AEA3" s="1780"/>
      <c r="AEB3" s="1780"/>
      <c r="AEC3" s="1780"/>
      <c r="AED3" s="1780"/>
      <c r="AEE3" s="1780"/>
      <c r="AEF3" s="1780"/>
      <c r="AEG3" s="1780"/>
      <c r="AEH3" s="1780"/>
      <c r="AEI3" s="1780"/>
      <c r="AEJ3" s="1780"/>
      <c r="AEK3" s="1780"/>
      <c r="AEL3" s="1780"/>
      <c r="AEM3" s="1780"/>
      <c r="AEN3" s="1780"/>
      <c r="AEO3" s="1780"/>
      <c r="AEP3" s="1780"/>
      <c r="AEQ3" s="1780"/>
      <c r="AER3" s="1780"/>
      <c r="AES3" s="1780"/>
      <c r="AET3" s="1780"/>
      <c r="AEU3" s="1780"/>
      <c r="AEV3" s="1780"/>
      <c r="AEW3" s="1780"/>
      <c r="AEX3" s="1780"/>
      <c r="AEY3" s="1780"/>
      <c r="AEZ3" s="1780"/>
      <c r="AFA3" s="1780"/>
      <c r="AFB3" s="1780"/>
      <c r="AFC3" s="1797" t="s">
        <v>201</v>
      </c>
      <c r="AFD3" s="1798"/>
      <c r="AFE3" s="1798"/>
      <c r="AFF3" s="1798"/>
      <c r="AFG3" s="1798"/>
      <c r="AFH3" s="1798"/>
      <c r="AFI3" s="1798"/>
      <c r="AFJ3" s="1798"/>
      <c r="AFK3" s="1798"/>
      <c r="AFL3" s="1798"/>
      <c r="AFM3" s="1798"/>
      <c r="AFN3" s="1798"/>
      <c r="AFO3" s="1798"/>
      <c r="AFP3" s="1798"/>
      <c r="AFQ3" s="1798"/>
      <c r="AFR3" s="1798"/>
      <c r="AFS3" s="1798"/>
      <c r="AFT3" s="1798"/>
      <c r="AFU3" s="1798"/>
      <c r="AFV3" s="1798"/>
      <c r="AFW3" s="1798"/>
      <c r="AFX3" s="1798"/>
      <c r="AFY3" s="1798"/>
      <c r="AFZ3" s="1798"/>
      <c r="AGA3" s="1798"/>
      <c r="AGB3" s="1798"/>
      <c r="AGC3" s="1798"/>
      <c r="AGD3" s="1798"/>
      <c r="AGE3" s="1798"/>
      <c r="AGF3" s="1798"/>
      <c r="AGG3" s="1798"/>
      <c r="AGH3" s="1799"/>
      <c r="AGI3" s="1790" t="s">
        <v>202</v>
      </c>
      <c r="AGJ3" s="1790"/>
      <c r="AGK3" s="1790"/>
      <c r="AGL3" s="1790"/>
      <c r="AGM3" s="1791"/>
      <c r="AGN3" s="1791"/>
      <c r="AGO3" s="1791"/>
      <c r="AGP3" s="1791"/>
      <c r="AGQ3" s="1791"/>
      <c r="AGR3" s="1791"/>
      <c r="AGS3" s="1791"/>
      <c r="AGT3" s="1791"/>
      <c r="AGU3" s="1791"/>
      <c r="AGV3" s="1791"/>
      <c r="AGW3" s="1791"/>
      <c r="AGX3" s="1791"/>
      <c r="AGY3" s="1791"/>
      <c r="AGZ3" s="1791"/>
      <c r="AHA3" s="1791"/>
      <c r="AHB3" s="1791"/>
      <c r="AHC3" s="1791"/>
      <c r="AHD3" s="1791"/>
      <c r="AHE3" s="1791"/>
      <c r="AHF3" s="1791"/>
      <c r="AHG3" s="1791"/>
      <c r="AHH3" s="1791"/>
      <c r="AHI3" s="1791"/>
      <c r="AHJ3" s="1791"/>
      <c r="AHK3" s="1791"/>
      <c r="AHL3" s="1791"/>
      <c r="AHM3" s="1791"/>
      <c r="AHN3" s="1791"/>
      <c r="AHO3" s="1778" t="s">
        <v>203</v>
      </c>
      <c r="AHP3" s="1779"/>
      <c r="AHQ3" s="1779"/>
      <c r="AHR3" s="1779"/>
      <c r="AHS3" s="1780"/>
      <c r="AHT3" s="1780"/>
      <c r="AHU3" s="1780"/>
      <c r="AHV3" s="1780"/>
      <c r="AHW3" s="1780"/>
      <c r="AHX3" s="1780"/>
      <c r="AHY3" s="1780"/>
      <c r="AHZ3" s="1780"/>
      <c r="AIA3" s="1780"/>
      <c r="AIB3" s="1780"/>
      <c r="AIC3" s="1780"/>
      <c r="AID3" s="1780"/>
      <c r="AIE3" s="1780"/>
      <c r="AIF3" s="1780"/>
      <c r="AIG3" s="1780"/>
      <c r="AIH3" s="1780"/>
      <c r="AII3" s="1780"/>
      <c r="AIJ3" s="1780"/>
      <c r="AIK3" s="1780"/>
      <c r="AIL3" s="1780"/>
      <c r="AIM3" s="1780"/>
      <c r="AIN3" s="1780"/>
      <c r="AIO3" s="1780"/>
      <c r="AIP3" s="1780"/>
      <c r="AIQ3" s="1780"/>
      <c r="AIR3" s="1780"/>
      <c r="AIS3" s="1780"/>
      <c r="AIT3" s="1780"/>
      <c r="AIU3" s="1789" t="s">
        <v>204</v>
      </c>
      <c r="AIV3" s="1790"/>
      <c r="AIW3" s="1790"/>
      <c r="AIX3" s="1790"/>
      <c r="AIY3" s="1791"/>
      <c r="AIZ3" s="1791"/>
      <c r="AJA3" s="1791"/>
      <c r="AJB3" s="1791"/>
      <c r="AJC3" s="1791"/>
      <c r="AJD3" s="1791"/>
      <c r="AJE3" s="1791"/>
      <c r="AJF3" s="1791"/>
      <c r="AJG3" s="1791"/>
      <c r="AJH3" s="1791"/>
      <c r="AJI3" s="1791"/>
      <c r="AJJ3" s="1791"/>
      <c r="AJK3" s="1791"/>
      <c r="AJL3" s="1791"/>
      <c r="AJM3" s="1791"/>
      <c r="AJN3" s="1791"/>
      <c r="AJO3" s="1791"/>
      <c r="AJP3" s="1791"/>
      <c r="AJQ3" s="1791"/>
      <c r="AJR3" s="1791"/>
      <c r="AJS3" s="1791"/>
      <c r="AJT3" s="1791"/>
      <c r="AJU3" s="1791"/>
      <c r="AJV3" s="1791"/>
      <c r="AJW3" s="1791"/>
      <c r="AJX3" s="1791"/>
      <c r="AJY3" s="1791"/>
      <c r="AJZ3" s="1791"/>
      <c r="AKA3" s="1797" t="s">
        <v>205</v>
      </c>
      <c r="AKB3" s="1798"/>
      <c r="AKC3" s="1798"/>
      <c r="AKD3" s="1798"/>
      <c r="AKE3" s="1798"/>
      <c r="AKF3" s="1798"/>
      <c r="AKG3" s="1798"/>
      <c r="AKH3" s="1798"/>
      <c r="AKI3" s="1798"/>
      <c r="AKJ3" s="1798"/>
      <c r="AKK3" s="1798"/>
      <c r="AKL3" s="1798"/>
      <c r="AKM3" s="1798"/>
      <c r="AKN3" s="1798"/>
      <c r="AKO3" s="1798"/>
      <c r="AKP3" s="1798"/>
      <c r="AKQ3" s="1798"/>
      <c r="AKR3" s="1798"/>
      <c r="AKS3" s="1798"/>
      <c r="AKT3" s="1798"/>
      <c r="AKU3" s="1798"/>
      <c r="AKV3" s="1798"/>
      <c r="AKW3" s="1798"/>
      <c r="AKX3" s="1798"/>
      <c r="AKY3" s="1798"/>
      <c r="AKZ3" s="1798"/>
      <c r="ALA3" s="1798"/>
      <c r="ALB3" s="1798"/>
      <c r="ALC3" s="1798"/>
      <c r="ALD3" s="1798"/>
      <c r="ALE3" s="1798"/>
      <c r="ALF3" s="1799"/>
      <c r="ALG3" s="1790" t="s">
        <v>206</v>
      </c>
      <c r="ALH3" s="1790"/>
      <c r="ALI3" s="1790"/>
      <c r="ALJ3" s="1790"/>
      <c r="ALK3" s="1791"/>
      <c r="ALL3" s="1791"/>
      <c r="ALM3" s="1791"/>
      <c r="ALN3" s="1791"/>
      <c r="ALO3" s="1791"/>
      <c r="ALP3" s="1791"/>
      <c r="ALQ3" s="1791"/>
      <c r="ALR3" s="1791"/>
      <c r="ALS3" s="1791"/>
      <c r="ALT3" s="1791"/>
      <c r="ALU3" s="1791"/>
      <c r="ALV3" s="1791"/>
      <c r="ALW3" s="1791"/>
      <c r="ALX3" s="1791"/>
      <c r="ALY3" s="1791"/>
      <c r="ALZ3" s="1791"/>
      <c r="AMA3" s="1791"/>
      <c r="AMB3" s="1791"/>
      <c r="AMC3" s="1791"/>
      <c r="AMD3" s="1791"/>
      <c r="AME3" s="1791"/>
      <c r="AMF3" s="1791"/>
      <c r="AMG3" s="1791"/>
      <c r="AMH3" s="1791"/>
      <c r="AMI3" s="1791"/>
      <c r="AMJ3" s="1791"/>
      <c r="AMK3" s="1791"/>
      <c r="AML3" s="1791"/>
      <c r="AMM3" s="1778" t="s">
        <v>207</v>
      </c>
      <c r="AMN3" s="1779"/>
      <c r="AMO3" s="1779"/>
      <c r="AMP3" s="1779"/>
      <c r="AMQ3" s="1780"/>
      <c r="AMR3" s="1780"/>
      <c r="AMS3" s="1780"/>
      <c r="AMT3" s="1780"/>
      <c r="AMU3" s="1780"/>
      <c r="AMV3" s="1780"/>
      <c r="AMW3" s="1780"/>
      <c r="AMX3" s="1780"/>
      <c r="AMY3" s="1780"/>
      <c r="AMZ3" s="1780"/>
      <c r="ANA3" s="1780"/>
      <c r="ANB3" s="1780"/>
      <c r="ANC3" s="1780"/>
      <c r="AND3" s="1780"/>
      <c r="ANE3" s="1780"/>
      <c r="ANF3" s="1780"/>
      <c r="ANG3" s="1780"/>
      <c r="ANH3" s="1780"/>
      <c r="ANI3" s="1780"/>
      <c r="ANJ3" s="1780"/>
      <c r="ANK3" s="1780"/>
      <c r="ANL3" s="1780"/>
      <c r="ANM3" s="1780"/>
      <c r="ANN3" s="1780"/>
      <c r="ANO3" s="1780"/>
      <c r="ANP3" s="1780"/>
      <c r="ANQ3" s="1780"/>
      <c r="ANR3" s="1780"/>
      <c r="ANS3" s="1789" t="s">
        <v>208</v>
      </c>
      <c r="ANT3" s="1790"/>
      <c r="ANU3" s="1790"/>
      <c r="ANV3" s="1790"/>
      <c r="ANW3" s="1791"/>
      <c r="ANX3" s="1791"/>
      <c r="ANY3" s="1791"/>
      <c r="ANZ3" s="1791"/>
      <c r="AOA3" s="1791"/>
      <c r="AOB3" s="1791"/>
      <c r="AOC3" s="1791"/>
      <c r="AOD3" s="1791"/>
      <c r="AOE3" s="1791"/>
      <c r="AOF3" s="1791"/>
      <c r="AOG3" s="1791"/>
      <c r="AOH3" s="1791"/>
      <c r="AOI3" s="1791"/>
      <c r="AOJ3" s="1791"/>
      <c r="AOK3" s="1791"/>
      <c r="AOL3" s="1791"/>
      <c r="AOM3" s="1791"/>
      <c r="AON3" s="1791"/>
      <c r="AOO3" s="1791"/>
      <c r="AOP3" s="1791"/>
      <c r="AOQ3" s="1791"/>
      <c r="AOR3" s="1791"/>
      <c r="AOS3" s="1791"/>
      <c r="AOT3" s="1791"/>
      <c r="AOU3" s="1791"/>
      <c r="AOV3" s="1791"/>
      <c r="AOW3" s="1791"/>
      <c r="AOX3" s="1791"/>
      <c r="AOY3" s="1778" t="s">
        <v>209</v>
      </c>
      <c r="AOZ3" s="1779"/>
      <c r="APA3" s="1779"/>
      <c r="APB3" s="1779"/>
      <c r="APC3" s="1780"/>
      <c r="APD3" s="1780"/>
      <c r="APE3" s="1780"/>
      <c r="APF3" s="1780"/>
      <c r="APG3" s="1780"/>
      <c r="APH3" s="1780"/>
      <c r="API3" s="1780"/>
      <c r="APJ3" s="1780"/>
      <c r="APK3" s="1780"/>
      <c r="APL3" s="1780"/>
      <c r="APM3" s="1780"/>
      <c r="APN3" s="1780"/>
      <c r="APO3" s="1780"/>
      <c r="APP3" s="1780"/>
      <c r="APQ3" s="1780"/>
      <c r="APR3" s="1780"/>
      <c r="APS3" s="1780"/>
      <c r="APT3" s="1780"/>
      <c r="APU3" s="1780"/>
      <c r="APV3" s="1780"/>
      <c r="APW3" s="1780"/>
      <c r="APX3" s="1780"/>
      <c r="APY3" s="1780"/>
      <c r="APZ3" s="1780"/>
      <c r="AQA3" s="1780"/>
      <c r="AQB3" s="1780"/>
      <c r="AQC3" s="1780"/>
      <c r="AQD3" s="1780"/>
      <c r="AQE3" s="1789" t="s">
        <v>210</v>
      </c>
      <c r="AQF3" s="1790"/>
      <c r="AQG3" s="1790"/>
      <c r="AQH3" s="1790"/>
      <c r="AQI3" s="1791"/>
      <c r="AQJ3" s="1791"/>
      <c r="AQK3" s="1791"/>
      <c r="AQL3" s="1791"/>
      <c r="AQM3" s="1791"/>
      <c r="AQN3" s="1791"/>
      <c r="AQO3" s="1791"/>
      <c r="AQP3" s="1791"/>
      <c r="AQQ3" s="1791"/>
      <c r="AQR3" s="1791"/>
      <c r="AQS3" s="1791"/>
      <c r="AQT3" s="1791"/>
      <c r="AQU3" s="1791"/>
      <c r="AQV3" s="1791"/>
      <c r="AQW3" s="1791"/>
      <c r="AQX3" s="1791"/>
      <c r="AQY3" s="1791"/>
      <c r="AQZ3" s="1791"/>
      <c r="ARA3" s="1791"/>
      <c r="ARB3" s="1791"/>
      <c r="ARC3" s="1791"/>
      <c r="ARD3" s="1791"/>
      <c r="ARE3" s="1791"/>
      <c r="ARF3" s="1791"/>
      <c r="ARG3" s="1791"/>
      <c r="ARH3" s="1791"/>
      <c r="ARI3" s="1791"/>
      <c r="ARJ3" s="1791"/>
      <c r="ARK3" s="1778" t="s">
        <v>211</v>
      </c>
      <c r="ARL3" s="1779"/>
      <c r="ARM3" s="1779"/>
      <c r="ARN3" s="1779"/>
      <c r="ARO3" s="1780"/>
      <c r="ARP3" s="1780"/>
      <c r="ARQ3" s="1780"/>
      <c r="ARR3" s="1780"/>
      <c r="ARS3" s="1780"/>
      <c r="ART3" s="1780"/>
      <c r="ARU3" s="1780"/>
      <c r="ARV3" s="1780"/>
      <c r="ARW3" s="1780"/>
      <c r="ARX3" s="1780"/>
      <c r="ARY3" s="1780"/>
      <c r="ARZ3" s="1780"/>
      <c r="ASA3" s="1780"/>
      <c r="ASB3" s="1780"/>
      <c r="ASC3" s="1780"/>
      <c r="ASD3" s="1780"/>
      <c r="ASE3" s="1780"/>
      <c r="ASF3" s="1780"/>
      <c r="ASG3" s="1780"/>
      <c r="ASH3" s="1780"/>
      <c r="ASI3" s="1780"/>
      <c r="ASJ3" s="1780"/>
      <c r="ASK3" s="1780"/>
      <c r="ASL3" s="1780"/>
      <c r="ASM3" s="1780"/>
      <c r="ASN3" s="1780"/>
      <c r="ASO3" s="1780"/>
      <c r="ASP3" s="1780"/>
      <c r="ASQ3" s="1789" t="s">
        <v>212</v>
      </c>
      <c r="ASR3" s="1790"/>
      <c r="ASS3" s="1790"/>
      <c r="AST3" s="1790"/>
      <c r="ASU3" s="1791"/>
      <c r="ASV3" s="1791"/>
      <c r="ASW3" s="1791"/>
      <c r="ASX3" s="1791"/>
      <c r="ASY3" s="1791"/>
      <c r="ASZ3" s="1791"/>
      <c r="ATA3" s="1791"/>
      <c r="ATB3" s="1791"/>
      <c r="ATC3" s="1791"/>
      <c r="ATD3" s="1791"/>
      <c r="ATE3" s="1791"/>
      <c r="ATF3" s="1791"/>
      <c r="ATG3" s="1791"/>
      <c r="ATH3" s="1791"/>
      <c r="ATI3" s="1791"/>
      <c r="ATJ3" s="1791"/>
      <c r="ATK3" s="1791"/>
      <c r="ATL3" s="1791"/>
      <c r="ATM3" s="1791"/>
      <c r="ATN3" s="1791"/>
      <c r="ATO3" s="1791"/>
      <c r="ATP3" s="1791"/>
      <c r="ATQ3" s="1791"/>
      <c r="ATR3" s="1791"/>
      <c r="ATS3" s="1791"/>
      <c r="ATT3" s="1791"/>
      <c r="ATU3" s="1791"/>
      <c r="ATV3" s="1791"/>
      <c r="ATW3" s="1778" t="s">
        <v>213</v>
      </c>
      <c r="ATX3" s="1779"/>
      <c r="ATY3" s="1779"/>
      <c r="ATZ3" s="1779"/>
      <c r="AUA3" s="1780"/>
      <c r="AUB3" s="1780"/>
      <c r="AUC3" s="1780"/>
      <c r="AUD3" s="1780"/>
      <c r="AUE3" s="1780"/>
      <c r="AUF3" s="1780"/>
      <c r="AUG3" s="1780"/>
      <c r="AUH3" s="1780"/>
      <c r="AUI3" s="1780"/>
      <c r="AUJ3" s="1780"/>
      <c r="AUK3" s="1780"/>
      <c r="AUL3" s="1780"/>
      <c r="AUM3" s="1780"/>
      <c r="AUN3" s="1780"/>
      <c r="AUO3" s="1780"/>
      <c r="AUP3" s="1780"/>
      <c r="AUQ3" s="1780"/>
      <c r="AUR3" s="1780"/>
      <c r="AUS3" s="1780"/>
      <c r="AUT3" s="1780"/>
      <c r="AUU3" s="1780"/>
      <c r="AUV3" s="1780"/>
      <c r="AUW3" s="1780"/>
      <c r="AUX3" s="1780"/>
      <c r="AUY3" s="1780"/>
      <c r="AUZ3" s="1780"/>
      <c r="AVA3" s="1780"/>
      <c r="AVB3" s="1780"/>
      <c r="AVC3" s="1797" t="s">
        <v>214</v>
      </c>
      <c r="AVD3" s="1798"/>
      <c r="AVE3" s="1798"/>
      <c r="AVF3" s="1798"/>
      <c r="AVG3" s="1798"/>
      <c r="AVH3" s="1798"/>
      <c r="AVI3" s="1798"/>
      <c r="AVJ3" s="1798"/>
      <c r="AVK3" s="1798"/>
      <c r="AVL3" s="1798"/>
      <c r="AVM3" s="1798"/>
      <c r="AVN3" s="1798"/>
      <c r="AVO3" s="1798"/>
      <c r="AVP3" s="1798"/>
      <c r="AVQ3" s="1798"/>
      <c r="AVR3" s="1798"/>
      <c r="AVS3" s="1798"/>
      <c r="AVT3" s="1798"/>
      <c r="AVU3" s="1798"/>
      <c r="AVV3" s="1798"/>
      <c r="AVW3" s="1798"/>
      <c r="AVX3" s="1798"/>
      <c r="AVY3" s="1798"/>
      <c r="AVZ3" s="1798"/>
      <c r="AWA3" s="1798"/>
      <c r="AWB3" s="1798"/>
      <c r="AWC3" s="1798"/>
      <c r="AWD3" s="1798"/>
      <c r="AWE3" s="1798"/>
      <c r="AWF3" s="1798"/>
      <c r="AWG3" s="1798"/>
      <c r="AWH3" s="1799"/>
      <c r="AWI3" s="1790" t="s">
        <v>215</v>
      </c>
      <c r="AWJ3" s="1790"/>
      <c r="AWK3" s="1790"/>
      <c r="AWL3" s="1790"/>
      <c r="AWM3" s="1791"/>
      <c r="AWN3" s="1791"/>
      <c r="AWO3" s="1791"/>
      <c r="AWP3" s="1791"/>
      <c r="AWQ3" s="1791"/>
      <c r="AWR3" s="1791"/>
      <c r="AWS3" s="1791"/>
      <c r="AWT3" s="1791"/>
      <c r="AWU3" s="1791"/>
      <c r="AWV3" s="1791"/>
      <c r="AWW3" s="1791"/>
      <c r="AWX3" s="1791"/>
      <c r="AWY3" s="1791"/>
      <c r="AWZ3" s="1791"/>
      <c r="AXA3" s="1791"/>
      <c r="AXB3" s="1791"/>
      <c r="AXC3" s="1791"/>
      <c r="AXD3" s="1791"/>
      <c r="AXE3" s="1791"/>
      <c r="AXF3" s="1791"/>
      <c r="AXG3" s="1791"/>
      <c r="AXH3" s="1791"/>
      <c r="AXI3" s="1791"/>
      <c r="AXJ3" s="1791"/>
      <c r="AXK3" s="1791"/>
      <c r="AXL3" s="1791"/>
      <c r="AXM3" s="1791"/>
      <c r="AXN3" s="1791"/>
      <c r="AXO3" s="1778" t="s">
        <v>216</v>
      </c>
      <c r="AXP3" s="1779"/>
      <c r="AXQ3" s="1779"/>
      <c r="AXR3" s="1779"/>
      <c r="AXS3" s="1780"/>
      <c r="AXT3" s="1780"/>
      <c r="AXU3" s="1780"/>
      <c r="AXV3" s="1780"/>
      <c r="AXW3" s="1780"/>
      <c r="AXX3" s="1780"/>
      <c r="AXY3" s="1780"/>
      <c r="AXZ3" s="1780"/>
      <c r="AYA3" s="1780"/>
      <c r="AYB3" s="1780"/>
      <c r="AYC3" s="1780"/>
      <c r="AYD3" s="1780"/>
      <c r="AYE3" s="1780"/>
      <c r="AYF3" s="1780"/>
      <c r="AYG3" s="1780"/>
      <c r="AYH3" s="1780"/>
      <c r="AYI3" s="1780"/>
      <c r="AYJ3" s="1780"/>
      <c r="AYK3" s="1780"/>
      <c r="AYL3" s="1780"/>
      <c r="AYM3" s="1780"/>
      <c r="AYN3" s="1780"/>
      <c r="AYO3" s="1780"/>
      <c r="AYP3" s="1780"/>
      <c r="AYQ3" s="1780"/>
      <c r="AYR3" s="1780"/>
      <c r="AYS3" s="1780"/>
      <c r="AYT3" s="1780"/>
      <c r="AYU3" s="1789" t="s">
        <v>217</v>
      </c>
      <c r="AYV3" s="1790"/>
      <c r="AYW3" s="1790"/>
      <c r="AYX3" s="1790"/>
      <c r="AYY3" s="1791"/>
      <c r="AYZ3" s="1791"/>
      <c r="AZA3" s="1791"/>
      <c r="AZB3" s="1791"/>
      <c r="AZC3" s="1791"/>
      <c r="AZD3" s="1791"/>
      <c r="AZE3" s="1791"/>
      <c r="AZF3" s="1791"/>
      <c r="AZG3" s="1791"/>
      <c r="AZH3" s="1791"/>
      <c r="AZI3" s="1791"/>
      <c r="AZJ3" s="1791"/>
      <c r="AZK3" s="1791"/>
      <c r="AZL3" s="1791"/>
      <c r="AZM3" s="1791"/>
      <c r="AZN3" s="1791"/>
      <c r="AZO3" s="1791"/>
      <c r="AZP3" s="1791"/>
      <c r="AZQ3" s="1791"/>
      <c r="AZR3" s="1791"/>
      <c r="AZS3" s="1791"/>
      <c r="AZT3" s="1791"/>
      <c r="AZU3" s="1791"/>
      <c r="AZV3" s="1791"/>
      <c r="AZW3" s="1791"/>
      <c r="AZX3" s="1791"/>
      <c r="AZY3" s="1791"/>
      <c r="AZZ3" s="1791"/>
      <c r="BAA3" s="1797" t="s">
        <v>218</v>
      </c>
      <c r="BAB3" s="1798"/>
      <c r="BAC3" s="1798"/>
      <c r="BAD3" s="1798"/>
      <c r="BAE3" s="1798"/>
      <c r="BAF3" s="1798"/>
      <c r="BAG3" s="1798"/>
      <c r="BAH3" s="1798"/>
      <c r="BAI3" s="1798"/>
      <c r="BAJ3" s="1798"/>
      <c r="BAK3" s="1798"/>
      <c r="BAL3" s="1798"/>
      <c r="BAM3" s="1798"/>
      <c r="BAN3" s="1798"/>
      <c r="BAO3" s="1798"/>
      <c r="BAP3" s="1798"/>
      <c r="BAQ3" s="1798"/>
      <c r="BAR3" s="1798"/>
      <c r="BAS3" s="1798"/>
      <c r="BAT3" s="1798"/>
      <c r="BAU3" s="1798"/>
      <c r="BAV3" s="1798"/>
      <c r="BAW3" s="1798"/>
      <c r="BAX3" s="1798"/>
      <c r="BAY3" s="1798"/>
      <c r="BAZ3" s="1798"/>
      <c r="BBA3" s="1798"/>
      <c r="BBB3" s="1798"/>
      <c r="BBC3" s="1798"/>
      <c r="BBD3" s="1798"/>
      <c r="BBE3" s="1798"/>
      <c r="BBF3" s="1799"/>
      <c r="BBG3" s="1790" t="s">
        <v>219</v>
      </c>
      <c r="BBH3" s="1790"/>
      <c r="BBI3" s="1790"/>
      <c r="BBJ3" s="1790"/>
      <c r="BBK3" s="1791"/>
      <c r="BBL3" s="1791"/>
      <c r="BBM3" s="1791"/>
      <c r="BBN3" s="1791"/>
      <c r="BBO3" s="1791"/>
      <c r="BBP3" s="1791"/>
      <c r="BBQ3" s="1791"/>
      <c r="BBR3" s="1791"/>
      <c r="BBS3" s="1791"/>
      <c r="BBT3" s="1791"/>
      <c r="BBU3" s="1791"/>
      <c r="BBV3" s="1791"/>
      <c r="BBW3" s="1791"/>
      <c r="BBX3" s="1791"/>
      <c r="BBY3" s="1791"/>
      <c r="BBZ3" s="1791"/>
      <c r="BCA3" s="1791"/>
      <c r="BCB3" s="1791"/>
      <c r="BCC3" s="1791"/>
      <c r="BCD3" s="1791"/>
      <c r="BCE3" s="1791"/>
      <c r="BCF3" s="1791"/>
      <c r="BCG3" s="1791"/>
      <c r="BCH3" s="1791"/>
      <c r="BCI3" s="1791"/>
      <c r="BCJ3" s="1791"/>
      <c r="BCK3" s="1791"/>
      <c r="BCL3" s="1791"/>
      <c r="BCM3" s="1778" t="s">
        <v>220</v>
      </c>
      <c r="BCN3" s="1779"/>
      <c r="BCO3" s="1779"/>
      <c r="BCP3" s="1779"/>
      <c r="BCQ3" s="1780"/>
      <c r="BCR3" s="1780"/>
      <c r="BCS3" s="1780"/>
      <c r="BCT3" s="1780"/>
      <c r="BCU3" s="1780"/>
      <c r="BCV3" s="1780"/>
      <c r="BCW3" s="1780"/>
      <c r="BCX3" s="1780"/>
      <c r="BCY3" s="1780"/>
      <c r="BCZ3" s="1780"/>
      <c r="BDA3" s="1780"/>
      <c r="BDB3" s="1780"/>
      <c r="BDC3" s="1780"/>
      <c r="BDD3" s="1780"/>
      <c r="BDE3" s="1780"/>
      <c r="BDF3" s="1780"/>
      <c r="BDG3" s="1780"/>
      <c r="BDH3" s="1780"/>
      <c r="BDI3" s="1780"/>
      <c r="BDJ3" s="1780"/>
      <c r="BDK3" s="1780"/>
      <c r="BDL3" s="1780"/>
      <c r="BDM3" s="1780"/>
      <c r="BDN3" s="1780"/>
      <c r="BDO3" s="1780"/>
      <c r="BDP3" s="1780"/>
      <c r="BDQ3" s="1780"/>
      <c r="BDR3" s="1780"/>
      <c r="BDS3" s="1789" t="s">
        <v>221</v>
      </c>
      <c r="BDT3" s="1790"/>
      <c r="BDU3" s="1790"/>
      <c r="BDV3" s="1790"/>
      <c r="BDW3" s="1791"/>
      <c r="BDX3" s="1791"/>
      <c r="BDY3" s="1791"/>
      <c r="BDZ3" s="1791"/>
      <c r="BEA3" s="1791"/>
      <c r="BEB3" s="1791"/>
      <c r="BEC3" s="1791"/>
      <c r="BED3" s="1791"/>
      <c r="BEE3" s="1791"/>
      <c r="BEF3" s="1791"/>
      <c r="BEG3" s="1791"/>
      <c r="BEH3" s="1791"/>
      <c r="BEI3" s="1791"/>
      <c r="BEJ3" s="1791"/>
      <c r="BEK3" s="1791"/>
      <c r="BEL3" s="1791"/>
      <c r="BEM3" s="1791"/>
      <c r="BEN3" s="1791"/>
      <c r="BEO3" s="1791"/>
      <c r="BEP3" s="1791"/>
      <c r="BEQ3" s="1791"/>
      <c r="BER3" s="1791"/>
      <c r="BES3" s="1791"/>
      <c r="BET3" s="1791"/>
      <c r="BEU3" s="1791"/>
      <c r="BEV3" s="1791"/>
      <c r="BEW3" s="1791"/>
      <c r="BEX3" s="1791"/>
      <c r="BEY3" s="1778" t="s">
        <v>222</v>
      </c>
      <c r="BEZ3" s="1779"/>
      <c r="BFA3" s="1779"/>
      <c r="BFB3" s="1779"/>
      <c r="BFC3" s="1780"/>
      <c r="BFD3" s="1780"/>
      <c r="BFE3" s="1780"/>
      <c r="BFF3" s="1780"/>
      <c r="BFG3" s="1780"/>
      <c r="BFH3" s="1780"/>
      <c r="BFI3" s="1780"/>
      <c r="BFJ3" s="1780"/>
      <c r="BFK3" s="1780"/>
      <c r="BFL3" s="1780"/>
      <c r="BFM3" s="1780"/>
      <c r="BFN3" s="1780"/>
      <c r="BFO3" s="1780"/>
      <c r="BFP3" s="1780"/>
      <c r="BFQ3" s="1780"/>
      <c r="BFR3" s="1780"/>
      <c r="BFS3" s="1780"/>
      <c r="BFT3" s="1780"/>
      <c r="BFU3" s="1780"/>
      <c r="BFV3" s="1780"/>
      <c r="BFW3" s="1780"/>
      <c r="BFX3" s="1780"/>
      <c r="BFY3" s="1780"/>
      <c r="BFZ3" s="1780"/>
      <c r="BGA3" s="1780"/>
      <c r="BGB3" s="1780"/>
      <c r="BGC3" s="1780"/>
      <c r="BGD3" s="1780"/>
      <c r="BGE3" s="1789" t="s">
        <v>223</v>
      </c>
      <c r="BGF3" s="1790"/>
      <c r="BGG3" s="1790"/>
      <c r="BGH3" s="1790"/>
      <c r="BGI3" s="1791"/>
      <c r="BGJ3" s="1791"/>
      <c r="BGK3" s="1791"/>
      <c r="BGL3" s="1791"/>
      <c r="BGM3" s="1791"/>
      <c r="BGN3" s="1791"/>
      <c r="BGO3" s="1791"/>
      <c r="BGP3" s="1791"/>
      <c r="BGQ3" s="1791"/>
      <c r="BGR3" s="1791"/>
      <c r="BGS3" s="1791"/>
      <c r="BGT3" s="1791"/>
      <c r="BGU3" s="1791"/>
      <c r="BGV3" s="1791"/>
      <c r="BGW3" s="1791"/>
      <c r="BGX3" s="1791"/>
      <c r="BGY3" s="1791"/>
      <c r="BGZ3" s="1791"/>
      <c r="BHA3" s="1791"/>
      <c r="BHB3" s="1791"/>
      <c r="BHC3" s="1791"/>
      <c r="BHD3" s="1791"/>
      <c r="BHE3" s="1791"/>
      <c r="BHF3" s="1791"/>
      <c r="BHG3" s="1791"/>
      <c r="BHH3" s="1791"/>
      <c r="BHI3" s="1791"/>
      <c r="BHJ3" s="1791"/>
      <c r="BHK3" s="1778" t="s">
        <v>224</v>
      </c>
      <c r="BHL3" s="1779"/>
      <c r="BHM3" s="1779"/>
      <c r="BHN3" s="1779"/>
      <c r="BHO3" s="1780"/>
      <c r="BHP3" s="1780"/>
      <c r="BHQ3" s="1780"/>
      <c r="BHR3" s="1780"/>
      <c r="BHS3" s="1780"/>
      <c r="BHT3" s="1780"/>
      <c r="BHU3" s="1780"/>
      <c r="BHV3" s="1780"/>
      <c r="BHW3" s="1780"/>
      <c r="BHX3" s="1780"/>
      <c r="BHY3" s="1780"/>
      <c r="BHZ3" s="1780"/>
      <c r="BIA3" s="1780"/>
      <c r="BIB3" s="1780"/>
      <c r="BIC3" s="1780"/>
      <c r="BID3" s="1780"/>
      <c r="BIE3" s="1780"/>
      <c r="BIF3" s="1780"/>
      <c r="BIG3" s="1780"/>
      <c r="BIH3" s="1780"/>
      <c r="BII3" s="1780"/>
      <c r="BIJ3" s="1780"/>
      <c r="BIK3" s="1780"/>
      <c r="BIL3" s="1780"/>
      <c r="BIM3" s="1780"/>
      <c r="BIN3" s="1780"/>
      <c r="BIO3" s="1780"/>
      <c r="BIP3" s="1780"/>
      <c r="BIQ3" s="1789" t="s">
        <v>225</v>
      </c>
      <c r="BIR3" s="1790"/>
      <c r="BIS3" s="1790"/>
      <c r="BIT3" s="1790"/>
      <c r="BIU3" s="1791"/>
      <c r="BIV3" s="1791"/>
      <c r="BIW3" s="1791"/>
      <c r="BIX3" s="1791"/>
      <c r="BIY3" s="1791"/>
      <c r="BIZ3" s="1791"/>
      <c r="BJA3" s="1791"/>
      <c r="BJB3" s="1791"/>
      <c r="BJC3" s="1791"/>
      <c r="BJD3" s="1791"/>
      <c r="BJE3" s="1791"/>
      <c r="BJF3" s="1791"/>
      <c r="BJG3" s="1791"/>
      <c r="BJH3" s="1791"/>
      <c r="BJI3" s="1791"/>
      <c r="BJJ3" s="1791"/>
      <c r="BJK3" s="1791"/>
      <c r="BJL3" s="1791"/>
      <c r="BJM3" s="1791"/>
      <c r="BJN3" s="1791"/>
      <c r="BJO3" s="1791"/>
      <c r="BJP3" s="1791"/>
      <c r="BJQ3" s="1791"/>
      <c r="BJR3" s="1791"/>
      <c r="BJS3" s="1791"/>
      <c r="BJT3" s="1791"/>
      <c r="BJU3" s="1791"/>
      <c r="BJV3" s="1791"/>
      <c r="BJW3" s="1778" t="s">
        <v>226</v>
      </c>
      <c r="BJX3" s="1779"/>
      <c r="BJY3" s="1779"/>
      <c r="BJZ3" s="1779"/>
      <c r="BKA3" s="1780"/>
      <c r="BKB3" s="1780"/>
      <c r="BKC3" s="1780"/>
      <c r="BKD3" s="1780"/>
      <c r="BKE3" s="1780"/>
      <c r="BKF3" s="1780"/>
      <c r="BKG3" s="1780"/>
      <c r="BKH3" s="1780"/>
      <c r="BKI3" s="1780"/>
      <c r="BKJ3" s="1780"/>
      <c r="BKK3" s="1780"/>
      <c r="BKL3" s="1780"/>
      <c r="BKM3" s="1780"/>
      <c r="BKN3" s="1780"/>
      <c r="BKO3" s="1780"/>
      <c r="BKP3" s="1780"/>
      <c r="BKQ3" s="1780"/>
      <c r="BKR3" s="1780"/>
      <c r="BKS3" s="1780"/>
      <c r="BKT3" s="1780"/>
      <c r="BKU3" s="1780"/>
      <c r="BKV3" s="1780"/>
      <c r="BKW3" s="1780"/>
      <c r="BKX3" s="1780"/>
      <c r="BKY3" s="1780"/>
      <c r="BKZ3" s="1780"/>
      <c r="BLA3" s="1780"/>
      <c r="BLB3" s="1780"/>
    </row>
    <row r="4" spans="2:1666" ht="15.75" customHeight="1" thickBot="1">
      <c r="B4" s="55"/>
      <c r="C4" s="1795" t="s">
        <v>453</v>
      </c>
      <c r="D4" s="1796"/>
      <c r="E4" s="1796"/>
      <c r="F4" s="774">
        <v>0.12</v>
      </c>
      <c r="G4" s="1795" t="s">
        <v>454</v>
      </c>
      <c r="H4" s="1796"/>
      <c r="I4" s="1796"/>
      <c r="J4" s="774">
        <v>0.12</v>
      </c>
      <c r="K4" s="1795" t="s">
        <v>455</v>
      </c>
      <c r="L4" s="1796"/>
      <c r="M4" s="1796"/>
      <c r="N4" s="774">
        <v>0.12</v>
      </c>
      <c r="O4" s="1795" t="s">
        <v>456</v>
      </c>
      <c r="P4" s="1796"/>
      <c r="Q4" s="1796"/>
      <c r="R4" s="774">
        <v>0.12</v>
      </c>
      <c r="S4" s="1795" t="s">
        <v>457</v>
      </c>
      <c r="T4" s="1796"/>
      <c r="U4" s="1796"/>
      <c r="V4" s="774">
        <v>0.14000000000000001</v>
      </c>
      <c r="W4" s="1795" t="s">
        <v>458</v>
      </c>
      <c r="X4" s="1796"/>
      <c r="Y4" s="1796"/>
      <c r="Z4" s="774">
        <v>0.16</v>
      </c>
      <c r="AA4" s="1795" t="s">
        <v>459</v>
      </c>
      <c r="AB4" s="1796"/>
      <c r="AC4" s="1796"/>
      <c r="AD4" s="774">
        <v>0.22</v>
      </c>
      <c r="AE4" s="744" t="s">
        <v>460</v>
      </c>
      <c r="AF4" s="1783" t="s">
        <v>461</v>
      </c>
      <c r="AG4" s="738" t="s">
        <v>462</v>
      </c>
      <c r="AH4" s="741" t="s">
        <v>463</v>
      </c>
      <c r="AI4" s="1795" t="s">
        <v>453</v>
      </c>
      <c r="AJ4" s="1796"/>
      <c r="AK4" s="1796"/>
      <c r="AL4" s="774">
        <v>0.12</v>
      </c>
      <c r="AM4" s="1795" t="s">
        <v>454</v>
      </c>
      <c r="AN4" s="1796"/>
      <c r="AO4" s="1796"/>
      <c r="AP4" s="774">
        <v>0.12</v>
      </c>
      <c r="AQ4" s="1795" t="s">
        <v>455</v>
      </c>
      <c r="AR4" s="1796"/>
      <c r="AS4" s="1796"/>
      <c r="AT4" s="774">
        <v>0.12</v>
      </c>
      <c r="AU4" s="1795" t="s">
        <v>456</v>
      </c>
      <c r="AV4" s="1796"/>
      <c r="AW4" s="1796"/>
      <c r="AX4" s="774">
        <v>0.12</v>
      </c>
      <c r="AY4" s="1795" t="s">
        <v>457</v>
      </c>
      <c r="AZ4" s="1796"/>
      <c r="BA4" s="1796"/>
      <c r="BB4" s="774">
        <v>0.14000000000000001</v>
      </c>
      <c r="BC4" s="1795" t="s">
        <v>458</v>
      </c>
      <c r="BD4" s="1796"/>
      <c r="BE4" s="1796"/>
      <c r="BF4" s="774">
        <v>0.16</v>
      </c>
      <c r="BG4" s="1795" t="s">
        <v>459</v>
      </c>
      <c r="BH4" s="1796"/>
      <c r="BI4" s="1796"/>
      <c r="BJ4" s="774">
        <v>0.22</v>
      </c>
      <c r="BK4" s="747" t="s">
        <v>460</v>
      </c>
      <c r="BL4" s="1792" t="s">
        <v>461</v>
      </c>
      <c r="BM4" s="750" t="s">
        <v>462</v>
      </c>
      <c r="BN4" s="753" t="s">
        <v>463</v>
      </c>
      <c r="BO4" s="1795" t="s">
        <v>453</v>
      </c>
      <c r="BP4" s="1796"/>
      <c r="BQ4" s="1796"/>
      <c r="BR4" s="774">
        <v>0.12</v>
      </c>
      <c r="BS4" s="1795" t="s">
        <v>454</v>
      </c>
      <c r="BT4" s="1796"/>
      <c r="BU4" s="1796"/>
      <c r="BV4" s="774">
        <v>0.12</v>
      </c>
      <c r="BW4" s="1795" t="s">
        <v>455</v>
      </c>
      <c r="BX4" s="1796"/>
      <c r="BY4" s="1796"/>
      <c r="BZ4" s="774">
        <v>0.12</v>
      </c>
      <c r="CA4" s="1795" t="s">
        <v>456</v>
      </c>
      <c r="CB4" s="1796"/>
      <c r="CC4" s="1796"/>
      <c r="CD4" s="774">
        <v>0.12</v>
      </c>
      <c r="CE4" s="1795" t="s">
        <v>457</v>
      </c>
      <c r="CF4" s="1796"/>
      <c r="CG4" s="1796"/>
      <c r="CH4" s="774">
        <v>0.14000000000000001</v>
      </c>
      <c r="CI4" s="1795" t="s">
        <v>458</v>
      </c>
      <c r="CJ4" s="1796"/>
      <c r="CK4" s="1796"/>
      <c r="CL4" s="774">
        <v>0.16</v>
      </c>
      <c r="CM4" s="1795" t="s">
        <v>459</v>
      </c>
      <c r="CN4" s="1796"/>
      <c r="CO4" s="1796"/>
      <c r="CP4" s="774">
        <v>0.22</v>
      </c>
      <c r="CQ4" s="744" t="s">
        <v>460</v>
      </c>
      <c r="CR4" s="1785" t="s">
        <v>461</v>
      </c>
      <c r="CS4" s="738" t="s">
        <v>462</v>
      </c>
      <c r="CT4" s="741" t="s">
        <v>463</v>
      </c>
      <c r="CU4" s="1795" t="s">
        <v>453</v>
      </c>
      <c r="CV4" s="1796"/>
      <c r="CW4" s="1796"/>
      <c r="CX4" s="774">
        <v>0.12</v>
      </c>
      <c r="CY4" s="1795" t="s">
        <v>454</v>
      </c>
      <c r="CZ4" s="1796"/>
      <c r="DA4" s="1796"/>
      <c r="DB4" s="774">
        <v>0.12</v>
      </c>
      <c r="DC4" s="1795" t="s">
        <v>455</v>
      </c>
      <c r="DD4" s="1796"/>
      <c r="DE4" s="1796"/>
      <c r="DF4" s="774">
        <v>0.12</v>
      </c>
      <c r="DG4" s="1795" t="s">
        <v>456</v>
      </c>
      <c r="DH4" s="1796"/>
      <c r="DI4" s="1796"/>
      <c r="DJ4" s="774">
        <v>0.12</v>
      </c>
      <c r="DK4" s="1795" t="s">
        <v>457</v>
      </c>
      <c r="DL4" s="1796"/>
      <c r="DM4" s="1796"/>
      <c r="DN4" s="774">
        <v>0.14000000000000001</v>
      </c>
      <c r="DO4" s="1795" t="s">
        <v>458</v>
      </c>
      <c r="DP4" s="1796"/>
      <c r="DQ4" s="1796"/>
      <c r="DR4" s="774">
        <v>0.16</v>
      </c>
      <c r="DS4" s="1795" t="s">
        <v>459</v>
      </c>
      <c r="DT4" s="1796"/>
      <c r="DU4" s="1796"/>
      <c r="DV4" s="774">
        <v>0.22</v>
      </c>
      <c r="DW4" s="747" t="s">
        <v>460</v>
      </c>
      <c r="DX4" s="1787" t="s">
        <v>461</v>
      </c>
      <c r="DY4" s="750" t="s">
        <v>462</v>
      </c>
      <c r="DZ4" s="753" t="s">
        <v>463</v>
      </c>
      <c r="EA4" s="1808" t="s">
        <v>453</v>
      </c>
      <c r="EB4" s="1809"/>
      <c r="EC4" s="1809"/>
      <c r="ED4" s="779">
        <v>0.12</v>
      </c>
      <c r="EE4" s="1808" t="s">
        <v>454</v>
      </c>
      <c r="EF4" s="1809"/>
      <c r="EG4" s="1809"/>
      <c r="EH4" s="779">
        <v>0.12</v>
      </c>
      <c r="EI4" s="1808" t="s">
        <v>455</v>
      </c>
      <c r="EJ4" s="1809"/>
      <c r="EK4" s="1809"/>
      <c r="EL4" s="779">
        <v>0.12</v>
      </c>
      <c r="EM4" s="1808" t="s">
        <v>456</v>
      </c>
      <c r="EN4" s="1809"/>
      <c r="EO4" s="1809"/>
      <c r="EP4" s="779">
        <v>0.12</v>
      </c>
      <c r="EQ4" s="1808" t="s">
        <v>457</v>
      </c>
      <c r="ER4" s="1809"/>
      <c r="ES4" s="1809"/>
      <c r="ET4" s="779">
        <v>0.14000000000000001</v>
      </c>
      <c r="EU4" s="1808" t="s">
        <v>458</v>
      </c>
      <c r="EV4" s="1809"/>
      <c r="EW4" s="1809"/>
      <c r="EX4" s="779">
        <v>0.16</v>
      </c>
      <c r="EY4" s="1808" t="s">
        <v>459</v>
      </c>
      <c r="EZ4" s="1809"/>
      <c r="FA4" s="1809"/>
      <c r="FB4" s="779">
        <v>0.22</v>
      </c>
      <c r="FC4" s="745" t="s">
        <v>460</v>
      </c>
      <c r="FD4" s="1784" t="s">
        <v>461</v>
      </c>
      <c r="FE4" s="739" t="s">
        <v>462</v>
      </c>
      <c r="FF4" s="742" t="s">
        <v>463</v>
      </c>
      <c r="FG4" s="1810" t="s">
        <v>453</v>
      </c>
      <c r="FH4" s="1811"/>
      <c r="FI4" s="1811"/>
      <c r="FJ4" s="780">
        <v>0.12</v>
      </c>
      <c r="FK4" s="1810" t="s">
        <v>454</v>
      </c>
      <c r="FL4" s="1811"/>
      <c r="FM4" s="1811"/>
      <c r="FN4" s="780">
        <v>0.12</v>
      </c>
      <c r="FO4" s="1810" t="s">
        <v>455</v>
      </c>
      <c r="FP4" s="1811"/>
      <c r="FQ4" s="1811"/>
      <c r="FR4" s="780">
        <v>0.12</v>
      </c>
      <c r="FS4" s="1810" t="s">
        <v>456</v>
      </c>
      <c r="FT4" s="1811"/>
      <c r="FU4" s="1811"/>
      <c r="FV4" s="780">
        <v>0.12</v>
      </c>
      <c r="FW4" s="1810" t="s">
        <v>457</v>
      </c>
      <c r="FX4" s="1811"/>
      <c r="FY4" s="1811"/>
      <c r="FZ4" s="780">
        <v>0.14000000000000001</v>
      </c>
      <c r="GA4" s="1810" t="s">
        <v>458</v>
      </c>
      <c r="GB4" s="1811"/>
      <c r="GC4" s="1811"/>
      <c r="GD4" s="780">
        <v>0.16</v>
      </c>
      <c r="GE4" s="1810" t="s">
        <v>459</v>
      </c>
      <c r="GF4" s="1811"/>
      <c r="GG4" s="1811"/>
      <c r="GH4" s="780">
        <v>0.22</v>
      </c>
      <c r="GI4" s="747" t="s">
        <v>460</v>
      </c>
      <c r="GJ4" s="1802" t="s">
        <v>461</v>
      </c>
      <c r="GK4" s="750" t="s">
        <v>462</v>
      </c>
      <c r="GL4" s="753" t="s">
        <v>463</v>
      </c>
      <c r="GM4" s="1810" t="s">
        <v>453</v>
      </c>
      <c r="GN4" s="1811"/>
      <c r="GO4" s="1811"/>
      <c r="GP4" s="780">
        <v>0.12</v>
      </c>
      <c r="GQ4" s="1810" t="s">
        <v>454</v>
      </c>
      <c r="GR4" s="1811"/>
      <c r="GS4" s="1811"/>
      <c r="GT4" s="780">
        <v>0.12</v>
      </c>
      <c r="GU4" s="1810" t="s">
        <v>455</v>
      </c>
      <c r="GV4" s="1811"/>
      <c r="GW4" s="1811"/>
      <c r="GX4" s="780">
        <v>0.12</v>
      </c>
      <c r="GY4" s="1810" t="s">
        <v>456</v>
      </c>
      <c r="GZ4" s="1811"/>
      <c r="HA4" s="1811"/>
      <c r="HB4" s="780">
        <v>0.12</v>
      </c>
      <c r="HC4" s="1810" t="s">
        <v>457</v>
      </c>
      <c r="HD4" s="1811"/>
      <c r="HE4" s="1811"/>
      <c r="HF4" s="780">
        <v>0.14000000000000001</v>
      </c>
      <c r="HG4" s="1810" t="s">
        <v>458</v>
      </c>
      <c r="HH4" s="1811"/>
      <c r="HI4" s="1811"/>
      <c r="HJ4" s="780">
        <v>0.16</v>
      </c>
      <c r="HK4" s="1810" t="s">
        <v>459</v>
      </c>
      <c r="HL4" s="1811"/>
      <c r="HM4" s="1811"/>
      <c r="HN4" s="780">
        <v>0.22</v>
      </c>
      <c r="HO4" s="744" t="s">
        <v>460</v>
      </c>
      <c r="HP4" s="1783" t="s">
        <v>461</v>
      </c>
      <c r="HQ4" s="738" t="s">
        <v>462</v>
      </c>
      <c r="HR4" s="741" t="s">
        <v>463</v>
      </c>
      <c r="HS4" s="1810" t="s">
        <v>453</v>
      </c>
      <c r="HT4" s="1811"/>
      <c r="HU4" s="1811"/>
      <c r="HV4" s="780">
        <v>0.12</v>
      </c>
      <c r="HW4" s="1810" t="s">
        <v>454</v>
      </c>
      <c r="HX4" s="1811"/>
      <c r="HY4" s="1811"/>
      <c r="HZ4" s="780">
        <v>0.12</v>
      </c>
      <c r="IA4" s="1810" t="s">
        <v>455</v>
      </c>
      <c r="IB4" s="1811"/>
      <c r="IC4" s="1811"/>
      <c r="ID4" s="780">
        <v>0.12</v>
      </c>
      <c r="IE4" s="1810" t="s">
        <v>456</v>
      </c>
      <c r="IF4" s="1811"/>
      <c r="IG4" s="1811"/>
      <c r="IH4" s="780">
        <v>0.12</v>
      </c>
      <c r="II4" s="1810" t="s">
        <v>457</v>
      </c>
      <c r="IJ4" s="1811"/>
      <c r="IK4" s="1811"/>
      <c r="IL4" s="780">
        <v>0.14000000000000001</v>
      </c>
      <c r="IM4" s="1810" t="s">
        <v>458</v>
      </c>
      <c r="IN4" s="1811"/>
      <c r="IO4" s="1811"/>
      <c r="IP4" s="780">
        <v>0.16</v>
      </c>
      <c r="IQ4" s="1810" t="s">
        <v>459</v>
      </c>
      <c r="IR4" s="1811"/>
      <c r="IS4" s="1811"/>
      <c r="IT4" s="780">
        <v>0.22</v>
      </c>
      <c r="IU4" s="747" t="s">
        <v>460</v>
      </c>
      <c r="IV4" s="1802" t="s">
        <v>461</v>
      </c>
      <c r="IW4" s="750" t="s">
        <v>462</v>
      </c>
      <c r="IX4" s="753" t="s">
        <v>463</v>
      </c>
      <c r="IY4" s="1795" t="s">
        <v>453</v>
      </c>
      <c r="IZ4" s="1796"/>
      <c r="JA4" s="1796"/>
      <c r="JB4" s="774">
        <v>0.12</v>
      </c>
      <c r="JC4" s="1795" t="s">
        <v>454</v>
      </c>
      <c r="JD4" s="1796"/>
      <c r="JE4" s="1796"/>
      <c r="JF4" s="774">
        <v>0.12</v>
      </c>
      <c r="JG4" s="1795" t="s">
        <v>455</v>
      </c>
      <c r="JH4" s="1796"/>
      <c r="JI4" s="1796"/>
      <c r="JJ4" s="774">
        <v>0.12</v>
      </c>
      <c r="JK4" s="1795" t="s">
        <v>456</v>
      </c>
      <c r="JL4" s="1796"/>
      <c r="JM4" s="1796"/>
      <c r="JN4" s="774">
        <v>0.12</v>
      </c>
      <c r="JO4" s="1795" t="s">
        <v>457</v>
      </c>
      <c r="JP4" s="1796"/>
      <c r="JQ4" s="1796"/>
      <c r="JR4" s="774">
        <v>0.14000000000000001</v>
      </c>
      <c r="JS4" s="1795" t="s">
        <v>458</v>
      </c>
      <c r="JT4" s="1796"/>
      <c r="JU4" s="1796"/>
      <c r="JV4" s="774">
        <v>0.16</v>
      </c>
      <c r="JW4" s="1795" t="s">
        <v>459</v>
      </c>
      <c r="JX4" s="1796"/>
      <c r="JY4" s="1796"/>
      <c r="JZ4" s="774">
        <v>0.22</v>
      </c>
      <c r="KA4" s="744" t="s">
        <v>460</v>
      </c>
      <c r="KB4" s="1783" t="s">
        <v>461</v>
      </c>
      <c r="KC4" s="738" t="s">
        <v>462</v>
      </c>
      <c r="KD4" s="741" t="s">
        <v>463</v>
      </c>
      <c r="KE4" s="1795" t="s">
        <v>453</v>
      </c>
      <c r="KF4" s="1796"/>
      <c r="KG4" s="1796"/>
      <c r="KH4" s="774">
        <v>0.12</v>
      </c>
      <c r="KI4" s="1795" t="s">
        <v>454</v>
      </c>
      <c r="KJ4" s="1796"/>
      <c r="KK4" s="1796"/>
      <c r="KL4" s="774">
        <v>0.12</v>
      </c>
      <c r="KM4" s="1795" t="s">
        <v>455</v>
      </c>
      <c r="KN4" s="1796"/>
      <c r="KO4" s="1796"/>
      <c r="KP4" s="774">
        <v>0.12</v>
      </c>
      <c r="KQ4" s="1795" t="s">
        <v>456</v>
      </c>
      <c r="KR4" s="1796"/>
      <c r="KS4" s="1796"/>
      <c r="KT4" s="774">
        <v>0.12</v>
      </c>
      <c r="KU4" s="1795" t="s">
        <v>457</v>
      </c>
      <c r="KV4" s="1796"/>
      <c r="KW4" s="1796"/>
      <c r="KX4" s="774">
        <v>0.14000000000000001</v>
      </c>
      <c r="KY4" s="1795" t="s">
        <v>458</v>
      </c>
      <c r="KZ4" s="1796"/>
      <c r="LA4" s="1796"/>
      <c r="LB4" s="774">
        <v>0.16</v>
      </c>
      <c r="LC4" s="1795" t="s">
        <v>459</v>
      </c>
      <c r="LD4" s="1796"/>
      <c r="LE4" s="1796"/>
      <c r="LF4" s="774">
        <v>0.22</v>
      </c>
      <c r="LG4" s="747" t="s">
        <v>460</v>
      </c>
      <c r="LH4" s="1792" t="s">
        <v>461</v>
      </c>
      <c r="LI4" s="750" t="s">
        <v>462</v>
      </c>
      <c r="LJ4" s="753" t="s">
        <v>463</v>
      </c>
      <c r="LK4" s="1795" t="s">
        <v>453</v>
      </c>
      <c r="LL4" s="1796"/>
      <c r="LM4" s="1796"/>
      <c r="LN4" s="774">
        <v>0.12</v>
      </c>
      <c r="LO4" s="1795" t="s">
        <v>454</v>
      </c>
      <c r="LP4" s="1796"/>
      <c r="LQ4" s="1796"/>
      <c r="LR4" s="774">
        <v>0.12</v>
      </c>
      <c r="LS4" s="1795" t="s">
        <v>455</v>
      </c>
      <c r="LT4" s="1796"/>
      <c r="LU4" s="1796"/>
      <c r="LV4" s="774">
        <v>0.12</v>
      </c>
      <c r="LW4" s="1795" t="s">
        <v>456</v>
      </c>
      <c r="LX4" s="1796"/>
      <c r="LY4" s="1796"/>
      <c r="LZ4" s="774">
        <v>0.12</v>
      </c>
      <c r="MA4" s="1795" t="s">
        <v>457</v>
      </c>
      <c r="MB4" s="1796"/>
      <c r="MC4" s="1796"/>
      <c r="MD4" s="774">
        <v>0.14000000000000001</v>
      </c>
      <c r="ME4" s="1795" t="s">
        <v>458</v>
      </c>
      <c r="MF4" s="1796"/>
      <c r="MG4" s="1796"/>
      <c r="MH4" s="774">
        <v>0.16</v>
      </c>
      <c r="MI4" s="1795" t="s">
        <v>459</v>
      </c>
      <c r="MJ4" s="1796"/>
      <c r="MK4" s="1796"/>
      <c r="ML4" s="774">
        <v>0.22</v>
      </c>
      <c r="MM4" s="744" t="s">
        <v>460</v>
      </c>
      <c r="MN4" s="1785" t="s">
        <v>461</v>
      </c>
      <c r="MO4" s="738" t="s">
        <v>462</v>
      </c>
      <c r="MP4" s="741" t="s">
        <v>463</v>
      </c>
      <c r="MQ4" s="1795" t="s">
        <v>453</v>
      </c>
      <c r="MR4" s="1796"/>
      <c r="MS4" s="1796"/>
      <c r="MT4" s="774">
        <v>0.12</v>
      </c>
      <c r="MU4" s="1795" t="s">
        <v>454</v>
      </c>
      <c r="MV4" s="1796"/>
      <c r="MW4" s="1796"/>
      <c r="MX4" s="774">
        <v>0.12</v>
      </c>
      <c r="MY4" s="1795" t="s">
        <v>455</v>
      </c>
      <c r="MZ4" s="1796"/>
      <c r="NA4" s="1796"/>
      <c r="NB4" s="774">
        <v>0.12</v>
      </c>
      <c r="NC4" s="1795" t="s">
        <v>456</v>
      </c>
      <c r="ND4" s="1796"/>
      <c r="NE4" s="1796"/>
      <c r="NF4" s="774">
        <v>0.12</v>
      </c>
      <c r="NG4" s="1795" t="s">
        <v>457</v>
      </c>
      <c r="NH4" s="1796"/>
      <c r="NI4" s="1796"/>
      <c r="NJ4" s="774">
        <v>0.14000000000000001</v>
      </c>
      <c r="NK4" s="1795" t="s">
        <v>458</v>
      </c>
      <c r="NL4" s="1796"/>
      <c r="NM4" s="1796"/>
      <c r="NN4" s="774">
        <v>0.16</v>
      </c>
      <c r="NO4" s="1795" t="s">
        <v>459</v>
      </c>
      <c r="NP4" s="1796"/>
      <c r="NQ4" s="1796"/>
      <c r="NR4" s="774">
        <v>0.22</v>
      </c>
      <c r="NS4" s="747" t="s">
        <v>460</v>
      </c>
      <c r="NT4" s="1787" t="s">
        <v>461</v>
      </c>
      <c r="NU4" s="750" t="s">
        <v>462</v>
      </c>
      <c r="NV4" s="753" t="s">
        <v>463</v>
      </c>
      <c r="NW4" s="1795" t="s">
        <v>453</v>
      </c>
      <c r="NX4" s="1796"/>
      <c r="NY4" s="1796"/>
      <c r="NZ4" s="774">
        <v>0.12</v>
      </c>
      <c r="OA4" s="1795" t="s">
        <v>454</v>
      </c>
      <c r="OB4" s="1796"/>
      <c r="OC4" s="1796"/>
      <c r="OD4" s="774">
        <v>0.12</v>
      </c>
      <c r="OE4" s="1795" t="s">
        <v>455</v>
      </c>
      <c r="OF4" s="1796"/>
      <c r="OG4" s="1796"/>
      <c r="OH4" s="774">
        <v>0.12</v>
      </c>
      <c r="OI4" s="1795" t="s">
        <v>456</v>
      </c>
      <c r="OJ4" s="1796"/>
      <c r="OK4" s="1796"/>
      <c r="OL4" s="774">
        <v>0.12</v>
      </c>
      <c r="OM4" s="1795" t="s">
        <v>457</v>
      </c>
      <c r="ON4" s="1796"/>
      <c r="OO4" s="1796"/>
      <c r="OP4" s="774">
        <v>0.14000000000000001</v>
      </c>
      <c r="OQ4" s="1795" t="s">
        <v>458</v>
      </c>
      <c r="OR4" s="1796"/>
      <c r="OS4" s="1796"/>
      <c r="OT4" s="774">
        <v>0.16</v>
      </c>
      <c r="OU4" s="1795" t="s">
        <v>459</v>
      </c>
      <c r="OV4" s="1796"/>
      <c r="OW4" s="1796"/>
      <c r="OX4" s="774">
        <v>0.22</v>
      </c>
      <c r="OY4" s="744" t="s">
        <v>460</v>
      </c>
      <c r="OZ4" s="1785" t="s">
        <v>461</v>
      </c>
      <c r="PA4" s="738" t="s">
        <v>462</v>
      </c>
      <c r="PB4" s="741" t="s">
        <v>463</v>
      </c>
      <c r="PC4" s="1808" t="s">
        <v>453</v>
      </c>
      <c r="PD4" s="1809"/>
      <c r="PE4" s="1809"/>
      <c r="PF4" s="779">
        <v>0.12</v>
      </c>
      <c r="PG4" s="1808" t="s">
        <v>454</v>
      </c>
      <c r="PH4" s="1809"/>
      <c r="PI4" s="1809"/>
      <c r="PJ4" s="779">
        <v>0.12</v>
      </c>
      <c r="PK4" s="1808" t="s">
        <v>455</v>
      </c>
      <c r="PL4" s="1809"/>
      <c r="PM4" s="1809"/>
      <c r="PN4" s="779">
        <v>0.12</v>
      </c>
      <c r="PO4" s="1808" t="s">
        <v>456</v>
      </c>
      <c r="PP4" s="1809"/>
      <c r="PQ4" s="1809"/>
      <c r="PR4" s="779">
        <v>0.12</v>
      </c>
      <c r="PS4" s="1808" t="s">
        <v>457</v>
      </c>
      <c r="PT4" s="1809"/>
      <c r="PU4" s="1809"/>
      <c r="PV4" s="779">
        <v>0.14000000000000001</v>
      </c>
      <c r="PW4" s="1808" t="s">
        <v>458</v>
      </c>
      <c r="PX4" s="1809"/>
      <c r="PY4" s="1809"/>
      <c r="PZ4" s="779">
        <v>0.16</v>
      </c>
      <c r="QA4" s="1808" t="s">
        <v>459</v>
      </c>
      <c r="QB4" s="1809"/>
      <c r="QC4" s="1809"/>
      <c r="QD4" s="779">
        <v>0.22</v>
      </c>
      <c r="QE4" s="745" t="s">
        <v>460</v>
      </c>
      <c r="QF4" s="1784" t="s">
        <v>461</v>
      </c>
      <c r="QG4" s="739" t="s">
        <v>462</v>
      </c>
      <c r="QH4" s="742" t="s">
        <v>463</v>
      </c>
      <c r="QI4" s="1810" t="s">
        <v>453</v>
      </c>
      <c r="QJ4" s="1811"/>
      <c r="QK4" s="1811"/>
      <c r="QL4" s="780">
        <v>0.12</v>
      </c>
      <c r="QM4" s="1810" t="s">
        <v>454</v>
      </c>
      <c r="QN4" s="1811"/>
      <c r="QO4" s="1811"/>
      <c r="QP4" s="780">
        <v>0.12</v>
      </c>
      <c r="QQ4" s="1810" t="s">
        <v>455</v>
      </c>
      <c r="QR4" s="1811"/>
      <c r="QS4" s="1811"/>
      <c r="QT4" s="780">
        <v>0.12</v>
      </c>
      <c r="QU4" s="1810" t="s">
        <v>456</v>
      </c>
      <c r="QV4" s="1811"/>
      <c r="QW4" s="1811"/>
      <c r="QX4" s="780">
        <v>0.12</v>
      </c>
      <c r="QY4" s="1810" t="s">
        <v>457</v>
      </c>
      <c r="QZ4" s="1811"/>
      <c r="RA4" s="1811"/>
      <c r="RB4" s="780">
        <v>0.14000000000000001</v>
      </c>
      <c r="RC4" s="1810" t="s">
        <v>458</v>
      </c>
      <c r="RD4" s="1811"/>
      <c r="RE4" s="1811"/>
      <c r="RF4" s="780">
        <v>0.16</v>
      </c>
      <c r="RG4" s="1810" t="s">
        <v>459</v>
      </c>
      <c r="RH4" s="1811"/>
      <c r="RI4" s="1811"/>
      <c r="RJ4" s="780">
        <v>0.22</v>
      </c>
      <c r="RK4" s="747" t="s">
        <v>460</v>
      </c>
      <c r="RL4" s="1802" t="s">
        <v>461</v>
      </c>
      <c r="RM4" s="750" t="s">
        <v>462</v>
      </c>
      <c r="RN4" s="753" t="s">
        <v>463</v>
      </c>
      <c r="RO4" s="1810" t="s">
        <v>453</v>
      </c>
      <c r="RP4" s="1811"/>
      <c r="RQ4" s="1811"/>
      <c r="RR4" s="780">
        <v>0.12</v>
      </c>
      <c r="RS4" s="1810" t="s">
        <v>454</v>
      </c>
      <c r="RT4" s="1811"/>
      <c r="RU4" s="1811"/>
      <c r="RV4" s="780">
        <v>0.12</v>
      </c>
      <c r="RW4" s="1810" t="s">
        <v>455</v>
      </c>
      <c r="RX4" s="1811"/>
      <c r="RY4" s="1811"/>
      <c r="RZ4" s="780">
        <v>0.12</v>
      </c>
      <c r="SA4" s="1810" t="s">
        <v>456</v>
      </c>
      <c r="SB4" s="1811"/>
      <c r="SC4" s="1811"/>
      <c r="SD4" s="780">
        <v>0.12</v>
      </c>
      <c r="SE4" s="1810" t="s">
        <v>457</v>
      </c>
      <c r="SF4" s="1811"/>
      <c r="SG4" s="1811"/>
      <c r="SH4" s="780">
        <v>0.14000000000000001</v>
      </c>
      <c r="SI4" s="1810" t="s">
        <v>458</v>
      </c>
      <c r="SJ4" s="1811"/>
      <c r="SK4" s="1811"/>
      <c r="SL4" s="780">
        <v>0.16</v>
      </c>
      <c r="SM4" s="1810" t="s">
        <v>459</v>
      </c>
      <c r="SN4" s="1811"/>
      <c r="SO4" s="1811"/>
      <c r="SP4" s="780">
        <v>0.22</v>
      </c>
      <c r="SQ4" s="744" t="s">
        <v>460</v>
      </c>
      <c r="SR4" s="1783" t="s">
        <v>461</v>
      </c>
      <c r="SS4" s="738" t="s">
        <v>462</v>
      </c>
      <c r="ST4" s="741" t="s">
        <v>463</v>
      </c>
      <c r="SU4" s="1810" t="s">
        <v>453</v>
      </c>
      <c r="SV4" s="1811"/>
      <c r="SW4" s="1811"/>
      <c r="SX4" s="780">
        <v>0.12</v>
      </c>
      <c r="SY4" s="1810" t="s">
        <v>454</v>
      </c>
      <c r="SZ4" s="1811"/>
      <c r="TA4" s="1811"/>
      <c r="TB4" s="780">
        <v>0.12</v>
      </c>
      <c r="TC4" s="1810" t="s">
        <v>455</v>
      </c>
      <c r="TD4" s="1811"/>
      <c r="TE4" s="1811"/>
      <c r="TF4" s="780">
        <v>0.12</v>
      </c>
      <c r="TG4" s="1810" t="s">
        <v>456</v>
      </c>
      <c r="TH4" s="1811"/>
      <c r="TI4" s="1811"/>
      <c r="TJ4" s="780">
        <v>0.12</v>
      </c>
      <c r="TK4" s="1810" t="s">
        <v>457</v>
      </c>
      <c r="TL4" s="1811"/>
      <c r="TM4" s="1811"/>
      <c r="TN4" s="780">
        <v>0.14000000000000001</v>
      </c>
      <c r="TO4" s="1810" t="s">
        <v>458</v>
      </c>
      <c r="TP4" s="1811"/>
      <c r="TQ4" s="1811"/>
      <c r="TR4" s="780">
        <v>0.16</v>
      </c>
      <c r="TS4" s="1810" t="s">
        <v>459</v>
      </c>
      <c r="TT4" s="1811"/>
      <c r="TU4" s="1811"/>
      <c r="TV4" s="780">
        <v>0.22</v>
      </c>
      <c r="TW4" s="747" t="s">
        <v>460</v>
      </c>
      <c r="TX4" s="1802" t="s">
        <v>461</v>
      </c>
      <c r="TY4" s="750" t="s">
        <v>462</v>
      </c>
      <c r="TZ4" s="753" t="s">
        <v>463</v>
      </c>
      <c r="UA4" s="1800" t="s">
        <v>453</v>
      </c>
      <c r="UB4" s="1801"/>
      <c r="UC4" s="1801"/>
      <c r="UD4" s="775">
        <v>0.12</v>
      </c>
      <c r="UE4" s="1800" t="s">
        <v>454</v>
      </c>
      <c r="UF4" s="1801"/>
      <c r="UG4" s="1801"/>
      <c r="UH4" s="775">
        <v>0.12</v>
      </c>
      <c r="UI4" s="1800" t="s">
        <v>455</v>
      </c>
      <c r="UJ4" s="1801"/>
      <c r="UK4" s="1801"/>
      <c r="UL4" s="775">
        <v>0.12</v>
      </c>
      <c r="UM4" s="1800" t="s">
        <v>456</v>
      </c>
      <c r="UN4" s="1801"/>
      <c r="UO4" s="1801"/>
      <c r="UP4" s="775">
        <v>0.12</v>
      </c>
      <c r="UQ4" s="1800" t="s">
        <v>457</v>
      </c>
      <c r="UR4" s="1801"/>
      <c r="US4" s="1801"/>
      <c r="UT4" s="775">
        <v>0.14000000000000001</v>
      </c>
      <c r="UU4" s="1800" t="s">
        <v>458</v>
      </c>
      <c r="UV4" s="1801"/>
      <c r="UW4" s="1801"/>
      <c r="UX4" s="775">
        <v>0.16</v>
      </c>
      <c r="UY4" s="1800" t="s">
        <v>459</v>
      </c>
      <c r="UZ4" s="1801"/>
      <c r="VA4" s="1801"/>
      <c r="VB4" s="775">
        <v>0.22</v>
      </c>
      <c r="VC4" s="745" t="s">
        <v>460</v>
      </c>
      <c r="VD4" s="1784" t="s">
        <v>461</v>
      </c>
      <c r="VE4" s="739" t="s">
        <v>462</v>
      </c>
      <c r="VF4" s="742" t="s">
        <v>463</v>
      </c>
      <c r="VG4" s="1795" t="s">
        <v>453</v>
      </c>
      <c r="VH4" s="1796"/>
      <c r="VI4" s="1796"/>
      <c r="VJ4" s="774">
        <v>0.12</v>
      </c>
      <c r="VK4" s="1795" t="s">
        <v>454</v>
      </c>
      <c r="VL4" s="1796"/>
      <c r="VM4" s="1796"/>
      <c r="VN4" s="774">
        <v>0.12</v>
      </c>
      <c r="VO4" s="1795" t="s">
        <v>455</v>
      </c>
      <c r="VP4" s="1796"/>
      <c r="VQ4" s="1796"/>
      <c r="VR4" s="774">
        <v>0.12</v>
      </c>
      <c r="VS4" s="1795" t="s">
        <v>456</v>
      </c>
      <c r="VT4" s="1796"/>
      <c r="VU4" s="1796"/>
      <c r="VV4" s="774">
        <v>0.12</v>
      </c>
      <c r="VW4" s="1795" t="s">
        <v>457</v>
      </c>
      <c r="VX4" s="1796"/>
      <c r="VY4" s="1796"/>
      <c r="VZ4" s="774">
        <v>0.14000000000000001</v>
      </c>
      <c r="WA4" s="1795" t="s">
        <v>458</v>
      </c>
      <c r="WB4" s="1796"/>
      <c r="WC4" s="1796"/>
      <c r="WD4" s="774">
        <v>0.16</v>
      </c>
      <c r="WE4" s="1795" t="s">
        <v>459</v>
      </c>
      <c r="WF4" s="1796"/>
      <c r="WG4" s="1796"/>
      <c r="WH4" s="774">
        <v>0.22</v>
      </c>
      <c r="WI4" s="747" t="s">
        <v>460</v>
      </c>
      <c r="WJ4" s="1802" t="s">
        <v>461</v>
      </c>
      <c r="WK4" s="750" t="s">
        <v>462</v>
      </c>
      <c r="WL4" s="753" t="s">
        <v>463</v>
      </c>
      <c r="WM4" s="1795" t="s">
        <v>453</v>
      </c>
      <c r="WN4" s="1796"/>
      <c r="WO4" s="1796"/>
      <c r="WP4" s="774">
        <v>0.12</v>
      </c>
      <c r="WQ4" s="1795" t="s">
        <v>454</v>
      </c>
      <c r="WR4" s="1796"/>
      <c r="WS4" s="1796"/>
      <c r="WT4" s="774">
        <v>0.12</v>
      </c>
      <c r="WU4" s="1795" t="s">
        <v>455</v>
      </c>
      <c r="WV4" s="1796"/>
      <c r="WW4" s="1796"/>
      <c r="WX4" s="774">
        <v>0.12</v>
      </c>
      <c r="WY4" s="1795" t="s">
        <v>456</v>
      </c>
      <c r="WZ4" s="1796"/>
      <c r="XA4" s="1796"/>
      <c r="XB4" s="774">
        <v>0.12</v>
      </c>
      <c r="XC4" s="1795" t="s">
        <v>457</v>
      </c>
      <c r="XD4" s="1796"/>
      <c r="XE4" s="1796"/>
      <c r="XF4" s="774">
        <v>0.14000000000000001</v>
      </c>
      <c r="XG4" s="1795" t="s">
        <v>458</v>
      </c>
      <c r="XH4" s="1796"/>
      <c r="XI4" s="1796"/>
      <c r="XJ4" s="774">
        <v>0.16</v>
      </c>
      <c r="XK4" s="1795" t="s">
        <v>459</v>
      </c>
      <c r="XL4" s="1796"/>
      <c r="XM4" s="1796"/>
      <c r="XN4" s="774">
        <v>0.22</v>
      </c>
      <c r="XO4" s="744" t="s">
        <v>460</v>
      </c>
      <c r="XP4" s="1783" t="s">
        <v>461</v>
      </c>
      <c r="XQ4" s="738" t="s">
        <v>462</v>
      </c>
      <c r="XR4" s="741" t="s">
        <v>463</v>
      </c>
      <c r="XS4" s="1795" t="s">
        <v>453</v>
      </c>
      <c r="XT4" s="1796"/>
      <c r="XU4" s="1796"/>
      <c r="XV4" s="774">
        <v>0.12</v>
      </c>
      <c r="XW4" s="1795" t="s">
        <v>454</v>
      </c>
      <c r="XX4" s="1796"/>
      <c r="XY4" s="1796"/>
      <c r="XZ4" s="774">
        <v>0.12</v>
      </c>
      <c r="YA4" s="1795" t="s">
        <v>455</v>
      </c>
      <c r="YB4" s="1796"/>
      <c r="YC4" s="1796"/>
      <c r="YD4" s="774">
        <v>0.12</v>
      </c>
      <c r="YE4" s="1795" t="s">
        <v>456</v>
      </c>
      <c r="YF4" s="1796"/>
      <c r="YG4" s="1796"/>
      <c r="YH4" s="774">
        <v>0.12</v>
      </c>
      <c r="YI4" s="1795" t="s">
        <v>457</v>
      </c>
      <c r="YJ4" s="1796"/>
      <c r="YK4" s="1796"/>
      <c r="YL4" s="774">
        <v>0.14000000000000001</v>
      </c>
      <c r="YM4" s="1795" t="s">
        <v>458</v>
      </c>
      <c r="YN4" s="1796"/>
      <c r="YO4" s="1796"/>
      <c r="YP4" s="774">
        <v>0.16</v>
      </c>
      <c r="YQ4" s="1795" t="s">
        <v>459</v>
      </c>
      <c r="YR4" s="1796"/>
      <c r="YS4" s="1796"/>
      <c r="YT4" s="774">
        <v>0.22</v>
      </c>
      <c r="YU4" s="747" t="s">
        <v>460</v>
      </c>
      <c r="YV4" s="1802" t="s">
        <v>461</v>
      </c>
      <c r="YW4" s="750" t="s">
        <v>462</v>
      </c>
      <c r="YX4" s="753" t="s">
        <v>463</v>
      </c>
      <c r="YY4" s="1781" t="s">
        <v>453</v>
      </c>
      <c r="YZ4" s="1782"/>
      <c r="ZA4" s="1782"/>
      <c r="ZB4" s="720">
        <v>0.12</v>
      </c>
      <c r="ZC4" s="1781" t="s">
        <v>454</v>
      </c>
      <c r="ZD4" s="1782"/>
      <c r="ZE4" s="1782"/>
      <c r="ZF4" s="720">
        <v>0.12</v>
      </c>
      <c r="ZG4" s="1781" t="s">
        <v>455</v>
      </c>
      <c r="ZH4" s="1782"/>
      <c r="ZI4" s="1782"/>
      <c r="ZJ4" s="720">
        <v>0.12</v>
      </c>
      <c r="ZK4" s="1781" t="s">
        <v>456</v>
      </c>
      <c r="ZL4" s="1782"/>
      <c r="ZM4" s="1782"/>
      <c r="ZN4" s="720">
        <v>0.12</v>
      </c>
      <c r="ZO4" s="1781" t="s">
        <v>457</v>
      </c>
      <c r="ZP4" s="1782"/>
      <c r="ZQ4" s="1782"/>
      <c r="ZR4" s="720">
        <v>0.14000000000000001</v>
      </c>
      <c r="ZS4" s="1781" t="s">
        <v>458</v>
      </c>
      <c r="ZT4" s="1782"/>
      <c r="ZU4" s="1782"/>
      <c r="ZV4" s="720">
        <v>0.16</v>
      </c>
      <c r="ZW4" s="1781" t="s">
        <v>459</v>
      </c>
      <c r="ZX4" s="1782"/>
      <c r="ZY4" s="1782"/>
      <c r="ZZ4" s="720">
        <v>0.22</v>
      </c>
      <c r="AAA4" s="744" t="s">
        <v>460</v>
      </c>
      <c r="AAB4" s="1876" t="s">
        <v>461</v>
      </c>
      <c r="AAC4" s="738" t="s">
        <v>462</v>
      </c>
      <c r="AAD4" s="741" t="s">
        <v>463</v>
      </c>
      <c r="AAE4" s="1781" t="s">
        <v>453</v>
      </c>
      <c r="AAF4" s="1782"/>
      <c r="AAG4" s="1782"/>
      <c r="AAH4" s="720">
        <v>0.12</v>
      </c>
      <c r="AAI4" s="1781" t="s">
        <v>454</v>
      </c>
      <c r="AAJ4" s="1782"/>
      <c r="AAK4" s="1782"/>
      <c r="AAL4" s="720">
        <v>0.12</v>
      </c>
      <c r="AAM4" s="1781" t="s">
        <v>455</v>
      </c>
      <c r="AAN4" s="1782"/>
      <c r="AAO4" s="1782"/>
      <c r="AAP4" s="720">
        <v>0.12</v>
      </c>
      <c r="AAQ4" s="1781" t="s">
        <v>456</v>
      </c>
      <c r="AAR4" s="1782"/>
      <c r="AAS4" s="1782"/>
      <c r="AAT4" s="720">
        <v>0.12</v>
      </c>
      <c r="AAU4" s="1781" t="s">
        <v>457</v>
      </c>
      <c r="AAV4" s="1782"/>
      <c r="AAW4" s="1782"/>
      <c r="AAX4" s="720">
        <v>0.14000000000000001</v>
      </c>
      <c r="AAY4" s="1781" t="s">
        <v>458</v>
      </c>
      <c r="AAZ4" s="1782"/>
      <c r="ABA4" s="1782"/>
      <c r="ABB4" s="720">
        <v>0.16</v>
      </c>
      <c r="ABC4" s="1781" t="s">
        <v>459</v>
      </c>
      <c r="ABD4" s="1782"/>
      <c r="ABE4" s="1782"/>
      <c r="ABF4" s="720">
        <v>0.22</v>
      </c>
      <c r="ABG4" s="747" t="s">
        <v>460</v>
      </c>
      <c r="ABH4" s="1792" t="s">
        <v>461</v>
      </c>
      <c r="ABI4" s="750" t="s">
        <v>462</v>
      </c>
      <c r="ABJ4" s="753" t="s">
        <v>463</v>
      </c>
      <c r="ABK4" s="1781" t="s">
        <v>453</v>
      </c>
      <c r="ABL4" s="1782"/>
      <c r="ABM4" s="1782"/>
      <c r="ABN4" s="720">
        <v>0.12</v>
      </c>
      <c r="ABO4" s="1781" t="s">
        <v>454</v>
      </c>
      <c r="ABP4" s="1782"/>
      <c r="ABQ4" s="1782"/>
      <c r="ABR4" s="720">
        <v>0.12</v>
      </c>
      <c r="ABS4" s="1781" t="s">
        <v>455</v>
      </c>
      <c r="ABT4" s="1782"/>
      <c r="ABU4" s="1782"/>
      <c r="ABV4" s="720">
        <v>0.12</v>
      </c>
      <c r="ABW4" s="1781" t="s">
        <v>456</v>
      </c>
      <c r="ABX4" s="1782"/>
      <c r="ABY4" s="1782"/>
      <c r="ABZ4" s="720">
        <v>0.12</v>
      </c>
      <c r="ACA4" s="1781" t="s">
        <v>457</v>
      </c>
      <c r="ACB4" s="1782"/>
      <c r="ACC4" s="1782"/>
      <c r="ACD4" s="720">
        <v>0.14000000000000001</v>
      </c>
      <c r="ACE4" s="1781" t="s">
        <v>458</v>
      </c>
      <c r="ACF4" s="1782"/>
      <c r="ACG4" s="1782"/>
      <c r="ACH4" s="720">
        <v>0.16</v>
      </c>
      <c r="ACI4" s="1781" t="s">
        <v>459</v>
      </c>
      <c r="ACJ4" s="1782"/>
      <c r="ACK4" s="1782"/>
      <c r="ACL4" s="720">
        <v>0.22</v>
      </c>
      <c r="ACM4" s="744" t="s">
        <v>460</v>
      </c>
      <c r="ACN4" s="1785" t="s">
        <v>461</v>
      </c>
      <c r="ACO4" s="738" t="s">
        <v>462</v>
      </c>
      <c r="ACP4" s="741" t="s">
        <v>463</v>
      </c>
      <c r="ACQ4" s="1781" t="s">
        <v>453</v>
      </c>
      <c r="ACR4" s="1782"/>
      <c r="ACS4" s="1782"/>
      <c r="ACT4" s="720">
        <v>0.12</v>
      </c>
      <c r="ACU4" s="1781" t="s">
        <v>454</v>
      </c>
      <c r="ACV4" s="1782"/>
      <c r="ACW4" s="1782"/>
      <c r="ACX4" s="720">
        <v>0.12</v>
      </c>
      <c r="ACY4" s="1781" t="s">
        <v>455</v>
      </c>
      <c r="ACZ4" s="1782"/>
      <c r="ADA4" s="1782"/>
      <c r="ADB4" s="720">
        <v>0.12</v>
      </c>
      <c r="ADC4" s="1781" t="s">
        <v>456</v>
      </c>
      <c r="ADD4" s="1782"/>
      <c r="ADE4" s="1782"/>
      <c r="ADF4" s="720">
        <v>0.12</v>
      </c>
      <c r="ADG4" s="1781" t="s">
        <v>457</v>
      </c>
      <c r="ADH4" s="1782"/>
      <c r="ADI4" s="1782"/>
      <c r="ADJ4" s="720">
        <v>0.14000000000000001</v>
      </c>
      <c r="ADK4" s="1781" t="s">
        <v>458</v>
      </c>
      <c r="ADL4" s="1782"/>
      <c r="ADM4" s="1782"/>
      <c r="ADN4" s="720">
        <v>0.16</v>
      </c>
      <c r="ADO4" s="1781" t="s">
        <v>459</v>
      </c>
      <c r="ADP4" s="1782"/>
      <c r="ADQ4" s="1782"/>
      <c r="ADR4" s="720">
        <v>0.22</v>
      </c>
      <c r="ADS4" s="747" t="s">
        <v>460</v>
      </c>
      <c r="ADT4" s="1787" t="s">
        <v>461</v>
      </c>
      <c r="ADU4" s="750" t="s">
        <v>462</v>
      </c>
      <c r="ADV4" s="753" t="s">
        <v>463</v>
      </c>
      <c r="ADW4" s="1781" t="s">
        <v>453</v>
      </c>
      <c r="ADX4" s="1782"/>
      <c r="ADY4" s="1782"/>
      <c r="ADZ4" s="720">
        <v>0.12</v>
      </c>
      <c r="AEA4" s="1781" t="s">
        <v>454</v>
      </c>
      <c r="AEB4" s="1782"/>
      <c r="AEC4" s="1782"/>
      <c r="AED4" s="720">
        <v>0.12</v>
      </c>
      <c r="AEE4" s="1781" t="s">
        <v>455</v>
      </c>
      <c r="AEF4" s="1782"/>
      <c r="AEG4" s="1782"/>
      <c r="AEH4" s="720">
        <v>0.12</v>
      </c>
      <c r="AEI4" s="1781" t="s">
        <v>456</v>
      </c>
      <c r="AEJ4" s="1782"/>
      <c r="AEK4" s="1782"/>
      <c r="AEL4" s="720">
        <v>0.12</v>
      </c>
      <c r="AEM4" s="1781" t="s">
        <v>457</v>
      </c>
      <c r="AEN4" s="1782"/>
      <c r="AEO4" s="1782"/>
      <c r="AEP4" s="720">
        <v>0.14000000000000001</v>
      </c>
      <c r="AEQ4" s="1781" t="s">
        <v>458</v>
      </c>
      <c r="AER4" s="1782"/>
      <c r="AES4" s="1782"/>
      <c r="AET4" s="720">
        <v>0.16</v>
      </c>
      <c r="AEU4" s="1781" t="s">
        <v>459</v>
      </c>
      <c r="AEV4" s="1782"/>
      <c r="AEW4" s="1782"/>
      <c r="AEX4" s="720">
        <v>0.22</v>
      </c>
      <c r="AEY4" s="744" t="s">
        <v>460</v>
      </c>
      <c r="AEZ4" s="1785" t="s">
        <v>461</v>
      </c>
      <c r="AFA4" s="738" t="s">
        <v>462</v>
      </c>
      <c r="AFB4" s="741" t="s">
        <v>463</v>
      </c>
      <c r="AFC4" s="1800" t="s">
        <v>453</v>
      </c>
      <c r="AFD4" s="1801"/>
      <c r="AFE4" s="1801"/>
      <c r="AFF4" s="775">
        <v>0.12</v>
      </c>
      <c r="AFG4" s="1800" t="s">
        <v>454</v>
      </c>
      <c r="AFH4" s="1801"/>
      <c r="AFI4" s="1801"/>
      <c r="AFJ4" s="775">
        <v>0.12</v>
      </c>
      <c r="AFK4" s="1800" t="s">
        <v>455</v>
      </c>
      <c r="AFL4" s="1801"/>
      <c r="AFM4" s="1801"/>
      <c r="AFN4" s="775">
        <v>0.12</v>
      </c>
      <c r="AFO4" s="1800" t="s">
        <v>456</v>
      </c>
      <c r="AFP4" s="1801"/>
      <c r="AFQ4" s="1801"/>
      <c r="AFR4" s="775">
        <v>0.12</v>
      </c>
      <c r="AFS4" s="1800" t="s">
        <v>457</v>
      </c>
      <c r="AFT4" s="1801"/>
      <c r="AFU4" s="1801"/>
      <c r="AFV4" s="775">
        <v>0.14000000000000001</v>
      </c>
      <c r="AFW4" s="1800" t="s">
        <v>458</v>
      </c>
      <c r="AFX4" s="1801"/>
      <c r="AFY4" s="1801"/>
      <c r="AFZ4" s="775">
        <v>0.16</v>
      </c>
      <c r="AGA4" s="1800" t="s">
        <v>459</v>
      </c>
      <c r="AGB4" s="1801"/>
      <c r="AGC4" s="1801"/>
      <c r="AGD4" s="775">
        <v>0.22</v>
      </c>
      <c r="AGE4" s="745" t="s">
        <v>460</v>
      </c>
      <c r="AGF4" s="1784" t="s">
        <v>461</v>
      </c>
      <c r="AGG4" s="739" t="s">
        <v>462</v>
      </c>
      <c r="AGH4" s="742" t="s">
        <v>463</v>
      </c>
      <c r="AGI4" s="1795" t="s">
        <v>453</v>
      </c>
      <c r="AGJ4" s="1796"/>
      <c r="AGK4" s="1796"/>
      <c r="AGL4" s="774">
        <v>0.12</v>
      </c>
      <c r="AGM4" s="1795" t="s">
        <v>454</v>
      </c>
      <c r="AGN4" s="1796"/>
      <c r="AGO4" s="1796"/>
      <c r="AGP4" s="774">
        <v>0.12</v>
      </c>
      <c r="AGQ4" s="1795" t="s">
        <v>455</v>
      </c>
      <c r="AGR4" s="1796"/>
      <c r="AGS4" s="1796"/>
      <c r="AGT4" s="774">
        <v>0.12</v>
      </c>
      <c r="AGU4" s="1795" t="s">
        <v>456</v>
      </c>
      <c r="AGV4" s="1796"/>
      <c r="AGW4" s="1796"/>
      <c r="AGX4" s="774">
        <v>0.12</v>
      </c>
      <c r="AGY4" s="1795" t="s">
        <v>457</v>
      </c>
      <c r="AGZ4" s="1796"/>
      <c r="AHA4" s="1796"/>
      <c r="AHB4" s="774">
        <v>0.14000000000000001</v>
      </c>
      <c r="AHC4" s="1795" t="s">
        <v>458</v>
      </c>
      <c r="AHD4" s="1796"/>
      <c r="AHE4" s="1796"/>
      <c r="AHF4" s="774">
        <v>0.16</v>
      </c>
      <c r="AHG4" s="1795" t="s">
        <v>459</v>
      </c>
      <c r="AHH4" s="1796"/>
      <c r="AHI4" s="1796"/>
      <c r="AHJ4" s="774">
        <v>0.22</v>
      </c>
      <c r="AHK4" s="747" t="s">
        <v>460</v>
      </c>
      <c r="AHL4" s="1802" t="s">
        <v>461</v>
      </c>
      <c r="AHM4" s="750" t="s">
        <v>462</v>
      </c>
      <c r="AHN4" s="753" t="s">
        <v>463</v>
      </c>
      <c r="AHO4" s="1795" t="s">
        <v>453</v>
      </c>
      <c r="AHP4" s="1796"/>
      <c r="AHQ4" s="1796"/>
      <c r="AHR4" s="774">
        <v>0.12</v>
      </c>
      <c r="AHS4" s="1795" t="s">
        <v>454</v>
      </c>
      <c r="AHT4" s="1796"/>
      <c r="AHU4" s="1796"/>
      <c r="AHV4" s="774">
        <v>0.12</v>
      </c>
      <c r="AHW4" s="1795" t="s">
        <v>455</v>
      </c>
      <c r="AHX4" s="1796"/>
      <c r="AHY4" s="1796"/>
      <c r="AHZ4" s="774">
        <v>0.12</v>
      </c>
      <c r="AIA4" s="1795" t="s">
        <v>456</v>
      </c>
      <c r="AIB4" s="1796"/>
      <c r="AIC4" s="1796"/>
      <c r="AID4" s="774">
        <v>0.12</v>
      </c>
      <c r="AIE4" s="1795" t="s">
        <v>457</v>
      </c>
      <c r="AIF4" s="1796"/>
      <c r="AIG4" s="1796"/>
      <c r="AIH4" s="774">
        <v>0.14000000000000001</v>
      </c>
      <c r="AII4" s="1795" t="s">
        <v>458</v>
      </c>
      <c r="AIJ4" s="1796"/>
      <c r="AIK4" s="1796"/>
      <c r="AIL4" s="774">
        <v>0.16</v>
      </c>
      <c r="AIM4" s="1795" t="s">
        <v>459</v>
      </c>
      <c r="AIN4" s="1796"/>
      <c r="AIO4" s="1796"/>
      <c r="AIP4" s="774">
        <v>0.22</v>
      </c>
      <c r="AIQ4" s="744" t="s">
        <v>460</v>
      </c>
      <c r="AIR4" s="1783" t="s">
        <v>461</v>
      </c>
      <c r="AIS4" s="738" t="s">
        <v>462</v>
      </c>
      <c r="AIT4" s="741" t="s">
        <v>463</v>
      </c>
      <c r="AIU4" s="1795" t="s">
        <v>453</v>
      </c>
      <c r="AIV4" s="1796"/>
      <c r="AIW4" s="1796"/>
      <c r="AIX4" s="774">
        <v>0.12</v>
      </c>
      <c r="AIY4" s="1795" t="s">
        <v>454</v>
      </c>
      <c r="AIZ4" s="1796"/>
      <c r="AJA4" s="1796"/>
      <c r="AJB4" s="774">
        <v>0.12</v>
      </c>
      <c r="AJC4" s="1795" t="s">
        <v>455</v>
      </c>
      <c r="AJD4" s="1796"/>
      <c r="AJE4" s="1796"/>
      <c r="AJF4" s="774">
        <v>0.12</v>
      </c>
      <c r="AJG4" s="1795" t="s">
        <v>456</v>
      </c>
      <c r="AJH4" s="1796"/>
      <c r="AJI4" s="1796"/>
      <c r="AJJ4" s="774">
        <v>0.12</v>
      </c>
      <c r="AJK4" s="1795" t="s">
        <v>457</v>
      </c>
      <c r="AJL4" s="1796"/>
      <c r="AJM4" s="1796"/>
      <c r="AJN4" s="774">
        <v>0.14000000000000001</v>
      </c>
      <c r="AJO4" s="1795" t="s">
        <v>458</v>
      </c>
      <c r="AJP4" s="1796"/>
      <c r="AJQ4" s="1796"/>
      <c r="AJR4" s="774">
        <v>0.16</v>
      </c>
      <c r="AJS4" s="1795" t="s">
        <v>459</v>
      </c>
      <c r="AJT4" s="1796"/>
      <c r="AJU4" s="1796"/>
      <c r="AJV4" s="774">
        <v>0.22</v>
      </c>
      <c r="AJW4" s="747" t="s">
        <v>460</v>
      </c>
      <c r="AJX4" s="1802" t="s">
        <v>461</v>
      </c>
      <c r="AJY4" s="750" t="s">
        <v>462</v>
      </c>
      <c r="AJZ4" s="753" t="s">
        <v>463</v>
      </c>
      <c r="AKA4" s="1808" t="s">
        <v>453</v>
      </c>
      <c r="AKB4" s="1809"/>
      <c r="AKC4" s="1809"/>
      <c r="AKD4" s="779">
        <v>0.12</v>
      </c>
      <c r="AKE4" s="1808" t="s">
        <v>454</v>
      </c>
      <c r="AKF4" s="1809"/>
      <c r="AKG4" s="1809"/>
      <c r="AKH4" s="779">
        <v>0.12</v>
      </c>
      <c r="AKI4" s="1808" t="s">
        <v>455</v>
      </c>
      <c r="AKJ4" s="1809"/>
      <c r="AKK4" s="1809"/>
      <c r="AKL4" s="779">
        <v>0.12</v>
      </c>
      <c r="AKM4" s="1808" t="s">
        <v>456</v>
      </c>
      <c r="AKN4" s="1809"/>
      <c r="AKO4" s="1809"/>
      <c r="AKP4" s="779">
        <v>0.12</v>
      </c>
      <c r="AKQ4" s="1808" t="s">
        <v>457</v>
      </c>
      <c r="AKR4" s="1809"/>
      <c r="AKS4" s="1809"/>
      <c r="AKT4" s="779">
        <v>0.14000000000000001</v>
      </c>
      <c r="AKU4" s="1808" t="s">
        <v>458</v>
      </c>
      <c r="AKV4" s="1809"/>
      <c r="AKW4" s="1809"/>
      <c r="AKX4" s="779">
        <v>0.16</v>
      </c>
      <c r="AKY4" s="1808" t="s">
        <v>459</v>
      </c>
      <c r="AKZ4" s="1809"/>
      <c r="ALA4" s="1809"/>
      <c r="ALB4" s="779">
        <v>0.22</v>
      </c>
      <c r="ALC4" s="745" t="s">
        <v>460</v>
      </c>
      <c r="ALD4" s="1784" t="s">
        <v>461</v>
      </c>
      <c r="ALE4" s="739" t="s">
        <v>462</v>
      </c>
      <c r="ALF4" s="742" t="s">
        <v>463</v>
      </c>
      <c r="ALG4" s="1810" t="s">
        <v>453</v>
      </c>
      <c r="ALH4" s="1811"/>
      <c r="ALI4" s="1811"/>
      <c r="ALJ4" s="780">
        <v>0.12</v>
      </c>
      <c r="ALK4" s="1810" t="s">
        <v>454</v>
      </c>
      <c r="ALL4" s="1811"/>
      <c r="ALM4" s="1811"/>
      <c r="ALN4" s="780">
        <v>0.12</v>
      </c>
      <c r="ALO4" s="1810" t="s">
        <v>455</v>
      </c>
      <c r="ALP4" s="1811"/>
      <c r="ALQ4" s="1811"/>
      <c r="ALR4" s="780">
        <v>0.12</v>
      </c>
      <c r="ALS4" s="1810" t="s">
        <v>456</v>
      </c>
      <c r="ALT4" s="1811"/>
      <c r="ALU4" s="1811"/>
      <c r="ALV4" s="780">
        <v>0.12</v>
      </c>
      <c r="ALW4" s="1810" t="s">
        <v>457</v>
      </c>
      <c r="ALX4" s="1811"/>
      <c r="ALY4" s="1811"/>
      <c r="ALZ4" s="780">
        <v>0.14000000000000001</v>
      </c>
      <c r="AMA4" s="1810" t="s">
        <v>458</v>
      </c>
      <c r="AMB4" s="1811"/>
      <c r="AMC4" s="1811"/>
      <c r="AMD4" s="780">
        <v>0.16</v>
      </c>
      <c r="AME4" s="1810" t="s">
        <v>459</v>
      </c>
      <c r="AMF4" s="1811"/>
      <c r="AMG4" s="1811"/>
      <c r="AMH4" s="780">
        <v>0.22</v>
      </c>
      <c r="AMI4" s="747" t="s">
        <v>460</v>
      </c>
      <c r="AMJ4" s="1802" t="s">
        <v>461</v>
      </c>
      <c r="AMK4" s="750" t="s">
        <v>462</v>
      </c>
      <c r="AML4" s="753" t="s">
        <v>463</v>
      </c>
      <c r="AMM4" s="1810" t="s">
        <v>453</v>
      </c>
      <c r="AMN4" s="1811"/>
      <c r="AMO4" s="1811"/>
      <c r="AMP4" s="780">
        <v>0.12</v>
      </c>
      <c r="AMQ4" s="1810" t="s">
        <v>454</v>
      </c>
      <c r="AMR4" s="1811"/>
      <c r="AMS4" s="1811"/>
      <c r="AMT4" s="780">
        <v>0.12</v>
      </c>
      <c r="AMU4" s="1810" t="s">
        <v>455</v>
      </c>
      <c r="AMV4" s="1811"/>
      <c r="AMW4" s="1811"/>
      <c r="AMX4" s="780">
        <v>0.12</v>
      </c>
      <c r="AMY4" s="1810" t="s">
        <v>456</v>
      </c>
      <c r="AMZ4" s="1811"/>
      <c r="ANA4" s="1811"/>
      <c r="ANB4" s="780">
        <v>0.12</v>
      </c>
      <c r="ANC4" s="1810" t="s">
        <v>457</v>
      </c>
      <c r="AND4" s="1811"/>
      <c r="ANE4" s="1811"/>
      <c r="ANF4" s="780">
        <v>0.14000000000000001</v>
      </c>
      <c r="ANG4" s="1810" t="s">
        <v>458</v>
      </c>
      <c r="ANH4" s="1811"/>
      <c r="ANI4" s="1811"/>
      <c r="ANJ4" s="780">
        <v>0.16</v>
      </c>
      <c r="ANK4" s="1810" t="s">
        <v>459</v>
      </c>
      <c r="ANL4" s="1811"/>
      <c r="ANM4" s="1811"/>
      <c r="ANN4" s="780">
        <v>0.22</v>
      </c>
      <c r="ANO4" s="744" t="s">
        <v>460</v>
      </c>
      <c r="ANP4" s="1783" t="s">
        <v>461</v>
      </c>
      <c r="ANQ4" s="738" t="s">
        <v>462</v>
      </c>
      <c r="ANR4" s="741" t="s">
        <v>463</v>
      </c>
      <c r="ANS4" s="1810" t="s">
        <v>453</v>
      </c>
      <c r="ANT4" s="1811"/>
      <c r="ANU4" s="1811"/>
      <c r="ANV4" s="780">
        <v>0.12</v>
      </c>
      <c r="ANW4" s="1810" t="s">
        <v>454</v>
      </c>
      <c r="ANX4" s="1811"/>
      <c r="ANY4" s="1811"/>
      <c r="ANZ4" s="780">
        <v>0.12</v>
      </c>
      <c r="AOA4" s="1810" t="s">
        <v>455</v>
      </c>
      <c r="AOB4" s="1811"/>
      <c r="AOC4" s="1811"/>
      <c r="AOD4" s="780">
        <v>0.12</v>
      </c>
      <c r="AOE4" s="1810" t="s">
        <v>456</v>
      </c>
      <c r="AOF4" s="1811"/>
      <c r="AOG4" s="1811"/>
      <c r="AOH4" s="780">
        <v>0.12</v>
      </c>
      <c r="AOI4" s="1810" t="s">
        <v>457</v>
      </c>
      <c r="AOJ4" s="1811"/>
      <c r="AOK4" s="1811"/>
      <c r="AOL4" s="780">
        <v>0.14000000000000001</v>
      </c>
      <c r="AOM4" s="1810" t="s">
        <v>458</v>
      </c>
      <c r="AON4" s="1811"/>
      <c r="AOO4" s="1811"/>
      <c r="AOP4" s="780">
        <v>0.16</v>
      </c>
      <c r="AOQ4" s="1810" t="s">
        <v>459</v>
      </c>
      <c r="AOR4" s="1811"/>
      <c r="AOS4" s="1811"/>
      <c r="AOT4" s="780">
        <v>0.22</v>
      </c>
      <c r="AOU4" s="747" t="s">
        <v>460</v>
      </c>
      <c r="AOV4" s="1802" t="s">
        <v>461</v>
      </c>
      <c r="AOW4" s="750" t="s">
        <v>462</v>
      </c>
      <c r="AOX4" s="753" t="s">
        <v>463</v>
      </c>
      <c r="AOY4" s="1795" t="s">
        <v>453</v>
      </c>
      <c r="AOZ4" s="1796"/>
      <c r="APA4" s="1796"/>
      <c r="APB4" s="774">
        <v>0.12</v>
      </c>
      <c r="APC4" s="1795" t="s">
        <v>454</v>
      </c>
      <c r="APD4" s="1796"/>
      <c r="APE4" s="1796"/>
      <c r="APF4" s="774">
        <v>0.12</v>
      </c>
      <c r="APG4" s="1795" t="s">
        <v>455</v>
      </c>
      <c r="APH4" s="1796"/>
      <c r="API4" s="1796"/>
      <c r="APJ4" s="774">
        <v>0.12</v>
      </c>
      <c r="APK4" s="1795" t="s">
        <v>456</v>
      </c>
      <c r="APL4" s="1796"/>
      <c r="APM4" s="1796"/>
      <c r="APN4" s="774">
        <v>0.12</v>
      </c>
      <c r="APO4" s="1795" t="s">
        <v>457</v>
      </c>
      <c r="APP4" s="1796"/>
      <c r="APQ4" s="1796"/>
      <c r="APR4" s="774">
        <v>0.14000000000000001</v>
      </c>
      <c r="APS4" s="1795" t="s">
        <v>458</v>
      </c>
      <c r="APT4" s="1796"/>
      <c r="APU4" s="1796"/>
      <c r="APV4" s="774">
        <v>0.16</v>
      </c>
      <c r="APW4" s="1795" t="s">
        <v>459</v>
      </c>
      <c r="APX4" s="1796"/>
      <c r="APY4" s="1796"/>
      <c r="APZ4" s="774">
        <v>0.22</v>
      </c>
      <c r="AQA4" s="744" t="s">
        <v>460</v>
      </c>
      <c r="AQB4" s="1783" t="s">
        <v>461</v>
      </c>
      <c r="AQC4" s="738" t="s">
        <v>462</v>
      </c>
      <c r="AQD4" s="741" t="s">
        <v>463</v>
      </c>
      <c r="AQE4" s="1795" t="s">
        <v>453</v>
      </c>
      <c r="AQF4" s="1796"/>
      <c r="AQG4" s="1796"/>
      <c r="AQH4" s="774">
        <v>0.12</v>
      </c>
      <c r="AQI4" s="1795" t="s">
        <v>454</v>
      </c>
      <c r="AQJ4" s="1796"/>
      <c r="AQK4" s="1796"/>
      <c r="AQL4" s="774">
        <v>0.12</v>
      </c>
      <c r="AQM4" s="1795" t="s">
        <v>455</v>
      </c>
      <c r="AQN4" s="1796"/>
      <c r="AQO4" s="1796"/>
      <c r="AQP4" s="774">
        <v>0.12</v>
      </c>
      <c r="AQQ4" s="1795" t="s">
        <v>456</v>
      </c>
      <c r="AQR4" s="1796"/>
      <c r="AQS4" s="1796"/>
      <c r="AQT4" s="774">
        <v>0.12</v>
      </c>
      <c r="AQU4" s="1795" t="s">
        <v>457</v>
      </c>
      <c r="AQV4" s="1796"/>
      <c r="AQW4" s="1796"/>
      <c r="AQX4" s="774">
        <v>0.14000000000000001</v>
      </c>
      <c r="AQY4" s="1795" t="s">
        <v>458</v>
      </c>
      <c r="AQZ4" s="1796"/>
      <c r="ARA4" s="1796"/>
      <c r="ARB4" s="774">
        <v>0.16</v>
      </c>
      <c r="ARC4" s="1795" t="s">
        <v>459</v>
      </c>
      <c r="ARD4" s="1796"/>
      <c r="ARE4" s="1796"/>
      <c r="ARF4" s="774">
        <v>0.22</v>
      </c>
      <c r="ARG4" s="747" t="s">
        <v>460</v>
      </c>
      <c r="ARH4" s="1792" t="s">
        <v>461</v>
      </c>
      <c r="ARI4" s="750" t="s">
        <v>462</v>
      </c>
      <c r="ARJ4" s="753" t="s">
        <v>463</v>
      </c>
      <c r="ARK4" s="1795" t="s">
        <v>453</v>
      </c>
      <c r="ARL4" s="1796"/>
      <c r="ARM4" s="1796"/>
      <c r="ARN4" s="774">
        <v>0.12</v>
      </c>
      <c r="ARO4" s="1795" t="s">
        <v>454</v>
      </c>
      <c r="ARP4" s="1796"/>
      <c r="ARQ4" s="1796"/>
      <c r="ARR4" s="774">
        <v>0.12</v>
      </c>
      <c r="ARS4" s="1795" t="s">
        <v>455</v>
      </c>
      <c r="ART4" s="1796"/>
      <c r="ARU4" s="1796"/>
      <c r="ARV4" s="774">
        <v>0.12</v>
      </c>
      <c r="ARW4" s="1795" t="s">
        <v>456</v>
      </c>
      <c r="ARX4" s="1796"/>
      <c r="ARY4" s="1796"/>
      <c r="ARZ4" s="774">
        <v>0.12</v>
      </c>
      <c r="ASA4" s="1795" t="s">
        <v>457</v>
      </c>
      <c r="ASB4" s="1796"/>
      <c r="ASC4" s="1796"/>
      <c r="ASD4" s="774">
        <v>0.14000000000000001</v>
      </c>
      <c r="ASE4" s="1795" t="s">
        <v>458</v>
      </c>
      <c r="ASF4" s="1796"/>
      <c r="ASG4" s="1796"/>
      <c r="ASH4" s="774">
        <v>0.16</v>
      </c>
      <c r="ASI4" s="1795" t="s">
        <v>459</v>
      </c>
      <c r="ASJ4" s="1796"/>
      <c r="ASK4" s="1796"/>
      <c r="ASL4" s="774">
        <v>0.22</v>
      </c>
      <c r="ASM4" s="744" t="s">
        <v>460</v>
      </c>
      <c r="ASN4" s="1785" t="s">
        <v>461</v>
      </c>
      <c r="ASO4" s="738" t="s">
        <v>462</v>
      </c>
      <c r="ASP4" s="741" t="s">
        <v>463</v>
      </c>
      <c r="ASQ4" s="1795" t="s">
        <v>453</v>
      </c>
      <c r="ASR4" s="1796"/>
      <c r="ASS4" s="1796"/>
      <c r="AST4" s="774">
        <v>0.12</v>
      </c>
      <c r="ASU4" s="1795" t="s">
        <v>454</v>
      </c>
      <c r="ASV4" s="1796"/>
      <c r="ASW4" s="1796"/>
      <c r="ASX4" s="774">
        <v>0.12</v>
      </c>
      <c r="ASY4" s="1795" t="s">
        <v>455</v>
      </c>
      <c r="ASZ4" s="1796"/>
      <c r="ATA4" s="1796"/>
      <c r="ATB4" s="774">
        <v>0.12</v>
      </c>
      <c r="ATC4" s="1795" t="s">
        <v>456</v>
      </c>
      <c r="ATD4" s="1796"/>
      <c r="ATE4" s="1796"/>
      <c r="ATF4" s="774">
        <v>0.12</v>
      </c>
      <c r="ATG4" s="1795" t="s">
        <v>457</v>
      </c>
      <c r="ATH4" s="1796"/>
      <c r="ATI4" s="1796"/>
      <c r="ATJ4" s="774">
        <v>0.14000000000000001</v>
      </c>
      <c r="ATK4" s="1795" t="s">
        <v>458</v>
      </c>
      <c r="ATL4" s="1796"/>
      <c r="ATM4" s="1796"/>
      <c r="ATN4" s="774">
        <v>0.16</v>
      </c>
      <c r="ATO4" s="1795" t="s">
        <v>459</v>
      </c>
      <c r="ATP4" s="1796"/>
      <c r="ATQ4" s="1796"/>
      <c r="ATR4" s="774">
        <v>0.22</v>
      </c>
      <c r="ATS4" s="747" t="s">
        <v>460</v>
      </c>
      <c r="ATT4" s="1787" t="s">
        <v>461</v>
      </c>
      <c r="ATU4" s="750" t="s">
        <v>462</v>
      </c>
      <c r="ATV4" s="753" t="s">
        <v>463</v>
      </c>
      <c r="ATW4" s="1795" t="s">
        <v>453</v>
      </c>
      <c r="ATX4" s="1796"/>
      <c r="ATY4" s="1796"/>
      <c r="ATZ4" s="774">
        <v>0.12</v>
      </c>
      <c r="AUA4" s="1795" t="s">
        <v>454</v>
      </c>
      <c r="AUB4" s="1796"/>
      <c r="AUC4" s="1796"/>
      <c r="AUD4" s="774">
        <v>0.12</v>
      </c>
      <c r="AUE4" s="1795" t="s">
        <v>455</v>
      </c>
      <c r="AUF4" s="1796"/>
      <c r="AUG4" s="1796"/>
      <c r="AUH4" s="774">
        <v>0.12</v>
      </c>
      <c r="AUI4" s="1795" t="s">
        <v>456</v>
      </c>
      <c r="AUJ4" s="1796"/>
      <c r="AUK4" s="1796"/>
      <c r="AUL4" s="774">
        <v>0.12</v>
      </c>
      <c r="AUM4" s="1795" t="s">
        <v>457</v>
      </c>
      <c r="AUN4" s="1796"/>
      <c r="AUO4" s="1796"/>
      <c r="AUP4" s="774">
        <v>0.14000000000000001</v>
      </c>
      <c r="AUQ4" s="1795" t="s">
        <v>458</v>
      </c>
      <c r="AUR4" s="1796"/>
      <c r="AUS4" s="1796"/>
      <c r="AUT4" s="774">
        <v>0.16</v>
      </c>
      <c r="AUU4" s="1795" t="s">
        <v>459</v>
      </c>
      <c r="AUV4" s="1796"/>
      <c r="AUW4" s="1796"/>
      <c r="AUX4" s="774">
        <v>0.22</v>
      </c>
      <c r="AUY4" s="744" t="s">
        <v>460</v>
      </c>
      <c r="AUZ4" s="1785" t="s">
        <v>461</v>
      </c>
      <c r="AVA4" s="738" t="s">
        <v>462</v>
      </c>
      <c r="AVB4" s="741" t="s">
        <v>463</v>
      </c>
      <c r="AVC4" s="1808" t="s">
        <v>453</v>
      </c>
      <c r="AVD4" s="1809"/>
      <c r="AVE4" s="1809"/>
      <c r="AVF4" s="779">
        <v>0.12</v>
      </c>
      <c r="AVG4" s="1808" t="s">
        <v>454</v>
      </c>
      <c r="AVH4" s="1809"/>
      <c r="AVI4" s="1809"/>
      <c r="AVJ4" s="779">
        <v>0.12</v>
      </c>
      <c r="AVK4" s="1808" t="s">
        <v>455</v>
      </c>
      <c r="AVL4" s="1809"/>
      <c r="AVM4" s="1809"/>
      <c r="AVN4" s="779">
        <v>0.12</v>
      </c>
      <c r="AVO4" s="1808" t="s">
        <v>456</v>
      </c>
      <c r="AVP4" s="1809"/>
      <c r="AVQ4" s="1809"/>
      <c r="AVR4" s="779">
        <v>0.12</v>
      </c>
      <c r="AVS4" s="1808" t="s">
        <v>457</v>
      </c>
      <c r="AVT4" s="1809"/>
      <c r="AVU4" s="1809"/>
      <c r="AVV4" s="779">
        <v>0.14000000000000001</v>
      </c>
      <c r="AVW4" s="1808" t="s">
        <v>458</v>
      </c>
      <c r="AVX4" s="1809"/>
      <c r="AVY4" s="1809"/>
      <c r="AVZ4" s="779">
        <v>0.16</v>
      </c>
      <c r="AWA4" s="1808" t="s">
        <v>459</v>
      </c>
      <c r="AWB4" s="1809"/>
      <c r="AWC4" s="1809"/>
      <c r="AWD4" s="779">
        <v>0.22</v>
      </c>
      <c r="AWE4" s="745" t="s">
        <v>460</v>
      </c>
      <c r="AWF4" s="1784" t="s">
        <v>461</v>
      </c>
      <c r="AWG4" s="739" t="s">
        <v>462</v>
      </c>
      <c r="AWH4" s="742" t="s">
        <v>463</v>
      </c>
      <c r="AWI4" s="1810" t="s">
        <v>453</v>
      </c>
      <c r="AWJ4" s="1811"/>
      <c r="AWK4" s="1811"/>
      <c r="AWL4" s="780">
        <v>0.12</v>
      </c>
      <c r="AWM4" s="1810" t="s">
        <v>454</v>
      </c>
      <c r="AWN4" s="1811"/>
      <c r="AWO4" s="1811"/>
      <c r="AWP4" s="780">
        <v>0.12</v>
      </c>
      <c r="AWQ4" s="1810" t="s">
        <v>455</v>
      </c>
      <c r="AWR4" s="1811"/>
      <c r="AWS4" s="1811"/>
      <c r="AWT4" s="780">
        <v>0.12</v>
      </c>
      <c r="AWU4" s="1810" t="s">
        <v>456</v>
      </c>
      <c r="AWV4" s="1811"/>
      <c r="AWW4" s="1811"/>
      <c r="AWX4" s="780">
        <v>0.12</v>
      </c>
      <c r="AWY4" s="1810" t="s">
        <v>457</v>
      </c>
      <c r="AWZ4" s="1811"/>
      <c r="AXA4" s="1811"/>
      <c r="AXB4" s="780">
        <v>0.14000000000000001</v>
      </c>
      <c r="AXC4" s="1810" t="s">
        <v>458</v>
      </c>
      <c r="AXD4" s="1811"/>
      <c r="AXE4" s="1811"/>
      <c r="AXF4" s="780">
        <v>0.16</v>
      </c>
      <c r="AXG4" s="1810" t="s">
        <v>459</v>
      </c>
      <c r="AXH4" s="1811"/>
      <c r="AXI4" s="1811"/>
      <c r="AXJ4" s="780">
        <v>0.22</v>
      </c>
      <c r="AXK4" s="747" t="s">
        <v>460</v>
      </c>
      <c r="AXL4" s="1802" t="s">
        <v>461</v>
      </c>
      <c r="AXM4" s="750" t="s">
        <v>462</v>
      </c>
      <c r="AXN4" s="753" t="s">
        <v>463</v>
      </c>
      <c r="AXO4" s="1810" t="s">
        <v>453</v>
      </c>
      <c r="AXP4" s="1811"/>
      <c r="AXQ4" s="1811"/>
      <c r="AXR4" s="780">
        <v>0.12</v>
      </c>
      <c r="AXS4" s="1810" t="s">
        <v>454</v>
      </c>
      <c r="AXT4" s="1811"/>
      <c r="AXU4" s="1811"/>
      <c r="AXV4" s="780">
        <v>0.12</v>
      </c>
      <c r="AXW4" s="1810" t="s">
        <v>455</v>
      </c>
      <c r="AXX4" s="1811"/>
      <c r="AXY4" s="1811"/>
      <c r="AXZ4" s="780">
        <v>0.12</v>
      </c>
      <c r="AYA4" s="1810" t="s">
        <v>456</v>
      </c>
      <c r="AYB4" s="1811"/>
      <c r="AYC4" s="1811"/>
      <c r="AYD4" s="780">
        <v>0.12</v>
      </c>
      <c r="AYE4" s="1810" t="s">
        <v>457</v>
      </c>
      <c r="AYF4" s="1811"/>
      <c r="AYG4" s="1811"/>
      <c r="AYH4" s="780">
        <v>0.14000000000000001</v>
      </c>
      <c r="AYI4" s="1810" t="s">
        <v>458</v>
      </c>
      <c r="AYJ4" s="1811"/>
      <c r="AYK4" s="1811"/>
      <c r="AYL4" s="780">
        <v>0.16</v>
      </c>
      <c r="AYM4" s="1810" t="s">
        <v>459</v>
      </c>
      <c r="AYN4" s="1811"/>
      <c r="AYO4" s="1811"/>
      <c r="AYP4" s="780">
        <v>0.22</v>
      </c>
      <c r="AYQ4" s="744" t="s">
        <v>460</v>
      </c>
      <c r="AYR4" s="1783" t="s">
        <v>461</v>
      </c>
      <c r="AYS4" s="738" t="s">
        <v>462</v>
      </c>
      <c r="AYT4" s="741" t="s">
        <v>463</v>
      </c>
      <c r="AYU4" s="1810" t="s">
        <v>453</v>
      </c>
      <c r="AYV4" s="1811"/>
      <c r="AYW4" s="1811"/>
      <c r="AYX4" s="780">
        <v>0.12</v>
      </c>
      <c r="AYY4" s="1810" t="s">
        <v>454</v>
      </c>
      <c r="AYZ4" s="1811"/>
      <c r="AZA4" s="1811"/>
      <c r="AZB4" s="780">
        <v>0.12</v>
      </c>
      <c r="AZC4" s="1810" t="s">
        <v>455</v>
      </c>
      <c r="AZD4" s="1811"/>
      <c r="AZE4" s="1811"/>
      <c r="AZF4" s="780">
        <v>0.12</v>
      </c>
      <c r="AZG4" s="1810" t="s">
        <v>456</v>
      </c>
      <c r="AZH4" s="1811"/>
      <c r="AZI4" s="1811"/>
      <c r="AZJ4" s="780">
        <v>0.12</v>
      </c>
      <c r="AZK4" s="1810" t="s">
        <v>457</v>
      </c>
      <c r="AZL4" s="1811"/>
      <c r="AZM4" s="1811"/>
      <c r="AZN4" s="780">
        <v>0.14000000000000001</v>
      </c>
      <c r="AZO4" s="1810" t="s">
        <v>458</v>
      </c>
      <c r="AZP4" s="1811"/>
      <c r="AZQ4" s="1811"/>
      <c r="AZR4" s="780">
        <v>0.16</v>
      </c>
      <c r="AZS4" s="1810" t="s">
        <v>459</v>
      </c>
      <c r="AZT4" s="1811"/>
      <c r="AZU4" s="1811"/>
      <c r="AZV4" s="780">
        <v>0.22</v>
      </c>
      <c r="AZW4" s="747" t="s">
        <v>460</v>
      </c>
      <c r="AZX4" s="1802" t="s">
        <v>461</v>
      </c>
      <c r="AZY4" s="750" t="s">
        <v>462</v>
      </c>
      <c r="AZZ4" s="753" t="s">
        <v>463</v>
      </c>
      <c r="BAA4" s="1800" t="s">
        <v>453</v>
      </c>
      <c r="BAB4" s="1801"/>
      <c r="BAC4" s="1801"/>
      <c r="BAD4" s="775">
        <v>0.12</v>
      </c>
      <c r="BAE4" s="1800" t="s">
        <v>454</v>
      </c>
      <c r="BAF4" s="1801"/>
      <c r="BAG4" s="1801"/>
      <c r="BAH4" s="775">
        <v>0.12</v>
      </c>
      <c r="BAI4" s="1800" t="s">
        <v>455</v>
      </c>
      <c r="BAJ4" s="1801"/>
      <c r="BAK4" s="1801"/>
      <c r="BAL4" s="775">
        <v>0.12</v>
      </c>
      <c r="BAM4" s="1800" t="s">
        <v>456</v>
      </c>
      <c r="BAN4" s="1801"/>
      <c r="BAO4" s="1801"/>
      <c r="BAP4" s="775">
        <v>0.12</v>
      </c>
      <c r="BAQ4" s="1800" t="s">
        <v>457</v>
      </c>
      <c r="BAR4" s="1801"/>
      <c r="BAS4" s="1801"/>
      <c r="BAT4" s="775">
        <v>0.14000000000000001</v>
      </c>
      <c r="BAU4" s="1800" t="s">
        <v>458</v>
      </c>
      <c r="BAV4" s="1801"/>
      <c r="BAW4" s="1801"/>
      <c r="BAX4" s="775">
        <v>0.16</v>
      </c>
      <c r="BAY4" s="1800" t="s">
        <v>459</v>
      </c>
      <c r="BAZ4" s="1801"/>
      <c r="BBA4" s="1801"/>
      <c r="BBB4" s="775">
        <v>0.22</v>
      </c>
      <c r="BBC4" s="745" t="s">
        <v>460</v>
      </c>
      <c r="BBD4" s="1784" t="s">
        <v>461</v>
      </c>
      <c r="BBE4" s="739" t="s">
        <v>462</v>
      </c>
      <c r="BBF4" s="742" t="s">
        <v>463</v>
      </c>
      <c r="BBG4" s="1795" t="s">
        <v>453</v>
      </c>
      <c r="BBH4" s="1796"/>
      <c r="BBI4" s="1796"/>
      <c r="BBJ4" s="774">
        <v>0.12</v>
      </c>
      <c r="BBK4" s="1795" t="s">
        <v>454</v>
      </c>
      <c r="BBL4" s="1796"/>
      <c r="BBM4" s="1796"/>
      <c r="BBN4" s="774">
        <v>0.12</v>
      </c>
      <c r="BBO4" s="1795" t="s">
        <v>455</v>
      </c>
      <c r="BBP4" s="1796"/>
      <c r="BBQ4" s="1796"/>
      <c r="BBR4" s="774">
        <v>0.12</v>
      </c>
      <c r="BBS4" s="1795" t="s">
        <v>456</v>
      </c>
      <c r="BBT4" s="1796"/>
      <c r="BBU4" s="1796"/>
      <c r="BBV4" s="774">
        <v>0.12</v>
      </c>
      <c r="BBW4" s="1795" t="s">
        <v>457</v>
      </c>
      <c r="BBX4" s="1796"/>
      <c r="BBY4" s="1796"/>
      <c r="BBZ4" s="774">
        <v>0.14000000000000001</v>
      </c>
      <c r="BCA4" s="1795" t="s">
        <v>458</v>
      </c>
      <c r="BCB4" s="1796"/>
      <c r="BCC4" s="1796"/>
      <c r="BCD4" s="774">
        <v>0.16</v>
      </c>
      <c r="BCE4" s="1795" t="s">
        <v>459</v>
      </c>
      <c r="BCF4" s="1796"/>
      <c r="BCG4" s="1796"/>
      <c r="BCH4" s="774">
        <v>0.22</v>
      </c>
      <c r="BCI4" s="747" t="s">
        <v>460</v>
      </c>
      <c r="BCJ4" s="1802" t="s">
        <v>461</v>
      </c>
      <c r="BCK4" s="750" t="s">
        <v>462</v>
      </c>
      <c r="BCL4" s="753" t="s">
        <v>463</v>
      </c>
      <c r="BCM4" s="1795" t="s">
        <v>453</v>
      </c>
      <c r="BCN4" s="1796"/>
      <c r="BCO4" s="1796"/>
      <c r="BCP4" s="774">
        <v>0.12</v>
      </c>
      <c r="BCQ4" s="1795" t="s">
        <v>454</v>
      </c>
      <c r="BCR4" s="1796"/>
      <c r="BCS4" s="1796"/>
      <c r="BCT4" s="774">
        <v>0.12</v>
      </c>
      <c r="BCU4" s="1795" t="s">
        <v>455</v>
      </c>
      <c r="BCV4" s="1796"/>
      <c r="BCW4" s="1796"/>
      <c r="BCX4" s="774">
        <v>0.12</v>
      </c>
      <c r="BCY4" s="1795" t="s">
        <v>456</v>
      </c>
      <c r="BCZ4" s="1796"/>
      <c r="BDA4" s="1796"/>
      <c r="BDB4" s="774">
        <v>0.12</v>
      </c>
      <c r="BDC4" s="1795" t="s">
        <v>457</v>
      </c>
      <c r="BDD4" s="1796"/>
      <c r="BDE4" s="1796"/>
      <c r="BDF4" s="774">
        <v>0.14000000000000001</v>
      </c>
      <c r="BDG4" s="1795" t="s">
        <v>458</v>
      </c>
      <c r="BDH4" s="1796"/>
      <c r="BDI4" s="1796"/>
      <c r="BDJ4" s="774">
        <v>0.16</v>
      </c>
      <c r="BDK4" s="1795" t="s">
        <v>459</v>
      </c>
      <c r="BDL4" s="1796"/>
      <c r="BDM4" s="1796"/>
      <c r="BDN4" s="774">
        <v>0.22</v>
      </c>
      <c r="BDO4" s="744" t="s">
        <v>460</v>
      </c>
      <c r="BDP4" s="1783" t="s">
        <v>461</v>
      </c>
      <c r="BDQ4" s="738" t="s">
        <v>462</v>
      </c>
      <c r="BDR4" s="741" t="s">
        <v>463</v>
      </c>
      <c r="BDS4" s="1795" t="s">
        <v>453</v>
      </c>
      <c r="BDT4" s="1796"/>
      <c r="BDU4" s="1796"/>
      <c r="BDV4" s="774">
        <v>0.12</v>
      </c>
      <c r="BDW4" s="1795" t="s">
        <v>454</v>
      </c>
      <c r="BDX4" s="1796"/>
      <c r="BDY4" s="1796"/>
      <c r="BDZ4" s="774">
        <v>0.12</v>
      </c>
      <c r="BEA4" s="1795" t="s">
        <v>455</v>
      </c>
      <c r="BEB4" s="1796"/>
      <c r="BEC4" s="1796"/>
      <c r="BED4" s="774">
        <v>0.12</v>
      </c>
      <c r="BEE4" s="1795" t="s">
        <v>456</v>
      </c>
      <c r="BEF4" s="1796"/>
      <c r="BEG4" s="1796"/>
      <c r="BEH4" s="774">
        <v>0.12</v>
      </c>
      <c r="BEI4" s="1795" t="s">
        <v>457</v>
      </c>
      <c r="BEJ4" s="1796"/>
      <c r="BEK4" s="1796"/>
      <c r="BEL4" s="774">
        <v>0.14000000000000001</v>
      </c>
      <c r="BEM4" s="1795" t="s">
        <v>458</v>
      </c>
      <c r="BEN4" s="1796"/>
      <c r="BEO4" s="1796"/>
      <c r="BEP4" s="774">
        <v>0.16</v>
      </c>
      <c r="BEQ4" s="1795" t="s">
        <v>459</v>
      </c>
      <c r="BER4" s="1796"/>
      <c r="BES4" s="1796"/>
      <c r="BET4" s="774">
        <v>0.22</v>
      </c>
      <c r="BEU4" s="747" t="s">
        <v>460</v>
      </c>
      <c r="BEV4" s="1802" t="s">
        <v>461</v>
      </c>
      <c r="BEW4" s="750" t="s">
        <v>462</v>
      </c>
      <c r="BEX4" s="753" t="s">
        <v>463</v>
      </c>
      <c r="BEY4" s="1781" t="s">
        <v>453</v>
      </c>
      <c r="BEZ4" s="1782"/>
      <c r="BFA4" s="1782"/>
      <c r="BFB4" s="720">
        <v>0.12</v>
      </c>
      <c r="BFC4" s="1781" t="s">
        <v>454</v>
      </c>
      <c r="BFD4" s="1782"/>
      <c r="BFE4" s="1782"/>
      <c r="BFF4" s="720">
        <v>0.12</v>
      </c>
      <c r="BFG4" s="1781" t="s">
        <v>455</v>
      </c>
      <c r="BFH4" s="1782"/>
      <c r="BFI4" s="1782"/>
      <c r="BFJ4" s="720">
        <v>0.12</v>
      </c>
      <c r="BFK4" s="1781" t="s">
        <v>456</v>
      </c>
      <c r="BFL4" s="1782"/>
      <c r="BFM4" s="1782"/>
      <c r="BFN4" s="720">
        <v>0.12</v>
      </c>
      <c r="BFO4" s="1781" t="s">
        <v>457</v>
      </c>
      <c r="BFP4" s="1782"/>
      <c r="BFQ4" s="1782"/>
      <c r="BFR4" s="720">
        <v>0.14000000000000001</v>
      </c>
      <c r="BFS4" s="1781" t="s">
        <v>458</v>
      </c>
      <c r="BFT4" s="1782"/>
      <c r="BFU4" s="1782"/>
      <c r="BFV4" s="720">
        <v>0.16</v>
      </c>
      <c r="BFW4" s="1781" t="s">
        <v>459</v>
      </c>
      <c r="BFX4" s="1782"/>
      <c r="BFY4" s="1782"/>
      <c r="BFZ4" s="720">
        <v>0.22</v>
      </c>
      <c r="BGA4" s="744" t="s">
        <v>460</v>
      </c>
      <c r="BGB4" s="1783" t="s">
        <v>461</v>
      </c>
      <c r="BGC4" s="738" t="s">
        <v>462</v>
      </c>
      <c r="BGD4" s="741" t="s">
        <v>463</v>
      </c>
      <c r="BGE4" s="1781" t="s">
        <v>453</v>
      </c>
      <c r="BGF4" s="1782"/>
      <c r="BGG4" s="1782"/>
      <c r="BGH4" s="720">
        <v>0.12</v>
      </c>
      <c r="BGI4" s="1781" t="s">
        <v>454</v>
      </c>
      <c r="BGJ4" s="1782"/>
      <c r="BGK4" s="1782"/>
      <c r="BGL4" s="720">
        <v>0.12</v>
      </c>
      <c r="BGM4" s="1781" t="s">
        <v>455</v>
      </c>
      <c r="BGN4" s="1782"/>
      <c r="BGO4" s="1782"/>
      <c r="BGP4" s="720">
        <v>0.12</v>
      </c>
      <c r="BGQ4" s="1781" t="s">
        <v>456</v>
      </c>
      <c r="BGR4" s="1782"/>
      <c r="BGS4" s="1782"/>
      <c r="BGT4" s="720">
        <v>0.12</v>
      </c>
      <c r="BGU4" s="1781" t="s">
        <v>457</v>
      </c>
      <c r="BGV4" s="1782"/>
      <c r="BGW4" s="1782"/>
      <c r="BGX4" s="720">
        <v>0.14000000000000001</v>
      </c>
      <c r="BGY4" s="1781" t="s">
        <v>458</v>
      </c>
      <c r="BGZ4" s="1782"/>
      <c r="BHA4" s="1782"/>
      <c r="BHB4" s="720">
        <v>0.16</v>
      </c>
      <c r="BHC4" s="1781" t="s">
        <v>459</v>
      </c>
      <c r="BHD4" s="1782"/>
      <c r="BHE4" s="1782"/>
      <c r="BHF4" s="720">
        <v>0.22</v>
      </c>
      <c r="BHG4" s="747" t="s">
        <v>460</v>
      </c>
      <c r="BHH4" s="1792" t="s">
        <v>461</v>
      </c>
      <c r="BHI4" s="750" t="s">
        <v>462</v>
      </c>
      <c r="BHJ4" s="753" t="s">
        <v>463</v>
      </c>
      <c r="BHK4" s="1781" t="s">
        <v>453</v>
      </c>
      <c r="BHL4" s="1782"/>
      <c r="BHM4" s="1782"/>
      <c r="BHN4" s="720">
        <v>0.12</v>
      </c>
      <c r="BHO4" s="1781" t="s">
        <v>454</v>
      </c>
      <c r="BHP4" s="1782"/>
      <c r="BHQ4" s="1782"/>
      <c r="BHR4" s="720">
        <v>0.12</v>
      </c>
      <c r="BHS4" s="1781" t="s">
        <v>455</v>
      </c>
      <c r="BHT4" s="1782"/>
      <c r="BHU4" s="1782"/>
      <c r="BHV4" s="720">
        <v>0.12</v>
      </c>
      <c r="BHW4" s="1781" t="s">
        <v>456</v>
      </c>
      <c r="BHX4" s="1782"/>
      <c r="BHY4" s="1782"/>
      <c r="BHZ4" s="720">
        <v>0.12</v>
      </c>
      <c r="BIA4" s="1781" t="s">
        <v>457</v>
      </c>
      <c r="BIB4" s="1782"/>
      <c r="BIC4" s="1782"/>
      <c r="BID4" s="720">
        <v>0.14000000000000001</v>
      </c>
      <c r="BIE4" s="1781" t="s">
        <v>458</v>
      </c>
      <c r="BIF4" s="1782"/>
      <c r="BIG4" s="1782"/>
      <c r="BIH4" s="720">
        <v>0.16</v>
      </c>
      <c r="BII4" s="1781" t="s">
        <v>459</v>
      </c>
      <c r="BIJ4" s="1782"/>
      <c r="BIK4" s="1782"/>
      <c r="BIL4" s="720">
        <v>0.22</v>
      </c>
      <c r="BIM4" s="744" t="s">
        <v>460</v>
      </c>
      <c r="BIN4" s="1785" t="s">
        <v>461</v>
      </c>
      <c r="BIO4" s="738" t="s">
        <v>462</v>
      </c>
      <c r="BIP4" s="741" t="s">
        <v>463</v>
      </c>
      <c r="BIQ4" s="1781" t="s">
        <v>453</v>
      </c>
      <c r="BIR4" s="1782"/>
      <c r="BIS4" s="1782"/>
      <c r="BIT4" s="720">
        <v>0.12</v>
      </c>
      <c r="BIU4" s="1781" t="s">
        <v>454</v>
      </c>
      <c r="BIV4" s="1782"/>
      <c r="BIW4" s="1782"/>
      <c r="BIX4" s="720">
        <v>0.12</v>
      </c>
      <c r="BIY4" s="1781" t="s">
        <v>455</v>
      </c>
      <c r="BIZ4" s="1782"/>
      <c r="BJA4" s="1782"/>
      <c r="BJB4" s="720">
        <v>0.12</v>
      </c>
      <c r="BJC4" s="1781" t="s">
        <v>456</v>
      </c>
      <c r="BJD4" s="1782"/>
      <c r="BJE4" s="1782"/>
      <c r="BJF4" s="720">
        <v>0.12</v>
      </c>
      <c r="BJG4" s="1781" t="s">
        <v>457</v>
      </c>
      <c r="BJH4" s="1782"/>
      <c r="BJI4" s="1782"/>
      <c r="BJJ4" s="720">
        <v>0.14000000000000001</v>
      </c>
      <c r="BJK4" s="1781" t="s">
        <v>458</v>
      </c>
      <c r="BJL4" s="1782"/>
      <c r="BJM4" s="1782"/>
      <c r="BJN4" s="720">
        <v>0.16</v>
      </c>
      <c r="BJO4" s="1781" t="s">
        <v>459</v>
      </c>
      <c r="BJP4" s="1782"/>
      <c r="BJQ4" s="1782"/>
      <c r="BJR4" s="720">
        <v>0.22</v>
      </c>
      <c r="BJS4" s="747" t="s">
        <v>460</v>
      </c>
      <c r="BJT4" s="1787" t="s">
        <v>461</v>
      </c>
      <c r="BJU4" s="750" t="s">
        <v>462</v>
      </c>
      <c r="BJV4" s="753" t="s">
        <v>463</v>
      </c>
      <c r="BJW4" s="1781" t="s">
        <v>453</v>
      </c>
      <c r="BJX4" s="1782"/>
      <c r="BJY4" s="1782"/>
      <c r="BJZ4" s="720">
        <v>0.12</v>
      </c>
      <c r="BKA4" s="1781" t="s">
        <v>454</v>
      </c>
      <c r="BKB4" s="1782"/>
      <c r="BKC4" s="1782"/>
      <c r="BKD4" s="720">
        <v>0.12</v>
      </c>
      <c r="BKE4" s="1781" t="s">
        <v>455</v>
      </c>
      <c r="BKF4" s="1782"/>
      <c r="BKG4" s="1782"/>
      <c r="BKH4" s="720">
        <v>0.12</v>
      </c>
      <c r="BKI4" s="1781" t="s">
        <v>456</v>
      </c>
      <c r="BKJ4" s="1782"/>
      <c r="BKK4" s="1782"/>
      <c r="BKL4" s="720">
        <v>0.12</v>
      </c>
      <c r="BKM4" s="1781" t="s">
        <v>457</v>
      </c>
      <c r="BKN4" s="1782"/>
      <c r="BKO4" s="1782"/>
      <c r="BKP4" s="720">
        <v>0.14000000000000001</v>
      </c>
      <c r="BKQ4" s="1781" t="s">
        <v>458</v>
      </c>
      <c r="BKR4" s="1782"/>
      <c r="BKS4" s="1782"/>
      <c r="BKT4" s="720">
        <v>0.16</v>
      </c>
      <c r="BKU4" s="1781" t="s">
        <v>459</v>
      </c>
      <c r="BKV4" s="1782"/>
      <c r="BKW4" s="1782"/>
      <c r="BKX4" s="720">
        <v>0.22</v>
      </c>
      <c r="BKY4" s="744" t="s">
        <v>460</v>
      </c>
      <c r="BKZ4" s="1785" t="s">
        <v>461</v>
      </c>
      <c r="BLA4" s="738" t="s">
        <v>462</v>
      </c>
      <c r="BLB4" s="741" t="s">
        <v>463</v>
      </c>
    </row>
    <row r="5" spans="2:1666" ht="19.5" customHeight="1" thickBot="1">
      <c r="C5" s="706" t="s">
        <v>62</v>
      </c>
      <c r="D5" s="707" t="s">
        <v>465</v>
      </c>
      <c r="E5" s="706" t="s">
        <v>466</v>
      </c>
      <c r="F5" s="707" t="s">
        <v>66</v>
      </c>
      <c r="G5" s="668" t="s">
        <v>62</v>
      </c>
      <c r="H5" s="1563" t="s">
        <v>465</v>
      </c>
      <c r="I5" s="668" t="s">
        <v>466</v>
      </c>
      <c r="J5" s="1563" t="s">
        <v>66</v>
      </c>
      <c r="K5" s="668" t="s">
        <v>62</v>
      </c>
      <c r="L5" s="1563" t="s">
        <v>465</v>
      </c>
      <c r="M5" s="668" t="s">
        <v>466</v>
      </c>
      <c r="N5" s="1563" t="s">
        <v>66</v>
      </c>
      <c r="O5" s="668" t="s">
        <v>62</v>
      </c>
      <c r="P5" s="1563" t="s">
        <v>465</v>
      </c>
      <c r="Q5" s="668" t="s">
        <v>466</v>
      </c>
      <c r="R5" s="1563" t="s">
        <v>66</v>
      </c>
      <c r="S5" s="668" t="s">
        <v>62</v>
      </c>
      <c r="T5" s="1563" t="s">
        <v>465</v>
      </c>
      <c r="U5" s="668" t="s">
        <v>466</v>
      </c>
      <c r="V5" s="1563" t="s">
        <v>66</v>
      </c>
      <c r="W5" s="668" t="s">
        <v>62</v>
      </c>
      <c r="X5" s="1563" t="s">
        <v>465</v>
      </c>
      <c r="Y5" s="668" t="s">
        <v>466</v>
      </c>
      <c r="Z5" s="1563" t="s">
        <v>66</v>
      </c>
      <c r="AA5" s="668" t="s">
        <v>62</v>
      </c>
      <c r="AB5" s="1563" t="s">
        <v>465</v>
      </c>
      <c r="AC5" s="668" t="s">
        <v>466</v>
      </c>
      <c r="AD5" s="1563" t="s">
        <v>66</v>
      </c>
      <c r="AE5" s="745" t="str">
        <f>C3</f>
        <v>Semana 49</v>
      </c>
      <c r="AF5" s="1784"/>
      <c r="AG5" s="739" t="str">
        <f>C3</f>
        <v>Semana 49</v>
      </c>
      <c r="AH5" s="742" t="str">
        <f>C3</f>
        <v>Semana 49</v>
      </c>
      <c r="AI5" s="721" t="s">
        <v>62</v>
      </c>
      <c r="AJ5" s="722" t="s">
        <v>465</v>
      </c>
      <c r="AK5" s="721" t="s">
        <v>466</v>
      </c>
      <c r="AL5" s="722" t="s">
        <v>66</v>
      </c>
      <c r="AM5" s="723" t="s">
        <v>62</v>
      </c>
      <c r="AN5" s="724" t="s">
        <v>465</v>
      </c>
      <c r="AO5" s="723" t="s">
        <v>466</v>
      </c>
      <c r="AP5" s="724" t="s">
        <v>66</v>
      </c>
      <c r="AQ5" s="723" t="s">
        <v>62</v>
      </c>
      <c r="AR5" s="724" t="s">
        <v>465</v>
      </c>
      <c r="AS5" s="723" t="s">
        <v>466</v>
      </c>
      <c r="AT5" s="724" t="s">
        <v>66</v>
      </c>
      <c r="AU5" s="723" t="s">
        <v>62</v>
      </c>
      <c r="AV5" s="724" t="s">
        <v>465</v>
      </c>
      <c r="AW5" s="723" t="s">
        <v>466</v>
      </c>
      <c r="AX5" s="724" t="s">
        <v>66</v>
      </c>
      <c r="AY5" s="723" t="s">
        <v>62</v>
      </c>
      <c r="AZ5" s="724" t="s">
        <v>465</v>
      </c>
      <c r="BA5" s="723" t="s">
        <v>466</v>
      </c>
      <c r="BB5" s="724" t="s">
        <v>66</v>
      </c>
      <c r="BC5" s="723" t="s">
        <v>62</v>
      </c>
      <c r="BD5" s="724" t="s">
        <v>465</v>
      </c>
      <c r="BE5" s="723" t="s">
        <v>466</v>
      </c>
      <c r="BF5" s="724" t="s">
        <v>66</v>
      </c>
      <c r="BG5" s="723" t="s">
        <v>62</v>
      </c>
      <c r="BH5" s="724" t="s">
        <v>465</v>
      </c>
      <c r="BI5" s="723" t="s">
        <v>466</v>
      </c>
      <c r="BJ5" s="724" t="s">
        <v>66</v>
      </c>
      <c r="BK5" s="748" t="str">
        <f>AI3</f>
        <v>Semana 50</v>
      </c>
      <c r="BL5" s="1793"/>
      <c r="BM5" s="751" t="str">
        <f>AI3</f>
        <v>Semana 50</v>
      </c>
      <c r="BN5" s="754" t="str">
        <f>AI3</f>
        <v>Semana 50</v>
      </c>
      <c r="BO5" s="706" t="s">
        <v>62</v>
      </c>
      <c r="BP5" s="707" t="s">
        <v>465</v>
      </c>
      <c r="BQ5" s="706" t="s">
        <v>466</v>
      </c>
      <c r="BR5" s="707" t="s">
        <v>66</v>
      </c>
      <c r="BS5" s="668" t="s">
        <v>62</v>
      </c>
      <c r="BT5" s="1563" t="s">
        <v>465</v>
      </c>
      <c r="BU5" s="668" t="s">
        <v>466</v>
      </c>
      <c r="BV5" s="1563" t="s">
        <v>66</v>
      </c>
      <c r="BW5" s="668" t="s">
        <v>62</v>
      </c>
      <c r="BX5" s="1563" t="s">
        <v>465</v>
      </c>
      <c r="BY5" s="668" t="s">
        <v>466</v>
      </c>
      <c r="BZ5" s="1563" t="s">
        <v>66</v>
      </c>
      <c r="CA5" s="668" t="s">
        <v>62</v>
      </c>
      <c r="CB5" s="1563" t="s">
        <v>465</v>
      </c>
      <c r="CC5" s="668" t="s">
        <v>466</v>
      </c>
      <c r="CD5" s="1563" t="s">
        <v>66</v>
      </c>
      <c r="CE5" s="668" t="s">
        <v>62</v>
      </c>
      <c r="CF5" s="1563" t="s">
        <v>465</v>
      </c>
      <c r="CG5" s="668" t="s">
        <v>466</v>
      </c>
      <c r="CH5" s="1563" t="s">
        <v>66</v>
      </c>
      <c r="CI5" s="668" t="s">
        <v>62</v>
      </c>
      <c r="CJ5" s="1563" t="s">
        <v>465</v>
      </c>
      <c r="CK5" s="668" t="s">
        <v>466</v>
      </c>
      <c r="CL5" s="1563" t="s">
        <v>66</v>
      </c>
      <c r="CM5" s="668" t="s">
        <v>62</v>
      </c>
      <c r="CN5" s="1563" t="s">
        <v>465</v>
      </c>
      <c r="CO5" s="668" t="s">
        <v>466</v>
      </c>
      <c r="CP5" s="1563" t="s">
        <v>66</v>
      </c>
      <c r="CQ5" s="745" t="str">
        <f>BO3</f>
        <v>Semana 51</v>
      </c>
      <c r="CR5" s="1786"/>
      <c r="CS5" s="739" t="str">
        <f>BO3</f>
        <v>Semana 51</v>
      </c>
      <c r="CT5" s="742" t="str">
        <f>BO3</f>
        <v>Semana 51</v>
      </c>
      <c r="CU5" s="721" t="s">
        <v>62</v>
      </c>
      <c r="CV5" s="722" t="s">
        <v>465</v>
      </c>
      <c r="CW5" s="721" t="s">
        <v>466</v>
      </c>
      <c r="CX5" s="722" t="s">
        <v>66</v>
      </c>
      <c r="CY5" s="723" t="s">
        <v>62</v>
      </c>
      <c r="CZ5" s="724" t="s">
        <v>465</v>
      </c>
      <c r="DA5" s="723" t="s">
        <v>466</v>
      </c>
      <c r="DB5" s="724" t="s">
        <v>66</v>
      </c>
      <c r="DC5" s="723" t="s">
        <v>62</v>
      </c>
      <c r="DD5" s="724" t="s">
        <v>465</v>
      </c>
      <c r="DE5" s="723" t="s">
        <v>466</v>
      </c>
      <c r="DF5" s="724" t="s">
        <v>66</v>
      </c>
      <c r="DG5" s="723" t="s">
        <v>62</v>
      </c>
      <c r="DH5" s="724" t="s">
        <v>465</v>
      </c>
      <c r="DI5" s="723" t="s">
        <v>466</v>
      </c>
      <c r="DJ5" s="724" t="s">
        <v>66</v>
      </c>
      <c r="DK5" s="723" t="s">
        <v>62</v>
      </c>
      <c r="DL5" s="724" t="s">
        <v>465</v>
      </c>
      <c r="DM5" s="723" t="s">
        <v>466</v>
      </c>
      <c r="DN5" s="724" t="s">
        <v>66</v>
      </c>
      <c r="DO5" s="723" t="s">
        <v>62</v>
      </c>
      <c r="DP5" s="724" t="s">
        <v>465</v>
      </c>
      <c r="DQ5" s="723" t="s">
        <v>466</v>
      </c>
      <c r="DR5" s="724" t="s">
        <v>66</v>
      </c>
      <c r="DS5" s="723" t="s">
        <v>62</v>
      </c>
      <c r="DT5" s="724" t="s">
        <v>465</v>
      </c>
      <c r="DU5" s="723" t="s">
        <v>466</v>
      </c>
      <c r="DV5" s="724" t="s">
        <v>66</v>
      </c>
      <c r="DW5" s="748" t="str">
        <f>CU3</f>
        <v>Semana 52</v>
      </c>
      <c r="DX5" s="1788"/>
      <c r="DY5" s="751" t="str">
        <f>CU3</f>
        <v>Semana 52</v>
      </c>
      <c r="DZ5" s="754" t="str">
        <f>CU3</f>
        <v>Semana 52</v>
      </c>
      <c r="EA5" s="706" t="s">
        <v>62</v>
      </c>
      <c r="EB5" s="707" t="s">
        <v>465</v>
      </c>
      <c r="EC5" s="706" t="s">
        <v>466</v>
      </c>
      <c r="ED5" s="707" t="s">
        <v>66</v>
      </c>
      <c r="EE5" s="668" t="s">
        <v>62</v>
      </c>
      <c r="EF5" s="1563" t="s">
        <v>465</v>
      </c>
      <c r="EG5" s="668" t="s">
        <v>466</v>
      </c>
      <c r="EH5" s="1563" t="s">
        <v>66</v>
      </c>
      <c r="EI5" s="668" t="s">
        <v>62</v>
      </c>
      <c r="EJ5" s="1563" t="s">
        <v>465</v>
      </c>
      <c r="EK5" s="668" t="s">
        <v>466</v>
      </c>
      <c r="EL5" s="1563" t="s">
        <v>66</v>
      </c>
      <c r="EM5" s="668" t="s">
        <v>62</v>
      </c>
      <c r="EN5" s="1563" t="s">
        <v>465</v>
      </c>
      <c r="EO5" s="668" t="s">
        <v>466</v>
      </c>
      <c r="EP5" s="1563" t="s">
        <v>66</v>
      </c>
      <c r="EQ5" s="668" t="s">
        <v>62</v>
      </c>
      <c r="ER5" s="1563" t="s">
        <v>465</v>
      </c>
      <c r="ES5" s="668" t="s">
        <v>466</v>
      </c>
      <c r="ET5" s="1563" t="s">
        <v>66</v>
      </c>
      <c r="EU5" s="668" t="s">
        <v>62</v>
      </c>
      <c r="EV5" s="1563" t="s">
        <v>465</v>
      </c>
      <c r="EW5" s="668" t="s">
        <v>466</v>
      </c>
      <c r="EX5" s="1563" t="s">
        <v>66</v>
      </c>
      <c r="EY5" s="668" t="s">
        <v>62</v>
      </c>
      <c r="EZ5" s="1563" t="s">
        <v>465</v>
      </c>
      <c r="FA5" s="668" t="s">
        <v>466</v>
      </c>
      <c r="FB5" s="1563" t="s">
        <v>66</v>
      </c>
      <c r="FC5" s="745" t="str">
        <f>EA3</f>
        <v>Semana 1</v>
      </c>
      <c r="FD5" s="1784"/>
      <c r="FE5" s="739" t="str">
        <f>EA3</f>
        <v>Semana 1</v>
      </c>
      <c r="FF5" s="742" t="str">
        <f>EA3</f>
        <v>Semana 1</v>
      </c>
      <c r="FG5" s="721" t="s">
        <v>62</v>
      </c>
      <c r="FH5" s="722" t="s">
        <v>465</v>
      </c>
      <c r="FI5" s="721" t="s">
        <v>466</v>
      </c>
      <c r="FJ5" s="722" t="s">
        <v>66</v>
      </c>
      <c r="FK5" s="723" t="s">
        <v>62</v>
      </c>
      <c r="FL5" s="724" t="s">
        <v>465</v>
      </c>
      <c r="FM5" s="723" t="s">
        <v>466</v>
      </c>
      <c r="FN5" s="724" t="s">
        <v>66</v>
      </c>
      <c r="FO5" s="723" t="s">
        <v>62</v>
      </c>
      <c r="FP5" s="724" t="s">
        <v>465</v>
      </c>
      <c r="FQ5" s="723" t="s">
        <v>466</v>
      </c>
      <c r="FR5" s="724" t="s">
        <v>66</v>
      </c>
      <c r="FS5" s="723" t="s">
        <v>62</v>
      </c>
      <c r="FT5" s="724" t="s">
        <v>465</v>
      </c>
      <c r="FU5" s="723" t="s">
        <v>466</v>
      </c>
      <c r="FV5" s="724" t="s">
        <v>66</v>
      </c>
      <c r="FW5" s="723" t="s">
        <v>62</v>
      </c>
      <c r="FX5" s="724" t="s">
        <v>465</v>
      </c>
      <c r="FY5" s="723" t="s">
        <v>466</v>
      </c>
      <c r="FZ5" s="724" t="s">
        <v>66</v>
      </c>
      <c r="GA5" s="723" t="s">
        <v>62</v>
      </c>
      <c r="GB5" s="724" t="s">
        <v>465</v>
      </c>
      <c r="GC5" s="723" t="s">
        <v>466</v>
      </c>
      <c r="GD5" s="724" t="s">
        <v>66</v>
      </c>
      <c r="GE5" s="723" t="s">
        <v>62</v>
      </c>
      <c r="GF5" s="724" t="s">
        <v>465</v>
      </c>
      <c r="GG5" s="723" t="s">
        <v>466</v>
      </c>
      <c r="GH5" s="724" t="s">
        <v>66</v>
      </c>
      <c r="GI5" s="748" t="str">
        <f>FG3</f>
        <v>Semana 2</v>
      </c>
      <c r="GJ5" s="1803"/>
      <c r="GK5" s="751" t="str">
        <f>FG3</f>
        <v>Semana 2</v>
      </c>
      <c r="GL5" s="754" t="str">
        <f>FG3</f>
        <v>Semana 2</v>
      </c>
      <c r="GM5" s="706" t="s">
        <v>62</v>
      </c>
      <c r="GN5" s="707" t="s">
        <v>465</v>
      </c>
      <c r="GO5" s="706" t="s">
        <v>466</v>
      </c>
      <c r="GP5" s="707" t="s">
        <v>66</v>
      </c>
      <c r="GQ5" s="668" t="s">
        <v>62</v>
      </c>
      <c r="GR5" s="1563" t="s">
        <v>465</v>
      </c>
      <c r="GS5" s="668" t="s">
        <v>466</v>
      </c>
      <c r="GT5" s="1563" t="s">
        <v>66</v>
      </c>
      <c r="GU5" s="668" t="s">
        <v>62</v>
      </c>
      <c r="GV5" s="1563" t="s">
        <v>465</v>
      </c>
      <c r="GW5" s="668" t="s">
        <v>466</v>
      </c>
      <c r="GX5" s="1563" t="s">
        <v>66</v>
      </c>
      <c r="GY5" s="668" t="s">
        <v>62</v>
      </c>
      <c r="GZ5" s="1563" t="s">
        <v>465</v>
      </c>
      <c r="HA5" s="668" t="s">
        <v>466</v>
      </c>
      <c r="HB5" s="1563" t="s">
        <v>66</v>
      </c>
      <c r="HC5" s="668" t="s">
        <v>62</v>
      </c>
      <c r="HD5" s="1563" t="s">
        <v>465</v>
      </c>
      <c r="HE5" s="668" t="s">
        <v>466</v>
      </c>
      <c r="HF5" s="1563" t="s">
        <v>66</v>
      </c>
      <c r="HG5" s="668" t="s">
        <v>62</v>
      </c>
      <c r="HH5" s="1563" t="s">
        <v>465</v>
      </c>
      <c r="HI5" s="668" t="s">
        <v>466</v>
      </c>
      <c r="HJ5" s="1563" t="s">
        <v>66</v>
      </c>
      <c r="HK5" s="668" t="s">
        <v>62</v>
      </c>
      <c r="HL5" s="1563" t="s">
        <v>465</v>
      </c>
      <c r="HM5" s="668" t="s">
        <v>466</v>
      </c>
      <c r="HN5" s="1563" t="s">
        <v>66</v>
      </c>
      <c r="HO5" s="745" t="str">
        <f>GM3</f>
        <v>Semana 3</v>
      </c>
      <c r="HP5" s="1784"/>
      <c r="HQ5" s="739" t="str">
        <f>GM3</f>
        <v>Semana 3</v>
      </c>
      <c r="HR5" s="742" t="str">
        <f>GM3</f>
        <v>Semana 3</v>
      </c>
      <c r="HS5" s="721" t="s">
        <v>62</v>
      </c>
      <c r="HT5" s="722" t="s">
        <v>465</v>
      </c>
      <c r="HU5" s="721" t="s">
        <v>466</v>
      </c>
      <c r="HV5" s="722" t="s">
        <v>66</v>
      </c>
      <c r="HW5" s="723" t="s">
        <v>62</v>
      </c>
      <c r="HX5" s="724" t="s">
        <v>465</v>
      </c>
      <c r="HY5" s="723" t="s">
        <v>466</v>
      </c>
      <c r="HZ5" s="724" t="s">
        <v>66</v>
      </c>
      <c r="IA5" s="723" t="s">
        <v>62</v>
      </c>
      <c r="IB5" s="724" t="s">
        <v>465</v>
      </c>
      <c r="IC5" s="723" t="s">
        <v>466</v>
      </c>
      <c r="ID5" s="724" t="s">
        <v>66</v>
      </c>
      <c r="IE5" s="723" t="s">
        <v>62</v>
      </c>
      <c r="IF5" s="724" t="s">
        <v>465</v>
      </c>
      <c r="IG5" s="723" t="s">
        <v>466</v>
      </c>
      <c r="IH5" s="724" t="s">
        <v>66</v>
      </c>
      <c r="II5" s="723" t="s">
        <v>62</v>
      </c>
      <c r="IJ5" s="724" t="s">
        <v>465</v>
      </c>
      <c r="IK5" s="723" t="s">
        <v>466</v>
      </c>
      <c r="IL5" s="724" t="s">
        <v>66</v>
      </c>
      <c r="IM5" s="723" t="s">
        <v>62</v>
      </c>
      <c r="IN5" s="724" t="s">
        <v>465</v>
      </c>
      <c r="IO5" s="723" t="s">
        <v>466</v>
      </c>
      <c r="IP5" s="724" t="s">
        <v>66</v>
      </c>
      <c r="IQ5" s="723" t="s">
        <v>62</v>
      </c>
      <c r="IR5" s="724" t="s">
        <v>465</v>
      </c>
      <c r="IS5" s="723" t="s">
        <v>466</v>
      </c>
      <c r="IT5" s="724" t="s">
        <v>66</v>
      </c>
      <c r="IU5" s="748" t="str">
        <f>HS3</f>
        <v>Semana 4</v>
      </c>
      <c r="IV5" s="1803"/>
      <c r="IW5" s="751" t="str">
        <f>HS3</f>
        <v>Semana 4</v>
      </c>
      <c r="IX5" s="754" t="str">
        <f>HS3</f>
        <v>Semana 4</v>
      </c>
      <c r="IY5" s="706" t="s">
        <v>62</v>
      </c>
      <c r="IZ5" s="707" t="s">
        <v>465</v>
      </c>
      <c r="JA5" s="706" t="s">
        <v>466</v>
      </c>
      <c r="JB5" s="707" t="s">
        <v>66</v>
      </c>
      <c r="JC5" s="668" t="s">
        <v>62</v>
      </c>
      <c r="JD5" s="1563" t="s">
        <v>465</v>
      </c>
      <c r="JE5" s="668" t="s">
        <v>466</v>
      </c>
      <c r="JF5" s="1563" t="s">
        <v>66</v>
      </c>
      <c r="JG5" s="668" t="s">
        <v>62</v>
      </c>
      <c r="JH5" s="1563" t="s">
        <v>465</v>
      </c>
      <c r="JI5" s="668" t="s">
        <v>466</v>
      </c>
      <c r="JJ5" s="1563" t="s">
        <v>66</v>
      </c>
      <c r="JK5" s="668" t="s">
        <v>62</v>
      </c>
      <c r="JL5" s="1563" t="s">
        <v>465</v>
      </c>
      <c r="JM5" s="668" t="s">
        <v>466</v>
      </c>
      <c r="JN5" s="1563" t="s">
        <v>66</v>
      </c>
      <c r="JO5" s="668" t="s">
        <v>62</v>
      </c>
      <c r="JP5" s="1563" t="s">
        <v>465</v>
      </c>
      <c r="JQ5" s="668" t="s">
        <v>466</v>
      </c>
      <c r="JR5" s="1563" t="s">
        <v>66</v>
      </c>
      <c r="JS5" s="668" t="s">
        <v>62</v>
      </c>
      <c r="JT5" s="1563" t="s">
        <v>465</v>
      </c>
      <c r="JU5" s="668" t="s">
        <v>466</v>
      </c>
      <c r="JV5" s="1563" t="s">
        <v>66</v>
      </c>
      <c r="JW5" s="668" t="s">
        <v>62</v>
      </c>
      <c r="JX5" s="1563" t="s">
        <v>465</v>
      </c>
      <c r="JY5" s="668" t="s">
        <v>466</v>
      </c>
      <c r="JZ5" s="1563" t="s">
        <v>66</v>
      </c>
      <c r="KA5" s="745" t="str">
        <f>IY3</f>
        <v>Semana 5</v>
      </c>
      <c r="KB5" s="1784"/>
      <c r="KC5" s="739" t="str">
        <f>IY3</f>
        <v>Semana 5</v>
      </c>
      <c r="KD5" s="742" t="str">
        <f>IY3</f>
        <v>Semana 5</v>
      </c>
      <c r="KE5" s="721" t="s">
        <v>62</v>
      </c>
      <c r="KF5" s="722" t="s">
        <v>465</v>
      </c>
      <c r="KG5" s="721" t="s">
        <v>466</v>
      </c>
      <c r="KH5" s="722" t="s">
        <v>66</v>
      </c>
      <c r="KI5" s="723" t="s">
        <v>62</v>
      </c>
      <c r="KJ5" s="724" t="s">
        <v>465</v>
      </c>
      <c r="KK5" s="723" t="s">
        <v>466</v>
      </c>
      <c r="KL5" s="724" t="s">
        <v>66</v>
      </c>
      <c r="KM5" s="723" t="s">
        <v>62</v>
      </c>
      <c r="KN5" s="724" t="s">
        <v>465</v>
      </c>
      <c r="KO5" s="723" t="s">
        <v>466</v>
      </c>
      <c r="KP5" s="724" t="s">
        <v>66</v>
      </c>
      <c r="KQ5" s="723" t="s">
        <v>62</v>
      </c>
      <c r="KR5" s="724" t="s">
        <v>465</v>
      </c>
      <c r="KS5" s="723" t="s">
        <v>466</v>
      </c>
      <c r="KT5" s="724" t="s">
        <v>66</v>
      </c>
      <c r="KU5" s="723" t="s">
        <v>62</v>
      </c>
      <c r="KV5" s="724" t="s">
        <v>465</v>
      </c>
      <c r="KW5" s="723" t="s">
        <v>466</v>
      </c>
      <c r="KX5" s="724" t="s">
        <v>66</v>
      </c>
      <c r="KY5" s="723" t="s">
        <v>62</v>
      </c>
      <c r="KZ5" s="724" t="s">
        <v>465</v>
      </c>
      <c r="LA5" s="723" t="s">
        <v>466</v>
      </c>
      <c r="LB5" s="724" t="s">
        <v>66</v>
      </c>
      <c r="LC5" s="723" t="s">
        <v>62</v>
      </c>
      <c r="LD5" s="724" t="s">
        <v>465</v>
      </c>
      <c r="LE5" s="723" t="s">
        <v>466</v>
      </c>
      <c r="LF5" s="724" t="s">
        <v>66</v>
      </c>
      <c r="LG5" s="748" t="str">
        <f>KE3</f>
        <v>Semana 6</v>
      </c>
      <c r="LH5" s="1793"/>
      <c r="LI5" s="751" t="str">
        <f>KE3</f>
        <v>Semana 6</v>
      </c>
      <c r="LJ5" s="754" t="str">
        <f>KE3</f>
        <v>Semana 6</v>
      </c>
      <c r="LK5" s="706" t="s">
        <v>62</v>
      </c>
      <c r="LL5" s="707" t="s">
        <v>465</v>
      </c>
      <c r="LM5" s="706" t="s">
        <v>466</v>
      </c>
      <c r="LN5" s="707" t="s">
        <v>66</v>
      </c>
      <c r="LO5" s="668" t="s">
        <v>62</v>
      </c>
      <c r="LP5" s="1563" t="s">
        <v>465</v>
      </c>
      <c r="LQ5" s="668" t="s">
        <v>466</v>
      </c>
      <c r="LR5" s="1563" t="s">
        <v>66</v>
      </c>
      <c r="LS5" s="668" t="s">
        <v>62</v>
      </c>
      <c r="LT5" s="1563" t="s">
        <v>465</v>
      </c>
      <c r="LU5" s="668" t="s">
        <v>466</v>
      </c>
      <c r="LV5" s="1563" t="s">
        <v>66</v>
      </c>
      <c r="LW5" s="668" t="s">
        <v>62</v>
      </c>
      <c r="LX5" s="1563" t="s">
        <v>465</v>
      </c>
      <c r="LY5" s="668" t="s">
        <v>466</v>
      </c>
      <c r="LZ5" s="1563" t="s">
        <v>66</v>
      </c>
      <c r="MA5" s="668" t="s">
        <v>62</v>
      </c>
      <c r="MB5" s="1563" t="s">
        <v>465</v>
      </c>
      <c r="MC5" s="668" t="s">
        <v>466</v>
      </c>
      <c r="MD5" s="1563" t="s">
        <v>66</v>
      </c>
      <c r="ME5" s="668" t="s">
        <v>62</v>
      </c>
      <c r="MF5" s="1563" t="s">
        <v>465</v>
      </c>
      <c r="MG5" s="668" t="s">
        <v>466</v>
      </c>
      <c r="MH5" s="1563" t="s">
        <v>66</v>
      </c>
      <c r="MI5" s="668" t="s">
        <v>62</v>
      </c>
      <c r="MJ5" s="1563" t="s">
        <v>465</v>
      </c>
      <c r="MK5" s="668" t="s">
        <v>466</v>
      </c>
      <c r="ML5" s="1563" t="s">
        <v>66</v>
      </c>
      <c r="MM5" s="745" t="str">
        <f>LK3</f>
        <v>Semana 7</v>
      </c>
      <c r="MN5" s="1786"/>
      <c r="MO5" s="739" t="str">
        <f>LK3</f>
        <v>Semana 7</v>
      </c>
      <c r="MP5" s="742" t="str">
        <f>LK3</f>
        <v>Semana 7</v>
      </c>
      <c r="MQ5" s="721" t="s">
        <v>62</v>
      </c>
      <c r="MR5" s="722" t="s">
        <v>465</v>
      </c>
      <c r="MS5" s="721" t="s">
        <v>466</v>
      </c>
      <c r="MT5" s="722" t="s">
        <v>66</v>
      </c>
      <c r="MU5" s="723" t="s">
        <v>62</v>
      </c>
      <c r="MV5" s="724" t="s">
        <v>465</v>
      </c>
      <c r="MW5" s="723" t="s">
        <v>466</v>
      </c>
      <c r="MX5" s="724" t="s">
        <v>66</v>
      </c>
      <c r="MY5" s="723" t="s">
        <v>62</v>
      </c>
      <c r="MZ5" s="724" t="s">
        <v>465</v>
      </c>
      <c r="NA5" s="723" t="s">
        <v>466</v>
      </c>
      <c r="NB5" s="724" t="s">
        <v>66</v>
      </c>
      <c r="NC5" s="723" t="s">
        <v>62</v>
      </c>
      <c r="ND5" s="724" t="s">
        <v>465</v>
      </c>
      <c r="NE5" s="723" t="s">
        <v>466</v>
      </c>
      <c r="NF5" s="724" t="s">
        <v>66</v>
      </c>
      <c r="NG5" s="723" t="s">
        <v>62</v>
      </c>
      <c r="NH5" s="724" t="s">
        <v>465</v>
      </c>
      <c r="NI5" s="723" t="s">
        <v>466</v>
      </c>
      <c r="NJ5" s="724" t="s">
        <v>66</v>
      </c>
      <c r="NK5" s="723" t="s">
        <v>62</v>
      </c>
      <c r="NL5" s="724" t="s">
        <v>465</v>
      </c>
      <c r="NM5" s="723" t="s">
        <v>466</v>
      </c>
      <c r="NN5" s="724" t="s">
        <v>66</v>
      </c>
      <c r="NO5" s="723" t="s">
        <v>62</v>
      </c>
      <c r="NP5" s="724" t="s">
        <v>465</v>
      </c>
      <c r="NQ5" s="723" t="s">
        <v>466</v>
      </c>
      <c r="NR5" s="724" t="s">
        <v>66</v>
      </c>
      <c r="NS5" s="748" t="str">
        <f>MQ3</f>
        <v>Semana 8</v>
      </c>
      <c r="NT5" s="1788"/>
      <c r="NU5" s="751" t="str">
        <f>MQ3</f>
        <v>Semana 8</v>
      </c>
      <c r="NV5" s="754" t="str">
        <f>MQ3</f>
        <v>Semana 8</v>
      </c>
      <c r="NW5" s="706" t="s">
        <v>62</v>
      </c>
      <c r="NX5" s="707" t="s">
        <v>465</v>
      </c>
      <c r="NY5" s="706" t="s">
        <v>466</v>
      </c>
      <c r="NZ5" s="707" t="s">
        <v>66</v>
      </c>
      <c r="OA5" s="668" t="s">
        <v>62</v>
      </c>
      <c r="OB5" s="1563" t="s">
        <v>465</v>
      </c>
      <c r="OC5" s="668" t="s">
        <v>466</v>
      </c>
      <c r="OD5" s="1563" t="s">
        <v>66</v>
      </c>
      <c r="OE5" s="668" t="s">
        <v>62</v>
      </c>
      <c r="OF5" s="1563" t="s">
        <v>465</v>
      </c>
      <c r="OG5" s="668" t="s">
        <v>466</v>
      </c>
      <c r="OH5" s="1563" t="s">
        <v>66</v>
      </c>
      <c r="OI5" s="668" t="s">
        <v>62</v>
      </c>
      <c r="OJ5" s="1563" t="s">
        <v>465</v>
      </c>
      <c r="OK5" s="668" t="s">
        <v>466</v>
      </c>
      <c r="OL5" s="1563" t="s">
        <v>66</v>
      </c>
      <c r="OM5" s="668" t="s">
        <v>62</v>
      </c>
      <c r="ON5" s="1563" t="s">
        <v>465</v>
      </c>
      <c r="OO5" s="668" t="s">
        <v>466</v>
      </c>
      <c r="OP5" s="1563" t="s">
        <v>66</v>
      </c>
      <c r="OQ5" s="668" t="s">
        <v>62</v>
      </c>
      <c r="OR5" s="1563" t="s">
        <v>465</v>
      </c>
      <c r="OS5" s="668" t="s">
        <v>466</v>
      </c>
      <c r="OT5" s="1563" t="s">
        <v>66</v>
      </c>
      <c r="OU5" s="668" t="s">
        <v>62</v>
      </c>
      <c r="OV5" s="1563" t="s">
        <v>465</v>
      </c>
      <c r="OW5" s="668" t="s">
        <v>466</v>
      </c>
      <c r="OX5" s="1563" t="s">
        <v>66</v>
      </c>
      <c r="OY5" s="745" t="str">
        <f>NW3</f>
        <v>Semana 9</v>
      </c>
      <c r="OZ5" s="1786"/>
      <c r="PA5" s="739" t="str">
        <f>NW3</f>
        <v>Semana 9</v>
      </c>
      <c r="PB5" s="742" t="str">
        <f>NW3</f>
        <v>Semana 9</v>
      </c>
      <c r="PC5" s="706" t="s">
        <v>62</v>
      </c>
      <c r="PD5" s="707" t="s">
        <v>465</v>
      </c>
      <c r="PE5" s="706" t="s">
        <v>466</v>
      </c>
      <c r="PF5" s="707" t="s">
        <v>66</v>
      </c>
      <c r="PG5" s="668" t="s">
        <v>62</v>
      </c>
      <c r="PH5" s="1563" t="s">
        <v>465</v>
      </c>
      <c r="PI5" s="668" t="s">
        <v>466</v>
      </c>
      <c r="PJ5" s="1563" t="s">
        <v>66</v>
      </c>
      <c r="PK5" s="668" t="s">
        <v>62</v>
      </c>
      <c r="PL5" s="1563" t="s">
        <v>465</v>
      </c>
      <c r="PM5" s="668" t="s">
        <v>466</v>
      </c>
      <c r="PN5" s="1563" t="s">
        <v>66</v>
      </c>
      <c r="PO5" s="668" t="s">
        <v>62</v>
      </c>
      <c r="PP5" s="1563" t="s">
        <v>465</v>
      </c>
      <c r="PQ5" s="668" t="s">
        <v>466</v>
      </c>
      <c r="PR5" s="1563" t="s">
        <v>66</v>
      </c>
      <c r="PS5" s="668" t="s">
        <v>62</v>
      </c>
      <c r="PT5" s="1563" t="s">
        <v>465</v>
      </c>
      <c r="PU5" s="668" t="s">
        <v>466</v>
      </c>
      <c r="PV5" s="1563" t="s">
        <v>66</v>
      </c>
      <c r="PW5" s="668" t="s">
        <v>62</v>
      </c>
      <c r="PX5" s="1563" t="s">
        <v>465</v>
      </c>
      <c r="PY5" s="668" t="s">
        <v>466</v>
      </c>
      <c r="PZ5" s="1563" t="s">
        <v>66</v>
      </c>
      <c r="QA5" s="668" t="s">
        <v>62</v>
      </c>
      <c r="QB5" s="1563" t="s">
        <v>465</v>
      </c>
      <c r="QC5" s="668" t="s">
        <v>466</v>
      </c>
      <c r="QD5" s="1563" t="s">
        <v>66</v>
      </c>
      <c r="QE5" s="745" t="str">
        <f>PC3</f>
        <v>Semana 10</v>
      </c>
      <c r="QF5" s="1784"/>
      <c r="QG5" s="739" t="str">
        <f>PC3</f>
        <v>Semana 10</v>
      </c>
      <c r="QH5" s="742" t="str">
        <f>PC3</f>
        <v>Semana 10</v>
      </c>
      <c r="QI5" s="721" t="s">
        <v>62</v>
      </c>
      <c r="QJ5" s="722" t="s">
        <v>465</v>
      </c>
      <c r="QK5" s="721" t="s">
        <v>466</v>
      </c>
      <c r="QL5" s="722" t="s">
        <v>66</v>
      </c>
      <c r="QM5" s="723" t="s">
        <v>62</v>
      </c>
      <c r="QN5" s="724" t="s">
        <v>465</v>
      </c>
      <c r="QO5" s="723" t="s">
        <v>466</v>
      </c>
      <c r="QP5" s="724" t="s">
        <v>66</v>
      </c>
      <c r="QQ5" s="723" t="s">
        <v>62</v>
      </c>
      <c r="QR5" s="724" t="s">
        <v>465</v>
      </c>
      <c r="QS5" s="723" t="s">
        <v>466</v>
      </c>
      <c r="QT5" s="724" t="s">
        <v>66</v>
      </c>
      <c r="QU5" s="723" t="s">
        <v>62</v>
      </c>
      <c r="QV5" s="724" t="s">
        <v>465</v>
      </c>
      <c r="QW5" s="723" t="s">
        <v>466</v>
      </c>
      <c r="QX5" s="724" t="s">
        <v>66</v>
      </c>
      <c r="QY5" s="723" t="s">
        <v>62</v>
      </c>
      <c r="QZ5" s="724" t="s">
        <v>465</v>
      </c>
      <c r="RA5" s="723" t="s">
        <v>466</v>
      </c>
      <c r="RB5" s="724" t="s">
        <v>66</v>
      </c>
      <c r="RC5" s="723" t="s">
        <v>62</v>
      </c>
      <c r="RD5" s="724" t="s">
        <v>465</v>
      </c>
      <c r="RE5" s="723" t="s">
        <v>466</v>
      </c>
      <c r="RF5" s="724" t="s">
        <v>66</v>
      </c>
      <c r="RG5" s="723" t="s">
        <v>62</v>
      </c>
      <c r="RH5" s="724" t="s">
        <v>465</v>
      </c>
      <c r="RI5" s="723" t="s">
        <v>466</v>
      </c>
      <c r="RJ5" s="724" t="s">
        <v>66</v>
      </c>
      <c r="RK5" s="748" t="str">
        <f>QI3</f>
        <v>Semana 11</v>
      </c>
      <c r="RL5" s="1803"/>
      <c r="RM5" s="751" t="str">
        <f>QI3</f>
        <v>Semana 11</v>
      </c>
      <c r="RN5" s="754" t="str">
        <f>QI3</f>
        <v>Semana 11</v>
      </c>
      <c r="RO5" s="706" t="s">
        <v>62</v>
      </c>
      <c r="RP5" s="707" t="s">
        <v>465</v>
      </c>
      <c r="RQ5" s="706" t="s">
        <v>466</v>
      </c>
      <c r="RR5" s="707" t="s">
        <v>66</v>
      </c>
      <c r="RS5" s="668" t="s">
        <v>62</v>
      </c>
      <c r="RT5" s="1563" t="s">
        <v>465</v>
      </c>
      <c r="RU5" s="668" t="s">
        <v>466</v>
      </c>
      <c r="RV5" s="1563" t="s">
        <v>66</v>
      </c>
      <c r="RW5" s="668" t="s">
        <v>62</v>
      </c>
      <c r="RX5" s="1563" t="s">
        <v>465</v>
      </c>
      <c r="RY5" s="668" t="s">
        <v>466</v>
      </c>
      <c r="RZ5" s="1563" t="s">
        <v>66</v>
      </c>
      <c r="SA5" s="668" t="s">
        <v>62</v>
      </c>
      <c r="SB5" s="1563" t="s">
        <v>465</v>
      </c>
      <c r="SC5" s="668" t="s">
        <v>466</v>
      </c>
      <c r="SD5" s="1563" t="s">
        <v>66</v>
      </c>
      <c r="SE5" s="668" t="s">
        <v>62</v>
      </c>
      <c r="SF5" s="1563" t="s">
        <v>465</v>
      </c>
      <c r="SG5" s="668" t="s">
        <v>466</v>
      </c>
      <c r="SH5" s="1563" t="s">
        <v>66</v>
      </c>
      <c r="SI5" s="668" t="s">
        <v>62</v>
      </c>
      <c r="SJ5" s="1563" t="s">
        <v>465</v>
      </c>
      <c r="SK5" s="668" t="s">
        <v>466</v>
      </c>
      <c r="SL5" s="1563" t="s">
        <v>66</v>
      </c>
      <c r="SM5" s="668" t="s">
        <v>62</v>
      </c>
      <c r="SN5" s="1563" t="s">
        <v>465</v>
      </c>
      <c r="SO5" s="668" t="s">
        <v>466</v>
      </c>
      <c r="SP5" s="1563" t="s">
        <v>66</v>
      </c>
      <c r="SQ5" s="745" t="str">
        <f>RO3</f>
        <v>Semana 12</v>
      </c>
      <c r="SR5" s="1784"/>
      <c r="SS5" s="739" t="str">
        <f>RO3</f>
        <v>Semana 12</v>
      </c>
      <c r="ST5" s="742" t="str">
        <f>RO3</f>
        <v>Semana 12</v>
      </c>
      <c r="SU5" s="721" t="s">
        <v>62</v>
      </c>
      <c r="SV5" s="722" t="s">
        <v>465</v>
      </c>
      <c r="SW5" s="721" t="s">
        <v>466</v>
      </c>
      <c r="SX5" s="722" t="s">
        <v>66</v>
      </c>
      <c r="SY5" s="723" t="s">
        <v>62</v>
      </c>
      <c r="SZ5" s="724" t="s">
        <v>465</v>
      </c>
      <c r="TA5" s="723" t="s">
        <v>466</v>
      </c>
      <c r="TB5" s="724" t="s">
        <v>66</v>
      </c>
      <c r="TC5" s="723" t="s">
        <v>62</v>
      </c>
      <c r="TD5" s="724" t="s">
        <v>465</v>
      </c>
      <c r="TE5" s="723" t="s">
        <v>466</v>
      </c>
      <c r="TF5" s="724" t="s">
        <v>66</v>
      </c>
      <c r="TG5" s="723" t="s">
        <v>62</v>
      </c>
      <c r="TH5" s="724" t="s">
        <v>465</v>
      </c>
      <c r="TI5" s="723" t="s">
        <v>466</v>
      </c>
      <c r="TJ5" s="724" t="s">
        <v>66</v>
      </c>
      <c r="TK5" s="723" t="s">
        <v>62</v>
      </c>
      <c r="TL5" s="724" t="s">
        <v>465</v>
      </c>
      <c r="TM5" s="723" t="s">
        <v>466</v>
      </c>
      <c r="TN5" s="724" t="s">
        <v>66</v>
      </c>
      <c r="TO5" s="723" t="s">
        <v>62</v>
      </c>
      <c r="TP5" s="724" t="s">
        <v>465</v>
      </c>
      <c r="TQ5" s="723" t="s">
        <v>466</v>
      </c>
      <c r="TR5" s="724" t="s">
        <v>66</v>
      </c>
      <c r="TS5" s="723" t="s">
        <v>62</v>
      </c>
      <c r="TT5" s="724" t="s">
        <v>465</v>
      </c>
      <c r="TU5" s="723" t="s">
        <v>466</v>
      </c>
      <c r="TV5" s="724" t="s">
        <v>66</v>
      </c>
      <c r="TW5" s="748" t="str">
        <f>SU3</f>
        <v>Semana 13</v>
      </c>
      <c r="TX5" s="1803"/>
      <c r="TY5" s="751" t="str">
        <f>SU3</f>
        <v>Semana 13</v>
      </c>
      <c r="TZ5" s="754" t="str">
        <f>SU3</f>
        <v>Semana 13</v>
      </c>
      <c r="UA5" s="706" t="s">
        <v>62</v>
      </c>
      <c r="UB5" s="707" t="s">
        <v>465</v>
      </c>
      <c r="UC5" s="706" t="s">
        <v>466</v>
      </c>
      <c r="UD5" s="707" t="s">
        <v>66</v>
      </c>
      <c r="UE5" s="668" t="s">
        <v>62</v>
      </c>
      <c r="UF5" s="1563" t="s">
        <v>465</v>
      </c>
      <c r="UG5" s="668" t="s">
        <v>466</v>
      </c>
      <c r="UH5" s="1563" t="s">
        <v>66</v>
      </c>
      <c r="UI5" s="668" t="s">
        <v>62</v>
      </c>
      <c r="UJ5" s="1563" t="s">
        <v>465</v>
      </c>
      <c r="UK5" s="668" t="s">
        <v>466</v>
      </c>
      <c r="UL5" s="1563" t="s">
        <v>66</v>
      </c>
      <c r="UM5" s="668" t="s">
        <v>62</v>
      </c>
      <c r="UN5" s="1563" t="s">
        <v>465</v>
      </c>
      <c r="UO5" s="668" t="s">
        <v>466</v>
      </c>
      <c r="UP5" s="1563" t="s">
        <v>66</v>
      </c>
      <c r="UQ5" s="668" t="s">
        <v>62</v>
      </c>
      <c r="UR5" s="1563" t="s">
        <v>465</v>
      </c>
      <c r="US5" s="668" t="s">
        <v>466</v>
      </c>
      <c r="UT5" s="1563" t="s">
        <v>66</v>
      </c>
      <c r="UU5" s="668" t="s">
        <v>62</v>
      </c>
      <c r="UV5" s="1563" t="s">
        <v>465</v>
      </c>
      <c r="UW5" s="668" t="s">
        <v>466</v>
      </c>
      <c r="UX5" s="1563" t="s">
        <v>66</v>
      </c>
      <c r="UY5" s="668" t="s">
        <v>62</v>
      </c>
      <c r="UZ5" s="1563" t="s">
        <v>465</v>
      </c>
      <c r="VA5" s="668" t="s">
        <v>466</v>
      </c>
      <c r="VB5" s="1563" t="s">
        <v>66</v>
      </c>
      <c r="VC5" s="745" t="str">
        <f>UA3</f>
        <v>Semana 14</v>
      </c>
      <c r="VD5" s="1784"/>
      <c r="VE5" s="739" t="str">
        <f>UA3</f>
        <v>Semana 14</v>
      </c>
      <c r="VF5" s="742" t="str">
        <f>UA3</f>
        <v>Semana 14</v>
      </c>
      <c r="VG5" s="721" t="s">
        <v>62</v>
      </c>
      <c r="VH5" s="722" t="s">
        <v>465</v>
      </c>
      <c r="VI5" s="721" t="s">
        <v>466</v>
      </c>
      <c r="VJ5" s="722" t="s">
        <v>66</v>
      </c>
      <c r="VK5" s="723" t="s">
        <v>62</v>
      </c>
      <c r="VL5" s="724" t="s">
        <v>465</v>
      </c>
      <c r="VM5" s="723" t="s">
        <v>466</v>
      </c>
      <c r="VN5" s="724" t="s">
        <v>66</v>
      </c>
      <c r="VO5" s="723" t="s">
        <v>62</v>
      </c>
      <c r="VP5" s="724" t="s">
        <v>465</v>
      </c>
      <c r="VQ5" s="723" t="s">
        <v>466</v>
      </c>
      <c r="VR5" s="724" t="s">
        <v>66</v>
      </c>
      <c r="VS5" s="723" t="s">
        <v>62</v>
      </c>
      <c r="VT5" s="724" t="s">
        <v>465</v>
      </c>
      <c r="VU5" s="723" t="s">
        <v>466</v>
      </c>
      <c r="VV5" s="724" t="s">
        <v>66</v>
      </c>
      <c r="VW5" s="723" t="s">
        <v>62</v>
      </c>
      <c r="VX5" s="724" t="s">
        <v>465</v>
      </c>
      <c r="VY5" s="723" t="s">
        <v>466</v>
      </c>
      <c r="VZ5" s="724" t="s">
        <v>66</v>
      </c>
      <c r="WA5" s="723" t="s">
        <v>62</v>
      </c>
      <c r="WB5" s="724" t="s">
        <v>465</v>
      </c>
      <c r="WC5" s="723" t="s">
        <v>466</v>
      </c>
      <c r="WD5" s="724" t="s">
        <v>66</v>
      </c>
      <c r="WE5" s="723" t="s">
        <v>62</v>
      </c>
      <c r="WF5" s="724" t="s">
        <v>465</v>
      </c>
      <c r="WG5" s="723" t="s">
        <v>466</v>
      </c>
      <c r="WH5" s="724" t="s">
        <v>66</v>
      </c>
      <c r="WI5" s="748" t="str">
        <f>VG3</f>
        <v>Semana 15</v>
      </c>
      <c r="WJ5" s="1803"/>
      <c r="WK5" s="751" t="str">
        <f>VG3</f>
        <v>Semana 15</v>
      </c>
      <c r="WL5" s="754" t="str">
        <f>VG3</f>
        <v>Semana 15</v>
      </c>
      <c r="WM5" s="706" t="s">
        <v>62</v>
      </c>
      <c r="WN5" s="707" t="s">
        <v>465</v>
      </c>
      <c r="WO5" s="706" t="s">
        <v>466</v>
      </c>
      <c r="WP5" s="707" t="s">
        <v>66</v>
      </c>
      <c r="WQ5" s="668" t="s">
        <v>62</v>
      </c>
      <c r="WR5" s="1563" t="s">
        <v>465</v>
      </c>
      <c r="WS5" s="668" t="s">
        <v>466</v>
      </c>
      <c r="WT5" s="1563" t="s">
        <v>66</v>
      </c>
      <c r="WU5" s="668" t="s">
        <v>62</v>
      </c>
      <c r="WV5" s="1563" t="s">
        <v>465</v>
      </c>
      <c r="WW5" s="668" t="s">
        <v>466</v>
      </c>
      <c r="WX5" s="1563" t="s">
        <v>66</v>
      </c>
      <c r="WY5" s="668" t="s">
        <v>62</v>
      </c>
      <c r="WZ5" s="1563" t="s">
        <v>465</v>
      </c>
      <c r="XA5" s="668" t="s">
        <v>466</v>
      </c>
      <c r="XB5" s="1563" t="s">
        <v>66</v>
      </c>
      <c r="XC5" s="668" t="s">
        <v>62</v>
      </c>
      <c r="XD5" s="1563" t="s">
        <v>465</v>
      </c>
      <c r="XE5" s="668" t="s">
        <v>466</v>
      </c>
      <c r="XF5" s="1563" t="s">
        <v>66</v>
      </c>
      <c r="XG5" s="668" t="s">
        <v>62</v>
      </c>
      <c r="XH5" s="1563" t="s">
        <v>465</v>
      </c>
      <c r="XI5" s="668" t="s">
        <v>466</v>
      </c>
      <c r="XJ5" s="1563" t="s">
        <v>66</v>
      </c>
      <c r="XK5" s="668" t="s">
        <v>62</v>
      </c>
      <c r="XL5" s="1563" t="s">
        <v>465</v>
      </c>
      <c r="XM5" s="668" t="s">
        <v>466</v>
      </c>
      <c r="XN5" s="1563" t="s">
        <v>66</v>
      </c>
      <c r="XO5" s="745" t="str">
        <f>WM3</f>
        <v>Semana 16</v>
      </c>
      <c r="XP5" s="1784"/>
      <c r="XQ5" s="739" t="str">
        <f>WM3</f>
        <v>Semana 16</v>
      </c>
      <c r="XR5" s="742" t="str">
        <f>WM3</f>
        <v>Semana 16</v>
      </c>
      <c r="XS5" s="721" t="s">
        <v>62</v>
      </c>
      <c r="XT5" s="722" t="s">
        <v>465</v>
      </c>
      <c r="XU5" s="721" t="s">
        <v>466</v>
      </c>
      <c r="XV5" s="722" t="s">
        <v>66</v>
      </c>
      <c r="XW5" s="723" t="s">
        <v>62</v>
      </c>
      <c r="XX5" s="724" t="s">
        <v>465</v>
      </c>
      <c r="XY5" s="723" t="s">
        <v>466</v>
      </c>
      <c r="XZ5" s="724" t="s">
        <v>66</v>
      </c>
      <c r="YA5" s="723" t="s">
        <v>62</v>
      </c>
      <c r="YB5" s="724" t="s">
        <v>465</v>
      </c>
      <c r="YC5" s="723" t="s">
        <v>466</v>
      </c>
      <c r="YD5" s="724" t="s">
        <v>66</v>
      </c>
      <c r="YE5" s="723" t="s">
        <v>62</v>
      </c>
      <c r="YF5" s="724" t="s">
        <v>465</v>
      </c>
      <c r="YG5" s="723" t="s">
        <v>466</v>
      </c>
      <c r="YH5" s="724" t="s">
        <v>66</v>
      </c>
      <c r="YI5" s="723" t="s">
        <v>62</v>
      </c>
      <c r="YJ5" s="724" t="s">
        <v>465</v>
      </c>
      <c r="YK5" s="723" t="s">
        <v>466</v>
      </c>
      <c r="YL5" s="724" t="s">
        <v>66</v>
      </c>
      <c r="YM5" s="723" t="s">
        <v>62</v>
      </c>
      <c r="YN5" s="724" t="s">
        <v>465</v>
      </c>
      <c r="YO5" s="723" t="s">
        <v>466</v>
      </c>
      <c r="YP5" s="724" t="s">
        <v>66</v>
      </c>
      <c r="YQ5" s="723" t="s">
        <v>62</v>
      </c>
      <c r="YR5" s="724" t="s">
        <v>465</v>
      </c>
      <c r="YS5" s="723" t="s">
        <v>466</v>
      </c>
      <c r="YT5" s="724" t="s">
        <v>66</v>
      </c>
      <c r="YU5" s="748" t="str">
        <f>XS3</f>
        <v>Semana 17</v>
      </c>
      <c r="YV5" s="1803"/>
      <c r="YW5" s="751" t="str">
        <f>XS3</f>
        <v>Semana 17</v>
      </c>
      <c r="YX5" s="754" t="str">
        <f>XS3</f>
        <v>Semana 17</v>
      </c>
      <c r="YY5" s="938" t="s">
        <v>62</v>
      </c>
      <c r="YZ5" s="707" t="s">
        <v>465</v>
      </c>
      <c r="ZA5" s="706" t="s">
        <v>466</v>
      </c>
      <c r="ZB5" s="707" t="s">
        <v>66</v>
      </c>
      <c r="ZC5" s="668" t="s">
        <v>62</v>
      </c>
      <c r="ZD5" s="1563" t="s">
        <v>465</v>
      </c>
      <c r="ZE5" s="668" t="s">
        <v>466</v>
      </c>
      <c r="ZF5" s="1563" t="s">
        <v>66</v>
      </c>
      <c r="ZG5" s="668" t="s">
        <v>62</v>
      </c>
      <c r="ZH5" s="1563" t="s">
        <v>465</v>
      </c>
      <c r="ZI5" s="668" t="s">
        <v>466</v>
      </c>
      <c r="ZJ5" s="1563" t="s">
        <v>66</v>
      </c>
      <c r="ZK5" s="668" t="s">
        <v>62</v>
      </c>
      <c r="ZL5" s="1563" t="s">
        <v>465</v>
      </c>
      <c r="ZM5" s="668" t="s">
        <v>466</v>
      </c>
      <c r="ZN5" s="1563" t="s">
        <v>66</v>
      </c>
      <c r="ZO5" s="668" t="s">
        <v>62</v>
      </c>
      <c r="ZP5" s="1563" t="s">
        <v>465</v>
      </c>
      <c r="ZQ5" s="668" t="s">
        <v>466</v>
      </c>
      <c r="ZR5" s="1563" t="s">
        <v>66</v>
      </c>
      <c r="ZS5" s="668" t="s">
        <v>62</v>
      </c>
      <c r="ZT5" s="1563" t="s">
        <v>465</v>
      </c>
      <c r="ZU5" s="668" t="s">
        <v>466</v>
      </c>
      <c r="ZV5" s="1563" t="s">
        <v>66</v>
      </c>
      <c r="ZW5" s="668" t="s">
        <v>62</v>
      </c>
      <c r="ZX5" s="1563" t="s">
        <v>465</v>
      </c>
      <c r="ZY5" s="668" t="s">
        <v>466</v>
      </c>
      <c r="ZZ5" s="1563" t="s">
        <v>66</v>
      </c>
      <c r="AAA5" s="745" t="str">
        <f>YY3</f>
        <v>Semana 18</v>
      </c>
      <c r="AAB5" s="1877"/>
      <c r="AAC5" s="739" t="str">
        <f>YY3</f>
        <v>Semana 18</v>
      </c>
      <c r="AAD5" s="742" t="str">
        <f>YY3</f>
        <v>Semana 18</v>
      </c>
      <c r="AAE5" s="721" t="s">
        <v>62</v>
      </c>
      <c r="AAF5" s="722" t="s">
        <v>465</v>
      </c>
      <c r="AAG5" s="721" t="s">
        <v>466</v>
      </c>
      <c r="AAH5" s="722" t="s">
        <v>66</v>
      </c>
      <c r="AAI5" s="723" t="s">
        <v>62</v>
      </c>
      <c r="AAJ5" s="724" t="s">
        <v>465</v>
      </c>
      <c r="AAK5" s="723" t="s">
        <v>466</v>
      </c>
      <c r="AAL5" s="724" t="s">
        <v>66</v>
      </c>
      <c r="AAM5" s="723" t="s">
        <v>62</v>
      </c>
      <c r="AAN5" s="724" t="s">
        <v>465</v>
      </c>
      <c r="AAO5" s="723" t="s">
        <v>466</v>
      </c>
      <c r="AAP5" s="724" t="s">
        <v>66</v>
      </c>
      <c r="AAQ5" s="723" t="s">
        <v>62</v>
      </c>
      <c r="AAR5" s="724" t="s">
        <v>465</v>
      </c>
      <c r="AAS5" s="723" t="s">
        <v>466</v>
      </c>
      <c r="AAT5" s="724" t="s">
        <v>66</v>
      </c>
      <c r="AAU5" s="723" t="s">
        <v>62</v>
      </c>
      <c r="AAV5" s="724" t="s">
        <v>465</v>
      </c>
      <c r="AAW5" s="723" t="s">
        <v>466</v>
      </c>
      <c r="AAX5" s="724" t="s">
        <v>66</v>
      </c>
      <c r="AAY5" s="723" t="s">
        <v>62</v>
      </c>
      <c r="AAZ5" s="724" t="s">
        <v>465</v>
      </c>
      <c r="ABA5" s="723" t="s">
        <v>466</v>
      </c>
      <c r="ABB5" s="724" t="s">
        <v>66</v>
      </c>
      <c r="ABC5" s="723" t="s">
        <v>62</v>
      </c>
      <c r="ABD5" s="724" t="s">
        <v>465</v>
      </c>
      <c r="ABE5" s="723" t="s">
        <v>466</v>
      </c>
      <c r="ABF5" s="724" t="s">
        <v>66</v>
      </c>
      <c r="ABG5" s="748" t="str">
        <f>AAE3</f>
        <v>Semana 19</v>
      </c>
      <c r="ABH5" s="1793"/>
      <c r="ABI5" s="751" t="str">
        <f>AAE3</f>
        <v>Semana 19</v>
      </c>
      <c r="ABJ5" s="754" t="str">
        <f>AAE3</f>
        <v>Semana 19</v>
      </c>
      <c r="ABK5" s="706" t="s">
        <v>62</v>
      </c>
      <c r="ABL5" s="707" t="s">
        <v>465</v>
      </c>
      <c r="ABM5" s="706" t="s">
        <v>466</v>
      </c>
      <c r="ABN5" s="707" t="s">
        <v>66</v>
      </c>
      <c r="ABO5" s="668" t="s">
        <v>62</v>
      </c>
      <c r="ABP5" s="1563" t="s">
        <v>465</v>
      </c>
      <c r="ABQ5" s="668" t="s">
        <v>466</v>
      </c>
      <c r="ABR5" s="1563" t="s">
        <v>66</v>
      </c>
      <c r="ABS5" s="668" t="s">
        <v>62</v>
      </c>
      <c r="ABT5" s="1563" t="s">
        <v>465</v>
      </c>
      <c r="ABU5" s="668" t="s">
        <v>466</v>
      </c>
      <c r="ABV5" s="1563" t="s">
        <v>66</v>
      </c>
      <c r="ABW5" s="668" t="s">
        <v>62</v>
      </c>
      <c r="ABX5" s="1563" t="s">
        <v>465</v>
      </c>
      <c r="ABY5" s="668" t="s">
        <v>466</v>
      </c>
      <c r="ABZ5" s="1563" t="s">
        <v>66</v>
      </c>
      <c r="ACA5" s="668" t="s">
        <v>62</v>
      </c>
      <c r="ACB5" s="1563" t="s">
        <v>465</v>
      </c>
      <c r="ACC5" s="668" t="s">
        <v>466</v>
      </c>
      <c r="ACD5" s="1563" t="s">
        <v>66</v>
      </c>
      <c r="ACE5" s="668" t="s">
        <v>62</v>
      </c>
      <c r="ACF5" s="1563" t="s">
        <v>465</v>
      </c>
      <c r="ACG5" s="668" t="s">
        <v>466</v>
      </c>
      <c r="ACH5" s="1563" t="s">
        <v>66</v>
      </c>
      <c r="ACI5" s="668" t="s">
        <v>62</v>
      </c>
      <c r="ACJ5" s="1563" t="s">
        <v>465</v>
      </c>
      <c r="ACK5" s="668" t="s">
        <v>466</v>
      </c>
      <c r="ACL5" s="1563" t="s">
        <v>66</v>
      </c>
      <c r="ACM5" s="745" t="str">
        <f>ABK3</f>
        <v>Semana 20</v>
      </c>
      <c r="ACN5" s="1786"/>
      <c r="ACO5" s="739" t="str">
        <f>ABK3</f>
        <v>Semana 20</v>
      </c>
      <c r="ACP5" s="742" t="str">
        <f>ABK3</f>
        <v>Semana 20</v>
      </c>
      <c r="ACQ5" s="721" t="s">
        <v>62</v>
      </c>
      <c r="ACR5" s="722" t="s">
        <v>465</v>
      </c>
      <c r="ACS5" s="721" t="s">
        <v>466</v>
      </c>
      <c r="ACT5" s="722" t="s">
        <v>66</v>
      </c>
      <c r="ACU5" s="723" t="s">
        <v>62</v>
      </c>
      <c r="ACV5" s="724" t="s">
        <v>465</v>
      </c>
      <c r="ACW5" s="723" t="s">
        <v>466</v>
      </c>
      <c r="ACX5" s="724" t="s">
        <v>66</v>
      </c>
      <c r="ACY5" s="723" t="s">
        <v>62</v>
      </c>
      <c r="ACZ5" s="724" t="s">
        <v>465</v>
      </c>
      <c r="ADA5" s="723" t="s">
        <v>466</v>
      </c>
      <c r="ADB5" s="724" t="s">
        <v>66</v>
      </c>
      <c r="ADC5" s="723" t="s">
        <v>62</v>
      </c>
      <c r="ADD5" s="724" t="s">
        <v>465</v>
      </c>
      <c r="ADE5" s="723" t="s">
        <v>466</v>
      </c>
      <c r="ADF5" s="724" t="s">
        <v>66</v>
      </c>
      <c r="ADG5" s="723" t="s">
        <v>62</v>
      </c>
      <c r="ADH5" s="724" t="s">
        <v>465</v>
      </c>
      <c r="ADI5" s="723" t="s">
        <v>466</v>
      </c>
      <c r="ADJ5" s="724" t="s">
        <v>66</v>
      </c>
      <c r="ADK5" s="723" t="s">
        <v>62</v>
      </c>
      <c r="ADL5" s="724" t="s">
        <v>465</v>
      </c>
      <c r="ADM5" s="723" t="s">
        <v>466</v>
      </c>
      <c r="ADN5" s="724" t="s">
        <v>66</v>
      </c>
      <c r="ADO5" s="723" t="s">
        <v>62</v>
      </c>
      <c r="ADP5" s="724" t="s">
        <v>465</v>
      </c>
      <c r="ADQ5" s="723" t="s">
        <v>466</v>
      </c>
      <c r="ADR5" s="724" t="s">
        <v>66</v>
      </c>
      <c r="ADS5" s="748" t="str">
        <f>ACQ3</f>
        <v>Semana 21</v>
      </c>
      <c r="ADT5" s="1788"/>
      <c r="ADU5" s="751" t="str">
        <f>ACQ3</f>
        <v>Semana 21</v>
      </c>
      <c r="ADV5" s="754" t="str">
        <f>ACQ3</f>
        <v>Semana 21</v>
      </c>
      <c r="ADW5" s="706" t="s">
        <v>62</v>
      </c>
      <c r="ADX5" s="707" t="s">
        <v>465</v>
      </c>
      <c r="ADY5" s="706" t="s">
        <v>466</v>
      </c>
      <c r="ADZ5" s="707" t="s">
        <v>66</v>
      </c>
      <c r="AEA5" s="668" t="s">
        <v>62</v>
      </c>
      <c r="AEB5" s="1563" t="s">
        <v>465</v>
      </c>
      <c r="AEC5" s="668" t="s">
        <v>466</v>
      </c>
      <c r="AED5" s="1563" t="s">
        <v>66</v>
      </c>
      <c r="AEE5" s="668" t="s">
        <v>62</v>
      </c>
      <c r="AEF5" s="1563" t="s">
        <v>465</v>
      </c>
      <c r="AEG5" s="668" t="s">
        <v>466</v>
      </c>
      <c r="AEH5" s="1563" t="s">
        <v>66</v>
      </c>
      <c r="AEI5" s="668" t="s">
        <v>62</v>
      </c>
      <c r="AEJ5" s="1563" t="s">
        <v>465</v>
      </c>
      <c r="AEK5" s="668" t="s">
        <v>466</v>
      </c>
      <c r="AEL5" s="1563" t="s">
        <v>66</v>
      </c>
      <c r="AEM5" s="668" t="s">
        <v>62</v>
      </c>
      <c r="AEN5" s="1563" t="s">
        <v>465</v>
      </c>
      <c r="AEO5" s="668" t="s">
        <v>466</v>
      </c>
      <c r="AEP5" s="1563" t="s">
        <v>66</v>
      </c>
      <c r="AEQ5" s="668" t="s">
        <v>62</v>
      </c>
      <c r="AER5" s="1563" t="s">
        <v>465</v>
      </c>
      <c r="AES5" s="668" t="s">
        <v>466</v>
      </c>
      <c r="AET5" s="1563" t="s">
        <v>66</v>
      </c>
      <c r="AEU5" s="668" t="s">
        <v>62</v>
      </c>
      <c r="AEV5" s="1563" t="s">
        <v>465</v>
      </c>
      <c r="AEW5" s="668" t="s">
        <v>466</v>
      </c>
      <c r="AEX5" s="1563" t="s">
        <v>66</v>
      </c>
      <c r="AEY5" s="745" t="str">
        <f>ADW3</f>
        <v>Semana 22</v>
      </c>
      <c r="AEZ5" s="1786"/>
      <c r="AFA5" s="739" t="str">
        <f>ADW3</f>
        <v>Semana 22</v>
      </c>
      <c r="AFB5" s="742" t="str">
        <f>ADW3</f>
        <v>Semana 22</v>
      </c>
      <c r="AFC5" s="706" t="s">
        <v>62</v>
      </c>
      <c r="AFD5" s="707" t="s">
        <v>465</v>
      </c>
      <c r="AFE5" s="706" t="s">
        <v>466</v>
      </c>
      <c r="AFF5" s="707" t="s">
        <v>66</v>
      </c>
      <c r="AFG5" s="668" t="s">
        <v>62</v>
      </c>
      <c r="AFH5" s="1563" t="s">
        <v>465</v>
      </c>
      <c r="AFI5" s="668" t="s">
        <v>466</v>
      </c>
      <c r="AFJ5" s="1563" t="s">
        <v>66</v>
      </c>
      <c r="AFK5" s="668" t="s">
        <v>62</v>
      </c>
      <c r="AFL5" s="1563" t="s">
        <v>465</v>
      </c>
      <c r="AFM5" s="668" t="s">
        <v>466</v>
      </c>
      <c r="AFN5" s="1563" t="s">
        <v>66</v>
      </c>
      <c r="AFO5" s="668" t="s">
        <v>62</v>
      </c>
      <c r="AFP5" s="1563" t="s">
        <v>465</v>
      </c>
      <c r="AFQ5" s="668" t="s">
        <v>466</v>
      </c>
      <c r="AFR5" s="1563" t="s">
        <v>66</v>
      </c>
      <c r="AFS5" s="668" t="s">
        <v>62</v>
      </c>
      <c r="AFT5" s="1563" t="s">
        <v>465</v>
      </c>
      <c r="AFU5" s="668" t="s">
        <v>466</v>
      </c>
      <c r="AFV5" s="1563" t="s">
        <v>66</v>
      </c>
      <c r="AFW5" s="668" t="s">
        <v>62</v>
      </c>
      <c r="AFX5" s="1563" t="s">
        <v>465</v>
      </c>
      <c r="AFY5" s="668" t="s">
        <v>466</v>
      </c>
      <c r="AFZ5" s="1563" t="s">
        <v>66</v>
      </c>
      <c r="AGA5" s="668" t="s">
        <v>62</v>
      </c>
      <c r="AGB5" s="1563" t="s">
        <v>465</v>
      </c>
      <c r="AGC5" s="668" t="s">
        <v>466</v>
      </c>
      <c r="AGD5" s="1563" t="s">
        <v>66</v>
      </c>
      <c r="AGE5" s="745" t="str">
        <f>AFC3</f>
        <v>Semana 23</v>
      </c>
      <c r="AGF5" s="1784"/>
      <c r="AGG5" s="739" t="str">
        <f>AFC3</f>
        <v>Semana 23</v>
      </c>
      <c r="AGH5" s="742" t="str">
        <f>AFC3</f>
        <v>Semana 23</v>
      </c>
      <c r="AGI5" s="721" t="s">
        <v>62</v>
      </c>
      <c r="AGJ5" s="722" t="s">
        <v>465</v>
      </c>
      <c r="AGK5" s="721" t="s">
        <v>466</v>
      </c>
      <c r="AGL5" s="722" t="s">
        <v>66</v>
      </c>
      <c r="AGM5" s="723" t="s">
        <v>62</v>
      </c>
      <c r="AGN5" s="724" t="s">
        <v>465</v>
      </c>
      <c r="AGO5" s="723" t="s">
        <v>466</v>
      </c>
      <c r="AGP5" s="724" t="s">
        <v>66</v>
      </c>
      <c r="AGQ5" s="723" t="s">
        <v>62</v>
      </c>
      <c r="AGR5" s="724" t="s">
        <v>465</v>
      </c>
      <c r="AGS5" s="723" t="s">
        <v>466</v>
      </c>
      <c r="AGT5" s="724" t="s">
        <v>66</v>
      </c>
      <c r="AGU5" s="723" t="s">
        <v>62</v>
      </c>
      <c r="AGV5" s="724" t="s">
        <v>465</v>
      </c>
      <c r="AGW5" s="723" t="s">
        <v>466</v>
      </c>
      <c r="AGX5" s="724" t="s">
        <v>66</v>
      </c>
      <c r="AGY5" s="723" t="s">
        <v>62</v>
      </c>
      <c r="AGZ5" s="724" t="s">
        <v>465</v>
      </c>
      <c r="AHA5" s="723" t="s">
        <v>466</v>
      </c>
      <c r="AHB5" s="724" t="s">
        <v>66</v>
      </c>
      <c r="AHC5" s="723" t="s">
        <v>62</v>
      </c>
      <c r="AHD5" s="724" t="s">
        <v>465</v>
      </c>
      <c r="AHE5" s="723" t="s">
        <v>466</v>
      </c>
      <c r="AHF5" s="724" t="s">
        <v>66</v>
      </c>
      <c r="AHG5" s="723" t="s">
        <v>62</v>
      </c>
      <c r="AHH5" s="724" t="s">
        <v>465</v>
      </c>
      <c r="AHI5" s="723" t="s">
        <v>466</v>
      </c>
      <c r="AHJ5" s="724" t="s">
        <v>66</v>
      </c>
      <c r="AHK5" s="748" t="str">
        <f>AGI3</f>
        <v>Semana 24</v>
      </c>
      <c r="AHL5" s="1803"/>
      <c r="AHM5" s="751" t="str">
        <f>AGI3</f>
        <v>Semana 24</v>
      </c>
      <c r="AHN5" s="754" t="str">
        <f>AGI3</f>
        <v>Semana 24</v>
      </c>
      <c r="AHO5" s="706" t="s">
        <v>62</v>
      </c>
      <c r="AHP5" s="707" t="s">
        <v>465</v>
      </c>
      <c r="AHQ5" s="706" t="s">
        <v>466</v>
      </c>
      <c r="AHR5" s="707" t="s">
        <v>66</v>
      </c>
      <c r="AHS5" s="668" t="s">
        <v>62</v>
      </c>
      <c r="AHT5" s="1563" t="s">
        <v>465</v>
      </c>
      <c r="AHU5" s="668" t="s">
        <v>466</v>
      </c>
      <c r="AHV5" s="1563" t="s">
        <v>66</v>
      </c>
      <c r="AHW5" s="668" t="s">
        <v>62</v>
      </c>
      <c r="AHX5" s="1563" t="s">
        <v>465</v>
      </c>
      <c r="AHY5" s="668" t="s">
        <v>466</v>
      </c>
      <c r="AHZ5" s="1563" t="s">
        <v>66</v>
      </c>
      <c r="AIA5" s="668" t="s">
        <v>62</v>
      </c>
      <c r="AIB5" s="1563" t="s">
        <v>465</v>
      </c>
      <c r="AIC5" s="668" t="s">
        <v>466</v>
      </c>
      <c r="AID5" s="1563" t="s">
        <v>66</v>
      </c>
      <c r="AIE5" s="668" t="s">
        <v>62</v>
      </c>
      <c r="AIF5" s="1563" t="s">
        <v>465</v>
      </c>
      <c r="AIG5" s="668" t="s">
        <v>466</v>
      </c>
      <c r="AIH5" s="1563" t="s">
        <v>66</v>
      </c>
      <c r="AII5" s="668" t="s">
        <v>62</v>
      </c>
      <c r="AIJ5" s="1563" t="s">
        <v>465</v>
      </c>
      <c r="AIK5" s="668" t="s">
        <v>466</v>
      </c>
      <c r="AIL5" s="1563" t="s">
        <v>66</v>
      </c>
      <c r="AIM5" s="668" t="s">
        <v>62</v>
      </c>
      <c r="AIN5" s="1563" t="s">
        <v>465</v>
      </c>
      <c r="AIO5" s="668" t="s">
        <v>466</v>
      </c>
      <c r="AIP5" s="1563" t="s">
        <v>66</v>
      </c>
      <c r="AIQ5" s="745" t="str">
        <f>AHO3</f>
        <v>Semana 25</v>
      </c>
      <c r="AIR5" s="1784"/>
      <c r="AIS5" s="739" t="str">
        <f>AHO3</f>
        <v>Semana 25</v>
      </c>
      <c r="AIT5" s="742" t="str">
        <f>AHO3</f>
        <v>Semana 25</v>
      </c>
      <c r="AIU5" s="721" t="s">
        <v>62</v>
      </c>
      <c r="AIV5" s="722" t="s">
        <v>465</v>
      </c>
      <c r="AIW5" s="721" t="s">
        <v>466</v>
      </c>
      <c r="AIX5" s="722" t="s">
        <v>66</v>
      </c>
      <c r="AIY5" s="723" t="s">
        <v>62</v>
      </c>
      <c r="AIZ5" s="724" t="s">
        <v>465</v>
      </c>
      <c r="AJA5" s="723" t="s">
        <v>466</v>
      </c>
      <c r="AJB5" s="724" t="s">
        <v>66</v>
      </c>
      <c r="AJC5" s="723" t="s">
        <v>62</v>
      </c>
      <c r="AJD5" s="724" t="s">
        <v>465</v>
      </c>
      <c r="AJE5" s="723" t="s">
        <v>466</v>
      </c>
      <c r="AJF5" s="724" t="s">
        <v>66</v>
      </c>
      <c r="AJG5" s="723" t="s">
        <v>62</v>
      </c>
      <c r="AJH5" s="724" t="s">
        <v>465</v>
      </c>
      <c r="AJI5" s="723" t="s">
        <v>466</v>
      </c>
      <c r="AJJ5" s="724" t="s">
        <v>66</v>
      </c>
      <c r="AJK5" s="723" t="s">
        <v>62</v>
      </c>
      <c r="AJL5" s="724" t="s">
        <v>465</v>
      </c>
      <c r="AJM5" s="723" t="s">
        <v>466</v>
      </c>
      <c r="AJN5" s="724" t="s">
        <v>66</v>
      </c>
      <c r="AJO5" s="723" t="s">
        <v>62</v>
      </c>
      <c r="AJP5" s="724" t="s">
        <v>465</v>
      </c>
      <c r="AJQ5" s="723" t="s">
        <v>466</v>
      </c>
      <c r="AJR5" s="724" t="s">
        <v>66</v>
      </c>
      <c r="AJS5" s="723" t="s">
        <v>62</v>
      </c>
      <c r="AJT5" s="724" t="s">
        <v>465</v>
      </c>
      <c r="AJU5" s="723" t="s">
        <v>466</v>
      </c>
      <c r="AJV5" s="724" t="s">
        <v>66</v>
      </c>
      <c r="AJW5" s="748" t="str">
        <f>AIU3</f>
        <v>Semana 26</v>
      </c>
      <c r="AJX5" s="1803"/>
      <c r="AJY5" s="751" t="str">
        <f>AIU3</f>
        <v>Semana 26</v>
      </c>
      <c r="AJZ5" s="754" t="str">
        <f>AIU3</f>
        <v>Semana 26</v>
      </c>
      <c r="AKA5" s="706" t="s">
        <v>62</v>
      </c>
      <c r="AKB5" s="707" t="s">
        <v>465</v>
      </c>
      <c r="AKC5" s="706" t="s">
        <v>466</v>
      </c>
      <c r="AKD5" s="707" t="s">
        <v>66</v>
      </c>
      <c r="AKE5" s="668" t="s">
        <v>62</v>
      </c>
      <c r="AKF5" s="1563" t="s">
        <v>465</v>
      </c>
      <c r="AKG5" s="668" t="s">
        <v>466</v>
      </c>
      <c r="AKH5" s="1563" t="s">
        <v>66</v>
      </c>
      <c r="AKI5" s="668" t="s">
        <v>62</v>
      </c>
      <c r="AKJ5" s="1563" t="s">
        <v>465</v>
      </c>
      <c r="AKK5" s="668" t="s">
        <v>466</v>
      </c>
      <c r="AKL5" s="1563" t="s">
        <v>66</v>
      </c>
      <c r="AKM5" s="668" t="s">
        <v>62</v>
      </c>
      <c r="AKN5" s="1563" t="s">
        <v>465</v>
      </c>
      <c r="AKO5" s="668" t="s">
        <v>466</v>
      </c>
      <c r="AKP5" s="1563" t="s">
        <v>66</v>
      </c>
      <c r="AKQ5" s="668" t="s">
        <v>62</v>
      </c>
      <c r="AKR5" s="1563" t="s">
        <v>465</v>
      </c>
      <c r="AKS5" s="668" t="s">
        <v>466</v>
      </c>
      <c r="AKT5" s="1563" t="s">
        <v>66</v>
      </c>
      <c r="AKU5" s="668" t="s">
        <v>62</v>
      </c>
      <c r="AKV5" s="1563" t="s">
        <v>465</v>
      </c>
      <c r="AKW5" s="668" t="s">
        <v>466</v>
      </c>
      <c r="AKX5" s="1563" t="s">
        <v>66</v>
      </c>
      <c r="AKY5" s="668" t="s">
        <v>62</v>
      </c>
      <c r="AKZ5" s="1563" t="s">
        <v>465</v>
      </c>
      <c r="ALA5" s="668" t="s">
        <v>466</v>
      </c>
      <c r="ALB5" s="1563" t="s">
        <v>66</v>
      </c>
      <c r="ALC5" s="745" t="str">
        <f>AKA3</f>
        <v>Semana 27</v>
      </c>
      <c r="ALD5" s="1784"/>
      <c r="ALE5" s="739" t="str">
        <f>AKA3</f>
        <v>Semana 27</v>
      </c>
      <c r="ALF5" s="742" t="str">
        <f>AKA3</f>
        <v>Semana 27</v>
      </c>
      <c r="ALG5" s="721" t="s">
        <v>62</v>
      </c>
      <c r="ALH5" s="722" t="s">
        <v>465</v>
      </c>
      <c r="ALI5" s="721" t="s">
        <v>466</v>
      </c>
      <c r="ALJ5" s="722" t="s">
        <v>66</v>
      </c>
      <c r="ALK5" s="723" t="s">
        <v>62</v>
      </c>
      <c r="ALL5" s="724" t="s">
        <v>465</v>
      </c>
      <c r="ALM5" s="723" t="s">
        <v>466</v>
      </c>
      <c r="ALN5" s="724" t="s">
        <v>66</v>
      </c>
      <c r="ALO5" s="723" t="s">
        <v>62</v>
      </c>
      <c r="ALP5" s="724" t="s">
        <v>465</v>
      </c>
      <c r="ALQ5" s="723" t="s">
        <v>466</v>
      </c>
      <c r="ALR5" s="724" t="s">
        <v>66</v>
      </c>
      <c r="ALS5" s="723" t="s">
        <v>62</v>
      </c>
      <c r="ALT5" s="724" t="s">
        <v>465</v>
      </c>
      <c r="ALU5" s="723" t="s">
        <v>466</v>
      </c>
      <c r="ALV5" s="724" t="s">
        <v>66</v>
      </c>
      <c r="ALW5" s="723" t="s">
        <v>62</v>
      </c>
      <c r="ALX5" s="724" t="s">
        <v>465</v>
      </c>
      <c r="ALY5" s="723" t="s">
        <v>466</v>
      </c>
      <c r="ALZ5" s="724" t="s">
        <v>66</v>
      </c>
      <c r="AMA5" s="723" t="s">
        <v>62</v>
      </c>
      <c r="AMB5" s="724" t="s">
        <v>465</v>
      </c>
      <c r="AMC5" s="723" t="s">
        <v>466</v>
      </c>
      <c r="AMD5" s="724" t="s">
        <v>66</v>
      </c>
      <c r="AME5" s="723" t="s">
        <v>62</v>
      </c>
      <c r="AMF5" s="724" t="s">
        <v>465</v>
      </c>
      <c r="AMG5" s="723" t="s">
        <v>466</v>
      </c>
      <c r="AMH5" s="724" t="s">
        <v>66</v>
      </c>
      <c r="AMI5" s="748" t="str">
        <f>ALG3</f>
        <v>Semana 28</v>
      </c>
      <c r="AMJ5" s="1803"/>
      <c r="AMK5" s="751" t="str">
        <f>ALG3</f>
        <v>Semana 28</v>
      </c>
      <c r="AML5" s="754" t="str">
        <f>ALG3</f>
        <v>Semana 28</v>
      </c>
      <c r="AMM5" s="706" t="s">
        <v>62</v>
      </c>
      <c r="AMN5" s="707" t="s">
        <v>465</v>
      </c>
      <c r="AMO5" s="706" t="s">
        <v>466</v>
      </c>
      <c r="AMP5" s="707" t="s">
        <v>66</v>
      </c>
      <c r="AMQ5" s="668" t="s">
        <v>62</v>
      </c>
      <c r="AMR5" s="1563" t="s">
        <v>465</v>
      </c>
      <c r="AMS5" s="668" t="s">
        <v>466</v>
      </c>
      <c r="AMT5" s="1563" t="s">
        <v>66</v>
      </c>
      <c r="AMU5" s="668" t="s">
        <v>62</v>
      </c>
      <c r="AMV5" s="1563" t="s">
        <v>465</v>
      </c>
      <c r="AMW5" s="668" t="s">
        <v>466</v>
      </c>
      <c r="AMX5" s="1563" t="s">
        <v>66</v>
      </c>
      <c r="AMY5" s="668" t="s">
        <v>62</v>
      </c>
      <c r="AMZ5" s="1563" t="s">
        <v>465</v>
      </c>
      <c r="ANA5" s="668" t="s">
        <v>466</v>
      </c>
      <c r="ANB5" s="1563" t="s">
        <v>66</v>
      </c>
      <c r="ANC5" s="668" t="s">
        <v>62</v>
      </c>
      <c r="AND5" s="1563" t="s">
        <v>465</v>
      </c>
      <c r="ANE5" s="668" t="s">
        <v>466</v>
      </c>
      <c r="ANF5" s="1563" t="s">
        <v>66</v>
      </c>
      <c r="ANG5" s="668" t="s">
        <v>62</v>
      </c>
      <c r="ANH5" s="1563" t="s">
        <v>465</v>
      </c>
      <c r="ANI5" s="668" t="s">
        <v>466</v>
      </c>
      <c r="ANJ5" s="1563" t="s">
        <v>66</v>
      </c>
      <c r="ANK5" s="668" t="s">
        <v>62</v>
      </c>
      <c r="ANL5" s="1563" t="s">
        <v>465</v>
      </c>
      <c r="ANM5" s="668" t="s">
        <v>466</v>
      </c>
      <c r="ANN5" s="1563" t="s">
        <v>66</v>
      </c>
      <c r="ANO5" s="745" t="str">
        <f>AMM3</f>
        <v>Semana 29</v>
      </c>
      <c r="ANP5" s="1784"/>
      <c r="ANQ5" s="739" t="str">
        <f>AMM3</f>
        <v>Semana 29</v>
      </c>
      <c r="ANR5" s="742" t="str">
        <f>AMM3</f>
        <v>Semana 29</v>
      </c>
      <c r="ANS5" s="721" t="s">
        <v>62</v>
      </c>
      <c r="ANT5" s="722" t="s">
        <v>465</v>
      </c>
      <c r="ANU5" s="721" t="s">
        <v>466</v>
      </c>
      <c r="ANV5" s="722" t="s">
        <v>66</v>
      </c>
      <c r="ANW5" s="723" t="s">
        <v>62</v>
      </c>
      <c r="ANX5" s="724" t="s">
        <v>465</v>
      </c>
      <c r="ANY5" s="723" t="s">
        <v>466</v>
      </c>
      <c r="ANZ5" s="724" t="s">
        <v>66</v>
      </c>
      <c r="AOA5" s="723" t="s">
        <v>62</v>
      </c>
      <c r="AOB5" s="724" t="s">
        <v>465</v>
      </c>
      <c r="AOC5" s="723" t="s">
        <v>466</v>
      </c>
      <c r="AOD5" s="724" t="s">
        <v>66</v>
      </c>
      <c r="AOE5" s="723" t="s">
        <v>62</v>
      </c>
      <c r="AOF5" s="724" t="s">
        <v>465</v>
      </c>
      <c r="AOG5" s="723" t="s">
        <v>466</v>
      </c>
      <c r="AOH5" s="724" t="s">
        <v>66</v>
      </c>
      <c r="AOI5" s="723" t="s">
        <v>62</v>
      </c>
      <c r="AOJ5" s="724" t="s">
        <v>465</v>
      </c>
      <c r="AOK5" s="723" t="s">
        <v>466</v>
      </c>
      <c r="AOL5" s="724" t="s">
        <v>66</v>
      </c>
      <c r="AOM5" s="723" t="s">
        <v>62</v>
      </c>
      <c r="AON5" s="724" t="s">
        <v>465</v>
      </c>
      <c r="AOO5" s="723" t="s">
        <v>466</v>
      </c>
      <c r="AOP5" s="724" t="s">
        <v>66</v>
      </c>
      <c r="AOQ5" s="723" t="s">
        <v>62</v>
      </c>
      <c r="AOR5" s="724" t="s">
        <v>465</v>
      </c>
      <c r="AOS5" s="723" t="s">
        <v>466</v>
      </c>
      <c r="AOT5" s="724" t="s">
        <v>66</v>
      </c>
      <c r="AOU5" s="748" t="str">
        <f>ANS3</f>
        <v>Semana 30</v>
      </c>
      <c r="AOV5" s="1803"/>
      <c r="AOW5" s="751" t="str">
        <f>ANS3</f>
        <v>Semana 30</v>
      </c>
      <c r="AOX5" s="754" t="str">
        <f>ANS3</f>
        <v>Semana 30</v>
      </c>
      <c r="AOY5" s="706" t="s">
        <v>62</v>
      </c>
      <c r="AOZ5" s="707" t="s">
        <v>465</v>
      </c>
      <c r="APA5" s="706" t="s">
        <v>466</v>
      </c>
      <c r="APB5" s="707" t="s">
        <v>66</v>
      </c>
      <c r="APC5" s="668" t="s">
        <v>62</v>
      </c>
      <c r="APD5" s="1563" t="s">
        <v>465</v>
      </c>
      <c r="APE5" s="668" t="s">
        <v>466</v>
      </c>
      <c r="APF5" s="1563" t="s">
        <v>66</v>
      </c>
      <c r="APG5" s="668" t="s">
        <v>62</v>
      </c>
      <c r="APH5" s="1563" t="s">
        <v>465</v>
      </c>
      <c r="API5" s="668" t="s">
        <v>466</v>
      </c>
      <c r="APJ5" s="1563" t="s">
        <v>66</v>
      </c>
      <c r="APK5" s="668" t="s">
        <v>62</v>
      </c>
      <c r="APL5" s="1563" t="s">
        <v>465</v>
      </c>
      <c r="APM5" s="668" t="s">
        <v>466</v>
      </c>
      <c r="APN5" s="1563" t="s">
        <v>66</v>
      </c>
      <c r="APO5" s="668" t="s">
        <v>62</v>
      </c>
      <c r="APP5" s="1563" t="s">
        <v>465</v>
      </c>
      <c r="APQ5" s="668" t="s">
        <v>466</v>
      </c>
      <c r="APR5" s="1563" t="s">
        <v>66</v>
      </c>
      <c r="APS5" s="668" t="s">
        <v>62</v>
      </c>
      <c r="APT5" s="1563" t="s">
        <v>465</v>
      </c>
      <c r="APU5" s="668" t="s">
        <v>466</v>
      </c>
      <c r="APV5" s="1563" t="s">
        <v>66</v>
      </c>
      <c r="APW5" s="668" t="s">
        <v>62</v>
      </c>
      <c r="APX5" s="1563" t="s">
        <v>465</v>
      </c>
      <c r="APY5" s="668" t="s">
        <v>466</v>
      </c>
      <c r="APZ5" s="1563" t="s">
        <v>66</v>
      </c>
      <c r="AQA5" s="745" t="str">
        <f>AOY3</f>
        <v>Semana 31</v>
      </c>
      <c r="AQB5" s="1784"/>
      <c r="AQC5" s="739" t="str">
        <f>AOY3</f>
        <v>Semana 31</v>
      </c>
      <c r="AQD5" s="742" t="str">
        <f>AOY3</f>
        <v>Semana 31</v>
      </c>
      <c r="AQE5" s="721" t="s">
        <v>62</v>
      </c>
      <c r="AQF5" s="722" t="s">
        <v>465</v>
      </c>
      <c r="AQG5" s="721" t="s">
        <v>466</v>
      </c>
      <c r="AQH5" s="722" t="s">
        <v>66</v>
      </c>
      <c r="AQI5" s="723" t="s">
        <v>62</v>
      </c>
      <c r="AQJ5" s="724" t="s">
        <v>465</v>
      </c>
      <c r="AQK5" s="723" t="s">
        <v>466</v>
      </c>
      <c r="AQL5" s="724" t="s">
        <v>66</v>
      </c>
      <c r="AQM5" s="723" t="s">
        <v>62</v>
      </c>
      <c r="AQN5" s="724" t="s">
        <v>465</v>
      </c>
      <c r="AQO5" s="723" t="s">
        <v>466</v>
      </c>
      <c r="AQP5" s="724" t="s">
        <v>66</v>
      </c>
      <c r="AQQ5" s="723" t="s">
        <v>62</v>
      </c>
      <c r="AQR5" s="724" t="s">
        <v>465</v>
      </c>
      <c r="AQS5" s="723" t="s">
        <v>466</v>
      </c>
      <c r="AQT5" s="724" t="s">
        <v>66</v>
      </c>
      <c r="AQU5" s="723" t="s">
        <v>62</v>
      </c>
      <c r="AQV5" s="724" t="s">
        <v>465</v>
      </c>
      <c r="AQW5" s="723" t="s">
        <v>466</v>
      </c>
      <c r="AQX5" s="724" t="s">
        <v>66</v>
      </c>
      <c r="AQY5" s="723" t="s">
        <v>62</v>
      </c>
      <c r="AQZ5" s="724" t="s">
        <v>465</v>
      </c>
      <c r="ARA5" s="723" t="s">
        <v>466</v>
      </c>
      <c r="ARB5" s="724" t="s">
        <v>66</v>
      </c>
      <c r="ARC5" s="723" t="s">
        <v>62</v>
      </c>
      <c r="ARD5" s="724" t="s">
        <v>465</v>
      </c>
      <c r="ARE5" s="723" t="s">
        <v>466</v>
      </c>
      <c r="ARF5" s="724" t="s">
        <v>66</v>
      </c>
      <c r="ARG5" s="748" t="str">
        <f>AQE3</f>
        <v>Semana 32</v>
      </c>
      <c r="ARH5" s="1793"/>
      <c r="ARI5" s="751" t="str">
        <f>AQE3</f>
        <v>Semana 32</v>
      </c>
      <c r="ARJ5" s="754" t="str">
        <f>AQE3</f>
        <v>Semana 32</v>
      </c>
      <c r="ARK5" s="706" t="s">
        <v>62</v>
      </c>
      <c r="ARL5" s="707" t="s">
        <v>465</v>
      </c>
      <c r="ARM5" s="706" t="s">
        <v>466</v>
      </c>
      <c r="ARN5" s="707" t="s">
        <v>66</v>
      </c>
      <c r="ARO5" s="668" t="s">
        <v>62</v>
      </c>
      <c r="ARP5" s="1563" t="s">
        <v>465</v>
      </c>
      <c r="ARQ5" s="668" t="s">
        <v>466</v>
      </c>
      <c r="ARR5" s="1563" t="s">
        <v>66</v>
      </c>
      <c r="ARS5" s="668" t="s">
        <v>62</v>
      </c>
      <c r="ART5" s="1563" t="s">
        <v>465</v>
      </c>
      <c r="ARU5" s="668" t="s">
        <v>466</v>
      </c>
      <c r="ARV5" s="1563" t="s">
        <v>66</v>
      </c>
      <c r="ARW5" s="668" t="s">
        <v>62</v>
      </c>
      <c r="ARX5" s="1563" t="s">
        <v>465</v>
      </c>
      <c r="ARY5" s="668" t="s">
        <v>466</v>
      </c>
      <c r="ARZ5" s="1563" t="s">
        <v>66</v>
      </c>
      <c r="ASA5" s="668" t="s">
        <v>62</v>
      </c>
      <c r="ASB5" s="1563" t="s">
        <v>465</v>
      </c>
      <c r="ASC5" s="668" t="s">
        <v>466</v>
      </c>
      <c r="ASD5" s="1563" t="s">
        <v>66</v>
      </c>
      <c r="ASE5" s="668" t="s">
        <v>62</v>
      </c>
      <c r="ASF5" s="1563" t="s">
        <v>465</v>
      </c>
      <c r="ASG5" s="668" t="s">
        <v>466</v>
      </c>
      <c r="ASH5" s="1563" t="s">
        <v>66</v>
      </c>
      <c r="ASI5" s="668" t="s">
        <v>62</v>
      </c>
      <c r="ASJ5" s="1563" t="s">
        <v>465</v>
      </c>
      <c r="ASK5" s="668" t="s">
        <v>466</v>
      </c>
      <c r="ASL5" s="1563" t="s">
        <v>66</v>
      </c>
      <c r="ASM5" s="745" t="str">
        <f>ARK3</f>
        <v>Semana 33</v>
      </c>
      <c r="ASN5" s="1786"/>
      <c r="ASO5" s="739" t="str">
        <f>ARK3</f>
        <v>Semana 33</v>
      </c>
      <c r="ASP5" s="742" t="str">
        <f>ARK3</f>
        <v>Semana 33</v>
      </c>
      <c r="ASQ5" s="721" t="s">
        <v>62</v>
      </c>
      <c r="ASR5" s="722" t="s">
        <v>465</v>
      </c>
      <c r="ASS5" s="721" t="s">
        <v>466</v>
      </c>
      <c r="AST5" s="722" t="s">
        <v>66</v>
      </c>
      <c r="ASU5" s="723" t="s">
        <v>62</v>
      </c>
      <c r="ASV5" s="724" t="s">
        <v>465</v>
      </c>
      <c r="ASW5" s="723" t="s">
        <v>466</v>
      </c>
      <c r="ASX5" s="724" t="s">
        <v>66</v>
      </c>
      <c r="ASY5" s="723" t="s">
        <v>62</v>
      </c>
      <c r="ASZ5" s="724" t="s">
        <v>465</v>
      </c>
      <c r="ATA5" s="723" t="s">
        <v>466</v>
      </c>
      <c r="ATB5" s="724" t="s">
        <v>66</v>
      </c>
      <c r="ATC5" s="723" t="s">
        <v>62</v>
      </c>
      <c r="ATD5" s="724" t="s">
        <v>465</v>
      </c>
      <c r="ATE5" s="723" t="s">
        <v>466</v>
      </c>
      <c r="ATF5" s="724" t="s">
        <v>66</v>
      </c>
      <c r="ATG5" s="723" t="s">
        <v>62</v>
      </c>
      <c r="ATH5" s="724" t="s">
        <v>465</v>
      </c>
      <c r="ATI5" s="723" t="s">
        <v>466</v>
      </c>
      <c r="ATJ5" s="724" t="s">
        <v>66</v>
      </c>
      <c r="ATK5" s="723" t="s">
        <v>62</v>
      </c>
      <c r="ATL5" s="724" t="s">
        <v>465</v>
      </c>
      <c r="ATM5" s="723" t="s">
        <v>466</v>
      </c>
      <c r="ATN5" s="724" t="s">
        <v>66</v>
      </c>
      <c r="ATO5" s="723" t="s">
        <v>62</v>
      </c>
      <c r="ATP5" s="724" t="s">
        <v>465</v>
      </c>
      <c r="ATQ5" s="723" t="s">
        <v>466</v>
      </c>
      <c r="ATR5" s="724" t="s">
        <v>66</v>
      </c>
      <c r="ATS5" s="748" t="str">
        <f>ASQ3</f>
        <v>Semana 34</v>
      </c>
      <c r="ATT5" s="1788"/>
      <c r="ATU5" s="751" t="str">
        <f>ASQ3</f>
        <v>Semana 34</v>
      </c>
      <c r="ATV5" s="754" t="str">
        <f>ASQ3</f>
        <v>Semana 34</v>
      </c>
      <c r="ATW5" s="706" t="s">
        <v>62</v>
      </c>
      <c r="ATX5" s="707" t="s">
        <v>465</v>
      </c>
      <c r="ATY5" s="706" t="s">
        <v>466</v>
      </c>
      <c r="ATZ5" s="707" t="s">
        <v>66</v>
      </c>
      <c r="AUA5" s="668" t="s">
        <v>62</v>
      </c>
      <c r="AUB5" s="1563" t="s">
        <v>465</v>
      </c>
      <c r="AUC5" s="668" t="s">
        <v>466</v>
      </c>
      <c r="AUD5" s="1563" t="s">
        <v>66</v>
      </c>
      <c r="AUE5" s="668" t="s">
        <v>62</v>
      </c>
      <c r="AUF5" s="1563" t="s">
        <v>465</v>
      </c>
      <c r="AUG5" s="668" t="s">
        <v>466</v>
      </c>
      <c r="AUH5" s="1563" t="s">
        <v>66</v>
      </c>
      <c r="AUI5" s="668" t="s">
        <v>62</v>
      </c>
      <c r="AUJ5" s="1563" t="s">
        <v>465</v>
      </c>
      <c r="AUK5" s="668" t="s">
        <v>466</v>
      </c>
      <c r="AUL5" s="1563" t="s">
        <v>66</v>
      </c>
      <c r="AUM5" s="668" t="s">
        <v>62</v>
      </c>
      <c r="AUN5" s="1563" t="s">
        <v>465</v>
      </c>
      <c r="AUO5" s="668" t="s">
        <v>466</v>
      </c>
      <c r="AUP5" s="1563" t="s">
        <v>66</v>
      </c>
      <c r="AUQ5" s="668" t="s">
        <v>62</v>
      </c>
      <c r="AUR5" s="1563" t="s">
        <v>465</v>
      </c>
      <c r="AUS5" s="668" t="s">
        <v>466</v>
      </c>
      <c r="AUT5" s="1563" t="s">
        <v>66</v>
      </c>
      <c r="AUU5" s="668" t="s">
        <v>62</v>
      </c>
      <c r="AUV5" s="1563" t="s">
        <v>465</v>
      </c>
      <c r="AUW5" s="668" t="s">
        <v>466</v>
      </c>
      <c r="AUX5" s="1563" t="s">
        <v>66</v>
      </c>
      <c r="AUY5" s="745" t="str">
        <f>ATW3</f>
        <v>Semana 35</v>
      </c>
      <c r="AUZ5" s="1786"/>
      <c r="AVA5" s="739" t="str">
        <f>ATW3</f>
        <v>Semana 35</v>
      </c>
      <c r="AVB5" s="742" t="str">
        <f>ATW3</f>
        <v>Semana 35</v>
      </c>
      <c r="AVC5" s="706" t="s">
        <v>62</v>
      </c>
      <c r="AVD5" s="707" t="s">
        <v>465</v>
      </c>
      <c r="AVE5" s="706" t="s">
        <v>466</v>
      </c>
      <c r="AVF5" s="707" t="s">
        <v>66</v>
      </c>
      <c r="AVG5" s="668" t="s">
        <v>62</v>
      </c>
      <c r="AVH5" s="1563" t="s">
        <v>465</v>
      </c>
      <c r="AVI5" s="668" t="s">
        <v>466</v>
      </c>
      <c r="AVJ5" s="1563" t="s">
        <v>66</v>
      </c>
      <c r="AVK5" s="668" t="s">
        <v>62</v>
      </c>
      <c r="AVL5" s="1563" t="s">
        <v>465</v>
      </c>
      <c r="AVM5" s="668" t="s">
        <v>466</v>
      </c>
      <c r="AVN5" s="1563" t="s">
        <v>66</v>
      </c>
      <c r="AVO5" s="668" t="s">
        <v>62</v>
      </c>
      <c r="AVP5" s="1563" t="s">
        <v>465</v>
      </c>
      <c r="AVQ5" s="668" t="s">
        <v>466</v>
      </c>
      <c r="AVR5" s="1563" t="s">
        <v>66</v>
      </c>
      <c r="AVS5" s="668" t="s">
        <v>62</v>
      </c>
      <c r="AVT5" s="1563" t="s">
        <v>465</v>
      </c>
      <c r="AVU5" s="668" t="s">
        <v>466</v>
      </c>
      <c r="AVV5" s="1563" t="s">
        <v>66</v>
      </c>
      <c r="AVW5" s="668" t="s">
        <v>62</v>
      </c>
      <c r="AVX5" s="1563" t="s">
        <v>465</v>
      </c>
      <c r="AVY5" s="668" t="s">
        <v>466</v>
      </c>
      <c r="AVZ5" s="1563" t="s">
        <v>66</v>
      </c>
      <c r="AWA5" s="668" t="s">
        <v>62</v>
      </c>
      <c r="AWB5" s="1563" t="s">
        <v>465</v>
      </c>
      <c r="AWC5" s="668" t="s">
        <v>466</v>
      </c>
      <c r="AWD5" s="1563" t="s">
        <v>66</v>
      </c>
      <c r="AWE5" s="745" t="str">
        <f>AVC3</f>
        <v>Semana 36</v>
      </c>
      <c r="AWF5" s="1784"/>
      <c r="AWG5" s="739" t="str">
        <f>AVC3</f>
        <v>Semana 36</v>
      </c>
      <c r="AWH5" s="742" t="str">
        <f>AVC3</f>
        <v>Semana 36</v>
      </c>
      <c r="AWI5" s="721" t="s">
        <v>62</v>
      </c>
      <c r="AWJ5" s="722" t="s">
        <v>465</v>
      </c>
      <c r="AWK5" s="721" t="s">
        <v>466</v>
      </c>
      <c r="AWL5" s="722" t="s">
        <v>66</v>
      </c>
      <c r="AWM5" s="723" t="s">
        <v>62</v>
      </c>
      <c r="AWN5" s="724" t="s">
        <v>465</v>
      </c>
      <c r="AWO5" s="723" t="s">
        <v>466</v>
      </c>
      <c r="AWP5" s="724" t="s">
        <v>66</v>
      </c>
      <c r="AWQ5" s="723" t="s">
        <v>62</v>
      </c>
      <c r="AWR5" s="724" t="s">
        <v>465</v>
      </c>
      <c r="AWS5" s="723" t="s">
        <v>466</v>
      </c>
      <c r="AWT5" s="724" t="s">
        <v>66</v>
      </c>
      <c r="AWU5" s="723" t="s">
        <v>62</v>
      </c>
      <c r="AWV5" s="724" t="s">
        <v>465</v>
      </c>
      <c r="AWW5" s="723" t="s">
        <v>466</v>
      </c>
      <c r="AWX5" s="724" t="s">
        <v>66</v>
      </c>
      <c r="AWY5" s="723" t="s">
        <v>62</v>
      </c>
      <c r="AWZ5" s="724" t="s">
        <v>465</v>
      </c>
      <c r="AXA5" s="723" t="s">
        <v>466</v>
      </c>
      <c r="AXB5" s="724" t="s">
        <v>66</v>
      </c>
      <c r="AXC5" s="723" t="s">
        <v>62</v>
      </c>
      <c r="AXD5" s="724" t="s">
        <v>465</v>
      </c>
      <c r="AXE5" s="723" t="s">
        <v>466</v>
      </c>
      <c r="AXF5" s="724" t="s">
        <v>66</v>
      </c>
      <c r="AXG5" s="723" t="s">
        <v>62</v>
      </c>
      <c r="AXH5" s="724" t="s">
        <v>465</v>
      </c>
      <c r="AXI5" s="723" t="s">
        <v>466</v>
      </c>
      <c r="AXJ5" s="724" t="s">
        <v>66</v>
      </c>
      <c r="AXK5" s="748" t="str">
        <f>AWI3</f>
        <v>Semana 37</v>
      </c>
      <c r="AXL5" s="1803"/>
      <c r="AXM5" s="751" t="str">
        <f>AWI3</f>
        <v>Semana 37</v>
      </c>
      <c r="AXN5" s="754" t="str">
        <f>AWI3</f>
        <v>Semana 37</v>
      </c>
      <c r="AXO5" s="706" t="s">
        <v>62</v>
      </c>
      <c r="AXP5" s="707" t="s">
        <v>465</v>
      </c>
      <c r="AXQ5" s="706" t="s">
        <v>466</v>
      </c>
      <c r="AXR5" s="707" t="s">
        <v>66</v>
      </c>
      <c r="AXS5" s="668" t="s">
        <v>62</v>
      </c>
      <c r="AXT5" s="1563" t="s">
        <v>465</v>
      </c>
      <c r="AXU5" s="668" t="s">
        <v>466</v>
      </c>
      <c r="AXV5" s="1563" t="s">
        <v>66</v>
      </c>
      <c r="AXW5" s="668" t="s">
        <v>62</v>
      </c>
      <c r="AXX5" s="1563" t="s">
        <v>465</v>
      </c>
      <c r="AXY5" s="668" t="s">
        <v>466</v>
      </c>
      <c r="AXZ5" s="1563" t="s">
        <v>66</v>
      </c>
      <c r="AYA5" s="668" t="s">
        <v>62</v>
      </c>
      <c r="AYB5" s="1563" t="s">
        <v>465</v>
      </c>
      <c r="AYC5" s="668" t="s">
        <v>466</v>
      </c>
      <c r="AYD5" s="1563" t="s">
        <v>66</v>
      </c>
      <c r="AYE5" s="668" t="s">
        <v>62</v>
      </c>
      <c r="AYF5" s="1563" t="s">
        <v>465</v>
      </c>
      <c r="AYG5" s="668" t="s">
        <v>466</v>
      </c>
      <c r="AYH5" s="1563" t="s">
        <v>66</v>
      </c>
      <c r="AYI5" s="668" t="s">
        <v>62</v>
      </c>
      <c r="AYJ5" s="1563" t="s">
        <v>465</v>
      </c>
      <c r="AYK5" s="668" t="s">
        <v>466</v>
      </c>
      <c r="AYL5" s="1563" t="s">
        <v>66</v>
      </c>
      <c r="AYM5" s="668" t="s">
        <v>62</v>
      </c>
      <c r="AYN5" s="1563" t="s">
        <v>465</v>
      </c>
      <c r="AYO5" s="668" t="s">
        <v>466</v>
      </c>
      <c r="AYP5" s="1563" t="s">
        <v>66</v>
      </c>
      <c r="AYQ5" s="745" t="str">
        <f>AXO3</f>
        <v>Semana 38</v>
      </c>
      <c r="AYR5" s="1784"/>
      <c r="AYS5" s="739" t="str">
        <f>AXO3</f>
        <v>Semana 38</v>
      </c>
      <c r="AYT5" s="742" t="str">
        <f>AXO3</f>
        <v>Semana 38</v>
      </c>
      <c r="AYU5" s="721" t="s">
        <v>62</v>
      </c>
      <c r="AYV5" s="722" t="s">
        <v>465</v>
      </c>
      <c r="AYW5" s="721" t="s">
        <v>466</v>
      </c>
      <c r="AYX5" s="722" t="s">
        <v>66</v>
      </c>
      <c r="AYY5" s="723" t="s">
        <v>62</v>
      </c>
      <c r="AYZ5" s="724" t="s">
        <v>465</v>
      </c>
      <c r="AZA5" s="723" t="s">
        <v>466</v>
      </c>
      <c r="AZB5" s="724" t="s">
        <v>66</v>
      </c>
      <c r="AZC5" s="723" t="s">
        <v>62</v>
      </c>
      <c r="AZD5" s="724" t="s">
        <v>465</v>
      </c>
      <c r="AZE5" s="723" t="s">
        <v>466</v>
      </c>
      <c r="AZF5" s="724" t="s">
        <v>66</v>
      </c>
      <c r="AZG5" s="723" t="s">
        <v>62</v>
      </c>
      <c r="AZH5" s="724" t="s">
        <v>465</v>
      </c>
      <c r="AZI5" s="723" t="s">
        <v>466</v>
      </c>
      <c r="AZJ5" s="724" t="s">
        <v>66</v>
      </c>
      <c r="AZK5" s="723" t="s">
        <v>62</v>
      </c>
      <c r="AZL5" s="724" t="s">
        <v>465</v>
      </c>
      <c r="AZM5" s="723" t="s">
        <v>466</v>
      </c>
      <c r="AZN5" s="724" t="s">
        <v>66</v>
      </c>
      <c r="AZO5" s="723" t="s">
        <v>62</v>
      </c>
      <c r="AZP5" s="724" t="s">
        <v>465</v>
      </c>
      <c r="AZQ5" s="723" t="s">
        <v>466</v>
      </c>
      <c r="AZR5" s="724" t="s">
        <v>66</v>
      </c>
      <c r="AZS5" s="723" t="s">
        <v>62</v>
      </c>
      <c r="AZT5" s="724" t="s">
        <v>465</v>
      </c>
      <c r="AZU5" s="723" t="s">
        <v>466</v>
      </c>
      <c r="AZV5" s="724" t="s">
        <v>66</v>
      </c>
      <c r="AZW5" s="748" t="str">
        <f>AYU3</f>
        <v>Semana 39</v>
      </c>
      <c r="AZX5" s="1803"/>
      <c r="AZY5" s="751" t="str">
        <f>AYU3</f>
        <v>Semana 39</v>
      </c>
      <c r="AZZ5" s="754" t="str">
        <f>AYU3</f>
        <v>Semana 39</v>
      </c>
      <c r="BAA5" s="706" t="s">
        <v>62</v>
      </c>
      <c r="BAB5" s="707" t="s">
        <v>465</v>
      </c>
      <c r="BAC5" s="706" t="s">
        <v>466</v>
      </c>
      <c r="BAD5" s="707" t="s">
        <v>66</v>
      </c>
      <c r="BAE5" s="668" t="s">
        <v>62</v>
      </c>
      <c r="BAF5" s="1563" t="s">
        <v>465</v>
      </c>
      <c r="BAG5" s="668" t="s">
        <v>466</v>
      </c>
      <c r="BAH5" s="1563" t="s">
        <v>66</v>
      </c>
      <c r="BAI5" s="668" t="s">
        <v>62</v>
      </c>
      <c r="BAJ5" s="1563" t="s">
        <v>465</v>
      </c>
      <c r="BAK5" s="668" t="s">
        <v>466</v>
      </c>
      <c r="BAL5" s="1563" t="s">
        <v>66</v>
      </c>
      <c r="BAM5" s="668" t="s">
        <v>62</v>
      </c>
      <c r="BAN5" s="1563" t="s">
        <v>465</v>
      </c>
      <c r="BAO5" s="668" t="s">
        <v>466</v>
      </c>
      <c r="BAP5" s="1563" t="s">
        <v>66</v>
      </c>
      <c r="BAQ5" s="668" t="s">
        <v>62</v>
      </c>
      <c r="BAR5" s="1563" t="s">
        <v>465</v>
      </c>
      <c r="BAS5" s="668" t="s">
        <v>466</v>
      </c>
      <c r="BAT5" s="1563" t="s">
        <v>66</v>
      </c>
      <c r="BAU5" s="668" t="s">
        <v>62</v>
      </c>
      <c r="BAV5" s="1563" t="s">
        <v>465</v>
      </c>
      <c r="BAW5" s="668" t="s">
        <v>466</v>
      </c>
      <c r="BAX5" s="1563" t="s">
        <v>66</v>
      </c>
      <c r="BAY5" s="668" t="s">
        <v>62</v>
      </c>
      <c r="BAZ5" s="1563" t="s">
        <v>465</v>
      </c>
      <c r="BBA5" s="668" t="s">
        <v>466</v>
      </c>
      <c r="BBB5" s="1563" t="s">
        <v>66</v>
      </c>
      <c r="BBC5" s="745" t="str">
        <f>BAA3</f>
        <v>Semana 40</v>
      </c>
      <c r="BBD5" s="1784"/>
      <c r="BBE5" s="739" t="str">
        <f>BAA3</f>
        <v>Semana 40</v>
      </c>
      <c r="BBF5" s="742" t="str">
        <f>BAA3</f>
        <v>Semana 40</v>
      </c>
      <c r="BBG5" s="721" t="s">
        <v>62</v>
      </c>
      <c r="BBH5" s="722" t="s">
        <v>465</v>
      </c>
      <c r="BBI5" s="721" t="s">
        <v>466</v>
      </c>
      <c r="BBJ5" s="722" t="s">
        <v>66</v>
      </c>
      <c r="BBK5" s="723" t="s">
        <v>62</v>
      </c>
      <c r="BBL5" s="724" t="s">
        <v>465</v>
      </c>
      <c r="BBM5" s="723" t="s">
        <v>466</v>
      </c>
      <c r="BBN5" s="724" t="s">
        <v>66</v>
      </c>
      <c r="BBO5" s="723" t="s">
        <v>62</v>
      </c>
      <c r="BBP5" s="724" t="s">
        <v>465</v>
      </c>
      <c r="BBQ5" s="723" t="s">
        <v>466</v>
      </c>
      <c r="BBR5" s="724" t="s">
        <v>66</v>
      </c>
      <c r="BBS5" s="723" t="s">
        <v>62</v>
      </c>
      <c r="BBT5" s="724" t="s">
        <v>465</v>
      </c>
      <c r="BBU5" s="723" t="s">
        <v>466</v>
      </c>
      <c r="BBV5" s="724" t="s">
        <v>66</v>
      </c>
      <c r="BBW5" s="723" t="s">
        <v>62</v>
      </c>
      <c r="BBX5" s="724" t="s">
        <v>465</v>
      </c>
      <c r="BBY5" s="723" t="s">
        <v>466</v>
      </c>
      <c r="BBZ5" s="724" t="s">
        <v>66</v>
      </c>
      <c r="BCA5" s="723" t="s">
        <v>62</v>
      </c>
      <c r="BCB5" s="724" t="s">
        <v>465</v>
      </c>
      <c r="BCC5" s="723" t="s">
        <v>466</v>
      </c>
      <c r="BCD5" s="724" t="s">
        <v>66</v>
      </c>
      <c r="BCE5" s="723" t="s">
        <v>62</v>
      </c>
      <c r="BCF5" s="724" t="s">
        <v>465</v>
      </c>
      <c r="BCG5" s="723" t="s">
        <v>466</v>
      </c>
      <c r="BCH5" s="724" t="s">
        <v>66</v>
      </c>
      <c r="BCI5" s="748" t="str">
        <f>BBG3</f>
        <v>Semana 41</v>
      </c>
      <c r="BCJ5" s="1803"/>
      <c r="BCK5" s="751" t="str">
        <f>BBG3</f>
        <v>Semana 41</v>
      </c>
      <c r="BCL5" s="754" t="str">
        <f>BBG3</f>
        <v>Semana 41</v>
      </c>
      <c r="BCM5" s="706" t="s">
        <v>62</v>
      </c>
      <c r="BCN5" s="707" t="s">
        <v>465</v>
      </c>
      <c r="BCO5" s="706" t="s">
        <v>466</v>
      </c>
      <c r="BCP5" s="707" t="s">
        <v>66</v>
      </c>
      <c r="BCQ5" s="668" t="s">
        <v>62</v>
      </c>
      <c r="BCR5" s="1563" t="s">
        <v>465</v>
      </c>
      <c r="BCS5" s="668" t="s">
        <v>466</v>
      </c>
      <c r="BCT5" s="1563" t="s">
        <v>66</v>
      </c>
      <c r="BCU5" s="668" t="s">
        <v>62</v>
      </c>
      <c r="BCV5" s="1563" t="s">
        <v>465</v>
      </c>
      <c r="BCW5" s="668" t="s">
        <v>466</v>
      </c>
      <c r="BCX5" s="1563" t="s">
        <v>66</v>
      </c>
      <c r="BCY5" s="668" t="s">
        <v>62</v>
      </c>
      <c r="BCZ5" s="1563" t="s">
        <v>465</v>
      </c>
      <c r="BDA5" s="668" t="s">
        <v>466</v>
      </c>
      <c r="BDB5" s="1563" t="s">
        <v>66</v>
      </c>
      <c r="BDC5" s="668" t="s">
        <v>62</v>
      </c>
      <c r="BDD5" s="1563" t="s">
        <v>465</v>
      </c>
      <c r="BDE5" s="668" t="s">
        <v>466</v>
      </c>
      <c r="BDF5" s="1563" t="s">
        <v>66</v>
      </c>
      <c r="BDG5" s="668" t="s">
        <v>62</v>
      </c>
      <c r="BDH5" s="1563" t="s">
        <v>465</v>
      </c>
      <c r="BDI5" s="668" t="s">
        <v>466</v>
      </c>
      <c r="BDJ5" s="1563" t="s">
        <v>66</v>
      </c>
      <c r="BDK5" s="668" t="s">
        <v>62</v>
      </c>
      <c r="BDL5" s="1563" t="s">
        <v>465</v>
      </c>
      <c r="BDM5" s="668" t="s">
        <v>466</v>
      </c>
      <c r="BDN5" s="1563" t="s">
        <v>66</v>
      </c>
      <c r="BDO5" s="745" t="str">
        <f>BCM3</f>
        <v>Semana 42</v>
      </c>
      <c r="BDP5" s="1784"/>
      <c r="BDQ5" s="739" t="str">
        <f>BCM3</f>
        <v>Semana 42</v>
      </c>
      <c r="BDR5" s="742" t="str">
        <f>BCM3</f>
        <v>Semana 42</v>
      </c>
      <c r="BDS5" s="721" t="s">
        <v>62</v>
      </c>
      <c r="BDT5" s="722" t="s">
        <v>465</v>
      </c>
      <c r="BDU5" s="721" t="s">
        <v>466</v>
      </c>
      <c r="BDV5" s="722" t="s">
        <v>66</v>
      </c>
      <c r="BDW5" s="723" t="s">
        <v>62</v>
      </c>
      <c r="BDX5" s="724" t="s">
        <v>465</v>
      </c>
      <c r="BDY5" s="723" t="s">
        <v>466</v>
      </c>
      <c r="BDZ5" s="724" t="s">
        <v>66</v>
      </c>
      <c r="BEA5" s="723" t="s">
        <v>62</v>
      </c>
      <c r="BEB5" s="724" t="s">
        <v>465</v>
      </c>
      <c r="BEC5" s="723" t="s">
        <v>466</v>
      </c>
      <c r="BED5" s="724" t="s">
        <v>66</v>
      </c>
      <c r="BEE5" s="723" t="s">
        <v>62</v>
      </c>
      <c r="BEF5" s="724" t="s">
        <v>465</v>
      </c>
      <c r="BEG5" s="723" t="s">
        <v>466</v>
      </c>
      <c r="BEH5" s="724" t="s">
        <v>66</v>
      </c>
      <c r="BEI5" s="723" t="s">
        <v>62</v>
      </c>
      <c r="BEJ5" s="724" t="s">
        <v>465</v>
      </c>
      <c r="BEK5" s="723" t="s">
        <v>466</v>
      </c>
      <c r="BEL5" s="724" t="s">
        <v>66</v>
      </c>
      <c r="BEM5" s="723" t="s">
        <v>62</v>
      </c>
      <c r="BEN5" s="724" t="s">
        <v>465</v>
      </c>
      <c r="BEO5" s="723" t="s">
        <v>466</v>
      </c>
      <c r="BEP5" s="724" t="s">
        <v>66</v>
      </c>
      <c r="BEQ5" s="723" t="s">
        <v>62</v>
      </c>
      <c r="BER5" s="724" t="s">
        <v>465</v>
      </c>
      <c r="BES5" s="723" t="s">
        <v>466</v>
      </c>
      <c r="BET5" s="724" t="s">
        <v>66</v>
      </c>
      <c r="BEU5" s="748" t="str">
        <f>BDS3</f>
        <v>Semana 43</v>
      </c>
      <c r="BEV5" s="1803"/>
      <c r="BEW5" s="751" t="str">
        <f>BDS3</f>
        <v>Semana 43</v>
      </c>
      <c r="BEX5" s="754" t="str">
        <f>BDS3</f>
        <v>Semana 43</v>
      </c>
      <c r="BEY5" s="706" t="s">
        <v>62</v>
      </c>
      <c r="BEZ5" s="707" t="s">
        <v>465</v>
      </c>
      <c r="BFA5" s="706" t="s">
        <v>466</v>
      </c>
      <c r="BFB5" s="707" t="s">
        <v>66</v>
      </c>
      <c r="BFC5" s="668" t="s">
        <v>62</v>
      </c>
      <c r="BFD5" s="1563" t="s">
        <v>465</v>
      </c>
      <c r="BFE5" s="668" t="s">
        <v>466</v>
      </c>
      <c r="BFF5" s="1563" t="s">
        <v>66</v>
      </c>
      <c r="BFG5" s="668" t="s">
        <v>62</v>
      </c>
      <c r="BFH5" s="1563" t="s">
        <v>465</v>
      </c>
      <c r="BFI5" s="668" t="s">
        <v>466</v>
      </c>
      <c r="BFJ5" s="1563" t="s">
        <v>66</v>
      </c>
      <c r="BFK5" s="668" t="s">
        <v>62</v>
      </c>
      <c r="BFL5" s="1563" t="s">
        <v>465</v>
      </c>
      <c r="BFM5" s="668" t="s">
        <v>466</v>
      </c>
      <c r="BFN5" s="1563" t="s">
        <v>66</v>
      </c>
      <c r="BFO5" s="668" t="s">
        <v>62</v>
      </c>
      <c r="BFP5" s="1563" t="s">
        <v>465</v>
      </c>
      <c r="BFQ5" s="668" t="s">
        <v>466</v>
      </c>
      <c r="BFR5" s="1563" t="s">
        <v>66</v>
      </c>
      <c r="BFS5" s="668" t="s">
        <v>62</v>
      </c>
      <c r="BFT5" s="1563" t="s">
        <v>465</v>
      </c>
      <c r="BFU5" s="668" t="s">
        <v>466</v>
      </c>
      <c r="BFV5" s="1563" t="s">
        <v>66</v>
      </c>
      <c r="BFW5" s="668" t="s">
        <v>62</v>
      </c>
      <c r="BFX5" s="1563" t="s">
        <v>465</v>
      </c>
      <c r="BFY5" s="668" t="s">
        <v>466</v>
      </c>
      <c r="BFZ5" s="1563" t="s">
        <v>66</v>
      </c>
      <c r="BGA5" s="745" t="str">
        <f>BEY3</f>
        <v>Semana 44</v>
      </c>
      <c r="BGB5" s="1784"/>
      <c r="BGC5" s="739" t="str">
        <f>BEY3</f>
        <v>Semana 44</v>
      </c>
      <c r="BGD5" s="742" t="str">
        <f>BEY3</f>
        <v>Semana 44</v>
      </c>
      <c r="BGE5" s="721" t="s">
        <v>62</v>
      </c>
      <c r="BGF5" s="722" t="s">
        <v>465</v>
      </c>
      <c r="BGG5" s="721" t="s">
        <v>466</v>
      </c>
      <c r="BGH5" s="722" t="s">
        <v>66</v>
      </c>
      <c r="BGI5" s="723" t="s">
        <v>62</v>
      </c>
      <c r="BGJ5" s="724" t="s">
        <v>465</v>
      </c>
      <c r="BGK5" s="723" t="s">
        <v>466</v>
      </c>
      <c r="BGL5" s="724" t="s">
        <v>66</v>
      </c>
      <c r="BGM5" s="723" t="s">
        <v>62</v>
      </c>
      <c r="BGN5" s="724" t="s">
        <v>465</v>
      </c>
      <c r="BGO5" s="723" t="s">
        <v>466</v>
      </c>
      <c r="BGP5" s="724" t="s">
        <v>66</v>
      </c>
      <c r="BGQ5" s="723" t="s">
        <v>62</v>
      </c>
      <c r="BGR5" s="724" t="s">
        <v>465</v>
      </c>
      <c r="BGS5" s="723" t="s">
        <v>466</v>
      </c>
      <c r="BGT5" s="724" t="s">
        <v>66</v>
      </c>
      <c r="BGU5" s="723" t="s">
        <v>62</v>
      </c>
      <c r="BGV5" s="724" t="s">
        <v>465</v>
      </c>
      <c r="BGW5" s="723" t="s">
        <v>466</v>
      </c>
      <c r="BGX5" s="724" t="s">
        <v>66</v>
      </c>
      <c r="BGY5" s="723" t="s">
        <v>62</v>
      </c>
      <c r="BGZ5" s="724" t="s">
        <v>465</v>
      </c>
      <c r="BHA5" s="723" t="s">
        <v>466</v>
      </c>
      <c r="BHB5" s="724" t="s">
        <v>66</v>
      </c>
      <c r="BHC5" s="723" t="s">
        <v>62</v>
      </c>
      <c r="BHD5" s="724" t="s">
        <v>465</v>
      </c>
      <c r="BHE5" s="723" t="s">
        <v>466</v>
      </c>
      <c r="BHF5" s="724" t="s">
        <v>66</v>
      </c>
      <c r="BHG5" s="748" t="str">
        <f>BGE3</f>
        <v>Semana 45</v>
      </c>
      <c r="BHH5" s="1793"/>
      <c r="BHI5" s="751" t="str">
        <f>BGE3</f>
        <v>Semana 45</v>
      </c>
      <c r="BHJ5" s="754" t="str">
        <f>BGE3</f>
        <v>Semana 45</v>
      </c>
      <c r="BHK5" s="706" t="s">
        <v>62</v>
      </c>
      <c r="BHL5" s="707" t="s">
        <v>465</v>
      </c>
      <c r="BHM5" s="706" t="s">
        <v>466</v>
      </c>
      <c r="BHN5" s="707" t="s">
        <v>66</v>
      </c>
      <c r="BHO5" s="668" t="s">
        <v>62</v>
      </c>
      <c r="BHP5" s="1563" t="s">
        <v>465</v>
      </c>
      <c r="BHQ5" s="668" t="s">
        <v>466</v>
      </c>
      <c r="BHR5" s="1563" t="s">
        <v>66</v>
      </c>
      <c r="BHS5" s="668" t="s">
        <v>62</v>
      </c>
      <c r="BHT5" s="1563" t="s">
        <v>465</v>
      </c>
      <c r="BHU5" s="668" t="s">
        <v>466</v>
      </c>
      <c r="BHV5" s="1563" t="s">
        <v>66</v>
      </c>
      <c r="BHW5" s="668" t="s">
        <v>62</v>
      </c>
      <c r="BHX5" s="1563" t="s">
        <v>465</v>
      </c>
      <c r="BHY5" s="668" t="s">
        <v>466</v>
      </c>
      <c r="BHZ5" s="1563" t="s">
        <v>66</v>
      </c>
      <c r="BIA5" s="668" t="s">
        <v>62</v>
      </c>
      <c r="BIB5" s="1563" t="s">
        <v>465</v>
      </c>
      <c r="BIC5" s="668" t="s">
        <v>466</v>
      </c>
      <c r="BID5" s="1563" t="s">
        <v>66</v>
      </c>
      <c r="BIE5" s="668" t="s">
        <v>62</v>
      </c>
      <c r="BIF5" s="1563" t="s">
        <v>465</v>
      </c>
      <c r="BIG5" s="668" t="s">
        <v>466</v>
      </c>
      <c r="BIH5" s="1563" t="s">
        <v>66</v>
      </c>
      <c r="BII5" s="668" t="s">
        <v>62</v>
      </c>
      <c r="BIJ5" s="1563" t="s">
        <v>465</v>
      </c>
      <c r="BIK5" s="668" t="s">
        <v>466</v>
      </c>
      <c r="BIL5" s="1563" t="s">
        <v>66</v>
      </c>
      <c r="BIM5" s="745" t="str">
        <f>BHK3</f>
        <v>Semana 46</v>
      </c>
      <c r="BIN5" s="1786"/>
      <c r="BIO5" s="739" t="str">
        <f>BHK3</f>
        <v>Semana 46</v>
      </c>
      <c r="BIP5" s="742" t="str">
        <f>BHK3</f>
        <v>Semana 46</v>
      </c>
      <c r="BIQ5" s="721" t="s">
        <v>62</v>
      </c>
      <c r="BIR5" s="722" t="s">
        <v>465</v>
      </c>
      <c r="BIS5" s="721" t="s">
        <v>466</v>
      </c>
      <c r="BIT5" s="722" t="s">
        <v>66</v>
      </c>
      <c r="BIU5" s="723" t="s">
        <v>62</v>
      </c>
      <c r="BIV5" s="724" t="s">
        <v>465</v>
      </c>
      <c r="BIW5" s="723" t="s">
        <v>466</v>
      </c>
      <c r="BIX5" s="724" t="s">
        <v>66</v>
      </c>
      <c r="BIY5" s="723" t="s">
        <v>62</v>
      </c>
      <c r="BIZ5" s="724" t="s">
        <v>465</v>
      </c>
      <c r="BJA5" s="723" t="s">
        <v>466</v>
      </c>
      <c r="BJB5" s="724" t="s">
        <v>66</v>
      </c>
      <c r="BJC5" s="723" t="s">
        <v>62</v>
      </c>
      <c r="BJD5" s="724" t="s">
        <v>465</v>
      </c>
      <c r="BJE5" s="723" t="s">
        <v>466</v>
      </c>
      <c r="BJF5" s="724" t="s">
        <v>66</v>
      </c>
      <c r="BJG5" s="723" t="s">
        <v>62</v>
      </c>
      <c r="BJH5" s="724" t="s">
        <v>465</v>
      </c>
      <c r="BJI5" s="723" t="s">
        <v>466</v>
      </c>
      <c r="BJJ5" s="724" t="s">
        <v>66</v>
      </c>
      <c r="BJK5" s="723" t="s">
        <v>62</v>
      </c>
      <c r="BJL5" s="724" t="s">
        <v>465</v>
      </c>
      <c r="BJM5" s="723" t="s">
        <v>466</v>
      </c>
      <c r="BJN5" s="724" t="s">
        <v>66</v>
      </c>
      <c r="BJO5" s="723" t="s">
        <v>62</v>
      </c>
      <c r="BJP5" s="724" t="s">
        <v>465</v>
      </c>
      <c r="BJQ5" s="723" t="s">
        <v>466</v>
      </c>
      <c r="BJR5" s="724" t="s">
        <v>66</v>
      </c>
      <c r="BJS5" s="748" t="str">
        <f>BIQ3</f>
        <v>Semana 47</v>
      </c>
      <c r="BJT5" s="1788"/>
      <c r="BJU5" s="751" t="str">
        <f>BIQ3</f>
        <v>Semana 47</v>
      </c>
      <c r="BJV5" s="754" t="str">
        <f>BIQ3</f>
        <v>Semana 47</v>
      </c>
      <c r="BJW5" s="706" t="s">
        <v>62</v>
      </c>
      <c r="BJX5" s="707" t="s">
        <v>465</v>
      </c>
      <c r="BJY5" s="706" t="s">
        <v>466</v>
      </c>
      <c r="BJZ5" s="707" t="s">
        <v>66</v>
      </c>
      <c r="BKA5" s="668" t="s">
        <v>62</v>
      </c>
      <c r="BKB5" s="1563" t="s">
        <v>465</v>
      </c>
      <c r="BKC5" s="668" t="s">
        <v>466</v>
      </c>
      <c r="BKD5" s="1563" t="s">
        <v>66</v>
      </c>
      <c r="BKE5" s="668" t="s">
        <v>62</v>
      </c>
      <c r="BKF5" s="1563" t="s">
        <v>465</v>
      </c>
      <c r="BKG5" s="668" t="s">
        <v>466</v>
      </c>
      <c r="BKH5" s="1563" t="s">
        <v>66</v>
      </c>
      <c r="BKI5" s="668" t="s">
        <v>62</v>
      </c>
      <c r="BKJ5" s="1563" t="s">
        <v>465</v>
      </c>
      <c r="BKK5" s="668" t="s">
        <v>466</v>
      </c>
      <c r="BKL5" s="1563" t="s">
        <v>66</v>
      </c>
      <c r="BKM5" s="668" t="s">
        <v>62</v>
      </c>
      <c r="BKN5" s="1563" t="s">
        <v>465</v>
      </c>
      <c r="BKO5" s="668" t="s">
        <v>466</v>
      </c>
      <c r="BKP5" s="1563" t="s">
        <v>66</v>
      </c>
      <c r="BKQ5" s="668" t="s">
        <v>62</v>
      </c>
      <c r="BKR5" s="1563" t="s">
        <v>465</v>
      </c>
      <c r="BKS5" s="668" t="s">
        <v>466</v>
      </c>
      <c r="BKT5" s="1563" t="s">
        <v>66</v>
      </c>
      <c r="BKU5" s="668" t="s">
        <v>62</v>
      </c>
      <c r="BKV5" s="1563" t="s">
        <v>465</v>
      </c>
      <c r="BKW5" s="668" t="s">
        <v>466</v>
      </c>
      <c r="BKX5" s="1563" t="s">
        <v>66</v>
      </c>
      <c r="BKY5" s="745" t="str">
        <f>BJW3</f>
        <v>Semana 48</v>
      </c>
      <c r="BKZ5" s="1786"/>
      <c r="BLA5" s="739" t="str">
        <f>BJW3</f>
        <v>Semana 48</v>
      </c>
      <c r="BLB5" s="742" t="str">
        <f>BJW3</f>
        <v>Semana 48</v>
      </c>
    </row>
    <row r="6" spans="2:1666" ht="15.75" thickBot="1">
      <c r="B6" s="937" t="s">
        <v>276</v>
      </c>
      <c r="C6" s="695">
        <v>43471</v>
      </c>
      <c r="D6" s="696">
        <v>44563</v>
      </c>
      <c r="E6" s="695">
        <v>44562</v>
      </c>
      <c r="F6" s="696">
        <v>44562</v>
      </c>
      <c r="G6" s="695">
        <f>C6+1</f>
        <v>43472</v>
      </c>
      <c r="H6" s="696">
        <f>D6+1</f>
        <v>44564</v>
      </c>
      <c r="I6" s="695">
        <f>H6</f>
        <v>44564</v>
      </c>
      <c r="J6" s="696">
        <f>I6</f>
        <v>44564</v>
      </c>
      <c r="K6" s="695">
        <f>G6+1</f>
        <v>43473</v>
      </c>
      <c r="L6" s="696">
        <f>H6+1</f>
        <v>44565</v>
      </c>
      <c r="M6" s="695">
        <f>L6</f>
        <v>44565</v>
      </c>
      <c r="N6" s="696">
        <f>M6</f>
        <v>44565</v>
      </c>
      <c r="O6" s="695">
        <f>K6+1</f>
        <v>43474</v>
      </c>
      <c r="P6" s="696">
        <f>L6+1</f>
        <v>44566</v>
      </c>
      <c r="Q6" s="695">
        <f>P6</f>
        <v>44566</v>
      </c>
      <c r="R6" s="696">
        <f>Q6</f>
        <v>44566</v>
      </c>
      <c r="S6" s="695">
        <f>O6+1</f>
        <v>43475</v>
      </c>
      <c r="T6" s="696">
        <f>P6+1</f>
        <v>44567</v>
      </c>
      <c r="U6" s="695">
        <f>T6</f>
        <v>44567</v>
      </c>
      <c r="V6" s="696">
        <f>U6</f>
        <v>44567</v>
      </c>
      <c r="W6" s="695">
        <f>S6+1</f>
        <v>43476</v>
      </c>
      <c r="X6" s="696">
        <f>T6+1</f>
        <v>44568</v>
      </c>
      <c r="Y6" s="695">
        <f>X6</f>
        <v>44568</v>
      </c>
      <c r="Z6" s="696">
        <f>Y6</f>
        <v>44568</v>
      </c>
      <c r="AA6" s="695">
        <f>W6+1</f>
        <v>43477</v>
      </c>
      <c r="AB6" s="696">
        <f>X6+1</f>
        <v>44569</v>
      </c>
      <c r="AC6" s="695">
        <f>AB6</f>
        <v>44569</v>
      </c>
      <c r="AD6" s="696">
        <f>AC6</f>
        <v>44569</v>
      </c>
      <c r="AE6" s="776" t="s">
        <v>467</v>
      </c>
      <c r="AF6" s="1872"/>
      <c r="AG6" s="777" t="s">
        <v>468</v>
      </c>
      <c r="AH6" s="743" t="str">
        <f>AG6</f>
        <v>2021</v>
      </c>
      <c r="AI6" s="725">
        <f>AA6+1</f>
        <v>43478</v>
      </c>
      <c r="AJ6" s="726">
        <f>AB6+1</f>
        <v>44570</v>
      </c>
      <c r="AK6" s="725">
        <f>AJ6</f>
        <v>44570</v>
      </c>
      <c r="AL6" s="726">
        <f>AK6</f>
        <v>44570</v>
      </c>
      <c r="AM6" s="725">
        <f>AI6+1</f>
        <v>43479</v>
      </c>
      <c r="AN6" s="726">
        <f>AJ6+1</f>
        <v>44571</v>
      </c>
      <c r="AO6" s="725">
        <f>AN6</f>
        <v>44571</v>
      </c>
      <c r="AP6" s="726">
        <f>AO6</f>
        <v>44571</v>
      </c>
      <c r="AQ6" s="725">
        <f>AM6+1</f>
        <v>43480</v>
      </c>
      <c r="AR6" s="726">
        <f>AN6+1</f>
        <v>44572</v>
      </c>
      <c r="AS6" s="725">
        <f>AR6</f>
        <v>44572</v>
      </c>
      <c r="AT6" s="726">
        <f>AS6</f>
        <v>44572</v>
      </c>
      <c r="AU6" s="725">
        <f>AQ6+1</f>
        <v>43481</v>
      </c>
      <c r="AV6" s="726">
        <f>AR6+1</f>
        <v>44573</v>
      </c>
      <c r="AW6" s="725">
        <f>AV6</f>
        <v>44573</v>
      </c>
      <c r="AX6" s="726">
        <f>AW6</f>
        <v>44573</v>
      </c>
      <c r="AY6" s="725">
        <f>AU6+1</f>
        <v>43482</v>
      </c>
      <c r="AZ6" s="726">
        <f>AV6+1</f>
        <v>44574</v>
      </c>
      <c r="BA6" s="725">
        <f>AZ6</f>
        <v>44574</v>
      </c>
      <c r="BB6" s="726">
        <f>BA6</f>
        <v>44574</v>
      </c>
      <c r="BC6" s="725">
        <f>AY6+1</f>
        <v>43483</v>
      </c>
      <c r="BD6" s="726">
        <f>AZ6+1</f>
        <v>44575</v>
      </c>
      <c r="BE6" s="725">
        <f>BD6</f>
        <v>44575</v>
      </c>
      <c r="BF6" s="726">
        <f>BE6</f>
        <v>44575</v>
      </c>
      <c r="BG6" s="725">
        <f>BC6+1</f>
        <v>43484</v>
      </c>
      <c r="BH6" s="726">
        <f>BD6+1</f>
        <v>44576</v>
      </c>
      <c r="BI6" s="725">
        <f>BH6</f>
        <v>44576</v>
      </c>
      <c r="BJ6" s="726">
        <f>BI6</f>
        <v>44576</v>
      </c>
      <c r="BK6" s="749" t="s">
        <v>467</v>
      </c>
      <c r="BL6" s="1875"/>
      <c r="BM6" s="752" t="s">
        <v>468</v>
      </c>
      <c r="BN6" s="755" t="str">
        <f>BM6</f>
        <v>2021</v>
      </c>
      <c r="BO6" s="695">
        <f>BG6+1</f>
        <v>43485</v>
      </c>
      <c r="BP6" s="696">
        <f>BH6+1</f>
        <v>44577</v>
      </c>
      <c r="BQ6" s="695">
        <f>BP6</f>
        <v>44577</v>
      </c>
      <c r="BR6" s="696">
        <f>BQ6</f>
        <v>44577</v>
      </c>
      <c r="BS6" s="695">
        <f>BO6+1</f>
        <v>43486</v>
      </c>
      <c r="BT6" s="696">
        <f>BP6+1</f>
        <v>44578</v>
      </c>
      <c r="BU6" s="695">
        <f>BT6</f>
        <v>44578</v>
      </c>
      <c r="BV6" s="696">
        <f>BU6</f>
        <v>44578</v>
      </c>
      <c r="BW6" s="695">
        <f>BS6+1</f>
        <v>43487</v>
      </c>
      <c r="BX6" s="696">
        <f>BT6+1</f>
        <v>44579</v>
      </c>
      <c r="BY6" s="695">
        <f>BX6</f>
        <v>44579</v>
      </c>
      <c r="BZ6" s="696">
        <f>BY6</f>
        <v>44579</v>
      </c>
      <c r="CA6" s="695">
        <f>BW6+1</f>
        <v>43488</v>
      </c>
      <c r="CB6" s="696">
        <f>BX6+1</f>
        <v>44580</v>
      </c>
      <c r="CC6" s="695">
        <f>CB6</f>
        <v>44580</v>
      </c>
      <c r="CD6" s="696">
        <f>CC6</f>
        <v>44580</v>
      </c>
      <c r="CE6" s="695">
        <f>CA6+1</f>
        <v>43489</v>
      </c>
      <c r="CF6" s="696">
        <f>CB6+1</f>
        <v>44581</v>
      </c>
      <c r="CG6" s="695">
        <f>CF6</f>
        <v>44581</v>
      </c>
      <c r="CH6" s="696">
        <f>CG6</f>
        <v>44581</v>
      </c>
      <c r="CI6" s="695">
        <f>CE6+1</f>
        <v>43490</v>
      </c>
      <c r="CJ6" s="696">
        <f>CF6+1</f>
        <v>44582</v>
      </c>
      <c r="CK6" s="695">
        <f>CJ6</f>
        <v>44582</v>
      </c>
      <c r="CL6" s="696">
        <f>CK6</f>
        <v>44582</v>
      </c>
      <c r="CM6" s="695">
        <f>CI6+1</f>
        <v>43491</v>
      </c>
      <c r="CN6" s="696">
        <f>CJ6+1</f>
        <v>44583</v>
      </c>
      <c r="CO6" s="695">
        <f>CN6</f>
        <v>44583</v>
      </c>
      <c r="CP6" s="696">
        <f>CO6</f>
        <v>44583</v>
      </c>
      <c r="CQ6" s="746" t="s">
        <v>467</v>
      </c>
      <c r="CR6" s="1873"/>
      <c r="CS6" s="740" t="s">
        <v>468</v>
      </c>
      <c r="CT6" s="743" t="str">
        <f>CS6</f>
        <v>2021</v>
      </c>
      <c r="CU6" s="725">
        <f>CM6+1</f>
        <v>43492</v>
      </c>
      <c r="CV6" s="726">
        <f>CN6+1</f>
        <v>44584</v>
      </c>
      <c r="CW6" s="725">
        <f>CV6</f>
        <v>44584</v>
      </c>
      <c r="CX6" s="726">
        <f>CW6</f>
        <v>44584</v>
      </c>
      <c r="CY6" s="725">
        <f>CU6+1</f>
        <v>43493</v>
      </c>
      <c r="CZ6" s="726">
        <f>CV6+1</f>
        <v>44585</v>
      </c>
      <c r="DA6" s="725">
        <f>CZ6</f>
        <v>44585</v>
      </c>
      <c r="DB6" s="726">
        <f>DA6</f>
        <v>44585</v>
      </c>
      <c r="DC6" s="725">
        <f>CY6+1</f>
        <v>43494</v>
      </c>
      <c r="DD6" s="726">
        <f>CZ6+1</f>
        <v>44586</v>
      </c>
      <c r="DE6" s="725">
        <f>DD6</f>
        <v>44586</v>
      </c>
      <c r="DF6" s="726">
        <f>DE6</f>
        <v>44586</v>
      </c>
      <c r="DG6" s="725">
        <f>DC6+1</f>
        <v>43495</v>
      </c>
      <c r="DH6" s="726">
        <f>DD6+1</f>
        <v>44587</v>
      </c>
      <c r="DI6" s="725">
        <f>DH6</f>
        <v>44587</v>
      </c>
      <c r="DJ6" s="726">
        <f>DI6</f>
        <v>44587</v>
      </c>
      <c r="DK6" s="725">
        <f>DG6+1</f>
        <v>43496</v>
      </c>
      <c r="DL6" s="726">
        <f>DH6+1</f>
        <v>44588</v>
      </c>
      <c r="DM6" s="725">
        <f>DL6</f>
        <v>44588</v>
      </c>
      <c r="DN6" s="726">
        <f>DM6</f>
        <v>44588</v>
      </c>
      <c r="DO6" s="725">
        <f>DK6+1</f>
        <v>43497</v>
      </c>
      <c r="DP6" s="726">
        <f>DL6+1</f>
        <v>44589</v>
      </c>
      <c r="DQ6" s="725">
        <f>DP6</f>
        <v>44589</v>
      </c>
      <c r="DR6" s="726">
        <f>DQ6</f>
        <v>44589</v>
      </c>
      <c r="DS6" s="725">
        <f>DO6+1</f>
        <v>43498</v>
      </c>
      <c r="DT6" s="726">
        <f>DP6+1</f>
        <v>44590</v>
      </c>
      <c r="DU6" s="725">
        <f>DT6</f>
        <v>44590</v>
      </c>
      <c r="DV6" s="726">
        <f>DU6</f>
        <v>44590</v>
      </c>
      <c r="DW6" s="749" t="s">
        <v>467</v>
      </c>
      <c r="DX6" s="1874"/>
      <c r="DY6" s="752" t="s">
        <v>468</v>
      </c>
      <c r="DZ6" s="755" t="str">
        <f>DY6</f>
        <v>2021</v>
      </c>
      <c r="EA6" s="695">
        <f>DS6+1</f>
        <v>43499</v>
      </c>
      <c r="EB6" s="696">
        <f>DT6+1</f>
        <v>44591</v>
      </c>
      <c r="EC6" s="695">
        <f>EB6</f>
        <v>44591</v>
      </c>
      <c r="ED6" s="696">
        <f>EC6</f>
        <v>44591</v>
      </c>
      <c r="EE6" s="695">
        <f>EA6+1</f>
        <v>43500</v>
      </c>
      <c r="EF6" s="696">
        <f>EB6+1</f>
        <v>44592</v>
      </c>
      <c r="EG6" s="695">
        <f>EF6</f>
        <v>44592</v>
      </c>
      <c r="EH6" s="696">
        <f>EG6</f>
        <v>44592</v>
      </c>
      <c r="EI6" s="695">
        <f>EE6+1</f>
        <v>43501</v>
      </c>
      <c r="EJ6" s="696">
        <f>EF6+1</f>
        <v>44593</v>
      </c>
      <c r="EK6" s="695">
        <f>EJ6</f>
        <v>44593</v>
      </c>
      <c r="EL6" s="696">
        <f>EK6</f>
        <v>44593</v>
      </c>
      <c r="EM6" s="695">
        <f>EI6+1</f>
        <v>43502</v>
      </c>
      <c r="EN6" s="696">
        <f>EJ6+1</f>
        <v>44594</v>
      </c>
      <c r="EO6" s="695">
        <f>EN6</f>
        <v>44594</v>
      </c>
      <c r="EP6" s="696">
        <f>EO6</f>
        <v>44594</v>
      </c>
      <c r="EQ6" s="695">
        <f>EM6+1</f>
        <v>43503</v>
      </c>
      <c r="ER6" s="696">
        <f>EN6+1</f>
        <v>44595</v>
      </c>
      <c r="ES6" s="695">
        <f>ER6</f>
        <v>44595</v>
      </c>
      <c r="ET6" s="696">
        <f>ES6</f>
        <v>44595</v>
      </c>
      <c r="EU6" s="695">
        <f>EQ6+1</f>
        <v>43504</v>
      </c>
      <c r="EV6" s="696">
        <f>ER6+1</f>
        <v>44596</v>
      </c>
      <c r="EW6" s="695">
        <f>EV6</f>
        <v>44596</v>
      </c>
      <c r="EX6" s="696">
        <f>EW6</f>
        <v>44596</v>
      </c>
      <c r="EY6" s="695">
        <f>EU6+1</f>
        <v>43505</v>
      </c>
      <c r="EZ6" s="696">
        <f>EV6+1</f>
        <v>44597</v>
      </c>
      <c r="FA6" s="695">
        <f>EZ6</f>
        <v>44597</v>
      </c>
      <c r="FB6" s="696">
        <f>FA6</f>
        <v>44597</v>
      </c>
      <c r="FC6" s="746" t="s">
        <v>467</v>
      </c>
      <c r="FD6" s="1872"/>
      <c r="FE6" s="740" t="s">
        <v>468</v>
      </c>
      <c r="FF6" s="743" t="str">
        <f>FE6</f>
        <v>2021</v>
      </c>
      <c r="FG6" s="725">
        <f>EY6+1</f>
        <v>43506</v>
      </c>
      <c r="FH6" s="726">
        <f>EZ6+1</f>
        <v>44598</v>
      </c>
      <c r="FI6" s="725">
        <f>FH6</f>
        <v>44598</v>
      </c>
      <c r="FJ6" s="726">
        <f>FI6</f>
        <v>44598</v>
      </c>
      <c r="FK6" s="725">
        <f>FG6+1</f>
        <v>43507</v>
      </c>
      <c r="FL6" s="726">
        <f>FH6+1</f>
        <v>44599</v>
      </c>
      <c r="FM6" s="725">
        <f>FL6</f>
        <v>44599</v>
      </c>
      <c r="FN6" s="726">
        <f>FM6</f>
        <v>44599</v>
      </c>
      <c r="FO6" s="725">
        <f>FK6+1</f>
        <v>43508</v>
      </c>
      <c r="FP6" s="726">
        <f>FL6+1</f>
        <v>44600</v>
      </c>
      <c r="FQ6" s="725">
        <f>FP6</f>
        <v>44600</v>
      </c>
      <c r="FR6" s="726">
        <f>FQ6</f>
        <v>44600</v>
      </c>
      <c r="FS6" s="725">
        <f>FO6+1</f>
        <v>43509</v>
      </c>
      <c r="FT6" s="726">
        <f>FP6+1</f>
        <v>44601</v>
      </c>
      <c r="FU6" s="725">
        <f>FT6</f>
        <v>44601</v>
      </c>
      <c r="FV6" s="726">
        <f>FU6</f>
        <v>44601</v>
      </c>
      <c r="FW6" s="725">
        <f>FS6+1</f>
        <v>43510</v>
      </c>
      <c r="FX6" s="726">
        <f>FT6+1</f>
        <v>44602</v>
      </c>
      <c r="FY6" s="725">
        <f>FX6</f>
        <v>44602</v>
      </c>
      <c r="FZ6" s="726">
        <f>FY6</f>
        <v>44602</v>
      </c>
      <c r="GA6" s="725">
        <f>FW6+1</f>
        <v>43511</v>
      </c>
      <c r="GB6" s="726">
        <f>FX6+1</f>
        <v>44603</v>
      </c>
      <c r="GC6" s="725">
        <f>GB6</f>
        <v>44603</v>
      </c>
      <c r="GD6" s="726">
        <f>GC6</f>
        <v>44603</v>
      </c>
      <c r="GE6" s="725">
        <f>GA6+1</f>
        <v>43512</v>
      </c>
      <c r="GF6" s="726">
        <f>GB6+1</f>
        <v>44604</v>
      </c>
      <c r="GG6" s="725">
        <f>GF6</f>
        <v>44604</v>
      </c>
      <c r="GH6" s="726">
        <f>GG6</f>
        <v>44604</v>
      </c>
      <c r="GI6" s="749" t="s">
        <v>467</v>
      </c>
      <c r="GJ6" s="1871"/>
      <c r="GK6" s="752" t="s">
        <v>468</v>
      </c>
      <c r="GL6" s="755" t="str">
        <f>GK6</f>
        <v>2021</v>
      </c>
      <c r="GM6" s="695">
        <f>GE6+1</f>
        <v>43513</v>
      </c>
      <c r="GN6" s="696">
        <f>GF6+1</f>
        <v>44605</v>
      </c>
      <c r="GO6" s="695">
        <f>GN6</f>
        <v>44605</v>
      </c>
      <c r="GP6" s="696">
        <f>GO6</f>
        <v>44605</v>
      </c>
      <c r="GQ6" s="695">
        <f>GM6+1</f>
        <v>43514</v>
      </c>
      <c r="GR6" s="696">
        <f>GN6+1</f>
        <v>44606</v>
      </c>
      <c r="GS6" s="695">
        <f>GR6</f>
        <v>44606</v>
      </c>
      <c r="GT6" s="696">
        <f>GS6</f>
        <v>44606</v>
      </c>
      <c r="GU6" s="695">
        <f>GQ6+1</f>
        <v>43515</v>
      </c>
      <c r="GV6" s="696">
        <f>GR6+1</f>
        <v>44607</v>
      </c>
      <c r="GW6" s="695">
        <f>GV6</f>
        <v>44607</v>
      </c>
      <c r="GX6" s="696">
        <f>GW6</f>
        <v>44607</v>
      </c>
      <c r="GY6" s="695">
        <f>GU6+1</f>
        <v>43516</v>
      </c>
      <c r="GZ6" s="696">
        <f>GV6+1</f>
        <v>44608</v>
      </c>
      <c r="HA6" s="695">
        <f>GZ6</f>
        <v>44608</v>
      </c>
      <c r="HB6" s="696">
        <f>HA6</f>
        <v>44608</v>
      </c>
      <c r="HC6" s="695">
        <f>GY6+1</f>
        <v>43517</v>
      </c>
      <c r="HD6" s="696">
        <f>GZ6+1</f>
        <v>44609</v>
      </c>
      <c r="HE6" s="695">
        <f>HD6</f>
        <v>44609</v>
      </c>
      <c r="HF6" s="696">
        <f>HE6</f>
        <v>44609</v>
      </c>
      <c r="HG6" s="695">
        <f>HC6+1</f>
        <v>43518</v>
      </c>
      <c r="HH6" s="696">
        <f>HD6+1</f>
        <v>44610</v>
      </c>
      <c r="HI6" s="695">
        <f>HH6</f>
        <v>44610</v>
      </c>
      <c r="HJ6" s="696">
        <f>HI6</f>
        <v>44610</v>
      </c>
      <c r="HK6" s="695">
        <f>HG6+1</f>
        <v>43519</v>
      </c>
      <c r="HL6" s="696">
        <f>HH6+1</f>
        <v>44611</v>
      </c>
      <c r="HM6" s="695">
        <f>HL6</f>
        <v>44611</v>
      </c>
      <c r="HN6" s="696">
        <f>HM6</f>
        <v>44611</v>
      </c>
      <c r="HO6" s="746" t="s">
        <v>467</v>
      </c>
      <c r="HP6" s="1872"/>
      <c r="HQ6" s="740" t="s">
        <v>468</v>
      </c>
      <c r="HR6" s="743" t="str">
        <f>HQ6</f>
        <v>2021</v>
      </c>
      <c r="HS6" s="725">
        <f>HK6+1</f>
        <v>43520</v>
      </c>
      <c r="HT6" s="726">
        <f>HL6+1</f>
        <v>44612</v>
      </c>
      <c r="HU6" s="725">
        <f>HT6</f>
        <v>44612</v>
      </c>
      <c r="HV6" s="726">
        <f>HU6</f>
        <v>44612</v>
      </c>
      <c r="HW6" s="725">
        <f>HS6+1</f>
        <v>43521</v>
      </c>
      <c r="HX6" s="726">
        <f>HT6+1</f>
        <v>44613</v>
      </c>
      <c r="HY6" s="725">
        <f>HX6</f>
        <v>44613</v>
      </c>
      <c r="HZ6" s="726">
        <f>HY6</f>
        <v>44613</v>
      </c>
      <c r="IA6" s="725">
        <f>HW6+1</f>
        <v>43522</v>
      </c>
      <c r="IB6" s="726">
        <f>HX6+1</f>
        <v>44614</v>
      </c>
      <c r="IC6" s="725">
        <f>IB6</f>
        <v>44614</v>
      </c>
      <c r="ID6" s="726">
        <f>IC6</f>
        <v>44614</v>
      </c>
      <c r="IE6" s="725">
        <f>IA6+1</f>
        <v>43523</v>
      </c>
      <c r="IF6" s="726">
        <f>IB6+1</f>
        <v>44615</v>
      </c>
      <c r="IG6" s="725">
        <f>IF6</f>
        <v>44615</v>
      </c>
      <c r="IH6" s="726">
        <f>IG6</f>
        <v>44615</v>
      </c>
      <c r="II6" s="725">
        <f>IE6+1</f>
        <v>43524</v>
      </c>
      <c r="IJ6" s="726">
        <f>IF6+1</f>
        <v>44616</v>
      </c>
      <c r="IK6" s="725">
        <f>IJ6</f>
        <v>44616</v>
      </c>
      <c r="IL6" s="726">
        <f>IK6</f>
        <v>44616</v>
      </c>
      <c r="IM6" s="725">
        <f>II6+1</f>
        <v>43525</v>
      </c>
      <c r="IN6" s="726">
        <f>IJ6+1</f>
        <v>44617</v>
      </c>
      <c r="IO6" s="725">
        <f>IN6</f>
        <v>44617</v>
      </c>
      <c r="IP6" s="726">
        <f>IO6</f>
        <v>44617</v>
      </c>
      <c r="IQ6" s="725">
        <f>IM6+1</f>
        <v>43526</v>
      </c>
      <c r="IR6" s="726">
        <f>IN6+1</f>
        <v>44618</v>
      </c>
      <c r="IS6" s="725">
        <f>IR6</f>
        <v>44618</v>
      </c>
      <c r="IT6" s="726">
        <f>IS6</f>
        <v>44618</v>
      </c>
      <c r="IU6" s="749" t="s">
        <v>467</v>
      </c>
      <c r="IV6" s="1871"/>
      <c r="IW6" s="752" t="s">
        <v>468</v>
      </c>
      <c r="IX6" s="755" t="str">
        <f>IW6</f>
        <v>2021</v>
      </c>
      <c r="IY6" s="695">
        <f>IQ6+1</f>
        <v>43527</v>
      </c>
      <c r="IZ6" s="696">
        <f>IR6+1</f>
        <v>44619</v>
      </c>
      <c r="JA6" s="695">
        <f>IZ6</f>
        <v>44619</v>
      </c>
      <c r="JB6" s="696">
        <f>JA6</f>
        <v>44619</v>
      </c>
      <c r="JC6" s="695">
        <f>IY6+1</f>
        <v>43528</v>
      </c>
      <c r="JD6" s="696">
        <f>IZ6+1</f>
        <v>44620</v>
      </c>
      <c r="JE6" s="695">
        <f>JD6</f>
        <v>44620</v>
      </c>
      <c r="JF6" s="696">
        <f>JE6</f>
        <v>44620</v>
      </c>
      <c r="JG6" s="695">
        <f>JC6+1</f>
        <v>43529</v>
      </c>
      <c r="JH6" s="696">
        <f>JD6+1</f>
        <v>44621</v>
      </c>
      <c r="JI6" s="695">
        <f>JH6</f>
        <v>44621</v>
      </c>
      <c r="JJ6" s="696">
        <f>JI6</f>
        <v>44621</v>
      </c>
      <c r="JK6" s="695">
        <f>JG6+1</f>
        <v>43530</v>
      </c>
      <c r="JL6" s="696">
        <f>JH6+1</f>
        <v>44622</v>
      </c>
      <c r="JM6" s="695">
        <f>JL6</f>
        <v>44622</v>
      </c>
      <c r="JN6" s="696">
        <f>JM6</f>
        <v>44622</v>
      </c>
      <c r="JO6" s="695">
        <f>JK6+1</f>
        <v>43531</v>
      </c>
      <c r="JP6" s="696">
        <f>JL6+1</f>
        <v>44623</v>
      </c>
      <c r="JQ6" s="695">
        <f>JP6</f>
        <v>44623</v>
      </c>
      <c r="JR6" s="696">
        <f>JQ6</f>
        <v>44623</v>
      </c>
      <c r="JS6" s="695">
        <f>JO6+1</f>
        <v>43532</v>
      </c>
      <c r="JT6" s="696">
        <f>JP6+1</f>
        <v>44624</v>
      </c>
      <c r="JU6" s="695">
        <f>JT6</f>
        <v>44624</v>
      </c>
      <c r="JV6" s="696">
        <f>JU6</f>
        <v>44624</v>
      </c>
      <c r="JW6" s="695">
        <f>JS6+1</f>
        <v>43533</v>
      </c>
      <c r="JX6" s="696">
        <f>JT6+1</f>
        <v>44625</v>
      </c>
      <c r="JY6" s="695">
        <f>JX6</f>
        <v>44625</v>
      </c>
      <c r="JZ6" s="696">
        <f>JY6</f>
        <v>44625</v>
      </c>
      <c r="KA6" s="776" t="s">
        <v>467</v>
      </c>
      <c r="KB6" s="1872"/>
      <c r="KC6" s="777" t="s">
        <v>468</v>
      </c>
      <c r="KD6" s="743" t="str">
        <f>KC6</f>
        <v>2021</v>
      </c>
      <c r="KE6" s="725">
        <f>JW6+1</f>
        <v>43534</v>
      </c>
      <c r="KF6" s="726">
        <f>JX6+1</f>
        <v>44626</v>
      </c>
      <c r="KG6" s="725">
        <f>KF6</f>
        <v>44626</v>
      </c>
      <c r="KH6" s="726">
        <f>KG6</f>
        <v>44626</v>
      </c>
      <c r="KI6" s="725">
        <f>KE6+1</f>
        <v>43535</v>
      </c>
      <c r="KJ6" s="726">
        <f>KF6+1</f>
        <v>44627</v>
      </c>
      <c r="KK6" s="725">
        <f>KJ6</f>
        <v>44627</v>
      </c>
      <c r="KL6" s="726">
        <f>KK6</f>
        <v>44627</v>
      </c>
      <c r="KM6" s="725">
        <f>KI6+1</f>
        <v>43536</v>
      </c>
      <c r="KN6" s="726">
        <f>KJ6+1</f>
        <v>44628</v>
      </c>
      <c r="KO6" s="725">
        <f>KN6</f>
        <v>44628</v>
      </c>
      <c r="KP6" s="726">
        <f>KO6</f>
        <v>44628</v>
      </c>
      <c r="KQ6" s="725">
        <f>KM6+1</f>
        <v>43537</v>
      </c>
      <c r="KR6" s="726">
        <f>KN6+1</f>
        <v>44629</v>
      </c>
      <c r="KS6" s="725">
        <f>KR6</f>
        <v>44629</v>
      </c>
      <c r="KT6" s="726">
        <f>KS6</f>
        <v>44629</v>
      </c>
      <c r="KU6" s="725">
        <f>KQ6+1</f>
        <v>43538</v>
      </c>
      <c r="KV6" s="726">
        <f>KR6+1</f>
        <v>44630</v>
      </c>
      <c r="KW6" s="725">
        <f>KV6</f>
        <v>44630</v>
      </c>
      <c r="KX6" s="726">
        <f>KW6</f>
        <v>44630</v>
      </c>
      <c r="KY6" s="725">
        <f>KU6+1</f>
        <v>43539</v>
      </c>
      <c r="KZ6" s="726">
        <f>KV6+1</f>
        <v>44631</v>
      </c>
      <c r="LA6" s="725">
        <f>KZ6</f>
        <v>44631</v>
      </c>
      <c r="LB6" s="726">
        <f>LA6</f>
        <v>44631</v>
      </c>
      <c r="LC6" s="725">
        <f>KY6+1</f>
        <v>43540</v>
      </c>
      <c r="LD6" s="726">
        <f>KZ6+1</f>
        <v>44632</v>
      </c>
      <c r="LE6" s="725">
        <f>LD6</f>
        <v>44632</v>
      </c>
      <c r="LF6" s="726">
        <f>LE6</f>
        <v>44632</v>
      </c>
      <c r="LG6" s="749" t="s">
        <v>467</v>
      </c>
      <c r="LH6" s="1875"/>
      <c r="LI6" s="752" t="s">
        <v>468</v>
      </c>
      <c r="LJ6" s="755" t="str">
        <f>LI6</f>
        <v>2021</v>
      </c>
      <c r="LK6" s="695">
        <f>LC6+1</f>
        <v>43541</v>
      </c>
      <c r="LL6" s="696">
        <f>LD6+1</f>
        <v>44633</v>
      </c>
      <c r="LM6" s="695">
        <f>LL6</f>
        <v>44633</v>
      </c>
      <c r="LN6" s="696">
        <f>LM6</f>
        <v>44633</v>
      </c>
      <c r="LO6" s="695">
        <f>LK6+1</f>
        <v>43542</v>
      </c>
      <c r="LP6" s="696">
        <f>LL6+1</f>
        <v>44634</v>
      </c>
      <c r="LQ6" s="695">
        <f>LP6</f>
        <v>44634</v>
      </c>
      <c r="LR6" s="696">
        <f>LQ6</f>
        <v>44634</v>
      </c>
      <c r="LS6" s="695">
        <f>LO6+1</f>
        <v>43543</v>
      </c>
      <c r="LT6" s="696">
        <f>LP6+1</f>
        <v>44635</v>
      </c>
      <c r="LU6" s="695">
        <f>LT6</f>
        <v>44635</v>
      </c>
      <c r="LV6" s="696">
        <f>LU6</f>
        <v>44635</v>
      </c>
      <c r="LW6" s="695">
        <f>LS6+1</f>
        <v>43544</v>
      </c>
      <c r="LX6" s="696">
        <f>LT6+1</f>
        <v>44636</v>
      </c>
      <c r="LY6" s="695">
        <f>LX6</f>
        <v>44636</v>
      </c>
      <c r="LZ6" s="696">
        <f>LY6</f>
        <v>44636</v>
      </c>
      <c r="MA6" s="695">
        <f>LW6+1</f>
        <v>43545</v>
      </c>
      <c r="MB6" s="696">
        <f>LX6+1</f>
        <v>44637</v>
      </c>
      <c r="MC6" s="695">
        <f>MB6</f>
        <v>44637</v>
      </c>
      <c r="MD6" s="696">
        <f>MC6</f>
        <v>44637</v>
      </c>
      <c r="ME6" s="695">
        <f>MA6+1</f>
        <v>43546</v>
      </c>
      <c r="MF6" s="696">
        <f>MB6+1</f>
        <v>44638</v>
      </c>
      <c r="MG6" s="695">
        <f>MF6</f>
        <v>44638</v>
      </c>
      <c r="MH6" s="696">
        <f>MG6</f>
        <v>44638</v>
      </c>
      <c r="MI6" s="695">
        <f>ME6+1</f>
        <v>43547</v>
      </c>
      <c r="MJ6" s="696">
        <f>MF6+1</f>
        <v>44639</v>
      </c>
      <c r="MK6" s="695">
        <f>MJ6</f>
        <v>44639</v>
      </c>
      <c r="ML6" s="696">
        <f>MK6</f>
        <v>44639</v>
      </c>
      <c r="MM6" s="746" t="s">
        <v>467</v>
      </c>
      <c r="MN6" s="1873"/>
      <c r="MO6" s="740" t="s">
        <v>468</v>
      </c>
      <c r="MP6" s="743" t="str">
        <f>MO6</f>
        <v>2021</v>
      </c>
      <c r="MQ6" s="725">
        <f>MI6+1</f>
        <v>43548</v>
      </c>
      <c r="MR6" s="726">
        <f>MJ6+1</f>
        <v>44640</v>
      </c>
      <c r="MS6" s="725">
        <f>MR6</f>
        <v>44640</v>
      </c>
      <c r="MT6" s="726">
        <f>MS6</f>
        <v>44640</v>
      </c>
      <c r="MU6" s="725">
        <f>MQ6+1</f>
        <v>43549</v>
      </c>
      <c r="MV6" s="726">
        <f>MR6+1</f>
        <v>44641</v>
      </c>
      <c r="MW6" s="725">
        <f>MV6</f>
        <v>44641</v>
      </c>
      <c r="MX6" s="726">
        <f>MW6</f>
        <v>44641</v>
      </c>
      <c r="MY6" s="725">
        <f>MU6+1</f>
        <v>43550</v>
      </c>
      <c r="MZ6" s="726">
        <f>MV6+1</f>
        <v>44642</v>
      </c>
      <c r="NA6" s="725">
        <f>MZ6</f>
        <v>44642</v>
      </c>
      <c r="NB6" s="726">
        <f>NA6</f>
        <v>44642</v>
      </c>
      <c r="NC6" s="725">
        <f>MY6+1</f>
        <v>43551</v>
      </c>
      <c r="ND6" s="726">
        <f>MZ6+1</f>
        <v>44643</v>
      </c>
      <c r="NE6" s="725">
        <f>ND6</f>
        <v>44643</v>
      </c>
      <c r="NF6" s="726">
        <f>NE6</f>
        <v>44643</v>
      </c>
      <c r="NG6" s="725">
        <f>NC6+1</f>
        <v>43552</v>
      </c>
      <c r="NH6" s="726">
        <f>ND6+1</f>
        <v>44644</v>
      </c>
      <c r="NI6" s="725">
        <f>NH6</f>
        <v>44644</v>
      </c>
      <c r="NJ6" s="726">
        <f>NI6</f>
        <v>44644</v>
      </c>
      <c r="NK6" s="725">
        <f>NG6+1</f>
        <v>43553</v>
      </c>
      <c r="NL6" s="726">
        <f>NH6+1</f>
        <v>44645</v>
      </c>
      <c r="NM6" s="725">
        <f>NL6</f>
        <v>44645</v>
      </c>
      <c r="NN6" s="726">
        <f>NM6</f>
        <v>44645</v>
      </c>
      <c r="NO6" s="725">
        <f>NK6+1</f>
        <v>43554</v>
      </c>
      <c r="NP6" s="726">
        <f>NL6+1</f>
        <v>44646</v>
      </c>
      <c r="NQ6" s="725">
        <f>NP6</f>
        <v>44646</v>
      </c>
      <c r="NR6" s="726">
        <f>NQ6</f>
        <v>44646</v>
      </c>
      <c r="NS6" s="749" t="s">
        <v>467</v>
      </c>
      <c r="NT6" s="1874"/>
      <c r="NU6" s="752" t="s">
        <v>468</v>
      </c>
      <c r="NV6" s="755" t="str">
        <f>NU6</f>
        <v>2021</v>
      </c>
      <c r="NW6" s="695">
        <f>NO6+1</f>
        <v>43555</v>
      </c>
      <c r="NX6" s="696">
        <f>NP6+1</f>
        <v>44647</v>
      </c>
      <c r="NY6" s="695">
        <f>NX6</f>
        <v>44647</v>
      </c>
      <c r="NZ6" s="696">
        <f>NY6</f>
        <v>44647</v>
      </c>
      <c r="OA6" s="695">
        <f>NW6+1</f>
        <v>43556</v>
      </c>
      <c r="OB6" s="696">
        <f>NX6+1</f>
        <v>44648</v>
      </c>
      <c r="OC6" s="695">
        <f>OB6</f>
        <v>44648</v>
      </c>
      <c r="OD6" s="696">
        <f>OC6</f>
        <v>44648</v>
      </c>
      <c r="OE6" s="695">
        <f>OA6+1</f>
        <v>43557</v>
      </c>
      <c r="OF6" s="696">
        <f>OB6+1</f>
        <v>44649</v>
      </c>
      <c r="OG6" s="695">
        <f>OF6</f>
        <v>44649</v>
      </c>
      <c r="OH6" s="696">
        <f>OG6</f>
        <v>44649</v>
      </c>
      <c r="OI6" s="695">
        <f>OE6+1</f>
        <v>43558</v>
      </c>
      <c r="OJ6" s="696">
        <f>OF6+1</f>
        <v>44650</v>
      </c>
      <c r="OK6" s="695">
        <f>OJ6</f>
        <v>44650</v>
      </c>
      <c r="OL6" s="696">
        <f>OK6</f>
        <v>44650</v>
      </c>
      <c r="OM6" s="695">
        <f>OI6+1</f>
        <v>43559</v>
      </c>
      <c r="ON6" s="696">
        <f>OJ6+1</f>
        <v>44651</v>
      </c>
      <c r="OO6" s="695">
        <f>ON6</f>
        <v>44651</v>
      </c>
      <c r="OP6" s="696">
        <f>OO6</f>
        <v>44651</v>
      </c>
      <c r="OQ6" s="695">
        <f>OM6+1</f>
        <v>43560</v>
      </c>
      <c r="OR6" s="696">
        <f>ON6+1</f>
        <v>44652</v>
      </c>
      <c r="OS6" s="695">
        <f>OR6</f>
        <v>44652</v>
      </c>
      <c r="OT6" s="696">
        <f>OS6</f>
        <v>44652</v>
      </c>
      <c r="OU6" s="695">
        <f>OQ6+1</f>
        <v>43561</v>
      </c>
      <c r="OV6" s="696">
        <f>OR6+1</f>
        <v>44653</v>
      </c>
      <c r="OW6" s="695">
        <f>OV6</f>
        <v>44653</v>
      </c>
      <c r="OX6" s="696">
        <f>OW6</f>
        <v>44653</v>
      </c>
      <c r="OY6" s="746" t="s">
        <v>467</v>
      </c>
      <c r="OZ6" s="1873"/>
      <c r="PA6" s="740" t="s">
        <v>468</v>
      </c>
      <c r="PB6" s="743" t="str">
        <f>PA6</f>
        <v>2021</v>
      </c>
      <c r="PC6" s="695">
        <f>OU6+1</f>
        <v>43562</v>
      </c>
      <c r="PD6" s="696">
        <f>OV6+1</f>
        <v>44654</v>
      </c>
      <c r="PE6" s="695">
        <f>PD6</f>
        <v>44654</v>
      </c>
      <c r="PF6" s="696">
        <f>PE6</f>
        <v>44654</v>
      </c>
      <c r="PG6" s="695">
        <f>PC6+1</f>
        <v>43563</v>
      </c>
      <c r="PH6" s="696">
        <f>PD6+1</f>
        <v>44655</v>
      </c>
      <c r="PI6" s="695">
        <f>PH6</f>
        <v>44655</v>
      </c>
      <c r="PJ6" s="696">
        <f>PI6</f>
        <v>44655</v>
      </c>
      <c r="PK6" s="695">
        <f>PG6+1</f>
        <v>43564</v>
      </c>
      <c r="PL6" s="696">
        <f>PH6+1</f>
        <v>44656</v>
      </c>
      <c r="PM6" s="695">
        <f>PL6</f>
        <v>44656</v>
      </c>
      <c r="PN6" s="696">
        <f>PM6</f>
        <v>44656</v>
      </c>
      <c r="PO6" s="695">
        <f>PK6+1</f>
        <v>43565</v>
      </c>
      <c r="PP6" s="696">
        <f>PL6+1</f>
        <v>44657</v>
      </c>
      <c r="PQ6" s="695">
        <f>PP6</f>
        <v>44657</v>
      </c>
      <c r="PR6" s="696">
        <f>PQ6</f>
        <v>44657</v>
      </c>
      <c r="PS6" s="695">
        <f>PO6+1</f>
        <v>43566</v>
      </c>
      <c r="PT6" s="696">
        <f>PP6+1</f>
        <v>44658</v>
      </c>
      <c r="PU6" s="695">
        <f>PT6</f>
        <v>44658</v>
      </c>
      <c r="PV6" s="696">
        <f>PU6</f>
        <v>44658</v>
      </c>
      <c r="PW6" s="695">
        <f>PS6+1</f>
        <v>43567</v>
      </c>
      <c r="PX6" s="696">
        <f>PT6+1</f>
        <v>44659</v>
      </c>
      <c r="PY6" s="695">
        <f>PX6</f>
        <v>44659</v>
      </c>
      <c r="PZ6" s="696">
        <f>PY6</f>
        <v>44659</v>
      </c>
      <c r="QA6" s="695">
        <f>PW6+1</f>
        <v>43568</v>
      </c>
      <c r="QB6" s="696">
        <f>PX6+1</f>
        <v>44660</v>
      </c>
      <c r="QC6" s="695">
        <f>QB6</f>
        <v>44660</v>
      </c>
      <c r="QD6" s="696">
        <f>QC6</f>
        <v>44660</v>
      </c>
      <c r="QE6" s="746" t="s">
        <v>467</v>
      </c>
      <c r="QF6" s="1872"/>
      <c r="QG6" s="740" t="s">
        <v>468</v>
      </c>
      <c r="QH6" s="743" t="str">
        <f>QG6</f>
        <v>2021</v>
      </c>
      <c r="QI6" s="725">
        <f>QA6+1</f>
        <v>43569</v>
      </c>
      <c r="QJ6" s="726">
        <f>QB6+1</f>
        <v>44661</v>
      </c>
      <c r="QK6" s="725">
        <f>QJ6</f>
        <v>44661</v>
      </c>
      <c r="QL6" s="726">
        <f>QK6</f>
        <v>44661</v>
      </c>
      <c r="QM6" s="725">
        <f>QI6+1</f>
        <v>43570</v>
      </c>
      <c r="QN6" s="726">
        <f>QJ6+1</f>
        <v>44662</v>
      </c>
      <c r="QO6" s="725">
        <f>QN6</f>
        <v>44662</v>
      </c>
      <c r="QP6" s="726">
        <f>QO6</f>
        <v>44662</v>
      </c>
      <c r="QQ6" s="725">
        <f>QM6+1</f>
        <v>43571</v>
      </c>
      <c r="QR6" s="726">
        <f>QN6+1</f>
        <v>44663</v>
      </c>
      <c r="QS6" s="725">
        <f>QR6</f>
        <v>44663</v>
      </c>
      <c r="QT6" s="726">
        <f>QS6</f>
        <v>44663</v>
      </c>
      <c r="QU6" s="725">
        <f>QQ6+1</f>
        <v>43572</v>
      </c>
      <c r="QV6" s="726">
        <f>QR6+1</f>
        <v>44664</v>
      </c>
      <c r="QW6" s="725">
        <f>QV6</f>
        <v>44664</v>
      </c>
      <c r="QX6" s="726">
        <f>QW6</f>
        <v>44664</v>
      </c>
      <c r="QY6" s="725">
        <f>QU6+1</f>
        <v>43573</v>
      </c>
      <c r="QZ6" s="726">
        <f>QV6+1</f>
        <v>44665</v>
      </c>
      <c r="RA6" s="725">
        <f>QZ6</f>
        <v>44665</v>
      </c>
      <c r="RB6" s="726">
        <f>RA6</f>
        <v>44665</v>
      </c>
      <c r="RC6" s="725">
        <f>QY6+1</f>
        <v>43574</v>
      </c>
      <c r="RD6" s="726">
        <f>QZ6+1</f>
        <v>44666</v>
      </c>
      <c r="RE6" s="725">
        <f>RD6</f>
        <v>44666</v>
      </c>
      <c r="RF6" s="726">
        <f>RE6</f>
        <v>44666</v>
      </c>
      <c r="RG6" s="725">
        <f>RC6+1</f>
        <v>43575</v>
      </c>
      <c r="RH6" s="726">
        <f>RD6+1</f>
        <v>44667</v>
      </c>
      <c r="RI6" s="725">
        <f>RH6</f>
        <v>44667</v>
      </c>
      <c r="RJ6" s="726">
        <f>RI6</f>
        <v>44667</v>
      </c>
      <c r="RK6" s="749" t="s">
        <v>467</v>
      </c>
      <c r="RL6" s="1871"/>
      <c r="RM6" s="752" t="s">
        <v>468</v>
      </c>
      <c r="RN6" s="755" t="str">
        <f>RM6</f>
        <v>2021</v>
      </c>
      <c r="RO6" s="695">
        <f>RG6+1</f>
        <v>43576</v>
      </c>
      <c r="RP6" s="696">
        <f>RH6+1</f>
        <v>44668</v>
      </c>
      <c r="RQ6" s="695">
        <f>RP6</f>
        <v>44668</v>
      </c>
      <c r="RR6" s="696">
        <f>RQ6</f>
        <v>44668</v>
      </c>
      <c r="RS6" s="695">
        <f>RO6+1</f>
        <v>43577</v>
      </c>
      <c r="RT6" s="696">
        <f>RP6+1</f>
        <v>44669</v>
      </c>
      <c r="RU6" s="695">
        <f>RT6</f>
        <v>44669</v>
      </c>
      <c r="RV6" s="696">
        <f>RU6</f>
        <v>44669</v>
      </c>
      <c r="RW6" s="695">
        <f>RS6+1</f>
        <v>43578</v>
      </c>
      <c r="RX6" s="696">
        <f>RT6+1</f>
        <v>44670</v>
      </c>
      <c r="RY6" s="695">
        <f>RX6</f>
        <v>44670</v>
      </c>
      <c r="RZ6" s="696">
        <f>RY6</f>
        <v>44670</v>
      </c>
      <c r="SA6" s="695">
        <f>RW6+1</f>
        <v>43579</v>
      </c>
      <c r="SB6" s="696">
        <f>RX6+1</f>
        <v>44671</v>
      </c>
      <c r="SC6" s="695">
        <f>SB6</f>
        <v>44671</v>
      </c>
      <c r="SD6" s="696">
        <f>SC6</f>
        <v>44671</v>
      </c>
      <c r="SE6" s="695">
        <f>SA6+1</f>
        <v>43580</v>
      </c>
      <c r="SF6" s="696">
        <f>SB6+1</f>
        <v>44672</v>
      </c>
      <c r="SG6" s="695">
        <f>SF6</f>
        <v>44672</v>
      </c>
      <c r="SH6" s="696">
        <f>SG6</f>
        <v>44672</v>
      </c>
      <c r="SI6" s="695">
        <f>SE6+1</f>
        <v>43581</v>
      </c>
      <c r="SJ6" s="696">
        <f>SF6+1</f>
        <v>44673</v>
      </c>
      <c r="SK6" s="695">
        <f>SJ6</f>
        <v>44673</v>
      </c>
      <c r="SL6" s="696">
        <f>SK6</f>
        <v>44673</v>
      </c>
      <c r="SM6" s="695">
        <f>SI6+1</f>
        <v>43582</v>
      </c>
      <c r="SN6" s="696">
        <f>SJ6+1</f>
        <v>44674</v>
      </c>
      <c r="SO6" s="695">
        <f>SN6</f>
        <v>44674</v>
      </c>
      <c r="SP6" s="696">
        <f>SO6</f>
        <v>44674</v>
      </c>
      <c r="SQ6" s="746" t="s">
        <v>467</v>
      </c>
      <c r="SR6" s="1872"/>
      <c r="SS6" s="740" t="s">
        <v>468</v>
      </c>
      <c r="ST6" s="743" t="str">
        <f>SS6</f>
        <v>2021</v>
      </c>
      <c r="SU6" s="725">
        <f>SM6+1</f>
        <v>43583</v>
      </c>
      <c r="SV6" s="726">
        <f>SN6+1</f>
        <v>44675</v>
      </c>
      <c r="SW6" s="725">
        <f>SV6</f>
        <v>44675</v>
      </c>
      <c r="SX6" s="726">
        <f>SW6</f>
        <v>44675</v>
      </c>
      <c r="SY6" s="725">
        <f>SU6+1</f>
        <v>43584</v>
      </c>
      <c r="SZ6" s="726">
        <f>SV6+1</f>
        <v>44676</v>
      </c>
      <c r="TA6" s="725">
        <f>SZ6</f>
        <v>44676</v>
      </c>
      <c r="TB6" s="726">
        <f>TA6</f>
        <v>44676</v>
      </c>
      <c r="TC6" s="725">
        <f>SY6+1</f>
        <v>43585</v>
      </c>
      <c r="TD6" s="726">
        <f>SZ6+1</f>
        <v>44677</v>
      </c>
      <c r="TE6" s="725">
        <f>TD6</f>
        <v>44677</v>
      </c>
      <c r="TF6" s="726">
        <f>TE6</f>
        <v>44677</v>
      </c>
      <c r="TG6" s="725">
        <f>TC6+1</f>
        <v>43586</v>
      </c>
      <c r="TH6" s="726">
        <f>TD6+1</f>
        <v>44678</v>
      </c>
      <c r="TI6" s="725">
        <f>TH6</f>
        <v>44678</v>
      </c>
      <c r="TJ6" s="726">
        <f>TI6</f>
        <v>44678</v>
      </c>
      <c r="TK6" s="725">
        <f>TG6+1</f>
        <v>43587</v>
      </c>
      <c r="TL6" s="726">
        <f>TH6+1</f>
        <v>44679</v>
      </c>
      <c r="TM6" s="725">
        <f>TL6</f>
        <v>44679</v>
      </c>
      <c r="TN6" s="726">
        <f>TM6</f>
        <v>44679</v>
      </c>
      <c r="TO6" s="725">
        <f>TK6+1</f>
        <v>43588</v>
      </c>
      <c r="TP6" s="726">
        <f>TL6+1</f>
        <v>44680</v>
      </c>
      <c r="TQ6" s="725">
        <f>TP6</f>
        <v>44680</v>
      </c>
      <c r="TR6" s="726">
        <f>TQ6</f>
        <v>44680</v>
      </c>
      <c r="TS6" s="725">
        <f>TO6+1</f>
        <v>43589</v>
      </c>
      <c r="TT6" s="726">
        <f>TP6+1</f>
        <v>44681</v>
      </c>
      <c r="TU6" s="725">
        <f>TT6</f>
        <v>44681</v>
      </c>
      <c r="TV6" s="726">
        <f>TU6</f>
        <v>44681</v>
      </c>
      <c r="TW6" s="749" t="s">
        <v>467</v>
      </c>
      <c r="TX6" s="1871"/>
      <c r="TY6" s="752" t="s">
        <v>468</v>
      </c>
      <c r="TZ6" s="755" t="str">
        <f>TY6</f>
        <v>2021</v>
      </c>
      <c r="UA6" s="695">
        <f>TS6+1</f>
        <v>43590</v>
      </c>
      <c r="UB6" s="696">
        <f>TT6+1</f>
        <v>44682</v>
      </c>
      <c r="UC6" s="695">
        <f>UB6</f>
        <v>44682</v>
      </c>
      <c r="UD6" s="696">
        <f>UC6</f>
        <v>44682</v>
      </c>
      <c r="UE6" s="695">
        <f>UA6+1</f>
        <v>43591</v>
      </c>
      <c r="UF6" s="696">
        <f>UB6+1</f>
        <v>44683</v>
      </c>
      <c r="UG6" s="695">
        <f>UF6</f>
        <v>44683</v>
      </c>
      <c r="UH6" s="696">
        <f>UG6</f>
        <v>44683</v>
      </c>
      <c r="UI6" s="695">
        <f>UE6+1</f>
        <v>43592</v>
      </c>
      <c r="UJ6" s="696">
        <f>UF6+1</f>
        <v>44684</v>
      </c>
      <c r="UK6" s="695">
        <f>UJ6</f>
        <v>44684</v>
      </c>
      <c r="UL6" s="696">
        <f>UK6</f>
        <v>44684</v>
      </c>
      <c r="UM6" s="695">
        <f>UI6+1</f>
        <v>43593</v>
      </c>
      <c r="UN6" s="696">
        <f>UJ6+1</f>
        <v>44685</v>
      </c>
      <c r="UO6" s="695">
        <f>UN6</f>
        <v>44685</v>
      </c>
      <c r="UP6" s="696">
        <f>UO6</f>
        <v>44685</v>
      </c>
      <c r="UQ6" s="695">
        <f>UM6+1</f>
        <v>43594</v>
      </c>
      <c r="UR6" s="696">
        <f>UN6+1</f>
        <v>44686</v>
      </c>
      <c r="US6" s="695">
        <f>UR6</f>
        <v>44686</v>
      </c>
      <c r="UT6" s="696">
        <f>US6</f>
        <v>44686</v>
      </c>
      <c r="UU6" s="695">
        <f>UQ6+1</f>
        <v>43595</v>
      </c>
      <c r="UV6" s="696">
        <f>UR6+1</f>
        <v>44687</v>
      </c>
      <c r="UW6" s="695">
        <f>UV6</f>
        <v>44687</v>
      </c>
      <c r="UX6" s="696">
        <f>UW6</f>
        <v>44687</v>
      </c>
      <c r="UY6" s="695">
        <f>UU6+1</f>
        <v>43596</v>
      </c>
      <c r="UZ6" s="696">
        <f>UV6+1</f>
        <v>44688</v>
      </c>
      <c r="VA6" s="695">
        <f>UZ6</f>
        <v>44688</v>
      </c>
      <c r="VB6" s="696">
        <f>VA6</f>
        <v>44688</v>
      </c>
      <c r="VC6" s="746" t="s">
        <v>467</v>
      </c>
      <c r="VD6" s="1872"/>
      <c r="VE6" s="740" t="s">
        <v>468</v>
      </c>
      <c r="VF6" s="743" t="str">
        <f>VE6</f>
        <v>2021</v>
      </c>
      <c r="VG6" s="725">
        <f>UY6+1</f>
        <v>43597</v>
      </c>
      <c r="VH6" s="726">
        <f>UZ6+1</f>
        <v>44689</v>
      </c>
      <c r="VI6" s="725">
        <f>VH6</f>
        <v>44689</v>
      </c>
      <c r="VJ6" s="726">
        <f>VI6</f>
        <v>44689</v>
      </c>
      <c r="VK6" s="725">
        <f>VG6+1</f>
        <v>43598</v>
      </c>
      <c r="VL6" s="726">
        <f>VH6+1</f>
        <v>44690</v>
      </c>
      <c r="VM6" s="725">
        <f>VL6</f>
        <v>44690</v>
      </c>
      <c r="VN6" s="726">
        <f>VM6</f>
        <v>44690</v>
      </c>
      <c r="VO6" s="725">
        <f>VK6+1</f>
        <v>43599</v>
      </c>
      <c r="VP6" s="726">
        <f>VL6+1</f>
        <v>44691</v>
      </c>
      <c r="VQ6" s="725">
        <f>VP6</f>
        <v>44691</v>
      </c>
      <c r="VR6" s="726">
        <f>VQ6</f>
        <v>44691</v>
      </c>
      <c r="VS6" s="725">
        <f>VO6+1</f>
        <v>43600</v>
      </c>
      <c r="VT6" s="726">
        <f>VP6+1</f>
        <v>44692</v>
      </c>
      <c r="VU6" s="725">
        <f>VT6</f>
        <v>44692</v>
      </c>
      <c r="VV6" s="726">
        <f>VU6</f>
        <v>44692</v>
      </c>
      <c r="VW6" s="725">
        <f>VS6+1</f>
        <v>43601</v>
      </c>
      <c r="VX6" s="726">
        <f>VT6+1</f>
        <v>44693</v>
      </c>
      <c r="VY6" s="725">
        <f>VX6</f>
        <v>44693</v>
      </c>
      <c r="VZ6" s="726">
        <f>VY6</f>
        <v>44693</v>
      </c>
      <c r="WA6" s="725">
        <f>VW6+1</f>
        <v>43602</v>
      </c>
      <c r="WB6" s="726">
        <f>VX6+1</f>
        <v>44694</v>
      </c>
      <c r="WC6" s="725">
        <f>WB6</f>
        <v>44694</v>
      </c>
      <c r="WD6" s="726">
        <f>WC6</f>
        <v>44694</v>
      </c>
      <c r="WE6" s="725">
        <f>WA6+1</f>
        <v>43603</v>
      </c>
      <c r="WF6" s="726">
        <f>WB6+1</f>
        <v>44695</v>
      </c>
      <c r="WG6" s="725">
        <f>WF6</f>
        <v>44695</v>
      </c>
      <c r="WH6" s="726">
        <f>WG6</f>
        <v>44695</v>
      </c>
      <c r="WI6" s="749" t="s">
        <v>467</v>
      </c>
      <c r="WJ6" s="1871"/>
      <c r="WK6" s="752" t="s">
        <v>468</v>
      </c>
      <c r="WL6" s="755" t="str">
        <f>WK6</f>
        <v>2021</v>
      </c>
      <c r="WM6" s="695">
        <f>WE6+1</f>
        <v>43604</v>
      </c>
      <c r="WN6" s="696">
        <f>WF6+1</f>
        <v>44696</v>
      </c>
      <c r="WO6" s="695">
        <f>WN6</f>
        <v>44696</v>
      </c>
      <c r="WP6" s="696">
        <f>WO6</f>
        <v>44696</v>
      </c>
      <c r="WQ6" s="695">
        <f>WM6+1</f>
        <v>43605</v>
      </c>
      <c r="WR6" s="696">
        <f>WN6+1</f>
        <v>44697</v>
      </c>
      <c r="WS6" s="695">
        <f>WR6</f>
        <v>44697</v>
      </c>
      <c r="WT6" s="696">
        <f>WS6</f>
        <v>44697</v>
      </c>
      <c r="WU6" s="695">
        <f>WQ6+1</f>
        <v>43606</v>
      </c>
      <c r="WV6" s="696">
        <f>WR6+1</f>
        <v>44698</v>
      </c>
      <c r="WW6" s="695">
        <f>WV6</f>
        <v>44698</v>
      </c>
      <c r="WX6" s="696">
        <f>WW6</f>
        <v>44698</v>
      </c>
      <c r="WY6" s="695">
        <f>WU6+1</f>
        <v>43607</v>
      </c>
      <c r="WZ6" s="696">
        <f>WV6+1</f>
        <v>44699</v>
      </c>
      <c r="XA6" s="695">
        <f>WZ6</f>
        <v>44699</v>
      </c>
      <c r="XB6" s="696">
        <f>XA6</f>
        <v>44699</v>
      </c>
      <c r="XC6" s="695">
        <f>WY6+1</f>
        <v>43608</v>
      </c>
      <c r="XD6" s="696">
        <f>WZ6+1</f>
        <v>44700</v>
      </c>
      <c r="XE6" s="695">
        <f>XD6</f>
        <v>44700</v>
      </c>
      <c r="XF6" s="696">
        <f>XE6</f>
        <v>44700</v>
      </c>
      <c r="XG6" s="695">
        <f>XC6+1</f>
        <v>43609</v>
      </c>
      <c r="XH6" s="696">
        <f>XD6+1</f>
        <v>44701</v>
      </c>
      <c r="XI6" s="695">
        <f>XH6</f>
        <v>44701</v>
      </c>
      <c r="XJ6" s="696">
        <f>XI6</f>
        <v>44701</v>
      </c>
      <c r="XK6" s="695">
        <f>XG6+1</f>
        <v>43610</v>
      </c>
      <c r="XL6" s="696">
        <f>XH6+1</f>
        <v>44702</v>
      </c>
      <c r="XM6" s="695">
        <f>XL6</f>
        <v>44702</v>
      </c>
      <c r="XN6" s="696">
        <f>XM6</f>
        <v>44702</v>
      </c>
      <c r="XO6" s="746" t="s">
        <v>467</v>
      </c>
      <c r="XP6" s="1872"/>
      <c r="XQ6" s="740" t="s">
        <v>468</v>
      </c>
      <c r="XR6" s="743" t="str">
        <f>XQ6</f>
        <v>2021</v>
      </c>
      <c r="XS6" s="725">
        <f>XK6+1</f>
        <v>43611</v>
      </c>
      <c r="XT6" s="726">
        <f>XL6+1</f>
        <v>44703</v>
      </c>
      <c r="XU6" s="725">
        <f>XT6</f>
        <v>44703</v>
      </c>
      <c r="XV6" s="726">
        <f>XU6</f>
        <v>44703</v>
      </c>
      <c r="XW6" s="725">
        <f>XS6+1</f>
        <v>43612</v>
      </c>
      <c r="XX6" s="726">
        <f>XT6+1</f>
        <v>44704</v>
      </c>
      <c r="XY6" s="725">
        <f>XX6</f>
        <v>44704</v>
      </c>
      <c r="XZ6" s="726">
        <f>XY6</f>
        <v>44704</v>
      </c>
      <c r="YA6" s="725">
        <f>XW6+1</f>
        <v>43613</v>
      </c>
      <c r="YB6" s="726">
        <f>XX6+1</f>
        <v>44705</v>
      </c>
      <c r="YC6" s="725">
        <f>YB6</f>
        <v>44705</v>
      </c>
      <c r="YD6" s="726">
        <f>YC6</f>
        <v>44705</v>
      </c>
      <c r="YE6" s="725">
        <f>YA6+1</f>
        <v>43614</v>
      </c>
      <c r="YF6" s="726">
        <f>YB6+1</f>
        <v>44706</v>
      </c>
      <c r="YG6" s="725">
        <f>YF6</f>
        <v>44706</v>
      </c>
      <c r="YH6" s="726">
        <f>YG6</f>
        <v>44706</v>
      </c>
      <c r="YI6" s="725">
        <f>YE6+1</f>
        <v>43615</v>
      </c>
      <c r="YJ6" s="726">
        <f>YF6+1</f>
        <v>44707</v>
      </c>
      <c r="YK6" s="725">
        <f>YJ6</f>
        <v>44707</v>
      </c>
      <c r="YL6" s="726">
        <f>YK6</f>
        <v>44707</v>
      </c>
      <c r="YM6" s="725">
        <f>YI6+1</f>
        <v>43616</v>
      </c>
      <c r="YN6" s="726">
        <f>YJ6+1</f>
        <v>44708</v>
      </c>
      <c r="YO6" s="725">
        <f>YN6</f>
        <v>44708</v>
      </c>
      <c r="YP6" s="726">
        <f>YO6</f>
        <v>44708</v>
      </c>
      <c r="YQ6" s="725">
        <f>YM6+1</f>
        <v>43617</v>
      </c>
      <c r="YR6" s="726">
        <f>YN6+1</f>
        <v>44709</v>
      </c>
      <c r="YS6" s="725">
        <f>YR6</f>
        <v>44709</v>
      </c>
      <c r="YT6" s="726">
        <f>YS6</f>
        <v>44709</v>
      </c>
      <c r="YU6" s="749" t="s">
        <v>467</v>
      </c>
      <c r="YV6" s="1871"/>
      <c r="YW6" s="752" t="s">
        <v>468</v>
      </c>
      <c r="YX6" s="755" t="str">
        <f>YW6</f>
        <v>2021</v>
      </c>
      <c r="YY6" s="936">
        <f>YQ6+1</f>
        <v>43618</v>
      </c>
      <c r="YZ6" s="696">
        <f>YR6+1</f>
        <v>44710</v>
      </c>
      <c r="ZA6" s="695">
        <f>YZ6</f>
        <v>44710</v>
      </c>
      <c r="ZB6" s="696">
        <f>YZ6</f>
        <v>44710</v>
      </c>
      <c r="ZC6" s="695">
        <v>43619</v>
      </c>
      <c r="ZD6" s="696">
        <f>YZ6+1</f>
        <v>44711</v>
      </c>
      <c r="ZE6" s="695">
        <f>ZD6</f>
        <v>44711</v>
      </c>
      <c r="ZF6" s="696">
        <f>ZD6</f>
        <v>44711</v>
      </c>
      <c r="ZG6" s="695">
        <f>ZC6+1</f>
        <v>43620</v>
      </c>
      <c r="ZH6" s="696">
        <f>ZD6+1</f>
        <v>44712</v>
      </c>
      <c r="ZI6" s="695">
        <f>ZH6</f>
        <v>44712</v>
      </c>
      <c r="ZJ6" s="696">
        <f>ZH6</f>
        <v>44712</v>
      </c>
      <c r="ZK6" s="695">
        <f>ZG6+1</f>
        <v>43621</v>
      </c>
      <c r="ZL6" s="696">
        <f>ZH6+1</f>
        <v>44713</v>
      </c>
      <c r="ZM6" s="695">
        <f>ZL6</f>
        <v>44713</v>
      </c>
      <c r="ZN6" s="696">
        <f>ZL6</f>
        <v>44713</v>
      </c>
      <c r="ZO6" s="695">
        <f>ZK6+1</f>
        <v>43622</v>
      </c>
      <c r="ZP6" s="696">
        <f>ZL6+1</f>
        <v>44714</v>
      </c>
      <c r="ZQ6" s="695">
        <f>ZP6</f>
        <v>44714</v>
      </c>
      <c r="ZR6" s="696">
        <f>ZP6</f>
        <v>44714</v>
      </c>
      <c r="ZS6" s="695">
        <f>ZO6+1</f>
        <v>43623</v>
      </c>
      <c r="ZT6" s="696">
        <f>ZP6+1</f>
        <v>44715</v>
      </c>
      <c r="ZU6" s="695">
        <f>ZT6</f>
        <v>44715</v>
      </c>
      <c r="ZV6" s="696">
        <f>ZT6</f>
        <v>44715</v>
      </c>
      <c r="ZW6" s="695">
        <f>ZS6+1</f>
        <v>43624</v>
      </c>
      <c r="ZX6" s="696">
        <f>ZT6+1</f>
        <v>44716</v>
      </c>
      <c r="ZY6" s="695">
        <f>ZX6</f>
        <v>44716</v>
      </c>
      <c r="ZZ6" s="696">
        <f>ZX6</f>
        <v>44716</v>
      </c>
      <c r="AAA6" s="776" t="s">
        <v>467</v>
      </c>
      <c r="AAB6" s="1878"/>
      <c r="AAC6" s="777" t="s">
        <v>468</v>
      </c>
      <c r="AAD6" s="743" t="str">
        <f>AAC6</f>
        <v>2021</v>
      </c>
      <c r="AAE6" s="725">
        <f>ZW6+1</f>
        <v>43625</v>
      </c>
      <c r="AAF6" s="726">
        <f>ZX6+1</f>
        <v>44717</v>
      </c>
      <c r="AAG6" s="725">
        <f>AAF6</f>
        <v>44717</v>
      </c>
      <c r="AAH6" s="726">
        <f>AAG6</f>
        <v>44717</v>
      </c>
      <c r="AAI6" s="725">
        <f>AAE6+1</f>
        <v>43626</v>
      </c>
      <c r="AAJ6" s="726">
        <f>AAF6+1</f>
        <v>44718</v>
      </c>
      <c r="AAK6" s="725">
        <f>AAJ6</f>
        <v>44718</v>
      </c>
      <c r="AAL6" s="726">
        <f>AAK6</f>
        <v>44718</v>
      </c>
      <c r="AAM6" s="725">
        <f>AAI6+1</f>
        <v>43627</v>
      </c>
      <c r="AAN6" s="726">
        <f>AAJ6+1</f>
        <v>44719</v>
      </c>
      <c r="AAO6" s="725">
        <f>AAN6</f>
        <v>44719</v>
      </c>
      <c r="AAP6" s="726">
        <f>AAO6</f>
        <v>44719</v>
      </c>
      <c r="AAQ6" s="725">
        <f>AAM6+1</f>
        <v>43628</v>
      </c>
      <c r="AAR6" s="726">
        <f>AAN6+1</f>
        <v>44720</v>
      </c>
      <c r="AAS6" s="725">
        <f>AAR6</f>
        <v>44720</v>
      </c>
      <c r="AAT6" s="726">
        <f>AAS6</f>
        <v>44720</v>
      </c>
      <c r="AAU6" s="725">
        <f>AAQ6+1</f>
        <v>43629</v>
      </c>
      <c r="AAV6" s="726">
        <f>AAR6+1</f>
        <v>44721</v>
      </c>
      <c r="AAW6" s="725">
        <f>AAV6</f>
        <v>44721</v>
      </c>
      <c r="AAX6" s="726">
        <f>AAW6</f>
        <v>44721</v>
      </c>
      <c r="AAY6" s="725">
        <f>AAU6+1</f>
        <v>43630</v>
      </c>
      <c r="AAZ6" s="726">
        <f>AAV6+1</f>
        <v>44722</v>
      </c>
      <c r="ABA6" s="725">
        <f>AAZ6</f>
        <v>44722</v>
      </c>
      <c r="ABB6" s="726">
        <f>ABA6</f>
        <v>44722</v>
      </c>
      <c r="ABC6" s="725">
        <f>AAY6+1</f>
        <v>43631</v>
      </c>
      <c r="ABD6" s="726">
        <f>AAZ6+1</f>
        <v>44723</v>
      </c>
      <c r="ABE6" s="725">
        <f>ABD6</f>
        <v>44723</v>
      </c>
      <c r="ABF6" s="726">
        <f>ABE6</f>
        <v>44723</v>
      </c>
      <c r="ABG6" s="749" t="s">
        <v>467</v>
      </c>
      <c r="ABH6" s="1875"/>
      <c r="ABI6" s="752" t="s">
        <v>468</v>
      </c>
      <c r="ABJ6" s="755" t="str">
        <f>ABI6</f>
        <v>2021</v>
      </c>
      <c r="ABK6" s="695">
        <f>ABC6+1</f>
        <v>43632</v>
      </c>
      <c r="ABL6" s="696">
        <f>ABD6+1</f>
        <v>44724</v>
      </c>
      <c r="ABM6" s="695">
        <f>ABL6</f>
        <v>44724</v>
      </c>
      <c r="ABN6" s="696">
        <f>ABM6</f>
        <v>44724</v>
      </c>
      <c r="ABO6" s="695">
        <f>ABK6+1</f>
        <v>43633</v>
      </c>
      <c r="ABP6" s="696">
        <f>ABL6+1</f>
        <v>44725</v>
      </c>
      <c r="ABQ6" s="695">
        <f>ABP6</f>
        <v>44725</v>
      </c>
      <c r="ABR6" s="696">
        <f>ABQ6</f>
        <v>44725</v>
      </c>
      <c r="ABS6" s="695">
        <f>ABO6+1</f>
        <v>43634</v>
      </c>
      <c r="ABT6" s="696">
        <f>ABP6+1</f>
        <v>44726</v>
      </c>
      <c r="ABU6" s="695">
        <f>ABT6</f>
        <v>44726</v>
      </c>
      <c r="ABV6" s="696">
        <f>ABU6</f>
        <v>44726</v>
      </c>
      <c r="ABW6" s="695">
        <f>ABS6+1</f>
        <v>43635</v>
      </c>
      <c r="ABX6" s="696">
        <f>ABT6+1</f>
        <v>44727</v>
      </c>
      <c r="ABY6" s="695">
        <f>ABX6</f>
        <v>44727</v>
      </c>
      <c r="ABZ6" s="696">
        <f>ABY6</f>
        <v>44727</v>
      </c>
      <c r="ACA6" s="695">
        <f>ABW6+1</f>
        <v>43636</v>
      </c>
      <c r="ACB6" s="696">
        <f>ABX6+1</f>
        <v>44728</v>
      </c>
      <c r="ACC6" s="695">
        <f>ACB6</f>
        <v>44728</v>
      </c>
      <c r="ACD6" s="696">
        <f>ACC6</f>
        <v>44728</v>
      </c>
      <c r="ACE6" s="695">
        <f>ACA6+1</f>
        <v>43637</v>
      </c>
      <c r="ACF6" s="696">
        <f>ACB6+1</f>
        <v>44729</v>
      </c>
      <c r="ACG6" s="695">
        <f>ACF6</f>
        <v>44729</v>
      </c>
      <c r="ACH6" s="696">
        <f>ACG6</f>
        <v>44729</v>
      </c>
      <c r="ACI6" s="695">
        <f>ACE6+1</f>
        <v>43638</v>
      </c>
      <c r="ACJ6" s="696">
        <f>ACF6+1</f>
        <v>44730</v>
      </c>
      <c r="ACK6" s="695">
        <f>ACJ6</f>
        <v>44730</v>
      </c>
      <c r="ACL6" s="696">
        <f>ACK6</f>
        <v>44730</v>
      </c>
      <c r="ACM6" s="746" t="s">
        <v>467</v>
      </c>
      <c r="ACN6" s="1873"/>
      <c r="ACO6" s="740" t="s">
        <v>468</v>
      </c>
      <c r="ACP6" s="743" t="str">
        <f>ACO6</f>
        <v>2021</v>
      </c>
      <c r="ACQ6" s="725">
        <f>ACI6+1</f>
        <v>43639</v>
      </c>
      <c r="ACR6" s="726">
        <f>ACJ6+1</f>
        <v>44731</v>
      </c>
      <c r="ACS6" s="725">
        <f>ACR6</f>
        <v>44731</v>
      </c>
      <c r="ACT6" s="726">
        <f>ACS6</f>
        <v>44731</v>
      </c>
      <c r="ACU6" s="725">
        <f>ACQ6+1</f>
        <v>43640</v>
      </c>
      <c r="ACV6" s="726">
        <f>ACR6+1</f>
        <v>44732</v>
      </c>
      <c r="ACW6" s="725">
        <f>ACV6</f>
        <v>44732</v>
      </c>
      <c r="ACX6" s="726">
        <f>ACW6</f>
        <v>44732</v>
      </c>
      <c r="ACY6" s="725">
        <f>ACU6+1</f>
        <v>43641</v>
      </c>
      <c r="ACZ6" s="726">
        <f>ACV6+1</f>
        <v>44733</v>
      </c>
      <c r="ADA6" s="725">
        <f>ACZ6</f>
        <v>44733</v>
      </c>
      <c r="ADB6" s="726">
        <f>ADA6</f>
        <v>44733</v>
      </c>
      <c r="ADC6" s="725">
        <f>ACY6+1</f>
        <v>43642</v>
      </c>
      <c r="ADD6" s="726">
        <f>ACZ6+1</f>
        <v>44734</v>
      </c>
      <c r="ADE6" s="725">
        <f>ADD6</f>
        <v>44734</v>
      </c>
      <c r="ADF6" s="726">
        <f>ADE6</f>
        <v>44734</v>
      </c>
      <c r="ADG6" s="725">
        <f>ADC6+1</f>
        <v>43643</v>
      </c>
      <c r="ADH6" s="726">
        <f>ADD6+1</f>
        <v>44735</v>
      </c>
      <c r="ADI6" s="725">
        <f>ADH6</f>
        <v>44735</v>
      </c>
      <c r="ADJ6" s="726">
        <f>ADI6</f>
        <v>44735</v>
      </c>
      <c r="ADK6" s="725">
        <f>ADG6+1</f>
        <v>43644</v>
      </c>
      <c r="ADL6" s="726">
        <f>ADH6+1</f>
        <v>44736</v>
      </c>
      <c r="ADM6" s="725">
        <f>ADL6</f>
        <v>44736</v>
      </c>
      <c r="ADN6" s="726">
        <f>ADM6</f>
        <v>44736</v>
      </c>
      <c r="ADO6" s="725">
        <f>ADK6+1</f>
        <v>43645</v>
      </c>
      <c r="ADP6" s="726">
        <f>ADL6+1</f>
        <v>44737</v>
      </c>
      <c r="ADQ6" s="725">
        <f>ADP6</f>
        <v>44737</v>
      </c>
      <c r="ADR6" s="726">
        <f>ADQ6</f>
        <v>44737</v>
      </c>
      <c r="ADS6" s="749" t="s">
        <v>467</v>
      </c>
      <c r="ADT6" s="1874"/>
      <c r="ADU6" s="752" t="s">
        <v>468</v>
      </c>
      <c r="ADV6" s="755" t="str">
        <f>ADU6</f>
        <v>2021</v>
      </c>
      <c r="ADW6" s="695">
        <f>ADO6+1</f>
        <v>43646</v>
      </c>
      <c r="ADX6" s="696">
        <f>ADP6+1</f>
        <v>44738</v>
      </c>
      <c r="ADY6" s="695">
        <f>ADX6</f>
        <v>44738</v>
      </c>
      <c r="ADZ6" s="696">
        <f>ADY6</f>
        <v>44738</v>
      </c>
      <c r="AEA6" s="695">
        <f>ADW6+1</f>
        <v>43647</v>
      </c>
      <c r="AEB6" s="696">
        <f>ADX6+1</f>
        <v>44739</v>
      </c>
      <c r="AEC6" s="695">
        <f>AEB6</f>
        <v>44739</v>
      </c>
      <c r="AED6" s="696">
        <f>AEC6</f>
        <v>44739</v>
      </c>
      <c r="AEE6" s="695">
        <f>AEA6+1</f>
        <v>43648</v>
      </c>
      <c r="AEF6" s="696">
        <f>AEB6+1</f>
        <v>44740</v>
      </c>
      <c r="AEG6" s="695">
        <f>AEF6</f>
        <v>44740</v>
      </c>
      <c r="AEH6" s="696">
        <f>AEG6</f>
        <v>44740</v>
      </c>
      <c r="AEI6" s="695">
        <f>AEE6+1</f>
        <v>43649</v>
      </c>
      <c r="AEJ6" s="696">
        <f>AEF6+1</f>
        <v>44741</v>
      </c>
      <c r="AEK6" s="695">
        <f>AEJ6</f>
        <v>44741</v>
      </c>
      <c r="AEL6" s="696">
        <f>AEK6</f>
        <v>44741</v>
      </c>
      <c r="AEM6" s="695">
        <f>AEI6+1</f>
        <v>43650</v>
      </c>
      <c r="AEN6" s="696">
        <f>AEJ6+1</f>
        <v>44742</v>
      </c>
      <c r="AEO6" s="695">
        <f>AEN6</f>
        <v>44742</v>
      </c>
      <c r="AEP6" s="696">
        <f>AEO6</f>
        <v>44742</v>
      </c>
      <c r="AEQ6" s="695">
        <f>AEM6+1</f>
        <v>43651</v>
      </c>
      <c r="AER6" s="696">
        <f>AEN6+1</f>
        <v>44743</v>
      </c>
      <c r="AES6" s="695">
        <f>AER6</f>
        <v>44743</v>
      </c>
      <c r="AET6" s="696">
        <f>AES6</f>
        <v>44743</v>
      </c>
      <c r="AEU6" s="695">
        <f>AEQ6+1</f>
        <v>43652</v>
      </c>
      <c r="AEV6" s="696">
        <f>AER6+1</f>
        <v>44744</v>
      </c>
      <c r="AEW6" s="695">
        <f>AEV6</f>
        <v>44744</v>
      </c>
      <c r="AEX6" s="696">
        <f>AEW6</f>
        <v>44744</v>
      </c>
      <c r="AEY6" s="746" t="s">
        <v>467</v>
      </c>
      <c r="AEZ6" s="1873"/>
      <c r="AFA6" s="740" t="s">
        <v>468</v>
      </c>
      <c r="AFB6" s="743" t="str">
        <f>AFA6</f>
        <v>2021</v>
      </c>
      <c r="AFC6" s="695">
        <f>AEU6+1</f>
        <v>43653</v>
      </c>
      <c r="AFD6" s="696">
        <f>AEV6+1</f>
        <v>44745</v>
      </c>
      <c r="AFE6" s="695">
        <f>AFD6</f>
        <v>44745</v>
      </c>
      <c r="AFF6" s="696">
        <f>AFE6</f>
        <v>44745</v>
      </c>
      <c r="AFG6" s="695">
        <f>AFC6+1</f>
        <v>43654</v>
      </c>
      <c r="AFH6" s="696">
        <f>AFD6+1</f>
        <v>44746</v>
      </c>
      <c r="AFI6" s="695">
        <f>AFH6</f>
        <v>44746</v>
      </c>
      <c r="AFJ6" s="696">
        <f>AFI6</f>
        <v>44746</v>
      </c>
      <c r="AFK6" s="695">
        <f>AFG6+1</f>
        <v>43655</v>
      </c>
      <c r="AFL6" s="696">
        <f>AFH6+1</f>
        <v>44747</v>
      </c>
      <c r="AFM6" s="695">
        <f>AFL6</f>
        <v>44747</v>
      </c>
      <c r="AFN6" s="696">
        <f>AFM6</f>
        <v>44747</v>
      </c>
      <c r="AFO6" s="695">
        <f>AFK6+1</f>
        <v>43656</v>
      </c>
      <c r="AFP6" s="696">
        <f>AFL6+1</f>
        <v>44748</v>
      </c>
      <c r="AFQ6" s="695">
        <f>AFP6</f>
        <v>44748</v>
      </c>
      <c r="AFR6" s="696">
        <f>AFQ6</f>
        <v>44748</v>
      </c>
      <c r="AFS6" s="695">
        <f>AFO6+1</f>
        <v>43657</v>
      </c>
      <c r="AFT6" s="696">
        <f>AFP6+1</f>
        <v>44749</v>
      </c>
      <c r="AFU6" s="695">
        <f>AFT6</f>
        <v>44749</v>
      </c>
      <c r="AFV6" s="696">
        <f>AFU6</f>
        <v>44749</v>
      </c>
      <c r="AFW6" s="695">
        <f>AFS6+1</f>
        <v>43658</v>
      </c>
      <c r="AFX6" s="696">
        <f>AFT6+1</f>
        <v>44750</v>
      </c>
      <c r="AFY6" s="695">
        <f>AFX6</f>
        <v>44750</v>
      </c>
      <c r="AFZ6" s="696">
        <f>AFY6</f>
        <v>44750</v>
      </c>
      <c r="AGA6" s="695">
        <f>AFW6+1</f>
        <v>43659</v>
      </c>
      <c r="AGB6" s="696">
        <f>AFX6+1</f>
        <v>44751</v>
      </c>
      <c r="AGC6" s="695">
        <f>AGB6</f>
        <v>44751</v>
      </c>
      <c r="AGD6" s="696">
        <f>AGC6</f>
        <v>44751</v>
      </c>
      <c r="AGE6" s="746" t="s">
        <v>467</v>
      </c>
      <c r="AGF6" s="1872"/>
      <c r="AGG6" s="740" t="s">
        <v>468</v>
      </c>
      <c r="AGH6" s="743" t="str">
        <f>AGG6</f>
        <v>2021</v>
      </c>
      <c r="AGI6" s="725">
        <f>AGA6+1</f>
        <v>43660</v>
      </c>
      <c r="AGJ6" s="726">
        <f>AGB6+1</f>
        <v>44752</v>
      </c>
      <c r="AGK6" s="725">
        <f>AGJ6</f>
        <v>44752</v>
      </c>
      <c r="AGL6" s="726">
        <f>AGK6</f>
        <v>44752</v>
      </c>
      <c r="AGM6" s="725">
        <f>AGI6+1</f>
        <v>43661</v>
      </c>
      <c r="AGN6" s="726">
        <f>AGJ6+1</f>
        <v>44753</v>
      </c>
      <c r="AGO6" s="725">
        <f>AGN6</f>
        <v>44753</v>
      </c>
      <c r="AGP6" s="726">
        <f>AGO6</f>
        <v>44753</v>
      </c>
      <c r="AGQ6" s="725">
        <f>AGM6+1</f>
        <v>43662</v>
      </c>
      <c r="AGR6" s="726">
        <f>AGN6+1</f>
        <v>44754</v>
      </c>
      <c r="AGS6" s="725">
        <f>AGR6</f>
        <v>44754</v>
      </c>
      <c r="AGT6" s="726">
        <f>AGS6</f>
        <v>44754</v>
      </c>
      <c r="AGU6" s="725">
        <f>AGQ6+1</f>
        <v>43663</v>
      </c>
      <c r="AGV6" s="726">
        <f>AGR6+1</f>
        <v>44755</v>
      </c>
      <c r="AGW6" s="725">
        <f>AGV6</f>
        <v>44755</v>
      </c>
      <c r="AGX6" s="726">
        <f>AGW6</f>
        <v>44755</v>
      </c>
      <c r="AGY6" s="725">
        <f>AGU6+1</f>
        <v>43664</v>
      </c>
      <c r="AGZ6" s="726">
        <f>AGV6+1</f>
        <v>44756</v>
      </c>
      <c r="AHA6" s="725">
        <f>AGZ6</f>
        <v>44756</v>
      </c>
      <c r="AHB6" s="726">
        <f>AHA6</f>
        <v>44756</v>
      </c>
      <c r="AHC6" s="725">
        <f>AGY6+1</f>
        <v>43665</v>
      </c>
      <c r="AHD6" s="726">
        <f>AGZ6+1</f>
        <v>44757</v>
      </c>
      <c r="AHE6" s="725">
        <f>AHD6</f>
        <v>44757</v>
      </c>
      <c r="AHF6" s="726">
        <f>AHE6</f>
        <v>44757</v>
      </c>
      <c r="AHG6" s="725">
        <f>AHC6+1</f>
        <v>43666</v>
      </c>
      <c r="AHH6" s="726">
        <f>AHD6+1</f>
        <v>44758</v>
      </c>
      <c r="AHI6" s="725">
        <f>AHH6</f>
        <v>44758</v>
      </c>
      <c r="AHJ6" s="726">
        <f>AHI6</f>
        <v>44758</v>
      </c>
      <c r="AHK6" s="749" t="s">
        <v>467</v>
      </c>
      <c r="AHL6" s="1871"/>
      <c r="AHM6" s="752" t="s">
        <v>468</v>
      </c>
      <c r="AHN6" s="755" t="str">
        <f>AHM6</f>
        <v>2021</v>
      </c>
      <c r="AHO6" s="695">
        <f>AHG6+1</f>
        <v>43667</v>
      </c>
      <c r="AHP6" s="696">
        <f>AHH6+1</f>
        <v>44759</v>
      </c>
      <c r="AHQ6" s="695">
        <f>AHP6</f>
        <v>44759</v>
      </c>
      <c r="AHR6" s="696">
        <f>AHQ6</f>
        <v>44759</v>
      </c>
      <c r="AHS6" s="695">
        <f>AHO6+1</f>
        <v>43668</v>
      </c>
      <c r="AHT6" s="696">
        <f>AHP6+1</f>
        <v>44760</v>
      </c>
      <c r="AHU6" s="695">
        <f>AHT6</f>
        <v>44760</v>
      </c>
      <c r="AHV6" s="696">
        <f>AHU6</f>
        <v>44760</v>
      </c>
      <c r="AHW6" s="695">
        <f>AHS6+1</f>
        <v>43669</v>
      </c>
      <c r="AHX6" s="696">
        <f>AHT6+1</f>
        <v>44761</v>
      </c>
      <c r="AHY6" s="695">
        <f>AHX6</f>
        <v>44761</v>
      </c>
      <c r="AHZ6" s="696">
        <f>AHY6</f>
        <v>44761</v>
      </c>
      <c r="AIA6" s="695">
        <f>AHW6+1</f>
        <v>43670</v>
      </c>
      <c r="AIB6" s="696">
        <f>AHX6+1</f>
        <v>44762</v>
      </c>
      <c r="AIC6" s="695">
        <f>AIB6</f>
        <v>44762</v>
      </c>
      <c r="AID6" s="696">
        <f>AIC6</f>
        <v>44762</v>
      </c>
      <c r="AIE6" s="695">
        <f>AIA6+1</f>
        <v>43671</v>
      </c>
      <c r="AIF6" s="696">
        <f>AIB6+1</f>
        <v>44763</v>
      </c>
      <c r="AIG6" s="695">
        <f>AIF6</f>
        <v>44763</v>
      </c>
      <c r="AIH6" s="696">
        <f>AIG6</f>
        <v>44763</v>
      </c>
      <c r="AII6" s="695">
        <f>AIE6+1</f>
        <v>43672</v>
      </c>
      <c r="AIJ6" s="696">
        <f>AIF6+1</f>
        <v>44764</v>
      </c>
      <c r="AIK6" s="695">
        <f>AIJ6</f>
        <v>44764</v>
      </c>
      <c r="AIL6" s="696">
        <f>AIK6</f>
        <v>44764</v>
      </c>
      <c r="AIM6" s="695">
        <f>AII6+1</f>
        <v>43673</v>
      </c>
      <c r="AIN6" s="696">
        <f>AIJ6+1</f>
        <v>44765</v>
      </c>
      <c r="AIO6" s="695">
        <f>AIN6</f>
        <v>44765</v>
      </c>
      <c r="AIP6" s="696">
        <f>AIO6</f>
        <v>44765</v>
      </c>
      <c r="AIQ6" s="746" t="s">
        <v>467</v>
      </c>
      <c r="AIR6" s="1872"/>
      <c r="AIS6" s="740" t="s">
        <v>468</v>
      </c>
      <c r="AIT6" s="743" t="str">
        <f>AIS6</f>
        <v>2021</v>
      </c>
      <c r="AIU6" s="725">
        <f>AIM6+1</f>
        <v>43674</v>
      </c>
      <c r="AIV6" s="726">
        <f>AIN6+1</f>
        <v>44766</v>
      </c>
      <c r="AIW6" s="725">
        <f>AIV6</f>
        <v>44766</v>
      </c>
      <c r="AIX6" s="726">
        <f>AIW6</f>
        <v>44766</v>
      </c>
      <c r="AIY6" s="725">
        <f>AIU6+1</f>
        <v>43675</v>
      </c>
      <c r="AIZ6" s="726">
        <f>AIV6+1</f>
        <v>44767</v>
      </c>
      <c r="AJA6" s="725">
        <f>AIZ6</f>
        <v>44767</v>
      </c>
      <c r="AJB6" s="726">
        <f>AJA6</f>
        <v>44767</v>
      </c>
      <c r="AJC6" s="725">
        <f>AIY6+1</f>
        <v>43676</v>
      </c>
      <c r="AJD6" s="726">
        <f>AIZ6+1</f>
        <v>44768</v>
      </c>
      <c r="AJE6" s="725">
        <f>AJD6</f>
        <v>44768</v>
      </c>
      <c r="AJF6" s="726">
        <f>AJE6</f>
        <v>44768</v>
      </c>
      <c r="AJG6" s="725">
        <f>AJC6+1</f>
        <v>43677</v>
      </c>
      <c r="AJH6" s="726">
        <f>AJD6+1</f>
        <v>44769</v>
      </c>
      <c r="AJI6" s="725">
        <f>AJH6</f>
        <v>44769</v>
      </c>
      <c r="AJJ6" s="726">
        <f>AJI6</f>
        <v>44769</v>
      </c>
      <c r="AJK6" s="725">
        <f>AJG6+1</f>
        <v>43678</v>
      </c>
      <c r="AJL6" s="726">
        <f>AJH6+1</f>
        <v>44770</v>
      </c>
      <c r="AJM6" s="725">
        <f>AJL6</f>
        <v>44770</v>
      </c>
      <c r="AJN6" s="726">
        <f>AJM6</f>
        <v>44770</v>
      </c>
      <c r="AJO6" s="725">
        <f>AJK6+1</f>
        <v>43679</v>
      </c>
      <c r="AJP6" s="726">
        <f>AJL6+1</f>
        <v>44771</v>
      </c>
      <c r="AJQ6" s="725">
        <f>AJP6</f>
        <v>44771</v>
      </c>
      <c r="AJR6" s="726">
        <f>AJQ6</f>
        <v>44771</v>
      </c>
      <c r="AJS6" s="725">
        <f>AJO6+1</f>
        <v>43680</v>
      </c>
      <c r="AJT6" s="726">
        <f>AJP6+1</f>
        <v>44772</v>
      </c>
      <c r="AJU6" s="725">
        <f>AJT6</f>
        <v>44772</v>
      </c>
      <c r="AJV6" s="726">
        <f>AJU6</f>
        <v>44772</v>
      </c>
      <c r="AJW6" s="749" t="s">
        <v>467</v>
      </c>
      <c r="AJX6" s="1871"/>
      <c r="AJY6" s="752" t="s">
        <v>468</v>
      </c>
      <c r="AJZ6" s="755" t="str">
        <f>AJY6</f>
        <v>2021</v>
      </c>
      <c r="AKA6" s="695">
        <f>AJS6+1</f>
        <v>43681</v>
      </c>
      <c r="AKB6" s="696">
        <f>AJT6+1</f>
        <v>44773</v>
      </c>
      <c r="AKC6" s="695">
        <f>AKB6</f>
        <v>44773</v>
      </c>
      <c r="AKD6" s="696">
        <f>AKC6</f>
        <v>44773</v>
      </c>
      <c r="AKE6" s="695">
        <f>AKA6+1</f>
        <v>43682</v>
      </c>
      <c r="AKF6" s="696">
        <f>AKB6+1</f>
        <v>44774</v>
      </c>
      <c r="AKG6" s="695">
        <f>AKF6</f>
        <v>44774</v>
      </c>
      <c r="AKH6" s="696">
        <f>AKG6</f>
        <v>44774</v>
      </c>
      <c r="AKI6" s="695">
        <f>AKE6+1</f>
        <v>43683</v>
      </c>
      <c r="AKJ6" s="696">
        <f>AKF6+1</f>
        <v>44775</v>
      </c>
      <c r="AKK6" s="695">
        <f>AKJ6</f>
        <v>44775</v>
      </c>
      <c r="AKL6" s="696">
        <f>AKK6</f>
        <v>44775</v>
      </c>
      <c r="AKM6" s="695">
        <f>AKI6+1</f>
        <v>43684</v>
      </c>
      <c r="AKN6" s="696">
        <f>AKJ6+1</f>
        <v>44776</v>
      </c>
      <c r="AKO6" s="695">
        <f>AKN6</f>
        <v>44776</v>
      </c>
      <c r="AKP6" s="696">
        <f>AKO6</f>
        <v>44776</v>
      </c>
      <c r="AKQ6" s="695">
        <f>AKM6+1</f>
        <v>43685</v>
      </c>
      <c r="AKR6" s="696">
        <f>AKN6+1</f>
        <v>44777</v>
      </c>
      <c r="AKS6" s="695">
        <f>AKR6</f>
        <v>44777</v>
      </c>
      <c r="AKT6" s="696">
        <f>AKS6</f>
        <v>44777</v>
      </c>
      <c r="AKU6" s="695">
        <f>AKQ6+1</f>
        <v>43686</v>
      </c>
      <c r="AKV6" s="696">
        <f>AKR6+1</f>
        <v>44778</v>
      </c>
      <c r="AKW6" s="695">
        <f>AKV6</f>
        <v>44778</v>
      </c>
      <c r="AKX6" s="696">
        <f>AKW6</f>
        <v>44778</v>
      </c>
      <c r="AKY6" s="695">
        <f>AKU6+1</f>
        <v>43687</v>
      </c>
      <c r="AKZ6" s="696">
        <f>AKV6+1</f>
        <v>44779</v>
      </c>
      <c r="ALA6" s="695">
        <f>AKZ6</f>
        <v>44779</v>
      </c>
      <c r="ALB6" s="696">
        <f>ALA6</f>
        <v>44779</v>
      </c>
      <c r="ALC6" s="746" t="s">
        <v>467</v>
      </c>
      <c r="ALD6" s="1872"/>
      <c r="ALE6" s="740" t="s">
        <v>468</v>
      </c>
      <c r="ALF6" s="743" t="str">
        <f>ALE6</f>
        <v>2021</v>
      </c>
      <c r="ALG6" s="725">
        <f>AKY6+1</f>
        <v>43688</v>
      </c>
      <c r="ALH6" s="726">
        <f>AKZ6+1</f>
        <v>44780</v>
      </c>
      <c r="ALI6" s="725">
        <f>ALH6</f>
        <v>44780</v>
      </c>
      <c r="ALJ6" s="726">
        <f>ALI6</f>
        <v>44780</v>
      </c>
      <c r="ALK6" s="725">
        <f>ALG6+1</f>
        <v>43689</v>
      </c>
      <c r="ALL6" s="726">
        <f>ALH6+1</f>
        <v>44781</v>
      </c>
      <c r="ALM6" s="725">
        <f>ALL6</f>
        <v>44781</v>
      </c>
      <c r="ALN6" s="726">
        <f>ALM6</f>
        <v>44781</v>
      </c>
      <c r="ALO6" s="725">
        <f>ALK6+1</f>
        <v>43690</v>
      </c>
      <c r="ALP6" s="726">
        <f>ALL6+1</f>
        <v>44782</v>
      </c>
      <c r="ALQ6" s="725">
        <f>ALP6</f>
        <v>44782</v>
      </c>
      <c r="ALR6" s="726">
        <f>ALQ6</f>
        <v>44782</v>
      </c>
      <c r="ALS6" s="725">
        <f>ALO6+1</f>
        <v>43691</v>
      </c>
      <c r="ALT6" s="726">
        <f>ALP6+1</f>
        <v>44783</v>
      </c>
      <c r="ALU6" s="725">
        <f>ALT6</f>
        <v>44783</v>
      </c>
      <c r="ALV6" s="726">
        <f>ALU6</f>
        <v>44783</v>
      </c>
      <c r="ALW6" s="725">
        <f>ALS6+1</f>
        <v>43692</v>
      </c>
      <c r="ALX6" s="726">
        <f>ALT6+1</f>
        <v>44784</v>
      </c>
      <c r="ALY6" s="725">
        <f>ALX6</f>
        <v>44784</v>
      </c>
      <c r="ALZ6" s="726">
        <f>ALY6</f>
        <v>44784</v>
      </c>
      <c r="AMA6" s="725">
        <f>ALW6+1</f>
        <v>43693</v>
      </c>
      <c r="AMB6" s="726">
        <f>ALX6+1</f>
        <v>44785</v>
      </c>
      <c r="AMC6" s="725">
        <f>AMB6</f>
        <v>44785</v>
      </c>
      <c r="AMD6" s="726">
        <f>AMC6</f>
        <v>44785</v>
      </c>
      <c r="AME6" s="725">
        <f>AMA6+1</f>
        <v>43694</v>
      </c>
      <c r="AMF6" s="726">
        <f>AMB6+1</f>
        <v>44786</v>
      </c>
      <c r="AMG6" s="725">
        <f>AMF6</f>
        <v>44786</v>
      </c>
      <c r="AMH6" s="726">
        <f>AMG6</f>
        <v>44786</v>
      </c>
      <c r="AMI6" s="749" t="s">
        <v>467</v>
      </c>
      <c r="AMJ6" s="1871"/>
      <c r="AMK6" s="752" t="s">
        <v>468</v>
      </c>
      <c r="AML6" s="755" t="str">
        <f>AMK6</f>
        <v>2021</v>
      </c>
      <c r="AMM6" s="695">
        <f>AME6+1</f>
        <v>43695</v>
      </c>
      <c r="AMN6" s="696">
        <f>AMF6+1</f>
        <v>44787</v>
      </c>
      <c r="AMO6" s="695">
        <f>AMN6</f>
        <v>44787</v>
      </c>
      <c r="AMP6" s="696">
        <f>AMO6</f>
        <v>44787</v>
      </c>
      <c r="AMQ6" s="695">
        <f>AMM6+1</f>
        <v>43696</v>
      </c>
      <c r="AMR6" s="696">
        <f>AMN6+1</f>
        <v>44788</v>
      </c>
      <c r="AMS6" s="695">
        <f>AMR6</f>
        <v>44788</v>
      </c>
      <c r="AMT6" s="696">
        <f>AMS6</f>
        <v>44788</v>
      </c>
      <c r="AMU6" s="695">
        <f>AMQ6+1</f>
        <v>43697</v>
      </c>
      <c r="AMV6" s="696">
        <f>AMR6+1</f>
        <v>44789</v>
      </c>
      <c r="AMW6" s="695">
        <f>AMV6</f>
        <v>44789</v>
      </c>
      <c r="AMX6" s="696">
        <f>AMW6</f>
        <v>44789</v>
      </c>
      <c r="AMY6" s="695">
        <f>AMU6+1</f>
        <v>43698</v>
      </c>
      <c r="AMZ6" s="696">
        <f>AMV6+1</f>
        <v>44790</v>
      </c>
      <c r="ANA6" s="695">
        <f>AMZ6</f>
        <v>44790</v>
      </c>
      <c r="ANB6" s="696">
        <f>ANA6</f>
        <v>44790</v>
      </c>
      <c r="ANC6" s="695">
        <f>AMY6+1</f>
        <v>43699</v>
      </c>
      <c r="AND6" s="696">
        <f>AMZ6+1</f>
        <v>44791</v>
      </c>
      <c r="ANE6" s="695">
        <f>AND6</f>
        <v>44791</v>
      </c>
      <c r="ANF6" s="696">
        <f>ANE6</f>
        <v>44791</v>
      </c>
      <c r="ANG6" s="695">
        <f>ANC6+1</f>
        <v>43700</v>
      </c>
      <c r="ANH6" s="696">
        <f>AND6+1</f>
        <v>44792</v>
      </c>
      <c r="ANI6" s="695">
        <f>ANH6</f>
        <v>44792</v>
      </c>
      <c r="ANJ6" s="696">
        <f>ANI6</f>
        <v>44792</v>
      </c>
      <c r="ANK6" s="695">
        <f>ANG6+1</f>
        <v>43701</v>
      </c>
      <c r="ANL6" s="696">
        <f>ANH6+1</f>
        <v>44793</v>
      </c>
      <c r="ANM6" s="695">
        <f>ANL6</f>
        <v>44793</v>
      </c>
      <c r="ANN6" s="696">
        <f>ANM6</f>
        <v>44793</v>
      </c>
      <c r="ANO6" s="746" t="s">
        <v>467</v>
      </c>
      <c r="ANP6" s="1872"/>
      <c r="ANQ6" s="740" t="s">
        <v>468</v>
      </c>
      <c r="ANR6" s="743" t="str">
        <f>ANQ6</f>
        <v>2021</v>
      </c>
      <c r="ANS6" s="725">
        <f>ANK6+1</f>
        <v>43702</v>
      </c>
      <c r="ANT6" s="726">
        <f>ANL6+1</f>
        <v>44794</v>
      </c>
      <c r="ANU6" s="725">
        <f>ANT6</f>
        <v>44794</v>
      </c>
      <c r="ANV6" s="726">
        <f>ANU6</f>
        <v>44794</v>
      </c>
      <c r="ANW6" s="725">
        <f>ANS6+1</f>
        <v>43703</v>
      </c>
      <c r="ANX6" s="726">
        <f>ANT6+1</f>
        <v>44795</v>
      </c>
      <c r="ANY6" s="725">
        <f>ANX6</f>
        <v>44795</v>
      </c>
      <c r="ANZ6" s="726">
        <f>ANY6</f>
        <v>44795</v>
      </c>
      <c r="AOA6" s="725">
        <f>ANW6+1</f>
        <v>43704</v>
      </c>
      <c r="AOB6" s="726">
        <f>ANX6+1</f>
        <v>44796</v>
      </c>
      <c r="AOC6" s="725">
        <f>AOB6</f>
        <v>44796</v>
      </c>
      <c r="AOD6" s="726">
        <f>AOC6</f>
        <v>44796</v>
      </c>
      <c r="AOE6" s="725">
        <f>AOA6+1</f>
        <v>43705</v>
      </c>
      <c r="AOF6" s="726">
        <f>AOB6+1</f>
        <v>44797</v>
      </c>
      <c r="AOG6" s="725">
        <f>AOF6</f>
        <v>44797</v>
      </c>
      <c r="AOH6" s="726">
        <f>AOG6</f>
        <v>44797</v>
      </c>
      <c r="AOI6" s="725">
        <f>AOE6+1</f>
        <v>43706</v>
      </c>
      <c r="AOJ6" s="726">
        <f>AOF6+1</f>
        <v>44798</v>
      </c>
      <c r="AOK6" s="725">
        <f>AOJ6</f>
        <v>44798</v>
      </c>
      <c r="AOL6" s="726">
        <f>AOK6</f>
        <v>44798</v>
      </c>
      <c r="AOM6" s="725">
        <f>AOI6+1</f>
        <v>43707</v>
      </c>
      <c r="AON6" s="726">
        <f>AOJ6+1</f>
        <v>44799</v>
      </c>
      <c r="AOO6" s="725">
        <f>AON6</f>
        <v>44799</v>
      </c>
      <c r="AOP6" s="726">
        <f>AOO6</f>
        <v>44799</v>
      </c>
      <c r="AOQ6" s="725">
        <f>AOM6+1</f>
        <v>43708</v>
      </c>
      <c r="AOR6" s="726">
        <f>AON6+1</f>
        <v>44800</v>
      </c>
      <c r="AOS6" s="725">
        <f>AOR6</f>
        <v>44800</v>
      </c>
      <c r="AOT6" s="726">
        <f>AOS6</f>
        <v>44800</v>
      </c>
      <c r="AOU6" s="749" t="s">
        <v>467</v>
      </c>
      <c r="AOV6" s="1871"/>
      <c r="AOW6" s="752" t="s">
        <v>468</v>
      </c>
      <c r="AOX6" s="755" t="str">
        <f>AOW6</f>
        <v>2021</v>
      </c>
      <c r="AOY6" s="695">
        <f>AOQ6+1</f>
        <v>43709</v>
      </c>
      <c r="AOZ6" s="696">
        <f>AOR6+1</f>
        <v>44801</v>
      </c>
      <c r="APA6" s="695">
        <f>AOZ6</f>
        <v>44801</v>
      </c>
      <c r="APB6" s="696">
        <f>APA6</f>
        <v>44801</v>
      </c>
      <c r="APC6" s="695">
        <f>AOY6+1</f>
        <v>43710</v>
      </c>
      <c r="APD6" s="696">
        <f>AOZ6+1</f>
        <v>44802</v>
      </c>
      <c r="APE6" s="695">
        <f>APD6</f>
        <v>44802</v>
      </c>
      <c r="APF6" s="696">
        <f>APE6</f>
        <v>44802</v>
      </c>
      <c r="APG6" s="695">
        <f>APC6+1</f>
        <v>43711</v>
      </c>
      <c r="APH6" s="696">
        <f>APD6+1</f>
        <v>44803</v>
      </c>
      <c r="API6" s="695">
        <f>APH6</f>
        <v>44803</v>
      </c>
      <c r="APJ6" s="696">
        <f>API6</f>
        <v>44803</v>
      </c>
      <c r="APK6" s="695">
        <f>APG6+1</f>
        <v>43712</v>
      </c>
      <c r="APL6" s="696">
        <f>APH6+1</f>
        <v>44804</v>
      </c>
      <c r="APM6" s="695">
        <f>APL6</f>
        <v>44804</v>
      </c>
      <c r="APN6" s="696">
        <f>APM6</f>
        <v>44804</v>
      </c>
      <c r="APO6" s="695">
        <f>APK6+1</f>
        <v>43713</v>
      </c>
      <c r="APP6" s="696">
        <f>APL6+1</f>
        <v>44805</v>
      </c>
      <c r="APQ6" s="695">
        <f>APP6</f>
        <v>44805</v>
      </c>
      <c r="APR6" s="696">
        <f>APQ6</f>
        <v>44805</v>
      </c>
      <c r="APS6" s="695">
        <f>APO6+1</f>
        <v>43714</v>
      </c>
      <c r="APT6" s="696">
        <f>APP6+1</f>
        <v>44806</v>
      </c>
      <c r="APU6" s="695">
        <f>APT6</f>
        <v>44806</v>
      </c>
      <c r="APV6" s="696">
        <f>APU6</f>
        <v>44806</v>
      </c>
      <c r="APW6" s="695">
        <f>APS6+1</f>
        <v>43715</v>
      </c>
      <c r="APX6" s="696">
        <f>APT6+1</f>
        <v>44807</v>
      </c>
      <c r="APY6" s="695">
        <f>APX6</f>
        <v>44807</v>
      </c>
      <c r="APZ6" s="696">
        <f>APY6</f>
        <v>44807</v>
      </c>
      <c r="AQA6" s="776" t="s">
        <v>467</v>
      </c>
      <c r="AQB6" s="1872"/>
      <c r="AQC6" s="777" t="s">
        <v>468</v>
      </c>
      <c r="AQD6" s="743" t="str">
        <f>AQC6</f>
        <v>2021</v>
      </c>
      <c r="AQE6" s="725">
        <f>APW6+1</f>
        <v>43716</v>
      </c>
      <c r="AQF6" s="726">
        <f>APX6+1</f>
        <v>44808</v>
      </c>
      <c r="AQG6" s="725">
        <f>AQF6</f>
        <v>44808</v>
      </c>
      <c r="AQH6" s="726">
        <f>AQG6</f>
        <v>44808</v>
      </c>
      <c r="AQI6" s="725">
        <f>AQE6+1</f>
        <v>43717</v>
      </c>
      <c r="AQJ6" s="726">
        <f>AQF6+1</f>
        <v>44809</v>
      </c>
      <c r="AQK6" s="725">
        <f>AQJ6</f>
        <v>44809</v>
      </c>
      <c r="AQL6" s="726">
        <f>AQK6</f>
        <v>44809</v>
      </c>
      <c r="AQM6" s="725">
        <f>AQI6+1</f>
        <v>43718</v>
      </c>
      <c r="AQN6" s="726">
        <f>AQJ6+1</f>
        <v>44810</v>
      </c>
      <c r="AQO6" s="725">
        <f>AQN6</f>
        <v>44810</v>
      </c>
      <c r="AQP6" s="726">
        <f>AQO6</f>
        <v>44810</v>
      </c>
      <c r="AQQ6" s="725">
        <f>AQM6+1</f>
        <v>43719</v>
      </c>
      <c r="AQR6" s="726">
        <f>AQN6+1</f>
        <v>44811</v>
      </c>
      <c r="AQS6" s="725">
        <f>AQR6</f>
        <v>44811</v>
      </c>
      <c r="AQT6" s="726">
        <f>AQS6</f>
        <v>44811</v>
      </c>
      <c r="AQU6" s="725">
        <f>AQQ6+1</f>
        <v>43720</v>
      </c>
      <c r="AQV6" s="726">
        <f>AQR6+1</f>
        <v>44812</v>
      </c>
      <c r="AQW6" s="725">
        <f>AQV6</f>
        <v>44812</v>
      </c>
      <c r="AQX6" s="726">
        <f>AQW6</f>
        <v>44812</v>
      </c>
      <c r="AQY6" s="725">
        <f>AQU6+1</f>
        <v>43721</v>
      </c>
      <c r="AQZ6" s="726">
        <f>AQV6+1</f>
        <v>44813</v>
      </c>
      <c r="ARA6" s="725">
        <f>AQZ6</f>
        <v>44813</v>
      </c>
      <c r="ARB6" s="726">
        <f>ARA6</f>
        <v>44813</v>
      </c>
      <c r="ARC6" s="725">
        <f>AQY6+1</f>
        <v>43722</v>
      </c>
      <c r="ARD6" s="726">
        <f>AQZ6+1</f>
        <v>44814</v>
      </c>
      <c r="ARE6" s="725">
        <f>ARD6</f>
        <v>44814</v>
      </c>
      <c r="ARF6" s="726">
        <f>ARE6</f>
        <v>44814</v>
      </c>
      <c r="ARG6" s="749" t="s">
        <v>467</v>
      </c>
      <c r="ARH6" s="1875"/>
      <c r="ARI6" s="752" t="s">
        <v>468</v>
      </c>
      <c r="ARJ6" s="755" t="str">
        <f>ARI6</f>
        <v>2021</v>
      </c>
      <c r="ARK6" s="695">
        <f>ARC6+1</f>
        <v>43723</v>
      </c>
      <c r="ARL6" s="696">
        <f>ARD6+1</f>
        <v>44815</v>
      </c>
      <c r="ARM6" s="695">
        <f>ARL6</f>
        <v>44815</v>
      </c>
      <c r="ARN6" s="696">
        <f>ARM6</f>
        <v>44815</v>
      </c>
      <c r="ARO6" s="695">
        <f>ARK6+1</f>
        <v>43724</v>
      </c>
      <c r="ARP6" s="696">
        <f>ARL6+1</f>
        <v>44816</v>
      </c>
      <c r="ARQ6" s="695">
        <f>ARP6</f>
        <v>44816</v>
      </c>
      <c r="ARR6" s="696">
        <f>ARQ6</f>
        <v>44816</v>
      </c>
      <c r="ARS6" s="695">
        <f>ARO6+1</f>
        <v>43725</v>
      </c>
      <c r="ART6" s="696">
        <f>ARP6+1</f>
        <v>44817</v>
      </c>
      <c r="ARU6" s="695">
        <f>ART6</f>
        <v>44817</v>
      </c>
      <c r="ARV6" s="696">
        <f>ARU6</f>
        <v>44817</v>
      </c>
      <c r="ARW6" s="695">
        <f>ARS6+1</f>
        <v>43726</v>
      </c>
      <c r="ARX6" s="696">
        <f>ART6+1</f>
        <v>44818</v>
      </c>
      <c r="ARY6" s="695">
        <f>ARX6</f>
        <v>44818</v>
      </c>
      <c r="ARZ6" s="696">
        <f>ARY6</f>
        <v>44818</v>
      </c>
      <c r="ASA6" s="695">
        <f>ARW6+1</f>
        <v>43727</v>
      </c>
      <c r="ASB6" s="696">
        <f>ARX6+1</f>
        <v>44819</v>
      </c>
      <c r="ASC6" s="695">
        <f>ASB6</f>
        <v>44819</v>
      </c>
      <c r="ASD6" s="696">
        <f>ASC6</f>
        <v>44819</v>
      </c>
      <c r="ASE6" s="695">
        <f>ASA6+1</f>
        <v>43728</v>
      </c>
      <c r="ASF6" s="696">
        <f>ASB6+1</f>
        <v>44820</v>
      </c>
      <c r="ASG6" s="695">
        <f>ASF6</f>
        <v>44820</v>
      </c>
      <c r="ASH6" s="696">
        <f>ASG6</f>
        <v>44820</v>
      </c>
      <c r="ASI6" s="695">
        <f>ASE6+1</f>
        <v>43729</v>
      </c>
      <c r="ASJ6" s="696">
        <f>ASF6+1</f>
        <v>44821</v>
      </c>
      <c r="ASK6" s="695">
        <f>ASJ6</f>
        <v>44821</v>
      </c>
      <c r="ASL6" s="696">
        <f>ASK6</f>
        <v>44821</v>
      </c>
      <c r="ASM6" s="746" t="s">
        <v>467</v>
      </c>
      <c r="ASN6" s="1873"/>
      <c r="ASO6" s="740" t="s">
        <v>468</v>
      </c>
      <c r="ASP6" s="743" t="str">
        <f>ASO6</f>
        <v>2021</v>
      </c>
      <c r="ASQ6" s="725">
        <f>ASI6+1</f>
        <v>43730</v>
      </c>
      <c r="ASR6" s="726">
        <f>ASJ6+1</f>
        <v>44822</v>
      </c>
      <c r="ASS6" s="725">
        <f>ASR6</f>
        <v>44822</v>
      </c>
      <c r="AST6" s="726">
        <f>ASS6</f>
        <v>44822</v>
      </c>
      <c r="ASU6" s="725">
        <f>ASQ6+1</f>
        <v>43731</v>
      </c>
      <c r="ASV6" s="726">
        <f>ASR6+1</f>
        <v>44823</v>
      </c>
      <c r="ASW6" s="725">
        <f>ASV6</f>
        <v>44823</v>
      </c>
      <c r="ASX6" s="726">
        <f>ASW6</f>
        <v>44823</v>
      </c>
      <c r="ASY6" s="725">
        <f>ASU6+1</f>
        <v>43732</v>
      </c>
      <c r="ASZ6" s="726">
        <f>ASV6+1</f>
        <v>44824</v>
      </c>
      <c r="ATA6" s="725">
        <f>ASZ6</f>
        <v>44824</v>
      </c>
      <c r="ATB6" s="726">
        <f>ATA6</f>
        <v>44824</v>
      </c>
      <c r="ATC6" s="725">
        <f>ASY6+1</f>
        <v>43733</v>
      </c>
      <c r="ATD6" s="726">
        <f>ASZ6+1</f>
        <v>44825</v>
      </c>
      <c r="ATE6" s="725">
        <f>ATD6</f>
        <v>44825</v>
      </c>
      <c r="ATF6" s="726">
        <f>ATE6</f>
        <v>44825</v>
      </c>
      <c r="ATG6" s="725">
        <f>ATC6+1</f>
        <v>43734</v>
      </c>
      <c r="ATH6" s="726">
        <f>ATD6+1</f>
        <v>44826</v>
      </c>
      <c r="ATI6" s="725">
        <f>ATH6</f>
        <v>44826</v>
      </c>
      <c r="ATJ6" s="726">
        <f>ATI6</f>
        <v>44826</v>
      </c>
      <c r="ATK6" s="725">
        <f>ATG6+1</f>
        <v>43735</v>
      </c>
      <c r="ATL6" s="726">
        <f>ATH6+1</f>
        <v>44827</v>
      </c>
      <c r="ATM6" s="725">
        <f>ATL6</f>
        <v>44827</v>
      </c>
      <c r="ATN6" s="726">
        <f>ATM6</f>
        <v>44827</v>
      </c>
      <c r="ATO6" s="725">
        <f>ATK6+1</f>
        <v>43736</v>
      </c>
      <c r="ATP6" s="726">
        <f>ATL6+1</f>
        <v>44828</v>
      </c>
      <c r="ATQ6" s="725">
        <f>ATP6</f>
        <v>44828</v>
      </c>
      <c r="ATR6" s="726">
        <f>ATQ6</f>
        <v>44828</v>
      </c>
      <c r="ATS6" s="749" t="s">
        <v>467</v>
      </c>
      <c r="ATT6" s="1874"/>
      <c r="ATU6" s="752" t="s">
        <v>468</v>
      </c>
      <c r="ATV6" s="755" t="str">
        <f>ATU6</f>
        <v>2021</v>
      </c>
      <c r="ATW6" s="695">
        <f>ATO6+1</f>
        <v>43737</v>
      </c>
      <c r="ATX6" s="696">
        <f>ATP6+1</f>
        <v>44829</v>
      </c>
      <c r="ATY6" s="695">
        <f>ATX6</f>
        <v>44829</v>
      </c>
      <c r="ATZ6" s="696">
        <f>ATY6</f>
        <v>44829</v>
      </c>
      <c r="AUA6" s="695">
        <f>ATW6+1</f>
        <v>43738</v>
      </c>
      <c r="AUB6" s="696">
        <f>ATX6+1</f>
        <v>44830</v>
      </c>
      <c r="AUC6" s="695">
        <f>AUB6</f>
        <v>44830</v>
      </c>
      <c r="AUD6" s="696">
        <f>AUC6</f>
        <v>44830</v>
      </c>
      <c r="AUE6" s="695">
        <f>AUA6+1</f>
        <v>43739</v>
      </c>
      <c r="AUF6" s="696">
        <f>AUB6+1</f>
        <v>44831</v>
      </c>
      <c r="AUG6" s="695">
        <f>AUF6</f>
        <v>44831</v>
      </c>
      <c r="AUH6" s="696">
        <f>AUG6</f>
        <v>44831</v>
      </c>
      <c r="AUI6" s="695">
        <f>AUE6+1</f>
        <v>43740</v>
      </c>
      <c r="AUJ6" s="696">
        <f>AUF6+1</f>
        <v>44832</v>
      </c>
      <c r="AUK6" s="695">
        <f>AUJ6</f>
        <v>44832</v>
      </c>
      <c r="AUL6" s="696">
        <f>AUK6</f>
        <v>44832</v>
      </c>
      <c r="AUM6" s="695">
        <f>AUI6+1</f>
        <v>43741</v>
      </c>
      <c r="AUN6" s="696">
        <f>AUJ6+1</f>
        <v>44833</v>
      </c>
      <c r="AUO6" s="695">
        <f>AUN6</f>
        <v>44833</v>
      </c>
      <c r="AUP6" s="696">
        <f>AUO6</f>
        <v>44833</v>
      </c>
      <c r="AUQ6" s="695">
        <f>AUM6+1</f>
        <v>43742</v>
      </c>
      <c r="AUR6" s="696">
        <f>AUN6+1</f>
        <v>44834</v>
      </c>
      <c r="AUS6" s="695">
        <f>AUR6</f>
        <v>44834</v>
      </c>
      <c r="AUT6" s="696">
        <f>AUS6</f>
        <v>44834</v>
      </c>
      <c r="AUU6" s="695">
        <f>AUQ6+1</f>
        <v>43743</v>
      </c>
      <c r="AUV6" s="696">
        <f>AUR6+1</f>
        <v>44835</v>
      </c>
      <c r="AUW6" s="695">
        <f>AUV6</f>
        <v>44835</v>
      </c>
      <c r="AUX6" s="696">
        <f>AUW6</f>
        <v>44835</v>
      </c>
      <c r="AUY6" s="746" t="s">
        <v>467</v>
      </c>
      <c r="AUZ6" s="1873"/>
      <c r="AVA6" s="740" t="s">
        <v>468</v>
      </c>
      <c r="AVB6" s="743" t="str">
        <f>AVA6</f>
        <v>2021</v>
      </c>
      <c r="AVC6" s="695">
        <f>AUU6+1</f>
        <v>43744</v>
      </c>
      <c r="AVD6" s="696">
        <f>AUV6+1</f>
        <v>44836</v>
      </c>
      <c r="AVE6" s="695">
        <f>AVD6</f>
        <v>44836</v>
      </c>
      <c r="AVF6" s="696">
        <f>AVE6</f>
        <v>44836</v>
      </c>
      <c r="AVG6" s="695">
        <f>AVC6+1</f>
        <v>43745</v>
      </c>
      <c r="AVH6" s="696">
        <f>AVD6+1</f>
        <v>44837</v>
      </c>
      <c r="AVI6" s="695">
        <f>AVH6</f>
        <v>44837</v>
      </c>
      <c r="AVJ6" s="696">
        <f>AVI6</f>
        <v>44837</v>
      </c>
      <c r="AVK6" s="695">
        <f>AVG6+1</f>
        <v>43746</v>
      </c>
      <c r="AVL6" s="696">
        <f>AVH6+1</f>
        <v>44838</v>
      </c>
      <c r="AVM6" s="695">
        <f>AVL6</f>
        <v>44838</v>
      </c>
      <c r="AVN6" s="696">
        <f>AVM6</f>
        <v>44838</v>
      </c>
      <c r="AVO6" s="695">
        <f>AVK6+1</f>
        <v>43747</v>
      </c>
      <c r="AVP6" s="696">
        <f>AVL6+1</f>
        <v>44839</v>
      </c>
      <c r="AVQ6" s="695">
        <f>AVP6</f>
        <v>44839</v>
      </c>
      <c r="AVR6" s="696">
        <f>AVQ6</f>
        <v>44839</v>
      </c>
      <c r="AVS6" s="695">
        <f>AVO6+1</f>
        <v>43748</v>
      </c>
      <c r="AVT6" s="696">
        <f>AVP6+1</f>
        <v>44840</v>
      </c>
      <c r="AVU6" s="695">
        <f>AVT6</f>
        <v>44840</v>
      </c>
      <c r="AVV6" s="696">
        <f>AVU6</f>
        <v>44840</v>
      </c>
      <c r="AVW6" s="695">
        <f>AVS6+1</f>
        <v>43749</v>
      </c>
      <c r="AVX6" s="696">
        <f>AVT6+1</f>
        <v>44841</v>
      </c>
      <c r="AVY6" s="695">
        <f>AVX6</f>
        <v>44841</v>
      </c>
      <c r="AVZ6" s="696">
        <f>AVY6</f>
        <v>44841</v>
      </c>
      <c r="AWA6" s="695">
        <f>AVW6+1</f>
        <v>43750</v>
      </c>
      <c r="AWB6" s="696">
        <f>AVX6+1</f>
        <v>44842</v>
      </c>
      <c r="AWC6" s="695">
        <f>AWB6</f>
        <v>44842</v>
      </c>
      <c r="AWD6" s="696">
        <f>AWC6</f>
        <v>44842</v>
      </c>
      <c r="AWE6" s="746" t="s">
        <v>467</v>
      </c>
      <c r="AWF6" s="1872"/>
      <c r="AWG6" s="740" t="s">
        <v>468</v>
      </c>
      <c r="AWH6" s="743" t="str">
        <f>AWG6</f>
        <v>2021</v>
      </c>
      <c r="AWI6" s="725">
        <f>AWA6+1</f>
        <v>43751</v>
      </c>
      <c r="AWJ6" s="726">
        <f>AWB6+1</f>
        <v>44843</v>
      </c>
      <c r="AWK6" s="725">
        <f>AWJ6</f>
        <v>44843</v>
      </c>
      <c r="AWL6" s="726">
        <f>AWK6</f>
        <v>44843</v>
      </c>
      <c r="AWM6" s="725">
        <f>AWI6+1</f>
        <v>43752</v>
      </c>
      <c r="AWN6" s="726">
        <f>AWJ6+1</f>
        <v>44844</v>
      </c>
      <c r="AWO6" s="725">
        <f>AWN6</f>
        <v>44844</v>
      </c>
      <c r="AWP6" s="726">
        <f>AWO6</f>
        <v>44844</v>
      </c>
      <c r="AWQ6" s="725">
        <f>AWM6+1</f>
        <v>43753</v>
      </c>
      <c r="AWR6" s="726">
        <f>AWN6+1</f>
        <v>44845</v>
      </c>
      <c r="AWS6" s="725">
        <f>AWR6</f>
        <v>44845</v>
      </c>
      <c r="AWT6" s="726">
        <f>AWS6</f>
        <v>44845</v>
      </c>
      <c r="AWU6" s="725">
        <f>AWQ6+1</f>
        <v>43754</v>
      </c>
      <c r="AWV6" s="726">
        <f>AWR6+1</f>
        <v>44846</v>
      </c>
      <c r="AWW6" s="725">
        <f>AWV6</f>
        <v>44846</v>
      </c>
      <c r="AWX6" s="726">
        <f>AWW6</f>
        <v>44846</v>
      </c>
      <c r="AWY6" s="725">
        <f>AWU6+1</f>
        <v>43755</v>
      </c>
      <c r="AWZ6" s="726">
        <f>AWV6+1</f>
        <v>44847</v>
      </c>
      <c r="AXA6" s="725">
        <f>AWZ6</f>
        <v>44847</v>
      </c>
      <c r="AXB6" s="726">
        <f>AXA6</f>
        <v>44847</v>
      </c>
      <c r="AXC6" s="725">
        <f>AWY6+1</f>
        <v>43756</v>
      </c>
      <c r="AXD6" s="726">
        <f>AWZ6+1</f>
        <v>44848</v>
      </c>
      <c r="AXE6" s="725">
        <f>AXD6</f>
        <v>44848</v>
      </c>
      <c r="AXF6" s="726">
        <f>AXE6</f>
        <v>44848</v>
      </c>
      <c r="AXG6" s="725">
        <f>AXC6+1</f>
        <v>43757</v>
      </c>
      <c r="AXH6" s="726">
        <f>AXD6+1</f>
        <v>44849</v>
      </c>
      <c r="AXI6" s="725">
        <f>AXH6</f>
        <v>44849</v>
      </c>
      <c r="AXJ6" s="726">
        <f>AXI6</f>
        <v>44849</v>
      </c>
      <c r="AXK6" s="749" t="s">
        <v>467</v>
      </c>
      <c r="AXL6" s="1871"/>
      <c r="AXM6" s="752" t="s">
        <v>468</v>
      </c>
      <c r="AXN6" s="755" t="str">
        <f>AXM6</f>
        <v>2021</v>
      </c>
      <c r="AXO6" s="695">
        <f>AXG6+1</f>
        <v>43758</v>
      </c>
      <c r="AXP6" s="696">
        <f>AXH6+1</f>
        <v>44850</v>
      </c>
      <c r="AXQ6" s="695">
        <f>AXP6</f>
        <v>44850</v>
      </c>
      <c r="AXR6" s="696">
        <f>AXQ6</f>
        <v>44850</v>
      </c>
      <c r="AXS6" s="695">
        <f>AXO6+1</f>
        <v>43759</v>
      </c>
      <c r="AXT6" s="696">
        <f>AXP6+1</f>
        <v>44851</v>
      </c>
      <c r="AXU6" s="695">
        <f>AXT6</f>
        <v>44851</v>
      </c>
      <c r="AXV6" s="696">
        <f>AXU6</f>
        <v>44851</v>
      </c>
      <c r="AXW6" s="695">
        <f>AXS6+1</f>
        <v>43760</v>
      </c>
      <c r="AXX6" s="696">
        <f>AXT6+1</f>
        <v>44852</v>
      </c>
      <c r="AXY6" s="695">
        <f>AXX6</f>
        <v>44852</v>
      </c>
      <c r="AXZ6" s="696">
        <f>AXY6</f>
        <v>44852</v>
      </c>
      <c r="AYA6" s="695">
        <f>AXW6+1</f>
        <v>43761</v>
      </c>
      <c r="AYB6" s="696">
        <f>AXX6+1</f>
        <v>44853</v>
      </c>
      <c r="AYC6" s="695">
        <f>AYB6</f>
        <v>44853</v>
      </c>
      <c r="AYD6" s="696">
        <f>AYC6</f>
        <v>44853</v>
      </c>
      <c r="AYE6" s="695">
        <f>AYA6+1</f>
        <v>43762</v>
      </c>
      <c r="AYF6" s="696">
        <f>AYB6+1</f>
        <v>44854</v>
      </c>
      <c r="AYG6" s="695">
        <f>AYF6</f>
        <v>44854</v>
      </c>
      <c r="AYH6" s="696">
        <f>AYG6</f>
        <v>44854</v>
      </c>
      <c r="AYI6" s="695">
        <f>AYE6+1</f>
        <v>43763</v>
      </c>
      <c r="AYJ6" s="696">
        <f>AYF6+1</f>
        <v>44855</v>
      </c>
      <c r="AYK6" s="695">
        <f>AYJ6</f>
        <v>44855</v>
      </c>
      <c r="AYL6" s="696">
        <f>AYK6</f>
        <v>44855</v>
      </c>
      <c r="AYM6" s="695">
        <f>AYI6+1</f>
        <v>43764</v>
      </c>
      <c r="AYN6" s="696">
        <f>AYJ6+1</f>
        <v>44856</v>
      </c>
      <c r="AYO6" s="695">
        <f>AYN6</f>
        <v>44856</v>
      </c>
      <c r="AYP6" s="696">
        <f>AYO6</f>
        <v>44856</v>
      </c>
      <c r="AYQ6" s="746" t="s">
        <v>467</v>
      </c>
      <c r="AYR6" s="1872"/>
      <c r="AYS6" s="740" t="s">
        <v>468</v>
      </c>
      <c r="AYT6" s="743" t="str">
        <f>AYS6</f>
        <v>2021</v>
      </c>
      <c r="AYU6" s="725">
        <f>AYM6+1</f>
        <v>43765</v>
      </c>
      <c r="AYV6" s="726">
        <f>AYN6+1</f>
        <v>44857</v>
      </c>
      <c r="AYW6" s="725">
        <f>AYV6</f>
        <v>44857</v>
      </c>
      <c r="AYX6" s="726">
        <f>AYW6</f>
        <v>44857</v>
      </c>
      <c r="AYY6" s="725">
        <f>AYU6+1</f>
        <v>43766</v>
      </c>
      <c r="AYZ6" s="726">
        <f>AYV6+1</f>
        <v>44858</v>
      </c>
      <c r="AZA6" s="725">
        <f>AYZ6</f>
        <v>44858</v>
      </c>
      <c r="AZB6" s="726">
        <f>AZA6</f>
        <v>44858</v>
      </c>
      <c r="AZC6" s="725">
        <f>AYY6+1</f>
        <v>43767</v>
      </c>
      <c r="AZD6" s="726">
        <f>AYZ6+1</f>
        <v>44859</v>
      </c>
      <c r="AZE6" s="725">
        <f>AZD6</f>
        <v>44859</v>
      </c>
      <c r="AZF6" s="726">
        <f>AZE6</f>
        <v>44859</v>
      </c>
      <c r="AZG6" s="725">
        <f>AZC6+1</f>
        <v>43768</v>
      </c>
      <c r="AZH6" s="726">
        <f>AZD6+1</f>
        <v>44860</v>
      </c>
      <c r="AZI6" s="725">
        <f>AZH6</f>
        <v>44860</v>
      </c>
      <c r="AZJ6" s="726">
        <f>AZI6</f>
        <v>44860</v>
      </c>
      <c r="AZK6" s="725">
        <f>AZG6+1</f>
        <v>43769</v>
      </c>
      <c r="AZL6" s="726">
        <f>AZH6+1</f>
        <v>44861</v>
      </c>
      <c r="AZM6" s="725">
        <f>AZL6</f>
        <v>44861</v>
      </c>
      <c r="AZN6" s="726">
        <f>AZM6</f>
        <v>44861</v>
      </c>
      <c r="AZO6" s="725">
        <f>AZK6+1</f>
        <v>43770</v>
      </c>
      <c r="AZP6" s="726">
        <f>AZL6+1</f>
        <v>44862</v>
      </c>
      <c r="AZQ6" s="725">
        <f>AZP6</f>
        <v>44862</v>
      </c>
      <c r="AZR6" s="726">
        <f>AZQ6</f>
        <v>44862</v>
      </c>
      <c r="AZS6" s="725">
        <f>AZO6+1</f>
        <v>43771</v>
      </c>
      <c r="AZT6" s="726">
        <f>AZP6+1</f>
        <v>44863</v>
      </c>
      <c r="AZU6" s="725">
        <f>AZT6</f>
        <v>44863</v>
      </c>
      <c r="AZV6" s="726">
        <f>AZU6</f>
        <v>44863</v>
      </c>
      <c r="AZW6" s="749" t="s">
        <v>467</v>
      </c>
      <c r="AZX6" s="1871"/>
      <c r="AZY6" s="752" t="s">
        <v>468</v>
      </c>
      <c r="AZZ6" s="755" t="str">
        <f>AZY6</f>
        <v>2021</v>
      </c>
      <c r="BAA6" s="695">
        <f>AZS6+1</f>
        <v>43772</v>
      </c>
      <c r="BAB6" s="696">
        <f>AZT6+1</f>
        <v>44864</v>
      </c>
      <c r="BAC6" s="695">
        <f>BAB6</f>
        <v>44864</v>
      </c>
      <c r="BAD6" s="696">
        <f>BAC6</f>
        <v>44864</v>
      </c>
      <c r="BAE6" s="695">
        <f>BAA6+1</f>
        <v>43773</v>
      </c>
      <c r="BAF6" s="696">
        <f>BAB6+1</f>
        <v>44865</v>
      </c>
      <c r="BAG6" s="695">
        <f>BAF6</f>
        <v>44865</v>
      </c>
      <c r="BAH6" s="696">
        <f>BAG6</f>
        <v>44865</v>
      </c>
      <c r="BAI6" s="695">
        <f>BAE6+1</f>
        <v>43774</v>
      </c>
      <c r="BAJ6" s="696">
        <f>BAF6+1</f>
        <v>44866</v>
      </c>
      <c r="BAK6" s="695">
        <f>BAJ6</f>
        <v>44866</v>
      </c>
      <c r="BAL6" s="696">
        <f>BAK6</f>
        <v>44866</v>
      </c>
      <c r="BAM6" s="695">
        <f>BAI6+1</f>
        <v>43775</v>
      </c>
      <c r="BAN6" s="696">
        <f>BAJ6+1</f>
        <v>44867</v>
      </c>
      <c r="BAO6" s="695">
        <f>BAN6</f>
        <v>44867</v>
      </c>
      <c r="BAP6" s="696">
        <f>BAO6</f>
        <v>44867</v>
      </c>
      <c r="BAQ6" s="695">
        <f>BAM6+1</f>
        <v>43776</v>
      </c>
      <c r="BAR6" s="696">
        <f>BAN6+1</f>
        <v>44868</v>
      </c>
      <c r="BAS6" s="695">
        <f>BAR6</f>
        <v>44868</v>
      </c>
      <c r="BAT6" s="696">
        <f>BAS6</f>
        <v>44868</v>
      </c>
      <c r="BAU6" s="695">
        <f>BAQ6+1</f>
        <v>43777</v>
      </c>
      <c r="BAV6" s="696">
        <f>BAR6+1</f>
        <v>44869</v>
      </c>
      <c r="BAW6" s="695">
        <f>BAV6</f>
        <v>44869</v>
      </c>
      <c r="BAX6" s="696">
        <f>BAW6</f>
        <v>44869</v>
      </c>
      <c r="BAY6" s="695">
        <f>BAU6+1</f>
        <v>43778</v>
      </c>
      <c r="BAZ6" s="696">
        <f>BAV6+1</f>
        <v>44870</v>
      </c>
      <c r="BBA6" s="695">
        <f>BAZ6</f>
        <v>44870</v>
      </c>
      <c r="BBB6" s="696">
        <f>BBA6</f>
        <v>44870</v>
      </c>
      <c r="BBC6" s="746" t="s">
        <v>467</v>
      </c>
      <c r="BBD6" s="1872"/>
      <c r="BBE6" s="740" t="s">
        <v>468</v>
      </c>
      <c r="BBF6" s="743" t="str">
        <f>BBE6</f>
        <v>2021</v>
      </c>
      <c r="BBG6" s="725">
        <f>BAY6+1</f>
        <v>43779</v>
      </c>
      <c r="BBH6" s="726">
        <f>BAZ6+1</f>
        <v>44871</v>
      </c>
      <c r="BBI6" s="725">
        <f>BBH6</f>
        <v>44871</v>
      </c>
      <c r="BBJ6" s="726">
        <f>BBI6</f>
        <v>44871</v>
      </c>
      <c r="BBK6" s="725">
        <f>BBG6+1</f>
        <v>43780</v>
      </c>
      <c r="BBL6" s="726">
        <f>BBH6+1</f>
        <v>44872</v>
      </c>
      <c r="BBM6" s="725">
        <f>BBL6</f>
        <v>44872</v>
      </c>
      <c r="BBN6" s="726">
        <f>BBM6</f>
        <v>44872</v>
      </c>
      <c r="BBO6" s="725">
        <f>BBK6+1</f>
        <v>43781</v>
      </c>
      <c r="BBP6" s="726">
        <f>BBL6+1</f>
        <v>44873</v>
      </c>
      <c r="BBQ6" s="725">
        <f>BBP6</f>
        <v>44873</v>
      </c>
      <c r="BBR6" s="726">
        <f>BBQ6</f>
        <v>44873</v>
      </c>
      <c r="BBS6" s="725">
        <f>BBO6+1</f>
        <v>43782</v>
      </c>
      <c r="BBT6" s="726">
        <f>BBP6+1</f>
        <v>44874</v>
      </c>
      <c r="BBU6" s="725">
        <f>BBT6</f>
        <v>44874</v>
      </c>
      <c r="BBV6" s="726">
        <f>BBU6</f>
        <v>44874</v>
      </c>
      <c r="BBW6" s="725">
        <f>BBS6+1</f>
        <v>43783</v>
      </c>
      <c r="BBX6" s="726">
        <f>BBT6+1</f>
        <v>44875</v>
      </c>
      <c r="BBY6" s="725">
        <f>BBX6</f>
        <v>44875</v>
      </c>
      <c r="BBZ6" s="726">
        <f>BBY6</f>
        <v>44875</v>
      </c>
      <c r="BCA6" s="725">
        <f>BBW6+1</f>
        <v>43784</v>
      </c>
      <c r="BCB6" s="726">
        <f>BBX6+1</f>
        <v>44876</v>
      </c>
      <c r="BCC6" s="725">
        <f>BCB6</f>
        <v>44876</v>
      </c>
      <c r="BCD6" s="726">
        <f>BCC6</f>
        <v>44876</v>
      </c>
      <c r="BCE6" s="725">
        <f>BCA6+1</f>
        <v>43785</v>
      </c>
      <c r="BCF6" s="726">
        <f>BCB6+1</f>
        <v>44877</v>
      </c>
      <c r="BCG6" s="725">
        <f>BCF6</f>
        <v>44877</v>
      </c>
      <c r="BCH6" s="726">
        <f>BCG6</f>
        <v>44877</v>
      </c>
      <c r="BCI6" s="749" t="s">
        <v>467</v>
      </c>
      <c r="BCJ6" s="1871"/>
      <c r="BCK6" s="752" t="s">
        <v>468</v>
      </c>
      <c r="BCL6" s="755" t="str">
        <f>BCK6</f>
        <v>2021</v>
      </c>
      <c r="BCM6" s="695">
        <f>BCE6+1</f>
        <v>43786</v>
      </c>
      <c r="BCN6" s="696">
        <f>BCF6+1</f>
        <v>44878</v>
      </c>
      <c r="BCO6" s="695">
        <f>BCN6</f>
        <v>44878</v>
      </c>
      <c r="BCP6" s="696">
        <f>BCO6</f>
        <v>44878</v>
      </c>
      <c r="BCQ6" s="695">
        <f>BCM6+1</f>
        <v>43787</v>
      </c>
      <c r="BCR6" s="696">
        <f>BCN6+1</f>
        <v>44879</v>
      </c>
      <c r="BCS6" s="695">
        <f>BCR6</f>
        <v>44879</v>
      </c>
      <c r="BCT6" s="696">
        <f>BCS6</f>
        <v>44879</v>
      </c>
      <c r="BCU6" s="695">
        <f>BCQ6+1</f>
        <v>43788</v>
      </c>
      <c r="BCV6" s="696">
        <f>BCR6+1</f>
        <v>44880</v>
      </c>
      <c r="BCW6" s="695">
        <f>BCV6</f>
        <v>44880</v>
      </c>
      <c r="BCX6" s="696">
        <f>BCW6</f>
        <v>44880</v>
      </c>
      <c r="BCY6" s="695">
        <f>BCU6+1</f>
        <v>43789</v>
      </c>
      <c r="BCZ6" s="696">
        <f>BCV6+1</f>
        <v>44881</v>
      </c>
      <c r="BDA6" s="695">
        <f>BCZ6</f>
        <v>44881</v>
      </c>
      <c r="BDB6" s="696">
        <f>BDA6</f>
        <v>44881</v>
      </c>
      <c r="BDC6" s="695">
        <f>BCY6+1</f>
        <v>43790</v>
      </c>
      <c r="BDD6" s="696">
        <f>BCZ6+1</f>
        <v>44882</v>
      </c>
      <c r="BDE6" s="695">
        <f>BDD6</f>
        <v>44882</v>
      </c>
      <c r="BDF6" s="696">
        <f>BDE6</f>
        <v>44882</v>
      </c>
      <c r="BDG6" s="695">
        <f>BDC6+1</f>
        <v>43791</v>
      </c>
      <c r="BDH6" s="696">
        <f>BDD6+1</f>
        <v>44883</v>
      </c>
      <c r="BDI6" s="695">
        <f>BDH6</f>
        <v>44883</v>
      </c>
      <c r="BDJ6" s="696">
        <f>BDI6</f>
        <v>44883</v>
      </c>
      <c r="BDK6" s="695">
        <f>BDG6+1</f>
        <v>43792</v>
      </c>
      <c r="BDL6" s="696">
        <f>BDH6+1</f>
        <v>44884</v>
      </c>
      <c r="BDM6" s="695">
        <f>BDL6</f>
        <v>44884</v>
      </c>
      <c r="BDN6" s="696">
        <f>BDM6</f>
        <v>44884</v>
      </c>
      <c r="BDO6" s="746" t="s">
        <v>467</v>
      </c>
      <c r="BDP6" s="1872"/>
      <c r="BDQ6" s="740" t="s">
        <v>468</v>
      </c>
      <c r="BDR6" s="743" t="str">
        <f>BDQ6</f>
        <v>2021</v>
      </c>
      <c r="BDS6" s="725">
        <f>BDK6+1</f>
        <v>43793</v>
      </c>
      <c r="BDT6" s="726">
        <f>BDL6+1</f>
        <v>44885</v>
      </c>
      <c r="BDU6" s="725">
        <f>BDT6</f>
        <v>44885</v>
      </c>
      <c r="BDV6" s="726">
        <f>BDU6</f>
        <v>44885</v>
      </c>
      <c r="BDW6" s="725">
        <f>BDS6+1</f>
        <v>43794</v>
      </c>
      <c r="BDX6" s="726">
        <f>BDT6+1</f>
        <v>44886</v>
      </c>
      <c r="BDY6" s="725">
        <f>BDX6</f>
        <v>44886</v>
      </c>
      <c r="BDZ6" s="726">
        <f>BDY6</f>
        <v>44886</v>
      </c>
      <c r="BEA6" s="725">
        <f>BDW6+1</f>
        <v>43795</v>
      </c>
      <c r="BEB6" s="726">
        <f>BDX6+1</f>
        <v>44887</v>
      </c>
      <c r="BEC6" s="725">
        <f>BEB6</f>
        <v>44887</v>
      </c>
      <c r="BED6" s="726">
        <f>BEC6</f>
        <v>44887</v>
      </c>
      <c r="BEE6" s="725">
        <f>BEA6+1</f>
        <v>43796</v>
      </c>
      <c r="BEF6" s="726">
        <f>BEB6+1</f>
        <v>44888</v>
      </c>
      <c r="BEG6" s="725">
        <f>BEF6</f>
        <v>44888</v>
      </c>
      <c r="BEH6" s="726">
        <f>BEG6</f>
        <v>44888</v>
      </c>
      <c r="BEI6" s="725">
        <f>BEE6+1</f>
        <v>43797</v>
      </c>
      <c r="BEJ6" s="726">
        <f>BEF6+1</f>
        <v>44889</v>
      </c>
      <c r="BEK6" s="725">
        <f>BEJ6</f>
        <v>44889</v>
      </c>
      <c r="BEL6" s="726">
        <f>BEK6</f>
        <v>44889</v>
      </c>
      <c r="BEM6" s="725">
        <f>BEI6+1</f>
        <v>43798</v>
      </c>
      <c r="BEN6" s="726">
        <f>BEJ6+1</f>
        <v>44890</v>
      </c>
      <c r="BEO6" s="725">
        <f>BEN6</f>
        <v>44890</v>
      </c>
      <c r="BEP6" s="726">
        <f>BEO6</f>
        <v>44890</v>
      </c>
      <c r="BEQ6" s="725">
        <f>BEM6+1</f>
        <v>43799</v>
      </c>
      <c r="BER6" s="726">
        <f>BEN6+1</f>
        <v>44891</v>
      </c>
      <c r="BES6" s="725">
        <f>BER6</f>
        <v>44891</v>
      </c>
      <c r="BET6" s="726">
        <f>BES6</f>
        <v>44891</v>
      </c>
      <c r="BEU6" s="749" t="s">
        <v>467</v>
      </c>
      <c r="BEV6" s="1871"/>
      <c r="BEW6" s="752" t="s">
        <v>468</v>
      </c>
      <c r="BEX6" s="755" t="str">
        <f>BEW6</f>
        <v>2021</v>
      </c>
      <c r="BEY6" s="695">
        <f>BEQ6+1</f>
        <v>43800</v>
      </c>
      <c r="BEZ6" s="696">
        <f>BER6+1</f>
        <v>44892</v>
      </c>
      <c r="BFA6" s="695">
        <f>BEZ6</f>
        <v>44892</v>
      </c>
      <c r="BFB6" s="696">
        <f>BFA6</f>
        <v>44892</v>
      </c>
      <c r="BFC6" s="695">
        <f>BEY6+1</f>
        <v>43801</v>
      </c>
      <c r="BFD6" s="696">
        <f>BEZ6+1</f>
        <v>44893</v>
      </c>
      <c r="BFE6" s="695">
        <f>BFD6</f>
        <v>44893</v>
      </c>
      <c r="BFF6" s="696">
        <f>BFE6</f>
        <v>44893</v>
      </c>
      <c r="BFG6" s="695">
        <f>BFC6+1</f>
        <v>43802</v>
      </c>
      <c r="BFH6" s="696">
        <f>BFD6+1</f>
        <v>44894</v>
      </c>
      <c r="BFI6" s="695">
        <f>BFH6</f>
        <v>44894</v>
      </c>
      <c r="BFJ6" s="696">
        <f>BFI6</f>
        <v>44894</v>
      </c>
      <c r="BFK6" s="695">
        <f>BFG6+1</f>
        <v>43803</v>
      </c>
      <c r="BFL6" s="696">
        <f>BFH6+1</f>
        <v>44895</v>
      </c>
      <c r="BFM6" s="695">
        <f>BFL6</f>
        <v>44895</v>
      </c>
      <c r="BFN6" s="696">
        <f>BFM6</f>
        <v>44895</v>
      </c>
      <c r="BFO6" s="695">
        <f>BFK6+1</f>
        <v>43804</v>
      </c>
      <c r="BFP6" s="696">
        <f>BFL6+1</f>
        <v>44896</v>
      </c>
      <c r="BFQ6" s="695">
        <f>BFP6</f>
        <v>44896</v>
      </c>
      <c r="BFR6" s="696">
        <f>BFQ6</f>
        <v>44896</v>
      </c>
      <c r="BFS6" s="695">
        <f>BFO6+1</f>
        <v>43805</v>
      </c>
      <c r="BFT6" s="696">
        <f>BFP6+1</f>
        <v>44897</v>
      </c>
      <c r="BFU6" s="695">
        <f>BFT6</f>
        <v>44897</v>
      </c>
      <c r="BFV6" s="696">
        <f>BFU6</f>
        <v>44897</v>
      </c>
      <c r="BFW6" s="695">
        <f>BFS6+1</f>
        <v>43806</v>
      </c>
      <c r="BFX6" s="696">
        <f>BFT6+1</f>
        <v>44898</v>
      </c>
      <c r="BFY6" s="695">
        <f>BFX6</f>
        <v>44898</v>
      </c>
      <c r="BFZ6" s="696">
        <f>BFY6</f>
        <v>44898</v>
      </c>
      <c r="BGA6" s="776" t="s">
        <v>467</v>
      </c>
      <c r="BGB6" s="1872"/>
      <c r="BGC6" s="777" t="s">
        <v>468</v>
      </c>
      <c r="BGD6" s="743" t="str">
        <f>BGC6</f>
        <v>2021</v>
      </c>
      <c r="BGE6" s="725">
        <f>BFW6+1</f>
        <v>43807</v>
      </c>
      <c r="BGF6" s="726">
        <f>BFX6+1</f>
        <v>44899</v>
      </c>
      <c r="BGG6" s="725">
        <f>BGF6</f>
        <v>44899</v>
      </c>
      <c r="BGH6" s="726">
        <f>BGG6</f>
        <v>44899</v>
      </c>
      <c r="BGI6" s="725">
        <f>BGE6+1</f>
        <v>43808</v>
      </c>
      <c r="BGJ6" s="726">
        <f>BGF6+1</f>
        <v>44900</v>
      </c>
      <c r="BGK6" s="725">
        <f>BGJ6</f>
        <v>44900</v>
      </c>
      <c r="BGL6" s="726">
        <f>BGK6</f>
        <v>44900</v>
      </c>
      <c r="BGM6" s="725">
        <f>BGI6+1</f>
        <v>43809</v>
      </c>
      <c r="BGN6" s="726">
        <f>BGJ6+1</f>
        <v>44901</v>
      </c>
      <c r="BGO6" s="725">
        <f>BGN6</f>
        <v>44901</v>
      </c>
      <c r="BGP6" s="726">
        <f>BGO6</f>
        <v>44901</v>
      </c>
      <c r="BGQ6" s="725">
        <f>BGM6+1</f>
        <v>43810</v>
      </c>
      <c r="BGR6" s="726">
        <f>BGN6+1</f>
        <v>44902</v>
      </c>
      <c r="BGS6" s="725">
        <f>BGR6</f>
        <v>44902</v>
      </c>
      <c r="BGT6" s="726">
        <f>BGS6</f>
        <v>44902</v>
      </c>
      <c r="BGU6" s="725">
        <f>BGQ6+1</f>
        <v>43811</v>
      </c>
      <c r="BGV6" s="726">
        <f>BGR6+1</f>
        <v>44903</v>
      </c>
      <c r="BGW6" s="725">
        <f>BGV6</f>
        <v>44903</v>
      </c>
      <c r="BGX6" s="726">
        <f>BGW6</f>
        <v>44903</v>
      </c>
      <c r="BGY6" s="725">
        <f>BGU6+1</f>
        <v>43812</v>
      </c>
      <c r="BGZ6" s="726">
        <f>BGV6+1</f>
        <v>44904</v>
      </c>
      <c r="BHA6" s="725">
        <f>BGZ6</f>
        <v>44904</v>
      </c>
      <c r="BHB6" s="726">
        <f>BHA6</f>
        <v>44904</v>
      </c>
      <c r="BHC6" s="725">
        <f>BGY6+1</f>
        <v>43813</v>
      </c>
      <c r="BHD6" s="726">
        <f>BGZ6+1</f>
        <v>44905</v>
      </c>
      <c r="BHE6" s="725">
        <f>BHD6</f>
        <v>44905</v>
      </c>
      <c r="BHF6" s="726">
        <f>BHE6</f>
        <v>44905</v>
      </c>
      <c r="BHG6" s="749" t="s">
        <v>467</v>
      </c>
      <c r="BHH6" s="1875"/>
      <c r="BHI6" s="752" t="s">
        <v>468</v>
      </c>
      <c r="BHJ6" s="755" t="str">
        <f>BHI6</f>
        <v>2021</v>
      </c>
      <c r="BHK6" s="695">
        <f>BHC6+1</f>
        <v>43814</v>
      </c>
      <c r="BHL6" s="696">
        <f>BHD6+1</f>
        <v>44906</v>
      </c>
      <c r="BHM6" s="695">
        <f>BHL6</f>
        <v>44906</v>
      </c>
      <c r="BHN6" s="696">
        <f>BHM6</f>
        <v>44906</v>
      </c>
      <c r="BHO6" s="695">
        <f>BHK6+1</f>
        <v>43815</v>
      </c>
      <c r="BHP6" s="696">
        <f>BHL6+1</f>
        <v>44907</v>
      </c>
      <c r="BHQ6" s="695">
        <f>BHP6</f>
        <v>44907</v>
      </c>
      <c r="BHR6" s="696">
        <f>BHQ6</f>
        <v>44907</v>
      </c>
      <c r="BHS6" s="695">
        <f>BHO6+1</f>
        <v>43816</v>
      </c>
      <c r="BHT6" s="696">
        <f>BHP6+1</f>
        <v>44908</v>
      </c>
      <c r="BHU6" s="695">
        <f>BHT6</f>
        <v>44908</v>
      </c>
      <c r="BHV6" s="696">
        <f>BHU6</f>
        <v>44908</v>
      </c>
      <c r="BHW6" s="695">
        <f>BHS6+1</f>
        <v>43817</v>
      </c>
      <c r="BHX6" s="696">
        <f>BHT6+1</f>
        <v>44909</v>
      </c>
      <c r="BHY6" s="695">
        <f>BHX6</f>
        <v>44909</v>
      </c>
      <c r="BHZ6" s="696">
        <f>BHY6</f>
        <v>44909</v>
      </c>
      <c r="BIA6" s="695">
        <f>BHW6+1</f>
        <v>43818</v>
      </c>
      <c r="BIB6" s="696">
        <f>BHX6+1</f>
        <v>44910</v>
      </c>
      <c r="BIC6" s="695">
        <f>BIB6</f>
        <v>44910</v>
      </c>
      <c r="BID6" s="696">
        <f>BIC6</f>
        <v>44910</v>
      </c>
      <c r="BIE6" s="695">
        <f>BIA6+1</f>
        <v>43819</v>
      </c>
      <c r="BIF6" s="696">
        <f>BIB6+1</f>
        <v>44911</v>
      </c>
      <c r="BIG6" s="695">
        <f>BIF6</f>
        <v>44911</v>
      </c>
      <c r="BIH6" s="696">
        <f>BIG6</f>
        <v>44911</v>
      </c>
      <c r="BII6" s="695">
        <f>BIE6+1</f>
        <v>43820</v>
      </c>
      <c r="BIJ6" s="696">
        <f>BIF6+1</f>
        <v>44912</v>
      </c>
      <c r="BIK6" s="695">
        <f>BIJ6</f>
        <v>44912</v>
      </c>
      <c r="BIL6" s="696">
        <f>BIK6</f>
        <v>44912</v>
      </c>
      <c r="BIM6" s="746" t="s">
        <v>467</v>
      </c>
      <c r="BIN6" s="1873"/>
      <c r="BIO6" s="740" t="s">
        <v>468</v>
      </c>
      <c r="BIP6" s="743" t="str">
        <f>BIO6</f>
        <v>2021</v>
      </c>
      <c r="BIQ6" s="725">
        <f>BII6+1</f>
        <v>43821</v>
      </c>
      <c r="BIR6" s="726">
        <f>BIJ6+1</f>
        <v>44913</v>
      </c>
      <c r="BIS6" s="725">
        <f>BIR6</f>
        <v>44913</v>
      </c>
      <c r="BIT6" s="726">
        <f>BIS6</f>
        <v>44913</v>
      </c>
      <c r="BIU6" s="725">
        <f>BIQ6+1</f>
        <v>43822</v>
      </c>
      <c r="BIV6" s="726">
        <f>BIR6+1</f>
        <v>44914</v>
      </c>
      <c r="BIW6" s="725">
        <f>BIV6</f>
        <v>44914</v>
      </c>
      <c r="BIX6" s="726">
        <f>BIW6</f>
        <v>44914</v>
      </c>
      <c r="BIY6" s="725">
        <f>BIU6+1</f>
        <v>43823</v>
      </c>
      <c r="BIZ6" s="726">
        <f>BIV6+1</f>
        <v>44915</v>
      </c>
      <c r="BJA6" s="725">
        <f>BIZ6</f>
        <v>44915</v>
      </c>
      <c r="BJB6" s="726">
        <f>BJA6</f>
        <v>44915</v>
      </c>
      <c r="BJC6" s="725">
        <f>BIY6+1</f>
        <v>43824</v>
      </c>
      <c r="BJD6" s="726">
        <f>BIZ6+1</f>
        <v>44916</v>
      </c>
      <c r="BJE6" s="725">
        <f>BJD6</f>
        <v>44916</v>
      </c>
      <c r="BJF6" s="726">
        <f>BJE6</f>
        <v>44916</v>
      </c>
      <c r="BJG6" s="725">
        <f>BJC6+1</f>
        <v>43825</v>
      </c>
      <c r="BJH6" s="726">
        <f>BJD6+1</f>
        <v>44917</v>
      </c>
      <c r="BJI6" s="725">
        <f>BJH6</f>
        <v>44917</v>
      </c>
      <c r="BJJ6" s="726">
        <f>BJI6</f>
        <v>44917</v>
      </c>
      <c r="BJK6" s="725">
        <f>BJG6+1</f>
        <v>43826</v>
      </c>
      <c r="BJL6" s="726">
        <f>BJH6+1</f>
        <v>44918</v>
      </c>
      <c r="BJM6" s="725">
        <f>BJL6</f>
        <v>44918</v>
      </c>
      <c r="BJN6" s="726">
        <f>BJM6</f>
        <v>44918</v>
      </c>
      <c r="BJO6" s="725">
        <f>BJK6+1</f>
        <v>43827</v>
      </c>
      <c r="BJP6" s="726">
        <f>BJL6+1</f>
        <v>44919</v>
      </c>
      <c r="BJQ6" s="725">
        <f>BJP6</f>
        <v>44919</v>
      </c>
      <c r="BJR6" s="726">
        <f>BJQ6</f>
        <v>44919</v>
      </c>
      <c r="BJS6" s="749" t="s">
        <v>467</v>
      </c>
      <c r="BJT6" s="1874"/>
      <c r="BJU6" s="752" t="s">
        <v>468</v>
      </c>
      <c r="BJV6" s="755" t="str">
        <f>BJU6</f>
        <v>2021</v>
      </c>
      <c r="BJW6" s="695">
        <f>BJO6+1</f>
        <v>43828</v>
      </c>
      <c r="BJX6" s="696">
        <f>BJP6+1</f>
        <v>44920</v>
      </c>
      <c r="BJY6" s="695">
        <f>BJX6</f>
        <v>44920</v>
      </c>
      <c r="BJZ6" s="696">
        <f>BJY6</f>
        <v>44920</v>
      </c>
      <c r="BKA6" s="695">
        <f>BJW6+1</f>
        <v>43829</v>
      </c>
      <c r="BKB6" s="696">
        <f>BJX6+1</f>
        <v>44921</v>
      </c>
      <c r="BKC6" s="695">
        <f>BKB6</f>
        <v>44921</v>
      </c>
      <c r="BKD6" s="696">
        <f>BKC6</f>
        <v>44921</v>
      </c>
      <c r="BKE6" s="695">
        <f>BKA6+1</f>
        <v>43830</v>
      </c>
      <c r="BKF6" s="696">
        <f>BKB6+1</f>
        <v>44922</v>
      </c>
      <c r="BKG6" s="695">
        <f>BKF6</f>
        <v>44922</v>
      </c>
      <c r="BKH6" s="696">
        <f>BKG6</f>
        <v>44922</v>
      </c>
      <c r="BKI6" s="695">
        <f>BKE6+1</f>
        <v>43831</v>
      </c>
      <c r="BKJ6" s="696">
        <f>BKF6+1</f>
        <v>44923</v>
      </c>
      <c r="BKK6" s="695">
        <f>BKJ6</f>
        <v>44923</v>
      </c>
      <c r="BKL6" s="696">
        <f>BKK6</f>
        <v>44923</v>
      </c>
      <c r="BKM6" s="695">
        <f>BKI6+1</f>
        <v>43832</v>
      </c>
      <c r="BKN6" s="696">
        <f>BKJ6+1</f>
        <v>44924</v>
      </c>
      <c r="BKO6" s="695">
        <f>BKN6</f>
        <v>44924</v>
      </c>
      <c r="BKP6" s="696">
        <f>BKO6</f>
        <v>44924</v>
      </c>
      <c r="BKQ6" s="695">
        <f>BKM6+1</f>
        <v>43833</v>
      </c>
      <c r="BKR6" s="696">
        <f>BKN6+1</f>
        <v>44925</v>
      </c>
      <c r="BKS6" s="695">
        <f>BKR6</f>
        <v>44925</v>
      </c>
      <c r="BKT6" s="696">
        <f>BKS6</f>
        <v>44925</v>
      </c>
      <c r="BKU6" s="695">
        <f>BKQ6+1</f>
        <v>43834</v>
      </c>
      <c r="BKV6" s="696">
        <f>BKR6+1</f>
        <v>44926</v>
      </c>
      <c r="BKW6" s="695">
        <f>BKV6</f>
        <v>44926</v>
      </c>
      <c r="BKX6" s="696">
        <f>BKW6</f>
        <v>44926</v>
      </c>
      <c r="BKY6" s="746" t="s">
        <v>467</v>
      </c>
      <c r="BKZ6" s="1873"/>
      <c r="BLA6" s="740" t="s">
        <v>468</v>
      </c>
      <c r="BLB6" s="743" t="str">
        <f>BLA6</f>
        <v>2021</v>
      </c>
    </row>
    <row r="7" spans="2:1666" ht="15.75" customHeight="1">
      <c r="B7" s="935" t="s">
        <v>469</v>
      </c>
      <c r="C7" s="593">
        <f>'Proy 2022 vs 2019 sem'!$C$6*$F$4</f>
        <v>9529.1268</v>
      </c>
      <c r="D7" s="593">
        <f>'Proy 2022 vs 2019 sem'!$D$6*$F$4</f>
        <v>8480.9228519999997</v>
      </c>
      <c r="E7" s="734"/>
      <c r="F7" s="698">
        <f>E7/C7</f>
        <v>0</v>
      </c>
      <c r="G7" s="1414">
        <f>'Proy 2022 vs 2019 sem'!C6*$J$4</f>
        <v>9529.1268</v>
      </c>
      <c r="H7" s="593">
        <f>'Proy 2022 vs 2019 sem'!D6*$J$4</f>
        <v>8480.9228519999997</v>
      </c>
      <c r="I7" s="734"/>
      <c r="J7" s="698">
        <f>I7/G7</f>
        <v>0</v>
      </c>
      <c r="K7" s="593">
        <f>'Proy 2022 vs 2019 sem'!C6*$N$4</f>
        <v>9529.1268</v>
      </c>
      <c r="L7" s="593">
        <f>'Proy 2022 vs 2019 sem'!D6*$N$4</f>
        <v>8480.9228519999997</v>
      </c>
      <c r="M7" s="734"/>
      <c r="N7" s="698">
        <f>M7/K7</f>
        <v>0</v>
      </c>
      <c r="O7" s="593">
        <f>'Proy 2022 vs 2019 sem'!C6*R$4</f>
        <v>9529.1268</v>
      </c>
      <c r="P7" s="593">
        <f>'Proy 2022 vs 2019 sem'!D6*$R$4</f>
        <v>8480.9228519999997</v>
      </c>
      <c r="Q7" s="734"/>
      <c r="R7" s="698">
        <f>Q7/O7</f>
        <v>0</v>
      </c>
      <c r="S7" s="593">
        <f>'Proy 2022 vs 2019 sem'!C6*V$4</f>
        <v>11117.314600000002</v>
      </c>
      <c r="T7" s="593">
        <f>'Proy 2022 vs 2019 sem'!D6*V$4</f>
        <v>9894.4099939999996</v>
      </c>
      <c r="U7" s="734"/>
      <c r="V7" s="698">
        <f>U7/S7</f>
        <v>0</v>
      </c>
      <c r="W7" s="593">
        <f>'Proy 2022 vs 2019 sem'!C6*Z$4</f>
        <v>12705.502399999999</v>
      </c>
      <c r="X7" s="593">
        <f>'Proy 2022 vs 2019 sem'!D6*Z$4</f>
        <v>11307.897136</v>
      </c>
      <c r="Y7" s="734"/>
      <c r="Z7" s="698">
        <f>Y7/W7</f>
        <v>0</v>
      </c>
      <c r="AA7" s="593">
        <f>'Proy 2022 vs 2019 sem'!C6*AD$4</f>
        <v>17470.0658</v>
      </c>
      <c r="AB7" s="593">
        <f>'Proy 2022 vs 2019 sem'!D6*AD$4</f>
        <v>15548.358561999999</v>
      </c>
      <c r="AC7" s="734"/>
      <c r="AD7" s="698">
        <f>AC7/AA7</f>
        <v>0</v>
      </c>
      <c r="AE7" s="610">
        <f>C7+G7+K7+O7+S7+W7+AA7</f>
        <v>79409.39</v>
      </c>
      <c r="AF7" s="593">
        <f>D7+H7+L7+P7+T7+X7+AB7</f>
        <v>70674.357099999994</v>
      </c>
      <c r="AG7" s="729">
        <f>E7+I7+M7+Q7+U7+Y7+AC7</f>
        <v>0</v>
      </c>
      <c r="AH7" s="709">
        <f>AG7/AE7</f>
        <v>0</v>
      </c>
      <c r="AI7" s="593">
        <f>'Proy 2022 vs 2019 sem'!H6*AL$4</f>
        <v>7854.3923999999997</v>
      </c>
      <c r="AJ7" s="611">
        <f>'Proy 2022 vs 2019 sem'!I6*AL$4</f>
        <v>6990.4092359999995</v>
      </c>
      <c r="AK7" s="697"/>
      <c r="AL7" s="698">
        <f>AK7/AI7</f>
        <v>0</v>
      </c>
      <c r="AM7" s="593">
        <f>'Proy 2022 vs 2019 sem'!H6*AP$4</f>
        <v>7854.3923999999997</v>
      </c>
      <c r="AN7" s="593">
        <f>'Proy 2022 vs 2019 sem'!I6*AP$4</f>
        <v>6990.4092359999995</v>
      </c>
      <c r="AO7" s="697"/>
      <c r="AP7" s="698">
        <f>AO7/AM7</f>
        <v>0</v>
      </c>
      <c r="AQ7" s="593">
        <f>'Proy 2022 vs 2019 sem'!H6*AT$4</f>
        <v>7854.3923999999997</v>
      </c>
      <c r="AR7" s="593">
        <f>'Proy 2022 vs 2019 sem'!I6*AT$4</f>
        <v>6990.4092359999995</v>
      </c>
      <c r="AS7" s="697"/>
      <c r="AT7" s="698">
        <f>AS7/AQ7</f>
        <v>0</v>
      </c>
      <c r="AU7" s="593">
        <f>'Proy 2022 vs 2019 sem'!H6*AX$4</f>
        <v>7854.3923999999997</v>
      </c>
      <c r="AV7" s="593">
        <f>'Proy 2022 vs 2019 sem'!I6*AX$4</f>
        <v>6990.4092359999995</v>
      </c>
      <c r="AW7" s="697"/>
      <c r="AX7" s="698">
        <f>AW7/AU7</f>
        <v>0</v>
      </c>
      <c r="AY7" s="593">
        <f>'Proy 2022 vs 2019 sem'!H6*BB$4</f>
        <v>9163.4578000000001</v>
      </c>
      <c r="AZ7" s="593">
        <f>'Proy 2022 vs 2019 sem'!I6*BB$4</f>
        <v>8155.4774420000003</v>
      </c>
      <c r="BA7" s="697"/>
      <c r="BB7" s="698">
        <f>BA7/AY7</f>
        <v>0</v>
      </c>
      <c r="BC7" s="593">
        <f>'Proy 2022 vs 2019 sem'!H6*BF$4</f>
        <v>10472.5232</v>
      </c>
      <c r="BD7" s="593">
        <f>'Proy 2022 vs 2019 sem'!I6*BF$4</f>
        <v>9320.5456479999993</v>
      </c>
      <c r="BE7" s="697"/>
      <c r="BF7" s="698">
        <f>BE7/BC7</f>
        <v>0</v>
      </c>
      <c r="BG7" s="593">
        <f>'Proy 2022 vs 2019 sem'!H6*BJ$4</f>
        <v>14399.7194</v>
      </c>
      <c r="BH7" s="593">
        <f>'Proy 2022 vs 2019 sem'!I6*BJ$4</f>
        <v>12815.750265999999</v>
      </c>
      <c r="BI7" s="697"/>
      <c r="BJ7" s="698">
        <f>BI7/BG7</f>
        <v>0</v>
      </c>
      <c r="BK7" s="610">
        <f>AI7+AM7+AQ7+AU7+AY7+BC7+BG7</f>
        <v>65453.270000000004</v>
      </c>
      <c r="BL7" s="593">
        <f>AJ7+AN7+AR7+AV7+AZ7+BD7+BH7</f>
        <v>58253.410300000003</v>
      </c>
      <c r="BM7" s="729">
        <f>AK7+AO7+AS7+AW7+BA7+BE7+BI7</f>
        <v>0</v>
      </c>
      <c r="BN7" s="709">
        <f>BM7/BK7</f>
        <v>0</v>
      </c>
      <c r="BO7" s="593">
        <f>'Proy 2022 vs 2019 sem'!M6*BR$4</f>
        <v>6387.9551999999994</v>
      </c>
      <c r="BP7" s="593">
        <f>'Proy 2022 vs 2019 sem'!N6*BR$4</f>
        <v>5685.2801279999994</v>
      </c>
      <c r="BQ7" s="697"/>
      <c r="BR7" s="698">
        <f>BQ7/BO7</f>
        <v>0</v>
      </c>
      <c r="BS7" s="593">
        <f>'Proy 2022 vs 2019 sem'!M6*BV$4</f>
        <v>6387.9551999999994</v>
      </c>
      <c r="BT7" s="593">
        <f>'Proy 2022 vs 2019 sem'!N6*BV$4</f>
        <v>5685.2801279999994</v>
      </c>
      <c r="BU7" s="697"/>
      <c r="BV7" s="698">
        <f>BU7/BS7</f>
        <v>0</v>
      </c>
      <c r="BW7" s="593">
        <f>'Proy 2022 vs 2019 sem'!M6*BZ$4</f>
        <v>6387.9551999999994</v>
      </c>
      <c r="BX7" s="593">
        <f>'Proy 2022 vs 2019 sem'!N6*BZ$4</f>
        <v>5685.2801279999994</v>
      </c>
      <c r="BY7" s="697"/>
      <c r="BZ7" s="698">
        <f>BY7/BW7</f>
        <v>0</v>
      </c>
      <c r="CA7" s="593">
        <f>'Proy 2022 vs 2019 sem'!M6*CD$4</f>
        <v>6387.9551999999994</v>
      </c>
      <c r="CB7" s="593">
        <f>'Proy 2022 vs 2019 sem'!N6*CD$4</f>
        <v>5685.2801279999994</v>
      </c>
      <c r="CC7" s="697"/>
      <c r="CD7" s="698">
        <f>CC7/CA7</f>
        <v>0</v>
      </c>
      <c r="CE7" s="593">
        <f>'Proy 2022 vs 2019 sem'!M6*CH$4</f>
        <v>7452.6144000000004</v>
      </c>
      <c r="CF7" s="593">
        <f>'Proy 2022 vs 2019 sem'!N6*CH$4</f>
        <v>6632.8268160000007</v>
      </c>
      <c r="CG7" s="697"/>
      <c r="CH7" s="698">
        <f>CG7/CE7</f>
        <v>0</v>
      </c>
      <c r="CI7" s="593">
        <f>'Proy 2022 vs 2019 sem'!M6*CL$4</f>
        <v>8517.2736000000004</v>
      </c>
      <c r="CJ7" s="593">
        <f>'Proy 2022 vs 2019 sem'!N6*CL$4</f>
        <v>7580.3735040000001</v>
      </c>
      <c r="CK7" s="697"/>
      <c r="CL7" s="698">
        <f>CK7/CI7</f>
        <v>0</v>
      </c>
      <c r="CM7" s="593">
        <f>'Proy 2022 vs 2019 sem'!M6*CP$4</f>
        <v>11711.251200000001</v>
      </c>
      <c r="CN7" s="593">
        <f>'Proy 2022 vs 2019 sem'!N6*CP$4</f>
        <v>10423.013568</v>
      </c>
      <c r="CO7" s="697"/>
      <c r="CP7" s="698">
        <f>CO7/CM7</f>
        <v>0</v>
      </c>
      <c r="CQ7" s="610">
        <f>BO7+BS7+BW7+CA7+CE7+CI7+CM7</f>
        <v>53232.959999999999</v>
      </c>
      <c r="CR7" s="593">
        <f>BP7+BT7+BX7+CB7+CF7+CJ7+CN7</f>
        <v>47377.3344</v>
      </c>
      <c r="CS7" s="729">
        <f>BQ7+BU7+BY7+CC7+CG7+CK7+CO7</f>
        <v>0</v>
      </c>
      <c r="CT7" s="709">
        <f>CS7/CQ7</f>
        <v>0</v>
      </c>
      <c r="CU7" s="593">
        <f>'Proy 2022 vs 2019 sem'!R6*CX$4</f>
        <v>7198.9031999999997</v>
      </c>
      <c r="CV7" s="593">
        <f>'Proy 2022 vs 2019 sem'!S6*CX$4</f>
        <v>6479.0128800000002</v>
      </c>
      <c r="CW7" s="697"/>
      <c r="CX7" s="698">
        <f>CW7/CU7</f>
        <v>0</v>
      </c>
      <c r="CY7" s="593">
        <f>'Proy 2022 vs 2019 sem'!R6*DB$4</f>
        <v>7198.9031999999997</v>
      </c>
      <c r="CZ7" s="593">
        <f>'Proy 2022 vs 2019 sem'!S6*DB$4</f>
        <v>6479.0128800000002</v>
      </c>
      <c r="DA7" s="697"/>
      <c r="DB7" s="698">
        <f>DA7/CY7</f>
        <v>0</v>
      </c>
      <c r="DC7" s="593">
        <f>'Proy 2022 vs 2019 sem'!R6*DF$4</f>
        <v>7198.9031999999997</v>
      </c>
      <c r="DD7" s="593">
        <f>'Proy 2022 vs 2019 sem'!S6*DF$4</f>
        <v>6479.0128800000002</v>
      </c>
      <c r="DE7" s="697"/>
      <c r="DF7" s="698">
        <f>DE7/DC7</f>
        <v>0</v>
      </c>
      <c r="DG7" s="593">
        <f>'Proy 2022 vs 2019 sem'!R6*DJ$4</f>
        <v>7198.9031999999997</v>
      </c>
      <c r="DH7" s="593">
        <f>'Proy 2022 vs 2019 sem'!S6*DJ$4</f>
        <v>6479.0128800000002</v>
      </c>
      <c r="DI7" s="697"/>
      <c r="DJ7" s="698">
        <f>DI7/DG7</f>
        <v>0</v>
      </c>
      <c r="DK7" s="593">
        <f>'Proy 2022 vs 2019 sem'!R6*DN$4</f>
        <v>8398.7204000000002</v>
      </c>
      <c r="DL7" s="593">
        <f>'Proy 2022 vs 2019 sem'!S6*DN$4</f>
        <v>7558.8483600000018</v>
      </c>
      <c r="DM7" s="697"/>
      <c r="DN7" s="698">
        <f>DM7/DK7</f>
        <v>0</v>
      </c>
      <c r="DO7" s="593">
        <f>'Proy 2022 vs 2019 sem'!R6*DR$4</f>
        <v>9598.5375999999997</v>
      </c>
      <c r="DP7" s="593">
        <f>'Proy 2022 vs 2019 sem'!S6*DR$4</f>
        <v>8638.6838400000015</v>
      </c>
      <c r="DQ7" s="697"/>
      <c r="DR7" s="698">
        <f>DQ7/DO7</f>
        <v>0</v>
      </c>
      <c r="DS7" s="593">
        <f>'Proy 2022 vs 2019 sem'!R6*DV$4</f>
        <v>13197.9892</v>
      </c>
      <c r="DT7" s="593">
        <f>'Proy 2022 vs 2019 sem'!S6*DV$4</f>
        <v>11878.190280000001</v>
      </c>
      <c r="DU7" s="697"/>
      <c r="DV7" s="698">
        <f>DU7/DS7</f>
        <v>0</v>
      </c>
      <c r="DW7" s="610">
        <f>CU7+CY7+DC7+DG7+DK7+DO7+DS7</f>
        <v>59990.86</v>
      </c>
      <c r="DX7" s="593">
        <f>CV7+CZ7+DD7+DH7+DL7+DP7+DT7</f>
        <v>53991.774000000012</v>
      </c>
      <c r="DY7" s="708">
        <f>CW7+DA7+DE7+DI7+DM7+DQ7+DU7</f>
        <v>0</v>
      </c>
      <c r="DZ7" s="709">
        <f>DY7/DW7</f>
        <v>0</v>
      </c>
      <c r="EA7" s="593">
        <f>'Proy 2022 vs 2019 sem'!AA6*ED$4</f>
        <v>8555.9159999999993</v>
      </c>
      <c r="EB7" s="593">
        <f>'Proy 2022 vs 2019 sem'!AB6*ED$4</f>
        <v>7614.7652399999997</v>
      </c>
      <c r="EC7" s="734"/>
      <c r="ED7" s="698">
        <f>EC7/EA7</f>
        <v>0</v>
      </c>
      <c r="EE7" s="593">
        <f>'Proy 2022 vs 2019 sem'!AA6*EH$4</f>
        <v>8555.9159999999993</v>
      </c>
      <c r="EF7" s="593">
        <f>'Proy 2022 vs 2019 sem'!AB6*EH$4</f>
        <v>7614.7652399999997</v>
      </c>
      <c r="EG7" s="697"/>
      <c r="EH7" s="698">
        <f>EG7/EE7</f>
        <v>0</v>
      </c>
      <c r="EI7" s="593">
        <f>'Proy 2022 vs 2019 sem'!AA6*EL$4</f>
        <v>8555.9159999999993</v>
      </c>
      <c r="EJ7" s="593">
        <f>'Proy 2022 vs 2019 sem'!AB6*EL$4</f>
        <v>7614.7652399999997</v>
      </c>
      <c r="EK7" s="697"/>
      <c r="EL7" s="698">
        <f>EK7/EI7</f>
        <v>0</v>
      </c>
      <c r="EM7" s="593">
        <f>'Proy 2022 vs 2019 sem'!AA6*EP$4</f>
        <v>8555.9159999999993</v>
      </c>
      <c r="EN7" s="593">
        <f>'Proy 2022 vs 2019 sem'!AB6*EP$4</f>
        <v>7614.7652399999997</v>
      </c>
      <c r="EO7" s="697"/>
      <c r="EP7" s="698">
        <f>EO7/EM7</f>
        <v>0</v>
      </c>
      <c r="EQ7" s="593">
        <f>'Proy 2022 vs 2019 sem'!AA6*ET$4</f>
        <v>9981.9020000000019</v>
      </c>
      <c r="ER7" s="593">
        <f>'Proy 2022 vs 2019 sem'!AB6*ET$4</f>
        <v>8883.8927800000001</v>
      </c>
      <c r="ES7" s="697"/>
      <c r="ET7" s="698">
        <f>ES7/EQ7</f>
        <v>0</v>
      </c>
      <c r="EU7" s="593">
        <f>'Proy 2022 vs 2019 sem'!AA6*EX$4</f>
        <v>11407.888000000001</v>
      </c>
      <c r="EV7" s="593">
        <f>'Proy 2022 vs 2019 sem'!AB6*EX$4</f>
        <v>10153.02032</v>
      </c>
      <c r="EW7" s="697"/>
      <c r="EX7" s="698">
        <f>EW7/EU7</f>
        <v>0</v>
      </c>
      <c r="EY7" s="593">
        <f>'Proy 2022 vs 2019 sem'!AA6*FB$4</f>
        <v>15685.846000000001</v>
      </c>
      <c r="EZ7" s="593">
        <f>'Proy 2022 vs 2019 sem'!AB6*FB$4</f>
        <v>13960.40294</v>
      </c>
      <c r="FA7" s="697"/>
      <c r="FB7" s="698">
        <f>FA7/EY7</f>
        <v>0</v>
      </c>
      <c r="FC7" s="610">
        <f>EA7+EE7+EI7+EM7+EQ7+EU7+EY7</f>
        <v>71299.3</v>
      </c>
      <c r="FD7" s="593">
        <f>EB7+EF7+EJ7+EN7+ER7+EV7+EZ7</f>
        <v>63456.376999999993</v>
      </c>
      <c r="FE7" s="793">
        <f>EC7+EG7+EK7+EO7+ES7+EW7+FA7</f>
        <v>0</v>
      </c>
      <c r="FF7" s="784">
        <f>FE7/FC7</f>
        <v>0</v>
      </c>
      <c r="FG7" s="593">
        <f>'Proy 2022 vs 2019 sem'!AF6*FJ$4</f>
        <v>10503.116399999999</v>
      </c>
      <c r="FH7" s="593">
        <f>'Proy 2022 vs 2019 sem'!AG6*FJ$4</f>
        <v>9242.7424319999991</v>
      </c>
      <c r="FI7" s="697"/>
      <c r="FJ7" s="698">
        <f>FI7/FG7</f>
        <v>0</v>
      </c>
      <c r="FK7" s="593">
        <f>'Proy 2022 vs 2019 sem'!AF6*FN$4</f>
        <v>10503.116399999999</v>
      </c>
      <c r="FL7" s="593">
        <f>'Proy 2022 vs 2019 sem'!AG6*FN$4</f>
        <v>9242.7424319999991</v>
      </c>
      <c r="FM7" s="697"/>
      <c r="FN7" s="698">
        <f>FM7/FK7</f>
        <v>0</v>
      </c>
      <c r="FO7" s="593">
        <f>'Proy 2022 vs 2019 sem'!AF6*FR$4</f>
        <v>10503.116399999999</v>
      </c>
      <c r="FP7" s="593">
        <f>'Proy 2022 vs 2019 sem'!AG6*FR$4</f>
        <v>9242.7424319999991</v>
      </c>
      <c r="FQ7" s="697"/>
      <c r="FR7" s="698">
        <f>FQ7/FO7</f>
        <v>0</v>
      </c>
      <c r="FS7" s="593">
        <f>'Proy 2022 vs 2019 sem'!AF6*FV$4</f>
        <v>10503.116399999999</v>
      </c>
      <c r="FT7" s="593">
        <f>'Proy 2022 vs 2019 sem'!AG6*FV$4</f>
        <v>9242.7424319999991</v>
      </c>
      <c r="FU7" s="697"/>
      <c r="FV7" s="698">
        <f>FU7/FS7</f>
        <v>0</v>
      </c>
      <c r="FW7" s="593">
        <f>'Proy 2022 vs 2019 sem'!AF6*FZ$4</f>
        <v>12253.635800000002</v>
      </c>
      <c r="FX7" s="593">
        <f>'Proy 2022 vs 2019 sem'!AG6*FZ$4</f>
        <v>10783.199504000002</v>
      </c>
      <c r="FY7" s="697"/>
      <c r="FZ7" s="698">
        <f>FY7/FW7</f>
        <v>0</v>
      </c>
      <c r="GA7" s="593">
        <f>'Proy 2022 vs 2019 sem'!AF6*GD$4</f>
        <v>14004.155200000001</v>
      </c>
      <c r="GB7" s="593">
        <f>'Proy 2022 vs 2019 sem'!AG6*GD$4</f>
        <v>12323.656576000001</v>
      </c>
      <c r="GC7" s="697"/>
      <c r="GD7" s="698">
        <f>GC7/GA7</f>
        <v>0</v>
      </c>
      <c r="GE7" s="593">
        <f>'Proy 2022 vs 2019 sem'!AF6*GH$4</f>
        <v>19255.713400000001</v>
      </c>
      <c r="GF7" s="593">
        <f>'Proy 2022 vs 2019 sem'!AG6*GH$4</f>
        <v>16945.027792000001</v>
      </c>
      <c r="GG7" s="697"/>
      <c r="GH7" s="698">
        <f>GG7/GE7</f>
        <v>0</v>
      </c>
      <c r="GI7" s="610">
        <f>FG7+FK7+FO7+FS7+FW7+GA7+GE7</f>
        <v>87525.97</v>
      </c>
      <c r="GJ7" s="593">
        <f>FH7+FL7+FP7+FT7+FX7+GB7+GF7</f>
        <v>77022.853600000002</v>
      </c>
      <c r="GK7" s="793">
        <f>FI7+FM7+FQ7+FU7+FY7+GC7+GG7</f>
        <v>0</v>
      </c>
      <c r="GL7" s="784">
        <f>GK7/GI7</f>
        <v>0</v>
      </c>
      <c r="GM7" s="593">
        <f>'Proy 2022 vs 2019 sem'!AK6*GP$4</f>
        <v>7161.9071999999996</v>
      </c>
      <c r="GN7" s="593">
        <f>'Proy 2022 vs 2019 sem'!AL6*GP$4</f>
        <v>6517.3355519999996</v>
      </c>
      <c r="GO7" s="697"/>
      <c r="GP7" s="698">
        <f>GO7/GM7</f>
        <v>0</v>
      </c>
      <c r="GQ7" s="593">
        <f>'Proy 2022 vs 2019 sem'!AK6*GT$4</f>
        <v>7161.9071999999996</v>
      </c>
      <c r="GR7" s="593">
        <f>'Proy 2022 vs 2019 sem'!AL6*GT$4</f>
        <v>6517.3355519999996</v>
      </c>
      <c r="GS7" s="697"/>
      <c r="GT7" s="698">
        <f>GS7/GQ7</f>
        <v>0</v>
      </c>
      <c r="GU7" s="593">
        <f>'Proy 2022 vs 2019 sem'!AK6*GX$4</f>
        <v>7161.9071999999996</v>
      </c>
      <c r="GV7" s="593">
        <f>'Proy 2022 vs 2019 sem'!AL6*GX$4</f>
        <v>6517.3355519999996</v>
      </c>
      <c r="GW7" s="697"/>
      <c r="GX7" s="698">
        <f>GW7/GU7</f>
        <v>0</v>
      </c>
      <c r="GY7" s="593">
        <f>'Proy 2022 vs 2019 sem'!AK6*HB$4</f>
        <v>7161.9071999999996</v>
      </c>
      <c r="GZ7" s="593">
        <f>'Proy 2022 vs 2019 sem'!AL6*HB$4</f>
        <v>6517.3355519999996</v>
      </c>
      <c r="HA7" s="697"/>
      <c r="HB7" s="698">
        <f>HA7/GY7</f>
        <v>0</v>
      </c>
      <c r="HC7" s="593">
        <f>'Proy 2022 vs 2019 sem'!AK6*HF$4</f>
        <v>8355.5583999999999</v>
      </c>
      <c r="HD7" s="593">
        <f>'Proy 2022 vs 2019 sem'!AL6*HF$4</f>
        <v>7603.5581440000005</v>
      </c>
      <c r="HE7" s="697"/>
      <c r="HF7" s="698">
        <f>HE7/HC7</f>
        <v>0</v>
      </c>
      <c r="HG7" s="593">
        <f>'Proy 2022 vs 2019 sem'!AK6*HJ$4</f>
        <v>9549.2096000000001</v>
      </c>
      <c r="HH7" s="593">
        <f>'Proy 2022 vs 2019 sem'!AL6*HJ$4</f>
        <v>8689.7807360000006</v>
      </c>
      <c r="HI7" s="697"/>
      <c r="HJ7" s="698">
        <f>HI7/HG7</f>
        <v>0</v>
      </c>
      <c r="HK7" s="593">
        <f>'Proy 2022 vs 2019 sem'!AK6*HN$4</f>
        <v>13130.163199999999</v>
      </c>
      <c r="HL7" s="593">
        <f>'Proy 2022 vs 2019 sem'!AL6*HN$4</f>
        <v>11948.448512000001</v>
      </c>
      <c r="HM7" s="697"/>
      <c r="HN7" s="698">
        <f>HM7/HK7</f>
        <v>0</v>
      </c>
      <c r="HO7" s="610">
        <f>GM7+GQ7+GU7+GY7+HC7+HG7+HK7</f>
        <v>59682.559999999998</v>
      </c>
      <c r="HP7" s="593">
        <f>GN7+GR7+GV7+GZ7+HD7+HH7+HL7</f>
        <v>54311.1296</v>
      </c>
      <c r="HQ7" s="793">
        <f>GO7+GS7+GW7+HA7+HE7+HI7+HM7</f>
        <v>0</v>
      </c>
      <c r="HR7" s="784">
        <f>HQ7/HO7</f>
        <v>0</v>
      </c>
      <c r="HS7" s="593">
        <f>'Proy 2022 vs 2019 sem'!AK6*HV$4</f>
        <v>7161.9071999999996</v>
      </c>
      <c r="HT7" s="593">
        <f>'Proy 2022 vs 2019 sem'!AL6*HV$4</f>
        <v>6517.3355519999996</v>
      </c>
      <c r="HU7" s="697"/>
      <c r="HV7" s="698">
        <f>HU7/HS7</f>
        <v>0</v>
      </c>
      <c r="HW7" s="593">
        <f>'Proy 2022 vs 2019 sem'!AK6*HZ$4</f>
        <v>7161.9071999999996</v>
      </c>
      <c r="HX7" s="593">
        <f>'Proy 2022 vs 2019 sem'!AL6*HZ$4</f>
        <v>6517.3355519999996</v>
      </c>
      <c r="HY7" s="697"/>
      <c r="HZ7" s="698">
        <f>HY7/HW7</f>
        <v>0</v>
      </c>
      <c r="IA7" s="593">
        <f>'Proy 2022 vs 2019 sem'!AK6*ID$4</f>
        <v>7161.9071999999996</v>
      </c>
      <c r="IB7" s="593">
        <f>'Proy 2022 vs 2019 sem'!AL6*ID$4</f>
        <v>6517.3355519999996</v>
      </c>
      <c r="IC7" s="697"/>
      <c r="ID7" s="698">
        <f>IC7/IA7</f>
        <v>0</v>
      </c>
      <c r="IE7" s="593">
        <f>'Proy 2022 vs 2019 sem'!AK6*IH$4</f>
        <v>7161.9071999999996</v>
      </c>
      <c r="IF7" s="593">
        <f>'Proy 2022 vs 2019 sem'!AL6*IH$4</f>
        <v>6517.3355519999996</v>
      </c>
      <c r="IG7" s="697"/>
      <c r="IH7" s="698">
        <f>IG7/IE7</f>
        <v>0</v>
      </c>
      <c r="II7" s="593">
        <f>'Proy 2022 vs 2019 sem'!AK6*IL$4</f>
        <v>8355.5583999999999</v>
      </c>
      <c r="IJ7" s="593">
        <f>'Proy 2022 vs 2019 sem'!AL6*IL$4</f>
        <v>7603.5581440000005</v>
      </c>
      <c r="IK7" s="697"/>
      <c r="IL7" s="698">
        <f>IK7/II7</f>
        <v>0</v>
      </c>
      <c r="IM7" s="593">
        <f>'Proy 2022 vs 2019 sem'!AK6*IP$4</f>
        <v>9549.2096000000001</v>
      </c>
      <c r="IN7" s="593">
        <f>'Proy 2022 vs 2019 sem'!AL6*IP$4</f>
        <v>8689.7807360000006</v>
      </c>
      <c r="IO7" s="697"/>
      <c r="IP7" s="698">
        <f>IO7/IM7</f>
        <v>0</v>
      </c>
      <c r="IQ7" s="593">
        <f>'Proy 2022 vs 2019 sem'!AK6*IT$4</f>
        <v>13130.163199999999</v>
      </c>
      <c r="IR7" s="593">
        <f>'Proy 2022 vs 2019 sem'!AL6*IT$4</f>
        <v>11948.448512000001</v>
      </c>
      <c r="IS7" s="697"/>
      <c r="IT7" s="698">
        <f>IS7/IQ7</f>
        <v>0</v>
      </c>
      <c r="IU7" s="610">
        <f>HS7+HW7+IA7+IE7+II7+IM7+IQ7</f>
        <v>59682.559999999998</v>
      </c>
      <c r="IV7" s="593">
        <f>HT7+HX7+IB7+IF7+IJ7+IN7+IR7</f>
        <v>54311.1296</v>
      </c>
      <c r="IW7" s="783">
        <f>HU7+HY7+IC7+IG7+IK7+IO7+IS7</f>
        <v>0</v>
      </c>
      <c r="IX7" s="784">
        <f>IW7/IU7</f>
        <v>0</v>
      </c>
      <c r="IY7" s="593">
        <f>'Proy 2022 vs 2019 sem'!AY6*JB$4</f>
        <v>7119.2231999999995</v>
      </c>
      <c r="IZ7" s="593">
        <f>'Proy 2022 vs 2019 sem'!AZ6*JB$4</f>
        <v>6336.1086480000004</v>
      </c>
      <c r="JA7" s="734"/>
      <c r="JB7" s="698">
        <f>JA7/IY7</f>
        <v>0</v>
      </c>
      <c r="JC7" s="593">
        <f>'Proy 2022 vs 2019 sem'!AY6*JF$4</f>
        <v>7119.2231999999995</v>
      </c>
      <c r="JD7" s="593">
        <f>'Proy 2022 vs 2019 sem'!AZ6*JF$4</f>
        <v>6336.1086480000004</v>
      </c>
      <c r="JE7" s="734"/>
      <c r="JF7" s="698">
        <f>JE7/JC7</f>
        <v>0</v>
      </c>
      <c r="JG7" s="593">
        <f>'Proy 2022 vs 2019 sem'!AY6*JJ$4</f>
        <v>7119.2231999999995</v>
      </c>
      <c r="JH7" s="593">
        <f>'Proy 2022 vs 2019 sem'!AZ6*JJ$4</f>
        <v>6336.1086480000004</v>
      </c>
      <c r="JI7" s="734"/>
      <c r="JJ7" s="698">
        <f>JI7/JG7</f>
        <v>0</v>
      </c>
      <c r="JK7" s="593">
        <f>'Proy 2022 vs 2019 sem'!AY6*JN$4</f>
        <v>7119.2231999999995</v>
      </c>
      <c r="JL7" s="593">
        <f>'Proy 2022 vs 2019 sem'!AZ6*JN$4</f>
        <v>6336.1086480000004</v>
      </c>
      <c r="JM7" s="734"/>
      <c r="JN7" s="698">
        <f>JM7/JK7</f>
        <v>0</v>
      </c>
      <c r="JO7" s="593">
        <f>'Proy 2022 vs 2019 sem'!AY6*JR$4</f>
        <v>8305.760400000001</v>
      </c>
      <c r="JP7" s="593">
        <f>'Proy 2022 vs 2019 sem'!AZ6*JR$4</f>
        <v>7392.1267560000015</v>
      </c>
      <c r="JQ7" s="734"/>
      <c r="JR7" s="698">
        <f>JQ7/JO7</f>
        <v>0</v>
      </c>
      <c r="JS7" s="593">
        <f>'Proy 2022 vs 2019 sem'!AY6*JV$4</f>
        <v>9492.2975999999999</v>
      </c>
      <c r="JT7" s="593">
        <f>'Proy 2022 vs 2019 sem'!AZ6*JV$4</f>
        <v>8448.1448639999999</v>
      </c>
      <c r="JU7" s="734"/>
      <c r="JV7" s="698">
        <f>JU7/JS7</f>
        <v>0</v>
      </c>
      <c r="JW7" s="593">
        <f>'Proy 2022 vs 2019 sem'!AY6*JZ$4</f>
        <v>13051.9092</v>
      </c>
      <c r="JX7" s="593">
        <f>'Proy 2022 vs 2019 sem'!AZ6*JZ$4</f>
        <v>11616.199188000001</v>
      </c>
      <c r="JY7" s="734"/>
      <c r="JZ7" s="698">
        <f>JY7/JW7</f>
        <v>0</v>
      </c>
      <c r="KA7" s="610">
        <f>IY7+JC7+JG7+JK7+JO7+JS7+JW7</f>
        <v>59326.86</v>
      </c>
      <c r="KB7" s="593">
        <f>IZ7+JD7+JH7+JL7+JP7+JT7+JX7</f>
        <v>52800.905400000003</v>
      </c>
      <c r="KC7" s="729">
        <f>JA7+JE7+JI7+JM7+JQ7+JU7+JY7</f>
        <v>0</v>
      </c>
      <c r="KD7" s="709">
        <f>KC7/KA7</f>
        <v>0</v>
      </c>
      <c r="KE7" s="593">
        <f>'Proy 2022 vs 2019 sem'!BD6*KH$4</f>
        <v>8113.3571999999995</v>
      </c>
      <c r="KF7" s="593">
        <f>'Proy 2022 vs 2019 sem'!BE6*KH$4</f>
        <v>7220.8879079999997</v>
      </c>
      <c r="KG7" s="697"/>
      <c r="KH7" s="698">
        <f>KG7/KE7</f>
        <v>0</v>
      </c>
      <c r="KI7" s="593">
        <f>'Proy 2022 vs 2019 sem'!BD6*KL$4</f>
        <v>8113.3571999999995</v>
      </c>
      <c r="KJ7" s="593">
        <f>'Proy 2022 vs 2019 sem'!BE6*KL$4</f>
        <v>7220.8879079999997</v>
      </c>
      <c r="KK7" s="697"/>
      <c r="KL7" s="698">
        <f>KK7/KI7</f>
        <v>0</v>
      </c>
      <c r="KM7" s="593">
        <f>'Proy 2022 vs 2019 sem'!BD6*KP$4</f>
        <v>8113.3571999999995</v>
      </c>
      <c r="KN7" s="593">
        <f>'Proy 2022 vs 2019 sem'!BE6*KP$4</f>
        <v>7220.8879079999997</v>
      </c>
      <c r="KO7" s="697"/>
      <c r="KP7" s="698">
        <f>KO7/KM7</f>
        <v>0</v>
      </c>
      <c r="KQ7" s="593">
        <f>'Proy 2022 vs 2019 sem'!BD6*KT$4</f>
        <v>8113.3571999999995</v>
      </c>
      <c r="KR7" s="593">
        <f>'Proy 2022 vs 2019 sem'!BE6*KT$4</f>
        <v>7220.8879079999997</v>
      </c>
      <c r="KS7" s="697"/>
      <c r="KT7" s="698">
        <f>KS7/KQ7</f>
        <v>0</v>
      </c>
      <c r="KU7" s="593">
        <f>'Proy 2022 vs 2019 sem'!BD6*KX$4</f>
        <v>9465.5834000000013</v>
      </c>
      <c r="KV7" s="593">
        <f>'Proy 2022 vs 2019 sem'!BE6*KX$4</f>
        <v>8424.3692260000007</v>
      </c>
      <c r="KW7" s="697"/>
      <c r="KX7" s="698">
        <f>KW7/KU7</f>
        <v>0</v>
      </c>
      <c r="KY7" s="593">
        <f>'Proy 2022 vs 2019 sem'!BD6*LB$4</f>
        <v>10817.809600000001</v>
      </c>
      <c r="KZ7" s="593">
        <f>'Proy 2022 vs 2019 sem'!BE6*LB$4</f>
        <v>9627.8505440000008</v>
      </c>
      <c r="LA7" s="697"/>
      <c r="LB7" s="698">
        <f>LA7/KY7</f>
        <v>0</v>
      </c>
      <c r="LC7" s="593">
        <f>'Proy 2022 vs 2019 sem'!BD6*LF$4</f>
        <v>14874.4882</v>
      </c>
      <c r="LD7" s="593">
        <f>'Proy 2022 vs 2019 sem'!BE6*LF$4</f>
        <v>13238.294498000001</v>
      </c>
      <c r="LE7" s="697"/>
      <c r="LF7" s="698">
        <f>LE7/LC7</f>
        <v>0</v>
      </c>
      <c r="LG7" s="610">
        <f>KE7+KI7+KM7+KQ7+KU7+KY7+LC7</f>
        <v>67611.31</v>
      </c>
      <c r="LH7" s="593">
        <f>KF7+KJ7+KN7+KR7+KV7+KZ7+LD7</f>
        <v>60174.065900000001</v>
      </c>
      <c r="LI7" s="729">
        <f>KG7+KK7+KO7+KS7+KW7+LA7+LE7</f>
        <v>0</v>
      </c>
      <c r="LJ7" s="709">
        <f>LI7/LG7</f>
        <v>0</v>
      </c>
      <c r="LK7" s="593">
        <f>'Proy 2022 vs 2019 sem'!BI6*LN$4</f>
        <v>8915.0867999999991</v>
      </c>
      <c r="LL7" s="593">
        <f>'Proy 2022 vs 2019 sem'!BJ6*LN$4</f>
        <v>7934.4272520000004</v>
      </c>
      <c r="LM7" s="697"/>
      <c r="LN7" s="698">
        <f>LM7/LK7</f>
        <v>0</v>
      </c>
      <c r="LO7" s="593">
        <f>'Proy 2022 vs 2019 sem'!BI6*LR$4</f>
        <v>8915.0867999999991</v>
      </c>
      <c r="LP7" s="593">
        <f>'Proy 2022 vs 2019 sem'!BJ6*LR$4</f>
        <v>7934.4272520000004</v>
      </c>
      <c r="LQ7" s="697"/>
      <c r="LR7" s="698">
        <f>LQ7/LO7</f>
        <v>0</v>
      </c>
      <c r="LS7" s="593">
        <f>'Proy 2022 vs 2019 sem'!BI6*LV$4</f>
        <v>8915.0867999999991</v>
      </c>
      <c r="LT7" s="593">
        <f>'Proy 2022 vs 2019 sem'!BJ6*LV$4</f>
        <v>7934.4272520000004</v>
      </c>
      <c r="LU7" s="697"/>
      <c r="LV7" s="698">
        <f>LU7/LS7</f>
        <v>0</v>
      </c>
      <c r="LW7" s="593">
        <f>'Proy 2022 vs 2019 sem'!BI6*LZ$4</f>
        <v>8915.0867999999991</v>
      </c>
      <c r="LX7" s="593">
        <f>'Proy 2022 vs 2019 sem'!BJ6*LZ$4</f>
        <v>7934.4272520000004</v>
      </c>
      <c r="LY7" s="697"/>
      <c r="LZ7" s="698">
        <f>LY7/LW7</f>
        <v>0</v>
      </c>
      <c r="MA7" s="593">
        <f>'Proy 2022 vs 2019 sem'!BI6*MD$4</f>
        <v>10400.934600000001</v>
      </c>
      <c r="MB7" s="593">
        <f>'Proy 2022 vs 2019 sem'!BJ6*MD$4</f>
        <v>9256.8317940000015</v>
      </c>
      <c r="MC7" s="697"/>
      <c r="MD7" s="698">
        <f>MC7/MA7</f>
        <v>0</v>
      </c>
      <c r="ME7" s="593">
        <f>'Proy 2022 vs 2019 sem'!BI6*MH$4</f>
        <v>11886.7824</v>
      </c>
      <c r="MF7" s="593">
        <f>'Proy 2022 vs 2019 sem'!BJ6*MH$4</f>
        <v>10579.236336</v>
      </c>
      <c r="MG7" s="697"/>
      <c r="MH7" s="698">
        <f>MG7/ME7</f>
        <v>0</v>
      </c>
      <c r="MI7" s="593">
        <f>'Proy 2022 vs 2019 sem'!BI6*ML$4</f>
        <v>16344.325800000001</v>
      </c>
      <c r="MJ7" s="593">
        <f>'Proy 2022 vs 2019 sem'!BJ6*ML$4</f>
        <v>14546.449962000001</v>
      </c>
      <c r="MK7" s="697"/>
      <c r="ML7" s="698">
        <f>MK7/MI7</f>
        <v>0</v>
      </c>
      <c r="MM7" s="610">
        <f>LK7+LO7+LS7+LW7+MA7+ME7+MI7</f>
        <v>74292.39</v>
      </c>
      <c r="MN7" s="593">
        <f>LL7+LP7+LT7+LX7+MB7+MF7+MJ7</f>
        <v>66120.227100000004</v>
      </c>
      <c r="MO7" s="729">
        <f>LM7+LQ7+LU7+LY7+MC7+MG7+MK7</f>
        <v>0</v>
      </c>
      <c r="MP7" s="709">
        <f>MO7/MM7</f>
        <v>0</v>
      </c>
      <c r="MQ7" s="593">
        <f>'Proy 2022 vs 2019 sem'!BN6*MT$4</f>
        <v>9618.9143999999997</v>
      </c>
      <c r="MR7" s="593">
        <f>'Proy 2022 vs 2019 sem'!BO6*MT$4</f>
        <v>8368.4555279999986</v>
      </c>
      <c r="MS7" s="697"/>
      <c r="MT7" s="698">
        <f>MS7/MQ7</f>
        <v>0</v>
      </c>
      <c r="MU7" s="593">
        <f>'Proy 2022 vs 2019 sem'!BN6*MX$4</f>
        <v>9618.9143999999997</v>
      </c>
      <c r="MV7" s="593">
        <f>'Proy 2022 vs 2019 sem'!BO6*MX$4</f>
        <v>8368.4555279999986</v>
      </c>
      <c r="MW7" s="697"/>
      <c r="MX7" s="698">
        <f>MW7/MU7</f>
        <v>0</v>
      </c>
      <c r="MY7" s="593">
        <f>'Proy 2022 vs 2019 sem'!BN6*NB$4</f>
        <v>9618.9143999999997</v>
      </c>
      <c r="MZ7" s="593">
        <f>'Proy 2022 vs 2019 sem'!BO6*NB$4</f>
        <v>8368.4555279999986</v>
      </c>
      <c r="NA7" s="697"/>
      <c r="NB7" s="698">
        <f>NA7/MY7</f>
        <v>0</v>
      </c>
      <c r="NC7" s="593">
        <f>'Proy 2022 vs 2019 sem'!BN6*NF$4</f>
        <v>9618.9143999999997</v>
      </c>
      <c r="ND7" s="593">
        <f>'Proy 2022 vs 2019 sem'!BO6*NF$4</f>
        <v>8368.4555279999986</v>
      </c>
      <c r="NE7" s="697"/>
      <c r="NF7" s="698">
        <f>NE7/NC7</f>
        <v>0</v>
      </c>
      <c r="NG7" s="593">
        <f>'Proy 2022 vs 2019 sem'!BN6*NJ$4</f>
        <v>11222.066800000001</v>
      </c>
      <c r="NH7" s="593">
        <f>'Proy 2022 vs 2019 sem'!BO6*NJ$4</f>
        <v>9763.1981159999996</v>
      </c>
      <c r="NI7" s="697"/>
      <c r="NJ7" s="698">
        <f>NI7/NG7</f>
        <v>0</v>
      </c>
      <c r="NK7" s="593">
        <f>'Proy 2022 vs 2019 sem'!BN6*NN$4</f>
        <v>12825.2192</v>
      </c>
      <c r="NL7" s="593">
        <f>'Proy 2022 vs 2019 sem'!BO6*NN$4</f>
        <v>11157.940703999999</v>
      </c>
      <c r="NM7" s="697"/>
      <c r="NN7" s="698">
        <f>NM7/NK7</f>
        <v>0</v>
      </c>
      <c r="NO7" s="593">
        <f>'Proy 2022 vs 2019 sem'!BN6*NR$4</f>
        <v>17634.6764</v>
      </c>
      <c r="NP7" s="593">
        <f>'Proy 2022 vs 2019 sem'!BO6*NR$4</f>
        <v>15342.168467999998</v>
      </c>
      <c r="NQ7" s="697"/>
      <c r="NR7" s="698">
        <f>NQ7/NO7</f>
        <v>0</v>
      </c>
      <c r="NS7" s="610">
        <f>MQ7+MU7+MY7+NC7+NG7+NK7+NO7</f>
        <v>80157.62</v>
      </c>
      <c r="NT7" s="593">
        <f>MR7+MV7+MZ7+ND7+NH7+NL7+NP7</f>
        <v>69737.129399999991</v>
      </c>
      <c r="NU7" s="708">
        <f>MS7+MW7+NA7+NE7+NI7+NM7+NQ7</f>
        <v>0</v>
      </c>
      <c r="NV7" s="709">
        <f>NU7/NS7</f>
        <v>0</v>
      </c>
      <c r="NW7" s="593">
        <f>'Proy 2022 vs 2019 sem'!BS6*NZ$4</f>
        <v>9967.8132000000005</v>
      </c>
      <c r="NX7" s="593">
        <f>'Proy 2022 vs 2019 sem'!BT6*NZ$4</f>
        <v>8871.3537479999995</v>
      </c>
      <c r="NY7" s="697"/>
      <c r="NZ7" s="698">
        <f>NY7/NW7</f>
        <v>0</v>
      </c>
      <c r="OA7" s="593">
        <f>'Proy 2022 vs 2019 sem'!BS6*OD$4</f>
        <v>9967.8132000000005</v>
      </c>
      <c r="OB7" s="593">
        <f>'Proy 2022 vs 2019 sem'!BT6*OD$4</f>
        <v>8871.3537479999995</v>
      </c>
      <c r="OC7" s="697"/>
      <c r="OD7" s="698">
        <f>OC7/OA7</f>
        <v>0</v>
      </c>
      <c r="OE7" s="593">
        <f>'Proy 2022 vs 2019 sem'!BS6*OH$4</f>
        <v>9967.8132000000005</v>
      </c>
      <c r="OF7" s="593">
        <f>'Proy 2022 vs 2019 sem'!BT6*OH$4</f>
        <v>8871.3537479999995</v>
      </c>
      <c r="OG7" s="697"/>
      <c r="OH7" s="698">
        <f>OG7/OE7</f>
        <v>0</v>
      </c>
      <c r="OI7" s="593">
        <f>'Proy 2022 vs 2019 sem'!BS6*OL$4</f>
        <v>9967.8132000000005</v>
      </c>
      <c r="OJ7" s="593">
        <f>'Proy 2022 vs 2019 sem'!BT6*OL$4</f>
        <v>8871.3537479999995</v>
      </c>
      <c r="OK7" s="697"/>
      <c r="OL7" s="698">
        <f>OK7/OI7</f>
        <v>0</v>
      </c>
      <c r="OM7" s="593">
        <f>'Proy 2022 vs 2019 sem'!BS6*OP$4</f>
        <v>11629.115400000001</v>
      </c>
      <c r="ON7" s="593">
        <f>'Proy 2022 vs 2019 sem'!BT6*OP$4</f>
        <v>10349.912706000001</v>
      </c>
      <c r="OO7" s="697"/>
      <c r="OP7" s="698">
        <f>OO7/OM7</f>
        <v>0</v>
      </c>
      <c r="OQ7" s="593">
        <f>'Proy 2022 vs 2019 sem'!BS6*OT$4</f>
        <v>13290.417600000001</v>
      </c>
      <c r="OR7" s="593">
        <f>'Proy 2022 vs 2019 sem'!BT6*OT$4</f>
        <v>11828.471664000001</v>
      </c>
      <c r="OS7" s="697"/>
      <c r="OT7" s="698">
        <f>OS7/OQ7</f>
        <v>0</v>
      </c>
      <c r="OU7" s="593">
        <f>'Proy 2022 vs 2019 sem'!BS6*OX$4</f>
        <v>18274.324199999999</v>
      </c>
      <c r="OV7" s="593">
        <f>'Proy 2022 vs 2019 sem'!BT6*OX$4</f>
        <v>16264.148537999999</v>
      </c>
      <c r="OW7" s="697"/>
      <c r="OX7" s="698">
        <f>OW7/OU7</f>
        <v>0</v>
      </c>
      <c r="OY7" s="610">
        <f>NW7+OA7+OE7+OI7+OM7+OQ7+OU7</f>
        <v>83065.11</v>
      </c>
      <c r="OZ7" s="593">
        <f>NX7+OB7+OF7+OJ7+ON7+OR7+OV7</f>
        <v>73927.947899999999</v>
      </c>
      <c r="PA7" s="708">
        <f>NY7+OC7+OG7+OK7+OO7+OS7+OW7</f>
        <v>0</v>
      </c>
      <c r="PB7" s="709">
        <f>PA7/OY7</f>
        <v>0</v>
      </c>
      <c r="PC7" s="593">
        <f>'Proy 2022 vs 2019 sem'!CB6*PF$4</f>
        <v>9620.4779999999992</v>
      </c>
      <c r="PD7" s="593">
        <f>'Proy 2022 vs 2019 sem'!CC6*PF$4</f>
        <v>8562.2254199999988</v>
      </c>
      <c r="PE7" s="734"/>
      <c r="PF7" s="698">
        <f>PE7/PC7</f>
        <v>0</v>
      </c>
      <c r="PG7" s="593">
        <f>'Proy 2022 vs 2019 sem'!CB6*PJ$4</f>
        <v>9620.4779999999992</v>
      </c>
      <c r="PH7" s="593">
        <f>'Proy 2022 vs 2019 sem'!CC6*PJ$4</f>
        <v>8562.2254199999988</v>
      </c>
      <c r="PI7" s="697"/>
      <c r="PJ7" s="698">
        <f>PI7/PG7</f>
        <v>0</v>
      </c>
      <c r="PK7" s="593">
        <f>'Proy 2022 vs 2019 sem'!CB6*PN$4</f>
        <v>9620.4779999999992</v>
      </c>
      <c r="PL7" s="593">
        <f>'Proy 2022 vs 2019 sem'!CC6*PN$4</f>
        <v>8562.2254199999988</v>
      </c>
      <c r="PM7" s="697"/>
      <c r="PN7" s="698">
        <f>PM7/PK7</f>
        <v>0</v>
      </c>
      <c r="PO7" s="593">
        <f>'Proy 2022 vs 2019 sem'!CB6*PR$4</f>
        <v>9620.4779999999992</v>
      </c>
      <c r="PP7" s="593">
        <f>'Proy 2022 vs 2019 sem'!CC6*PR$4</f>
        <v>8562.2254199999988</v>
      </c>
      <c r="PQ7" s="697"/>
      <c r="PR7" s="698">
        <f>PQ7/PO7</f>
        <v>0</v>
      </c>
      <c r="PS7" s="593">
        <f>'Proy 2022 vs 2019 sem'!CB6*PV$4</f>
        <v>11223.891</v>
      </c>
      <c r="PT7" s="593">
        <f>'Proy 2022 vs 2019 sem'!CC6*PV$4</f>
        <v>9989.2629899999993</v>
      </c>
      <c r="PU7" s="697"/>
      <c r="PV7" s="698">
        <f>PU7/PS7</f>
        <v>0</v>
      </c>
      <c r="PW7" s="593">
        <f>'Proy 2022 vs 2019 sem'!CB6*PZ$4</f>
        <v>12827.304</v>
      </c>
      <c r="PX7" s="593">
        <f>'Proy 2022 vs 2019 sem'!CC6*PZ$4</f>
        <v>11416.30056</v>
      </c>
      <c r="PY7" s="697"/>
      <c r="PZ7" s="698">
        <f>PY7/PW7</f>
        <v>0</v>
      </c>
      <c r="QA7" s="593">
        <f>'Proy 2022 vs 2019 sem'!CB6*QD$4</f>
        <v>17637.542999999998</v>
      </c>
      <c r="QB7" s="593">
        <f>'Proy 2022 vs 2019 sem'!CC6*QD$4</f>
        <v>15697.413269999999</v>
      </c>
      <c r="QC7" s="697"/>
      <c r="QD7" s="698">
        <f>QC7/QA7</f>
        <v>0</v>
      </c>
      <c r="QE7" s="610">
        <f>PC7+PG7+PK7+PO7+PS7+PW7+QA7</f>
        <v>80170.649999999994</v>
      </c>
      <c r="QF7" s="593">
        <f>PD7+PH7+PL7+PP7+PT7+PX7+QB7</f>
        <v>71351.878500000006</v>
      </c>
      <c r="QG7" s="793">
        <f>PE7+PI7+PM7+PQ7+PU7+PY7+QC7</f>
        <v>0</v>
      </c>
      <c r="QH7" s="784">
        <f>QG7/QE7</f>
        <v>0</v>
      </c>
      <c r="QI7" s="593">
        <f>'Proy 2022 vs 2019 sem'!CG6*QL$4</f>
        <v>10576.4244</v>
      </c>
      <c r="QJ7" s="593">
        <f>'Proy 2022 vs 2019 sem'!CH6*QL$4</f>
        <v>9518.7819600000003</v>
      </c>
      <c r="QK7" s="697"/>
      <c r="QL7" s="698">
        <f>QK7/QI7</f>
        <v>0</v>
      </c>
      <c r="QM7" s="593">
        <f>'Proy 2022 vs 2019 sem'!CG6*QP$4</f>
        <v>10576.4244</v>
      </c>
      <c r="QN7" s="593">
        <f>'Proy 2022 vs 2019 sem'!CH6*QP$4</f>
        <v>9518.7819600000003</v>
      </c>
      <c r="QO7" s="697"/>
      <c r="QP7" s="698">
        <f>QO7/QM7</f>
        <v>0</v>
      </c>
      <c r="QQ7" s="593">
        <f>'Proy 2022 vs 2019 sem'!CG6*QT$4</f>
        <v>10576.4244</v>
      </c>
      <c r="QR7" s="593">
        <f>'Proy 2022 vs 2019 sem'!CH6*QT$4</f>
        <v>9518.7819600000003</v>
      </c>
      <c r="QS7" s="697"/>
      <c r="QT7" s="698">
        <f>QS7/QQ7</f>
        <v>0</v>
      </c>
      <c r="QU7" s="593">
        <f>'Proy 2022 vs 2019 sem'!CG6*QX$4</f>
        <v>10576.4244</v>
      </c>
      <c r="QV7" s="593">
        <f>'Proy 2022 vs 2019 sem'!CH6*QX$4</f>
        <v>9518.7819600000003</v>
      </c>
      <c r="QW7" s="697"/>
      <c r="QX7" s="698">
        <f>QW7/QU7</f>
        <v>0</v>
      </c>
      <c r="QY7" s="593">
        <f>'Proy 2022 vs 2019 sem'!CG6*RB$4</f>
        <v>12339.1618</v>
      </c>
      <c r="QZ7" s="593">
        <f>'Proy 2022 vs 2019 sem'!CH6*RB$4</f>
        <v>11105.245620000002</v>
      </c>
      <c r="RA7" s="697"/>
      <c r="RB7" s="698">
        <f>RA7/QY7</f>
        <v>0</v>
      </c>
      <c r="RC7" s="593">
        <f>'Proy 2022 vs 2019 sem'!CG6*RF$4</f>
        <v>14101.8992</v>
      </c>
      <c r="RD7" s="593">
        <f>'Proy 2022 vs 2019 sem'!CH6*RF$4</f>
        <v>12691.709280000001</v>
      </c>
      <c r="RE7" s="697"/>
      <c r="RF7" s="698">
        <f>RE7/RC7</f>
        <v>0</v>
      </c>
      <c r="RG7" s="593">
        <f>'Proy 2022 vs 2019 sem'!CG6*RJ$4</f>
        <v>19390.111399999998</v>
      </c>
      <c r="RH7" s="593">
        <f>'Proy 2022 vs 2019 sem'!CH6*RJ$4</f>
        <v>17451.100260000003</v>
      </c>
      <c r="RI7" s="697"/>
      <c r="RJ7" s="698">
        <f>RI7/RG7</f>
        <v>0</v>
      </c>
      <c r="RK7" s="610">
        <f>QI7+QM7+QQ7+QU7+QY7+RC7+RG7</f>
        <v>88136.87</v>
      </c>
      <c r="RL7" s="593">
        <f>QJ7+QN7+QR7+QV7+QZ7+RD7+RH7</f>
        <v>79323.183000000005</v>
      </c>
      <c r="RM7" s="793">
        <f>QK7+QO7+QS7+QW7+RA7+RE7+RI7</f>
        <v>0</v>
      </c>
      <c r="RN7" s="784">
        <f>RM7/RK7</f>
        <v>0</v>
      </c>
      <c r="RO7" s="593">
        <f>'Proy 2022 vs 2019 sem'!CL6*RR$4</f>
        <v>9625.5</v>
      </c>
      <c r="RP7" s="593">
        <f>'Proy 2022 vs 2019 sem'!CM6*RR$4</f>
        <v>8662.9499999999989</v>
      </c>
      <c r="RQ7" s="697"/>
      <c r="RR7" s="698">
        <f>RQ7/RO7</f>
        <v>0</v>
      </c>
      <c r="RS7" s="593">
        <f>'Proy 2022 vs 2019 sem'!CL6*RV$4</f>
        <v>9625.5</v>
      </c>
      <c r="RT7" s="593">
        <f>'Proy 2022 vs 2019 sem'!CM6*RV$4</f>
        <v>8662.9499999999989</v>
      </c>
      <c r="RU7" s="697"/>
      <c r="RV7" s="698">
        <f>RU7/RS7</f>
        <v>0</v>
      </c>
      <c r="RW7" s="593">
        <f>'Proy 2022 vs 2019 sem'!CL6*RZ$4</f>
        <v>9625.5</v>
      </c>
      <c r="RX7" s="593">
        <f>'Proy 2022 vs 2019 sem'!CM6*RZ$4</f>
        <v>8662.9499999999989</v>
      </c>
      <c r="RY7" s="697"/>
      <c r="RZ7" s="698">
        <f>RY7/RW7</f>
        <v>0</v>
      </c>
      <c r="SA7" s="593">
        <f>'Proy 2022 vs 2019 sem'!CL6*SD$4</f>
        <v>9625.5</v>
      </c>
      <c r="SB7" s="593">
        <f>'Proy 2022 vs 2019 sem'!CM6*SD$4</f>
        <v>8662.9499999999989</v>
      </c>
      <c r="SC7" s="697"/>
      <c r="SD7" s="698">
        <f>SC7/SA7</f>
        <v>0</v>
      </c>
      <c r="SE7" s="593">
        <f>'Proy 2022 vs 2019 sem'!CL6*SH$4</f>
        <v>11229.750000000002</v>
      </c>
      <c r="SF7" s="593">
        <f>'Proy 2022 vs 2019 sem'!CM6*SH$4</f>
        <v>10106.775000000001</v>
      </c>
      <c r="SG7" s="697"/>
      <c r="SH7" s="698">
        <f>SG7/SE7</f>
        <v>0</v>
      </c>
      <c r="SI7" s="593">
        <f>'Proy 2022 vs 2019 sem'!CL6*SL$4</f>
        <v>12834</v>
      </c>
      <c r="SJ7" s="593">
        <f>'Proy 2022 vs 2019 sem'!CM6*SL$4</f>
        <v>11550.6</v>
      </c>
      <c r="SK7" s="697"/>
      <c r="SL7" s="698">
        <f>SK7/SI7</f>
        <v>0</v>
      </c>
      <c r="SM7" s="593">
        <f>'Proy 2022 vs 2019 sem'!CL6*SP$4</f>
        <v>17646.75</v>
      </c>
      <c r="SN7" s="593">
        <f>'Proy 2022 vs 2019 sem'!CM6*SP$4</f>
        <v>15882.075000000001</v>
      </c>
      <c r="SO7" s="697"/>
      <c r="SP7" s="698">
        <f>SO7/SM7</f>
        <v>0</v>
      </c>
      <c r="SQ7" s="610">
        <f>RO7+RS7+RW7+SA7+SE7+SI7+SM7</f>
        <v>80212.5</v>
      </c>
      <c r="SR7" s="593">
        <f>RP7+RT7+RX7+SB7+SF7+SJ7+SN7</f>
        <v>72191.25</v>
      </c>
      <c r="SS7" s="793">
        <f>RQ7+RU7+RY7+SC7+SG7+SK7+SO7</f>
        <v>0</v>
      </c>
      <c r="ST7" s="784">
        <f>SS7/SQ7</f>
        <v>0</v>
      </c>
      <c r="SU7" s="593">
        <f>'Proy 2022 vs 2019 sem'!CQ6*SX$4</f>
        <v>15474.370799999999</v>
      </c>
      <c r="SV7" s="593">
        <f>'Proy 2022 vs 2019 sem'!CR6*SX$4</f>
        <v>14081.677427999999</v>
      </c>
      <c r="SW7" s="697"/>
      <c r="SX7" s="698">
        <f>SW7/SU7</f>
        <v>0</v>
      </c>
      <c r="SY7" s="593">
        <f>'Proy 2022 vs 2019 sem'!CQ6*TB$4</f>
        <v>15474.370799999999</v>
      </c>
      <c r="SZ7" s="593">
        <f>'Proy 2022 vs 2019 sem'!CR6*TB$4</f>
        <v>14081.677427999999</v>
      </c>
      <c r="TA7" s="697"/>
      <c r="TB7" s="698">
        <f>TA7/SY7</f>
        <v>0</v>
      </c>
      <c r="TC7" s="593">
        <f>'Proy 2022 vs 2019 sem'!CQ6*TF$4</f>
        <v>15474.370799999999</v>
      </c>
      <c r="TD7" s="593">
        <f>'Proy 2022 vs 2019 sem'!CR6*TF$4</f>
        <v>14081.677427999999</v>
      </c>
      <c r="TE7" s="697"/>
      <c r="TF7" s="698">
        <f>TE7/TC7</f>
        <v>0</v>
      </c>
      <c r="TG7" s="593">
        <f>'Proy 2022 vs 2019 sem'!CQ6*TJ$4</f>
        <v>15474.370799999999</v>
      </c>
      <c r="TH7" s="593">
        <f>'Proy 2022 vs 2019 sem'!CR6*TJ$4</f>
        <v>14081.677427999999</v>
      </c>
      <c r="TI7" s="697"/>
      <c r="TJ7" s="698">
        <f>TI7/TG7</f>
        <v>0</v>
      </c>
      <c r="TK7" s="593">
        <f>'Proy 2022 vs 2019 sem'!CQ6*TN$4</f>
        <v>18053.4326</v>
      </c>
      <c r="TL7" s="593">
        <f>'Proy 2022 vs 2019 sem'!CR6*TN$4</f>
        <v>16428.623666000003</v>
      </c>
      <c r="TM7" s="697"/>
      <c r="TN7" s="698">
        <f>TM7/TK7</f>
        <v>0</v>
      </c>
      <c r="TO7" s="593">
        <f>'Proy 2022 vs 2019 sem'!CQ6*TR$4</f>
        <v>20632.4944</v>
      </c>
      <c r="TP7" s="593">
        <f>'Proy 2022 vs 2019 sem'!CR6*TR$4</f>
        <v>18775.569904</v>
      </c>
      <c r="TQ7" s="697"/>
      <c r="TR7" s="698">
        <f>TQ7/TO7</f>
        <v>0</v>
      </c>
      <c r="TS7" s="593">
        <f>'Proy 2022 vs 2019 sem'!CQ6*TV$4</f>
        <v>28369.679799999998</v>
      </c>
      <c r="TT7" s="593">
        <f>'Proy 2022 vs 2019 sem'!CR6*TV$4</f>
        <v>25816.408618000001</v>
      </c>
      <c r="TU7" s="697"/>
      <c r="TV7" s="698">
        <f>TU7/TS7</f>
        <v>0</v>
      </c>
      <c r="TW7" s="610">
        <f>SU7+SY7+TC7+TG7+TK7+TO7+TS7</f>
        <v>128953.08999999998</v>
      </c>
      <c r="TX7" s="593">
        <f>SV7+SZ7+TD7+TH7+TL7+TP7+TT7</f>
        <v>117347.3119</v>
      </c>
      <c r="TY7" s="783">
        <f>SW7+TA7+TE7+TI7+TM7+TQ7+TU7</f>
        <v>0</v>
      </c>
      <c r="TZ7" s="784">
        <f>TY7/TW7</f>
        <v>0</v>
      </c>
      <c r="UA7" s="593">
        <f>'Proy 2022 vs 2019 sem'!CZ6*UD$4</f>
        <v>14504.373599999999</v>
      </c>
      <c r="UB7" s="593">
        <f>'Proy 2022 vs 2019 sem'!DA6*UD$4</f>
        <v>12908.892503999999</v>
      </c>
      <c r="UC7" s="734"/>
      <c r="UD7" s="698">
        <f>UC7/UA7</f>
        <v>0</v>
      </c>
      <c r="UE7" s="593">
        <f>'Proy 2022 vs 2019 sem'!CZ6*UH$4</f>
        <v>14504.373599999999</v>
      </c>
      <c r="UF7" s="593">
        <f>'Proy 2022 vs 2019 sem'!DA6*UH$4</f>
        <v>12908.892503999999</v>
      </c>
      <c r="UG7" s="697"/>
      <c r="UH7" s="698">
        <f>UG7/UE7</f>
        <v>0</v>
      </c>
      <c r="UI7" s="593">
        <f>'Proy 2022 vs 2019 sem'!CZ6*UL$4</f>
        <v>14504.373599999999</v>
      </c>
      <c r="UJ7" s="593">
        <f>'Proy 2022 vs 2019 sem'!DA6*UL$4</f>
        <v>12908.892503999999</v>
      </c>
      <c r="UK7" s="697"/>
      <c r="UL7" s="698">
        <f>UK7/UI7</f>
        <v>0</v>
      </c>
      <c r="UM7" s="593">
        <f>'Proy 2022 vs 2019 sem'!CZ6*UP$4</f>
        <v>14504.373599999999</v>
      </c>
      <c r="UN7" s="593">
        <f>'Proy 2022 vs 2019 sem'!DA6*UP$4</f>
        <v>12908.892503999999</v>
      </c>
      <c r="UO7" s="697"/>
      <c r="UP7" s="698">
        <f>UO7/UM7</f>
        <v>0</v>
      </c>
      <c r="UQ7" s="593">
        <f>'Proy 2022 vs 2019 sem'!CZ6*UT$4</f>
        <v>16921.769200000002</v>
      </c>
      <c r="UR7" s="593">
        <f>'Proy 2022 vs 2019 sem'!DA6*UT$4</f>
        <v>15060.374588000002</v>
      </c>
      <c r="US7" s="697"/>
      <c r="UT7" s="698">
        <f>US7/UQ7</f>
        <v>0</v>
      </c>
      <c r="UU7" s="593">
        <f>'Proy 2022 vs 2019 sem'!CZ6*UX$4</f>
        <v>19339.164799999999</v>
      </c>
      <c r="UV7" s="593">
        <f>'Proy 2022 vs 2019 sem'!DA6*UX$4</f>
        <v>17211.856672000002</v>
      </c>
      <c r="UW7" s="697"/>
      <c r="UX7" s="698">
        <f>UW7/UU7</f>
        <v>0</v>
      </c>
      <c r="UY7" s="593">
        <f>'Proy 2022 vs 2019 sem'!CZ6*VB$4</f>
        <v>26591.351599999998</v>
      </c>
      <c r="UZ7" s="593">
        <f>'Proy 2022 vs 2019 sem'!DA6*VB$4</f>
        <v>23666.302924</v>
      </c>
      <c r="VA7" s="697"/>
      <c r="VB7" s="698">
        <f>VA7/UY7</f>
        <v>0</v>
      </c>
      <c r="VC7" s="610">
        <f>UA7+UE7+UI7+UM7+UQ7+UU7+UY7</f>
        <v>120869.78</v>
      </c>
      <c r="VD7" s="593">
        <f>UB7+UF7+UJ7+UN7+UR7+UV7+UZ7</f>
        <v>107574.10420000002</v>
      </c>
      <c r="VE7" s="759">
        <f>UC7+UG7+UK7+UO7+US7+UW7+VA7</f>
        <v>0</v>
      </c>
      <c r="VF7" s="760">
        <f>VE7/VC7</f>
        <v>0</v>
      </c>
      <c r="VG7" s="593">
        <f>'Proy 2022 vs 2019 sem'!DE6*VJ$4</f>
        <v>10618.607999999998</v>
      </c>
      <c r="VH7" s="593">
        <f>'Proy 2022 vs 2019 sem'!DF6*VJ$4</f>
        <v>9450.5611199999985</v>
      </c>
      <c r="VI7" s="697"/>
      <c r="VJ7" s="698">
        <f>VI7/VG7</f>
        <v>0</v>
      </c>
      <c r="VK7" s="593">
        <f>'Proy 2022 vs 2019 sem'!DE6*VN$4</f>
        <v>10618.607999999998</v>
      </c>
      <c r="VL7" s="593">
        <f>'Proy 2022 vs 2019 sem'!DF6*VN$4</f>
        <v>9450.5611199999985</v>
      </c>
      <c r="VM7" s="697"/>
      <c r="VN7" s="698">
        <f>VM7/VK7</f>
        <v>0</v>
      </c>
      <c r="VO7" s="593">
        <f>'Proy 2022 vs 2019 sem'!DE6*VR$4</f>
        <v>10618.607999999998</v>
      </c>
      <c r="VP7" s="593">
        <f>'Proy 2022 vs 2019 sem'!DF6*VR$4</f>
        <v>9450.5611199999985</v>
      </c>
      <c r="VQ7" s="697"/>
      <c r="VR7" s="698">
        <f>VQ7/VO7</f>
        <v>0</v>
      </c>
      <c r="VS7" s="593">
        <f>'Proy 2022 vs 2019 sem'!DE6*VV$4</f>
        <v>10618.607999999998</v>
      </c>
      <c r="VT7" s="593">
        <f>'Proy 2022 vs 2019 sem'!DF6*VV$4</f>
        <v>9450.5611199999985</v>
      </c>
      <c r="VU7" s="697"/>
      <c r="VV7" s="698">
        <f>VU7/VS7</f>
        <v>0</v>
      </c>
      <c r="VW7" s="593">
        <f>'Proy 2022 vs 2019 sem'!DE6*VZ$4</f>
        <v>12388.376</v>
      </c>
      <c r="VX7" s="593">
        <f>'Proy 2022 vs 2019 sem'!DF6*VZ$4</f>
        <v>11025.654640000001</v>
      </c>
      <c r="VY7" s="697"/>
      <c r="VZ7" s="698">
        <f>VY7/VW7</f>
        <v>0</v>
      </c>
      <c r="WA7" s="593">
        <f>'Proy 2022 vs 2019 sem'!DE6*WD$4</f>
        <v>14158.144</v>
      </c>
      <c r="WB7" s="593">
        <f>'Proy 2022 vs 2019 sem'!DF6*WD$4</f>
        <v>12600.748159999999</v>
      </c>
      <c r="WC7" s="697"/>
      <c r="WD7" s="698">
        <f>WC7/WA7</f>
        <v>0</v>
      </c>
      <c r="WE7" s="593">
        <f>'Proy 2022 vs 2019 sem'!DE6*WH$4</f>
        <v>19467.448</v>
      </c>
      <c r="WF7" s="593">
        <f>'Proy 2022 vs 2019 sem'!DF6*WH$4</f>
        <v>17326.028719999998</v>
      </c>
      <c r="WG7" s="697"/>
      <c r="WH7" s="698">
        <f>WG7/WE7</f>
        <v>0</v>
      </c>
      <c r="WI7" s="610">
        <f>VG7+VK7+VO7+VS7+VW7+WA7+WE7</f>
        <v>88488.4</v>
      </c>
      <c r="WJ7" s="593">
        <f>VH7+VL7+VP7+VT7+VX7+WB7+WF7</f>
        <v>78754.675999999992</v>
      </c>
      <c r="WK7" s="759">
        <f>VI7+VM7+VQ7+VU7+VY7+WC7+WG7</f>
        <v>0</v>
      </c>
      <c r="WL7" s="760">
        <f>WK7/WI7</f>
        <v>0</v>
      </c>
      <c r="WM7" s="593">
        <f>'Proy 2022 vs 2019 sem'!DJ6*WP$4</f>
        <v>11657.359200000001</v>
      </c>
      <c r="WN7" s="593">
        <f>'Proy 2022 vs 2019 sem'!DK6*WP$4</f>
        <v>10375.049688000001</v>
      </c>
      <c r="WO7" s="697"/>
      <c r="WP7" s="698">
        <f>WO7/WM7</f>
        <v>0</v>
      </c>
      <c r="WQ7" s="593">
        <f>'Proy 2022 vs 2019 sem'!DJ6*WT$4</f>
        <v>11657.359200000001</v>
      </c>
      <c r="WR7" s="593">
        <f>'Proy 2022 vs 2019 sem'!DK6*WT$4</f>
        <v>10375.049688000001</v>
      </c>
      <c r="WS7" s="697"/>
      <c r="WT7" s="698">
        <f>WS7/WQ7</f>
        <v>0</v>
      </c>
      <c r="WU7" s="593">
        <f>'Proy 2022 vs 2019 sem'!DJ6*WX$4</f>
        <v>11657.359200000001</v>
      </c>
      <c r="WV7" s="593">
        <f>'Proy 2022 vs 2019 sem'!DK6*WX$4</f>
        <v>10375.049688000001</v>
      </c>
      <c r="WW7" s="697"/>
      <c r="WX7" s="698">
        <f>WW7/WU7</f>
        <v>0</v>
      </c>
      <c r="WY7" s="593">
        <f>'Proy 2022 vs 2019 sem'!DJ6*XB$4</f>
        <v>11657.359200000001</v>
      </c>
      <c r="WZ7" s="593">
        <f>'Proy 2022 vs 2019 sem'!DK6*XB$4</f>
        <v>10375.049688000001</v>
      </c>
      <c r="XA7" s="697"/>
      <c r="XB7" s="698">
        <f>XA7/WY7</f>
        <v>0</v>
      </c>
      <c r="XC7" s="593">
        <f>'Proy 2022 vs 2019 sem'!DJ6*XF$4</f>
        <v>13600.252400000001</v>
      </c>
      <c r="XD7" s="593">
        <f>'Proy 2022 vs 2019 sem'!DK6*XF$4</f>
        <v>12104.224636000003</v>
      </c>
      <c r="XE7" s="697"/>
      <c r="XF7" s="698">
        <f>XE7/XC7</f>
        <v>0</v>
      </c>
      <c r="XG7" s="593">
        <f>'Proy 2022 vs 2019 sem'!DJ6*XJ$4</f>
        <v>15543.145600000002</v>
      </c>
      <c r="XH7" s="593">
        <f>'Proy 2022 vs 2019 sem'!DK6*XJ$4</f>
        <v>13833.399584000001</v>
      </c>
      <c r="XI7" s="697"/>
      <c r="XJ7" s="698">
        <f>XI7/XG7</f>
        <v>0</v>
      </c>
      <c r="XK7" s="593">
        <f>'Proy 2022 vs 2019 sem'!DJ6*XN$4</f>
        <v>21371.825199999999</v>
      </c>
      <c r="XL7" s="593">
        <f>'Proy 2022 vs 2019 sem'!DK6*XN$4</f>
        <v>19020.924428000002</v>
      </c>
      <c r="XM7" s="697"/>
      <c r="XN7" s="698">
        <f>XM7/XK7</f>
        <v>0</v>
      </c>
      <c r="XO7" s="610">
        <f>WM7+WQ7+WU7+WY7+XC7+XG7+XK7</f>
        <v>97144.66</v>
      </c>
      <c r="XP7" s="593">
        <f>WN7+WR7+WV7+WZ7+XD7+XH7+XL7</f>
        <v>86458.747400000007</v>
      </c>
      <c r="XQ7" s="759">
        <f>WO7+WS7+WW7+XA7+XE7+XI7+XM7</f>
        <v>0</v>
      </c>
      <c r="XR7" s="760">
        <f>XQ7/XO7</f>
        <v>0</v>
      </c>
      <c r="XS7" s="593">
        <f>'Proy 2022 vs 2019 sem'!DO6*XV$4</f>
        <v>8463.4343999999983</v>
      </c>
      <c r="XT7" s="593">
        <f>'Proy 2022 vs 2019 sem'!DP6*XV$4</f>
        <v>7617.0909599999986</v>
      </c>
      <c r="XU7" s="697"/>
      <c r="XV7" s="698">
        <f>XU7/XS7</f>
        <v>0</v>
      </c>
      <c r="XW7" s="593">
        <f>'Proy 2022 vs 2019 sem'!DO6*XZ$4</f>
        <v>8463.4343999999983</v>
      </c>
      <c r="XX7" s="593">
        <f>'Proy 2022 vs 2019 sem'!DP6*XZ$4</f>
        <v>7617.0909599999986</v>
      </c>
      <c r="XY7" s="697"/>
      <c r="XZ7" s="698">
        <f>XY7/XW7</f>
        <v>0</v>
      </c>
      <c r="YA7" s="593">
        <f>'Proy 2022 vs 2019 sem'!DO6*YD$4</f>
        <v>8463.4343999999983</v>
      </c>
      <c r="YB7" s="593">
        <f>'Proy 2022 vs 2019 sem'!DP6*YD$4</f>
        <v>7617.0909599999986</v>
      </c>
      <c r="YC7" s="697"/>
      <c r="YD7" s="698">
        <f>YC7/YA7</f>
        <v>0</v>
      </c>
      <c r="YE7" s="593">
        <f>'Proy 2022 vs 2019 sem'!DO6*YH$4</f>
        <v>8463.4343999999983</v>
      </c>
      <c r="YF7" s="593">
        <f>'Proy 2022 vs 2019 sem'!DP6*YH$4</f>
        <v>7617.0909599999986</v>
      </c>
      <c r="YG7" s="697"/>
      <c r="YH7" s="698">
        <f>YG7/YE7</f>
        <v>0</v>
      </c>
      <c r="YI7" s="593">
        <f>'Proy 2022 vs 2019 sem'!DO6*YL$4</f>
        <v>9874.006800000001</v>
      </c>
      <c r="YJ7" s="593">
        <f>'Proy 2022 vs 2019 sem'!DP6*YL$4</f>
        <v>8886.6061200000004</v>
      </c>
      <c r="YK7" s="697"/>
      <c r="YL7" s="698">
        <f>YK7/YI7</f>
        <v>0</v>
      </c>
      <c r="YM7" s="593">
        <f>'Proy 2022 vs 2019 sem'!DO6*YP$4</f>
        <v>11284.5792</v>
      </c>
      <c r="YN7" s="593">
        <f>'Proy 2022 vs 2019 sem'!DP6*YP$4</f>
        <v>10156.121279999999</v>
      </c>
      <c r="YO7" s="697"/>
      <c r="YP7" s="698">
        <f>YO7/YM7</f>
        <v>0</v>
      </c>
      <c r="YQ7" s="593">
        <f>'Proy 2022 vs 2019 sem'!DO6*YT$4</f>
        <v>15516.296399999999</v>
      </c>
      <c r="YR7" s="593">
        <f>'Proy 2022 vs 2019 sem'!DP6*YT$4</f>
        <v>13964.666759999998</v>
      </c>
      <c r="YS7" s="697"/>
      <c r="YT7" s="698">
        <f>YS7/YQ7</f>
        <v>0</v>
      </c>
      <c r="YU7" s="610">
        <f>XS7+XW7+YA7+YE7+YI7+YM7+YQ7</f>
        <v>70528.62</v>
      </c>
      <c r="YV7" s="593">
        <f>XT7+XX7+YB7+YF7+YJ7+YN7+YR7</f>
        <v>63475.757999999994</v>
      </c>
      <c r="YW7" s="769">
        <f>XU7+XY7+YC7+YG7+YK7+YO7+YS7</f>
        <v>0</v>
      </c>
      <c r="YX7" s="760">
        <f>YW7/YU7</f>
        <v>0</v>
      </c>
      <c r="YY7" s="931">
        <f>'Proy 2022 vs 2019 sem'!DX6*ZB$4</f>
        <v>8838.7739999999994</v>
      </c>
      <c r="YZ7" s="931">
        <f>'Proy 2022 vs 2019 sem'!DY6*ZB$4</f>
        <v>7866.5088599999999</v>
      </c>
      <c r="ZA7" s="734"/>
      <c r="ZB7" s="698">
        <f>ZA7/YY7</f>
        <v>0</v>
      </c>
      <c r="ZC7" s="593">
        <f>'Proy 2022 vs 2019 sem'!DX6*ZF$4</f>
        <v>8838.7739999999994</v>
      </c>
      <c r="ZD7" s="593">
        <f>'Proy 2022 vs 2019 sem'!DY6*ZF$4</f>
        <v>7866.5088599999999</v>
      </c>
      <c r="ZE7" s="734"/>
      <c r="ZF7" s="698">
        <f>ZE7/ZC7</f>
        <v>0</v>
      </c>
      <c r="ZG7" s="593">
        <f>'Proy 2022 vs 2019 sem'!DX6*ZJ$4</f>
        <v>8838.7739999999994</v>
      </c>
      <c r="ZH7" s="593">
        <f>'Proy 2022 vs 2019 sem'!DY6*ZJ$4</f>
        <v>7866.5088599999999</v>
      </c>
      <c r="ZI7" s="734"/>
      <c r="ZJ7" s="698">
        <f>ZI7/ZG7</f>
        <v>0</v>
      </c>
      <c r="ZK7" s="593">
        <f>'Proy 2022 vs 2019 sem'!DX6*ZN$4</f>
        <v>8838.7739999999994</v>
      </c>
      <c r="ZL7" s="593">
        <f>'Proy 2022 vs 2019 sem'!DY6*ZN$4</f>
        <v>7866.5088599999999</v>
      </c>
      <c r="ZM7" s="734"/>
      <c r="ZN7" s="698">
        <f>ZM7/ZK7</f>
        <v>0</v>
      </c>
      <c r="ZO7" s="593">
        <f>'Proy 2022 vs 2019 sem'!DX6*ZR$4</f>
        <v>10311.903</v>
      </c>
      <c r="ZP7" s="593">
        <f>'Proy 2022 vs 2019 sem'!DY6*ZR$4</f>
        <v>9177.5936700000002</v>
      </c>
      <c r="ZQ7" s="734"/>
      <c r="ZR7" s="698">
        <f>ZQ7/ZO7</f>
        <v>0</v>
      </c>
      <c r="ZS7" s="593">
        <f>'Proy 2022 vs 2019 sem'!DX6*ZV$4</f>
        <v>11785.031999999999</v>
      </c>
      <c r="ZT7" s="593">
        <f>'Proy 2022 vs 2019 sem'!DY6*ZV$4</f>
        <v>10488.67848</v>
      </c>
      <c r="ZU7" s="734"/>
      <c r="ZV7" s="698">
        <f>ZU7/ZS7</f>
        <v>0</v>
      </c>
      <c r="ZW7" s="593">
        <f>'Proy 2022 vs 2019 sem'!DX6*ZZ$4</f>
        <v>16204.419</v>
      </c>
      <c r="ZX7" s="593">
        <f>'Proy 2022 vs 2019 sem'!DY6*ZZ$4</f>
        <v>14421.93291</v>
      </c>
      <c r="ZY7" s="734"/>
      <c r="ZZ7" s="698">
        <f>ZY7/ZW7</f>
        <v>0</v>
      </c>
      <c r="AAA7" s="610">
        <f>YY7+ZC7+ZG7+ZK7+ZO7+ZS7+ZW7</f>
        <v>73656.45</v>
      </c>
      <c r="AAB7" s="593">
        <f>YZ7+ZD7+ZH7+ZL7+ZP7+ZT7+ZX7</f>
        <v>65554.2405</v>
      </c>
      <c r="AAC7" s="729">
        <f>ZA7+ZE7+ZI7+ZM7+ZQ7+ZU7+ZY7</f>
        <v>0</v>
      </c>
      <c r="AAD7" s="709">
        <f>AAC7/AAA7</f>
        <v>0</v>
      </c>
      <c r="AAE7" s="593">
        <f>'Proy 2022 vs 2019 sem'!EC6*AAH$4</f>
        <v>9951.0947999999989</v>
      </c>
      <c r="AAF7" s="593">
        <f>'Proy 2022 vs 2019 sem'!ED6*AAH$4</f>
        <v>8657.4524759999986</v>
      </c>
      <c r="AAG7" s="697"/>
      <c r="AAH7" s="698">
        <f>AAG7/AAE7</f>
        <v>0</v>
      </c>
      <c r="AAI7" s="593">
        <f>'Proy 2022 vs 2019 sem'!EC6*AAL$4</f>
        <v>9951.0947999999989</v>
      </c>
      <c r="AAJ7" s="593">
        <f>'Proy 2022 vs 2019 sem'!ED6*AAL$4</f>
        <v>8657.4524759999986</v>
      </c>
      <c r="AAK7" s="697"/>
      <c r="AAL7" s="698">
        <f>AAK7/AAI7</f>
        <v>0</v>
      </c>
      <c r="AAM7" s="593">
        <f>'Proy 2022 vs 2019 sem'!EC6*AAP$4</f>
        <v>9951.0947999999989</v>
      </c>
      <c r="AAN7" s="593">
        <f>'Proy 2022 vs 2019 sem'!ED6*AAP$4</f>
        <v>8657.4524759999986</v>
      </c>
      <c r="AAO7" s="697"/>
      <c r="AAP7" s="698">
        <f>AAO7/AAM7</f>
        <v>0</v>
      </c>
      <c r="AAQ7" s="593">
        <f>'Proy 2022 vs 2019 sem'!EC6*AAT$4</f>
        <v>9951.0947999999989</v>
      </c>
      <c r="AAR7" s="593">
        <f>'Proy 2022 vs 2019 sem'!ED6*AAT$4</f>
        <v>8657.4524759999986</v>
      </c>
      <c r="AAS7" s="697"/>
      <c r="AAT7" s="698">
        <f>AAS7/AAQ7</f>
        <v>0</v>
      </c>
      <c r="AAU7" s="593">
        <f>'Proy 2022 vs 2019 sem'!EC6*AAX$4</f>
        <v>11609.6106</v>
      </c>
      <c r="AAV7" s="593">
        <f>'Proy 2022 vs 2019 sem'!ED6*AAX$4</f>
        <v>10100.361222</v>
      </c>
      <c r="AAW7" s="697"/>
      <c r="AAX7" s="698">
        <f>AAW7/AAU7</f>
        <v>0</v>
      </c>
      <c r="AAY7" s="593">
        <f>'Proy 2022 vs 2019 sem'!EC6*ABB$4</f>
        <v>13268.126399999999</v>
      </c>
      <c r="AAZ7" s="593">
        <f>'Proy 2022 vs 2019 sem'!ED6*ABB$4</f>
        <v>11543.269967999999</v>
      </c>
      <c r="ABA7" s="697"/>
      <c r="ABB7" s="698">
        <f>ABA7/AAY7</f>
        <v>0</v>
      </c>
      <c r="ABC7" s="593">
        <f>'Proy 2022 vs 2019 sem'!EC6*ABF$4</f>
        <v>18243.6738</v>
      </c>
      <c r="ABD7" s="593">
        <f>'Proy 2022 vs 2019 sem'!ED6*ABF$4</f>
        <v>15871.996205999998</v>
      </c>
      <c r="ABE7" s="697"/>
      <c r="ABF7" s="698">
        <f>ABE7/ABC7</f>
        <v>0</v>
      </c>
      <c r="ABG7" s="610">
        <f>AAE7+AAI7+AAM7+AAQ7+AAU7+AAY7+ABC7</f>
        <v>82925.789999999994</v>
      </c>
      <c r="ABH7" s="593">
        <f>AAF7+AAJ7+AAN7+AAR7+AAV7+AAZ7+ABD7</f>
        <v>72145.437299999991</v>
      </c>
      <c r="ABI7" s="729">
        <f>AAG7+AAK7+AAO7+AAS7+AAW7+ABA7+ABE7</f>
        <v>0</v>
      </c>
      <c r="ABJ7" s="709">
        <f>ABI7/ABG7</f>
        <v>0</v>
      </c>
      <c r="ABK7" s="593">
        <f>'Proy 2022 vs 2019 sem'!EH6*ABN$4</f>
        <v>12412.967999999999</v>
      </c>
      <c r="ABL7" s="593">
        <f>'Proy 2022 vs 2019 sem'!EI6*ABN$4</f>
        <v>11047.541519999999</v>
      </c>
      <c r="ABM7" s="697"/>
      <c r="ABN7" s="698">
        <f>ABM7/ABK7</f>
        <v>0</v>
      </c>
      <c r="ABO7" s="593">
        <f>'Proy 2022 vs 2019 sem'!EH6*ABR$4</f>
        <v>12412.967999999999</v>
      </c>
      <c r="ABP7" s="593">
        <f>'Proy 2022 vs 2019 sem'!EI6*ABR$4</f>
        <v>11047.541519999999</v>
      </c>
      <c r="ABQ7" s="697"/>
      <c r="ABR7" s="698">
        <f>ABQ7/ABO7</f>
        <v>0</v>
      </c>
      <c r="ABS7" s="593">
        <f>'Proy 2022 vs 2019 sem'!EH6*ABV$4</f>
        <v>12412.967999999999</v>
      </c>
      <c r="ABT7" s="593">
        <f>'Proy 2022 vs 2019 sem'!EI6*ABV$4</f>
        <v>11047.541519999999</v>
      </c>
      <c r="ABU7" s="697"/>
      <c r="ABV7" s="698">
        <f>ABU7/ABS7</f>
        <v>0</v>
      </c>
      <c r="ABW7" s="593">
        <f>'Proy 2022 vs 2019 sem'!EH6*ABZ$4</f>
        <v>12412.967999999999</v>
      </c>
      <c r="ABX7" s="593">
        <f>'Proy 2022 vs 2019 sem'!EI6*ABZ$4</f>
        <v>11047.541519999999</v>
      </c>
      <c r="ABY7" s="697"/>
      <c r="ABZ7" s="698">
        <f>ABY7/ABW7</f>
        <v>0</v>
      </c>
      <c r="ACA7" s="593">
        <f>'Proy 2022 vs 2019 sem'!EH6*ACD$4</f>
        <v>14481.796</v>
      </c>
      <c r="ACB7" s="593">
        <f>'Proy 2022 vs 2019 sem'!EI6*ACD$4</f>
        <v>12888.79844</v>
      </c>
      <c r="ACC7" s="697"/>
      <c r="ACD7" s="698">
        <f>ACC7/ACA7</f>
        <v>0</v>
      </c>
      <c r="ACE7" s="593">
        <f>'Proy 2022 vs 2019 sem'!EH6*ACH$4</f>
        <v>16550.624</v>
      </c>
      <c r="ACF7" s="593">
        <f>'Proy 2022 vs 2019 sem'!EI6*ACH$4</f>
        <v>14730.055359999998</v>
      </c>
      <c r="ACG7" s="697"/>
      <c r="ACH7" s="698">
        <f>ACG7/ACE7</f>
        <v>0</v>
      </c>
      <c r="ACI7" s="593">
        <f>'Proy 2022 vs 2019 sem'!EH6*ACL$4</f>
        <v>22757.108</v>
      </c>
      <c r="ACJ7" s="593">
        <f>'Proy 2022 vs 2019 sem'!EI6*ACL$4</f>
        <v>20253.826119999998</v>
      </c>
      <c r="ACK7" s="697"/>
      <c r="ACL7" s="698">
        <f>ACK7/ACI7</f>
        <v>0</v>
      </c>
      <c r="ACM7" s="610">
        <f>ABK7+ABO7+ABS7+ABW7+ACA7+ACE7+ACI7</f>
        <v>103441.4</v>
      </c>
      <c r="ACN7" s="593">
        <f>ABL7+ABP7+ABT7+ABX7+ACB7+ACF7+ACJ7</f>
        <v>92062.84599999999</v>
      </c>
      <c r="ACO7" s="729">
        <f>ABM7+ABQ7+ABU7+ABY7+ACC7+ACG7+ACK7</f>
        <v>0</v>
      </c>
      <c r="ACP7" s="709">
        <f>ACO7/ACM7</f>
        <v>0</v>
      </c>
      <c r="ACQ7" s="593">
        <f>'Proy 2022 vs 2019 sem'!EM6*ACT$4</f>
        <v>12096.6792</v>
      </c>
      <c r="ACR7" s="593">
        <f>'Proy 2022 vs 2019 sem'!EN6*ACT$4</f>
        <v>11249.911656000002</v>
      </c>
      <c r="ACS7" s="697"/>
      <c r="ACT7" s="698">
        <f>ACS7/ACQ7</f>
        <v>0</v>
      </c>
      <c r="ACU7" s="593">
        <f>'Proy 2022 vs 2019 sem'!EM6*ACX$4</f>
        <v>12096.6792</v>
      </c>
      <c r="ACV7" s="593">
        <f>'Proy 2022 vs 2019 sem'!EN6*ACX$4</f>
        <v>11249.911656000002</v>
      </c>
      <c r="ACW7" s="697"/>
      <c r="ACX7" s="698">
        <f>ACW7/ACU7</f>
        <v>0</v>
      </c>
      <c r="ACY7" s="593">
        <f>'Proy 2022 vs 2019 sem'!EM6*ADB$4</f>
        <v>12096.6792</v>
      </c>
      <c r="ACZ7" s="593">
        <f>'Proy 2022 vs 2019 sem'!EN6*ADB$4</f>
        <v>11249.911656000002</v>
      </c>
      <c r="ADA7" s="697"/>
      <c r="ADB7" s="698">
        <f>ADA7/ACY7</f>
        <v>0</v>
      </c>
      <c r="ADC7" s="593">
        <f>'Proy 2022 vs 2019 sem'!EM6*ADF$4</f>
        <v>12096.6792</v>
      </c>
      <c r="ADD7" s="593">
        <f>'Proy 2022 vs 2019 sem'!EN6*ADF$4</f>
        <v>11249.911656000002</v>
      </c>
      <c r="ADE7" s="697"/>
      <c r="ADF7" s="698">
        <f>ADE7/ADC7</f>
        <v>0</v>
      </c>
      <c r="ADG7" s="593">
        <f>'Proy 2022 vs 2019 sem'!EM6*ADJ$4</f>
        <v>14112.792400000002</v>
      </c>
      <c r="ADH7" s="593">
        <f>'Proy 2022 vs 2019 sem'!EN6*ADJ$4</f>
        <v>13124.896932000003</v>
      </c>
      <c r="ADI7" s="697"/>
      <c r="ADJ7" s="698">
        <f>ADI7/ADG7</f>
        <v>0</v>
      </c>
      <c r="ADK7" s="593">
        <f>'Proy 2022 vs 2019 sem'!EM6*ADN$4</f>
        <v>16128.9056</v>
      </c>
      <c r="ADL7" s="593">
        <f>'Proy 2022 vs 2019 sem'!EN6*ADN$4</f>
        <v>14999.882208000003</v>
      </c>
      <c r="ADM7" s="697"/>
      <c r="ADN7" s="698">
        <f>ADM7/ADK7</f>
        <v>0</v>
      </c>
      <c r="ADO7" s="593">
        <f>'Proy 2022 vs 2019 sem'!EM6*ADR$4</f>
        <v>22177.245200000001</v>
      </c>
      <c r="ADP7" s="593">
        <f>'Proy 2022 vs 2019 sem'!EN6*ADR$4</f>
        <v>20624.838036000005</v>
      </c>
      <c r="ADQ7" s="697"/>
      <c r="ADR7" s="698">
        <f>ADQ7/ADO7</f>
        <v>0</v>
      </c>
      <c r="ADS7" s="610">
        <f>ACQ7+ACU7+ACY7+ADC7+ADG7+ADK7+ADO7</f>
        <v>100805.66</v>
      </c>
      <c r="ADT7" s="593">
        <f>ACR7+ACV7+ACZ7+ADD7+ADH7+ADL7+ADP7</f>
        <v>93749.263800000015</v>
      </c>
      <c r="ADU7" s="708">
        <f>ACS7+ACW7+ADA7+ADE7+ADI7+ADM7+ADQ7</f>
        <v>0</v>
      </c>
      <c r="ADV7" s="709">
        <f>ADU7/ADS7</f>
        <v>0</v>
      </c>
      <c r="ADW7" s="593">
        <f>'Proy 2022 vs 2019 sem'!ER6*ADZ$4</f>
        <v>10380.294</v>
      </c>
      <c r="ADX7" s="593">
        <f>'Proy 2022 vs 2019 sem'!ES6*ADZ$4</f>
        <v>9653.6734199999992</v>
      </c>
      <c r="ADY7" s="697"/>
      <c r="ADZ7" s="698">
        <f>ADY7/ADW7</f>
        <v>0</v>
      </c>
      <c r="AEA7" s="593">
        <f>'Proy 2022 vs 2019 sem'!ER6*AED$4</f>
        <v>10380.294</v>
      </c>
      <c r="AEB7" s="593">
        <f>'Proy 2022 vs 2019 sem'!ES6*AED$4</f>
        <v>9653.6734199999992</v>
      </c>
      <c r="AEC7" s="697"/>
      <c r="AED7" s="698">
        <f>AEC7/AEA7</f>
        <v>0</v>
      </c>
      <c r="AEE7" s="593">
        <f>'Proy 2022 vs 2019 sem'!ER6*AEH$4</f>
        <v>10380.294</v>
      </c>
      <c r="AEF7" s="593">
        <f>'Proy 2022 vs 2019 sem'!ES6*AEH$4</f>
        <v>9653.6734199999992</v>
      </c>
      <c r="AEG7" s="697"/>
      <c r="AEH7" s="698">
        <f>AEG7/AEE7</f>
        <v>0</v>
      </c>
      <c r="AEI7" s="593">
        <f>'Proy 2022 vs 2019 sem'!ER6*AEL$4</f>
        <v>10380.294</v>
      </c>
      <c r="AEJ7" s="593">
        <f>'Proy 2022 vs 2019 sem'!ES6*AEL$4</f>
        <v>9653.6734199999992</v>
      </c>
      <c r="AEK7" s="697"/>
      <c r="AEL7" s="698">
        <f>AEK7/AEI7</f>
        <v>0</v>
      </c>
      <c r="AEM7" s="593">
        <f>'Proy 2022 vs 2019 sem'!ER6*AEP$4</f>
        <v>12110.343000000001</v>
      </c>
      <c r="AEN7" s="593">
        <f>'Proy 2022 vs 2019 sem'!ES6*AEP$4</f>
        <v>11262.618990000001</v>
      </c>
      <c r="AEO7" s="697"/>
      <c r="AEP7" s="698">
        <f>AEO7/AEM7</f>
        <v>0</v>
      </c>
      <c r="AEQ7" s="593">
        <f>'Proy 2022 vs 2019 sem'!ER6*AET$4</f>
        <v>13840.392</v>
      </c>
      <c r="AER7" s="593">
        <f>'Proy 2022 vs 2019 sem'!ES6*AET$4</f>
        <v>12871.564560000001</v>
      </c>
      <c r="AES7" s="697"/>
      <c r="AET7" s="698">
        <f>AES7/AEQ7</f>
        <v>0</v>
      </c>
      <c r="AEU7" s="593">
        <f>'Proy 2022 vs 2019 sem'!ER6*AEX$4</f>
        <v>19030.539000000001</v>
      </c>
      <c r="AEV7" s="593">
        <f>'Proy 2022 vs 2019 sem'!ES6*AEX$4</f>
        <v>17698.401269999998</v>
      </c>
      <c r="AEW7" s="697"/>
      <c r="AEX7" s="698">
        <f>AEW7/AEU7</f>
        <v>0</v>
      </c>
      <c r="AEY7" s="610">
        <f>ADW7+AEA7+AEE7+AEI7+AEM7+AEQ7+AEU7</f>
        <v>86502.45</v>
      </c>
      <c r="AEZ7" s="593">
        <f>ADX7+AEB7+AEF7+AEJ7+AEN7+AER7+AEV7</f>
        <v>80447.2785</v>
      </c>
      <c r="AFA7" s="708">
        <f>ADY7+AEC7+AEG7+AEK7+AEO7+AES7+AEW7</f>
        <v>0</v>
      </c>
      <c r="AFB7" s="709">
        <f>AFA7/AEY7</f>
        <v>0</v>
      </c>
      <c r="AFC7" s="593">
        <f>'Proy 2022 vs 2019 sem'!FA6*AFF$4</f>
        <v>9729.9815999999992</v>
      </c>
      <c r="AFD7" s="593">
        <f>'Proy 2022 vs 2019 sem'!FB6*AFF$4</f>
        <v>8562.3838079999987</v>
      </c>
      <c r="AFE7" s="734"/>
      <c r="AFF7" s="698">
        <f>AFE7/AFC7</f>
        <v>0</v>
      </c>
      <c r="AFG7" s="593">
        <f>'Proy 2022 vs 2019 sem'!FA6*AFJ$4</f>
        <v>9729.9815999999992</v>
      </c>
      <c r="AFH7" s="593">
        <f>'Proy 2022 vs 2019 sem'!FB6*AFJ$4</f>
        <v>8562.3838079999987</v>
      </c>
      <c r="AFI7" s="697"/>
      <c r="AFJ7" s="698">
        <f>AFI7/AFG7</f>
        <v>0</v>
      </c>
      <c r="AFK7" s="593">
        <f>'Proy 2022 vs 2019 sem'!FA6*AFN$4</f>
        <v>9729.9815999999992</v>
      </c>
      <c r="AFL7" s="593">
        <f>'Proy 2022 vs 2019 sem'!FB6*AFN$4</f>
        <v>8562.3838079999987</v>
      </c>
      <c r="AFM7" s="697"/>
      <c r="AFN7" s="698">
        <f>AFM7/AFK7</f>
        <v>0</v>
      </c>
      <c r="AFO7" s="593">
        <f>'Proy 2022 vs 2019 sem'!FA6*AFR$4</f>
        <v>9729.9815999999992</v>
      </c>
      <c r="AFP7" s="593">
        <f>'Proy 2022 vs 2019 sem'!FB6*AFR$4</f>
        <v>8562.3838079999987</v>
      </c>
      <c r="AFQ7" s="697"/>
      <c r="AFR7" s="698">
        <f>AFQ7/AFO7</f>
        <v>0</v>
      </c>
      <c r="AFS7" s="593">
        <f>'Proy 2022 vs 2019 sem'!FA6*AFV$4</f>
        <v>11351.645200000001</v>
      </c>
      <c r="AFT7" s="593">
        <f>'Proy 2022 vs 2019 sem'!FB6*AFV$4</f>
        <v>9989.4477760000009</v>
      </c>
      <c r="AFU7" s="697"/>
      <c r="AFV7" s="698">
        <f>AFU7/AFS7</f>
        <v>0</v>
      </c>
      <c r="AFW7" s="593">
        <f>'Proy 2022 vs 2019 sem'!FA6*AFZ$4</f>
        <v>12973.308799999999</v>
      </c>
      <c r="AFX7" s="593">
        <f>'Proy 2022 vs 2019 sem'!FB6*AFZ$4</f>
        <v>11416.511743999999</v>
      </c>
      <c r="AFY7" s="697"/>
      <c r="AFZ7" s="698">
        <f>AFY7/AFW7</f>
        <v>0</v>
      </c>
      <c r="AGA7" s="593">
        <f>'Proy 2022 vs 2019 sem'!FA6*AGD$4</f>
        <v>17838.299599999998</v>
      </c>
      <c r="AGB7" s="593">
        <f>'Proy 2022 vs 2019 sem'!FB6*AGD$4</f>
        <v>15697.703647999999</v>
      </c>
      <c r="AGC7" s="697"/>
      <c r="AGD7" s="698">
        <f>AGC7/AGA7</f>
        <v>0</v>
      </c>
      <c r="AGE7" s="610">
        <f>AFC7+AFG7+AFK7+AFO7+AFS7+AFW7+AGA7</f>
        <v>81083.179999999993</v>
      </c>
      <c r="AGF7" s="593">
        <f>AFD7+AFH7+AFL7+AFP7+AFT7+AFX7+AGB7</f>
        <v>71353.198399999994</v>
      </c>
      <c r="AGG7" s="759">
        <f>AFE7+AFI7+AFM7+AFQ7+AFU7+AFY7+AGC7</f>
        <v>0</v>
      </c>
      <c r="AGH7" s="760">
        <f>AGG7/AGE7</f>
        <v>0</v>
      </c>
      <c r="AGI7" s="593">
        <f>'Proy 2022 vs 2019 sem'!FF6*AGL$4</f>
        <v>10059.714</v>
      </c>
      <c r="AGJ7" s="593">
        <f>'Proy 2022 vs 2019 sem'!FG6*AGL$4</f>
        <v>8852.5483199999999</v>
      </c>
      <c r="AGK7" s="697"/>
      <c r="AGL7" s="698">
        <f>AGK7/AGI7</f>
        <v>0</v>
      </c>
      <c r="AGM7" s="593">
        <f>'Proy 2022 vs 2019 sem'!FF6*AGP$4</f>
        <v>10059.714</v>
      </c>
      <c r="AGN7" s="593">
        <f>'Proy 2022 vs 2019 sem'!FG6*AGP$4</f>
        <v>8852.5483199999999</v>
      </c>
      <c r="AGO7" s="697"/>
      <c r="AGP7" s="698">
        <f>AGO7/AGM7</f>
        <v>0</v>
      </c>
      <c r="AGQ7" s="593">
        <f>'Proy 2022 vs 2019 sem'!FF6*AGT$4</f>
        <v>10059.714</v>
      </c>
      <c r="AGR7" s="593">
        <f>'Proy 2022 vs 2019 sem'!FG6*AGT$4</f>
        <v>8852.5483199999999</v>
      </c>
      <c r="AGS7" s="697"/>
      <c r="AGT7" s="698">
        <f>AGS7/AGQ7</f>
        <v>0</v>
      </c>
      <c r="AGU7" s="593">
        <f>'Proy 2022 vs 2019 sem'!FF6*AGX$4</f>
        <v>10059.714</v>
      </c>
      <c r="AGV7" s="593">
        <f>'Proy 2022 vs 2019 sem'!FG6*AGX$4</f>
        <v>8852.5483199999999</v>
      </c>
      <c r="AGW7" s="697"/>
      <c r="AGX7" s="698">
        <f>AGW7/AGU7</f>
        <v>0</v>
      </c>
      <c r="AGY7" s="593">
        <f>'Proy 2022 vs 2019 sem'!FF6*AHB$4</f>
        <v>11736.333000000001</v>
      </c>
      <c r="AGZ7" s="593">
        <f>'Proy 2022 vs 2019 sem'!FG6*AHB$4</f>
        <v>10327.973040000001</v>
      </c>
      <c r="AHA7" s="697"/>
      <c r="AHB7" s="698">
        <f>AHA7/AGY7</f>
        <v>0</v>
      </c>
      <c r="AHC7" s="593">
        <f>'Proy 2022 vs 2019 sem'!FF6*AHF$4</f>
        <v>13412.951999999999</v>
      </c>
      <c r="AHD7" s="593">
        <f>'Proy 2022 vs 2019 sem'!FG6*AHF$4</f>
        <v>11803.397760000002</v>
      </c>
      <c r="AHE7" s="697"/>
      <c r="AHF7" s="698">
        <f>AHE7/AHC7</f>
        <v>0</v>
      </c>
      <c r="AHG7" s="593">
        <f>'Proy 2022 vs 2019 sem'!FF6*AHJ$4</f>
        <v>18442.809000000001</v>
      </c>
      <c r="AHH7" s="593">
        <f>'Proy 2022 vs 2019 sem'!FG6*AHJ$4</f>
        <v>16229.671920000001</v>
      </c>
      <c r="AHI7" s="697"/>
      <c r="AHJ7" s="698">
        <f>AHI7/AHG7</f>
        <v>0</v>
      </c>
      <c r="AHK7" s="610">
        <f>AGI7+AGM7+AGQ7+AGU7+AGY7+AHC7+AHG7</f>
        <v>83830.95</v>
      </c>
      <c r="AHL7" s="593">
        <f>AGJ7+AGN7+AGR7+AGV7+AGZ7+AHD7+AHH7</f>
        <v>73771.236000000004</v>
      </c>
      <c r="AHM7" s="759">
        <f>AGK7+AGO7+AGS7+AGW7+AHA7+AHE7+AHI7</f>
        <v>0</v>
      </c>
      <c r="AHN7" s="760">
        <f>AHM7/AHK7</f>
        <v>0</v>
      </c>
      <c r="AHO7" s="593">
        <f>'Proy 2022 vs 2019 sem'!FK6*AHR$4</f>
        <v>9745.5156000000006</v>
      </c>
      <c r="AHP7" s="593">
        <f>'Proy 2022 vs 2019 sem'!FL6*AHR$4</f>
        <v>8673.5088840000008</v>
      </c>
      <c r="AHQ7" s="697"/>
      <c r="AHR7" s="698">
        <f>AHQ7/AHO7</f>
        <v>0</v>
      </c>
      <c r="AHS7" s="593">
        <f>'Proy 2022 vs 2019 sem'!FK6*AHV$4</f>
        <v>9745.5156000000006</v>
      </c>
      <c r="AHT7" s="593">
        <f>'Proy 2022 vs 2019 sem'!FL6*AHV$4</f>
        <v>8673.5088840000008</v>
      </c>
      <c r="AHU7" s="697"/>
      <c r="AHV7" s="698">
        <f>AHU7/AHS7</f>
        <v>0</v>
      </c>
      <c r="AHW7" s="593">
        <f>'Proy 2022 vs 2019 sem'!FK6*AHZ$4</f>
        <v>9745.5156000000006</v>
      </c>
      <c r="AHX7" s="593">
        <f>'Proy 2022 vs 2019 sem'!FL6*AHZ$4</f>
        <v>8673.5088840000008</v>
      </c>
      <c r="AHY7" s="697"/>
      <c r="AHZ7" s="698">
        <f>AHY7/AHW7</f>
        <v>0</v>
      </c>
      <c r="AIA7" s="593">
        <f>'Proy 2022 vs 2019 sem'!FK6*AID$4</f>
        <v>9745.5156000000006</v>
      </c>
      <c r="AIB7" s="593">
        <f>'Proy 2022 vs 2019 sem'!FL6*AID$4</f>
        <v>8673.5088840000008</v>
      </c>
      <c r="AIC7" s="697"/>
      <c r="AID7" s="698">
        <f>AIC7/AIA7</f>
        <v>0</v>
      </c>
      <c r="AIE7" s="593">
        <f>'Proy 2022 vs 2019 sem'!FK6*AIH$4</f>
        <v>11369.768200000002</v>
      </c>
      <c r="AIF7" s="593">
        <f>'Proy 2022 vs 2019 sem'!FL6*AIH$4</f>
        <v>10119.093698000002</v>
      </c>
      <c r="AIG7" s="697"/>
      <c r="AIH7" s="698">
        <f>AIG7/AIE7</f>
        <v>0</v>
      </c>
      <c r="AII7" s="593">
        <f>'Proy 2022 vs 2019 sem'!FK6*AIL$4</f>
        <v>12994.0208</v>
      </c>
      <c r="AIJ7" s="593">
        <f>'Proy 2022 vs 2019 sem'!FL6*AIL$4</f>
        <v>11564.678512000002</v>
      </c>
      <c r="AIK7" s="697"/>
      <c r="AIL7" s="698">
        <f>AIK7/AII7</f>
        <v>0</v>
      </c>
      <c r="AIM7" s="593">
        <f>'Proy 2022 vs 2019 sem'!FK6*AIP$4</f>
        <v>17866.778600000001</v>
      </c>
      <c r="AIN7" s="593">
        <f>'Proy 2022 vs 2019 sem'!FL6*AIP$4</f>
        <v>15901.432954000002</v>
      </c>
      <c r="AIO7" s="697"/>
      <c r="AIP7" s="698">
        <f>AIO7/AIM7</f>
        <v>0</v>
      </c>
      <c r="AIQ7" s="610">
        <f>AHO7+AHS7+AHW7+AIA7+AIE7+AII7+AIM7</f>
        <v>81212.63</v>
      </c>
      <c r="AIR7" s="593">
        <f>AHP7+AHT7+AHX7+AIB7+AIF7+AIJ7+AIN7</f>
        <v>72279.240700000009</v>
      </c>
      <c r="AIS7" s="759">
        <f>AHQ7+AHU7+AHY7+AIC7+AIG7+AIK7+AIO7</f>
        <v>0</v>
      </c>
      <c r="AIT7" s="760">
        <f>AIS7/AIQ7</f>
        <v>0</v>
      </c>
      <c r="AIU7" s="593">
        <f>'Proy 2022 vs 2019 sem'!FP6*AIX$4</f>
        <v>9040.4567999999999</v>
      </c>
      <c r="AIV7" s="593">
        <f>'Proy 2022 vs 2019 sem'!FQ6*AIX$4</f>
        <v>8317.2202560000005</v>
      </c>
      <c r="AIW7" s="697"/>
      <c r="AIX7" s="698">
        <f>AIW7/AIU7</f>
        <v>0</v>
      </c>
      <c r="AIY7" s="593">
        <f>'Proy 2022 vs 2019 sem'!FP6*AJB$4</f>
        <v>9040.4567999999999</v>
      </c>
      <c r="AIZ7" s="593">
        <f>'Proy 2022 vs 2019 sem'!FQ6*AJB$4</f>
        <v>8317.2202560000005</v>
      </c>
      <c r="AJA7" s="697"/>
      <c r="AJB7" s="698">
        <f>AJA7/AIY7</f>
        <v>0</v>
      </c>
      <c r="AJC7" s="593">
        <f>'Proy 2022 vs 2019 sem'!FP6*AJF$4</f>
        <v>9040.4567999999999</v>
      </c>
      <c r="AJD7" s="593">
        <f>'Proy 2022 vs 2019 sem'!FQ6*AJF$4</f>
        <v>8317.2202560000005</v>
      </c>
      <c r="AJE7" s="697"/>
      <c r="AJF7" s="698">
        <f>AJE7/AJC7</f>
        <v>0</v>
      </c>
      <c r="AJG7" s="593">
        <f>'Proy 2022 vs 2019 sem'!FP6*AJJ$4</f>
        <v>9040.4567999999999</v>
      </c>
      <c r="AJH7" s="593">
        <f>'Proy 2022 vs 2019 sem'!FQ6*AJJ$4</f>
        <v>8317.2202560000005</v>
      </c>
      <c r="AJI7" s="697"/>
      <c r="AJJ7" s="698">
        <f>AJI7/AJG7</f>
        <v>0</v>
      </c>
      <c r="AJK7" s="593">
        <f>'Proy 2022 vs 2019 sem'!FP6*AJN$4</f>
        <v>10547.199600000002</v>
      </c>
      <c r="AJL7" s="593">
        <f>'Proy 2022 vs 2019 sem'!FQ6*AJN$4</f>
        <v>9703.423632</v>
      </c>
      <c r="AJM7" s="697"/>
      <c r="AJN7" s="698">
        <f>AJM7/AJK7</f>
        <v>0</v>
      </c>
      <c r="AJO7" s="593">
        <f>'Proy 2022 vs 2019 sem'!FP6*AJR$4</f>
        <v>12053.9424</v>
      </c>
      <c r="AJP7" s="593">
        <f>'Proy 2022 vs 2019 sem'!FQ6*AJR$4</f>
        <v>11089.627007999999</v>
      </c>
      <c r="AJQ7" s="697"/>
      <c r="AJR7" s="698">
        <f>AJQ7/AJO7</f>
        <v>0</v>
      </c>
      <c r="AJS7" s="593">
        <f>'Proy 2022 vs 2019 sem'!FP6*AJV$4</f>
        <v>16574.1708</v>
      </c>
      <c r="AJT7" s="593">
        <f>'Proy 2022 vs 2019 sem'!FQ6*AJV$4</f>
        <v>15248.237136</v>
      </c>
      <c r="AJU7" s="697"/>
      <c r="AJV7" s="698">
        <f>AJU7/AJS7</f>
        <v>0</v>
      </c>
      <c r="AJW7" s="610">
        <f>AIU7+AIY7+AJC7+AJG7+AJK7+AJO7+AJS7</f>
        <v>75337.14</v>
      </c>
      <c r="AJX7" s="593">
        <f>AIV7+AIZ7+AJD7+AJH7+AJL7+AJP7+AJT7</f>
        <v>69310.168799999999</v>
      </c>
      <c r="AJY7" s="769">
        <f>AIW7+AJA7+AJE7+AJI7+AJM7+AJQ7+AJU7</f>
        <v>0</v>
      </c>
      <c r="AJZ7" s="760">
        <f>AJY7/AJW7</f>
        <v>0</v>
      </c>
      <c r="AKA7" s="593">
        <f>'Proy 2022 vs 2019 sem'!FY6</f>
        <v>85050.38</v>
      </c>
      <c r="AKB7" s="593">
        <f>'Proy 2022 vs 2019 sem'!FZ6</f>
        <v>80797.861000000004</v>
      </c>
      <c r="AKC7" s="734"/>
      <c r="AKD7" s="698">
        <f>AKC7/AKA7</f>
        <v>0</v>
      </c>
      <c r="AKE7" s="593">
        <v>10206.045599999999</v>
      </c>
      <c r="AKF7" s="593">
        <v>10410.166512</v>
      </c>
      <c r="AKG7" s="697"/>
      <c r="AKH7" s="698">
        <f>AKG7/AKE7</f>
        <v>0</v>
      </c>
      <c r="AKI7" s="593">
        <v>10206.045599999999</v>
      </c>
      <c r="AKJ7" s="593">
        <v>10410.166512</v>
      </c>
      <c r="AKK7" s="697"/>
      <c r="AKL7" s="698">
        <f>AKK7/AKI7</f>
        <v>0</v>
      </c>
      <c r="AKM7" s="593">
        <v>10206.045599999999</v>
      </c>
      <c r="AKN7" s="593">
        <v>10410.166512</v>
      </c>
      <c r="AKO7" s="697"/>
      <c r="AKP7" s="698">
        <f>AKO7/AKM7</f>
        <v>0</v>
      </c>
      <c r="AKQ7" s="593">
        <v>11907.053200000002</v>
      </c>
      <c r="AKR7" s="593">
        <v>12145.194264000002</v>
      </c>
      <c r="AKS7" s="697"/>
      <c r="AKT7" s="698">
        <f>AKS7/AKQ7</f>
        <v>0</v>
      </c>
      <c r="AKU7" s="593">
        <v>13608.060800000001</v>
      </c>
      <c r="AKV7" s="593">
        <v>13880.222016</v>
      </c>
      <c r="AKW7" s="697"/>
      <c r="AKX7" s="698">
        <f>AKW7/AKU7</f>
        <v>0</v>
      </c>
      <c r="AKY7" s="593">
        <v>18711.083600000002</v>
      </c>
      <c r="AKZ7" s="593">
        <v>19085.305272000001</v>
      </c>
      <c r="ALA7" s="697"/>
      <c r="ALB7" s="698">
        <f>ALA7/AKY7</f>
        <v>0</v>
      </c>
      <c r="ALC7" s="610">
        <f>AKA7+AKE7+AKI7+AKM7+AKQ7+AKU7+AKY7</f>
        <v>159894.71440000003</v>
      </c>
      <c r="ALD7" s="593">
        <f>AKB7+AKF7+AKJ7+AKN7+AKR7+AKV7+AKZ7</f>
        <v>157139.082088</v>
      </c>
      <c r="ALE7" s="793">
        <f>AKC7+AKG7+AKK7+AKO7+AKS7+AKW7+ALA7</f>
        <v>0</v>
      </c>
      <c r="ALF7" s="784">
        <f>ALE7/ALC7</f>
        <v>0</v>
      </c>
      <c r="ALG7" s="593">
        <f>'Proy 2022 vs 2019 sem'!GD6</f>
        <v>79767.03</v>
      </c>
      <c r="ALH7" s="593">
        <f>'Proy 2022 vs 2019 sem'!GE6</f>
        <v>71790.327000000005</v>
      </c>
      <c r="ALI7" s="697"/>
      <c r="ALJ7" s="698">
        <f>ALI7/ALG7</f>
        <v>0</v>
      </c>
      <c r="ALK7" s="593">
        <v>9572.0435999999991</v>
      </c>
      <c r="ALL7" s="593">
        <v>9763.4844719999983</v>
      </c>
      <c r="ALM7" s="697"/>
      <c r="ALN7" s="698">
        <f>ALM7/ALK7</f>
        <v>0</v>
      </c>
      <c r="ALO7" s="593">
        <v>9572.0435999999991</v>
      </c>
      <c r="ALP7" s="593">
        <v>9763.4844719999983</v>
      </c>
      <c r="ALQ7" s="697"/>
      <c r="ALR7" s="698">
        <f>ALQ7/ALO7</f>
        <v>0</v>
      </c>
      <c r="ALS7" s="593">
        <v>9572.0435999999991</v>
      </c>
      <c r="ALT7" s="593">
        <v>9763.4844719999983</v>
      </c>
      <c r="ALU7" s="697"/>
      <c r="ALV7" s="698">
        <f>ALU7/ALS7</f>
        <v>0</v>
      </c>
      <c r="ALW7" s="593">
        <v>11167.3842</v>
      </c>
      <c r="ALX7" s="593">
        <v>11390.731884000001</v>
      </c>
      <c r="ALY7" s="697"/>
      <c r="ALZ7" s="698">
        <f>ALY7/ALW7</f>
        <v>0</v>
      </c>
      <c r="AMA7" s="593">
        <v>12762.7248</v>
      </c>
      <c r="AMB7" s="593">
        <v>13017.979296</v>
      </c>
      <c r="AMC7" s="697"/>
      <c r="AMD7" s="698">
        <f>AMC7/AMA7</f>
        <v>0</v>
      </c>
      <c r="AME7" s="593">
        <v>17548.746599999999</v>
      </c>
      <c r="AMF7" s="593">
        <v>17899.721532</v>
      </c>
      <c r="AMG7" s="697"/>
      <c r="AMH7" s="698">
        <f>AMG7/AME7</f>
        <v>0</v>
      </c>
      <c r="AMI7" s="610">
        <f>ALG7+ALK7+ALO7+ALS7+ALW7+AMA7+AME7</f>
        <v>149962.01640000002</v>
      </c>
      <c r="AMJ7" s="593">
        <f>ALH7+ALL7+ALP7+ALT7+ALX7+AMB7+AMF7</f>
        <v>143389.213128</v>
      </c>
      <c r="AMK7" s="793">
        <f>ALI7+ALM7+ALQ7+ALU7+ALY7+AMC7+AMG7</f>
        <v>0</v>
      </c>
      <c r="AML7" s="784">
        <f>AMK7/AMI7</f>
        <v>0</v>
      </c>
      <c r="AMM7" s="593">
        <f>'Proy 2022 vs 2019 sem'!GI6</f>
        <v>76993.95</v>
      </c>
      <c r="AMN7" s="593">
        <f>'Proy 2022 vs 2019 sem'!GJ6</f>
        <v>75454.070999999996</v>
      </c>
      <c r="AMO7" s="697"/>
      <c r="AMP7" s="698">
        <f>AMO7/AMM7</f>
        <v>0</v>
      </c>
      <c r="AMQ7" s="593">
        <v>9239.2739999999994</v>
      </c>
      <c r="AMR7" s="593">
        <v>9424.0594799999999</v>
      </c>
      <c r="AMS7" s="697"/>
      <c r="AMT7" s="698">
        <f>AMS7/AMQ7</f>
        <v>0</v>
      </c>
      <c r="AMU7" s="593">
        <v>9239.2739999999994</v>
      </c>
      <c r="AMV7" s="593">
        <v>9424.0594799999999</v>
      </c>
      <c r="AMW7" s="697"/>
      <c r="AMX7" s="698">
        <f>AMW7/AMU7</f>
        <v>0</v>
      </c>
      <c r="AMY7" s="593">
        <v>9239.2739999999994</v>
      </c>
      <c r="AMZ7" s="593">
        <v>9424.0594799999999</v>
      </c>
      <c r="ANA7" s="697"/>
      <c r="ANB7" s="698">
        <f>ANA7/AMY7</f>
        <v>0</v>
      </c>
      <c r="ANC7" s="593">
        <v>10779.153</v>
      </c>
      <c r="AND7" s="593">
        <v>10994.736060000001</v>
      </c>
      <c r="ANE7" s="697"/>
      <c r="ANF7" s="698">
        <f>ANE7/ANC7</f>
        <v>0</v>
      </c>
      <c r="ANG7" s="593">
        <v>12319.031999999999</v>
      </c>
      <c r="ANH7" s="593">
        <v>12565.41264</v>
      </c>
      <c r="ANI7" s="697"/>
      <c r="ANJ7" s="698">
        <f>ANI7/ANG7</f>
        <v>0</v>
      </c>
      <c r="ANK7" s="593">
        <v>16938.668999999998</v>
      </c>
      <c r="ANL7" s="593">
        <v>17277.44238</v>
      </c>
      <c r="ANM7" s="697"/>
      <c r="ANN7" s="698">
        <f>ANM7/ANK7</f>
        <v>0</v>
      </c>
      <c r="ANO7" s="610">
        <f>AMM7+AMQ7+AMU7+AMY7+ANC7+ANG7+ANK7</f>
        <v>144748.62600000002</v>
      </c>
      <c r="ANP7" s="593">
        <f>AMN7+AMR7+AMV7+AMZ7+AND7+ANH7+ANL7</f>
        <v>144563.84051999997</v>
      </c>
      <c r="ANQ7" s="793">
        <f>AMO7+AMS7+AMW7+ANA7+ANE7+ANI7+ANM7</f>
        <v>0</v>
      </c>
      <c r="ANR7" s="784">
        <f>ANQ7/ANO7</f>
        <v>0</v>
      </c>
      <c r="ANS7" s="593">
        <f>'Proy 2022 vs 2019 sem'!GN6*ANV$4</f>
        <v>9795.493199999999</v>
      </c>
      <c r="ANT7" s="593">
        <f>'Proy 2022 vs 2019 sem'!GO6*ANV$4</f>
        <v>9599.5833359999997</v>
      </c>
      <c r="ANU7" s="697"/>
      <c r="ANV7" s="698">
        <f>ANU7/ANS7</f>
        <v>0</v>
      </c>
      <c r="ANW7" s="593">
        <f>'Proy 2022 vs 2019 sem'!GN6*ANZ$4</f>
        <v>9795.493199999999</v>
      </c>
      <c r="ANX7" s="593">
        <f>'Proy 2022 vs 2019 sem'!GO6*ANZ$4</f>
        <v>9599.5833359999997</v>
      </c>
      <c r="ANY7" s="697"/>
      <c r="ANZ7" s="698">
        <f>ANY7/ANW7</f>
        <v>0</v>
      </c>
      <c r="AOA7" s="593">
        <f>'Proy 2022 vs 2019 sem'!GN6*AOD$4</f>
        <v>9795.493199999999</v>
      </c>
      <c r="AOB7" s="593">
        <f>'Proy 2022 vs 2019 sem'!GO6*AOD$4</f>
        <v>9599.5833359999997</v>
      </c>
      <c r="AOC7" s="697"/>
      <c r="AOD7" s="698">
        <f>AOC7/AOA7</f>
        <v>0</v>
      </c>
      <c r="AOE7" s="593">
        <f>'Proy 2022 vs 2019 sem'!GN6*AOH$4</f>
        <v>9795.493199999999</v>
      </c>
      <c r="AOF7" s="593">
        <f>'Proy 2022 vs 2019 sem'!GO6*AOH$4</f>
        <v>9599.5833359999997</v>
      </c>
      <c r="AOG7" s="697"/>
      <c r="AOH7" s="698">
        <f>AOG7/AOE7</f>
        <v>0</v>
      </c>
      <c r="AOI7" s="593">
        <f>'Proy 2022 vs 2019 sem'!GN6*AOL$4</f>
        <v>11428.075400000002</v>
      </c>
      <c r="AOJ7" s="593">
        <f>'Proy 2022 vs 2019 sem'!GO6*AOL$4</f>
        <v>11199.513892000001</v>
      </c>
      <c r="AOK7" s="697"/>
      <c r="AOL7" s="698">
        <f>AOK7/AOI7</f>
        <v>0</v>
      </c>
      <c r="AOM7" s="593">
        <f>'Proy 2022 vs 2019 sem'!GN6*AOP$4</f>
        <v>13060.6576</v>
      </c>
      <c r="AON7" s="593">
        <f>'Proy 2022 vs 2019 sem'!GO6*AOP$4</f>
        <v>12799.444448</v>
      </c>
      <c r="AOO7" s="697"/>
      <c r="AOP7" s="698">
        <f>AOO7/AOM7</f>
        <v>0</v>
      </c>
      <c r="AOQ7" s="593">
        <f>'Proy 2022 vs 2019 sem'!GN6*AOT$4</f>
        <v>17958.404200000001</v>
      </c>
      <c r="AOR7" s="593">
        <f>'Proy 2022 vs 2019 sem'!GO6*AOT$4</f>
        <v>17599.236116</v>
      </c>
      <c r="AOS7" s="697"/>
      <c r="AOT7" s="698">
        <f>AOS7/AOQ7</f>
        <v>0</v>
      </c>
      <c r="AOU7" s="610">
        <f>ANS7+ANW7+AOA7+AOE7+AOI7+AOM7+AOQ7</f>
        <v>81629.11</v>
      </c>
      <c r="AOV7" s="593">
        <f>ANT7+ANX7+AOB7+AOF7+AOJ7+AON7+AOR7</f>
        <v>79996.527800000011</v>
      </c>
      <c r="AOW7" s="783">
        <f>ANU7+ANY7+AOC7+AOG7+AOK7+AOO7+AOS7</f>
        <v>0</v>
      </c>
      <c r="AOX7" s="784">
        <f>AOW7/AOU7</f>
        <v>0</v>
      </c>
      <c r="AOY7" s="593">
        <f>'Proy 2022 vs 2019 sem'!GW6*APB$4</f>
        <v>8879.52</v>
      </c>
      <c r="AOZ7" s="593">
        <f>'Proy 2022 vs 2019 sem'!GX6*APB$4</f>
        <v>8701.9295999999995</v>
      </c>
      <c r="APA7" s="734"/>
      <c r="APB7" s="698">
        <f>APA7/AOY7</f>
        <v>0</v>
      </c>
      <c r="APC7" s="593">
        <f>'Proy 2022 vs 2019 sem'!GW6*APF$4</f>
        <v>8879.52</v>
      </c>
      <c r="APD7" s="593">
        <f>'Proy 2022 vs 2019 sem'!GX6*APF$4</f>
        <v>8701.9295999999995</v>
      </c>
      <c r="APE7" s="734"/>
      <c r="APF7" s="698">
        <f>APE7/APC7</f>
        <v>0</v>
      </c>
      <c r="APG7" s="593">
        <f>'Proy 2022 vs 2019 sem'!GW6*APJ$4</f>
        <v>8879.52</v>
      </c>
      <c r="APH7" s="593">
        <f>'Proy 2022 vs 2019 sem'!GX6*APJ$4</f>
        <v>8701.9295999999995</v>
      </c>
      <c r="API7" s="734"/>
      <c r="APJ7" s="698">
        <f>API7/APG7</f>
        <v>0</v>
      </c>
      <c r="APK7" s="593">
        <f>'Proy 2022 vs 2019 sem'!GW6*APN$4</f>
        <v>8879.52</v>
      </c>
      <c r="APL7" s="593">
        <f>'Proy 2022 vs 2019 sem'!GX6*APN$4</f>
        <v>8701.9295999999995</v>
      </c>
      <c r="APM7" s="734"/>
      <c r="APN7" s="698">
        <f>APM7/APK7</f>
        <v>0</v>
      </c>
      <c r="APO7" s="593">
        <f>'Proy 2022 vs 2019 sem'!GW6*APR$4</f>
        <v>10359.44</v>
      </c>
      <c r="APP7" s="593">
        <f>'Proy 2022 vs 2019 sem'!GX6*APR$4</f>
        <v>10152.251200000001</v>
      </c>
      <c r="APQ7" s="734"/>
      <c r="APR7" s="698">
        <f>APQ7/APO7</f>
        <v>0</v>
      </c>
      <c r="APS7" s="593">
        <f>'Proy 2022 vs 2019 sem'!GW6*APV$4</f>
        <v>11839.36</v>
      </c>
      <c r="APT7" s="593">
        <f>'Proy 2022 vs 2019 sem'!GX6*APV$4</f>
        <v>11602.5728</v>
      </c>
      <c r="APU7" s="734"/>
      <c r="APV7" s="698">
        <f>APU7/APS7</f>
        <v>0</v>
      </c>
      <c r="APW7" s="593">
        <f>'Proy 2022 vs 2019 sem'!GW6*APZ$4</f>
        <v>16279.12</v>
      </c>
      <c r="APX7" s="593">
        <f>'Proy 2022 vs 2019 sem'!GX6*APZ$4</f>
        <v>15953.5376</v>
      </c>
      <c r="APY7" s="734"/>
      <c r="APZ7" s="698">
        <f>APY7/APW7</f>
        <v>0</v>
      </c>
      <c r="AQA7" s="610">
        <f>AOY7+APC7+APG7+APK7+APO7+APS7+APW7</f>
        <v>73996</v>
      </c>
      <c r="AQB7" s="593">
        <f>AOZ7+APD7+APH7+APL7+APP7+APT7+APX7</f>
        <v>72516.08</v>
      </c>
      <c r="AQC7" s="729">
        <f>APA7+APE7+API7+APM7+APQ7+APU7+APY7</f>
        <v>0</v>
      </c>
      <c r="AQD7" s="709">
        <f>AQC7/AQA7</f>
        <v>0</v>
      </c>
      <c r="AQE7" s="593">
        <f>'Proy 2022 vs 2019 sem'!HB6*AQH$4</f>
        <v>9095.0435999999991</v>
      </c>
      <c r="AQF7" s="593">
        <f>'Proy 2022 vs 2019 sem'!HC6*AQH$4</f>
        <v>9095.0435999999991</v>
      </c>
      <c r="AQG7" s="697"/>
      <c r="AQH7" s="698">
        <f>AQG7/AQE7</f>
        <v>0</v>
      </c>
      <c r="AQI7" s="593">
        <f>'Proy 2022 vs 2019 sem'!HB6*AQL$4</f>
        <v>9095.0435999999991</v>
      </c>
      <c r="AQJ7" s="593">
        <f>'Proy 2022 vs 2019 sem'!HC6*AQL$4</f>
        <v>9095.0435999999991</v>
      </c>
      <c r="AQK7" s="697"/>
      <c r="AQL7" s="698">
        <f>AQK7/AQI7</f>
        <v>0</v>
      </c>
      <c r="AQM7" s="593">
        <f>'Proy 2022 vs 2019 sem'!HB6*AQP$4</f>
        <v>9095.0435999999991</v>
      </c>
      <c r="AQN7" s="593">
        <f>'Proy 2022 vs 2019 sem'!HC6*AQP$4</f>
        <v>9095.0435999999991</v>
      </c>
      <c r="AQO7" s="697"/>
      <c r="AQP7" s="698">
        <f>AQO7/AQM7</f>
        <v>0</v>
      </c>
      <c r="AQQ7" s="593">
        <f>'Proy 2022 vs 2019 sem'!HB6*AQT$4</f>
        <v>9095.0435999999991</v>
      </c>
      <c r="AQR7" s="593">
        <f>'Proy 2022 vs 2019 sem'!HC6*AQT$4</f>
        <v>9095.0435999999991</v>
      </c>
      <c r="AQS7" s="697"/>
      <c r="AQT7" s="698">
        <f>AQS7/AQQ7</f>
        <v>0</v>
      </c>
      <c r="AQU7" s="593">
        <f>'Proy 2022 vs 2019 sem'!HB6*AQX$4</f>
        <v>10610.8842</v>
      </c>
      <c r="AQV7" s="593">
        <f>'Proy 2022 vs 2019 sem'!HC6*AQX$4</f>
        <v>10610.8842</v>
      </c>
      <c r="AQW7" s="697"/>
      <c r="AQX7" s="698">
        <f>AQW7/AQU7</f>
        <v>0</v>
      </c>
      <c r="AQY7" s="593">
        <f>'Proy 2022 vs 2019 sem'!HB6*ARB$4</f>
        <v>12126.7248</v>
      </c>
      <c r="AQZ7" s="593">
        <f>'Proy 2022 vs 2019 sem'!HC6*ARB$4</f>
        <v>12126.7248</v>
      </c>
      <c r="ARA7" s="697"/>
      <c r="ARB7" s="698">
        <f>ARA7/AQY7</f>
        <v>0</v>
      </c>
      <c r="ARC7" s="593">
        <f>'Proy 2022 vs 2019 sem'!HB6*ARF$4</f>
        <v>16674.246599999999</v>
      </c>
      <c r="ARD7" s="593">
        <f>'Proy 2022 vs 2019 sem'!HC6*ARF$4</f>
        <v>16674.246599999999</v>
      </c>
      <c r="ARE7" s="697"/>
      <c r="ARF7" s="698">
        <f>ARE7/ARC7</f>
        <v>0</v>
      </c>
      <c r="ARG7" s="610">
        <f>AQE7+AQI7+AQM7+AQQ7+AQU7+AQY7+ARC7</f>
        <v>75792.03</v>
      </c>
      <c r="ARH7" s="593">
        <f>AQF7+AQJ7+AQN7+AQR7+AQV7+AQZ7+ARD7</f>
        <v>75792.03</v>
      </c>
      <c r="ARI7" s="729">
        <f>AQG7+AQK7+AQO7+AQS7+AQW7+ARA7+ARE7</f>
        <v>0</v>
      </c>
      <c r="ARJ7" s="709">
        <f>ARI7/ARG7</f>
        <v>0</v>
      </c>
      <c r="ARK7" s="593">
        <f>'Proy 2022 vs 2019 sem'!HG6*ARN$4</f>
        <v>8805.5352000000003</v>
      </c>
      <c r="ARL7" s="593">
        <f>'Proy 2022 vs 2019 sem'!HH6*ARN$4</f>
        <v>8365.2584400000014</v>
      </c>
      <c r="ARM7" s="697"/>
      <c r="ARN7" s="698">
        <f>ARM7/ARK7</f>
        <v>0</v>
      </c>
      <c r="ARO7" s="593">
        <f>'Proy 2022 vs 2019 sem'!HG6*ARR$4</f>
        <v>8805.5352000000003</v>
      </c>
      <c r="ARP7" s="593">
        <f>'Proy 2022 vs 2019 sem'!HH6*ARR$4</f>
        <v>8365.2584400000014</v>
      </c>
      <c r="ARQ7" s="697"/>
      <c r="ARR7" s="698">
        <f>ARQ7/ARO7</f>
        <v>0</v>
      </c>
      <c r="ARS7" s="593">
        <f>'Proy 2022 vs 2019 sem'!HG6*ARV$4</f>
        <v>8805.5352000000003</v>
      </c>
      <c r="ART7" s="593">
        <f>'Proy 2022 vs 2019 sem'!HH6*ARV$4</f>
        <v>8365.2584400000014</v>
      </c>
      <c r="ARU7" s="697"/>
      <c r="ARV7" s="698">
        <f>ARU7/ARS7</f>
        <v>0</v>
      </c>
      <c r="ARW7" s="593">
        <f>'Proy 2022 vs 2019 sem'!HG6*ARZ$4</f>
        <v>8805.5352000000003</v>
      </c>
      <c r="ARX7" s="593">
        <f>'Proy 2022 vs 2019 sem'!HH6*ARZ$4</f>
        <v>8365.2584400000014</v>
      </c>
      <c r="ARY7" s="697"/>
      <c r="ARZ7" s="698">
        <f>ARY7/ARW7</f>
        <v>0</v>
      </c>
      <c r="ASA7" s="593">
        <f>'Proy 2022 vs 2019 sem'!HG6*ASD$4</f>
        <v>10273.124400000002</v>
      </c>
      <c r="ASB7" s="593">
        <f>'Proy 2022 vs 2019 sem'!HH6*ASD$4</f>
        <v>9759.4681800000017</v>
      </c>
      <c r="ASC7" s="697"/>
      <c r="ASD7" s="698">
        <f>ASC7/ASA7</f>
        <v>0</v>
      </c>
      <c r="ASE7" s="593">
        <f>'Proy 2022 vs 2019 sem'!HG6*ASH$4</f>
        <v>11740.713600000001</v>
      </c>
      <c r="ASF7" s="593">
        <f>'Proy 2022 vs 2019 sem'!HH6*ASH$4</f>
        <v>11153.677920000002</v>
      </c>
      <c r="ASG7" s="697"/>
      <c r="ASH7" s="698">
        <f>ASG7/ASE7</f>
        <v>0</v>
      </c>
      <c r="ASI7" s="593">
        <f>'Proy 2022 vs 2019 sem'!HG6*ASL$4</f>
        <v>16143.481200000002</v>
      </c>
      <c r="ASJ7" s="593">
        <f>'Proy 2022 vs 2019 sem'!HH6*ASL$4</f>
        <v>15336.307140000003</v>
      </c>
      <c r="ASK7" s="697"/>
      <c r="ASL7" s="698">
        <f>ASK7/ASI7</f>
        <v>0</v>
      </c>
      <c r="ASM7" s="610">
        <f>ARK7+ARO7+ARS7+ARW7+ASA7+ASE7+ASI7</f>
        <v>73379.460000000006</v>
      </c>
      <c r="ASN7" s="593">
        <f>ARL7+ARP7+ART7+ARX7+ASB7+ASF7+ASJ7</f>
        <v>69710.487000000008</v>
      </c>
      <c r="ASO7" s="729">
        <f>ARM7+ARQ7+ARU7+ARY7+ASC7+ASG7+ASK7</f>
        <v>0</v>
      </c>
      <c r="ASP7" s="709">
        <f>ASO7/ASM7</f>
        <v>0</v>
      </c>
      <c r="ASQ7" s="593">
        <f>'Proy 2022 vs 2019 sem'!HL6*AST$4</f>
        <v>8248.2587999999996</v>
      </c>
      <c r="ASR7" s="593">
        <f>'Proy 2022 vs 2019 sem'!HM6*AST$4</f>
        <v>8000.8110360000001</v>
      </c>
      <c r="ASS7" s="697"/>
      <c r="AST7" s="698">
        <f>ASS7/ASQ7</f>
        <v>0</v>
      </c>
      <c r="ASU7" s="593">
        <f>'Proy 2022 vs 2019 sem'!HL6*ASX$4</f>
        <v>8248.2587999999996</v>
      </c>
      <c r="ASV7" s="593">
        <f>'Proy 2022 vs 2019 sem'!HM6*ASX$4</f>
        <v>8000.8110360000001</v>
      </c>
      <c r="ASW7" s="697"/>
      <c r="ASX7" s="698">
        <f>ASW7/ASU7</f>
        <v>0</v>
      </c>
      <c r="ASY7" s="593">
        <f>'Proy 2022 vs 2019 sem'!HL6*ATB$4</f>
        <v>8248.2587999999996</v>
      </c>
      <c r="ASZ7" s="593">
        <f>'Proy 2022 vs 2019 sem'!HM6*ATB$4</f>
        <v>8000.8110360000001</v>
      </c>
      <c r="ATA7" s="697"/>
      <c r="ATB7" s="698">
        <f>ATA7/ASY7</f>
        <v>0</v>
      </c>
      <c r="ATC7" s="593">
        <f>'Proy 2022 vs 2019 sem'!HL6*ATF$4</f>
        <v>8248.2587999999996</v>
      </c>
      <c r="ATD7" s="593">
        <f>'Proy 2022 vs 2019 sem'!HM6*ATF$4</f>
        <v>8000.8110360000001</v>
      </c>
      <c r="ATE7" s="697"/>
      <c r="ATF7" s="698">
        <f>ATE7/ATC7</f>
        <v>0</v>
      </c>
      <c r="ATG7" s="593">
        <f>'Proy 2022 vs 2019 sem'!HL6*ATJ$4</f>
        <v>9622.968600000002</v>
      </c>
      <c r="ATH7" s="593">
        <f>'Proy 2022 vs 2019 sem'!HM6*ATJ$4</f>
        <v>9334.279542000002</v>
      </c>
      <c r="ATI7" s="697"/>
      <c r="ATJ7" s="698">
        <f>ATI7/ATG7</f>
        <v>0</v>
      </c>
      <c r="ATK7" s="593">
        <f>'Proy 2022 vs 2019 sem'!HL6*ATN$4</f>
        <v>10997.678400000001</v>
      </c>
      <c r="ATL7" s="593">
        <f>'Proy 2022 vs 2019 sem'!HM6*ATN$4</f>
        <v>10667.748048000001</v>
      </c>
      <c r="ATM7" s="697"/>
      <c r="ATN7" s="698">
        <f>ATM7/ATK7</f>
        <v>0</v>
      </c>
      <c r="ATO7" s="593">
        <f>'Proy 2022 vs 2019 sem'!HL6*ATR$4</f>
        <v>15121.8078</v>
      </c>
      <c r="ATP7" s="593">
        <f>'Proy 2022 vs 2019 sem'!HM6*ATR$4</f>
        <v>14668.153566000001</v>
      </c>
      <c r="ATQ7" s="697"/>
      <c r="ATR7" s="698">
        <f>ATQ7/ATO7</f>
        <v>0</v>
      </c>
      <c r="ATS7" s="610">
        <f>ASQ7+ASU7+ASY7+ATC7+ATG7+ATK7+ATO7</f>
        <v>68735.489999999991</v>
      </c>
      <c r="ATT7" s="593">
        <f>ASR7+ASV7+ASZ7+ATD7+ATH7+ATL7+ATP7</f>
        <v>66673.425300000003</v>
      </c>
      <c r="ATU7" s="708">
        <f>ASS7+ASW7+ATA7+ATE7+ATI7+ATM7+ATQ7</f>
        <v>0</v>
      </c>
      <c r="ATV7" s="709">
        <f>ATU7/ATS7</f>
        <v>0</v>
      </c>
      <c r="ATW7" s="593">
        <f>'Proy 2022 vs 2019 sem'!HQ6*ATZ$4</f>
        <v>8245.0092000000004</v>
      </c>
      <c r="ATX7" s="593">
        <f>'Proy 2022 vs 2019 sem'!HR6*ATZ$4</f>
        <v>7997.6589239999994</v>
      </c>
      <c r="ATY7" s="697"/>
      <c r="ATZ7" s="698">
        <f>ATY7/ATW7</f>
        <v>0</v>
      </c>
      <c r="AUA7" s="593">
        <f>'Proy 2022 vs 2019 sem'!HQ6*AUD$4</f>
        <v>8245.0092000000004</v>
      </c>
      <c r="AUB7" s="593">
        <f>'Proy 2022 vs 2019 sem'!HR6*AUD$4</f>
        <v>7997.6589239999994</v>
      </c>
      <c r="AUC7" s="697"/>
      <c r="AUD7" s="698">
        <f>AUC7/AUA7</f>
        <v>0</v>
      </c>
      <c r="AUE7" s="593">
        <f>'Proy 2022 vs 2019 sem'!HQ6*AUH$4</f>
        <v>8245.0092000000004</v>
      </c>
      <c r="AUF7" s="593">
        <f>'Proy 2022 vs 2019 sem'!HR6*AUH$4</f>
        <v>7997.6589239999994</v>
      </c>
      <c r="AUG7" s="697"/>
      <c r="AUH7" s="698">
        <f>AUG7/AUE7</f>
        <v>0</v>
      </c>
      <c r="AUI7" s="593">
        <f>'Proy 2022 vs 2019 sem'!HQ6*AUL$4</f>
        <v>8245.0092000000004</v>
      </c>
      <c r="AUJ7" s="593">
        <f>'Proy 2022 vs 2019 sem'!HR6*AUL$4</f>
        <v>7997.6589239999994</v>
      </c>
      <c r="AUK7" s="697"/>
      <c r="AUL7" s="698">
        <f>AUK7/AUI7</f>
        <v>0</v>
      </c>
      <c r="AUM7" s="593">
        <f>'Proy 2022 vs 2019 sem'!HQ6*AUP$4</f>
        <v>9619.1774000000023</v>
      </c>
      <c r="AUN7" s="593">
        <f>'Proy 2022 vs 2019 sem'!HR6*AUP$4</f>
        <v>9330.6020779999999</v>
      </c>
      <c r="AUO7" s="697"/>
      <c r="AUP7" s="698">
        <f>AUO7/AUM7</f>
        <v>0</v>
      </c>
      <c r="AUQ7" s="593">
        <f>'Proy 2022 vs 2019 sem'!HQ6*AUT$4</f>
        <v>10993.345600000001</v>
      </c>
      <c r="AUR7" s="593">
        <f>'Proy 2022 vs 2019 sem'!HR6*AUT$4</f>
        <v>10663.545232</v>
      </c>
      <c r="AUS7" s="697"/>
      <c r="AUT7" s="698">
        <f>AUS7/AUQ7</f>
        <v>0</v>
      </c>
      <c r="AUU7" s="593">
        <f>'Proy 2022 vs 2019 sem'!HQ6*AUX$4</f>
        <v>15115.850200000001</v>
      </c>
      <c r="AUV7" s="593">
        <f>'Proy 2022 vs 2019 sem'!HR6*AUX$4</f>
        <v>14662.374694</v>
      </c>
      <c r="AUW7" s="697"/>
      <c r="AUX7" s="698">
        <f>AUW7/AUU7</f>
        <v>0</v>
      </c>
      <c r="AUY7" s="610">
        <f>ATW7+AUA7+AUE7+AUI7+AUM7+AUQ7+AUU7</f>
        <v>68708.41</v>
      </c>
      <c r="AUZ7" s="593">
        <f>ATX7+AUB7+AUF7+AUJ7+AUN7+AUR7+AUV7</f>
        <v>66647.157699999996</v>
      </c>
      <c r="AVA7" s="708">
        <f>ATY7+AUC7+AUG7+AUK7+AUO7+AUS7+AUW7</f>
        <v>0</v>
      </c>
      <c r="AVB7" s="709">
        <f>AVA7/AUY7</f>
        <v>0</v>
      </c>
      <c r="AVC7" s="593">
        <f>'Proy 2022 vs 2019 sem'!HZ6*AVF$4</f>
        <v>9457.7628000000004</v>
      </c>
      <c r="AVD7" s="593">
        <f>'Proy 2022 vs 2019 sem'!IA6*AVF$4</f>
        <v>9174.0299159999995</v>
      </c>
      <c r="AVE7" s="734"/>
      <c r="AVF7" s="698">
        <f>AVE7/AVC7</f>
        <v>0</v>
      </c>
      <c r="AVG7" s="593">
        <f>'Proy 2022 vs 2019 sem'!HZ6*AVJ$4</f>
        <v>9457.7628000000004</v>
      </c>
      <c r="AVH7" s="593">
        <f>'Proy 2022 vs 2019 sem'!IA6*AVJ$4</f>
        <v>9174.0299159999995</v>
      </c>
      <c r="AVI7" s="697"/>
      <c r="AVJ7" s="698">
        <f>AVI7/AVG7</f>
        <v>0</v>
      </c>
      <c r="AVK7" s="593">
        <f>'Proy 2022 vs 2019 sem'!HZ6*AVN$4</f>
        <v>9457.7628000000004</v>
      </c>
      <c r="AVL7" s="593">
        <f>'Proy 2022 vs 2019 sem'!IA6*AVN$4</f>
        <v>9174.0299159999995</v>
      </c>
      <c r="AVM7" s="697"/>
      <c r="AVN7" s="698">
        <f>AVM7/AVK7</f>
        <v>0</v>
      </c>
      <c r="AVO7" s="593">
        <f>'Proy 2022 vs 2019 sem'!HZ6*AVR$4</f>
        <v>9457.7628000000004</v>
      </c>
      <c r="AVP7" s="593">
        <f>'Proy 2022 vs 2019 sem'!IA6*AVR$4</f>
        <v>9174.0299159999995</v>
      </c>
      <c r="AVQ7" s="697"/>
      <c r="AVR7" s="698">
        <f>AVQ7/AVO7</f>
        <v>0</v>
      </c>
      <c r="AVS7" s="593">
        <f>'Proy 2022 vs 2019 sem'!HZ6*AVV$4</f>
        <v>11034.056600000002</v>
      </c>
      <c r="AVT7" s="593">
        <f>'Proy 2022 vs 2019 sem'!IA6*AVV$4</f>
        <v>10703.034902000001</v>
      </c>
      <c r="AVU7" s="697"/>
      <c r="AVV7" s="698">
        <f>AVU7/AVS7</f>
        <v>0</v>
      </c>
      <c r="AVW7" s="593">
        <f>'Proy 2022 vs 2019 sem'!HZ6*AVZ$4</f>
        <v>12610.350400000001</v>
      </c>
      <c r="AVX7" s="593">
        <f>'Proy 2022 vs 2019 sem'!IA6*AVZ$4</f>
        <v>12232.039887999999</v>
      </c>
      <c r="AVY7" s="697"/>
      <c r="AVZ7" s="698">
        <f>AVY7/AVW7</f>
        <v>0</v>
      </c>
      <c r="AWA7" s="593">
        <f>'Proy 2022 vs 2019 sem'!HZ6*AWD$4</f>
        <v>17339.231800000001</v>
      </c>
      <c r="AWB7" s="593">
        <f>'Proy 2022 vs 2019 sem'!IA6*AWD$4</f>
        <v>16819.054845999999</v>
      </c>
      <c r="AWC7" s="697"/>
      <c r="AWD7" s="698">
        <f>AWC7/AWA7</f>
        <v>0</v>
      </c>
      <c r="AWE7" s="610">
        <f>AVC7+AVG7+AVK7+AVO7+AVS7+AVW7+AWA7</f>
        <v>78814.69</v>
      </c>
      <c r="AWF7" s="593">
        <f>AVD7+AVH7+AVL7+AVP7+AVT7+AVX7+AWB7</f>
        <v>76450.249299999996</v>
      </c>
      <c r="AWG7" s="793">
        <f>AVE7+AVI7+AVM7+AVQ7+AVU7+AVY7+AWC7</f>
        <v>0</v>
      </c>
      <c r="AWH7" s="784">
        <f>AWG7/AWE7</f>
        <v>0</v>
      </c>
      <c r="AWI7" s="593">
        <f>'Proy 2022 vs 2019 sem'!IE6*AWL$4</f>
        <v>10073.063999999998</v>
      </c>
      <c r="AWJ7" s="593">
        <f>'Proy 2022 vs 2019 sem'!IF6*AWL$4</f>
        <v>9670.1414399999976</v>
      </c>
      <c r="AWK7" s="697"/>
      <c r="AWL7" s="698">
        <f>AWK7/AWI7</f>
        <v>0</v>
      </c>
      <c r="AWM7" s="593">
        <f>'Proy 2022 vs 2019 sem'!IE6*AWP$4</f>
        <v>10073.063999999998</v>
      </c>
      <c r="AWN7" s="593">
        <f>'Proy 2022 vs 2019 sem'!IF6*AWP$4</f>
        <v>9670.1414399999976</v>
      </c>
      <c r="AWO7" s="697"/>
      <c r="AWP7" s="698">
        <f>AWO7/AWM7</f>
        <v>0</v>
      </c>
      <c r="AWQ7" s="593">
        <f>'Proy 2022 vs 2019 sem'!IE6*AWT$4</f>
        <v>10073.063999999998</v>
      </c>
      <c r="AWR7" s="593">
        <f>'Proy 2022 vs 2019 sem'!IF6*AWT$4</f>
        <v>9670.1414399999976</v>
      </c>
      <c r="AWS7" s="697"/>
      <c r="AWT7" s="698">
        <f>AWS7/AWQ7</f>
        <v>0</v>
      </c>
      <c r="AWU7" s="593">
        <f>'Proy 2022 vs 2019 sem'!IE6*AWX$4</f>
        <v>10073.063999999998</v>
      </c>
      <c r="AWV7" s="593">
        <f>'Proy 2022 vs 2019 sem'!IF6*AWX$4</f>
        <v>9670.1414399999976</v>
      </c>
      <c r="AWW7" s="697"/>
      <c r="AWX7" s="698">
        <f>AWW7/AWU7</f>
        <v>0</v>
      </c>
      <c r="AWY7" s="593">
        <f>'Proy 2022 vs 2019 sem'!IE6*AXB$4</f>
        <v>11751.908000000001</v>
      </c>
      <c r="AWZ7" s="593">
        <f>'Proy 2022 vs 2019 sem'!IF6*AXB$4</f>
        <v>11281.831679999999</v>
      </c>
      <c r="AXA7" s="697"/>
      <c r="AXB7" s="698">
        <f>AXA7/AWY7</f>
        <v>0</v>
      </c>
      <c r="AXC7" s="593">
        <f>'Proy 2022 vs 2019 sem'!IE6*AXF$4</f>
        <v>13430.752</v>
      </c>
      <c r="AXD7" s="593">
        <f>'Proy 2022 vs 2019 sem'!IF6*AXF$4</f>
        <v>12893.521919999999</v>
      </c>
      <c r="AXE7" s="697"/>
      <c r="AXF7" s="698">
        <f>AXE7/AXC7</f>
        <v>0</v>
      </c>
      <c r="AXG7" s="593">
        <f>'Proy 2022 vs 2019 sem'!IE6*AXJ$4</f>
        <v>18467.284</v>
      </c>
      <c r="AXH7" s="593">
        <f>'Proy 2022 vs 2019 sem'!IF6*AXJ$4</f>
        <v>17728.592639999999</v>
      </c>
      <c r="AXI7" s="697"/>
      <c r="AXJ7" s="698">
        <f>AXI7/AXG7</f>
        <v>0</v>
      </c>
      <c r="AXK7" s="610">
        <f>AWI7+AWM7+AWQ7+AWU7+AWY7+AXC7+AXG7</f>
        <v>83942.2</v>
      </c>
      <c r="AXL7" s="593">
        <f>AWJ7+AWN7+AWR7+AWV7+AWZ7+AXD7+AXH7</f>
        <v>80584.511999999988</v>
      </c>
      <c r="AXM7" s="793">
        <f>AWK7+AWO7+AWS7+AWW7+AXA7+AXE7+AXI7</f>
        <v>0</v>
      </c>
      <c r="AXN7" s="784">
        <f>AXM7/AXK7</f>
        <v>0</v>
      </c>
      <c r="AXO7" s="593">
        <f>'Proy 2022 vs 2019 sem'!IJ6*AXR$4</f>
        <v>10179.316799999999</v>
      </c>
      <c r="AXP7" s="593">
        <f>'Proy 2022 vs 2019 sem'!IK6*AXR$4</f>
        <v>10077.523631999999</v>
      </c>
      <c r="AXQ7" s="697"/>
      <c r="AXR7" s="698">
        <f>AXQ7/AXO7</f>
        <v>0</v>
      </c>
      <c r="AXS7" s="593">
        <f>'Proy 2022 vs 2019 sem'!IJ6*AXV$4</f>
        <v>10179.316799999999</v>
      </c>
      <c r="AXT7" s="593">
        <f>'Proy 2022 vs 2019 sem'!IK6*AXV$4</f>
        <v>10077.523631999999</v>
      </c>
      <c r="AXU7" s="697"/>
      <c r="AXV7" s="698">
        <f>AXU7/AXS7</f>
        <v>0</v>
      </c>
      <c r="AXW7" s="593">
        <f>'Proy 2022 vs 2019 sem'!IJ6*AXZ$4</f>
        <v>10179.316799999999</v>
      </c>
      <c r="AXX7" s="593">
        <f>'Proy 2022 vs 2019 sem'!IK6*AXZ$4</f>
        <v>10077.523631999999</v>
      </c>
      <c r="AXY7" s="697"/>
      <c r="AXZ7" s="698">
        <f>AXY7/AXW7</f>
        <v>0</v>
      </c>
      <c r="AYA7" s="593">
        <f>'Proy 2022 vs 2019 sem'!IJ6*AYD$4</f>
        <v>10179.316799999999</v>
      </c>
      <c r="AYB7" s="593">
        <f>'Proy 2022 vs 2019 sem'!IK6*AYD$4</f>
        <v>10077.523631999999</v>
      </c>
      <c r="AYC7" s="697"/>
      <c r="AYD7" s="698">
        <f>AYC7/AYA7</f>
        <v>0</v>
      </c>
      <c r="AYE7" s="593">
        <f>'Proy 2022 vs 2019 sem'!IJ6*AYH$4</f>
        <v>11875.869600000002</v>
      </c>
      <c r="AYF7" s="593">
        <f>'Proy 2022 vs 2019 sem'!IK6*AYH$4</f>
        <v>11757.110904000001</v>
      </c>
      <c r="AYG7" s="697"/>
      <c r="AYH7" s="698">
        <f>AYG7/AYE7</f>
        <v>0</v>
      </c>
      <c r="AYI7" s="593">
        <f>'Proy 2022 vs 2019 sem'!IJ6*AYL$4</f>
        <v>13572.422399999999</v>
      </c>
      <c r="AYJ7" s="593">
        <f>'Proy 2022 vs 2019 sem'!IK6*AYL$4</f>
        <v>13436.698176</v>
      </c>
      <c r="AYK7" s="697"/>
      <c r="AYL7" s="698">
        <f>AYK7/AYI7</f>
        <v>0</v>
      </c>
      <c r="AYM7" s="593">
        <f>'Proy 2022 vs 2019 sem'!IJ6*AYP$4</f>
        <v>18662.0808</v>
      </c>
      <c r="AYN7" s="593">
        <f>'Proy 2022 vs 2019 sem'!IK6*AYP$4</f>
        <v>18475.459992</v>
      </c>
      <c r="AYO7" s="697"/>
      <c r="AYP7" s="698">
        <f>AYO7/AYM7</f>
        <v>0</v>
      </c>
      <c r="AYQ7" s="610">
        <f>AXO7+AXS7+AXW7+AYA7+AYE7+AYI7+AYM7</f>
        <v>84827.639999999985</v>
      </c>
      <c r="AYR7" s="593">
        <f>AXP7+AXT7+AXX7+AYB7+AYF7+AYJ7+AYN7</f>
        <v>83979.363599999997</v>
      </c>
      <c r="AYS7" s="793">
        <f>AXQ7+AXU7+AXY7+AYC7+AYG7+AYK7+AYO7</f>
        <v>0</v>
      </c>
      <c r="AYT7" s="784">
        <f>AYS7/AYQ7</f>
        <v>0</v>
      </c>
      <c r="AYU7" s="593">
        <f>'Proy 2022 vs 2019 sem'!IO6*AYX$4</f>
        <v>14182.587599999999</v>
      </c>
      <c r="AYV7" s="593">
        <f>'Proy 2022 vs 2019 sem'!IP6*AYX$4</f>
        <v>13615.284095999998</v>
      </c>
      <c r="AYW7" s="697"/>
      <c r="AYX7" s="698">
        <f>AYW7/AYU7</f>
        <v>0</v>
      </c>
      <c r="AYY7" s="593">
        <f>'Proy 2022 vs 2019 sem'!IO6*AZB$4</f>
        <v>14182.587599999999</v>
      </c>
      <c r="AYZ7" s="593">
        <f>'Proy 2022 vs 2019 sem'!IP6*AZB$4</f>
        <v>13615.284095999998</v>
      </c>
      <c r="AZA7" s="697"/>
      <c r="AZB7" s="698">
        <f>AZA7/AYY7</f>
        <v>0</v>
      </c>
      <c r="AZC7" s="593">
        <f>'Proy 2022 vs 2019 sem'!IO6*AZF$4</f>
        <v>14182.587599999999</v>
      </c>
      <c r="AZD7" s="593">
        <f>'Proy 2022 vs 2019 sem'!IP6*AZF$4</f>
        <v>13615.284095999998</v>
      </c>
      <c r="AZE7" s="697"/>
      <c r="AZF7" s="698">
        <f>AZE7/AZC7</f>
        <v>0</v>
      </c>
      <c r="AZG7" s="593">
        <f>'Proy 2022 vs 2019 sem'!IO6*AZJ$4</f>
        <v>14182.587599999999</v>
      </c>
      <c r="AZH7" s="593">
        <f>'Proy 2022 vs 2019 sem'!IP6*AZJ$4</f>
        <v>13615.284095999998</v>
      </c>
      <c r="AZI7" s="697"/>
      <c r="AZJ7" s="698">
        <f>AZI7/AZG7</f>
        <v>0</v>
      </c>
      <c r="AZK7" s="593">
        <f>'Proy 2022 vs 2019 sem'!IO6*AZN$4</f>
        <v>16546.352200000001</v>
      </c>
      <c r="AZL7" s="593">
        <f>'Proy 2022 vs 2019 sem'!IP6*AZN$4</f>
        <v>15884.498112000001</v>
      </c>
      <c r="AZM7" s="697"/>
      <c r="AZN7" s="698">
        <f>AZM7/AZK7</f>
        <v>0</v>
      </c>
      <c r="AZO7" s="593">
        <f>'Proy 2022 vs 2019 sem'!IO6*AZR$4</f>
        <v>18910.1168</v>
      </c>
      <c r="AZP7" s="593">
        <f>'Proy 2022 vs 2019 sem'!IP6*AZR$4</f>
        <v>18153.712127999999</v>
      </c>
      <c r="AZQ7" s="697"/>
      <c r="AZR7" s="698">
        <f>AZQ7/AZO7</f>
        <v>0</v>
      </c>
      <c r="AZS7" s="593">
        <f>'Proy 2022 vs 2019 sem'!IO6*AZV$4</f>
        <v>26001.410599999999</v>
      </c>
      <c r="AZT7" s="593">
        <f>'Proy 2022 vs 2019 sem'!IP6*AZV$4</f>
        <v>24961.354175999997</v>
      </c>
      <c r="AZU7" s="697"/>
      <c r="AZV7" s="698">
        <f>AZU7/AZS7</f>
        <v>0</v>
      </c>
      <c r="AZW7" s="610">
        <f>AYU7+AYY7+AZC7+AZG7+AZK7+AZO7+AZS7</f>
        <v>118188.23</v>
      </c>
      <c r="AZX7" s="593">
        <f>AYV7+AYZ7+AZD7+AZH7+AZL7+AZP7+AZT7</f>
        <v>113460.70079999998</v>
      </c>
      <c r="AZY7" s="783">
        <f>AYW7+AZA7+AZE7+AZI7+AZM7+AZQ7+AZU7</f>
        <v>0</v>
      </c>
      <c r="AZZ7" s="784">
        <f>AZY7/AZW7</f>
        <v>0</v>
      </c>
      <c r="BAA7" s="593">
        <f>'Proy 2022 vs 2019 sem'!IX6*BAD$4</f>
        <v>9069.9863999999998</v>
      </c>
      <c r="BAB7" s="593">
        <f>'Proy 2022 vs 2019 sem'!IY6*BAD$4</f>
        <v>8797.8868079999993</v>
      </c>
      <c r="BAC7" s="734"/>
      <c r="BAD7" s="698">
        <f>BAC7/BAA7</f>
        <v>0</v>
      </c>
      <c r="BAE7" s="593">
        <f>'Proy 2022 vs 2019 sem'!IX6*BAH$4</f>
        <v>9069.9863999999998</v>
      </c>
      <c r="BAF7" s="593">
        <f>'Proy 2022 vs 2019 sem'!IY6*BAH$4</f>
        <v>8797.8868079999993</v>
      </c>
      <c r="BAG7" s="697"/>
      <c r="BAH7" s="698">
        <f>BAG7/BAE7</f>
        <v>0</v>
      </c>
      <c r="BAI7" s="593">
        <f>'Proy 2022 vs 2019 sem'!IX6*BAL$4</f>
        <v>9069.9863999999998</v>
      </c>
      <c r="BAJ7" s="593">
        <f>'Proy 2022 vs 2019 sem'!IY6*BAL$4</f>
        <v>8797.8868079999993</v>
      </c>
      <c r="BAK7" s="697"/>
      <c r="BAL7" s="698">
        <f>BAK7/BAI7</f>
        <v>0</v>
      </c>
      <c r="BAM7" s="593">
        <f>'Proy 2022 vs 2019 sem'!IX6*BAP$4</f>
        <v>9069.9863999999998</v>
      </c>
      <c r="BAN7" s="593">
        <f>'Proy 2022 vs 2019 sem'!IY6*BAP$4</f>
        <v>8797.8868079999993</v>
      </c>
      <c r="BAO7" s="697"/>
      <c r="BAP7" s="698">
        <f>BAO7/BAM7</f>
        <v>0</v>
      </c>
      <c r="BAQ7" s="593">
        <f>'Proy 2022 vs 2019 sem'!IX6*BAT$4</f>
        <v>10581.650800000001</v>
      </c>
      <c r="BAR7" s="593">
        <f>'Proy 2022 vs 2019 sem'!IY6*BAT$4</f>
        <v>10264.201276000002</v>
      </c>
      <c r="BAS7" s="697"/>
      <c r="BAT7" s="698">
        <f>BAS7/BAQ7</f>
        <v>0</v>
      </c>
      <c r="BAU7" s="593">
        <f>'Proy 2022 vs 2019 sem'!IX6*BAX$4</f>
        <v>12093.315200000001</v>
      </c>
      <c r="BAV7" s="593">
        <f>'Proy 2022 vs 2019 sem'!IY6*BAX$4</f>
        <v>11730.515744</v>
      </c>
      <c r="BAW7" s="697"/>
      <c r="BAX7" s="698">
        <f>BAW7/BAU7</f>
        <v>0</v>
      </c>
      <c r="BAY7" s="593">
        <f>'Proy 2022 vs 2019 sem'!IX6*BBB$4</f>
        <v>16628.308400000002</v>
      </c>
      <c r="BAZ7" s="593">
        <f>'Proy 2022 vs 2019 sem'!IY6*BBB$4</f>
        <v>16129.459148</v>
      </c>
      <c r="BBA7" s="697"/>
      <c r="BBB7" s="698">
        <f>BBA7/BAY7</f>
        <v>0</v>
      </c>
      <c r="BBC7" s="610">
        <f>BAA7+BAE7+BAI7+BAM7+BAQ7+BAU7+BAY7</f>
        <v>75583.22</v>
      </c>
      <c r="BBD7" s="593">
        <f>BAB7+BAF7+BAJ7+BAN7+BAR7+BAV7+BAZ7</f>
        <v>73315.723399999988</v>
      </c>
      <c r="BBE7" s="759">
        <f>BAC7+BAG7+BAK7+BAO7+BAS7+BAW7+BBA7</f>
        <v>0</v>
      </c>
      <c r="BBF7" s="760">
        <f>BBE7/BBC7</f>
        <v>0</v>
      </c>
      <c r="BBG7" s="593">
        <f>'Proy 2022 vs 2019 sem'!JC6*BBJ$4</f>
        <v>9997.3559999999998</v>
      </c>
      <c r="BBH7" s="593">
        <f>'Proy 2022 vs 2019 sem'!JD6*BBJ$4</f>
        <v>9397.5146399999994</v>
      </c>
      <c r="BBI7" s="697"/>
      <c r="BBJ7" s="698">
        <f>BBI7/BBG7</f>
        <v>0</v>
      </c>
      <c r="BBK7" s="593">
        <f>'Proy 2022 vs 2019 sem'!JC6*BBN$4</f>
        <v>9997.3559999999998</v>
      </c>
      <c r="BBL7" s="593">
        <f>'Proy 2022 vs 2019 sem'!JD6*BBN$4</f>
        <v>9397.5146399999994</v>
      </c>
      <c r="BBM7" s="697"/>
      <c r="BBN7" s="698">
        <f>BBM7/BBK7</f>
        <v>0</v>
      </c>
      <c r="BBO7" s="593">
        <f>'Proy 2022 vs 2019 sem'!JC6*BBR$4</f>
        <v>9997.3559999999998</v>
      </c>
      <c r="BBP7" s="593">
        <f>'Proy 2022 vs 2019 sem'!JD6*BBR$4</f>
        <v>9397.5146399999994</v>
      </c>
      <c r="BBQ7" s="697"/>
      <c r="BBR7" s="698">
        <f>BBQ7/BBO7</f>
        <v>0</v>
      </c>
      <c r="BBS7" s="593">
        <f>'Proy 2022 vs 2019 sem'!JC6*BBV$4</f>
        <v>9997.3559999999998</v>
      </c>
      <c r="BBT7" s="593">
        <f>'Proy 2022 vs 2019 sem'!JD6*BBV$4</f>
        <v>9397.5146399999994</v>
      </c>
      <c r="BBU7" s="697"/>
      <c r="BBV7" s="698">
        <f>BBU7/BBS7</f>
        <v>0</v>
      </c>
      <c r="BBW7" s="593">
        <f>'Proy 2022 vs 2019 sem'!JC6*BBZ$4</f>
        <v>11663.582000000002</v>
      </c>
      <c r="BBX7" s="593">
        <f>'Proy 2022 vs 2019 sem'!JD6*BBZ$4</f>
        <v>10963.767080000001</v>
      </c>
      <c r="BBY7" s="697"/>
      <c r="BBZ7" s="698">
        <f>BBY7/BBW7</f>
        <v>0</v>
      </c>
      <c r="BCA7" s="593">
        <f>'Proy 2022 vs 2019 sem'!JC6*BCD$4</f>
        <v>13329.808000000001</v>
      </c>
      <c r="BCB7" s="593">
        <f>'Proy 2022 vs 2019 sem'!JD6*BCD$4</f>
        <v>12530.019520000002</v>
      </c>
      <c r="BCC7" s="697"/>
      <c r="BCD7" s="698">
        <f>BCC7/BCA7</f>
        <v>0</v>
      </c>
      <c r="BCE7" s="593">
        <f>'Proy 2022 vs 2019 sem'!JC6*BCH$4</f>
        <v>18328.486000000001</v>
      </c>
      <c r="BCF7" s="593">
        <f>'Proy 2022 vs 2019 sem'!JD6*BCH$4</f>
        <v>17228.776840000002</v>
      </c>
      <c r="BCG7" s="697"/>
      <c r="BCH7" s="698">
        <f>BCG7/BCE7</f>
        <v>0</v>
      </c>
      <c r="BCI7" s="610">
        <f>BBG7+BBK7+BBO7+BBS7+BBW7+BCA7+BCE7</f>
        <v>83311.3</v>
      </c>
      <c r="BCJ7" s="593">
        <f>BBH7+BBL7+BBP7+BBT7+BBX7+BCB7+BCF7</f>
        <v>78312.622000000003</v>
      </c>
      <c r="BCK7" s="759">
        <f>BBI7+BBM7+BBQ7+BBU7+BBY7+BCC7+BCG7</f>
        <v>0</v>
      </c>
      <c r="BCL7" s="760">
        <f>BCK7/BCI7</f>
        <v>0</v>
      </c>
      <c r="BCM7" s="593">
        <f>'Proy 2022 vs 2019 sem'!JH6*BCP$4</f>
        <v>11936.7384</v>
      </c>
      <c r="BCN7" s="593">
        <f>'Proy 2022 vs 2019 sem'!JI6*BCP$4</f>
        <v>11339.90148</v>
      </c>
      <c r="BCO7" s="697"/>
      <c r="BCP7" s="698">
        <f>BCO7/BCM7</f>
        <v>0</v>
      </c>
      <c r="BCQ7" s="593">
        <f>'Proy 2022 vs 2019 sem'!JH6*BCT$4</f>
        <v>11936.7384</v>
      </c>
      <c r="BCR7" s="593">
        <f>'Proy 2022 vs 2019 sem'!JI6*BCT$4</f>
        <v>11339.90148</v>
      </c>
      <c r="BCS7" s="697"/>
      <c r="BCT7" s="698">
        <f>BCS7/BCQ7</f>
        <v>0</v>
      </c>
      <c r="BCU7" s="593">
        <f>'Proy 2022 vs 2019 sem'!JH6*BCX$4</f>
        <v>11936.7384</v>
      </c>
      <c r="BCV7" s="593">
        <f>'Proy 2022 vs 2019 sem'!JI6*BCX$4</f>
        <v>11339.90148</v>
      </c>
      <c r="BCW7" s="697"/>
      <c r="BCX7" s="698">
        <f>BCW7/BCU7</f>
        <v>0</v>
      </c>
      <c r="BCY7" s="593">
        <f>'Proy 2022 vs 2019 sem'!JH6*BDB$4</f>
        <v>11936.7384</v>
      </c>
      <c r="BCZ7" s="593">
        <f>'Proy 2022 vs 2019 sem'!JI6*BDB$4</f>
        <v>11339.90148</v>
      </c>
      <c r="BDA7" s="697"/>
      <c r="BDB7" s="698">
        <f>BDA7/BCY7</f>
        <v>0</v>
      </c>
      <c r="BDC7" s="593">
        <f>'Proy 2022 vs 2019 sem'!JH6*BDF$4</f>
        <v>13926.194800000003</v>
      </c>
      <c r="BDD7" s="593">
        <f>'Proy 2022 vs 2019 sem'!JI6*BDF$4</f>
        <v>13229.885060000002</v>
      </c>
      <c r="BDE7" s="697"/>
      <c r="BDF7" s="698">
        <f>BDE7/BDC7</f>
        <v>0</v>
      </c>
      <c r="BDG7" s="593">
        <f>'Proy 2022 vs 2019 sem'!JH6*BDJ$4</f>
        <v>15915.651200000002</v>
      </c>
      <c r="BDH7" s="593">
        <f>'Proy 2022 vs 2019 sem'!JI6*BDJ$4</f>
        <v>15119.868640000001</v>
      </c>
      <c r="BDI7" s="697"/>
      <c r="BDJ7" s="698">
        <f>BDI7/BDG7</f>
        <v>0</v>
      </c>
      <c r="BDK7" s="593">
        <f>'Proy 2022 vs 2019 sem'!JH6*BDN$4</f>
        <v>21884.020400000001</v>
      </c>
      <c r="BDL7" s="593">
        <f>'Proy 2022 vs 2019 sem'!JI6*BDN$4</f>
        <v>20789.819380000001</v>
      </c>
      <c r="BDM7" s="697"/>
      <c r="BDN7" s="698">
        <f>BDM7/BDK7</f>
        <v>0</v>
      </c>
      <c r="BDO7" s="610">
        <f>BCM7+BCQ7+BCU7+BCY7+BDC7+BDG7+BDK7</f>
        <v>99472.82</v>
      </c>
      <c r="BDP7" s="593">
        <f>BCN7+BCR7+BCV7+BCZ7+BDD7+BDH7+BDL7</f>
        <v>94499.179000000004</v>
      </c>
      <c r="BDQ7" s="759">
        <f>BCO7+BCS7+BCW7+BDA7+BDE7+BDI7+BDM7</f>
        <v>0</v>
      </c>
      <c r="BDR7" s="760">
        <f>BDQ7/BDO7</f>
        <v>0</v>
      </c>
      <c r="BDS7" s="593">
        <f>'Proy 2022 vs 2019 sem'!JM6*BDV$4</f>
        <v>14486.990399999999</v>
      </c>
      <c r="BDT7" s="593">
        <f>'Proy 2022 vs 2019 sem'!JN6*BDV$4</f>
        <v>13762.640879999999</v>
      </c>
      <c r="BDU7" s="697"/>
      <c r="BDV7" s="698">
        <f>BDU7/BDS7</f>
        <v>0</v>
      </c>
      <c r="BDW7" s="593">
        <f>'Proy 2022 vs 2019 sem'!JM6*BDZ$4</f>
        <v>14486.990399999999</v>
      </c>
      <c r="BDX7" s="593">
        <f>'Proy 2022 vs 2019 sem'!JN6*BDZ$4</f>
        <v>13762.640879999999</v>
      </c>
      <c r="BDY7" s="697"/>
      <c r="BDZ7" s="698">
        <f>BDY7/BDW7</f>
        <v>0</v>
      </c>
      <c r="BEA7" s="593">
        <f>'Proy 2022 vs 2019 sem'!JM6*BED$4</f>
        <v>14486.990399999999</v>
      </c>
      <c r="BEB7" s="593">
        <f>'Proy 2022 vs 2019 sem'!JN6*BED$4</f>
        <v>13762.640879999999</v>
      </c>
      <c r="BEC7" s="697"/>
      <c r="BED7" s="698">
        <f>BEC7/BEA7</f>
        <v>0</v>
      </c>
      <c r="BEE7" s="593">
        <f>'Proy 2022 vs 2019 sem'!JM6*BEH$4</f>
        <v>14486.990399999999</v>
      </c>
      <c r="BEF7" s="593">
        <f>'Proy 2022 vs 2019 sem'!JN6*BEH$4</f>
        <v>13762.640879999999</v>
      </c>
      <c r="BEG7" s="697"/>
      <c r="BEH7" s="698">
        <f>BEG7/BEE7</f>
        <v>0</v>
      </c>
      <c r="BEI7" s="593">
        <f>'Proy 2022 vs 2019 sem'!JM6*BEL$4</f>
        <v>16901.488800000003</v>
      </c>
      <c r="BEJ7" s="593">
        <f>'Proy 2022 vs 2019 sem'!JN6*BEL$4</f>
        <v>16056.414360000001</v>
      </c>
      <c r="BEK7" s="697"/>
      <c r="BEL7" s="698">
        <f>BEK7/BEI7</f>
        <v>0</v>
      </c>
      <c r="BEM7" s="593">
        <f>'Proy 2022 vs 2019 sem'!JM6*BEP$4</f>
        <v>19315.9872</v>
      </c>
      <c r="BEN7" s="593">
        <f>'Proy 2022 vs 2019 sem'!JN6*BEP$4</f>
        <v>18350.187839999999</v>
      </c>
      <c r="BEO7" s="697"/>
      <c r="BEP7" s="698">
        <f>BEO7/BEM7</f>
        <v>0</v>
      </c>
      <c r="BEQ7" s="593">
        <f>'Proy 2022 vs 2019 sem'!JM6*BET$4</f>
        <v>26559.482400000001</v>
      </c>
      <c r="BER7" s="593">
        <f>'Proy 2022 vs 2019 sem'!JN6*BET$4</f>
        <v>25231.508279999998</v>
      </c>
      <c r="BES7" s="697"/>
      <c r="BET7" s="698">
        <f>BES7/BEQ7</f>
        <v>0</v>
      </c>
      <c r="BEU7" s="610">
        <f>BDS7+BDW7+BEA7+BEE7+BEI7+BEM7+BEQ7</f>
        <v>120724.92000000001</v>
      </c>
      <c r="BEV7" s="593">
        <f>BDT7+BDX7+BEB7+BEF7+BEJ7+BEN7+BER7</f>
        <v>114688.67399999998</v>
      </c>
      <c r="BEW7" s="769">
        <f>BDU7+BDY7+BEC7+BEG7+BEK7+BEO7+BES7</f>
        <v>0</v>
      </c>
      <c r="BEX7" s="760">
        <f>BEW7/BEU7</f>
        <v>0</v>
      </c>
      <c r="BEY7" s="593">
        <f>'Proy 2022 vs 2019 sem'!JV6*BFB$4</f>
        <v>21521.192399999996</v>
      </c>
      <c r="BEZ7" s="593">
        <f>'Proy 2022 vs 2019 sem'!JW6*BFB$4</f>
        <v>20229.920855999997</v>
      </c>
      <c r="BFA7" s="734"/>
      <c r="BFB7" s="698">
        <f>BFA7/BEY7</f>
        <v>0</v>
      </c>
      <c r="BFC7" s="593">
        <f>'Proy 2022 vs 2019 sem'!JV6*BFF$4</f>
        <v>21521.192399999996</v>
      </c>
      <c r="BFD7" s="593">
        <f>'Proy 2022 vs 2019 sem'!JW6*BFF$4</f>
        <v>20229.920855999997</v>
      </c>
      <c r="BFE7" s="734"/>
      <c r="BFF7" s="698">
        <f>BFE7/BFC7</f>
        <v>0</v>
      </c>
      <c r="BFG7" s="593">
        <f>'Proy 2022 vs 2019 sem'!JV6*BFJ$4</f>
        <v>21521.192399999996</v>
      </c>
      <c r="BFH7" s="593">
        <f>'Proy 2022 vs 2019 sem'!JW6*BFJ$4</f>
        <v>20229.920855999997</v>
      </c>
      <c r="BFI7" s="734"/>
      <c r="BFJ7" s="698">
        <f>BFI7/BFG7</f>
        <v>0</v>
      </c>
      <c r="BFK7" s="593">
        <f>'Proy 2022 vs 2019 sem'!JV6*BFN$4</f>
        <v>21521.192399999996</v>
      </c>
      <c r="BFL7" s="593">
        <f>'Proy 2022 vs 2019 sem'!JW6*BFN$4</f>
        <v>20229.920855999997</v>
      </c>
      <c r="BFM7" s="734"/>
      <c r="BFN7" s="698">
        <f>BFM7/BFK7</f>
        <v>0</v>
      </c>
      <c r="BFO7" s="593">
        <f>'Proy 2022 vs 2019 sem'!JV6*BFR$4</f>
        <v>25108.057800000002</v>
      </c>
      <c r="BFP7" s="593">
        <f>'Proy 2022 vs 2019 sem'!JW6*BFR$4</f>
        <v>23601.574332</v>
      </c>
      <c r="BFQ7" s="734"/>
      <c r="BFR7" s="698">
        <f>BFQ7/BFO7</f>
        <v>0</v>
      </c>
      <c r="BFS7" s="593">
        <f>'Proy 2022 vs 2019 sem'!JV6*BFV$4</f>
        <v>28694.923199999997</v>
      </c>
      <c r="BFT7" s="593">
        <f>'Proy 2022 vs 2019 sem'!JW6*BFV$4</f>
        <v>26973.227808</v>
      </c>
      <c r="BFU7" s="734"/>
      <c r="BFV7" s="698">
        <f>BFU7/BFS7</f>
        <v>0</v>
      </c>
      <c r="BFW7" s="593">
        <f>'Proy 2022 vs 2019 sem'!JV6*BFZ$4</f>
        <v>39455.519399999997</v>
      </c>
      <c r="BFX7" s="593">
        <f>'Proy 2022 vs 2019 sem'!JW6*BFZ$4</f>
        <v>37088.188235999995</v>
      </c>
      <c r="BFY7" s="734"/>
      <c r="BFZ7" s="698">
        <f>BFY7/BFW7</f>
        <v>0</v>
      </c>
      <c r="BGA7" s="610">
        <f>BEY7+BFC7+BFG7+BFK7+BFO7+BFS7+BFW7</f>
        <v>179343.26999999996</v>
      </c>
      <c r="BGB7" s="593">
        <f>BEZ7+BFD7+BFH7+BFL7+BFP7+BFT7+BFX7</f>
        <v>168582.67379999999</v>
      </c>
      <c r="BGC7" s="729">
        <f>BFA7+BFE7+BFI7+BFM7+BFQ7+BFU7+BFY7</f>
        <v>0</v>
      </c>
      <c r="BGD7" s="709">
        <f>BGC7/BGA7</f>
        <v>0</v>
      </c>
      <c r="BGE7" s="593">
        <f>'Proy 2022 vs 2019 sem'!KA6*BGH$4</f>
        <v>28022.9172</v>
      </c>
      <c r="BGF7" s="593">
        <f>'Proy 2022 vs 2019 sem'!KB6*BGH$4</f>
        <v>26061.312996000001</v>
      </c>
      <c r="BGG7" s="697"/>
      <c r="BGH7" s="698">
        <f>BGG7/BGE7</f>
        <v>0</v>
      </c>
      <c r="BGI7" s="593">
        <f>'Proy 2022 vs 2019 sem'!KA6*BGL$4</f>
        <v>28022.9172</v>
      </c>
      <c r="BGJ7" s="593">
        <f>'Proy 2022 vs 2019 sem'!KB6*BGL$4</f>
        <v>26061.312996000001</v>
      </c>
      <c r="BGK7" s="697"/>
      <c r="BGL7" s="698">
        <f>BGK7/BGI7</f>
        <v>0</v>
      </c>
      <c r="BGM7" s="593">
        <f>'Proy 2022 vs 2019 sem'!KA6*BGP$4</f>
        <v>28022.9172</v>
      </c>
      <c r="BGN7" s="593">
        <f>'Proy 2022 vs 2019 sem'!KB6*BGP$4</f>
        <v>26061.312996000001</v>
      </c>
      <c r="BGO7" s="697"/>
      <c r="BGP7" s="698">
        <f>BGO7/BGM7</f>
        <v>0</v>
      </c>
      <c r="BGQ7" s="593">
        <f>'Proy 2022 vs 2019 sem'!KA6*BGT$4</f>
        <v>28022.9172</v>
      </c>
      <c r="BGR7" s="593">
        <f>'Proy 2022 vs 2019 sem'!KB6*BGT$4</f>
        <v>26061.312996000001</v>
      </c>
      <c r="BGS7" s="697"/>
      <c r="BGT7" s="698">
        <f>BGS7/BGQ7</f>
        <v>0</v>
      </c>
      <c r="BGU7" s="593">
        <f>'Proy 2022 vs 2019 sem'!KA6*BGX$4</f>
        <v>32693.403400000003</v>
      </c>
      <c r="BGV7" s="593">
        <f>'Proy 2022 vs 2019 sem'!KB6*BGX$4</f>
        <v>30404.865162000006</v>
      </c>
      <c r="BGW7" s="697"/>
      <c r="BGX7" s="698">
        <f>BGW7/BGU7</f>
        <v>0</v>
      </c>
      <c r="BGY7" s="593">
        <f>'Proy 2022 vs 2019 sem'!KA6*BHB$4</f>
        <v>37363.889600000002</v>
      </c>
      <c r="BGZ7" s="593">
        <f>'Proy 2022 vs 2019 sem'!KB6*BHB$4</f>
        <v>34748.417328000003</v>
      </c>
      <c r="BHA7" s="697"/>
      <c r="BHB7" s="698">
        <f>BHA7/BGY7</f>
        <v>0</v>
      </c>
      <c r="BHC7" s="593">
        <f>'Proy 2022 vs 2019 sem'!KA6*BHF$4</f>
        <v>51375.3482</v>
      </c>
      <c r="BHD7" s="593">
        <f>'Proy 2022 vs 2019 sem'!KB6*BHF$4</f>
        <v>47779.073826000007</v>
      </c>
      <c r="BHE7" s="697"/>
      <c r="BHF7" s="698">
        <f>BHE7/BHC7</f>
        <v>0</v>
      </c>
      <c r="BHG7" s="610">
        <f>BGE7+BGI7+BGM7+BGQ7+BGU7+BGY7+BHC7</f>
        <v>233524.31</v>
      </c>
      <c r="BHH7" s="593">
        <f>BGF7+BGJ7+BGN7+BGR7+BGV7+BGZ7+BHD7</f>
        <v>217177.60830000002</v>
      </c>
      <c r="BHI7" s="729">
        <f>BGG7+BGK7+BGO7+BGS7+BGW7+BHA7+BHE7</f>
        <v>0</v>
      </c>
      <c r="BHJ7" s="709">
        <f>BHI7/BHG7</f>
        <v>0</v>
      </c>
      <c r="BHK7" s="593">
        <f>'Proy 2022 vs 2019 sem'!KF6*BHN$4</f>
        <v>31155.799199999998</v>
      </c>
      <c r="BHL7" s="593">
        <f>'Proy 2022 vs 2019 sem'!KG6*BHN$4</f>
        <v>28974.893255999999</v>
      </c>
      <c r="BHM7" s="697"/>
      <c r="BHN7" s="698">
        <f>BHM7/BHK7</f>
        <v>0</v>
      </c>
      <c r="BHO7" s="593">
        <f>'Proy 2022 vs 2019 sem'!KF6*BHR$4</f>
        <v>31155.799199999998</v>
      </c>
      <c r="BHP7" s="593">
        <f>'Proy 2022 vs 2019 sem'!KG6*BHR$4</f>
        <v>28974.893255999999</v>
      </c>
      <c r="BHQ7" s="697"/>
      <c r="BHR7" s="698">
        <f>BHQ7/BHO7</f>
        <v>0</v>
      </c>
      <c r="BHS7" s="593">
        <f>'Proy 2022 vs 2019 sem'!KF6*BHV$4</f>
        <v>31155.799199999998</v>
      </c>
      <c r="BHT7" s="593">
        <f>'Proy 2022 vs 2019 sem'!KG6*BHV$4</f>
        <v>28974.893255999999</v>
      </c>
      <c r="BHU7" s="697"/>
      <c r="BHV7" s="698">
        <f>BHU7/BHS7</f>
        <v>0</v>
      </c>
      <c r="BHW7" s="593">
        <f>'Proy 2022 vs 2019 sem'!KF6*BHZ$4</f>
        <v>31155.799199999998</v>
      </c>
      <c r="BHX7" s="593">
        <f>'Proy 2022 vs 2019 sem'!KG6*BHZ$4</f>
        <v>28974.893255999999</v>
      </c>
      <c r="BHY7" s="697"/>
      <c r="BHZ7" s="698">
        <f>BHY7/BHW7</f>
        <v>0</v>
      </c>
      <c r="BIA7" s="593">
        <f>'Proy 2022 vs 2019 sem'!KF6*BID$4</f>
        <v>36348.432400000005</v>
      </c>
      <c r="BIB7" s="593">
        <f>'Proy 2022 vs 2019 sem'!KG6*BID$4</f>
        <v>33804.042132000002</v>
      </c>
      <c r="BIC7" s="697"/>
      <c r="BID7" s="698">
        <f>BIC7/BIA7</f>
        <v>0</v>
      </c>
      <c r="BIE7" s="593">
        <f>'Proy 2022 vs 2019 sem'!KF6*BIH$4</f>
        <v>41541.065600000002</v>
      </c>
      <c r="BIF7" s="593">
        <f>'Proy 2022 vs 2019 sem'!KG6*BIH$4</f>
        <v>38633.191008000002</v>
      </c>
      <c r="BIG7" s="697"/>
      <c r="BIH7" s="698">
        <f>BIG7/BIE7</f>
        <v>0</v>
      </c>
      <c r="BII7" s="593">
        <f>'Proy 2022 vs 2019 sem'!KF6*BIL$4</f>
        <v>57118.965199999999</v>
      </c>
      <c r="BIJ7" s="593">
        <f>'Proy 2022 vs 2019 sem'!KG6*BIL$4</f>
        <v>53120.637635999999</v>
      </c>
      <c r="BIK7" s="697"/>
      <c r="BIL7" s="698">
        <f>BIK7/BII7</f>
        <v>0</v>
      </c>
      <c r="BIM7" s="610">
        <f>BHK7+BHO7+BHS7+BHW7+BIA7+BIE7+BII7</f>
        <v>259631.66</v>
      </c>
      <c r="BIN7" s="593">
        <f>BHL7+BHP7+BHT7+BHX7+BIB7+BIF7+BIJ7</f>
        <v>241457.44380000001</v>
      </c>
      <c r="BIO7" s="729">
        <f>BHM7+BHQ7+BHU7+BHY7+BIC7+BIG7+BIK7</f>
        <v>0</v>
      </c>
      <c r="BIP7" s="709">
        <f>BIO7/BIM7</f>
        <v>0</v>
      </c>
      <c r="BIQ7" s="593">
        <f>'Proy 2022 vs 2019 sem'!KK6*BIT$4</f>
        <v>29376.207600000002</v>
      </c>
      <c r="BIR7" s="593">
        <f>'Proy 2022 vs 2019 sem'!KL6*BIT$4</f>
        <v>27319.873068000001</v>
      </c>
      <c r="BIS7" s="697"/>
      <c r="BIT7" s="698">
        <f>BIS7/BIQ7</f>
        <v>0</v>
      </c>
      <c r="BIU7" s="593">
        <f>'Proy 2022 vs 2019 sem'!KK6*BIX$4</f>
        <v>29376.207600000002</v>
      </c>
      <c r="BIV7" s="593">
        <f>'Proy 2022 vs 2019 sem'!KL6*BIX$4</f>
        <v>27319.873068000001</v>
      </c>
      <c r="BIW7" s="697"/>
      <c r="BIX7" s="698">
        <f>BIW7/BIU7</f>
        <v>0</v>
      </c>
      <c r="BIY7" s="593">
        <f>'Proy 2022 vs 2019 sem'!KK6*BJB$4</f>
        <v>29376.207600000002</v>
      </c>
      <c r="BIZ7" s="593">
        <f>'Proy 2022 vs 2019 sem'!KL6*BJB$4</f>
        <v>27319.873068000001</v>
      </c>
      <c r="BJA7" s="697"/>
      <c r="BJB7" s="698">
        <f>BJA7/BIY7</f>
        <v>0</v>
      </c>
      <c r="BJC7" s="593">
        <f>'Proy 2022 vs 2019 sem'!KK6*BJF$4</f>
        <v>29376.207600000002</v>
      </c>
      <c r="BJD7" s="593">
        <f>'Proy 2022 vs 2019 sem'!KL6*BJF$4</f>
        <v>27319.873068000001</v>
      </c>
      <c r="BJE7" s="697"/>
      <c r="BJF7" s="698">
        <f>BJE7/BJC7</f>
        <v>0</v>
      </c>
      <c r="BJG7" s="593">
        <f>'Proy 2022 vs 2019 sem'!KK6*BJJ$4</f>
        <v>34272.242200000008</v>
      </c>
      <c r="BJH7" s="593">
        <f>'Proy 2022 vs 2019 sem'!KL6*BJJ$4</f>
        <v>31873.185246000005</v>
      </c>
      <c r="BJI7" s="697"/>
      <c r="BJJ7" s="698">
        <f>BJI7/BJG7</f>
        <v>0</v>
      </c>
      <c r="BJK7" s="593">
        <f>'Proy 2022 vs 2019 sem'!KK6*BJN$4</f>
        <v>39168.2768</v>
      </c>
      <c r="BJL7" s="593">
        <f>'Proy 2022 vs 2019 sem'!KL6*BJN$4</f>
        <v>36426.497424000001</v>
      </c>
      <c r="BJM7" s="697"/>
      <c r="BJN7" s="698">
        <f>BJM7/BJK7</f>
        <v>0</v>
      </c>
      <c r="BJO7" s="593">
        <f>'Proy 2022 vs 2019 sem'!KK6*BJR$4</f>
        <v>53856.380600000004</v>
      </c>
      <c r="BJP7" s="593">
        <f>'Proy 2022 vs 2019 sem'!KL6*BJR$4</f>
        <v>50086.433958000001</v>
      </c>
      <c r="BJQ7" s="697"/>
      <c r="BJR7" s="698">
        <f>BJQ7/BJO7</f>
        <v>0</v>
      </c>
      <c r="BJS7" s="610">
        <f>BIQ7+BIU7+BIY7+BJC7+BJG7+BJK7+BJO7</f>
        <v>244801.73</v>
      </c>
      <c r="BJT7" s="593">
        <f>BIR7+BIV7+BIZ7+BJD7+BJH7+BJL7+BJP7</f>
        <v>227665.60890000002</v>
      </c>
      <c r="BJU7" s="708">
        <f>BIS7+BIW7+BJA7+BJE7+BJI7+BJM7+BJQ7</f>
        <v>0</v>
      </c>
      <c r="BJV7" s="709">
        <f>BJU7/BJS7</f>
        <v>0</v>
      </c>
      <c r="BJW7" s="593">
        <f>'Proy 2022 vs 2019 sem'!KP6*BJZ$4</f>
        <v>7880.174399999999</v>
      </c>
      <c r="BJX7" s="593">
        <f>'Proy 2022 vs 2019 sem'!KQ6*BJZ$4</f>
        <v>7486.1656799999992</v>
      </c>
      <c r="BJY7" s="697"/>
      <c r="BJZ7" s="698">
        <f>BJY7/BJW7</f>
        <v>0</v>
      </c>
      <c r="BKA7" s="593">
        <f>'Proy 2022 vs 2019 sem'!KP6*BKD$4</f>
        <v>7880.174399999999</v>
      </c>
      <c r="BKB7" s="593">
        <f>'Proy 2022 vs 2019 sem'!KQ6*BKD$4</f>
        <v>7486.1656799999992</v>
      </c>
      <c r="BKC7" s="697"/>
      <c r="BKD7" s="698">
        <f>BKC7/BKA7</f>
        <v>0</v>
      </c>
      <c r="BKE7" s="593">
        <f>'Proy 2022 vs 2019 sem'!KP6*BKH$4</f>
        <v>7880.174399999999</v>
      </c>
      <c r="BKF7" s="593">
        <f>'Proy 2022 vs 2019 sem'!KQ6*BKH$4</f>
        <v>7486.1656799999992</v>
      </c>
      <c r="BKG7" s="697"/>
      <c r="BKH7" s="698">
        <f>BKG7/BKE7</f>
        <v>0</v>
      </c>
      <c r="BKI7" s="593">
        <f>'Proy 2022 vs 2019 sem'!KP6*BKL$4</f>
        <v>7880.174399999999</v>
      </c>
      <c r="BKJ7" s="593">
        <f>'Proy 2022 vs 2019 sem'!KQ6*BKL$4</f>
        <v>7486.1656799999992</v>
      </c>
      <c r="BKK7" s="697"/>
      <c r="BKL7" s="698">
        <f>BKK7/BKI7</f>
        <v>0</v>
      </c>
      <c r="BKM7" s="593">
        <f>'Proy 2022 vs 2019 sem'!KP6*BKP$4</f>
        <v>9193.5367999999999</v>
      </c>
      <c r="BKN7" s="593">
        <f>'Proy 2022 vs 2019 sem'!KQ6*BKP$4</f>
        <v>8733.8599599999998</v>
      </c>
      <c r="BKO7" s="697"/>
      <c r="BKP7" s="698">
        <f>BKO7/BKM7</f>
        <v>0</v>
      </c>
      <c r="BKQ7" s="593">
        <f>'Proy 2022 vs 2019 sem'!KP6*BKT$4</f>
        <v>10506.8992</v>
      </c>
      <c r="BKR7" s="593">
        <f>'Proy 2022 vs 2019 sem'!KQ6*BKT$4</f>
        <v>9981.5542399999995</v>
      </c>
      <c r="BKS7" s="697"/>
      <c r="BKT7" s="698">
        <f>BKS7/BKQ7</f>
        <v>0</v>
      </c>
      <c r="BKU7" s="593">
        <f>'Proy 2022 vs 2019 sem'!KP6*BKX$4</f>
        <v>14446.9864</v>
      </c>
      <c r="BKV7" s="593">
        <f>'Proy 2022 vs 2019 sem'!KQ6*BKX$4</f>
        <v>13724.637079999999</v>
      </c>
      <c r="BKW7" s="697"/>
      <c r="BKX7" s="698">
        <f>BKW7/BKU7</f>
        <v>0</v>
      </c>
      <c r="BKY7" s="610">
        <f>BJW7+BKA7+BKE7+BKI7+BKM7+BKQ7+BKU7</f>
        <v>65668.12</v>
      </c>
      <c r="BKZ7" s="593">
        <f>BJX7+BKB7+BKF7+BKJ7+BKN7+BKR7+BKV7</f>
        <v>62384.713999999993</v>
      </c>
      <c r="BLA7" s="708">
        <f>BJY7+BKC7+BKG7+BKK7+BKO7+BKS7+BKW7</f>
        <v>0</v>
      </c>
      <c r="BLB7" s="709">
        <f>BLA7/BKY7</f>
        <v>0</v>
      </c>
    </row>
    <row r="8" spans="2:1666" ht="15.75" customHeight="1">
      <c r="B8" s="934" t="s">
        <v>470</v>
      </c>
      <c r="C8" s="593">
        <f>'Proy 2022 vs 2019 sem'!$C$6*$F$4</f>
        <v>9529.1268</v>
      </c>
      <c r="D8" s="593">
        <f>'Proy 2022 vs 2019 sem'!$D$6*$F$4</f>
        <v>8480.9228519999997</v>
      </c>
      <c r="E8" s="735"/>
      <c r="F8" s="700">
        <f>E8/C8</f>
        <v>0</v>
      </c>
      <c r="G8" s="1414">
        <f>'Proy 2022 vs 2019 sem'!C7*$J$4</f>
        <v>7555.3739999999998</v>
      </c>
      <c r="H8" s="593">
        <f>'Proy 2022 vs 2019 sem'!D7*$J$4</f>
        <v>6724.2828599999993</v>
      </c>
      <c r="I8" s="735"/>
      <c r="J8" s="700">
        <f>I8/G8</f>
        <v>0</v>
      </c>
      <c r="K8" s="593">
        <f>'Proy 2022 vs 2019 sem'!C7*$N$4</f>
        <v>7555.3739999999998</v>
      </c>
      <c r="L8" s="593">
        <f>'Proy 2022 vs 2019 sem'!D7*N$4</f>
        <v>6724.2828599999993</v>
      </c>
      <c r="M8" s="735"/>
      <c r="N8" s="700">
        <f>M8/K8</f>
        <v>0</v>
      </c>
      <c r="O8" s="593">
        <f>'Proy 2022 vs 2019 sem'!C7*R$4</f>
        <v>7555.3739999999998</v>
      </c>
      <c r="P8" s="593">
        <f>'Proy 2022 vs 2019 sem'!D7*$R$4</f>
        <v>6724.2828599999993</v>
      </c>
      <c r="Q8" s="735"/>
      <c r="R8" s="700">
        <f>Q8/O8</f>
        <v>0</v>
      </c>
      <c r="S8" s="593">
        <f>'Proy 2022 vs 2019 sem'!C7*V$4</f>
        <v>8814.603000000001</v>
      </c>
      <c r="T8" s="593">
        <f>'Proy 2022 vs 2019 sem'!D7*V$4</f>
        <v>7844.9966700000004</v>
      </c>
      <c r="U8" s="735"/>
      <c r="V8" s="700">
        <f>U8/S8</f>
        <v>0</v>
      </c>
      <c r="W8" s="593">
        <f>'Proy 2022 vs 2019 sem'!C7*Z$4</f>
        <v>10073.832</v>
      </c>
      <c r="X8" s="593">
        <f>'Proy 2022 vs 2019 sem'!D7*Z$4</f>
        <v>8965.7104799999997</v>
      </c>
      <c r="Y8" s="735"/>
      <c r="Z8" s="700">
        <f>Y8/W8</f>
        <v>0</v>
      </c>
      <c r="AA8" s="593">
        <f>'Proy 2022 vs 2019 sem'!C7*AD$4</f>
        <v>13851.519</v>
      </c>
      <c r="AB8" s="593">
        <f>'Proy 2022 vs 2019 sem'!D7*AD$4</f>
        <v>12327.851909999999</v>
      </c>
      <c r="AC8" s="735"/>
      <c r="AD8" s="700">
        <f>AC8/AA8</f>
        <v>0</v>
      </c>
      <c r="AE8" s="579">
        <f>C8+G8+K8+O8+S8+W8+AA8</f>
        <v>64935.202800000006</v>
      </c>
      <c r="AF8" s="574">
        <f>D8+H8+L8+P8+T8+X8+AB8</f>
        <v>57792.330492000001</v>
      </c>
      <c r="AG8" s="729">
        <f>E8+I8+M8+Q8+U8+Y8+AC8</f>
        <v>0</v>
      </c>
      <c r="AH8" s="711">
        <f>AG8/AE8</f>
        <v>0</v>
      </c>
      <c r="AI8" s="593">
        <f>'Proy 2022 vs 2019 sem'!H7*AL$4</f>
        <v>8104.1724000000004</v>
      </c>
      <c r="AJ8" s="611">
        <f>'Proy 2022 vs 2019 sem'!I7*AL$4</f>
        <v>7212.7134360000009</v>
      </c>
      <c r="AK8" s="699"/>
      <c r="AL8" s="700">
        <f>AK8/AI8</f>
        <v>0</v>
      </c>
      <c r="AM8" s="593">
        <f>'Proy 2022 vs 2019 sem'!H7*AP$4</f>
        <v>8104.1724000000004</v>
      </c>
      <c r="AN8" s="593">
        <f>'Proy 2022 vs 2019 sem'!I7*AP$4</f>
        <v>7212.7134360000009</v>
      </c>
      <c r="AO8" s="699"/>
      <c r="AP8" s="700">
        <f>AO8/AM8</f>
        <v>0</v>
      </c>
      <c r="AQ8" s="593">
        <f>'Proy 2022 vs 2019 sem'!H7*AT$4</f>
        <v>8104.1724000000004</v>
      </c>
      <c r="AR8" s="593">
        <f>'Proy 2022 vs 2019 sem'!I7*AT$4</f>
        <v>7212.7134360000009</v>
      </c>
      <c r="AS8" s="699"/>
      <c r="AT8" s="700">
        <f>AS8/AQ8</f>
        <v>0</v>
      </c>
      <c r="AU8" s="593">
        <f>'Proy 2022 vs 2019 sem'!H7*AX$4</f>
        <v>8104.1724000000004</v>
      </c>
      <c r="AV8" s="593">
        <f>'Proy 2022 vs 2019 sem'!I7*AX$4</f>
        <v>7212.7134360000009</v>
      </c>
      <c r="AW8" s="699"/>
      <c r="AX8" s="700">
        <f>AW8/AU8</f>
        <v>0</v>
      </c>
      <c r="AY8" s="593">
        <f>'Proy 2022 vs 2019 sem'!H7*BB$4</f>
        <v>9454.8678000000018</v>
      </c>
      <c r="AZ8" s="593">
        <f>'Proy 2022 vs 2019 sem'!I7*BB$4</f>
        <v>8414.8323420000015</v>
      </c>
      <c r="BA8" s="699"/>
      <c r="BB8" s="700">
        <f>BA8/AY8</f>
        <v>0</v>
      </c>
      <c r="BC8" s="593">
        <f>'Proy 2022 vs 2019 sem'!H7*BF$4</f>
        <v>10805.563200000001</v>
      </c>
      <c r="BD8" s="593">
        <f>'Proy 2022 vs 2019 sem'!I7*BF$4</f>
        <v>9616.9512480000012</v>
      </c>
      <c r="BE8" s="699"/>
      <c r="BF8" s="700">
        <f>BE8/BC8</f>
        <v>0</v>
      </c>
      <c r="BG8" s="593">
        <f>'Proy 2022 vs 2019 sem'!H7*BJ$4</f>
        <v>14857.6494</v>
      </c>
      <c r="BH8" s="593">
        <f>'Proy 2022 vs 2019 sem'!I7*BJ$4</f>
        <v>13223.307966000002</v>
      </c>
      <c r="BI8" s="699"/>
      <c r="BJ8" s="700">
        <f>BI8/BG8</f>
        <v>0</v>
      </c>
      <c r="BK8" s="579">
        <f>AI8+AM8+AQ8+AU8+AY8+BC8+BG8</f>
        <v>67534.77</v>
      </c>
      <c r="BL8" s="574">
        <f>AJ8+AN8+AR8+AV8+AZ8+BD8+BH8</f>
        <v>60105.945299999999</v>
      </c>
      <c r="BM8" s="730">
        <f>AK8+AO8+AS8+AW8+BA8+BE8+BI8</f>
        <v>0</v>
      </c>
      <c r="BN8" s="711">
        <f>BM8/BK8</f>
        <v>0</v>
      </c>
      <c r="BO8" s="593">
        <f>'Proy 2022 vs 2019 sem'!M7*BR$4</f>
        <v>7846.8971999999994</v>
      </c>
      <c r="BP8" s="593">
        <f>'Proy 2022 vs 2019 sem'!N7*BR$4</f>
        <v>6983.7385079999995</v>
      </c>
      <c r="BQ8" s="699"/>
      <c r="BR8" s="700">
        <f>BQ8/BO8</f>
        <v>0</v>
      </c>
      <c r="BS8" s="593">
        <f>'Proy 2022 vs 2019 sem'!M7*BV$4</f>
        <v>7846.8971999999994</v>
      </c>
      <c r="BT8" s="593">
        <f>'Proy 2022 vs 2019 sem'!N7*BV$4</f>
        <v>6983.7385079999995</v>
      </c>
      <c r="BU8" s="699"/>
      <c r="BV8" s="700">
        <f>BU8/BS8</f>
        <v>0</v>
      </c>
      <c r="BW8" s="593">
        <f>'Proy 2022 vs 2019 sem'!M7*BZ$4</f>
        <v>7846.8971999999994</v>
      </c>
      <c r="BX8" s="593">
        <f>'Proy 2022 vs 2019 sem'!N7*BZ$4</f>
        <v>6983.7385079999995</v>
      </c>
      <c r="BY8" s="699"/>
      <c r="BZ8" s="700">
        <f>BY8/BW8</f>
        <v>0</v>
      </c>
      <c r="CA8" s="593">
        <f>'Proy 2022 vs 2019 sem'!M7*CD$4</f>
        <v>7846.8971999999994</v>
      </c>
      <c r="CB8" s="593">
        <f>'Proy 2022 vs 2019 sem'!N7*CD$4</f>
        <v>6983.7385079999995</v>
      </c>
      <c r="CC8" s="699"/>
      <c r="CD8" s="700">
        <f>CC8/CA8</f>
        <v>0</v>
      </c>
      <c r="CE8" s="593">
        <f>'Proy 2022 vs 2019 sem'!M7*CH$4</f>
        <v>9154.7134000000005</v>
      </c>
      <c r="CF8" s="593">
        <f>'Proy 2022 vs 2019 sem'!N7*CH$4</f>
        <v>8147.694926000001</v>
      </c>
      <c r="CG8" s="699"/>
      <c r="CH8" s="700">
        <f>CG8/CE8</f>
        <v>0</v>
      </c>
      <c r="CI8" s="593">
        <f>'Proy 2022 vs 2019 sem'!M7*CL$4</f>
        <v>10462.5296</v>
      </c>
      <c r="CJ8" s="593">
        <f>'Proy 2022 vs 2019 sem'!N7*CL$4</f>
        <v>9311.6513439999999</v>
      </c>
      <c r="CK8" s="699"/>
      <c r="CL8" s="700">
        <f>CK8/CI8</f>
        <v>0</v>
      </c>
      <c r="CM8" s="593">
        <f>'Proy 2022 vs 2019 sem'!M7*CP$4</f>
        <v>14385.9782</v>
      </c>
      <c r="CN8" s="593">
        <f>'Proy 2022 vs 2019 sem'!N7*CP$4</f>
        <v>12803.520597999999</v>
      </c>
      <c r="CO8" s="699"/>
      <c r="CP8" s="700">
        <f>CO8/CM8</f>
        <v>0</v>
      </c>
      <c r="CQ8" s="579">
        <f>BO8+BS8+BW8+CA8+CE8+CI8+CM8</f>
        <v>65390.81</v>
      </c>
      <c r="CR8" s="574">
        <f>BP8+BT8+BX8+CB8+CF8+CJ8+CN8</f>
        <v>58197.820899999992</v>
      </c>
      <c r="CS8" s="730">
        <f>BQ8+BU8+BY8+CC8+CG8+CK8+CO8</f>
        <v>0</v>
      </c>
      <c r="CT8" s="711">
        <f>CS8/CQ8</f>
        <v>0</v>
      </c>
      <c r="CU8" s="593">
        <f>'Proy 2022 vs 2019 sem'!R7*CX$4</f>
        <v>8866.1099999999988</v>
      </c>
      <c r="CV8" s="593">
        <f>'Proy 2022 vs 2019 sem'!S7*CX$4</f>
        <v>7979.4989999999998</v>
      </c>
      <c r="CW8" s="699"/>
      <c r="CX8" s="700">
        <f>CW8/CU8</f>
        <v>0</v>
      </c>
      <c r="CY8" s="593">
        <f>'Proy 2022 vs 2019 sem'!R7*DB$4</f>
        <v>8866.1099999999988</v>
      </c>
      <c r="CZ8" s="593">
        <f>'Proy 2022 vs 2019 sem'!S7*DB$4</f>
        <v>7979.4989999999998</v>
      </c>
      <c r="DA8" s="699"/>
      <c r="DB8" s="700">
        <f>DA8/CY8</f>
        <v>0</v>
      </c>
      <c r="DC8" s="593">
        <f>'Proy 2022 vs 2019 sem'!R7*DF$4</f>
        <v>8866.1099999999988</v>
      </c>
      <c r="DD8" s="593">
        <f>'Proy 2022 vs 2019 sem'!S7*DF$4</f>
        <v>7979.4989999999998</v>
      </c>
      <c r="DE8" s="699"/>
      <c r="DF8" s="700">
        <f>DE8/DC8</f>
        <v>0</v>
      </c>
      <c r="DG8" s="593">
        <f>'Proy 2022 vs 2019 sem'!R7*DJ$4</f>
        <v>8866.1099999999988</v>
      </c>
      <c r="DH8" s="593">
        <f>'Proy 2022 vs 2019 sem'!S7*DJ$4</f>
        <v>7979.4989999999998</v>
      </c>
      <c r="DI8" s="699"/>
      <c r="DJ8" s="700">
        <f>DI8/DG8</f>
        <v>0</v>
      </c>
      <c r="DK8" s="593">
        <f>'Proy 2022 vs 2019 sem'!R7*DN$4</f>
        <v>10343.795000000002</v>
      </c>
      <c r="DL8" s="593">
        <f>'Proy 2022 vs 2019 sem'!S7*DN$4</f>
        <v>9309.415500000001</v>
      </c>
      <c r="DM8" s="699"/>
      <c r="DN8" s="700">
        <f>DM8/DK8</f>
        <v>0</v>
      </c>
      <c r="DO8" s="593">
        <f>'Proy 2022 vs 2019 sem'!R7*DR$4</f>
        <v>11821.48</v>
      </c>
      <c r="DP8" s="593">
        <f>'Proy 2022 vs 2019 sem'!S7*DR$4</f>
        <v>10639.332</v>
      </c>
      <c r="DQ8" s="699"/>
      <c r="DR8" s="700">
        <f>DQ8/DO8</f>
        <v>0</v>
      </c>
      <c r="DS8" s="593">
        <f>'Proy 2022 vs 2019 sem'!R7*DV$4</f>
        <v>16254.535</v>
      </c>
      <c r="DT8" s="593">
        <f>'Proy 2022 vs 2019 sem'!S7*DV$4</f>
        <v>14629.0815</v>
      </c>
      <c r="DU8" s="699"/>
      <c r="DV8" s="700">
        <f>DU8/DS8</f>
        <v>0</v>
      </c>
      <c r="DW8" s="579">
        <f>CU8+CY8+DC8+DG8+DK8+DO8+DS8</f>
        <v>73884.25</v>
      </c>
      <c r="DX8" s="574">
        <f>CV8+CZ8+DD8+DH8+DL8+DP8+DT8</f>
        <v>66495.825000000012</v>
      </c>
      <c r="DY8" s="710">
        <f>CW8+DA8+DE8+DI8+DM8+DQ8+DU8</f>
        <v>0</v>
      </c>
      <c r="DZ8" s="711">
        <f>DY8/DW8</f>
        <v>0</v>
      </c>
      <c r="EA8" s="593">
        <f>'Proy 2022 vs 2019 sem'!AA7*ED$4</f>
        <v>8888.9292000000005</v>
      </c>
      <c r="EB8" s="593">
        <f>'Proy 2022 vs 2019 sem'!AB7*ED$4</f>
        <v>7911.1469879999995</v>
      </c>
      <c r="EC8" s="735"/>
      <c r="ED8" s="700">
        <f>EC8/EA8</f>
        <v>0</v>
      </c>
      <c r="EE8" s="593">
        <f>'Proy 2022 vs 2019 sem'!AA7*EH$4</f>
        <v>8888.9292000000005</v>
      </c>
      <c r="EF8" s="593">
        <f>'Proy 2022 vs 2019 sem'!AB7*EH$4</f>
        <v>7911.1469879999995</v>
      </c>
      <c r="EG8" s="699"/>
      <c r="EH8" s="700">
        <f>EG8/EE8</f>
        <v>0</v>
      </c>
      <c r="EI8" s="593">
        <f>'Proy 2022 vs 2019 sem'!AA7*EL$4</f>
        <v>8888.9292000000005</v>
      </c>
      <c r="EJ8" s="593">
        <f>'Proy 2022 vs 2019 sem'!AB7*EL$4</f>
        <v>7911.1469879999995</v>
      </c>
      <c r="EK8" s="699"/>
      <c r="EL8" s="700">
        <f>EK8/EI8</f>
        <v>0</v>
      </c>
      <c r="EM8" s="593">
        <f>'Proy 2022 vs 2019 sem'!AA7*EP$4</f>
        <v>8888.9292000000005</v>
      </c>
      <c r="EN8" s="593">
        <f>'Proy 2022 vs 2019 sem'!AB7*EP$4</f>
        <v>7911.1469879999995</v>
      </c>
      <c r="EO8" s="699"/>
      <c r="EP8" s="700">
        <f>EO8/EM8</f>
        <v>0</v>
      </c>
      <c r="EQ8" s="593">
        <f>'Proy 2022 vs 2019 sem'!AA7*ET$4</f>
        <v>10370.417400000002</v>
      </c>
      <c r="ER8" s="593">
        <f>'Proy 2022 vs 2019 sem'!AB7*ET$4</f>
        <v>9229.6714860000011</v>
      </c>
      <c r="ES8" s="699"/>
      <c r="ET8" s="700">
        <f>ES8/EQ8</f>
        <v>0</v>
      </c>
      <c r="EU8" s="593">
        <f>'Proy 2022 vs 2019 sem'!AA7*EX$4</f>
        <v>11851.9056</v>
      </c>
      <c r="EV8" s="593">
        <f>'Proy 2022 vs 2019 sem'!AB7*EX$4</f>
        <v>10548.195984</v>
      </c>
      <c r="EW8" s="699"/>
      <c r="EX8" s="700">
        <f>EW8/EU8</f>
        <v>0</v>
      </c>
      <c r="EY8" s="593">
        <f>'Proy 2022 vs 2019 sem'!AA7*FB$4</f>
        <v>16296.370200000001</v>
      </c>
      <c r="EZ8" s="593">
        <f>'Proy 2022 vs 2019 sem'!AB7*FB$4</f>
        <v>14503.769478</v>
      </c>
      <c r="FA8" s="699"/>
      <c r="FB8" s="700">
        <f>FA8/EY8</f>
        <v>0</v>
      </c>
      <c r="FC8" s="579">
        <f>EA8+EE8+EI8+EM8+EQ8+EU8+EY8</f>
        <v>74074.41</v>
      </c>
      <c r="FD8" s="574">
        <f>EB8+EF8+EJ8+EN8+ER8+EV8+EZ8</f>
        <v>65926.224900000001</v>
      </c>
      <c r="FE8" s="793">
        <f>EC8+EG8+EK8+EO8+ES8+EW8+FA8</f>
        <v>0</v>
      </c>
      <c r="FF8" s="786">
        <f>FE8/FC8</f>
        <v>0</v>
      </c>
      <c r="FG8" s="593">
        <f>'Proy 2022 vs 2019 sem'!AF7*FJ$4</f>
        <v>11142.901199999998</v>
      </c>
      <c r="FH8" s="593">
        <f>'Proy 2022 vs 2019 sem'!AG7*FJ$4</f>
        <v>9805.7530559999996</v>
      </c>
      <c r="FI8" s="699"/>
      <c r="FJ8" s="700">
        <f>FI8/FG8</f>
        <v>0</v>
      </c>
      <c r="FK8" s="593">
        <f>'Proy 2022 vs 2019 sem'!AF7*FN$4</f>
        <v>11142.901199999998</v>
      </c>
      <c r="FL8" s="593">
        <f>'Proy 2022 vs 2019 sem'!AG7*FN$4</f>
        <v>9805.7530559999996</v>
      </c>
      <c r="FM8" s="699"/>
      <c r="FN8" s="700">
        <f>FM8/FK8</f>
        <v>0</v>
      </c>
      <c r="FO8" s="593">
        <f>'Proy 2022 vs 2019 sem'!AF7*FR$4</f>
        <v>11142.901199999998</v>
      </c>
      <c r="FP8" s="593">
        <f>'Proy 2022 vs 2019 sem'!AG7*FR$4</f>
        <v>9805.7530559999996</v>
      </c>
      <c r="FQ8" s="699"/>
      <c r="FR8" s="700">
        <f>FQ8/FO8</f>
        <v>0</v>
      </c>
      <c r="FS8" s="593">
        <f>'Proy 2022 vs 2019 sem'!AF7*FV$4</f>
        <v>11142.901199999998</v>
      </c>
      <c r="FT8" s="593">
        <f>'Proy 2022 vs 2019 sem'!AG7*FV$4</f>
        <v>9805.7530559999996</v>
      </c>
      <c r="FU8" s="699"/>
      <c r="FV8" s="700">
        <f>FU8/FS8</f>
        <v>0</v>
      </c>
      <c r="FW8" s="593">
        <f>'Proy 2022 vs 2019 sem'!AF7*FZ$4</f>
        <v>13000.0514</v>
      </c>
      <c r="FX8" s="593">
        <f>'Proy 2022 vs 2019 sem'!AG7*FZ$4</f>
        <v>11440.045232000002</v>
      </c>
      <c r="FY8" s="699"/>
      <c r="FZ8" s="700">
        <f>FY8/FW8</f>
        <v>0</v>
      </c>
      <c r="GA8" s="593">
        <f>'Proy 2022 vs 2019 sem'!AF7*GD$4</f>
        <v>14857.2016</v>
      </c>
      <c r="GB8" s="593">
        <f>'Proy 2022 vs 2019 sem'!AG7*GD$4</f>
        <v>13074.337408000001</v>
      </c>
      <c r="GC8" s="699"/>
      <c r="GD8" s="700">
        <f>GC8/GA8</f>
        <v>0</v>
      </c>
      <c r="GE8" s="593">
        <f>'Proy 2022 vs 2019 sem'!AF7*GH$4</f>
        <v>20428.6522</v>
      </c>
      <c r="GF8" s="593">
        <f>'Proy 2022 vs 2019 sem'!AG7*GH$4</f>
        <v>17977.213936</v>
      </c>
      <c r="GG8" s="699"/>
      <c r="GH8" s="700">
        <f>GG8/GE8</f>
        <v>0</v>
      </c>
      <c r="GI8" s="579">
        <f>FG8+FK8+FO8+FS8+FW8+GA8+GE8</f>
        <v>92857.51</v>
      </c>
      <c r="GJ8" s="574">
        <f>FH8+FL8+FP8+FT8+FX8+GB8+GF8</f>
        <v>81714.608800000002</v>
      </c>
      <c r="GK8" s="794">
        <f>FI8+FM8+FQ8+FU8+FY8+GC8+GG8</f>
        <v>0</v>
      </c>
      <c r="GL8" s="786">
        <f>GK8/GI8</f>
        <v>0</v>
      </c>
      <c r="GM8" s="593">
        <f>'Proy 2022 vs 2019 sem'!AK7*GP$4</f>
        <v>9133.3536000000004</v>
      </c>
      <c r="GN8" s="593">
        <f>'Proy 2022 vs 2019 sem'!AL7*GP$4</f>
        <v>8311.3517759999995</v>
      </c>
      <c r="GO8" s="699"/>
      <c r="GP8" s="700">
        <f>GO8/GM8</f>
        <v>0</v>
      </c>
      <c r="GQ8" s="593">
        <f>'Proy 2022 vs 2019 sem'!AK7*GT$4</f>
        <v>9133.3536000000004</v>
      </c>
      <c r="GR8" s="593">
        <f>'Proy 2022 vs 2019 sem'!AL7*GT$4</f>
        <v>8311.3517759999995</v>
      </c>
      <c r="GS8" s="699"/>
      <c r="GT8" s="700">
        <f>GS8/GQ8</f>
        <v>0</v>
      </c>
      <c r="GU8" s="593">
        <f>'Proy 2022 vs 2019 sem'!AK7*GX$4</f>
        <v>9133.3536000000004</v>
      </c>
      <c r="GV8" s="593">
        <f>'Proy 2022 vs 2019 sem'!AL7*GX$4</f>
        <v>8311.3517759999995</v>
      </c>
      <c r="GW8" s="699"/>
      <c r="GX8" s="700">
        <f>GW8/GU8</f>
        <v>0</v>
      </c>
      <c r="GY8" s="593">
        <f>'Proy 2022 vs 2019 sem'!AK7*HB$4</f>
        <v>9133.3536000000004</v>
      </c>
      <c r="GZ8" s="593">
        <f>'Proy 2022 vs 2019 sem'!AL7*HB$4</f>
        <v>8311.3517759999995</v>
      </c>
      <c r="HA8" s="699"/>
      <c r="HB8" s="700">
        <f>HA8/GY8</f>
        <v>0</v>
      </c>
      <c r="HC8" s="593">
        <f>'Proy 2022 vs 2019 sem'!AK7*HF$4</f>
        <v>10655.5792</v>
      </c>
      <c r="HD8" s="593">
        <f>'Proy 2022 vs 2019 sem'!AL7*HF$4</f>
        <v>9696.5770720000019</v>
      </c>
      <c r="HE8" s="699"/>
      <c r="HF8" s="700">
        <f>HE8/HC8</f>
        <v>0</v>
      </c>
      <c r="HG8" s="593">
        <f>'Proy 2022 vs 2019 sem'!AK7*HJ$4</f>
        <v>12177.8048</v>
      </c>
      <c r="HH8" s="593">
        <f>'Proy 2022 vs 2019 sem'!AL7*HJ$4</f>
        <v>11081.802368000001</v>
      </c>
      <c r="HI8" s="699"/>
      <c r="HJ8" s="700">
        <f>HI8/HG8</f>
        <v>0</v>
      </c>
      <c r="HK8" s="593">
        <f>'Proy 2022 vs 2019 sem'!AK7*HN$4</f>
        <v>16744.481599999999</v>
      </c>
      <c r="HL8" s="593">
        <f>'Proy 2022 vs 2019 sem'!AL7*HN$4</f>
        <v>15237.478256</v>
      </c>
      <c r="HM8" s="699"/>
      <c r="HN8" s="700">
        <f>HM8/HK8</f>
        <v>0</v>
      </c>
      <c r="HO8" s="579">
        <f>GM8+GQ8+GU8+GY8+HC8+HG8+HK8</f>
        <v>76111.28</v>
      </c>
      <c r="HP8" s="574">
        <f>GN8+GR8+GV8+GZ8+HD8+HH8+HL8</f>
        <v>69261.264800000004</v>
      </c>
      <c r="HQ8" s="794">
        <f>GO8+GS8+GW8+HA8+HE8+HI8+HM8</f>
        <v>0</v>
      </c>
      <c r="HR8" s="786">
        <f>HQ8/HO8</f>
        <v>0</v>
      </c>
      <c r="HS8" s="593">
        <f>'Proy 2022 vs 2019 sem'!AK7*HV$4</f>
        <v>9133.3536000000004</v>
      </c>
      <c r="HT8" s="593">
        <f>'Proy 2022 vs 2019 sem'!AL7*HV$4</f>
        <v>8311.3517759999995</v>
      </c>
      <c r="HU8" s="699"/>
      <c r="HV8" s="700">
        <f>HU8/HS8</f>
        <v>0</v>
      </c>
      <c r="HW8" s="593">
        <f>'Proy 2022 vs 2019 sem'!AK7*HZ$4</f>
        <v>9133.3536000000004</v>
      </c>
      <c r="HX8" s="593">
        <f>'Proy 2022 vs 2019 sem'!AL7*HZ$4</f>
        <v>8311.3517759999995</v>
      </c>
      <c r="HY8" s="699"/>
      <c r="HZ8" s="700">
        <f>HY8/HW8</f>
        <v>0</v>
      </c>
      <c r="IA8" s="593">
        <f>'Proy 2022 vs 2019 sem'!AK7*ID$4</f>
        <v>9133.3536000000004</v>
      </c>
      <c r="IB8" s="593">
        <f>'Proy 2022 vs 2019 sem'!AL7*ID$4</f>
        <v>8311.3517759999995</v>
      </c>
      <c r="IC8" s="699"/>
      <c r="ID8" s="700">
        <f>IC8/IA8</f>
        <v>0</v>
      </c>
      <c r="IE8" s="593">
        <f>'Proy 2022 vs 2019 sem'!AK7*IH$4</f>
        <v>9133.3536000000004</v>
      </c>
      <c r="IF8" s="593">
        <f>'Proy 2022 vs 2019 sem'!AL7*IH$4</f>
        <v>8311.3517759999995</v>
      </c>
      <c r="IG8" s="699"/>
      <c r="IH8" s="700">
        <f>IG8/IE8</f>
        <v>0</v>
      </c>
      <c r="II8" s="593">
        <f>'Proy 2022 vs 2019 sem'!AK7*IL$4</f>
        <v>10655.5792</v>
      </c>
      <c r="IJ8" s="593">
        <f>'Proy 2022 vs 2019 sem'!AL7*IL$4</f>
        <v>9696.5770720000019</v>
      </c>
      <c r="IK8" s="699"/>
      <c r="IL8" s="700">
        <f>IK8/II8</f>
        <v>0</v>
      </c>
      <c r="IM8" s="593">
        <f>'Proy 2022 vs 2019 sem'!AK7*IP$4</f>
        <v>12177.8048</v>
      </c>
      <c r="IN8" s="593">
        <f>'Proy 2022 vs 2019 sem'!AL7*IP$4</f>
        <v>11081.802368000001</v>
      </c>
      <c r="IO8" s="699"/>
      <c r="IP8" s="700">
        <f>IO8/IM8</f>
        <v>0</v>
      </c>
      <c r="IQ8" s="593">
        <f>'Proy 2022 vs 2019 sem'!AK7*IT$4</f>
        <v>16744.481599999999</v>
      </c>
      <c r="IR8" s="593">
        <f>'Proy 2022 vs 2019 sem'!AL7*IT$4</f>
        <v>15237.478256</v>
      </c>
      <c r="IS8" s="699"/>
      <c r="IT8" s="700">
        <f>IS8/IQ8</f>
        <v>0</v>
      </c>
      <c r="IU8" s="579">
        <f>HS8+HW8+IA8+IE8+II8+IM8+IQ8</f>
        <v>76111.28</v>
      </c>
      <c r="IV8" s="574">
        <f>HT8+HX8+IB8+IF8+IJ8+IN8+IR8</f>
        <v>69261.264800000004</v>
      </c>
      <c r="IW8" s="785">
        <f>HU8+HY8+IC8+IG8+IK8+IO8+IS8</f>
        <v>0</v>
      </c>
      <c r="IX8" s="786">
        <f>IW8/IU8</f>
        <v>0</v>
      </c>
      <c r="IY8" s="593">
        <f>'Proy 2022 vs 2019 sem'!AY7*JB$4</f>
        <v>9500.2247999999981</v>
      </c>
      <c r="IZ8" s="593">
        <f>'Proy 2022 vs 2019 sem'!AZ7*JB$4</f>
        <v>8455.2000719999996</v>
      </c>
      <c r="JA8" s="735"/>
      <c r="JB8" s="700">
        <f>JA8/IY8</f>
        <v>0</v>
      </c>
      <c r="JC8" s="593">
        <f>'Proy 2022 vs 2019 sem'!AY7*JF$4</f>
        <v>9500.2247999999981</v>
      </c>
      <c r="JD8" s="593">
        <f>'Proy 2022 vs 2019 sem'!AZ7*JF$4</f>
        <v>8455.2000719999996</v>
      </c>
      <c r="JE8" s="735"/>
      <c r="JF8" s="700">
        <f>JE8/JC8</f>
        <v>0</v>
      </c>
      <c r="JG8" s="593">
        <f>'Proy 2022 vs 2019 sem'!AY7*JJ$4</f>
        <v>9500.2247999999981</v>
      </c>
      <c r="JH8" s="593">
        <f>'Proy 2022 vs 2019 sem'!AZ7*JJ$4</f>
        <v>8455.2000719999996</v>
      </c>
      <c r="JI8" s="735"/>
      <c r="JJ8" s="700">
        <f>JI8/JG8</f>
        <v>0</v>
      </c>
      <c r="JK8" s="593">
        <f>'Proy 2022 vs 2019 sem'!AY7*JN$4</f>
        <v>9500.2247999999981</v>
      </c>
      <c r="JL8" s="593">
        <f>'Proy 2022 vs 2019 sem'!AZ7*JN$4</f>
        <v>8455.2000719999996</v>
      </c>
      <c r="JM8" s="735"/>
      <c r="JN8" s="700">
        <f>JM8/JK8</f>
        <v>0</v>
      </c>
      <c r="JO8" s="593">
        <f>'Proy 2022 vs 2019 sem'!AY7*JR$4</f>
        <v>11083.595600000001</v>
      </c>
      <c r="JP8" s="593">
        <f>'Proy 2022 vs 2019 sem'!AZ7*JR$4</f>
        <v>9864.4000840000008</v>
      </c>
      <c r="JQ8" s="735"/>
      <c r="JR8" s="700">
        <f>JQ8/JO8</f>
        <v>0</v>
      </c>
      <c r="JS8" s="593">
        <f>'Proy 2022 vs 2019 sem'!AY7*JV$4</f>
        <v>12666.966399999999</v>
      </c>
      <c r="JT8" s="593">
        <f>'Proy 2022 vs 2019 sem'!AZ7*JV$4</f>
        <v>11273.600096</v>
      </c>
      <c r="JU8" s="735"/>
      <c r="JV8" s="700">
        <f>JU8/JS8</f>
        <v>0</v>
      </c>
      <c r="JW8" s="593">
        <f>'Proy 2022 vs 2019 sem'!AY7*JZ$4</f>
        <v>17417.078799999999</v>
      </c>
      <c r="JX8" s="593">
        <f>'Proy 2022 vs 2019 sem'!AZ7*JZ$4</f>
        <v>15501.200132</v>
      </c>
      <c r="JY8" s="735"/>
      <c r="JZ8" s="700">
        <f>JY8/JW8</f>
        <v>0</v>
      </c>
      <c r="KA8" s="579">
        <f>IY8+JC8+JG8+JK8+JO8+JS8+JW8</f>
        <v>79168.539999999994</v>
      </c>
      <c r="KB8" s="574">
        <f>IZ8+JD8+JH8+JL8+JP8+JT8+JX8</f>
        <v>70460.000599999999</v>
      </c>
      <c r="KC8" s="729">
        <f>JA8+JE8+JI8+JM8+JQ8+JU8+JY8</f>
        <v>0</v>
      </c>
      <c r="KD8" s="711">
        <f>KC8/KA8</f>
        <v>0</v>
      </c>
      <c r="KE8" s="593">
        <f>'Proy 2022 vs 2019 sem'!BD7*KH$4</f>
        <v>10046.477999999999</v>
      </c>
      <c r="KF8" s="593">
        <f>'Proy 2022 vs 2019 sem'!BE7*KH$4</f>
        <v>8941.3654199999983</v>
      </c>
      <c r="KG8" s="699"/>
      <c r="KH8" s="700">
        <f>KG8/KE8</f>
        <v>0</v>
      </c>
      <c r="KI8" s="593">
        <f>'Proy 2022 vs 2019 sem'!BD7*KL$4</f>
        <v>10046.477999999999</v>
      </c>
      <c r="KJ8" s="593">
        <f>'Proy 2022 vs 2019 sem'!BE7*KL$4</f>
        <v>8941.3654199999983</v>
      </c>
      <c r="KK8" s="699"/>
      <c r="KL8" s="700">
        <f>KK8/KI8</f>
        <v>0</v>
      </c>
      <c r="KM8" s="593">
        <f>'Proy 2022 vs 2019 sem'!BD7*KP$4</f>
        <v>10046.477999999999</v>
      </c>
      <c r="KN8" s="593">
        <f>'Proy 2022 vs 2019 sem'!BE7*KP$4</f>
        <v>8941.3654199999983</v>
      </c>
      <c r="KO8" s="699"/>
      <c r="KP8" s="700">
        <f>KO8/KM8</f>
        <v>0</v>
      </c>
      <c r="KQ8" s="593">
        <f>'Proy 2022 vs 2019 sem'!BD7*KT$4</f>
        <v>10046.477999999999</v>
      </c>
      <c r="KR8" s="593">
        <f>'Proy 2022 vs 2019 sem'!BE7*KT$4</f>
        <v>8941.3654199999983</v>
      </c>
      <c r="KS8" s="699"/>
      <c r="KT8" s="700">
        <f>KS8/KQ8</f>
        <v>0</v>
      </c>
      <c r="KU8" s="593">
        <f>'Proy 2022 vs 2019 sem'!BD7*KX$4</f>
        <v>11720.891</v>
      </c>
      <c r="KV8" s="593">
        <f>'Proy 2022 vs 2019 sem'!BE7*KX$4</f>
        <v>10431.592989999999</v>
      </c>
      <c r="KW8" s="699"/>
      <c r="KX8" s="700">
        <f>KW8/KU8</f>
        <v>0</v>
      </c>
      <c r="KY8" s="593">
        <f>'Proy 2022 vs 2019 sem'!BD7*LB$4</f>
        <v>13395.304</v>
      </c>
      <c r="KZ8" s="593">
        <f>'Proy 2022 vs 2019 sem'!BE7*LB$4</f>
        <v>11921.820559999998</v>
      </c>
      <c r="LA8" s="699"/>
      <c r="LB8" s="700">
        <f>LA8/KY8</f>
        <v>0</v>
      </c>
      <c r="LC8" s="593">
        <f>'Proy 2022 vs 2019 sem'!BD7*LF$4</f>
        <v>18418.542999999998</v>
      </c>
      <c r="LD8" s="593">
        <f>'Proy 2022 vs 2019 sem'!BE7*LF$4</f>
        <v>16392.503269999997</v>
      </c>
      <c r="LE8" s="699"/>
      <c r="LF8" s="700">
        <f>LE8/LC8</f>
        <v>0</v>
      </c>
      <c r="LG8" s="579">
        <f>KE8+KI8+KM8+KQ8+KU8+KY8+LC8</f>
        <v>83720.649999999994</v>
      </c>
      <c r="LH8" s="574">
        <f>KF8+KJ8+KN8+KR8+KV8+KZ8+LD8</f>
        <v>74511.378499999992</v>
      </c>
      <c r="LI8" s="730">
        <f>KG8+KK8+KO8+KS8+KW8+LA8+LE8</f>
        <v>0</v>
      </c>
      <c r="LJ8" s="711">
        <f>LI8/LG8</f>
        <v>0</v>
      </c>
      <c r="LK8" s="593">
        <f>'Proy 2022 vs 2019 sem'!BI7*LN$4</f>
        <v>10935.507599999999</v>
      </c>
      <c r="LL8" s="593">
        <f>'Proy 2022 vs 2019 sem'!BJ7*LN$4</f>
        <v>9732.6017639999991</v>
      </c>
      <c r="LM8" s="699"/>
      <c r="LN8" s="700">
        <f>LM8/LK8</f>
        <v>0</v>
      </c>
      <c r="LO8" s="593">
        <f>'Proy 2022 vs 2019 sem'!BI7*LR$4</f>
        <v>10935.507599999999</v>
      </c>
      <c r="LP8" s="593">
        <f>'Proy 2022 vs 2019 sem'!BJ7*LR$4</f>
        <v>9732.6017639999991</v>
      </c>
      <c r="LQ8" s="699"/>
      <c r="LR8" s="700">
        <f>LQ8/LO8</f>
        <v>0</v>
      </c>
      <c r="LS8" s="593">
        <f>'Proy 2022 vs 2019 sem'!BI7*LV$4</f>
        <v>10935.507599999999</v>
      </c>
      <c r="LT8" s="593">
        <f>'Proy 2022 vs 2019 sem'!BJ7*LV$4</f>
        <v>9732.6017639999991</v>
      </c>
      <c r="LU8" s="699"/>
      <c r="LV8" s="700">
        <f>LU8/LS8</f>
        <v>0</v>
      </c>
      <c r="LW8" s="593">
        <f>'Proy 2022 vs 2019 sem'!BI7*LZ$4</f>
        <v>10935.507599999999</v>
      </c>
      <c r="LX8" s="593">
        <f>'Proy 2022 vs 2019 sem'!BJ7*LZ$4</f>
        <v>9732.6017639999991</v>
      </c>
      <c r="LY8" s="699"/>
      <c r="LZ8" s="700">
        <f>LY8/LW8</f>
        <v>0</v>
      </c>
      <c r="MA8" s="593">
        <f>'Proy 2022 vs 2019 sem'!BI7*MD$4</f>
        <v>12758.092200000001</v>
      </c>
      <c r="MB8" s="593">
        <f>'Proy 2022 vs 2019 sem'!BJ7*MD$4</f>
        <v>11354.702058000001</v>
      </c>
      <c r="MC8" s="699"/>
      <c r="MD8" s="700">
        <f>MC8/MA8</f>
        <v>0</v>
      </c>
      <c r="ME8" s="593">
        <f>'Proy 2022 vs 2019 sem'!BI7*MH$4</f>
        <v>14580.676799999999</v>
      </c>
      <c r="MF8" s="593">
        <f>'Proy 2022 vs 2019 sem'!BJ7*MH$4</f>
        <v>12976.802352000001</v>
      </c>
      <c r="MG8" s="699"/>
      <c r="MH8" s="700">
        <f>MG8/ME8</f>
        <v>0</v>
      </c>
      <c r="MI8" s="593">
        <f>'Proy 2022 vs 2019 sem'!BI7*ML$4</f>
        <v>20048.4306</v>
      </c>
      <c r="MJ8" s="593">
        <f>'Proy 2022 vs 2019 sem'!BJ7*ML$4</f>
        <v>17843.103233999998</v>
      </c>
      <c r="MK8" s="699"/>
      <c r="ML8" s="700">
        <f>MK8/MI8</f>
        <v>0</v>
      </c>
      <c r="MM8" s="579">
        <f>LK8+LO8+LS8+LW8+MA8+ME8+MI8</f>
        <v>91129.229999999981</v>
      </c>
      <c r="MN8" s="574">
        <f>LL8+LP8+LT8+LX8+MB8+MF8+MJ8</f>
        <v>81105.0147</v>
      </c>
      <c r="MO8" s="730">
        <f>LM8+LQ8+LU8+LY8+MC8+MG8+MK8</f>
        <v>0</v>
      </c>
      <c r="MP8" s="711">
        <f>MO8/MM8</f>
        <v>0</v>
      </c>
      <c r="MQ8" s="593">
        <f>'Proy 2022 vs 2019 sem'!BN7*MT$4</f>
        <v>11210.6124</v>
      </c>
      <c r="MR8" s="593">
        <f>'Proy 2022 vs 2019 sem'!BO7*MT$4</f>
        <v>9753.2327879999993</v>
      </c>
      <c r="MS8" s="699"/>
      <c r="MT8" s="700">
        <f>MS8/MQ8</f>
        <v>0</v>
      </c>
      <c r="MU8" s="593">
        <f>'Proy 2022 vs 2019 sem'!BN7*MX$4</f>
        <v>11210.6124</v>
      </c>
      <c r="MV8" s="593">
        <f>'Proy 2022 vs 2019 sem'!BO7*MX$4</f>
        <v>9753.2327879999993</v>
      </c>
      <c r="MW8" s="699"/>
      <c r="MX8" s="700">
        <f>MW8/MU8</f>
        <v>0</v>
      </c>
      <c r="MY8" s="593">
        <f>'Proy 2022 vs 2019 sem'!BN7*NB$4</f>
        <v>11210.6124</v>
      </c>
      <c r="MZ8" s="593">
        <f>'Proy 2022 vs 2019 sem'!BO7*NB$4</f>
        <v>9753.2327879999993</v>
      </c>
      <c r="NA8" s="699"/>
      <c r="NB8" s="700">
        <f>NA8/MY8</f>
        <v>0</v>
      </c>
      <c r="NC8" s="593">
        <f>'Proy 2022 vs 2019 sem'!BN7*NF$4</f>
        <v>11210.6124</v>
      </c>
      <c r="ND8" s="593">
        <f>'Proy 2022 vs 2019 sem'!BO7*NF$4</f>
        <v>9753.2327879999993</v>
      </c>
      <c r="NE8" s="699"/>
      <c r="NF8" s="700">
        <f>NE8/NC8</f>
        <v>0</v>
      </c>
      <c r="NG8" s="593">
        <f>'Proy 2022 vs 2019 sem'!BN7*NJ$4</f>
        <v>13079.047800000002</v>
      </c>
      <c r="NH8" s="593">
        <f>'Proy 2022 vs 2019 sem'!BO7*NJ$4</f>
        <v>11378.771586000001</v>
      </c>
      <c r="NI8" s="699"/>
      <c r="NJ8" s="700">
        <f>NI8/NG8</f>
        <v>0</v>
      </c>
      <c r="NK8" s="593">
        <f>'Proy 2022 vs 2019 sem'!BN7*NN$4</f>
        <v>14947.483200000001</v>
      </c>
      <c r="NL8" s="593">
        <f>'Proy 2022 vs 2019 sem'!BO7*NN$4</f>
        <v>13004.310384</v>
      </c>
      <c r="NM8" s="699"/>
      <c r="NN8" s="700">
        <f>NM8/NK8</f>
        <v>0</v>
      </c>
      <c r="NO8" s="593">
        <f>'Proy 2022 vs 2019 sem'!BN7*NR$4</f>
        <v>20552.789400000001</v>
      </c>
      <c r="NP8" s="593">
        <f>'Proy 2022 vs 2019 sem'!BO7*NR$4</f>
        <v>17880.926778000001</v>
      </c>
      <c r="NQ8" s="699"/>
      <c r="NR8" s="700">
        <f>NQ8/NO8</f>
        <v>0</v>
      </c>
      <c r="NS8" s="579">
        <f>MQ8+MU8+MY8+NC8+NG8+NK8+NO8</f>
        <v>93421.76999999999</v>
      </c>
      <c r="NT8" s="574">
        <f>MR8+MV8+MZ8+ND8+NH8+NL8+NP8</f>
        <v>81276.939899999998</v>
      </c>
      <c r="NU8" s="710">
        <f>MS8+MW8+NA8+NE8+NI8+NM8+NQ8</f>
        <v>0</v>
      </c>
      <c r="NV8" s="711">
        <f>NU8/NS8</f>
        <v>0</v>
      </c>
      <c r="NW8" s="593">
        <f>'Proy 2022 vs 2019 sem'!BS7*NZ$4</f>
        <v>10385.67</v>
      </c>
      <c r="NX8" s="593">
        <f>'Proy 2022 vs 2019 sem'!BT7*NZ$4</f>
        <v>9243.2463000000007</v>
      </c>
      <c r="NY8" s="699"/>
      <c r="NZ8" s="700">
        <f>NY8/NW8</f>
        <v>0</v>
      </c>
      <c r="OA8" s="593">
        <f>'Proy 2022 vs 2019 sem'!BS7*OD$4</f>
        <v>10385.67</v>
      </c>
      <c r="OB8" s="593">
        <f>'Proy 2022 vs 2019 sem'!BT7*OD$4</f>
        <v>9243.2463000000007</v>
      </c>
      <c r="OC8" s="699"/>
      <c r="OD8" s="700">
        <f>OC8/OA8</f>
        <v>0</v>
      </c>
      <c r="OE8" s="593">
        <f>'Proy 2022 vs 2019 sem'!BS7*OH$4</f>
        <v>10385.67</v>
      </c>
      <c r="OF8" s="593">
        <f>'Proy 2022 vs 2019 sem'!BT7*OH$4</f>
        <v>9243.2463000000007</v>
      </c>
      <c r="OG8" s="699"/>
      <c r="OH8" s="700">
        <f>OG8/OE8</f>
        <v>0</v>
      </c>
      <c r="OI8" s="593">
        <f>'Proy 2022 vs 2019 sem'!BS7*OL$4</f>
        <v>10385.67</v>
      </c>
      <c r="OJ8" s="593">
        <f>'Proy 2022 vs 2019 sem'!BT7*OL$4</f>
        <v>9243.2463000000007</v>
      </c>
      <c r="OK8" s="699"/>
      <c r="OL8" s="700">
        <f>OK8/OI8</f>
        <v>0</v>
      </c>
      <c r="OM8" s="593">
        <f>'Proy 2022 vs 2019 sem'!BS7*OP$4</f>
        <v>12116.615000000002</v>
      </c>
      <c r="ON8" s="593">
        <f>'Proy 2022 vs 2019 sem'!BT7*OP$4</f>
        <v>10783.787350000002</v>
      </c>
      <c r="OO8" s="699"/>
      <c r="OP8" s="700">
        <f>OO8/OM8</f>
        <v>0</v>
      </c>
      <c r="OQ8" s="593">
        <f>'Proy 2022 vs 2019 sem'!BS7*OT$4</f>
        <v>13847.56</v>
      </c>
      <c r="OR8" s="593">
        <f>'Proy 2022 vs 2019 sem'!BT7*OT$4</f>
        <v>12324.3284</v>
      </c>
      <c r="OS8" s="699"/>
      <c r="OT8" s="700">
        <f>OS8/OQ8</f>
        <v>0</v>
      </c>
      <c r="OU8" s="593">
        <f>'Proy 2022 vs 2019 sem'!BS7*OX$4</f>
        <v>19040.395</v>
      </c>
      <c r="OV8" s="593">
        <f>'Proy 2022 vs 2019 sem'!BT7*OX$4</f>
        <v>16945.951550000002</v>
      </c>
      <c r="OW8" s="699"/>
      <c r="OX8" s="700">
        <f>OW8/OU8</f>
        <v>0</v>
      </c>
      <c r="OY8" s="579">
        <f>NW8+OA8+OE8+OI8+OM8+OQ8+OU8</f>
        <v>86547.25</v>
      </c>
      <c r="OZ8" s="574">
        <f>NX8+OB8+OF8+OJ8+ON8+OR8+OV8</f>
        <v>77027.052500000005</v>
      </c>
      <c r="PA8" s="710">
        <f>NY8+OC8+OG8+OK8+OO8+OS8+OW8</f>
        <v>0</v>
      </c>
      <c r="PB8" s="711">
        <f>PA8/OY8</f>
        <v>0</v>
      </c>
      <c r="PC8" s="593">
        <f>'Proy 2022 vs 2019 sem'!CB7*PF$4</f>
        <v>11457.393599999999</v>
      </c>
      <c r="PD8" s="593">
        <f>'Proy 2022 vs 2019 sem'!CC7*PF$4</f>
        <v>10197.080304000001</v>
      </c>
      <c r="PE8" s="735"/>
      <c r="PF8" s="700">
        <f>PE8/PC8</f>
        <v>0</v>
      </c>
      <c r="PG8" s="593">
        <f>'Proy 2022 vs 2019 sem'!CB7*PJ$4</f>
        <v>11457.393599999999</v>
      </c>
      <c r="PH8" s="593">
        <f>'Proy 2022 vs 2019 sem'!CC7*PJ$4</f>
        <v>10197.080304000001</v>
      </c>
      <c r="PI8" s="699"/>
      <c r="PJ8" s="700">
        <f>PI8/PG8</f>
        <v>0</v>
      </c>
      <c r="PK8" s="593">
        <f>'Proy 2022 vs 2019 sem'!CB7*PN$4</f>
        <v>11457.393599999999</v>
      </c>
      <c r="PL8" s="593">
        <f>'Proy 2022 vs 2019 sem'!CC7*PN$4</f>
        <v>10197.080304000001</v>
      </c>
      <c r="PM8" s="699"/>
      <c r="PN8" s="700">
        <f>PM8/PK8</f>
        <v>0</v>
      </c>
      <c r="PO8" s="593">
        <f>'Proy 2022 vs 2019 sem'!CB7*PR$4</f>
        <v>11457.393599999999</v>
      </c>
      <c r="PP8" s="593">
        <f>'Proy 2022 vs 2019 sem'!CC7*PR$4</f>
        <v>10197.080304000001</v>
      </c>
      <c r="PQ8" s="699"/>
      <c r="PR8" s="700">
        <f>PQ8/PO8</f>
        <v>0</v>
      </c>
      <c r="PS8" s="593">
        <f>'Proy 2022 vs 2019 sem'!CB7*PV$4</f>
        <v>13366.959200000001</v>
      </c>
      <c r="PT8" s="593">
        <f>'Proy 2022 vs 2019 sem'!CC7*PV$4</f>
        <v>11896.593688000001</v>
      </c>
      <c r="PU8" s="699"/>
      <c r="PV8" s="700">
        <f>PU8/PS8</f>
        <v>0</v>
      </c>
      <c r="PW8" s="593">
        <f>'Proy 2022 vs 2019 sem'!CB7*PZ$4</f>
        <v>15276.524799999999</v>
      </c>
      <c r="PX8" s="593">
        <f>'Proy 2022 vs 2019 sem'!CC7*PZ$4</f>
        <v>13596.107072000001</v>
      </c>
      <c r="PY8" s="699"/>
      <c r="PZ8" s="700">
        <f>PY8/PW8</f>
        <v>0</v>
      </c>
      <c r="QA8" s="593">
        <f>'Proy 2022 vs 2019 sem'!CB7*QD$4</f>
        <v>21005.221600000001</v>
      </c>
      <c r="QB8" s="593">
        <f>'Proy 2022 vs 2019 sem'!CC7*QD$4</f>
        <v>18694.647224</v>
      </c>
      <c r="QC8" s="699"/>
      <c r="QD8" s="700">
        <f>QC8/QA8</f>
        <v>0</v>
      </c>
      <c r="QE8" s="579">
        <f>PC8+PG8+PK8+PO8+PS8+PW8+QA8</f>
        <v>95478.28</v>
      </c>
      <c r="QF8" s="574">
        <f>PD8+PH8+PL8+PP8+PT8+PX8+QB8</f>
        <v>84975.669200000004</v>
      </c>
      <c r="QG8" s="793">
        <f>PE8+PI8+PM8+PQ8+PU8+PY8+QC8</f>
        <v>0</v>
      </c>
      <c r="QH8" s="786">
        <f>QG8/QE8</f>
        <v>0</v>
      </c>
      <c r="QI8" s="593">
        <f>'Proy 2022 vs 2019 sem'!CG7*QL$4</f>
        <v>12150.923999999999</v>
      </c>
      <c r="QJ8" s="593">
        <f>'Proy 2022 vs 2019 sem'!CH7*QL$4</f>
        <v>10935.8316</v>
      </c>
      <c r="QK8" s="699"/>
      <c r="QL8" s="700">
        <f>QK8/QI8</f>
        <v>0</v>
      </c>
      <c r="QM8" s="593">
        <f>'Proy 2022 vs 2019 sem'!CG7*QP$4</f>
        <v>12150.923999999999</v>
      </c>
      <c r="QN8" s="593">
        <f>'Proy 2022 vs 2019 sem'!CH7*QP$4</f>
        <v>10935.8316</v>
      </c>
      <c r="QO8" s="699"/>
      <c r="QP8" s="700">
        <f>QO8/QM8</f>
        <v>0</v>
      </c>
      <c r="QQ8" s="593">
        <f>'Proy 2022 vs 2019 sem'!CG7*QT$4</f>
        <v>12150.923999999999</v>
      </c>
      <c r="QR8" s="593">
        <f>'Proy 2022 vs 2019 sem'!CH7*QT$4</f>
        <v>10935.8316</v>
      </c>
      <c r="QS8" s="699"/>
      <c r="QT8" s="700">
        <f>QS8/QQ8</f>
        <v>0</v>
      </c>
      <c r="QU8" s="593">
        <f>'Proy 2022 vs 2019 sem'!CG7*QX$4</f>
        <v>12150.923999999999</v>
      </c>
      <c r="QV8" s="593">
        <f>'Proy 2022 vs 2019 sem'!CH7*QX$4</f>
        <v>10935.8316</v>
      </c>
      <c r="QW8" s="699"/>
      <c r="QX8" s="700">
        <f>QW8/QU8</f>
        <v>0</v>
      </c>
      <c r="QY8" s="593">
        <f>'Proy 2022 vs 2019 sem'!CG7*RB$4</f>
        <v>14176.078000000001</v>
      </c>
      <c r="QZ8" s="593">
        <f>'Proy 2022 vs 2019 sem'!CH7*RB$4</f>
        <v>12758.4702</v>
      </c>
      <c r="RA8" s="699"/>
      <c r="RB8" s="700">
        <f>RA8/QY8</f>
        <v>0</v>
      </c>
      <c r="RC8" s="593">
        <f>'Proy 2022 vs 2019 sem'!CG7*RF$4</f>
        <v>16201.232</v>
      </c>
      <c r="RD8" s="593">
        <f>'Proy 2022 vs 2019 sem'!CH7*RF$4</f>
        <v>14581.1088</v>
      </c>
      <c r="RE8" s="699"/>
      <c r="RF8" s="700">
        <f>RE8/RC8</f>
        <v>0</v>
      </c>
      <c r="RG8" s="593">
        <f>'Proy 2022 vs 2019 sem'!CG7*RJ$4</f>
        <v>22276.694</v>
      </c>
      <c r="RH8" s="593">
        <f>'Proy 2022 vs 2019 sem'!CH7*RJ$4</f>
        <v>20049.024599999997</v>
      </c>
      <c r="RI8" s="699"/>
      <c r="RJ8" s="700">
        <f>RI8/RG8</f>
        <v>0</v>
      </c>
      <c r="RK8" s="579">
        <f>QI8+QM8+QQ8+QU8+QY8+RC8+RG8</f>
        <v>101257.7</v>
      </c>
      <c r="RL8" s="574">
        <f>QJ8+QN8+QR8+QV8+QZ8+RD8+RH8</f>
        <v>91131.93</v>
      </c>
      <c r="RM8" s="794">
        <f>QK8+QO8+QS8+QW8+RA8+RE8+RI8</f>
        <v>0</v>
      </c>
      <c r="RN8" s="786">
        <f>RM8/RK8</f>
        <v>0</v>
      </c>
      <c r="RO8" s="593">
        <f>'Proy 2022 vs 2019 sem'!CL7*RR$4</f>
        <v>12222.797999999999</v>
      </c>
      <c r="RP8" s="593">
        <f>'Proy 2022 vs 2019 sem'!CM7*RR$4</f>
        <v>11000.5182</v>
      </c>
      <c r="RQ8" s="699"/>
      <c r="RR8" s="700">
        <f>RQ8/RO8</f>
        <v>0</v>
      </c>
      <c r="RS8" s="593">
        <f>'Proy 2022 vs 2019 sem'!CL7*RV$4</f>
        <v>12222.797999999999</v>
      </c>
      <c r="RT8" s="593">
        <f>'Proy 2022 vs 2019 sem'!CM7*RV$4</f>
        <v>11000.5182</v>
      </c>
      <c r="RU8" s="699"/>
      <c r="RV8" s="700">
        <f>RU8/RS8</f>
        <v>0</v>
      </c>
      <c r="RW8" s="593">
        <f>'Proy 2022 vs 2019 sem'!CL7*RZ$4</f>
        <v>12222.797999999999</v>
      </c>
      <c r="RX8" s="593">
        <f>'Proy 2022 vs 2019 sem'!CM7*RZ$4</f>
        <v>11000.5182</v>
      </c>
      <c r="RY8" s="699"/>
      <c r="RZ8" s="700">
        <f>RY8/RW8</f>
        <v>0</v>
      </c>
      <c r="SA8" s="593">
        <f>'Proy 2022 vs 2019 sem'!CL7*SD$4</f>
        <v>12222.797999999999</v>
      </c>
      <c r="SB8" s="593">
        <f>'Proy 2022 vs 2019 sem'!CM7*SD$4</f>
        <v>11000.5182</v>
      </c>
      <c r="SC8" s="699"/>
      <c r="SD8" s="700">
        <f>SC8/SA8</f>
        <v>0</v>
      </c>
      <c r="SE8" s="593">
        <f>'Proy 2022 vs 2019 sem'!CL7*SH$4</f>
        <v>14259.931</v>
      </c>
      <c r="SF8" s="593">
        <f>'Proy 2022 vs 2019 sem'!CM7*SH$4</f>
        <v>12833.937900000001</v>
      </c>
      <c r="SG8" s="699"/>
      <c r="SH8" s="700">
        <f>SG8/SE8</f>
        <v>0</v>
      </c>
      <c r="SI8" s="593">
        <f>'Proy 2022 vs 2019 sem'!CL7*SL$4</f>
        <v>16297.064</v>
      </c>
      <c r="SJ8" s="593">
        <f>'Proy 2022 vs 2019 sem'!CM7*SL$4</f>
        <v>14667.357600000001</v>
      </c>
      <c r="SK8" s="699"/>
      <c r="SL8" s="700">
        <f>SK8/SI8</f>
        <v>0</v>
      </c>
      <c r="SM8" s="593">
        <f>'Proy 2022 vs 2019 sem'!CL7*SP$4</f>
        <v>22408.463</v>
      </c>
      <c r="SN8" s="593">
        <f>'Proy 2022 vs 2019 sem'!CM7*SP$4</f>
        <v>20167.616699999999</v>
      </c>
      <c r="SO8" s="699"/>
      <c r="SP8" s="700">
        <f>SO8/SM8</f>
        <v>0</v>
      </c>
      <c r="SQ8" s="579">
        <f>RO8+RS8+RW8+SA8+SE8+SI8+SM8</f>
        <v>101856.65</v>
      </c>
      <c r="SR8" s="574">
        <f>RP8+RT8+RX8+SB8+SF8+SJ8+SN8</f>
        <v>91670.985000000001</v>
      </c>
      <c r="SS8" s="794">
        <f>RQ8+RU8+RY8+SC8+SG8+SK8+SO8</f>
        <v>0</v>
      </c>
      <c r="ST8" s="786">
        <f>SS8/SQ8</f>
        <v>0</v>
      </c>
      <c r="SU8" s="593">
        <f>'Proy 2022 vs 2019 sem'!CQ7*SX$4</f>
        <v>16237.2276</v>
      </c>
      <c r="SV8" s="593">
        <f>'Proy 2022 vs 2019 sem'!CR7*SX$4</f>
        <v>14775.877116</v>
      </c>
      <c r="SW8" s="699"/>
      <c r="SX8" s="700">
        <f>SW8/SU8</f>
        <v>0</v>
      </c>
      <c r="SY8" s="593">
        <f>'Proy 2022 vs 2019 sem'!CQ7*TB$4</f>
        <v>16237.2276</v>
      </c>
      <c r="SZ8" s="593">
        <f>'Proy 2022 vs 2019 sem'!CR7*TB$4</f>
        <v>14775.877116</v>
      </c>
      <c r="TA8" s="699"/>
      <c r="TB8" s="700">
        <f>TA8/SY8</f>
        <v>0</v>
      </c>
      <c r="TC8" s="593">
        <f>'Proy 2022 vs 2019 sem'!CQ7*TF$4</f>
        <v>16237.2276</v>
      </c>
      <c r="TD8" s="593">
        <f>'Proy 2022 vs 2019 sem'!CR7*TF$4</f>
        <v>14775.877116</v>
      </c>
      <c r="TE8" s="699"/>
      <c r="TF8" s="700">
        <f>TE8/TC8</f>
        <v>0</v>
      </c>
      <c r="TG8" s="593">
        <f>'Proy 2022 vs 2019 sem'!CQ7*TJ$4</f>
        <v>16237.2276</v>
      </c>
      <c r="TH8" s="593">
        <f>'Proy 2022 vs 2019 sem'!CR7*TJ$4</f>
        <v>14775.877116</v>
      </c>
      <c r="TI8" s="699"/>
      <c r="TJ8" s="700">
        <f>TI8/TG8</f>
        <v>0</v>
      </c>
      <c r="TK8" s="593">
        <f>'Proy 2022 vs 2019 sem'!CQ7*TN$4</f>
        <v>18943.432200000003</v>
      </c>
      <c r="TL8" s="593">
        <f>'Proy 2022 vs 2019 sem'!CR7*TN$4</f>
        <v>17238.523302000001</v>
      </c>
      <c r="TM8" s="699"/>
      <c r="TN8" s="700">
        <f>TM8/TK8</f>
        <v>0</v>
      </c>
      <c r="TO8" s="593">
        <f>'Proy 2022 vs 2019 sem'!CQ7*TR$4</f>
        <v>21649.636800000004</v>
      </c>
      <c r="TP8" s="593">
        <f>'Proy 2022 vs 2019 sem'!CR7*TR$4</f>
        <v>19701.169488000003</v>
      </c>
      <c r="TQ8" s="699"/>
      <c r="TR8" s="700">
        <f>TQ8/TO8</f>
        <v>0</v>
      </c>
      <c r="TS8" s="593">
        <f>'Proy 2022 vs 2019 sem'!CQ7*TV$4</f>
        <v>29768.250600000003</v>
      </c>
      <c r="TT8" s="593">
        <f>'Proy 2022 vs 2019 sem'!CR7*TV$4</f>
        <v>27089.108046000001</v>
      </c>
      <c r="TU8" s="699"/>
      <c r="TV8" s="700">
        <f>TU8/TS8</f>
        <v>0</v>
      </c>
      <c r="TW8" s="579">
        <f>SU8+SY8+TC8+TG8+TK8+TO8+TS8</f>
        <v>135310.23000000001</v>
      </c>
      <c r="TX8" s="574">
        <f>SV8+SZ8+TD8+TH8+TL8+TP8+TT8</f>
        <v>123132.30929999999</v>
      </c>
      <c r="TY8" s="785">
        <f>SW8+TA8+TE8+TI8+TM8+TQ8+TU8</f>
        <v>0</v>
      </c>
      <c r="TZ8" s="786">
        <f>TY8/TW8</f>
        <v>0</v>
      </c>
      <c r="UA8" s="593">
        <f>'Proy 2022 vs 2019 sem'!CZ7*UD$4</f>
        <v>17021.016</v>
      </c>
      <c r="UB8" s="593">
        <f>'Proy 2022 vs 2019 sem'!DA7*UD$4</f>
        <v>15148.704239999999</v>
      </c>
      <c r="UC8" s="735"/>
      <c r="UD8" s="700">
        <f>UC8/UA8</f>
        <v>0</v>
      </c>
      <c r="UE8" s="593">
        <f>'Proy 2022 vs 2019 sem'!CZ7*UH$4</f>
        <v>17021.016</v>
      </c>
      <c r="UF8" s="593">
        <f>'Proy 2022 vs 2019 sem'!DA7*UH$4</f>
        <v>15148.704239999999</v>
      </c>
      <c r="UG8" s="699"/>
      <c r="UH8" s="700">
        <f>UG8/UE8</f>
        <v>0</v>
      </c>
      <c r="UI8" s="593">
        <f>'Proy 2022 vs 2019 sem'!CZ7*UL$4</f>
        <v>17021.016</v>
      </c>
      <c r="UJ8" s="593">
        <f>'Proy 2022 vs 2019 sem'!DA7*UL$4</f>
        <v>15148.704239999999</v>
      </c>
      <c r="UK8" s="699"/>
      <c r="UL8" s="700">
        <f>UK8/UI8</f>
        <v>0</v>
      </c>
      <c r="UM8" s="593">
        <f>'Proy 2022 vs 2019 sem'!CZ7*UP$4</f>
        <v>17021.016</v>
      </c>
      <c r="UN8" s="593">
        <f>'Proy 2022 vs 2019 sem'!DA7*UP$4</f>
        <v>15148.704239999999</v>
      </c>
      <c r="UO8" s="699"/>
      <c r="UP8" s="700">
        <f>UO8/UM8</f>
        <v>0</v>
      </c>
      <c r="UQ8" s="593">
        <f>'Proy 2022 vs 2019 sem'!CZ7*UT$4</f>
        <v>19857.851999999999</v>
      </c>
      <c r="UR8" s="593">
        <f>'Proy 2022 vs 2019 sem'!DA7*UT$4</f>
        <v>17673.488280000001</v>
      </c>
      <c r="US8" s="699"/>
      <c r="UT8" s="700">
        <f>US8/UQ8</f>
        <v>0</v>
      </c>
      <c r="UU8" s="593">
        <f>'Proy 2022 vs 2019 sem'!CZ7*UX$4</f>
        <v>22694.687999999998</v>
      </c>
      <c r="UV8" s="593">
        <f>'Proy 2022 vs 2019 sem'!DA7*UX$4</f>
        <v>20198.27232</v>
      </c>
      <c r="UW8" s="699"/>
      <c r="UX8" s="700">
        <f>UW8/UU8</f>
        <v>0</v>
      </c>
      <c r="UY8" s="593">
        <f>'Proy 2022 vs 2019 sem'!CZ7*VB$4</f>
        <v>31205.195999999996</v>
      </c>
      <c r="UZ8" s="593">
        <f>'Proy 2022 vs 2019 sem'!DA7*VB$4</f>
        <v>27772.62444</v>
      </c>
      <c r="VA8" s="699"/>
      <c r="VB8" s="700">
        <f>VA8/UY8</f>
        <v>0</v>
      </c>
      <c r="VC8" s="579">
        <f>UA8+UE8+UI8+UM8+UQ8+UU8+UY8</f>
        <v>141841.79999999999</v>
      </c>
      <c r="VD8" s="574">
        <f>UB8+UF8+UJ8+UN8+UR8+UV8+UZ8</f>
        <v>126239.202</v>
      </c>
      <c r="VE8" s="759">
        <f>UC8+UG8+UK8+UO8+US8+UW8+VA8</f>
        <v>0</v>
      </c>
      <c r="VF8" s="761">
        <f>VE8/VC8</f>
        <v>0</v>
      </c>
      <c r="VG8" s="593">
        <f>'Proy 2022 vs 2019 sem'!DE7*VJ$4</f>
        <v>12952.034399999999</v>
      </c>
      <c r="VH8" s="593">
        <f>'Proy 2022 vs 2019 sem'!DF7*VJ$4</f>
        <v>11527.310615999999</v>
      </c>
      <c r="VI8" s="699"/>
      <c r="VJ8" s="700">
        <f>VI8/VG8</f>
        <v>0</v>
      </c>
      <c r="VK8" s="593">
        <f>'Proy 2022 vs 2019 sem'!DE7*VN$4</f>
        <v>12952.034399999999</v>
      </c>
      <c r="VL8" s="593">
        <f>'Proy 2022 vs 2019 sem'!DF7*VN$4</f>
        <v>11527.310615999999</v>
      </c>
      <c r="VM8" s="699"/>
      <c r="VN8" s="700">
        <f>VM8/VK8</f>
        <v>0</v>
      </c>
      <c r="VO8" s="593">
        <f>'Proy 2022 vs 2019 sem'!DE7*VR$4</f>
        <v>12952.034399999999</v>
      </c>
      <c r="VP8" s="593">
        <f>'Proy 2022 vs 2019 sem'!DF7*VR$4</f>
        <v>11527.310615999999</v>
      </c>
      <c r="VQ8" s="699"/>
      <c r="VR8" s="700">
        <f>VQ8/VO8</f>
        <v>0</v>
      </c>
      <c r="VS8" s="593">
        <f>'Proy 2022 vs 2019 sem'!DE7*VV$4</f>
        <v>12952.034399999999</v>
      </c>
      <c r="VT8" s="593">
        <f>'Proy 2022 vs 2019 sem'!DF7*VV$4</f>
        <v>11527.310615999999</v>
      </c>
      <c r="VU8" s="699"/>
      <c r="VV8" s="700">
        <f>VU8/VS8</f>
        <v>0</v>
      </c>
      <c r="VW8" s="593">
        <f>'Proy 2022 vs 2019 sem'!DE7*VZ$4</f>
        <v>15110.7068</v>
      </c>
      <c r="VX8" s="593">
        <f>'Proy 2022 vs 2019 sem'!DF7*VZ$4</f>
        <v>13448.529052000002</v>
      </c>
      <c r="VY8" s="699"/>
      <c r="VZ8" s="700">
        <f>VY8/VW8</f>
        <v>0</v>
      </c>
      <c r="WA8" s="593">
        <f>'Proy 2022 vs 2019 sem'!DE7*WD$4</f>
        <v>17269.379199999999</v>
      </c>
      <c r="WB8" s="593">
        <f>'Proy 2022 vs 2019 sem'!DF7*WD$4</f>
        <v>15369.747487999999</v>
      </c>
      <c r="WC8" s="699"/>
      <c r="WD8" s="700">
        <f>WC8/WA8</f>
        <v>0</v>
      </c>
      <c r="WE8" s="593">
        <f>'Proy 2022 vs 2019 sem'!DE7*WH$4</f>
        <v>23745.396399999998</v>
      </c>
      <c r="WF8" s="593">
        <f>'Proy 2022 vs 2019 sem'!DF7*WH$4</f>
        <v>21133.402795999998</v>
      </c>
      <c r="WG8" s="699"/>
      <c r="WH8" s="700">
        <f>WG8/WE8</f>
        <v>0</v>
      </c>
      <c r="WI8" s="579">
        <f>VG8+VK8+VO8+VS8+VW8+WA8+WE8</f>
        <v>107933.62</v>
      </c>
      <c r="WJ8" s="574">
        <f>VH8+VL8+VP8+VT8+VX8+WB8+WF8</f>
        <v>96060.921799999982</v>
      </c>
      <c r="WK8" s="765">
        <f>VI8+VM8+VQ8+VU8+VY8+WC8+WG8</f>
        <v>0</v>
      </c>
      <c r="WL8" s="761">
        <f>WK8/WI8</f>
        <v>0</v>
      </c>
      <c r="WM8" s="593">
        <f>'Proy 2022 vs 2019 sem'!DJ7*WP$4</f>
        <v>12711.0972</v>
      </c>
      <c r="WN8" s="593">
        <f>'Proy 2022 vs 2019 sem'!DK7*WP$4</f>
        <v>11312.876507999999</v>
      </c>
      <c r="WO8" s="699"/>
      <c r="WP8" s="700">
        <f>WO8/WM8</f>
        <v>0</v>
      </c>
      <c r="WQ8" s="593">
        <f>'Proy 2022 vs 2019 sem'!DJ7*WT$4</f>
        <v>12711.0972</v>
      </c>
      <c r="WR8" s="593">
        <f>'Proy 2022 vs 2019 sem'!DK7*WT$4</f>
        <v>11312.876507999999</v>
      </c>
      <c r="WS8" s="699"/>
      <c r="WT8" s="700">
        <f>WS8/WQ8</f>
        <v>0</v>
      </c>
      <c r="WU8" s="593">
        <f>'Proy 2022 vs 2019 sem'!DJ7*WX$4</f>
        <v>12711.0972</v>
      </c>
      <c r="WV8" s="593">
        <f>'Proy 2022 vs 2019 sem'!DK7*WX$4</f>
        <v>11312.876507999999</v>
      </c>
      <c r="WW8" s="699"/>
      <c r="WX8" s="700">
        <f>WW8/WU8</f>
        <v>0</v>
      </c>
      <c r="WY8" s="593">
        <f>'Proy 2022 vs 2019 sem'!DJ7*XB$4</f>
        <v>12711.0972</v>
      </c>
      <c r="WZ8" s="593">
        <f>'Proy 2022 vs 2019 sem'!DK7*XB$4</f>
        <v>11312.876507999999</v>
      </c>
      <c r="XA8" s="699"/>
      <c r="XB8" s="700">
        <f>XA8/WY8</f>
        <v>0</v>
      </c>
      <c r="XC8" s="593">
        <f>'Proy 2022 vs 2019 sem'!DJ7*XF$4</f>
        <v>14829.6134</v>
      </c>
      <c r="XD8" s="593">
        <f>'Proy 2022 vs 2019 sem'!DK7*XF$4</f>
        <v>13198.355926000002</v>
      </c>
      <c r="XE8" s="699"/>
      <c r="XF8" s="700">
        <f>XE8/XC8</f>
        <v>0</v>
      </c>
      <c r="XG8" s="593">
        <f>'Proy 2022 vs 2019 sem'!DJ7*XJ$4</f>
        <v>16948.1296</v>
      </c>
      <c r="XH8" s="593">
        <f>'Proy 2022 vs 2019 sem'!DK7*XJ$4</f>
        <v>15083.835344000001</v>
      </c>
      <c r="XI8" s="699"/>
      <c r="XJ8" s="700">
        <f>XI8/XG8</f>
        <v>0</v>
      </c>
      <c r="XK8" s="593">
        <f>'Proy 2022 vs 2019 sem'!DJ7*XN$4</f>
        <v>23303.678199999998</v>
      </c>
      <c r="XL8" s="593">
        <f>'Proy 2022 vs 2019 sem'!DK7*XN$4</f>
        <v>20740.273598</v>
      </c>
      <c r="XM8" s="699"/>
      <c r="XN8" s="700">
        <f>XM8/XK8</f>
        <v>0</v>
      </c>
      <c r="XO8" s="579">
        <f>WM8+WQ8+WU8+WY8+XC8+XG8+XK8</f>
        <v>105925.81</v>
      </c>
      <c r="XP8" s="574">
        <f>WN8+WR8+WV8+WZ8+XD8+XH8+XL8</f>
        <v>94273.9709</v>
      </c>
      <c r="XQ8" s="765">
        <f>WO8+WS8+WW8+XA8+XE8+XI8+XM8</f>
        <v>0</v>
      </c>
      <c r="XR8" s="761">
        <f>XQ8/XO8</f>
        <v>0</v>
      </c>
      <c r="XS8" s="593">
        <f>'Proy 2022 vs 2019 sem'!DO7*XV$4</f>
        <v>13574.075999999999</v>
      </c>
      <c r="XT8" s="593">
        <f>'Proy 2022 vs 2019 sem'!DP7*XV$4</f>
        <v>12216.6684</v>
      </c>
      <c r="XU8" s="699"/>
      <c r="XV8" s="700">
        <f>XU8/XS8</f>
        <v>0</v>
      </c>
      <c r="XW8" s="593">
        <f>'Proy 2022 vs 2019 sem'!DO7*XZ$4</f>
        <v>13574.075999999999</v>
      </c>
      <c r="XX8" s="593">
        <f>'Proy 2022 vs 2019 sem'!DP7*XZ$4</f>
        <v>12216.6684</v>
      </c>
      <c r="XY8" s="699"/>
      <c r="XZ8" s="700">
        <f>XY8/XW8</f>
        <v>0</v>
      </c>
      <c r="YA8" s="593">
        <f>'Proy 2022 vs 2019 sem'!DO7*YD$4</f>
        <v>13574.075999999999</v>
      </c>
      <c r="YB8" s="593">
        <f>'Proy 2022 vs 2019 sem'!DP7*YD$4</f>
        <v>12216.6684</v>
      </c>
      <c r="YC8" s="699"/>
      <c r="YD8" s="700">
        <f>YC8/YA8</f>
        <v>0</v>
      </c>
      <c r="YE8" s="593">
        <f>'Proy 2022 vs 2019 sem'!DO7*YH$4</f>
        <v>13574.075999999999</v>
      </c>
      <c r="YF8" s="593">
        <f>'Proy 2022 vs 2019 sem'!DP7*YH$4</f>
        <v>12216.6684</v>
      </c>
      <c r="YG8" s="699"/>
      <c r="YH8" s="700">
        <f>YG8/YE8</f>
        <v>0</v>
      </c>
      <c r="YI8" s="593">
        <f>'Proy 2022 vs 2019 sem'!DO7*YL$4</f>
        <v>15836.422000000002</v>
      </c>
      <c r="YJ8" s="593">
        <f>'Proy 2022 vs 2019 sem'!DP7*YL$4</f>
        <v>14252.779800000002</v>
      </c>
      <c r="YK8" s="699"/>
      <c r="YL8" s="700">
        <f>YK8/YI8</f>
        <v>0</v>
      </c>
      <c r="YM8" s="593">
        <f>'Proy 2022 vs 2019 sem'!DO7*YP$4</f>
        <v>18098.768</v>
      </c>
      <c r="YN8" s="593">
        <f>'Proy 2022 vs 2019 sem'!DP7*YP$4</f>
        <v>16288.891200000002</v>
      </c>
      <c r="YO8" s="699"/>
      <c r="YP8" s="700">
        <f>YO8/YM8</f>
        <v>0</v>
      </c>
      <c r="YQ8" s="593">
        <f>'Proy 2022 vs 2019 sem'!DO7*YT$4</f>
        <v>24885.806</v>
      </c>
      <c r="YR8" s="593">
        <f>'Proy 2022 vs 2019 sem'!DP7*YT$4</f>
        <v>22397.225400000003</v>
      </c>
      <c r="YS8" s="699"/>
      <c r="YT8" s="700">
        <f>YS8/YQ8</f>
        <v>0</v>
      </c>
      <c r="YU8" s="579">
        <f>XS8+XW8+YA8+YE8+YI8+YM8+YQ8</f>
        <v>113117.29999999999</v>
      </c>
      <c r="YV8" s="574">
        <f>XT8+XX8+YB8+YF8+YJ8+YN8+YR8</f>
        <v>101805.57</v>
      </c>
      <c r="YW8" s="770">
        <f>XU8+XY8+YC8+YG8+YK8+YO8+YS8</f>
        <v>0</v>
      </c>
      <c r="YX8" s="761">
        <f>YW8/YU8</f>
        <v>0</v>
      </c>
      <c r="YY8" s="931">
        <f>'Proy 2022 vs 2019 sem'!DX7*ZB$4</f>
        <v>13429.9128</v>
      </c>
      <c r="YZ8" s="931">
        <f>'Proy 2022 vs 2019 sem'!DY7*ZB$4</f>
        <v>11952.622391999999</v>
      </c>
      <c r="ZA8" s="735"/>
      <c r="ZB8" s="700">
        <f>ZA8/YY8</f>
        <v>0</v>
      </c>
      <c r="ZC8" s="593">
        <f>'Proy 2022 vs 2019 sem'!DX7*ZF$4</f>
        <v>13429.9128</v>
      </c>
      <c r="ZD8" s="593">
        <f>'Proy 2022 vs 2019 sem'!DY7*ZF$4</f>
        <v>11952.622391999999</v>
      </c>
      <c r="ZE8" s="735"/>
      <c r="ZF8" s="700">
        <f>ZE8/ZC8</f>
        <v>0</v>
      </c>
      <c r="ZG8" s="593">
        <f>'Proy 2022 vs 2019 sem'!DX7*ZJ$4</f>
        <v>13429.9128</v>
      </c>
      <c r="ZH8" s="593">
        <f>'Proy 2022 vs 2019 sem'!DY7*ZJ$4</f>
        <v>11952.622391999999</v>
      </c>
      <c r="ZI8" s="735"/>
      <c r="ZJ8" s="700">
        <f>ZI8/ZG8</f>
        <v>0</v>
      </c>
      <c r="ZK8" s="593">
        <f>'Proy 2022 vs 2019 sem'!DX7*ZN$4</f>
        <v>13429.9128</v>
      </c>
      <c r="ZL8" s="593">
        <f>'Proy 2022 vs 2019 sem'!DY7*ZN$4</f>
        <v>11952.622391999999</v>
      </c>
      <c r="ZM8" s="735"/>
      <c r="ZN8" s="700">
        <f>ZM8/ZK8</f>
        <v>0</v>
      </c>
      <c r="ZO8" s="593">
        <f>'Proy 2022 vs 2019 sem'!DX7*ZR$4</f>
        <v>15668.231600000001</v>
      </c>
      <c r="ZP8" s="593">
        <f>'Proy 2022 vs 2019 sem'!DY7*ZR$4</f>
        <v>13944.726124000001</v>
      </c>
      <c r="ZQ8" s="735"/>
      <c r="ZR8" s="700">
        <f>ZQ8/ZO8</f>
        <v>0</v>
      </c>
      <c r="ZS8" s="593">
        <f>'Proy 2022 vs 2019 sem'!DX7*ZV$4</f>
        <v>17906.5504</v>
      </c>
      <c r="ZT8" s="593">
        <f>'Proy 2022 vs 2019 sem'!DY7*ZV$4</f>
        <v>15936.829856</v>
      </c>
      <c r="ZU8" s="735"/>
      <c r="ZV8" s="700">
        <f>ZU8/ZS8</f>
        <v>0</v>
      </c>
      <c r="ZW8" s="593">
        <f>'Proy 2022 vs 2019 sem'!DX7*ZZ$4</f>
        <v>24621.506799999999</v>
      </c>
      <c r="ZX8" s="593">
        <f>'Proy 2022 vs 2019 sem'!DY7*ZZ$4</f>
        <v>21913.141051999999</v>
      </c>
      <c r="ZY8" s="735"/>
      <c r="ZZ8" s="700">
        <f>ZY8/ZW8</f>
        <v>0</v>
      </c>
      <c r="AAA8" s="579">
        <f>YY8+ZC8+ZG8+ZK8+ZO8+ZS8+ZW8</f>
        <v>111915.94</v>
      </c>
      <c r="AAB8" s="574">
        <f>YZ8+ZD8+ZH8+ZL8+ZP8+ZT8+ZX8</f>
        <v>99605.186599999986</v>
      </c>
      <c r="AAC8" s="729">
        <f>ZA8+ZE8+ZI8+ZM8+ZQ8+ZU8+ZY8</f>
        <v>0</v>
      </c>
      <c r="AAD8" s="711">
        <f>AAC8/AAA8</f>
        <v>0</v>
      </c>
      <c r="AAE8" s="593">
        <f>'Proy 2022 vs 2019 sem'!EC7*AAH$4</f>
        <v>13285.1124</v>
      </c>
      <c r="AAF8" s="593">
        <f>'Proy 2022 vs 2019 sem'!ED7*AAH$4</f>
        <v>11558.047788</v>
      </c>
      <c r="AAG8" s="699"/>
      <c r="AAH8" s="700">
        <f>AAG8/AAE8</f>
        <v>0</v>
      </c>
      <c r="AAI8" s="593">
        <f>'Proy 2022 vs 2019 sem'!EC7*AAL$4</f>
        <v>13285.1124</v>
      </c>
      <c r="AAJ8" s="593">
        <f>'Proy 2022 vs 2019 sem'!ED7*AAL$4</f>
        <v>11558.047788</v>
      </c>
      <c r="AAK8" s="699"/>
      <c r="AAL8" s="700">
        <f>AAK8/AAI8</f>
        <v>0</v>
      </c>
      <c r="AAM8" s="593">
        <f>'Proy 2022 vs 2019 sem'!EC7*AAP$4</f>
        <v>13285.1124</v>
      </c>
      <c r="AAN8" s="593">
        <f>'Proy 2022 vs 2019 sem'!ED7*AAP$4</f>
        <v>11558.047788</v>
      </c>
      <c r="AAO8" s="699"/>
      <c r="AAP8" s="700">
        <f>AAO8/AAM8</f>
        <v>0</v>
      </c>
      <c r="AAQ8" s="593">
        <f>'Proy 2022 vs 2019 sem'!EC7*AAT$4</f>
        <v>13285.1124</v>
      </c>
      <c r="AAR8" s="593">
        <f>'Proy 2022 vs 2019 sem'!ED7*AAT$4</f>
        <v>11558.047788</v>
      </c>
      <c r="AAS8" s="699"/>
      <c r="AAT8" s="700">
        <f>AAS8/AAQ8</f>
        <v>0</v>
      </c>
      <c r="AAU8" s="593">
        <f>'Proy 2022 vs 2019 sem'!EC7*AAX$4</f>
        <v>15499.297800000002</v>
      </c>
      <c r="AAV8" s="593">
        <f>'Proy 2022 vs 2019 sem'!ED7*AAX$4</f>
        <v>13484.389086000001</v>
      </c>
      <c r="AAW8" s="699"/>
      <c r="AAX8" s="700">
        <f>AAW8/AAU8</f>
        <v>0</v>
      </c>
      <c r="AAY8" s="593">
        <f>'Proy 2022 vs 2019 sem'!EC7*ABB$4</f>
        <v>17713.483200000002</v>
      </c>
      <c r="AAZ8" s="593">
        <f>'Proy 2022 vs 2019 sem'!ED7*ABB$4</f>
        <v>15410.730384</v>
      </c>
      <c r="ABA8" s="699"/>
      <c r="ABB8" s="700">
        <f>ABA8/AAY8</f>
        <v>0</v>
      </c>
      <c r="ABC8" s="593">
        <f>'Proy 2022 vs 2019 sem'!EC7*ABF$4</f>
        <v>24356.039400000001</v>
      </c>
      <c r="ABD8" s="593">
        <f>'Proy 2022 vs 2019 sem'!ED7*ABF$4</f>
        <v>21189.754278</v>
      </c>
      <c r="ABE8" s="699"/>
      <c r="ABF8" s="700">
        <f>ABE8/ABC8</f>
        <v>0</v>
      </c>
      <c r="ABG8" s="579">
        <f>AAE8+AAI8+AAM8+AAQ8+AAU8+AAY8+ABC8</f>
        <v>110709.27000000002</v>
      </c>
      <c r="ABH8" s="574">
        <f>AAF8+AAJ8+AAN8+AAR8+AAV8+AAZ8+ABD8</f>
        <v>96317.064899999998</v>
      </c>
      <c r="ABI8" s="730">
        <f>AAG8+AAK8+AAO8+AAS8+AAW8+ABA8+ABE8</f>
        <v>0</v>
      </c>
      <c r="ABJ8" s="711">
        <f>ABI8/ABG8</f>
        <v>0</v>
      </c>
      <c r="ABK8" s="593">
        <f>'Proy 2022 vs 2019 sem'!EH7*ABN$4</f>
        <v>16694.488799999999</v>
      </c>
      <c r="ABL8" s="593">
        <f>'Proy 2022 vs 2019 sem'!EI7*ABN$4</f>
        <v>14858.095031999999</v>
      </c>
      <c r="ABM8" s="699"/>
      <c r="ABN8" s="700">
        <f>ABM8/ABK8</f>
        <v>0</v>
      </c>
      <c r="ABO8" s="593">
        <f>'Proy 2022 vs 2019 sem'!EH7*ABR$4</f>
        <v>16694.488799999999</v>
      </c>
      <c r="ABP8" s="593">
        <f>'Proy 2022 vs 2019 sem'!EI7*ABR$4</f>
        <v>14858.095031999999</v>
      </c>
      <c r="ABQ8" s="699"/>
      <c r="ABR8" s="700">
        <f>ABQ8/ABO8</f>
        <v>0</v>
      </c>
      <c r="ABS8" s="593">
        <f>'Proy 2022 vs 2019 sem'!EH7*ABV$4</f>
        <v>16694.488799999999</v>
      </c>
      <c r="ABT8" s="593">
        <f>'Proy 2022 vs 2019 sem'!EI7*ABV$4</f>
        <v>14858.095031999999</v>
      </c>
      <c r="ABU8" s="699"/>
      <c r="ABV8" s="700">
        <f>ABU8/ABS8</f>
        <v>0</v>
      </c>
      <c r="ABW8" s="593">
        <f>'Proy 2022 vs 2019 sem'!EH7*ABZ$4</f>
        <v>16694.488799999999</v>
      </c>
      <c r="ABX8" s="593">
        <f>'Proy 2022 vs 2019 sem'!EI7*ABZ$4</f>
        <v>14858.095031999999</v>
      </c>
      <c r="ABY8" s="699"/>
      <c r="ABZ8" s="700">
        <f>ABY8/ABW8</f>
        <v>0</v>
      </c>
      <c r="ACA8" s="593">
        <f>'Proy 2022 vs 2019 sem'!EH7*ACD$4</f>
        <v>19476.903600000001</v>
      </c>
      <c r="ACB8" s="593">
        <f>'Proy 2022 vs 2019 sem'!EI7*ACD$4</f>
        <v>17334.444204000003</v>
      </c>
      <c r="ACC8" s="699"/>
      <c r="ACD8" s="700">
        <f>ACC8/ACA8</f>
        <v>0</v>
      </c>
      <c r="ACE8" s="593">
        <f>'Proy 2022 vs 2019 sem'!EH7*ACH$4</f>
        <v>22259.3184</v>
      </c>
      <c r="ACF8" s="593">
        <f>'Proy 2022 vs 2019 sem'!EI7*ACH$4</f>
        <v>19810.793376000001</v>
      </c>
      <c r="ACG8" s="699"/>
      <c r="ACH8" s="700">
        <f>ACG8/ACE8</f>
        <v>0</v>
      </c>
      <c r="ACI8" s="593">
        <f>'Proy 2022 vs 2019 sem'!EH7*ACL$4</f>
        <v>30606.5628</v>
      </c>
      <c r="ACJ8" s="593">
        <f>'Proy 2022 vs 2019 sem'!EI7*ACL$4</f>
        <v>27239.840892</v>
      </c>
      <c r="ACK8" s="699"/>
      <c r="ACL8" s="700">
        <f>ACK8/ACI8</f>
        <v>0</v>
      </c>
      <c r="ACM8" s="579">
        <f>ABK8+ABO8+ABS8+ABW8+ACA8+ACE8+ACI8</f>
        <v>139120.74</v>
      </c>
      <c r="ACN8" s="574">
        <f>ABL8+ABP8+ABT8+ABX8+ACB8+ACF8+ACJ8</f>
        <v>123817.45860000001</v>
      </c>
      <c r="ACO8" s="730">
        <f>ABM8+ABQ8+ABU8+ABY8+ACC8+ACG8+ACK8</f>
        <v>0</v>
      </c>
      <c r="ACP8" s="711">
        <f>ACO8/ACM8</f>
        <v>0</v>
      </c>
      <c r="ACQ8" s="593">
        <f>'Proy 2022 vs 2019 sem'!EM7*ACT$4</f>
        <v>14064.1368</v>
      </c>
      <c r="ACR8" s="593">
        <f>'Proy 2022 vs 2019 sem'!EN7*ACT$4</f>
        <v>13079.647224</v>
      </c>
      <c r="ACS8" s="699"/>
      <c r="ACT8" s="700">
        <f>ACS8/ACQ8</f>
        <v>0</v>
      </c>
      <c r="ACU8" s="593">
        <f>'Proy 2022 vs 2019 sem'!EM7*ACX$4</f>
        <v>14064.1368</v>
      </c>
      <c r="ACV8" s="593">
        <f>'Proy 2022 vs 2019 sem'!EN7*ACX$4</f>
        <v>13079.647224</v>
      </c>
      <c r="ACW8" s="699"/>
      <c r="ACX8" s="700">
        <f>ACW8/ACU8</f>
        <v>0</v>
      </c>
      <c r="ACY8" s="593">
        <f>'Proy 2022 vs 2019 sem'!EM7*ADB$4</f>
        <v>14064.1368</v>
      </c>
      <c r="ACZ8" s="593">
        <f>'Proy 2022 vs 2019 sem'!EN7*ADB$4</f>
        <v>13079.647224</v>
      </c>
      <c r="ADA8" s="699"/>
      <c r="ADB8" s="700">
        <f>ADA8/ACY8</f>
        <v>0</v>
      </c>
      <c r="ADC8" s="593">
        <f>'Proy 2022 vs 2019 sem'!EM7*ADF$4</f>
        <v>14064.1368</v>
      </c>
      <c r="ADD8" s="593">
        <f>'Proy 2022 vs 2019 sem'!EN7*ADF$4</f>
        <v>13079.647224</v>
      </c>
      <c r="ADE8" s="699"/>
      <c r="ADF8" s="700">
        <f>ADE8/ADC8</f>
        <v>0</v>
      </c>
      <c r="ADG8" s="593">
        <f>'Proy 2022 vs 2019 sem'!EM7*ADJ$4</f>
        <v>16408.159600000003</v>
      </c>
      <c r="ADH8" s="593">
        <f>'Proy 2022 vs 2019 sem'!EN7*ADJ$4</f>
        <v>15259.588428000003</v>
      </c>
      <c r="ADI8" s="699"/>
      <c r="ADJ8" s="700">
        <f>ADI8/ADG8</f>
        <v>0</v>
      </c>
      <c r="ADK8" s="593">
        <f>'Proy 2022 vs 2019 sem'!EM7*ADN$4</f>
        <v>18752.182400000002</v>
      </c>
      <c r="ADL8" s="593">
        <f>'Proy 2022 vs 2019 sem'!EN7*ADN$4</f>
        <v>17439.529632000002</v>
      </c>
      <c r="ADM8" s="699"/>
      <c r="ADN8" s="700">
        <f>ADM8/ADK8</f>
        <v>0</v>
      </c>
      <c r="ADO8" s="593">
        <f>'Proy 2022 vs 2019 sem'!EM7*ADR$4</f>
        <v>25784.250800000002</v>
      </c>
      <c r="ADP8" s="593">
        <f>'Proy 2022 vs 2019 sem'!EN7*ADR$4</f>
        <v>23979.353244000002</v>
      </c>
      <c r="ADQ8" s="699"/>
      <c r="ADR8" s="700">
        <f>ADQ8/ADO8</f>
        <v>0</v>
      </c>
      <c r="ADS8" s="579">
        <f>ACQ8+ACU8+ACY8+ADC8+ADG8+ADK8+ADO8</f>
        <v>117201.14000000001</v>
      </c>
      <c r="ADT8" s="574">
        <f>ACR8+ACV8+ACZ8+ADD8+ADH8+ADL8+ADP8</f>
        <v>108997.06020000001</v>
      </c>
      <c r="ADU8" s="710">
        <f>ACS8+ACW8+ADA8+ADE8+ADI8+ADM8+ADQ8</f>
        <v>0</v>
      </c>
      <c r="ADV8" s="711">
        <f>ADU8/ADS8</f>
        <v>0</v>
      </c>
      <c r="ADW8" s="593">
        <f>'Proy 2022 vs 2019 sem'!ER7*ADZ$4</f>
        <v>12769.526399999999</v>
      </c>
      <c r="ADX8" s="593">
        <f>'Proy 2022 vs 2019 sem'!ES7*ADZ$4</f>
        <v>11875.659552000001</v>
      </c>
      <c r="ADY8" s="699"/>
      <c r="ADZ8" s="700">
        <f>ADY8/ADW8</f>
        <v>0</v>
      </c>
      <c r="AEA8" s="593">
        <f>'Proy 2022 vs 2019 sem'!ER7*AED$4</f>
        <v>12769.526399999999</v>
      </c>
      <c r="AEB8" s="593">
        <f>'Proy 2022 vs 2019 sem'!ES7*AED$4</f>
        <v>11875.659552000001</v>
      </c>
      <c r="AEC8" s="699"/>
      <c r="AED8" s="700">
        <f>AEC8/AEA8</f>
        <v>0</v>
      </c>
      <c r="AEE8" s="593">
        <f>'Proy 2022 vs 2019 sem'!ER7*AEH$4</f>
        <v>12769.526399999999</v>
      </c>
      <c r="AEF8" s="593">
        <f>'Proy 2022 vs 2019 sem'!ES7*AEH$4</f>
        <v>11875.659552000001</v>
      </c>
      <c r="AEG8" s="699"/>
      <c r="AEH8" s="700">
        <f>AEG8/AEE8</f>
        <v>0</v>
      </c>
      <c r="AEI8" s="593">
        <f>'Proy 2022 vs 2019 sem'!ER7*AEL$4</f>
        <v>12769.526399999999</v>
      </c>
      <c r="AEJ8" s="593">
        <f>'Proy 2022 vs 2019 sem'!ES7*AEL$4</f>
        <v>11875.659552000001</v>
      </c>
      <c r="AEK8" s="699"/>
      <c r="AEL8" s="700">
        <f>AEK8/AEI8</f>
        <v>0</v>
      </c>
      <c r="AEM8" s="593">
        <f>'Proy 2022 vs 2019 sem'!ER7*AEP$4</f>
        <v>14897.780800000002</v>
      </c>
      <c r="AEN8" s="593">
        <f>'Proy 2022 vs 2019 sem'!ES7*AEP$4</f>
        <v>13854.936144000003</v>
      </c>
      <c r="AEO8" s="699"/>
      <c r="AEP8" s="700">
        <f>AEO8/AEM8</f>
        <v>0</v>
      </c>
      <c r="AEQ8" s="593">
        <f>'Proy 2022 vs 2019 sem'!ER7*AET$4</f>
        <v>17026.035200000002</v>
      </c>
      <c r="AER8" s="593">
        <f>'Proy 2022 vs 2019 sem'!ES7*AET$4</f>
        <v>15834.212736000003</v>
      </c>
      <c r="AES8" s="699"/>
      <c r="AET8" s="700">
        <f>AES8/AEQ8</f>
        <v>0</v>
      </c>
      <c r="AEU8" s="593">
        <f>'Proy 2022 vs 2019 sem'!ER7*AEX$4</f>
        <v>23410.7984</v>
      </c>
      <c r="AEV8" s="593">
        <f>'Proy 2022 vs 2019 sem'!ES7*AEX$4</f>
        <v>21772.042512000004</v>
      </c>
      <c r="AEW8" s="699"/>
      <c r="AEX8" s="700">
        <f>AEW8/AEU8</f>
        <v>0</v>
      </c>
      <c r="AEY8" s="579">
        <f>ADW8+AEA8+AEE8+AEI8+AEM8+AEQ8+AEU8</f>
        <v>106412.72</v>
      </c>
      <c r="AEZ8" s="574">
        <f>ADX8+AEB8+AEF8+AEJ8+AEN8+AER8+AEV8</f>
        <v>98963.829600000012</v>
      </c>
      <c r="AFA8" s="710">
        <f>ADY8+AEC8+AEG8+AEK8+AEO8+AES8+AEW8</f>
        <v>0</v>
      </c>
      <c r="AFB8" s="711">
        <f>AFA8/AEY8</f>
        <v>0</v>
      </c>
      <c r="AFC8" s="593">
        <f>'Proy 2022 vs 2019 sem'!FA7*AFF$4</f>
        <v>12156.312</v>
      </c>
      <c r="AFD8" s="593">
        <f>'Proy 2022 vs 2019 sem'!FB7*AFF$4</f>
        <v>10697.55456</v>
      </c>
      <c r="AFE8" s="735"/>
      <c r="AFF8" s="700">
        <f>AFE8/AFC8</f>
        <v>0</v>
      </c>
      <c r="AFG8" s="593">
        <f>'Proy 2022 vs 2019 sem'!FA7*AFJ$4</f>
        <v>12156.312</v>
      </c>
      <c r="AFH8" s="593">
        <f>'Proy 2022 vs 2019 sem'!FB7*AFJ$4</f>
        <v>10697.55456</v>
      </c>
      <c r="AFI8" s="699"/>
      <c r="AFJ8" s="700">
        <f>AFI8/AFG8</f>
        <v>0</v>
      </c>
      <c r="AFK8" s="593">
        <f>'Proy 2022 vs 2019 sem'!FA7*AFN$4</f>
        <v>12156.312</v>
      </c>
      <c r="AFL8" s="593">
        <f>'Proy 2022 vs 2019 sem'!FB7*AFN$4</f>
        <v>10697.55456</v>
      </c>
      <c r="AFM8" s="699"/>
      <c r="AFN8" s="700">
        <f>AFM8/AFK8</f>
        <v>0</v>
      </c>
      <c r="AFO8" s="593">
        <f>'Proy 2022 vs 2019 sem'!FA7*AFR$4</f>
        <v>12156.312</v>
      </c>
      <c r="AFP8" s="593">
        <f>'Proy 2022 vs 2019 sem'!FB7*AFR$4</f>
        <v>10697.55456</v>
      </c>
      <c r="AFQ8" s="699"/>
      <c r="AFR8" s="700">
        <f>AFQ8/AFO8</f>
        <v>0</v>
      </c>
      <c r="AFS8" s="593">
        <f>'Proy 2022 vs 2019 sem'!FA7*AFV$4</f>
        <v>14182.364000000001</v>
      </c>
      <c r="AFT8" s="593">
        <f>'Proy 2022 vs 2019 sem'!FB7*AFV$4</f>
        <v>12480.480320000001</v>
      </c>
      <c r="AFU8" s="699"/>
      <c r="AFV8" s="700">
        <f>AFU8/AFS8</f>
        <v>0</v>
      </c>
      <c r="AFW8" s="593">
        <f>'Proy 2022 vs 2019 sem'!FA7*AFZ$4</f>
        <v>16208.416000000001</v>
      </c>
      <c r="AFX8" s="593">
        <f>'Proy 2022 vs 2019 sem'!FB7*AFZ$4</f>
        <v>14263.406080000001</v>
      </c>
      <c r="AFY8" s="699"/>
      <c r="AFZ8" s="700">
        <f>AFY8/AFW8</f>
        <v>0</v>
      </c>
      <c r="AGA8" s="593">
        <f>'Proy 2022 vs 2019 sem'!FA7*AGD$4</f>
        <v>22286.572</v>
      </c>
      <c r="AGB8" s="593">
        <f>'Proy 2022 vs 2019 sem'!FB7*AGD$4</f>
        <v>19612.183359999999</v>
      </c>
      <c r="AGC8" s="699"/>
      <c r="AGD8" s="700">
        <f>AGC8/AGA8</f>
        <v>0</v>
      </c>
      <c r="AGE8" s="579">
        <f>AFC8+AFG8+AFK8+AFO8+AFS8+AFW8+AGA8</f>
        <v>101302.6</v>
      </c>
      <c r="AGF8" s="574">
        <f>AFD8+AFH8+AFL8+AFP8+AFT8+AFX8+AGB8</f>
        <v>89146.288</v>
      </c>
      <c r="AGG8" s="759">
        <f>AFE8+AFI8+AFM8+AFQ8+AFU8+AFY8+AGC8</f>
        <v>0</v>
      </c>
      <c r="AGH8" s="761">
        <f>AGG8/AGE8</f>
        <v>0</v>
      </c>
      <c r="AGI8" s="593">
        <f>'Proy 2022 vs 2019 sem'!FF7*AGL$4</f>
        <v>13889.097599999999</v>
      </c>
      <c r="AGJ8" s="593">
        <f>'Proy 2022 vs 2019 sem'!FG7*AGL$4</f>
        <v>12222.405887999999</v>
      </c>
      <c r="AGK8" s="699"/>
      <c r="AGL8" s="700">
        <f>AGK8/AGI8</f>
        <v>0</v>
      </c>
      <c r="AGM8" s="593">
        <f>'Proy 2022 vs 2019 sem'!FF7*AGP$4</f>
        <v>13889.097599999999</v>
      </c>
      <c r="AGN8" s="593">
        <f>'Proy 2022 vs 2019 sem'!FG7*AGP$4</f>
        <v>12222.405887999999</v>
      </c>
      <c r="AGO8" s="699"/>
      <c r="AGP8" s="700">
        <f>AGO8/AGM8</f>
        <v>0</v>
      </c>
      <c r="AGQ8" s="593">
        <f>'Proy 2022 vs 2019 sem'!FF7*AGT$4</f>
        <v>13889.097599999999</v>
      </c>
      <c r="AGR8" s="593">
        <f>'Proy 2022 vs 2019 sem'!FG7*AGT$4</f>
        <v>12222.405887999999</v>
      </c>
      <c r="AGS8" s="699"/>
      <c r="AGT8" s="700">
        <f>AGS8/AGQ8</f>
        <v>0</v>
      </c>
      <c r="AGU8" s="593">
        <f>'Proy 2022 vs 2019 sem'!FF7*AGX$4</f>
        <v>13889.097599999999</v>
      </c>
      <c r="AGV8" s="593">
        <f>'Proy 2022 vs 2019 sem'!FG7*AGX$4</f>
        <v>12222.405887999999</v>
      </c>
      <c r="AGW8" s="699"/>
      <c r="AGX8" s="700">
        <f>AGW8/AGU8</f>
        <v>0</v>
      </c>
      <c r="AGY8" s="593">
        <f>'Proy 2022 vs 2019 sem'!FF7*AHB$4</f>
        <v>16203.947200000001</v>
      </c>
      <c r="AGZ8" s="593">
        <f>'Proy 2022 vs 2019 sem'!FG7*AHB$4</f>
        <v>14259.473536000001</v>
      </c>
      <c r="AHA8" s="699"/>
      <c r="AHB8" s="700">
        <f>AHA8/AGY8</f>
        <v>0</v>
      </c>
      <c r="AHC8" s="593">
        <f>'Proy 2022 vs 2019 sem'!FF7*AHF$4</f>
        <v>18518.7968</v>
      </c>
      <c r="AHD8" s="593">
        <f>'Proy 2022 vs 2019 sem'!FG7*AHF$4</f>
        <v>16296.541184000002</v>
      </c>
      <c r="AHE8" s="699"/>
      <c r="AHF8" s="700">
        <f>AHE8/AHC8</f>
        <v>0</v>
      </c>
      <c r="AHG8" s="593">
        <f>'Proy 2022 vs 2019 sem'!FF7*AHJ$4</f>
        <v>25463.345600000001</v>
      </c>
      <c r="AHH8" s="593">
        <f>'Proy 2022 vs 2019 sem'!FG7*AHJ$4</f>
        <v>22407.744128000002</v>
      </c>
      <c r="AHI8" s="699"/>
      <c r="AHJ8" s="700">
        <f>AHI8/AHG8</f>
        <v>0</v>
      </c>
      <c r="AHK8" s="579">
        <f>AGI8+AGM8+AGQ8+AGU8+AGY8+AHC8+AHG8</f>
        <v>115742.48</v>
      </c>
      <c r="AHL8" s="574">
        <f>AGJ8+AGN8+AGR8+AGV8+AGZ8+AHD8+AHH8</f>
        <v>101853.3824</v>
      </c>
      <c r="AHM8" s="765">
        <f>AGK8+AGO8+AGS8+AGW8+AHA8+AHE8+AHI8</f>
        <v>0</v>
      </c>
      <c r="AHN8" s="761">
        <f>AHM8/AHK8</f>
        <v>0</v>
      </c>
      <c r="AHO8" s="593">
        <f>'Proy 2022 vs 2019 sem'!FK7*AHR$4</f>
        <v>11353.089599999999</v>
      </c>
      <c r="AHP8" s="593">
        <f>'Proy 2022 vs 2019 sem'!FL7*AHR$4</f>
        <v>10104.249743999999</v>
      </c>
      <c r="AHQ8" s="699"/>
      <c r="AHR8" s="700">
        <f>AHQ8/AHO8</f>
        <v>0</v>
      </c>
      <c r="AHS8" s="593">
        <f>'Proy 2022 vs 2019 sem'!FK7*AHV$4</f>
        <v>11353.089599999999</v>
      </c>
      <c r="AHT8" s="593">
        <f>'Proy 2022 vs 2019 sem'!FL7*AHV$4</f>
        <v>10104.249743999999</v>
      </c>
      <c r="AHU8" s="699"/>
      <c r="AHV8" s="700">
        <f>AHU8/AHS8</f>
        <v>0</v>
      </c>
      <c r="AHW8" s="593">
        <f>'Proy 2022 vs 2019 sem'!FK7*AHZ$4</f>
        <v>11353.089599999999</v>
      </c>
      <c r="AHX8" s="593">
        <f>'Proy 2022 vs 2019 sem'!FL7*AHZ$4</f>
        <v>10104.249743999999</v>
      </c>
      <c r="AHY8" s="699"/>
      <c r="AHZ8" s="700">
        <f>AHY8/AHW8</f>
        <v>0</v>
      </c>
      <c r="AIA8" s="593">
        <f>'Proy 2022 vs 2019 sem'!FK7*AID$4</f>
        <v>11353.089599999999</v>
      </c>
      <c r="AIB8" s="593">
        <f>'Proy 2022 vs 2019 sem'!FL7*AID$4</f>
        <v>10104.249743999999</v>
      </c>
      <c r="AIC8" s="699"/>
      <c r="AID8" s="700">
        <f>AIC8/AIA8</f>
        <v>0</v>
      </c>
      <c r="AIE8" s="593">
        <f>'Proy 2022 vs 2019 sem'!FK7*AIH$4</f>
        <v>13245.271200000001</v>
      </c>
      <c r="AIF8" s="593">
        <f>'Proy 2022 vs 2019 sem'!FL7*AIH$4</f>
        <v>11788.291368000002</v>
      </c>
      <c r="AIG8" s="699"/>
      <c r="AIH8" s="700">
        <f>AIG8/AIE8</f>
        <v>0</v>
      </c>
      <c r="AII8" s="593">
        <f>'Proy 2022 vs 2019 sem'!FK7*AIL$4</f>
        <v>15137.452800000001</v>
      </c>
      <c r="AIJ8" s="593">
        <f>'Proy 2022 vs 2019 sem'!FL7*AIL$4</f>
        <v>13472.332992</v>
      </c>
      <c r="AIK8" s="699"/>
      <c r="AIL8" s="700">
        <f>AIK8/AII8</f>
        <v>0</v>
      </c>
      <c r="AIM8" s="593">
        <f>'Proy 2022 vs 2019 sem'!FK7*AIP$4</f>
        <v>20813.997599999999</v>
      </c>
      <c r="AIN8" s="593">
        <f>'Proy 2022 vs 2019 sem'!FL7*AIP$4</f>
        <v>18524.457864</v>
      </c>
      <c r="AIO8" s="699"/>
      <c r="AIP8" s="700">
        <f>AIO8/AIM8</f>
        <v>0</v>
      </c>
      <c r="AIQ8" s="579">
        <f>AHO8+AHS8+AHW8+AIA8+AIE8+AII8+AIM8</f>
        <v>94609.08</v>
      </c>
      <c r="AIR8" s="574">
        <f>AHP8+AHT8+AHX8+AIB8+AIF8+AIJ8+AIN8</f>
        <v>84202.081199999986</v>
      </c>
      <c r="AIS8" s="765">
        <f>AHQ8+AHU8+AHY8+AIC8+AIG8+AIK8+AIO8</f>
        <v>0</v>
      </c>
      <c r="AIT8" s="761">
        <f>AIS8/AIQ8</f>
        <v>0</v>
      </c>
      <c r="AIU8" s="593">
        <f>'Proy 2022 vs 2019 sem'!FP7*AIX$4</f>
        <v>13117.5288</v>
      </c>
      <c r="AIV8" s="593">
        <f>'Proy 2022 vs 2019 sem'!FQ7*AIX$4</f>
        <v>12068.126496000001</v>
      </c>
      <c r="AIW8" s="699"/>
      <c r="AIX8" s="700">
        <f>AIW8/AIU8</f>
        <v>0</v>
      </c>
      <c r="AIY8" s="593">
        <f>'Proy 2022 vs 2019 sem'!FP7*AJB$4</f>
        <v>13117.5288</v>
      </c>
      <c r="AIZ8" s="593">
        <f>'Proy 2022 vs 2019 sem'!FQ7*AJB$4</f>
        <v>12068.126496000001</v>
      </c>
      <c r="AJA8" s="699"/>
      <c r="AJB8" s="700">
        <f>AJA8/AIY8</f>
        <v>0</v>
      </c>
      <c r="AJC8" s="593">
        <f>'Proy 2022 vs 2019 sem'!FP7*AJF$4</f>
        <v>13117.5288</v>
      </c>
      <c r="AJD8" s="593">
        <f>'Proy 2022 vs 2019 sem'!FQ7*AJF$4</f>
        <v>12068.126496000001</v>
      </c>
      <c r="AJE8" s="699"/>
      <c r="AJF8" s="700">
        <f>AJE8/AJC8</f>
        <v>0</v>
      </c>
      <c r="AJG8" s="593">
        <f>'Proy 2022 vs 2019 sem'!FP7*AJJ$4</f>
        <v>13117.5288</v>
      </c>
      <c r="AJH8" s="593">
        <f>'Proy 2022 vs 2019 sem'!FQ7*AJJ$4</f>
        <v>12068.126496000001</v>
      </c>
      <c r="AJI8" s="699"/>
      <c r="AJJ8" s="700">
        <f>AJI8/AJG8</f>
        <v>0</v>
      </c>
      <c r="AJK8" s="593">
        <f>'Proy 2022 vs 2019 sem'!FP7*AJN$4</f>
        <v>15303.783600000002</v>
      </c>
      <c r="AJL8" s="593">
        <f>'Proy 2022 vs 2019 sem'!FQ7*AJN$4</f>
        <v>14079.480912000003</v>
      </c>
      <c r="AJM8" s="699"/>
      <c r="AJN8" s="700">
        <f>AJM8/AJK8</f>
        <v>0</v>
      </c>
      <c r="AJO8" s="593">
        <f>'Proy 2022 vs 2019 sem'!FP7*AJR$4</f>
        <v>17490.038400000001</v>
      </c>
      <c r="AJP8" s="593">
        <f>'Proy 2022 vs 2019 sem'!FQ7*AJR$4</f>
        <v>16090.835328000003</v>
      </c>
      <c r="AJQ8" s="699"/>
      <c r="AJR8" s="700">
        <f>AJQ8/AJO8</f>
        <v>0</v>
      </c>
      <c r="AJS8" s="593">
        <f>'Proy 2022 vs 2019 sem'!FP7*AJV$4</f>
        <v>24048.802800000001</v>
      </c>
      <c r="AJT8" s="593">
        <f>'Proy 2022 vs 2019 sem'!FQ7*AJV$4</f>
        <v>22124.898576000003</v>
      </c>
      <c r="AJU8" s="699"/>
      <c r="AJV8" s="700">
        <f>AJU8/AJS8</f>
        <v>0</v>
      </c>
      <c r="AJW8" s="579">
        <f>AIU8+AIY8+AJC8+AJG8+AJK8+AJO8+AJS8</f>
        <v>109312.74</v>
      </c>
      <c r="AJX8" s="574">
        <f>AIV8+AIZ8+AJD8+AJH8+AJL8+AJP8+AJT8</f>
        <v>100567.72080000001</v>
      </c>
      <c r="AJY8" s="770">
        <f>AIW8+AJA8+AJE8+AJI8+AJM8+AJQ8+AJU8</f>
        <v>0</v>
      </c>
      <c r="AJZ8" s="761">
        <f>AJY8/AJW8</f>
        <v>0</v>
      </c>
      <c r="AKA8" s="593"/>
      <c r="AKB8" s="593"/>
      <c r="AKC8" s="735"/>
      <c r="AKD8" s="700" t="e">
        <f>AKC8/AKA8</f>
        <v>#DIV/0!</v>
      </c>
      <c r="AKE8" s="593">
        <v>11512.3752</v>
      </c>
      <c r="AKF8" s="593">
        <v>11742.622704000001</v>
      </c>
      <c r="AKG8" s="699"/>
      <c r="AKH8" s="700">
        <f>AKG8/AKE8</f>
        <v>0</v>
      </c>
      <c r="AKI8" s="593">
        <v>11512.3752</v>
      </c>
      <c r="AKJ8" s="593">
        <v>11742.622704000001</v>
      </c>
      <c r="AKK8" s="699"/>
      <c r="AKL8" s="700">
        <f>AKK8/AKI8</f>
        <v>0</v>
      </c>
      <c r="AKM8" s="593">
        <v>11512.3752</v>
      </c>
      <c r="AKN8" s="593">
        <v>11742.622704000001</v>
      </c>
      <c r="AKO8" s="699"/>
      <c r="AKP8" s="700">
        <f>AKO8/AKM8</f>
        <v>0</v>
      </c>
      <c r="AKQ8" s="593">
        <v>13431.104400000002</v>
      </c>
      <c r="AKR8" s="593">
        <v>13699.726488000002</v>
      </c>
      <c r="AKS8" s="699"/>
      <c r="AKT8" s="700">
        <f>AKS8/AKQ8</f>
        <v>0</v>
      </c>
      <c r="AKU8" s="593">
        <v>15349.833600000002</v>
      </c>
      <c r="AKV8" s="593">
        <v>15656.830272000001</v>
      </c>
      <c r="AKW8" s="699"/>
      <c r="AKX8" s="700">
        <f>AKW8/AKU8</f>
        <v>0</v>
      </c>
      <c r="AKY8" s="593">
        <v>21106.021200000003</v>
      </c>
      <c r="AKZ8" s="593">
        <v>21528.141624000004</v>
      </c>
      <c r="ALA8" s="699"/>
      <c r="ALB8" s="700">
        <f>ALA8/AKY8</f>
        <v>0</v>
      </c>
      <c r="ALC8" s="579">
        <f>AKA8+AKE8+AKI8+AKM8+AKQ8+AKU8+AKY8</f>
        <v>84424.084800000011</v>
      </c>
      <c r="ALD8" s="574">
        <f>AKB8+AKF8+AKJ8+AKN8+AKR8+AKV8+AKZ8</f>
        <v>86112.566496000014</v>
      </c>
      <c r="ALE8" s="793">
        <f>AKC8+AKG8+AKK8+AKO8+AKS8+AKW8+ALA8</f>
        <v>0</v>
      </c>
      <c r="ALF8" s="786">
        <f>ALE8/ALC8</f>
        <v>0</v>
      </c>
      <c r="ALG8" s="593"/>
      <c r="ALH8" s="593"/>
      <c r="ALI8" s="699"/>
      <c r="ALJ8" s="700" t="e">
        <f>ALI8/ALG8</f>
        <v>#DIV/0!</v>
      </c>
      <c r="ALK8" s="593">
        <v>11156.0232</v>
      </c>
      <c r="ALL8" s="593">
        <v>11379.143663999999</v>
      </c>
      <c r="ALM8" s="699"/>
      <c r="ALN8" s="700">
        <f>ALM8/ALK8</f>
        <v>0</v>
      </c>
      <c r="ALO8" s="593">
        <v>11156.0232</v>
      </c>
      <c r="ALP8" s="593">
        <v>11379.143663999999</v>
      </c>
      <c r="ALQ8" s="699"/>
      <c r="ALR8" s="700">
        <f>ALQ8/ALO8</f>
        <v>0</v>
      </c>
      <c r="ALS8" s="593">
        <v>11156.0232</v>
      </c>
      <c r="ALT8" s="593">
        <v>11379.143663999999</v>
      </c>
      <c r="ALU8" s="699"/>
      <c r="ALV8" s="700">
        <f>ALU8/ALS8</f>
        <v>0</v>
      </c>
      <c r="ALW8" s="593">
        <v>13015.360400000001</v>
      </c>
      <c r="ALX8" s="593">
        <v>13275.667608</v>
      </c>
      <c r="ALY8" s="699"/>
      <c r="ALZ8" s="700">
        <f>ALY8/ALW8</f>
        <v>0</v>
      </c>
      <c r="AMA8" s="593">
        <v>14874.6976</v>
      </c>
      <c r="AMB8" s="593">
        <v>15172.191552</v>
      </c>
      <c r="AMC8" s="699"/>
      <c r="AMD8" s="700">
        <f>AMC8/AMA8</f>
        <v>0</v>
      </c>
      <c r="AME8" s="593">
        <v>20452.709200000001</v>
      </c>
      <c r="AMF8" s="593">
        <v>20861.763383999998</v>
      </c>
      <c r="AMG8" s="699"/>
      <c r="AMH8" s="700">
        <f>AMG8/AME8</f>
        <v>0</v>
      </c>
      <c r="AMI8" s="579">
        <f>ALG8+ALK8+ALO8+ALS8+ALW8+AMA8+AME8</f>
        <v>81810.836800000005</v>
      </c>
      <c r="AMJ8" s="574">
        <f>ALH8+ALL8+ALP8+ALT8+ALX8+AMB8+AMF8</f>
        <v>83447.053535999992</v>
      </c>
      <c r="AMK8" s="794">
        <f>ALI8+ALM8+ALQ8+ALU8+ALY8+AMC8+AMG8</f>
        <v>0</v>
      </c>
      <c r="AML8" s="786">
        <f>AMK8/AMI8</f>
        <v>0</v>
      </c>
      <c r="AMM8" s="593"/>
      <c r="AMN8" s="593"/>
      <c r="AMO8" s="699"/>
      <c r="AMP8" s="700" t="e">
        <f>AMO8/AMM8</f>
        <v>#DIV/0!</v>
      </c>
      <c r="AMQ8" s="593">
        <v>11280.721199999998</v>
      </c>
      <c r="AMR8" s="593">
        <v>11506.335623999999</v>
      </c>
      <c r="AMS8" s="699"/>
      <c r="AMT8" s="700">
        <f>AMS8/AMQ8</f>
        <v>0</v>
      </c>
      <c r="AMU8" s="593">
        <v>11280.721199999998</v>
      </c>
      <c r="AMV8" s="593">
        <v>11506.335623999999</v>
      </c>
      <c r="AMW8" s="699"/>
      <c r="AMX8" s="700">
        <f>AMW8/AMU8</f>
        <v>0</v>
      </c>
      <c r="AMY8" s="593">
        <v>11280.721199999998</v>
      </c>
      <c r="AMZ8" s="593">
        <v>11506.335623999999</v>
      </c>
      <c r="ANA8" s="699"/>
      <c r="ANB8" s="700">
        <f>ANA8/AMY8</f>
        <v>0</v>
      </c>
      <c r="ANC8" s="593">
        <v>13160.841400000001</v>
      </c>
      <c r="AND8" s="593">
        <v>13424.058228000002</v>
      </c>
      <c r="ANE8" s="699"/>
      <c r="ANF8" s="700">
        <f>ANE8/ANC8</f>
        <v>0</v>
      </c>
      <c r="ANG8" s="593">
        <v>15040.961599999999</v>
      </c>
      <c r="ANH8" s="593">
        <v>15341.780832</v>
      </c>
      <c r="ANI8" s="699"/>
      <c r="ANJ8" s="700">
        <f>ANI8/ANG8</f>
        <v>0</v>
      </c>
      <c r="ANK8" s="593">
        <v>20681.322199999999</v>
      </c>
      <c r="ANL8" s="593">
        <v>21094.948644</v>
      </c>
      <c r="ANM8" s="699"/>
      <c r="ANN8" s="700">
        <f>ANM8/ANK8</f>
        <v>0</v>
      </c>
      <c r="ANO8" s="579">
        <f>AMM8+AMQ8+AMU8+AMY8+ANC8+ANG8+ANK8</f>
        <v>82725.28879999998</v>
      </c>
      <c r="ANP8" s="574">
        <f>AMN8+AMR8+AMV8+AMZ8+AND8+ANH8+ANL8</f>
        <v>84379.794576</v>
      </c>
      <c r="ANQ8" s="794">
        <f>AMO8+AMS8+AMW8+ANA8+ANE8+ANI8+ANM8</f>
        <v>0</v>
      </c>
      <c r="ANR8" s="786">
        <f>ANQ8/ANO8</f>
        <v>0</v>
      </c>
      <c r="ANS8" s="593">
        <f>'Proy 2022 vs 2019 sem'!GN7*ANV$4</f>
        <v>10683.199200000001</v>
      </c>
      <c r="ANT8" s="593">
        <f>'Proy 2022 vs 2019 sem'!GO7*ANV$4</f>
        <v>10469.535216</v>
      </c>
      <c r="ANU8" s="699"/>
      <c r="ANV8" s="700">
        <f>ANU8/ANS8</f>
        <v>0</v>
      </c>
      <c r="ANW8" s="593">
        <f>'Proy 2022 vs 2019 sem'!GN7*ANZ$4</f>
        <v>10683.199200000001</v>
      </c>
      <c r="ANX8" s="593">
        <f>'Proy 2022 vs 2019 sem'!GO7*ANZ$4</f>
        <v>10469.535216</v>
      </c>
      <c r="ANY8" s="699"/>
      <c r="ANZ8" s="700">
        <f>ANY8/ANW8</f>
        <v>0</v>
      </c>
      <c r="AOA8" s="593">
        <f>'Proy 2022 vs 2019 sem'!GN7*AOD$4</f>
        <v>10683.199200000001</v>
      </c>
      <c r="AOB8" s="593">
        <f>'Proy 2022 vs 2019 sem'!GO7*AOD$4</f>
        <v>10469.535216</v>
      </c>
      <c r="AOC8" s="699"/>
      <c r="AOD8" s="700">
        <f>AOC8/AOA8</f>
        <v>0</v>
      </c>
      <c r="AOE8" s="593">
        <f>'Proy 2022 vs 2019 sem'!GN7*AOH$4</f>
        <v>10683.199200000001</v>
      </c>
      <c r="AOF8" s="593">
        <f>'Proy 2022 vs 2019 sem'!GO7*AOH$4</f>
        <v>10469.535216</v>
      </c>
      <c r="AOG8" s="699"/>
      <c r="AOH8" s="700">
        <f>AOG8/AOE8</f>
        <v>0</v>
      </c>
      <c r="AOI8" s="593">
        <f>'Proy 2022 vs 2019 sem'!GN7*AOL$4</f>
        <v>12463.732400000001</v>
      </c>
      <c r="AOJ8" s="593">
        <f>'Proy 2022 vs 2019 sem'!GO7*AOL$4</f>
        <v>12214.457752</v>
      </c>
      <c r="AOK8" s="699"/>
      <c r="AOL8" s="700">
        <f>AOK8/AOI8</f>
        <v>0</v>
      </c>
      <c r="AOM8" s="593">
        <f>'Proy 2022 vs 2019 sem'!GN7*AOP$4</f>
        <v>14244.265600000001</v>
      </c>
      <c r="AON8" s="593">
        <f>'Proy 2022 vs 2019 sem'!GO7*AOP$4</f>
        <v>13959.380288</v>
      </c>
      <c r="AOO8" s="699"/>
      <c r="AOP8" s="700">
        <f>AOO8/AOM8</f>
        <v>0</v>
      </c>
      <c r="AOQ8" s="593">
        <f>'Proy 2022 vs 2019 sem'!GN7*AOT$4</f>
        <v>19585.8652</v>
      </c>
      <c r="AOR8" s="593">
        <f>'Proy 2022 vs 2019 sem'!GO7*AOT$4</f>
        <v>19194.147895999999</v>
      </c>
      <c r="AOS8" s="699"/>
      <c r="AOT8" s="700">
        <f>AOS8/AOQ8</f>
        <v>0</v>
      </c>
      <c r="AOU8" s="579">
        <f>ANS8+ANW8+AOA8+AOE8+AOI8+AOM8+AOQ8</f>
        <v>89026.66</v>
      </c>
      <c r="AOV8" s="574">
        <f>ANT8+ANX8+AOB8+AOF8+AOJ8+AON8+AOR8</f>
        <v>87246.126799999998</v>
      </c>
      <c r="AOW8" s="785">
        <f>ANU8+ANY8+AOC8+AOG8+AOK8+AOO8+AOS8</f>
        <v>0</v>
      </c>
      <c r="AOX8" s="786">
        <f>AOW8/AOU8</f>
        <v>0</v>
      </c>
      <c r="AOY8" s="593">
        <f>'Proy 2022 vs 2019 sem'!GW7*APB$4</f>
        <v>9999.119999999999</v>
      </c>
      <c r="AOZ8" s="593">
        <f>'Proy 2022 vs 2019 sem'!GX7*APB$4</f>
        <v>9799.1376</v>
      </c>
      <c r="APA8" s="735"/>
      <c r="APB8" s="700">
        <f>APA8/AOY8</f>
        <v>0</v>
      </c>
      <c r="APC8" s="593">
        <f>'Proy 2022 vs 2019 sem'!GW7*APF$4</f>
        <v>9999.119999999999</v>
      </c>
      <c r="APD8" s="593">
        <f>'Proy 2022 vs 2019 sem'!GX7*APF$4</f>
        <v>9799.1376</v>
      </c>
      <c r="APE8" s="735"/>
      <c r="APF8" s="700">
        <f>APE8/APC8</f>
        <v>0</v>
      </c>
      <c r="APG8" s="593">
        <f>'Proy 2022 vs 2019 sem'!GW7*APJ$4</f>
        <v>9999.119999999999</v>
      </c>
      <c r="APH8" s="593">
        <f>'Proy 2022 vs 2019 sem'!GX7*APJ$4</f>
        <v>9799.1376</v>
      </c>
      <c r="API8" s="735"/>
      <c r="APJ8" s="700">
        <f>API8/APG8</f>
        <v>0</v>
      </c>
      <c r="APK8" s="593">
        <f>'Proy 2022 vs 2019 sem'!GW7*APN$4</f>
        <v>9999.119999999999</v>
      </c>
      <c r="APL8" s="593">
        <f>'Proy 2022 vs 2019 sem'!GX7*APN$4</f>
        <v>9799.1376</v>
      </c>
      <c r="APM8" s="735"/>
      <c r="APN8" s="700">
        <f>APM8/APK8</f>
        <v>0</v>
      </c>
      <c r="APO8" s="593">
        <f>'Proy 2022 vs 2019 sem'!GW7*APR$4</f>
        <v>11665.640000000001</v>
      </c>
      <c r="APP8" s="593">
        <f>'Proy 2022 vs 2019 sem'!GX7*APR$4</f>
        <v>11432.3272</v>
      </c>
      <c r="APQ8" s="735"/>
      <c r="APR8" s="700">
        <f>APQ8/APO8</f>
        <v>0</v>
      </c>
      <c r="APS8" s="593">
        <f>'Proy 2022 vs 2019 sem'!GW7*APV$4</f>
        <v>13332.16</v>
      </c>
      <c r="APT8" s="593">
        <f>'Proy 2022 vs 2019 sem'!GX7*APV$4</f>
        <v>13065.516799999999</v>
      </c>
      <c r="APU8" s="735"/>
      <c r="APV8" s="700">
        <f>APU8/APS8</f>
        <v>0</v>
      </c>
      <c r="APW8" s="593">
        <f>'Proy 2022 vs 2019 sem'!GW7*APZ$4</f>
        <v>18331.72</v>
      </c>
      <c r="APX8" s="593">
        <f>'Proy 2022 vs 2019 sem'!GX7*APZ$4</f>
        <v>17965.085599999999</v>
      </c>
      <c r="APY8" s="735"/>
      <c r="APZ8" s="700">
        <f>APY8/APW8</f>
        <v>0</v>
      </c>
      <c r="AQA8" s="579">
        <f>AOY8+APC8+APG8+APK8+APO8+APS8+APW8</f>
        <v>83326</v>
      </c>
      <c r="AQB8" s="574">
        <f>AOZ8+APD8+APH8+APL8+APP8+APT8+APX8</f>
        <v>81659.48</v>
      </c>
      <c r="AQC8" s="729">
        <f>APA8+APE8+API8+APM8+APQ8+APU8+APY8</f>
        <v>0</v>
      </c>
      <c r="AQD8" s="711">
        <f>AQC8/AQA8</f>
        <v>0</v>
      </c>
      <c r="AQE8" s="593">
        <f>'Proy 2022 vs 2019 sem'!HB7*AQH$4</f>
        <v>10258.2996</v>
      </c>
      <c r="AQF8" s="593">
        <f>'Proy 2022 vs 2019 sem'!HC7*AQH$4</f>
        <v>10258.2996</v>
      </c>
      <c r="AQG8" s="699"/>
      <c r="AQH8" s="700">
        <f>AQG8/AQE8</f>
        <v>0</v>
      </c>
      <c r="AQI8" s="593">
        <f>'Proy 2022 vs 2019 sem'!HB7*AQL$4</f>
        <v>10258.2996</v>
      </c>
      <c r="AQJ8" s="593">
        <f>'Proy 2022 vs 2019 sem'!HC7*AQL$4</f>
        <v>10258.2996</v>
      </c>
      <c r="AQK8" s="699"/>
      <c r="AQL8" s="700">
        <f>AQK8/AQI8</f>
        <v>0</v>
      </c>
      <c r="AQM8" s="593">
        <f>'Proy 2022 vs 2019 sem'!HB7*AQP$4</f>
        <v>10258.2996</v>
      </c>
      <c r="AQN8" s="593">
        <f>'Proy 2022 vs 2019 sem'!HC7*AQP$4</f>
        <v>10258.2996</v>
      </c>
      <c r="AQO8" s="699"/>
      <c r="AQP8" s="700">
        <f>AQO8/AQM8</f>
        <v>0</v>
      </c>
      <c r="AQQ8" s="593">
        <f>'Proy 2022 vs 2019 sem'!HB7*AQT$4</f>
        <v>10258.2996</v>
      </c>
      <c r="AQR8" s="593">
        <f>'Proy 2022 vs 2019 sem'!HC7*AQT$4</f>
        <v>10258.2996</v>
      </c>
      <c r="AQS8" s="699"/>
      <c r="AQT8" s="700">
        <f>AQS8/AQQ8</f>
        <v>0</v>
      </c>
      <c r="AQU8" s="593">
        <f>'Proy 2022 vs 2019 sem'!HB7*AQX$4</f>
        <v>11968.016200000002</v>
      </c>
      <c r="AQV8" s="593">
        <f>'Proy 2022 vs 2019 sem'!HC7*AQX$4</f>
        <v>11968.016200000002</v>
      </c>
      <c r="AQW8" s="699"/>
      <c r="AQX8" s="700">
        <f>AQW8/AQU8</f>
        <v>0</v>
      </c>
      <c r="AQY8" s="593">
        <f>'Proy 2022 vs 2019 sem'!HB7*ARB$4</f>
        <v>13677.7328</v>
      </c>
      <c r="AQZ8" s="593">
        <f>'Proy 2022 vs 2019 sem'!HC7*ARB$4</f>
        <v>13677.7328</v>
      </c>
      <c r="ARA8" s="699"/>
      <c r="ARB8" s="700">
        <f>ARA8/AQY8</f>
        <v>0</v>
      </c>
      <c r="ARC8" s="593">
        <f>'Proy 2022 vs 2019 sem'!HB7*ARF$4</f>
        <v>18806.882600000001</v>
      </c>
      <c r="ARD8" s="593">
        <f>'Proy 2022 vs 2019 sem'!HC7*ARF$4</f>
        <v>18806.882600000001</v>
      </c>
      <c r="ARE8" s="699"/>
      <c r="ARF8" s="700">
        <f>ARE8/ARC8</f>
        <v>0</v>
      </c>
      <c r="ARG8" s="579">
        <f>AQE8+AQI8+AQM8+AQQ8+AQU8+AQY8+ARC8</f>
        <v>85485.83</v>
      </c>
      <c r="ARH8" s="574">
        <f>AQF8+AQJ8+AQN8+AQR8+AQV8+AQZ8+ARD8</f>
        <v>85485.83</v>
      </c>
      <c r="ARI8" s="730">
        <f>AQG8+AQK8+AQO8+AQS8+AQW8+ARA8+ARE8</f>
        <v>0</v>
      </c>
      <c r="ARJ8" s="711">
        <f>ARI8/ARG8</f>
        <v>0</v>
      </c>
      <c r="ARK8" s="593">
        <f>'Proy 2022 vs 2019 sem'!HG7*ARN$4</f>
        <v>10122.9336</v>
      </c>
      <c r="ARL8" s="593">
        <f>'Proy 2022 vs 2019 sem'!HH7*ARN$4</f>
        <v>9616.7869199999986</v>
      </c>
      <c r="ARM8" s="699"/>
      <c r="ARN8" s="700">
        <f>ARM8/ARK8</f>
        <v>0</v>
      </c>
      <c r="ARO8" s="593">
        <f>'Proy 2022 vs 2019 sem'!HG7*ARR$4</f>
        <v>10122.9336</v>
      </c>
      <c r="ARP8" s="593">
        <f>'Proy 2022 vs 2019 sem'!HH7*ARR$4</f>
        <v>9616.7869199999986</v>
      </c>
      <c r="ARQ8" s="699"/>
      <c r="ARR8" s="700">
        <f>ARQ8/ARO8</f>
        <v>0</v>
      </c>
      <c r="ARS8" s="593">
        <f>'Proy 2022 vs 2019 sem'!HG7*ARV$4</f>
        <v>10122.9336</v>
      </c>
      <c r="ART8" s="593">
        <f>'Proy 2022 vs 2019 sem'!HH7*ARV$4</f>
        <v>9616.7869199999986</v>
      </c>
      <c r="ARU8" s="699"/>
      <c r="ARV8" s="700">
        <f>ARU8/ARS8</f>
        <v>0</v>
      </c>
      <c r="ARW8" s="593">
        <f>'Proy 2022 vs 2019 sem'!HG7*ARZ$4</f>
        <v>10122.9336</v>
      </c>
      <c r="ARX8" s="593">
        <f>'Proy 2022 vs 2019 sem'!HH7*ARZ$4</f>
        <v>9616.7869199999986</v>
      </c>
      <c r="ARY8" s="699"/>
      <c r="ARZ8" s="700">
        <f>ARY8/ARW8</f>
        <v>0</v>
      </c>
      <c r="ASA8" s="593">
        <f>'Proy 2022 vs 2019 sem'!HG7*ASD$4</f>
        <v>11810.0892</v>
      </c>
      <c r="ASB8" s="593">
        <f>'Proy 2022 vs 2019 sem'!HH7*ASD$4</f>
        <v>11219.58474</v>
      </c>
      <c r="ASC8" s="699"/>
      <c r="ASD8" s="700">
        <f>ASC8/ASA8</f>
        <v>0</v>
      </c>
      <c r="ASE8" s="593">
        <f>'Proy 2022 vs 2019 sem'!HG7*ASH$4</f>
        <v>13497.2448</v>
      </c>
      <c r="ASF8" s="593">
        <f>'Proy 2022 vs 2019 sem'!HH7*ASH$4</f>
        <v>12822.382559999998</v>
      </c>
      <c r="ASG8" s="699"/>
      <c r="ASH8" s="700">
        <f>ASG8/ASE8</f>
        <v>0</v>
      </c>
      <c r="ASI8" s="593">
        <f>'Proy 2022 vs 2019 sem'!HG7*ASL$4</f>
        <v>18558.711599999999</v>
      </c>
      <c r="ASJ8" s="593">
        <f>'Proy 2022 vs 2019 sem'!HH7*ASL$4</f>
        <v>17630.776019999998</v>
      </c>
      <c r="ASK8" s="699"/>
      <c r="ASL8" s="700">
        <f>ASK8/ASI8</f>
        <v>0</v>
      </c>
      <c r="ASM8" s="579">
        <f>ARK8+ARO8+ARS8+ARW8+ASA8+ASE8+ASI8</f>
        <v>84357.78</v>
      </c>
      <c r="ASN8" s="574">
        <f>ARL8+ARP8+ART8+ARX8+ASB8+ASF8+ASJ8</f>
        <v>80139.890999999989</v>
      </c>
      <c r="ASO8" s="730">
        <f>ARM8+ARQ8+ARU8+ARY8+ASC8+ASG8+ASK8</f>
        <v>0</v>
      </c>
      <c r="ASP8" s="711">
        <f>ASO8/ASM8</f>
        <v>0</v>
      </c>
      <c r="ASQ8" s="593">
        <f>'Proy 2022 vs 2019 sem'!HL7*AST$4</f>
        <v>9545.2559999999994</v>
      </c>
      <c r="ASR8" s="593">
        <f>'Proy 2022 vs 2019 sem'!HM7*AST$4</f>
        <v>9258.8983200000002</v>
      </c>
      <c r="ASS8" s="699"/>
      <c r="AST8" s="700">
        <f>ASS8/ASQ8</f>
        <v>0</v>
      </c>
      <c r="ASU8" s="593">
        <f>'Proy 2022 vs 2019 sem'!HL7*ASX$4</f>
        <v>9545.2559999999994</v>
      </c>
      <c r="ASV8" s="593">
        <f>'Proy 2022 vs 2019 sem'!HM7*ASX$4</f>
        <v>9258.8983200000002</v>
      </c>
      <c r="ASW8" s="699"/>
      <c r="ASX8" s="700">
        <f>ASW8/ASU8</f>
        <v>0</v>
      </c>
      <c r="ASY8" s="593">
        <f>'Proy 2022 vs 2019 sem'!HL7*ATB$4</f>
        <v>9545.2559999999994</v>
      </c>
      <c r="ASZ8" s="593">
        <f>'Proy 2022 vs 2019 sem'!HM7*ATB$4</f>
        <v>9258.8983200000002</v>
      </c>
      <c r="ATA8" s="699"/>
      <c r="ATB8" s="700">
        <f>ATA8/ASY8</f>
        <v>0</v>
      </c>
      <c r="ATC8" s="593">
        <f>'Proy 2022 vs 2019 sem'!HL7*ATF$4</f>
        <v>9545.2559999999994</v>
      </c>
      <c r="ATD8" s="593">
        <f>'Proy 2022 vs 2019 sem'!HM7*ATF$4</f>
        <v>9258.8983200000002</v>
      </c>
      <c r="ATE8" s="699"/>
      <c r="ATF8" s="700">
        <f>ATE8/ATC8</f>
        <v>0</v>
      </c>
      <c r="ATG8" s="593">
        <f>'Proy 2022 vs 2019 sem'!HL7*ATJ$4</f>
        <v>11136.132000000001</v>
      </c>
      <c r="ATH8" s="593">
        <f>'Proy 2022 vs 2019 sem'!HM7*ATJ$4</f>
        <v>10802.048040000001</v>
      </c>
      <c r="ATI8" s="699"/>
      <c r="ATJ8" s="700">
        <f>ATI8/ATG8</f>
        <v>0</v>
      </c>
      <c r="ATK8" s="593">
        <f>'Proy 2022 vs 2019 sem'!HL7*ATN$4</f>
        <v>12727.008000000002</v>
      </c>
      <c r="ATL8" s="593">
        <f>'Proy 2022 vs 2019 sem'!HM7*ATN$4</f>
        <v>12345.197760000001</v>
      </c>
      <c r="ATM8" s="699"/>
      <c r="ATN8" s="700">
        <f>ATM8/ATK8</f>
        <v>0</v>
      </c>
      <c r="ATO8" s="593">
        <f>'Proy 2022 vs 2019 sem'!HL7*ATR$4</f>
        <v>17499.636000000002</v>
      </c>
      <c r="ATP8" s="593">
        <f>'Proy 2022 vs 2019 sem'!HM7*ATR$4</f>
        <v>16974.646920000003</v>
      </c>
      <c r="ATQ8" s="699"/>
      <c r="ATR8" s="700">
        <f>ATQ8/ATO8</f>
        <v>0</v>
      </c>
      <c r="ATS8" s="579">
        <f>ASQ8+ASU8+ASY8+ATC8+ATG8+ATK8+ATO8</f>
        <v>79543.8</v>
      </c>
      <c r="ATT8" s="574">
        <f>ASR8+ASV8+ASZ8+ATD8+ATH8+ATL8+ATP8</f>
        <v>77157.486000000004</v>
      </c>
      <c r="ATU8" s="710">
        <f>ASS8+ASW8+ATA8+ATE8+ATI8+ATM8+ATQ8</f>
        <v>0</v>
      </c>
      <c r="ATV8" s="711">
        <f>ATU8/ATS8</f>
        <v>0</v>
      </c>
      <c r="ATW8" s="593">
        <f>'Proy 2022 vs 2019 sem'!HQ7*ATZ$4</f>
        <v>10810.2588</v>
      </c>
      <c r="ATX8" s="593">
        <f>'Proy 2022 vs 2019 sem'!HR7*ATZ$4</f>
        <v>10485.951036</v>
      </c>
      <c r="ATY8" s="699"/>
      <c r="ATZ8" s="700">
        <f>ATY8/ATW8</f>
        <v>0</v>
      </c>
      <c r="AUA8" s="593">
        <f>'Proy 2022 vs 2019 sem'!HQ7*AUD$4</f>
        <v>10810.2588</v>
      </c>
      <c r="AUB8" s="593">
        <f>'Proy 2022 vs 2019 sem'!HR7*AUD$4</f>
        <v>10485.951036</v>
      </c>
      <c r="AUC8" s="699"/>
      <c r="AUD8" s="700">
        <f>AUC8/AUA8</f>
        <v>0</v>
      </c>
      <c r="AUE8" s="593">
        <f>'Proy 2022 vs 2019 sem'!HQ7*AUH$4</f>
        <v>10810.2588</v>
      </c>
      <c r="AUF8" s="593">
        <f>'Proy 2022 vs 2019 sem'!HR7*AUH$4</f>
        <v>10485.951036</v>
      </c>
      <c r="AUG8" s="699"/>
      <c r="AUH8" s="700">
        <f>AUG8/AUE8</f>
        <v>0</v>
      </c>
      <c r="AUI8" s="593">
        <f>'Proy 2022 vs 2019 sem'!HQ7*AUL$4</f>
        <v>10810.2588</v>
      </c>
      <c r="AUJ8" s="593">
        <f>'Proy 2022 vs 2019 sem'!HR7*AUL$4</f>
        <v>10485.951036</v>
      </c>
      <c r="AUK8" s="699"/>
      <c r="AUL8" s="700">
        <f>AUK8/AUI8</f>
        <v>0</v>
      </c>
      <c r="AUM8" s="593">
        <f>'Proy 2022 vs 2019 sem'!HQ7*AUP$4</f>
        <v>12611.968600000002</v>
      </c>
      <c r="AUN8" s="593">
        <f>'Proy 2022 vs 2019 sem'!HR7*AUP$4</f>
        <v>12233.609542000002</v>
      </c>
      <c r="AUO8" s="699"/>
      <c r="AUP8" s="700">
        <f>AUO8/AUM8</f>
        <v>0</v>
      </c>
      <c r="AUQ8" s="593">
        <f>'Proy 2022 vs 2019 sem'!HQ7*AUT$4</f>
        <v>14413.678400000001</v>
      </c>
      <c r="AUR8" s="593">
        <f>'Proy 2022 vs 2019 sem'!HR7*AUT$4</f>
        <v>13981.268048</v>
      </c>
      <c r="AUS8" s="699"/>
      <c r="AUT8" s="700">
        <f>AUS8/AUQ8</f>
        <v>0</v>
      </c>
      <c r="AUU8" s="593">
        <f>'Proy 2022 vs 2019 sem'!HQ7*AUX$4</f>
        <v>19818.807800000002</v>
      </c>
      <c r="AUV8" s="593">
        <f>'Proy 2022 vs 2019 sem'!HR7*AUX$4</f>
        <v>19224.243566000001</v>
      </c>
      <c r="AUW8" s="699"/>
      <c r="AUX8" s="700">
        <f>AUW8/AUU8</f>
        <v>0</v>
      </c>
      <c r="AUY8" s="579">
        <f>ATW8+AUA8+AUE8+AUI8+AUM8+AUQ8+AUU8</f>
        <v>90085.489999999991</v>
      </c>
      <c r="AUZ8" s="574">
        <f>ATX8+AUB8+AUF8+AUJ8+AUN8+AUR8+AUV8</f>
        <v>87382.925300000003</v>
      </c>
      <c r="AVA8" s="710">
        <f>ATY8+AUC8+AUG8+AUK8+AUO8+AUS8+AUW8</f>
        <v>0</v>
      </c>
      <c r="AVB8" s="711">
        <f>AVA8/AUY8</f>
        <v>0</v>
      </c>
      <c r="AVC8" s="593">
        <f>'Proy 2022 vs 2019 sem'!HZ7*AVF$4</f>
        <v>9204.880799999999</v>
      </c>
      <c r="AVD8" s="593">
        <f>'Proy 2022 vs 2019 sem'!IA7*AVF$4</f>
        <v>8928.7343760000003</v>
      </c>
      <c r="AVE8" s="735"/>
      <c r="AVF8" s="700">
        <f>AVE8/AVC8</f>
        <v>0</v>
      </c>
      <c r="AVG8" s="593">
        <f>'Proy 2022 vs 2019 sem'!HZ7*AVJ$4</f>
        <v>9204.880799999999</v>
      </c>
      <c r="AVH8" s="593">
        <f>'Proy 2022 vs 2019 sem'!IA7*AVJ$4</f>
        <v>8928.7343760000003</v>
      </c>
      <c r="AVI8" s="699"/>
      <c r="AVJ8" s="700">
        <f>AVI8/AVG8</f>
        <v>0</v>
      </c>
      <c r="AVK8" s="593">
        <f>'Proy 2022 vs 2019 sem'!HZ7*AVN$4</f>
        <v>9204.880799999999</v>
      </c>
      <c r="AVL8" s="593">
        <f>'Proy 2022 vs 2019 sem'!IA7*AVN$4</f>
        <v>8928.7343760000003</v>
      </c>
      <c r="AVM8" s="699"/>
      <c r="AVN8" s="700">
        <f>AVM8/AVK8</f>
        <v>0</v>
      </c>
      <c r="AVO8" s="593">
        <f>'Proy 2022 vs 2019 sem'!HZ7*AVR$4</f>
        <v>9204.880799999999</v>
      </c>
      <c r="AVP8" s="593">
        <f>'Proy 2022 vs 2019 sem'!IA7*AVR$4</f>
        <v>8928.7343760000003</v>
      </c>
      <c r="AVQ8" s="699"/>
      <c r="AVR8" s="700">
        <f>AVQ8/AVO8</f>
        <v>0</v>
      </c>
      <c r="AVS8" s="593">
        <f>'Proy 2022 vs 2019 sem'!HZ7*AVV$4</f>
        <v>10739.027600000001</v>
      </c>
      <c r="AVT8" s="593">
        <f>'Proy 2022 vs 2019 sem'!IA7*AVV$4</f>
        <v>10416.856772000001</v>
      </c>
      <c r="AVU8" s="699"/>
      <c r="AVV8" s="700">
        <f>AVU8/AVS8</f>
        <v>0</v>
      </c>
      <c r="AVW8" s="593">
        <f>'Proy 2022 vs 2019 sem'!HZ7*AVZ$4</f>
        <v>12273.1744</v>
      </c>
      <c r="AVX8" s="593">
        <f>'Proy 2022 vs 2019 sem'!IA7*AVZ$4</f>
        <v>11904.979168</v>
      </c>
      <c r="AVY8" s="699"/>
      <c r="AVZ8" s="700">
        <f>AVY8/AVW8</f>
        <v>0</v>
      </c>
      <c r="AWA8" s="593">
        <f>'Proy 2022 vs 2019 sem'!HZ7*AWD$4</f>
        <v>16875.614799999999</v>
      </c>
      <c r="AWB8" s="593">
        <f>'Proy 2022 vs 2019 sem'!IA7*AWD$4</f>
        <v>16369.346356</v>
      </c>
      <c r="AWC8" s="699"/>
      <c r="AWD8" s="700">
        <f>AWC8/AWA8</f>
        <v>0</v>
      </c>
      <c r="AWE8" s="579">
        <f>AVC8+AVG8+AVK8+AVO8+AVS8+AVW8+AWA8</f>
        <v>76707.34</v>
      </c>
      <c r="AWF8" s="574">
        <f>AVD8+AVH8+AVL8+AVP8+AVT8+AVX8+AWB8</f>
        <v>74406.1198</v>
      </c>
      <c r="AWG8" s="793">
        <f>AVE8+AVI8+AVM8+AVQ8+AVU8+AVY8+AWC8</f>
        <v>0</v>
      </c>
      <c r="AWH8" s="786">
        <f>AWG8/AWE8</f>
        <v>0</v>
      </c>
      <c r="AWI8" s="593">
        <f>'Proy 2022 vs 2019 sem'!IE7*AWL$4</f>
        <v>9997.8720000000012</v>
      </c>
      <c r="AWJ8" s="593">
        <f>'Proy 2022 vs 2019 sem'!IF7*AWL$4</f>
        <v>9597.9571200000009</v>
      </c>
      <c r="AWK8" s="699"/>
      <c r="AWL8" s="700">
        <f>AWK8/AWI8</f>
        <v>0</v>
      </c>
      <c r="AWM8" s="593">
        <f>'Proy 2022 vs 2019 sem'!IE7*AWP$4</f>
        <v>9997.8720000000012</v>
      </c>
      <c r="AWN8" s="593">
        <f>'Proy 2022 vs 2019 sem'!IF7*AWP$4</f>
        <v>9597.9571200000009</v>
      </c>
      <c r="AWO8" s="699"/>
      <c r="AWP8" s="700">
        <f>AWO8/AWM8</f>
        <v>0</v>
      </c>
      <c r="AWQ8" s="593">
        <f>'Proy 2022 vs 2019 sem'!IE7*AWT$4</f>
        <v>9997.8720000000012</v>
      </c>
      <c r="AWR8" s="593">
        <f>'Proy 2022 vs 2019 sem'!IF7*AWT$4</f>
        <v>9597.9571200000009</v>
      </c>
      <c r="AWS8" s="699"/>
      <c r="AWT8" s="700">
        <f>AWS8/AWQ8</f>
        <v>0</v>
      </c>
      <c r="AWU8" s="593">
        <f>'Proy 2022 vs 2019 sem'!IE7*AWX$4</f>
        <v>9997.8720000000012</v>
      </c>
      <c r="AWV8" s="593">
        <f>'Proy 2022 vs 2019 sem'!IF7*AWX$4</f>
        <v>9597.9571200000009</v>
      </c>
      <c r="AWW8" s="699"/>
      <c r="AWX8" s="700">
        <f>AWW8/AWU8</f>
        <v>0</v>
      </c>
      <c r="AWY8" s="593">
        <f>'Proy 2022 vs 2019 sem'!IE7*AXB$4</f>
        <v>11664.184000000001</v>
      </c>
      <c r="AWZ8" s="593">
        <f>'Proy 2022 vs 2019 sem'!IF7*AXB$4</f>
        <v>11197.616640000002</v>
      </c>
      <c r="AXA8" s="699"/>
      <c r="AXB8" s="700">
        <f>AXA8/AWY8</f>
        <v>0</v>
      </c>
      <c r="AXC8" s="593">
        <f>'Proy 2022 vs 2019 sem'!IE7*AXF$4</f>
        <v>13330.496000000001</v>
      </c>
      <c r="AXD8" s="593">
        <f>'Proy 2022 vs 2019 sem'!IF7*AXF$4</f>
        <v>12797.276160000001</v>
      </c>
      <c r="AXE8" s="699"/>
      <c r="AXF8" s="700">
        <f>AXE8/AXC8</f>
        <v>0</v>
      </c>
      <c r="AXG8" s="593">
        <f>'Proy 2022 vs 2019 sem'!IE7*AXJ$4</f>
        <v>18329.432000000001</v>
      </c>
      <c r="AXH8" s="593">
        <f>'Proy 2022 vs 2019 sem'!IF7*AXJ$4</f>
        <v>17596.254720000001</v>
      </c>
      <c r="AXI8" s="699"/>
      <c r="AXJ8" s="700">
        <f>AXI8/AXG8</f>
        <v>0</v>
      </c>
      <c r="AXK8" s="579">
        <f>AWI8+AWM8+AWQ8+AWU8+AWY8+AXC8+AXG8</f>
        <v>83315.600000000006</v>
      </c>
      <c r="AXL8" s="574">
        <f>AWJ8+AWN8+AWR8+AWV8+AWZ8+AXD8+AXH8</f>
        <v>79982.97600000001</v>
      </c>
      <c r="AXM8" s="794">
        <f>AWK8+AWO8+AWS8+AWW8+AXA8+AXE8+AXI8</f>
        <v>0</v>
      </c>
      <c r="AXN8" s="786">
        <f>AXM8/AXK8</f>
        <v>0</v>
      </c>
      <c r="AXO8" s="593">
        <f>'Proy 2022 vs 2019 sem'!IJ7*AXR$4</f>
        <v>10567.3884</v>
      </c>
      <c r="AXP8" s="593">
        <f>'Proy 2022 vs 2019 sem'!IK7*AXR$4</f>
        <v>10461.714516000002</v>
      </c>
      <c r="AXQ8" s="699"/>
      <c r="AXR8" s="700">
        <f>AXQ8/AXO8</f>
        <v>0</v>
      </c>
      <c r="AXS8" s="593">
        <f>'Proy 2022 vs 2019 sem'!IJ7*AXV$4</f>
        <v>10567.3884</v>
      </c>
      <c r="AXT8" s="593">
        <f>'Proy 2022 vs 2019 sem'!IK7*AXV$4</f>
        <v>10461.714516000002</v>
      </c>
      <c r="AXU8" s="699"/>
      <c r="AXV8" s="700">
        <f>AXU8/AXS8</f>
        <v>0</v>
      </c>
      <c r="AXW8" s="593">
        <f>'Proy 2022 vs 2019 sem'!IJ7*AXZ$4</f>
        <v>10567.3884</v>
      </c>
      <c r="AXX8" s="593">
        <f>'Proy 2022 vs 2019 sem'!IK7*AXZ$4</f>
        <v>10461.714516000002</v>
      </c>
      <c r="AXY8" s="699"/>
      <c r="AXZ8" s="700">
        <f>AXY8/AXW8</f>
        <v>0</v>
      </c>
      <c r="AYA8" s="593">
        <f>'Proy 2022 vs 2019 sem'!IJ7*AYD$4</f>
        <v>10567.3884</v>
      </c>
      <c r="AYB8" s="593">
        <f>'Proy 2022 vs 2019 sem'!IK7*AYD$4</f>
        <v>10461.714516000002</v>
      </c>
      <c r="AYC8" s="699"/>
      <c r="AYD8" s="700">
        <f>AYC8/AYA8</f>
        <v>0</v>
      </c>
      <c r="AYE8" s="593">
        <f>'Proy 2022 vs 2019 sem'!IJ7*AYH$4</f>
        <v>12328.619800000002</v>
      </c>
      <c r="AYF8" s="593">
        <f>'Proy 2022 vs 2019 sem'!IK7*AYH$4</f>
        <v>12205.333602000002</v>
      </c>
      <c r="AYG8" s="699"/>
      <c r="AYH8" s="700">
        <f>AYG8/AYE8</f>
        <v>0</v>
      </c>
      <c r="AYI8" s="593">
        <f>'Proy 2022 vs 2019 sem'!IJ7*AYL$4</f>
        <v>14089.851200000001</v>
      </c>
      <c r="AYJ8" s="593">
        <f>'Proy 2022 vs 2019 sem'!IK7*AYL$4</f>
        <v>13948.952688000003</v>
      </c>
      <c r="AYK8" s="699"/>
      <c r="AYL8" s="700">
        <f>AYK8/AYI8</f>
        <v>0</v>
      </c>
      <c r="AYM8" s="593">
        <f>'Proy 2022 vs 2019 sem'!IJ7*AYP$4</f>
        <v>19373.545400000003</v>
      </c>
      <c r="AYN8" s="593">
        <f>'Proy 2022 vs 2019 sem'!IK7*AYP$4</f>
        <v>19179.809946000001</v>
      </c>
      <c r="AYO8" s="699"/>
      <c r="AYP8" s="700">
        <f>AYO8/AYM8</f>
        <v>0</v>
      </c>
      <c r="AYQ8" s="579">
        <f>AXO8+AXS8+AXW8+AYA8+AYE8+AYI8+AYM8</f>
        <v>88061.57</v>
      </c>
      <c r="AYR8" s="574">
        <f>AXP8+AXT8+AXX8+AYB8+AYF8+AYJ8+AYN8</f>
        <v>87180.954300000012</v>
      </c>
      <c r="AYS8" s="794">
        <f>AXQ8+AXU8+AXY8+AYC8+AYG8+AYK8+AYO8</f>
        <v>0</v>
      </c>
      <c r="AYT8" s="786">
        <f>AYS8/AYQ8</f>
        <v>0</v>
      </c>
      <c r="AYU8" s="593">
        <f>'Proy 2022 vs 2019 sem'!IO7*AYX$4</f>
        <v>13944.052799999999</v>
      </c>
      <c r="AYV8" s="593">
        <f>'Proy 2022 vs 2019 sem'!IP7*AYX$4</f>
        <v>13386.290687999999</v>
      </c>
      <c r="AYW8" s="699"/>
      <c r="AYX8" s="700">
        <f>AYW8/AYU8</f>
        <v>0</v>
      </c>
      <c r="AYY8" s="593">
        <f>'Proy 2022 vs 2019 sem'!IO7*AZB$4</f>
        <v>13944.052799999999</v>
      </c>
      <c r="AYZ8" s="593">
        <f>'Proy 2022 vs 2019 sem'!IP7*AZB$4</f>
        <v>13386.290687999999</v>
      </c>
      <c r="AZA8" s="699"/>
      <c r="AZB8" s="700">
        <f>AZA8/AYY8</f>
        <v>0</v>
      </c>
      <c r="AZC8" s="593">
        <f>'Proy 2022 vs 2019 sem'!IO7*AZF$4</f>
        <v>13944.052799999999</v>
      </c>
      <c r="AZD8" s="593">
        <f>'Proy 2022 vs 2019 sem'!IP7*AZF$4</f>
        <v>13386.290687999999</v>
      </c>
      <c r="AZE8" s="699"/>
      <c r="AZF8" s="700">
        <f>AZE8/AZC8</f>
        <v>0</v>
      </c>
      <c r="AZG8" s="593">
        <f>'Proy 2022 vs 2019 sem'!IO7*AZJ$4</f>
        <v>13944.052799999999</v>
      </c>
      <c r="AZH8" s="593">
        <f>'Proy 2022 vs 2019 sem'!IP7*AZJ$4</f>
        <v>13386.290687999999</v>
      </c>
      <c r="AZI8" s="699"/>
      <c r="AZJ8" s="700">
        <f>AZI8/AZG8</f>
        <v>0</v>
      </c>
      <c r="AZK8" s="593">
        <f>'Proy 2022 vs 2019 sem'!IO7*AZN$4</f>
        <v>16268.061600000003</v>
      </c>
      <c r="AZL8" s="593">
        <f>'Proy 2022 vs 2019 sem'!IP7*AZN$4</f>
        <v>15617.339136000001</v>
      </c>
      <c r="AZM8" s="699"/>
      <c r="AZN8" s="700">
        <f>AZM8/AZK8</f>
        <v>0</v>
      </c>
      <c r="AZO8" s="593">
        <f>'Proy 2022 vs 2019 sem'!IO7*AZR$4</f>
        <v>18592.070400000001</v>
      </c>
      <c r="AZP8" s="593">
        <f>'Proy 2022 vs 2019 sem'!IP7*AZR$4</f>
        <v>17848.387584</v>
      </c>
      <c r="AZQ8" s="699"/>
      <c r="AZR8" s="700">
        <f>AZQ8/AZO8</f>
        <v>0</v>
      </c>
      <c r="AZS8" s="593">
        <f>'Proy 2022 vs 2019 sem'!IO7*AZV$4</f>
        <v>25564.096799999999</v>
      </c>
      <c r="AZT8" s="593">
        <f>'Proy 2022 vs 2019 sem'!IP7*AZV$4</f>
        <v>24541.532928000001</v>
      </c>
      <c r="AZU8" s="699"/>
      <c r="AZV8" s="700">
        <f>AZU8/AZS8</f>
        <v>0</v>
      </c>
      <c r="AZW8" s="579">
        <f>AYU8+AYY8+AZC8+AZG8+AZK8+AZO8+AZS8</f>
        <v>116200.44</v>
      </c>
      <c r="AZX8" s="574">
        <f>AYV8+AYZ8+AZD8+AZH8+AZL8+AZP8+AZT8</f>
        <v>111552.4224</v>
      </c>
      <c r="AZY8" s="785">
        <f>AYW8+AZA8+AZE8+AZI8+AZM8+AZQ8+AZU8</f>
        <v>0</v>
      </c>
      <c r="AZZ8" s="786">
        <f>AZY8/AZW8</f>
        <v>0</v>
      </c>
      <c r="BAA8" s="593">
        <f>'Proy 2022 vs 2019 sem'!IX7*BAD$4</f>
        <v>11437.376399999999</v>
      </c>
      <c r="BAB8" s="593">
        <f>'Proy 2022 vs 2019 sem'!IY7*BAD$4</f>
        <v>11094.255107999999</v>
      </c>
      <c r="BAC8" s="735"/>
      <c r="BAD8" s="700">
        <f>BAC8/BAA8</f>
        <v>0</v>
      </c>
      <c r="BAE8" s="593">
        <f>'Proy 2022 vs 2019 sem'!IX7*BAH$4</f>
        <v>11437.376399999999</v>
      </c>
      <c r="BAF8" s="593">
        <f>'Proy 2022 vs 2019 sem'!IY7*BAH$4</f>
        <v>11094.255107999999</v>
      </c>
      <c r="BAG8" s="699"/>
      <c r="BAH8" s="700">
        <f>BAG8/BAE8</f>
        <v>0</v>
      </c>
      <c r="BAI8" s="593">
        <f>'Proy 2022 vs 2019 sem'!IX7*BAL$4</f>
        <v>11437.376399999999</v>
      </c>
      <c r="BAJ8" s="593">
        <f>'Proy 2022 vs 2019 sem'!IY7*BAL$4</f>
        <v>11094.255107999999</v>
      </c>
      <c r="BAK8" s="699"/>
      <c r="BAL8" s="700">
        <f>BAK8/BAI8</f>
        <v>0</v>
      </c>
      <c r="BAM8" s="593">
        <f>'Proy 2022 vs 2019 sem'!IX7*BAP$4</f>
        <v>11437.376399999999</v>
      </c>
      <c r="BAN8" s="593">
        <f>'Proy 2022 vs 2019 sem'!IY7*BAP$4</f>
        <v>11094.255107999999</v>
      </c>
      <c r="BAO8" s="699"/>
      <c r="BAP8" s="700">
        <f>BAO8/BAM8</f>
        <v>0</v>
      </c>
      <c r="BAQ8" s="593">
        <f>'Proy 2022 vs 2019 sem'!IX7*BAT$4</f>
        <v>13343.605800000001</v>
      </c>
      <c r="BAR8" s="593">
        <f>'Proy 2022 vs 2019 sem'!IY7*BAT$4</f>
        <v>12943.297626000001</v>
      </c>
      <c r="BAS8" s="699"/>
      <c r="BAT8" s="700">
        <f>BAS8/BAQ8</f>
        <v>0</v>
      </c>
      <c r="BAU8" s="593">
        <f>'Proy 2022 vs 2019 sem'!IX7*BAX$4</f>
        <v>15249.835200000001</v>
      </c>
      <c r="BAV8" s="593">
        <f>'Proy 2022 vs 2019 sem'!IY7*BAX$4</f>
        <v>14792.340144</v>
      </c>
      <c r="BAW8" s="699"/>
      <c r="BAX8" s="700">
        <f>BAW8/BAU8</f>
        <v>0</v>
      </c>
      <c r="BAY8" s="593">
        <f>'Proy 2022 vs 2019 sem'!IX7*BBB$4</f>
        <v>20968.523400000002</v>
      </c>
      <c r="BAZ8" s="593">
        <f>'Proy 2022 vs 2019 sem'!IY7*BBB$4</f>
        <v>20339.467698</v>
      </c>
      <c r="BBA8" s="699"/>
      <c r="BBB8" s="700">
        <f>BBA8/BAY8</f>
        <v>0</v>
      </c>
      <c r="BBC8" s="579">
        <f>BAA8+BAE8+BAI8+BAM8+BAQ8+BAU8+BAY8</f>
        <v>95311.47</v>
      </c>
      <c r="BBD8" s="574">
        <f>BAB8+BAF8+BAJ8+BAN8+BAR8+BAV8+BAZ8</f>
        <v>92452.125899999985</v>
      </c>
      <c r="BBE8" s="759">
        <f>BAC8+BAG8+BAK8+BAO8+BAS8+BAW8+BBA8</f>
        <v>0</v>
      </c>
      <c r="BBF8" s="761">
        <f>BBE8/BBC8</f>
        <v>0</v>
      </c>
      <c r="BBG8" s="593">
        <f>'Proy 2022 vs 2019 sem'!JC7*BBJ$4</f>
        <v>12718.0368</v>
      </c>
      <c r="BBH8" s="593">
        <f>'Proy 2022 vs 2019 sem'!JD7*BBJ$4</f>
        <v>11954.954592</v>
      </c>
      <c r="BBI8" s="699"/>
      <c r="BBJ8" s="700">
        <f>BBI8/BBG8</f>
        <v>0</v>
      </c>
      <c r="BBK8" s="593">
        <f>'Proy 2022 vs 2019 sem'!JC7*BBN$4</f>
        <v>12718.0368</v>
      </c>
      <c r="BBL8" s="593">
        <f>'Proy 2022 vs 2019 sem'!JD7*BBN$4</f>
        <v>11954.954592</v>
      </c>
      <c r="BBM8" s="699"/>
      <c r="BBN8" s="700">
        <f>BBM8/BBK8</f>
        <v>0</v>
      </c>
      <c r="BBO8" s="593">
        <f>'Proy 2022 vs 2019 sem'!JC7*BBR$4</f>
        <v>12718.0368</v>
      </c>
      <c r="BBP8" s="593">
        <f>'Proy 2022 vs 2019 sem'!JD7*BBR$4</f>
        <v>11954.954592</v>
      </c>
      <c r="BBQ8" s="699"/>
      <c r="BBR8" s="700">
        <f>BBQ8/BBO8</f>
        <v>0</v>
      </c>
      <c r="BBS8" s="593">
        <f>'Proy 2022 vs 2019 sem'!JC7*BBV$4</f>
        <v>12718.0368</v>
      </c>
      <c r="BBT8" s="593">
        <f>'Proy 2022 vs 2019 sem'!JD7*BBV$4</f>
        <v>11954.954592</v>
      </c>
      <c r="BBU8" s="699"/>
      <c r="BBV8" s="700">
        <f>BBU8/BBS8</f>
        <v>0</v>
      </c>
      <c r="BBW8" s="593">
        <f>'Proy 2022 vs 2019 sem'!JC7*BBZ$4</f>
        <v>14837.709600000002</v>
      </c>
      <c r="BBX8" s="593">
        <f>'Proy 2022 vs 2019 sem'!JD7*BBZ$4</f>
        <v>13947.447024000001</v>
      </c>
      <c r="BBY8" s="699"/>
      <c r="BBZ8" s="700">
        <f>BBY8/BBW8</f>
        <v>0</v>
      </c>
      <c r="BCA8" s="593">
        <f>'Proy 2022 vs 2019 sem'!JC7*BCD$4</f>
        <v>16957.382399999999</v>
      </c>
      <c r="BCB8" s="593">
        <f>'Proy 2022 vs 2019 sem'!JD7*BCD$4</f>
        <v>15939.939456</v>
      </c>
      <c r="BCC8" s="699"/>
      <c r="BCD8" s="700">
        <f>BCC8/BCA8</f>
        <v>0</v>
      </c>
      <c r="BCE8" s="593">
        <f>'Proy 2022 vs 2019 sem'!JC7*BCH$4</f>
        <v>23316.400799999999</v>
      </c>
      <c r="BCF8" s="593">
        <f>'Proy 2022 vs 2019 sem'!JD7*BCH$4</f>
        <v>21917.416752000001</v>
      </c>
      <c r="BCG8" s="699"/>
      <c r="BCH8" s="700">
        <f>BCG8/BCE8</f>
        <v>0</v>
      </c>
      <c r="BCI8" s="579">
        <f>BBG8+BBK8+BBO8+BBS8+BBW8+BCA8+BCE8</f>
        <v>105983.64000000001</v>
      </c>
      <c r="BCJ8" s="574">
        <f>BBH8+BBL8+BBP8+BBT8+BBX8+BCB8+BCF8</f>
        <v>99624.621599999999</v>
      </c>
      <c r="BCK8" s="765">
        <f>BBI8+BBM8+BBQ8+BBU8+BBY8+BCC8+BCG8</f>
        <v>0</v>
      </c>
      <c r="BCL8" s="761">
        <f>BCK8/BCI8</f>
        <v>0</v>
      </c>
      <c r="BCM8" s="593">
        <f>'Proy 2022 vs 2019 sem'!JH7*BCP$4</f>
        <v>15285.323999999999</v>
      </c>
      <c r="BCN8" s="593">
        <f>'Proy 2022 vs 2019 sem'!JI7*BCP$4</f>
        <v>14521.057799999999</v>
      </c>
      <c r="BCO8" s="699"/>
      <c r="BCP8" s="700">
        <f>BCO8/BCM8</f>
        <v>0</v>
      </c>
      <c r="BCQ8" s="593">
        <f>'Proy 2022 vs 2019 sem'!JH7*BCT$4</f>
        <v>15285.323999999999</v>
      </c>
      <c r="BCR8" s="593">
        <f>'Proy 2022 vs 2019 sem'!JI7*BCT$4</f>
        <v>14521.057799999999</v>
      </c>
      <c r="BCS8" s="699"/>
      <c r="BCT8" s="700">
        <f>BCS8/BCQ8</f>
        <v>0</v>
      </c>
      <c r="BCU8" s="593">
        <f>'Proy 2022 vs 2019 sem'!JH7*BCX$4</f>
        <v>15285.323999999999</v>
      </c>
      <c r="BCV8" s="593">
        <f>'Proy 2022 vs 2019 sem'!JI7*BCX$4</f>
        <v>14521.057799999999</v>
      </c>
      <c r="BCW8" s="699"/>
      <c r="BCX8" s="700">
        <f>BCW8/BCU8</f>
        <v>0</v>
      </c>
      <c r="BCY8" s="593">
        <f>'Proy 2022 vs 2019 sem'!JH7*BDB$4</f>
        <v>15285.323999999999</v>
      </c>
      <c r="BCZ8" s="593">
        <f>'Proy 2022 vs 2019 sem'!JI7*BDB$4</f>
        <v>14521.057799999999</v>
      </c>
      <c r="BDA8" s="699"/>
      <c r="BDB8" s="700">
        <f>BDA8/BCY8</f>
        <v>0</v>
      </c>
      <c r="BDC8" s="593">
        <f>'Proy 2022 vs 2019 sem'!JH7*BDF$4</f>
        <v>17832.878000000001</v>
      </c>
      <c r="BDD8" s="593">
        <f>'Proy 2022 vs 2019 sem'!JI7*BDF$4</f>
        <v>16941.234100000001</v>
      </c>
      <c r="BDE8" s="699"/>
      <c r="BDF8" s="700">
        <f>BDE8/BDC8</f>
        <v>0</v>
      </c>
      <c r="BDG8" s="593">
        <f>'Proy 2022 vs 2019 sem'!JH7*BDJ$4</f>
        <v>20380.432000000001</v>
      </c>
      <c r="BDH8" s="593">
        <f>'Proy 2022 vs 2019 sem'!JI7*BDJ$4</f>
        <v>19361.410399999997</v>
      </c>
      <c r="BDI8" s="699"/>
      <c r="BDJ8" s="700">
        <f>BDI8/BDG8</f>
        <v>0</v>
      </c>
      <c r="BDK8" s="593">
        <f>'Proy 2022 vs 2019 sem'!JH7*BDN$4</f>
        <v>28023.094000000001</v>
      </c>
      <c r="BDL8" s="593">
        <f>'Proy 2022 vs 2019 sem'!JI7*BDN$4</f>
        <v>26621.939299999998</v>
      </c>
      <c r="BDM8" s="699"/>
      <c r="BDN8" s="700">
        <f>BDM8/BDK8</f>
        <v>0</v>
      </c>
      <c r="BDO8" s="579">
        <f>BCM8+BCQ8+BCU8+BCY8+BDC8+BDG8+BDK8</f>
        <v>127377.7</v>
      </c>
      <c r="BDP8" s="574">
        <f>BCN8+BCR8+BCV8+BCZ8+BDD8+BDH8+BDL8</f>
        <v>121008.81499999999</v>
      </c>
      <c r="BDQ8" s="765">
        <f>BCO8+BCS8+BCW8+BDA8+BDE8+BDI8+BDM8</f>
        <v>0</v>
      </c>
      <c r="BDR8" s="761">
        <f>BDQ8/BDO8</f>
        <v>0</v>
      </c>
      <c r="BDS8" s="593">
        <f>'Proy 2022 vs 2019 sem'!JM7*BDV$4</f>
        <v>15240.061199999998</v>
      </c>
      <c r="BDT8" s="593">
        <f>'Proy 2022 vs 2019 sem'!JN7*BDV$4</f>
        <v>14478.058139999999</v>
      </c>
      <c r="BDU8" s="699"/>
      <c r="BDV8" s="700">
        <f>BDU8/BDS8</f>
        <v>0</v>
      </c>
      <c r="BDW8" s="593">
        <f>'Proy 2022 vs 2019 sem'!JM7*BDZ$4</f>
        <v>15240.061199999998</v>
      </c>
      <c r="BDX8" s="593">
        <f>'Proy 2022 vs 2019 sem'!JN7*BDZ$4</f>
        <v>14478.058139999999</v>
      </c>
      <c r="BDY8" s="699"/>
      <c r="BDZ8" s="700">
        <f>BDY8/BDW8</f>
        <v>0</v>
      </c>
      <c r="BEA8" s="593">
        <f>'Proy 2022 vs 2019 sem'!JM7*BED$4</f>
        <v>15240.061199999998</v>
      </c>
      <c r="BEB8" s="593">
        <f>'Proy 2022 vs 2019 sem'!JN7*BED$4</f>
        <v>14478.058139999999</v>
      </c>
      <c r="BEC8" s="699"/>
      <c r="BED8" s="700">
        <f>BEC8/BEA8</f>
        <v>0</v>
      </c>
      <c r="BEE8" s="593">
        <v>14487.990400000001</v>
      </c>
      <c r="BEF8" s="593">
        <f>'Proy 2022 vs 2019 sem'!JN7*BEH$4</f>
        <v>14478.058139999999</v>
      </c>
      <c r="BEG8" s="699"/>
      <c r="BEH8" s="700">
        <f>BEG8/BEE8</f>
        <v>0</v>
      </c>
      <c r="BEI8" s="593">
        <f>'Proy 2022 vs 2019 sem'!JM7*BEL$4</f>
        <v>17780.071400000001</v>
      </c>
      <c r="BEJ8" s="593">
        <f>'Proy 2022 vs 2019 sem'!JN7*BEL$4</f>
        <v>16891.06783</v>
      </c>
      <c r="BEK8" s="699"/>
      <c r="BEL8" s="700">
        <f>BEK8/BEI8</f>
        <v>0</v>
      </c>
      <c r="BEM8" s="593">
        <f>'Proy 2022 vs 2019 sem'!JM7*BEP$4</f>
        <v>20320.081600000001</v>
      </c>
      <c r="BEN8" s="593">
        <f>'Proy 2022 vs 2019 sem'!JN7*BEP$4</f>
        <v>19304.077519999999</v>
      </c>
      <c r="BEO8" s="699"/>
      <c r="BEP8" s="700">
        <f>BEO8/BEM8</f>
        <v>0</v>
      </c>
      <c r="BEQ8" s="593">
        <f>'Proy 2022 vs 2019 sem'!JM7*BET$4</f>
        <v>27940.1122</v>
      </c>
      <c r="BER8" s="593">
        <f>'Proy 2022 vs 2019 sem'!JN7*BET$4</f>
        <v>26543.106589999999</v>
      </c>
      <c r="BES8" s="699"/>
      <c r="BET8" s="700">
        <f>BES8/BEQ8</f>
        <v>0</v>
      </c>
      <c r="BEU8" s="579">
        <f>BDS8+BDW8+BEA8+BEE8+BEI8+BEM8+BEQ8</f>
        <v>126248.43920000001</v>
      </c>
      <c r="BEV8" s="574">
        <f>BDT8+BDX8+BEB8+BEF8+BEJ8+BEN8+BER8</f>
        <v>120650.48449999998</v>
      </c>
      <c r="BEW8" s="770">
        <f>BDU8+BDY8+BEC8+BEG8+BEK8+BEO8+BES8</f>
        <v>0</v>
      </c>
      <c r="BEX8" s="761">
        <f>BEW8/BEU8</f>
        <v>0</v>
      </c>
      <c r="BEY8" s="593">
        <f>'Proy 2022 vs 2019 sem'!JV7*BFB$4</f>
        <v>20975.803199999998</v>
      </c>
      <c r="BEZ8" s="593">
        <f>'Proy 2022 vs 2019 sem'!JW7*BFB$4</f>
        <v>19717.255007999996</v>
      </c>
      <c r="BFA8" s="735"/>
      <c r="BFB8" s="700">
        <f>BFA8/BEY8</f>
        <v>0</v>
      </c>
      <c r="BFC8" s="593">
        <f>'Proy 2022 vs 2019 sem'!JV7*BFF$4</f>
        <v>20975.803199999998</v>
      </c>
      <c r="BFD8" s="593">
        <f>'Proy 2022 vs 2019 sem'!JW7*BFF$4</f>
        <v>19717.255007999996</v>
      </c>
      <c r="BFE8" s="735"/>
      <c r="BFF8" s="700">
        <f>BFE8/BFC8</f>
        <v>0</v>
      </c>
      <c r="BFG8" s="593">
        <f>'Proy 2022 vs 2019 sem'!JV7*BFJ$4</f>
        <v>20975.803199999998</v>
      </c>
      <c r="BFH8" s="593">
        <f>'Proy 2022 vs 2019 sem'!JW7*BFJ$4</f>
        <v>19717.255007999996</v>
      </c>
      <c r="BFI8" s="735"/>
      <c r="BFJ8" s="700">
        <f>BFI8/BFG8</f>
        <v>0</v>
      </c>
      <c r="BFK8" s="593">
        <f>'Proy 2022 vs 2019 sem'!JV7*BFN$4</f>
        <v>20975.803199999998</v>
      </c>
      <c r="BFL8" s="593">
        <f>'Proy 2022 vs 2019 sem'!JW7*BFN$4</f>
        <v>19717.255007999996</v>
      </c>
      <c r="BFM8" s="735"/>
      <c r="BFN8" s="700">
        <f>BFM8/BFK8</f>
        <v>0</v>
      </c>
      <c r="BFO8" s="593">
        <f>'Proy 2022 vs 2019 sem'!JV7*BFR$4</f>
        <v>24471.770400000001</v>
      </c>
      <c r="BFP8" s="593">
        <f>'Proy 2022 vs 2019 sem'!JW7*BFR$4</f>
        <v>23003.464175999998</v>
      </c>
      <c r="BFQ8" s="735"/>
      <c r="BFR8" s="700">
        <f>BFQ8/BFO8</f>
        <v>0</v>
      </c>
      <c r="BFS8" s="593">
        <f>'Proy 2022 vs 2019 sem'!JV7*BFV$4</f>
        <v>27967.737599999997</v>
      </c>
      <c r="BFT8" s="593">
        <f>'Proy 2022 vs 2019 sem'!JW7*BFV$4</f>
        <v>26289.673343999995</v>
      </c>
      <c r="BFU8" s="735"/>
      <c r="BFV8" s="700">
        <f>BFU8/BFS8</f>
        <v>0</v>
      </c>
      <c r="BFW8" s="593">
        <f>'Proy 2022 vs 2019 sem'!JV7*BFZ$4</f>
        <v>38455.639199999998</v>
      </c>
      <c r="BFX8" s="593">
        <f>'Proy 2022 vs 2019 sem'!JW7*BFZ$4</f>
        <v>36148.300847999992</v>
      </c>
      <c r="BFY8" s="735"/>
      <c r="BFZ8" s="700">
        <f>BFY8/BFW8</f>
        <v>0</v>
      </c>
      <c r="BGA8" s="579">
        <f>BEY8+BFC8+BFG8+BFK8+BFO8+BFS8+BFW8</f>
        <v>174798.36</v>
      </c>
      <c r="BGB8" s="574">
        <f>BEZ8+BFD8+BFH8+BFL8+BFP8+BFT8+BFX8</f>
        <v>164310.45839999997</v>
      </c>
      <c r="BGC8" s="729">
        <f>BFA8+BFE8+BFI8+BFM8+BFQ8+BFU8+BFY8</f>
        <v>0</v>
      </c>
      <c r="BGD8" s="711">
        <f>BGC8/BGA8</f>
        <v>0</v>
      </c>
      <c r="BGE8" s="593">
        <f>'Proy 2022 vs 2019 sem'!KA7*BGH$4</f>
        <v>22610.660400000001</v>
      </c>
      <c r="BGF8" s="593">
        <f>'Proy 2022 vs 2019 sem'!KB7*BGH$4</f>
        <v>21027.914172000001</v>
      </c>
      <c r="BGG8" s="699"/>
      <c r="BGH8" s="700">
        <f>BGG8/BGE8</f>
        <v>0</v>
      </c>
      <c r="BGI8" s="593">
        <f>'Proy 2022 vs 2019 sem'!KA7*BGL$4</f>
        <v>22610.660400000001</v>
      </c>
      <c r="BGJ8" s="593">
        <f>'Proy 2022 vs 2019 sem'!KB7*BGL$4</f>
        <v>21027.914172000001</v>
      </c>
      <c r="BGK8" s="699"/>
      <c r="BGL8" s="700">
        <f>BGK8/BGI8</f>
        <v>0</v>
      </c>
      <c r="BGM8" s="593">
        <f>'Proy 2022 vs 2019 sem'!KA7*BGP$4</f>
        <v>22610.660400000001</v>
      </c>
      <c r="BGN8" s="593">
        <f>'Proy 2022 vs 2019 sem'!KB7*BGP$4</f>
        <v>21027.914172000001</v>
      </c>
      <c r="BGO8" s="699"/>
      <c r="BGP8" s="700">
        <f>BGO8/BGM8</f>
        <v>0</v>
      </c>
      <c r="BGQ8" s="593">
        <f>'Proy 2022 vs 2019 sem'!KA7*BGT$4</f>
        <v>22610.660400000001</v>
      </c>
      <c r="BGR8" s="593">
        <f>'Proy 2022 vs 2019 sem'!KB7*BGT$4</f>
        <v>21027.914172000001</v>
      </c>
      <c r="BGS8" s="699"/>
      <c r="BGT8" s="700">
        <f>BGS8/BGQ8</f>
        <v>0</v>
      </c>
      <c r="BGU8" s="593">
        <f>'Proy 2022 vs 2019 sem'!KA7*BGX$4</f>
        <v>26379.103800000004</v>
      </c>
      <c r="BGV8" s="593">
        <f>'Proy 2022 vs 2019 sem'!KB7*BGX$4</f>
        <v>24532.566534000005</v>
      </c>
      <c r="BGW8" s="699"/>
      <c r="BGX8" s="700">
        <f>BGW8/BGU8</f>
        <v>0</v>
      </c>
      <c r="BGY8" s="593">
        <f>'Proy 2022 vs 2019 sem'!KA7*BHB$4</f>
        <v>30147.547200000001</v>
      </c>
      <c r="BGZ8" s="593">
        <f>'Proy 2022 vs 2019 sem'!KB7*BHB$4</f>
        <v>28037.218896000006</v>
      </c>
      <c r="BHA8" s="699"/>
      <c r="BHB8" s="700">
        <f>BHA8/BGY8</f>
        <v>0</v>
      </c>
      <c r="BHC8" s="593">
        <f>'Proy 2022 vs 2019 sem'!KA7*BHF$4</f>
        <v>41452.877400000005</v>
      </c>
      <c r="BHD8" s="593">
        <f>'Proy 2022 vs 2019 sem'!KB7*BHF$4</f>
        <v>38551.175982000008</v>
      </c>
      <c r="BHE8" s="699"/>
      <c r="BHF8" s="700">
        <f>BHE8/BHC8</f>
        <v>0</v>
      </c>
      <c r="BHG8" s="579">
        <f>BGE8+BGI8+BGM8+BGQ8+BGU8+BGY8+BHC8</f>
        <v>188422.17</v>
      </c>
      <c r="BHH8" s="574">
        <f>BGF8+BGJ8+BGN8+BGR8+BGV8+BGZ8+BHD8</f>
        <v>175232.61810000002</v>
      </c>
      <c r="BHI8" s="730">
        <f>BGG8+BGK8+BGO8+BGS8+BGW8+BHA8+BHE8</f>
        <v>0</v>
      </c>
      <c r="BHJ8" s="711">
        <f>BHI8/BHG8</f>
        <v>0</v>
      </c>
      <c r="BHK8" s="593">
        <f>'Proy 2022 vs 2019 sem'!KF7*BHN$4</f>
        <v>31234.941599999998</v>
      </c>
      <c r="BHL8" s="593">
        <f>'Proy 2022 vs 2019 sem'!KG7*BHN$4</f>
        <v>29048.495687999999</v>
      </c>
      <c r="BHM8" s="699"/>
      <c r="BHN8" s="700">
        <f>BHM8/BHK8</f>
        <v>0</v>
      </c>
      <c r="BHO8" s="593">
        <f>'Proy 2022 vs 2019 sem'!KF7*BHR$4</f>
        <v>31234.941599999998</v>
      </c>
      <c r="BHP8" s="593">
        <f>'Proy 2022 vs 2019 sem'!KG7*BHR$4</f>
        <v>29048.495687999999</v>
      </c>
      <c r="BHQ8" s="699"/>
      <c r="BHR8" s="700">
        <f>BHQ8/BHO8</f>
        <v>0</v>
      </c>
      <c r="BHS8" s="593">
        <f>'Proy 2022 vs 2019 sem'!KF7*BHV$4</f>
        <v>31234.941599999998</v>
      </c>
      <c r="BHT8" s="593">
        <f>'Proy 2022 vs 2019 sem'!KG7*BHV$4</f>
        <v>29048.495687999999</v>
      </c>
      <c r="BHU8" s="699"/>
      <c r="BHV8" s="700">
        <f>BHU8/BHS8</f>
        <v>0</v>
      </c>
      <c r="BHW8" s="593">
        <f>'Proy 2022 vs 2019 sem'!KF7*BHZ$4</f>
        <v>31234.941599999998</v>
      </c>
      <c r="BHX8" s="593">
        <f>'Proy 2022 vs 2019 sem'!KG7*BHZ$4</f>
        <v>29048.495687999999</v>
      </c>
      <c r="BHY8" s="699"/>
      <c r="BHZ8" s="700">
        <f>BHY8/BHW8</f>
        <v>0</v>
      </c>
      <c r="BIA8" s="593">
        <f>'Proy 2022 vs 2019 sem'!KF7*BID$4</f>
        <v>36440.765200000002</v>
      </c>
      <c r="BIB8" s="593">
        <f>'Proy 2022 vs 2019 sem'!KG7*BID$4</f>
        <v>33889.911636000004</v>
      </c>
      <c r="BIC8" s="699"/>
      <c r="BID8" s="700">
        <f>BIC8/BIA8</f>
        <v>0</v>
      </c>
      <c r="BIE8" s="593">
        <f>'Proy 2022 vs 2019 sem'!KF7*BIH$4</f>
        <v>41646.588799999998</v>
      </c>
      <c r="BIF8" s="593">
        <f>'Proy 2022 vs 2019 sem'!KG7*BIH$4</f>
        <v>38731.327584000006</v>
      </c>
      <c r="BIG8" s="699"/>
      <c r="BIH8" s="700">
        <f>BIG8/BIE8</f>
        <v>0</v>
      </c>
      <c r="BII8" s="593">
        <f>'Proy 2022 vs 2019 sem'!KF7*BIL$4</f>
        <v>57264.059600000001</v>
      </c>
      <c r="BIJ8" s="593">
        <f>'Proy 2022 vs 2019 sem'!KG7*BIL$4</f>
        <v>53255.575428000004</v>
      </c>
      <c r="BIK8" s="699"/>
      <c r="BIL8" s="700">
        <f>BIK8/BII8</f>
        <v>0</v>
      </c>
      <c r="BIM8" s="579">
        <f>BHK8+BHO8+BHS8+BHW8+BIA8+BIE8+BII8</f>
        <v>260291.18</v>
      </c>
      <c r="BIN8" s="574">
        <f>BHL8+BHP8+BHT8+BHX8+BIB8+BIF8+BIJ8</f>
        <v>242070.79740000004</v>
      </c>
      <c r="BIO8" s="730">
        <f>BHM8+BHQ8+BHU8+BHY8+BIC8+BIG8+BIK8</f>
        <v>0</v>
      </c>
      <c r="BIP8" s="711">
        <f>BIO8/BIM8</f>
        <v>0</v>
      </c>
      <c r="BIQ8" s="593">
        <f>'Proy 2022 vs 2019 sem'!KK7*BIT$4</f>
        <v>32179.0128</v>
      </c>
      <c r="BIR8" s="593">
        <f>'Proy 2022 vs 2019 sem'!KL7*BIT$4</f>
        <v>29926.481904</v>
      </c>
      <c r="BIS8" s="699"/>
      <c r="BIT8" s="700">
        <f>BIS8/BIQ8</f>
        <v>0</v>
      </c>
      <c r="BIU8" s="593">
        <f>'Proy 2022 vs 2019 sem'!KK7*BIX$4</f>
        <v>32179.0128</v>
      </c>
      <c r="BIV8" s="593">
        <f>'Proy 2022 vs 2019 sem'!KL7*BIX$4</f>
        <v>29926.481904</v>
      </c>
      <c r="BIW8" s="699"/>
      <c r="BIX8" s="700">
        <f>BIW8/BIU8</f>
        <v>0</v>
      </c>
      <c r="BIY8" s="593">
        <f>'Proy 2022 vs 2019 sem'!KK7*BJB$4</f>
        <v>32179.0128</v>
      </c>
      <c r="BIZ8" s="593">
        <f>'Proy 2022 vs 2019 sem'!KL7*BJB$4</f>
        <v>29926.481904</v>
      </c>
      <c r="BJA8" s="699"/>
      <c r="BJB8" s="700">
        <f>BJA8/BIY8</f>
        <v>0</v>
      </c>
      <c r="BJC8" s="593">
        <f>'Proy 2022 vs 2019 sem'!KK7*BJF$4</f>
        <v>32179.0128</v>
      </c>
      <c r="BJD8" s="593">
        <f>'Proy 2022 vs 2019 sem'!KL7*BJF$4</f>
        <v>29926.481904</v>
      </c>
      <c r="BJE8" s="699"/>
      <c r="BJF8" s="700">
        <f>BJE8/BJC8</f>
        <v>0</v>
      </c>
      <c r="BJG8" s="593">
        <f>'Proy 2022 vs 2019 sem'!KK7*BJJ$4</f>
        <v>37542.181600000004</v>
      </c>
      <c r="BJH8" s="593">
        <f>'Proy 2022 vs 2019 sem'!KL7*BJJ$4</f>
        <v>34914.228888000005</v>
      </c>
      <c r="BJI8" s="699"/>
      <c r="BJJ8" s="700">
        <f>BJI8/BJG8</f>
        <v>0</v>
      </c>
      <c r="BJK8" s="593">
        <f>'Proy 2022 vs 2019 sem'!KK7*BJN$4</f>
        <v>42905.350400000003</v>
      </c>
      <c r="BJL8" s="593">
        <f>'Proy 2022 vs 2019 sem'!KL7*BJN$4</f>
        <v>39901.975872000003</v>
      </c>
      <c r="BJM8" s="699"/>
      <c r="BJN8" s="700">
        <f>BJM8/BJK8</f>
        <v>0</v>
      </c>
      <c r="BJO8" s="593">
        <f>'Proy 2022 vs 2019 sem'!KK7*BJR$4</f>
        <v>58994.856800000001</v>
      </c>
      <c r="BJP8" s="593">
        <f>'Proy 2022 vs 2019 sem'!KL7*BJR$4</f>
        <v>54865.216824000003</v>
      </c>
      <c r="BJQ8" s="699"/>
      <c r="BJR8" s="700">
        <f>BJQ8/BJO8</f>
        <v>0</v>
      </c>
      <c r="BJS8" s="579">
        <f>BIQ8+BIU8+BIY8+BJC8+BJG8+BJK8+BJO8</f>
        <v>268158.44</v>
      </c>
      <c r="BJT8" s="574">
        <f>BIR8+BIV8+BIZ8+BJD8+BJH8+BJL8+BJP8</f>
        <v>249387.34920000003</v>
      </c>
      <c r="BJU8" s="710">
        <f>BIS8+BIW8+BJA8+BJE8+BJI8+BJM8+BJQ8</f>
        <v>0</v>
      </c>
      <c r="BJV8" s="711">
        <f>BJU8/BJS8</f>
        <v>0</v>
      </c>
      <c r="BJW8" s="593">
        <f>'Proy 2022 vs 2019 sem'!KP7*BJZ$4</f>
        <v>11023.483199999999</v>
      </c>
      <c r="BJX8" s="593">
        <f>'Proy 2022 vs 2019 sem'!KQ7*BJZ$4</f>
        <v>10472.30904</v>
      </c>
      <c r="BJY8" s="699"/>
      <c r="BJZ8" s="700">
        <f>BJY8/BJW8</f>
        <v>0</v>
      </c>
      <c r="BKA8" s="593">
        <f>'Proy 2022 vs 2019 sem'!KP7*BKD$4</f>
        <v>11023.483199999999</v>
      </c>
      <c r="BKB8" s="593">
        <f>'Proy 2022 vs 2019 sem'!KQ7*BKD$4</f>
        <v>10472.30904</v>
      </c>
      <c r="BKC8" s="699"/>
      <c r="BKD8" s="700">
        <f>BKC8/BKA8</f>
        <v>0</v>
      </c>
      <c r="BKE8" s="593">
        <f>'Proy 2022 vs 2019 sem'!KP7*BKH$4</f>
        <v>11023.483199999999</v>
      </c>
      <c r="BKF8" s="593">
        <f>'Proy 2022 vs 2019 sem'!KQ7*BKH$4</f>
        <v>10472.30904</v>
      </c>
      <c r="BKG8" s="699"/>
      <c r="BKH8" s="700">
        <f>BKG8/BKE8</f>
        <v>0</v>
      </c>
      <c r="BKI8" s="593">
        <f>'Proy 2022 vs 2019 sem'!KP7*BKL$4</f>
        <v>11023.483199999999</v>
      </c>
      <c r="BKJ8" s="593">
        <f>'Proy 2022 vs 2019 sem'!KQ7*BKL$4</f>
        <v>10472.30904</v>
      </c>
      <c r="BKK8" s="699"/>
      <c r="BKL8" s="700">
        <f>BKK8/BKI8</f>
        <v>0</v>
      </c>
      <c r="BKM8" s="593">
        <f>'Proy 2022 vs 2019 sem'!KP7*BKP$4</f>
        <v>12860.730400000002</v>
      </c>
      <c r="BKN8" s="593">
        <f>'Proy 2022 vs 2019 sem'!KQ7*BKP$4</f>
        <v>12217.693880000001</v>
      </c>
      <c r="BKO8" s="699"/>
      <c r="BKP8" s="700">
        <f>BKO8/BKM8</f>
        <v>0</v>
      </c>
      <c r="BKQ8" s="593">
        <f>'Proy 2022 vs 2019 sem'!KP7*BKT$4</f>
        <v>14697.9776</v>
      </c>
      <c r="BKR8" s="593">
        <f>'Proy 2022 vs 2019 sem'!KQ7*BKT$4</f>
        <v>13963.07872</v>
      </c>
      <c r="BKS8" s="699"/>
      <c r="BKT8" s="700">
        <f>BKS8/BKQ8</f>
        <v>0</v>
      </c>
      <c r="BKU8" s="593">
        <f>'Proy 2022 vs 2019 sem'!KP7*BKX$4</f>
        <v>20209.7192</v>
      </c>
      <c r="BKV8" s="593">
        <f>'Proy 2022 vs 2019 sem'!KQ7*BKX$4</f>
        <v>19199.233240000001</v>
      </c>
      <c r="BKW8" s="699"/>
      <c r="BKX8" s="700">
        <f>BKW8/BKU8</f>
        <v>0</v>
      </c>
      <c r="BKY8" s="579">
        <f>BJW8+BKA8+BKE8+BKI8+BKM8+BKQ8+BKU8</f>
        <v>91862.359999999986</v>
      </c>
      <c r="BKZ8" s="574">
        <f>BJX8+BKB8+BKF8+BKJ8+BKN8+BKR8+BKV8</f>
        <v>87269.241999999998</v>
      </c>
      <c r="BLA8" s="710">
        <f>BJY8+BKC8+BKG8+BKK8+BKO8+BKS8+BKW8</f>
        <v>0</v>
      </c>
      <c r="BLB8" s="711">
        <f>BLA8/BKY8</f>
        <v>0</v>
      </c>
    </row>
    <row r="9" spans="2:1666" ht="19.5" customHeight="1">
      <c r="B9" s="934" t="s">
        <v>471</v>
      </c>
      <c r="C9" s="593">
        <f>'Proy 2022 vs 2019 sem'!$C$6*$F$4</f>
        <v>9529.1268</v>
      </c>
      <c r="D9" s="593">
        <f>'Proy 2022 vs 2019 sem'!$D$6*$F$4</f>
        <v>8480.9228519999997</v>
      </c>
      <c r="E9" s="735"/>
      <c r="F9" s="700">
        <f>E9/C9</f>
        <v>0</v>
      </c>
      <c r="G9" s="1414">
        <f>'Proy 2022 vs 2019 sem'!C8*$J$4</f>
        <v>5796.2879999999996</v>
      </c>
      <c r="H9" s="593">
        <f>'Proy 2022 vs 2019 sem'!D8*$J$4</f>
        <v>5158.69632</v>
      </c>
      <c r="I9" s="735"/>
      <c r="J9" s="700">
        <f>I9/G9</f>
        <v>0</v>
      </c>
      <c r="K9" s="593">
        <f>'Proy 2022 vs 2019 sem'!C8*$N$4</f>
        <v>5796.2879999999996</v>
      </c>
      <c r="L9" s="593">
        <f>'Proy 2022 vs 2019 sem'!D8*N$4</f>
        <v>5158.69632</v>
      </c>
      <c r="M9" s="735"/>
      <c r="N9" s="700">
        <f>M9/K9</f>
        <v>0</v>
      </c>
      <c r="O9" s="593">
        <f>'Proy 2022 vs 2019 sem'!C8*R$4</f>
        <v>5796.2879999999996</v>
      </c>
      <c r="P9" s="593">
        <f>'Proy 2022 vs 2019 sem'!D8*$R$4</f>
        <v>5158.69632</v>
      </c>
      <c r="Q9" s="735"/>
      <c r="R9" s="700">
        <f>Q9/O9</f>
        <v>0</v>
      </c>
      <c r="S9" s="593">
        <f>'Proy 2022 vs 2019 sem'!C8*V$4</f>
        <v>6762.3360000000011</v>
      </c>
      <c r="T9" s="593">
        <f>'Proy 2022 vs 2019 sem'!D8*V$4</f>
        <v>6018.4790400000002</v>
      </c>
      <c r="U9" s="735"/>
      <c r="V9" s="700">
        <f>U9/S9</f>
        <v>0</v>
      </c>
      <c r="W9" s="593">
        <f>'Proy 2022 vs 2019 sem'!C8*Z$4</f>
        <v>7728.384</v>
      </c>
      <c r="X9" s="593">
        <f>'Proy 2022 vs 2019 sem'!D8*Z$4</f>
        <v>6878.2617600000003</v>
      </c>
      <c r="Y9" s="735"/>
      <c r="Z9" s="700">
        <f>Y9/W9</f>
        <v>0</v>
      </c>
      <c r="AA9" s="593">
        <f>'Proy 2022 vs 2019 sem'!C8*AD$4</f>
        <v>10626.528</v>
      </c>
      <c r="AB9" s="593">
        <f>'Proy 2022 vs 2019 sem'!D8*AD$4</f>
        <v>9457.609919999999</v>
      </c>
      <c r="AC9" s="735"/>
      <c r="AD9" s="700">
        <f>AC9/AA9</f>
        <v>0</v>
      </c>
      <c r="AE9" s="579">
        <f>C9+G9+K9+O9+S9+W9+AA9</f>
        <v>52035.238799999999</v>
      </c>
      <c r="AF9" s="574">
        <f>D9+H9+L9+P9+T9+X9+AB9</f>
        <v>46311.362531999999</v>
      </c>
      <c r="AG9" s="729">
        <f>E9+I9+M9+Q9+U9+Y9+AC9</f>
        <v>0</v>
      </c>
      <c r="AH9" s="711">
        <f>AG9/AE9</f>
        <v>0</v>
      </c>
      <c r="AI9" s="593">
        <f>'Proy 2022 vs 2019 sem'!H8*AL$4</f>
        <v>5449.7028</v>
      </c>
      <c r="AJ9" s="611">
        <f>'Proy 2022 vs 2019 sem'!I8*AL$4</f>
        <v>4850.2354920000007</v>
      </c>
      <c r="AK9" s="699"/>
      <c r="AL9" s="700">
        <f>AK9/AI9</f>
        <v>0</v>
      </c>
      <c r="AM9" s="593">
        <f>'Proy 2022 vs 2019 sem'!H8*AP$4</f>
        <v>5449.7028</v>
      </c>
      <c r="AN9" s="593">
        <f>'Proy 2022 vs 2019 sem'!I8*AP$4</f>
        <v>4850.2354920000007</v>
      </c>
      <c r="AO9" s="699"/>
      <c r="AP9" s="700">
        <f>AO9/AM9</f>
        <v>0</v>
      </c>
      <c r="AQ9" s="593">
        <f>'Proy 2022 vs 2019 sem'!H8*AT$4</f>
        <v>5449.7028</v>
      </c>
      <c r="AR9" s="593">
        <f>'Proy 2022 vs 2019 sem'!I8*AT$4</f>
        <v>4850.2354920000007</v>
      </c>
      <c r="AS9" s="699"/>
      <c r="AT9" s="700">
        <f>AS9/AQ9</f>
        <v>0</v>
      </c>
      <c r="AU9" s="593">
        <f>'Proy 2022 vs 2019 sem'!H8*AX$4</f>
        <v>5449.7028</v>
      </c>
      <c r="AV9" s="593">
        <f>'Proy 2022 vs 2019 sem'!I8*AX$4</f>
        <v>4850.2354920000007</v>
      </c>
      <c r="AW9" s="699"/>
      <c r="AX9" s="700">
        <f>AW9/AU9</f>
        <v>0</v>
      </c>
      <c r="AY9" s="593">
        <f>'Proy 2022 vs 2019 sem'!H8*BB$4</f>
        <v>6357.9866000000011</v>
      </c>
      <c r="AZ9" s="593">
        <f>'Proy 2022 vs 2019 sem'!I8*BB$4</f>
        <v>5658.6080740000016</v>
      </c>
      <c r="BA9" s="699"/>
      <c r="BB9" s="700">
        <f>BA9/AY9</f>
        <v>0</v>
      </c>
      <c r="BC9" s="593">
        <f>'Proy 2022 vs 2019 sem'!H8*BF$4</f>
        <v>7266.2704000000003</v>
      </c>
      <c r="BD9" s="593">
        <f>'Proy 2022 vs 2019 sem'!I8*BF$4</f>
        <v>6466.9806560000006</v>
      </c>
      <c r="BE9" s="699"/>
      <c r="BF9" s="700">
        <f>BE9/BC9</f>
        <v>0</v>
      </c>
      <c r="BG9" s="593">
        <f>'Proy 2022 vs 2019 sem'!H8*BJ$4</f>
        <v>9991.1218000000008</v>
      </c>
      <c r="BH9" s="593">
        <f>'Proy 2022 vs 2019 sem'!I8*BJ$4</f>
        <v>8892.0984020000014</v>
      </c>
      <c r="BI9" s="699"/>
      <c r="BJ9" s="700">
        <f>BI9/BG9</f>
        <v>0</v>
      </c>
      <c r="BK9" s="579">
        <f>AI9+AM9+AQ9+AU9+AY9+BC9+BG9</f>
        <v>45414.19</v>
      </c>
      <c r="BL9" s="574">
        <f>AJ9+AN9+AR9+AV9+AZ9+BD9+BH9</f>
        <v>40418.629100000006</v>
      </c>
      <c r="BM9" s="730">
        <f>AK9+AO9+AS9+AW9+BA9+BE9+BI9</f>
        <v>0</v>
      </c>
      <c r="BN9" s="711">
        <f>BM9/BK9</f>
        <v>0</v>
      </c>
      <c r="BO9" s="593">
        <f>'Proy 2022 vs 2019 sem'!M8*BR$4</f>
        <v>6503.2536</v>
      </c>
      <c r="BP9" s="593">
        <f>'Proy 2022 vs 2019 sem'!N8*BR$4</f>
        <v>5787.8957040000005</v>
      </c>
      <c r="BQ9" s="699"/>
      <c r="BR9" s="700">
        <f>BQ9/BO9</f>
        <v>0</v>
      </c>
      <c r="BS9" s="593">
        <f>'Proy 2022 vs 2019 sem'!M8*BV$4</f>
        <v>6503.2536</v>
      </c>
      <c r="BT9" s="593">
        <f>'Proy 2022 vs 2019 sem'!N8*BV$4</f>
        <v>5787.8957040000005</v>
      </c>
      <c r="BU9" s="699"/>
      <c r="BV9" s="700">
        <f>BU9/BS9</f>
        <v>0</v>
      </c>
      <c r="BW9" s="593">
        <f>'Proy 2022 vs 2019 sem'!M8*BZ$4</f>
        <v>6503.2536</v>
      </c>
      <c r="BX9" s="593">
        <f>'Proy 2022 vs 2019 sem'!N8*BZ$4</f>
        <v>5787.8957040000005</v>
      </c>
      <c r="BY9" s="699"/>
      <c r="BZ9" s="700">
        <f>BY9/BW9</f>
        <v>0</v>
      </c>
      <c r="CA9" s="593">
        <f>'Proy 2022 vs 2019 sem'!M8*CD$4</f>
        <v>6503.2536</v>
      </c>
      <c r="CB9" s="593">
        <f>'Proy 2022 vs 2019 sem'!N8*CD$4</f>
        <v>5787.8957040000005</v>
      </c>
      <c r="CC9" s="699"/>
      <c r="CD9" s="700">
        <f>CC9/CA9</f>
        <v>0</v>
      </c>
      <c r="CE9" s="593">
        <f>'Proy 2022 vs 2019 sem'!M8*CH$4</f>
        <v>7587.1292000000003</v>
      </c>
      <c r="CF9" s="593">
        <f>'Proy 2022 vs 2019 sem'!N8*CH$4</f>
        <v>6752.5449880000006</v>
      </c>
      <c r="CG9" s="699"/>
      <c r="CH9" s="700">
        <f>CG9/CE9</f>
        <v>0</v>
      </c>
      <c r="CI9" s="593">
        <f>'Proy 2022 vs 2019 sem'!M8*CL$4</f>
        <v>8671.0048000000006</v>
      </c>
      <c r="CJ9" s="593">
        <f>'Proy 2022 vs 2019 sem'!N8*CL$4</f>
        <v>7717.1942720000006</v>
      </c>
      <c r="CK9" s="699"/>
      <c r="CL9" s="700">
        <f>CK9/CI9</f>
        <v>0</v>
      </c>
      <c r="CM9" s="593">
        <f>'Proy 2022 vs 2019 sem'!M8*CP$4</f>
        <v>11922.631600000001</v>
      </c>
      <c r="CN9" s="593">
        <f>'Proy 2022 vs 2019 sem'!N8*CP$4</f>
        <v>10611.142124</v>
      </c>
      <c r="CO9" s="699"/>
      <c r="CP9" s="700">
        <f>CO9/CM9</f>
        <v>0</v>
      </c>
      <c r="CQ9" s="579">
        <f>BO9+BS9+BW9+CA9+CE9+CI9+CM9</f>
        <v>54193.780000000006</v>
      </c>
      <c r="CR9" s="574">
        <f>BP9+BT9+BX9+CB9+CF9+CJ9+CN9</f>
        <v>48232.464200000002</v>
      </c>
      <c r="CS9" s="730">
        <f>BQ9+BU9+BY9+CC9+CG9+CK9+CO9</f>
        <v>0</v>
      </c>
      <c r="CT9" s="711">
        <f>CS9/CQ9</f>
        <v>0</v>
      </c>
      <c r="CU9" s="593">
        <f>'Proy 2022 vs 2019 sem'!R8*CX$4</f>
        <v>6422.6903999999995</v>
      </c>
      <c r="CV9" s="593">
        <f>'Proy 2022 vs 2019 sem'!S8*CX$4</f>
        <v>5780.4213599999994</v>
      </c>
      <c r="CW9" s="699"/>
      <c r="CX9" s="700">
        <f>CW9/CU9</f>
        <v>0</v>
      </c>
      <c r="CY9" s="593">
        <f>'Proy 2022 vs 2019 sem'!R8*DB$4</f>
        <v>6422.6903999999995</v>
      </c>
      <c r="CZ9" s="593">
        <f>'Proy 2022 vs 2019 sem'!S8*DB$4</f>
        <v>5780.4213599999994</v>
      </c>
      <c r="DA9" s="699"/>
      <c r="DB9" s="700">
        <f>DA9/CY9</f>
        <v>0</v>
      </c>
      <c r="DC9" s="593">
        <f>'Proy 2022 vs 2019 sem'!R8*DF$4</f>
        <v>6422.6903999999995</v>
      </c>
      <c r="DD9" s="593">
        <f>'Proy 2022 vs 2019 sem'!S8*DF$4</f>
        <v>5780.4213599999994</v>
      </c>
      <c r="DE9" s="699"/>
      <c r="DF9" s="700">
        <f>DE9/DC9</f>
        <v>0</v>
      </c>
      <c r="DG9" s="593">
        <f>'Proy 2022 vs 2019 sem'!R8*DJ$4</f>
        <v>6422.6903999999995</v>
      </c>
      <c r="DH9" s="593">
        <f>'Proy 2022 vs 2019 sem'!S8*DJ$4</f>
        <v>5780.4213599999994</v>
      </c>
      <c r="DI9" s="699"/>
      <c r="DJ9" s="700">
        <f>DI9/DG9</f>
        <v>0</v>
      </c>
      <c r="DK9" s="593">
        <f>'Proy 2022 vs 2019 sem'!R8*DN$4</f>
        <v>7493.1388000000006</v>
      </c>
      <c r="DL9" s="593">
        <f>'Proy 2022 vs 2019 sem'!S8*DN$4</f>
        <v>6743.8249200000009</v>
      </c>
      <c r="DM9" s="699"/>
      <c r="DN9" s="700">
        <f>DM9/DK9</f>
        <v>0</v>
      </c>
      <c r="DO9" s="593">
        <f>'Proy 2022 vs 2019 sem'!R8*DR$4</f>
        <v>8563.5871999999999</v>
      </c>
      <c r="DP9" s="593">
        <f>'Proy 2022 vs 2019 sem'!S8*DR$4</f>
        <v>7707.2284799999998</v>
      </c>
      <c r="DQ9" s="699"/>
      <c r="DR9" s="700">
        <f>DQ9/DO9</f>
        <v>0</v>
      </c>
      <c r="DS9" s="593">
        <f>'Proy 2022 vs 2019 sem'!R8*DV$4</f>
        <v>11774.9324</v>
      </c>
      <c r="DT9" s="593">
        <f>'Proy 2022 vs 2019 sem'!S8*DV$4</f>
        <v>10597.43916</v>
      </c>
      <c r="DU9" s="699"/>
      <c r="DV9" s="700">
        <f>DU9/DS9</f>
        <v>0</v>
      </c>
      <c r="DW9" s="579">
        <f>CU9+CY9+DC9+DG9+DK9+DO9+DS9</f>
        <v>53522.42</v>
      </c>
      <c r="DX9" s="574">
        <f>CV9+CZ9+DD9+DH9+DL9+DP9+DT9</f>
        <v>48170.178</v>
      </c>
      <c r="DY9" s="710">
        <f>CW9+DA9+DE9+DI9+DM9+DQ9+DU9</f>
        <v>0</v>
      </c>
      <c r="DZ9" s="711">
        <f>DY9/DW9</f>
        <v>0</v>
      </c>
      <c r="EA9" s="593">
        <f>'Proy 2022 vs 2019 sem'!AA8*ED$4</f>
        <v>7509.8099999999995</v>
      </c>
      <c r="EB9" s="593">
        <f>'Proy 2022 vs 2019 sem'!AB8*ED$4</f>
        <v>6683.7308999999996</v>
      </c>
      <c r="EC9" s="735"/>
      <c r="ED9" s="700">
        <f>EC9/EA9</f>
        <v>0</v>
      </c>
      <c r="EE9" s="593">
        <f>'Proy 2022 vs 2019 sem'!AA8*EH$4</f>
        <v>7509.8099999999995</v>
      </c>
      <c r="EF9" s="593">
        <f>'Proy 2022 vs 2019 sem'!AB8*EH$4</f>
        <v>6683.7308999999996</v>
      </c>
      <c r="EG9" s="699"/>
      <c r="EH9" s="700">
        <f>EG9/EE9</f>
        <v>0</v>
      </c>
      <c r="EI9" s="593">
        <f>'Proy 2022 vs 2019 sem'!AA8*EL$4</f>
        <v>7509.8099999999995</v>
      </c>
      <c r="EJ9" s="593">
        <f>'Proy 2022 vs 2019 sem'!AB8*EL$4</f>
        <v>6683.7308999999996</v>
      </c>
      <c r="EK9" s="699"/>
      <c r="EL9" s="700">
        <f>EK9/EI9</f>
        <v>0</v>
      </c>
      <c r="EM9" s="593">
        <f>'Proy 2022 vs 2019 sem'!AA8*EP$4</f>
        <v>7509.8099999999995</v>
      </c>
      <c r="EN9" s="593">
        <f>'Proy 2022 vs 2019 sem'!AB8*EP$4</f>
        <v>6683.7308999999996</v>
      </c>
      <c r="EO9" s="699"/>
      <c r="EP9" s="700">
        <f>EO9/EM9</f>
        <v>0</v>
      </c>
      <c r="EQ9" s="593">
        <f>'Proy 2022 vs 2019 sem'!AA8*ET$4</f>
        <v>8761.4450000000015</v>
      </c>
      <c r="ER9" s="593">
        <f>'Proy 2022 vs 2019 sem'!AB8*ET$4</f>
        <v>7797.6860500000003</v>
      </c>
      <c r="ES9" s="699"/>
      <c r="ET9" s="700">
        <f>ES9/EQ9</f>
        <v>0</v>
      </c>
      <c r="EU9" s="593">
        <f>'Proy 2022 vs 2019 sem'!AA8*EX$4</f>
        <v>10013.08</v>
      </c>
      <c r="EV9" s="593">
        <f>'Proy 2022 vs 2019 sem'!AB8*EX$4</f>
        <v>8911.6412</v>
      </c>
      <c r="EW9" s="699"/>
      <c r="EX9" s="700">
        <f>EW9/EU9</f>
        <v>0</v>
      </c>
      <c r="EY9" s="593">
        <f>'Proy 2022 vs 2019 sem'!AA8*FB$4</f>
        <v>13767.985000000001</v>
      </c>
      <c r="EZ9" s="593">
        <f>'Proy 2022 vs 2019 sem'!AB8*FB$4</f>
        <v>12253.506649999999</v>
      </c>
      <c r="FA9" s="699"/>
      <c r="FB9" s="700">
        <f>FA9/EY9</f>
        <v>0</v>
      </c>
      <c r="FC9" s="579">
        <f>EA9+EE9+EI9+EM9+EQ9+EU9+EY9</f>
        <v>62581.75</v>
      </c>
      <c r="FD9" s="574">
        <f>EB9+EF9+EJ9+EN9+ER9+EV9+EZ9</f>
        <v>55697.757499999992</v>
      </c>
      <c r="FE9" s="793">
        <f>EC9+EG9+EK9+EO9+ES9+EW9+FA9</f>
        <v>0</v>
      </c>
      <c r="FF9" s="786">
        <f>FE9/FC9</f>
        <v>0</v>
      </c>
      <c r="FG9" s="593">
        <f>'Proy 2022 vs 2019 sem'!AF8*FJ$4</f>
        <v>8918.1984000000011</v>
      </c>
      <c r="FH9" s="593">
        <f>'Proy 2022 vs 2019 sem'!AG8*FJ$4</f>
        <v>7848.0145920000004</v>
      </c>
      <c r="FI9" s="699"/>
      <c r="FJ9" s="700">
        <f>FI9/FG9</f>
        <v>0</v>
      </c>
      <c r="FK9" s="593">
        <f>'Proy 2022 vs 2019 sem'!AF8*FN$4</f>
        <v>8918.1984000000011</v>
      </c>
      <c r="FL9" s="593">
        <f>'Proy 2022 vs 2019 sem'!AG8*FN$4</f>
        <v>7848.0145920000004</v>
      </c>
      <c r="FM9" s="699"/>
      <c r="FN9" s="700">
        <f>FM9/FK9</f>
        <v>0</v>
      </c>
      <c r="FO9" s="593">
        <f>'Proy 2022 vs 2019 sem'!AF8*FR$4</f>
        <v>8918.1984000000011</v>
      </c>
      <c r="FP9" s="593">
        <f>'Proy 2022 vs 2019 sem'!AG8*FR$4</f>
        <v>7848.0145920000004</v>
      </c>
      <c r="FQ9" s="699"/>
      <c r="FR9" s="700">
        <f>FQ9/FO9</f>
        <v>0</v>
      </c>
      <c r="FS9" s="593">
        <f>'Proy 2022 vs 2019 sem'!AF8*FV$4</f>
        <v>8918.1984000000011</v>
      </c>
      <c r="FT9" s="593">
        <f>'Proy 2022 vs 2019 sem'!AG8*FV$4</f>
        <v>7848.0145920000004</v>
      </c>
      <c r="FU9" s="699"/>
      <c r="FV9" s="700">
        <f>FU9/FS9</f>
        <v>0</v>
      </c>
      <c r="FW9" s="593">
        <f>'Proy 2022 vs 2019 sem'!AF8*FZ$4</f>
        <v>10404.564800000002</v>
      </c>
      <c r="FX9" s="593">
        <f>'Proy 2022 vs 2019 sem'!AG8*FZ$4</f>
        <v>9156.0170240000025</v>
      </c>
      <c r="FY9" s="699"/>
      <c r="FZ9" s="700">
        <f>FY9/FW9</f>
        <v>0</v>
      </c>
      <c r="GA9" s="593">
        <f>'Proy 2022 vs 2019 sem'!AF8*GD$4</f>
        <v>11890.931200000001</v>
      </c>
      <c r="GB9" s="593">
        <f>'Proy 2022 vs 2019 sem'!AG8*GD$4</f>
        <v>10464.019456000002</v>
      </c>
      <c r="GC9" s="699"/>
      <c r="GD9" s="700">
        <f>GC9/GA9</f>
        <v>0</v>
      </c>
      <c r="GE9" s="593">
        <f>'Proy 2022 vs 2019 sem'!AF8*GH$4</f>
        <v>16350.030400000001</v>
      </c>
      <c r="GF9" s="593">
        <f>'Proy 2022 vs 2019 sem'!AG8*GH$4</f>
        <v>14388.026752000002</v>
      </c>
      <c r="GG9" s="699"/>
      <c r="GH9" s="700">
        <f>GG9/GE9</f>
        <v>0</v>
      </c>
      <c r="GI9" s="579">
        <f>FG9+FK9+FO9+FS9+FW9+GA9+GE9</f>
        <v>74318.320000000007</v>
      </c>
      <c r="GJ9" s="574">
        <f>FH9+FL9+FP9+FT9+FX9+GB9+GF9</f>
        <v>65400.121600000013</v>
      </c>
      <c r="GK9" s="794">
        <f>FI9+FM9+FQ9+FU9+FY9+GC9+GG9</f>
        <v>0</v>
      </c>
      <c r="GL9" s="786">
        <f>GK9/GI9</f>
        <v>0</v>
      </c>
      <c r="GM9" s="593">
        <f>'Proy 2022 vs 2019 sem'!AK8*GP$4</f>
        <v>6611.1635999999999</v>
      </c>
      <c r="GN9" s="593">
        <f>'Proy 2022 vs 2019 sem'!AL8*GP$4</f>
        <v>6016.1588759999995</v>
      </c>
      <c r="GO9" s="699"/>
      <c r="GP9" s="700">
        <f>GO9/GM9</f>
        <v>0</v>
      </c>
      <c r="GQ9" s="593">
        <f>'Proy 2022 vs 2019 sem'!AK8*GT$4</f>
        <v>6611.1635999999999</v>
      </c>
      <c r="GR9" s="593">
        <f>'Proy 2022 vs 2019 sem'!AL8*GT$4</f>
        <v>6016.1588759999995</v>
      </c>
      <c r="GS9" s="699"/>
      <c r="GT9" s="700">
        <f>GS9/GQ9</f>
        <v>0</v>
      </c>
      <c r="GU9" s="593">
        <f>'Proy 2022 vs 2019 sem'!AK8*GX$4</f>
        <v>6611.1635999999999</v>
      </c>
      <c r="GV9" s="593">
        <f>'Proy 2022 vs 2019 sem'!AL8*GX$4</f>
        <v>6016.1588759999995</v>
      </c>
      <c r="GW9" s="699"/>
      <c r="GX9" s="700">
        <f>GW9/GU9</f>
        <v>0</v>
      </c>
      <c r="GY9" s="593">
        <f>'Proy 2022 vs 2019 sem'!AK8*HB$4</f>
        <v>6611.1635999999999</v>
      </c>
      <c r="GZ9" s="593">
        <f>'Proy 2022 vs 2019 sem'!AL8*HB$4</f>
        <v>6016.1588759999995</v>
      </c>
      <c r="HA9" s="699"/>
      <c r="HB9" s="700">
        <f>HA9/GY9</f>
        <v>0</v>
      </c>
      <c r="HC9" s="593">
        <f>'Proy 2022 vs 2019 sem'!AK8*HF$4</f>
        <v>7713.0242000000007</v>
      </c>
      <c r="HD9" s="593">
        <f>'Proy 2022 vs 2019 sem'!AL8*HF$4</f>
        <v>7018.8520220000009</v>
      </c>
      <c r="HE9" s="699"/>
      <c r="HF9" s="700">
        <f>HE9/HC9</f>
        <v>0</v>
      </c>
      <c r="HG9" s="593">
        <f>'Proy 2022 vs 2019 sem'!AK8*HJ$4</f>
        <v>8814.8847999999998</v>
      </c>
      <c r="HH9" s="593">
        <f>'Proy 2022 vs 2019 sem'!AL8*HJ$4</f>
        <v>8021.5451679999996</v>
      </c>
      <c r="HI9" s="699"/>
      <c r="HJ9" s="700">
        <f>HI9/HG9</f>
        <v>0</v>
      </c>
      <c r="HK9" s="593">
        <f>'Proy 2022 vs 2019 sem'!AK8*HN$4</f>
        <v>12120.4666</v>
      </c>
      <c r="HL9" s="593">
        <f>'Proy 2022 vs 2019 sem'!AL8*HN$4</f>
        <v>11029.624605999999</v>
      </c>
      <c r="HM9" s="699"/>
      <c r="HN9" s="700">
        <f>HM9/HK9</f>
        <v>0</v>
      </c>
      <c r="HO9" s="579">
        <f>GM9+GQ9+GU9+GY9+HC9+HG9+HK9</f>
        <v>55093.03</v>
      </c>
      <c r="HP9" s="574">
        <f>GN9+GR9+GV9+GZ9+HD9+HH9+HL9</f>
        <v>50134.657299999992</v>
      </c>
      <c r="HQ9" s="794">
        <f>GO9+GS9+GW9+HA9+HE9+HI9+HM9</f>
        <v>0</v>
      </c>
      <c r="HR9" s="786">
        <f>HQ9/HO9</f>
        <v>0</v>
      </c>
      <c r="HS9" s="593">
        <f>'Proy 2022 vs 2019 sem'!AK8*HV$4</f>
        <v>6611.1635999999999</v>
      </c>
      <c r="HT9" s="593">
        <f>'Proy 2022 vs 2019 sem'!AL8*HV$4</f>
        <v>6016.1588759999995</v>
      </c>
      <c r="HU9" s="699"/>
      <c r="HV9" s="700">
        <f>HU9/HS9</f>
        <v>0</v>
      </c>
      <c r="HW9" s="593">
        <f>'Proy 2022 vs 2019 sem'!AK8*HZ$4</f>
        <v>6611.1635999999999</v>
      </c>
      <c r="HX9" s="593">
        <f>'Proy 2022 vs 2019 sem'!AL8*HZ$4</f>
        <v>6016.1588759999995</v>
      </c>
      <c r="HY9" s="699"/>
      <c r="HZ9" s="700">
        <f>HY9/HW9</f>
        <v>0</v>
      </c>
      <c r="IA9" s="593">
        <f>'Proy 2022 vs 2019 sem'!AK8*ID$4</f>
        <v>6611.1635999999999</v>
      </c>
      <c r="IB9" s="593">
        <f>'Proy 2022 vs 2019 sem'!AL8*ID$4</f>
        <v>6016.1588759999995</v>
      </c>
      <c r="IC9" s="699"/>
      <c r="ID9" s="700">
        <f>IC9/IA9</f>
        <v>0</v>
      </c>
      <c r="IE9" s="593">
        <f>'Proy 2022 vs 2019 sem'!AK8*IH$4</f>
        <v>6611.1635999999999</v>
      </c>
      <c r="IF9" s="593">
        <f>'Proy 2022 vs 2019 sem'!AL8*IH$4</f>
        <v>6016.1588759999995</v>
      </c>
      <c r="IG9" s="699"/>
      <c r="IH9" s="700">
        <f>IG9/IE9</f>
        <v>0</v>
      </c>
      <c r="II9" s="593">
        <f>'Proy 2022 vs 2019 sem'!AK8*IL$4</f>
        <v>7713.0242000000007</v>
      </c>
      <c r="IJ9" s="593">
        <f>'Proy 2022 vs 2019 sem'!AL8*IL$4</f>
        <v>7018.8520220000009</v>
      </c>
      <c r="IK9" s="699"/>
      <c r="IL9" s="700">
        <f>IK9/II9</f>
        <v>0</v>
      </c>
      <c r="IM9" s="593">
        <f>'Proy 2022 vs 2019 sem'!AK8*IP$4</f>
        <v>8814.8847999999998</v>
      </c>
      <c r="IN9" s="593">
        <f>'Proy 2022 vs 2019 sem'!AL8*IP$4</f>
        <v>8021.5451679999996</v>
      </c>
      <c r="IO9" s="699"/>
      <c r="IP9" s="700">
        <f>IO9/IM9</f>
        <v>0</v>
      </c>
      <c r="IQ9" s="593">
        <f>'Proy 2022 vs 2019 sem'!AK8*IT$4</f>
        <v>12120.4666</v>
      </c>
      <c r="IR9" s="593">
        <f>'Proy 2022 vs 2019 sem'!AL8*IT$4</f>
        <v>11029.624605999999</v>
      </c>
      <c r="IS9" s="699"/>
      <c r="IT9" s="700">
        <f>IS9/IQ9</f>
        <v>0</v>
      </c>
      <c r="IU9" s="579">
        <f>HS9+HW9+IA9+IE9+II9+IM9+IQ9</f>
        <v>55093.03</v>
      </c>
      <c r="IV9" s="574">
        <f>HT9+HX9+IB9+IF9+IJ9+IN9+IR9</f>
        <v>50134.657299999992</v>
      </c>
      <c r="IW9" s="785">
        <f>HU9+HY9+IC9+IG9+IK9+IO9+IS9</f>
        <v>0</v>
      </c>
      <c r="IX9" s="786">
        <f>IW9/IU9</f>
        <v>0</v>
      </c>
      <c r="IY9" s="593">
        <f>'Proy 2022 vs 2019 sem'!AY8*JB$4</f>
        <v>7579.5707999999995</v>
      </c>
      <c r="IZ9" s="593">
        <f>'Proy 2022 vs 2019 sem'!AZ8*JB$4</f>
        <v>6745.8180119999997</v>
      </c>
      <c r="JA9" s="735"/>
      <c r="JB9" s="700">
        <f>JA9/IY9</f>
        <v>0</v>
      </c>
      <c r="JC9" s="593">
        <f>'Proy 2022 vs 2019 sem'!AY8*JF$4</f>
        <v>7579.5707999999995</v>
      </c>
      <c r="JD9" s="593">
        <f>'Proy 2022 vs 2019 sem'!AZ8*JF$4</f>
        <v>6745.8180119999997</v>
      </c>
      <c r="JE9" s="735"/>
      <c r="JF9" s="700">
        <f>JE9/JC9</f>
        <v>0</v>
      </c>
      <c r="JG9" s="593">
        <f>'Proy 2022 vs 2019 sem'!AY8*JJ$4</f>
        <v>7579.5707999999995</v>
      </c>
      <c r="JH9" s="593">
        <f>'Proy 2022 vs 2019 sem'!AZ8*JJ$4</f>
        <v>6745.8180119999997</v>
      </c>
      <c r="JI9" s="735"/>
      <c r="JJ9" s="700">
        <f>JI9/JG9</f>
        <v>0</v>
      </c>
      <c r="JK9" s="593">
        <f>'Proy 2022 vs 2019 sem'!AY8*JN$4</f>
        <v>7579.5707999999995</v>
      </c>
      <c r="JL9" s="593">
        <f>'Proy 2022 vs 2019 sem'!AZ8*JN$4</f>
        <v>6745.8180119999997</v>
      </c>
      <c r="JM9" s="735"/>
      <c r="JN9" s="700">
        <f>JM9/JK9</f>
        <v>0</v>
      </c>
      <c r="JO9" s="593">
        <f>'Proy 2022 vs 2019 sem'!AY8*JR$4</f>
        <v>8842.8325999999997</v>
      </c>
      <c r="JP9" s="593">
        <f>'Proy 2022 vs 2019 sem'!AZ8*JR$4</f>
        <v>7870.1210140000003</v>
      </c>
      <c r="JQ9" s="735"/>
      <c r="JR9" s="700">
        <f>JQ9/JO9</f>
        <v>0</v>
      </c>
      <c r="JS9" s="593">
        <f>'Proy 2022 vs 2019 sem'!AY8*JV$4</f>
        <v>10106.0944</v>
      </c>
      <c r="JT9" s="593">
        <f>'Proy 2022 vs 2019 sem'!AZ8*JV$4</f>
        <v>8994.4240160000008</v>
      </c>
      <c r="JU9" s="735"/>
      <c r="JV9" s="700">
        <f>JU9/JS9</f>
        <v>0</v>
      </c>
      <c r="JW9" s="593">
        <f>'Proy 2022 vs 2019 sem'!AY8*JZ$4</f>
        <v>13895.879799999999</v>
      </c>
      <c r="JX9" s="593">
        <f>'Proy 2022 vs 2019 sem'!AZ8*JZ$4</f>
        <v>12367.333022000001</v>
      </c>
      <c r="JY9" s="735"/>
      <c r="JZ9" s="700">
        <f>JY9/JW9</f>
        <v>0</v>
      </c>
      <c r="KA9" s="579">
        <f>IY9+JC9+JG9+JK9+JO9+JS9+JW9</f>
        <v>63163.09</v>
      </c>
      <c r="KB9" s="574">
        <f>IZ9+JD9+JH9+JL9+JP9+JT9+JX9</f>
        <v>56215.150100000006</v>
      </c>
      <c r="KC9" s="729">
        <f>JA9+JE9+JI9+JM9+JQ9+JU9+JY9</f>
        <v>0</v>
      </c>
      <c r="KD9" s="711">
        <f>KC9/KA9</f>
        <v>0</v>
      </c>
      <c r="KE9" s="593">
        <f>'Proy 2022 vs 2019 sem'!BD8*KH$4</f>
        <v>8040.9192000000003</v>
      </c>
      <c r="KF9" s="593">
        <f>'Proy 2022 vs 2019 sem'!BE8*KH$4</f>
        <v>7156.4180880000004</v>
      </c>
      <c r="KG9" s="699"/>
      <c r="KH9" s="700">
        <f>KG9/KE9</f>
        <v>0</v>
      </c>
      <c r="KI9" s="593">
        <f>'Proy 2022 vs 2019 sem'!BD8*KL$4</f>
        <v>8040.9192000000003</v>
      </c>
      <c r="KJ9" s="593">
        <f>'Proy 2022 vs 2019 sem'!BE8*KL$4</f>
        <v>7156.4180880000004</v>
      </c>
      <c r="KK9" s="699"/>
      <c r="KL9" s="700">
        <f>KK9/KI9</f>
        <v>0</v>
      </c>
      <c r="KM9" s="593">
        <f>'Proy 2022 vs 2019 sem'!BD8*KP$4</f>
        <v>8040.9192000000003</v>
      </c>
      <c r="KN9" s="593">
        <f>'Proy 2022 vs 2019 sem'!BE8*KP$4</f>
        <v>7156.4180880000004</v>
      </c>
      <c r="KO9" s="699"/>
      <c r="KP9" s="700">
        <f>KO9/KM9</f>
        <v>0</v>
      </c>
      <c r="KQ9" s="593">
        <f>'Proy 2022 vs 2019 sem'!BD8*KT$4</f>
        <v>8040.9192000000003</v>
      </c>
      <c r="KR9" s="593">
        <f>'Proy 2022 vs 2019 sem'!BE8*KT$4</f>
        <v>7156.4180880000004</v>
      </c>
      <c r="KS9" s="699"/>
      <c r="KT9" s="700">
        <f>KS9/KQ9</f>
        <v>0</v>
      </c>
      <c r="KU9" s="593">
        <f>'Proy 2022 vs 2019 sem'!BD8*KX$4</f>
        <v>9381.0724000000009</v>
      </c>
      <c r="KV9" s="593">
        <f>'Proy 2022 vs 2019 sem'!BE8*KX$4</f>
        <v>8349.1544360000025</v>
      </c>
      <c r="KW9" s="699"/>
      <c r="KX9" s="700">
        <f>KW9/KU9</f>
        <v>0</v>
      </c>
      <c r="KY9" s="593">
        <f>'Proy 2022 vs 2019 sem'!BD8*LB$4</f>
        <v>10721.225600000002</v>
      </c>
      <c r="KZ9" s="593">
        <f>'Proy 2022 vs 2019 sem'!BE8*LB$4</f>
        <v>9541.8907840000011</v>
      </c>
      <c r="LA9" s="699"/>
      <c r="LB9" s="700">
        <f>LA9/KY9</f>
        <v>0</v>
      </c>
      <c r="LC9" s="593">
        <f>'Proy 2022 vs 2019 sem'!BD8*LF$4</f>
        <v>14741.685200000002</v>
      </c>
      <c r="LD9" s="593">
        <f>'Proy 2022 vs 2019 sem'!BE8*LF$4</f>
        <v>13120.099828000002</v>
      </c>
      <c r="LE9" s="699"/>
      <c r="LF9" s="700">
        <f>LE9/LC9</f>
        <v>0</v>
      </c>
      <c r="LG9" s="579">
        <f>KE9+KI9+KM9+KQ9+KU9+KY9+LC9</f>
        <v>67007.660000000018</v>
      </c>
      <c r="LH9" s="574">
        <f>KF9+KJ9+KN9+KR9+KV9+KZ9+LD9</f>
        <v>59636.817400000014</v>
      </c>
      <c r="LI9" s="730">
        <f>KG9+KK9+KO9+KS9+KW9+LA9+LE9</f>
        <v>0</v>
      </c>
      <c r="LJ9" s="711">
        <f>LI9/LG9</f>
        <v>0</v>
      </c>
      <c r="LK9" s="593">
        <f>'Proy 2022 vs 2019 sem'!BI8*LN$4</f>
        <v>9159.3252000000011</v>
      </c>
      <c r="LL9" s="593">
        <f>'Proy 2022 vs 2019 sem'!BJ8*LN$4</f>
        <v>8151.7994280000003</v>
      </c>
      <c r="LM9" s="699"/>
      <c r="LN9" s="700">
        <f>LM9/LK9</f>
        <v>0</v>
      </c>
      <c r="LO9" s="593">
        <f>'Proy 2022 vs 2019 sem'!BI8*LR$4</f>
        <v>9159.3252000000011</v>
      </c>
      <c r="LP9" s="593">
        <f>'Proy 2022 vs 2019 sem'!BJ8*LR$4</f>
        <v>8151.7994280000003</v>
      </c>
      <c r="LQ9" s="699"/>
      <c r="LR9" s="700">
        <f>LQ9/LO9</f>
        <v>0</v>
      </c>
      <c r="LS9" s="593">
        <f>'Proy 2022 vs 2019 sem'!BI8*LV$4</f>
        <v>9159.3252000000011</v>
      </c>
      <c r="LT9" s="593">
        <f>'Proy 2022 vs 2019 sem'!BJ8*LV$4</f>
        <v>8151.7994280000003</v>
      </c>
      <c r="LU9" s="699"/>
      <c r="LV9" s="700">
        <f>LU9/LS9</f>
        <v>0</v>
      </c>
      <c r="LW9" s="593">
        <f>'Proy 2022 vs 2019 sem'!BI8*LZ$4</f>
        <v>9159.3252000000011</v>
      </c>
      <c r="LX9" s="593">
        <f>'Proy 2022 vs 2019 sem'!BJ8*LZ$4</f>
        <v>8151.7994280000003</v>
      </c>
      <c r="LY9" s="699"/>
      <c r="LZ9" s="700">
        <f>LY9/LW9</f>
        <v>0</v>
      </c>
      <c r="MA9" s="593">
        <f>'Proy 2022 vs 2019 sem'!BI8*MD$4</f>
        <v>10685.879400000002</v>
      </c>
      <c r="MB9" s="593">
        <f>'Proy 2022 vs 2019 sem'!BJ8*MD$4</f>
        <v>9510.4326660000024</v>
      </c>
      <c r="MC9" s="699"/>
      <c r="MD9" s="700">
        <f>MC9/MA9</f>
        <v>0</v>
      </c>
      <c r="ME9" s="593">
        <f>'Proy 2022 vs 2019 sem'!BI8*MH$4</f>
        <v>12212.433600000002</v>
      </c>
      <c r="MF9" s="593">
        <f>'Proy 2022 vs 2019 sem'!BJ8*MH$4</f>
        <v>10869.065904000001</v>
      </c>
      <c r="MG9" s="699"/>
      <c r="MH9" s="700">
        <f>MG9/ME9</f>
        <v>0</v>
      </c>
      <c r="MI9" s="593">
        <f>'Proy 2022 vs 2019 sem'!BI8*ML$4</f>
        <v>16792.0962</v>
      </c>
      <c r="MJ9" s="593">
        <f>'Proy 2022 vs 2019 sem'!BJ8*ML$4</f>
        <v>14944.965618000002</v>
      </c>
      <c r="MK9" s="699"/>
      <c r="ML9" s="700">
        <f>MK9/MI9</f>
        <v>0</v>
      </c>
      <c r="MM9" s="579">
        <f>LK9+LO9+LS9+LW9+MA9+ME9+MI9</f>
        <v>76327.710000000006</v>
      </c>
      <c r="MN9" s="574">
        <f>LL9+LP9+LT9+LX9+MB9+MF9+MJ9</f>
        <v>67931.661900000006</v>
      </c>
      <c r="MO9" s="730">
        <f>LM9+LQ9+LU9+LY9+MC9+MG9+MK9</f>
        <v>0</v>
      </c>
      <c r="MP9" s="711">
        <f>MO9/MM9</f>
        <v>0</v>
      </c>
      <c r="MQ9" s="593">
        <f>'Proy 2022 vs 2019 sem'!BN8*MT$4</f>
        <v>8672.7695999999996</v>
      </c>
      <c r="MR9" s="593">
        <f>'Proy 2022 vs 2019 sem'!BO8*MT$4</f>
        <v>7545.3095520000006</v>
      </c>
      <c r="MS9" s="699"/>
      <c r="MT9" s="700">
        <f>MS9/MQ9</f>
        <v>0</v>
      </c>
      <c r="MU9" s="593">
        <f>'Proy 2022 vs 2019 sem'!BN8*MX$4</f>
        <v>8672.7695999999996</v>
      </c>
      <c r="MV9" s="593">
        <f>'Proy 2022 vs 2019 sem'!BO8*MX$4</f>
        <v>7545.3095520000006</v>
      </c>
      <c r="MW9" s="699"/>
      <c r="MX9" s="700">
        <f>MW9/MU9</f>
        <v>0</v>
      </c>
      <c r="MY9" s="593">
        <f>'Proy 2022 vs 2019 sem'!BN8*NB$4</f>
        <v>8672.7695999999996</v>
      </c>
      <c r="MZ9" s="593">
        <f>'Proy 2022 vs 2019 sem'!BO8*NB$4</f>
        <v>7545.3095520000006</v>
      </c>
      <c r="NA9" s="699"/>
      <c r="NB9" s="700">
        <f>NA9/MY9</f>
        <v>0</v>
      </c>
      <c r="NC9" s="593">
        <f>'Proy 2022 vs 2019 sem'!BN8*NF$4</f>
        <v>8672.7695999999996</v>
      </c>
      <c r="ND9" s="593">
        <f>'Proy 2022 vs 2019 sem'!BO8*NF$4</f>
        <v>7545.3095520000006</v>
      </c>
      <c r="NE9" s="699"/>
      <c r="NF9" s="700">
        <f>NE9/NC9</f>
        <v>0</v>
      </c>
      <c r="NG9" s="593">
        <f>'Proy 2022 vs 2019 sem'!BN8*NJ$4</f>
        <v>10118.231200000002</v>
      </c>
      <c r="NH9" s="593">
        <f>'Proy 2022 vs 2019 sem'!BO8*NJ$4</f>
        <v>8802.8611440000022</v>
      </c>
      <c r="NI9" s="699"/>
      <c r="NJ9" s="700">
        <f>NI9/NG9</f>
        <v>0</v>
      </c>
      <c r="NK9" s="593">
        <f>'Proy 2022 vs 2019 sem'!BN8*NN$4</f>
        <v>11563.692800000001</v>
      </c>
      <c r="NL9" s="593">
        <f>'Proy 2022 vs 2019 sem'!BO8*NN$4</f>
        <v>10060.412736</v>
      </c>
      <c r="NM9" s="699"/>
      <c r="NN9" s="700">
        <f>NM9/NK9</f>
        <v>0</v>
      </c>
      <c r="NO9" s="593">
        <f>'Proy 2022 vs 2019 sem'!BN8*NR$4</f>
        <v>15900.077600000001</v>
      </c>
      <c r="NP9" s="593">
        <f>'Proy 2022 vs 2019 sem'!BO8*NR$4</f>
        <v>13833.067512000001</v>
      </c>
      <c r="NQ9" s="699"/>
      <c r="NR9" s="700">
        <f>NQ9/NO9</f>
        <v>0</v>
      </c>
      <c r="NS9" s="579">
        <f>MQ9+MU9+MY9+NC9+NG9+NK9+NO9</f>
        <v>72273.08</v>
      </c>
      <c r="NT9" s="574">
        <f>MR9+MV9+MZ9+ND9+NH9+NL9+NP9</f>
        <v>62877.579600000005</v>
      </c>
      <c r="NU9" s="710">
        <f>MS9+MW9+NA9+NE9+NI9+NM9+NQ9</f>
        <v>0</v>
      </c>
      <c r="NV9" s="711">
        <f>NU9/NS9</f>
        <v>0</v>
      </c>
      <c r="NW9" s="593">
        <f>'Proy 2022 vs 2019 sem'!BS8*NZ$4</f>
        <v>8617.8047999999981</v>
      </c>
      <c r="NX9" s="593">
        <f>'Proy 2022 vs 2019 sem'!BT8*NZ$4</f>
        <v>7669.8462719999989</v>
      </c>
      <c r="NY9" s="699"/>
      <c r="NZ9" s="700">
        <f>NY9/NW9</f>
        <v>0</v>
      </c>
      <c r="OA9" s="593">
        <f>'Proy 2022 vs 2019 sem'!BS8*OD$4</f>
        <v>8617.8047999999981</v>
      </c>
      <c r="OB9" s="593">
        <f>'Proy 2022 vs 2019 sem'!BT8*OD$4</f>
        <v>7669.8462719999989</v>
      </c>
      <c r="OC9" s="699"/>
      <c r="OD9" s="700">
        <f>OC9/OA9</f>
        <v>0</v>
      </c>
      <c r="OE9" s="593">
        <f>'Proy 2022 vs 2019 sem'!BS8*OH$4</f>
        <v>8617.8047999999981</v>
      </c>
      <c r="OF9" s="593">
        <f>'Proy 2022 vs 2019 sem'!BT8*OH$4</f>
        <v>7669.8462719999989</v>
      </c>
      <c r="OG9" s="699"/>
      <c r="OH9" s="700">
        <f>OG9/OE9</f>
        <v>0</v>
      </c>
      <c r="OI9" s="593">
        <f>'Proy 2022 vs 2019 sem'!BS8*OL$4</f>
        <v>8617.8047999999981</v>
      </c>
      <c r="OJ9" s="593">
        <f>'Proy 2022 vs 2019 sem'!BT8*OL$4</f>
        <v>7669.8462719999989</v>
      </c>
      <c r="OK9" s="699"/>
      <c r="OL9" s="700">
        <f>OK9/OI9</f>
        <v>0</v>
      </c>
      <c r="OM9" s="593">
        <f>'Proy 2022 vs 2019 sem'!BS8*OP$4</f>
        <v>10054.105600000001</v>
      </c>
      <c r="ON9" s="593">
        <f>'Proy 2022 vs 2019 sem'!BT8*OP$4</f>
        <v>8948.1539840000005</v>
      </c>
      <c r="OO9" s="699"/>
      <c r="OP9" s="700">
        <f>OO9/OM9</f>
        <v>0</v>
      </c>
      <c r="OQ9" s="593">
        <f>'Proy 2022 vs 2019 sem'!BS8*OT$4</f>
        <v>11490.4064</v>
      </c>
      <c r="OR9" s="593">
        <f>'Proy 2022 vs 2019 sem'!BT8*OT$4</f>
        <v>10226.461695999998</v>
      </c>
      <c r="OS9" s="699"/>
      <c r="OT9" s="700">
        <f>OS9/OQ9</f>
        <v>0</v>
      </c>
      <c r="OU9" s="593">
        <f>'Proy 2022 vs 2019 sem'!BS8*OX$4</f>
        <v>15799.308799999999</v>
      </c>
      <c r="OV9" s="593">
        <f>'Proy 2022 vs 2019 sem'!BT8*OX$4</f>
        <v>14061.384831999998</v>
      </c>
      <c r="OW9" s="699"/>
      <c r="OX9" s="700">
        <f>OW9/OU9</f>
        <v>0</v>
      </c>
      <c r="OY9" s="579">
        <f>NW9+OA9+OE9+OI9+OM9+OQ9+OU9</f>
        <v>71815.039999999994</v>
      </c>
      <c r="OZ9" s="574">
        <f>NX9+OB9+OF9+OJ9+ON9+OR9+OV9</f>
        <v>63915.385599999994</v>
      </c>
      <c r="PA9" s="710">
        <f>NY9+OC9+OG9+OK9+OO9+OS9+OW9</f>
        <v>0</v>
      </c>
      <c r="PB9" s="711">
        <f>PA9/OY9</f>
        <v>0</v>
      </c>
      <c r="PC9" s="593">
        <f>'Proy 2022 vs 2019 sem'!CB8*PF$4</f>
        <v>8963.377199999999</v>
      </c>
      <c r="PD9" s="593">
        <f>'Proy 2022 vs 2019 sem'!CC8*PF$4</f>
        <v>7977.4057080000002</v>
      </c>
      <c r="PE9" s="735"/>
      <c r="PF9" s="700">
        <f>PE9/PC9</f>
        <v>0</v>
      </c>
      <c r="PG9" s="593">
        <f>'Proy 2022 vs 2019 sem'!CB8*PJ$4</f>
        <v>8963.377199999999</v>
      </c>
      <c r="PH9" s="593">
        <f>'Proy 2022 vs 2019 sem'!CC8*PJ$4</f>
        <v>7977.4057080000002</v>
      </c>
      <c r="PI9" s="699"/>
      <c r="PJ9" s="700">
        <f>PI9/PG9</f>
        <v>0</v>
      </c>
      <c r="PK9" s="593">
        <f>'Proy 2022 vs 2019 sem'!CB8*PN$4</f>
        <v>8963.377199999999</v>
      </c>
      <c r="PL9" s="593">
        <f>'Proy 2022 vs 2019 sem'!CC8*PN$4</f>
        <v>7977.4057080000002</v>
      </c>
      <c r="PM9" s="699"/>
      <c r="PN9" s="700">
        <f>PM9/PK9</f>
        <v>0</v>
      </c>
      <c r="PO9" s="593">
        <f>'Proy 2022 vs 2019 sem'!CB8*PR$4</f>
        <v>8963.377199999999</v>
      </c>
      <c r="PP9" s="593">
        <f>'Proy 2022 vs 2019 sem'!CC8*PR$4</f>
        <v>7977.4057080000002</v>
      </c>
      <c r="PQ9" s="699"/>
      <c r="PR9" s="700">
        <f>PQ9/PO9</f>
        <v>0</v>
      </c>
      <c r="PS9" s="593">
        <f>'Proy 2022 vs 2019 sem'!CB8*PV$4</f>
        <v>10457.2734</v>
      </c>
      <c r="PT9" s="593">
        <f>'Proy 2022 vs 2019 sem'!CC8*PV$4</f>
        <v>9306.9733260000012</v>
      </c>
      <c r="PU9" s="699"/>
      <c r="PV9" s="700">
        <f>PU9/PS9</f>
        <v>0</v>
      </c>
      <c r="PW9" s="593">
        <f>'Proy 2022 vs 2019 sem'!CB8*PZ$4</f>
        <v>11951.169599999999</v>
      </c>
      <c r="PX9" s="593">
        <f>'Proy 2022 vs 2019 sem'!CC8*PZ$4</f>
        <v>10636.540944</v>
      </c>
      <c r="PY9" s="699"/>
      <c r="PZ9" s="700">
        <f>PY9/PW9</f>
        <v>0</v>
      </c>
      <c r="QA9" s="593">
        <f>'Proy 2022 vs 2019 sem'!CB8*QD$4</f>
        <v>16432.858199999999</v>
      </c>
      <c r="QB9" s="593">
        <f>'Proy 2022 vs 2019 sem'!CC8*QD$4</f>
        <v>14625.243798000001</v>
      </c>
      <c r="QC9" s="699"/>
      <c r="QD9" s="700">
        <f>QC9/QA9</f>
        <v>0</v>
      </c>
      <c r="QE9" s="579">
        <f>PC9+PG9+PK9+PO9+PS9+PW9+QA9</f>
        <v>74694.81</v>
      </c>
      <c r="QF9" s="574">
        <f>PD9+PH9+PL9+PP9+PT9+PX9+QB9</f>
        <v>66478.380900000004</v>
      </c>
      <c r="QG9" s="793">
        <f>PE9+PI9+PM9+PQ9+PU9+PY9+QC9</f>
        <v>0</v>
      </c>
      <c r="QH9" s="786">
        <f>QG9/QE9</f>
        <v>0</v>
      </c>
      <c r="QI9" s="593">
        <f>'Proy 2022 vs 2019 sem'!CG8*QL$4</f>
        <v>8825.6243999999988</v>
      </c>
      <c r="QJ9" s="593">
        <f>'Proy 2022 vs 2019 sem'!CH8*QL$4</f>
        <v>7943.06196</v>
      </c>
      <c r="QK9" s="699"/>
      <c r="QL9" s="700">
        <f>QK9/QI9</f>
        <v>0</v>
      </c>
      <c r="QM9" s="593">
        <f>'Proy 2022 vs 2019 sem'!CG8*QP$4</f>
        <v>8825.6243999999988</v>
      </c>
      <c r="QN9" s="593">
        <f>'Proy 2022 vs 2019 sem'!CH8*QP$4</f>
        <v>7943.06196</v>
      </c>
      <c r="QO9" s="699"/>
      <c r="QP9" s="700">
        <f>QO9/QM9</f>
        <v>0</v>
      </c>
      <c r="QQ9" s="593">
        <f>'Proy 2022 vs 2019 sem'!CG8*QT$4</f>
        <v>8825.6243999999988</v>
      </c>
      <c r="QR9" s="593">
        <f>'Proy 2022 vs 2019 sem'!CH8*QT$4</f>
        <v>7943.06196</v>
      </c>
      <c r="QS9" s="699"/>
      <c r="QT9" s="700">
        <f>QS9/QQ9</f>
        <v>0</v>
      </c>
      <c r="QU9" s="593">
        <f>'Proy 2022 vs 2019 sem'!CG8*QX$4</f>
        <v>8825.6243999999988</v>
      </c>
      <c r="QV9" s="593">
        <f>'Proy 2022 vs 2019 sem'!CH8*QX$4</f>
        <v>7943.06196</v>
      </c>
      <c r="QW9" s="699"/>
      <c r="QX9" s="700">
        <f>QW9/QU9</f>
        <v>0</v>
      </c>
      <c r="QY9" s="593">
        <f>'Proy 2022 vs 2019 sem'!CG8*RB$4</f>
        <v>10296.561799999999</v>
      </c>
      <c r="QZ9" s="593">
        <f>'Proy 2022 vs 2019 sem'!CH8*RB$4</f>
        <v>9266.9056200000014</v>
      </c>
      <c r="RA9" s="699"/>
      <c r="RB9" s="700">
        <f>RA9/QY9</f>
        <v>0</v>
      </c>
      <c r="RC9" s="593">
        <f>'Proy 2022 vs 2019 sem'!CG8*RF$4</f>
        <v>11767.4992</v>
      </c>
      <c r="RD9" s="593">
        <f>'Proy 2022 vs 2019 sem'!CH8*RF$4</f>
        <v>10590.749280000002</v>
      </c>
      <c r="RE9" s="699"/>
      <c r="RF9" s="700">
        <f>RE9/RC9</f>
        <v>0</v>
      </c>
      <c r="RG9" s="593">
        <f>'Proy 2022 vs 2019 sem'!CG8*RJ$4</f>
        <v>16180.311399999999</v>
      </c>
      <c r="RH9" s="593">
        <f>'Proy 2022 vs 2019 sem'!CH8*RJ$4</f>
        <v>14562.280260000001</v>
      </c>
      <c r="RI9" s="699"/>
      <c r="RJ9" s="700">
        <f>RI9/RG9</f>
        <v>0</v>
      </c>
      <c r="RK9" s="579">
        <f>QI9+QM9+QQ9+QU9+QY9+RC9+RG9</f>
        <v>73546.87</v>
      </c>
      <c r="RL9" s="574">
        <f>QJ9+QN9+QR9+QV9+QZ9+RD9+RH9</f>
        <v>66192.183000000005</v>
      </c>
      <c r="RM9" s="794">
        <f>QK9+QO9+QS9+QW9+RA9+RE9+RI9</f>
        <v>0</v>
      </c>
      <c r="RN9" s="786">
        <f>RM9/RK9</f>
        <v>0</v>
      </c>
      <c r="RO9" s="593">
        <f>'Proy 2022 vs 2019 sem'!CL8*RR$4</f>
        <v>9277.4292000000005</v>
      </c>
      <c r="RP9" s="593">
        <f>'Proy 2022 vs 2019 sem'!CM8*RR$4</f>
        <v>8349.6862800000017</v>
      </c>
      <c r="RQ9" s="699"/>
      <c r="RR9" s="700">
        <f>RQ9/RO9</f>
        <v>0</v>
      </c>
      <c r="RS9" s="593">
        <f>'Proy 2022 vs 2019 sem'!CL8*RV$4</f>
        <v>9277.4292000000005</v>
      </c>
      <c r="RT9" s="593">
        <f>'Proy 2022 vs 2019 sem'!CM8*RV$4</f>
        <v>8349.6862800000017</v>
      </c>
      <c r="RU9" s="699"/>
      <c r="RV9" s="700">
        <f>RU9/RS9</f>
        <v>0</v>
      </c>
      <c r="RW9" s="593">
        <f>'Proy 2022 vs 2019 sem'!CL8*RZ$4</f>
        <v>9277.4292000000005</v>
      </c>
      <c r="RX9" s="593">
        <f>'Proy 2022 vs 2019 sem'!CM8*RZ$4</f>
        <v>8349.6862800000017</v>
      </c>
      <c r="RY9" s="699"/>
      <c r="RZ9" s="700">
        <f>RY9/RW9</f>
        <v>0</v>
      </c>
      <c r="SA9" s="593">
        <f>'Proy 2022 vs 2019 sem'!CL8*SD$4</f>
        <v>9277.4292000000005</v>
      </c>
      <c r="SB9" s="593">
        <f>'Proy 2022 vs 2019 sem'!CM8*SD$4</f>
        <v>8349.6862800000017</v>
      </c>
      <c r="SC9" s="699"/>
      <c r="SD9" s="700">
        <f>SC9/SA9</f>
        <v>0</v>
      </c>
      <c r="SE9" s="593">
        <f>'Proy 2022 vs 2019 sem'!CL8*SH$4</f>
        <v>10823.667400000002</v>
      </c>
      <c r="SF9" s="593">
        <f>'Proy 2022 vs 2019 sem'!CM8*SH$4</f>
        <v>9741.3006600000026</v>
      </c>
      <c r="SG9" s="699"/>
      <c r="SH9" s="700">
        <f>SG9/SE9</f>
        <v>0</v>
      </c>
      <c r="SI9" s="593">
        <f>'Proy 2022 vs 2019 sem'!CL8*SL$4</f>
        <v>12369.9056</v>
      </c>
      <c r="SJ9" s="593">
        <f>'Proy 2022 vs 2019 sem'!CM8*SL$4</f>
        <v>11132.915040000002</v>
      </c>
      <c r="SK9" s="699"/>
      <c r="SL9" s="700">
        <f>SK9/SI9</f>
        <v>0</v>
      </c>
      <c r="SM9" s="593">
        <f>'Proy 2022 vs 2019 sem'!CL8*SP$4</f>
        <v>17008.620200000001</v>
      </c>
      <c r="SN9" s="593">
        <f>'Proy 2022 vs 2019 sem'!CM8*SP$4</f>
        <v>15307.758180000003</v>
      </c>
      <c r="SO9" s="699"/>
      <c r="SP9" s="700">
        <f>SO9/SM9</f>
        <v>0</v>
      </c>
      <c r="SQ9" s="579">
        <f>RO9+RS9+RW9+SA9+SE9+SI9+SM9</f>
        <v>77311.91</v>
      </c>
      <c r="SR9" s="574">
        <f>RP9+RT9+RX9+SB9+SF9+SJ9+SN9</f>
        <v>69580.719000000012</v>
      </c>
      <c r="SS9" s="794">
        <f>RQ9+RU9+RY9+SC9+SG9+SK9+SO9</f>
        <v>0</v>
      </c>
      <c r="ST9" s="786">
        <f>SS9/SQ9</f>
        <v>0</v>
      </c>
      <c r="SU9" s="593">
        <f>'Proy 2022 vs 2019 sem'!CQ8*SX$4</f>
        <v>13363.203599999999</v>
      </c>
      <c r="SV9" s="593">
        <f>'Proy 2022 vs 2019 sem'!CR8*SX$4</f>
        <v>12160.515276</v>
      </c>
      <c r="SW9" s="699"/>
      <c r="SX9" s="700">
        <f>SW9/SU9</f>
        <v>0</v>
      </c>
      <c r="SY9" s="593">
        <f>'Proy 2022 vs 2019 sem'!CQ8*TB$4</f>
        <v>13363.203599999999</v>
      </c>
      <c r="SZ9" s="593">
        <f>'Proy 2022 vs 2019 sem'!CR8*TB$4</f>
        <v>12160.515276</v>
      </c>
      <c r="TA9" s="699"/>
      <c r="TB9" s="700">
        <f>TA9/SY9</f>
        <v>0</v>
      </c>
      <c r="TC9" s="593">
        <f>'Proy 2022 vs 2019 sem'!CQ8*TF$4</f>
        <v>13363.203599999999</v>
      </c>
      <c r="TD9" s="593">
        <f>'Proy 2022 vs 2019 sem'!CR8*TF$4</f>
        <v>12160.515276</v>
      </c>
      <c r="TE9" s="699"/>
      <c r="TF9" s="700">
        <f>TE9/TC9</f>
        <v>0</v>
      </c>
      <c r="TG9" s="593">
        <f>'Proy 2022 vs 2019 sem'!CQ8*TJ$4</f>
        <v>13363.203599999999</v>
      </c>
      <c r="TH9" s="593">
        <f>'Proy 2022 vs 2019 sem'!CR8*TJ$4</f>
        <v>12160.515276</v>
      </c>
      <c r="TI9" s="699"/>
      <c r="TJ9" s="700">
        <f>TI9/TG9</f>
        <v>0</v>
      </c>
      <c r="TK9" s="593">
        <f>'Proy 2022 vs 2019 sem'!CQ8*TN$4</f>
        <v>15590.404200000001</v>
      </c>
      <c r="TL9" s="593">
        <f>'Proy 2022 vs 2019 sem'!CR8*TN$4</f>
        <v>14187.267822000002</v>
      </c>
      <c r="TM9" s="699"/>
      <c r="TN9" s="700">
        <f>TM9/TK9</f>
        <v>0</v>
      </c>
      <c r="TO9" s="593">
        <f>'Proy 2022 vs 2019 sem'!CQ8*TR$4</f>
        <v>17817.604800000001</v>
      </c>
      <c r="TP9" s="593">
        <f>'Proy 2022 vs 2019 sem'!CR8*TR$4</f>
        <v>16214.020368000001</v>
      </c>
      <c r="TQ9" s="699"/>
      <c r="TR9" s="700">
        <f>TQ9/TO9</f>
        <v>0</v>
      </c>
      <c r="TS9" s="593">
        <f>'Proy 2022 vs 2019 sem'!CQ8*TV$4</f>
        <v>24499.206600000001</v>
      </c>
      <c r="TT9" s="593">
        <f>'Proy 2022 vs 2019 sem'!CR8*TV$4</f>
        <v>22294.278006</v>
      </c>
      <c r="TU9" s="699"/>
      <c r="TV9" s="700">
        <f>TU9/TS9</f>
        <v>0</v>
      </c>
      <c r="TW9" s="579">
        <f>SU9+SY9+TC9+TG9+TK9+TO9+TS9</f>
        <v>111360.03</v>
      </c>
      <c r="TX9" s="574">
        <f>SV9+SZ9+TD9+TH9+TL9+TP9+TT9</f>
        <v>101337.62729999999</v>
      </c>
      <c r="TY9" s="785">
        <f>SW9+TA9+TE9+TI9+TM9+TQ9+TU9</f>
        <v>0</v>
      </c>
      <c r="TZ9" s="786">
        <f>TY9/TW9</f>
        <v>0</v>
      </c>
      <c r="UA9" s="593">
        <f>'Proy 2022 vs 2019 sem'!CZ8*UD$4</f>
        <v>12077.914799999999</v>
      </c>
      <c r="UB9" s="593">
        <f>'Proy 2022 vs 2019 sem'!DA8*UD$4</f>
        <v>10749.344171999999</v>
      </c>
      <c r="UC9" s="735"/>
      <c r="UD9" s="700">
        <f>UC9/UA9</f>
        <v>0</v>
      </c>
      <c r="UE9" s="593">
        <f>'Proy 2022 vs 2019 sem'!CZ8*UH$4</f>
        <v>12077.914799999999</v>
      </c>
      <c r="UF9" s="593">
        <f>'Proy 2022 vs 2019 sem'!DA8*UH$4</f>
        <v>10749.344171999999</v>
      </c>
      <c r="UG9" s="699"/>
      <c r="UH9" s="700">
        <f>UG9/UE9</f>
        <v>0</v>
      </c>
      <c r="UI9" s="593">
        <f>'Proy 2022 vs 2019 sem'!CZ8*UL$4</f>
        <v>12077.914799999999</v>
      </c>
      <c r="UJ9" s="593">
        <f>'Proy 2022 vs 2019 sem'!DA8*UL$4</f>
        <v>10749.344171999999</v>
      </c>
      <c r="UK9" s="699"/>
      <c r="UL9" s="700">
        <f>UK9/UI9</f>
        <v>0</v>
      </c>
      <c r="UM9" s="593">
        <f>'Proy 2022 vs 2019 sem'!CZ8*UP$4</f>
        <v>12077.914799999999</v>
      </c>
      <c r="UN9" s="593">
        <f>'Proy 2022 vs 2019 sem'!DA8*UP$4</f>
        <v>10749.344171999999</v>
      </c>
      <c r="UO9" s="699"/>
      <c r="UP9" s="700">
        <f>UO9/UM9</f>
        <v>0</v>
      </c>
      <c r="UQ9" s="593">
        <f>'Proy 2022 vs 2019 sem'!CZ8*UT$4</f>
        <v>14090.900600000001</v>
      </c>
      <c r="UR9" s="593">
        <f>'Proy 2022 vs 2019 sem'!DA8*UT$4</f>
        <v>12540.901534000001</v>
      </c>
      <c r="US9" s="699"/>
      <c r="UT9" s="700">
        <f>US9/UQ9</f>
        <v>0</v>
      </c>
      <c r="UU9" s="593">
        <f>'Proy 2022 vs 2019 sem'!CZ8*UX$4</f>
        <v>16103.886399999999</v>
      </c>
      <c r="UV9" s="593">
        <f>'Proy 2022 vs 2019 sem'!DA8*UX$4</f>
        <v>14332.458895999998</v>
      </c>
      <c r="UW9" s="699"/>
      <c r="UX9" s="700">
        <f>UW9/UU9</f>
        <v>0</v>
      </c>
      <c r="UY9" s="593">
        <f>'Proy 2022 vs 2019 sem'!CZ8*VB$4</f>
        <v>22142.843799999999</v>
      </c>
      <c r="UZ9" s="593">
        <f>'Proy 2022 vs 2019 sem'!DA8*VB$4</f>
        <v>19707.130981999999</v>
      </c>
      <c r="VA9" s="699"/>
      <c r="VB9" s="700">
        <f>VA9/UY9</f>
        <v>0</v>
      </c>
      <c r="VC9" s="579">
        <f>UA9+UE9+UI9+UM9+UQ9+UU9+UY9</f>
        <v>100649.29</v>
      </c>
      <c r="VD9" s="574">
        <f>UB9+UF9+UJ9+UN9+UR9+UV9+UZ9</f>
        <v>89577.868099999992</v>
      </c>
      <c r="VE9" s="759">
        <f>UC9+UG9+UK9+UO9+US9+UW9+VA9</f>
        <v>0</v>
      </c>
      <c r="VF9" s="761">
        <f>VE9/VC9</f>
        <v>0</v>
      </c>
      <c r="VG9" s="593">
        <f>'Proy 2022 vs 2019 sem'!DE8*VJ$4</f>
        <v>9517.8684000000012</v>
      </c>
      <c r="VH9" s="593">
        <f>'Proy 2022 vs 2019 sem'!DF8*VJ$4</f>
        <v>8470.9028760000001</v>
      </c>
      <c r="VI9" s="699"/>
      <c r="VJ9" s="700">
        <f>VI9/VG9</f>
        <v>0</v>
      </c>
      <c r="VK9" s="593">
        <f>'Proy 2022 vs 2019 sem'!DE8*VN$4</f>
        <v>9517.8684000000012</v>
      </c>
      <c r="VL9" s="593">
        <f>'Proy 2022 vs 2019 sem'!DF8*VN$4</f>
        <v>8470.9028760000001</v>
      </c>
      <c r="VM9" s="699"/>
      <c r="VN9" s="700">
        <f>VM9/VK9</f>
        <v>0</v>
      </c>
      <c r="VO9" s="593">
        <f>'Proy 2022 vs 2019 sem'!DE8*VR$4</f>
        <v>9517.8684000000012</v>
      </c>
      <c r="VP9" s="593">
        <f>'Proy 2022 vs 2019 sem'!DF8*VR$4</f>
        <v>8470.9028760000001</v>
      </c>
      <c r="VQ9" s="699"/>
      <c r="VR9" s="700">
        <f>VQ9/VO9</f>
        <v>0</v>
      </c>
      <c r="VS9" s="593">
        <f>'Proy 2022 vs 2019 sem'!DE8*VV$4</f>
        <v>9517.8684000000012</v>
      </c>
      <c r="VT9" s="593">
        <f>'Proy 2022 vs 2019 sem'!DF8*VV$4</f>
        <v>8470.9028760000001</v>
      </c>
      <c r="VU9" s="699"/>
      <c r="VV9" s="700">
        <f>VU9/VS9</f>
        <v>0</v>
      </c>
      <c r="VW9" s="593">
        <f>'Proy 2022 vs 2019 sem'!DE8*VZ$4</f>
        <v>11104.179800000002</v>
      </c>
      <c r="VX9" s="593">
        <f>'Proy 2022 vs 2019 sem'!DF8*VZ$4</f>
        <v>9882.7200220000013</v>
      </c>
      <c r="VY9" s="699"/>
      <c r="VZ9" s="700">
        <f>VY9/VW9</f>
        <v>0</v>
      </c>
      <c r="WA9" s="593">
        <f>'Proy 2022 vs 2019 sem'!DE8*WD$4</f>
        <v>12690.491200000002</v>
      </c>
      <c r="WB9" s="593">
        <f>'Proy 2022 vs 2019 sem'!DF8*WD$4</f>
        <v>11294.537168000001</v>
      </c>
      <c r="WC9" s="699"/>
      <c r="WD9" s="700">
        <f>WC9/WA9</f>
        <v>0</v>
      </c>
      <c r="WE9" s="593">
        <f>'Proy 2022 vs 2019 sem'!DE8*WH$4</f>
        <v>17449.4254</v>
      </c>
      <c r="WF9" s="593">
        <f>'Proy 2022 vs 2019 sem'!DF8*WH$4</f>
        <v>15529.988606000001</v>
      </c>
      <c r="WG9" s="699"/>
      <c r="WH9" s="700">
        <f>WG9/WE9</f>
        <v>0</v>
      </c>
      <c r="WI9" s="579">
        <f>VG9+VK9+VO9+VS9+VW9+WA9+WE9</f>
        <v>79315.570000000007</v>
      </c>
      <c r="WJ9" s="574">
        <f>VH9+VL9+VP9+VT9+VX9+WB9+WF9</f>
        <v>70590.857300000003</v>
      </c>
      <c r="WK9" s="765">
        <f>VI9+VM9+VQ9+VU9+VY9+WC9+WG9</f>
        <v>0</v>
      </c>
      <c r="WL9" s="761">
        <f>WK9/WI9</f>
        <v>0</v>
      </c>
      <c r="WM9" s="593">
        <f>'Proy 2022 vs 2019 sem'!DJ8*WP$4</f>
        <v>8912.0435999999991</v>
      </c>
      <c r="WN9" s="593">
        <f>'Proy 2022 vs 2019 sem'!DK8*WP$4</f>
        <v>7931.7188040000001</v>
      </c>
      <c r="WO9" s="699"/>
      <c r="WP9" s="700">
        <f>WO9/WM9</f>
        <v>0</v>
      </c>
      <c r="WQ9" s="593">
        <f>'Proy 2022 vs 2019 sem'!DJ8*WT$4</f>
        <v>8912.0435999999991</v>
      </c>
      <c r="WR9" s="593">
        <f>'Proy 2022 vs 2019 sem'!DK8*WT$4</f>
        <v>7931.7188040000001</v>
      </c>
      <c r="WS9" s="699"/>
      <c r="WT9" s="700">
        <f>WS9/WQ9</f>
        <v>0</v>
      </c>
      <c r="WU9" s="593">
        <f>'Proy 2022 vs 2019 sem'!DJ8*WX$4</f>
        <v>8912.0435999999991</v>
      </c>
      <c r="WV9" s="593">
        <f>'Proy 2022 vs 2019 sem'!DK8*WX$4</f>
        <v>7931.7188040000001</v>
      </c>
      <c r="WW9" s="699"/>
      <c r="WX9" s="700">
        <f>WW9/WU9</f>
        <v>0</v>
      </c>
      <c r="WY9" s="593">
        <f>'Proy 2022 vs 2019 sem'!DJ8*XB$4</f>
        <v>8912.0435999999991</v>
      </c>
      <c r="WZ9" s="593">
        <f>'Proy 2022 vs 2019 sem'!DK8*XB$4</f>
        <v>7931.7188040000001</v>
      </c>
      <c r="XA9" s="699"/>
      <c r="XB9" s="700">
        <f>XA9/WY9</f>
        <v>0</v>
      </c>
      <c r="XC9" s="593">
        <f>'Proy 2022 vs 2019 sem'!DJ8*XF$4</f>
        <v>10397.3842</v>
      </c>
      <c r="XD9" s="593">
        <f>'Proy 2022 vs 2019 sem'!DK8*XF$4</f>
        <v>9253.6719380000013</v>
      </c>
      <c r="XE9" s="699"/>
      <c r="XF9" s="700">
        <f>XE9/XC9</f>
        <v>0</v>
      </c>
      <c r="XG9" s="593">
        <f>'Proy 2022 vs 2019 sem'!DJ8*XJ$4</f>
        <v>11882.7248</v>
      </c>
      <c r="XH9" s="593">
        <f>'Proy 2022 vs 2019 sem'!DK8*XJ$4</f>
        <v>10575.625072000001</v>
      </c>
      <c r="XI9" s="699"/>
      <c r="XJ9" s="700">
        <f>XI9/XG9</f>
        <v>0</v>
      </c>
      <c r="XK9" s="593">
        <f>'Proy 2022 vs 2019 sem'!DJ8*XN$4</f>
        <v>16338.7466</v>
      </c>
      <c r="XL9" s="593">
        <f>'Proy 2022 vs 2019 sem'!DK8*XN$4</f>
        <v>14541.484474000001</v>
      </c>
      <c r="XM9" s="699"/>
      <c r="XN9" s="700">
        <f>XM9/XK9</f>
        <v>0</v>
      </c>
      <c r="XO9" s="579">
        <f>WM9+WQ9+WU9+WY9+XC9+XG9+XK9</f>
        <v>74267.03</v>
      </c>
      <c r="XP9" s="574">
        <f>WN9+WR9+WV9+WZ9+XD9+XH9+XL9</f>
        <v>66097.656700000007</v>
      </c>
      <c r="XQ9" s="765">
        <f>WO9+WS9+WW9+XA9+XE9+XI9+XM9</f>
        <v>0</v>
      </c>
      <c r="XR9" s="761">
        <f>XQ9/XO9</f>
        <v>0</v>
      </c>
      <c r="XS9" s="593">
        <f>'Proy 2022 vs 2019 sem'!DO8*XV$4</f>
        <v>9059.3387999999995</v>
      </c>
      <c r="XT9" s="593">
        <f>'Proy 2022 vs 2019 sem'!DP8*XV$4</f>
        <v>8153.4049200000009</v>
      </c>
      <c r="XU9" s="699"/>
      <c r="XV9" s="700">
        <f>XU9/XS9</f>
        <v>0</v>
      </c>
      <c r="XW9" s="593">
        <f>'Proy 2022 vs 2019 sem'!DO8*XZ$4</f>
        <v>9059.3387999999995</v>
      </c>
      <c r="XX9" s="593">
        <f>'Proy 2022 vs 2019 sem'!DP8*XZ$4</f>
        <v>8153.4049200000009</v>
      </c>
      <c r="XY9" s="699"/>
      <c r="XZ9" s="700">
        <f>XY9/XW9</f>
        <v>0</v>
      </c>
      <c r="YA9" s="593">
        <f>'Proy 2022 vs 2019 sem'!DO8*YD$4</f>
        <v>9059.3387999999995</v>
      </c>
      <c r="YB9" s="593">
        <f>'Proy 2022 vs 2019 sem'!DP8*YD$4</f>
        <v>8153.4049200000009</v>
      </c>
      <c r="YC9" s="699"/>
      <c r="YD9" s="700">
        <f>YC9/YA9</f>
        <v>0</v>
      </c>
      <c r="YE9" s="593">
        <f>'Proy 2022 vs 2019 sem'!DO8*YH$4</f>
        <v>9059.3387999999995</v>
      </c>
      <c r="YF9" s="593">
        <f>'Proy 2022 vs 2019 sem'!DP8*YH$4</f>
        <v>8153.4049200000009</v>
      </c>
      <c r="YG9" s="699"/>
      <c r="YH9" s="700">
        <f>YG9/YE9</f>
        <v>0</v>
      </c>
      <c r="YI9" s="593">
        <f>'Proy 2022 vs 2019 sem'!DO8*YL$4</f>
        <v>10569.228600000002</v>
      </c>
      <c r="YJ9" s="593">
        <f>'Proy 2022 vs 2019 sem'!DP8*YL$4</f>
        <v>9512.3057400000034</v>
      </c>
      <c r="YK9" s="699"/>
      <c r="YL9" s="700">
        <f>YK9/YI9</f>
        <v>0</v>
      </c>
      <c r="YM9" s="593">
        <f>'Proy 2022 vs 2019 sem'!DO8*YP$4</f>
        <v>12079.118400000001</v>
      </c>
      <c r="YN9" s="593">
        <f>'Proy 2022 vs 2019 sem'!DP8*YP$4</f>
        <v>10871.206560000002</v>
      </c>
      <c r="YO9" s="699"/>
      <c r="YP9" s="700">
        <f>YO9/YM9</f>
        <v>0</v>
      </c>
      <c r="YQ9" s="593">
        <f>'Proy 2022 vs 2019 sem'!DO8*YT$4</f>
        <v>16608.787800000002</v>
      </c>
      <c r="YR9" s="593">
        <f>'Proy 2022 vs 2019 sem'!DP8*YT$4</f>
        <v>14947.909020000003</v>
      </c>
      <c r="YS9" s="699"/>
      <c r="YT9" s="700">
        <f>YS9/YQ9</f>
        <v>0</v>
      </c>
      <c r="YU9" s="579">
        <f>XS9+XW9+YA9+YE9+YI9+YM9+YQ9</f>
        <v>75494.490000000005</v>
      </c>
      <c r="YV9" s="574">
        <f>XT9+XX9+YB9+YF9+YJ9+YN9+YR9</f>
        <v>67945.041000000012</v>
      </c>
      <c r="YW9" s="770">
        <f>XU9+XY9+YC9+YG9+YK9+YO9+YS9</f>
        <v>0</v>
      </c>
      <c r="YX9" s="761">
        <f>YW9/YU9</f>
        <v>0</v>
      </c>
      <c r="YY9" s="931">
        <f>'Proy 2022 vs 2019 sem'!DX8*ZB$4</f>
        <v>9107.4599999999991</v>
      </c>
      <c r="YZ9" s="931">
        <f>'Proy 2022 vs 2019 sem'!DY8*ZB$4</f>
        <v>8105.6393999999991</v>
      </c>
      <c r="ZA9" s="735"/>
      <c r="ZB9" s="700">
        <f>ZA9/YY9</f>
        <v>0</v>
      </c>
      <c r="ZC9" s="593">
        <f>'Proy 2022 vs 2019 sem'!DX8*ZF$4</f>
        <v>9107.4599999999991</v>
      </c>
      <c r="ZD9" s="593">
        <f>'Proy 2022 vs 2019 sem'!DY8*ZF$4</f>
        <v>8105.6393999999991</v>
      </c>
      <c r="ZE9" s="735"/>
      <c r="ZF9" s="700">
        <f>ZE9/ZC9</f>
        <v>0</v>
      </c>
      <c r="ZG9" s="593">
        <f>'Proy 2022 vs 2019 sem'!DX8*ZJ$4</f>
        <v>9107.4599999999991</v>
      </c>
      <c r="ZH9" s="593">
        <f>'Proy 2022 vs 2019 sem'!DY8*ZJ$4</f>
        <v>8105.6393999999991</v>
      </c>
      <c r="ZI9" s="735"/>
      <c r="ZJ9" s="700">
        <f>ZI9/ZG9</f>
        <v>0</v>
      </c>
      <c r="ZK9" s="593">
        <f>'Proy 2022 vs 2019 sem'!DX8*ZN$4</f>
        <v>9107.4599999999991</v>
      </c>
      <c r="ZL9" s="593">
        <f>'Proy 2022 vs 2019 sem'!DY8*ZN$4</f>
        <v>8105.6393999999991</v>
      </c>
      <c r="ZM9" s="735"/>
      <c r="ZN9" s="700">
        <f>ZM9/ZK9</f>
        <v>0</v>
      </c>
      <c r="ZO9" s="593">
        <f>'Proy 2022 vs 2019 sem'!DX8*ZR$4</f>
        <v>10625.37</v>
      </c>
      <c r="ZP9" s="593">
        <f>'Proy 2022 vs 2019 sem'!DY8*ZR$4</f>
        <v>9456.5792999999994</v>
      </c>
      <c r="ZQ9" s="735"/>
      <c r="ZR9" s="700">
        <f>ZQ9/ZO9</f>
        <v>0</v>
      </c>
      <c r="ZS9" s="593">
        <f>'Proy 2022 vs 2019 sem'!DX8*ZV$4</f>
        <v>12143.28</v>
      </c>
      <c r="ZT9" s="593">
        <f>'Proy 2022 vs 2019 sem'!DY8*ZV$4</f>
        <v>10807.519199999999</v>
      </c>
      <c r="ZU9" s="735"/>
      <c r="ZV9" s="700">
        <f>ZU9/ZS9</f>
        <v>0</v>
      </c>
      <c r="ZW9" s="593">
        <f>'Proy 2022 vs 2019 sem'!DX8*ZZ$4</f>
        <v>16697.009999999998</v>
      </c>
      <c r="ZX9" s="593">
        <f>'Proy 2022 vs 2019 sem'!DY8*ZZ$4</f>
        <v>14860.338899999999</v>
      </c>
      <c r="ZY9" s="735"/>
      <c r="ZZ9" s="700">
        <f>ZY9/ZW9</f>
        <v>0</v>
      </c>
      <c r="AAA9" s="579">
        <f>YY9+ZC9+ZG9+ZK9+ZO9+ZS9+ZW9</f>
        <v>75895.5</v>
      </c>
      <c r="AAB9" s="574">
        <f>YZ9+ZD9+ZH9+ZL9+ZP9+ZT9+ZX9</f>
        <v>67546.994999999995</v>
      </c>
      <c r="AAC9" s="729">
        <f>ZA9+ZE9+ZI9+ZM9+ZQ9+ZU9+ZY9</f>
        <v>0</v>
      </c>
      <c r="AAD9" s="711">
        <f>AAC9/AAA9</f>
        <v>0</v>
      </c>
      <c r="AAE9" s="593">
        <f>'Proy 2022 vs 2019 sem'!EC8*AAH$4</f>
        <v>9787.4867999999988</v>
      </c>
      <c r="AAF9" s="593">
        <f>'Proy 2022 vs 2019 sem'!ED8*AAH$4</f>
        <v>8515.1135159999994</v>
      </c>
      <c r="AAG9" s="699"/>
      <c r="AAH9" s="700">
        <f>AAG9/AAE9</f>
        <v>0</v>
      </c>
      <c r="AAI9" s="593">
        <f>'Proy 2022 vs 2019 sem'!EC8*AAL$4</f>
        <v>9787.4867999999988</v>
      </c>
      <c r="AAJ9" s="593">
        <f>'Proy 2022 vs 2019 sem'!ED8*AAL$4</f>
        <v>8515.1135159999994</v>
      </c>
      <c r="AAK9" s="699"/>
      <c r="AAL9" s="700">
        <f>AAK9/AAI9</f>
        <v>0</v>
      </c>
      <c r="AAM9" s="593">
        <f>'Proy 2022 vs 2019 sem'!EC8*AAP$4</f>
        <v>9787.4867999999988</v>
      </c>
      <c r="AAN9" s="593">
        <f>'Proy 2022 vs 2019 sem'!ED8*AAP$4</f>
        <v>8515.1135159999994</v>
      </c>
      <c r="AAO9" s="699"/>
      <c r="AAP9" s="700">
        <f>AAO9/AAM9</f>
        <v>0</v>
      </c>
      <c r="AAQ9" s="593">
        <f>'Proy 2022 vs 2019 sem'!EC8*AAT$4</f>
        <v>9787.4867999999988</v>
      </c>
      <c r="AAR9" s="593">
        <f>'Proy 2022 vs 2019 sem'!ED8*AAT$4</f>
        <v>8515.1135159999994</v>
      </c>
      <c r="AAS9" s="699"/>
      <c r="AAT9" s="700">
        <f>AAS9/AAQ9</f>
        <v>0</v>
      </c>
      <c r="AAU9" s="593">
        <f>'Proy 2022 vs 2019 sem'!EC8*AAX$4</f>
        <v>11418.734600000002</v>
      </c>
      <c r="AAV9" s="593">
        <f>'Proy 2022 vs 2019 sem'!ED8*AAX$4</f>
        <v>9934.2991020000009</v>
      </c>
      <c r="AAW9" s="699"/>
      <c r="AAX9" s="700">
        <f>AAW9/AAU9</f>
        <v>0</v>
      </c>
      <c r="AAY9" s="593">
        <f>'Proy 2022 vs 2019 sem'!EC8*ABB$4</f>
        <v>13049.982400000001</v>
      </c>
      <c r="AAZ9" s="593">
        <f>'Proy 2022 vs 2019 sem'!ED8*ABB$4</f>
        <v>11353.484687999999</v>
      </c>
      <c r="ABA9" s="699"/>
      <c r="ABB9" s="700">
        <f>ABA9/AAY9</f>
        <v>0</v>
      </c>
      <c r="ABC9" s="593">
        <f>'Proy 2022 vs 2019 sem'!EC8*ABF$4</f>
        <v>17943.7258</v>
      </c>
      <c r="ABD9" s="593">
        <f>'Proy 2022 vs 2019 sem'!ED8*ABF$4</f>
        <v>15611.041445999999</v>
      </c>
      <c r="ABE9" s="699"/>
      <c r="ABF9" s="700">
        <f>ABE9/ABC9</f>
        <v>0</v>
      </c>
      <c r="ABG9" s="579">
        <f>AAE9+AAI9+AAM9+AAQ9+AAU9+AAY9+ABC9</f>
        <v>81562.39</v>
      </c>
      <c r="ABH9" s="574">
        <f>AAF9+AAJ9+AAN9+AAR9+AAV9+AAZ9+ABD9</f>
        <v>70959.279299999995</v>
      </c>
      <c r="ABI9" s="730">
        <f>AAG9+AAK9+AAO9+AAS9+AAW9+ABA9+ABE9</f>
        <v>0</v>
      </c>
      <c r="ABJ9" s="711">
        <f>ABI9/ABG9</f>
        <v>0</v>
      </c>
      <c r="ABK9" s="593">
        <f>'Proy 2022 vs 2019 sem'!EH8*ABN$4</f>
        <v>10743.6036</v>
      </c>
      <c r="ABL9" s="593">
        <f>'Proy 2022 vs 2019 sem'!EI8*ABN$4</f>
        <v>9561.8072039999988</v>
      </c>
      <c r="ABM9" s="699"/>
      <c r="ABN9" s="700">
        <f>ABM9/ABK9</f>
        <v>0</v>
      </c>
      <c r="ABO9" s="593">
        <f>'Proy 2022 vs 2019 sem'!EH8*ABR$4</f>
        <v>10743.6036</v>
      </c>
      <c r="ABP9" s="593">
        <f>'Proy 2022 vs 2019 sem'!EI8*ABR$4</f>
        <v>9561.8072039999988</v>
      </c>
      <c r="ABQ9" s="699"/>
      <c r="ABR9" s="700">
        <f>ABQ9/ABO9</f>
        <v>0</v>
      </c>
      <c r="ABS9" s="593">
        <f>'Proy 2022 vs 2019 sem'!EH8*ABV$4</f>
        <v>10743.6036</v>
      </c>
      <c r="ABT9" s="593">
        <f>'Proy 2022 vs 2019 sem'!EI8*ABV$4</f>
        <v>9561.8072039999988</v>
      </c>
      <c r="ABU9" s="699"/>
      <c r="ABV9" s="700">
        <f>ABU9/ABS9</f>
        <v>0</v>
      </c>
      <c r="ABW9" s="593">
        <f>'Proy 2022 vs 2019 sem'!EH8*ABZ$4</f>
        <v>10743.6036</v>
      </c>
      <c r="ABX9" s="593">
        <f>'Proy 2022 vs 2019 sem'!EI8*ABZ$4</f>
        <v>9561.8072039999988</v>
      </c>
      <c r="ABY9" s="699"/>
      <c r="ABZ9" s="700">
        <f>ABY9/ABW9</f>
        <v>0</v>
      </c>
      <c r="ACA9" s="593">
        <f>'Proy 2022 vs 2019 sem'!EH8*ACD$4</f>
        <v>12534.2042</v>
      </c>
      <c r="ACB9" s="593">
        <f>'Proy 2022 vs 2019 sem'!EI8*ACD$4</f>
        <v>11155.441738000001</v>
      </c>
      <c r="ACC9" s="699"/>
      <c r="ACD9" s="700">
        <f>ACC9/ACA9</f>
        <v>0</v>
      </c>
      <c r="ACE9" s="593">
        <f>'Proy 2022 vs 2019 sem'!EH8*ACH$4</f>
        <v>14324.8048</v>
      </c>
      <c r="ACF9" s="593">
        <f>'Proy 2022 vs 2019 sem'!EI8*ACH$4</f>
        <v>12749.076272</v>
      </c>
      <c r="ACG9" s="699"/>
      <c r="ACH9" s="700">
        <f>ACG9/ACE9</f>
        <v>0</v>
      </c>
      <c r="ACI9" s="593">
        <f>'Proy 2022 vs 2019 sem'!EH8*ACL$4</f>
        <v>19696.606599999999</v>
      </c>
      <c r="ACJ9" s="593">
        <f>'Proy 2022 vs 2019 sem'!EI8*ACL$4</f>
        <v>17529.979874000001</v>
      </c>
      <c r="ACK9" s="699"/>
      <c r="ACL9" s="700">
        <f>ACK9/ACI9</f>
        <v>0</v>
      </c>
      <c r="ACM9" s="579">
        <f>ABK9+ABO9+ABS9+ABW9+ACA9+ACE9+ACI9</f>
        <v>89530.03</v>
      </c>
      <c r="ACN9" s="574">
        <f>ABL9+ABP9+ABT9+ABX9+ACB9+ACF9+ACJ9</f>
        <v>79681.726699999999</v>
      </c>
      <c r="ACO9" s="730">
        <f>ABM9+ABQ9+ABU9+ABY9+ACC9+ACG9+ACK9</f>
        <v>0</v>
      </c>
      <c r="ACP9" s="711">
        <f>ACO9/ACM9</f>
        <v>0</v>
      </c>
      <c r="ACQ9" s="593">
        <f>'Proy 2022 vs 2019 sem'!EM8*ACT$4</f>
        <v>11427.546</v>
      </c>
      <c r="ACR9" s="593">
        <f>'Proy 2022 vs 2019 sem'!EN8*ACT$4</f>
        <v>10627.61778</v>
      </c>
      <c r="ACS9" s="699"/>
      <c r="ACT9" s="700">
        <f>ACS9/ACQ9</f>
        <v>0</v>
      </c>
      <c r="ACU9" s="593">
        <f>'Proy 2022 vs 2019 sem'!EM8*ACX$4</f>
        <v>11427.546</v>
      </c>
      <c r="ACV9" s="593">
        <f>'Proy 2022 vs 2019 sem'!EN8*ACX$4</f>
        <v>10627.61778</v>
      </c>
      <c r="ACW9" s="699"/>
      <c r="ACX9" s="700">
        <f>ACW9/ACU9</f>
        <v>0</v>
      </c>
      <c r="ACY9" s="593">
        <f>'Proy 2022 vs 2019 sem'!EM8*ADB$4</f>
        <v>11427.546</v>
      </c>
      <c r="ACZ9" s="593">
        <f>'Proy 2022 vs 2019 sem'!EN8*ADB$4</f>
        <v>10627.61778</v>
      </c>
      <c r="ADA9" s="699"/>
      <c r="ADB9" s="700">
        <f>ADA9/ACY9</f>
        <v>0</v>
      </c>
      <c r="ADC9" s="593">
        <f>'Proy 2022 vs 2019 sem'!EM8*ADF$4</f>
        <v>11427.546</v>
      </c>
      <c r="ADD9" s="593">
        <f>'Proy 2022 vs 2019 sem'!EN8*ADF$4</f>
        <v>10627.61778</v>
      </c>
      <c r="ADE9" s="699"/>
      <c r="ADF9" s="700">
        <f>ADE9/ADC9</f>
        <v>0</v>
      </c>
      <c r="ADG9" s="593">
        <f>'Proy 2022 vs 2019 sem'!EM8*ADJ$4</f>
        <v>13332.137000000002</v>
      </c>
      <c r="ADH9" s="593">
        <f>'Proy 2022 vs 2019 sem'!EN8*ADJ$4</f>
        <v>12398.887410000003</v>
      </c>
      <c r="ADI9" s="699"/>
      <c r="ADJ9" s="700">
        <f>ADI9/ADG9</f>
        <v>0</v>
      </c>
      <c r="ADK9" s="593">
        <f>'Proy 2022 vs 2019 sem'!EM8*ADN$4</f>
        <v>15236.728000000001</v>
      </c>
      <c r="ADL9" s="593">
        <f>'Proy 2022 vs 2019 sem'!EN8*ADN$4</f>
        <v>14170.157040000002</v>
      </c>
      <c r="ADM9" s="699"/>
      <c r="ADN9" s="700">
        <f>ADM9/ADK9</f>
        <v>0</v>
      </c>
      <c r="ADO9" s="593">
        <f>'Proy 2022 vs 2019 sem'!EM8*ADR$4</f>
        <v>20950.501</v>
      </c>
      <c r="ADP9" s="593">
        <f>'Proy 2022 vs 2019 sem'!EN8*ADR$4</f>
        <v>19483.965930000002</v>
      </c>
      <c r="ADQ9" s="699"/>
      <c r="ADR9" s="700">
        <f>ADQ9/ADO9</f>
        <v>0</v>
      </c>
      <c r="ADS9" s="579">
        <f>ACQ9+ACU9+ACY9+ADC9+ADG9+ADK9+ADO9</f>
        <v>95229.55</v>
      </c>
      <c r="ADT9" s="574">
        <f>ACR9+ACV9+ACZ9+ADD9+ADH9+ADL9+ADP9</f>
        <v>88563.481500000009</v>
      </c>
      <c r="ADU9" s="710">
        <f>ACS9+ACW9+ADA9+ADE9+ADI9+ADM9+ADQ9</f>
        <v>0</v>
      </c>
      <c r="ADV9" s="711">
        <f>ADU9/ADS9</f>
        <v>0</v>
      </c>
      <c r="ADW9" s="593">
        <f>'Proy 2022 vs 2019 sem'!ER8*ADZ$4</f>
        <v>10734.5484</v>
      </c>
      <c r="ADX9" s="593">
        <f>'Proy 2022 vs 2019 sem'!ES8*ADZ$4</f>
        <v>9983.1300119999996</v>
      </c>
      <c r="ADY9" s="699"/>
      <c r="ADZ9" s="700">
        <f>ADY9/ADW9</f>
        <v>0</v>
      </c>
      <c r="AEA9" s="593">
        <f>'Proy 2022 vs 2019 sem'!ER8*AED$4</f>
        <v>10734.5484</v>
      </c>
      <c r="AEB9" s="593">
        <f>'Proy 2022 vs 2019 sem'!ES8*AED$4</f>
        <v>9983.1300119999996</v>
      </c>
      <c r="AEC9" s="699"/>
      <c r="AED9" s="700">
        <f>AEC9/AEA9</f>
        <v>0</v>
      </c>
      <c r="AEE9" s="593">
        <f>'Proy 2022 vs 2019 sem'!ER8*AEH$4</f>
        <v>10734.5484</v>
      </c>
      <c r="AEF9" s="593">
        <f>'Proy 2022 vs 2019 sem'!ES8*AEH$4</f>
        <v>9983.1300119999996</v>
      </c>
      <c r="AEG9" s="699"/>
      <c r="AEH9" s="700">
        <f>AEG9/AEE9</f>
        <v>0</v>
      </c>
      <c r="AEI9" s="593">
        <f>'Proy 2022 vs 2019 sem'!ER8*AEL$4</f>
        <v>10734.5484</v>
      </c>
      <c r="AEJ9" s="593">
        <f>'Proy 2022 vs 2019 sem'!ES8*AEL$4</f>
        <v>9983.1300119999996</v>
      </c>
      <c r="AEK9" s="699"/>
      <c r="AEL9" s="700">
        <f>AEK9/AEI9</f>
        <v>0</v>
      </c>
      <c r="AEM9" s="593">
        <f>'Proy 2022 vs 2019 sem'!ER8*AEP$4</f>
        <v>12523.639800000003</v>
      </c>
      <c r="AEN9" s="593">
        <f>'Proy 2022 vs 2019 sem'!ES8*AEP$4</f>
        <v>11646.985014000002</v>
      </c>
      <c r="AEO9" s="699"/>
      <c r="AEP9" s="700">
        <f>AEO9/AEM9</f>
        <v>0</v>
      </c>
      <c r="AEQ9" s="593">
        <f>'Proy 2022 vs 2019 sem'!ER8*AET$4</f>
        <v>14312.731200000002</v>
      </c>
      <c r="AER9" s="593">
        <f>'Proy 2022 vs 2019 sem'!ES8*AET$4</f>
        <v>13310.840016000002</v>
      </c>
      <c r="AES9" s="699"/>
      <c r="AET9" s="700">
        <f>AES9/AEQ9</f>
        <v>0</v>
      </c>
      <c r="AEU9" s="593">
        <f>'Proy 2022 vs 2019 sem'!ER8*AEX$4</f>
        <v>19680.005400000002</v>
      </c>
      <c r="AEV9" s="593">
        <f>'Proy 2022 vs 2019 sem'!ES8*AEX$4</f>
        <v>18302.405022000003</v>
      </c>
      <c r="AEW9" s="699"/>
      <c r="AEX9" s="700">
        <f>AEW9/AEU9</f>
        <v>0</v>
      </c>
      <c r="AEY9" s="579">
        <f>ADW9+AEA9+AEE9+AEI9+AEM9+AEQ9+AEU9</f>
        <v>89454.57</v>
      </c>
      <c r="AEZ9" s="574">
        <f>ADX9+AEB9+AEF9+AEJ9+AEN9+AER9+AEV9</f>
        <v>83192.750100000005</v>
      </c>
      <c r="AFA9" s="710">
        <f>ADY9+AEC9+AEG9+AEK9+AEO9+AES9+AEW9</f>
        <v>0</v>
      </c>
      <c r="AFB9" s="711">
        <f>AFA9/AEY9</f>
        <v>0</v>
      </c>
      <c r="AFC9" s="593">
        <f>'Proy 2022 vs 2019 sem'!FA8*AFF$4</f>
        <v>8939.1743999999999</v>
      </c>
      <c r="AFD9" s="593">
        <f>'Proy 2022 vs 2019 sem'!FB8*AFF$4</f>
        <v>7866.4734719999988</v>
      </c>
      <c r="AFE9" s="735"/>
      <c r="AFF9" s="700">
        <f>AFE9/AFC9</f>
        <v>0</v>
      </c>
      <c r="AFG9" s="593">
        <f>'Proy 2022 vs 2019 sem'!FA8*AFJ$4</f>
        <v>8939.1743999999999</v>
      </c>
      <c r="AFH9" s="593">
        <f>'Proy 2022 vs 2019 sem'!FB8*AFJ$4</f>
        <v>7866.4734719999988</v>
      </c>
      <c r="AFI9" s="699"/>
      <c r="AFJ9" s="700">
        <f>AFI9/AFG9</f>
        <v>0</v>
      </c>
      <c r="AFK9" s="593">
        <f>'Proy 2022 vs 2019 sem'!FA8*AFN$4</f>
        <v>8939.1743999999999</v>
      </c>
      <c r="AFL9" s="593">
        <f>'Proy 2022 vs 2019 sem'!FB8*AFN$4</f>
        <v>7866.4734719999988</v>
      </c>
      <c r="AFM9" s="699"/>
      <c r="AFN9" s="700">
        <f>AFM9/AFK9</f>
        <v>0</v>
      </c>
      <c r="AFO9" s="593">
        <f>'Proy 2022 vs 2019 sem'!FA8*AFR$4</f>
        <v>8939.1743999999999</v>
      </c>
      <c r="AFP9" s="593">
        <f>'Proy 2022 vs 2019 sem'!FB8*AFR$4</f>
        <v>7866.4734719999988</v>
      </c>
      <c r="AFQ9" s="699"/>
      <c r="AFR9" s="700">
        <f>AFQ9/AFO9</f>
        <v>0</v>
      </c>
      <c r="AFS9" s="593">
        <f>'Proy 2022 vs 2019 sem'!FA8*AFV$4</f>
        <v>10429.0368</v>
      </c>
      <c r="AFT9" s="593">
        <f>'Proy 2022 vs 2019 sem'!FB8*AFV$4</f>
        <v>9177.5523840000005</v>
      </c>
      <c r="AFU9" s="699"/>
      <c r="AFV9" s="700">
        <f>AFU9/AFS9</f>
        <v>0</v>
      </c>
      <c r="AFW9" s="593">
        <f>'Proy 2022 vs 2019 sem'!FA8*AFZ$4</f>
        <v>11918.8992</v>
      </c>
      <c r="AFX9" s="593">
        <f>'Proy 2022 vs 2019 sem'!FB8*AFZ$4</f>
        <v>10488.631296</v>
      </c>
      <c r="AFY9" s="699"/>
      <c r="AFZ9" s="700">
        <f>AFY9/AFW9</f>
        <v>0</v>
      </c>
      <c r="AGA9" s="593">
        <f>'Proy 2022 vs 2019 sem'!FA8*AGD$4</f>
        <v>16388.486399999998</v>
      </c>
      <c r="AGB9" s="593">
        <f>'Proy 2022 vs 2019 sem'!FB8*AGD$4</f>
        <v>14421.868031999998</v>
      </c>
      <c r="AGC9" s="699"/>
      <c r="AGD9" s="700">
        <f>AGC9/AGA9</f>
        <v>0</v>
      </c>
      <c r="AGE9" s="579">
        <f>AFC9+AFG9+AFK9+AFO9+AFS9+AFW9+AGA9</f>
        <v>74493.119999999995</v>
      </c>
      <c r="AGF9" s="574">
        <f>AFD9+AFH9+AFL9+AFP9+AFT9+AFX9+AGB9</f>
        <v>65553.945599999992</v>
      </c>
      <c r="AGG9" s="759">
        <f>AFE9+AFI9+AFM9+AFQ9+AFU9+AFY9+AGC9</f>
        <v>0</v>
      </c>
      <c r="AGH9" s="761">
        <f>AGG9/AGE9</f>
        <v>0</v>
      </c>
      <c r="AGI9" s="593">
        <f>'Proy 2022 vs 2019 sem'!FF8*AGL$4</f>
        <v>9068.9351999999999</v>
      </c>
      <c r="AGJ9" s="593">
        <f>'Proy 2022 vs 2019 sem'!FG8*AGL$4</f>
        <v>7980.6629759999996</v>
      </c>
      <c r="AGK9" s="699"/>
      <c r="AGL9" s="700">
        <f>AGK9/AGI9</f>
        <v>0</v>
      </c>
      <c r="AGM9" s="593">
        <f>'Proy 2022 vs 2019 sem'!FF8*AGP$4</f>
        <v>9068.9351999999999</v>
      </c>
      <c r="AGN9" s="593">
        <f>'Proy 2022 vs 2019 sem'!FG8*AGP$4</f>
        <v>7980.6629759999996</v>
      </c>
      <c r="AGO9" s="699"/>
      <c r="AGP9" s="700">
        <f>AGO9/AGM9</f>
        <v>0</v>
      </c>
      <c r="AGQ9" s="593">
        <f>'Proy 2022 vs 2019 sem'!FF8*AGT$4</f>
        <v>9068.9351999999999</v>
      </c>
      <c r="AGR9" s="593">
        <f>'Proy 2022 vs 2019 sem'!FG8*AGT$4</f>
        <v>7980.6629759999996</v>
      </c>
      <c r="AGS9" s="699"/>
      <c r="AGT9" s="700">
        <f>AGS9/AGQ9</f>
        <v>0</v>
      </c>
      <c r="AGU9" s="593">
        <f>'Proy 2022 vs 2019 sem'!FF8*AGX$4</f>
        <v>9068.9351999999999</v>
      </c>
      <c r="AGV9" s="593">
        <f>'Proy 2022 vs 2019 sem'!FG8*AGX$4</f>
        <v>7980.6629759999996</v>
      </c>
      <c r="AGW9" s="699"/>
      <c r="AGX9" s="700">
        <f>AGW9/AGU9</f>
        <v>0</v>
      </c>
      <c r="AGY9" s="593">
        <f>'Proy 2022 vs 2019 sem'!FF8*AHB$4</f>
        <v>10580.424400000002</v>
      </c>
      <c r="AGZ9" s="593">
        <f>'Proy 2022 vs 2019 sem'!FG8*AHB$4</f>
        <v>9310.7734720000008</v>
      </c>
      <c r="AHA9" s="699"/>
      <c r="AHB9" s="700">
        <f>AHA9/AGY9</f>
        <v>0</v>
      </c>
      <c r="AHC9" s="593">
        <f>'Proy 2022 vs 2019 sem'!FF8*AHF$4</f>
        <v>12091.913600000002</v>
      </c>
      <c r="AHD9" s="593">
        <f>'Proy 2022 vs 2019 sem'!FG8*AHF$4</f>
        <v>10640.883968</v>
      </c>
      <c r="AHE9" s="699"/>
      <c r="AHF9" s="700">
        <f>AHE9/AHC9</f>
        <v>0</v>
      </c>
      <c r="AHG9" s="593">
        <f>'Proy 2022 vs 2019 sem'!FF8*AHJ$4</f>
        <v>16626.3812</v>
      </c>
      <c r="AHH9" s="593">
        <f>'Proy 2022 vs 2019 sem'!FG8*AHJ$4</f>
        <v>14631.215456</v>
      </c>
      <c r="AHI9" s="699"/>
      <c r="AHJ9" s="700">
        <f>AHI9/AHG9</f>
        <v>0</v>
      </c>
      <c r="AHK9" s="579">
        <f>AGI9+AGM9+AGQ9+AGU9+AGY9+AHC9+AHG9</f>
        <v>75574.460000000006</v>
      </c>
      <c r="AHL9" s="574">
        <f>AGJ9+AGN9+AGR9+AGV9+AGZ9+AHD9+AHH9</f>
        <v>66505.524799999999</v>
      </c>
      <c r="AHM9" s="765">
        <f>AGK9+AGO9+AGS9+AGW9+AHA9+AHE9+AHI9</f>
        <v>0</v>
      </c>
      <c r="AHN9" s="761">
        <f>AHM9/AHK9</f>
        <v>0</v>
      </c>
      <c r="AHO9" s="593">
        <f>'Proy 2022 vs 2019 sem'!FK8*AHR$4</f>
        <v>10423.6608</v>
      </c>
      <c r="AHP9" s="593">
        <f>'Proy 2022 vs 2019 sem'!FL8*AHR$4</f>
        <v>9172.8215039999995</v>
      </c>
      <c r="AHQ9" s="699"/>
      <c r="AHR9" s="700">
        <f>AHQ9/AHO9</f>
        <v>0</v>
      </c>
      <c r="AHS9" s="593">
        <f>'Proy 2022 vs 2019 sem'!FK8*AHV$4</f>
        <v>10423.6608</v>
      </c>
      <c r="AHT9" s="593">
        <f>'Proy 2022 vs 2019 sem'!FL8*AHV$4</f>
        <v>9172.8215039999995</v>
      </c>
      <c r="AHU9" s="699"/>
      <c r="AHV9" s="700">
        <f>AHU9/AHS9</f>
        <v>0</v>
      </c>
      <c r="AHW9" s="593">
        <f>'Proy 2022 vs 2019 sem'!FK8*AHZ$4</f>
        <v>10423.6608</v>
      </c>
      <c r="AHX9" s="593">
        <f>'Proy 2022 vs 2019 sem'!FL8*AHZ$4</f>
        <v>9172.8215039999995</v>
      </c>
      <c r="AHY9" s="699"/>
      <c r="AHZ9" s="700">
        <f>AHY9/AHW9</f>
        <v>0</v>
      </c>
      <c r="AIA9" s="593">
        <f>'Proy 2022 vs 2019 sem'!FK8*AID$4</f>
        <v>10423.6608</v>
      </c>
      <c r="AIB9" s="593">
        <f>'Proy 2022 vs 2019 sem'!FL8*AID$4</f>
        <v>9172.8215039999995</v>
      </c>
      <c r="AIC9" s="699"/>
      <c r="AID9" s="700">
        <f>AIC9/AIA9</f>
        <v>0</v>
      </c>
      <c r="AIE9" s="593">
        <f>'Proy 2022 vs 2019 sem'!FK8*AIH$4</f>
        <v>12160.937600000001</v>
      </c>
      <c r="AIF9" s="593">
        <f>'Proy 2022 vs 2019 sem'!FL8*AIH$4</f>
        <v>10701.625088000001</v>
      </c>
      <c r="AIG9" s="699"/>
      <c r="AIH9" s="700">
        <f>AIG9/AIE9</f>
        <v>0</v>
      </c>
      <c r="AII9" s="593">
        <f>'Proy 2022 vs 2019 sem'!FK8*AIL$4</f>
        <v>13898.214399999999</v>
      </c>
      <c r="AIJ9" s="593">
        <f>'Proy 2022 vs 2019 sem'!FL8*AIL$4</f>
        <v>12230.428672</v>
      </c>
      <c r="AIK9" s="699"/>
      <c r="AIL9" s="700">
        <f>AIK9/AII9</f>
        <v>0</v>
      </c>
      <c r="AIM9" s="593">
        <f>'Proy 2022 vs 2019 sem'!FK8*AIP$4</f>
        <v>19110.0448</v>
      </c>
      <c r="AIN9" s="593">
        <f>'Proy 2022 vs 2019 sem'!FL8*AIP$4</f>
        <v>16816.839424000002</v>
      </c>
      <c r="AIO9" s="699"/>
      <c r="AIP9" s="700">
        <f>AIO9/AIM9</f>
        <v>0</v>
      </c>
      <c r="AIQ9" s="579">
        <f>AHO9+AHS9+AHW9+AIA9+AIE9+AII9+AIM9</f>
        <v>86863.84</v>
      </c>
      <c r="AIR9" s="574">
        <f>AHP9+AHT9+AHX9+AIB9+AIF9+AIJ9+AIN9</f>
        <v>76440.179199999999</v>
      </c>
      <c r="AIS9" s="765">
        <f>AHQ9+AHU9+AHY9+AIC9+AIG9+AIK9+AIO9</f>
        <v>0</v>
      </c>
      <c r="AIT9" s="761">
        <f>AIS9/AIQ9</f>
        <v>0</v>
      </c>
      <c r="AIU9" s="593">
        <f>'Proy 2022 vs 2019 sem'!FP8*AIX$4</f>
        <v>9015.2711999999992</v>
      </c>
      <c r="AIV9" s="593">
        <f>'Proy 2022 vs 2019 sem'!FQ8*AIX$4</f>
        <v>8294.0495039999987</v>
      </c>
      <c r="AIW9" s="699"/>
      <c r="AIX9" s="700">
        <f>AIW9/AIU9</f>
        <v>0</v>
      </c>
      <c r="AIY9" s="593">
        <f>'Proy 2022 vs 2019 sem'!FP8*AJB$4</f>
        <v>9015.2711999999992</v>
      </c>
      <c r="AIZ9" s="593">
        <f>'Proy 2022 vs 2019 sem'!FQ8*AJB$4</f>
        <v>8294.0495039999987</v>
      </c>
      <c r="AJA9" s="699"/>
      <c r="AJB9" s="700">
        <f>AJA9/AIY9</f>
        <v>0</v>
      </c>
      <c r="AJC9" s="593">
        <f>'Proy 2022 vs 2019 sem'!FP8*AJF$4</f>
        <v>9015.2711999999992</v>
      </c>
      <c r="AJD9" s="593">
        <f>'Proy 2022 vs 2019 sem'!FQ8*AJF$4</f>
        <v>8294.0495039999987</v>
      </c>
      <c r="AJE9" s="699"/>
      <c r="AJF9" s="700">
        <f>AJE9/AJC9</f>
        <v>0</v>
      </c>
      <c r="AJG9" s="593">
        <f>'Proy 2022 vs 2019 sem'!FP8*AJJ$4</f>
        <v>9015.2711999999992</v>
      </c>
      <c r="AJH9" s="593">
        <f>'Proy 2022 vs 2019 sem'!FQ8*AJJ$4</f>
        <v>8294.0495039999987</v>
      </c>
      <c r="AJI9" s="699"/>
      <c r="AJJ9" s="700">
        <f>AJI9/AJG9</f>
        <v>0</v>
      </c>
      <c r="AJK9" s="593">
        <f>'Proy 2022 vs 2019 sem'!FP8*AJN$4</f>
        <v>10517.8164</v>
      </c>
      <c r="AJL9" s="593">
        <f>'Proy 2022 vs 2019 sem'!FQ8*AJN$4</f>
        <v>9676.3910880000003</v>
      </c>
      <c r="AJM9" s="699"/>
      <c r="AJN9" s="700">
        <f>AJM9/AJK9</f>
        <v>0</v>
      </c>
      <c r="AJO9" s="593">
        <f>'Proy 2022 vs 2019 sem'!FP8*AJR$4</f>
        <v>12020.3616</v>
      </c>
      <c r="AJP9" s="593">
        <f>'Proy 2022 vs 2019 sem'!FQ8*AJR$4</f>
        <v>11058.732671999998</v>
      </c>
      <c r="AJQ9" s="699"/>
      <c r="AJR9" s="700">
        <f>AJQ9/AJO9</f>
        <v>0</v>
      </c>
      <c r="AJS9" s="593">
        <f>'Proy 2022 vs 2019 sem'!FP8*AJV$4</f>
        <v>16527.997199999998</v>
      </c>
      <c r="AJT9" s="593">
        <f>'Proy 2022 vs 2019 sem'!FQ8*AJV$4</f>
        <v>15205.757423999998</v>
      </c>
      <c r="AJU9" s="699"/>
      <c r="AJV9" s="700">
        <f>AJU9/AJS9</f>
        <v>0</v>
      </c>
      <c r="AJW9" s="579">
        <f>AIU9+AIY9+AJC9+AJG9+AJK9+AJO9+AJS9</f>
        <v>75127.259999999995</v>
      </c>
      <c r="AJX9" s="574">
        <f>AIV9+AIZ9+AJD9+AJH9+AJL9+AJP9+AJT9</f>
        <v>69117.079199999993</v>
      </c>
      <c r="AJY9" s="770">
        <f>AIW9+AJA9+AJE9+AJI9+AJM9+AJQ9+AJU9</f>
        <v>0</v>
      </c>
      <c r="AJZ9" s="761">
        <f>AJY9/AJW9</f>
        <v>0</v>
      </c>
      <c r="AKA9" s="593"/>
      <c r="AKB9" s="593"/>
      <c r="AKC9" s="735"/>
      <c r="AKD9" s="700" t="e">
        <f>AKC9/AKA9</f>
        <v>#DIV/0!</v>
      </c>
      <c r="AKE9" s="593">
        <v>8817.4331999999995</v>
      </c>
      <c r="AKF9" s="593">
        <v>8993.7818639999987</v>
      </c>
      <c r="AKG9" s="699"/>
      <c r="AKH9" s="700">
        <f>AKG9/AKE9</f>
        <v>0</v>
      </c>
      <c r="AKI9" s="593">
        <v>8817.4331999999995</v>
      </c>
      <c r="AKJ9" s="593">
        <v>8993.7818639999987</v>
      </c>
      <c r="AKK9" s="699"/>
      <c r="AKL9" s="700">
        <f>AKK9/AKI9</f>
        <v>0</v>
      </c>
      <c r="AKM9" s="593">
        <v>8817.4331999999995</v>
      </c>
      <c r="AKN9" s="593">
        <v>8993.7818639999987</v>
      </c>
      <c r="AKO9" s="699"/>
      <c r="AKP9" s="700">
        <f>AKO9/AKM9</f>
        <v>0</v>
      </c>
      <c r="AKQ9" s="593">
        <v>10287.005400000002</v>
      </c>
      <c r="AKR9" s="593">
        <v>10492.745508</v>
      </c>
      <c r="AKS9" s="699"/>
      <c r="AKT9" s="700">
        <f>AKS9/AKQ9</f>
        <v>0</v>
      </c>
      <c r="AKU9" s="593">
        <v>11756.577600000001</v>
      </c>
      <c r="AKV9" s="593">
        <v>11991.709151999999</v>
      </c>
      <c r="AKW9" s="699"/>
      <c r="AKX9" s="700">
        <f>AKW9/AKU9</f>
        <v>0</v>
      </c>
      <c r="AKY9" s="593">
        <v>16165.2942</v>
      </c>
      <c r="AKZ9" s="593">
        <v>16488.600083999998</v>
      </c>
      <c r="ALA9" s="699"/>
      <c r="ALB9" s="700">
        <f>ALA9/AKY9</f>
        <v>0</v>
      </c>
      <c r="ALC9" s="579">
        <f>AKA9+AKE9+AKI9+AKM9+AKQ9+AKU9+AKY9</f>
        <v>64661.176800000001</v>
      </c>
      <c r="ALD9" s="574">
        <f>AKB9+AKF9+AKJ9+AKN9+AKR9+AKV9+AKZ9</f>
        <v>65954.400335999992</v>
      </c>
      <c r="ALE9" s="793">
        <f>AKC9+AKG9+AKK9+AKO9+AKS9+AKW9+ALA9</f>
        <v>0</v>
      </c>
      <c r="ALF9" s="786">
        <f>ALE9/ALC9</f>
        <v>0</v>
      </c>
      <c r="ALG9" s="593"/>
      <c r="ALH9" s="593"/>
      <c r="ALI9" s="699"/>
      <c r="ALJ9" s="700" t="e">
        <f>ALI9/ALG9</f>
        <v>#DIV/0!</v>
      </c>
      <c r="ALK9" s="593">
        <v>7669.1279999999997</v>
      </c>
      <c r="ALL9" s="593">
        <v>7822.5105599999997</v>
      </c>
      <c r="ALM9" s="699"/>
      <c r="ALN9" s="700">
        <f>ALM9/ALK9</f>
        <v>0</v>
      </c>
      <c r="ALO9" s="593">
        <v>7669.1279999999997</v>
      </c>
      <c r="ALP9" s="593">
        <v>7822.5105599999997</v>
      </c>
      <c r="ALQ9" s="699"/>
      <c r="ALR9" s="700">
        <f>ALQ9/ALO9</f>
        <v>0</v>
      </c>
      <c r="ALS9" s="593">
        <v>7669.1279999999997</v>
      </c>
      <c r="ALT9" s="593">
        <v>7822.5105599999997</v>
      </c>
      <c r="ALU9" s="699"/>
      <c r="ALV9" s="700">
        <f>ALU9/ALS9</f>
        <v>0</v>
      </c>
      <c r="ALW9" s="593">
        <v>8947.3160000000007</v>
      </c>
      <c r="ALX9" s="593">
        <v>9126.2623200000016</v>
      </c>
      <c r="ALY9" s="699"/>
      <c r="ALZ9" s="700">
        <f>ALY9/ALW9</f>
        <v>0</v>
      </c>
      <c r="AMA9" s="593">
        <v>10225.504000000001</v>
      </c>
      <c r="AMB9" s="593">
        <v>10430.014080000001</v>
      </c>
      <c r="AMC9" s="699"/>
      <c r="AMD9" s="700">
        <f>AMC9/AMA9</f>
        <v>0</v>
      </c>
      <c r="AME9" s="593">
        <v>14060.068000000001</v>
      </c>
      <c r="AMF9" s="593">
        <v>14341.26936</v>
      </c>
      <c r="AMG9" s="699"/>
      <c r="AMH9" s="700">
        <f>AMG9/AME9</f>
        <v>0</v>
      </c>
      <c r="AMI9" s="579">
        <f>ALG9+ALK9+ALO9+ALS9+ALW9+AMA9+AME9</f>
        <v>56240.271999999997</v>
      </c>
      <c r="AMJ9" s="574">
        <f>ALH9+ALL9+ALP9+ALT9+ALX9+AMB9+AMF9</f>
        <v>57365.077440000001</v>
      </c>
      <c r="AMK9" s="794">
        <f>ALI9+ALM9+ALQ9+ALU9+ALY9+AMC9+AMG9</f>
        <v>0</v>
      </c>
      <c r="AML9" s="786">
        <f>AMK9/AMI9</f>
        <v>0</v>
      </c>
      <c r="AMM9" s="593"/>
      <c r="AMN9" s="593"/>
      <c r="AMO9" s="699"/>
      <c r="AMP9" s="700" t="e">
        <f>AMO9/AMM9</f>
        <v>#DIV/0!</v>
      </c>
      <c r="AMQ9" s="593">
        <v>6534.0443999999998</v>
      </c>
      <c r="AMR9" s="593">
        <v>6664.7252880000005</v>
      </c>
      <c r="AMS9" s="699"/>
      <c r="AMT9" s="700">
        <f>AMS9/AMQ9</f>
        <v>0</v>
      </c>
      <c r="AMU9" s="593">
        <v>6534.0443999999998</v>
      </c>
      <c r="AMV9" s="593">
        <v>6664.7252880000005</v>
      </c>
      <c r="AMW9" s="699"/>
      <c r="AMX9" s="700">
        <f>AMW9/AMU9</f>
        <v>0</v>
      </c>
      <c r="AMY9" s="593">
        <v>6534.0443999999998</v>
      </c>
      <c r="AMZ9" s="593">
        <v>6664.7252880000005</v>
      </c>
      <c r="ANA9" s="699"/>
      <c r="ANB9" s="700">
        <f>ANA9/AMY9</f>
        <v>0</v>
      </c>
      <c r="ANC9" s="593">
        <v>7623.0518000000011</v>
      </c>
      <c r="AND9" s="593">
        <v>7775.5128360000017</v>
      </c>
      <c r="ANE9" s="699"/>
      <c r="ANF9" s="700">
        <f>ANE9/ANC9</f>
        <v>0</v>
      </c>
      <c r="ANG9" s="593">
        <v>8712.0591999999997</v>
      </c>
      <c r="ANH9" s="593">
        <v>8886.3003840000001</v>
      </c>
      <c r="ANI9" s="699"/>
      <c r="ANJ9" s="700">
        <f>ANI9/ANG9</f>
        <v>0</v>
      </c>
      <c r="ANK9" s="593">
        <v>11979.081400000001</v>
      </c>
      <c r="ANL9" s="593">
        <v>12218.663028000001</v>
      </c>
      <c r="ANM9" s="699"/>
      <c r="ANN9" s="700">
        <f>ANM9/ANK9</f>
        <v>0</v>
      </c>
      <c r="ANO9" s="579">
        <f>AMM9+AMQ9+AMU9+AMY9+ANC9+ANG9+ANK9</f>
        <v>47916.325600000004</v>
      </c>
      <c r="ANP9" s="574">
        <f>AMN9+AMR9+AMV9+AMZ9+AND9+ANH9+ANL9</f>
        <v>48874.652112000003</v>
      </c>
      <c r="ANQ9" s="794">
        <f>AMO9+AMS9+AMW9+ANA9+ANE9+ANI9+ANM9</f>
        <v>0</v>
      </c>
      <c r="ANR9" s="786">
        <f>ANQ9/ANO9</f>
        <v>0</v>
      </c>
      <c r="ANS9" s="593">
        <f>'Proy 2022 vs 2019 sem'!GN8*ANV$4</f>
        <v>7451.6027999999997</v>
      </c>
      <c r="ANT9" s="593">
        <f>'Proy 2022 vs 2019 sem'!GO8*ANV$4</f>
        <v>7302.5707440000006</v>
      </c>
      <c r="ANU9" s="699"/>
      <c r="ANV9" s="700">
        <f>ANU9/ANS9</f>
        <v>0</v>
      </c>
      <c r="ANW9" s="593">
        <f>'Proy 2022 vs 2019 sem'!GN8*ANZ$4</f>
        <v>7451.6027999999997</v>
      </c>
      <c r="ANX9" s="593">
        <f>'Proy 2022 vs 2019 sem'!GO8*ANZ$4</f>
        <v>7302.5707440000006</v>
      </c>
      <c r="ANY9" s="699"/>
      <c r="ANZ9" s="700">
        <f>ANY9/ANW9</f>
        <v>0</v>
      </c>
      <c r="AOA9" s="593">
        <f>'Proy 2022 vs 2019 sem'!GN8*AOD$4</f>
        <v>7451.6027999999997</v>
      </c>
      <c r="AOB9" s="593">
        <f>'Proy 2022 vs 2019 sem'!GO8*AOD$4</f>
        <v>7302.5707440000006</v>
      </c>
      <c r="AOC9" s="699"/>
      <c r="AOD9" s="700">
        <f>AOC9/AOA9</f>
        <v>0</v>
      </c>
      <c r="AOE9" s="593">
        <f>'Proy 2022 vs 2019 sem'!GN8*AOH$4</f>
        <v>7451.6027999999997</v>
      </c>
      <c r="AOF9" s="593">
        <f>'Proy 2022 vs 2019 sem'!GO8*AOH$4</f>
        <v>7302.5707440000006</v>
      </c>
      <c r="AOG9" s="699"/>
      <c r="AOH9" s="700">
        <f>AOG9/AOE9</f>
        <v>0</v>
      </c>
      <c r="AOI9" s="593">
        <f>'Proy 2022 vs 2019 sem'!GN8*AOL$4</f>
        <v>8693.5366000000013</v>
      </c>
      <c r="AOJ9" s="593">
        <f>'Proy 2022 vs 2019 sem'!GO8*AOL$4</f>
        <v>8519.6658680000019</v>
      </c>
      <c r="AOK9" s="699"/>
      <c r="AOL9" s="700">
        <f>AOK9/AOI9</f>
        <v>0</v>
      </c>
      <c r="AOM9" s="593">
        <f>'Proy 2022 vs 2019 sem'!GN8*AOP$4</f>
        <v>9935.4704000000002</v>
      </c>
      <c r="AON9" s="593">
        <f>'Proy 2022 vs 2019 sem'!GO8*AOP$4</f>
        <v>9736.7609920000014</v>
      </c>
      <c r="AOO9" s="699"/>
      <c r="AOP9" s="700">
        <f>AOO9/AOM9</f>
        <v>0</v>
      </c>
      <c r="AOQ9" s="593">
        <f>'Proy 2022 vs 2019 sem'!GN8*AOT$4</f>
        <v>13661.2718</v>
      </c>
      <c r="AOR9" s="593">
        <f>'Proy 2022 vs 2019 sem'!GO8*AOT$4</f>
        <v>13388.046364000002</v>
      </c>
      <c r="AOS9" s="699"/>
      <c r="AOT9" s="700">
        <f>AOS9/AOQ9</f>
        <v>0</v>
      </c>
      <c r="AOU9" s="579">
        <f>ANS9+ANW9+AOA9+AOE9+AOI9+AOM9+AOQ9</f>
        <v>62096.69</v>
      </c>
      <c r="AOV9" s="574">
        <f>ANT9+ANX9+AOB9+AOF9+AOJ9+AON9+AOR9</f>
        <v>60854.756200000011</v>
      </c>
      <c r="AOW9" s="785">
        <f>ANU9+ANY9+AOC9+AOG9+AOK9+AOO9+AOS9</f>
        <v>0</v>
      </c>
      <c r="AOX9" s="786">
        <f>AOW9/AOU9</f>
        <v>0</v>
      </c>
      <c r="AOY9" s="593">
        <f>'Proy 2022 vs 2019 sem'!GW8*APB$4</f>
        <v>6899.16</v>
      </c>
      <c r="AOZ9" s="593">
        <f>'Proy 2022 vs 2019 sem'!GX8*APB$4</f>
        <v>6761.1767999999993</v>
      </c>
      <c r="APA9" s="735"/>
      <c r="APB9" s="700">
        <f>APA9/AOY9</f>
        <v>0</v>
      </c>
      <c r="APC9" s="593">
        <f>'Proy 2022 vs 2019 sem'!GW8*APF$4</f>
        <v>6899.16</v>
      </c>
      <c r="APD9" s="593">
        <f>'Proy 2022 vs 2019 sem'!GX8*APF$4</f>
        <v>6761.1767999999993</v>
      </c>
      <c r="APE9" s="735"/>
      <c r="APF9" s="700">
        <f>APE9/APC9</f>
        <v>0</v>
      </c>
      <c r="APG9" s="593">
        <f>'Proy 2022 vs 2019 sem'!GW8*APJ$4</f>
        <v>6899.16</v>
      </c>
      <c r="APH9" s="593">
        <f>'Proy 2022 vs 2019 sem'!GX8*APJ$4</f>
        <v>6761.1767999999993</v>
      </c>
      <c r="API9" s="735"/>
      <c r="APJ9" s="700">
        <f>API9/APG9</f>
        <v>0</v>
      </c>
      <c r="APK9" s="593">
        <f>'Proy 2022 vs 2019 sem'!GW8*APN$4</f>
        <v>6899.16</v>
      </c>
      <c r="APL9" s="593">
        <f>'Proy 2022 vs 2019 sem'!GX8*APN$4</f>
        <v>6761.1767999999993</v>
      </c>
      <c r="APM9" s="735"/>
      <c r="APN9" s="700">
        <f>APM9/APK9</f>
        <v>0</v>
      </c>
      <c r="APO9" s="593">
        <f>'Proy 2022 vs 2019 sem'!GW8*APR$4</f>
        <v>8049.02</v>
      </c>
      <c r="APP9" s="593">
        <f>'Proy 2022 vs 2019 sem'!GX8*APR$4</f>
        <v>7888.039600000001</v>
      </c>
      <c r="APQ9" s="735"/>
      <c r="APR9" s="700">
        <f>APQ9/APO9</f>
        <v>0</v>
      </c>
      <c r="APS9" s="593">
        <f>'Proy 2022 vs 2019 sem'!GW8*APV$4</f>
        <v>9198.880000000001</v>
      </c>
      <c r="APT9" s="593">
        <f>'Proy 2022 vs 2019 sem'!GX8*APV$4</f>
        <v>9014.9024000000009</v>
      </c>
      <c r="APU9" s="735"/>
      <c r="APV9" s="700">
        <f>APU9/APS9</f>
        <v>0</v>
      </c>
      <c r="APW9" s="593">
        <f>'Proy 2022 vs 2019 sem'!GW8*APZ$4</f>
        <v>12648.460000000001</v>
      </c>
      <c r="APX9" s="593">
        <f>'Proy 2022 vs 2019 sem'!GX8*APZ$4</f>
        <v>12395.4908</v>
      </c>
      <c r="APY9" s="735"/>
      <c r="APZ9" s="700">
        <f>APY9/APW9</f>
        <v>0</v>
      </c>
      <c r="AQA9" s="579">
        <f>AOY9+APC9+APG9+APK9+APO9+APS9+APW9</f>
        <v>57493.000000000007</v>
      </c>
      <c r="AQB9" s="574">
        <f>AOZ9+APD9+APH9+APL9+APP9+APT9+APX9</f>
        <v>56343.14</v>
      </c>
      <c r="AQC9" s="729">
        <f>APA9+APE9+API9+APM9+APQ9+APU9+APY9</f>
        <v>0</v>
      </c>
      <c r="AQD9" s="711">
        <f>AQC9/AQA9</f>
        <v>0</v>
      </c>
      <c r="AQE9" s="593">
        <f>'Proy 2022 vs 2019 sem'!HB8*AQH$4</f>
        <v>7635.8735999999999</v>
      </c>
      <c r="AQF9" s="593">
        <f>'Proy 2022 vs 2019 sem'!HC8*AQH$4</f>
        <v>7635.8735999999999</v>
      </c>
      <c r="AQG9" s="699"/>
      <c r="AQH9" s="700">
        <f>AQG9/AQE9</f>
        <v>0</v>
      </c>
      <c r="AQI9" s="593">
        <f>'Proy 2022 vs 2019 sem'!HB8*AQL$4</f>
        <v>7635.8735999999999</v>
      </c>
      <c r="AQJ9" s="593">
        <f>'Proy 2022 vs 2019 sem'!HC8*AQL$4</f>
        <v>7635.8735999999999</v>
      </c>
      <c r="AQK9" s="699"/>
      <c r="AQL9" s="700">
        <f>AQK9/AQI9</f>
        <v>0</v>
      </c>
      <c r="AQM9" s="593">
        <f>'Proy 2022 vs 2019 sem'!HB8*AQP$4</f>
        <v>7635.8735999999999</v>
      </c>
      <c r="AQN9" s="593">
        <f>'Proy 2022 vs 2019 sem'!HC8*AQP$4</f>
        <v>7635.8735999999999</v>
      </c>
      <c r="AQO9" s="699"/>
      <c r="AQP9" s="700">
        <f>AQO9/AQM9</f>
        <v>0</v>
      </c>
      <c r="AQQ9" s="593">
        <f>'Proy 2022 vs 2019 sem'!HB8*AQT$4</f>
        <v>7635.8735999999999</v>
      </c>
      <c r="AQR9" s="593">
        <f>'Proy 2022 vs 2019 sem'!HC8*AQT$4</f>
        <v>7635.8735999999999</v>
      </c>
      <c r="AQS9" s="699"/>
      <c r="AQT9" s="700">
        <f>AQS9/AQQ9</f>
        <v>0</v>
      </c>
      <c r="AQU9" s="593">
        <f>'Proy 2022 vs 2019 sem'!HB8*AQX$4</f>
        <v>8908.5192000000006</v>
      </c>
      <c r="AQV9" s="593">
        <f>'Proy 2022 vs 2019 sem'!HC8*AQX$4</f>
        <v>8908.5192000000006</v>
      </c>
      <c r="AQW9" s="699"/>
      <c r="AQX9" s="700">
        <f>AQW9/AQU9</f>
        <v>0</v>
      </c>
      <c r="AQY9" s="593">
        <f>'Proy 2022 vs 2019 sem'!HB8*ARB$4</f>
        <v>10181.1648</v>
      </c>
      <c r="AQZ9" s="593">
        <f>'Proy 2022 vs 2019 sem'!HC8*ARB$4</f>
        <v>10181.1648</v>
      </c>
      <c r="ARA9" s="699"/>
      <c r="ARB9" s="700">
        <f>ARA9/AQY9</f>
        <v>0</v>
      </c>
      <c r="ARC9" s="593">
        <f>'Proy 2022 vs 2019 sem'!HB8*ARF$4</f>
        <v>13999.1016</v>
      </c>
      <c r="ARD9" s="593">
        <f>'Proy 2022 vs 2019 sem'!HC8*ARF$4</f>
        <v>13999.1016</v>
      </c>
      <c r="ARE9" s="699"/>
      <c r="ARF9" s="700">
        <f>ARE9/ARC9</f>
        <v>0</v>
      </c>
      <c r="ARG9" s="579">
        <f>AQE9+AQI9+AQM9+AQQ9+AQU9+AQY9+ARC9</f>
        <v>63632.28</v>
      </c>
      <c r="ARH9" s="574">
        <f>AQF9+AQJ9+AQN9+AQR9+AQV9+AQZ9+ARD9</f>
        <v>63632.28</v>
      </c>
      <c r="ARI9" s="730">
        <f>AQG9+AQK9+AQO9+AQS9+AQW9+ARA9+ARE9</f>
        <v>0</v>
      </c>
      <c r="ARJ9" s="711">
        <f>ARI9/ARG9</f>
        <v>0</v>
      </c>
      <c r="ARK9" s="593">
        <f>'Proy 2022 vs 2019 sem'!HG8*ARN$4</f>
        <v>6843.1812</v>
      </c>
      <c r="ARL9" s="593">
        <f>'Proy 2022 vs 2019 sem'!HH8*ARN$4</f>
        <v>6501.02214</v>
      </c>
      <c r="ARM9" s="699"/>
      <c r="ARN9" s="700">
        <f>ARM9/ARK9</f>
        <v>0</v>
      </c>
      <c r="ARO9" s="593">
        <f>'Proy 2022 vs 2019 sem'!HG8*ARR$4</f>
        <v>6843.1812</v>
      </c>
      <c r="ARP9" s="593">
        <f>'Proy 2022 vs 2019 sem'!HH8*ARR$4</f>
        <v>6501.02214</v>
      </c>
      <c r="ARQ9" s="699"/>
      <c r="ARR9" s="700">
        <f>ARQ9/ARO9</f>
        <v>0</v>
      </c>
      <c r="ARS9" s="593">
        <f>'Proy 2022 vs 2019 sem'!HG8*ARV$4</f>
        <v>6843.1812</v>
      </c>
      <c r="ART9" s="593">
        <f>'Proy 2022 vs 2019 sem'!HH8*ARV$4</f>
        <v>6501.02214</v>
      </c>
      <c r="ARU9" s="699"/>
      <c r="ARV9" s="700">
        <f>ARU9/ARS9</f>
        <v>0</v>
      </c>
      <c r="ARW9" s="593">
        <f>'Proy 2022 vs 2019 sem'!HG8*ARZ$4</f>
        <v>6843.1812</v>
      </c>
      <c r="ARX9" s="593">
        <f>'Proy 2022 vs 2019 sem'!HH8*ARZ$4</f>
        <v>6501.02214</v>
      </c>
      <c r="ARY9" s="699"/>
      <c r="ARZ9" s="700">
        <f>ARY9/ARW9</f>
        <v>0</v>
      </c>
      <c r="ASA9" s="593">
        <f>'Proy 2022 vs 2019 sem'!HG8*ASD$4</f>
        <v>7983.711400000001</v>
      </c>
      <c r="ASB9" s="593">
        <f>'Proy 2022 vs 2019 sem'!HH8*ASD$4</f>
        <v>7584.5258300000014</v>
      </c>
      <c r="ASC9" s="699"/>
      <c r="ASD9" s="700">
        <f>ASC9/ASA9</f>
        <v>0</v>
      </c>
      <c r="ASE9" s="593">
        <f>'Proy 2022 vs 2019 sem'!HG8*ASH$4</f>
        <v>9124.2416000000012</v>
      </c>
      <c r="ASF9" s="593">
        <f>'Proy 2022 vs 2019 sem'!HH8*ASH$4</f>
        <v>8668.02952</v>
      </c>
      <c r="ASG9" s="699"/>
      <c r="ASH9" s="700">
        <f>ASG9/ASE9</f>
        <v>0</v>
      </c>
      <c r="ASI9" s="593">
        <f>'Proy 2022 vs 2019 sem'!HG8*ASL$4</f>
        <v>12545.832200000001</v>
      </c>
      <c r="ASJ9" s="593">
        <f>'Proy 2022 vs 2019 sem'!HH8*ASL$4</f>
        <v>11918.540590000001</v>
      </c>
      <c r="ASK9" s="699"/>
      <c r="ASL9" s="700">
        <f>ASK9/ASI9</f>
        <v>0</v>
      </c>
      <c r="ASM9" s="579">
        <f>ARK9+ARO9+ARS9+ARW9+ASA9+ASE9+ASI9</f>
        <v>57026.510000000009</v>
      </c>
      <c r="ASN9" s="574">
        <f>ARL9+ARP9+ART9+ARX9+ASB9+ASF9+ASJ9</f>
        <v>54175.184500000003</v>
      </c>
      <c r="ASO9" s="730">
        <f>ARM9+ARQ9+ARU9+ARY9+ASC9+ASG9+ASK9</f>
        <v>0</v>
      </c>
      <c r="ASP9" s="711">
        <f>ASO9/ASM9</f>
        <v>0</v>
      </c>
      <c r="ASQ9" s="593">
        <f>'Proy 2022 vs 2019 sem'!HL8*AST$4</f>
        <v>7067.4780000000001</v>
      </c>
      <c r="ASR9" s="593">
        <f>'Proy 2022 vs 2019 sem'!HM8*AST$4</f>
        <v>6855.4536600000001</v>
      </c>
      <c r="ASS9" s="699"/>
      <c r="AST9" s="700">
        <f>ASS9/ASQ9</f>
        <v>0</v>
      </c>
      <c r="ASU9" s="593">
        <f>'Proy 2022 vs 2019 sem'!HL8*ASX$4</f>
        <v>7067.4780000000001</v>
      </c>
      <c r="ASV9" s="593">
        <f>'Proy 2022 vs 2019 sem'!HM8*ASX$4</f>
        <v>6855.4536600000001</v>
      </c>
      <c r="ASW9" s="699"/>
      <c r="ASX9" s="700">
        <f>ASW9/ASU9</f>
        <v>0</v>
      </c>
      <c r="ASY9" s="593">
        <f>'Proy 2022 vs 2019 sem'!HL8*ATB$4</f>
        <v>7067.4780000000001</v>
      </c>
      <c r="ASZ9" s="593">
        <f>'Proy 2022 vs 2019 sem'!HM8*ATB$4</f>
        <v>6855.4536600000001</v>
      </c>
      <c r="ATA9" s="699"/>
      <c r="ATB9" s="700">
        <f>ATA9/ASY9</f>
        <v>0</v>
      </c>
      <c r="ATC9" s="593">
        <f>'Proy 2022 vs 2019 sem'!HL8*ATF$4</f>
        <v>7067.4780000000001</v>
      </c>
      <c r="ATD9" s="593">
        <f>'Proy 2022 vs 2019 sem'!HM8*ATF$4</f>
        <v>6855.4536600000001</v>
      </c>
      <c r="ATE9" s="699"/>
      <c r="ATF9" s="700">
        <f>ATE9/ATC9</f>
        <v>0</v>
      </c>
      <c r="ATG9" s="593">
        <f>'Proy 2022 vs 2019 sem'!HL8*ATJ$4</f>
        <v>8245.3910000000014</v>
      </c>
      <c r="ATH9" s="593">
        <f>'Proy 2022 vs 2019 sem'!HM8*ATJ$4</f>
        <v>7998.0292700000009</v>
      </c>
      <c r="ATI9" s="699"/>
      <c r="ATJ9" s="700">
        <f>ATI9/ATG9</f>
        <v>0</v>
      </c>
      <c r="ATK9" s="593">
        <f>'Proy 2022 vs 2019 sem'!HL8*ATN$4</f>
        <v>9423.3040000000001</v>
      </c>
      <c r="ATL9" s="593">
        <f>'Proy 2022 vs 2019 sem'!HM8*ATN$4</f>
        <v>9140.6048800000008</v>
      </c>
      <c r="ATM9" s="699"/>
      <c r="ATN9" s="700">
        <f>ATM9/ATK9</f>
        <v>0</v>
      </c>
      <c r="ATO9" s="593">
        <f>'Proy 2022 vs 2019 sem'!HL8*ATR$4</f>
        <v>12957.043</v>
      </c>
      <c r="ATP9" s="593">
        <f>'Proy 2022 vs 2019 sem'!HM8*ATR$4</f>
        <v>12568.33171</v>
      </c>
      <c r="ATQ9" s="699"/>
      <c r="ATR9" s="700">
        <f>ATQ9/ATO9</f>
        <v>0</v>
      </c>
      <c r="ATS9" s="579">
        <f>ASQ9+ASU9+ASY9+ATC9+ATG9+ATK9+ATO9</f>
        <v>58895.65</v>
      </c>
      <c r="ATT9" s="574">
        <f>ASR9+ASV9+ASZ9+ATD9+ATH9+ATL9+ATP9</f>
        <v>57128.780500000001</v>
      </c>
      <c r="ATU9" s="710">
        <f>ASS9+ASW9+ATA9+ATE9+ATI9+ATM9+ATQ9</f>
        <v>0</v>
      </c>
      <c r="ATV9" s="711">
        <f>ATU9/ATS9</f>
        <v>0</v>
      </c>
      <c r="ATW9" s="593">
        <f>'Proy 2022 vs 2019 sem'!HQ8*ATZ$4</f>
        <v>7203.525599999999</v>
      </c>
      <c r="ATX9" s="593">
        <f>'Proy 2022 vs 2019 sem'!HR8*ATZ$4</f>
        <v>6987.4198319999996</v>
      </c>
      <c r="ATY9" s="699"/>
      <c r="ATZ9" s="700">
        <f>ATY9/ATW9</f>
        <v>0</v>
      </c>
      <c r="AUA9" s="593">
        <f>'Proy 2022 vs 2019 sem'!HQ8*AUD$4</f>
        <v>7203.525599999999</v>
      </c>
      <c r="AUB9" s="593">
        <f>'Proy 2022 vs 2019 sem'!HR8*AUD$4</f>
        <v>6987.4198319999996</v>
      </c>
      <c r="AUC9" s="699"/>
      <c r="AUD9" s="700">
        <f>AUC9/AUA9</f>
        <v>0</v>
      </c>
      <c r="AUE9" s="593">
        <f>'Proy 2022 vs 2019 sem'!HQ8*AUH$4</f>
        <v>7203.525599999999</v>
      </c>
      <c r="AUF9" s="593">
        <f>'Proy 2022 vs 2019 sem'!HR8*AUH$4</f>
        <v>6987.4198319999996</v>
      </c>
      <c r="AUG9" s="699"/>
      <c r="AUH9" s="700">
        <f>AUG9/AUE9</f>
        <v>0</v>
      </c>
      <c r="AUI9" s="593">
        <f>'Proy 2022 vs 2019 sem'!HQ8*AUL$4</f>
        <v>7203.525599999999</v>
      </c>
      <c r="AUJ9" s="593">
        <f>'Proy 2022 vs 2019 sem'!HR8*AUL$4</f>
        <v>6987.4198319999996</v>
      </c>
      <c r="AUK9" s="699"/>
      <c r="AUL9" s="700">
        <f>AUK9/AUI9</f>
        <v>0</v>
      </c>
      <c r="AUM9" s="593">
        <f>'Proy 2022 vs 2019 sem'!HQ8*AUP$4</f>
        <v>8404.1131999999998</v>
      </c>
      <c r="AUN9" s="593">
        <f>'Proy 2022 vs 2019 sem'!HR8*AUP$4</f>
        <v>8151.9898040000007</v>
      </c>
      <c r="AUO9" s="699"/>
      <c r="AUP9" s="700">
        <f>AUO9/AUM9</f>
        <v>0</v>
      </c>
      <c r="AUQ9" s="593">
        <f>'Proy 2022 vs 2019 sem'!HQ8*AUT$4</f>
        <v>9604.7008000000005</v>
      </c>
      <c r="AUR9" s="593">
        <f>'Proy 2022 vs 2019 sem'!HR8*AUT$4</f>
        <v>9316.5597760000001</v>
      </c>
      <c r="AUS9" s="699"/>
      <c r="AUT9" s="700">
        <f>AUS9/AUQ9</f>
        <v>0</v>
      </c>
      <c r="AUU9" s="593">
        <f>'Proy 2022 vs 2019 sem'!HQ8*AUX$4</f>
        <v>13206.463599999999</v>
      </c>
      <c r="AUV9" s="593">
        <f>'Proy 2022 vs 2019 sem'!HR8*AUX$4</f>
        <v>12810.269692</v>
      </c>
      <c r="AUW9" s="699"/>
      <c r="AUX9" s="700">
        <f>AUW9/AUU9</f>
        <v>0</v>
      </c>
      <c r="AUY9" s="579">
        <f>ATW9+AUA9+AUE9+AUI9+AUM9+AUQ9+AUU9</f>
        <v>60029.37999999999</v>
      </c>
      <c r="AUZ9" s="574">
        <f>ATX9+AUB9+AUF9+AUJ9+AUN9+AUR9+AUV9</f>
        <v>58228.498599999999</v>
      </c>
      <c r="AVA9" s="710">
        <f>ATY9+AUC9+AUG9+AUK9+AUO9+AUS9+AUW9</f>
        <v>0</v>
      </c>
      <c r="AVB9" s="711">
        <f>AVA9/AUY9</f>
        <v>0</v>
      </c>
      <c r="AVC9" s="593">
        <f>'Proy 2022 vs 2019 sem'!HZ8*AVF$4</f>
        <v>7036.5839999999998</v>
      </c>
      <c r="AVD9" s="593">
        <f>'Proy 2022 vs 2019 sem'!IA8*AVF$4</f>
        <v>6825.4864799999996</v>
      </c>
      <c r="AVE9" s="735"/>
      <c r="AVF9" s="700">
        <f>AVE9/AVC9</f>
        <v>0</v>
      </c>
      <c r="AVG9" s="593">
        <f>'Proy 2022 vs 2019 sem'!HZ8*AVJ$4</f>
        <v>7036.5839999999998</v>
      </c>
      <c r="AVH9" s="593">
        <f>'Proy 2022 vs 2019 sem'!IA8*AVJ$4</f>
        <v>6825.4864799999996</v>
      </c>
      <c r="AVI9" s="699"/>
      <c r="AVJ9" s="700">
        <f>AVI9/AVG9</f>
        <v>0</v>
      </c>
      <c r="AVK9" s="593">
        <f>'Proy 2022 vs 2019 sem'!HZ8*AVN$4</f>
        <v>7036.5839999999998</v>
      </c>
      <c r="AVL9" s="593">
        <f>'Proy 2022 vs 2019 sem'!IA8*AVN$4</f>
        <v>6825.4864799999996</v>
      </c>
      <c r="AVM9" s="699"/>
      <c r="AVN9" s="700">
        <f>AVM9/AVK9</f>
        <v>0</v>
      </c>
      <c r="AVO9" s="593">
        <f>'Proy 2022 vs 2019 sem'!HZ8*AVR$4</f>
        <v>7036.5839999999998</v>
      </c>
      <c r="AVP9" s="593">
        <f>'Proy 2022 vs 2019 sem'!IA8*AVR$4</f>
        <v>6825.4864799999996</v>
      </c>
      <c r="AVQ9" s="699"/>
      <c r="AVR9" s="700">
        <f>AVQ9/AVO9</f>
        <v>0</v>
      </c>
      <c r="AVS9" s="593">
        <f>'Proy 2022 vs 2019 sem'!HZ8*AVV$4</f>
        <v>8209.348</v>
      </c>
      <c r="AVT9" s="593">
        <f>'Proy 2022 vs 2019 sem'!IA8*AVV$4</f>
        <v>7963.0675600000004</v>
      </c>
      <c r="AVU9" s="699"/>
      <c r="AVV9" s="700">
        <f>AVU9/AVS9</f>
        <v>0</v>
      </c>
      <c r="AVW9" s="593">
        <f>'Proy 2022 vs 2019 sem'!HZ8*AVZ$4</f>
        <v>9382.1119999999992</v>
      </c>
      <c r="AVX9" s="593">
        <f>'Proy 2022 vs 2019 sem'!IA8*AVZ$4</f>
        <v>9100.6486399999994</v>
      </c>
      <c r="AVY9" s="699"/>
      <c r="AVZ9" s="700">
        <f>AVY9/AVW9</f>
        <v>0</v>
      </c>
      <c r="AWA9" s="593">
        <f>'Proy 2022 vs 2019 sem'!HZ8*AWD$4</f>
        <v>12900.403999999999</v>
      </c>
      <c r="AWB9" s="593">
        <f>'Proy 2022 vs 2019 sem'!IA8*AWD$4</f>
        <v>12513.391879999999</v>
      </c>
      <c r="AWC9" s="699"/>
      <c r="AWD9" s="700">
        <f>AWC9/AWA9</f>
        <v>0</v>
      </c>
      <c r="AWE9" s="579">
        <f>AVC9+AVG9+AVK9+AVO9+AVS9+AVW9+AWA9</f>
        <v>58638.2</v>
      </c>
      <c r="AWF9" s="574">
        <f>AVD9+AVH9+AVL9+AVP9+AVT9+AVX9+AWB9</f>
        <v>56879.054000000004</v>
      </c>
      <c r="AWG9" s="793">
        <f>AVE9+AVI9+AVM9+AVQ9+AVU9+AVY9+AWC9</f>
        <v>0</v>
      </c>
      <c r="AWH9" s="786">
        <f>AWG9/AWE9</f>
        <v>0</v>
      </c>
      <c r="AWI9" s="593">
        <f>'Proy 2022 vs 2019 sem'!IE8*AWL$4</f>
        <v>8047.3224</v>
      </c>
      <c r="AWJ9" s="593">
        <f>'Proy 2022 vs 2019 sem'!IF8*AWL$4</f>
        <v>7725.4295039999997</v>
      </c>
      <c r="AWK9" s="699"/>
      <c r="AWL9" s="700">
        <f>AWK9/AWI9</f>
        <v>0</v>
      </c>
      <c r="AWM9" s="593">
        <f>'Proy 2022 vs 2019 sem'!IE8*AWP$4</f>
        <v>8047.3224</v>
      </c>
      <c r="AWN9" s="593">
        <f>'Proy 2022 vs 2019 sem'!IF8*AWP$4</f>
        <v>7725.4295039999997</v>
      </c>
      <c r="AWO9" s="699"/>
      <c r="AWP9" s="700">
        <f>AWO9/AWM9</f>
        <v>0</v>
      </c>
      <c r="AWQ9" s="593">
        <f>'Proy 2022 vs 2019 sem'!IE8*AWT$4</f>
        <v>8047.3224</v>
      </c>
      <c r="AWR9" s="593">
        <f>'Proy 2022 vs 2019 sem'!IF8*AWT$4</f>
        <v>7725.4295039999997</v>
      </c>
      <c r="AWS9" s="699"/>
      <c r="AWT9" s="700">
        <f>AWS9/AWQ9</f>
        <v>0</v>
      </c>
      <c r="AWU9" s="593">
        <f>'Proy 2022 vs 2019 sem'!IE8*AWX$4</f>
        <v>8047.3224</v>
      </c>
      <c r="AWV9" s="593">
        <f>'Proy 2022 vs 2019 sem'!IF8*AWX$4</f>
        <v>7725.4295039999997</v>
      </c>
      <c r="AWW9" s="699"/>
      <c r="AWX9" s="700">
        <f>AWW9/AWU9</f>
        <v>0</v>
      </c>
      <c r="AWY9" s="593">
        <f>'Proy 2022 vs 2019 sem'!IE8*AXB$4</f>
        <v>9388.5428000000011</v>
      </c>
      <c r="AWZ9" s="593">
        <f>'Proy 2022 vs 2019 sem'!IF8*AXB$4</f>
        <v>9013.0010880000009</v>
      </c>
      <c r="AXA9" s="699"/>
      <c r="AXB9" s="700">
        <f>AXA9/AWY9</f>
        <v>0</v>
      </c>
      <c r="AXC9" s="593">
        <f>'Proy 2022 vs 2019 sem'!IE8*AXF$4</f>
        <v>10729.763200000001</v>
      </c>
      <c r="AXD9" s="593">
        <f>'Proy 2022 vs 2019 sem'!IF8*AXF$4</f>
        <v>10300.572672</v>
      </c>
      <c r="AXE9" s="699"/>
      <c r="AXF9" s="700">
        <f>AXE9/AXC9</f>
        <v>0</v>
      </c>
      <c r="AXG9" s="593">
        <f>'Proy 2022 vs 2019 sem'!IE8*AXJ$4</f>
        <v>14753.424400000002</v>
      </c>
      <c r="AXH9" s="593">
        <f>'Proy 2022 vs 2019 sem'!IF8*AXJ$4</f>
        <v>14163.287424</v>
      </c>
      <c r="AXI9" s="699"/>
      <c r="AXJ9" s="700">
        <f>AXI9/AXG9</f>
        <v>0</v>
      </c>
      <c r="AXK9" s="579">
        <f>AWI9+AWM9+AWQ9+AWU9+AWY9+AXC9+AXG9</f>
        <v>67061.02</v>
      </c>
      <c r="AXL9" s="574">
        <f>AWJ9+AWN9+AWR9+AWV9+AWZ9+AXD9+AXH9</f>
        <v>64378.579200000007</v>
      </c>
      <c r="AXM9" s="794">
        <f>AWK9+AWO9+AWS9+AWW9+AXA9+AXE9+AXI9</f>
        <v>0</v>
      </c>
      <c r="AXN9" s="786">
        <f>AXM9/AXK9</f>
        <v>0</v>
      </c>
      <c r="AXO9" s="593">
        <f>'Proy 2022 vs 2019 sem'!IJ8*AXR$4</f>
        <v>8958.3503999999994</v>
      </c>
      <c r="AXP9" s="593">
        <f>'Proy 2022 vs 2019 sem'!IK8*AXR$4</f>
        <v>8868.7668959999992</v>
      </c>
      <c r="AXQ9" s="699"/>
      <c r="AXR9" s="700">
        <f>AXQ9/AXO9</f>
        <v>0</v>
      </c>
      <c r="AXS9" s="593">
        <f>'Proy 2022 vs 2019 sem'!IJ8*AXV$4</f>
        <v>8958.3503999999994</v>
      </c>
      <c r="AXT9" s="593">
        <f>'Proy 2022 vs 2019 sem'!IK8*AXV$4</f>
        <v>8868.7668959999992</v>
      </c>
      <c r="AXU9" s="699"/>
      <c r="AXV9" s="700">
        <f>AXU9/AXS9</f>
        <v>0</v>
      </c>
      <c r="AXW9" s="593">
        <f>'Proy 2022 vs 2019 sem'!IJ8*AXZ$4</f>
        <v>8958.3503999999994</v>
      </c>
      <c r="AXX9" s="593">
        <f>'Proy 2022 vs 2019 sem'!IK8*AXZ$4</f>
        <v>8868.7668959999992</v>
      </c>
      <c r="AXY9" s="699"/>
      <c r="AXZ9" s="700">
        <f>AXY9/AXW9</f>
        <v>0</v>
      </c>
      <c r="AYA9" s="593">
        <f>'Proy 2022 vs 2019 sem'!IJ8*AYD$4</f>
        <v>8958.3503999999994</v>
      </c>
      <c r="AYB9" s="593">
        <f>'Proy 2022 vs 2019 sem'!IK8*AYD$4</f>
        <v>8868.7668959999992</v>
      </c>
      <c r="AYC9" s="699"/>
      <c r="AYD9" s="700">
        <f>AYC9/AYA9</f>
        <v>0</v>
      </c>
      <c r="AYE9" s="593">
        <f>'Proy 2022 vs 2019 sem'!IJ8*AYH$4</f>
        <v>10451.408800000001</v>
      </c>
      <c r="AYF9" s="593">
        <f>'Proy 2022 vs 2019 sem'!IK8*AYH$4</f>
        <v>10346.894711999999</v>
      </c>
      <c r="AYG9" s="699"/>
      <c r="AYH9" s="700">
        <f>AYG9/AYE9</f>
        <v>0</v>
      </c>
      <c r="AYI9" s="593">
        <f>'Proy 2022 vs 2019 sem'!IJ8*AYL$4</f>
        <v>11944.467199999999</v>
      </c>
      <c r="AYJ9" s="593">
        <f>'Proy 2022 vs 2019 sem'!IK8*AYL$4</f>
        <v>11825.022528</v>
      </c>
      <c r="AYK9" s="699"/>
      <c r="AYL9" s="700">
        <f>AYK9/AYI9</f>
        <v>0</v>
      </c>
      <c r="AYM9" s="593">
        <f>'Proy 2022 vs 2019 sem'!IJ8*AYP$4</f>
        <v>16423.642400000001</v>
      </c>
      <c r="AYN9" s="593">
        <f>'Proy 2022 vs 2019 sem'!IK8*AYP$4</f>
        <v>16259.405975999998</v>
      </c>
      <c r="AYO9" s="699"/>
      <c r="AYP9" s="700">
        <f>AYO9/AYM9</f>
        <v>0</v>
      </c>
      <c r="AYQ9" s="579">
        <f>AXO9+AXS9+AXW9+AYA9+AYE9+AYI9+AYM9</f>
        <v>74652.92</v>
      </c>
      <c r="AYR9" s="574">
        <f>AXP9+AXT9+AXX9+AYB9+AYF9+AYJ9+AYN9</f>
        <v>73906.390799999994</v>
      </c>
      <c r="AYS9" s="794">
        <f>AXQ9+AXU9+AXY9+AYC9+AYG9+AYK9+AYO9</f>
        <v>0</v>
      </c>
      <c r="AYT9" s="786">
        <f>AYS9/AYQ9</f>
        <v>0</v>
      </c>
      <c r="AYU9" s="593">
        <f>'Proy 2022 vs 2019 sem'!IO8*AYX$4</f>
        <v>11015.07</v>
      </c>
      <c r="AYV9" s="593">
        <f>'Proy 2022 vs 2019 sem'!IP8*AYX$4</f>
        <v>10574.467199999999</v>
      </c>
      <c r="AYW9" s="699"/>
      <c r="AYX9" s="700">
        <f>AYW9/AYU9</f>
        <v>0</v>
      </c>
      <c r="AYY9" s="593">
        <f>'Proy 2022 vs 2019 sem'!IO8*AZB$4</f>
        <v>11015.07</v>
      </c>
      <c r="AYZ9" s="593">
        <f>'Proy 2022 vs 2019 sem'!IP8*AZB$4</f>
        <v>10574.467199999999</v>
      </c>
      <c r="AZA9" s="699"/>
      <c r="AZB9" s="700">
        <f>AZA9/AYY9</f>
        <v>0</v>
      </c>
      <c r="AZC9" s="593">
        <f>'Proy 2022 vs 2019 sem'!IO8*AZF$4</f>
        <v>11015.07</v>
      </c>
      <c r="AZD9" s="593">
        <f>'Proy 2022 vs 2019 sem'!IP8*AZF$4</f>
        <v>10574.467199999999</v>
      </c>
      <c r="AZE9" s="699"/>
      <c r="AZF9" s="700">
        <f>AZE9/AZC9</f>
        <v>0</v>
      </c>
      <c r="AZG9" s="593">
        <f>'Proy 2022 vs 2019 sem'!IO8*AZJ$4</f>
        <v>11015.07</v>
      </c>
      <c r="AZH9" s="593">
        <f>'Proy 2022 vs 2019 sem'!IP8*AZJ$4</f>
        <v>10574.467199999999</v>
      </c>
      <c r="AZI9" s="699"/>
      <c r="AZJ9" s="700">
        <f>AZI9/AZG9</f>
        <v>0</v>
      </c>
      <c r="AZK9" s="593">
        <f>'Proy 2022 vs 2019 sem'!IO8*AZN$4</f>
        <v>12850.915000000001</v>
      </c>
      <c r="AZL9" s="593">
        <f>'Proy 2022 vs 2019 sem'!IP8*AZN$4</f>
        <v>12336.878400000001</v>
      </c>
      <c r="AZM9" s="699"/>
      <c r="AZN9" s="700">
        <f>AZM9/AZK9</f>
        <v>0</v>
      </c>
      <c r="AZO9" s="593">
        <f>'Proy 2022 vs 2019 sem'!IO8*AZR$4</f>
        <v>14686.76</v>
      </c>
      <c r="AZP9" s="593">
        <f>'Proy 2022 vs 2019 sem'!IP8*AZR$4</f>
        <v>14099.2896</v>
      </c>
      <c r="AZQ9" s="699"/>
      <c r="AZR9" s="700">
        <f>AZQ9/AZO9</f>
        <v>0</v>
      </c>
      <c r="AZS9" s="593">
        <f>'Proy 2022 vs 2019 sem'!IO8*AZV$4</f>
        <v>20194.295000000002</v>
      </c>
      <c r="AZT9" s="593">
        <f>'Proy 2022 vs 2019 sem'!IP8*AZV$4</f>
        <v>19386.5232</v>
      </c>
      <c r="AZU9" s="699"/>
      <c r="AZV9" s="700">
        <f>AZU9/AZS9</f>
        <v>0</v>
      </c>
      <c r="AZW9" s="579">
        <f>AYU9+AYY9+AZC9+AZG9+AZK9+AZO9+AZS9</f>
        <v>91792.25</v>
      </c>
      <c r="AZX9" s="574">
        <f>AYV9+AYZ9+AZD9+AZH9+AZL9+AZP9+AZT9</f>
        <v>88120.56</v>
      </c>
      <c r="AZY9" s="785">
        <f>AYW9+AZA9+AZE9+AZI9+AZM9+AZQ9+AZU9</f>
        <v>0</v>
      </c>
      <c r="AZZ9" s="786">
        <f>AZY9/AZW9</f>
        <v>0</v>
      </c>
      <c r="BAA9" s="593">
        <f>'Proy 2022 vs 2019 sem'!IX8*BAD$4</f>
        <v>8081.3531999999996</v>
      </c>
      <c r="BAB9" s="593">
        <f>'Proy 2022 vs 2019 sem'!IY8*BAD$4</f>
        <v>7838.9126039999992</v>
      </c>
      <c r="BAC9" s="735"/>
      <c r="BAD9" s="700">
        <f>BAC9/BAA9</f>
        <v>0</v>
      </c>
      <c r="BAE9" s="593">
        <f>'Proy 2022 vs 2019 sem'!IX8*BAH$4</f>
        <v>8081.3531999999996</v>
      </c>
      <c r="BAF9" s="593">
        <f>'Proy 2022 vs 2019 sem'!IY8*BAH$4</f>
        <v>7838.9126039999992</v>
      </c>
      <c r="BAG9" s="699"/>
      <c r="BAH9" s="700">
        <f>BAG9/BAE9</f>
        <v>0</v>
      </c>
      <c r="BAI9" s="593">
        <f>'Proy 2022 vs 2019 sem'!IX8*BAL$4</f>
        <v>8081.3531999999996</v>
      </c>
      <c r="BAJ9" s="593">
        <f>'Proy 2022 vs 2019 sem'!IY8*BAL$4</f>
        <v>7838.9126039999992</v>
      </c>
      <c r="BAK9" s="699"/>
      <c r="BAL9" s="700">
        <f>BAK9/BAI9</f>
        <v>0</v>
      </c>
      <c r="BAM9" s="593">
        <f>'Proy 2022 vs 2019 sem'!IX8*BAP$4</f>
        <v>8081.3531999999996</v>
      </c>
      <c r="BAN9" s="593">
        <f>'Proy 2022 vs 2019 sem'!IY8*BAP$4</f>
        <v>7838.9126039999992</v>
      </c>
      <c r="BAO9" s="699"/>
      <c r="BAP9" s="700">
        <f>BAO9/BAM9</f>
        <v>0</v>
      </c>
      <c r="BAQ9" s="593">
        <f>'Proy 2022 vs 2019 sem'!IX8*BAT$4</f>
        <v>9428.2454000000016</v>
      </c>
      <c r="BAR9" s="593">
        <f>'Proy 2022 vs 2019 sem'!IY8*BAT$4</f>
        <v>9145.3980380000012</v>
      </c>
      <c r="BAS9" s="699"/>
      <c r="BAT9" s="700">
        <f>BAS9/BAQ9</f>
        <v>0</v>
      </c>
      <c r="BAU9" s="593">
        <f>'Proy 2022 vs 2019 sem'!IX8*BAX$4</f>
        <v>10775.1376</v>
      </c>
      <c r="BAV9" s="593">
        <f>'Proy 2022 vs 2019 sem'!IY8*BAX$4</f>
        <v>10451.883472</v>
      </c>
      <c r="BAW9" s="699"/>
      <c r="BAX9" s="700">
        <f>BAW9/BAU9</f>
        <v>0</v>
      </c>
      <c r="BAY9" s="593">
        <f>'Proy 2022 vs 2019 sem'!IX8*BBB$4</f>
        <v>14815.814200000001</v>
      </c>
      <c r="BAZ9" s="593">
        <f>'Proy 2022 vs 2019 sem'!IY8*BBB$4</f>
        <v>14371.339774</v>
      </c>
      <c r="BBA9" s="699"/>
      <c r="BBB9" s="700">
        <f>BBA9/BAY9</f>
        <v>0</v>
      </c>
      <c r="BBC9" s="579">
        <f>BAA9+BAE9+BAI9+BAM9+BAQ9+BAU9+BAY9</f>
        <v>67344.61</v>
      </c>
      <c r="BBD9" s="574">
        <f>BAB9+BAF9+BAJ9+BAN9+BAR9+BAV9+BAZ9</f>
        <v>65324.271699999998</v>
      </c>
      <c r="BBE9" s="759">
        <f>BAC9+BAG9+BAK9+BAO9+BAS9+BAW9+BBA9</f>
        <v>0</v>
      </c>
      <c r="BBF9" s="761">
        <f>BBE9/BBC9</f>
        <v>0</v>
      </c>
      <c r="BBG9" s="593">
        <f>'Proy 2022 vs 2019 sem'!JC8*BBJ$4</f>
        <v>8546.4875999999986</v>
      </c>
      <c r="BBH9" s="593">
        <f>'Proy 2022 vs 2019 sem'!JD8*BBJ$4</f>
        <v>8033.6983439999995</v>
      </c>
      <c r="BBI9" s="699"/>
      <c r="BBJ9" s="700">
        <f>BBI9/BBG9</f>
        <v>0</v>
      </c>
      <c r="BBK9" s="593">
        <f>'Proy 2022 vs 2019 sem'!JC8*BBN$4</f>
        <v>8546.4875999999986</v>
      </c>
      <c r="BBL9" s="593">
        <f>'Proy 2022 vs 2019 sem'!JD8*BBN$4</f>
        <v>8033.6983439999995</v>
      </c>
      <c r="BBM9" s="699"/>
      <c r="BBN9" s="700">
        <f>BBM9/BBK9</f>
        <v>0</v>
      </c>
      <c r="BBO9" s="593">
        <f>'Proy 2022 vs 2019 sem'!JC8*BBR$4</f>
        <v>8546.4875999999986</v>
      </c>
      <c r="BBP9" s="593">
        <f>'Proy 2022 vs 2019 sem'!JD8*BBR$4</f>
        <v>8033.6983439999995</v>
      </c>
      <c r="BBQ9" s="699"/>
      <c r="BBR9" s="700">
        <f>BBQ9/BBO9</f>
        <v>0</v>
      </c>
      <c r="BBS9" s="593">
        <f>'Proy 2022 vs 2019 sem'!JC8*BBV$4</f>
        <v>8546.4875999999986</v>
      </c>
      <c r="BBT9" s="593">
        <f>'Proy 2022 vs 2019 sem'!JD8*BBV$4</f>
        <v>8033.6983439999995</v>
      </c>
      <c r="BBU9" s="699"/>
      <c r="BBV9" s="700">
        <f>BBU9/BBS9</f>
        <v>0</v>
      </c>
      <c r="BBW9" s="593">
        <f>'Proy 2022 vs 2019 sem'!JC8*BBZ$4</f>
        <v>9970.9022000000004</v>
      </c>
      <c r="BBX9" s="593">
        <f>'Proy 2022 vs 2019 sem'!JD8*BBZ$4</f>
        <v>9372.6480680000004</v>
      </c>
      <c r="BBY9" s="699"/>
      <c r="BBZ9" s="700">
        <f>BBY9/BBW9</f>
        <v>0</v>
      </c>
      <c r="BCA9" s="593">
        <f>'Proy 2022 vs 2019 sem'!JC8*BCD$4</f>
        <v>11395.316799999999</v>
      </c>
      <c r="BCB9" s="593">
        <f>'Proy 2022 vs 2019 sem'!JD8*BCD$4</f>
        <v>10711.597792</v>
      </c>
      <c r="BCC9" s="699"/>
      <c r="BCD9" s="700">
        <f>BCC9/BCA9</f>
        <v>0</v>
      </c>
      <c r="BCE9" s="593">
        <f>'Proy 2022 vs 2019 sem'!JC8*BCH$4</f>
        <v>15668.560599999999</v>
      </c>
      <c r="BCF9" s="593">
        <f>'Proy 2022 vs 2019 sem'!JD8*BCH$4</f>
        <v>14728.446964000001</v>
      </c>
      <c r="BCG9" s="699"/>
      <c r="BCH9" s="700">
        <f>BCG9/BCE9</f>
        <v>0</v>
      </c>
      <c r="BCI9" s="579">
        <f>BBG9+BBK9+BBO9+BBS9+BBW9+BCA9+BCE9</f>
        <v>71220.73</v>
      </c>
      <c r="BCJ9" s="574">
        <f>BBH9+BBL9+BBP9+BBT9+BBX9+BCB9+BCF9</f>
        <v>66947.486199999999</v>
      </c>
      <c r="BCK9" s="765">
        <f>BBI9+BBM9+BBQ9+BBU9+BBY9+BCC9+BCG9</f>
        <v>0</v>
      </c>
      <c r="BCL9" s="761">
        <f>BCK9/BCI9</f>
        <v>0</v>
      </c>
      <c r="BCM9" s="593">
        <f>'Proy 2022 vs 2019 sem'!JH8*BCP$4</f>
        <v>13162.5744</v>
      </c>
      <c r="BCN9" s="593">
        <f>'Proy 2022 vs 2019 sem'!JI8*BCP$4</f>
        <v>12504.445679999999</v>
      </c>
      <c r="BCO9" s="699"/>
      <c r="BCP9" s="700">
        <f>BCO9/BCM9</f>
        <v>0</v>
      </c>
      <c r="BCQ9" s="593">
        <f>'Proy 2022 vs 2019 sem'!JH8*BCT$4</f>
        <v>13162.5744</v>
      </c>
      <c r="BCR9" s="593">
        <f>'Proy 2022 vs 2019 sem'!JI8*BCT$4</f>
        <v>12504.445679999999</v>
      </c>
      <c r="BCS9" s="699"/>
      <c r="BCT9" s="700">
        <f>BCS9/BCQ9</f>
        <v>0</v>
      </c>
      <c r="BCU9" s="593">
        <f>'Proy 2022 vs 2019 sem'!JH8*BCX$4</f>
        <v>13162.5744</v>
      </c>
      <c r="BCV9" s="593">
        <f>'Proy 2022 vs 2019 sem'!JI8*BCX$4</f>
        <v>12504.445679999999</v>
      </c>
      <c r="BCW9" s="699"/>
      <c r="BCX9" s="700">
        <f>BCW9/BCU9</f>
        <v>0</v>
      </c>
      <c r="BCY9" s="593">
        <f>'Proy 2022 vs 2019 sem'!JH8*BDB$4</f>
        <v>13162.5744</v>
      </c>
      <c r="BCZ9" s="593">
        <f>'Proy 2022 vs 2019 sem'!JI8*BDB$4</f>
        <v>12504.445679999999</v>
      </c>
      <c r="BDA9" s="699"/>
      <c r="BDB9" s="700">
        <f>BDA9/BCY9</f>
        <v>0</v>
      </c>
      <c r="BDC9" s="593">
        <f>'Proy 2022 vs 2019 sem'!JH8*BDF$4</f>
        <v>15356.336800000001</v>
      </c>
      <c r="BDD9" s="593">
        <f>'Proy 2022 vs 2019 sem'!JI8*BDF$4</f>
        <v>14588.51996</v>
      </c>
      <c r="BDE9" s="699"/>
      <c r="BDF9" s="700">
        <f>BDE9/BDC9</f>
        <v>0</v>
      </c>
      <c r="BDG9" s="593">
        <f>'Proy 2022 vs 2019 sem'!JH8*BDJ$4</f>
        <v>17550.099200000001</v>
      </c>
      <c r="BDH9" s="593">
        <f>'Proy 2022 vs 2019 sem'!JI8*BDJ$4</f>
        <v>16672.594239999999</v>
      </c>
      <c r="BDI9" s="699"/>
      <c r="BDJ9" s="700">
        <f>BDI9/BDG9</f>
        <v>0</v>
      </c>
      <c r="BDK9" s="593">
        <f>'Proy 2022 vs 2019 sem'!JH8*BDN$4</f>
        <v>24131.386399999999</v>
      </c>
      <c r="BDL9" s="593">
        <f>'Proy 2022 vs 2019 sem'!JI8*BDN$4</f>
        <v>22924.817079999997</v>
      </c>
      <c r="BDM9" s="699"/>
      <c r="BDN9" s="700">
        <f>BDM9/BDK9</f>
        <v>0</v>
      </c>
      <c r="BDO9" s="579">
        <f>BCM9+BCQ9+BCU9+BCY9+BDC9+BDG9+BDK9</f>
        <v>109688.12</v>
      </c>
      <c r="BDP9" s="574">
        <f>BCN9+BCR9+BCV9+BCZ9+BDD9+BDH9+BDL9</f>
        <v>104203.71399999999</v>
      </c>
      <c r="BDQ9" s="765">
        <f>BCO9+BCS9+BCW9+BDA9+BDE9+BDI9+BDM9</f>
        <v>0</v>
      </c>
      <c r="BDR9" s="761">
        <f>BDQ9/BDO9</f>
        <v>0</v>
      </c>
      <c r="BDS9" s="593">
        <f>'Proy 2022 vs 2019 sem'!JM8*BDV$4</f>
        <v>12342.6888</v>
      </c>
      <c r="BDT9" s="593">
        <f>'Proy 2022 vs 2019 sem'!JN8*BDV$4</f>
        <v>11725.554359999998</v>
      </c>
      <c r="BDU9" s="699"/>
      <c r="BDV9" s="700">
        <f>BDU9/BDS9</f>
        <v>0</v>
      </c>
      <c r="BDW9" s="593">
        <f>'Proy 2022 vs 2019 sem'!JM8*BDZ$4</f>
        <v>12342.6888</v>
      </c>
      <c r="BDX9" s="593">
        <f>'Proy 2022 vs 2019 sem'!JN8*BDZ$4</f>
        <v>11725.554359999998</v>
      </c>
      <c r="BDY9" s="699"/>
      <c r="BDZ9" s="700">
        <f>BDY9/BDW9</f>
        <v>0</v>
      </c>
      <c r="BEA9" s="593">
        <f>'Proy 2022 vs 2019 sem'!JM8*BED$4</f>
        <v>12342.6888</v>
      </c>
      <c r="BEB9" s="593">
        <f>'Proy 2022 vs 2019 sem'!JN8*BED$4</f>
        <v>11725.554359999998</v>
      </c>
      <c r="BEC9" s="699"/>
      <c r="BED9" s="700">
        <f>BEC9/BEA9</f>
        <v>0</v>
      </c>
      <c r="BEE9" s="593">
        <v>14488.990400000001</v>
      </c>
      <c r="BEF9" s="593">
        <f>'Proy 2022 vs 2019 sem'!JN8*BEH$4</f>
        <v>11725.554359999998</v>
      </c>
      <c r="BEG9" s="699"/>
      <c r="BEH9" s="700">
        <f>BEG9/BEE9</f>
        <v>0</v>
      </c>
      <c r="BEI9" s="593">
        <f>'Proy 2022 vs 2019 sem'!JM8*BEL$4</f>
        <v>14399.803600000003</v>
      </c>
      <c r="BEJ9" s="593">
        <f>'Proy 2022 vs 2019 sem'!JN8*BEL$4</f>
        <v>13679.81342</v>
      </c>
      <c r="BEK9" s="699"/>
      <c r="BEL9" s="700">
        <f>BEK9/BEI9</f>
        <v>0</v>
      </c>
      <c r="BEM9" s="593">
        <f>'Proy 2022 vs 2019 sem'!JM8*BEP$4</f>
        <v>16456.918400000002</v>
      </c>
      <c r="BEN9" s="593">
        <f>'Proy 2022 vs 2019 sem'!JN8*BEP$4</f>
        <v>15634.072479999999</v>
      </c>
      <c r="BEO9" s="699"/>
      <c r="BEP9" s="700">
        <f>BEO9/BEM9</f>
        <v>0</v>
      </c>
      <c r="BEQ9" s="593">
        <f>'Proy 2022 vs 2019 sem'!JM8*BET$4</f>
        <v>22628.2628</v>
      </c>
      <c r="BER9" s="593">
        <f>'Proy 2022 vs 2019 sem'!JN8*BET$4</f>
        <v>21496.84966</v>
      </c>
      <c r="BES9" s="699"/>
      <c r="BET9" s="700">
        <f>BES9/BEQ9</f>
        <v>0</v>
      </c>
      <c r="BEU9" s="579">
        <f>BDS9+BDW9+BEA9+BEE9+BEI9+BEM9+BEQ9</f>
        <v>105002.0416</v>
      </c>
      <c r="BEV9" s="574">
        <f>BDT9+BDX9+BEB9+BEF9+BEJ9+BEN9+BER9</f>
        <v>97712.95299999998</v>
      </c>
      <c r="BEW9" s="770">
        <f>BDU9+BDY9+BEC9+BEG9+BEK9+BEO9+BES9</f>
        <v>0</v>
      </c>
      <c r="BEX9" s="761">
        <f>BEW9/BEU9</f>
        <v>0</v>
      </c>
      <c r="BEY9" s="593">
        <f>'Proy 2022 vs 2019 sem'!JV8*BFB$4</f>
        <v>15412.461599999999</v>
      </c>
      <c r="BEZ9" s="593">
        <f>'Proy 2022 vs 2019 sem'!JW8*BFB$4</f>
        <v>14487.713903999998</v>
      </c>
      <c r="BFA9" s="735"/>
      <c r="BFB9" s="700">
        <f>BFA9/BEY9</f>
        <v>0</v>
      </c>
      <c r="BFC9" s="593">
        <f>'Proy 2022 vs 2019 sem'!JV8*BFF$4</f>
        <v>15412.461599999999</v>
      </c>
      <c r="BFD9" s="593">
        <f>'Proy 2022 vs 2019 sem'!JW8*BFF$4</f>
        <v>14487.713903999998</v>
      </c>
      <c r="BFE9" s="735"/>
      <c r="BFF9" s="700">
        <f>BFE9/BFC9</f>
        <v>0</v>
      </c>
      <c r="BFG9" s="593">
        <f>'Proy 2022 vs 2019 sem'!JV8*BFJ$4</f>
        <v>15412.461599999999</v>
      </c>
      <c r="BFH9" s="593">
        <f>'Proy 2022 vs 2019 sem'!JW8*BFJ$4</f>
        <v>14487.713903999998</v>
      </c>
      <c r="BFI9" s="735"/>
      <c r="BFJ9" s="700">
        <f>BFI9/BFG9</f>
        <v>0</v>
      </c>
      <c r="BFK9" s="593">
        <f>'Proy 2022 vs 2019 sem'!JV8*BFN$4</f>
        <v>15412.461599999999</v>
      </c>
      <c r="BFL9" s="593">
        <f>'Proy 2022 vs 2019 sem'!JW8*BFN$4</f>
        <v>14487.713903999998</v>
      </c>
      <c r="BFM9" s="735"/>
      <c r="BFN9" s="700">
        <f>BFM9/BFK9</f>
        <v>0</v>
      </c>
      <c r="BFO9" s="593">
        <f>'Proy 2022 vs 2019 sem'!JV8*BFR$4</f>
        <v>17981.2052</v>
      </c>
      <c r="BFP9" s="593">
        <f>'Proy 2022 vs 2019 sem'!JW8*BFR$4</f>
        <v>16902.332888000001</v>
      </c>
      <c r="BFQ9" s="735"/>
      <c r="BFR9" s="700">
        <f>BFQ9/BFO9</f>
        <v>0</v>
      </c>
      <c r="BFS9" s="593">
        <f>'Proy 2022 vs 2019 sem'!JV8*BFV$4</f>
        <v>20549.948799999998</v>
      </c>
      <c r="BFT9" s="593">
        <f>'Proy 2022 vs 2019 sem'!JW8*BFV$4</f>
        <v>19316.951871999998</v>
      </c>
      <c r="BFU9" s="735"/>
      <c r="BFV9" s="700">
        <f>BFU9/BFS9</f>
        <v>0</v>
      </c>
      <c r="BFW9" s="593">
        <f>'Proy 2022 vs 2019 sem'!JV8*BFZ$4</f>
        <v>28256.179599999999</v>
      </c>
      <c r="BFX9" s="593">
        <f>'Proy 2022 vs 2019 sem'!JW8*BFZ$4</f>
        <v>26560.808823999996</v>
      </c>
      <c r="BFY9" s="735"/>
      <c r="BFZ9" s="700">
        <f>BFY9/BFW9</f>
        <v>0</v>
      </c>
      <c r="BGA9" s="579">
        <f>BEY9+BFC9+BFG9+BFK9+BFO9+BFS9+BFW9</f>
        <v>128437.18</v>
      </c>
      <c r="BGB9" s="574">
        <f>BEZ9+BFD9+BFH9+BFL9+BFP9+BFT9+BFX9</f>
        <v>120730.94919999999</v>
      </c>
      <c r="BGC9" s="729">
        <f>BFA9+BFE9+BFI9+BFM9+BFQ9+BFU9+BFY9</f>
        <v>0</v>
      </c>
      <c r="BGD9" s="711">
        <f>BGC9/BGA9</f>
        <v>0</v>
      </c>
      <c r="BGE9" s="593">
        <f>'Proy 2022 vs 2019 sem'!KA8*BGH$4</f>
        <v>17515.5612</v>
      </c>
      <c r="BGF9" s="593">
        <f>'Proy 2022 vs 2019 sem'!KB8*BGH$4</f>
        <v>16289.471916</v>
      </c>
      <c r="BGG9" s="699"/>
      <c r="BGH9" s="700">
        <f>BGG9/BGE9</f>
        <v>0</v>
      </c>
      <c r="BGI9" s="593">
        <f>'Proy 2022 vs 2019 sem'!KA8*BGL$4</f>
        <v>17515.5612</v>
      </c>
      <c r="BGJ9" s="593">
        <f>'Proy 2022 vs 2019 sem'!KB8*BGL$4</f>
        <v>16289.471916</v>
      </c>
      <c r="BGK9" s="699"/>
      <c r="BGL9" s="700">
        <f>BGK9/BGI9</f>
        <v>0</v>
      </c>
      <c r="BGM9" s="593">
        <f>'Proy 2022 vs 2019 sem'!KA8*BGP$4</f>
        <v>17515.5612</v>
      </c>
      <c r="BGN9" s="593">
        <f>'Proy 2022 vs 2019 sem'!KB8*BGP$4</f>
        <v>16289.471916</v>
      </c>
      <c r="BGO9" s="699"/>
      <c r="BGP9" s="700">
        <f>BGO9/BGM9</f>
        <v>0</v>
      </c>
      <c r="BGQ9" s="593">
        <f>'Proy 2022 vs 2019 sem'!KA8*BGT$4</f>
        <v>17515.5612</v>
      </c>
      <c r="BGR9" s="593">
        <f>'Proy 2022 vs 2019 sem'!KB8*BGT$4</f>
        <v>16289.471916</v>
      </c>
      <c r="BGS9" s="699"/>
      <c r="BGT9" s="700">
        <f>BGS9/BGQ9</f>
        <v>0</v>
      </c>
      <c r="BGU9" s="593">
        <f>'Proy 2022 vs 2019 sem'!KA8*BGX$4</f>
        <v>20434.821400000004</v>
      </c>
      <c r="BGV9" s="593">
        <f>'Proy 2022 vs 2019 sem'!KB8*BGX$4</f>
        <v>19004.383902000001</v>
      </c>
      <c r="BGW9" s="699"/>
      <c r="BGX9" s="700">
        <f>BGW9/BGU9</f>
        <v>0</v>
      </c>
      <c r="BGY9" s="593">
        <f>'Proy 2022 vs 2019 sem'!KA8*BHB$4</f>
        <v>23354.081600000001</v>
      </c>
      <c r="BGZ9" s="593">
        <f>'Proy 2022 vs 2019 sem'!KB8*BHB$4</f>
        <v>21719.295888000001</v>
      </c>
      <c r="BHA9" s="699"/>
      <c r="BHB9" s="700">
        <f>BHA9/BGY9</f>
        <v>0</v>
      </c>
      <c r="BHC9" s="593">
        <f>'Proy 2022 vs 2019 sem'!KA8*BHF$4</f>
        <v>32111.862200000003</v>
      </c>
      <c r="BHD9" s="593">
        <f>'Proy 2022 vs 2019 sem'!KB8*BHF$4</f>
        <v>29864.031846000002</v>
      </c>
      <c r="BHE9" s="699"/>
      <c r="BHF9" s="700">
        <f>BHE9/BHC9</f>
        <v>0</v>
      </c>
      <c r="BHG9" s="579">
        <f>BGE9+BGI9+BGM9+BGQ9+BGU9+BGY9+BHC9</f>
        <v>145963.01</v>
      </c>
      <c r="BHH9" s="574">
        <f>BGF9+BGJ9+BGN9+BGR9+BGV9+BGZ9+BHD9</f>
        <v>135745.5993</v>
      </c>
      <c r="BHI9" s="730">
        <f>BGG9+BGK9+BGO9+BGS9+BGW9+BHA9+BHE9</f>
        <v>0</v>
      </c>
      <c r="BHJ9" s="711">
        <f>BHI9/BHG9</f>
        <v>0</v>
      </c>
      <c r="BHK9" s="593">
        <f>'Proy 2022 vs 2019 sem'!KF8*BHN$4</f>
        <v>21323.2356</v>
      </c>
      <c r="BHL9" s="593">
        <f>'Proy 2022 vs 2019 sem'!KG8*BHN$4</f>
        <v>19830.609108000001</v>
      </c>
      <c r="BHM9" s="699"/>
      <c r="BHN9" s="700">
        <f>BHM9/BHK9</f>
        <v>0</v>
      </c>
      <c r="BHO9" s="593">
        <f>'Proy 2022 vs 2019 sem'!KF8*BHR$4</f>
        <v>21323.2356</v>
      </c>
      <c r="BHP9" s="593">
        <f>'Proy 2022 vs 2019 sem'!KG8*BHR$4</f>
        <v>19830.609108000001</v>
      </c>
      <c r="BHQ9" s="699"/>
      <c r="BHR9" s="700">
        <f>BHQ9/BHO9</f>
        <v>0</v>
      </c>
      <c r="BHS9" s="593">
        <f>'Proy 2022 vs 2019 sem'!KF8*BHV$4</f>
        <v>21323.2356</v>
      </c>
      <c r="BHT9" s="593">
        <f>'Proy 2022 vs 2019 sem'!KG8*BHV$4</f>
        <v>19830.609108000001</v>
      </c>
      <c r="BHU9" s="699"/>
      <c r="BHV9" s="700">
        <f>BHU9/BHS9</f>
        <v>0</v>
      </c>
      <c r="BHW9" s="593">
        <f>'Proy 2022 vs 2019 sem'!KF8*BHZ$4</f>
        <v>21323.2356</v>
      </c>
      <c r="BHX9" s="593">
        <f>'Proy 2022 vs 2019 sem'!KG8*BHZ$4</f>
        <v>19830.609108000001</v>
      </c>
      <c r="BHY9" s="699"/>
      <c r="BHZ9" s="700">
        <f>BHY9/BHW9</f>
        <v>0</v>
      </c>
      <c r="BIA9" s="593">
        <f>'Proy 2022 vs 2019 sem'!KF8*BID$4</f>
        <v>24877.108200000002</v>
      </c>
      <c r="BIB9" s="593">
        <f>'Proy 2022 vs 2019 sem'!KG8*BID$4</f>
        <v>23135.710626000007</v>
      </c>
      <c r="BIC9" s="699"/>
      <c r="BID9" s="700">
        <f>BIC9/BIA9</f>
        <v>0</v>
      </c>
      <c r="BIE9" s="593">
        <f>'Proy 2022 vs 2019 sem'!KF8*BIH$4</f>
        <v>28430.980800000001</v>
      </c>
      <c r="BIF9" s="593">
        <f>'Proy 2022 vs 2019 sem'!KG8*BIH$4</f>
        <v>26440.812144000003</v>
      </c>
      <c r="BIG9" s="699"/>
      <c r="BIH9" s="700">
        <f>BIG9/BIE9</f>
        <v>0</v>
      </c>
      <c r="BII9" s="593">
        <f>'Proy 2022 vs 2019 sem'!KF8*BIL$4</f>
        <v>39092.598600000005</v>
      </c>
      <c r="BIJ9" s="593">
        <f>'Proy 2022 vs 2019 sem'!KG8*BIL$4</f>
        <v>36356.116698000005</v>
      </c>
      <c r="BIK9" s="699"/>
      <c r="BIL9" s="700">
        <f>BIK9/BII9</f>
        <v>0</v>
      </c>
      <c r="BIM9" s="579">
        <f>BHK9+BHO9+BHS9+BHW9+BIA9+BIE9+BII9</f>
        <v>177693.63</v>
      </c>
      <c r="BIN9" s="574">
        <f>BHL9+BHP9+BHT9+BHX9+BIB9+BIF9+BIJ9</f>
        <v>165255.0759</v>
      </c>
      <c r="BIO9" s="730">
        <f>BHM9+BHQ9+BHU9+BHY9+BIC9+BIG9+BIK9</f>
        <v>0</v>
      </c>
      <c r="BIP9" s="711">
        <f>BIO9/BIM9</f>
        <v>0</v>
      </c>
      <c r="BIQ9" s="593">
        <f>'Proy 2022 vs 2019 sem'!KK8*BIT$4</f>
        <v>23281.2408</v>
      </c>
      <c r="BIR9" s="593">
        <f>'Proy 2022 vs 2019 sem'!KL8*BIT$4</f>
        <v>21651.553944000003</v>
      </c>
      <c r="BIS9" s="699"/>
      <c r="BIT9" s="700">
        <f>BIS9/BIQ9</f>
        <v>0</v>
      </c>
      <c r="BIU9" s="593">
        <f>'Proy 2022 vs 2019 sem'!KK8*BIX$4</f>
        <v>23281.2408</v>
      </c>
      <c r="BIV9" s="593">
        <f>'Proy 2022 vs 2019 sem'!KL8*BIX$4</f>
        <v>21651.553944000003</v>
      </c>
      <c r="BIW9" s="699"/>
      <c r="BIX9" s="700">
        <f>BIW9/BIU9</f>
        <v>0</v>
      </c>
      <c r="BIY9" s="593">
        <f>'Proy 2022 vs 2019 sem'!KK8*BJB$4</f>
        <v>23281.2408</v>
      </c>
      <c r="BIZ9" s="593">
        <f>'Proy 2022 vs 2019 sem'!KL8*BJB$4</f>
        <v>21651.553944000003</v>
      </c>
      <c r="BJA9" s="699"/>
      <c r="BJB9" s="700">
        <f>BJA9/BIY9</f>
        <v>0</v>
      </c>
      <c r="BJC9" s="593">
        <f>'Proy 2022 vs 2019 sem'!KK8*BJF$4</f>
        <v>23281.2408</v>
      </c>
      <c r="BJD9" s="593">
        <f>'Proy 2022 vs 2019 sem'!KL8*BJF$4</f>
        <v>21651.553944000003</v>
      </c>
      <c r="BJE9" s="699"/>
      <c r="BJF9" s="700">
        <f>BJE9/BJC9</f>
        <v>0</v>
      </c>
      <c r="BJG9" s="593">
        <f>'Proy 2022 vs 2019 sem'!KK8*BJJ$4</f>
        <v>27161.447600000003</v>
      </c>
      <c r="BJH9" s="593">
        <f>'Proy 2022 vs 2019 sem'!KL8*BJJ$4</f>
        <v>25260.146268000004</v>
      </c>
      <c r="BJI9" s="699"/>
      <c r="BJJ9" s="700">
        <f>BJI9/BJG9</f>
        <v>0</v>
      </c>
      <c r="BJK9" s="593">
        <f>'Proy 2022 vs 2019 sem'!KK8*BJN$4</f>
        <v>31041.654399999999</v>
      </c>
      <c r="BJL9" s="593">
        <f>'Proy 2022 vs 2019 sem'!KL8*BJN$4</f>
        <v>28868.738592000005</v>
      </c>
      <c r="BJM9" s="699"/>
      <c r="BJN9" s="700">
        <f>BJM9/BJK9</f>
        <v>0</v>
      </c>
      <c r="BJO9" s="593">
        <f>'Proy 2022 vs 2019 sem'!KK8*BJR$4</f>
        <v>42682.274799999999</v>
      </c>
      <c r="BJP9" s="593">
        <f>'Proy 2022 vs 2019 sem'!KL8*BJR$4</f>
        <v>39694.515564000001</v>
      </c>
      <c r="BJQ9" s="699"/>
      <c r="BJR9" s="700">
        <f>BJQ9/BJO9</f>
        <v>0</v>
      </c>
      <c r="BJS9" s="579">
        <f>BIQ9+BIU9+BIY9+BJC9+BJG9+BJK9+BJO9</f>
        <v>194010.34000000003</v>
      </c>
      <c r="BJT9" s="574">
        <f>BIR9+BIV9+BIZ9+BJD9+BJH9+BJL9+BJP9</f>
        <v>180429.61620000002</v>
      </c>
      <c r="BJU9" s="710">
        <f>BIS9+BIW9+BJA9+BJE9+BJI9+BJM9+BJQ9</f>
        <v>0</v>
      </c>
      <c r="BJV9" s="711">
        <f>BJU9/BJS9</f>
        <v>0</v>
      </c>
      <c r="BJW9" s="593">
        <f>'Proy 2022 vs 2019 sem'!KP8*BJZ$4</f>
        <v>7053.9384</v>
      </c>
      <c r="BJX9" s="593">
        <f>'Proy 2022 vs 2019 sem'!KQ8*BJZ$4</f>
        <v>6701.2414799999997</v>
      </c>
      <c r="BJY9" s="699"/>
      <c r="BJZ9" s="700">
        <f>BJY9/BJW9</f>
        <v>0</v>
      </c>
      <c r="BKA9" s="593">
        <f>'Proy 2022 vs 2019 sem'!KP8*BKD$4</f>
        <v>7053.9384</v>
      </c>
      <c r="BKB9" s="593">
        <f>'Proy 2022 vs 2019 sem'!KQ8*BKD$4</f>
        <v>6701.2414799999997</v>
      </c>
      <c r="BKC9" s="699"/>
      <c r="BKD9" s="700">
        <f>BKC9/BKA9</f>
        <v>0</v>
      </c>
      <c r="BKE9" s="593">
        <f>'Proy 2022 vs 2019 sem'!KP8*BKH$4</f>
        <v>7053.9384</v>
      </c>
      <c r="BKF9" s="593">
        <f>'Proy 2022 vs 2019 sem'!KQ8*BKH$4</f>
        <v>6701.2414799999997</v>
      </c>
      <c r="BKG9" s="699"/>
      <c r="BKH9" s="700">
        <f>BKG9/BKE9</f>
        <v>0</v>
      </c>
      <c r="BKI9" s="593">
        <f>'Proy 2022 vs 2019 sem'!KP8*BKL$4</f>
        <v>7053.9384</v>
      </c>
      <c r="BKJ9" s="593">
        <f>'Proy 2022 vs 2019 sem'!KQ8*BKL$4</f>
        <v>6701.2414799999997</v>
      </c>
      <c r="BKK9" s="699"/>
      <c r="BKL9" s="700">
        <f>BKK9/BKI9</f>
        <v>0</v>
      </c>
      <c r="BKM9" s="593">
        <f>'Proy 2022 vs 2019 sem'!KP8*BKP$4</f>
        <v>8229.5948000000008</v>
      </c>
      <c r="BKN9" s="593">
        <f>'Proy 2022 vs 2019 sem'!KQ8*BKP$4</f>
        <v>7818.1150600000001</v>
      </c>
      <c r="BKO9" s="699"/>
      <c r="BKP9" s="700">
        <f>BKO9/BKM9</f>
        <v>0</v>
      </c>
      <c r="BKQ9" s="593">
        <f>'Proy 2022 vs 2019 sem'!KP8*BKT$4</f>
        <v>9405.2512000000006</v>
      </c>
      <c r="BKR9" s="593">
        <f>'Proy 2022 vs 2019 sem'!KQ8*BKT$4</f>
        <v>8934.9886399999996</v>
      </c>
      <c r="BKS9" s="699"/>
      <c r="BKT9" s="700">
        <f>BKS9/BKQ9</f>
        <v>0</v>
      </c>
      <c r="BKU9" s="593">
        <f>'Proy 2022 vs 2019 sem'!KP8*BKX$4</f>
        <v>12932.2204</v>
      </c>
      <c r="BKV9" s="593">
        <f>'Proy 2022 vs 2019 sem'!KQ8*BKX$4</f>
        <v>12285.60938</v>
      </c>
      <c r="BKW9" s="699"/>
      <c r="BKX9" s="700">
        <f>BKW9/BKU9</f>
        <v>0</v>
      </c>
      <c r="BKY9" s="579">
        <f>BJW9+BKA9+BKE9+BKI9+BKM9+BKQ9+BKU9</f>
        <v>58782.82</v>
      </c>
      <c r="BKZ9" s="574">
        <f>BJX9+BKB9+BKF9+BKJ9+BKN9+BKR9+BKV9</f>
        <v>55843.678999999996</v>
      </c>
      <c r="BLA9" s="710">
        <f>BJY9+BKC9+BKG9+BKK9+BKO9+BKS9+BKW9</f>
        <v>0</v>
      </c>
      <c r="BLB9" s="711">
        <f>BLA9/BKY9</f>
        <v>0</v>
      </c>
    </row>
    <row r="10" spans="2:1666" ht="19.5" customHeight="1">
      <c r="B10" s="934" t="s">
        <v>472</v>
      </c>
      <c r="C10" s="593">
        <f>'Proy 2022 vs 2019 sem'!$C$6*$F$4</f>
        <v>9529.1268</v>
      </c>
      <c r="D10" s="593">
        <f>'Proy 2022 vs 2019 sem'!$D$6*$F$4</f>
        <v>8480.9228519999997</v>
      </c>
      <c r="E10" s="735"/>
      <c r="F10" s="700">
        <f>E10/C10</f>
        <v>0</v>
      </c>
      <c r="G10" s="1414">
        <f>'Proy 2022 vs 2019 sem'!C9*$J$4</f>
        <v>7066.5935999999992</v>
      </c>
      <c r="H10" s="593">
        <f>'Proy 2022 vs 2019 sem'!D9*$J$4</f>
        <v>6289.2683039999993</v>
      </c>
      <c r="I10" s="735"/>
      <c r="J10" s="700">
        <f>I10/G10</f>
        <v>0</v>
      </c>
      <c r="K10" s="593">
        <f>'Proy 2022 vs 2019 sem'!C9*$N$4</f>
        <v>7066.5935999999992</v>
      </c>
      <c r="L10" s="593">
        <f>'Proy 2022 vs 2019 sem'!D9*N$4</f>
        <v>6289.2683039999993</v>
      </c>
      <c r="M10" s="735"/>
      <c r="N10" s="700">
        <f>M10/K10</f>
        <v>0</v>
      </c>
      <c r="O10" s="593">
        <f>'Proy 2022 vs 2019 sem'!C9*R$4</f>
        <v>7066.5935999999992</v>
      </c>
      <c r="P10" s="593">
        <f>'Proy 2022 vs 2019 sem'!D9*$R$4</f>
        <v>6289.2683039999993</v>
      </c>
      <c r="Q10" s="735"/>
      <c r="R10" s="700">
        <f>Q10/O10</f>
        <v>0</v>
      </c>
      <c r="S10" s="593">
        <f>'Proy 2022 vs 2019 sem'!C9*V$4</f>
        <v>8244.3592000000008</v>
      </c>
      <c r="T10" s="593">
        <f>'Proy 2022 vs 2019 sem'!D9*V$4</f>
        <v>7337.4796880000004</v>
      </c>
      <c r="U10" s="735"/>
      <c r="V10" s="700">
        <f>U10/S10</f>
        <v>0</v>
      </c>
      <c r="W10" s="593">
        <f>'Proy 2022 vs 2019 sem'!C9*Z$4</f>
        <v>9422.1247999999996</v>
      </c>
      <c r="X10" s="593">
        <f>'Proy 2022 vs 2019 sem'!D9*Z$4</f>
        <v>8385.6910719999996</v>
      </c>
      <c r="Y10" s="735"/>
      <c r="Z10" s="700">
        <f>Y10/W10</f>
        <v>0</v>
      </c>
      <c r="AA10" s="593">
        <f>'Proy 2022 vs 2019 sem'!C9*AD$4</f>
        <v>12955.4216</v>
      </c>
      <c r="AB10" s="593">
        <f>'Proy 2022 vs 2019 sem'!D9*AD$4</f>
        <v>11530.325224</v>
      </c>
      <c r="AC10" s="735"/>
      <c r="AD10" s="700">
        <f>AC10/AA10</f>
        <v>0</v>
      </c>
      <c r="AE10" s="579">
        <f>C10+G10+K10+O10+S10+W10+AA10</f>
        <v>61350.813199999997</v>
      </c>
      <c r="AF10" s="574">
        <f>D10+H10+L10+P10+T10+X10+AB10</f>
        <v>54602.223747999997</v>
      </c>
      <c r="AG10" s="729">
        <f>E10+I10+M10+Q10+U10+Y10+AC10</f>
        <v>0</v>
      </c>
      <c r="AH10" s="711">
        <f>AG10/AE10</f>
        <v>0</v>
      </c>
      <c r="AI10" s="593">
        <f>'Proy 2022 vs 2019 sem'!H9*AL$4</f>
        <v>7153.1664000000001</v>
      </c>
      <c r="AJ10" s="611">
        <f>'Proy 2022 vs 2019 sem'!I9*AL$4</f>
        <v>6366.318096</v>
      </c>
      <c r="AK10" s="699"/>
      <c r="AL10" s="700">
        <f>AK10/AI10</f>
        <v>0</v>
      </c>
      <c r="AM10" s="593">
        <f>'Proy 2022 vs 2019 sem'!H9*AP$4</f>
        <v>7153.1664000000001</v>
      </c>
      <c r="AN10" s="593">
        <f>'Proy 2022 vs 2019 sem'!I9*AP$4</f>
        <v>6366.318096</v>
      </c>
      <c r="AO10" s="699"/>
      <c r="AP10" s="700">
        <f>AO10/AM10</f>
        <v>0</v>
      </c>
      <c r="AQ10" s="593">
        <f>'Proy 2022 vs 2019 sem'!H9*AT$4</f>
        <v>7153.1664000000001</v>
      </c>
      <c r="AR10" s="593">
        <f>'Proy 2022 vs 2019 sem'!I9*AT$4</f>
        <v>6366.318096</v>
      </c>
      <c r="AS10" s="699"/>
      <c r="AT10" s="700">
        <f>AS10/AQ10</f>
        <v>0</v>
      </c>
      <c r="AU10" s="593">
        <f>'Proy 2022 vs 2019 sem'!H9*AX$4</f>
        <v>7153.1664000000001</v>
      </c>
      <c r="AV10" s="593">
        <f>'Proy 2022 vs 2019 sem'!I9*AX$4</f>
        <v>6366.318096</v>
      </c>
      <c r="AW10" s="699"/>
      <c r="AX10" s="700">
        <f>AW10/AU10</f>
        <v>0</v>
      </c>
      <c r="AY10" s="593">
        <f>'Proy 2022 vs 2019 sem'!H9*BB$4</f>
        <v>8345.3608000000004</v>
      </c>
      <c r="AZ10" s="593">
        <f>'Proy 2022 vs 2019 sem'!I9*BB$4</f>
        <v>7427.3711120000007</v>
      </c>
      <c r="BA10" s="699"/>
      <c r="BB10" s="700">
        <f>BA10/AY10</f>
        <v>0</v>
      </c>
      <c r="BC10" s="593">
        <f>'Proy 2022 vs 2019 sem'!H9*BF$4</f>
        <v>9537.5552000000007</v>
      </c>
      <c r="BD10" s="593">
        <f>'Proy 2022 vs 2019 sem'!I9*BF$4</f>
        <v>8488.4241280000006</v>
      </c>
      <c r="BE10" s="699"/>
      <c r="BF10" s="700">
        <f>BE10/BC10</f>
        <v>0</v>
      </c>
      <c r="BG10" s="593">
        <f>'Proy 2022 vs 2019 sem'!H9*BJ$4</f>
        <v>13114.1384</v>
      </c>
      <c r="BH10" s="593">
        <f>'Proy 2022 vs 2019 sem'!I9*BJ$4</f>
        <v>11671.583176</v>
      </c>
      <c r="BI10" s="699"/>
      <c r="BJ10" s="700">
        <f>BI10/BG10</f>
        <v>0</v>
      </c>
      <c r="BK10" s="579">
        <f>AI10+AM10+AQ10+AU10+AY10+BC10+BG10</f>
        <v>59609.72</v>
      </c>
      <c r="BL10" s="574">
        <f>AJ10+AN10+AR10+AV10+AZ10+BD10+BH10</f>
        <v>53052.650800000003</v>
      </c>
      <c r="BM10" s="730">
        <f>AK10+AO10+AS10+AW10+BA10+BE10+BI10</f>
        <v>0</v>
      </c>
      <c r="BN10" s="711">
        <f>BM10/BK10</f>
        <v>0</v>
      </c>
      <c r="BO10" s="593">
        <f>'Proy 2022 vs 2019 sem'!M9*BR$4</f>
        <v>5963.9519999999993</v>
      </c>
      <c r="BP10" s="593">
        <f>'Proy 2022 vs 2019 sem'!N9*BR$4</f>
        <v>5307.9172799999997</v>
      </c>
      <c r="BQ10" s="699"/>
      <c r="BR10" s="700">
        <f>BQ10/BO10</f>
        <v>0</v>
      </c>
      <c r="BS10" s="593">
        <f>'Proy 2022 vs 2019 sem'!M9*BV$4</f>
        <v>5963.9519999999993</v>
      </c>
      <c r="BT10" s="593">
        <f>'Proy 2022 vs 2019 sem'!N9*BV$4</f>
        <v>5307.9172799999997</v>
      </c>
      <c r="BU10" s="699"/>
      <c r="BV10" s="700">
        <f>BU10/BS10</f>
        <v>0</v>
      </c>
      <c r="BW10" s="593">
        <f>'Proy 2022 vs 2019 sem'!M9*BZ$4</f>
        <v>5963.9519999999993</v>
      </c>
      <c r="BX10" s="593">
        <f>'Proy 2022 vs 2019 sem'!N9*BZ$4</f>
        <v>5307.9172799999997</v>
      </c>
      <c r="BY10" s="699"/>
      <c r="BZ10" s="700">
        <f>BY10/BW10</f>
        <v>0</v>
      </c>
      <c r="CA10" s="593">
        <f>'Proy 2022 vs 2019 sem'!M9*CD$4</f>
        <v>5963.9519999999993</v>
      </c>
      <c r="CB10" s="593">
        <f>'Proy 2022 vs 2019 sem'!N9*CD$4</f>
        <v>5307.9172799999997</v>
      </c>
      <c r="CC10" s="699"/>
      <c r="CD10" s="700">
        <f>CC10/CA10</f>
        <v>0</v>
      </c>
      <c r="CE10" s="593">
        <f>'Proy 2022 vs 2019 sem'!M9*CH$4</f>
        <v>6957.9440000000004</v>
      </c>
      <c r="CF10" s="593">
        <f>'Proy 2022 vs 2019 sem'!N9*CH$4</f>
        <v>6192.5701600000002</v>
      </c>
      <c r="CG10" s="699"/>
      <c r="CH10" s="700">
        <f>CG10/CE10</f>
        <v>0</v>
      </c>
      <c r="CI10" s="593">
        <f>'Proy 2022 vs 2019 sem'!M9*CL$4</f>
        <v>7951.9359999999997</v>
      </c>
      <c r="CJ10" s="593">
        <f>'Proy 2022 vs 2019 sem'!N9*CL$4</f>
        <v>7077.2230399999999</v>
      </c>
      <c r="CK10" s="699"/>
      <c r="CL10" s="700">
        <f>CK10/CI10</f>
        <v>0</v>
      </c>
      <c r="CM10" s="593">
        <f>'Proy 2022 vs 2019 sem'!M9*CP$4</f>
        <v>10933.912</v>
      </c>
      <c r="CN10" s="593">
        <f>'Proy 2022 vs 2019 sem'!N9*CP$4</f>
        <v>9731.1816799999997</v>
      </c>
      <c r="CO10" s="699"/>
      <c r="CP10" s="700">
        <f>CO10/CM10</f>
        <v>0</v>
      </c>
      <c r="CQ10" s="579">
        <f>BO10+BS10+BW10+CA10+CE10+CI10+CM10</f>
        <v>49699.599999999991</v>
      </c>
      <c r="CR10" s="574">
        <f>BP10+BT10+BX10+CB10+CF10+CJ10+CN10</f>
        <v>44232.644</v>
      </c>
      <c r="CS10" s="730">
        <f>BQ10+BU10+BY10+CC10+CG10+CK10+CO10</f>
        <v>0</v>
      </c>
      <c r="CT10" s="711">
        <f>CS10/CQ10</f>
        <v>0</v>
      </c>
      <c r="CU10" s="593">
        <f>'Proy 2022 vs 2019 sem'!R9*CX$4</f>
        <v>6068.25</v>
      </c>
      <c r="CV10" s="593">
        <f>'Proy 2022 vs 2019 sem'!S9*CX$4</f>
        <v>5461.4250000000002</v>
      </c>
      <c r="CW10" s="699"/>
      <c r="CX10" s="700">
        <f>CW10/CU10</f>
        <v>0</v>
      </c>
      <c r="CY10" s="593">
        <f>'Proy 2022 vs 2019 sem'!R9*DB$4</f>
        <v>6068.25</v>
      </c>
      <c r="CZ10" s="593">
        <f>'Proy 2022 vs 2019 sem'!S9*DB$4</f>
        <v>5461.4250000000002</v>
      </c>
      <c r="DA10" s="699"/>
      <c r="DB10" s="700">
        <f>DA10/CY10</f>
        <v>0</v>
      </c>
      <c r="DC10" s="593">
        <f>'Proy 2022 vs 2019 sem'!R9*DF$4</f>
        <v>6068.25</v>
      </c>
      <c r="DD10" s="593">
        <f>'Proy 2022 vs 2019 sem'!S9*DF$4</f>
        <v>5461.4250000000002</v>
      </c>
      <c r="DE10" s="699"/>
      <c r="DF10" s="700">
        <f>DE10/DC10</f>
        <v>0</v>
      </c>
      <c r="DG10" s="593">
        <f>'Proy 2022 vs 2019 sem'!R9*DJ$4</f>
        <v>6068.25</v>
      </c>
      <c r="DH10" s="593">
        <f>'Proy 2022 vs 2019 sem'!S9*DJ$4</f>
        <v>5461.4250000000002</v>
      </c>
      <c r="DI10" s="699"/>
      <c r="DJ10" s="700">
        <f>DI10/DG10</f>
        <v>0</v>
      </c>
      <c r="DK10" s="593">
        <f>'Proy 2022 vs 2019 sem'!R9*DN$4</f>
        <v>7079.6250000000009</v>
      </c>
      <c r="DL10" s="593">
        <f>'Proy 2022 vs 2019 sem'!S9*DN$4</f>
        <v>6371.6625000000004</v>
      </c>
      <c r="DM10" s="699"/>
      <c r="DN10" s="700">
        <f>DM10/DK10</f>
        <v>0</v>
      </c>
      <c r="DO10" s="593">
        <f>'Proy 2022 vs 2019 sem'!R9*DR$4</f>
        <v>8091</v>
      </c>
      <c r="DP10" s="593">
        <f>'Proy 2022 vs 2019 sem'!S9*DR$4</f>
        <v>7281.9000000000005</v>
      </c>
      <c r="DQ10" s="699"/>
      <c r="DR10" s="700">
        <f>DQ10/DO10</f>
        <v>0</v>
      </c>
      <c r="DS10" s="593">
        <f>'Proy 2022 vs 2019 sem'!R9*DV$4</f>
        <v>11125.125</v>
      </c>
      <c r="DT10" s="593">
        <f>'Proy 2022 vs 2019 sem'!S9*DV$4</f>
        <v>10012.612499999999</v>
      </c>
      <c r="DU10" s="699"/>
      <c r="DV10" s="700">
        <f>DU10/DS10</f>
        <v>0</v>
      </c>
      <c r="DW10" s="579">
        <f>CU10+CY10+DC10+DG10+DK10+DO10+DS10</f>
        <v>50568.75</v>
      </c>
      <c r="DX10" s="574">
        <f>CV10+CZ10+DD10+DH10+DL10+DP10+DT10</f>
        <v>45511.875</v>
      </c>
      <c r="DY10" s="710">
        <f>CW10+DA10+DE10+DI10+DM10+DQ10+DU10</f>
        <v>0</v>
      </c>
      <c r="DZ10" s="711">
        <f>DY10/DW10</f>
        <v>0</v>
      </c>
      <c r="EA10" s="593">
        <f>'Proy 2022 vs 2019 sem'!AA9*ED$4</f>
        <v>5673.5939999999991</v>
      </c>
      <c r="EB10" s="593">
        <f>'Proy 2022 vs 2019 sem'!AB9*ED$4</f>
        <v>5049.4986600000002</v>
      </c>
      <c r="EC10" s="735"/>
      <c r="ED10" s="700">
        <f>EC10/EA10</f>
        <v>0</v>
      </c>
      <c r="EE10" s="593">
        <f>'Proy 2022 vs 2019 sem'!AA9*EH$4</f>
        <v>5673.5939999999991</v>
      </c>
      <c r="EF10" s="593">
        <f>'Proy 2022 vs 2019 sem'!AB9*EH$4</f>
        <v>5049.4986600000002</v>
      </c>
      <c r="EG10" s="699"/>
      <c r="EH10" s="700">
        <f>EG10/EE10</f>
        <v>0</v>
      </c>
      <c r="EI10" s="593">
        <f>'Proy 2022 vs 2019 sem'!AA9*EL$4</f>
        <v>5673.5939999999991</v>
      </c>
      <c r="EJ10" s="593">
        <f>'Proy 2022 vs 2019 sem'!AB9*EL$4</f>
        <v>5049.4986600000002</v>
      </c>
      <c r="EK10" s="699"/>
      <c r="EL10" s="700">
        <f>EK10/EI10</f>
        <v>0</v>
      </c>
      <c r="EM10" s="593">
        <f>'Proy 2022 vs 2019 sem'!AA9*EP$4</f>
        <v>5673.5939999999991</v>
      </c>
      <c r="EN10" s="593">
        <f>'Proy 2022 vs 2019 sem'!AB9*EP$4</f>
        <v>5049.4986600000002</v>
      </c>
      <c r="EO10" s="699"/>
      <c r="EP10" s="700">
        <f>EO10/EM10</f>
        <v>0</v>
      </c>
      <c r="EQ10" s="593">
        <f>'Proy 2022 vs 2019 sem'!AA9*ET$4</f>
        <v>6619.1930000000002</v>
      </c>
      <c r="ER10" s="593">
        <f>'Proy 2022 vs 2019 sem'!AB9*ET$4</f>
        <v>5891.0817700000007</v>
      </c>
      <c r="ES10" s="699"/>
      <c r="ET10" s="700">
        <f>ES10/EQ10</f>
        <v>0</v>
      </c>
      <c r="EU10" s="593">
        <f>'Proy 2022 vs 2019 sem'!AA9*EX$4</f>
        <v>7564.7919999999995</v>
      </c>
      <c r="EV10" s="593">
        <f>'Proy 2022 vs 2019 sem'!AB9*EX$4</f>
        <v>6732.6648800000003</v>
      </c>
      <c r="EW10" s="699"/>
      <c r="EX10" s="700">
        <f>EW10/EU10</f>
        <v>0</v>
      </c>
      <c r="EY10" s="593">
        <f>'Proy 2022 vs 2019 sem'!AA9*FB$4</f>
        <v>10401.589</v>
      </c>
      <c r="EZ10" s="593">
        <f>'Proy 2022 vs 2019 sem'!AB9*FB$4</f>
        <v>9257.4142100000008</v>
      </c>
      <c r="FA10" s="699"/>
      <c r="FB10" s="700">
        <f>FA10/EY10</f>
        <v>0</v>
      </c>
      <c r="FC10" s="579">
        <f>EA10+EE10+EI10+EM10+EQ10+EU10+EY10</f>
        <v>47279.95</v>
      </c>
      <c r="FD10" s="574">
        <f>EB10+EF10+EJ10+EN10+ER10+EV10+EZ10</f>
        <v>42079.155500000008</v>
      </c>
      <c r="FE10" s="793">
        <f>EC10+EG10+EK10+EO10+ES10+EW10+FA10</f>
        <v>0</v>
      </c>
      <c r="FF10" s="786">
        <f>FE10/FC10</f>
        <v>0</v>
      </c>
      <c r="FG10" s="593">
        <f>'Proy 2022 vs 2019 sem'!AF9*FJ$4</f>
        <v>8593.1388000000006</v>
      </c>
      <c r="FH10" s="593">
        <f>'Proy 2022 vs 2019 sem'!AG9*FJ$4</f>
        <v>7561.9621440000001</v>
      </c>
      <c r="FI10" s="699"/>
      <c r="FJ10" s="700">
        <f>FI10/FG10</f>
        <v>0</v>
      </c>
      <c r="FK10" s="593">
        <f>'Proy 2022 vs 2019 sem'!AF9*FN$4</f>
        <v>8593.1388000000006</v>
      </c>
      <c r="FL10" s="593">
        <f>'Proy 2022 vs 2019 sem'!AG9*FN$4</f>
        <v>7561.9621440000001</v>
      </c>
      <c r="FM10" s="699"/>
      <c r="FN10" s="700">
        <f>FM10/FK10</f>
        <v>0</v>
      </c>
      <c r="FO10" s="593">
        <f>'Proy 2022 vs 2019 sem'!AF9*FR$4</f>
        <v>8593.1388000000006</v>
      </c>
      <c r="FP10" s="593">
        <f>'Proy 2022 vs 2019 sem'!AG9*FR$4</f>
        <v>7561.9621440000001</v>
      </c>
      <c r="FQ10" s="699"/>
      <c r="FR10" s="700">
        <f>FQ10/FO10</f>
        <v>0</v>
      </c>
      <c r="FS10" s="593">
        <f>'Proy 2022 vs 2019 sem'!AF9*FV$4</f>
        <v>8593.1388000000006</v>
      </c>
      <c r="FT10" s="593">
        <f>'Proy 2022 vs 2019 sem'!AG9*FV$4</f>
        <v>7561.9621440000001</v>
      </c>
      <c r="FU10" s="699"/>
      <c r="FV10" s="700">
        <f>FU10/FS10</f>
        <v>0</v>
      </c>
      <c r="FW10" s="593">
        <f>'Proy 2022 vs 2019 sem'!AF9*FZ$4</f>
        <v>10025.328600000003</v>
      </c>
      <c r="FX10" s="593">
        <f>'Proy 2022 vs 2019 sem'!AG9*FZ$4</f>
        <v>8822.2891680000012</v>
      </c>
      <c r="FY10" s="699"/>
      <c r="FZ10" s="700">
        <f>FY10/FW10</f>
        <v>0</v>
      </c>
      <c r="GA10" s="593">
        <f>'Proy 2022 vs 2019 sem'!AF9*GD$4</f>
        <v>11457.518400000001</v>
      </c>
      <c r="GB10" s="593">
        <f>'Proy 2022 vs 2019 sem'!AG9*GD$4</f>
        <v>10082.616192000001</v>
      </c>
      <c r="GC10" s="699"/>
      <c r="GD10" s="700">
        <f>GC10/GA10</f>
        <v>0</v>
      </c>
      <c r="GE10" s="593">
        <f>'Proy 2022 vs 2019 sem'!AF9*GH$4</f>
        <v>15754.087800000001</v>
      </c>
      <c r="GF10" s="593">
        <f>'Proy 2022 vs 2019 sem'!AG9*GH$4</f>
        <v>13863.597264000002</v>
      </c>
      <c r="GG10" s="699"/>
      <c r="GH10" s="700">
        <f>GG10/GE10</f>
        <v>0</v>
      </c>
      <c r="GI10" s="579">
        <f>FG10+FK10+FO10+FS10+FW10+GA10+GE10</f>
        <v>71609.490000000005</v>
      </c>
      <c r="GJ10" s="574">
        <f>FH10+FL10+FP10+FT10+FX10+GB10+GF10</f>
        <v>63016.351200000005</v>
      </c>
      <c r="GK10" s="794">
        <f>FI10+FM10+FQ10+FU10+FY10+GC10+GG10</f>
        <v>0</v>
      </c>
      <c r="GL10" s="786">
        <f>GK10/GI10</f>
        <v>0</v>
      </c>
      <c r="GM10" s="593">
        <f>'Proy 2022 vs 2019 sem'!AK9*GP$4</f>
        <v>5101.4027999999998</v>
      </c>
      <c r="GN10" s="593">
        <f>'Proy 2022 vs 2019 sem'!AL9*GP$4</f>
        <v>4642.2765479999998</v>
      </c>
      <c r="GO10" s="699"/>
      <c r="GP10" s="700">
        <f>GO10/GM10</f>
        <v>0</v>
      </c>
      <c r="GQ10" s="593">
        <f>'Proy 2022 vs 2019 sem'!AK9*GT$4</f>
        <v>5101.4027999999998</v>
      </c>
      <c r="GR10" s="593">
        <f>'Proy 2022 vs 2019 sem'!AL9*GT$4</f>
        <v>4642.2765479999998</v>
      </c>
      <c r="GS10" s="699"/>
      <c r="GT10" s="700">
        <f>GS10/GQ10</f>
        <v>0</v>
      </c>
      <c r="GU10" s="593">
        <f>'Proy 2022 vs 2019 sem'!AK9*GX$4</f>
        <v>5101.4027999999998</v>
      </c>
      <c r="GV10" s="593">
        <f>'Proy 2022 vs 2019 sem'!AL9*GX$4</f>
        <v>4642.2765479999998</v>
      </c>
      <c r="GW10" s="699"/>
      <c r="GX10" s="700">
        <f>GW10/GU10</f>
        <v>0</v>
      </c>
      <c r="GY10" s="593">
        <f>'Proy 2022 vs 2019 sem'!AK9*HB$4</f>
        <v>5101.4027999999998</v>
      </c>
      <c r="GZ10" s="593">
        <f>'Proy 2022 vs 2019 sem'!AL9*HB$4</f>
        <v>4642.2765479999998</v>
      </c>
      <c r="HA10" s="699"/>
      <c r="HB10" s="700">
        <f>HA10/GY10</f>
        <v>0</v>
      </c>
      <c r="HC10" s="593">
        <f>'Proy 2022 vs 2019 sem'!AK9*HF$4</f>
        <v>5951.6366000000007</v>
      </c>
      <c r="HD10" s="593">
        <f>'Proy 2022 vs 2019 sem'!AL9*HF$4</f>
        <v>5415.9893060000004</v>
      </c>
      <c r="HE10" s="699"/>
      <c r="HF10" s="700">
        <f>HE10/HC10</f>
        <v>0</v>
      </c>
      <c r="HG10" s="593">
        <f>'Proy 2022 vs 2019 sem'!AK9*HJ$4</f>
        <v>6801.8704000000007</v>
      </c>
      <c r="HH10" s="593">
        <f>'Proy 2022 vs 2019 sem'!AL9*HJ$4</f>
        <v>6189.7020640000001</v>
      </c>
      <c r="HI10" s="699"/>
      <c r="HJ10" s="700">
        <f>HI10/HG10</f>
        <v>0</v>
      </c>
      <c r="HK10" s="593">
        <f>'Proy 2022 vs 2019 sem'!AK9*HN$4</f>
        <v>9352.5717999999997</v>
      </c>
      <c r="HL10" s="593">
        <f>'Proy 2022 vs 2019 sem'!AL9*HN$4</f>
        <v>8510.840338</v>
      </c>
      <c r="HM10" s="699"/>
      <c r="HN10" s="700">
        <f>HM10/HK10</f>
        <v>0</v>
      </c>
      <c r="HO10" s="579">
        <f>GM10+GQ10+GU10+GY10+HC10+HG10+HK10</f>
        <v>42511.69</v>
      </c>
      <c r="HP10" s="574">
        <f>GN10+GR10+GV10+GZ10+HD10+HH10+HL10</f>
        <v>38685.637900000002</v>
      </c>
      <c r="HQ10" s="794">
        <f>GO10+GS10+GW10+HA10+HE10+HI10+HM10</f>
        <v>0</v>
      </c>
      <c r="HR10" s="786">
        <f>HQ10/HO10</f>
        <v>0</v>
      </c>
      <c r="HS10" s="593">
        <f>'Proy 2022 vs 2019 sem'!AK9*HV$4</f>
        <v>5101.4027999999998</v>
      </c>
      <c r="HT10" s="593">
        <f>'Proy 2022 vs 2019 sem'!AL9*HV$4</f>
        <v>4642.2765479999998</v>
      </c>
      <c r="HU10" s="699"/>
      <c r="HV10" s="700">
        <f>HU10/HS10</f>
        <v>0</v>
      </c>
      <c r="HW10" s="593">
        <f>'Proy 2022 vs 2019 sem'!AK9*HZ$4</f>
        <v>5101.4027999999998</v>
      </c>
      <c r="HX10" s="593">
        <f>'Proy 2022 vs 2019 sem'!AL9*HZ$4</f>
        <v>4642.2765479999998</v>
      </c>
      <c r="HY10" s="699"/>
      <c r="HZ10" s="700">
        <f>HY10/HW10</f>
        <v>0</v>
      </c>
      <c r="IA10" s="593">
        <f>'Proy 2022 vs 2019 sem'!AK9*ID$4</f>
        <v>5101.4027999999998</v>
      </c>
      <c r="IB10" s="593">
        <f>'Proy 2022 vs 2019 sem'!AL9*ID$4</f>
        <v>4642.2765479999998</v>
      </c>
      <c r="IC10" s="699"/>
      <c r="ID10" s="700">
        <f>IC10/IA10</f>
        <v>0</v>
      </c>
      <c r="IE10" s="593">
        <f>'Proy 2022 vs 2019 sem'!AK9*IH$4</f>
        <v>5101.4027999999998</v>
      </c>
      <c r="IF10" s="593">
        <f>'Proy 2022 vs 2019 sem'!AL9*IH$4</f>
        <v>4642.2765479999998</v>
      </c>
      <c r="IG10" s="699"/>
      <c r="IH10" s="700">
        <f>IG10/IE10</f>
        <v>0</v>
      </c>
      <c r="II10" s="593">
        <f>'Proy 2022 vs 2019 sem'!AK9*IL$4</f>
        <v>5951.6366000000007</v>
      </c>
      <c r="IJ10" s="593">
        <f>'Proy 2022 vs 2019 sem'!AL9*IL$4</f>
        <v>5415.9893060000004</v>
      </c>
      <c r="IK10" s="699"/>
      <c r="IL10" s="700">
        <f>IK10/II10</f>
        <v>0</v>
      </c>
      <c r="IM10" s="593">
        <f>'Proy 2022 vs 2019 sem'!AK9*IP$4</f>
        <v>6801.8704000000007</v>
      </c>
      <c r="IN10" s="593">
        <f>'Proy 2022 vs 2019 sem'!AL9*IP$4</f>
        <v>6189.7020640000001</v>
      </c>
      <c r="IO10" s="699"/>
      <c r="IP10" s="700">
        <f>IO10/IM10</f>
        <v>0</v>
      </c>
      <c r="IQ10" s="593">
        <f>'Proy 2022 vs 2019 sem'!AK9*IT$4</f>
        <v>9352.5717999999997</v>
      </c>
      <c r="IR10" s="593">
        <f>'Proy 2022 vs 2019 sem'!AL9*IT$4</f>
        <v>8510.840338</v>
      </c>
      <c r="IS10" s="699"/>
      <c r="IT10" s="700">
        <f>IS10/IQ10</f>
        <v>0</v>
      </c>
      <c r="IU10" s="579">
        <f>HS10+HW10+IA10+IE10+II10+IM10+IQ10</f>
        <v>42511.69</v>
      </c>
      <c r="IV10" s="574">
        <f>HT10+HX10+IB10+IF10+IJ10+IN10+IR10</f>
        <v>38685.637900000002</v>
      </c>
      <c r="IW10" s="785">
        <f>HU10+HY10+IC10+IG10+IK10+IO10+IS10</f>
        <v>0</v>
      </c>
      <c r="IX10" s="786">
        <f>IW10/IU10</f>
        <v>0</v>
      </c>
      <c r="IY10" s="593">
        <f>'Proy 2022 vs 2019 sem'!AY9*JB$4</f>
        <v>6416.8296</v>
      </c>
      <c r="IZ10" s="593">
        <f>'Proy 2022 vs 2019 sem'!AZ9*JB$4</f>
        <v>5710.9783440000001</v>
      </c>
      <c r="JA10" s="735"/>
      <c r="JB10" s="700">
        <f>JA10/IY10</f>
        <v>0</v>
      </c>
      <c r="JC10" s="593">
        <f>'Proy 2022 vs 2019 sem'!AY9*JF$4</f>
        <v>6416.8296</v>
      </c>
      <c r="JD10" s="593">
        <f>'Proy 2022 vs 2019 sem'!AZ9*JF$4</f>
        <v>5710.9783440000001</v>
      </c>
      <c r="JE10" s="735"/>
      <c r="JF10" s="700">
        <f>JE10/JC10</f>
        <v>0</v>
      </c>
      <c r="JG10" s="593">
        <f>'Proy 2022 vs 2019 sem'!AY9*JJ$4</f>
        <v>6416.8296</v>
      </c>
      <c r="JH10" s="593">
        <f>'Proy 2022 vs 2019 sem'!AZ9*JJ$4</f>
        <v>5710.9783440000001</v>
      </c>
      <c r="JI10" s="735"/>
      <c r="JJ10" s="700">
        <f>JI10/JG10</f>
        <v>0</v>
      </c>
      <c r="JK10" s="593">
        <f>'Proy 2022 vs 2019 sem'!AY9*JN$4</f>
        <v>6416.8296</v>
      </c>
      <c r="JL10" s="593">
        <f>'Proy 2022 vs 2019 sem'!AZ9*JN$4</f>
        <v>5710.9783440000001</v>
      </c>
      <c r="JM10" s="735"/>
      <c r="JN10" s="700">
        <f>JM10/JK10</f>
        <v>0</v>
      </c>
      <c r="JO10" s="593">
        <f>'Proy 2022 vs 2019 sem'!AY9*JR$4</f>
        <v>7486.3012000000008</v>
      </c>
      <c r="JP10" s="593">
        <f>'Proy 2022 vs 2019 sem'!AZ9*JR$4</f>
        <v>6662.8080680000003</v>
      </c>
      <c r="JQ10" s="735"/>
      <c r="JR10" s="700">
        <f>JQ10/JO10</f>
        <v>0</v>
      </c>
      <c r="JS10" s="593">
        <f>'Proy 2022 vs 2019 sem'!AY9*JV$4</f>
        <v>8555.7728000000006</v>
      </c>
      <c r="JT10" s="593">
        <f>'Proy 2022 vs 2019 sem'!AZ9*JV$4</f>
        <v>7614.6377920000004</v>
      </c>
      <c r="JU10" s="735"/>
      <c r="JV10" s="700">
        <f>JU10/JS10</f>
        <v>0</v>
      </c>
      <c r="JW10" s="593">
        <f>'Proy 2022 vs 2019 sem'!AY9*JZ$4</f>
        <v>11764.187600000001</v>
      </c>
      <c r="JX10" s="593">
        <f>'Proy 2022 vs 2019 sem'!AZ9*JZ$4</f>
        <v>10470.126963999999</v>
      </c>
      <c r="JY10" s="735"/>
      <c r="JZ10" s="700">
        <f>JY10/JW10</f>
        <v>0</v>
      </c>
      <c r="KA10" s="579">
        <f>IY10+JC10+JG10+JK10+JO10+JS10+JW10</f>
        <v>53473.58</v>
      </c>
      <c r="KB10" s="574">
        <f>IZ10+JD10+JH10+JL10+JP10+JT10+JX10</f>
        <v>47591.486199999999</v>
      </c>
      <c r="KC10" s="729">
        <f>JA10+JE10+JI10+JM10+JQ10+JU10+JY10</f>
        <v>0</v>
      </c>
      <c r="KD10" s="711">
        <f>KC10/KA10</f>
        <v>0</v>
      </c>
      <c r="KE10" s="593">
        <f>'Proy 2022 vs 2019 sem'!BD9*KH$4</f>
        <v>7516.9751999999999</v>
      </c>
      <c r="KF10" s="593">
        <f>'Proy 2022 vs 2019 sem'!BE9*KH$4</f>
        <v>6690.1079280000004</v>
      </c>
      <c r="KG10" s="699"/>
      <c r="KH10" s="700">
        <f>KG10/KE10</f>
        <v>0</v>
      </c>
      <c r="KI10" s="593">
        <f>'Proy 2022 vs 2019 sem'!BD9*KL$4</f>
        <v>7516.9751999999999</v>
      </c>
      <c r="KJ10" s="593">
        <f>'Proy 2022 vs 2019 sem'!BE9*KL$4</f>
        <v>6690.1079280000004</v>
      </c>
      <c r="KK10" s="699"/>
      <c r="KL10" s="700">
        <f>KK10/KI10</f>
        <v>0</v>
      </c>
      <c r="KM10" s="593">
        <f>'Proy 2022 vs 2019 sem'!BD9*KP$4</f>
        <v>7516.9751999999999</v>
      </c>
      <c r="KN10" s="593">
        <f>'Proy 2022 vs 2019 sem'!BE9*KP$4</f>
        <v>6690.1079280000004</v>
      </c>
      <c r="KO10" s="699"/>
      <c r="KP10" s="700">
        <f>KO10/KM10</f>
        <v>0</v>
      </c>
      <c r="KQ10" s="593">
        <f>'Proy 2022 vs 2019 sem'!BD9*KT$4</f>
        <v>7516.9751999999999</v>
      </c>
      <c r="KR10" s="593">
        <f>'Proy 2022 vs 2019 sem'!BE9*KT$4</f>
        <v>6690.1079280000004</v>
      </c>
      <c r="KS10" s="699"/>
      <c r="KT10" s="700">
        <f>KS10/KQ10</f>
        <v>0</v>
      </c>
      <c r="KU10" s="593">
        <f>'Proy 2022 vs 2019 sem'!BD9*KX$4</f>
        <v>8769.8044000000009</v>
      </c>
      <c r="KV10" s="593">
        <f>'Proy 2022 vs 2019 sem'!BE9*KX$4</f>
        <v>7805.1259160000009</v>
      </c>
      <c r="KW10" s="699"/>
      <c r="KX10" s="700">
        <f>KW10/KU10</f>
        <v>0</v>
      </c>
      <c r="KY10" s="593">
        <f>'Proy 2022 vs 2019 sem'!BD9*LB$4</f>
        <v>10022.633599999999</v>
      </c>
      <c r="KZ10" s="593">
        <f>'Proy 2022 vs 2019 sem'!BE9*LB$4</f>
        <v>8920.1439040000005</v>
      </c>
      <c r="LA10" s="699"/>
      <c r="LB10" s="700">
        <f>LA10/KY10</f>
        <v>0</v>
      </c>
      <c r="LC10" s="593">
        <f>'Proy 2022 vs 2019 sem'!BD9*LF$4</f>
        <v>13781.1212</v>
      </c>
      <c r="LD10" s="593">
        <f>'Proy 2022 vs 2019 sem'!BE9*LF$4</f>
        <v>12265.197868000001</v>
      </c>
      <c r="LE10" s="699"/>
      <c r="LF10" s="700">
        <f>LE10/LC10</f>
        <v>0</v>
      </c>
      <c r="LG10" s="579">
        <f>KE10+KI10+KM10+KQ10+KU10+KY10+LC10</f>
        <v>62641.46</v>
      </c>
      <c r="LH10" s="574">
        <f>KF10+KJ10+KN10+KR10+KV10+KZ10+LD10</f>
        <v>55750.899400000009</v>
      </c>
      <c r="LI10" s="730">
        <f>KG10+KK10+KO10+KS10+KW10+LA10+LE10</f>
        <v>0</v>
      </c>
      <c r="LJ10" s="711">
        <f>LI10/LG10</f>
        <v>0</v>
      </c>
      <c r="LK10" s="593">
        <f>'Proy 2022 vs 2019 sem'!BI9*LN$4</f>
        <v>7179.2903999999999</v>
      </c>
      <c r="LL10" s="593">
        <f>'Proy 2022 vs 2019 sem'!BJ9*LN$4</f>
        <v>6389.568456</v>
      </c>
      <c r="LM10" s="699"/>
      <c r="LN10" s="700">
        <f>LM10/LK10</f>
        <v>0</v>
      </c>
      <c r="LO10" s="593">
        <f>'Proy 2022 vs 2019 sem'!BI9*LR$4</f>
        <v>7179.2903999999999</v>
      </c>
      <c r="LP10" s="593">
        <f>'Proy 2022 vs 2019 sem'!BJ9*LR$4</f>
        <v>6389.568456</v>
      </c>
      <c r="LQ10" s="699"/>
      <c r="LR10" s="700">
        <f>LQ10/LO10</f>
        <v>0</v>
      </c>
      <c r="LS10" s="593">
        <f>'Proy 2022 vs 2019 sem'!BI9*LV$4</f>
        <v>7179.2903999999999</v>
      </c>
      <c r="LT10" s="593">
        <f>'Proy 2022 vs 2019 sem'!BJ9*LV$4</f>
        <v>6389.568456</v>
      </c>
      <c r="LU10" s="699"/>
      <c r="LV10" s="700">
        <f>LU10/LS10</f>
        <v>0</v>
      </c>
      <c r="LW10" s="593">
        <f>'Proy 2022 vs 2019 sem'!BI9*LZ$4</f>
        <v>7179.2903999999999</v>
      </c>
      <c r="LX10" s="593">
        <f>'Proy 2022 vs 2019 sem'!BJ9*LZ$4</f>
        <v>6389.568456</v>
      </c>
      <c r="LY10" s="699"/>
      <c r="LZ10" s="700">
        <f>LY10/LW10</f>
        <v>0</v>
      </c>
      <c r="MA10" s="593">
        <f>'Proy 2022 vs 2019 sem'!BI9*MD$4</f>
        <v>8375.8388000000014</v>
      </c>
      <c r="MB10" s="593">
        <f>'Proy 2022 vs 2019 sem'!BJ9*MD$4</f>
        <v>7454.496532000001</v>
      </c>
      <c r="MC10" s="699"/>
      <c r="MD10" s="700">
        <f>MC10/MA10</f>
        <v>0</v>
      </c>
      <c r="ME10" s="593">
        <f>'Proy 2022 vs 2019 sem'!BI9*MH$4</f>
        <v>9572.3871999999992</v>
      </c>
      <c r="MF10" s="593">
        <f>'Proy 2022 vs 2019 sem'!BJ9*MH$4</f>
        <v>8519.4246079999994</v>
      </c>
      <c r="MG10" s="699"/>
      <c r="MH10" s="700">
        <f>MG10/ME10</f>
        <v>0</v>
      </c>
      <c r="MI10" s="593">
        <f>'Proy 2022 vs 2019 sem'!BI9*ML$4</f>
        <v>13162.0324</v>
      </c>
      <c r="MJ10" s="593">
        <f>'Proy 2022 vs 2019 sem'!BJ9*ML$4</f>
        <v>11714.208836</v>
      </c>
      <c r="MK10" s="699"/>
      <c r="ML10" s="700">
        <f>MK10/MI10</f>
        <v>0</v>
      </c>
      <c r="MM10" s="579">
        <f>LK10+LO10+LS10+LW10+MA10+ME10+MI10</f>
        <v>59827.42</v>
      </c>
      <c r="MN10" s="574">
        <f>LL10+LP10+LT10+LX10+MB10+MF10+MJ10</f>
        <v>53246.4038</v>
      </c>
      <c r="MO10" s="730">
        <f>LM10+LQ10+LU10+LY10+MC10+MG10+MK10</f>
        <v>0</v>
      </c>
      <c r="MP10" s="711">
        <f>MO10/MM10</f>
        <v>0</v>
      </c>
      <c r="MQ10" s="593">
        <f>'Proy 2022 vs 2019 sem'!BN9*MT$4</f>
        <v>6996.2784000000001</v>
      </c>
      <c r="MR10" s="593">
        <f>'Proy 2022 vs 2019 sem'!BO9*MT$4</f>
        <v>6086.7622080000001</v>
      </c>
      <c r="MS10" s="699"/>
      <c r="MT10" s="700">
        <f>MS10/MQ10</f>
        <v>0</v>
      </c>
      <c r="MU10" s="593">
        <f>'Proy 2022 vs 2019 sem'!BN9*MX$4</f>
        <v>6996.2784000000001</v>
      </c>
      <c r="MV10" s="593">
        <f>'Proy 2022 vs 2019 sem'!BO9*MX$4</f>
        <v>6086.7622080000001</v>
      </c>
      <c r="MW10" s="699"/>
      <c r="MX10" s="700">
        <f>MW10/MU10</f>
        <v>0</v>
      </c>
      <c r="MY10" s="593">
        <f>'Proy 2022 vs 2019 sem'!BN9*NB$4</f>
        <v>6996.2784000000001</v>
      </c>
      <c r="MZ10" s="593">
        <f>'Proy 2022 vs 2019 sem'!BO9*NB$4</f>
        <v>6086.7622080000001</v>
      </c>
      <c r="NA10" s="699"/>
      <c r="NB10" s="700">
        <f>NA10/MY10</f>
        <v>0</v>
      </c>
      <c r="NC10" s="593">
        <f>'Proy 2022 vs 2019 sem'!BN9*NF$4</f>
        <v>6996.2784000000001</v>
      </c>
      <c r="ND10" s="593">
        <f>'Proy 2022 vs 2019 sem'!BO9*NF$4</f>
        <v>6086.7622080000001</v>
      </c>
      <c r="NE10" s="699"/>
      <c r="NF10" s="700">
        <f>NE10/NC10</f>
        <v>0</v>
      </c>
      <c r="NG10" s="593">
        <f>'Proy 2022 vs 2019 sem'!BN9*NJ$4</f>
        <v>8162.3248000000003</v>
      </c>
      <c r="NH10" s="593">
        <f>'Proy 2022 vs 2019 sem'!BO9*NJ$4</f>
        <v>7101.222576000001</v>
      </c>
      <c r="NI10" s="699"/>
      <c r="NJ10" s="700">
        <f>NI10/NG10</f>
        <v>0</v>
      </c>
      <c r="NK10" s="593">
        <f>'Proy 2022 vs 2019 sem'!BN9*NN$4</f>
        <v>9328.3711999999996</v>
      </c>
      <c r="NL10" s="593">
        <f>'Proy 2022 vs 2019 sem'!BO9*NN$4</f>
        <v>8115.6829440000001</v>
      </c>
      <c r="NM10" s="699"/>
      <c r="NN10" s="700">
        <f>NM10/NK10</f>
        <v>0</v>
      </c>
      <c r="NO10" s="593">
        <f>'Proy 2022 vs 2019 sem'!BN9*NR$4</f>
        <v>12826.510399999999</v>
      </c>
      <c r="NP10" s="593">
        <f>'Proy 2022 vs 2019 sem'!BO9*NR$4</f>
        <v>11159.064048</v>
      </c>
      <c r="NQ10" s="699"/>
      <c r="NR10" s="700">
        <f>NQ10/NO10</f>
        <v>0</v>
      </c>
      <c r="NS10" s="579">
        <f>MQ10+MU10+MY10+NC10+NG10+NK10+NO10</f>
        <v>58302.32</v>
      </c>
      <c r="NT10" s="574">
        <f>MR10+MV10+MZ10+ND10+NH10+NL10+NP10</f>
        <v>50723.018400000001</v>
      </c>
      <c r="NU10" s="710">
        <f>MS10+MW10+NA10+NE10+NI10+NM10+NQ10</f>
        <v>0</v>
      </c>
      <c r="NV10" s="711">
        <f>NU10/NS10</f>
        <v>0</v>
      </c>
      <c r="NW10" s="593">
        <f>'Proy 2022 vs 2019 sem'!BS9*NZ$4</f>
        <v>8548.7867999999999</v>
      </c>
      <c r="NX10" s="593">
        <f>'Proy 2022 vs 2019 sem'!BT9*NZ$4</f>
        <v>7608.4202519999999</v>
      </c>
      <c r="NY10" s="699"/>
      <c r="NZ10" s="700">
        <f>NY10/NW10</f>
        <v>0</v>
      </c>
      <c r="OA10" s="593">
        <f>'Proy 2022 vs 2019 sem'!BS9*OD$4</f>
        <v>8548.7867999999999</v>
      </c>
      <c r="OB10" s="593">
        <f>'Proy 2022 vs 2019 sem'!BT9*OD$4</f>
        <v>7608.4202519999999</v>
      </c>
      <c r="OC10" s="699"/>
      <c r="OD10" s="700">
        <f>OC10/OA10</f>
        <v>0</v>
      </c>
      <c r="OE10" s="593">
        <f>'Proy 2022 vs 2019 sem'!BS9*OH$4</f>
        <v>8548.7867999999999</v>
      </c>
      <c r="OF10" s="593">
        <f>'Proy 2022 vs 2019 sem'!BT9*OH$4</f>
        <v>7608.4202519999999</v>
      </c>
      <c r="OG10" s="699"/>
      <c r="OH10" s="700">
        <f>OG10/OE10</f>
        <v>0</v>
      </c>
      <c r="OI10" s="593">
        <f>'Proy 2022 vs 2019 sem'!BS9*OL$4</f>
        <v>8548.7867999999999</v>
      </c>
      <c r="OJ10" s="593">
        <f>'Proy 2022 vs 2019 sem'!BT9*OL$4</f>
        <v>7608.4202519999999</v>
      </c>
      <c r="OK10" s="699"/>
      <c r="OL10" s="700">
        <f>OK10/OI10</f>
        <v>0</v>
      </c>
      <c r="OM10" s="593">
        <f>'Proy 2022 vs 2019 sem'!BS9*OP$4</f>
        <v>9973.5846000000001</v>
      </c>
      <c r="ON10" s="593">
        <f>'Proy 2022 vs 2019 sem'!BT9*OP$4</f>
        <v>8876.4902940000011</v>
      </c>
      <c r="OO10" s="699"/>
      <c r="OP10" s="700">
        <f>OO10/OM10</f>
        <v>0</v>
      </c>
      <c r="OQ10" s="593">
        <f>'Proy 2022 vs 2019 sem'!BS9*OT$4</f>
        <v>11398.3824</v>
      </c>
      <c r="OR10" s="593">
        <f>'Proy 2022 vs 2019 sem'!BT9*OT$4</f>
        <v>10144.560336</v>
      </c>
      <c r="OS10" s="699"/>
      <c r="OT10" s="700">
        <f>OS10/OQ10</f>
        <v>0</v>
      </c>
      <c r="OU10" s="593">
        <f>'Proy 2022 vs 2019 sem'!BS9*OX$4</f>
        <v>15672.775799999999</v>
      </c>
      <c r="OV10" s="593">
        <f>'Proy 2022 vs 2019 sem'!BT9*OX$4</f>
        <v>13948.770462</v>
      </c>
      <c r="OW10" s="699"/>
      <c r="OX10" s="700">
        <f>OW10/OU10</f>
        <v>0</v>
      </c>
      <c r="OY10" s="579">
        <f>NW10+OA10+OE10+OI10+OM10+OQ10+OU10</f>
        <v>71239.89</v>
      </c>
      <c r="OZ10" s="574">
        <f>NX10+OB10+OF10+OJ10+ON10+OR10+OV10</f>
        <v>63403.502100000005</v>
      </c>
      <c r="PA10" s="710">
        <f>NY10+OC10+OG10+OK10+OO10+OS10+OW10</f>
        <v>0</v>
      </c>
      <c r="PB10" s="711">
        <f>PA10/OY10</f>
        <v>0</v>
      </c>
      <c r="PC10" s="593">
        <f>'Proy 2022 vs 2019 sem'!CB9*PF$4</f>
        <v>8444.8188000000009</v>
      </c>
      <c r="PD10" s="593">
        <f>'Proy 2022 vs 2019 sem'!CC9*PF$4</f>
        <v>7515.8887320000003</v>
      </c>
      <c r="PE10" s="735"/>
      <c r="PF10" s="700">
        <f>PE10/PC10</f>
        <v>0</v>
      </c>
      <c r="PG10" s="593">
        <f>'Proy 2022 vs 2019 sem'!CB9*PJ$4</f>
        <v>8444.8188000000009</v>
      </c>
      <c r="PH10" s="593">
        <f>'Proy 2022 vs 2019 sem'!CC9*PJ$4</f>
        <v>7515.8887320000003</v>
      </c>
      <c r="PI10" s="699"/>
      <c r="PJ10" s="700">
        <f>PI10/PG10</f>
        <v>0</v>
      </c>
      <c r="PK10" s="593">
        <f>'Proy 2022 vs 2019 sem'!CB9*PN$4</f>
        <v>8444.8188000000009</v>
      </c>
      <c r="PL10" s="593">
        <f>'Proy 2022 vs 2019 sem'!CC9*PN$4</f>
        <v>7515.8887320000003</v>
      </c>
      <c r="PM10" s="699"/>
      <c r="PN10" s="700">
        <f>PM10/PK10</f>
        <v>0</v>
      </c>
      <c r="PO10" s="593">
        <f>'Proy 2022 vs 2019 sem'!CB9*PR$4</f>
        <v>8444.8188000000009</v>
      </c>
      <c r="PP10" s="593">
        <f>'Proy 2022 vs 2019 sem'!CC9*PR$4</f>
        <v>7515.8887320000003</v>
      </c>
      <c r="PQ10" s="699"/>
      <c r="PR10" s="700">
        <f>PQ10/PO10</f>
        <v>0</v>
      </c>
      <c r="PS10" s="593">
        <f>'Proy 2022 vs 2019 sem'!CB9*PV$4</f>
        <v>9852.2886000000017</v>
      </c>
      <c r="PT10" s="593">
        <f>'Proy 2022 vs 2019 sem'!CC9*PV$4</f>
        <v>8768.5368540000018</v>
      </c>
      <c r="PU10" s="699"/>
      <c r="PV10" s="700">
        <f>PU10/PS10</f>
        <v>0</v>
      </c>
      <c r="PW10" s="593">
        <f>'Proy 2022 vs 2019 sem'!CB9*PZ$4</f>
        <v>11259.758400000001</v>
      </c>
      <c r="PX10" s="593">
        <f>'Proy 2022 vs 2019 sem'!CC9*PZ$4</f>
        <v>10021.184976000002</v>
      </c>
      <c r="PY10" s="699"/>
      <c r="PZ10" s="700">
        <f>PY10/PW10</f>
        <v>0</v>
      </c>
      <c r="QA10" s="593">
        <f>'Proy 2022 vs 2019 sem'!CB9*QD$4</f>
        <v>15482.167800000001</v>
      </c>
      <c r="QB10" s="593">
        <f>'Proy 2022 vs 2019 sem'!CC9*QD$4</f>
        <v>13779.129342000002</v>
      </c>
      <c r="QC10" s="699"/>
      <c r="QD10" s="700">
        <f>QC10/QA10</f>
        <v>0</v>
      </c>
      <c r="QE10" s="579">
        <f>PC10+PG10+PK10+PO10+PS10+PW10+QA10</f>
        <v>70373.490000000005</v>
      </c>
      <c r="QF10" s="574">
        <f>PD10+PH10+PL10+PP10+PT10+PX10+QB10</f>
        <v>62632.406100000007</v>
      </c>
      <c r="QG10" s="793">
        <f>PE10+PI10+PM10+PQ10+PU10+PY10+QC10</f>
        <v>0</v>
      </c>
      <c r="QH10" s="786">
        <f>QG10/QE10</f>
        <v>0</v>
      </c>
      <c r="QI10" s="593">
        <f>'Proy 2022 vs 2019 sem'!CG9*QL$4</f>
        <v>9160.116</v>
      </c>
      <c r="QJ10" s="593">
        <f>'Proy 2022 vs 2019 sem'!CH9*QL$4</f>
        <v>8244.1044000000002</v>
      </c>
      <c r="QK10" s="699"/>
      <c r="QL10" s="700">
        <f>QK10/QI10</f>
        <v>0</v>
      </c>
      <c r="QM10" s="593">
        <f>'Proy 2022 vs 2019 sem'!CG9*QP$4</f>
        <v>9160.116</v>
      </c>
      <c r="QN10" s="593">
        <f>'Proy 2022 vs 2019 sem'!CH9*QP$4</f>
        <v>8244.1044000000002</v>
      </c>
      <c r="QO10" s="699"/>
      <c r="QP10" s="700">
        <f>QO10/QM10</f>
        <v>0</v>
      </c>
      <c r="QQ10" s="593">
        <f>'Proy 2022 vs 2019 sem'!CG9*QT$4</f>
        <v>9160.116</v>
      </c>
      <c r="QR10" s="593">
        <f>'Proy 2022 vs 2019 sem'!CH9*QT$4</f>
        <v>8244.1044000000002</v>
      </c>
      <c r="QS10" s="699"/>
      <c r="QT10" s="700">
        <f>QS10/QQ10</f>
        <v>0</v>
      </c>
      <c r="QU10" s="593">
        <f>'Proy 2022 vs 2019 sem'!CG9*QX$4</f>
        <v>9160.116</v>
      </c>
      <c r="QV10" s="593">
        <f>'Proy 2022 vs 2019 sem'!CH9*QX$4</f>
        <v>8244.1044000000002</v>
      </c>
      <c r="QW10" s="699"/>
      <c r="QX10" s="700">
        <f>QW10/QU10</f>
        <v>0</v>
      </c>
      <c r="QY10" s="593">
        <f>'Proy 2022 vs 2019 sem'!CG9*RB$4</f>
        <v>10686.802000000001</v>
      </c>
      <c r="QZ10" s="593">
        <f>'Proy 2022 vs 2019 sem'!CH9*RB$4</f>
        <v>9618.1218000000026</v>
      </c>
      <c r="RA10" s="699"/>
      <c r="RB10" s="700">
        <f>RA10/QY10</f>
        <v>0</v>
      </c>
      <c r="RC10" s="593">
        <f>'Proy 2022 vs 2019 sem'!CG9*RF$4</f>
        <v>12213.488000000001</v>
      </c>
      <c r="RD10" s="593">
        <f>'Proy 2022 vs 2019 sem'!CH9*RF$4</f>
        <v>10992.139200000001</v>
      </c>
      <c r="RE10" s="699"/>
      <c r="RF10" s="700">
        <f>RE10/RC10</f>
        <v>0</v>
      </c>
      <c r="RG10" s="593">
        <f>'Proy 2022 vs 2019 sem'!CG9*RJ$4</f>
        <v>16793.546000000002</v>
      </c>
      <c r="RH10" s="593">
        <f>'Proy 2022 vs 2019 sem'!CH9*RJ$4</f>
        <v>15114.191400000002</v>
      </c>
      <c r="RI10" s="699"/>
      <c r="RJ10" s="700">
        <f>RI10/RG10</f>
        <v>0</v>
      </c>
      <c r="RK10" s="579">
        <f>QI10+QM10+QQ10+QU10+QY10+RC10+RG10</f>
        <v>76334.3</v>
      </c>
      <c r="RL10" s="574">
        <f>QJ10+QN10+QR10+QV10+QZ10+RD10+RH10</f>
        <v>68700.87</v>
      </c>
      <c r="RM10" s="794">
        <f>QK10+QO10+QS10+QW10+RA10+RE10+RI10</f>
        <v>0</v>
      </c>
      <c r="RN10" s="786">
        <f>RM10/RK10</f>
        <v>0</v>
      </c>
      <c r="RO10" s="593">
        <f>'Proy 2022 vs 2019 sem'!CL9*RR$4</f>
        <v>9700.7556000000004</v>
      </c>
      <c r="RP10" s="593">
        <f>'Proy 2022 vs 2019 sem'!CM9*RR$4</f>
        <v>8730.6800399999993</v>
      </c>
      <c r="RQ10" s="699"/>
      <c r="RR10" s="700">
        <f>RQ10/RO10</f>
        <v>0</v>
      </c>
      <c r="RS10" s="593">
        <f>'Proy 2022 vs 2019 sem'!CL9*RV$4</f>
        <v>9700.7556000000004</v>
      </c>
      <c r="RT10" s="593">
        <f>'Proy 2022 vs 2019 sem'!CM9*RV$4</f>
        <v>8730.6800399999993</v>
      </c>
      <c r="RU10" s="699"/>
      <c r="RV10" s="700">
        <f>RU10/RS10</f>
        <v>0</v>
      </c>
      <c r="RW10" s="593">
        <f>'Proy 2022 vs 2019 sem'!CL9*RZ$4</f>
        <v>9700.7556000000004</v>
      </c>
      <c r="RX10" s="593">
        <f>'Proy 2022 vs 2019 sem'!CM9*RZ$4</f>
        <v>8730.6800399999993</v>
      </c>
      <c r="RY10" s="699"/>
      <c r="RZ10" s="700">
        <f>RY10/RW10</f>
        <v>0</v>
      </c>
      <c r="SA10" s="593">
        <f>'Proy 2022 vs 2019 sem'!CL9*SD$4</f>
        <v>9700.7556000000004</v>
      </c>
      <c r="SB10" s="593">
        <f>'Proy 2022 vs 2019 sem'!CM9*SD$4</f>
        <v>8730.6800399999993</v>
      </c>
      <c r="SC10" s="699"/>
      <c r="SD10" s="700">
        <f>SC10/SA10</f>
        <v>0</v>
      </c>
      <c r="SE10" s="593">
        <f>'Proy 2022 vs 2019 sem'!CL9*SH$4</f>
        <v>11317.548200000001</v>
      </c>
      <c r="SF10" s="593">
        <f>'Proy 2022 vs 2019 sem'!CM9*SH$4</f>
        <v>10185.793380000001</v>
      </c>
      <c r="SG10" s="699"/>
      <c r="SH10" s="700">
        <f>SG10/SE10</f>
        <v>0</v>
      </c>
      <c r="SI10" s="593">
        <f>'Proy 2022 vs 2019 sem'!CL9*SL$4</f>
        <v>12934.340800000002</v>
      </c>
      <c r="SJ10" s="593">
        <f>'Proy 2022 vs 2019 sem'!CM9*SL$4</f>
        <v>11640.906720000001</v>
      </c>
      <c r="SK10" s="699"/>
      <c r="SL10" s="700">
        <f>SK10/SI10</f>
        <v>0</v>
      </c>
      <c r="SM10" s="593">
        <f>'Proy 2022 vs 2019 sem'!CL9*SP$4</f>
        <v>17784.7186</v>
      </c>
      <c r="SN10" s="593">
        <f>'Proy 2022 vs 2019 sem'!CM9*SP$4</f>
        <v>16006.246740000001</v>
      </c>
      <c r="SO10" s="699"/>
      <c r="SP10" s="700">
        <f>SO10/SM10</f>
        <v>0</v>
      </c>
      <c r="SQ10" s="579">
        <f>RO10+RS10+RW10+SA10+SE10+SI10+SM10</f>
        <v>80839.63</v>
      </c>
      <c r="SR10" s="574">
        <f>RP10+RT10+RX10+SB10+SF10+SJ10+SN10</f>
        <v>72755.667000000001</v>
      </c>
      <c r="SS10" s="794">
        <f>RQ10+RU10+RY10+SC10+SG10+SK10+SO10</f>
        <v>0</v>
      </c>
      <c r="ST10" s="786">
        <f>SS10/SQ10</f>
        <v>0</v>
      </c>
      <c r="SU10" s="593">
        <f>'Proy 2022 vs 2019 sem'!CQ9*SX$4</f>
        <v>8205.8196000000007</v>
      </c>
      <c r="SV10" s="593">
        <f>'Proy 2022 vs 2019 sem'!CR9*SX$4</f>
        <v>7467.2958360000002</v>
      </c>
      <c r="SW10" s="699"/>
      <c r="SX10" s="700">
        <f>SW10/SU10</f>
        <v>0</v>
      </c>
      <c r="SY10" s="593">
        <f>'Proy 2022 vs 2019 sem'!CQ9*TB$4</f>
        <v>8205.8196000000007</v>
      </c>
      <c r="SZ10" s="593">
        <f>'Proy 2022 vs 2019 sem'!CR9*TB$4</f>
        <v>7467.2958360000002</v>
      </c>
      <c r="TA10" s="699"/>
      <c r="TB10" s="700">
        <f>TA10/SY10</f>
        <v>0</v>
      </c>
      <c r="TC10" s="593">
        <f>'Proy 2022 vs 2019 sem'!CQ9*TF$4</f>
        <v>8205.8196000000007</v>
      </c>
      <c r="TD10" s="593">
        <f>'Proy 2022 vs 2019 sem'!CR9*TF$4</f>
        <v>7467.2958360000002</v>
      </c>
      <c r="TE10" s="699"/>
      <c r="TF10" s="700">
        <f>TE10/TC10</f>
        <v>0</v>
      </c>
      <c r="TG10" s="593">
        <f>'Proy 2022 vs 2019 sem'!CQ9*TJ$4</f>
        <v>8205.8196000000007</v>
      </c>
      <c r="TH10" s="593">
        <f>'Proy 2022 vs 2019 sem'!CR9*TJ$4</f>
        <v>7467.2958360000002</v>
      </c>
      <c r="TI10" s="699"/>
      <c r="TJ10" s="700">
        <f>TI10/TG10</f>
        <v>0</v>
      </c>
      <c r="TK10" s="593">
        <f>'Proy 2022 vs 2019 sem'!CQ9*TN$4</f>
        <v>9573.4562000000005</v>
      </c>
      <c r="TL10" s="593">
        <f>'Proy 2022 vs 2019 sem'!CR9*TN$4</f>
        <v>8711.8451420000019</v>
      </c>
      <c r="TM10" s="699"/>
      <c r="TN10" s="700">
        <f>TM10/TK10</f>
        <v>0</v>
      </c>
      <c r="TO10" s="593">
        <f>'Proy 2022 vs 2019 sem'!CQ9*TR$4</f>
        <v>10941.0928</v>
      </c>
      <c r="TP10" s="593">
        <f>'Proy 2022 vs 2019 sem'!CR9*TR$4</f>
        <v>9956.3944480000009</v>
      </c>
      <c r="TQ10" s="699"/>
      <c r="TR10" s="700">
        <f>TQ10/TO10</f>
        <v>0</v>
      </c>
      <c r="TS10" s="593">
        <f>'Proy 2022 vs 2019 sem'!CQ9*TV$4</f>
        <v>15044.0026</v>
      </c>
      <c r="TT10" s="593">
        <f>'Proy 2022 vs 2019 sem'!CR9*TV$4</f>
        <v>13690.042366000001</v>
      </c>
      <c r="TU10" s="699"/>
      <c r="TV10" s="700">
        <f>TU10/TS10</f>
        <v>0</v>
      </c>
      <c r="TW10" s="579">
        <f>SU10+SY10+TC10+TG10+TK10+TO10+TS10</f>
        <v>68381.83</v>
      </c>
      <c r="TX10" s="574">
        <f>SV10+SZ10+TD10+TH10+TL10+TP10+TT10</f>
        <v>62227.465300000003</v>
      </c>
      <c r="TY10" s="785">
        <f>SW10+TA10+TE10+TI10+TM10+TQ10+TU10</f>
        <v>0</v>
      </c>
      <c r="TZ10" s="786">
        <f>TY10/TW10</f>
        <v>0</v>
      </c>
      <c r="UA10" s="593">
        <f>'Proy 2022 vs 2019 sem'!CZ9*UD$4</f>
        <v>12054.386399999999</v>
      </c>
      <c r="UB10" s="593">
        <f>'Proy 2022 vs 2019 sem'!DA9*UD$4</f>
        <v>10728.403896</v>
      </c>
      <c r="UC10" s="735"/>
      <c r="UD10" s="700">
        <f>UC10/UA10</f>
        <v>0</v>
      </c>
      <c r="UE10" s="593">
        <f>'Proy 2022 vs 2019 sem'!CZ9*UH$4</f>
        <v>12054.386399999999</v>
      </c>
      <c r="UF10" s="593">
        <f>'Proy 2022 vs 2019 sem'!DA9*UH$4</f>
        <v>10728.403896</v>
      </c>
      <c r="UG10" s="699"/>
      <c r="UH10" s="700">
        <f>UG10/UE10</f>
        <v>0</v>
      </c>
      <c r="UI10" s="593">
        <f>'Proy 2022 vs 2019 sem'!CZ9*UL$4</f>
        <v>12054.386399999999</v>
      </c>
      <c r="UJ10" s="593">
        <f>'Proy 2022 vs 2019 sem'!DA9*UL$4</f>
        <v>10728.403896</v>
      </c>
      <c r="UK10" s="699"/>
      <c r="UL10" s="700">
        <f>UK10/UI10</f>
        <v>0</v>
      </c>
      <c r="UM10" s="593">
        <f>'Proy 2022 vs 2019 sem'!CZ9*UP$4</f>
        <v>12054.386399999999</v>
      </c>
      <c r="UN10" s="593">
        <f>'Proy 2022 vs 2019 sem'!DA9*UP$4</f>
        <v>10728.403896</v>
      </c>
      <c r="UO10" s="699"/>
      <c r="UP10" s="700">
        <f>UO10/UM10</f>
        <v>0</v>
      </c>
      <c r="UQ10" s="593">
        <f>'Proy 2022 vs 2019 sem'!CZ9*UT$4</f>
        <v>14063.450800000002</v>
      </c>
      <c r="UR10" s="593">
        <f>'Proy 2022 vs 2019 sem'!DA9*UT$4</f>
        <v>12516.471212</v>
      </c>
      <c r="US10" s="699"/>
      <c r="UT10" s="700">
        <f>US10/UQ10</f>
        <v>0</v>
      </c>
      <c r="UU10" s="593">
        <f>'Proy 2022 vs 2019 sem'!CZ9*UX$4</f>
        <v>16072.5152</v>
      </c>
      <c r="UV10" s="593">
        <f>'Proy 2022 vs 2019 sem'!DA9*UX$4</f>
        <v>14304.538528000001</v>
      </c>
      <c r="UW10" s="699"/>
      <c r="UX10" s="700">
        <f>UW10/UU10</f>
        <v>0</v>
      </c>
      <c r="UY10" s="593">
        <f>'Proy 2022 vs 2019 sem'!CZ9*VB$4</f>
        <v>22099.7084</v>
      </c>
      <c r="UZ10" s="593">
        <f>'Proy 2022 vs 2019 sem'!DA9*VB$4</f>
        <v>19668.740475999999</v>
      </c>
      <c r="VA10" s="699"/>
      <c r="VB10" s="700">
        <f>VA10/UY10</f>
        <v>0</v>
      </c>
      <c r="VC10" s="579">
        <f>UA10+UE10+UI10+UM10+UQ10+UU10+UY10</f>
        <v>100453.22</v>
      </c>
      <c r="VD10" s="574">
        <f>UB10+UF10+UJ10+UN10+UR10+UV10+UZ10</f>
        <v>89403.3658</v>
      </c>
      <c r="VE10" s="759">
        <f>UC10+UG10+UK10+UO10+US10+UW10+VA10</f>
        <v>0</v>
      </c>
      <c r="VF10" s="761">
        <f>VE10/VC10</f>
        <v>0</v>
      </c>
      <c r="VG10" s="593">
        <f>'Proy 2022 vs 2019 sem'!DE9*VJ$4</f>
        <v>8521.6620000000003</v>
      </c>
      <c r="VH10" s="593">
        <f>'Proy 2022 vs 2019 sem'!DF9*VJ$4</f>
        <v>7584.2791800000005</v>
      </c>
      <c r="VI10" s="699"/>
      <c r="VJ10" s="700">
        <f>VI10/VG10</f>
        <v>0</v>
      </c>
      <c r="VK10" s="593">
        <f>'Proy 2022 vs 2019 sem'!DE9*VN$4</f>
        <v>8521.6620000000003</v>
      </c>
      <c r="VL10" s="593">
        <f>'Proy 2022 vs 2019 sem'!DF9*VN$4</f>
        <v>7584.2791800000005</v>
      </c>
      <c r="VM10" s="699"/>
      <c r="VN10" s="700">
        <f>VM10/VK10</f>
        <v>0</v>
      </c>
      <c r="VO10" s="593">
        <f>'Proy 2022 vs 2019 sem'!DE9*VR$4</f>
        <v>8521.6620000000003</v>
      </c>
      <c r="VP10" s="593">
        <f>'Proy 2022 vs 2019 sem'!DF9*VR$4</f>
        <v>7584.2791800000005</v>
      </c>
      <c r="VQ10" s="699"/>
      <c r="VR10" s="700">
        <f>VQ10/VO10</f>
        <v>0</v>
      </c>
      <c r="VS10" s="593">
        <f>'Proy 2022 vs 2019 sem'!DE9*VV$4</f>
        <v>8521.6620000000003</v>
      </c>
      <c r="VT10" s="593">
        <f>'Proy 2022 vs 2019 sem'!DF9*VV$4</f>
        <v>7584.2791800000005</v>
      </c>
      <c r="VU10" s="699"/>
      <c r="VV10" s="700">
        <f>VU10/VS10</f>
        <v>0</v>
      </c>
      <c r="VW10" s="593">
        <f>'Proy 2022 vs 2019 sem'!DE9*VZ$4</f>
        <v>9941.9390000000021</v>
      </c>
      <c r="VX10" s="593">
        <f>'Proy 2022 vs 2019 sem'!DF9*VZ$4</f>
        <v>8848.325710000001</v>
      </c>
      <c r="VY10" s="699"/>
      <c r="VZ10" s="700">
        <f>VY10/VW10</f>
        <v>0</v>
      </c>
      <c r="WA10" s="593">
        <f>'Proy 2022 vs 2019 sem'!DE9*WD$4</f>
        <v>11362.216</v>
      </c>
      <c r="WB10" s="593">
        <f>'Proy 2022 vs 2019 sem'!DF9*WD$4</f>
        <v>10112.372240000001</v>
      </c>
      <c r="WC10" s="699"/>
      <c r="WD10" s="700">
        <f>WC10/WA10</f>
        <v>0</v>
      </c>
      <c r="WE10" s="593">
        <f>'Proy 2022 vs 2019 sem'!DE9*WH$4</f>
        <v>15623.047</v>
      </c>
      <c r="WF10" s="593">
        <f>'Proy 2022 vs 2019 sem'!DF9*WH$4</f>
        <v>13904.511830000001</v>
      </c>
      <c r="WG10" s="699"/>
      <c r="WH10" s="700">
        <f>WG10/WE10</f>
        <v>0</v>
      </c>
      <c r="WI10" s="579">
        <f>VG10+VK10+VO10+VS10+VW10+WA10+WE10</f>
        <v>71013.850000000006</v>
      </c>
      <c r="WJ10" s="574">
        <f>VH10+VL10+VP10+VT10+VX10+WB10+WF10</f>
        <v>63202.32650000001</v>
      </c>
      <c r="WK10" s="765">
        <f>VI10+VM10+VQ10+VU10+VY10+WC10+WG10</f>
        <v>0</v>
      </c>
      <c r="WL10" s="761">
        <f>WK10/WI10</f>
        <v>0</v>
      </c>
      <c r="WM10" s="593">
        <f>'Proy 2022 vs 2019 sem'!DJ9*WP$4</f>
        <v>7948.4027999999998</v>
      </c>
      <c r="WN10" s="593">
        <f>'Proy 2022 vs 2019 sem'!DK9*WP$4</f>
        <v>7074.0784919999996</v>
      </c>
      <c r="WO10" s="699"/>
      <c r="WP10" s="700">
        <f>WO10/WM10</f>
        <v>0</v>
      </c>
      <c r="WQ10" s="593">
        <f>'Proy 2022 vs 2019 sem'!DJ9*WT$4</f>
        <v>7948.4027999999998</v>
      </c>
      <c r="WR10" s="593">
        <f>'Proy 2022 vs 2019 sem'!DK9*WT$4</f>
        <v>7074.0784919999996</v>
      </c>
      <c r="WS10" s="699"/>
      <c r="WT10" s="700">
        <f>WS10/WQ10</f>
        <v>0</v>
      </c>
      <c r="WU10" s="593">
        <f>'Proy 2022 vs 2019 sem'!DJ9*WX$4</f>
        <v>7948.4027999999998</v>
      </c>
      <c r="WV10" s="593">
        <f>'Proy 2022 vs 2019 sem'!DK9*WX$4</f>
        <v>7074.0784919999996</v>
      </c>
      <c r="WW10" s="699"/>
      <c r="WX10" s="700">
        <f>WW10/WU10</f>
        <v>0</v>
      </c>
      <c r="WY10" s="593">
        <f>'Proy 2022 vs 2019 sem'!DJ9*XB$4</f>
        <v>7948.4027999999998</v>
      </c>
      <c r="WZ10" s="593">
        <f>'Proy 2022 vs 2019 sem'!DK9*XB$4</f>
        <v>7074.0784919999996</v>
      </c>
      <c r="XA10" s="699"/>
      <c r="XB10" s="700">
        <f>XA10/WY10</f>
        <v>0</v>
      </c>
      <c r="XC10" s="593">
        <f>'Proy 2022 vs 2019 sem'!DJ9*XF$4</f>
        <v>9273.1366000000016</v>
      </c>
      <c r="XD10" s="593">
        <f>'Proy 2022 vs 2019 sem'!DK9*XF$4</f>
        <v>8253.091574</v>
      </c>
      <c r="XE10" s="699"/>
      <c r="XF10" s="700">
        <f>XE10/XC10</f>
        <v>0</v>
      </c>
      <c r="XG10" s="593">
        <f>'Proy 2022 vs 2019 sem'!DJ9*XJ$4</f>
        <v>10597.8704</v>
      </c>
      <c r="XH10" s="593">
        <f>'Proy 2022 vs 2019 sem'!DK9*XJ$4</f>
        <v>9432.1046559999995</v>
      </c>
      <c r="XI10" s="699"/>
      <c r="XJ10" s="700">
        <f>XI10/XG10</f>
        <v>0</v>
      </c>
      <c r="XK10" s="593">
        <f>'Proy 2022 vs 2019 sem'!DJ9*XN$4</f>
        <v>14572.0718</v>
      </c>
      <c r="XL10" s="593">
        <f>'Proy 2022 vs 2019 sem'!DK9*XN$4</f>
        <v>12969.143902</v>
      </c>
      <c r="XM10" s="699"/>
      <c r="XN10" s="700">
        <f>XM10/XK10</f>
        <v>0</v>
      </c>
      <c r="XO10" s="579">
        <f>WM10+WQ10+WU10+WY10+XC10+XG10+XK10</f>
        <v>66236.69</v>
      </c>
      <c r="XP10" s="574">
        <f>WN10+WR10+WV10+WZ10+XD10+XH10+XL10</f>
        <v>58950.6541</v>
      </c>
      <c r="XQ10" s="765">
        <f>WO10+WS10+WW10+XA10+XE10+XI10+XM10</f>
        <v>0</v>
      </c>
      <c r="XR10" s="761">
        <f>XQ10/XO10</f>
        <v>0</v>
      </c>
      <c r="XS10" s="593">
        <f>'Proy 2022 vs 2019 sem'!DO9*XV$4</f>
        <v>7488.7571999999991</v>
      </c>
      <c r="XT10" s="593">
        <f>'Proy 2022 vs 2019 sem'!DP9*XV$4</f>
        <v>6739.8814799999991</v>
      </c>
      <c r="XU10" s="699"/>
      <c r="XV10" s="700">
        <f>XU10/XS10</f>
        <v>0</v>
      </c>
      <c r="XW10" s="593">
        <f>'Proy 2022 vs 2019 sem'!DO9*XZ$4</f>
        <v>7488.7571999999991</v>
      </c>
      <c r="XX10" s="593">
        <f>'Proy 2022 vs 2019 sem'!DP9*XZ$4</f>
        <v>6739.8814799999991</v>
      </c>
      <c r="XY10" s="699"/>
      <c r="XZ10" s="700">
        <f>XY10/XW10</f>
        <v>0</v>
      </c>
      <c r="YA10" s="593">
        <f>'Proy 2022 vs 2019 sem'!DO9*YD$4</f>
        <v>7488.7571999999991</v>
      </c>
      <c r="YB10" s="593">
        <f>'Proy 2022 vs 2019 sem'!DP9*YD$4</f>
        <v>6739.8814799999991</v>
      </c>
      <c r="YC10" s="699"/>
      <c r="YD10" s="700">
        <f>YC10/YA10</f>
        <v>0</v>
      </c>
      <c r="YE10" s="593">
        <f>'Proy 2022 vs 2019 sem'!DO9*YH$4</f>
        <v>7488.7571999999991</v>
      </c>
      <c r="YF10" s="593">
        <f>'Proy 2022 vs 2019 sem'!DP9*YH$4</f>
        <v>6739.8814799999991</v>
      </c>
      <c r="YG10" s="699"/>
      <c r="YH10" s="700">
        <f>YG10/YE10</f>
        <v>0</v>
      </c>
      <c r="YI10" s="593">
        <f>'Proy 2022 vs 2019 sem'!DO9*YL$4</f>
        <v>8736.8834000000006</v>
      </c>
      <c r="YJ10" s="593">
        <f>'Proy 2022 vs 2019 sem'!DP9*YL$4</f>
        <v>7863.19506</v>
      </c>
      <c r="YK10" s="699"/>
      <c r="YL10" s="700">
        <f>YK10/YI10</f>
        <v>0</v>
      </c>
      <c r="YM10" s="593">
        <f>'Proy 2022 vs 2019 sem'!DO9*YP$4</f>
        <v>9985.0095999999994</v>
      </c>
      <c r="YN10" s="593">
        <f>'Proy 2022 vs 2019 sem'!DP9*YP$4</f>
        <v>8986.50864</v>
      </c>
      <c r="YO10" s="699"/>
      <c r="YP10" s="700">
        <f>YO10/YM10</f>
        <v>0</v>
      </c>
      <c r="YQ10" s="593">
        <f>'Proy 2022 vs 2019 sem'!DO9*YT$4</f>
        <v>13729.388199999999</v>
      </c>
      <c r="YR10" s="593">
        <f>'Proy 2022 vs 2019 sem'!DP9*YT$4</f>
        <v>12356.44938</v>
      </c>
      <c r="YS10" s="699"/>
      <c r="YT10" s="700">
        <f>YS10/YQ10</f>
        <v>0</v>
      </c>
      <c r="YU10" s="579">
        <f>XS10+XW10+YA10+YE10+YI10+YM10+YQ10</f>
        <v>62406.31</v>
      </c>
      <c r="YV10" s="574">
        <f>XT10+XX10+YB10+YF10+YJ10+YN10+YR10</f>
        <v>56165.678999999996</v>
      </c>
      <c r="YW10" s="770">
        <f>XU10+XY10+YC10+YG10+YK10+YO10+YS10</f>
        <v>0</v>
      </c>
      <c r="YX10" s="761">
        <f>YW10/YU10</f>
        <v>0</v>
      </c>
      <c r="YY10" s="931">
        <f>'Proy 2022 vs 2019 sem'!DX9*ZB$4</f>
        <v>6699.8843999999999</v>
      </c>
      <c r="YZ10" s="931">
        <f>'Proy 2022 vs 2019 sem'!DY9*ZB$4</f>
        <v>5962.8971160000001</v>
      </c>
      <c r="ZA10" s="735"/>
      <c r="ZB10" s="700">
        <f>ZA10/YY10</f>
        <v>0</v>
      </c>
      <c r="ZC10" s="593">
        <f>'Proy 2022 vs 2019 sem'!DX9*ZF$4</f>
        <v>6699.8843999999999</v>
      </c>
      <c r="ZD10" s="593">
        <f>'Proy 2022 vs 2019 sem'!DY9*ZF$4</f>
        <v>5962.8971160000001</v>
      </c>
      <c r="ZE10" s="735"/>
      <c r="ZF10" s="700">
        <f>ZE10/ZC10</f>
        <v>0</v>
      </c>
      <c r="ZG10" s="593">
        <f>'Proy 2022 vs 2019 sem'!DX9*ZJ$4</f>
        <v>6699.8843999999999</v>
      </c>
      <c r="ZH10" s="593">
        <f>'Proy 2022 vs 2019 sem'!DY9*ZJ$4</f>
        <v>5962.8971160000001</v>
      </c>
      <c r="ZI10" s="735"/>
      <c r="ZJ10" s="700">
        <f>ZI10/ZG10</f>
        <v>0</v>
      </c>
      <c r="ZK10" s="593">
        <f>'Proy 2022 vs 2019 sem'!DX9*ZN$4</f>
        <v>6699.8843999999999</v>
      </c>
      <c r="ZL10" s="593">
        <f>'Proy 2022 vs 2019 sem'!DY9*ZN$4</f>
        <v>5962.8971160000001</v>
      </c>
      <c r="ZM10" s="735"/>
      <c r="ZN10" s="700">
        <f>ZM10/ZK10</f>
        <v>0</v>
      </c>
      <c r="ZO10" s="593">
        <f>'Proy 2022 vs 2019 sem'!DX9*ZR$4</f>
        <v>7816.5318000000007</v>
      </c>
      <c r="ZP10" s="593">
        <f>'Proy 2022 vs 2019 sem'!DY9*ZR$4</f>
        <v>6956.713302000001</v>
      </c>
      <c r="ZQ10" s="735"/>
      <c r="ZR10" s="700">
        <f>ZQ10/ZO10</f>
        <v>0</v>
      </c>
      <c r="ZS10" s="593">
        <f>'Proy 2022 vs 2019 sem'!DX9*ZV$4</f>
        <v>8933.1792000000005</v>
      </c>
      <c r="ZT10" s="593">
        <f>'Proy 2022 vs 2019 sem'!DY9*ZV$4</f>
        <v>7950.5294880000001</v>
      </c>
      <c r="ZU10" s="735"/>
      <c r="ZV10" s="700">
        <f>ZU10/ZS10</f>
        <v>0</v>
      </c>
      <c r="ZW10" s="593">
        <f>'Proy 2022 vs 2019 sem'!DX9*ZZ$4</f>
        <v>12283.1214</v>
      </c>
      <c r="ZX10" s="593">
        <f>'Proy 2022 vs 2019 sem'!DY9*ZZ$4</f>
        <v>10931.978046</v>
      </c>
      <c r="ZY10" s="735"/>
      <c r="ZZ10" s="700">
        <f>ZY10/ZW10</f>
        <v>0</v>
      </c>
      <c r="AAA10" s="579">
        <f>YY10+ZC10+ZG10+ZK10+ZO10+ZS10+ZW10</f>
        <v>55832.369999999995</v>
      </c>
      <c r="AAB10" s="574">
        <f>YZ10+ZD10+ZH10+ZL10+ZP10+ZT10+ZX10</f>
        <v>49690.809300000008</v>
      </c>
      <c r="AAC10" s="729">
        <f>ZA10+ZE10+ZI10+ZM10+ZQ10+ZU10+ZY10</f>
        <v>0</v>
      </c>
      <c r="AAD10" s="711">
        <f>AAC10/AAA10</f>
        <v>0</v>
      </c>
      <c r="AAE10" s="593">
        <f>'Proy 2022 vs 2019 sem'!EC9*AAH$4</f>
        <v>9019.3511999999992</v>
      </c>
      <c r="AAF10" s="593">
        <f>'Proy 2022 vs 2019 sem'!ED9*AAH$4</f>
        <v>7846.8355439999996</v>
      </c>
      <c r="AAG10" s="699"/>
      <c r="AAH10" s="700">
        <f>AAG10/AAE10</f>
        <v>0</v>
      </c>
      <c r="AAI10" s="593">
        <f>'Proy 2022 vs 2019 sem'!EC9*AAL$4</f>
        <v>9019.3511999999992</v>
      </c>
      <c r="AAJ10" s="593">
        <f>'Proy 2022 vs 2019 sem'!ED9*AAL$4</f>
        <v>7846.8355439999996</v>
      </c>
      <c r="AAK10" s="699"/>
      <c r="AAL10" s="700">
        <f>AAK10/AAI10</f>
        <v>0</v>
      </c>
      <c r="AAM10" s="593">
        <f>'Proy 2022 vs 2019 sem'!EC9*AAP$4</f>
        <v>9019.3511999999992</v>
      </c>
      <c r="AAN10" s="593">
        <f>'Proy 2022 vs 2019 sem'!ED9*AAP$4</f>
        <v>7846.8355439999996</v>
      </c>
      <c r="AAO10" s="699"/>
      <c r="AAP10" s="700">
        <f>AAO10/AAM10</f>
        <v>0</v>
      </c>
      <c r="AAQ10" s="593">
        <f>'Proy 2022 vs 2019 sem'!EC9*AAT$4</f>
        <v>9019.3511999999992</v>
      </c>
      <c r="AAR10" s="593">
        <f>'Proy 2022 vs 2019 sem'!ED9*AAT$4</f>
        <v>7846.8355439999996</v>
      </c>
      <c r="AAS10" s="699"/>
      <c r="AAT10" s="700">
        <f>AAS10/AAQ10</f>
        <v>0</v>
      </c>
      <c r="AAU10" s="593">
        <f>'Proy 2022 vs 2019 sem'!EC9*AAX$4</f>
        <v>10522.5764</v>
      </c>
      <c r="AAV10" s="593">
        <f>'Proy 2022 vs 2019 sem'!ED9*AAX$4</f>
        <v>9154.6414679999998</v>
      </c>
      <c r="AAW10" s="699"/>
      <c r="AAX10" s="700">
        <f>AAW10/AAU10</f>
        <v>0</v>
      </c>
      <c r="AAY10" s="593">
        <f>'Proy 2022 vs 2019 sem'!EC9*ABB$4</f>
        <v>12025.801599999999</v>
      </c>
      <c r="AAZ10" s="593">
        <f>'Proy 2022 vs 2019 sem'!ED9*ABB$4</f>
        <v>10462.447392</v>
      </c>
      <c r="ABA10" s="699"/>
      <c r="ABB10" s="700">
        <f>ABA10/AAY10</f>
        <v>0</v>
      </c>
      <c r="ABC10" s="593">
        <f>'Proy 2022 vs 2019 sem'!EC9*ABF$4</f>
        <v>16535.477199999998</v>
      </c>
      <c r="ABD10" s="593">
        <f>'Proy 2022 vs 2019 sem'!ED9*ABF$4</f>
        <v>14385.865163999999</v>
      </c>
      <c r="ABE10" s="699"/>
      <c r="ABF10" s="700">
        <f>ABE10/ABC10</f>
        <v>0</v>
      </c>
      <c r="ABG10" s="579">
        <f>AAE10+AAI10+AAM10+AAQ10+AAU10+AAY10+ABC10</f>
        <v>75161.259999999995</v>
      </c>
      <c r="ABH10" s="574">
        <f>AAF10+AAJ10+AAN10+AAR10+AAV10+AAZ10+ABD10</f>
        <v>65390.296199999997</v>
      </c>
      <c r="ABI10" s="730">
        <f>AAG10+AAK10+AAO10+AAS10+AAW10+ABA10+ABE10</f>
        <v>0</v>
      </c>
      <c r="ABJ10" s="711">
        <f>ABI10/ABG10</f>
        <v>0</v>
      </c>
      <c r="ABK10" s="593">
        <f>'Proy 2022 vs 2019 sem'!EH9*ABN$4</f>
        <v>9909.1895999999997</v>
      </c>
      <c r="ABL10" s="593">
        <f>'Proy 2022 vs 2019 sem'!EI9*ABN$4</f>
        <v>8819.1787439999989</v>
      </c>
      <c r="ABM10" s="699"/>
      <c r="ABN10" s="700">
        <f>ABM10/ABK10</f>
        <v>0</v>
      </c>
      <c r="ABO10" s="593">
        <f>'Proy 2022 vs 2019 sem'!EH9*ABR$4</f>
        <v>9909.1895999999997</v>
      </c>
      <c r="ABP10" s="593">
        <f>'Proy 2022 vs 2019 sem'!EI9*ABR$4</f>
        <v>8819.1787439999989</v>
      </c>
      <c r="ABQ10" s="699"/>
      <c r="ABR10" s="700">
        <f>ABQ10/ABO10</f>
        <v>0</v>
      </c>
      <c r="ABS10" s="593">
        <f>'Proy 2022 vs 2019 sem'!EH9*ABV$4</f>
        <v>9909.1895999999997</v>
      </c>
      <c r="ABT10" s="593">
        <f>'Proy 2022 vs 2019 sem'!EI9*ABV$4</f>
        <v>8819.1787439999989</v>
      </c>
      <c r="ABU10" s="699"/>
      <c r="ABV10" s="700">
        <f>ABU10/ABS10</f>
        <v>0</v>
      </c>
      <c r="ABW10" s="593">
        <f>'Proy 2022 vs 2019 sem'!EH9*ABZ$4</f>
        <v>9909.1895999999997</v>
      </c>
      <c r="ABX10" s="593">
        <f>'Proy 2022 vs 2019 sem'!EI9*ABZ$4</f>
        <v>8819.1787439999989</v>
      </c>
      <c r="ABY10" s="699"/>
      <c r="ABZ10" s="700">
        <f>ABY10/ABW10</f>
        <v>0</v>
      </c>
      <c r="ACA10" s="593">
        <f>'Proy 2022 vs 2019 sem'!EH9*ACD$4</f>
        <v>11560.721200000002</v>
      </c>
      <c r="ACB10" s="593">
        <f>'Proy 2022 vs 2019 sem'!EI9*ACD$4</f>
        <v>10289.041868</v>
      </c>
      <c r="ACC10" s="699"/>
      <c r="ACD10" s="700">
        <f>ACC10/ACA10</f>
        <v>0</v>
      </c>
      <c r="ACE10" s="593">
        <f>'Proy 2022 vs 2019 sem'!EH9*ACH$4</f>
        <v>13212.2528</v>
      </c>
      <c r="ACF10" s="593">
        <f>'Proy 2022 vs 2019 sem'!EI9*ACH$4</f>
        <v>11758.904992</v>
      </c>
      <c r="ACG10" s="699"/>
      <c r="ACH10" s="700">
        <f>ACG10/ACE10</f>
        <v>0</v>
      </c>
      <c r="ACI10" s="593">
        <f>'Proy 2022 vs 2019 sem'!EH9*ACL$4</f>
        <v>18166.847600000001</v>
      </c>
      <c r="ACJ10" s="593">
        <f>'Proy 2022 vs 2019 sem'!EI9*ACL$4</f>
        <v>16168.494364</v>
      </c>
      <c r="ACK10" s="699"/>
      <c r="ACL10" s="700">
        <f>ACK10/ACI10</f>
        <v>0</v>
      </c>
      <c r="ACM10" s="579">
        <f>ABK10+ABO10+ABS10+ABW10+ACA10+ACE10+ACI10</f>
        <v>82576.58</v>
      </c>
      <c r="ACN10" s="574">
        <f>ABL10+ABP10+ABT10+ABX10+ACB10+ACF10+ACJ10</f>
        <v>73493.156199999998</v>
      </c>
      <c r="ACO10" s="730">
        <f>ABM10+ABQ10+ABU10+ABY10+ACC10+ACG10+ACK10</f>
        <v>0</v>
      </c>
      <c r="ACP10" s="711">
        <f>ACO10/ACM10</f>
        <v>0</v>
      </c>
      <c r="ACQ10" s="593">
        <f>'Proy 2022 vs 2019 sem'!EM9*ACT$4</f>
        <v>9450.9947999999986</v>
      </c>
      <c r="ACR10" s="593">
        <f>'Proy 2022 vs 2019 sem'!EN9*ACT$4</f>
        <v>8789.4251639999984</v>
      </c>
      <c r="ACS10" s="699"/>
      <c r="ACT10" s="700">
        <f>ACS10/ACQ10</f>
        <v>0</v>
      </c>
      <c r="ACU10" s="593">
        <f>'Proy 2022 vs 2019 sem'!EM9*ACX$4</f>
        <v>9450.9947999999986</v>
      </c>
      <c r="ACV10" s="593">
        <f>'Proy 2022 vs 2019 sem'!EN9*ACX$4</f>
        <v>8789.4251639999984</v>
      </c>
      <c r="ACW10" s="699"/>
      <c r="ACX10" s="700">
        <f>ACW10/ACU10</f>
        <v>0</v>
      </c>
      <c r="ACY10" s="593">
        <f>'Proy 2022 vs 2019 sem'!EM9*ADB$4</f>
        <v>9450.9947999999986</v>
      </c>
      <c r="ACZ10" s="593">
        <f>'Proy 2022 vs 2019 sem'!EN9*ADB$4</f>
        <v>8789.4251639999984</v>
      </c>
      <c r="ADA10" s="699"/>
      <c r="ADB10" s="700">
        <f>ADA10/ACY10</f>
        <v>0</v>
      </c>
      <c r="ADC10" s="593">
        <f>'Proy 2022 vs 2019 sem'!EM9*ADF$4</f>
        <v>9450.9947999999986</v>
      </c>
      <c r="ADD10" s="593">
        <f>'Proy 2022 vs 2019 sem'!EN9*ADF$4</f>
        <v>8789.4251639999984</v>
      </c>
      <c r="ADE10" s="699"/>
      <c r="ADF10" s="700">
        <f>ADE10/ADC10</f>
        <v>0</v>
      </c>
      <c r="ADG10" s="593">
        <f>'Proy 2022 vs 2019 sem'!EM9*ADJ$4</f>
        <v>11026.160599999999</v>
      </c>
      <c r="ADH10" s="593">
        <f>'Proy 2022 vs 2019 sem'!EN9*ADJ$4</f>
        <v>10254.329357999999</v>
      </c>
      <c r="ADI10" s="699"/>
      <c r="ADJ10" s="700">
        <f>ADI10/ADG10</f>
        <v>0</v>
      </c>
      <c r="ADK10" s="593">
        <f>'Proy 2022 vs 2019 sem'!EM9*ADN$4</f>
        <v>12601.3264</v>
      </c>
      <c r="ADL10" s="593">
        <f>'Proy 2022 vs 2019 sem'!EN9*ADN$4</f>
        <v>11719.233552</v>
      </c>
      <c r="ADM10" s="699"/>
      <c r="ADN10" s="700">
        <f>ADM10/ADK10</f>
        <v>0</v>
      </c>
      <c r="ADO10" s="593">
        <f>'Proy 2022 vs 2019 sem'!EM9*ADR$4</f>
        <v>17326.823799999998</v>
      </c>
      <c r="ADP10" s="593">
        <f>'Proy 2022 vs 2019 sem'!EN9*ADR$4</f>
        <v>16113.946133999998</v>
      </c>
      <c r="ADQ10" s="699"/>
      <c r="ADR10" s="700">
        <f>ADQ10/ADO10</f>
        <v>0</v>
      </c>
      <c r="ADS10" s="579">
        <f>ACQ10+ACU10+ACY10+ADC10+ADG10+ADK10+ADO10</f>
        <v>78758.289999999979</v>
      </c>
      <c r="ADT10" s="574">
        <f>ACR10+ACV10+ACZ10+ADD10+ADH10+ADL10+ADP10</f>
        <v>73245.209699999978</v>
      </c>
      <c r="ADU10" s="710">
        <f>ACS10+ACW10+ADA10+ADE10+ADI10+ADM10+ADQ10</f>
        <v>0</v>
      </c>
      <c r="ADV10" s="711">
        <f>ADU10/ADS10</f>
        <v>0</v>
      </c>
      <c r="ADW10" s="593">
        <f>'Proy 2022 vs 2019 sem'!ER9*ADZ$4</f>
        <v>8818.3007999999991</v>
      </c>
      <c r="ADX10" s="593">
        <f>'Proy 2022 vs 2019 sem'!ES9*ADZ$4</f>
        <v>8201.0197439999993</v>
      </c>
      <c r="ADY10" s="699"/>
      <c r="ADZ10" s="700">
        <f>ADY10/ADW10</f>
        <v>0</v>
      </c>
      <c r="AEA10" s="593">
        <f>'Proy 2022 vs 2019 sem'!ER9*AED$4</f>
        <v>8818.3007999999991</v>
      </c>
      <c r="AEB10" s="593">
        <f>'Proy 2022 vs 2019 sem'!ES9*AED$4</f>
        <v>8201.0197439999993</v>
      </c>
      <c r="AEC10" s="699"/>
      <c r="AED10" s="700">
        <f>AEC10/AEA10</f>
        <v>0</v>
      </c>
      <c r="AEE10" s="593">
        <f>'Proy 2022 vs 2019 sem'!ER9*AEH$4</f>
        <v>8818.3007999999991</v>
      </c>
      <c r="AEF10" s="593">
        <f>'Proy 2022 vs 2019 sem'!ES9*AEH$4</f>
        <v>8201.0197439999993</v>
      </c>
      <c r="AEG10" s="699"/>
      <c r="AEH10" s="700">
        <f>AEG10/AEE10</f>
        <v>0</v>
      </c>
      <c r="AEI10" s="593">
        <f>'Proy 2022 vs 2019 sem'!ER9*AEL$4</f>
        <v>8818.3007999999991</v>
      </c>
      <c r="AEJ10" s="593">
        <f>'Proy 2022 vs 2019 sem'!ES9*AEL$4</f>
        <v>8201.0197439999993</v>
      </c>
      <c r="AEK10" s="699"/>
      <c r="AEL10" s="700">
        <f>AEK10/AEI10</f>
        <v>0</v>
      </c>
      <c r="AEM10" s="593">
        <f>'Proy 2022 vs 2019 sem'!ER9*AEP$4</f>
        <v>10288.017600000001</v>
      </c>
      <c r="AEN10" s="593">
        <f>'Proy 2022 vs 2019 sem'!ES9*AEP$4</f>
        <v>9567.8563680000007</v>
      </c>
      <c r="AEO10" s="699"/>
      <c r="AEP10" s="700">
        <f>AEO10/AEM10</f>
        <v>0</v>
      </c>
      <c r="AEQ10" s="593">
        <f>'Proy 2022 vs 2019 sem'!ER9*AET$4</f>
        <v>11757.734399999999</v>
      </c>
      <c r="AER10" s="593">
        <f>'Proy 2022 vs 2019 sem'!ES9*AET$4</f>
        <v>10934.692992</v>
      </c>
      <c r="AES10" s="699"/>
      <c r="AET10" s="700">
        <f>AES10/AEQ10</f>
        <v>0</v>
      </c>
      <c r="AEU10" s="593">
        <f>'Proy 2022 vs 2019 sem'!ER9*AEX$4</f>
        <v>16166.8848</v>
      </c>
      <c r="AEV10" s="593">
        <f>'Proy 2022 vs 2019 sem'!ES9*AEX$4</f>
        <v>15035.202864000001</v>
      </c>
      <c r="AEW10" s="699"/>
      <c r="AEX10" s="700">
        <f>AEW10/AEU10</f>
        <v>0</v>
      </c>
      <c r="AEY10" s="579">
        <f>ADW10+AEA10+AEE10+AEI10+AEM10+AEQ10+AEU10</f>
        <v>73485.84</v>
      </c>
      <c r="AEZ10" s="574">
        <f>ADX10+AEB10+AEF10+AEJ10+AEN10+AER10+AEV10</f>
        <v>68341.831200000001</v>
      </c>
      <c r="AFA10" s="710">
        <f>ADY10+AEC10+AEG10+AEK10+AEO10+AES10+AEW10</f>
        <v>0</v>
      </c>
      <c r="AFB10" s="711">
        <f>AFA10/AEY10</f>
        <v>0</v>
      </c>
      <c r="AFC10" s="593">
        <f>'Proy 2022 vs 2019 sem'!FA9*AFF$4</f>
        <v>8107.3739999999998</v>
      </c>
      <c r="AFD10" s="593">
        <f>'Proy 2022 vs 2019 sem'!FB9*AFF$4</f>
        <v>7134.4891200000002</v>
      </c>
      <c r="AFE10" s="735"/>
      <c r="AFF10" s="700">
        <f>AFE10/AFC10</f>
        <v>0</v>
      </c>
      <c r="AFG10" s="593">
        <f>'Proy 2022 vs 2019 sem'!FA9*AFJ$4</f>
        <v>8107.3739999999998</v>
      </c>
      <c r="AFH10" s="593">
        <f>'Proy 2022 vs 2019 sem'!FB9*AFJ$4</f>
        <v>7134.4891200000002</v>
      </c>
      <c r="AFI10" s="699"/>
      <c r="AFJ10" s="700">
        <f>AFI10/AFG10</f>
        <v>0</v>
      </c>
      <c r="AFK10" s="593">
        <f>'Proy 2022 vs 2019 sem'!FA9*AFN$4</f>
        <v>8107.3739999999998</v>
      </c>
      <c r="AFL10" s="593">
        <f>'Proy 2022 vs 2019 sem'!FB9*AFN$4</f>
        <v>7134.4891200000002</v>
      </c>
      <c r="AFM10" s="699"/>
      <c r="AFN10" s="700">
        <f>AFM10/AFK10</f>
        <v>0</v>
      </c>
      <c r="AFO10" s="593">
        <f>'Proy 2022 vs 2019 sem'!FA9*AFR$4</f>
        <v>8107.3739999999998</v>
      </c>
      <c r="AFP10" s="593">
        <f>'Proy 2022 vs 2019 sem'!FB9*AFR$4</f>
        <v>7134.4891200000002</v>
      </c>
      <c r="AFQ10" s="699"/>
      <c r="AFR10" s="700">
        <f>AFQ10/AFO10</f>
        <v>0</v>
      </c>
      <c r="AFS10" s="593">
        <f>'Proy 2022 vs 2019 sem'!FA9*AFV$4</f>
        <v>9458.603000000001</v>
      </c>
      <c r="AFT10" s="593">
        <f>'Proy 2022 vs 2019 sem'!FB9*AFV$4</f>
        <v>8323.5706400000017</v>
      </c>
      <c r="AFU10" s="699"/>
      <c r="AFV10" s="700">
        <f>AFU10/AFS10</f>
        <v>0</v>
      </c>
      <c r="AFW10" s="593">
        <f>'Proy 2022 vs 2019 sem'!FA9*AFZ$4</f>
        <v>10809.832</v>
      </c>
      <c r="AFX10" s="593">
        <f>'Proy 2022 vs 2019 sem'!FB9*AFZ$4</f>
        <v>9512.6521599999996</v>
      </c>
      <c r="AFY10" s="699"/>
      <c r="AFZ10" s="700">
        <f>AFY10/AFW10</f>
        <v>0</v>
      </c>
      <c r="AGA10" s="593">
        <f>'Proy 2022 vs 2019 sem'!FA9*AGD$4</f>
        <v>14863.519</v>
      </c>
      <c r="AGB10" s="593">
        <f>'Proy 2022 vs 2019 sem'!FB9*AGD$4</f>
        <v>13079.896720000001</v>
      </c>
      <c r="AGC10" s="699"/>
      <c r="AGD10" s="700">
        <f>AGC10/AGA10</f>
        <v>0</v>
      </c>
      <c r="AGE10" s="579">
        <f>AFC10+AFG10+AFK10+AFO10+AFS10+AFW10+AGA10</f>
        <v>67561.450000000012</v>
      </c>
      <c r="AGF10" s="574">
        <f>AFD10+AFH10+AFL10+AFP10+AFT10+AFX10+AGB10</f>
        <v>59454.076000000001</v>
      </c>
      <c r="AGG10" s="759">
        <f>AFE10+AFI10+AFM10+AFQ10+AFU10+AFY10+AGC10</f>
        <v>0</v>
      </c>
      <c r="AGH10" s="761">
        <f>AGG10/AGE10</f>
        <v>0</v>
      </c>
      <c r="AGI10" s="593">
        <f>'Proy 2022 vs 2019 sem'!FF9*AGL$4</f>
        <v>10198.0188</v>
      </c>
      <c r="AGJ10" s="593">
        <f>'Proy 2022 vs 2019 sem'!FG9*AGL$4</f>
        <v>8974.2565439999998</v>
      </c>
      <c r="AGK10" s="699"/>
      <c r="AGL10" s="700">
        <f>AGK10/AGI10</f>
        <v>0</v>
      </c>
      <c r="AGM10" s="593">
        <f>'Proy 2022 vs 2019 sem'!FF9*AGP$4</f>
        <v>10198.0188</v>
      </c>
      <c r="AGN10" s="593">
        <f>'Proy 2022 vs 2019 sem'!FG9*AGP$4</f>
        <v>8974.2565439999998</v>
      </c>
      <c r="AGO10" s="699"/>
      <c r="AGP10" s="700">
        <f>AGO10/AGM10</f>
        <v>0</v>
      </c>
      <c r="AGQ10" s="593">
        <f>'Proy 2022 vs 2019 sem'!FF9*AGT$4</f>
        <v>10198.0188</v>
      </c>
      <c r="AGR10" s="593">
        <f>'Proy 2022 vs 2019 sem'!FG9*AGT$4</f>
        <v>8974.2565439999998</v>
      </c>
      <c r="AGS10" s="699"/>
      <c r="AGT10" s="700">
        <f>AGS10/AGQ10</f>
        <v>0</v>
      </c>
      <c r="AGU10" s="593">
        <f>'Proy 2022 vs 2019 sem'!FF9*AGX$4</f>
        <v>10198.0188</v>
      </c>
      <c r="AGV10" s="593">
        <f>'Proy 2022 vs 2019 sem'!FG9*AGX$4</f>
        <v>8974.2565439999998</v>
      </c>
      <c r="AGW10" s="699"/>
      <c r="AGX10" s="700">
        <f>AGW10/AGU10</f>
        <v>0</v>
      </c>
      <c r="AGY10" s="593">
        <f>'Proy 2022 vs 2019 sem'!FF9*AHB$4</f>
        <v>11897.688600000001</v>
      </c>
      <c r="AGZ10" s="593">
        <f>'Proy 2022 vs 2019 sem'!FG9*AHB$4</f>
        <v>10469.965968</v>
      </c>
      <c r="AHA10" s="699"/>
      <c r="AHB10" s="700">
        <f>AHA10/AGY10</f>
        <v>0</v>
      </c>
      <c r="AHC10" s="593">
        <f>'Proy 2022 vs 2019 sem'!FF9*AHF$4</f>
        <v>13597.358400000001</v>
      </c>
      <c r="AHD10" s="593">
        <f>'Proy 2022 vs 2019 sem'!FG9*AHF$4</f>
        <v>11965.675392000001</v>
      </c>
      <c r="AHE10" s="699"/>
      <c r="AHF10" s="700">
        <f>AHE10/AHC10</f>
        <v>0</v>
      </c>
      <c r="AHG10" s="593">
        <f>'Proy 2022 vs 2019 sem'!FF9*AHJ$4</f>
        <v>18696.3678</v>
      </c>
      <c r="AHH10" s="593">
        <f>'Proy 2022 vs 2019 sem'!FG9*AHJ$4</f>
        <v>16452.803663999999</v>
      </c>
      <c r="AHI10" s="699"/>
      <c r="AHJ10" s="700">
        <f>AHI10/AHG10</f>
        <v>0</v>
      </c>
      <c r="AHK10" s="579">
        <f>AGI10+AGM10+AGQ10+AGU10+AGY10+AHC10+AHG10</f>
        <v>84983.489999999991</v>
      </c>
      <c r="AHL10" s="574">
        <f>AGJ10+AGN10+AGR10+AGV10+AGZ10+AHD10+AHH10</f>
        <v>74785.4712</v>
      </c>
      <c r="AHM10" s="765">
        <f>AGK10+AGO10+AGS10+AGW10+AHA10+AHE10+AHI10</f>
        <v>0</v>
      </c>
      <c r="AHN10" s="761">
        <f>AHM10/AHK10</f>
        <v>0</v>
      </c>
      <c r="AHO10" s="593">
        <f>'Proy 2022 vs 2019 sem'!FK9*AHR$4</f>
        <v>8794.1496000000006</v>
      </c>
      <c r="AHP10" s="593">
        <f>'Proy 2022 vs 2019 sem'!FL9*AHR$4</f>
        <v>7738.8516479999998</v>
      </c>
      <c r="AHQ10" s="699"/>
      <c r="AHR10" s="700">
        <f>AHQ10/AHO10</f>
        <v>0</v>
      </c>
      <c r="AHS10" s="593">
        <f>'Proy 2022 vs 2019 sem'!FK9*AHV$4</f>
        <v>8794.1496000000006</v>
      </c>
      <c r="AHT10" s="593">
        <f>'Proy 2022 vs 2019 sem'!FL9*AHV$4</f>
        <v>7738.8516479999998</v>
      </c>
      <c r="AHU10" s="699"/>
      <c r="AHV10" s="700">
        <f>AHU10/AHS10</f>
        <v>0</v>
      </c>
      <c r="AHW10" s="593">
        <f>'Proy 2022 vs 2019 sem'!FK9*AHZ$4</f>
        <v>8794.1496000000006</v>
      </c>
      <c r="AHX10" s="593">
        <f>'Proy 2022 vs 2019 sem'!FL9*AHZ$4</f>
        <v>7738.8516479999998</v>
      </c>
      <c r="AHY10" s="699"/>
      <c r="AHZ10" s="700">
        <f>AHY10/AHW10</f>
        <v>0</v>
      </c>
      <c r="AIA10" s="593">
        <f>'Proy 2022 vs 2019 sem'!FK9*AID$4</f>
        <v>8794.1496000000006</v>
      </c>
      <c r="AIB10" s="593">
        <f>'Proy 2022 vs 2019 sem'!FL9*AID$4</f>
        <v>7738.8516479999998</v>
      </c>
      <c r="AIC10" s="699"/>
      <c r="AID10" s="700">
        <f>AIC10/AIA10</f>
        <v>0</v>
      </c>
      <c r="AIE10" s="593">
        <f>'Proy 2022 vs 2019 sem'!FK9*AIH$4</f>
        <v>10259.841200000001</v>
      </c>
      <c r="AIF10" s="593">
        <f>'Proy 2022 vs 2019 sem'!FL9*AIH$4</f>
        <v>9028.660256000001</v>
      </c>
      <c r="AIG10" s="699"/>
      <c r="AIH10" s="700">
        <f>AIG10/AIE10</f>
        <v>0</v>
      </c>
      <c r="AII10" s="593">
        <f>'Proy 2022 vs 2019 sem'!FK9*AIL$4</f>
        <v>11725.532800000001</v>
      </c>
      <c r="AIJ10" s="593">
        <f>'Proy 2022 vs 2019 sem'!FL9*AIL$4</f>
        <v>10318.468864</v>
      </c>
      <c r="AIK10" s="699"/>
      <c r="AIL10" s="700">
        <f>AIK10/AII10</f>
        <v>0</v>
      </c>
      <c r="AIM10" s="593">
        <f>'Proy 2022 vs 2019 sem'!FK9*AIP$4</f>
        <v>16122.607600000001</v>
      </c>
      <c r="AIN10" s="593">
        <f>'Proy 2022 vs 2019 sem'!FL9*AIP$4</f>
        <v>14187.894688</v>
      </c>
      <c r="AIO10" s="699"/>
      <c r="AIP10" s="700">
        <f>AIO10/AIM10</f>
        <v>0</v>
      </c>
      <c r="AIQ10" s="579">
        <f>AHO10+AHS10+AHW10+AIA10+AIE10+AII10+AIM10</f>
        <v>73284.58</v>
      </c>
      <c r="AIR10" s="574">
        <f>AHP10+AHT10+AHX10+AIB10+AIF10+AIJ10+AIN10</f>
        <v>64490.430400000005</v>
      </c>
      <c r="AIS10" s="765">
        <f>AHQ10+AHU10+AHY10+AIC10+AIG10+AIK10+AIO10</f>
        <v>0</v>
      </c>
      <c r="AIT10" s="761">
        <f>AIS10/AIQ10</f>
        <v>0</v>
      </c>
      <c r="AIU10" s="593">
        <f>'Proy 2022 vs 2019 sem'!FP9*AIX$4</f>
        <v>9800.782799999999</v>
      </c>
      <c r="AIV10" s="593">
        <f>'Proy 2022 vs 2019 sem'!FQ9*AIX$4</f>
        <v>9016.7201760000007</v>
      </c>
      <c r="AIW10" s="699"/>
      <c r="AIX10" s="700">
        <f>AIW10/AIU10</f>
        <v>0</v>
      </c>
      <c r="AIY10" s="593">
        <f>'Proy 2022 vs 2019 sem'!FP9*AJB$4</f>
        <v>9800.782799999999</v>
      </c>
      <c r="AIZ10" s="593">
        <f>'Proy 2022 vs 2019 sem'!FQ9*AJB$4</f>
        <v>9016.7201760000007</v>
      </c>
      <c r="AJA10" s="699"/>
      <c r="AJB10" s="700">
        <f>AJA10/AIY10</f>
        <v>0</v>
      </c>
      <c r="AJC10" s="593">
        <f>'Proy 2022 vs 2019 sem'!FP9*AJF$4</f>
        <v>9800.782799999999</v>
      </c>
      <c r="AJD10" s="593">
        <f>'Proy 2022 vs 2019 sem'!FQ9*AJF$4</f>
        <v>9016.7201760000007</v>
      </c>
      <c r="AJE10" s="699"/>
      <c r="AJF10" s="700">
        <f>AJE10/AJC10</f>
        <v>0</v>
      </c>
      <c r="AJG10" s="593">
        <f>'Proy 2022 vs 2019 sem'!FP9*AJJ$4</f>
        <v>9800.782799999999</v>
      </c>
      <c r="AJH10" s="593">
        <f>'Proy 2022 vs 2019 sem'!FQ9*AJJ$4</f>
        <v>9016.7201760000007</v>
      </c>
      <c r="AJI10" s="699"/>
      <c r="AJJ10" s="700">
        <f>AJI10/AJG10</f>
        <v>0</v>
      </c>
      <c r="AJK10" s="593">
        <f>'Proy 2022 vs 2019 sem'!FP9*AJN$4</f>
        <v>11434.246600000002</v>
      </c>
      <c r="AJL10" s="593">
        <f>'Proy 2022 vs 2019 sem'!FQ9*AJN$4</f>
        <v>10519.506872000002</v>
      </c>
      <c r="AJM10" s="699"/>
      <c r="AJN10" s="700">
        <f>AJM10/AJK10</f>
        <v>0</v>
      </c>
      <c r="AJO10" s="593">
        <f>'Proy 2022 vs 2019 sem'!FP9*AJR$4</f>
        <v>13067.7104</v>
      </c>
      <c r="AJP10" s="593">
        <f>'Proy 2022 vs 2019 sem'!FQ9*AJR$4</f>
        <v>12022.293568000003</v>
      </c>
      <c r="AJQ10" s="699"/>
      <c r="AJR10" s="700">
        <f>AJQ10/AJO10</f>
        <v>0</v>
      </c>
      <c r="AJS10" s="593">
        <f>'Proy 2022 vs 2019 sem'!FP9*AJV$4</f>
        <v>17968.1018</v>
      </c>
      <c r="AJT10" s="593">
        <f>'Proy 2022 vs 2019 sem'!FQ9*AJV$4</f>
        <v>16530.653656000002</v>
      </c>
      <c r="AJU10" s="699"/>
      <c r="AJV10" s="700">
        <f>AJU10/AJS10</f>
        <v>0</v>
      </c>
      <c r="AJW10" s="579">
        <f>AIU10+AIY10+AJC10+AJG10+AJK10+AJO10+AJS10</f>
        <v>81673.19</v>
      </c>
      <c r="AJX10" s="574">
        <f>AIV10+AIZ10+AJD10+AJH10+AJL10+AJP10+AJT10</f>
        <v>75139.334800000011</v>
      </c>
      <c r="AJY10" s="770">
        <f>AIW10+AJA10+AJE10+AJI10+AJM10+AJQ10+AJU10</f>
        <v>0</v>
      </c>
      <c r="AJZ10" s="761">
        <f>AJY10/AJW10</f>
        <v>0</v>
      </c>
      <c r="AKA10" s="593"/>
      <c r="AKB10" s="593"/>
      <c r="AKC10" s="735"/>
      <c r="AKD10" s="700" t="e">
        <f>AKC10/AKA10</f>
        <v>#DIV/0!</v>
      </c>
      <c r="AKE10" s="593">
        <v>9034.5731999999989</v>
      </c>
      <c r="AKF10" s="593">
        <v>9215.2646640000003</v>
      </c>
      <c r="AKG10" s="699"/>
      <c r="AKH10" s="700">
        <f>AKG10/AKE10</f>
        <v>0</v>
      </c>
      <c r="AKI10" s="593">
        <v>9034.5731999999989</v>
      </c>
      <c r="AKJ10" s="593">
        <v>9215.2646640000003</v>
      </c>
      <c r="AKK10" s="699"/>
      <c r="AKL10" s="700">
        <f>AKK10/AKI10</f>
        <v>0</v>
      </c>
      <c r="AKM10" s="593">
        <v>9034.5731999999989</v>
      </c>
      <c r="AKN10" s="593">
        <v>9215.2646640000003</v>
      </c>
      <c r="AKO10" s="699"/>
      <c r="AKP10" s="700">
        <f>AKO10/AKM10</f>
        <v>0</v>
      </c>
      <c r="AKQ10" s="593">
        <v>10540.335400000002</v>
      </c>
      <c r="AKR10" s="593">
        <v>10751.142108</v>
      </c>
      <c r="AKS10" s="699"/>
      <c r="AKT10" s="700">
        <f>AKS10/AKQ10</f>
        <v>0</v>
      </c>
      <c r="AKU10" s="593">
        <v>12046.097600000001</v>
      </c>
      <c r="AKV10" s="593">
        <v>12287.019552</v>
      </c>
      <c r="AKW10" s="699"/>
      <c r="AKX10" s="700">
        <f>AKW10/AKU10</f>
        <v>0</v>
      </c>
      <c r="AKY10" s="593">
        <v>16563.3842</v>
      </c>
      <c r="AKZ10" s="593">
        <v>16894.651883999999</v>
      </c>
      <c r="ALA10" s="699"/>
      <c r="ALB10" s="700">
        <f>ALA10/AKY10</f>
        <v>0</v>
      </c>
      <c r="ALC10" s="579">
        <f>AKA10+AKE10+AKI10+AKM10+AKQ10+AKU10+AKY10</f>
        <v>66253.536800000002</v>
      </c>
      <c r="ALD10" s="574">
        <f>AKB10+AKF10+AKJ10+AKN10+AKR10+AKV10+AKZ10</f>
        <v>67578.607535999996</v>
      </c>
      <c r="ALE10" s="793">
        <f>AKC10+AKG10+AKK10+AKO10+AKS10+AKW10+ALA10</f>
        <v>0</v>
      </c>
      <c r="ALF10" s="786">
        <f>ALE10/ALC10</f>
        <v>0</v>
      </c>
      <c r="ALG10" s="593"/>
      <c r="ALH10" s="593"/>
      <c r="ALI10" s="699"/>
      <c r="ALJ10" s="700" t="e">
        <f>ALI10/ALG10</f>
        <v>#DIV/0!</v>
      </c>
      <c r="ALK10" s="593">
        <v>7156.3907999999992</v>
      </c>
      <c r="ALL10" s="593">
        <v>7299.5186159999994</v>
      </c>
      <c r="ALM10" s="699"/>
      <c r="ALN10" s="700">
        <f>ALM10/ALK10</f>
        <v>0</v>
      </c>
      <c r="ALO10" s="593">
        <v>7156.3907999999992</v>
      </c>
      <c r="ALP10" s="593">
        <v>7299.5186159999994</v>
      </c>
      <c r="ALQ10" s="699"/>
      <c r="ALR10" s="700">
        <f>ALQ10/ALO10</f>
        <v>0</v>
      </c>
      <c r="ALS10" s="593">
        <v>7156.3907999999992</v>
      </c>
      <c r="ALT10" s="593">
        <v>7299.5186159999994</v>
      </c>
      <c r="ALU10" s="699"/>
      <c r="ALV10" s="700">
        <f>ALU10/ALS10</f>
        <v>0</v>
      </c>
      <c r="ALW10" s="593">
        <v>8349.1226000000006</v>
      </c>
      <c r="ALX10" s="593">
        <v>8516.1050520000008</v>
      </c>
      <c r="ALY10" s="699"/>
      <c r="ALZ10" s="700">
        <f>ALY10/ALW10</f>
        <v>0</v>
      </c>
      <c r="AMA10" s="593">
        <v>9541.8544000000002</v>
      </c>
      <c r="AMB10" s="593">
        <v>9732.6914880000004</v>
      </c>
      <c r="AMC10" s="699"/>
      <c r="AMD10" s="700">
        <f>AMC10/AMA10</f>
        <v>0</v>
      </c>
      <c r="AME10" s="593">
        <v>13120.049799999999</v>
      </c>
      <c r="AMF10" s="593">
        <v>13382.450795999999</v>
      </c>
      <c r="AMG10" s="699"/>
      <c r="AMH10" s="700">
        <f>AMG10/AME10</f>
        <v>0</v>
      </c>
      <c r="AMI10" s="579">
        <f>ALG10+ALK10+ALO10+ALS10+ALW10+AMA10+AME10</f>
        <v>52480.199199999995</v>
      </c>
      <c r="AMJ10" s="574">
        <f>ALH10+ALL10+ALP10+ALT10+ALX10+AMB10+AMF10</f>
        <v>53529.803183999997</v>
      </c>
      <c r="AMK10" s="794">
        <f>ALI10+ALM10+ALQ10+ALU10+ALY10+AMC10+AMG10</f>
        <v>0</v>
      </c>
      <c r="AML10" s="786">
        <f>AMK10/AMI10</f>
        <v>0</v>
      </c>
      <c r="AMM10" s="593"/>
      <c r="AMN10" s="593"/>
      <c r="AMO10" s="699"/>
      <c r="AMP10" s="700" t="e">
        <f>AMO10/AMM10</f>
        <v>#DIV/0!</v>
      </c>
      <c r="AMQ10" s="593">
        <v>7498.8719999999994</v>
      </c>
      <c r="AMR10" s="593">
        <v>7648.849439999999</v>
      </c>
      <c r="AMS10" s="699"/>
      <c r="AMT10" s="700">
        <f>AMS10/AMQ10</f>
        <v>0</v>
      </c>
      <c r="AMU10" s="593">
        <v>7498.8719999999994</v>
      </c>
      <c r="AMV10" s="593">
        <v>7648.849439999999</v>
      </c>
      <c r="AMW10" s="699"/>
      <c r="AMX10" s="700">
        <f>AMW10/AMU10</f>
        <v>0</v>
      </c>
      <c r="AMY10" s="593">
        <v>7498.8719999999994</v>
      </c>
      <c r="AMZ10" s="593">
        <v>7648.849439999999</v>
      </c>
      <c r="ANA10" s="699"/>
      <c r="ANB10" s="700">
        <f>ANA10/AMY10</f>
        <v>0</v>
      </c>
      <c r="ANC10" s="593">
        <v>8748.6840000000011</v>
      </c>
      <c r="AND10" s="593">
        <v>8923.6576800000003</v>
      </c>
      <c r="ANE10" s="699"/>
      <c r="ANF10" s="700">
        <f>ANE10/ANC10</f>
        <v>0</v>
      </c>
      <c r="ANG10" s="593">
        <v>9998.4959999999992</v>
      </c>
      <c r="ANH10" s="593">
        <v>10198.465920000001</v>
      </c>
      <c r="ANI10" s="699"/>
      <c r="ANJ10" s="700">
        <f>ANI10/ANG10</f>
        <v>0</v>
      </c>
      <c r="ANK10" s="593">
        <v>13747.931999999999</v>
      </c>
      <c r="ANL10" s="593">
        <v>14022.89064</v>
      </c>
      <c r="ANM10" s="699"/>
      <c r="ANN10" s="700">
        <f>ANM10/ANK10</f>
        <v>0</v>
      </c>
      <c r="ANO10" s="579">
        <f>AMM10+AMQ10+AMU10+AMY10+ANC10+ANG10+ANK10</f>
        <v>54991.728000000003</v>
      </c>
      <c r="ANP10" s="574">
        <f>AMN10+AMR10+AMV10+AMZ10+AND10+ANH10+ANL10</f>
        <v>56091.562559999998</v>
      </c>
      <c r="ANQ10" s="794">
        <f>AMO10+AMS10+AMW10+ANA10+ANE10+ANI10+ANM10</f>
        <v>0</v>
      </c>
      <c r="ANR10" s="786">
        <f>ANQ10/ANO10</f>
        <v>0</v>
      </c>
      <c r="ANS10" s="593">
        <f>'Proy 2022 vs 2019 sem'!GN9*ANV$4</f>
        <v>6765.8796000000002</v>
      </c>
      <c r="ANT10" s="593">
        <f>'Proy 2022 vs 2019 sem'!GO9*ANV$4</f>
        <v>6630.5620079999999</v>
      </c>
      <c r="ANU10" s="699"/>
      <c r="ANV10" s="700">
        <f>ANU10/ANS10</f>
        <v>0</v>
      </c>
      <c r="ANW10" s="593">
        <f>'Proy 2022 vs 2019 sem'!GN9*ANZ$4</f>
        <v>6765.8796000000002</v>
      </c>
      <c r="ANX10" s="593">
        <f>'Proy 2022 vs 2019 sem'!GO9*ANZ$4</f>
        <v>6630.5620079999999</v>
      </c>
      <c r="ANY10" s="699"/>
      <c r="ANZ10" s="700">
        <f>ANY10/ANW10</f>
        <v>0</v>
      </c>
      <c r="AOA10" s="593">
        <f>'Proy 2022 vs 2019 sem'!GN9*AOD$4</f>
        <v>6765.8796000000002</v>
      </c>
      <c r="AOB10" s="593">
        <f>'Proy 2022 vs 2019 sem'!GO9*AOD$4</f>
        <v>6630.5620079999999</v>
      </c>
      <c r="AOC10" s="699"/>
      <c r="AOD10" s="700">
        <f>AOC10/AOA10</f>
        <v>0</v>
      </c>
      <c r="AOE10" s="593">
        <f>'Proy 2022 vs 2019 sem'!GN9*AOH$4</f>
        <v>6765.8796000000002</v>
      </c>
      <c r="AOF10" s="593">
        <f>'Proy 2022 vs 2019 sem'!GO9*AOH$4</f>
        <v>6630.5620079999999</v>
      </c>
      <c r="AOG10" s="699"/>
      <c r="AOH10" s="700">
        <f>AOG10/AOE10</f>
        <v>0</v>
      </c>
      <c r="AOI10" s="593">
        <f>'Proy 2022 vs 2019 sem'!GN9*AOL$4</f>
        <v>7893.5262000000012</v>
      </c>
      <c r="AOJ10" s="593">
        <f>'Proy 2022 vs 2019 sem'!GO9*AOL$4</f>
        <v>7735.6556760000012</v>
      </c>
      <c r="AOK10" s="699"/>
      <c r="AOL10" s="700">
        <f>AOK10/AOI10</f>
        <v>0</v>
      </c>
      <c r="AOM10" s="593">
        <f>'Proy 2022 vs 2019 sem'!GN9*AOP$4</f>
        <v>9021.1728000000003</v>
      </c>
      <c r="AON10" s="593">
        <f>'Proy 2022 vs 2019 sem'!GO9*AOP$4</f>
        <v>8840.7493439999998</v>
      </c>
      <c r="AOO10" s="699"/>
      <c r="AOP10" s="700">
        <f>AOO10/AOM10</f>
        <v>0</v>
      </c>
      <c r="AOQ10" s="593">
        <f>'Proy 2022 vs 2019 sem'!GN9*AOT$4</f>
        <v>12404.1126</v>
      </c>
      <c r="AOR10" s="593">
        <f>'Proy 2022 vs 2019 sem'!GO9*AOT$4</f>
        <v>12156.030348</v>
      </c>
      <c r="AOS10" s="699"/>
      <c r="AOT10" s="700">
        <f>AOS10/AOQ10</f>
        <v>0</v>
      </c>
      <c r="AOU10" s="579">
        <f>ANS10+ANW10+AOA10+AOE10+AOI10+AOM10+AOQ10</f>
        <v>56382.33</v>
      </c>
      <c r="AOV10" s="574">
        <f>ANT10+ANX10+AOB10+AOF10+AOJ10+AON10+AOR10</f>
        <v>55254.683399999994</v>
      </c>
      <c r="AOW10" s="785">
        <f>ANU10+ANY10+AOC10+AOG10+AOK10+AOO10+AOS10</f>
        <v>0</v>
      </c>
      <c r="AOX10" s="786">
        <f>AOW10/AOU10</f>
        <v>0</v>
      </c>
      <c r="AOY10" s="593">
        <f>'Proy 2022 vs 2019 sem'!GW9*APB$4</f>
        <v>6026.04</v>
      </c>
      <c r="AOZ10" s="593">
        <f>'Proy 2022 vs 2019 sem'!GX9*APB$4</f>
        <v>5905.5191999999997</v>
      </c>
      <c r="APA10" s="735"/>
      <c r="APB10" s="700">
        <f>APA10/AOY10</f>
        <v>0</v>
      </c>
      <c r="APC10" s="593">
        <f>'Proy 2022 vs 2019 sem'!GW9*APF$4</f>
        <v>6026.04</v>
      </c>
      <c r="APD10" s="593">
        <f>'Proy 2022 vs 2019 sem'!GX9*APF$4</f>
        <v>5905.5191999999997</v>
      </c>
      <c r="APE10" s="735"/>
      <c r="APF10" s="700">
        <f>APE10/APC10</f>
        <v>0</v>
      </c>
      <c r="APG10" s="593">
        <f>'Proy 2022 vs 2019 sem'!GW9*APJ$4</f>
        <v>6026.04</v>
      </c>
      <c r="APH10" s="593">
        <f>'Proy 2022 vs 2019 sem'!GX9*APJ$4</f>
        <v>5905.5191999999997</v>
      </c>
      <c r="API10" s="735"/>
      <c r="APJ10" s="700">
        <f>API10/APG10</f>
        <v>0</v>
      </c>
      <c r="APK10" s="593">
        <f>'Proy 2022 vs 2019 sem'!GW9*APN$4</f>
        <v>6026.04</v>
      </c>
      <c r="APL10" s="593">
        <f>'Proy 2022 vs 2019 sem'!GX9*APN$4</f>
        <v>5905.5191999999997</v>
      </c>
      <c r="APM10" s="735"/>
      <c r="APN10" s="700">
        <f>APM10/APK10</f>
        <v>0</v>
      </c>
      <c r="APO10" s="593">
        <f>'Proy 2022 vs 2019 sem'!GW9*APR$4</f>
        <v>7030.380000000001</v>
      </c>
      <c r="APP10" s="593">
        <f>'Proy 2022 vs 2019 sem'!GX9*APR$4</f>
        <v>6889.7723999999998</v>
      </c>
      <c r="APQ10" s="735"/>
      <c r="APR10" s="700">
        <f>APQ10/APO10</f>
        <v>0</v>
      </c>
      <c r="APS10" s="593">
        <f>'Proy 2022 vs 2019 sem'!GW9*APV$4</f>
        <v>8034.72</v>
      </c>
      <c r="APT10" s="593">
        <f>'Proy 2022 vs 2019 sem'!GX9*APV$4</f>
        <v>7874.0255999999999</v>
      </c>
      <c r="APU10" s="735"/>
      <c r="APV10" s="700">
        <f>APU10/APS10</f>
        <v>0</v>
      </c>
      <c r="APW10" s="593">
        <f>'Proy 2022 vs 2019 sem'!GW9*APZ$4</f>
        <v>11047.74</v>
      </c>
      <c r="APX10" s="593">
        <f>'Proy 2022 vs 2019 sem'!GX9*APZ$4</f>
        <v>10826.785199999998</v>
      </c>
      <c r="APY10" s="735"/>
      <c r="APZ10" s="700">
        <f>APY10/APW10</f>
        <v>0</v>
      </c>
      <c r="AQA10" s="579">
        <f>AOY10+APC10+APG10+APK10+APO10+APS10+APW10</f>
        <v>50217</v>
      </c>
      <c r="AQB10" s="574">
        <f>AOZ10+APD10+APH10+APL10+APP10+APT10+APX10</f>
        <v>49212.659999999996</v>
      </c>
      <c r="AQC10" s="729">
        <f>APA10+APE10+API10+APM10+APQ10+APU10+APY10</f>
        <v>0</v>
      </c>
      <c r="AQD10" s="711">
        <f>AQC10/AQA10</f>
        <v>0</v>
      </c>
      <c r="AQE10" s="593">
        <f>'Proy 2022 vs 2019 sem'!HB9*AQH$4</f>
        <v>6674.7083999999995</v>
      </c>
      <c r="AQF10" s="593">
        <f>'Proy 2022 vs 2019 sem'!HC9*AQH$4</f>
        <v>6674.7083999999995</v>
      </c>
      <c r="AQG10" s="699"/>
      <c r="AQH10" s="700">
        <f>AQG10/AQE10</f>
        <v>0</v>
      </c>
      <c r="AQI10" s="593">
        <f>'Proy 2022 vs 2019 sem'!HB9*AQL$4</f>
        <v>6674.7083999999995</v>
      </c>
      <c r="AQJ10" s="593">
        <f>'Proy 2022 vs 2019 sem'!HC9*AQL$4</f>
        <v>6674.7083999999995</v>
      </c>
      <c r="AQK10" s="699"/>
      <c r="AQL10" s="700">
        <f>AQK10/AQI10</f>
        <v>0</v>
      </c>
      <c r="AQM10" s="593">
        <f>'Proy 2022 vs 2019 sem'!HB9*AQP$4</f>
        <v>6674.7083999999995</v>
      </c>
      <c r="AQN10" s="593">
        <f>'Proy 2022 vs 2019 sem'!HC9*AQP$4</f>
        <v>6674.7083999999995</v>
      </c>
      <c r="AQO10" s="699"/>
      <c r="AQP10" s="700">
        <f>AQO10/AQM10</f>
        <v>0</v>
      </c>
      <c r="AQQ10" s="593">
        <f>'Proy 2022 vs 2019 sem'!HB9*AQT$4</f>
        <v>6674.7083999999995</v>
      </c>
      <c r="AQR10" s="593">
        <f>'Proy 2022 vs 2019 sem'!HC9*AQT$4</f>
        <v>6674.7083999999995</v>
      </c>
      <c r="AQS10" s="699"/>
      <c r="AQT10" s="700">
        <f>AQS10/AQQ10</f>
        <v>0</v>
      </c>
      <c r="AQU10" s="593">
        <f>'Proy 2022 vs 2019 sem'!HB9*AQX$4</f>
        <v>7787.1598000000004</v>
      </c>
      <c r="AQV10" s="593">
        <f>'Proy 2022 vs 2019 sem'!HC9*AQX$4</f>
        <v>7787.1598000000004</v>
      </c>
      <c r="AQW10" s="699"/>
      <c r="AQX10" s="700">
        <f>AQW10/AQU10</f>
        <v>0</v>
      </c>
      <c r="AQY10" s="593">
        <f>'Proy 2022 vs 2019 sem'!HB9*ARB$4</f>
        <v>8899.6111999999994</v>
      </c>
      <c r="AQZ10" s="593">
        <f>'Proy 2022 vs 2019 sem'!HC9*ARB$4</f>
        <v>8899.6111999999994</v>
      </c>
      <c r="ARA10" s="699"/>
      <c r="ARB10" s="700">
        <f>ARA10/AQY10</f>
        <v>0</v>
      </c>
      <c r="ARC10" s="593">
        <f>'Proy 2022 vs 2019 sem'!HB9*ARF$4</f>
        <v>12236.965399999999</v>
      </c>
      <c r="ARD10" s="593">
        <f>'Proy 2022 vs 2019 sem'!HC9*ARF$4</f>
        <v>12236.965399999999</v>
      </c>
      <c r="ARE10" s="699"/>
      <c r="ARF10" s="700">
        <f>ARE10/ARC10</f>
        <v>0</v>
      </c>
      <c r="ARG10" s="579">
        <f>AQE10+AQI10+AQM10+AQQ10+AQU10+AQY10+ARC10</f>
        <v>55622.57</v>
      </c>
      <c r="ARH10" s="574">
        <f>AQF10+AQJ10+AQN10+AQR10+AQV10+AQZ10+ARD10</f>
        <v>55622.57</v>
      </c>
      <c r="ARI10" s="730">
        <f>AQG10+AQK10+AQO10+AQS10+AQW10+ARA10+ARE10</f>
        <v>0</v>
      </c>
      <c r="ARJ10" s="711">
        <f>ARI10/ARG10</f>
        <v>0</v>
      </c>
      <c r="ARK10" s="593">
        <f>'Proy 2022 vs 2019 sem'!HG9*ARN$4</f>
        <v>6884.1251999999995</v>
      </c>
      <c r="ARL10" s="593">
        <f>'Proy 2022 vs 2019 sem'!HH9*ARN$4</f>
        <v>6539.9189399999996</v>
      </c>
      <c r="ARM10" s="699"/>
      <c r="ARN10" s="700">
        <f>ARM10/ARK10</f>
        <v>0</v>
      </c>
      <c r="ARO10" s="593">
        <f>'Proy 2022 vs 2019 sem'!HG9*ARR$4</f>
        <v>6884.1251999999995</v>
      </c>
      <c r="ARP10" s="593">
        <f>'Proy 2022 vs 2019 sem'!HH9*ARR$4</f>
        <v>6539.9189399999996</v>
      </c>
      <c r="ARQ10" s="699"/>
      <c r="ARR10" s="700">
        <f>ARQ10/ARO10</f>
        <v>0</v>
      </c>
      <c r="ARS10" s="593">
        <f>'Proy 2022 vs 2019 sem'!HG9*ARV$4</f>
        <v>6884.1251999999995</v>
      </c>
      <c r="ART10" s="593">
        <f>'Proy 2022 vs 2019 sem'!HH9*ARV$4</f>
        <v>6539.9189399999996</v>
      </c>
      <c r="ARU10" s="699"/>
      <c r="ARV10" s="700">
        <f>ARU10/ARS10</f>
        <v>0</v>
      </c>
      <c r="ARW10" s="593">
        <f>'Proy 2022 vs 2019 sem'!HG9*ARZ$4</f>
        <v>6884.1251999999995</v>
      </c>
      <c r="ARX10" s="593">
        <f>'Proy 2022 vs 2019 sem'!HH9*ARZ$4</f>
        <v>6539.9189399999996</v>
      </c>
      <c r="ARY10" s="699"/>
      <c r="ARZ10" s="700">
        <f>ARY10/ARW10</f>
        <v>0</v>
      </c>
      <c r="ASA10" s="593">
        <f>'Proy 2022 vs 2019 sem'!HG9*ASD$4</f>
        <v>8031.4794000000011</v>
      </c>
      <c r="ASB10" s="593">
        <f>'Proy 2022 vs 2019 sem'!HH9*ASD$4</f>
        <v>7629.9054299999998</v>
      </c>
      <c r="ASC10" s="699"/>
      <c r="ASD10" s="700">
        <f>ASC10/ASA10</f>
        <v>0</v>
      </c>
      <c r="ASE10" s="593">
        <f>'Proy 2022 vs 2019 sem'!HG9*ASH$4</f>
        <v>9178.8335999999999</v>
      </c>
      <c r="ASF10" s="593">
        <f>'Proy 2022 vs 2019 sem'!HH9*ASH$4</f>
        <v>8719.89192</v>
      </c>
      <c r="ASG10" s="699"/>
      <c r="ASH10" s="700">
        <f>ASG10/ASE10</f>
        <v>0</v>
      </c>
      <c r="ASI10" s="593">
        <f>'Proy 2022 vs 2019 sem'!HG9*ASL$4</f>
        <v>12620.896199999999</v>
      </c>
      <c r="ASJ10" s="593">
        <f>'Proy 2022 vs 2019 sem'!HH9*ASL$4</f>
        <v>11989.85139</v>
      </c>
      <c r="ASK10" s="699"/>
      <c r="ASL10" s="700">
        <f>ASK10/ASI10</f>
        <v>0</v>
      </c>
      <c r="ASM10" s="579">
        <f>ARK10+ARO10+ARS10+ARW10+ASA10+ASE10+ASI10</f>
        <v>57367.709999999992</v>
      </c>
      <c r="ASN10" s="574">
        <f>ARL10+ARP10+ART10+ARX10+ASB10+ASF10+ASJ10</f>
        <v>54499.324500000002</v>
      </c>
      <c r="ASO10" s="730">
        <f>ARM10+ARQ10+ARU10+ARY10+ASC10+ASG10+ASK10</f>
        <v>0</v>
      </c>
      <c r="ASP10" s="711">
        <f>ASO10/ASM10</f>
        <v>0</v>
      </c>
      <c r="ASQ10" s="593">
        <f>'Proy 2022 vs 2019 sem'!HL9*AST$4</f>
        <v>5942.9531999999999</v>
      </c>
      <c r="ASR10" s="593">
        <f>'Proy 2022 vs 2019 sem'!HM9*AST$4</f>
        <v>5764.6646039999996</v>
      </c>
      <c r="ASS10" s="699"/>
      <c r="AST10" s="700">
        <f>ASS10/ASQ10</f>
        <v>0</v>
      </c>
      <c r="ASU10" s="593">
        <f>'Proy 2022 vs 2019 sem'!HL9*ASX$4</f>
        <v>5942.9531999999999</v>
      </c>
      <c r="ASV10" s="593">
        <f>'Proy 2022 vs 2019 sem'!HM9*ASX$4</f>
        <v>5764.6646039999996</v>
      </c>
      <c r="ASW10" s="699"/>
      <c r="ASX10" s="700">
        <f>ASW10/ASU10</f>
        <v>0</v>
      </c>
      <c r="ASY10" s="593">
        <f>'Proy 2022 vs 2019 sem'!HL9*ATB$4</f>
        <v>5942.9531999999999</v>
      </c>
      <c r="ASZ10" s="593">
        <f>'Proy 2022 vs 2019 sem'!HM9*ATB$4</f>
        <v>5764.6646039999996</v>
      </c>
      <c r="ATA10" s="699"/>
      <c r="ATB10" s="700">
        <f>ATA10/ASY10</f>
        <v>0</v>
      </c>
      <c r="ATC10" s="593">
        <f>'Proy 2022 vs 2019 sem'!HL9*ATF$4</f>
        <v>5942.9531999999999</v>
      </c>
      <c r="ATD10" s="593">
        <f>'Proy 2022 vs 2019 sem'!HM9*ATF$4</f>
        <v>5764.6646039999996</v>
      </c>
      <c r="ATE10" s="699"/>
      <c r="ATF10" s="700">
        <f>ATE10/ATC10</f>
        <v>0</v>
      </c>
      <c r="ATG10" s="593">
        <f>'Proy 2022 vs 2019 sem'!HL9*ATJ$4</f>
        <v>6933.4454000000005</v>
      </c>
      <c r="ATH10" s="593">
        <f>'Proy 2022 vs 2019 sem'!HM9*ATJ$4</f>
        <v>6725.4420380000001</v>
      </c>
      <c r="ATI10" s="699"/>
      <c r="ATJ10" s="700">
        <f>ATI10/ATG10</f>
        <v>0</v>
      </c>
      <c r="ATK10" s="593">
        <f>'Proy 2022 vs 2019 sem'!HL9*ATN$4</f>
        <v>7923.9376000000002</v>
      </c>
      <c r="ATL10" s="593">
        <f>'Proy 2022 vs 2019 sem'!HM9*ATN$4</f>
        <v>7686.2194719999998</v>
      </c>
      <c r="ATM10" s="699"/>
      <c r="ATN10" s="700">
        <f>ATM10/ATK10</f>
        <v>0</v>
      </c>
      <c r="ATO10" s="593">
        <f>'Proy 2022 vs 2019 sem'!HL9*ATR$4</f>
        <v>10895.414200000001</v>
      </c>
      <c r="ATP10" s="593">
        <f>'Proy 2022 vs 2019 sem'!HM9*ATR$4</f>
        <v>10568.551774</v>
      </c>
      <c r="ATQ10" s="699"/>
      <c r="ATR10" s="700">
        <f>ATQ10/ATO10</f>
        <v>0</v>
      </c>
      <c r="ATS10" s="579">
        <f>ASQ10+ASU10+ASY10+ATC10+ATG10+ATK10+ATO10</f>
        <v>49524.61</v>
      </c>
      <c r="ATT10" s="574">
        <f>ASR10+ASV10+ASZ10+ATD10+ATH10+ATL10+ATP10</f>
        <v>48038.871699999996</v>
      </c>
      <c r="ATU10" s="710">
        <f>ASS10+ASW10+ATA10+ATE10+ATI10+ATM10+ATQ10</f>
        <v>0</v>
      </c>
      <c r="ATV10" s="711">
        <f>ATU10/ATS10</f>
        <v>0</v>
      </c>
      <c r="ATW10" s="593">
        <f>'Proy 2022 vs 2019 sem'!HQ9*ATZ$4</f>
        <v>6198.7103999999999</v>
      </c>
      <c r="ATX10" s="593">
        <f>'Proy 2022 vs 2019 sem'!HR9*ATZ$4</f>
        <v>6012.7490879999996</v>
      </c>
      <c r="ATY10" s="699"/>
      <c r="ATZ10" s="700">
        <f>ATY10/ATW10</f>
        <v>0</v>
      </c>
      <c r="AUA10" s="593">
        <f>'Proy 2022 vs 2019 sem'!HQ9*AUD$4</f>
        <v>6198.7103999999999</v>
      </c>
      <c r="AUB10" s="593">
        <f>'Proy 2022 vs 2019 sem'!HR9*AUD$4</f>
        <v>6012.7490879999996</v>
      </c>
      <c r="AUC10" s="699"/>
      <c r="AUD10" s="700">
        <f>AUC10/AUA10</f>
        <v>0</v>
      </c>
      <c r="AUE10" s="593">
        <f>'Proy 2022 vs 2019 sem'!HQ9*AUH$4</f>
        <v>6198.7103999999999</v>
      </c>
      <c r="AUF10" s="593">
        <f>'Proy 2022 vs 2019 sem'!HR9*AUH$4</f>
        <v>6012.7490879999996</v>
      </c>
      <c r="AUG10" s="699"/>
      <c r="AUH10" s="700">
        <f>AUG10/AUE10</f>
        <v>0</v>
      </c>
      <c r="AUI10" s="593">
        <f>'Proy 2022 vs 2019 sem'!HQ9*AUL$4</f>
        <v>6198.7103999999999</v>
      </c>
      <c r="AUJ10" s="593">
        <f>'Proy 2022 vs 2019 sem'!HR9*AUL$4</f>
        <v>6012.7490879999996</v>
      </c>
      <c r="AUK10" s="699"/>
      <c r="AUL10" s="700">
        <f>AUK10/AUI10</f>
        <v>0</v>
      </c>
      <c r="AUM10" s="593">
        <f>'Proy 2022 vs 2019 sem'!HQ9*AUP$4</f>
        <v>7231.8288000000002</v>
      </c>
      <c r="AUN10" s="593">
        <f>'Proy 2022 vs 2019 sem'!HR9*AUP$4</f>
        <v>7014.873936</v>
      </c>
      <c r="AUO10" s="699"/>
      <c r="AUP10" s="700">
        <f>AUO10/AUM10</f>
        <v>0</v>
      </c>
      <c r="AUQ10" s="593">
        <f>'Proy 2022 vs 2019 sem'!HQ9*AUT$4</f>
        <v>8264.9472000000005</v>
      </c>
      <c r="AUR10" s="593">
        <f>'Proy 2022 vs 2019 sem'!HR9*AUT$4</f>
        <v>8016.9987839999994</v>
      </c>
      <c r="AUS10" s="699"/>
      <c r="AUT10" s="700">
        <f>AUS10/AUQ10</f>
        <v>0</v>
      </c>
      <c r="AUU10" s="593">
        <f>'Proy 2022 vs 2019 sem'!HQ9*AUX$4</f>
        <v>11364.3024</v>
      </c>
      <c r="AUV10" s="593">
        <f>'Proy 2022 vs 2019 sem'!HR9*AUX$4</f>
        <v>11023.373328</v>
      </c>
      <c r="AUW10" s="699"/>
      <c r="AUX10" s="700">
        <f>AUW10/AUU10</f>
        <v>0</v>
      </c>
      <c r="AUY10" s="579">
        <f>ATW10+AUA10+AUE10+AUI10+AUM10+AUQ10+AUU10</f>
        <v>51655.92</v>
      </c>
      <c r="AUZ10" s="574">
        <f>ATX10+AUB10+AUF10+AUJ10+AUN10+AUR10+AUV10</f>
        <v>50106.242400000003</v>
      </c>
      <c r="AVA10" s="710">
        <f>ATY10+AUC10+AUG10+AUK10+AUO10+AUS10+AUW10</f>
        <v>0</v>
      </c>
      <c r="AVB10" s="711">
        <f>AVA10/AUY10</f>
        <v>0</v>
      </c>
      <c r="AVC10" s="593">
        <f>'Proy 2022 vs 2019 sem'!HZ9*AVF$4</f>
        <v>6610.1628000000001</v>
      </c>
      <c r="AVD10" s="593">
        <f>'Proy 2022 vs 2019 sem'!IA9*AVF$4</f>
        <v>6411.857915999999</v>
      </c>
      <c r="AVE10" s="735"/>
      <c r="AVF10" s="700">
        <f>AVE10/AVC10</f>
        <v>0</v>
      </c>
      <c r="AVG10" s="593">
        <f>'Proy 2022 vs 2019 sem'!HZ9*AVJ$4</f>
        <v>6610.1628000000001</v>
      </c>
      <c r="AVH10" s="593">
        <f>'Proy 2022 vs 2019 sem'!IA9*AVJ$4</f>
        <v>6411.857915999999</v>
      </c>
      <c r="AVI10" s="699"/>
      <c r="AVJ10" s="700">
        <f>AVI10/AVG10</f>
        <v>0</v>
      </c>
      <c r="AVK10" s="593">
        <f>'Proy 2022 vs 2019 sem'!HZ9*AVN$4</f>
        <v>6610.1628000000001</v>
      </c>
      <c r="AVL10" s="593">
        <f>'Proy 2022 vs 2019 sem'!IA9*AVN$4</f>
        <v>6411.857915999999</v>
      </c>
      <c r="AVM10" s="699"/>
      <c r="AVN10" s="700">
        <f>AVM10/AVK10</f>
        <v>0</v>
      </c>
      <c r="AVO10" s="593">
        <f>'Proy 2022 vs 2019 sem'!HZ9*AVR$4</f>
        <v>6610.1628000000001</v>
      </c>
      <c r="AVP10" s="593">
        <f>'Proy 2022 vs 2019 sem'!IA9*AVR$4</f>
        <v>6411.857915999999</v>
      </c>
      <c r="AVQ10" s="699"/>
      <c r="AVR10" s="700">
        <f>AVQ10/AVO10</f>
        <v>0</v>
      </c>
      <c r="AVS10" s="593">
        <f>'Proy 2022 vs 2019 sem'!HZ9*AVV$4</f>
        <v>7711.856600000001</v>
      </c>
      <c r="AVT10" s="593">
        <f>'Proy 2022 vs 2019 sem'!IA9*AVV$4</f>
        <v>7480.5009020000007</v>
      </c>
      <c r="AVU10" s="699"/>
      <c r="AVV10" s="700">
        <f>AVU10/AVS10</f>
        <v>0</v>
      </c>
      <c r="AVW10" s="593">
        <f>'Proy 2022 vs 2019 sem'!HZ9*AVZ$4</f>
        <v>8813.5504000000001</v>
      </c>
      <c r="AVX10" s="593">
        <f>'Proy 2022 vs 2019 sem'!IA9*AVZ$4</f>
        <v>8549.1438880000005</v>
      </c>
      <c r="AVY10" s="699"/>
      <c r="AVZ10" s="700">
        <f>AVY10/AVW10</f>
        <v>0</v>
      </c>
      <c r="AWA10" s="593">
        <f>'Proy 2022 vs 2019 sem'!HZ9*AWD$4</f>
        <v>12118.631800000001</v>
      </c>
      <c r="AWB10" s="593">
        <f>'Proy 2022 vs 2019 sem'!IA9*AWD$4</f>
        <v>11755.072845999999</v>
      </c>
      <c r="AWC10" s="699"/>
      <c r="AWD10" s="700">
        <f>AWC10/AWA10</f>
        <v>0</v>
      </c>
      <c r="AWE10" s="579">
        <f>AVC10+AVG10+AVK10+AVO10+AVS10+AVW10+AWA10</f>
        <v>55084.69</v>
      </c>
      <c r="AWF10" s="574">
        <f>AVD10+AVH10+AVL10+AVP10+AVT10+AVX10+AWB10</f>
        <v>53432.14929999999</v>
      </c>
      <c r="AWG10" s="793">
        <f>AVE10+AVI10+AVM10+AVQ10+AVU10+AVY10+AWC10</f>
        <v>0</v>
      </c>
      <c r="AWH10" s="786">
        <f>AWG10/AWE10</f>
        <v>0</v>
      </c>
      <c r="AWI10" s="593">
        <f>'Proy 2022 vs 2019 sem'!IE9*AWL$4</f>
        <v>6437.8860000000004</v>
      </c>
      <c r="AWJ10" s="593">
        <f>'Proy 2022 vs 2019 sem'!IF9*AWL$4</f>
        <v>6180.3705600000003</v>
      </c>
      <c r="AWK10" s="699"/>
      <c r="AWL10" s="700">
        <f>AWK10/AWI10</f>
        <v>0</v>
      </c>
      <c r="AWM10" s="593">
        <f>'Proy 2022 vs 2019 sem'!IE9*AWP$4</f>
        <v>6437.8860000000004</v>
      </c>
      <c r="AWN10" s="593">
        <f>'Proy 2022 vs 2019 sem'!IF9*AWP$4</f>
        <v>6180.3705600000003</v>
      </c>
      <c r="AWO10" s="699"/>
      <c r="AWP10" s="700">
        <f>AWO10/AWM10</f>
        <v>0</v>
      </c>
      <c r="AWQ10" s="593">
        <f>'Proy 2022 vs 2019 sem'!IE9*AWT$4</f>
        <v>6437.8860000000004</v>
      </c>
      <c r="AWR10" s="593">
        <f>'Proy 2022 vs 2019 sem'!IF9*AWT$4</f>
        <v>6180.3705600000003</v>
      </c>
      <c r="AWS10" s="699"/>
      <c r="AWT10" s="700">
        <f>AWS10/AWQ10</f>
        <v>0</v>
      </c>
      <c r="AWU10" s="593">
        <f>'Proy 2022 vs 2019 sem'!IE9*AWX$4</f>
        <v>6437.8860000000004</v>
      </c>
      <c r="AWV10" s="593">
        <f>'Proy 2022 vs 2019 sem'!IF9*AWX$4</f>
        <v>6180.3705600000003</v>
      </c>
      <c r="AWW10" s="699"/>
      <c r="AWX10" s="700">
        <f>AWW10/AWU10</f>
        <v>0</v>
      </c>
      <c r="AWY10" s="593">
        <f>'Proy 2022 vs 2019 sem'!IE9*AXB$4</f>
        <v>7510.8670000000011</v>
      </c>
      <c r="AWZ10" s="593">
        <f>'Proy 2022 vs 2019 sem'!IF9*AXB$4</f>
        <v>7210.4323200000008</v>
      </c>
      <c r="AXA10" s="699"/>
      <c r="AXB10" s="700">
        <f>AXA10/AWY10</f>
        <v>0</v>
      </c>
      <c r="AXC10" s="593">
        <f>'Proy 2022 vs 2019 sem'!IE9*AXF$4</f>
        <v>8583.848</v>
      </c>
      <c r="AXD10" s="593">
        <f>'Proy 2022 vs 2019 sem'!IF9*AXF$4</f>
        <v>8240.4940800000004</v>
      </c>
      <c r="AXE10" s="699"/>
      <c r="AXF10" s="700">
        <f>AXE10/AXC10</f>
        <v>0</v>
      </c>
      <c r="AXG10" s="593">
        <f>'Proy 2022 vs 2019 sem'!IE9*AXJ$4</f>
        <v>11802.791000000001</v>
      </c>
      <c r="AXH10" s="593">
        <f>'Proy 2022 vs 2019 sem'!IF9*AXJ$4</f>
        <v>11330.67936</v>
      </c>
      <c r="AXI10" s="699"/>
      <c r="AXJ10" s="700">
        <f>AXI10/AXG10</f>
        <v>0</v>
      </c>
      <c r="AXK10" s="579">
        <f>AWI10+AWM10+AWQ10+AWU10+AWY10+AXC10+AXG10</f>
        <v>53649.05</v>
      </c>
      <c r="AXL10" s="574">
        <f>AWJ10+AWN10+AWR10+AWV10+AWZ10+AXD10+AXH10</f>
        <v>51503.088000000003</v>
      </c>
      <c r="AXM10" s="794">
        <f>AWK10+AWO10+AWS10+AWW10+AXA10+AXE10+AXI10</f>
        <v>0</v>
      </c>
      <c r="AXN10" s="786">
        <f>AXM10/AXK10</f>
        <v>0</v>
      </c>
      <c r="AXO10" s="593">
        <f>'Proy 2022 vs 2019 sem'!IJ9*AXR$4</f>
        <v>8103.3263999999999</v>
      </c>
      <c r="AXP10" s="593">
        <f>'Proy 2022 vs 2019 sem'!IK9*AXR$4</f>
        <v>8022.2931360000002</v>
      </c>
      <c r="AXQ10" s="699"/>
      <c r="AXR10" s="700">
        <f>AXQ10/AXO10</f>
        <v>0</v>
      </c>
      <c r="AXS10" s="593">
        <f>'Proy 2022 vs 2019 sem'!IJ9*AXV$4</f>
        <v>8103.3263999999999</v>
      </c>
      <c r="AXT10" s="593">
        <f>'Proy 2022 vs 2019 sem'!IK9*AXV$4</f>
        <v>8022.2931360000002</v>
      </c>
      <c r="AXU10" s="699"/>
      <c r="AXV10" s="700">
        <f>AXU10/AXS10</f>
        <v>0</v>
      </c>
      <c r="AXW10" s="593">
        <f>'Proy 2022 vs 2019 sem'!IJ9*AXZ$4</f>
        <v>8103.3263999999999</v>
      </c>
      <c r="AXX10" s="593">
        <f>'Proy 2022 vs 2019 sem'!IK9*AXZ$4</f>
        <v>8022.2931360000002</v>
      </c>
      <c r="AXY10" s="699"/>
      <c r="AXZ10" s="700">
        <f>AXY10/AXW10</f>
        <v>0</v>
      </c>
      <c r="AYA10" s="593">
        <f>'Proy 2022 vs 2019 sem'!IJ9*AYD$4</f>
        <v>8103.3263999999999</v>
      </c>
      <c r="AYB10" s="593">
        <f>'Proy 2022 vs 2019 sem'!IK9*AYD$4</f>
        <v>8022.2931360000002</v>
      </c>
      <c r="AYC10" s="699"/>
      <c r="AYD10" s="700">
        <f>AYC10/AYA10</f>
        <v>0</v>
      </c>
      <c r="AYE10" s="593">
        <f>'Proy 2022 vs 2019 sem'!IJ9*AYH$4</f>
        <v>9453.8808000000008</v>
      </c>
      <c r="AYF10" s="593">
        <f>'Proy 2022 vs 2019 sem'!IK9*AYH$4</f>
        <v>9359.3419920000015</v>
      </c>
      <c r="AYG10" s="699"/>
      <c r="AYH10" s="700">
        <f>AYG10/AYE10</f>
        <v>0</v>
      </c>
      <c r="AYI10" s="593">
        <f>'Proy 2022 vs 2019 sem'!IJ9*AYL$4</f>
        <v>10804.4352</v>
      </c>
      <c r="AYJ10" s="593">
        <f>'Proy 2022 vs 2019 sem'!IK9*AYL$4</f>
        <v>10696.390848000001</v>
      </c>
      <c r="AYK10" s="699"/>
      <c r="AYL10" s="700">
        <f>AYK10/AYI10</f>
        <v>0</v>
      </c>
      <c r="AYM10" s="593">
        <f>'Proy 2022 vs 2019 sem'!IJ9*AYP$4</f>
        <v>14856.098400000001</v>
      </c>
      <c r="AYN10" s="593">
        <f>'Proy 2022 vs 2019 sem'!IK9*AYP$4</f>
        <v>14707.537416000001</v>
      </c>
      <c r="AYO10" s="699"/>
      <c r="AYP10" s="700">
        <f>AYO10/AYM10</f>
        <v>0</v>
      </c>
      <c r="AYQ10" s="579">
        <f>AXO10+AXS10+AXW10+AYA10+AYE10+AYI10+AYM10</f>
        <v>67527.72</v>
      </c>
      <c r="AYR10" s="574">
        <f>AXP10+AXT10+AXX10+AYB10+AYF10+AYJ10+AYN10</f>
        <v>66852.442800000004</v>
      </c>
      <c r="AYS10" s="794">
        <f>AXQ10+AXU10+AXY10+AYC10+AYG10+AYK10+AYO10</f>
        <v>0</v>
      </c>
      <c r="AYT10" s="786">
        <f>AYS10/AYQ10</f>
        <v>0</v>
      </c>
      <c r="AYU10" s="593">
        <f>'Proy 2022 vs 2019 sem'!IO9*AYX$4</f>
        <v>9364.7243999999992</v>
      </c>
      <c r="AYV10" s="593">
        <f>'Proy 2022 vs 2019 sem'!IP9*AYX$4</f>
        <v>8990.1354239999982</v>
      </c>
      <c r="AYW10" s="699"/>
      <c r="AYX10" s="700">
        <f>AYW10/AYU10</f>
        <v>0</v>
      </c>
      <c r="AYY10" s="593">
        <f>'Proy 2022 vs 2019 sem'!IO9*AZB$4</f>
        <v>9364.7243999999992</v>
      </c>
      <c r="AYZ10" s="593">
        <f>'Proy 2022 vs 2019 sem'!IP9*AZB$4</f>
        <v>8990.1354239999982</v>
      </c>
      <c r="AZA10" s="699"/>
      <c r="AZB10" s="700">
        <f>AZA10/AYY10</f>
        <v>0</v>
      </c>
      <c r="AZC10" s="593">
        <f>'Proy 2022 vs 2019 sem'!IO9*AZF$4</f>
        <v>9364.7243999999992</v>
      </c>
      <c r="AZD10" s="593">
        <f>'Proy 2022 vs 2019 sem'!IP9*AZF$4</f>
        <v>8990.1354239999982</v>
      </c>
      <c r="AZE10" s="699"/>
      <c r="AZF10" s="700">
        <f>AZE10/AZC10</f>
        <v>0</v>
      </c>
      <c r="AZG10" s="593">
        <f>'Proy 2022 vs 2019 sem'!IO9*AZJ$4</f>
        <v>9364.7243999999992</v>
      </c>
      <c r="AZH10" s="593">
        <f>'Proy 2022 vs 2019 sem'!IP9*AZJ$4</f>
        <v>8990.1354239999982</v>
      </c>
      <c r="AZI10" s="699"/>
      <c r="AZJ10" s="700">
        <f>AZI10/AZG10</f>
        <v>0</v>
      </c>
      <c r="AZK10" s="593">
        <f>'Proy 2022 vs 2019 sem'!IO9*AZN$4</f>
        <v>10925.5118</v>
      </c>
      <c r="AZL10" s="593">
        <f>'Proy 2022 vs 2019 sem'!IP9*AZN$4</f>
        <v>10488.491328</v>
      </c>
      <c r="AZM10" s="699"/>
      <c r="AZN10" s="700">
        <f>AZM10/AZK10</f>
        <v>0</v>
      </c>
      <c r="AZO10" s="593">
        <f>'Proy 2022 vs 2019 sem'!IO9*AZR$4</f>
        <v>12486.299199999999</v>
      </c>
      <c r="AZP10" s="593">
        <f>'Proy 2022 vs 2019 sem'!IP9*AZR$4</f>
        <v>11986.847231999998</v>
      </c>
      <c r="AZQ10" s="699"/>
      <c r="AZR10" s="700">
        <f>AZQ10/AZO10</f>
        <v>0</v>
      </c>
      <c r="AZS10" s="593">
        <f>'Proy 2022 vs 2019 sem'!IO9*AZV$4</f>
        <v>17168.661400000001</v>
      </c>
      <c r="AZT10" s="593">
        <f>'Proy 2022 vs 2019 sem'!IP9*AZV$4</f>
        <v>16481.914944</v>
      </c>
      <c r="AZU10" s="699"/>
      <c r="AZV10" s="700">
        <f>AZU10/AZS10</f>
        <v>0</v>
      </c>
      <c r="AZW10" s="579">
        <f>AYU10+AYY10+AZC10+AZG10+AZK10+AZO10+AZS10</f>
        <v>78039.37</v>
      </c>
      <c r="AZX10" s="574">
        <f>AYV10+AYZ10+AZD10+AZH10+AZL10+AZP10+AZT10</f>
        <v>74917.795199999993</v>
      </c>
      <c r="AZY10" s="785">
        <f>AYW10+AZA10+AZE10+AZI10+AZM10+AZQ10+AZU10</f>
        <v>0</v>
      </c>
      <c r="AZZ10" s="786">
        <f>AZY10/AZW10</f>
        <v>0</v>
      </c>
      <c r="BAA10" s="593">
        <f>'Proy 2022 vs 2019 sem'!IX9*BAD$4</f>
        <v>7380.1980000000003</v>
      </c>
      <c r="BAB10" s="593">
        <f>'Proy 2022 vs 2019 sem'!IY9*BAD$4</f>
        <v>7158.7920599999998</v>
      </c>
      <c r="BAC10" s="735"/>
      <c r="BAD10" s="700">
        <f>BAC10/BAA10</f>
        <v>0</v>
      </c>
      <c r="BAE10" s="593">
        <f>'Proy 2022 vs 2019 sem'!IX9*BAH$4</f>
        <v>7380.1980000000003</v>
      </c>
      <c r="BAF10" s="593">
        <f>'Proy 2022 vs 2019 sem'!IY9*BAH$4</f>
        <v>7158.7920599999998</v>
      </c>
      <c r="BAG10" s="699"/>
      <c r="BAH10" s="700">
        <f>BAG10/BAE10</f>
        <v>0</v>
      </c>
      <c r="BAI10" s="593">
        <f>'Proy 2022 vs 2019 sem'!IX9*BAL$4</f>
        <v>7380.1980000000003</v>
      </c>
      <c r="BAJ10" s="593">
        <f>'Proy 2022 vs 2019 sem'!IY9*BAL$4</f>
        <v>7158.7920599999998</v>
      </c>
      <c r="BAK10" s="699"/>
      <c r="BAL10" s="700">
        <f>BAK10/BAI10</f>
        <v>0</v>
      </c>
      <c r="BAM10" s="593">
        <f>'Proy 2022 vs 2019 sem'!IX9*BAP$4</f>
        <v>7380.1980000000003</v>
      </c>
      <c r="BAN10" s="593">
        <f>'Proy 2022 vs 2019 sem'!IY9*BAP$4</f>
        <v>7158.7920599999998</v>
      </c>
      <c r="BAO10" s="699"/>
      <c r="BAP10" s="700">
        <f>BAO10/BAM10</f>
        <v>0</v>
      </c>
      <c r="BAQ10" s="593">
        <f>'Proy 2022 vs 2019 sem'!IX9*BAT$4</f>
        <v>8610.2310000000016</v>
      </c>
      <c r="BAR10" s="593">
        <f>'Proy 2022 vs 2019 sem'!IY9*BAT$4</f>
        <v>8351.9240700000009</v>
      </c>
      <c r="BAS10" s="699"/>
      <c r="BAT10" s="700">
        <f>BAS10/BAQ10</f>
        <v>0</v>
      </c>
      <c r="BAU10" s="593">
        <f>'Proy 2022 vs 2019 sem'!IX9*BAX$4</f>
        <v>9840.264000000001</v>
      </c>
      <c r="BAV10" s="593">
        <f>'Proy 2022 vs 2019 sem'!IY9*BAX$4</f>
        <v>9545.0560800000003</v>
      </c>
      <c r="BAW10" s="699"/>
      <c r="BAX10" s="700">
        <f>BAW10/BAU10</f>
        <v>0</v>
      </c>
      <c r="BAY10" s="593">
        <f>'Proy 2022 vs 2019 sem'!IX9*BBB$4</f>
        <v>13530.363000000001</v>
      </c>
      <c r="BAZ10" s="593">
        <f>'Proy 2022 vs 2019 sem'!IY9*BBB$4</f>
        <v>13124.45211</v>
      </c>
      <c r="BBA10" s="699"/>
      <c r="BBB10" s="700">
        <f>BBA10/BAY10</f>
        <v>0</v>
      </c>
      <c r="BBC10" s="579">
        <f>BAA10+BAE10+BAI10+BAM10+BAQ10+BAU10+BAY10</f>
        <v>61501.650000000009</v>
      </c>
      <c r="BBD10" s="574">
        <f>BAB10+BAF10+BAJ10+BAN10+BAR10+BAV10+BAZ10</f>
        <v>59656.6005</v>
      </c>
      <c r="BBE10" s="759">
        <f>BAC10+BAG10+BAK10+BAO10+BAS10+BAW10+BBA10</f>
        <v>0</v>
      </c>
      <c r="BBF10" s="761">
        <f>BBE10/BBC10</f>
        <v>0</v>
      </c>
      <c r="BBG10" s="593">
        <f>'Proy 2022 vs 2019 sem'!JC9*BBJ$4</f>
        <v>8463.4236000000001</v>
      </c>
      <c r="BBH10" s="593">
        <f>'Proy 2022 vs 2019 sem'!JD9*BBJ$4</f>
        <v>7955.618183999999</v>
      </c>
      <c r="BBI10" s="699"/>
      <c r="BBJ10" s="700">
        <f>BBI10/BBG10</f>
        <v>0</v>
      </c>
      <c r="BBK10" s="593">
        <f>'Proy 2022 vs 2019 sem'!JC9*BBN$4</f>
        <v>8463.4236000000001</v>
      </c>
      <c r="BBL10" s="593">
        <f>'Proy 2022 vs 2019 sem'!JD9*BBN$4</f>
        <v>7955.618183999999</v>
      </c>
      <c r="BBM10" s="699"/>
      <c r="BBN10" s="700">
        <f>BBM10/BBK10</f>
        <v>0</v>
      </c>
      <c r="BBO10" s="593">
        <f>'Proy 2022 vs 2019 sem'!JC9*BBR$4</f>
        <v>8463.4236000000001</v>
      </c>
      <c r="BBP10" s="593">
        <f>'Proy 2022 vs 2019 sem'!JD9*BBR$4</f>
        <v>7955.618183999999</v>
      </c>
      <c r="BBQ10" s="699"/>
      <c r="BBR10" s="700">
        <f>BBQ10/BBO10</f>
        <v>0</v>
      </c>
      <c r="BBS10" s="593">
        <f>'Proy 2022 vs 2019 sem'!JC9*BBV$4</f>
        <v>8463.4236000000001</v>
      </c>
      <c r="BBT10" s="593">
        <f>'Proy 2022 vs 2019 sem'!JD9*BBV$4</f>
        <v>7955.618183999999</v>
      </c>
      <c r="BBU10" s="699"/>
      <c r="BBV10" s="700">
        <f>BBU10/BBS10</f>
        <v>0</v>
      </c>
      <c r="BBW10" s="593">
        <f>'Proy 2022 vs 2019 sem'!JC9*BBZ$4</f>
        <v>9873.994200000001</v>
      </c>
      <c r="BBX10" s="593">
        <f>'Proy 2022 vs 2019 sem'!JD9*BBZ$4</f>
        <v>9281.5545480000001</v>
      </c>
      <c r="BBY10" s="699"/>
      <c r="BBZ10" s="700">
        <f>BBY10/BBW10</f>
        <v>0</v>
      </c>
      <c r="BCA10" s="593">
        <f>'Proy 2022 vs 2019 sem'!JC9*BCD$4</f>
        <v>11284.5648</v>
      </c>
      <c r="BCB10" s="593">
        <f>'Proy 2022 vs 2019 sem'!JD9*BCD$4</f>
        <v>10607.490911999999</v>
      </c>
      <c r="BCC10" s="699"/>
      <c r="BCD10" s="700">
        <f>BCC10/BCA10</f>
        <v>0</v>
      </c>
      <c r="BCE10" s="593">
        <f>'Proy 2022 vs 2019 sem'!JC9*BCH$4</f>
        <v>15516.276599999999</v>
      </c>
      <c r="BCF10" s="593">
        <f>'Proy 2022 vs 2019 sem'!JD9*BCH$4</f>
        <v>14585.300003999999</v>
      </c>
      <c r="BCG10" s="699"/>
      <c r="BCH10" s="700">
        <f>BCG10/BCE10</f>
        <v>0</v>
      </c>
      <c r="BCI10" s="579">
        <f>BBG10+BBK10+BBO10+BBS10+BBW10+BCA10+BCE10</f>
        <v>70528.53</v>
      </c>
      <c r="BCJ10" s="574">
        <f>BBH10+BBL10+BBP10+BBT10+BBX10+BCB10+BCF10</f>
        <v>66296.818199999994</v>
      </c>
      <c r="BCK10" s="765">
        <f>BBI10+BBM10+BBQ10+BBU10+BBY10+BCC10+BCG10</f>
        <v>0</v>
      </c>
      <c r="BCL10" s="761">
        <f>BCK10/BCI10</f>
        <v>0</v>
      </c>
      <c r="BCM10" s="593">
        <f>'Proy 2022 vs 2019 sem'!JH9*BCP$4</f>
        <v>9804.9239999999991</v>
      </c>
      <c r="BCN10" s="593">
        <f>'Proy 2022 vs 2019 sem'!JI9*BCP$4</f>
        <v>9314.6777999999977</v>
      </c>
      <c r="BCO10" s="699"/>
      <c r="BCP10" s="700">
        <f>BCO10/BCM10</f>
        <v>0</v>
      </c>
      <c r="BCQ10" s="593">
        <f>'Proy 2022 vs 2019 sem'!JH9*BCT$4</f>
        <v>9804.9239999999991</v>
      </c>
      <c r="BCR10" s="593">
        <f>'Proy 2022 vs 2019 sem'!JI9*BCT$4</f>
        <v>9314.6777999999977</v>
      </c>
      <c r="BCS10" s="699"/>
      <c r="BCT10" s="700">
        <f>BCS10/BCQ10</f>
        <v>0</v>
      </c>
      <c r="BCU10" s="593">
        <f>'Proy 2022 vs 2019 sem'!JH9*BCX$4</f>
        <v>9804.9239999999991</v>
      </c>
      <c r="BCV10" s="593">
        <f>'Proy 2022 vs 2019 sem'!JI9*BCX$4</f>
        <v>9314.6777999999977</v>
      </c>
      <c r="BCW10" s="699"/>
      <c r="BCX10" s="700">
        <f>BCW10/BCU10</f>
        <v>0</v>
      </c>
      <c r="BCY10" s="593">
        <f>'Proy 2022 vs 2019 sem'!JH9*BDB$4</f>
        <v>9804.9239999999991</v>
      </c>
      <c r="BCZ10" s="593">
        <f>'Proy 2022 vs 2019 sem'!JI9*BDB$4</f>
        <v>9314.6777999999977</v>
      </c>
      <c r="BDA10" s="699"/>
      <c r="BDB10" s="700">
        <f>BDA10/BCY10</f>
        <v>0</v>
      </c>
      <c r="BDC10" s="593">
        <f>'Proy 2022 vs 2019 sem'!JH9*BDF$4</f>
        <v>11439.078000000001</v>
      </c>
      <c r="BDD10" s="593">
        <f>'Proy 2022 vs 2019 sem'!JI9*BDF$4</f>
        <v>10867.124099999999</v>
      </c>
      <c r="BDE10" s="699"/>
      <c r="BDF10" s="700">
        <f>BDE10/BDC10</f>
        <v>0</v>
      </c>
      <c r="BDG10" s="593">
        <f>'Proy 2022 vs 2019 sem'!JH9*BDJ$4</f>
        <v>13073.232</v>
      </c>
      <c r="BDH10" s="593">
        <f>'Proy 2022 vs 2019 sem'!JI9*BDJ$4</f>
        <v>12419.570399999999</v>
      </c>
      <c r="BDI10" s="699"/>
      <c r="BDJ10" s="700">
        <f>BDI10/BDG10</f>
        <v>0</v>
      </c>
      <c r="BDK10" s="593">
        <f>'Proy 2022 vs 2019 sem'!JH9*BDN$4</f>
        <v>17975.694</v>
      </c>
      <c r="BDL10" s="593">
        <f>'Proy 2022 vs 2019 sem'!JI9*BDN$4</f>
        <v>17076.909299999996</v>
      </c>
      <c r="BDM10" s="699"/>
      <c r="BDN10" s="700">
        <f>BDM10/BDK10</f>
        <v>0</v>
      </c>
      <c r="BDO10" s="579">
        <f>BCM10+BCQ10+BCU10+BCY10+BDC10+BDG10+BDK10</f>
        <v>81707.7</v>
      </c>
      <c r="BDP10" s="574">
        <f>BCN10+BCR10+BCV10+BCZ10+BDD10+BDH10+BDL10</f>
        <v>77622.314999999988</v>
      </c>
      <c r="BDQ10" s="765">
        <f>BCO10+BCS10+BCW10+BDA10+BDE10+BDI10+BDM10</f>
        <v>0</v>
      </c>
      <c r="BDR10" s="761">
        <f>BDQ10/BDO10</f>
        <v>0</v>
      </c>
      <c r="BDS10" s="593">
        <f>'Proy 2022 vs 2019 sem'!JM9*BDV$4</f>
        <v>8551.4387999999999</v>
      </c>
      <c r="BDT10" s="593">
        <f>'Proy 2022 vs 2019 sem'!JN9*BDV$4</f>
        <v>8123.866860000001</v>
      </c>
      <c r="BDU10" s="699"/>
      <c r="BDV10" s="700">
        <f>BDU10/BDS10</f>
        <v>0</v>
      </c>
      <c r="BDW10" s="593">
        <f>'Proy 2022 vs 2019 sem'!JM9*BDZ$4</f>
        <v>8551.4387999999999</v>
      </c>
      <c r="BDX10" s="593">
        <f>'Proy 2022 vs 2019 sem'!JN9*BDZ$4</f>
        <v>8123.866860000001</v>
      </c>
      <c r="BDY10" s="699"/>
      <c r="BDZ10" s="700">
        <f>BDY10/BDW10</f>
        <v>0</v>
      </c>
      <c r="BEA10" s="593">
        <f>'Proy 2022 vs 2019 sem'!JM9*BED$4</f>
        <v>8551.4387999999999</v>
      </c>
      <c r="BEB10" s="593">
        <f>'Proy 2022 vs 2019 sem'!JN9*BED$4</f>
        <v>8123.866860000001</v>
      </c>
      <c r="BEC10" s="699"/>
      <c r="BED10" s="700">
        <f>BEC10/BEA10</f>
        <v>0</v>
      </c>
      <c r="BEE10" s="593">
        <v>14489.990400000001</v>
      </c>
      <c r="BEF10" s="593">
        <f>'Proy 2022 vs 2019 sem'!JN9*BEH$4</f>
        <v>8123.866860000001</v>
      </c>
      <c r="BEG10" s="699"/>
      <c r="BEH10" s="700">
        <f>BEG10/BEE10</f>
        <v>0</v>
      </c>
      <c r="BEI10" s="593">
        <f>'Proy 2022 vs 2019 sem'!JM9*BEL$4</f>
        <v>9976.6786000000011</v>
      </c>
      <c r="BEJ10" s="593">
        <f>'Proy 2022 vs 2019 sem'!JN9*BEL$4</f>
        <v>9477.8446700000022</v>
      </c>
      <c r="BEK10" s="699"/>
      <c r="BEL10" s="700">
        <f>BEK10/BEI10</f>
        <v>0</v>
      </c>
      <c r="BEM10" s="593">
        <f>'Proy 2022 vs 2019 sem'!JM9*BEP$4</f>
        <v>11401.9184</v>
      </c>
      <c r="BEN10" s="593">
        <f>'Proy 2022 vs 2019 sem'!JN9*BEP$4</f>
        <v>10831.822480000001</v>
      </c>
      <c r="BEO10" s="699"/>
      <c r="BEP10" s="700">
        <f>BEO10/BEM10</f>
        <v>0</v>
      </c>
      <c r="BEQ10" s="593">
        <f>'Proy 2022 vs 2019 sem'!JM9*BET$4</f>
        <v>15677.6378</v>
      </c>
      <c r="BER10" s="593">
        <f>'Proy 2022 vs 2019 sem'!JN9*BET$4</f>
        <v>14893.755910000002</v>
      </c>
      <c r="BES10" s="699"/>
      <c r="BET10" s="700">
        <f>BES10/BEQ10</f>
        <v>0</v>
      </c>
      <c r="BEU10" s="579">
        <f>BDS10+BDW10+BEA10+BEE10+BEI10+BEM10+BEQ10</f>
        <v>77200.541599999997</v>
      </c>
      <c r="BEV10" s="574">
        <f>BDT10+BDX10+BEB10+BEF10+BEJ10+BEN10+BER10</f>
        <v>67698.890500000009</v>
      </c>
      <c r="BEW10" s="770">
        <f>BDU10+BDY10+BEC10+BEG10+BEK10+BEO10+BES10</f>
        <v>0</v>
      </c>
      <c r="BEX10" s="761">
        <f>BEW10/BEU10</f>
        <v>0</v>
      </c>
      <c r="BEY10" s="593">
        <f>'Proy 2022 vs 2019 sem'!JV9*BFB$4</f>
        <v>10944.862799999999</v>
      </c>
      <c r="BEZ10" s="593">
        <f>'Proy 2022 vs 2019 sem'!JW9*BFB$4</f>
        <v>10288.171032</v>
      </c>
      <c r="BFA10" s="735"/>
      <c r="BFB10" s="700">
        <f>BFA10/BEY10</f>
        <v>0</v>
      </c>
      <c r="BFC10" s="593">
        <f>'Proy 2022 vs 2019 sem'!JV9*BFF$4</f>
        <v>10944.862799999999</v>
      </c>
      <c r="BFD10" s="593">
        <f>'Proy 2022 vs 2019 sem'!JW9*BFF$4</f>
        <v>10288.171032</v>
      </c>
      <c r="BFE10" s="735"/>
      <c r="BFF10" s="700">
        <f>BFE10/BFC10</f>
        <v>0</v>
      </c>
      <c r="BFG10" s="593">
        <f>'Proy 2022 vs 2019 sem'!JV9*BFJ$4</f>
        <v>10944.862799999999</v>
      </c>
      <c r="BFH10" s="593">
        <f>'Proy 2022 vs 2019 sem'!JW9*BFJ$4</f>
        <v>10288.171032</v>
      </c>
      <c r="BFI10" s="735"/>
      <c r="BFJ10" s="700">
        <f>BFI10/BFG10</f>
        <v>0</v>
      </c>
      <c r="BFK10" s="593">
        <f>'Proy 2022 vs 2019 sem'!JV9*BFN$4</f>
        <v>10944.862799999999</v>
      </c>
      <c r="BFL10" s="593">
        <f>'Proy 2022 vs 2019 sem'!JW9*BFN$4</f>
        <v>10288.171032</v>
      </c>
      <c r="BFM10" s="735"/>
      <c r="BFN10" s="700">
        <f>BFM10/BFK10</f>
        <v>0</v>
      </c>
      <c r="BFO10" s="593">
        <f>'Proy 2022 vs 2019 sem'!JV9*BFR$4</f>
        <v>12769.006600000002</v>
      </c>
      <c r="BFP10" s="593">
        <f>'Proy 2022 vs 2019 sem'!JW9*BFR$4</f>
        <v>12002.866204000002</v>
      </c>
      <c r="BFQ10" s="735"/>
      <c r="BFR10" s="700">
        <f>BFQ10/BFO10</f>
        <v>0</v>
      </c>
      <c r="BFS10" s="593">
        <f>'Proy 2022 vs 2019 sem'!JV9*BFV$4</f>
        <v>14593.1504</v>
      </c>
      <c r="BFT10" s="593">
        <f>'Proy 2022 vs 2019 sem'!JW9*BFV$4</f>
        <v>13717.561376</v>
      </c>
      <c r="BFU10" s="735"/>
      <c r="BFV10" s="700">
        <f>BFU10/BFS10</f>
        <v>0</v>
      </c>
      <c r="BFW10" s="593">
        <f>'Proy 2022 vs 2019 sem'!JV9*BFZ$4</f>
        <v>20065.5818</v>
      </c>
      <c r="BFX10" s="593">
        <f>'Proy 2022 vs 2019 sem'!JW9*BFZ$4</f>
        <v>18861.646892000001</v>
      </c>
      <c r="BFY10" s="735"/>
      <c r="BFZ10" s="700">
        <f>BFY10/BFW10</f>
        <v>0</v>
      </c>
      <c r="BGA10" s="579">
        <f>BEY10+BFC10+BFG10+BFK10+BFO10+BFS10+BFW10</f>
        <v>91207.19</v>
      </c>
      <c r="BGB10" s="574">
        <f>BEZ10+BFD10+BFH10+BFL10+BFP10+BFT10+BFX10</f>
        <v>85734.758600000001</v>
      </c>
      <c r="BGC10" s="729">
        <f>BFA10+BFE10+BFI10+BFM10+BFQ10+BFU10+BFY10</f>
        <v>0</v>
      </c>
      <c r="BGD10" s="711">
        <f>BGC10/BGA10</f>
        <v>0</v>
      </c>
      <c r="BGE10" s="593">
        <f>'Proy 2022 vs 2019 sem'!KA9*BGH$4</f>
        <v>15758.609999999999</v>
      </c>
      <c r="BGF10" s="593">
        <f>'Proy 2022 vs 2019 sem'!KB9*BGH$4</f>
        <v>14655.507300000001</v>
      </c>
      <c r="BGG10" s="699"/>
      <c r="BGH10" s="700">
        <f>BGG10/BGE10</f>
        <v>0</v>
      </c>
      <c r="BGI10" s="593">
        <f>'Proy 2022 vs 2019 sem'!KA9*BGL$4</f>
        <v>15758.609999999999</v>
      </c>
      <c r="BGJ10" s="593">
        <f>'Proy 2022 vs 2019 sem'!KB9*BGL$4</f>
        <v>14655.507300000001</v>
      </c>
      <c r="BGK10" s="699"/>
      <c r="BGL10" s="700">
        <f>BGK10/BGI10</f>
        <v>0</v>
      </c>
      <c r="BGM10" s="593">
        <f>'Proy 2022 vs 2019 sem'!KA9*BGP$4</f>
        <v>15758.609999999999</v>
      </c>
      <c r="BGN10" s="593">
        <f>'Proy 2022 vs 2019 sem'!KB9*BGP$4</f>
        <v>14655.507300000001</v>
      </c>
      <c r="BGO10" s="699"/>
      <c r="BGP10" s="700">
        <f>BGO10/BGM10</f>
        <v>0</v>
      </c>
      <c r="BGQ10" s="593">
        <f>'Proy 2022 vs 2019 sem'!KA9*BGT$4</f>
        <v>15758.609999999999</v>
      </c>
      <c r="BGR10" s="593">
        <f>'Proy 2022 vs 2019 sem'!KB9*BGT$4</f>
        <v>14655.507300000001</v>
      </c>
      <c r="BGS10" s="699"/>
      <c r="BGT10" s="700">
        <f>BGS10/BGQ10</f>
        <v>0</v>
      </c>
      <c r="BGU10" s="593">
        <f>'Proy 2022 vs 2019 sem'!KA9*BGX$4</f>
        <v>18385.045000000002</v>
      </c>
      <c r="BGV10" s="593">
        <f>'Proy 2022 vs 2019 sem'!KB9*BGX$4</f>
        <v>17098.091850000004</v>
      </c>
      <c r="BGW10" s="699"/>
      <c r="BGX10" s="700">
        <f>BGW10/BGU10</f>
        <v>0</v>
      </c>
      <c r="BGY10" s="593">
        <f>'Proy 2022 vs 2019 sem'!KA9*BHB$4</f>
        <v>21011.48</v>
      </c>
      <c r="BGZ10" s="593">
        <f>'Proy 2022 vs 2019 sem'!KB9*BHB$4</f>
        <v>19540.6764</v>
      </c>
      <c r="BHA10" s="699"/>
      <c r="BHB10" s="700">
        <f>BHA10/BGY10</f>
        <v>0</v>
      </c>
      <c r="BHC10" s="593">
        <f>'Proy 2022 vs 2019 sem'!KA9*BHF$4</f>
        <v>28890.785</v>
      </c>
      <c r="BHD10" s="593">
        <f>'Proy 2022 vs 2019 sem'!KB9*BHF$4</f>
        <v>26868.430050000003</v>
      </c>
      <c r="BHE10" s="699"/>
      <c r="BHF10" s="700">
        <f>BHE10/BHC10</f>
        <v>0</v>
      </c>
      <c r="BHG10" s="579">
        <f>BGE10+BGI10+BGM10+BGQ10+BGU10+BGY10+BHC10</f>
        <v>131321.75</v>
      </c>
      <c r="BHH10" s="574">
        <f>BGF10+BGJ10+BGN10+BGR10+BGV10+BGZ10+BHD10</f>
        <v>122129.22750000001</v>
      </c>
      <c r="BHI10" s="730">
        <f>BGG10+BGK10+BGO10+BGS10+BGW10+BHA10+BHE10</f>
        <v>0</v>
      </c>
      <c r="BHJ10" s="711">
        <f>BHI10/BHG10</f>
        <v>0</v>
      </c>
      <c r="BHK10" s="593">
        <f>'Proy 2022 vs 2019 sem'!KF9*BHN$4</f>
        <v>23573.304</v>
      </c>
      <c r="BHL10" s="593">
        <f>'Proy 2022 vs 2019 sem'!KG9*BHN$4</f>
        <v>21923.172720000002</v>
      </c>
      <c r="BHM10" s="699"/>
      <c r="BHN10" s="700">
        <f>BHM10/BHK10</f>
        <v>0</v>
      </c>
      <c r="BHO10" s="593">
        <f>'Proy 2022 vs 2019 sem'!KF9*BHR$4</f>
        <v>23573.304</v>
      </c>
      <c r="BHP10" s="593">
        <f>'Proy 2022 vs 2019 sem'!KG9*BHR$4</f>
        <v>21923.172720000002</v>
      </c>
      <c r="BHQ10" s="699"/>
      <c r="BHR10" s="700">
        <f>BHQ10/BHO10</f>
        <v>0</v>
      </c>
      <c r="BHS10" s="593">
        <f>'Proy 2022 vs 2019 sem'!KF9*BHV$4</f>
        <v>23573.304</v>
      </c>
      <c r="BHT10" s="593">
        <f>'Proy 2022 vs 2019 sem'!KG9*BHV$4</f>
        <v>21923.172720000002</v>
      </c>
      <c r="BHU10" s="699"/>
      <c r="BHV10" s="700">
        <f>BHU10/BHS10</f>
        <v>0</v>
      </c>
      <c r="BHW10" s="593">
        <f>'Proy 2022 vs 2019 sem'!KF9*BHZ$4</f>
        <v>23573.304</v>
      </c>
      <c r="BHX10" s="593">
        <f>'Proy 2022 vs 2019 sem'!KG9*BHZ$4</f>
        <v>21923.172720000002</v>
      </c>
      <c r="BHY10" s="699"/>
      <c r="BHZ10" s="700">
        <f>BHY10/BHW10</f>
        <v>0</v>
      </c>
      <c r="BIA10" s="593">
        <f>'Proy 2022 vs 2019 sem'!KF9*BID$4</f>
        <v>27502.188000000006</v>
      </c>
      <c r="BIB10" s="593">
        <f>'Proy 2022 vs 2019 sem'!KG9*BID$4</f>
        <v>25577.034840000008</v>
      </c>
      <c r="BIC10" s="699"/>
      <c r="BID10" s="700">
        <f>BIC10/BIA10</f>
        <v>0</v>
      </c>
      <c r="BIE10" s="593">
        <f>'Proy 2022 vs 2019 sem'!KF9*BIH$4</f>
        <v>31431.072000000004</v>
      </c>
      <c r="BIF10" s="593">
        <f>'Proy 2022 vs 2019 sem'!KG9*BIH$4</f>
        <v>29230.896960000005</v>
      </c>
      <c r="BIG10" s="699"/>
      <c r="BIH10" s="700">
        <f>BIG10/BIE10</f>
        <v>0</v>
      </c>
      <c r="BII10" s="593">
        <f>'Proy 2022 vs 2019 sem'!KF9*BIL$4</f>
        <v>43217.724000000002</v>
      </c>
      <c r="BIJ10" s="593">
        <f>'Proy 2022 vs 2019 sem'!KG9*BIL$4</f>
        <v>40192.483320000007</v>
      </c>
      <c r="BIK10" s="699"/>
      <c r="BIL10" s="700">
        <f>BIK10/BII10</f>
        <v>0</v>
      </c>
      <c r="BIM10" s="579">
        <f>BHK10+BHO10+BHS10+BHW10+BIA10+BIE10+BII10</f>
        <v>196444.2</v>
      </c>
      <c r="BIN10" s="574">
        <f>BHL10+BHP10+BHT10+BHX10+BIB10+BIF10+BIJ10</f>
        <v>182693.10600000003</v>
      </c>
      <c r="BIO10" s="730">
        <f>BHM10+BHQ10+BHU10+BHY10+BIC10+BIG10+BIK10</f>
        <v>0</v>
      </c>
      <c r="BIP10" s="711">
        <f>BIO10/BIM10</f>
        <v>0</v>
      </c>
      <c r="BIQ10" s="593">
        <f>'Proy 2022 vs 2019 sem'!KK9*BIT$4</f>
        <v>23470.5036</v>
      </c>
      <c r="BIR10" s="593">
        <f>'Proy 2022 vs 2019 sem'!KL9*BIT$4</f>
        <v>21827.568348000001</v>
      </c>
      <c r="BIS10" s="699"/>
      <c r="BIT10" s="700">
        <f>BIS10/BIQ10</f>
        <v>0</v>
      </c>
      <c r="BIU10" s="593">
        <f>'Proy 2022 vs 2019 sem'!KK9*BIX$4</f>
        <v>23470.5036</v>
      </c>
      <c r="BIV10" s="593">
        <f>'Proy 2022 vs 2019 sem'!KL9*BIX$4</f>
        <v>21827.568348000001</v>
      </c>
      <c r="BIW10" s="699"/>
      <c r="BIX10" s="700">
        <f>BIW10/BIU10</f>
        <v>0</v>
      </c>
      <c r="BIY10" s="593">
        <f>'Proy 2022 vs 2019 sem'!KK9*BJB$4</f>
        <v>23470.5036</v>
      </c>
      <c r="BIZ10" s="593">
        <f>'Proy 2022 vs 2019 sem'!KL9*BJB$4</f>
        <v>21827.568348000001</v>
      </c>
      <c r="BJA10" s="699"/>
      <c r="BJB10" s="700">
        <f>BJA10/BIY10</f>
        <v>0</v>
      </c>
      <c r="BJC10" s="593">
        <f>'Proy 2022 vs 2019 sem'!KK9*BJF$4</f>
        <v>23470.5036</v>
      </c>
      <c r="BJD10" s="593">
        <f>'Proy 2022 vs 2019 sem'!KL9*BJF$4</f>
        <v>21827.568348000001</v>
      </c>
      <c r="BJE10" s="699"/>
      <c r="BJF10" s="700">
        <f>BJE10/BJC10</f>
        <v>0</v>
      </c>
      <c r="BJG10" s="593">
        <f>'Proy 2022 vs 2019 sem'!KK9*BJJ$4</f>
        <v>27382.254200000003</v>
      </c>
      <c r="BJH10" s="593">
        <f>'Proy 2022 vs 2019 sem'!KL9*BJJ$4</f>
        <v>25465.496406000006</v>
      </c>
      <c r="BJI10" s="699"/>
      <c r="BJJ10" s="700">
        <f>BJI10/BJG10</f>
        <v>0</v>
      </c>
      <c r="BJK10" s="593">
        <f>'Proy 2022 vs 2019 sem'!KK9*BJN$4</f>
        <v>31294.004799999999</v>
      </c>
      <c r="BJL10" s="593">
        <f>'Proy 2022 vs 2019 sem'!KL9*BJN$4</f>
        <v>29103.424464000003</v>
      </c>
      <c r="BJM10" s="699"/>
      <c r="BJN10" s="700">
        <f>BJM10/BJK10</f>
        <v>0</v>
      </c>
      <c r="BJO10" s="593">
        <f>'Proy 2022 vs 2019 sem'!KK9*BJR$4</f>
        <v>43029.256600000001</v>
      </c>
      <c r="BJP10" s="593">
        <f>'Proy 2022 vs 2019 sem'!KL9*BJR$4</f>
        <v>40017.208638000004</v>
      </c>
      <c r="BJQ10" s="699"/>
      <c r="BJR10" s="700">
        <f>BJQ10/BJO10</f>
        <v>0</v>
      </c>
      <c r="BJS10" s="579">
        <f>BIQ10+BIU10+BIY10+BJC10+BJG10+BJK10+BJO10</f>
        <v>195587.53</v>
      </c>
      <c r="BJT10" s="574">
        <f>BIR10+BIV10+BIZ10+BJD10+BJH10+BJL10+BJP10</f>
        <v>181896.40290000002</v>
      </c>
      <c r="BJU10" s="710">
        <f>BIS10+BIW10+BJA10+BJE10+BJI10+BJM10+BJQ10</f>
        <v>0</v>
      </c>
      <c r="BJV10" s="711">
        <f>BJU10/BJS10</f>
        <v>0</v>
      </c>
      <c r="BJW10" s="593">
        <f>'Proy 2022 vs 2019 sem'!KP9*BJZ$4</f>
        <v>8626.9092000000001</v>
      </c>
      <c r="BJX10" s="593">
        <f>'Proy 2022 vs 2019 sem'!KQ9*BJZ$4</f>
        <v>8195.5637399999996</v>
      </c>
      <c r="BJY10" s="699"/>
      <c r="BJZ10" s="700">
        <f>BJY10/BJW10</f>
        <v>0</v>
      </c>
      <c r="BKA10" s="593">
        <f>'Proy 2022 vs 2019 sem'!KP9*BKD$4</f>
        <v>8626.9092000000001</v>
      </c>
      <c r="BKB10" s="593">
        <f>'Proy 2022 vs 2019 sem'!KQ9*BKD$4</f>
        <v>8195.5637399999996</v>
      </c>
      <c r="BKC10" s="699"/>
      <c r="BKD10" s="700">
        <f>BKC10/BKA10</f>
        <v>0</v>
      </c>
      <c r="BKE10" s="593">
        <f>'Proy 2022 vs 2019 sem'!KP9*BKH$4</f>
        <v>8626.9092000000001</v>
      </c>
      <c r="BKF10" s="593">
        <f>'Proy 2022 vs 2019 sem'!KQ9*BKH$4</f>
        <v>8195.5637399999996</v>
      </c>
      <c r="BKG10" s="699"/>
      <c r="BKH10" s="700">
        <f>BKG10/BKE10</f>
        <v>0</v>
      </c>
      <c r="BKI10" s="593">
        <f>'Proy 2022 vs 2019 sem'!KP9*BKL$4</f>
        <v>8626.9092000000001</v>
      </c>
      <c r="BKJ10" s="593">
        <f>'Proy 2022 vs 2019 sem'!KQ9*BKL$4</f>
        <v>8195.5637399999996</v>
      </c>
      <c r="BKK10" s="699"/>
      <c r="BKL10" s="700">
        <f>BKK10/BKI10</f>
        <v>0</v>
      </c>
      <c r="BKM10" s="593">
        <f>'Proy 2022 vs 2019 sem'!KP9*BKP$4</f>
        <v>10064.727400000002</v>
      </c>
      <c r="BKN10" s="593">
        <f>'Proy 2022 vs 2019 sem'!KQ9*BKP$4</f>
        <v>9561.491030000001</v>
      </c>
      <c r="BKO10" s="699"/>
      <c r="BKP10" s="700">
        <f>BKO10/BKM10</f>
        <v>0</v>
      </c>
      <c r="BKQ10" s="593">
        <f>'Proy 2022 vs 2019 sem'!KP9*BKT$4</f>
        <v>11502.545600000001</v>
      </c>
      <c r="BKR10" s="593">
        <f>'Proy 2022 vs 2019 sem'!KQ9*BKT$4</f>
        <v>10927.418319999999</v>
      </c>
      <c r="BKS10" s="699"/>
      <c r="BKT10" s="700">
        <f>BKS10/BKQ10</f>
        <v>0</v>
      </c>
      <c r="BKU10" s="593">
        <f>'Proy 2022 vs 2019 sem'!KP9*BKX$4</f>
        <v>15816.0002</v>
      </c>
      <c r="BKV10" s="593">
        <f>'Proy 2022 vs 2019 sem'!KQ9*BKX$4</f>
        <v>15025.20019</v>
      </c>
      <c r="BKW10" s="699"/>
      <c r="BKX10" s="700">
        <f>BKW10/BKU10</f>
        <v>0</v>
      </c>
      <c r="BKY10" s="579">
        <f>BJW10+BKA10+BKE10+BKI10+BKM10+BKQ10+BKU10</f>
        <v>71890.91</v>
      </c>
      <c r="BKZ10" s="574">
        <f>BJX10+BKB10+BKF10+BKJ10+BKN10+BKR10+BKV10</f>
        <v>68296.364499999996</v>
      </c>
      <c r="BLA10" s="710">
        <f>BJY10+BKC10+BKG10+BKK10+BKO10+BKS10+BKW10</f>
        <v>0</v>
      </c>
      <c r="BLB10" s="711">
        <f>BLA10/BKY10</f>
        <v>0</v>
      </c>
    </row>
    <row r="11" spans="2:1666" ht="15.75" customHeight="1">
      <c r="B11" s="934" t="s">
        <v>473</v>
      </c>
      <c r="C11" s="593">
        <f>'Proy 2022 vs 2019 sem'!$C$6*$F$4</f>
        <v>9529.1268</v>
      </c>
      <c r="D11" s="593">
        <f>'Proy 2022 vs 2019 sem'!$D$6*$F$4</f>
        <v>8480.9228519999997</v>
      </c>
      <c r="E11" s="735"/>
      <c r="F11" s="700">
        <f>E11/C11</f>
        <v>0</v>
      </c>
      <c r="G11" s="1414">
        <f>'Proy 2022 vs 2019 sem'!C10*$J$4</f>
        <v>7322.2151999999996</v>
      </c>
      <c r="H11" s="593">
        <f>'Proy 2022 vs 2019 sem'!D10*$J$4</f>
        <v>6516.7715280000002</v>
      </c>
      <c r="I11" s="735"/>
      <c r="J11" s="700">
        <f>I11/G11</f>
        <v>0</v>
      </c>
      <c r="K11" s="593">
        <f>'Proy 2022 vs 2019 sem'!C10*$N$4</f>
        <v>7322.2151999999996</v>
      </c>
      <c r="L11" s="593">
        <f>'Proy 2022 vs 2019 sem'!D10*N$4</f>
        <v>6516.7715280000002</v>
      </c>
      <c r="M11" s="735"/>
      <c r="N11" s="700">
        <f>M11/K11</f>
        <v>0</v>
      </c>
      <c r="O11" s="593">
        <f>'Proy 2022 vs 2019 sem'!C10*R$4</f>
        <v>7322.2151999999996</v>
      </c>
      <c r="P11" s="593">
        <f>'Proy 2022 vs 2019 sem'!D10*$R$4</f>
        <v>6516.7715280000002</v>
      </c>
      <c r="Q11" s="735"/>
      <c r="R11" s="700">
        <f>Q11/O11</f>
        <v>0</v>
      </c>
      <c r="S11" s="593">
        <f>'Proy 2022 vs 2019 sem'!C10*V$4</f>
        <v>8542.5844000000016</v>
      </c>
      <c r="T11" s="593">
        <f>'Proy 2022 vs 2019 sem'!D10*V$4</f>
        <v>7602.9001160000007</v>
      </c>
      <c r="U11" s="735"/>
      <c r="V11" s="700">
        <f>U11/S11</f>
        <v>0</v>
      </c>
      <c r="W11" s="593">
        <f>'Proy 2022 vs 2019 sem'!C10*Z$4</f>
        <v>9762.9536000000007</v>
      </c>
      <c r="X11" s="593">
        <f>'Proy 2022 vs 2019 sem'!D10*Z$4</f>
        <v>8689.0287040000003</v>
      </c>
      <c r="Y11" s="735"/>
      <c r="Z11" s="700">
        <f>Y11/W11</f>
        <v>0</v>
      </c>
      <c r="AA11" s="593">
        <f>'Proy 2022 vs 2019 sem'!C10*AD$4</f>
        <v>13424.0612</v>
      </c>
      <c r="AB11" s="593">
        <f>'Proy 2022 vs 2019 sem'!D10*AD$4</f>
        <v>11947.414468000001</v>
      </c>
      <c r="AC11" s="735"/>
      <c r="AD11" s="700">
        <f>AC11/AA11</f>
        <v>0</v>
      </c>
      <c r="AE11" s="579">
        <f>C11+G11+K11+O11+S11+W11+AA11</f>
        <v>63225.371599999999</v>
      </c>
      <c r="AF11" s="574">
        <f>D11+H11+L11+P11+T11+X11+AB11</f>
        <v>56270.580723999999</v>
      </c>
      <c r="AG11" s="729">
        <f>E11+I11+M11+Q11+U11+Y11+AC11</f>
        <v>0</v>
      </c>
      <c r="AH11" s="711">
        <f>AG11/AE11</f>
        <v>0</v>
      </c>
      <c r="AI11" s="593">
        <f>'Proy 2022 vs 2019 sem'!H10*AL$4</f>
        <v>8597.5835999999999</v>
      </c>
      <c r="AJ11" s="611">
        <f>'Proy 2022 vs 2019 sem'!I10*AL$4</f>
        <v>7651.8494039999996</v>
      </c>
      <c r="AK11" s="699"/>
      <c r="AL11" s="700">
        <f>AK11/AI11</f>
        <v>0</v>
      </c>
      <c r="AM11" s="593">
        <f>'Proy 2022 vs 2019 sem'!H10*AP$4</f>
        <v>8597.5835999999999</v>
      </c>
      <c r="AN11" s="593">
        <f>'Proy 2022 vs 2019 sem'!I10*AP$4</f>
        <v>7651.8494039999996</v>
      </c>
      <c r="AO11" s="699"/>
      <c r="AP11" s="700">
        <f>AO11/AM11</f>
        <v>0</v>
      </c>
      <c r="AQ11" s="593">
        <f>'Proy 2022 vs 2019 sem'!H10*AT$4</f>
        <v>8597.5835999999999</v>
      </c>
      <c r="AR11" s="593">
        <f>'Proy 2022 vs 2019 sem'!I10*AT$4</f>
        <v>7651.8494039999996</v>
      </c>
      <c r="AS11" s="699"/>
      <c r="AT11" s="700">
        <f>AS11/AQ11</f>
        <v>0</v>
      </c>
      <c r="AU11" s="593">
        <f>'Proy 2022 vs 2019 sem'!H10*AX$4</f>
        <v>8597.5835999999999</v>
      </c>
      <c r="AV11" s="593">
        <f>'Proy 2022 vs 2019 sem'!I10*AX$4</f>
        <v>7651.8494039999996</v>
      </c>
      <c r="AW11" s="699"/>
      <c r="AX11" s="700">
        <f>AW11/AU11</f>
        <v>0</v>
      </c>
      <c r="AY11" s="593">
        <f>'Proy 2022 vs 2019 sem'!H10*BB$4</f>
        <v>10030.514200000001</v>
      </c>
      <c r="AZ11" s="593">
        <f>'Proy 2022 vs 2019 sem'!I10*BB$4</f>
        <v>8927.1576380000006</v>
      </c>
      <c r="BA11" s="699"/>
      <c r="BB11" s="700">
        <f>BA11/AY11</f>
        <v>0</v>
      </c>
      <c r="BC11" s="593">
        <f>'Proy 2022 vs 2019 sem'!H10*BF$4</f>
        <v>11463.444799999999</v>
      </c>
      <c r="BD11" s="593">
        <f>'Proy 2022 vs 2019 sem'!I10*BF$4</f>
        <v>10202.465871999999</v>
      </c>
      <c r="BE11" s="699"/>
      <c r="BF11" s="700">
        <f>BE11/BC11</f>
        <v>0</v>
      </c>
      <c r="BG11" s="593">
        <f>'Proy 2022 vs 2019 sem'!H10*BJ$4</f>
        <v>15762.2366</v>
      </c>
      <c r="BH11" s="593">
        <f>'Proy 2022 vs 2019 sem'!I10*BJ$4</f>
        <v>14028.390573999999</v>
      </c>
      <c r="BI11" s="699"/>
      <c r="BJ11" s="700">
        <f>BI11/BG11</f>
        <v>0</v>
      </c>
      <c r="BK11" s="579">
        <f>AI11+AM11+AQ11+AU11+AY11+BC11+BG11</f>
        <v>71646.53</v>
      </c>
      <c r="BL11" s="574">
        <f>AJ11+AN11+AR11+AV11+AZ11+BD11+BH11</f>
        <v>63765.411699999997</v>
      </c>
      <c r="BM11" s="730">
        <f>AK11+AO11+AS11+AW11+BA11+BE11+BI11</f>
        <v>0</v>
      </c>
      <c r="BN11" s="711">
        <f>BM11/BK11</f>
        <v>0</v>
      </c>
      <c r="BO11" s="593">
        <f>'Proy 2022 vs 2019 sem'!M10*BR$4</f>
        <v>8177.217599999999</v>
      </c>
      <c r="BP11" s="593">
        <f>'Proy 2022 vs 2019 sem'!N10*BR$4</f>
        <v>7277.7236639999992</v>
      </c>
      <c r="BQ11" s="699"/>
      <c r="BR11" s="700">
        <f>BQ11/BO11</f>
        <v>0</v>
      </c>
      <c r="BS11" s="593">
        <f>'Proy 2022 vs 2019 sem'!M10*BV$4</f>
        <v>8177.217599999999</v>
      </c>
      <c r="BT11" s="593">
        <f>'Proy 2022 vs 2019 sem'!N10*BV$4</f>
        <v>7277.7236639999992</v>
      </c>
      <c r="BU11" s="699"/>
      <c r="BV11" s="700">
        <f>BU11/BS11</f>
        <v>0</v>
      </c>
      <c r="BW11" s="593">
        <f>'Proy 2022 vs 2019 sem'!M10*BZ$4</f>
        <v>8177.217599999999</v>
      </c>
      <c r="BX11" s="593">
        <f>'Proy 2022 vs 2019 sem'!N10*BZ$4</f>
        <v>7277.7236639999992</v>
      </c>
      <c r="BY11" s="699"/>
      <c r="BZ11" s="700">
        <f>BY11/BW11</f>
        <v>0</v>
      </c>
      <c r="CA11" s="593">
        <f>'Proy 2022 vs 2019 sem'!M10*CD$4</f>
        <v>8177.217599999999</v>
      </c>
      <c r="CB11" s="593">
        <f>'Proy 2022 vs 2019 sem'!N10*CD$4</f>
        <v>7277.7236639999992</v>
      </c>
      <c r="CC11" s="699"/>
      <c r="CD11" s="700">
        <f>CC11/CA11</f>
        <v>0</v>
      </c>
      <c r="CE11" s="593">
        <f>'Proy 2022 vs 2019 sem'!M10*CH$4</f>
        <v>9540.0871999999999</v>
      </c>
      <c r="CF11" s="593">
        <f>'Proy 2022 vs 2019 sem'!N10*CH$4</f>
        <v>8490.677608</v>
      </c>
      <c r="CG11" s="699"/>
      <c r="CH11" s="700">
        <f>CG11/CE11</f>
        <v>0</v>
      </c>
      <c r="CI11" s="593">
        <f>'Proy 2022 vs 2019 sem'!M10*CL$4</f>
        <v>10902.9568</v>
      </c>
      <c r="CJ11" s="593">
        <f>'Proy 2022 vs 2019 sem'!N10*CL$4</f>
        <v>9703.6315519999989</v>
      </c>
      <c r="CK11" s="699"/>
      <c r="CL11" s="700">
        <f>CK11/CI11</f>
        <v>0</v>
      </c>
      <c r="CM11" s="593">
        <f>'Proy 2022 vs 2019 sem'!M10*CP$4</f>
        <v>14991.5656</v>
      </c>
      <c r="CN11" s="593">
        <f>'Proy 2022 vs 2019 sem'!N10*CP$4</f>
        <v>13342.493383999999</v>
      </c>
      <c r="CO11" s="699"/>
      <c r="CP11" s="700">
        <f>CO11/CM11</f>
        <v>0</v>
      </c>
      <c r="CQ11" s="579">
        <f>BO11+BS11+BW11+CA11+CE11+CI11+CM11</f>
        <v>68143.48</v>
      </c>
      <c r="CR11" s="574">
        <f>BP11+BT11+BX11+CB11+CF11+CJ11+CN11</f>
        <v>60647.697199999995</v>
      </c>
      <c r="CS11" s="730">
        <f>BQ11+BU11+BY11+CC11+CG11+CK11+CO11</f>
        <v>0</v>
      </c>
      <c r="CT11" s="711">
        <f>CS11/CQ11</f>
        <v>0</v>
      </c>
      <c r="CU11" s="593">
        <f>'Proy 2022 vs 2019 sem'!R10*CX$4</f>
        <v>8819.0879999999997</v>
      </c>
      <c r="CV11" s="593">
        <f>'Proy 2022 vs 2019 sem'!S10*CX$4</f>
        <v>7937.1792000000005</v>
      </c>
      <c r="CW11" s="699"/>
      <c r="CX11" s="700">
        <f>CW11/CU11</f>
        <v>0</v>
      </c>
      <c r="CY11" s="593">
        <f>'Proy 2022 vs 2019 sem'!R10*DB$4</f>
        <v>8819.0879999999997</v>
      </c>
      <c r="CZ11" s="593">
        <f>'Proy 2022 vs 2019 sem'!S10*DB$4</f>
        <v>7937.1792000000005</v>
      </c>
      <c r="DA11" s="699"/>
      <c r="DB11" s="700">
        <f>DA11/CY11</f>
        <v>0</v>
      </c>
      <c r="DC11" s="593">
        <f>'Proy 2022 vs 2019 sem'!R10*DF$4</f>
        <v>8819.0879999999997</v>
      </c>
      <c r="DD11" s="593">
        <f>'Proy 2022 vs 2019 sem'!S10*DF$4</f>
        <v>7937.1792000000005</v>
      </c>
      <c r="DE11" s="699"/>
      <c r="DF11" s="700">
        <f>DE11/DC11</f>
        <v>0</v>
      </c>
      <c r="DG11" s="593">
        <f>'Proy 2022 vs 2019 sem'!R10*DJ$4</f>
        <v>8819.0879999999997</v>
      </c>
      <c r="DH11" s="593">
        <f>'Proy 2022 vs 2019 sem'!S10*DJ$4</f>
        <v>7937.1792000000005</v>
      </c>
      <c r="DI11" s="699"/>
      <c r="DJ11" s="700">
        <f>DI11/DG11</f>
        <v>0</v>
      </c>
      <c r="DK11" s="593">
        <f>'Proy 2022 vs 2019 sem'!R10*DN$4</f>
        <v>10288.936</v>
      </c>
      <c r="DL11" s="593">
        <f>'Proy 2022 vs 2019 sem'!S10*DN$4</f>
        <v>9260.0424000000021</v>
      </c>
      <c r="DM11" s="699"/>
      <c r="DN11" s="700">
        <f>DM11/DK11</f>
        <v>0</v>
      </c>
      <c r="DO11" s="593">
        <f>'Proy 2022 vs 2019 sem'!R10*DR$4</f>
        <v>11758.784</v>
      </c>
      <c r="DP11" s="593">
        <f>'Proy 2022 vs 2019 sem'!S10*DR$4</f>
        <v>10582.9056</v>
      </c>
      <c r="DQ11" s="699"/>
      <c r="DR11" s="700">
        <f>DQ11/DO11</f>
        <v>0</v>
      </c>
      <c r="DS11" s="593">
        <f>'Proy 2022 vs 2019 sem'!R10*DV$4</f>
        <v>16168.328</v>
      </c>
      <c r="DT11" s="593">
        <f>'Proy 2022 vs 2019 sem'!S10*DV$4</f>
        <v>14551.495200000001</v>
      </c>
      <c r="DU11" s="699"/>
      <c r="DV11" s="700">
        <f>DU11/DS11</f>
        <v>0</v>
      </c>
      <c r="DW11" s="579">
        <f>CU11+CY11+DC11+DG11+DK11+DO11+DS11</f>
        <v>73492.399999999994</v>
      </c>
      <c r="DX11" s="574">
        <f>CV11+CZ11+DD11+DH11+DL11+DP11+DT11</f>
        <v>66143.16</v>
      </c>
      <c r="DY11" s="710">
        <f>CW11+DA11+DE11+DI11+DM11+DQ11+DU11</f>
        <v>0</v>
      </c>
      <c r="DZ11" s="711">
        <f>DY11/DW11</f>
        <v>0</v>
      </c>
      <c r="EA11" s="593">
        <f>'Proy 2022 vs 2019 sem'!AA10*ED$4</f>
        <v>9259.1484</v>
      </c>
      <c r="EB11" s="593">
        <f>'Proy 2022 vs 2019 sem'!AB10*ED$4</f>
        <v>8240.6420760000001</v>
      </c>
      <c r="EC11" s="735"/>
      <c r="ED11" s="700">
        <f>EC11/EA11</f>
        <v>0</v>
      </c>
      <c r="EE11" s="593">
        <f>'Proy 2022 vs 2019 sem'!AA10*EH$4</f>
        <v>9259.1484</v>
      </c>
      <c r="EF11" s="593">
        <f>'Proy 2022 vs 2019 sem'!AB10*EH$4</f>
        <v>8240.6420760000001</v>
      </c>
      <c r="EG11" s="699"/>
      <c r="EH11" s="700">
        <f>EG11/EE11</f>
        <v>0</v>
      </c>
      <c r="EI11" s="593">
        <f>'Proy 2022 vs 2019 sem'!AA10*EL$4</f>
        <v>9259.1484</v>
      </c>
      <c r="EJ11" s="593">
        <f>'Proy 2022 vs 2019 sem'!AB10*EL$4</f>
        <v>8240.6420760000001</v>
      </c>
      <c r="EK11" s="699"/>
      <c r="EL11" s="700">
        <f>EK11/EI11</f>
        <v>0</v>
      </c>
      <c r="EM11" s="593">
        <f>'Proy 2022 vs 2019 sem'!AA10*EP$4</f>
        <v>9259.1484</v>
      </c>
      <c r="EN11" s="593">
        <f>'Proy 2022 vs 2019 sem'!AB10*EP$4</f>
        <v>8240.6420760000001</v>
      </c>
      <c r="EO11" s="699"/>
      <c r="EP11" s="700">
        <f>EO11/EM11</f>
        <v>0</v>
      </c>
      <c r="EQ11" s="593">
        <f>'Proy 2022 vs 2019 sem'!AA10*ET$4</f>
        <v>10802.339800000002</v>
      </c>
      <c r="ER11" s="593">
        <f>'Proy 2022 vs 2019 sem'!AB10*ET$4</f>
        <v>9614.0824220000013</v>
      </c>
      <c r="ES11" s="699"/>
      <c r="ET11" s="700">
        <f>ES11/EQ11</f>
        <v>0</v>
      </c>
      <c r="EU11" s="593">
        <f>'Proy 2022 vs 2019 sem'!AA10*EX$4</f>
        <v>12345.531200000001</v>
      </c>
      <c r="EV11" s="593">
        <f>'Proy 2022 vs 2019 sem'!AB10*EX$4</f>
        <v>10987.522768000001</v>
      </c>
      <c r="EW11" s="699"/>
      <c r="EX11" s="700">
        <f>EW11/EU11</f>
        <v>0</v>
      </c>
      <c r="EY11" s="593">
        <f>'Proy 2022 vs 2019 sem'!AA10*FB$4</f>
        <v>16975.1054</v>
      </c>
      <c r="EZ11" s="593">
        <f>'Proy 2022 vs 2019 sem'!AB10*FB$4</f>
        <v>15107.843806000001</v>
      </c>
      <c r="FA11" s="699"/>
      <c r="FB11" s="700">
        <f>FA11/EY11</f>
        <v>0</v>
      </c>
      <c r="FC11" s="579">
        <f>EA11+EE11+EI11+EM11+EQ11+EU11+EY11</f>
        <v>77159.570000000007</v>
      </c>
      <c r="FD11" s="574">
        <f>EB11+EF11+EJ11+EN11+ER11+EV11+EZ11</f>
        <v>68672.017300000007</v>
      </c>
      <c r="FE11" s="793">
        <f>EC11+EG11+EK11+EO11+ES11+EW11+FA11</f>
        <v>0</v>
      </c>
      <c r="FF11" s="786">
        <f>FE11/FC11</f>
        <v>0</v>
      </c>
      <c r="FG11" s="593">
        <f>'Proy 2022 vs 2019 sem'!AF10*FJ$4</f>
        <v>12412.7868</v>
      </c>
      <c r="FH11" s="593">
        <f>'Proy 2022 vs 2019 sem'!AG10*FJ$4</f>
        <v>10923.252383999999</v>
      </c>
      <c r="FI11" s="699"/>
      <c r="FJ11" s="700">
        <f>FI11/FG11</f>
        <v>0</v>
      </c>
      <c r="FK11" s="593">
        <f>'Proy 2022 vs 2019 sem'!AF10*FN$4</f>
        <v>12412.7868</v>
      </c>
      <c r="FL11" s="593">
        <f>'Proy 2022 vs 2019 sem'!AG10*FN$4</f>
        <v>10923.252383999999</v>
      </c>
      <c r="FM11" s="699"/>
      <c r="FN11" s="700">
        <f>FM11/FK11</f>
        <v>0</v>
      </c>
      <c r="FO11" s="593">
        <f>'Proy 2022 vs 2019 sem'!AF10*FR$4</f>
        <v>12412.7868</v>
      </c>
      <c r="FP11" s="593">
        <f>'Proy 2022 vs 2019 sem'!AG10*FR$4</f>
        <v>10923.252383999999</v>
      </c>
      <c r="FQ11" s="699"/>
      <c r="FR11" s="700">
        <f>FQ11/FO11</f>
        <v>0</v>
      </c>
      <c r="FS11" s="593">
        <f>'Proy 2022 vs 2019 sem'!AF10*FV$4</f>
        <v>12412.7868</v>
      </c>
      <c r="FT11" s="593">
        <f>'Proy 2022 vs 2019 sem'!AG10*FV$4</f>
        <v>10923.252383999999</v>
      </c>
      <c r="FU11" s="699"/>
      <c r="FV11" s="700">
        <f>FU11/FS11</f>
        <v>0</v>
      </c>
      <c r="FW11" s="593">
        <f>'Proy 2022 vs 2019 sem'!AF10*FZ$4</f>
        <v>14481.584600000002</v>
      </c>
      <c r="FX11" s="593">
        <f>'Proy 2022 vs 2019 sem'!AG10*FZ$4</f>
        <v>12743.794448000001</v>
      </c>
      <c r="FY11" s="699"/>
      <c r="FZ11" s="700">
        <f>FY11/FW11</f>
        <v>0</v>
      </c>
      <c r="GA11" s="593">
        <f>'Proy 2022 vs 2019 sem'!AF10*GD$4</f>
        <v>16550.382399999999</v>
      </c>
      <c r="GB11" s="593">
        <f>'Proy 2022 vs 2019 sem'!AG10*GD$4</f>
        <v>14564.336512</v>
      </c>
      <c r="GC11" s="699"/>
      <c r="GD11" s="700">
        <f>GC11/GA11</f>
        <v>0</v>
      </c>
      <c r="GE11" s="593">
        <f>'Proy 2022 vs 2019 sem'!AF10*GH$4</f>
        <v>22756.775799999999</v>
      </c>
      <c r="GF11" s="593">
        <f>'Proy 2022 vs 2019 sem'!AG10*GH$4</f>
        <v>20025.962704000001</v>
      </c>
      <c r="GG11" s="699"/>
      <c r="GH11" s="700">
        <f>GG11/GE11</f>
        <v>0</v>
      </c>
      <c r="GI11" s="579">
        <f>FG11+FK11+FO11+FS11+FW11+GA11+GE11</f>
        <v>103439.89</v>
      </c>
      <c r="GJ11" s="574">
        <f>FH11+FL11+FP11+FT11+FX11+GB11+GF11</f>
        <v>91027.103199999998</v>
      </c>
      <c r="GK11" s="794">
        <f>FI11+FM11+FQ11+FU11+FY11+GC11+GG11</f>
        <v>0</v>
      </c>
      <c r="GL11" s="786">
        <f>GK11/GI11</f>
        <v>0</v>
      </c>
      <c r="GM11" s="593">
        <f>'Proy 2022 vs 2019 sem'!AK10*GP$4</f>
        <v>7530.2244000000001</v>
      </c>
      <c r="GN11" s="593">
        <f>'Proy 2022 vs 2019 sem'!AL10*GP$4</f>
        <v>6852.5042040000008</v>
      </c>
      <c r="GO11" s="699"/>
      <c r="GP11" s="700">
        <f>GO11/GM11</f>
        <v>0</v>
      </c>
      <c r="GQ11" s="593">
        <f>'Proy 2022 vs 2019 sem'!AK10*GT$4</f>
        <v>7530.2244000000001</v>
      </c>
      <c r="GR11" s="593">
        <f>'Proy 2022 vs 2019 sem'!AL10*GT$4</f>
        <v>6852.5042040000008</v>
      </c>
      <c r="GS11" s="699"/>
      <c r="GT11" s="700">
        <f>GS11/GQ11</f>
        <v>0</v>
      </c>
      <c r="GU11" s="593">
        <f>'Proy 2022 vs 2019 sem'!AK10*GX$4</f>
        <v>7530.2244000000001</v>
      </c>
      <c r="GV11" s="593">
        <f>'Proy 2022 vs 2019 sem'!AL10*GX$4</f>
        <v>6852.5042040000008</v>
      </c>
      <c r="GW11" s="699"/>
      <c r="GX11" s="700">
        <f>GW11/GU11</f>
        <v>0</v>
      </c>
      <c r="GY11" s="593">
        <f>'Proy 2022 vs 2019 sem'!AK10*HB$4</f>
        <v>7530.2244000000001</v>
      </c>
      <c r="GZ11" s="593">
        <f>'Proy 2022 vs 2019 sem'!AL10*HB$4</f>
        <v>6852.5042040000008</v>
      </c>
      <c r="HA11" s="699"/>
      <c r="HB11" s="700">
        <f>HA11/GY11</f>
        <v>0</v>
      </c>
      <c r="HC11" s="593">
        <f>'Proy 2022 vs 2019 sem'!AK10*HF$4</f>
        <v>8785.261800000002</v>
      </c>
      <c r="HD11" s="593">
        <f>'Proy 2022 vs 2019 sem'!AL10*HF$4</f>
        <v>7994.5882380000012</v>
      </c>
      <c r="HE11" s="699"/>
      <c r="HF11" s="700">
        <f>HE11/HC11</f>
        <v>0</v>
      </c>
      <c r="HG11" s="593">
        <f>'Proy 2022 vs 2019 sem'!AK10*HJ$4</f>
        <v>10040.299200000001</v>
      </c>
      <c r="HH11" s="593">
        <f>'Proy 2022 vs 2019 sem'!AL10*HJ$4</f>
        <v>9136.6722720000016</v>
      </c>
      <c r="HI11" s="699"/>
      <c r="HJ11" s="700">
        <f>HI11/HG11</f>
        <v>0</v>
      </c>
      <c r="HK11" s="593">
        <f>'Proy 2022 vs 2019 sem'!AK10*HN$4</f>
        <v>13805.411400000001</v>
      </c>
      <c r="HL11" s="593">
        <f>'Proy 2022 vs 2019 sem'!AL10*HN$4</f>
        <v>12562.924374000002</v>
      </c>
      <c r="HM11" s="699"/>
      <c r="HN11" s="700">
        <f>HM11/HK11</f>
        <v>0</v>
      </c>
      <c r="HO11" s="579">
        <f>GM11+GQ11+GU11+GY11+HC11+HG11+HK11</f>
        <v>62751.87000000001</v>
      </c>
      <c r="HP11" s="574">
        <f>GN11+GR11+GV11+GZ11+HD11+HH11+HL11</f>
        <v>57104.201700000012</v>
      </c>
      <c r="HQ11" s="794">
        <f>GO11+GS11+GW11+HA11+HE11+HI11+HM11</f>
        <v>0</v>
      </c>
      <c r="HR11" s="786">
        <f>HQ11/HO11</f>
        <v>0</v>
      </c>
      <c r="HS11" s="593">
        <f>'Proy 2022 vs 2019 sem'!AK10*HV$4</f>
        <v>7530.2244000000001</v>
      </c>
      <c r="HT11" s="593">
        <f>'Proy 2022 vs 2019 sem'!AL10*HV$4</f>
        <v>6852.5042040000008</v>
      </c>
      <c r="HU11" s="699"/>
      <c r="HV11" s="700">
        <f>HU11/HS11</f>
        <v>0</v>
      </c>
      <c r="HW11" s="593">
        <f>'Proy 2022 vs 2019 sem'!AK10*HZ$4</f>
        <v>7530.2244000000001</v>
      </c>
      <c r="HX11" s="593">
        <f>'Proy 2022 vs 2019 sem'!AL10*HZ$4</f>
        <v>6852.5042040000008</v>
      </c>
      <c r="HY11" s="699"/>
      <c r="HZ11" s="700">
        <f>HY11/HW11</f>
        <v>0</v>
      </c>
      <c r="IA11" s="593">
        <f>'Proy 2022 vs 2019 sem'!AK10*ID$4</f>
        <v>7530.2244000000001</v>
      </c>
      <c r="IB11" s="593">
        <f>'Proy 2022 vs 2019 sem'!AL10*ID$4</f>
        <v>6852.5042040000008</v>
      </c>
      <c r="IC11" s="699"/>
      <c r="ID11" s="700">
        <f>IC11/IA11</f>
        <v>0</v>
      </c>
      <c r="IE11" s="593">
        <f>'Proy 2022 vs 2019 sem'!AK10*IH$4</f>
        <v>7530.2244000000001</v>
      </c>
      <c r="IF11" s="593">
        <f>'Proy 2022 vs 2019 sem'!AL10*IH$4</f>
        <v>6852.5042040000008</v>
      </c>
      <c r="IG11" s="699"/>
      <c r="IH11" s="700">
        <f>IG11/IE11</f>
        <v>0</v>
      </c>
      <c r="II11" s="593">
        <f>'Proy 2022 vs 2019 sem'!AK10*IL$4</f>
        <v>8785.261800000002</v>
      </c>
      <c r="IJ11" s="593">
        <f>'Proy 2022 vs 2019 sem'!AL10*IL$4</f>
        <v>7994.5882380000012</v>
      </c>
      <c r="IK11" s="699"/>
      <c r="IL11" s="700">
        <f>IK11/II11</f>
        <v>0</v>
      </c>
      <c r="IM11" s="593">
        <f>'Proy 2022 vs 2019 sem'!AK10*IP$4</f>
        <v>10040.299200000001</v>
      </c>
      <c r="IN11" s="593">
        <f>'Proy 2022 vs 2019 sem'!AL10*IP$4</f>
        <v>9136.6722720000016</v>
      </c>
      <c r="IO11" s="699"/>
      <c r="IP11" s="700">
        <f>IO11/IM11</f>
        <v>0</v>
      </c>
      <c r="IQ11" s="593">
        <f>'Proy 2022 vs 2019 sem'!AK10*IT$4</f>
        <v>13805.411400000001</v>
      </c>
      <c r="IR11" s="593">
        <f>'Proy 2022 vs 2019 sem'!AL10*IT$4</f>
        <v>12562.924374000002</v>
      </c>
      <c r="IS11" s="699"/>
      <c r="IT11" s="700">
        <f>IS11/IQ11</f>
        <v>0</v>
      </c>
      <c r="IU11" s="579">
        <f>HS11+HW11+IA11+IE11+II11+IM11+IQ11</f>
        <v>62751.87000000001</v>
      </c>
      <c r="IV11" s="574">
        <f>HT11+HX11+IB11+IF11+IJ11+IN11+IR11</f>
        <v>57104.201700000012</v>
      </c>
      <c r="IW11" s="785">
        <f>HU11+HY11+IC11+IG11+IK11+IO11+IS11</f>
        <v>0</v>
      </c>
      <c r="IX11" s="786">
        <f>IW11/IU11</f>
        <v>0</v>
      </c>
      <c r="IY11" s="593">
        <f>'Proy 2022 vs 2019 sem'!AY10*JB$4</f>
        <v>8709.7031999999999</v>
      </c>
      <c r="IZ11" s="593">
        <f>'Proy 2022 vs 2019 sem'!AZ10*JB$4</f>
        <v>7751.6358479999999</v>
      </c>
      <c r="JA11" s="735"/>
      <c r="JB11" s="700">
        <f>JA11/IY11</f>
        <v>0</v>
      </c>
      <c r="JC11" s="593">
        <f>'Proy 2022 vs 2019 sem'!AY10*JF$4</f>
        <v>8709.7031999999999</v>
      </c>
      <c r="JD11" s="593">
        <f>'Proy 2022 vs 2019 sem'!AZ10*JF$4</f>
        <v>7751.6358479999999</v>
      </c>
      <c r="JE11" s="735"/>
      <c r="JF11" s="700">
        <f>JE11/JC11</f>
        <v>0</v>
      </c>
      <c r="JG11" s="593">
        <f>'Proy 2022 vs 2019 sem'!AY10*JJ$4</f>
        <v>8709.7031999999999</v>
      </c>
      <c r="JH11" s="593">
        <f>'Proy 2022 vs 2019 sem'!AZ10*JJ$4</f>
        <v>7751.6358479999999</v>
      </c>
      <c r="JI11" s="735"/>
      <c r="JJ11" s="700">
        <f>JI11/JG11</f>
        <v>0</v>
      </c>
      <c r="JK11" s="593">
        <f>'Proy 2022 vs 2019 sem'!AY10*JN$4</f>
        <v>8709.7031999999999</v>
      </c>
      <c r="JL11" s="593">
        <f>'Proy 2022 vs 2019 sem'!AZ10*JN$4</f>
        <v>7751.6358479999999</v>
      </c>
      <c r="JM11" s="735"/>
      <c r="JN11" s="700">
        <f>JM11/JK11</f>
        <v>0</v>
      </c>
      <c r="JO11" s="593">
        <f>'Proy 2022 vs 2019 sem'!AY10*JR$4</f>
        <v>10161.320400000001</v>
      </c>
      <c r="JP11" s="593">
        <f>'Proy 2022 vs 2019 sem'!AZ10*JR$4</f>
        <v>9043.5751560000008</v>
      </c>
      <c r="JQ11" s="735"/>
      <c r="JR11" s="700">
        <f>JQ11/JO11</f>
        <v>0</v>
      </c>
      <c r="JS11" s="593">
        <f>'Proy 2022 vs 2019 sem'!AY10*JV$4</f>
        <v>11612.937600000001</v>
      </c>
      <c r="JT11" s="593">
        <f>'Proy 2022 vs 2019 sem'!AZ10*JV$4</f>
        <v>10335.514464</v>
      </c>
      <c r="JU11" s="735"/>
      <c r="JV11" s="700">
        <f>JU11/JS11</f>
        <v>0</v>
      </c>
      <c r="JW11" s="593">
        <f>'Proy 2022 vs 2019 sem'!AY10*JZ$4</f>
        <v>15967.789200000001</v>
      </c>
      <c r="JX11" s="593">
        <f>'Proy 2022 vs 2019 sem'!AZ10*JZ$4</f>
        <v>14211.332388000001</v>
      </c>
      <c r="JY11" s="735"/>
      <c r="JZ11" s="700">
        <f>JY11/JW11</f>
        <v>0</v>
      </c>
      <c r="KA11" s="579">
        <f>IY11+JC11+JG11+JK11+JO11+JS11+JW11</f>
        <v>72580.86</v>
      </c>
      <c r="KB11" s="574">
        <f>IZ11+JD11+JH11+JL11+JP11+JT11+JX11</f>
        <v>64596.965400000001</v>
      </c>
      <c r="KC11" s="729">
        <f>JA11+JE11+JI11+JM11+JQ11+JU11+JY11</f>
        <v>0</v>
      </c>
      <c r="KD11" s="711">
        <f>KC11/KA11</f>
        <v>0</v>
      </c>
      <c r="KE11" s="593">
        <f>'Proy 2022 vs 2019 sem'!BD10*KH$4</f>
        <v>9714.9599999999991</v>
      </c>
      <c r="KF11" s="593">
        <f>'Proy 2022 vs 2019 sem'!BE10*KH$4</f>
        <v>8646.3143999999993</v>
      </c>
      <c r="KG11" s="699"/>
      <c r="KH11" s="700">
        <f>KG11/KE11</f>
        <v>0</v>
      </c>
      <c r="KI11" s="593">
        <f>'Proy 2022 vs 2019 sem'!BD10*KL$4</f>
        <v>9714.9599999999991</v>
      </c>
      <c r="KJ11" s="593">
        <f>'Proy 2022 vs 2019 sem'!BE10*KL$4</f>
        <v>8646.3143999999993</v>
      </c>
      <c r="KK11" s="699"/>
      <c r="KL11" s="700">
        <f>KK11/KI11</f>
        <v>0</v>
      </c>
      <c r="KM11" s="593">
        <f>'Proy 2022 vs 2019 sem'!BD10*KP$4</f>
        <v>9714.9599999999991</v>
      </c>
      <c r="KN11" s="593">
        <f>'Proy 2022 vs 2019 sem'!BE10*KP$4</f>
        <v>8646.3143999999993</v>
      </c>
      <c r="KO11" s="699"/>
      <c r="KP11" s="700">
        <f>KO11/KM11</f>
        <v>0</v>
      </c>
      <c r="KQ11" s="593">
        <f>'Proy 2022 vs 2019 sem'!BD10*KT$4</f>
        <v>9714.9599999999991</v>
      </c>
      <c r="KR11" s="593">
        <f>'Proy 2022 vs 2019 sem'!BE10*KT$4</f>
        <v>8646.3143999999993</v>
      </c>
      <c r="KS11" s="699"/>
      <c r="KT11" s="700">
        <f>KS11/KQ11</f>
        <v>0</v>
      </c>
      <c r="KU11" s="593">
        <f>'Proy 2022 vs 2019 sem'!BD10*KX$4</f>
        <v>11334.12</v>
      </c>
      <c r="KV11" s="593">
        <f>'Proy 2022 vs 2019 sem'!BE10*KX$4</f>
        <v>10087.3668</v>
      </c>
      <c r="KW11" s="699"/>
      <c r="KX11" s="700">
        <f>KW11/KU11</f>
        <v>0</v>
      </c>
      <c r="KY11" s="593">
        <f>'Proy 2022 vs 2019 sem'!BD10*LB$4</f>
        <v>12953.28</v>
      </c>
      <c r="KZ11" s="593">
        <f>'Proy 2022 vs 2019 sem'!BE10*LB$4</f>
        <v>11528.4192</v>
      </c>
      <c r="LA11" s="699"/>
      <c r="LB11" s="700">
        <f>LA11/KY11</f>
        <v>0</v>
      </c>
      <c r="LC11" s="593">
        <f>'Proy 2022 vs 2019 sem'!BD10*LF$4</f>
        <v>17810.759999999998</v>
      </c>
      <c r="LD11" s="593">
        <f>'Proy 2022 vs 2019 sem'!BE10*LF$4</f>
        <v>15851.5764</v>
      </c>
      <c r="LE11" s="699"/>
      <c r="LF11" s="700">
        <f>LE11/LC11</f>
        <v>0</v>
      </c>
      <c r="LG11" s="579">
        <f>KE11+KI11+KM11+KQ11+KU11+KY11+LC11</f>
        <v>80958</v>
      </c>
      <c r="LH11" s="574">
        <f>KF11+KJ11+KN11+KR11+KV11+KZ11+LD11</f>
        <v>72052.62000000001</v>
      </c>
      <c r="LI11" s="730">
        <f>KG11+KK11+KO11+KS11+KW11+LA11+LE11</f>
        <v>0</v>
      </c>
      <c r="LJ11" s="711">
        <f>LI11/LG11</f>
        <v>0</v>
      </c>
      <c r="LK11" s="593">
        <f>'Proy 2022 vs 2019 sem'!BI10*LN$4</f>
        <v>9725.7779999999984</v>
      </c>
      <c r="LL11" s="593">
        <f>'Proy 2022 vs 2019 sem'!BJ10*LN$4</f>
        <v>8655.9424199999994</v>
      </c>
      <c r="LM11" s="699"/>
      <c r="LN11" s="700">
        <f>LM11/LK11</f>
        <v>0</v>
      </c>
      <c r="LO11" s="593">
        <f>'Proy 2022 vs 2019 sem'!BI10*LR$4</f>
        <v>9725.7779999999984</v>
      </c>
      <c r="LP11" s="593">
        <f>'Proy 2022 vs 2019 sem'!BJ10*LR$4</f>
        <v>8655.9424199999994</v>
      </c>
      <c r="LQ11" s="699"/>
      <c r="LR11" s="700">
        <f>LQ11/LO11</f>
        <v>0</v>
      </c>
      <c r="LS11" s="593">
        <f>'Proy 2022 vs 2019 sem'!BI10*LV$4</f>
        <v>9725.7779999999984</v>
      </c>
      <c r="LT11" s="593">
        <f>'Proy 2022 vs 2019 sem'!BJ10*LV$4</f>
        <v>8655.9424199999994</v>
      </c>
      <c r="LU11" s="699"/>
      <c r="LV11" s="700">
        <f>LU11/LS11</f>
        <v>0</v>
      </c>
      <c r="LW11" s="593">
        <f>'Proy 2022 vs 2019 sem'!BI10*LZ$4</f>
        <v>9725.7779999999984</v>
      </c>
      <c r="LX11" s="593">
        <f>'Proy 2022 vs 2019 sem'!BJ10*LZ$4</f>
        <v>8655.9424199999994</v>
      </c>
      <c r="LY11" s="699"/>
      <c r="LZ11" s="700">
        <f>LY11/LW11</f>
        <v>0</v>
      </c>
      <c r="MA11" s="593">
        <f>'Proy 2022 vs 2019 sem'!BI10*MD$4</f>
        <v>11346.741</v>
      </c>
      <c r="MB11" s="593">
        <f>'Proy 2022 vs 2019 sem'!BJ10*MD$4</f>
        <v>10098.599490000001</v>
      </c>
      <c r="MC11" s="699"/>
      <c r="MD11" s="700">
        <f>MC11/MA11</f>
        <v>0</v>
      </c>
      <c r="ME11" s="593">
        <f>'Proy 2022 vs 2019 sem'!BI10*MH$4</f>
        <v>12967.704</v>
      </c>
      <c r="MF11" s="593">
        <f>'Proy 2022 vs 2019 sem'!BJ10*MH$4</f>
        <v>11541.25656</v>
      </c>
      <c r="MG11" s="699"/>
      <c r="MH11" s="700">
        <f>MG11/ME11</f>
        <v>0</v>
      </c>
      <c r="MI11" s="593">
        <f>'Proy 2022 vs 2019 sem'!BI10*ML$4</f>
        <v>17830.592999999997</v>
      </c>
      <c r="MJ11" s="593">
        <f>'Proy 2022 vs 2019 sem'!BJ10*ML$4</f>
        <v>15869.22777</v>
      </c>
      <c r="MK11" s="699"/>
      <c r="ML11" s="700">
        <f>MK11/MI11</f>
        <v>0</v>
      </c>
      <c r="MM11" s="579">
        <f>LK11+LO11+LS11+LW11+MA11+ME11+MI11</f>
        <v>81048.149999999994</v>
      </c>
      <c r="MN11" s="574">
        <f>LL11+LP11+LT11+LX11+MB11+MF11+MJ11</f>
        <v>72132.853499999997</v>
      </c>
      <c r="MO11" s="730">
        <f>LM11+LQ11+LU11+LY11+MC11+MG11+MK11</f>
        <v>0</v>
      </c>
      <c r="MP11" s="711">
        <f>MO11/MM11</f>
        <v>0</v>
      </c>
      <c r="MQ11" s="593">
        <f>'Proy 2022 vs 2019 sem'!BN10*MT$4</f>
        <v>10255.443599999999</v>
      </c>
      <c r="MR11" s="593">
        <f>'Proy 2022 vs 2019 sem'!BO10*MT$4</f>
        <v>8922.2359319999996</v>
      </c>
      <c r="MS11" s="699"/>
      <c r="MT11" s="700">
        <f>MS11/MQ11</f>
        <v>0</v>
      </c>
      <c r="MU11" s="593">
        <f>'Proy 2022 vs 2019 sem'!BN10*MX$4</f>
        <v>10255.443599999999</v>
      </c>
      <c r="MV11" s="593">
        <f>'Proy 2022 vs 2019 sem'!BO10*MX$4</f>
        <v>8922.2359319999996</v>
      </c>
      <c r="MW11" s="699"/>
      <c r="MX11" s="700">
        <f>MW11/MU11</f>
        <v>0</v>
      </c>
      <c r="MY11" s="593">
        <f>'Proy 2022 vs 2019 sem'!BN10*NB$4</f>
        <v>10255.443599999999</v>
      </c>
      <c r="MZ11" s="593">
        <f>'Proy 2022 vs 2019 sem'!BO10*NB$4</f>
        <v>8922.2359319999996</v>
      </c>
      <c r="NA11" s="699"/>
      <c r="NB11" s="700">
        <f>NA11/MY11</f>
        <v>0</v>
      </c>
      <c r="NC11" s="593">
        <f>'Proy 2022 vs 2019 sem'!BN10*NF$4</f>
        <v>10255.443599999999</v>
      </c>
      <c r="ND11" s="593">
        <f>'Proy 2022 vs 2019 sem'!BO10*NF$4</f>
        <v>8922.2359319999996</v>
      </c>
      <c r="NE11" s="699"/>
      <c r="NF11" s="700">
        <f>NE11/NC11</f>
        <v>0</v>
      </c>
      <c r="NG11" s="593">
        <f>'Proy 2022 vs 2019 sem'!BN10*NJ$4</f>
        <v>11964.684200000002</v>
      </c>
      <c r="NH11" s="593">
        <f>'Proy 2022 vs 2019 sem'!BO10*NJ$4</f>
        <v>10409.275254000002</v>
      </c>
      <c r="NI11" s="699"/>
      <c r="NJ11" s="700">
        <f>NI11/NG11</f>
        <v>0</v>
      </c>
      <c r="NK11" s="593">
        <f>'Proy 2022 vs 2019 sem'!BN10*NN$4</f>
        <v>13673.924800000001</v>
      </c>
      <c r="NL11" s="593">
        <f>'Proy 2022 vs 2019 sem'!BO10*NN$4</f>
        <v>11896.314576000001</v>
      </c>
      <c r="NM11" s="699"/>
      <c r="NN11" s="700">
        <f>NM11/NK11</f>
        <v>0</v>
      </c>
      <c r="NO11" s="593">
        <f>'Proy 2022 vs 2019 sem'!BN10*NR$4</f>
        <v>18801.6466</v>
      </c>
      <c r="NP11" s="593">
        <f>'Proy 2022 vs 2019 sem'!BO10*NR$4</f>
        <v>16357.432542</v>
      </c>
      <c r="NQ11" s="699"/>
      <c r="NR11" s="700">
        <f>NQ11/NO11</f>
        <v>0</v>
      </c>
      <c r="NS11" s="579">
        <f>MQ11+MU11+MY11+NC11+NG11+NK11+NO11</f>
        <v>85462.03</v>
      </c>
      <c r="NT11" s="574">
        <f>MR11+MV11+MZ11+ND11+NH11+NL11+NP11</f>
        <v>74351.966099999991</v>
      </c>
      <c r="NU11" s="710">
        <f>MS11+MW11+NA11+NE11+NI11+NM11+NQ11</f>
        <v>0</v>
      </c>
      <c r="NV11" s="711">
        <f>NU11/NS11</f>
        <v>0</v>
      </c>
      <c r="NW11" s="593">
        <f>'Proy 2022 vs 2019 sem'!BS10*NZ$4</f>
        <v>10578.848400000001</v>
      </c>
      <c r="NX11" s="593">
        <f>'Proy 2022 vs 2019 sem'!BT10*NZ$4</f>
        <v>9415.1750759999995</v>
      </c>
      <c r="NY11" s="699"/>
      <c r="NZ11" s="700">
        <f>NY11/NW11</f>
        <v>0</v>
      </c>
      <c r="OA11" s="593">
        <f>'Proy 2022 vs 2019 sem'!BS10*OD$4</f>
        <v>10578.848400000001</v>
      </c>
      <c r="OB11" s="593">
        <f>'Proy 2022 vs 2019 sem'!BT10*OD$4</f>
        <v>9415.1750759999995</v>
      </c>
      <c r="OC11" s="699"/>
      <c r="OD11" s="700">
        <f>OC11/OA11</f>
        <v>0</v>
      </c>
      <c r="OE11" s="593">
        <f>'Proy 2022 vs 2019 sem'!BS10*OH$4</f>
        <v>10578.848400000001</v>
      </c>
      <c r="OF11" s="593">
        <f>'Proy 2022 vs 2019 sem'!BT10*OH$4</f>
        <v>9415.1750759999995</v>
      </c>
      <c r="OG11" s="699"/>
      <c r="OH11" s="700">
        <f>OG11/OE11</f>
        <v>0</v>
      </c>
      <c r="OI11" s="593">
        <f>'Proy 2022 vs 2019 sem'!BS10*OL$4</f>
        <v>10578.848400000001</v>
      </c>
      <c r="OJ11" s="593">
        <f>'Proy 2022 vs 2019 sem'!BT10*OL$4</f>
        <v>9415.1750759999995</v>
      </c>
      <c r="OK11" s="699"/>
      <c r="OL11" s="700">
        <f>OK11/OI11</f>
        <v>0</v>
      </c>
      <c r="OM11" s="593">
        <f>'Proy 2022 vs 2019 sem'!BS10*OP$4</f>
        <v>12341.989800000003</v>
      </c>
      <c r="ON11" s="593">
        <f>'Proy 2022 vs 2019 sem'!BT10*OP$4</f>
        <v>10984.370922000002</v>
      </c>
      <c r="OO11" s="699"/>
      <c r="OP11" s="700">
        <f>OO11/OM11</f>
        <v>0</v>
      </c>
      <c r="OQ11" s="593">
        <f>'Proy 2022 vs 2019 sem'!BS10*OT$4</f>
        <v>14105.131200000002</v>
      </c>
      <c r="OR11" s="593">
        <f>'Proy 2022 vs 2019 sem'!BT10*OT$4</f>
        <v>12553.566768000001</v>
      </c>
      <c r="OS11" s="699"/>
      <c r="OT11" s="700">
        <f>OS11/OQ11</f>
        <v>0</v>
      </c>
      <c r="OU11" s="593">
        <f>'Proy 2022 vs 2019 sem'!BS10*OX$4</f>
        <v>19394.555400000001</v>
      </c>
      <c r="OV11" s="593">
        <f>'Proy 2022 vs 2019 sem'!BT10*OX$4</f>
        <v>17261.154306</v>
      </c>
      <c r="OW11" s="699"/>
      <c r="OX11" s="700">
        <f>OW11/OU11</f>
        <v>0</v>
      </c>
      <c r="OY11" s="579">
        <f>NW11+OA11+OE11+OI11+OM11+OQ11+OU11</f>
        <v>88157.07</v>
      </c>
      <c r="OZ11" s="574">
        <f>NX11+OB11+OF11+OJ11+ON11+OR11+OV11</f>
        <v>78459.792300000001</v>
      </c>
      <c r="PA11" s="710">
        <f>NY11+OC11+OG11+OK11+OO11+OS11+OW11</f>
        <v>0</v>
      </c>
      <c r="PB11" s="711">
        <f>PA11/OY11</f>
        <v>0</v>
      </c>
      <c r="PC11" s="593">
        <f>'Proy 2022 vs 2019 sem'!CB10*PF$4</f>
        <v>10228.872000000001</v>
      </c>
      <c r="PD11" s="593">
        <f>'Proy 2022 vs 2019 sem'!CC10*PF$4</f>
        <v>9103.6960799999997</v>
      </c>
      <c r="PE11" s="735"/>
      <c r="PF11" s="700">
        <f>PE11/PC11</f>
        <v>0</v>
      </c>
      <c r="PG11" s="593">
        <f>'Proy 2022 vs 2019 sem'!CB10*PJ$4</f>
        <v>10228.872000000001</v>
      </c>
      <c r="PH11" s="593">
        <f>'Proy 2022 vs 2019 sem'!CC10*PJ$4</f>
        <v>9103.6960799999997</v>
      </c>
      <c r="PI11" s="699"/>
      <c r="PJ11" s="700">
        <f>PI11/PG11</f>
        <v>0</v>
      </c>
      <c r="PK11" s="593">
        <f>'Proy 2022 vs 2019 sem'!CB10*PN$4</f>
        <v>10228.872000000001</v>
      </c>
      <c r="PL11" s="593">
        <f>'Proy 2022 vs 2019 sem'!CC10*PN$4</f>
        <v>9103.6960799999997</v>
      </c>
      <c r="PM11" s="699"/>
      <c r="PN11" s="700">
        <f>PM11/PK11</f>
        <v>0</v>
      </c>
      <c r="PO11" s="593">
        <f>'Proy 2022 vs 2019 sem'!CB10*PR$4</f>
        <v>10228.872000000001</v>
      </c>
      <c r="PP11" s="593">
        <f>'Proy 2022 vs 2019 sem'!CC10*PR$4</f>
        <v>9103.6960799999997</v>
      </c>
      <c r="PQ11" s="699"/>
      <c r="PR11" s="700">
        <f>PQ11/PO11</f>
        <v>0</v>
      </c>
      <c r="PS11" s="593">
        <f>'Proy 2022 vs 2019 sem'!CB10*PV$4</f>
        <v>11933.684000000001</v>
      </c>
      <c r="PT11" s="593">
        <f>'Proy 2022 vs 2019 sem'!CC10*PV$4</f>
        <v>10620.978760000002</v>
      </c>
      <c r="PU11" s="699"/>
      <c r="PV11" s="700">
        <f>PU11/PS11</f>
        <v>0</v>
      </c>
      <c r="PW11" s="593">
        <f>'Proy 2022 vs 2019 sem'!CB10*PZ$4</f>
        <v>13638.496000000001</v>
      </c>
      <c r="PX11" s="593">
        <f>'Proy 2022 vs 2019 sem'!CC10*PZ$4</f>
        <v>12138.26144</v>
      </c>
      <c r="PY11" s="699"/>
      <c r="PZ11" s="700">
        <f>PY11/PW11</f>
        <v>0</v>
      </c>
      <c r="QA11" s="593">
        <f>'Proy 2022 vs 2019 sem'!CB10*QD$4</f>
        <v>18752.932000000001</v>
      </c>
      <c r="QB11" s="593">
        <f>'Proy 2022 vs 2019 sem'!CC10*QD$4</f>
        <v>16690.109480000003</v>
      </c>
      <c r="QC11" s="699"/>
      <c r="QD11" s="700">
        <f>QC11/QA11</f>
        <v>0</v>
      </c>
      <c r="QE11" s="579">
        <f>PC11+PG11+PK11+PO11+PS11+PW11+QA11</f>
        <v>85240.6</v>
      </c>
      <c r="QF11" s="574">
        <f>PD11+PH11+PL11+PP11+PT11+PX11+QB11</f>
        <v>75864.134000000005</v>
      </c>
      <c r="QG11" s="793">
        <f>PE11+PI11+PM11+PQ11+PU11+PY11+QC11</f>
        <v>0</v>
      </c>
      <c r="QH11" s="786">
        <f>QG11/QE11</f>
        <v>0</v>
      </c>
      <c r="QI11" s="593">
        <f>'Proy 2022 vs 2019 sem'!CG10*QL$4</f>
        <v>10273.5072</v>
      </c>
      <c r="QJ11" s="593">
        <f>'Proy 2022 vs 2019 sem'!CH10*QL$4</f>
        <v>9246.1564799999996</v>
      </c>
      <c r="QK11" s="699"/>
      <c r="QL11" s="700">
        <f>QK11/QI11</f>
        <v>0</v>
      </c>
      <c r="QM11" s="593">
        <f>'Proy 2022 vs 2019 sem'!CG10*QP$4</f>
        <v>10273.5072</v>
      </c>
      <c r="QN11" s="593">
        <f>'Proy 2022 vs 2019 sem'!CH10*QP$4</f>
        <v>9246.1564799999996</v>
      </c>
      <c r="QO11" s="699"/>
      <c r="QP11" s="700">
        <f>QO11/QM11</f>
        <v>0</v>
      </c>
      <c r="QQ11" s="593">
        <f>'Proy 2022 vs 2019 sem'!CG10*QT$4</f>
        <v>10273.5072</v>
      </c>
      <c r="QR11" s="593">
        <f>'Proy 2022 vs 2019 sem'!CH10*QT$4</f>
        <v>9246.1564799999996</v>
      </c>
      <c r="QS11" s="699"/>
      <c r="QT11" s="700">
        <f>QS11/QQ11</f>
        <v>0</v>
      </c>
      <c r="QU11" s="593">
        <f>'Proy 2022 vs 2019 sem'!CG10*QX$4</f>
        <v>10273.5072</v>
      </c>
      <c r="QV11" s="593">
        <f>'Proy 2022 vs 2019 sem'!CH10*QX$4</f>
        <v>9246.1564799999996</v>
      </c>
      <c r="QW11" s="699"/>
      <c r="QX11" s="700">
        <f>QW11/QU11</f>
        <v>0</v>
      </c>
      <c r="QY11" s="593">
        <f>'Proy 2022 vs 2019 sem'!CG10*RB$4</f>
        <v>11985.758400000001</v>
      </c>
      <c r="QZ11" s="593">
        <f>'Proy 2022 vs 2019 sem'!CH10*RB$4</f>
        <v>10787.182560000001</v>
      </c>
      <c r="RA11" s="699"/>
      <c r="RB11" s="700">
        <f>RA11/QY11</f>
        <v>0</v>
      </c>
      <c r="RC11" s="593">
        <f>'Proy 2022 vs 2019 sem'!CG10*RF$4</f>
        <v>13698.009599999999</v>
      </c>
      <c r="RD11" s="593">
        <f>'Proy 2022 vs 2019 sem'!CH10*RF$4</f>
        <v>12328.208640000001</v>
      </c>
      <c r="RE11" s="699"/>
      <c r="RF11" s="700">
        <f>RE11/RC11</f>
        <v>0</v>
      </c>
      <c r="RG11" s="593">
        <f>'Proy 2022 vs 2019 sem'!CG10*RJ$4</f>
        <v>18834.763200000001</v>
      </c>
      <c r="RH11" s="593">
        <f>'Proy 2022 vs 2019 sem'!CH10*RJ$4</f>
        <v>16951.28688</v>
      </c>
      <c r="RI11" s="699"/>
      <c r="RJ11" s="700">
        <f>RI11/RG11</f>
        <v>0</v>
      </c>
      <c r="RK11" s="579">
        <f>QI11+QM11+QQ11+QU11+QY11+RC11+RG11</f>
        <v>85612.56</v>
      </c>
      <c r="RL11" s="574">
        <f>QJ11+QN11+QR11+QV11+QZ11+RD11+RH11</f>
        <v>77051.304000000004</v>
      </c>
      <c r="RM11" s="794">
        <f>QK11+QO11+QS11+QW11+RA11+RE11+RI11</f>
        <v>0</v>
      </c>
      <c r="RN11" s="786">
        <f>RM11/RK11</f>
        <v>0</v>
      </c>
      <c r="RO11" s="593">
        <f>'Proy 2022 vs 2019 sem'!CL10*RR$4</f>
        <v>10418.911199999999</v>
      </c>
      <c r="RP11" s="593">
        <f>'Proy 2022 vs 2019 sem'!CM10*RR$4</f>
        <v>9377.0200800000002</v>
      </c>
      <c r="RQ11" s="699"/>
      <c r="RR11" s="700">
        <f>RQ11/RO11</f>
        <v>0</v>
      </c>
      <c r="RS11" s="593">
        <f>'Proy 2022 vs 2019 sem'!CL10*RV$4</f>
        <v>10418.911199999999</v>
      </c>
      <c r="RT11" s="593">
        <f>'Proy 2022 vs 2019 sem'!CM10*RV$4</f>
        <v>9377.0200800000002</v>
      </c>
      <c r="RU11" s="699"/>
      <c r="RV11" s="700">
        <f>RU11/RS11</f>
        <v>0</v>
      </c>
      <c r="RW11" s="593">
        <f>'Proy 2022 vs 2019 sem'!CL10*RZ$4</f>
        <v>10418.911199999999</v>
      </c>
      <c r="RX11" s="593">
        <f>'Proy 2022 vs 2019 sem'!CM10*RZ$4</f>
        <v>9377.0200800000002</v>
      </c>
      <c r="RY11" s="699"/>
      <c r="RZ11" s="700">
        <f>RY11/RW11</f>
        <v>0</v>
      </c>
      <c r="SA11" s="593">
        <f>'Proy 2022 vs 2019 sem'!CL10*SD$4</f>
        <v>10418.911199999999</v>
      </c>
      <c r="SB11" s="593">
        <f>'Proy 2022 vs 2019 sem'!CM10*SD$4</f>
        <v>9377.0200800000002</v>
      </c>
      <c r="SC11" s="699"/>
      <c r="SD11" s="700">
        <f>SC11/SA11</f>
        <v>0</v>
      </c>
      <c r="SE11" s="593">
        <f>'Proy 2022 vs 2019 sem'!CL10*SH$4</f>
        <v>12155.3964</v>
      </c>
      <c r="SF11" s="593">
        <f>'Proy 2022 vs 2019 sem'!CM10*SH$4</f>
        <v>10939.856760000001</v>
      </c>
      <c r="SG11" s="699"/>
      <c r="SH11" s="700">
        <f>SG11/SE11</f>
        <v>0</v>
      </c>
      <c r="SI11" s="593">
        <f>'Proy 2022 vs 2019 sem'!CL10*SL$4</f>
        <v>13891.881599999999</v>
      </c>
      <c r="SJ11" s="593">
        <f>'Proy 2022 vs 2019 sem'!CM10*SL$4</f>
        <v>12502.693440000001</v>
      </c>
      <c r="SK11" s="699"/>
      <c r="SL11" s="700">
        <f>SK11/SI11</f>
        <v>0</v>
      </c>
      <c r="SM11" s="593">
        <f>'Proy 2022 vs 2019 sem'!CL10*SP$4</f>
        <v>19101.337199999998</v>
      </c>
      <c r="SN11" s="593">
        <f>'Proy 2022 vs 2019 sem'!CM10*SP$4</f>
        <v>17191.20348</v>
      </c>
      <c r="SO11" s="699"/>
      <c r="SP11" s="700">
        <f>SO11/SM11</f>
        <v>0</v>
      </c>
      <c r="SQ11" s="579">
        <f>RO11+RS11+RW11+SA11+SE11+SI11+SM11</f>
        <v>86824.25999999998</v>
      </c>
      <c r="SR11" s="574">
        <f>RP11+RT11+RX11+SB11+SF11+SJ11+SN11</f>
        <v>78141.834000000003</v>
      </c>
      <c r="SS11" s="794">
        <f>RQ11+RU11+RY11+SC11+SG11+SK11+SO11</f>
        <v>0</v>
      </c>
      <c r="ST11" s="786">
        <f>SS11/SQ11</f>
        <v>0</v>
      </c>
      <c r="SU11" s="593">
        <f>'Proy 2022 vs 2019 sem'!CQ10*SX$4</f>
        <v>14929.1556</v>
      </c>
      <c r="SV11" s="593">
        <f>'Proy 2022 vs 2019 sem'!CR10*SX$4</f>
        <v>13585.531596000001</v>
      </c>
      <c r="SW11" s="699"/>
      <c r="SX11" s="700">
        <f>SW11/SU11</f>
        <v>0</v>
      </c>
      <c r="SY11" s="593">
        <f>'Proy 2022 vs 2019 sem'!CQ10*TB$4</f>
        <v>14929.1556</v>
      </c>
      <c r="SZ11" s="593">
        <f>'Proy 2022 vs 2019 sem'!CR10*TB$4</f>
        <v>13585.531596000001</v>
      </c>
      <c r="TA11" s="699"/>
      <c r="TB11" s="700">
        <f>TA11/SY11</f>
        <v>0</v>
      </c>
      <c r="TC11" s="593">
        <f>'Proy 2022 vs 2019 sem'!CQ10*TF$4</f>
        <v>14929.1556</v>
      </c>
      <c r="TD11" s="593">
        <f>'Proy 2022 vs 2019 sem'!CR10*TF$4</f>
        <v>13585.531596000001</v>
      </c>
      <c r="TE11" s="699"/>
      <c r="TF11" s="700">
        <f>TE11/TC11</f>
        <v>0</v>
      </c>
      <c r="TG11" s="593">
        <f>'Proy 2022 vs 2019 sem'!CQ10*TJ$4</f>
        <v>14929.1556</v>
      </c>
      <c r="TH11" s="593">
        <f>'Proy 2022 vs 2019 sem'!CR10*TJ$4</f>
        <v>13585.531596000001</v>
      </c>
      <c r="TI11" s="699"/>
      <c r="TJ11" s="700">
        <f>TI11/TG11</f>
        <v>0</v>
      </c>
      <c r="TK11" s="593">
        <f>'Proy 2022 vs 2019 sem'!CQ10*TN$4</f>
        <v>17417.348200000004</v>
      </c>
      <c r="TL11" s="593">
        <f>'Proy 2022 vs 2019 sem'!CR10*TN$4</f>
        <v>15849.786862000003</v>
      </c>
      <c r="TM11" s="699"/>
      <c r="TN11" s="700">
        <f>TM11/TK11</f>
        <v>0</v>
      </c>
      <c r="TO11" s="593">
        <f>'Proy 2022 vs 2019 sem'!CQ10*TR$4</f>
        <v>19905.540800000002</v>
      </c>
      <c r="TP11" s="593">
        <f>'Proy 2022 vs 2019 sem'!CR10*TR$4</f>
        <v>18114.042128000001</v>
      </c>
      <c r="TQ11" s="699"/>
      <c r="TR11" s="700">
        <f>TQ11/TO11</f>
        <v>0</v>
      </c>
      <c r="TS11" s="593">
        <f>'Proy 2022 vs 2019 sem'!CQ10*TV$4</f>
        <v>27370.118600000002</v>
      </c>
      <c r="TT11" s="593">
        <f>'Proy 2022 vs 2019 sem'!CR10*TV$4</f>
        <v>24906.807926000001</v>
      </c>
      <c r="TU11" s="699"/>
      <c r="TV11" s="700">
        <f>TU11/TS11</f>
        <v>0</v>
      </c>
      <c r="TW11" s="579">
        <f>SU11+SY11+TC11+TG11+TK11+TO11+TS11</f>
        <v>124409.63</v>
      </c>
      <c r="TX11" s="574">
        <f>SV11+SZ11+TD11+TH11+TL11+TP11+TT11</f>
        <v>113212.76330000002</v>
      </c>
      <c r="TY11" s="785">
        <f>SW11+TA11+TE11+TI11+TM11+TQ11+TU11</f>
        <v>0</v>
      </c>
      <c r="TZ11" s="786">
        <f>TY11/TW11</f>
        <v>0</v>
      </c>
      <c r="UA11" s="593">
        <f>'Proy 2022 vs 2019 sem'!CZ10*UD$4</f>
        <v>15837.349200000001</v>
      </c>
      <c r="UB11" s="593">
        <f>'Proy 2022 vs 2019 sem'!DA10*UD$4</f>
        <v>14095.240788000001</v>
      </c>
      <c r="UC11" s="735"/>
      <c r="UD11" s="700">
        <f>UC11/UA11</f>
        <v>0</v>
      </c>
      <c r="UE11" s="593">
        <f>'Proy 2022 vs 2019 sem'!CZ10*UH$4</f>
        <v>15837.349200000001</v>
      </c>
      <c r="UF11" s="593">
        <f>'Proy 2022 vs 2019 sem'!DA10*UH$4</f>
        <v>14095.240788000001</v>
      </c>
      <c r="UG11" s="699"/>
      <c r="UH11" s="700">
        <f>UG11/UE11</f>
        <v>0</v>
      </c>
      <c r="UI11" s="593">
        <f>'Proy 2022 vs 2019 sem'!CZ10*UL$4</f>
        <v>15837.349200000001</v>
      </c>
      <c r="UJ11" s="593">
        <f>'Proy 2022 vs 2019 sem'!DA10*UL$4</f>
        <v>14095.240788000001</v>
      </c>
      <c r="UK11" s="699"/>
      <c r="UL11" s="700">
        <f>UK11/UI11</f>
        <v>0</v>
      </c>
      <c r="UM11" s="593">
        <f>'Proy 2022 vs 2019 sem'!CZ10*UP$4</f>
        <v>15837.349200000001</v>
      </c>
      <c r="UN11" s="593">
        <f>'Proy 2022 vs 2019 sem'!DA10*UP$4</f>
        <v>14095.240788000001</v>
      </c>
      <c r="UO11" s="699"/>
      <c r="UP11" s="700">
        <f>UO11/UM11</f>
        <v>0</v>
      </c>
      <c r="UQ11" s="593">
        <f>'Proy 2022 vs 2019 sem'!CZ10*UT$4</f>
        <v>18476.907400000004</v>
      </c>
      <c r="UR11" s="593">
        <f>'Proy 2022 vs 2019 sem'!DA10*UT$4</f>
        <v>16444.447586000002</v>
      </c>
      <c r="US11" s="699"/>
      <c r="UT11" s="700">
        <f>US11/UQ11</f>
        <v>0</v>
      </c>
      <c r="UU11" s="593">
        <f>'Proy 2022 vs 2019 sem'!CZ10*UX$4</f>
        <v>21116.4656</v>
      </c>
      <c r="UV11" s="593">
        <f>'Proy 2022 vs 2019 sem'!DA10*UX$4</f>
        <v>18793.654384000001</v>
      </c>
      <c r="UW11" s="699"/>
      <c r="UX11" s="700">
        <f>UW11/UU11</f>
        <v>0</v>
      </c>
      <c r="UY11" s="593">
        <f>'Proy 2022 vs 2019 sem'!CZ10*VB$4</f>
        <v>29035.140200000002</v>
      </c>
      <c r="UZ11" s="593">
        <f>'Proy 2022 vs 2019 sem'!DA10*VB$4</f>
        <v>25841.274778000003</v>
      </c>
      <c r="VA11" s="699"/>
      <c r="VB11" s="700">
        <f>VA11/UY11</f>
        <v>0</v>
      </c>
      <c r="VC11" s="579">
        <f>UA11+UE11+UI11+UM11+UQ11+UU11+UY11</f>
        <v>131977.91</v>
      </c>
      <c r="VD11" s="574">
        <f>UB11+UF11+UJ11+UN11+UR11+UV11+UZ11</f>
        <v>117460.33990000001</v>
      </c>
      <c r="VE11" s="759">
        <f>UC11+UG11+UK11+UO11+US11+UW11+VA11</f>
        <v>0</v>
      </c>
      <c r="VF11" s="761">
        <f>VE11/VC11</f>
        <v>0</v>
      </c>
      <c r="VG11" s="593">
        <f>'Proy 2022 vs 2019 sem'!DE10*VJ$4</f>
        <v>12587.9208</v>
      </c>
      <c r="VH11" s="593">
        <f>'Proy 2022 vs 2019 sem'!DF10*VJ$4</f>
        <v>11203.249511999999</v>
      </c>
      <c r="VI11" s="699"/>
      <c r="VJ11" s="700">
        <f>VI11/VG11</f>
        <v>0</v>
      </c>
      <c r="VK11" s="593">
        <f>'Proy 2022 vs 2019 sem'!DE10*VN$4</f>
        <v>12587.9208</v>
      </c>
      <c r="VL11" s="593">
        <f>'Proy 2022 vs 2019 sem'!DF10*VN$4</f>
        <v>11203.249511999999</v>
      </c>
      <c r="VM11" s="699"/>
      <c r="VN11" s="700">
        <f>VM11/VK11</f>
        <v>0</v>
      </c>
      <c r="VO11" s="593">
        <f>'Proy 2022 vs 2019 sem'!DE10*VR$4</f>
        <v>12587.9208</v>
      </c>
      <c r="VP11" s="593">
        <f>'Proy 2022 vs 2019 sem'!DF10*VR$4</f>
        <v>11203.249511999999</v>
      </c>
      <c r="VQ11" s="699"/>
      <c r="VR11" s="700">
        <f>VQ11/VO11</f>
        <v>0</v>
      </c>
      <c r="VS11" s="593">
        <f>'Proy 2022 vs 2019 sem'!DE10*VV$4</f>
        <v>12587.9208</v>
      </c>
      <c r="VT11" s="593">
        <f>'Proy 2022 vs 2019 sem'!DF10*VV$4</f>
        <v>11203.249511999999</v>
      </c>
      <c r="VU11" s="699"/>
      <c r="VV11" s="700">
        <f>VU11/VS11</f>
        <v>0</v>
      </c>
      <c r="VW11" s="593">
        <f>'Proy 2022 vs 2019 sem'!DE10*VZ$4</f>
        <v>14685.9076</v>
      </c>
      <c r="VX11" s="593">
        <f>'Proy 2022 vs 2019 sem'!DF10*VZ$4</f>
        <v>13070.457764000001</v>
      </c>
      <c r="VY11" s="699"/>
      <c r="VZ11" s="700">
        <f>VY11/VW11</f>
        <v>0</v>
      </c>
      <c r="WA11" s="593">
        <f>'Proy 2022 vs 2019 sem'!DE10*WD$4</f>
        <v>16783.894400000001</v>
      </c>
      <c r="WB11" s="593">
        <f>'Proy 2022 vs 2019 sem'!DF10*WD$4</f>
        <v>14937.666015999999</v>
      </c>
      <c r="WC11" s="699"/>
      <c r="WD11" s="700">
        <f>WC11/WA11</f>
        <v>0</v>
      </c>
      <c r="WE11" s="593">
        <f>'Proy 2022 vs 2019 sem'!DE10*WH$4</f>
        <v>23077.854800000001</v>
      </c>
      <c r="WF11" s="593">
        <f>'Proy 2022 vs 2019 sem'!DF10*WH$4</f>
        <v>20539.290772</v>
      </c>
      <c r="WG11" s="699"/>
      <c r="WH11" s="700">
        <f>WG11/WE11</f>
        <v>0</v>
      </c>
      <c r="WI11" s="579">
        <f>VG11+VK11+VO11+VS11+VW11+WA11+WE11</f>
        <v>104899.34</v>
      </c>
      <c r="WJ11" s="574">
        <f>VH11+VL11+VP11+VT11+VX11+WB11+WF11</f>
        <v>93360.412599999981</v>
      </c>
      <c r="WK11" s="765">
        <f>VI11+VM11+VQ11+VU11+VY11+WC11+WG11</f>
        <v>0</v>
      </c>
      <c r="WL11" s="761">
        <f>WK11/WI11</f>
        <v>0</v>
      </c>
      <c r="WM11" s="593">
        <f>'Proy 2022 vs 2019 sem'!DJ10*WP$4</f>
        <v>11809.641599999999</v>
      </c>
      <c r="WN11" s="593">
        <f>'Proy 2022 vs 2019 sem'!DK10*WP$4</f>
        <v>10510.581023999999</v>
      </c>
      <c r="WO11" s="699"/>
      <c r="WP11" s="700">
        <f>WO11/WM11</f>
        <v>0</v>
      </c>
      <c r="WQ11" s="593">
        <f>'Proy 2022 vs 2019 sem'!DJ10*WT$4</f>
        <v>11809.641599999999</v>
      </c>
      <c r="WR11" s="593">
        <f>'Proy 2022 vs 2019 sem'!DK10*WT$4</f>
        <v>10510.581023999999</v>
      </c>
      <c r="WS11" s="699"/>
      <c r="WT11" s="700">
        <f>WS11/WQ11</f>
        <v>0</v>
      </c>
      <c r="WU11" s="593">
        <f>'Proy 2022 vs 2019 sem'!DJ10*WX$4</f>
        <v>11809.641599999999</v>
      </c>
      <c r="WV11" s="593">
        <f>'Proy 2022 vs 2019 sem'!DK10*WX$4</f>
        <v>10510.581023999999</v>
      </c>
      <c r="WW11" s="699"/>
      <c r="WX11" s="700">
        <f>WW11/WU11</f>
        <v>0</v>
      </c>
      <c r="WY11" s="593">
        <f>'Proy 2022 vs 2019 sem'!DJ10*XB$4</f>
        <v>11809.641599999999</v>
      </c>
      <c r="WZ11" s="593">
        <f>'Proy 2022 vs 2019 sem'!DK10*XB$4</f>
        <v>10510.581023999999</v>
      </c>
      <c r="XA11" s="699"/>
      <c r="XB11" s="700">
        <f>XA11/WY11</f>
        <v>0</v>
      </c>
      <c r="XC11" s="593">
        <f>'Proy 2022 vs 2019 sem'!DJ10*XF$4</f>
        <v>13777.915199999999</v>
      </c>
      <c r="XD11" s="593">
        <f>'Proy 2022 vs 2019 sem'!DK10*XF$4</f>
        <v>12262.344528000001</v>
      </c>
      <c r="XE11" s="699"/>
      <c r="XF11" s="700">
        <f>XE11/XC11</f>
        <v>0</v>
      </c>
      <c r="XG11" s="593">
        <f>'Proy 2022 vs 2019 sem'!DJ10*XJ$4</f>
        <v>15746.1888</v>
      </c>
      <c r="XH11" s="593">
        <f>'Proy 2022 vs 2019 sem'!DK10*XJ$4</f>
        <v>14014.108032</v>
      </c>
      <c r="XI11" s="699"/>
      <c r="XJ11" s="700">
        <f>XI11/XG11</f>
        <v>0</v>
      </c>
      <c r="XK11" s="593">
        <f>'Proy 2022 vs 2019 sem'!DJ10*XN$4</f>
        <v>21651.009599999998</v>
      </c>
      <c r="XL11" s="593">
        <f>'Proy 2022 vs 2019 sem'!DK10*XN$4</f>
        <v>19269.398544</v>
      </c>
      <c r="XM11" s="699"/>
      <c r="XN11" s="700">
        <f>XM11/XK11</f>
        <v>0</v>
      </c>
      <c r="XO11" s="579">
        <f>WM11+WQ11+WU11+WY11+XC11+XG11+XK11</f>
        <v>98413.68</v>
      </c>
      <c r="XP11" s="574">
        <f>WN11+WR11+WV11+WZ11+XD11+XH11+XL11</f>
        <v>87588.175199999998</v>
      </c>
      <c r="XQ11" s="765">
        <f>WO11+WS11+WW11+XA11+XE11+XI11+XM11</f>
        <v>0</v>
      </c>
      <c r="XR11" s="761">
        <f>XQ11/XO11</f>
        <v>0</v>
      </c>
      <c r="XS11" s="593">
        <f>'Proy 2022 vs 2019 sem'!DO10*XV$4</f>
        <v>10658.223599999999</v>
      </c>
      <c r="XT11" s="593">
        <f>'Proy 2022 vs 2019 sem'!DP10*XV$4</f>
        <v>9592.4012399999992</v>
      </c>
      <c r="XU11" s="699"/>
      <c r="XV11" s="700">
        <f>XU11/XS11</f>
        <v>0</v>
      </c>
      <c r="XW11" s="593">
        <f>'Proy 2022 vs 2019 sem'!DO10*XZ$4</f>
        <v>10658.223599999999</v>
      </c>
      <c r="XX11" s="593">
        <f>'Proy 2022 vs 2019 sem'!DP10*XZ$4</f>
        <v>9592.4012399999992</v>
      </c>
      <c r="XY11" s="699"/>
      <c r="XZ11" s="700">
        <f>XY11/XW11</f>
        <v>0</v>
      </c>
      <c r="YA11" s="593">
        <f>'Proy 2022 vs 2019 sem'!DO10*YD$4</f>
        <v>10658.223599999999</v>
      </c>
      <c r="YB11" s="593">
        <f>'Proy 2022 vs 2019 sem'!DP10*YD$4</f>
        <v>9592.4012399999992</v>
      </c>
      <c r="YC11" s="699"/>
      <c r="YD11" s="700">
        <f>YC11/YA11</f>
        <v>0</v>
      </c>
      <c r="YE11" s="593">
        <f>'Proy 2022 vs 2019 sem'!DO10*YH$4</f>
        <v>10658.223599999999</v>
      </c>
      <c r="YF11" s="593">
        <f>'Proy 2022 vs 2019 sem'!DP10*YH$4</f>
        <v>9592.4012399999992</v>
      </c>
      <c r="YG11" s="699"/>
      <c r="YH11" s="700">
        <f>YG11/YE11</f>
        <v>0</v>
      </c>
      <c r="YI11" s="593">
        <f>'Proy 2022 vs 2019 sem'!DO10*YL$4</f>
        <v>12434.594200000001</v>
      </c>
      <c r="YJ11" s="593">
        <f>'Proy 2022 vs 2019 sem'!DP10*YL$4</f>
        <v>11191.13478</v>
      </c>
      <c r="YK11" s="699"/>
      <c r="YL11" s="700">
        <f>YK11/YI11</f>
        <v>0</v>
      </c>
      <c r="YM11" s="593">
        <f>'Proy 2022 vs 2019 sem'!DO10*YP$4</f>
        <v>14210.9648</v>
      </c>
      <c r="YN11" s="593">
        <f>'Proy 2022 vs 2019 sem'!DP10*YP$4</f>
        <v>12789.86832</v>
      </c>
      <c r="YO11" s="699"/>
      <c r="YP11" s="700">
        <f>YO11/YM11</f>
        <v>0</v>
      </c>
      <c r="YQ11" s="593">
        <f>'Proy 2022 vs 2019 sem'!DO10*YT$4</f>
        <v>19540.0766</v>
      </c>
      <c r="YR11" s="593">
        <f>'Proy 2022 vs 2019 sem'!DP10*YT$4</f>
        <v>17586.068940000001</v>
      </c>
      <c r="YS11" s="699"/>
      <c r="YT11" s="700">
        <f>YS11/YQ11</f>
        <v>0</v>
      </c>
      <c r="YU11" s="579">
        <f>XS11+XW11+YA11+YE11+YI11+YM11+YQ11</f>
        <v>88818.53</v>
      </c>
      <c r="YV11" s="574">
        <f>XT11+XX11+YB11+YF11+YJ11+YN11+YR11</f>
        <v>79936.676999999996</v>
      </c>
      <c r="YW11" s="770">
        <f>XU11+XY11+YC11+YG11+YK11+YO11+YS11</f>
        <v>0</v>
      </c>
      <c r="YX11" s="761">
        <f>YW11/YU11</f>
        <v>0</v>
      </c>
      <c r="YY11" s="931">
        <f>'Proy 2022 vs 2019 sem'!DX10*ZB$4</f>
        <v>11138.554799999998</v>
      </c>
      <c r="YZ11" s="931">
        <f>'Proy 2022 vs 2019 sem'!DY10*ZB$4</f>
        <v>9913.3137719999995</v>
      </c>
      <c r="ZA11" s="735"/>
      <c r="ZB11" s="700">
        <f>ZA11/YY11</f>
        <v>0</v>
      </c>
      <c r="ZC11" s="593">
        <f>'Proy 2022 vs 2019 sem'!DX10*ZF$4</f>
        <v>11138.554799999998</v>
      </c>
      <c r="ZD11" s="593">
        <f>'Proy 2022 vs 2019 sem'!DY10*ZF$4</f>
        <v>9913.3137719999995</v>
      </c>
      <c r="ZE11" s="735"/>
      <c r="ZF11" s="700">
        <f>ZE11/ZC11</f>
        <v>0</v>
      </c>
      <c r="ZG11" s="593">
        <f>'Proy 2022 vs 2019 sem'!DX10*ZJ$4</f>
        <v>11138.554799999998</v>
      </c>
      <c r="ZH11" s="593">
        <f>'Proy 2022 vs 2019 sem'!DY10*ZJ$4</f>
        <v>9913.3137719999995</v>
      </c>
      <c r="ZI11" s="735"/>
      <c r="ZJ11" s="700">
        <f>ZI11/ZG11</f>
        <v>0</v>
      </c>
      <c r="ZK11" s="593">
        <f>'Proy 2022 vs 2019 sem'!DX10*ZN$4</f>
        <v>11138.554799999998</v>
      </c>
      <c r="ZL11" s="593">
        <f>'Proy 2022 vs 2019 sem'!DY10*ZN$4</f>
        <v>9913.3137719999995</v>
      </c>
      <c r="ZM11" s="735"/>
      <c r="ZN11" s="700">
        <f>ZM11/ZK11</f>
        <v>0</v>
      </c>
      <c r="ZO11" s="593">
        <f>'Proy 2022 vs 2019 sem'!DX10*ZR$4</f>
        <v>12994.980600000001</v>
      </c>
      <c r="ZP11" s="593">
        <f>'Proy 2022 vs 2019 sem'!DY10*ZR$4</f>
        <v>11565.532734</v>
      </c>
      <c r="ZQ11" s="735"/>
      <c r="ZR11" s="700">
        <f>ZQ11/ZO11</f>
        <v>0</v>
      </c>
      <c r="ZS11" s="593">
        <f>'Proy 2022 vs 2019 sem'!DX10*ZV$4</f>
        <v>14851.4064</v>
      </c>
      <c r="ZT11" s="593">
        <f>'Proy 2022 vs 2019 sem'!DY10*ZV$4</f>
        <v>13217.751695999999</v>
      </c>
      <c r="ZU11" s="735"/>
      <c r="ZV11" s="700">
        <f>ZU11/ZS11</f>
        <v>0</v>
      </c>
      <c r="ZW11" s="593">
        <f>'Proy 2022 vs 2019 sem'!DX10*ZZ$4</f>
        <v>20420.683799999999</v>
      </c>
      <c r="ZX11" s="593">
        <f>'Proy 2022 vs 2019 sem'!DY10*ZZ$4</f>
        <v>18174.408582</v>
      </c>
      <c r="ZY11" s="735"/>
      <c r="ZZ11" s="700">
        <f>ZY11/ZW11</f>
        <v>0</v>
      </c>
      <c r="AAA11" s="579">
        <f>YY11+ZC11+ZG11+ZK11+ZO11+ZS11+ZW11</f>
        <v>92821.29</v>
      </c>
      <c r="AAB11" s="574">
        <f>YZ11+ZD11+ZH11+ZL11+ZP11+ZT11+ZX11</f>
        <v>82610.948099999994</v>
      </c>
      <c r="AAC11" s="729">
        <f>ZA11+ZE11+ZI11+ZM11+ZQ11+ZU11+ZY11</f>
        <v>0</v>
      </c>
      <c r="AAD11" s="711">
        <f>AAC11/AAA11</f>
        <v>0</v>
      </c>
      <c r="AAE11" s="593">
        <f>'Proy 2022 vs 2019 sem'!EC10*AAH$4</f>
        <v>10616.361599999998</v>
      </c>
      <c r="AAF11" s="593">
        <f>'Proy 2022 vs 2019 sem'!ED10*AAH$4</f>
        <v>9236.2345919999989</v>
      </c>
      <c r="AAG11" s="699"/>
      <c r="AAH11" s="700">
        <f>AAG11/AAE11</f>
        <v>0</v>
      </c>
      <c r="AAI11" s="593">
        <f>'Proy 2022 vs 2019 sem'!EC10*AAL$4</f>
        <v>10616.361599999998</v>
      </c>
      <c r="AAJ11" s="593">
        <f>'Proy 2022 vs 2019 sem'!ED10*AAL$4</f>
        <v>9236.2345919999989</v>
      </c>
      <c r="AAK11" s="699"/>
      <c r="AAL11" s="700">
        <f>AAK11/AAI11</f>
        <v>0</v>
      </c>
      <c r="AAM11" s="593">
        <f>'Proy 2022 vs 2019 sem'!EC10*AAP$4</f>
        <v>10616.361599999998</v>
      </c>
      <c r="AAN11" s="593">
        <f>'Proy 2022 vs 2019 sem'!ED10*AAP$4</f>
        <v>9236.2345919999989</v>
      </c>
      <c r="AAO11" s="699"/>
      <c r="AAP11" s="700">
        <f>AAO11/AAM11</f>
        <v>0</v>
      </c>
      <c r="AAQ11" s="593">
        <f>'Proy 2022 vs 2019 sem'!EC10*AAT$4</f>
        <v>10616.361599999998</v>
      </c>
      <c r="AAR11" s="593">
        <f>'Proy 2022 vs 2019 sem'!ED10*AAT$4</f>
        <v>9236.2345919999989</v>
      </c>
      <c r="AAS11" s="699"/>
      <c r="AAT11" s="700">
        <f>AAS11/AAQ11</f>
        <v>0</v>
      </c>
      <c r="AAU11" s="593">
        <f>'Proy 2022 vs 2019 sem'!EC10*AAX$4</f>
        <v>12385.7552</v>
      </c>
      <c r="AAV11" s="593">
        <f>'Proy 2022 vs 2019 sem'!ED10*AAX$4</f>
        <v>10775.607024000001</v>
      </c>
      <c r="AAW11" s="699"/>
      <c r="AAX11" s="700">
        <f>AAW11/AAU11</f>
        <v>0</v>
      </c>
      <c r="AAY11" s="593">
        <f>'Proy 2022 vs 2019 sem'!EC10*ABB$4</f>
        <v>14155.148799999999</v>
      </c>
      <c r="AAZ11" s="593">
        <f>'Proy 2022 vs 2019 sem'!ED10*ABB$4</f>
        <v>12314.979456000001</v>
      </c>
      <c r="ABA11" s="699"/>
      <c r="ABB11" s="700">
        <f>ABA11/AAY11</f>
        <v>0</v>
      </c>
      <c r="ABC11" s="593">
        <f>'Proy 2022 vs 2019 sem'!EC10*ABF$4</f>
        <v>19463.329599999997</v>
      </c>
      <c r="ABD11" s="593">
        <f>'Proy 2022 vs 2019 sem'!ED10*ABF$4</f>
        <v>16933.096752000001</v>
      </c>
      <c r="ABE11" s="699"/>
      <c r="ABF11" s="700">
        <f>ABE11/ABC11</f>
        <v>0</v>
      </c>
      <c r="ABG11" s="579">
        <f>AAE11+AAI11+AAM11+AAQ11+AAU11+AAY11+ABC11</f>
        <v>88469.68</v>
      </c>
      <c r="ABH11" s="574">
        <f>AAF11+AAJ11+AAN11+AAR11+AAV11+AAZ11+ABD11</f>
        <v>76968.621599999999</v>
      </c>
      <c r="ABI11" s="730">
        <f>AAG11+AAK11+AAO11+AAS11+AAW11+ABA11+ABE11</f>
        <v>0</v>
      </c>
      <c r="ABJ11" s="711">
        <f>ABI11/ABG11</f>
        <v>0</v>
      </c>
      <c r="ABK11" s="593">
        <f>'Proy 2022 vs 2019 sem'!EH10*ABN$4</f>
        <v>11195.939999999999</v>
      </c>
      <c r="ABL11" s="593">
        <f>'Proy 2022 vs 2019 sem'!EI10*ABN$4</f>
        <v>9964.3865999999998</v>
      </c>
      <c r="ABM11" s="699"/>
      <c r="ABN11" s="700">
        <f>ABM11/ABK11</f>
        <v>0</v>
      </c>
      <c r="ABO11" s="593">
        <f>'Proy 2022 vs 2019 sem'!EH10*ABR$4</f>
        <v>11195.939999999999</v>
      </c>
      <c r="ABP11" s="593">
        <f>'Proy 2022 vs 2019 sem'!EI10*ABR$4</f>
        <v>9964.3865999999998</v>
      </c>
      <c r="ABQ11" s="699"/>
      <c r="ABR11" s="700">
        <f>ABQ11/ABO11</f>
        <v>0</v>
      </c>
      <c r="ABS11" s="593">
        <f>'Proy 2022 vs 2019 sem'!EH10*ABV$4</f>
        <v>11195.939999999999</v>
      </c>
      <c r="ABT11" s="593">
        <f>'Proy 2022 vs 2019 sem'!EI10*ABV$4</f>
        <v>9964.3865999999998</v>
      </c>
      <c r="ABU11" s="699"/>
      <c r="ABV11" s="700">
        <f>ABU11/ABS11</f>
        <v>0</v>
      </c>
      <c r="ABW11" s="593">
        <f>'Proy 2022 vs 2019 sem'!EH10*ABZ$4</f>
        <v>11195.939999999999</v>
      </c>
      <c r="ABX11" s="593">
        <f>'Proy 2022 vs 2019 sem'!EI10*ABZ$4</f>
        <v>9964.3865999999998</v>
      </c>
      <c r="ABY11" s="699"/>
      <c r="ABZ11" s="700">
        <f>ABY11/ABW11</f>
        <v>0</v>
      </c>
      <c r="ACA11" s="593">
        <f>'Proy 2022 vs 2019 sem'!EH10*ACD$4</f>
        <v>13061.930000000002</v>
      </c>
      <c r="ACB11" s="593">
        <f>'Proy 2022 vs 2019 sem'!EI10*ACD$4</f>
        <v>11625.117700000003</v>
      </c>
      <c r="ACC11" s="699"/>
      <c r="ACD11" s="700">
        <f>ACC11/ACA11</f>
        <v>0</v>
      </c>
      <c r="ACE11" s="593">
        <f>'Proy 2022 vs 2019 sem'!EH10*ACH$4</f>
        <v>14927.92</v>
      </c>
      <c r="ACF11" s="593">
        <f>'Proy 2022 vs 2019 sem'!EI10*ACH$4</f>
        <v>13285.848800000002</v>
      </c>
      <c r="ACG11" s="699"/>
      <c r="ACH11" s="700">
        <f>ACG11/ACE11</f>
        <v>0</v>
      </c>
      <c r="ACI11" s="593">
        <f>'Proy 2022 vs 2019 sem'!EH10*ACL$4</f>
        <v>20525.89</v>
      </c>
      <c r="ACJ11" s="593">
        <f>'Proy 2022 vs 2019 sem'!EI10*ACL$4</f>
        <v>18268.042100000002</v>
      </c>
      <c r="ACK11" s="699"/>
      <c r="ACL11" s="700">
        <f>ACK11/ACI11</f>
        <v>0</v>
      </c>
      <c r="ACM11" s="579">
        <f>ABK11+ABO11+ABS11+ABW11+ACA11+ACE11+ACI11</f>
        <v>93299.5</v>
      </c>
      <c r="ACN11" s="574">
        <f>ABL11+ABP11+ABT11+ABX11+ACB11+ACF11+ACJ11</f>
        <v>83036.555000000008</v>
      </c>
      <c r="ACO11" s="730">
        <f>ABM11+ABQ11+ABU11+ABY11+ACC11+ACG11+ACK11</f>
        <v>0</v>
      </c>
      <c r="ACP11" s="711">
        <f>ACO11/ACM11</f>
        <v>0</v>
      </c>
      <c r="ACQ11" s="593">
        <f>'Proy 2022 vs 2019 sem'!EM10*ACT$4</f>
        <v>12513.633599999999</v>
      </c>
      <c r="ACR11" s="593">
        <f>'Proy 2022 vs 2019 sem'!EN10*ACT$4</f>
        <v>11637.679248</v>
      </c>
      <c r="ACS11" s="699"/>
      <c r="ACT11" s="700">
        <f>ACS11/ACQ11</f>
        <v>0</v>
      </c>
      <c r="ACU11" s="593">
        <f>'Proy 2022 vs 2019 sem'!EM10*ACX$4</f>
        <v>12513.633599999999</v>
      </c>
      <c r="ACV11" s="593">
        <f>'Proy 2022 vs 2019 sem'!EN10*ACX$4</f>
        <v>11637.679248</v>
      </c>
      <c r="ACW11" s="699"/>
      <c r="ACX11" s="700">
        <f>ACW11/ACU11</f>
        <v>0</v>
      </c>
      <c r="ACY11" s="593">
        <f>'Proy 2022 vs 2019 sem'!EM10*ADB$4</f>
        <v>12513.633599999999</v>
      </c>
      <c r="ACZ11" s="593">
        <f>'Proy 2022 vs 2019 sem'!EN10*ADB$4</f>
        <v>11637.679248</v>
      </c>
      <c r="ADA11" s="699"/>
      <c r="ADB11" s="700">
        <f>ADA11/ACY11</f>
        <v>0</v>
      </c>
      <c r="ADC11" s="593">
        <f>'Proy 2022 vs 2019 sem'!EM10*ADF$4</f>
        <v>12513.633599999999</v>
      </c>
      <c r="ADD11" s="593">
        <f>'Proy 2022 vs 2019 sem'!EN10*ADF$4</f>
        <v>11637.679248</v>
      </c>
      <c r="ADE11" s="699"/>
      <c r="ADF11" s="700">
        <f>ADE11/ADC11</f>
        <v>0</v>
      </c>
      <c r="ADG11" s="593">
        <f>'Proy 2022 vs 2019 sem'!EM10*ADJ$4</f>
        <v>14599.239200000002</v>
      </c>
      <c r="ADH11" s="593">
        <f>'Proy 2022 vs 2019 sem'!EN10*ADJ$4</f>
        <v>13577.292456000003</v>
      </c>
      <c r="ADI11" s="699"/>
      <c r="ADJ11" s="700">
        <f>ADI11/ADG11</f>
        <v>0</v>
      </c>
      <c r="ADK11" s="593">
        <f>'Proy 2022 vs 2019 sem'!EM10*ADN$4</f>
        <v>16684.844799999999</v>
      </c>
      <c r="ADL11" s="593">
        <f>'Proy 2022 vs 2019 sem'!EN10*ADN$4</f>
        <v>15516.905664000002</v>
      </c>
      <c r="ADM11" s="699"/>
      <c r="ADN11" s="700">
        <f>ADM11/ADK11</f>
        <v>0</v>
      </c>
      <c r="ADO11" s="593">
        <f>'Proy 2022 vs 2019 sem'!EM10*ADR$4</f>
        <v>22941.661599999999</v>
      </c>
      <c r="ADP11" s="593">
        <f>'Proy 2022 vs 2019 sem'!EN10*ADR$4</f>
        <v>21335.745288000002</v>
      </c>
      <c r="ADQ11" s="699"/>
      <c r="ADR11" s="700">
        <f>ADQ11/ADO11</f>
        <v>0</v>
      </c>
      <c r="ADS11" s="579">
        <f>ACQ11+ACU11+ACY11+ADC11+ADG11+ADK11+ADO11</f>
        <v>104280.28</v>
      </c>
      <c r="ADT11" s="574">
        <f>ACR11+ACV11+ACZ11+ADD11+ADH11+ADL11+ADP11</f>
        <v>96980.660400000008</v>
      </c>
      <c r="ADU11" s="710">
        <f>ACS11+ACW11+ADA11+ADE11+ADI11+ADM11+ADQ11</f>
        <v>0</v>
      </c>
      <c r="ADV11" s="711">
        <f>ADU11/ADS11</f>
        <v>0</v>
      </c>
      <c r="ADW11" s="593">
        <f>'Proy 2022 vs 2019 sem'!ER10*ADZ$4</f>
        <v>11816.0124</v>
      </c>
      <c r="ADX11" s="593">
        <f>'Proy 2022 vs 2019 sem'!ES10*ADZ$4</f>
        <v>10988.891532000001</v>
      </c>
      <c r="ADY11" s="699"/>
      <c r="ADZ11" s="700">
        <f>ADY11/ADW11</f>
        <v>0</v>
      </c>
      <c r="AEA11" s="593">
        <f>'Proy 2022 vs 2019 sem'!ER10*AED$4</f>
        <v>11816.0124</v>
      </c>
      <c r="AEB11" s="593">
        <f>'Proy 2022 vs 2019 sem'!ES10*AED$4</f>
        <v>10988.891532000001</v>
      </c>
      <c r="AEC11" s="699"/>
      <c r="AED11" s="700">
        <f>AEC11/AEA11</f>
        <v>0</v>
      </c>
      <c r="AEE11" s="593">
        <f>'Proy 2022 vs 2019 sem'!ER10*AEH$4</f>
        <v>11816.0124</v>
      </c>
      <c r="AEF11" s="593">
        <f>'Proy 2022 vs 2019 sem'!ES10*AEH$4</f>
        <v>10988.891532000001</v>
      </c>
      <c r="AEG11" s="699"/>
      <c r="AEH11" s="700">
        <f>AEG11/AEE11</f>
        <v>0</v>
      </c>
      <c r="AEI11" s="593">
        <f>'Proy 2022 vs 2019 sem'!ER10*AEL$4</f>
        <v>11816.0124</v>
      </c>
      <c r="AEJ11" s="593">
        <f>'Proy 2022 vs 2019 sem'!ES10*AEL$4</f>
        <v>10988.891532000001</v>
      </c>
      <c r="AEK11" s="699"/>
      <c r="AEL11" s="700">
        <f>AEK11/AEI11</f>
        <v>0</v>
      </c>
      <c r="AEM11" s="593">
        <f>'Proy 2022 vs 2019 sem'!ER10*AEP$4</f>
        <v>13785.347800000001</v>
      </c>
      <c r="AEN11" s="593">
        <f>'Proy 2022 vs 2019 sem'!ES10*AEP$4</f>
        <v>12820.373454000002</v>
      </c>
      <c r="AEO11" s="699"/>
      <c r="AEP11" s="700">
        <f>AEO11/AEM11</f>
        <v>0</v>
      </c>
      <c r="AEQ11" s="593">
        <f>'Proy 2022 vs 2019 sem'!ER10*AET$4</f>
        <v>15754.683200000001</v>
      </c>
      <c r="AER11" s="593">
        <f>'Proy 2022 vs 2019 sem'!ES10*AET$4</f>
        <v>14651.855376000001</v>
      </c>
      <c r="AES11" s="699"/>
      <c r="AET11" s="700">
        <f>AES11/AEQ11</f>
        <v>0</v>
      </c>
      <c r="AEU11" s="593">
        <f>'Proy 2022 vs 2019 sem'!ER10*AEX$4</f>
        <v>21662.689399999999</v>
      </c>
      <c r="AEV11" s="593">
        <f>'Proy 2022 vs 2019 sem'!ES10*AEX$4</f>
        <v>20146.301142000004</v>
      </c>
      <c r="AEW11" s="699"/>
      <c r="AEX11" s="700">
        <f>AEW11/AEU11</f>
        <v>0</v>
      </c>
      <c r="AEY11" s="579">
        <f>ADW11+AEA11+AEE11+AEI11+AEM11+AEQ11+AEU11</f>
        <v>98466.77</v>
      </c>
      <c r="AEZ11" s="574">
        <f>ADX11+AEB11+AEF11+AEJ11+AEN11+AER11+AEV11</f>
        <v>91574.096100000024</v>
      </c>
      <c r="AFA11" s="710">
        <f>ADY11+AEC11+AEG11+AEK11+AEO11+AES11+AEW11</f>
        <v>0</v>
      </c>
      <c r="AFB11" s="711">
        <f>AFA11/AEY11</f>
        <v>0</v>
      </c>
      <c r="AFC11" s="593">
        <f>'Proy 2022 vs 2019 sem'!FA10*AFF$4</f>
        <v>10327.9476</v>
      </c>
      <c r="AFD11" s="593">
        <f>'Proy 2022 vs 2019 sem'!FB10*AFF$4</f>
        <v>9088.5938879999994</v>
      </c>
      <c r="AFE11" s="735"/>
      <c r="AFF11" s="700">
        <f>AFE11/AFC11</f>
        <v>0</v>
      </c>
      <c r="AFG11" s="593">
        <f>'Proy 2022 vs 2019 sem'!FA10*AFJ$4</f>
        <v>10327.9476</v>
      </c>
      <c r="AFH11" s="593">
        <f>'Proy 2022 vs 2019 sem'!FB10*AFJ$4</f>
        <v>9088.5938879999994</v>
      </c>
      <c r="AFI11" s="699"/>
      <c r="AFJ11" s="700">
        <f>AFI11/AFG11</f>
        <v>0</v>
      </c>
      <c r="AFK11" s="593">
        <f>'Proy 2022 vs 2019 sem'!FA10*AFN$4</f>
        <v>10327.9476</v>
      </c>
      <c r="AFL11" s="593">
        <f>'Proy 2022 vs 2019 sem'!FB10*AFN$4</f>
        <v>9088.5938879999994</v>
      </c>
      <c r="AFM11" s="699"/>
      <c r="AFN11" s="700">
        <f>AFM11/AFK11</f>
        <v>0</v>
      </c>
      <c r="AFO11" s="593">
        <f>'Proy 2022 vs 2019 sem'!FA10*AFR$4</f>
        <v>10327.9476</v>
      </c>
      <c r="AFP11" s="593">
        <f>'Proy 2022 vs 2019 sem'!FB10*AFR$4</f>
        <v>9088.5938879999994</v>
      </c>
      <c r="AFQ11" s="699"/>
      <c r="AFR11" s="700">
        <f>AFQ11/AFO11</f>
        <v>0</v>
      </c>
      <c r="AFS11" s="593">
        <f>'Proy 2022 vs 2019 sem'!FA10*AFV$4</f>
        <v>12049.272200000001</v>
      </c>
      <c r="AFT11" s="593">
        <f>'Proy 2022 vs 2019 sem'!FB10*AFV$4</f>
        <v>10603.359536</v>
      </c>
      <c r="AFU11" s="699"/>
      <c r="AFV11" s="700">
        <f>AFU11/AFS11</f>
        <v>0</v>
      </c>
      <c r="AFW11" s="593">
        <f>'Proy 2022 vs 2019 sem'!FA10*AFZ$4</f>
        <v>13770.596799999999</v>
      </c>
      <c r="AFX11" s="593">
        <f>'Proy 2022 vs 2019 sem'!FB10*AFZ$4</f>
        <v>12118.125184</v>
      </c>
      <c r="AFY11" s="699"/>
      <c r="AFZ11" s="700">
        <f>AFY11/AFW11</f>
        <v>0</v>
      </c>
      <c r="AGA11" s="593">
        <f>'Proy 2022 vs 2019 sem'!FA10*AGD$4</f>
        <v>18934.570599999999</v>
      </c>
      <c r="AGB11" s="593">
        <f>'Proy 2022 vs 2019 sem'!FB10*AGD$4</f>
        <v>16662.422127999998</v>
      </c>
      <c r="AGC11" s="699"/>
      <c r="AGD11" s="700">
        <f>AGC11/AGA11</f>
        <v>0</v>
      </c>
      <c r="AGE11" s="579">
        <f>AFC11+AFG11+AFK11+AFO11+AFS11+AFW11+AGA11</f>
        <v>86066.23000000001</v>
      </c>
      <c r="AGF11" s="574">
        <f>AFD11+AFH11+AFL11+AFP11+AFT11+AFX11+AGB11</f>
        <v>75738.282399999996</v>
      </c>
      <c r="AGG11" s="759">
        <f>AFE11+AFI11+AFM11+AFQ11+AFU11+AFY11+AGC11</f>
        <v>0</v>
      </c>
      <c r="AGH11" s="761">
        <f>AGG11/AGE11</f>
        <v>0</v>
      </c>
      <c r="AGI11" s="593">
        <f>'Proy 2022 vs 2019 sem'!FF10*AGL$4</f>
        <v>10702.3668</v>
      </c>
      <c r="AGJ11" s="593">
        <f>'Proy 2022 vs 2019 sem'!FG10*AGL$4</f>
        <v>9418.0827839999984</v>
      </c>
      <c r="AGK11" s="699"/>
      <c r="AGL11" s="700">
        <f>AGK11/AGI11</f>
        <v>0</v>
      </c>
      <c r="AGM11" s="593">
        <f>'Proy 2022 vs 2019 sem'!FF10*AGP$4</f>
        <v>10702.3668</v>
      </c>
      <c r="AGN11" s="593">
        <f>'Proy 2022 vs 2019 sem'!FG10*AGP$4</f>
        <v>9418.0827839999984</v>
      </c>
      <c r="AGO11" s="699"/>
      <c r="AGP11" s="700">
        <f>AGO11/AGM11</f>
        <v>0</v>
      </c>
      <c r="AGQ11" s="593">
        <f>'Proy 2022 vs 2019 sem'!FF10*AGT$4</f>
        <v>10702.3668</v>
      </c>
      <c r="AGR11" s="593">
        <f>'Proy 2022 vs 2019 sem'!FG10*AGT$4</f>
        <v>9418.0827839999984</v>
      </c>
      <c r="AGS11" s="699"/>
      <c r="AGT11" s="700">
        <f>AGS11/AGQ11</f>
        <v>0</v>
      </c>
      <c r="AGU11" s="593">
        <f>'Proy 2022 vs 2019 sem'!FF10*AGX$4</f>
        <v>10702.3668</v>
      </c>
      <c r="AGV11" s="593">
        <f>'Proy 2022 vs 2019 sem'!FG10*AGX$4</f>
        <v>9418.0827839999984</v>
      </c>
      <c r="AGW11" s="699"/>
      <c r="AGX11" s="700">
        <f>AGW11/AGU11</f>
        <v>0</v>
      </c>
      <c r="AGY11" s="593">
        <f>'Proy 2022 vs 2019 sem'!FF10*AHB$4</f>
        <v>12486.0946</v>
      </c>
      <c r="AGZ11" s="593">
        <f>'Proy 2022 vs 2019 sem'!FG10*AHB$4</f>
        <v>10987.763248000001</v>
      </c>
      <c r="AHA11" s="699"/>
      <c r="AHB11" s="700">
        <f>AHA11/AGY11</f>
        <v>0</v>
      </c>
      <c r="AHC11" s="593">
        <f>'Proy 2022 vs 2019 sem'!FF10*AHF$4</f>
        <v>14269.822400000001</v>
      </c>
      <c r="AHD11" s="593">
        <f>'Proy 2022 vs 2019 sem'!FG10*AHF$4</f>
        <v>12557.443712</v>
      </c>
      <c r="AHE11" s="699"/>
      <c r="AHF11" s="700">
        <f>AHE11/AHC11</f>
        <v>0</v>
      </c>
      <c r="AHG11" s="593">
        <f>'Proy 2022 vs 2019 sem'!FF10*AHJ$4</f>
        <v>19621.005799999999</v>
      </c>
      <c r="AHH11" s="593">
        <f>'Proy 2022 vs 2019 sem'!FG10*AHJ$4</f>
        <v>17266.485103999999</v>
      </c>
      <c r="AHI11" s="699"/>
      <c r="AHJ11" s="700">
        <f>AHI11/AHG11</f>
        <v>0</v>
      </c>
      <c r="AHK11" s="579">
        <f>AGI11+AGM11+AGQ11+AGU11+AGY11+AHC11+AHG11</f>
        <v>89186.39</v>
      </c>
      <c r="AHL11" s="574">
        <f>AGJ11+AGN11+AGR11+AGV11+AGZ11+AHD11+AHH11</f>
        <v>78484.023199999996</v>
      </c>
      <c r="AHM11" s="765">
        <f>AGK11+AGO11+AGS11+AGW11+AHA11+AHE11+AHI11</f>
        <v>0</v>
      </c>
      <c r="AHN11" s="761">
        <f>AHM11/AHK11</f>
        <v>0</v>
      </c>
      <c r="AHO11" s="593">
        <f>'Proy 2022 vs 2019 sem'!FK10*AHR$4</f>
        <v>9474.4331999999995</v>
      </c>
      <c r="AHP11" s="593">
        <f>'Proy 2022 vs 2019 sem'!FL10*AHR$4</f>
        <v>8337.5012160000006</v>
      </c>
      <c r="AHQ11" s="699"/>
      <c r="AHR11" s="700">
        <f>AHQ11/AHO11</f>
        <v>0</v>
      </c>
      <c r="AHS11" s="593">
        <f>'Proy 2022 vs 2019 sem'!FK10*AHV$4</f>
        <v>9474.4331999999995</v>
      </c>
      <c r="AHT11" s="593">
        <f>'Proy 2022 vs 2019 sem'!FL10*AHV$4</f>
        <v>8337.5012160000006</v>
      </c>
      <c r="AHU11" s="699"/>
      <c r="AHV11" s="700">
        <f>AHU11/AHS11</f>
        <v>0</v>
      </c>
      <c r="AHW11" s="593">
        <f>'Proy 2022 vs 2019 sem'!FK10*AHZ$4</f>
        <v>9474.4331999999995</v>
      </c>
      <c r="AHX11" s="593">
        <f>'Proy 2022 vs 2019 sem'!FL10*AHZ$4</f>
        <v>8337.5012160000006</v>
      </c>
      <c r="AHY11" s="699"/>
      <c r="AHZ11" s="700">
        <f>AHY11/AHW11</f>
        <v>0</v>
      </c>
      <c r="AIA11" s="593">
        <f>'Proy 2022 vs 2019 sem'!FK10*AID$4</f>
        <v>9474.4331999999995</v>
      </c>
      <c r="AIB11" s="593">
        <f>'Proy 2022 vs 2019 sem'!FL10*AID$4</f>
        <v>8337.5012160000006</v>
      </c>
      <c r="AIC11" s="699"/>
      <c r="AID11" s="700">
        <f>AIC11/AIA11</f>
        <v>0</v>
      </c>
      <c r="AIE11" s="593">
        <f>'Proy 2022 vs 2019 sem'!FK10*AIH$4</f>
        <v>11053.505400000002</v>
      </c>
      <c r="AIF11" s="593">
        <f>'Proy 2022 vs 2019 sem'!FL10*AIH$4</f>
        <v>9727.0847520000007</v>
      </c>
      <c r="AIG11" s="699"/>
      <c r="AIH11" s="700">
        <f>AIG11/AIE11</f>
        <v>0</v>
      </c>
      <c r="AII11" s="593">
        <f>'Proy 2022 vs 2019 sem'!FK10*AIL$4</f>
        <v>12632.577600000001</v>
      </c>
      <c r="AIJ11" s="593">
        <f>'Proy 2022 vs 2019 sem'!FL10*AIL$4</f>
        <v>11116.668288000001</v>
      </c>
      <c r="AIK11" s="699"/>
      <c r="AIL11" s="700">
        <f>AIK11/AII11</f>
        <v>0</v>
      </c>
      <c r="AIM11" s="593">
        <f>'Proy 2022 vs 2019 sem'!FK10*AIP$4</f>
        <v>17369.7942</v>
      </c>
      <c r="AIN11" s="593">
        <f>'Proy 2022 vs 2019 sem'!FL10*AIP$4</f>
        <v>15285.418896000001</v>
      </c>
      <c r="AIO11" s="699"/>
      <c r="AIP11" s="700">
        <f>AIO11/AIM11</f>
        <v>0</v>
      </c>
      <c r="AIQ11" s="579">
        <f>AHO11+AHS11+AHW11+AIA11+AIE11+AII11+AIM11</f>
        <v>78953.61</v>
      </c>
      <c r="AIR11" s="574">
        <f>AHP11+AHT11+AHX11+AIB11+AIF11+AIJ11+AIN11</f>
        <v>69479.176800000001</v>
      </c>
      <c r="AIS11" s="765">
        <f>AHQ11+AHU11+AHY11+AIC11+AIG11+AIK11+AIO11</f>
        <v>0</v>
      </c>
      <c r="AIT11" s="761">
        <f>AIS11/AIQ11</f>
        <v>0</v>
      </c>
      <c r="AIU11" s="593">
        <f>'Proy 2022 vs 2019 sem'!FP10*AIX$4</f>
        <v>10415.2464</v>
      </c>
      <c r="AIV11" s="593">
        <f>'Proy 2022 vs 2019 sem'!FQ10*AIX$4</f>
        <v>9582.0266879999999</v>
      </c>
      <c r="AIW11" s="699"/>
      <c r="AIX11" s="700">
        <f>AIW11/AIU11</f>
        <v>0</v>
      </c>
      <c r="AIY11" s="593">
        <f>'Proy 2022 vs 2019 sem'!FP10*AJB$4</f>
        <v>10415.2464</v>
      </c>
      <c r="AIZ11" s="593">
        <f>'Proy 2022 vs 2019 sem'!FQ10*AJB$4</f>
        <v>9582.0266879999999</v>
      </c>
      <c r="AJA11" s="699"/>
      <c r="AJB11" s="700">
        <f>AJA11/AIY11</f>
        <v>0</v>
      </c>
      <c r="AJC11" s="593">
        <f>'Proy 2022 vs 2019 sem'!FP10*AJF$4</f>
        <v>10415.2464</v>
      </c>
      <c r="AJD11" s="593">
        <f>'Proy 2022 vs 2019 sem'!FQ10*AJF$4</f>
        <v>9582.0266879999999</v>
      </c>
      <c r="AJE11" s="699"/>
      <c r="AJF11" s="700">
        <f>AJE11/AJC11</f>
        <v>0</v>
      </c>
      <c r="AJG11" s="593">
        <f>'Proy 2022 vs 2019 sem'!FP10*AJJ$4</f>
        <v>10415.2464</v>
      </c>
      <c r="AJH11" s="593">
        <f>'Proy 2022 vs 2019 sem'!FQ10*AJJ$4</f>
        <v>9582.0266879999999</v>
      </c>
      <c r="AJI11" s="699"/>
      <c r="AJJ11" s="700">
        <f>AJI11/AJG11</f>
        <v>0</v>
      </c>
      <c r="AJK11" s="593">
        <f>'Proy 2022 vs 2019 sem'!FP10*AJN$4</f>
        <v>12151.120800000001</v>
      </c>
      <c r="AJL11" s="593">
        <f>'Proy 2022 vs 2019 sem'!FQ10*AJN$4</f>
        <v>11179.031136000001</v>
      </c>
      <c r="AJM11" s="699"/>
      <c r="AJN11" s="700">
        <f>AJM11/AJK11</f>
        <v>0</v>
      </c>
      <c r="AJO11" s="593">
        <f>'Proy 2022 vs 2019 sem'!FP10*AJR$4</f>
        <v>13886.995200000001</v>
      </c>
      <c r="AJP11" s="593">
        <f>'Proy 2022 vs 2019 sem'!FQ10*AJR$4</f>
        <v>12776.035583999999</v>
      </c>
      <c r="AJQ11" s="699"/>
      <c r="AJR11" s="700">
        <f>AJQ11/AJO11</f>
        <v>0</v>
      </c>
      <c r="AJS11" s="593">
        <f>'Proy 2022 vs 2019 sem'!FP10*AJV$4</f>
        <v>19094.618399999999</v>
      </c>
      <c r="AJT11" s="593">
        <f>'Proy 2022 vs 2019 sem'!FQ10*AJV$4</f>
        <v>17567.048928</v>
      </c>
      <c r="AJU11" s="699"/>
      <c r="AJV11" s="700">
        <f>AJU11/AJS11</f>
        <v>0</v>
      </c>
      <c r="AJW11" s="579">
        <f>AIU11+AIY11+AJC11+AJG11+AJK11+AJO11+AJS11</f>
        <v>86793.72</v>
      </c>
      <c r="AJX11" s="574">
        <f>AIV11+AIZ11+AJD11+AJH11+AJL11+AJP11+AJT11</f>
        <v>79850.222399999999</v>
      </c>
      <c r="AJY11" s="770">
        <f>AIW11+AJA11+AJE11+AJI11+AJM11+AJQ11+AJU11</f>
        <v>0</v>
      </c>
      <c r="AJZ11" s="761">
        <f>AJY11/AJW11</f>
        <v>0</v>
      </c>
      <c r="AKA11" s="593"/>
      <c r="AKB11" s="593"/>
      <c r="AKC11" s="735"/>
      <c r="AKD11" s="700" t="e">
        <f>AKC11/AKA11</f>
        <v>#DIV/0!</v>
      </c>
      <c r="AKE11" s="593">
        <v>11177.1456</v>
      </c>
      <c r="AKF11" s="593">
        <v>11400.688512000001</v>
      </c>
      <c r="AKG11" s="699"/>
      <c r="AKH11" s="700">
        <f>AKG11/AKE11</f>
        <v>0</v>
      </c>
      <c r="AKI11" s="593">
        <v>11177.1456</v>
      </c>
      <c r="AKJ11" s="593">
        <v>11400.688512000001</v>
      </c>
      <c r="AKK11" s="699"/>
      <c r="AKL11" s="700">
        <f>AKK11/AKI11</f>
        <v>0</v>
      </c>
      <c r="AKM11" s="593">
        <v>11177.1456</v>
      </c>
      <c r="AKN11" s="593">
        <v>11400.688512000001</v>
      </c>
      <c r="AKO11" s="699"/>
      <c r="AKP11" s="700">
        <f>AKO11/AKM11</f>
        <v>0</v>
      </c>
      <c r="AKQ11" s="593">
        <v>13040.003200000001</v>
      </c>
      <c r="AKR11" s="593">
        <v>13300.803264000002</v>
      </c>
      <c r="AKS11" s="699"/>
      <c r="AKT11" s="700">
        <f>AKS11/AKQ11</f>
        <v>0</v>
      </c>
      <c r="AKU11" s="593">
        <v>14902.8608</v>
      </c>
      <c r="AKV11" s="593">
        <v>15200.918016000001</v>
      </c>
      <c r="AKW11" s="699"/>
      <c r="AKX11" s="700">
        <f>AKW11/AKU11</f>
        <v>0</v>
      </c>
      <c r="AKY11" s="593">
        <v>20491.4336</v>
      </c>
      <c r="AKZ11" s="593">
        <v>20901.262272000004</v>
      </c>
      <c r="ALA11" s="699"/>
      <c r="ALB11" s="700">
        <f>ALA11/AKY11</f>
        <v>0</v>
      </c>
      <c r="ALC11" s="579">
        <f>AKA11+AKE11+AKI11+AKM11+AKQ11+AKU11+AKY11</f>
        <v>81965.734400000001</v>
      </c>
      <c r="ALD11" s="574">
        <f>AKB11+AKF11+AKJ11+AKN11+AKR11+AKV11+AKZ11</f>
        <v>83605.049088000014</v>
      </c>
      <c r="ALE11" s="793">
        <f>AKC11+AKG11+AKK11+AKO11+AKS11+AKW11+ALA11</f>
        <v>0</v>
      </c>
      <c r="ALF11" s="786">
        <f>ALE11/ALC11</f>
        <v>0</v>
      </c>
      <c r="ALG11" s="593">
        <v>11802.619199999999</v>
      </c>
      <c r="ALH11" s="593">
        <v>12038.671584</v>
      </c>
      <c r="ALI11" s="699"/>
      <c r="ALJ11" s="700">
        <f>ALI11/ALG11</f>
        <v>0</v>
      </c>
      <c r="ALK11" s="593">
        <v>11802.619199999999</v>
      </c>
      <c r="ALL11" s="593">
        <v>12038.671584</v>
      </c>
      <c r="ALM11" s="699"/>
      <c r="ALN11" s="700">
        <f>ALM11/ALK11</f>
        <v>0</v>
      </c>
      <c r="ALO11" s="593">
        <v>11802.619199999999</v>
      </c>
      <c r="ALP11" s="593">
        <v>12038.671584</v>
      </c>
      <c r="ALQ11" s="699"/>
      <c r="ALR11" s="700">
        <f>ALQ11/ALO11</f>
        <v>0</v>
      </c>
      <c r="ALS11" s="593">
        <v>11802.619199999999</v>
      </c>
      <c r="ALT11" s="593">
        <v>12038.671584</v>
      </c>
      <c r="ALU11" s="699"/>
      <c r="ALV11" s="700">
        <f>ALU11/ALS11</f>
        <v>0</v>
      </c>
      <c r="ALW11" s="593">
        <v>13769.722400000002</v>
      </c>
      <c r="ALX11" s="593">
        <v>14045.116848000001</v>
      </c>
      <c r="ALY11" s="699"/>
      <c r="ALZ11" s="700">
        <f>ALY11/ALW11</f>
        <v>0</v>
      </c>
      <c r="AMA11" s="593">
        <v>15736.8256</v>
      </c>
      <c r="AMB11" s="593">
        <v>16051.562112000001</v>
      </c>
      <c r="AMC11" s="699"/>
      <c r="AMD11" s="700">
        <f>AMC11/AMA11</f>
        <v>0</v>
      </c>
      <c r="AME11" s="593">
        <v>21638.135200000001</v>
      </c>
      <c r="AMF11" s="593">
        <v>22070.897904000001</v>
      </c>
      <c r="AMG11" s="699"/>
      <c r="AMH11" s="700">
        <f>AMG11/AME11</f>
        <v>0</v>
      </c>
      <c r="AMI11" s="579">
        <f>ALG11+ALK11+ALO11+ALS11+ALW11+AMA11+AME11</f>
        <v>98355.16</v>
      </c>
      <c r="AMJ11" s="574">
        <f>ALH11+ALL11+ALP11+ALT11+ALX11+AMB11+AMF11</f>
        <v>100322.2632</v>
      </c>
      <c r="AMK11" s="794">
        <f>ALI11+ALM11+ALQ11+ALU11+ALY11+AMC11+AMG11</f>
        <v>0</v>
      </c>
      <c r="AML11" s="786">
        <f>AMK11/AMI11</f>
        <v>0</v>
      </c>
      <c r="AMM11" s="593">
        <v>9987.5532000000003</v>
      </c>
      <c r="AMN11" s="593">
        <v>10187.304264</v>
      </c>
      <c r="AMO11" s="699"/>
      <c r="AMP11" s="700">
        <f>AMO11/AMM11</f>
        <v>0</v>
      </c>
      <c r="AMQ11" s="593">
        <v>9987.5532000000003</v>
      </c>
      <c r="AMR11" s="593">
        <v>10187.304264</v>
      </c>
      <c r="AMS11" s="699"/>
      <c r="AMT11" s="700">
        <f>AMS11/AMQ11</f>
        <v>0</v>
      </c>
      <c r="AMU11" s="593">
        <v>9987.5532000000003</v>
      </c>
      <c r="AMV11" s="593">
        <v>10187.304264</v>
      </c>
      <c r="AMW11" s="699"/>
      <c r="AMX11" s="700">
        <f>AMW11/AMU11</f>
        <v>0</v>
      </c>
      <c r="AMY11" s="593">
        <v>9987.5532000000003</v>
      </c>
      <c r="AMZ11" s="593">
        <v>10187.304264</v>
      </c>
      <c r="ANA11" s="699"/>
      <c r="ANB11" s="700">
        <f>ANA11/AMY11</f>
        <v>0</v>
      </c>
      <c r="ANC11" s="593">
        <v>11652.145400000001</v>
      </c>
      <c r="AND11" s="593">
        <v>11885.188308000001</v>
      </c>
      <c r="ANE11" s="699"/>
      <c r="ANF11" s="700">
        <f>ANE11/ANC11</f>
        <v>0</v>
      </c>
      <c r="ANG11" s="593">
        <v>13316.7376</v>
      </c>
      <c r="ANH11" s="593">
        <v>13583.072352000001</v>
      </c>
      <c r="ANI11" s="699"/>
      <c r="ANJ11" s="700">
        <f>ANI11/ANG11</f>
        <v>0</v>
      </c>
      <c r="ANK11" s="593">
        <v>18310.514200000001</v>
      </c>
      <c r="ANL11" s="593">
        <v>18676.724483999998</v>
      </c>
      <c r="ANM11" s="699"/>
      <c r="ANN11" s="700">
        <f>ANM11/ANK11</f>
        <v>0</v>
      </c>
      <c r="ANO11" s="579">
        <f>AMM11+AMQ11+AMU11+AMY11+ANC11+ANG11+ANK11</f>
        <v>83229.61</v>
      </c>
      <c r="ANP11" s="574">
        <f>AMN11+AMR11+AMV11+AMZ11+AND11+ANH11+ANL11</f>
        <v>84894.2022</v>
      </c>
      <c r="ANQ11" s="794">
        <f>AMO11+AMS11+AMW11+ANA11+ANE11+ANI11+ANM11</f>
        <v>0</v>
      </c>
      <c r="ANR11" s="786">
        <f>ANQ11/ANO11</f>
        <v>0</v>
      </c>
      <c r="ANS11" s="593">
        <f>'Proy 2022 vs 2019 sem'!GN10*ANV$4</f>
        <v>11356.3392</v>
      </c>
      <c r="ANT11" s="593">
        <f>'Proy 2022 vs 2019 sem'!GO10*ANV$4</f>
        <v>11129.212415999998</v>
      </c>
      <c r="ANU11" s="699"/>
      <c r="ANV11" s="700">
        <f>ANU11/ANS11</f>
        <v>0</v>
      </c>
      <c r="ANW11" s="593">
        <f>'Proy 2022 vs 2019 sem'!GN10*ANZ$4</f>
        <v>11356.3392</v>
      </c>
      <c r="ANX11" s="593">
        <f>'Proy 2022 vs 2019 sem'!GO10*ANZ$4</f>
        <v>11129.212415999998</v>
      </c>
      <c r="ANY11" s="699"/>
      <c r="ANZ11" s="700">
        <f>ANY11/ANW11</f>
        <v>0</v>
      </c>
      <c r="AOA11" s="593">
        <f>'Proy 2022 vs 2019 sem'!GN10*AOD$4</f>
        <v>11356.3392</v>
      </c>
      <c r="AOB11" s="593">
        <f>'Proy 2022 vs 2019 sem'!GO10*AOD$4</f>
        <v>11129.212415999998</v>
      </c>
      <c r="AOC11" s="699"/>
      <c r="AOD11" s="700">
        <f>AOC11/AOA11</f>
        <v>0</v>
      </c>
      <c r="AOE11" s="593">
        <f>'Proy 2022 vs 2019 sem'!GN10*AOH$4</f>
        <v>11356.3392</v>
      </c>
      <c r="AOF11" s="593">
        <f>'Proy 2022 vs 2019 sem'!GO10*AOH$4</f>
        <v>11129.212415999998</v>
      </c>
      <c r="AOG11" s="699"/>
      <c r="AOH11" s="700">
        <f>AOG11/AOE11</f>
        <v>0</v>
      </c>
      <c r="AOI11" s="593">
        <f>'Proy 2022 vs 2019 sem'!GN10*AOL$4</f>
        <v>13249.062400000003</v>
      </c>
      <c r="AOJ11" s="593">
        <f>'Proy 2022 vs 2019 sem'!GO10*AOL$4</f>
        <v>12984.081152000001</v>
      </c>
      <c r="AOK11" s="699"/>
      <c r="AOL11" s="700">
        <f>AOK11/AOI11</f>
        <v>0</v>
      </c>
      <c r="AOM11" s="593">
        <f>'Proy 2022 vs 2019 sem'!GN10*AOP$4</f>
        <v>15141.785600000001</v>
      </c>
      <c r="AON11" s="593">
        <f>'Proy 2022 vs 2019 sem'!GO10*AOP$4</f>
        <v>14838.949887999999</v>
      </c>
      <c r="AOO11" s="699"/>
      <c r="AOP11" s="700">
        <f>AOO11/AOM11</f>
        <v>0</v>
      </c>
      <c r="AOQ11" s="593">
        <f>'Proy 2022 vs 2019 sem'!GN10*AOT$4</f>
        <v>20819.9552</v>
      </c>
      <c r="AOR11" s="593">
        <f>'Proy 2022 vs 2019 sem'!GO10*AOT$4</f>
        <v>20403.556096</v>
      </c>
      <c r="AOS11" s="699"/>
      <c r="AOT11" s="700">
        <f>AOS11/AOQ11</f>
        <v>0</v>
      </c>
      <c r="AOU11" s="579">
        <f>ANS11+ANW11+AOA11+AOE11+AOI11+AOM11+AOQ11</f>
        <v>94636.160000000003</v>
      </c>
      <c r="AOV11" s="574">
        <f>ANT11+ANX11+AOB11+AOF11+AOJ11+AON11+AOR11</f>
        <v>92743.436799999996</v>
      </c>
      <c r="AOW11" s="785">
        <f>ANU11+ANY11+AOC11+AOG11+AOK11+AOO11+AOS11</f>
        <v>0</v>
      </c>
      <c r="AOX11" s="786">
        <f>AOW11/AOU11</f>
        <v>0</v>
      </c>
      <c r="AOY11" s="593">
        <f>'Proy 2022 vs 2019 sem'!GW10*APB$4</f>
        <v>9961.08</v>
      </c>
      <c r="AOZ11" s="593">
        <f>'Proy 2022 vs 2019 sem'!GX10*APB$4</f>
        <v>9761.8583999999992</v>
      </c>
      <c r="APA11" s="735"/>
      <c r="APB11" s="700">
        <f>APA11/AOY11</f>
        <v>0</v>
      </c>
      <c r="APC11" s="593">
        <f>'Proy 2022 vs 2019 sem'!GW10*APF$4</f>
        <v>9961.08</v>
      </c>
      <c r="APD11" s="593">
        <f>'Proy 2022 vs 2019 sem'!GX10*APF$4</f>
        <v>9761.8583999999992</v>
      </c>
      <c r="APE11" s="735"/>
      <c r="APF11" s="700">
        <f>APE11/APC11</f>
        <v>0</v>
      </c>
      <c r="APG11" s="593">
        <f>'Proy 2022 vs 2019 sem'!GW10*APJ$4</f>
        <v>9961.08</v>
      </c>
      <c r="APH11" s="593">
        <f>'Proy 2022 vs 2019 sem'!GX10*APJ$4</f>
        <v>9761.8583999999992</v>
      </c>
      <c r="API11" s="735"/>
      <c r="APJ11" s="700">
        <f>API11/APG11</f>
        <v>0</v>
      </c>
      <c r="APK11" s="593">
        <f>'Proy 2022 vs 2019 sem'!GW10*APN$4</f>
        <v>9961.08</v>
      </c>
      <c r="APL11" s="593">
        <f>'Proy 2022 vs 2019 sem'!GX10*APN$4</f>
        <v>9761.8583999999992</v>
      </c>
      <c r="APM11" s="735"/>
      <c r="APN11" s="700">
        <f>APM11/APK11</f>
        <v>0</v>
      </c>
      <c r="APO11" s="593">
        <f>'Proy 2022 vs 2019 sem'!GW10*APR$4</f>
        <v>11621.26</v>
      </c>
      <c r="APP11" s="593">
        <f>'Proy 2022 vs 2019 sem'!GX10*APR$4</f>
        <v>11388.834800000001</v>
      </c>
      <c r="APQ11" s="735"/>
      <c r="APR11" s="700">
        <f>APQ11/APO11</f>
        <v>0</v>
      </c>
      <c r="APS11" s="593">
        <f>'Proy 2022 vs 2019 sem'!GW10*APV$4</f>
        <v>13281.44</v>
      </c>
      <c r="APT11" s="593">
        <f>'Proy 2022 vs 2019 sem'!GX10*APV$4</f>
        <v>13015.811199999998</v>
      </c>
      <c r="APU11" s="735"/>
      <c r="APV11" s="700">
        <f>APU11/APS11</f>
        <v>0</v>
      </c>
      <c r="APW11" s="593">
        <f>'Proy 2022 vs 2019 sem'!GW10*APZ$4</f>
        <v>18261.98</v>
      </c>
      <c r="APX11" s="593">
        <f>'Proy 2022 vs 2019 sem'!GX10*APZ$4</f>
        <v>17896.740399999999</v>
      </c>
      <c r="APY11" s="735"/>
      <c r="APZ11" s="700">
        <f>APY11/APW11</f>
        <v>0</v>
      </c>
      <c r="AQA11" s="579">
        <f>AOY11+APC11+APG11+APK11+APO11+APS11+APW11</f>
        <v>83009</v>
      </c>
      <c r="AQB11" s="574">
        <f>AOZ11+APD11+APH11+APL11+APP11+APT11+APX11</f>
        <v>81348.819999999992</v>
      </c>
      <c r="AQC11" s="729">
        <f>APA11+APE11+API11+APM11+APQ11+APU11+APY11</f>
        <v>0</v>
      </c>
      <c r="AQD11" s="711">
        <f>AQC11/AQA11</f>
        <v>0</v>
      </c>
      <c r="AQE11" s="593">
        <f>'Proy 2022 vs 2019 sem'!HB10*AQH$4</f>
        <v>9135.1967999999997</v>
      </c>
      <c r="AQF11" s="593">
        <f>'Proy 2022 vs 2019 sem'!HC10*AQH$4</f>
        <v>9135.1967999999997</v>
      </c>
      <c r="AQG11" s="699"/>
      <c r="AQH11" s="700">
        <f>AQG11/AQE11</f>
        <v>0</v>
      </c>
      <c r="AQI11" s="593">
        <f>'Proy 2022 vs 2019 sem'!HB10*AQL$4</f>
        <v>9135.1967999999997</v>
      </c>
      <c r="AQJ11" s="593">
        <f>'Proy 2022 vs 2019 sem'!HC10*AQL$4</f>
        <v>9135.1967999999997</v>
      </c>
      <c r="AQK11" s="699"/>
      <c r="AQL11" s="700">
        <f>AQK11/AQI11</f>
        <v>0</v>
      </c>
      <c r="AQM11" s="593">
        <f>'Proy 2022 vs 2019 sem'!HB10*AQP$4</f>
        <v>9135.1967999999997</v>
      </c>
      <c r="AQN11" s="593">
        <f>'Proy 2022 vs 2019 sem'!HC10*AQP$4</f>
        <v>9135.1967999999997</v>
      </c>
      <c r="AQO11" s="699"/>
      <c r="AQP11" s="700">
        <f>AQO11/AQM11</f>
        <v>0</v>
      </c>
      <c r="AQQ11" s="593">
        <f>'Proy 2022 vs 2019 sem'!HB10*AQT$4</f>
        <v>9135.1967999999997</v>
      </c>
      <c r="AQR11" s="593">
        <f>'Proy 2022 vs 2019 sem'!HC10*AQT$4</f>
        <v>9135.1967999999997</v>
      </c>
      <c r="AQS11" s="699"/>
      <c r="AQT11" s="700">
        <f>AQS11/AQQ11</f>
        <v>0</v>
      </c>
      <c r="AQU11" s="593">
        <f>'Proy 2022 vs 2019 sem'!HB10*AQX$4</f>
        <v>10657.729600000001</v>
      </c>
      <c r="AQV11" s="593">
        <f>'Proy 2022 vs 2019 sem'!HC10*AQX$4</f>
        <v>10657.729600000001</v>
      </c>
      <c r="AQW11" s="699"/>
      <c r="AQX11" s="700">
        <f>AQW11/AQU11</f>
        <v>0</v>
      </c>
      <c r="AQY11" s="593">
        <f>'Proy 2022 vs 2019 sem'!HB10*ARB$4</f>
        <v>12180.2624</v>
      </c>
      <c r="AQZ11" s="593">
        <f>'Proy 2022 vs 2019 sem'!HC10*ARB$4</f>
        <v>12180.2624</v>
      </c>
      <c r="ARA11" s="699"/>
      <c r="ARB11" s="700">
        <f>ARA11/AQY11</f>
        <v>0</v>
      </c>
      <c r="ARC11" s="593">
        <f>'Proy 2022 vs 2019 sem'!HB10*ARF$4</f>
        <v>16747.860799999999</v>
      </c>
      <c r="ARD11" s="593">
        <f>'Proy 2022 vs 2019 sem'!HC10*ARF$4</f>
        <v>16747.860799999999</v>
      </c>
      <c r="ARE11" s="699"/>
      <c r="ARF11" s="700">
        <f>ARE11/ARC11</f>
        <v>0</v>
      </c>
      <c r="ARG11" s="579">
        <f>AQE11+AQI11+AQM11+AQQ11+AQU11+AQY11+ARC11</f>
        <v>76126.64</v>
      </c>
      <c r="ARH11" s="574">
        <f>AQF11+AQJ11+AQN11+AQR11+AQV11+AQZ11+ARD11</f>
        <v>76126.64</v>
      </c>
      <c r="ARI11" s="730">
        <f>AQG11+AQK11+AQO11+AQS11+AQW11+ARA11+ARE11</f>
        <v>0</v>
      </c>
      <c r="ARJ11" s="711">
        <f>ARI11/ARG11</f>
        <v>0</v>
      </c>
      <c r="ARK11" s="593">
        <f>'Proy 2022 vs 2019 sem'!HG10*ARN$4</f>
        <v>6897.2915999999996</v>
      </c>
      <c r="ARL11" s="593">
        <f>'Proy 2022 vs 2019 sem'!HH10*ARN$4</f>
        <v>6552.4270200000001</v>
      </c>
      <c r="ARM11" s="699"/>
      <c r="ARN11" s="700">
        <f>ARM11/ARK11</f>
        <v>0</v>
      </c>
      <c r="ARO11" s="593">
        <f>'Proy 2022 vs 2019 sem'!HG10*ARR$4</f>
        <v>6897.2915999999996</v>
      </c>
      <c r="ARP11" s="593">
        <f>'Proy 2022 vs 2019 sem'!HH10*ARR$4</f>
        <v>6552.4270200000001</v>
      </c>
      <c r="ARQ11" s="699"/>
      <c r="ARR11" s="700">
        <f>ARQ11/ARO11</f>
        <v>0</v>
      </c>
      <c r="ARS11" s="593">
        <f>'Proy 2022 vs 2019 sem'!HG10*ARV$4</f>
        <v>6897.2915999999996</v>
      </c>
      <c r="ART11" s="593">
        <f>'Proy 2022 vs 2019 sem'!HH10*ARV$4</f>
        <v>6552.4270200000001</v>
      </c>
      <c r="ARU11" s="699"/>
      <c r="ARV11" s="700">
        <f>ARU11/ARS11</f>
        <v>0</v>
      </c>
      <c r="ARW11" s="593">
        <f>'Proy 2022 vs 2019 sem'!HG10*ARZ$4</f>
        <v>6897.2915999999996</v>
      </c>
      <c r="ARX11" s="593">
        <f>'Proy 2022 vs 2019 sem'!HH10*ARZ$4</f>
        <v>6552.4270200000001</v>
      </c>
      <c r="ARY11" s="699"/>
      <c r="ARZ11" s="700">
        <f>ARY11/ARW11</f>
        <v>0</v>
      </c>
      <c r="ASA11" s="593">
        <f>'Proy 2022 vs 2019 sem'!HG10*ASD$4</f>
        <v>8046.8402000000006</v>
      </c>
      <c r="ASB11" s="593">
        <f>'Proy 2022 vs 2019 sem'!HH10*ASD$4</f>
        <v>7644.4981900000002</v>
      </c>
      <c r="ASC11" s="699"/>
      <c r="ASD11" s="700">
        <f>ASC11/ASA11</f>
        <v>0</v>
      </c>
      <c r="ASE11" s="593">
        <f>'Proy 2022 vs 2019 sem'!HG10*ASH$4</f>
        <v>9196.3888000000006</v>
      </c>
      <c r="ASF11" s="593">
        <f>'Proy 2022 vs 2019 sem'!HH10*ASH$4</f>
        <v>8736.5693599999995</v>
      </c>
      <c r="ASG11" s="699"/>
      <c r="ASH11" s="700">
        <f>ASG11/ASE11</f>
        <v>0</v>
      </c>
      <c r="ASI11" s="593">
        <f>'Proy 2022 vs 2019 sem'!HG10*ASL$4</f>
        <v>12645.034600000001</v>
      </c>
      <c r="ASJ11" s="593">
        <f>'Proy 2022 vs 2019 sem'!HH10*ASL$4</f>
        <v>12012.782869999999</v>
      </c>
      <c r="ASK11" s="699"/>
      <c r="ASL11" s="700">
        <f>ASK11/ASI11</f>
        <v>0</v>
      </c>
      <c r="ASM11" s="579">
        <f>ARK11+ARO11+ARS11+ARW11+ASA11+ASE11+ASI11</f>
        <v>57477.43</v>
      </c>
      <c r="ASN11" s="574">
        <f>ARL11+ARP11+ART11+ARX11+ASB11+ASF11+ASJ11</f>
        <v>54603.558499999999</v>
      </c>
      <c r="ASO11" s="730">
        <f>ARM11+ARQ11+ARU11+ARY11+ASC11+ASG11+ASK11</f>
        <v>0</v>
      </c>
      <c r="ASP11" s="711">
        <f>ASO11/ASM11</f>
        <v>0</v>
      </c>
      <c r="ASQ11" s="593">
        <f>'Proy 2022 vs 2019 sem'!HL10*AST$4</f>
        <v>8358.6383999999998</v>
      </c>
      <c r="ASR11" s="593">
        <f>'Proy 2022 vs 2019 sem'!HM10*AST$4</f>
        <v>8107.8792480000011</v>
      </c>
      <c r="ASS11" s="699"/>
      <c r="AST11" s="700">
        <f>ASS11/ASQ11</f>
        <v>0</v>
      </c>
      <c r="ASU11" s="593">
        <f>'Proy 2022 vs 2019 sem'!HL10*ASX$4</f>
        <v>8358.6383999999998</v>
      </c>
      <c r="ASV11" s="593">
        <f>'Proy 2022 vs 2019 sem'!HM10*ASX$4</f>
        <v>8107.8792480000011</v>
      </c>
      <c r="ASW11" s="699"/>
      <c r="ASX11" s="700">
        <f>ASW11/ASU11</f>
        <v>0</v>
      </c>
      <c r="ASY11" s="593">
        <f>'Proy 2022 vs 2019 sem'!HL10*ATB$4</f>
        <v>8358.6383999999998</v>
      </c>
      <c r="ASZ11" s="593">
        <f>'Proy 2022 vs 2019 sem'!HM10*ATB$4</f>
        <v>8107.8792480000011</v>
      </c>
      <c r="ATA11" s="699"/>
      <c r="ATB11" s="700">
        <f>ATA11/ASY11</f>
        <v>0</v>
      </c>
      <c r="ATC11" s="593">
        <f>'Proy 2022 vs 2019 sem'!HL10*ATF$4</f>
        <v>8358.6383999999998</v>
      </c>
      <c r="ATD11" s="593">
        <f>'Proy 2022 vs 2019 sem'!HM10*ATF$4</f>
        <v>8107.8792480000011</v>
      </c>
      <c r="ATE11" s="699"/>
      <c r="ATF11" s="700">
        <f>ATE11/ATC11</f>
        <v>0</v>
      </c>
      <c r="ATG11" s="593">
        <f>'Proy 2022 vs 2019 sem'!HL10*ATJ$4</f>
        <v>9751.7448000000022</v>
      </c>
      <c r="ATH11" s="593">
        <f>'Proy 2022 vs 2019 sem'!HM10*ATJ$4</f>
        <v>9459.1924560000025</v>
      </c>
      <c r="ATI11" s="699"/>
      <c r="ATJ11" s="700">
        <f>ATI11/ATG11</f>
        <v>0</v>
      </c>
      <c r="ATK11" s="593">
        <f>'Proy 2022 vs 2019 sem'!HL10*ATN$4</f>
        <v>11144.851200000001</v>
      </c>
      <c r="ATL11" s="593">
        <f>'Proy 2022 vs 2019 sem'!HM10*ATN$4</f>
        <v>10810.505664000002</v>
      </c>
      <c r="ATM11" s="699"/>
      <c r="ATN11" s="700">
        <f>ATM11/ATK11</f>
        <v>0</v>
      </c>
      <c r="ATO11" s="593">
        <f>'Proy 2022 vs 2019 sem'!HL10*ATR$4</f>
        <v>15324.170400000001</v>
      </c>
      <c r="ATP11" s="593">
        <f>'Proy 2022 vs 2019 sem'!HM10*ATR$4</f>
        <v>14864.445288000003</v>
      </c>
      <c r="ATQ11" s="699"/>
      <c r="ATR11" s="700">
        <f>ATQ11/ATO11</f>
        <v>0</v>
      </c>
      <c r="ATS11" s="579">
        <f>ASQ11+ASU11+ASY11+ATC11+ATG11+ATK11+ATO11</f>
        <v>69655.320000000007</v>
      </c>
      <c r="ATT11" s="574">
        <f>ASR11+ASV11+ASZ11+ATD11+ATH11+ATL11+ATP11</f>
        <v>67565.660400000022</v>
      </c>
      <c r="ATU11" s="710">
        <f>ASS11+ASW11+ATA11+ATE11+ATI11+ATM11+ATQ11</f>
        <v>0</v>
      </c>
      <c r="ATV11" s="711">
        <f>ATU11/ATS11</f>
        <v>0</v>
      </c>
      <c r="ATW11" s="593">
        <f>'Proy 2022 vs 2019 sem'!HQ10*ATZ$4</f>
        <v>8261.8055999999997</v>
      </c>
      <c r="ATX11" s="593">
        <f>'Proy 2022 vs 2019 sem'!HR10*ATZ$4</f>
        <v>8013.9514319999998</v>
      </c>
      <c r="ATY11" s="699"/>
      <c r="ATZ11" s="700">
        <f>ATY11/ATW11</f>
        <v>0</v>
      </c>
      <c r="AUA11" s="593">
        <f>'Proy 2022 vs 2019 sem'!HQ10*AUD$4</f>
        <v>8261.8055999999997</v>
      </c>
      <c r="AUB11" s="593">
        <f>'Proy 2022 vs 2019 sem'!HR10*AUD$4</f>
        <v>8013.9514319999998</v>
      </c>
      <c r="AUC11" s="699"/>
      <c r="AUD11" s="700">
        <f>AUC11/AUA11</f>
        <v>0</v>
      </c>
      <c r="AUE11" s="593">
        <f>'Proy 2022 vs 2019 sem'!HQ10*AUH$4</f>
        <v>8261.8055999999997</v>
      </c>
      <c r="AUF11" s="593">
        <f>'Proy 2022 vs 2019 sem'!HR10*AUH$4</f>
        <v>8013.9514319999998</v>
      </c>
      <c r="AUG11" s="699"/>
      <c r="AUH11" s="700">
        <f>AUG11/AUE11</f>
        <v>0</v>
      </c>
      <c r="AUI11" s="593">
        <f>'Proy 2022 vs 2019 sem'!HQ10*AUL$4</f>
        <v>8261.8055999999997</v>
      </c>
      <c r="AUJ11" s="593">
        <f>'Proy 2022 vs 2019 sem'!HR10*AUL$4</f>
        <v>8013.9514319999998</v>
      </c>
      <c r="AUK11" s="699"/>
      <c r="AUL11" s="700">
        <f>AUK11/AUI11</f>
        <v>0</v>
      </c>
      <c r="AUM11" s="593">
        <f>'Proy 2022 vs 2019 sem'!HQ10*AUP$4</f>
        <v>9638.7732000000015</v>
      </c>
      <c r="AUN11" s="593">
        <f>'Proy 2022 vs 2019 sem'!HR10*AUP$4</f>
        <v>9349.6100040000001</v>
      </c>
      <c r="AUO11" s="699"/>
      <c r="AUP11" s="700">
        <f>AUO11/AUM11</f>
        <v>0</v>
      </c>
      <c r="AUQ11" s="593">
        <f>'Proy 2022 vs 2019 sem'!HQ10*AUT$4</f>
        <v>11015.740800000001</v>
      </c>
      <c r="AUR11" s="593">
        <f>'Proy 2022 vs 2019 sem'!HR10*AUT$4</f>
        <v>10685.268576</v>
      </c>
      <c r="AUS11" s="699"/>
      <c r="AUT11" s="700">
        <f>AUS11/AUQ11</f>
        <v>0</v>
      </c>
      <c r="AUU11" s="593">
        <f>'Proy 2022 vs 2019 sem'!HQ10*AUX$4</f>
        <v>15146.643600000001</v>
      </c>
      <c r="AUV11" s="593">
        <f>'Proy 2022 vs 2019 sem'!HR10*AUX$4</f>
        <v>14692.244291999999</v>
      </c>
      <c r="AUW11" s="699"/>
      <c r="AUX11" s="700">
        <f>AUW11/AUU11</f>
        <v>0</v>
      </c>
      <c r="AUY11" s="579">
        <f>ATW11+AUA11+AUE11+AUI11+AUM11+AUQ11+AUU11</f>
        <v>68848.38</v>
      </c>
      <c r="AUZ11" s="574">
        <f>ATX11+AUB11+AUF11+AUJ11+AUN11+AUR11+AUV11</f>
        <v>66782.928599999999</v>
      </c>
      <c r="AVA11" s="710">
        <f>ATY11+AUC11+AUG11+AUK11+AUO11+AUS11+AUW11</f>
        <v>0</v>
      </c>
      <c r="AVB11" s="711">
        <f>AVA11/AUY11</f>
        <v>0</v>
      </c>
      <c r="AVC11" s="593">
        <f>'Proy 2022 vs 2019 sem'!HZ10*AVF$4</f>
        <v>7748.8512000000001</v>
      </c>
      <c r="AVD11" s="593">
        <f>'Proy 2022 vs 2019 sem'!IA10*AVF$4</f>
        <v>7516.3856639999995</v>
      </c>
      <c r="AVE11" s="735"/>
      <c r="AVF11" s="700">
        <f>AVE11/AVC11</f>
        <v>0</v>
      </c>
      <c r="AVG11" s="593">
        <f>'Proy 2022 vs 2019 sem'!HZ10*AVJ$4</f>
        <v>7748.8512000000001</v>
      </c>
      <c r="AVH11" s="593">
        <f>'Proy 2022 vs 2019 sem'!IA10*AVJ$4</f>
        <v>7516.3856639999995</v>
      </c>
      <c r="AVI11" s="699"/>
      <c r="AVJ11" s="700">
        <f>AVI11/AVG11</f>
        <v>0</v>
      </c>
      <c r="AVK11" s="593">
        <f>'Proy 2022 vs 2019 sem'!HZ10*AVN$4</f>
        <v>7748.8512000000001</v>
      </c>
      <c r="AVL11" s="593">
        <f>'Proy 2022 vs 2019 sem'!IA10*AVN$4</f>
        <v>7516.3856639999995</v>
      </c>
      <c r="AVM11" s="699"/>
      <c r="AVN11" s="700">
        <f>AVM11/AVK11</f>
        <v>0</v>
      </c>
      <c r="AVO11" s="593">
        <f>'Proy 2022 vs 2019 sem'!HZ10*AVR$4</f>
        <v>7748.8512000000001</v>
      </c>
      <c r="AVP11" s="593">
        <f>'Proy 2022 vs 2019 sem'!IA10*AVR$4</f>
        <v>7516.3856639999995</v>
      </c>
      <c r="AVQ11" s="699"/>
      <c r="AVR11" s="700">
        <f>AVQ11/AVO11</f>
        <v>0</v>
      </c>
      <c r="AVS11" s="593">
        <f>'Proy 2022 vs 2019 sem'!HZ10*AVV$4</f>
        <v>9040.3264000000017</v>
      </c>
      <c r="AVT11" s="593">
        <f>'Proy 2022 vs 2019 sem'!IA10*AVV$4</f>
        <v>8769.1166080000003</v>
      </c>
      <c r="AVU11" s="699"/>
      <c r="AVV11" s="700">
        <f>AVU11/AVS11</f>
        <v>0</v>
      </c>
      <c r="AVW11" s="593">
        <f>'Proy 2022 vs 2019 sem'!HZ10*AVZ$4</f>
        <v>10331.801600000001</v>
      </c>
      <c r="AVX11" s="593">
        <f>'Proy 2022 vs 2019 sem'!IA10*AVZ$4</f>
        <v>10021.847552000001</v>
      </c>
      <c r="AVY11" s="699"/>
      <c r="AVZ11" s="700">
        <f>AVY11/AVW11</f>
        <v>0</v>
      </c>
      <c r="AWA11" s="593">
        <f>'Proy 2022 vs 2019 sem'!HZ10*AWD$4</f>
        <v>14206.227200000001</v>
      </c>
      <c r="AWB11" s="593">
        <f>'Proy 2022 vs 2019 sem'!IA10*AWD$4</f>
        <v>13780.040384</v>
      </c>
      <c r="AWC11" s="699"/>
      <c r="AWD11" s="700">
        <f>AWC11/AWA11</f>
        <v>0</v>
      </c>
      <c r="AWE11" s="579">
        <f>AVC11+AVG11+AVK11+AVO11+AVS11+AVW11+AWA11</f>
        <v>64573.760000000002</v>
      </c>
      <c r="AWF11" s="574">
        <f>AVD11+AVH11+AVL11+AVP11+AVT11+AVX11+AWB11</f>
        <v>62636.547200000001</v>
      </c>
      <c r="AWG11" s="793">
        <f>AVE11+AVI11+AVM11+AVQ11+AVU11+AVY11+AWC11</f>
        <v>0</v>
      </c>
      <c r="AWH11" s="786">
        <f>AWG11/AWE11</f>
        <v>0</v>
      </c>
      <c r="AWI11" s="593">
        <f>'Proy 2022 vs 2019 sem'!IE10*AWL$4</f>
        <v>10448.488800000001</v>
      </c>
      <c r="AWJ11" s="593">
        <f>'Proy 2022 vs 2019 sem'!IF10*AWL$4</f>
        <v>10030.549248000001</v>
      </c>
      <c r="AWK11" s="699"/>
      <c r="AWL11" s="700">
        <f>AWK11/AWI11</f>
        <v>0</v>
      </c>
      <c r="AWM11" s="593">
        <f>'Proy 2022 vs 2019 sem'!IE10*AWP$4</f>
        <v>10448.488800000001</v>
      </c>
      <c r="AWN11" s="593">
        <f>'Proy 2022 vs 2019 sem'!IF10*AWP$4</f>
        <v>10030.549248000001</v>
      </c>
      <c r="AWO11" s="699"/>
      <c r="AWP11" s="700">
        <f>AWO11/AWM11</f>
        <v>0</v>
      </c>
      <c r="AWQ11" s="593">
        <f>'Proy 2022 vs 2019 sem'!IE10*AWT$4</f>
        <v>10448.488800000001</v>
      </c>
      <c r="AWR11" s="593">
        <f>'Proy 2022 vs 2019 sem'!IF10*AWT$4</f>
        <v>10030.549248000001</v>
      </c>
      <c r="AWS11" s="699"/>
      <c r="AWT11" s="700">
        <f>AWS11/AWQ11</f>
        <v>0</v>
      </c>
      <c r="AWU11" s="593">
        <f>'Proy 2022 vs 2019 sem'!IE10*AWX$4</f>
        <v>10448.488800000001</v>
      </c>
      <c r="AWV11" s="593">
        <f>'Proy 2022 vs 2019 sem'!IF10*AWX$4</f>
        <v>10030.549248000001</v>
      </c>
      <c r="AWW11" s="699"/>
      <c r="AWX11" s="700">
        <f>AWW11/AWU11</f>
        <v>0</v>
      </c>
      <c r="AWY11" s="593">
        <f>'Proy 2022 vs 2019 sem'!IE10*AXB$4</f>
        <v>12189.903600000001</v>
      </c>
      <c r="AWZ11" s="593">
        <f>'Proy 2022 vs 2019 sem'!IF10*AXB$4</f>
        <v>11702.307456000002</v>
      </c>
      <c r="AXA11" s="699"/>
      <c r="AXB11" s="700">
        <f>AXA11/AWY11</f>
        <v>0</v>
      </c>
      <c r="AXC11" s="593">
        <f>'Proy 2022 vs 2019 sem'!IE10*AXF$4</f>
        <v>13931.318400000002</v>
      </c>
      <c r="AXD11" s="593">
        <f>'Proy 2022 vs 2019 sem'!IF10*AXF$4</f>
        <v>13374.065664000002</v>
      </c>
      <c r="AXE11" s="699"/>
      <c r="AXF11" s="700">
        <f>AXE11/AXC11</f>
        <v>0</v>
      </c>
      <c r="AXG11" s="593">
        <f>'Proy 2022 vs 2019 sem'!IE10*AXJ$4</f>
        <v>19155.5628</v>
      </c>
      <c r="AXH11" s="593">
        <f>'Proy 2022 vs 2019 sem'!IF10*AXJ$4</f>
        <v>18389.340288000003</v>
      </c>
      <c r="AXI11" s="699"/>
      <c r="AXJ11" s="700">
        <f>AXI11/AXG11</f>
        <v>0</v>
      </c>
      <c r="AXK11" s="579">
        <f>AWI11+AWM11+AWQ11+AWU11+AWY11+AXC11+AXG11</f>
        <v>87070.74</v>
      </c>
      <c r="AXL11" s="574">
        <f>AWJ11+AWN11+AWR11+AWV11+AWZ11+AXD11+AXH11</f>
        <v>83587.910400000008</v>
      </c>
      <c r="AXM11" s="794">
        <f>AWK11+AWO11+AWS11+AWW11+AXA11+AXE11+AXI11</f>
        <v>0</v>
      </c>
      <c r="AXN11" s="786">
        <f>AXM11/AXK11</f>
        <v>0</v>
      </c>
      <c r="AXO11" s="593">
        <f>'Proy 2022 vs 2019 sem'!IJ10*AXR$4</f>
        <v>9275.4371999999985</v>
      </c>
      <c r="AXP11" s="593">
        <f>'Proy 2022 vs 2019 sem'!IK10*AXR$4</f>
        <v>9182.6828279999991</v>
      </c>
      <c r="AXQ11" s="699"/>
      <c r="AXR11" s="700">
        <f>AXQ11/AXO11</f>
        <v>0</v>
      </c>
      <c r="AXS11" s="593">
        <f>'Proy 2022 vs 2019 sem'!IJ10*AXV$4</f>
        <v>9275.4371999999985</v>
      </c>
      <c r="AXT11" s="593">
        <f>'Proy 2022 vs 2019 sem'!IK10*AXV$4</f>
        <v>9182.6828279999991</v>
      </c>
      <c r="AXU11" s="699"/>
      <c r="AXV11" s="700">
        <f>AXU11/AXS11</f>
        <v>0</v>
      </c>
      <c r="AXW11" s="593">
        <f>'Proy 2022 vs 2019 sem'!IJ10*AXZ$4</f>
        <v>9275.4371999999985</v>
      </c>
      <c r="AXX11" s="593">
        <f>'Proy 2022 vs 2019 sem'!IK10*AXZ$4</f>
        <v>9182.6828279999991</v>
      </c>
      <c r="AXY11" s="699"/>
      <c r="AXZ11" s="700">
        <f>AXY11/AXW11</f>
        <v>0</v>
      </c>
      <c r="AYA11" s="593">
        <f>'Proy 2022 vs 2019 sem'!IJ10*AYD$4</f>
        <v>9275.4371999999985</v>
      </c>
      <c r="AYB11" s="593">
        <f>'Proy 2022 vs 2019 sem'!IK10*AYD$4</f>
        <v>9182.6828279999991</v>
      </c>
      <c r="AYC11" s="699"/>
      <c r="AYD11" s="700">
        <f>AYC11/AYA11</f>
        <v>0</v>
      </c>
      <c r="AYE11" s="593">
        <f>'Proy 2022 vs 2019 sem'!IJ10*AYH$4</f>
        <v>10821.343400000002</v>
      </c>
      <c r="AYF11" s="593">
        <f>'Proy 2022 vs 2019 sem'!IK10*AYH$4</f>
        <v>10713.129966</v>
      </c>
      <c r="AYG11" s="699"/>
      <c r="AYH11" s="700">
        <f>AYG11/AYE11</f>
        <v>0</v>
      </c>
      <c r="AYI11" s="593">
        <f>'Proy 2022 vs 2019 sem'!IJ10*AYL$4</f>
        <v>12367.249599999999</v>
      </c>
      <c r="AYJ11" s="593">
        <f>'Proy 2022 vs 2019 sem'!IK10*AYL$4</f>
        <v>12243.577104</v>
      </c>
      <c r="AYK11" s="699"/>
      <c r="AYL11" s="700">
        <f>AYK11/AYI11</f>
        <v>0</v>
      </c>
      <c r="AYM11" s="593">
        <f>'Proy 2022 vs 2019 sem'!IJ10*AYP$4</f>
        <v>17004.968199999999</v>
      </c>
      <c r="AYN11" s="593">
        <f>'Proy 2022 vs 2019 sem'!IK10*AYP$4</f>
        <v>16834.918517999999</v>
      </c>
      <c r="AYO11" s="699"/>
      <c r="AYP11" s="700">
        <f>AYO11/AYM11</f>
        <v>0</v>
      </c>
      <c r="AYQ11" s="579">
        <f>AXO11+AXS11+AXW11+AYA11+AYE11+AYI11+AYM11</f>
        <v>77295.31</v>
      </c>
      <c r="AYR11" s="574">
        <f>AXP11+AXT11+AXX11+AYB11+AYF11+AYJ11+AYN11</f>
        <v>76522.356899999984</v>
      </c>
      <c r="AYS11" s="794">
        <f>AXQ11+AXU11+AXY11+AYC11+AYG11+AYK11+AYO11</f>
        <v>0</v>
      </c>
      <c r="AYT11" s="786">
        <f>AYS11/AYQ11</f>
        <v>0</v>
      </c>
      <c r="AYU11" s="593">
        <f>'Proy 2022 vs 2019 sem'!IO10*AYX$4</f>
        <v>13244.07</v>
      </c>
      <c r="AYV11" s="593">
        <f>'Proy 2022 vs 2019 sem'!IP10*AYX$4</f>
        <v>12714.307199999999</v>
      </c>
      <c r="AYW11" s="699"/>
      <c r="AYX11" s="700">
        <f>AYW11/AYU11</f>
        <v>0</v>
      </c>
      <c r="AYY11" s="593">
        <f>'Proy 2022 vs 2019 sem'!IO10*AZB$4</f>
        <v>13244.07</v>
      </c>
      <c r="AYZ11" s="593">
        <f>'Proy 2022 vs 2019 sem'!IP10*AZB$4</f>
        <v>12714.307199999999</v>
      </c>
      <c r="AZA11" s="699"/>
      <c r="AZB11" s="700">
        <f>AZA11/AYY11</f>
        <v>0</v>
      </c>
      <c r="AZC11" s="593">
        <f>'Proy 2022 vs 2019 sem'!IO10*AZF$4</f>
        <v>13244.07</v>
      </c>
      <c r="AZD11" s="593">
        <f>'Proy 2022 vs 2019 sem'!IP10*AZF$4</f>
        <v>12714.307199999999</v>
      </c>
      <c r="AZE11" s="699"/>
      <c r="AZF11" s="700">
        <f>AZE11/AZC11</f>
        <v>0</v>
      </c>
      <c r="AZG11" s="593">
        <f>'Proy 2022 vs 2019 sem'!IO10*AZJ$4</f>
        <v>13244.07</v>
      </c>
      <c r="AZH11" s="593">
        <f>'Proy 2022 vs 2019 sem'!IP10*AZJ$4</f>
        <v>12714.307199999999</v>
      </c>
      <c r="AZI11" s="699"/>
      <c r="AZJ11" s="700">
        <f>AZI11/AZG11</f>
        <v>0</v>
      </c>
      <c r="AZK11" s="593">
        <f>'Proy 2022 vs 2019 sem'!IO10*AZN$4</f>
        <v>15451.415000000001</v>
      </c>
      <c r="AZL11" s="593">
        <f>'Proy 2022 vs 2019 sem'!IP10*AZN$4</f>
        <v>14833.358400000001</v>
      </c>
      <c r="AZM11" s="699"/>
      <c r="AZN11" s="700">
        <f>AZM11/AZK11</f>
        <v>0</v>
      </c>
      <c r="AZO11" s="593">
        <f>'Proy 2022 vs 2019 sem'!IO10*AZR$4</f>
        <v>17658.760000000002</v>
      </c>
      <c r="AZP11" s="593">
        <f>'Proy 2022 vs 2019 sem'!IP10*AZR$4</f>
        <v>16952.409599999999</v>
      </c>
      <c r="AZQ11" s="699"/>
      <c r="AZR11" s="700">
        <f>AZQ11/AZO11</f>
        <v>0</v>
      </c>
      <c r="AZS11" s="593">
        <f>'Proy 2022 vs 2019 sem'!IO10*AZV$4</f>
        <v>24280.795000000002</v>
      </c>
      <c r="AZT11" s="593">
        <f>'Proy 2022 vs 2019 sem'!IP10*AZV$4</f>
        <v>23309.563200000001</v>
      </c>
      <c r="AZU11" s="699"/>
      <c r="AZV11" s="700">
        <f>AZU11/AZS11</f>
        <v>0</v>
      </c>
      <c r="AZW11" s="579">
        <f>AYU11+AYY11+AZC11+AZG11+AZK11+AZO11+AZS11</f>
        <v>110367.25000000001</v>
      </c>
      <c r="AZX11" s="574">
        <f>AYV11+AYZ11+AZD11+AZH11+AZL11+AZP11+AZT11</f>
        <v>105952.56</v>
      </c>
      <c r="AZY11" s="785">
        <f>AYW11+AZA11+AZE11+AZI11+AZM11+AZQ11+AZU11</f>
        <v>0</v>
      </c>
      <c r="AZZ11" s="786">
        <f>AZY11/AZW11</f>
        <v>0</v>
      </c>
      <c r="BAA11" s="593">
        <f>'Proy 2022 vs 2019 sem'!IX10*BAD$4</f>
        <v>10037.727599999998</v>
      </c>
      <c r="BAB11" s="593">
        <f>'Proy 2022 vs 2019 sem'!IY10*BAD$4</f>
        <v>9736.5957719999988</v>
      </c>
      <c r="BAC11" s="735"/>
      <c r="BAD11" s="700">
        <f>BAC11/BAA11</f>
        <v>0</v>
      </c>
      <c r="BAE11" s="593">
        <f>'Proy 2022 vs 2019 sem'!IX10*BAH$4</f>
        <v>10037.727599999998</v>
      </c>
      <c r="BAF11" s="593">
        <f>'Proy 2022 vs 2019 sem'!IY10*BAH$4</f>
        <v>9736.5957719999988</v>
      </c>
      <c r="BAG11" s="699"/>
      <c r="BAH11" s="700">
        <f>BAG11/BAE11</f>
        <v>0</v>
      </c>
      <c r="BAI11" s="593">
        <f>'Proy 2022 vs 2019 sem'!IX10*BAL$4</f>
        <v>10037.727599999998</v>
      </c>
      <c r="BAJ11" s="593">
        <f>'Proy 2022 vs 2019 sem'!IY10*BAL$4</f>
        <v>9736.5957719999988</v>
      </c>
      <c r="BAK11" s="699"/>
      <c r="BAL11" s="700">
        <f>BAK11/BAI11</f>
        <v>0</v>
      </c>
      <c r="BAM11" s="593">
        <f>'Proy 2022 vs 2019 sem'!IX10*BAP$4</f>
        <v>10037.727599999998</v>
      </c>
      <c r="BAN11" s="593">
        <f>'Proy 2022 vs 2019 sem'!IY10*BAP$4</f>
        <v>9736.5957719999988</v>
      </c>
      <c r="BAO11" s="699"/>
      <c r="BAP11" s="700">
        <f>BAO11/BAM11</f>
        <v>0</v>
      </c>
      <c r="BAQ11" s="593">
        <f>'Proy 2022 vs 2019 sem'!IX10*BAT$4</f>
        <v>11710.682200000001</v>
      </c>
      <c r="BAR11" s="593">
        <f>'Proy 2022 vs 2019 sem'!IY10*BAT$4</f>
        <v>11359.361734000002</v>
      </c>
      <c r="BAS11" s="699"/>
      <c r="BAT11" s="700">
        <f>BAS11/BAQ11</f>
        <v>0</v>
      </c>
      <c r="BAU11" s="593">
        <f>'Proy 2022 vs 2019 sem'!IX10*BAX$4</f>
        <v>13383.6368</v>
      </c>
      <c r="BAV11" s="593">
        <f>'Proy 2022 vs 2019 sem'!IY10*BAX$4</f>
        <v>12982.127696</v>
      </c>
      <c r="BAW11" s="699"/>
      <c r="BAX11" s="700">
        <f>BAW11/BAU11</f>
        <v>0</v>
      </c>
      <c r="BAY11" s="593">
        <f>'Proy 2022 vs 2019 sem'!IX10*BBB$4</f>
        <v>18402.500599999999</v>
      </c>
      <c r="BAZ11" s="593">
        <f>'Proy 2022 vs 2019 sem'!IY10*BBB$4</f>
        <v>17850.425582</v>
      </c>
      <c r="BBA11" s="699"/>
      <c r="BBB11" s="700">
        <f>BBA11/BAY11</f>
        <v>0</v>
      </c>
      <c r="BBC11" s="579">
        <f>BAA11+BAE11+BAI11+BAM11+BAQ11+BAU11+BAY11</f>
        <v>83647.73</v>
      </c>
      <c r="BBD11" s="574">
        <f>BAB11+BAF11+BAJ11+BAN11+BAR11+BAV11+BAZ11</f>
        <v>81138.298099999985</v>
      </c>
      <c r="BBE11" s="759">
        <f>BAC11+BAG11+BAK11+BAO11+BAS11+BAW11+BBA11</f>
        <v>0</v>
      </c>
      <c r="BBF11" s="761">
        <f>BBE11/BBC11</f>
        <v>0</v>
      </c>
      <c r="BBG11" s="593">
        <f>'Proy 2022 vs 2019 sem'!JC10*BBJ$4</f>
        <v>10867.243199999999</v>
      </c>
      <c r="BBH11" s="593">
        <f>'Proy 2022 vs 2019 sem'!JD10*BBJ$4</f>
        <v>10215.208607999999</v>
      </c>
      <c r="BBI11" s="699"/>
      <c r="BBJ11" s="700">
        <f>BBI11/BBG11</f>
        <v>0</v>
      </c>
      <c r="BBK11" s="593">
        <f>'Proy 2022 vs 2019 sem'!JC10*BBN$4</f>
        <v>10867.243199999999</v>
      </c>
      <c r="BBL11" s="593">
        <f>'Proy 2022 vs 2019 sem'!JD10*BBN$4</f>
        <v>10215.208607999999</v>
      </c>
      <c r="BBM11" s="699"/>
      <c r="BBN11" s="700">
        <f>BBM11/BBK11</f>
        <v>0</v>
      </c>
      <c r="BBO11" s="593">
        <f>'Proy 2022 vs 2019 sem'!JC10*BBR$4</f>
        <v>10867.243199999999</v>
      </c>
      <c r="BBP11" s="593">
        <f>'Proy 2022 vs 2019 sem'!JD10*BBR$4</f>
        <v>10215.208607999999</v>
      </c>
      <c r="BBQ11" s="699"/>
      <c r="BBR11" s="700">
        <f>BBQ11/BBO11</f>
        <v>0</v>
      </c>
      <c r="BBS11" s="593">
        <f>'Proy 2022 vs 2019 sem'!JC10*BBV$4</f>
        <v>10867.243199999999</v>
      </c>
      <c r="BBT11" s="593">
        <f>'Proy 2022 vs 2019 sem'!JD10*BBV$4</f>
        <v>10215.208607999999</v>
      </c>
      <c r="BBU11" s="699"/>
      <c r="BBV11" s="700">
        <f>BBU11/BBS11</f>
        <v>0</v>
      </c>
      <c r="BBW11" s="593">
        <f>'Proy 2022 vs 2019 sem'!JC10*BBZ$4</f>
        <v>12678.450400000002</v>
      </c>
      <c r="BBX11" s="593">
        <f>'Proy 2022 vs 2019 sem'!JD10*BBZ$4</f>
        <v>11917.743376000002</v>
      </c>
      <c r="BBY11" s="699"/>
      <c r="BBZ11" s="700">
        <f>BBY11/BBW11</f>
        <v>0</v>
      </c>
      <c r="BCA11" s="593">
        <f>'Proy 2022 vs 2019 sem'!JC10*BCD$4</f>
        <v>14489.6576</v>
      </c>
      <c r="BCB11" s="593">
        <f>'Proy 2022 vs 2019 sem'!JD10*BCD$4</f>
        <v>13620.278144</v>
      </c>
      <c r="BCC11" s="699"/>
      <c r="BCD11" s="700">
        <f>BCC11/BCA11</f>
        <v>0</v>
      </c>
      <c r="BCE11" s="593">
        <f>'Proy 2022 vs 2019 sem'!JC10*BCH$4</f>
        <v>19923.279200000001</v>
      </c>
      <c r="BCF11" s="593">
        <f>'Proy 2022 vs 2019 sem'!JD10*BCH$4</f>
        <v>18727.882448</v>
      </c>
      <c r="BCG11" s="699"/>
      <c r="BCH11" s="700">
        <f>BCG11/BCE11</f>
        <v>0</v>
      </c>
      <c r="BCI11" s="579">
        <f>BBG11+BBK11+BBO11+BBS11+BBW11+BCA11+BCE11</f>
        <v>90560.36</v>
      </c>
      <c r="BCJ11" s="574">
        <f>BBH11+BBL11+BBP11+BBT11+BBX11+BCB11+BCF11</f>
        <v>85126.738400000002</v>
      </c>
      <c r="BCK11" s="765">
        <f>BBI11+BBM11+BBQ11+BBU11+BBY11+BCC11+BCG11</f>
        <v>0</v>
      </c>
      <c r="BCL11" s="761">
        <f>BCK11/BCI11</f>
        <v>0</v>
      </c>
      <c r="BCM11" s="593">
        <f>'Proy 2022 vs 2019 sem'!JH10*BCP$4</f>
        <v>14267.412</v>
      </c>
      <c r="BCN11" s="593">
        <f>'Proy 2022 vs 2019 sem'!JI10*BCP$4</f>
        <v>13554.0414</v>
      </c>
      <c r="BCO11" s="699"/>
      <c r="BCP11" s="700">
        <f>BCO11/BCM11</f>
        <v>0</v>
      </c>
      <c r="BCQ11" s="593">
        <f>'Proy 2022 vs 2019 sem'!JH10*BCT$4</f>
        <v>14267.412</v>
      </c>
      <c r="BCR11" s="593">
        <f>'Proy 2022 vs 2019 sem'!JI10*BCT$4</f>
        <v>13554.0414</v>
      </c>
      <c r="BCS11" s="699"/>
      <c r="BCT11" s="700">
        <f>BCS11/BCQ11</f>
        <v>0</v>
      </c>
      <c r="BCU11" s="593">
        <f>'Proy 2022 vs 2019 sem'!JH10*BCX$4</f>
        <v>14267.412</v>
      </c>
      <c r="BCV11" s="593">
        <f>'Proy 2022 vs 2019 sem'!JI10*BCX$4</f>
        <v>13554.0414</v>
      </c>
      <c r="BCW11" s="699"/>
      <c r="BCX11" s="700">
        <f>BCW11/BCU11</f>
        <v>0</v>
      </c>
      <c r="BCY11" s="593">
        <f>'Proy 2022 vs 2019 sem'!JH10*BDB$4</f>
        <v>14267.412</v>
      </c>
      <c r="BCZ11" s="593">
        <f>'Proy 2022 vs 2019 sem'!JI10*BDB$4</f>
        <v>13554.0414</v>
      </c>
      <c r="BDA11" s="699"/>
      <c r="BDB11" s="700">
        <f>BDA11/BCY11</f>
        <v>0</v>
      </c>
      <c r="BDC11" s="593">
        <f>'Proy 2022 vs 2019 sem'!JH10*BDF$4</f>
        <v>16645.314000000002</v>
      </c>
      <c r="BDD11" s="593">
        <f>'Proy 2022 vs 2019 sem'!JI10*BDF$4</f>
        <v>15813.048300000002</v>
      </c>
      <c r="BDE11" s="699"/>
      <c r="BDF11" s="700">
        <f>BDE11/BDC11</f>
        <v>0</v>
      </c>
      <c r="BDG11" s="593">
        <f>'Proy 2022 vs 2019 sem'!JH10*BDJ$4</f>
        <v>19023.216</v>
      </c>
      <c r="BDH11" s="593">
        <f>'Proy 2022 vs 2019 sem'!JI10*BDJ$4</f>
        <v>18072.055199999999</v>
      </c>
      <c r="BDI11" s="699"/>
      <c r="BDJ11" s="700">
        <f>BDI11/BDG11</f>
        <v>0</v>
      </c>
      <c r="BDK11" s="593">
        <f>'Proy 2022 vs 2019 sem'!JH10*BDN$4</f>
        <v>26156.922000000002</v>
      </c>
      <c r="BDL11" s="593">
        <f>'Proy 2022 vs 2019 sem'!JI10*BDN$4</f>
        <v>24849.0759</v>
      </c>
      <c r="BDM11" s="699"/>
      <c r="BDN11" s="700">
        <f>BDM11/BDK11</f>
        <v>0</v>
      </c>
      <c r="BDO11" s="579">
        <f>BCM11+BCQ11+BCU11+BCY11+BDC11+BDG11+BDK11</f>
        <v>118895.1</v>
      </c>
      <c r="BDP11" s="574">
        <f>BCN11+BCR11+BCV11+BCZ11+BDD11+BDH11+BDL11</f>
        <v>112950.345</v>
      </c>
      <c r="BDQ11" s="765">
        <f>BCO11+BCS11+BCW11+BDA11+BDE11+BDI11+BDM11</f>
        <v>0</v>
      </c>
      <c r="BDR11" s="761">
        <f>BDQ11/BDO11</f>
        <v>0</v>
      </c>
      <c r="BDS11" s="593">
        <f>'Proy 2022 vs 2019 sem'!JM10*BDV$4</f>
        <v>14226.913199999999</v>
      </c>
      <c r="BDT11" s="593">
        <f>'Proy 2022 vs 2019 sem'!JN10*BDV$4</f>
        <v>13515.56754</v>
      </c>
      <c r="BDU11" s="699"/>
      <c r="BDV11" s="700">
        <f>BDU11/BDS11</f>
        <v>0</v>
      </c>
      <c r="BDW11" s="593">
        <f>'Proy 2022 vs 2019 sem'!JM10*BDZ$4</f>
        <v>14226.913199999999</v>
      </c>
      <c r="BDX11" s="593">
        <f>'Proy 2022 vs 2019 sem'!JN10*BDZ$4</f>
        <v>13515.56754</v>
      </c>
      <c r="BDY11" s="699"/>
      <c r="BDZ11" s="700">
        <f>BDY11/BDW11</f>
        <v>0</v>
      </c>
      <c r="BEA11" s="593">
        <f>'Proy 2022 vs 2019 sem'!JM10*BED$4</f>
        <v>14226.913199999999</v>
      </c>
      <c r="BEB11" s="593">
        <f>'Proy 2022 vs 2019 sem'!JN10*BED$4</f>
        <v>13515.56754</v>
      </c>
      <c r="BEC11" s="699"/>
      <c r="BED11" s="700">
        <f>BEC11/BEA11</f>
        <v>0</v>
      </c>
      <c r="BEE11" s="593">
        <v>14490.990400000001</v>
      </c>
      <c r="BEF11" s="593">
        <f>'Proy 2022 vs 2019 sem'!JN10*BEH$4</f>
        <v>13515.56754</v>
      </c>
      <c r="BEG11" s="699"/>
      <c r="BEH11" s="700">
        <f>BEG11/BEE11</f>
        <v>0</v>
      </c>
      <c r="BEI11" s="593">
        <f>'Proy 2022 vs 2019 sem'!JM10*BEL$4</f>
        <v>16598.065400000003</v>
      </c>
      <c r="BEJ11" s="593">
        <f>'Proy 2022 vs 2019 sem'!JN10*BEL$4</f>
        <v>15768.162130000002</v>
      </c>
      <c r="BEK11" s="699"/>
      <c r="BEL11" s="700">
        <f>BEK11/BEI11</f>
        <v>0</v>
      </c>
      <c r="BEM11" s="593">
        <f>'Proy 2022 vs 2019 sem'!JM10*BEP$4</f>
        <v>18969.2176</v>
      </c>
      <c r="BEN11" s="593">
        <f>'Proy 2022 vs 2019 sem'!JN10*BEP$4</f>
        <v>18020.756720000001</v>
      </c>
      <c r="BEO11" s="699"/>
      <c r="BEP11" s="700">
        <f>BEO11/BEM11</f>
        <v>0</v>
      </c>
      <c r="BEQ11" s="593">
        <f>'Proy 2022 vs 2019 sem'!JM10*BET$4</f>
        <v>26082.674200000001</v>
      </c>
      <c r="BER11" s="593">
        <f>'Proy 2022 vs 2019 sem'!JN10*BET$4</f>
        <v>24778.540489999999</v>
      </c>
      <c r="BES11" s="699"/>
      <c r="BET11" s="700">
        <f>BES11/BEQ11</f>
        <v>0</v>
      </c>
      <c r="BEU11" s="579">
        <f>BDS11+BDW11+BEA11+BEE11+BEI11+BEM11+BEQ11</f>
        <v>118821.68720000001</v>
      </c>
      <c r="BEV11" s="574">
        <f>BDT11+BDX11+BEB11+BEF11+BEJ11+BEN11+BER11</f>
        <v>112629.7295</v>
      </c>
      <c r="BEW11" s="770">
        <f>BDU11+BDY11+BEC11+BEG11+BEK11+BEO11+BES11</f>
        <v>0</v>
      </c>
      <c r="BEX11" s="761">
        <f>BEW11/BEU11</f>
        <v>0</v>
      </c>
      <c r="BEY11" s="593">
        <f>'Proy 2022 vs 2019 sem'!JV10*BFB$4</f>
        <v>18022.3344</v>
      </c>
      <c r="BEZ11" s="593">
        <f>'Proy 2022 vs 2019 sem'!JW10*BFB$4</f>
        <v>16940.994336</v>
      </c>
      <c r="BFA11" s="735"/>
      <c r="BFB11" s="700">
        <f>BFA11/BEY11</f>
        <v>0</v>
      </c>
      <c r="BFC11" s="593">
        <f>'Proy 2022 vs 2019 sem'!JV10*BFF$4</f>
        <v>18022.3344</v>
      </c>
      <c r="BFD11" s="593">
        <f>'Proy 2022 vs 2019 sem'!JW10*BFF$4</f>
        <v>16940.994336</v>
      </c>
      <c r="BFE11" s="735"/>
      <c r="BFF11" s="700">
        <f>BFE11/BFC11</f>
        <v>0</v>
      </c>
      <c r="BFG11" s="593">
        <f>'Proy 2022 vs 2019 sem'!JV10*BFJ$4</f>
        <v>18022.3344</v>
      </c>
      <c r="BFH11" s="593">
        <f>'Proy 2022 vs 2019 sem'!JW10*BFJ$4</f>
        <v>16940.994336</v>
      </c>
      <c r="BFI11" s="735"/>
      <c r="BFJ11" s="700">
        <f>BFI11/BFG11</f>
        <v>0</v>
      </c>
      <c r="BFK11" s="593">
        <f>'Proy 2022 vs 2019 sem'!JV10*BFN$4</f>
        <v>18022.3344</v>
      </c>
      <c r="BFL11" s="593">
        <f>'Proy 2022 vs 2019 sem'!JW10*BFN$4</f>
        <v>16940.994336</v>
      </c>
      <c r="BFM11" s="735"/>
      <c r="BFN11" s="700">
        <f>BFM11/BFK11</f>
        <v>0</v>
      </c>
      <c r="BFO11" s="593">
        <f>'Proy 2022 vs 2019 sem'!JV10*BFR$4</f>
        <v>21026.056800000002</v>
      </c>
      <c r="BFP11" s="593">
        <f>'Proy 2022 vs 2019 sem'!JW10*BFR$4</f>
        <v>19764.493392</v>
      </c>
      <c r="BFQ11" s="735"/>
      <c r="BFR11" s="700">
        <f>BFQ11/BFO11</f>
        <v>0</v>
      </c>
      <c r="BFS11" s="593">
        <f>'Proy 2022 vs 2019 sem'!JV10*BFV$4</f>
        <v>24029.779200000001</v>
      </c>
      <c r="BFT11" s="593">
        <f>'Proy 2022 vs 2019 sem'!JW10*BFV$4</f>
        <v>22587.992448000001</v>
      </c>
      <c r="BFU11" s="735"/>
      <c r="BFV11" s="700">
        <f>BFU11/BFS11</f>
        <v>0</v>
      </c>
      <c r="BFW11" s="593">
        <f>'Proy 2022 vs 2019 sem'!JV10*BFZ$4</f>
        <v>33040.946400000001</v>
      </c>
      <c r="BFX11" s="593">
        <f>'Proy 2022 vs 2019 sem'!JW10*BFZ$4</f>
        <v>31058.489615999999</v>
      </c>
      <c r="BFY11" s="735"/>
      <c r="BFZ11" s="700">
        <f>BFY11/BFW11</f>
        <v>0</v>
      </c>
      <c r="BGA11" s="579">
        <f>BEY11+BFC11+BFG11+BFK11+BFO11+BFS11+BFW11</f>
        <v>150186.12</v>
      </c>
      <c r="BGB11" s="574">
        <f>BEZ11+BFD11+BFH11+BFL11+BFP11+BFT11+BFX11</f>
        <v>141174.9528</v>
      </c>
      <c r="BGC11" s="729">
        <f>BFA11+BFE11+BFI11+BFM11+BFQ11+BFU11+BFY11</f>
        <v>0</v>
      </c>
      <c r="BGD11" s="711">
        <f>BGC11/BGA11</f>
        <v>0</v>
      </c>
      <c r="BGE11" s="593">
        <f>'Proy 2022 vs 2019 sem'!KA10*BGH$4</f>
        <v>20912.785199999998</v>
      </c>
      <c r="BGF11" s="593">
        <f>'Proy 2022 vs 2019 sem'!KB10*BGH$4</f>
        <v>19448.890235999999</v>
      </c>
      <c r="BGG11" s="699"/>
      <c r="BGH11" s="700">
        <f>BGG11/BGE11</f>
        <v>0</v>
      </c>
      <c r="BGI11" s="593">
        <f>'Proy 2022 vs 2019 sem'!KA10*BGL$4</f>
        <v>20912.785199999998</v>
      </c>
      <c r="BGJ11" s="593">
        <f>'Proy 2022 vs 2019 sem'!KB10*BGL$4</f>
        <v>19448.890235999999</v>
      </c>
      <c r="BGK11" s="699"/>
      <c r="BGL11" s="700">
        <f>BGK11/BGI11</f>
        <v>0</v>
      </c>
      <c r="BGM11" s="593">
        <f>'Proy 2022 vs 2019 sem'!KA10*BGP$4</f>
        <v>20912.785199999998</v>
      </c>
      <c r="BGN11" s="593">
        <f>'Proy 2022 vs 2019 sem'!KB10*BGP$4</f>
        <v>19448.890235999999</v>
      </c>
      <c r="BGO11" s="699"/>
      <c r="BGP11" s="700">
        <f>BGO11/BGM11</f>
        <v>0</v>
      </c>
      <c r="BGQ11" s="593">
        <f>'Proy 2022 vs 2019 sem'!KA10*BGT$4</f>
        <v>20912.785199999998</v>
      </c>
      <c r="BGR11" s="593">
        <f>'Proy 2022 vs 2019 sem'!KB10*BGT$4</f>
        <v>19448.890235999999</v>
      </c>
      <c r="BGS11" s="699"/>
      <c r="BGT11" s="700">
        <f>BGS11/BGQ11</f>
        <v>0</v>
      </c>
      <c r="BGU11" s="593">
        <f>'Proy 2022 vs 2019 sem'!KA10*BGX$4</f>
        <v>24398.249400000001</v>
      </c>
      <c r="BGV11" s="593">
        <f>'Proy 2022 vs 2019 sem'!KB10*BGX$4</f>
        <v>22690.371942000002</v>
      </c>
      <c r="BGW11" s="699"/>
      <c r="BGX11" s="700">
        <f>BGW11/BGU11</f>
        <v>0</v>
      </c>
      <c r="BGY11" s="593">
        <f>'Proy 2022 vs 2019 sem'!KA10*BHB$4</f>
        <v>27883.713599999999</v>
      </c>
      <c r="BGZ11" s="593">
        <f>'Proy 2022 vs 2019 sem'!KB10*BHB$4</f>
        <v>25931.853648</v>
      </c>
      <c r="BHA11" s="699"/>
      <c r="BHB11" s="700">
        <f>BHA11/BGY11</f>
        <v>0</v>
      </c>
      <c r="BHC11" s="593">
        <f>'Proy 2022 vs 2019 sem'!KA10*BHF$4</f>
        <v>38340.106200000002</v>
      </c>
      <c r="BHD11" s="593">
        <f>'Proy 2022 vs 2019 sem'!KB10*BHF$4</f>
        <v>35656.298766</v>
      </c>
      <c r="BHE11" s="699"/>
      <c r="BHF11" s="700">
        <f>BHE11/BHC11</f>
        <v>0</v>
      </c>
      <c r="BHG11" s="579">
        <f>BGE11+BGI11+BGM11+BGQ11+BGU11+BGY11+BHC11</f>
        <v>174273.21</v>
      </c>
      <c r="BHH11" s="574">
        <f>BGF11+BGJ11+BGN11+BGR11+BGV11+BGZ11+BHD11</f>
        <v>162074.08530000001</v>
      </c>
      <c r="BHI11" s="730">
        <f>BGG11+BGK11+BGO11+BGS11+BGW11+BHA11+BHE11</f>
        <v>0</v>
      </c>
      <c r="BHJ11" s="711">
        <f>BHI11/BHG11</f>
        <v>0</v>
      </c>
      <c r="BHK11" s="593">
        <f>'Proy 2022 vs 2019 sem'!KF10*BHN$4</f>
        <v>28778.461200000002</v>
      </c>
      <c r="BHL11" s="593">
        <f>'Proy 2022 vs 2019 sem'!KG10*BHN$4</f>
        <v>26763.968916000002</v>
      </c>
      <c r="BHM11" s="699"/>
      <c r="BHN11" s="700">
        <f>BHM11/BHK11</f>
        <v>0</v>
      </c>
      <c r="BHO11" s="593">
        <f>'Proy 2022 vs 2019 sem'!KF10*BHR$4</f>
        <v>28778.461200000002</v>
      </c>
      <c r="BHP11" s="593">
        <f>'Proy 2022 vs 2019 sem'!KG10*BHR$4</f>
        <v>26763.968916000002</v>
      </c>
      <c r="BHQ11" s="699"/>
      <c r="BHR11" s="700">
        <f>BHQ11/BHO11</f>
        <v>0</v>
      </c>
      <c r="BHS11" s="593">
        <f>'Proy 2022 vs 2019 sem'!KF10*BHV$4</f>
        <v>28778.461200000002</v>
      </c>
      <c r="BHT11" s="593">
        <f>'Proy 2022 vs 2019 sem'!KG10*BHV$4</f>
        <v>26763.968916000002</v>
      </c>
      <c r="BHU11" s="699"/>
      <c r="BHV11" s="700">
        <f>BHU11/BHS11</f>
        <v>0</v>
      </c>
      <c r="BHW11" s="593">
        <f>'Proy 2022 vs 2019 sem'!KF10*BHZ$4</f>
        <v>28778.461200000002</v>
      </c>
      <c r="BHX11" s="593">
        <f>'Proy 2022 vs 2019 sem'!KG10*BHZ$4</f>
        <v>26763.968916000002</v>
      </c>
      <c r="BHY11" s="699"/>
      <c r="BHZ11" s="700">
        <f>BHY11/BHW11</f>
        <v>0</v>
      </c>
      <c r="BIA11" s="593">
        <f>'Proy 2022 vs 2019 sem'!KF10*BID$4</f>
        <v>33574.871400000004</v>
      </c>
      <c r="BIB11" s="593">
        <f>'Proy 2022 vs 2019 sem'!KG10*BID$4</f>
        <v>31224.630402000003</v>
      </c>
      <c r="BIC11" s="699"/>
      <c r="BID11" s="700">
        <f>BIC11/BIA11</f>
        <v>0</v>
      </c>
      <c r="BIE11" s="593">
        <f>'Proy 2022 vs 2019 sem'!KF10*BIH$4</f>
        <v>38371.281600000002</v>
      </c>
      <c r="BIF11" s="593">
        <f>'Proy 2022 vs 2019 sem'!KG10*BIH$4</f>
        <v>35685.291888</v>
      </c>
      <c r="BIG11" s="699"/>
      <c r="BIH11" s="700">
        <f>BIG11/BIE11</f>
        <v>0</v>
      </c>
      <c r="BII11" s="593">
        <f>'Proy 2022 vs 2019 sem'!KF10*BIL$4</f>
        <v>52760.512200000005</v>
      </c>
      <c r="BIJ11" s="593">
        <f>'Proy 2022 vs 2019 sem'!KG10*BIL$4</f>
        <v>49067.276345999999</v>
      </c>
      <c r="BIK11" s="699"/>
      <c r="BIL11" s="700">
        <f>BIK11/BII11</f>
        <v>0</v>
      </c>
      <c r="BIM11" s="579">
        <f>BHK11+BHO11+BHS11+BHW11+BIA11+BIE11+BII11</f>
        <v>239820.51</v>
      </c>
      <c r="BIN11" s="574">
        <f>BHL11+BHP11+BHT11+BHX11+BIB11+BIF11+BIJ11</f>
        <v>223033.07430000001</v>
      </c>
      <c r="BIO11" s="730">
        <f>BHM11+BHQ11+BHU11+BHY11+BIC11+BIG11+BIK11</f>
        <v>0</v>
      </c>
      <c r="BIP11" s="711">
        <f>BIO11/BIM11</f>
        <v>0</v>
      </c>
      <c r="BIQ11" s="593">
        <f>'Proy 2022 vs 2019 sem'!KK10*BIT$4</f>
        <v>27351.27</v>
      </c>
      <c r="BIR11" s="593">
        <f>'Proy 2022 vs 2019 sem'!KL10*BIT$4</f>
        <v>25436.681099999998</v>
      </c>
      <c r="BIS11" s="699"/>
      <c r="BIT11" s="700">
        <f>BIS11/BIQ11</f>
        <v>0</v>
      </c>
      <c r="BIU11" s="593">
        <f>'Proy 2022 vs 2019 sem'!KK10*BIX$4</f>
        <v>27351.27</v>
      </c>
      <c r="BIV11" s="593">
        <f>'Proy 2022 vs 2019 sem'!KL10*BIX$4</f>
        <v>25436.681099999998</v>
      </c>
      <c r="BIW11" s="699"/>
      <c r="BIX11" s="700">
        <f>BIW11/BIU11</f>
        <v>0</v>
      </c>
      <c r="BIY11" s="593">
        <f>'Proy 2022 vs 2019 sem'!KK10*BJB$4</f>
        <v>27351.27</v>
      </c>
      <c r="BIZ11" s="593">
        <f>'Proy 2022 vs 2019 sem'!KL10*BJB$4</f>
        <v>25436.681099999998</v>
      </c>
      <c r="BJA11" s="699"/>
      <c r="BJB11" s="700">
        <f>BJA11/BIY11</f>
        <v>0</v>
      </c>
      <c r="BJC11" s="593">
        <f>'Proy 2022 vs 2019 sem'!KK10*BJF$4</f>
        <v>27351.27</v>
      </c>
      <c r="BJD11" s="593">
        <f>'Proy 2022 vs 2019 sem'!KL10*BJF$4</f>
        <v>25436.681099999998</v>
      </c>
      <c r="BJE11" s="699"/>
      <c r="BJF11" s="700">
        <f>BJE11/BJC11</f>
        <v>0</v>
      </c>
      <c r="BJG11" s="593">
        <f>'Proy 2022 vs 2019 sem'!KK10*BJJ$4</f>
        <v>31909.815000000002</v>
      </c>
      <c r="BJH11" s="593">
        <f>'Proy 2022 vs 2019 sem'!KL10*BJJ$4</f>
        <v>29676.127950000002</v>
      </c>
      <c r="BJI11" s="699"/>
      <c r="BJJ11" s="700">
        <f>BJI11/BJG11</f>
        <v>0</v>
      </c>
      <c r="BJK11" s="593">
        <f>'Proy 2022 vs 2019 sem'!KK10*BJN$4</f>
        <v>36468.36</v>
      </c>
      <c r="BJL11" s="593">
        <f>'Proy 2022 vs 2019 sem'!KL10*BJN$4</f>
        <v>33915.574800000002</v>
      </c>
      <c r="BJM11" s="699"/>
      <c r="BJN11" s="700">
        <f>BJM11/BJK11</f>
        <v>0</v>
      </c>
      <c r="BJO11" s="593">
        <f>'Proy 2022 vs 2019 sem'!KK10*BJR$4</f>
        <v>50143.995000000003</v>
      </c>
      <c r="BJP11" s="593">
        <f>'Proy 2022 vs 2019 sem'!KL10*BJR$4</f>
        <v>46633.915350000003</v>
      </c>
      <c r="BJQ11" s="699"/>
      <c r="BJR11" s="700">
        <f>BJQ11/BJO11</f>
        <v>0</v>
      </c>
      <c r="BJS11" s="579">
        <f>BIQ11+BIU11+BIY11+BJC11+BJG11+BJK11+BJO11</f>
        <v>227927.25</v>
      </c>
      <c r="BJT11" s="574">
        <f>BIR11+BIV11+BIZ11+BJD11+BJH11+BJL11+BJP11</f>
        <v>211972.3425</v>
      </c>
      <c r="BJU11" s="710">
        <f>BIS11+BIW11+BJA11+BJE11+BJI11+BJM11+BJQ11</f>
        <v>0</v>
      </c>
      <c r="BJV11" s="711">
        <f>BJU11/BJS11</f>
        <v>0</v>
      </c>
      <c r="BJW11" s="593">
        <f>'Proy 2022 vs 2019 sem'!KP10*BJZ$4</f>
        <v>7923.9275999999991</v>
      </c>
      <c r="BJX11" s="593">
        <f>'Proy 2022 vs 2019 sem'!KQ10*BJZ$4</f>
        <v>7527.7312199999988</v>
      </c>
      <c r="BJY11" s="699"/>
      <c r="BJZ11" s="700">
        <f>BJY11/BJW11</f>
        <v>0</v>
      </c>
      <c r="BKA11" s="593">
        <f>'Proy 2022 vs 2019 sem'!KP10*BKD$4</f>
        <v>7923.9275999999991</v>
      </c>
      <c r="BKB11" s="593">
        <f>'Proy 2022 vs 2019 sem'!KQ10*BKD$4</f>
        <v>7527.7312199999988</v>
      </c>
      <c r="BKC11" s="699"/>
      <c r="BKD11" s="700">
        <f>BKC11/BKA11</f>
        <v>0</v>
      </c>
      <c r="BKE11" s="593">
        <f>'Proy 2022 vs 2019 sem'!KP10*BKH$4</f>
        <v>7923.9275999999991</v>
      </c>
      <c r="BKF11" s="593">
        <f>'Proy 2022 vs 2019 sem'!KQ10*BKH$4</f>
        <v>7527.7312199999988</v>
      </c>
      <c r="BKG11" s="699"/>
      <c r="BKH11" s="700">
        <f>BKG11/BKE11</f>
        <v>0</v>
      </c>
      <c r="BKI11" s="593">
        <f>'Proy 2022 vs 2019 sem'!KP10*BKL$4</f>
        <v>7923.9275999999991</v>
      </c>
      <c r="BKJ11" s="593">
        <f>'Proy 2022 vs 2019 sem'!KQ10*BKL$4</f>
        <v>7527.7312199999988</v>
      </c>
      <c r="BKK11" s="699"/>
      <c r="BKL11" s="700">
        <f>BKK11/BKI11</f>
        <v>0</v>
      </c>
      <c r="BKM11" s="593">
        <f>'Proy 2022 vs 2019 sem'!KP10*BKP$4</f>
        <v>9244.5822000000007</v>
      </c>
      <c r="BKN11" s="593">
        <f>'Proy 2022 vs 2019 sem'!KQ10*BKP$4</f>
        <v>8782.3530900000005</v>
      </c>
      <c r="BKO11" s="699"/>
      <c r="BKP11" s="700">
        <f>BKO11/BKM11</f>
        <v>0</v>
      </c>
      <c r="BKQ11" s="593">
        <f>'Proy 2022 vs 2019 sem'!KP10*BKT$4</f>
        <v>10565.236799999999</v>
      </c>
      <c r="BKR11" s="593">
        <f>'Proy 2022 vs 2019 sem'!KQ10*BKT$4</f>
        <v>10036.97496</v>
      </c>
      <c r="BKS11" s="699"/>
      <c r="BKT11" s="700">
        <f>BKS11/BKQ11</f>
        <v>0</v>
      </c>
      <c r="BKU11" s="593">
        <f>'Proy 2022 vs 2019 sem'!KP10*BKX$4</f>
        <v>14527.200599999998</v>
      </c>
      <c r="BKV11" s="593">
        <f>'Proy 2022 vs 2019 sem'!KQ10*BKX$4</f>
        <v>13800.840569999998</v>
      </c>
      <c r="BKW11" s="699"/>
      <c r="BKX11" s="700">
        <f>BKW11/BKU11</f>
        <v>0</v>
      </c>
      <c r="BKY11" s="579">
        <f>BJW11+BKA11+BKE11+BKI11+BKM11+BKQ11+BKU11</f>
        <v>66032.73</v>
      </c>
      <c r="BKZ11" s="574">
        <f>BJX11+BKB11+BKF11+BKJ11+BKN11+BKR11+BKV11</f>
        <v>62731.093499999995</v>
      </c>
      <c r="BLA11" s="710">
        <f>BJY11+BKC11+BKG11+BKK11+BKO11+BKS11+BKW11</f>
        <v>0</v>
      </c>
      <c r="BLB11" s="711">
        <f>BLA11/BKY11</f>
        <v>0</v>
      </c>
    </row>
    <row r="12" spans="2:1666" ht="15.75" customHeight="1">
      <c r="B12" s="934" t="s">
        <v>474</v>
      </c>
      <c r="C12" s="593">
        <f>'Proy 2022 vs 2019 sem'!$C$6*$F$4</f>
        <v>9529.1268</v>
      </c>
      <c r="D12" s="593">
        <f>'Proy 2022 vs 2019 sem'!$D$6*$F$4</f>
        <v>8480.9228519999997</v>
      </c>
      <c r="E12" s="735"/>
      <c r="F12" s="700">
        <f>E12/C12</f>
        <v>0</v>
      </c>
      <c r="G12" s="1414">
        <f>'Proy 2022 vs 2019 sem'!C11*$J$4</f>
        <v>9596.3952000000008</v>
      </c>
      <c r="H12" s="593">
        <f>'Proy 2022 vs 2019 sem'!D11*$J$4</f>
        <v>8540.7917280000001</v>
      </c>
      <c r="I12" s="735"/>
      <c r="J12" s="700">
        <f>I12/G12</f>
        <v>0</v>
      </c>
      <c r="K12" s="593">
        <f>'Proy 2022 vs 2019 sem'!C11*$N$4</f>
        <v>9596.3952000000008</v>
      </c>
      <c r="L12" s="593">
        <f>'Proy 2022 vs 2019 sem'!D11*N$4</f>
        <v>8540.7917280000001</v>
      </c>
      <c r="M12" s="735"/>
      <c r="N12" s="700">
        <f>M12/K12</f>
        <v>0</v>
      </c>
      <c r="O12" s="593">
        <f>'Proy 2022 vs 2019 sem'!C11*R$4</f>
        <v>9596.3952000000008</v>
      </c>
      <c r="P12" s="593">
        <f>'Proy 2022 vs 2019 sem'!D11*$R$4</f>
        <v>8540.7917280000001</v>
      </c>
      <c r="Q12" s="735"/>
      <c r="R12" s="700">
        <f>Q12/O12</f>
        <v>0</v>
      </c>
      <c r="S12" s="593">
        <f>'Proy 2022 vs 2019 sem'!C11*V$4</f>
        <v>11195.794400000002</v>
      </c>
      <c r="T12" s="593">
        <f>'Proy 2022 vs 2019 sem'!D11*V$4</f>
        <v>9964.2570160000014</v>
      </c>
      <c r="U12" s="735"/>
      <c r="V12" s="700">
        <f>U12/S12</f>
        <v>0</v>
      </c>
      <c r="W12" s="593">
        <f>'Proy 2022 vs 2019 sem'!C11*Z$4</f>
        <v>12795.193600000001</v>
      </c>
      <c r="X12" s="593">
        <f>'Proy 2022 vs 2019 sem'!D11*Z$4</f>
        <v>11387.722304000001</v>
      </c>
      <c r="Y12" s="735"/>
      <c r="Z12" s="700">
        <f>Y12/W12</f>
        <v>0</v>
      </c>
      <c r="AA12" s="593">
        <f>'Proy 2022 vs 2019 sem'!C11*AD$4</f>
        <v>17593.391200000002</v>
      </c>
      <c r="AB12" s="593">
        <f>'Proy 2022 vs 2019 sem'!D11*AD$4</f>
        <v>15658.118168000001</v>
      </c>
      <c r="AC12" s="735"/>
      <c r="AD12" s="700">
        <f>AC12/AA12</f>
        <v>0</v>
      </c>
      <c r="AE12" s="579">
        <f>C12+G12+K12+O12+S12+W12+AA12</f>
        <v>79902.691600000006</v>
      </c>
      <c r="AF12" s="574">
        <f>D12+H12+L12+P12+T12+X12+AB12</f>
        <v>71113.395524000007</v>
      </c>
      <c r="AG12" s="729">
        <f>E12+I12+M12+Q12+U12+Y12+AC12</f>
        <v>0</v>
      </c>
      <c r="AH12" s="711">
        <f>AG12/AE12</f>
        <v>0</v>
      </c>
      <c r="AI12" s="593">
        <f>'Proy 2022 vs 2019 sem'!H11*AL$4</f>
        <v>10669.761599999998</v>
      </c>
      <c r="AJ12" s="611">
        <f>'Proy 2022 vs 2019 sem'!I11*AL$4</f>
        <v>9496.0878240000002</v>
      </c>
      <c r="AK12" s="699"/>
      <c r="AL12" s="700">
        <f>AK12/AI12</f>
        <v>0</v>
      </c>
      <c r="AM12" s="593">
        <f>'Proy 2022 vs 2019 sem'!H11*AP$4</f>
        <v>10669.761599999998</v>
      </c>
      <c r="AN12" s="593">
        <f>'Proy 2022 vs 2019 sem'!I11*AP$4</f>
        <v>9496.0878240000002</v>
      </c>
      <c r="AO12" s="699"/>
      <c r="AP12" s="700">
        <f>AO12/AM12</f>
        <v>0</v>
      </c>
      <c r="AQ12" s="593">
        <f>'Proy 2022 vs 2019 sem'!H11*AT$4</f>
        <v>10669.761599999998</v>
      </c>
      <c r="AR12" s="593">
        <f>'Proy 2022 vs 2019 sem'!I11*AT$4</f>
        <v>9496.0878240000002</v>
      </c>
      <c r="AS12" s="699"/>
      <c r="AT12" s="700">
        <f>AS12/AQ12</f>
        <v>0</v>
      </c>
      <c r="AU12" s="593">
        <f>'Proy 2022 vs 2019 sem'!H11*AX$4</f>
        <v>10669.761599999998</v>
      </c>
      <c r="AV12" s="593">
        <f>'Proy 2022 vs 2019 sem'!I11*AX$4</f>
        <v>9496.0878240000002</v>
      </c>
      <c r="AW12" s="699"/>
      <c r="AX12" s="700">
        <f>AW12/AU12</f>
        <v>0</v>
      </c>
      <c r="AY12" s="593">
        <f>'Proy 2022 vs 2019 sem'!H11*BB$4</f>
        <v>12448.055200000001</v>
      </c>
      <c r="AZ12" s="593">
        <f>'Proy 2022 vs 2019 sem'!I11*BB$4</f>
        <v>11078.769128</v>
      </c>
      <c r="BA12" s="699"/>
      <c r="BB12" s="700">
        <f>BA12/AY12</f>
        <v>0</v>
      </c>
      <c r="BC12" s="593">
        <f>'Proy 2022 vs 2019 sem'!H11*BF$4</f>
        <v>14226.3488</v>
      </c>
      <c r="BD12" s="593">
        <f>'Proy 2022 vs 2019 sem'!I11*BF$4</f>
        <v>12661.450432</v>
      </c>
      <c r="BE12" s="699"/>
      <c r="BF12" s="700">
        <f>BE12/BC12</f>
        <v>0</v>
      </c>
      <c r="BG12" s="593">
        <f>'Proy 2022 vs 2019 sem'!H11*BJ$4</f>
        <v>19561.229599999999</v>
      </c>
      <c r="BH12" s="593">
        <f>'Proy 2022 vs 2019 sem'!I11*BJ$4</f>
        <v>17409.494343999999</v>
      </c>
      <c r="BI12" s="699"/>
      <c r="BJ12" s="700">
        <f>BI12/BG12</f>
        <v>0</v>
      </c>
      <c r="BK12" s="579">
        <f>AI12+AM12+AQ12+AU12+AY12+BC12+BG12</f>
        <v>88914.68</v>
      </c>
      <c r="BL12" s="574">
        <f>AJ12+AN12+AR12+AV12+AZ12+BD12+BH12</f>
        <v>79134.065199999997</v>
      </c>
      <c r="BM12" s="730">
        <f>AK12+AO12+AS12+AW12+BA12+BE12+BI12</f>
        <v>0</v>
      </c>
      <c r="BN12" s="711">
        <f>BM12/BK12</f>
        <v>0</v>
      </c>
      <c r="BO12" s="593">
        <f>'Proy 2022 vs 2019 sem'!M11*BR$4</f>
        <v>9849.8556000000008</v>
      </c>
      <c r="BP12" s="593">
        <f>'Proy 2022 vs 2019 sem'!N11*BR$4</f>
        <v>8766.3714840000011</v>
      </c>
      <c r="BQ12" s="699"/>
      <c r="BR12" s="700">
        <f>BQ12/BO12</f>
        <v>0</v>
      </c>
      <c r="BS12" s="593">
        <f>'Proy 2022 vs 2019 sem'!M11*BV$4</f>
        <v>9849.8556000000008</v>
      </c>
      <c r="BT12" s="593">
        <f>'Proy 2022 vs 2019 sem'!N11*BV$4</f>
        <v>8766.3714840000011</v>
      </c>
      <c r="BU12" s="699"/>
      <c r="BV12" s="700">
        <f>BU12/BS12</f>
        <v>0</v>
      </c>
      <c r="BW12" s="593">
        <f>'Proy 2022 vs 2019 sem'!M11*BZ$4</f>
        <v>9849.8556000000008</v>
      </c>
      <c r="BX12" s="593">
        <f>'Proy 2022 vs 2019 sem'!N11*BZ$4</f>
        <v>8766.3714840000011</v>
      </c>
      <c r="BY12" s="699"/>
      <c r="BZ12" s="700">
        <f>BY12/BW12</f>
        <v>0</v>
      </c>
      <c r="CA12" s="593">
        <f>'Proy 2022 vs 2019 sem'!M11*CD$4</f>
        <v>9849.8556000000008</v>
      </c>
      <c r="CB12" s="593">
        <f>'Proy 2022 vs 2019 sem'!N11*CD$4</f>
        <v>8766.3714840000011</v>
      </c>
      <c r="CC12" s="699"/>
      <c r="CD12" s="700">
        <f>CC12/CA12</f>
        <v>0</v>
      </c>
      <c r="CE12" s="593">
        <f>'Proy 2022 vs 2019 sem'!M11*CH$4</f>
        <v>11491.498200000002</v>
      </c>
      <c r="CF12" s="593">
        <f>'Proy 2022 vs 2019 sem'!N11*CH$4</f>
        <v>10227.433398000001</v>
      </c>
      <c r="CG12" s="699"/>
      <c r="CH12" s="700">
        <f>CG12/CE12</f>
        <v>0</v>
      </c>
      <c r="CI12" s="593">
        <f>'Proy 2022 vs 2019 sem'!M11*CL$4</f>
        <v>13133.140800000001</v>
      </c>
      <c r="CJ12" s="593">
        <f>'Proy 2022 vs 2019 sem'!N11*CL$4</f>
        <v>11688.495312000001</v>
      </c>
      <c r="CK12" s="699"/>
      <c r="CL12" s="700">
        <f>CK12/CI12</f>
        <v>0</v>
      </c>
      <c r="CM12" s="593">
        <f>'Proy 2022 vs 2019 sem'!M11*CP$4</f>
        <v>18058.068600000002</v>
      </c>
      <c r="CN12" s="593">
        <f>'Proy 2022 vs 2019 sem'!N11*CP$4</f>
        <v>16071.681054000001</v>
      </c>
      <c r="CO12" s="699"/>
      <c r="CP12" s="700">
        <f>CO12/CM12</f>
        <v>0</v>
      </c>
      <c r="CQ12" s="579">
        <f>BO12+BS12+BW12+CA12+CE12+CI12+CM12</f>
        <v>82082.13</v>
      </c>
      <c r="CR12" s="574">
        <f>BP12+BT12+BX12+CB12+CF12+CJ12+CN12</f>
        <v>73053.095700000005</v>
      </c>
      <c r="CS12" s="730">
        <f>BQ12+BU12+BY12+CC12+CG12+CK12+CO12</f>
        <v>0</v>
      </c>
      <c r="CT12" s="711">
        <f>CS12/CQ12</f>
        <v>0</v>
      </c>
      <c r="CU12" s="593">
        <f>'Proy 2022 vs 2019 sem'!R11*CX$4</f>
        <v>11341.6188</v>
      </c>
      <c r="CV12" s="593">
        <f>'Proy 2022 vs 2019 sem'!S11*CX$4</f>
        <v>10207.456920000001</v>
      </c>
      <c r="CW12" s="699"/>
      <c r="CX12" s="700">
        <f>CW12/CU12</f>
        <v>0</v>
      </c>
      <c r="CY12" s="593">
        <f>'Proy 2022 vs 2019 sem'!R11*DB$4</f>
        <v>11341.6188</v>
      </c>
      <c r="CZ12" s="593">
        <f>'Proy 2022 vs 2019 sem'!S11*DB$4</f>
        <v>10207.456920000001</v>
      </c>
      <c r="DA12" s="699"/>
      <c r="DB12" s="700">
        <f>DA12/CY12</f>
        <v>0</v>
      </c>
      <c r="DC12" s="593">
        <f>'Proy 2022 vs 2019 sem'!R11*DF$4</f>
        <v>11341.6188</v>
      </c>
      <c r="DD12" s="593">
        <f>'Proy 2022 vs 2019 sem'!S11*DF$4</f>
        <v>10207.456920000001</v>
      </c>
      <c r="DE12" s="699"/>
      <c r="DF12" s="700">
        <f>DE12/DC12</f>
        <v>0</v>
      </c>
      <c r="DG12" s="593">
        <f>'Proy 2022 vs 2019 sem'!R11*DJ$4</f>
        <v>11341.6188</v>
      </c>
      <c r="DH12" s="593">
        <f>'Proy 2022 vs 2019 sem'!S11*DJ$4</f>
        <v>10207.456920000001</v>
      </c>
      <c r="DI12" s="699"/>
      <c r="DJ12" s="700">
        <f>DI12/DG12</f>
        <v>0</v>
      </c>
      <c r="DK12" s="593">
        <f>'Proy 2022 vs 2019 sem'!R11*DN$4</f>
        <v>13231.888600000002</v>
      </c>
      <c r="DL12" s="593">
        <f>'Proy 2022 vs 2019 sem'!S11*DN$4</f>
        <v>11908.699740000002</v>
      </c>
      <c r="DM12" s="699"/>
      <c r="DN12" s="700">
        <f>DM12/DK12</f>
        <v>0</v>
      </c>
      <c r="DO12" s="593">
        <f>'Proy 2022 vs 2019 sem'!R11*DR$4</f>
        <v>15122.1584</v>
      </c>
      <c r="DP12" s="593">
        <f>'Proy 2022 vs 2019 sem'!S11*DR$4</f>
        <v>13609.942560000001</v>
      </c>
      <c r="DQ12" s="699"/>
      <c r="DR12" s="700">
        <f>DQ12/DO12</f>
        <v>0</v>
      </c>
      <c r="DS12" s="593">
        <f>'Proy 2022 vs 2019 sem'!R11*DV$4</f>
        <v>20792.967800000002</v>
      </c>
      <c r="DT12" s="593">
        <f>'Proy 2022 vs 2019 sem'!S11*DV$4</f>
        <v>18713.671020000002</v>
      </c>
      <c r="DU12" s="699"/>
      <c r="DV12" s="700">
        <f>DU12/DS12</f>
        <v>0</v>
      </c>
      <c r="DW12" s="579">
        <f>CU12+CY12+DC12+DG12+DK12+DO12+DS12</f>
        <v>94513.49</v>
      </c>
      <c r="DX12" s="574">
        <f>CV12+CZ12+DD12+DH12+DL12+DP12+DT12</f>
        <v>85062.141000000003</v>
      </c>
      <c r="DY12" s="710">
        <f>CW12+DA12+DE12+DI12+DM12+DQ12+DU12</f>
        <v>0</v>
      </c>
      <c r="DZ12" s="711">
        <f>DY12/DW12</f>
        <v>0</v>
      </c>
      <c r="EA12" s="593">
        <f>'Proy 2022 vs 2019 sem'!AA11*ED$4</f>
        <v>10300.816799999999</v>
      </c>
      <c r="EB12" s="593">
        <f>'Proy 2022 vs 2019 sem'!AB11*ED$4</f>
        <v>9167.7269519999991</v>
      </c>
      <c r="EC12" s="735"/>
      <c r="ED12" s="700">
        <f>EC12/EA12</f>
        <v>0</v>
      </c>
      <c r="EE12" s="593">
        <f>'Proy 2022 vs 2019 sem'!AA11*EH$4</f>
        <v>10300.816799999999</v>
      </c>
      <c r="EF12" s="593">
        <f>'Proy 2022 vs 2019 sem'!AB11*EH$4</f>
        <v>9167.7269519999991</v>
      </c>
      <c r="EG12" s="699"/>
      <c r="EH12" s="700">
        <f>EG12/EE12</f>
        <v>0</v>
      </c>
      <c r="EI12" s="593">
        <f>'Proy 2022 vs 2019 sem'!AA11*EL$4</f>
        <v>10300.816799999999</v>
      </c>
      <c r="EJ12" s="593">
        <f>'Proy 2022 vs 2019 sem'!AB11*EL$4</f>
        <v>9167.7269519999991</v>
      </c>
      <c r="EK12" s="699"/>
      <c r="EL12" s="700">
        <f>EK12/EI12</f>
        <v>0</v>
      </c>
      <c r="EM12" s="593">
        <f>'Proy 2022 vs 2019 sem'!AA11*EP$4</f>
        <v>10300.816799999999</v>
      </c>
      <c r="EN12" s="593">
        <f>'Proy 2022 vs 2019 sem'!AB11*EP$4</f>
        <v>9167.7269519999991</v>
      </c>
      <c r="EO12" s="699"/>
      <c r="EP12" s="700">
        <f>EO12/EM12</f>
        <v>0</v>
      </c>
      <c r="EQ12" s="593">
        <f>'Proy 2022 vs 2019 sem'!AA11*ET$4</f>
        <v>12017.619600000002</v>
      </c>
      <c r="ER12" s="593">
        <f>'Proy 2022 vs 2019 sem'!AB11*ET$4</f>
        <v>10695.681444000002</v>
      </c>
      <c r="ES12" s="699"/>
      <c r="ET12" s="700">
        <f>ES12/EQ12</f>
        <v>0</v>
      </c>
      <c r="EU12" s="593">
        <f>'Proy 2022 vs 2019 sem'!AA11*EX$4</f>
        <v>13734.422399999999</v>
      </c>
      <c r="EV12" s="593">
        <f>'Proy 2022 vs 2019 sem'!AB11*EX$4</f>
        <v>12223.635936000001</v>
      </c>
      <c r="EW12" s="699"/>
      <c r="EX12" s="700">
        <f>EW12/EU12</f>
        <v>0</v>
      </c>
      <c r="EY12" s="593">
        <f>'Proy 2022 vs 2019 sem'!AA11*FB$4</f>
        <v>18884.8308</v>
      </c>
      <c r="EZ12" s="593">
        <f>'Proy 2022 vs 2019 sem'!AB11*FB$4</f>
        <v>16807.499412000001</v>
      </c>
      <c r="FA12" s="699"/>
      <c r="FB12" s="700">
        <f>FA12/EY12</f>
        <v>0</v>
      </c>
      <c r="FC12" s="579">
        <f>EA12+EE12+EI12+EM12+EQ12+EU12+EY12</f>
        <v>85840.139999999985</v>
      </c>
      <c r="FD12" s="574">
        <f>EB12+EF12+EJ12+EN12+ER12+EV12+EZ12</f>
        <v>76397.724600000001</v>
      </c>
      <c r="FE12" s="793">
        <f>EC12+EG12+EK12+EO12+ES12+EW12+FA12</f>
        <v>0</v>
      </c>
      <c r="FF12" s="786">
        <f>FE12/FC12</f>
        <v>0</v>
      </c>
      <c r="FG12" s="593">
        <f>'Proy 2022 vs 2019 sem'!AF11*FJ$4</f>
        <v>14764.457999999999</v>
      </c>
      <c r="FH12" s="593">
        <f>'Proy 2022 vs 2019 sem'!AG11*FJ$4</f>
        <v>12992.723039999999</v>
      </c>
      <c r="FI12" s="699"/>
      <c r="FJ12" s="700">
        <f>FI12/FG12</f>
        <v>0</v>
      </c>
      <c r="FK12" s="593">
        <f>'Proy 2022 vs 2019 sem'!AF11*FN$4</f>
        <v>14764.457999999999</v>
      </c>
      <c r="FL12" s="593">
        <f>'Proy 2022 vs 2019 sem'!AG11*FN$4</f>
        <v>12992.723039999999</v>
      </c>
      <c r="FM12" s="699"/>
      <c r="FN12" s="700">
        <f>FM12/FK12</f>
        <v>0</v>
      </c>
      <c r="FO12" s="593">
        <f>'Proy 2022 vs 2019 sem'!AF11*FR$4</f>
        <v>14764.457999999999</v>
      </c>
      <c r="FP12" s="593">
        <f>'Proy 2022 vs 2019 sem'!AG11*FR$4</f>
        <v>12992.723039999999</v>
      </c>
      <c r="FQ12" s="699"/>
      <c r="FR12" s="700">
        <f>FQ12/FO12</f>
        <v>0</v>
      </c>
      <c r="FS12" s="593">
        <f>'Proy 2022 vs 2019 sem'!AF11*FV$4</f>
        <v>14764.457999999999</v>
      </c>
      <c r="FT12" s="593">
        <f>'Proy 2022 vs 2019 sem'!AG11*FV$4</f>
        <v>12992.723039999999</v>
      </c>
      <c r="FU12" s="699"/>
      <c r="FV12" s="700">
        <f>FU12/FS12</f>
        <v>0</v>
      </c>
      <c r="FW12" s="593">
        <f>'Proy 2022 vs 2019 sem'!AF11*FZ$4</f>
        <v>17225.201000000001</v>
      </c>
      <c r="FX12" s="593">
        <f>'Proy 2022 vs 2019 sem'!AG11*FZ$4</f>
        <v>15158.176880000001</v>
      </c>
      <c r="FY12" s="699"/>
      <c r="FZ12" s="700">
        <f>FY12/FW12</f>
        <v>0</v>
      </c>
      <c r="GA12" s="593">
        <f>'Proy 2022 vs 2019 sem'!AF11*GD$4</f>
        <v>19685.944</v>
      </c>
      <c r="GB12" s="593">
        <f>'Proy 2022 vs 2019 sem'!AG11*GD$4</f>
        <v>17323.630720000001</v>
      </c>
      <c r="GC12" s="699"/>
      <c r="GD12" s="700">
        <f>GC12/GA12</f>
        <v>0</v>
      </c>
      <c r="GE12" s="593">
        <f>'Proy 2022 vs 2019 sem'!AF11*GH$4</f>
        <v>27068.172999999999</v>
      </c>
      <c r="GF12" s="593">
        <f>'Proy 2022 vs 2019 sem'!AG11*GH$4</f>
        <v>23819.99224</v>
      </c>
      <c r="GG12" s="699"/>
      <c r="GH12" s="700">
        <f>GG12/GE12</f>
        <v>0</v>
      </c>
      <c r="GI12" s="579">
        <f>FG12+FK12+FO12+FS12+FW12+GA12+GE12</f>
        <v>123037.15</v>
      </c>
      <c r="GJ12" s="574">
        <f>FH12+FL12+FP12+FT12+FX12+GB12+GF12</f>
        <v>108272.69200000001</v>
      </c>
      <c r="GK12" s="794">
        <f>FI12+FM12+FQ12+FU12+FY12+GC12+GG12</f>
        <v>0</v>
      </c>
      <c r="GL12" s="786">
        <f>GK12/GI12</f>
        <v>0</v>
      </c>
      <c r="GM12" s="593">
        <f>'Proy 2022 vs 2019 sem'!AK11*GP$4</f>
        <v>9374.1071999999986</v>
      </c>
      <c r="GN12" s="593">
        <f>'Proy 2022 vs 2019 sem'!AL11*GP$4</f>
        <v>8530.4375520000012</v>
      </c>
      <c r="GO12" s="699"/>
      <c r="GP12" s="700">
        <f>GO12/GM12</f>
        <v>0</v>
      </c>
      <c r="GQ12" s="593">
        <f>'Proy 2022 vs 2019 sem'!AK11*GT$4</f>
        <v>9374.1071999999986</v>
      </c>
      <c r="GR12" s="593">
        <f>'Proy 2022 vs 2019 sem'!AL11*GT$4</f>
        <v>8530.4375520000012</v>
      </c>
      <c r="GS12" s="699"/>
      <c r="GT12" s="700">
        <f>GS12/GQ12</f>
        <v>0</v>
      </c>
      <c r="GU12" s="593">
        <f>'Proy 2022 vs 2019 sem'!AK11*GX$4</f>
        <v>9374.1071999999986</v>
      </c>
      <c r="GV12" s="593">
        <f>'Proy 2022 vs 2019 sem'!AL11*GX$4</f>
        <v>8530.4375520000012</v>
      </c>
      <c r="GW12" s="699"/>
      <c r="GX12" s="700">
        <f>GW12/GU12</f>
        <v>0</v>
      </c>
      <c r="GY12" s="593">
        <f>'Proy 2022 vs 2019 sem'!AK11*HB$4</f>
        <v>9374.1071999999986</v>
      </c>
      <c r="GZ12" s="593">
        <f>'Proy 2022 vs 2019 sem'!AL11*HB$4</f>
        <v>8530.4375520000012</v>
      </c>
      <c r="HA12" s="699"/>
      <c r="HB12" s="700">
        <f>HA12/GY12</f>
        <v>0</v>
      </c>
      <c r="HC12" s="593">
        <f>'Proy 2022 vs 2019 sem'!AK11*HF$4</f>
        <v>10936.458400000001</v>
      </c>
      <c r="HD12" s="593">
        <f>'Proy 2022 vs 2019 sem'!AL11*HF$4</f>
        <v>9952.1771440000011</v>
      </c>
      <c r="HE12" s="699"/>
      <c r="HF12" s="700">
        <f>HE12/HC12</f>
        <v>0</v>
      </c>
      <c r="HG12" s="593">
        <f>'Proy 2022 vs 2019 sem'!AK11*HJ$4</f>
        <v>12498.809600000001</v>
      </c>
      <c r="HH12" s="593">
        <f>'Proy 2022 vs 2019 sem'!AL11*HJ$4</f>
        <v>11373.916736000001</v>
      </c>
      <c r="HI12" s="699"/>
      <c r="HJ12" s="700">
        <f>HI12/HG12</f>
        <v>0</v>
      </c>
      <c r="HK12" s="593">
        <f>'Proy 2022 vs 2019 sem'!AK11*HN$4</f>
        <v>17185.8632</v>
      </c>
      <c r="HL12" s="593">
        <f>'Proy 2022 vs 2019 sem'!AL11*HN$4</f>
        <v>15639.135512000001</v>
      </c>
      <c r="HM12" s="699"/>
      <c r="HN12" s="700">
        <f>HM12/HK12</f>
        <v>0</v>
      </c>
      <c r="HO12" s="579">
        <f>GM12+GQ12+GU12+GY12+HC12+HG12+HK12</f>
        <v>78117.56</v>
      </c>
      <c r="HP12" s="574">
        <f>GN12+GR12+GV12+GZ12+HD12+HH12+HL12</f>
        <v>71086.979600000006</v>
      </c>
      <c r="HQ12" s="794">
        <f>GO12+GS12+GW12+HA12+HE12+HI12+HM12</f>
        <v>0</v>
      </c>
      <c r="HR12" s="786">
        <f>HQ12/HO12</f>
        <v>0</v>
      </c>
      <c r="HS12" s="593">
        <f>'Proy 2022 vs 2019 sem'!AK11*HV$4</f>
        <v>9374.1071999999986</v>
      </c>
      <c r="HT12" s="593">
        <f>'Proy 2022 vs 2019 sem'!AL11*HV$4</f>
        <v>8530.4375520000012</v>
      </c>
      <c r="HU12" s="699"/>
      <c r="HV12" s="700">
        <f>HU12/HS12</f>
        <v>0</v>
      </c>
      <c r="HW12" s="593">
        <f>'Proy 2022 vs 2019 sem'!AK11*HZ$4</f>
        <v>9374.1071999999986</v>
      </c>
      <c r="HX12" s="593">
        <f>'Proy 2022 vs 2019 sem'!AL11*HZ$4</f>
        <v>8530.4375520000012</v>
      </c>
      <c r="HY12" s="699"/>
      <c r="HZ12" s="700">
        <f>HY12/HW12</f>
        <v>0</v>
      </c>
      <c r="IA12" s="593">
        <f>'Proy 2022 vs 2019 sem'!AK11*ID$4</f>
        <v>9374.1071999999986</v>
      </c>
      <c r="IB12" s="593">
        <f>'Proy 2022 vs 2019 sem'!AL11*ID$4</f>
        <v>8530.4375520000012</v>
      </c>
      <c r="IC12" s="699"/>
      <c r="ID12" s="700">
        <f>IC12/IA12</f>
        <v>0</v>
      </c>
      <c r="IE12" s="593">
        <f>'Proy 2022 vs 2019 sem'!AK11*IH$4</f>
        <v>9374.1071999999986</v>
      </c>
      <c r="IF12" s="593">
        <f>'Proy 2022 vs 2019 sem'!AL11*IH$4</f>
        <v>8530.4375520000012</v>
      </c>
      <c r="IG12" s="699"/>
      <c r="IH12" s="700">
        <f>IG12/IE12</f>
        <v>0</v>
      </c>
      <c r="II12" s="593">
        <f>'Proy 2022 vs 2019 sem'!AK11*IL$4</f>
        <v>10936.458400000001</v>
      </c>
      <c r="IJ12" s="593">
        <f>'Proy 2022 vs 2019 sem'!AL11*IL$4</f>
        <v>9952.1771440000011</v>
      </c>
      <c r="IK12" s="699"/>
      <c r="IL12" s="700">
        <f>IK12/II12</f>
        <v>0</v>
      </c>
      <c r="IM12" s="593">
        <f>'Proy 2022 vs 2019 sem'!AK11*IP$4</f>
        <v>12498.809600000001</v>
      </c>
      <c r="IN12" s="593">
        <f>'Proy 2022 vs 2019 sem'!AL11*IP$4</f>
        <v>11373.916736000001</v>
      </c>
      <c r="IO12" s="699"/>
      <c r="IP12" s="700">
        <f>IO12/IM12</f>
        <v>0</v>
      </c>
      <c r="IQ12" s="593">
        <f>'Proy 2022 vs 2019 sem'!AK11*IT$4</f>
        <v>17185.8632</v>
      </c>
      <c r="IR12" s="593">
        <f>'Proy 2022 vs 2019 sem'!AL11*IT$4</f>
        <v>15639.135512000001</v>
      </c>
      <c r="IS12" s="699"/>
      <c r="IT12" s="700">
        <f>IS12/IQ12</f>
        <v>0</v>
      </c>
      <c r="IU12" s="579">
        <f>HS12+HW12+IA12+IE12+II12+IM12+IQ12</f>
        <v>78117.56</v>
      </c>
      <c r="IV12" s="574">
        <f>HT12+HX12+IB12+IF12+IJ12+IN12+IR12</f>
        <v>71086.979600000006</v>
      </c>
      <c r="IW12" s="785">
        <f>HU12+HY12+IC12+IG12+IK12+IO12+IS12</f>
        <v>0</v>
      </c>
      <c r="IX12" s="786">
        <f>IW12/IU12</f>
        <v>0</v>
      </c>
      <c r="IY12" s="593">
        <f>'Proy 2022 vs 2019 sem'!AY11*JB$4</f>
        <v>12396.729600000001</v>
      </c>
      <c r="IZ12" s="593">
        <f>'Proy 2022 vs 2019 sem'!AZ11*JB$4</f>
        <v>11033.089344</v>
      </c>
      <c r="JA12" s="735"/>
      <c r="JB12" s="700">
        <f>JA12/IY12</f>
        <v>0</v>
      </c>
      <c r="JC12" s="593">
        <f>'Proy 2022 vs 2019 sem'!AY11*JF$4</f>
        <v>12396.729600000001</v>
      </c>
      <c r="JD12" s="593">
        <f>'Proy 2022 vs 2019 sem'!AZ11*JF$4</f>
        <v>11033.089344</v>
      </c>
      <c r="JE12" s="735"/>
      <c r="JF12" s="700">
        <f>JE12/JC12</f>
        <v>0</v>
      </c>
      <c r="JG12" s="593">
        <f>'Proy 2022 vs 2019 sem'!AY11*JJ$4</f>
        <v>12396.729600000001</v>
      </c>
      <c r="JH12" s="593">
        <f>'Proy 2022 vs 2019 sem'!AZ11*JJ$4</f>
        <v>11033.089344</v>
      </c>
      <c r="JI12" s="735"/>
      <c r="JJ12" s="700">
        <f>JI12/JG12</f>
        <v>0</v>
      </c>
      <c r="JK12" s="593">
        <f>'Proy 2022 vs 2019 sem'!AY11*JN$4</f>
        <v>12396.729600000001</v>
      </c>
      <c r="JL12" s="593">
        <f>'Proy 2022 vs 2019 sem'!AZ11*JN$4</f>
        <v>11033.089344</v>
      </c>
      <c r="JM12" s="735"/>
      <c r="JN12" s="700">
        <f>JM12/JK12</f>
        <v>0</v>
      </c>
      <c r="JO12" s="593">
        <f>'Proy 2022 vs 2019 sem'!AY11*JR$4</f>
        <v>14462.851200000001</v>
      </c>
      <c r="JP12" s="593">
        <f>'Proy 2022 vs 2019 sem'!AZ11*JR$4</f>
        <v>12871.937568000001</v>
      </c>
      <c r="JQ12" s="735"/>
      <c r="JR12" s="700">
        <f>JQ12/JO12</f>
        <v>0</v>
      </c>
      <c r="JS12" s="593">
        <f>'Proy 2022 vs 2019 sem'!AY11*JV$4</f>
        <v>16528.9728</v>
      </c>
      <c r="JT12" s="593">
        <f>'Proy 2022 vs 2019 sem'!AZ11*JV$4</f>
        <v>14710.785792000001</v>
      </c>
      <c r="JU12" s="735"/>
      <c r="JV12" s="700">
        <f>JU12/JS12</f>
        <v>0</v>
      </c>
      <c r="JW12" s="593">
        <f>'Proy 2022 vs 2019 sem'!AY11*JZ$4</f>
        <v>22727.337599999999</v>
      </c>
      <c r="JX12" s="593">
        <f>'Proy 2022 vs 2019 sem'!AZ11*JZ$4</f>
        <v>20227.330464000002</v>
      </c>
      <c r="JY12" s="735"/>
      <c r="JZ12" s="700">
        <f>JY12/JW12</f>
        <v>0</v>
      </c>
      <c r="KA12" s="579">
        <f>IY12+JC12+JG12+JK12+JO12+JS12+JW12</f>
        <v>103306.08</v>
      </c>
      <c r="KB12" s="574">
        <f>IZ12+JD12+JH12+JL12+JP12+JT12+JX12</f>
        <v>91942.411200000002</v>
      </c>
      <c r="KC12" s="729">
        <f>JA12+JE12+JI12+JM12+JQ12+JU12+JY12</f>
        <v>0</v>
      </c>
      <c r="KD12" s="711">
        <f>KC12/KA12</f>
        <v>0</v>
      </c>
      <c r="KE12" s="593">
        <f>'Proy 2022 vs 2019 sem'!BD11*KH$4</f>
        <v>12308.856</v>
      </c>
      <c r="KF12" s="593">
        <f>'Proy 2022 vs 2019 sem'!BE11*KH$4</f>
        <v>10954.88184</v>
      </c>
      <c r="KG12" s="699"/>
      <c r="KH12" s="700">
        <f>KG12/KE12</f>
        <v>0</v>
      </c>
      <c r="KI12" s="593">
        <f>'Proy 2022 vs 2019 sem'!BD11*KL$4</f>
        <v>12308.856</v>
      </c>
      <c r="KJ12" s="593">
        <f>'Proy 2022 vs 2019 sem'!BE11*KL$4</f>
        <v>10954.88184</v>
      </c>
      <c r="KK12" s="699"/>
      <c r="KL12" s="700">
        <f>KK12/KI12</f>
        <v>0</v>
      </c>
      <c r="KM12" s="593">
        <f>'Proy 2022 vs 2019 sem'!BD11*KP$4</f>
        <v>12308.856</v>
      </c>
      <c r="KN12" s="593">
        <f>'Proy 2022 vs 2019 sem'!BE11*KP$4</f>
        <v>10954.88184</v>
      </c>
      <c r="KO12" s="699"/>
      <c r="KP12" s="700">
        <f>KO12/KM12</f>
        <v>0</v>
      </c>
      <c r="KQ12" s="593">
        <f>'Proy 2022 vs 2019 sem'!BD11*KT$4</f>
        <v>12308.856</v>
      </c>
      <c r="KR12" s="593">
        <f>'Proy 2022 vs 2019 sem'!BE11*KT$4</f>
        <v>10954.88184</v>
      </c>
      <c r="KS12" s="699"/>
      <c r="KT12" s="700">
        <f>KS12/KQ12</f>
        <v>0</v>
      </c>
      <c r="KU12" s="593">
        <f>'Proy 2022 vs 2019 sem'!BD11*KX$4</f>
        <v>14360.332000000002</v>
      </c>
      <c r="KV12" s="593">
        <f>'Proy 2022 vs 2019 sem'!BE11*KX$4</f>
        <v>12780.695480000002</v>
      </c>
      <c r="KW12" s="699"/>
      <c r="KX12" s="700">
        <f>KW12/KU12</f>
        <v>0</v>
      </c>
      <c r="KY12" s="593">
        <f>'Proy 2022 vs 2019 sem'!BD11*LB$4</f>
        <v>16411.808000000001</v>
      </c>
      <c r="KZ12" s="593">
        <f>'Proy 2022 vs 2019 sem'!BE11*LB$4</f>
        <v>14606.509120000001</v>
      </c>
      <c r="LA12" s="699"/>
      <c r="LB12" s="700">
        <f>LA12/KY12</f>
        <v>0</v>
      </c>
      <c r="LC12" s="593">
        <f>'Proy 2022 vs 2019 sem'!BD11*LF$4</f>
        <v>22566.236000000001</v>
      </c>
      <c r="LD12" s="593">
        <f>'Proy 2022 vs 2019 sem'!BE11*LF$4</f>
        <v>20083.95004</v>
      </c>
      <c r="LE12" s="699"/>
      <c r="LF12" s="700">
        <f>LE12/LC12</f>
        <v>0</v>
      </c>
      <c r="LG12" s="579">
        <f>KE12+KI12+KM12+KQ12+KU12+KY12+LC12</f>
        <v>102573.8</v>
      </c>
      <c r="LH12" s="574">
        <f>KF12+KJ12+KN12+KR12+KV12+KZ12+LD12</f>
        <v>91290.682000000001</v>
      </c>
      <c r="LI12" s="730">
        <f>KG12+KK12+KO12+KS12+KW12+LA12+LE12</f>
        <v>0</v>
      </c>
      <c r="LJ12" s="711">
        <f>LI12/LG12</f>
        <v>0</v>
      </c>
      <c r="LK12" s="593">
        <f>'Proy 2022 vs 2019 sem'!BI11*LN$4</f>
        <v>15573.992399999999</v>
      </c>
      <c r="LL12" s="593">
        <f>'Proy 2022 vs 2019 sem'!BJ11*LN$4</f>
        <v>13860.853235999999</v>
      </c>
      <c r="LM12" s="699"/>
      <c r="LN12" s="700">
        <f>LM12/LK12</f>
        <v>0</v>
      </c>
      <c r="LO12" s="593">
        <f>'Proy 2022 vs 2019 sem'!BI11*LR$4</f>
        <v>15573.992399999999</v>
      </c>
      <c r="LP12" s="593">
        <f>'Proy 2022 vs 2019 sem'!BJ11*LR$4</f>
        <v>13860.853235999999</v>
      </c>
      <c r="LQ12" s="699"/>
      <c r="LR12" s="700">
        <f>LQ12/LO12</f>
        <v>0</v>
      </c>
      <c r="LS12" s="593">
        <f>'Proy 2022 vs 2019 sem'!BI11*LV$4</f>
        <v>15573.992399999999</v>
      </c>
      <c r="LT12" s="593">
        <f>'Proy 2022 vs 2019 sem'!BJ11*LV$4</f>
        <v>13860.853235999999</v>
      </c>
      <c r="LU12" s="699"/>
      <c r="LV12" s="700">
        <f>LU12/LS12</f>
        <v>0</v>
      </c>
      <c r="LW12" s="593">
        <f>'Proy 2022 vs 2019 sem'!BI11*LZ$4</f>
        <v>15573.992399999999</v>
      </c>
      <c r="LX12" s="593">
        <f>'Proy 2022 vs 2019 sem'!BJ11*LZ$4</f>
        <v>13860.853235999999</v>
      </c>
      <c r="LY12" s="699"/>
      <c r="LZ12" s="700">
        <f>LY12/LW12</f>
        <v>0</v>
      </c>
      <c r="MA12" s="593">
        <f>'Proy 2022 vs 2019 sem'!BI11*MD$4</f>
        <v>18169.657800000001</v>
      </c>
      <c r="MB12" s="593">
        <f>'Proy 2022 vs 2019 sem'!BJ11*MD$4</f>
        <v>16170.995442000001</v>
      </c>
      <c r="MC12" s="699"/>
      <c r="MD12" s="700">
        <f>MC12/MA12</f>
        <v>0</v>
      </c>
      <c r="ME12" s="593">
        <f>'Proy 2022 vs 2019 sem'!BI11*MH$4</f>
        <v>20765.323200000003</v>
      </c>
      <c r="MF12" s="593">
        <f>'Proy 2022 vs 2019 sem'!BJ11*MH$4</f>
        <v>18481.137648</v>
      </c>
      <c r="MG12" s="699"/>
      <c r="MH12" s="700">
        <f>MG12/ME12</f>
        <v>0</v>
      </c>
      <c r="MI12" s="593">
        <f>'Proy 2022 vs 2019 sem'!BI11*ML$4</f>
        <v>28552.3194</v>
      </c>
      <c r="MJ12" s="593">
        <f>'Proy 2022 vs 2019 sem'!BJ11*ML$4</f>
        <v>25411.564266000001</v>
      </c>
      <c r="MK12" s="699"/>
      <c r="ML12" s="700">
        <f>MK12/MI12</f>
        <v>0</v>
      </c>
      <c r="MM12" s="579">
        <f>LK12+LO12+LS12+LW12+MA12+ME12+MI12</f>
        <v>129783.26999999999</v>
      </c>
      <c r="MN12" s="574">
        <f>LL12+LP12+LT12+LX12+MB12+MF12+MJ12</f>
        <v>115507.1103</v>
      </c>
      <c r="MO12" s="730">
        <f>LM12+LQ12+LU12+LY12+MC12+MG12+MK12</f>
        <v>0</v>
      </c>
      <c r="MP12" s="711">
        <f>MO12/MM12</f>
        <v>0</v>
      </c>
      <c r="MQ12" s="593">
        <f>'Proy 2022 vs 2019 sem'!BN11*MT$4</f>
        <v>13454.442000000001</v>
      </c>
      <c r="MR12" s="593">
        <f>'Proy 2022 vs 2019 sem'!BO11*MT$4</f>
        <v>11705.36454</v>
      </c>
      <c r="MS12" s="699"/>
      <c r="MT12" s="700">
        <f>MS12/MQ12</f>
        <v>0</v>
      </c>
      <c r="MU12" s="593">
        <f>'Proy 2022 vs 2019 sem'!BN11*MX$4</f>
        <v>13454.442000000001</v>
      </c>
      <c r="MV12" s="593">
        <f>'Proy 2022 vs 2019 sem'!BO11*MX$4</f>
        <v>11705.36454</v>
      </c>
      <c r="MW12" s="699"/>
      <c r="MX12" s="700">
        <f>MW12/MU12</f>
        <v>0</v>
      </c>
      <c r="MY12" s="593">
        <f>'Proy 2022 vs 2019 sem'!BN11*NB$4</f>
        <v>13454.442000000001</v>
      </c>
      <c r="MZ12" s="593">
        <f>'Proy 2022 vs 2019 sem'!BO11*NB$4</f>
        <v>11705.36454</v>
      </c>
      <c r="NA12" s="699"/>
      <c r="NB12" s="700">
        <f>NA12/MY12</f>
        <v>0</v>
      </c>
      <c r="NC12" s="593">
        <f>'Proy 2022 vs 2019 sem'!BN11*NF$4</f>
        <v>13454.442000000001</v>
      </c>
      <c r="ND12" s="593">
        <f>'Proy 2022 vs 2019 sem'!BO11*NF$4</f>
        <v>11705.36454</v>
      </c>
      <c r="NE12" s="699"/>
      <c r="NF12" s="700">
        <f>NE12/NC12</f>
        <v>0</v>
      </c>
      <c r="NG12" s="593">
        <f>'Proy 2022 vs 2019 sem'!BN11*NJ$4</f>
        <v>15696.849000000002</v>
      </c>
      <c r="NH12" s="593">
        <f>'Proy 2022 vs 2019 sem'!BO11*NJ$4</f>
        <v>13656.258630000002</v>
      </c>
      <c r="NI12" s="699"/>
      <c r="NJ12" s="700">
        <f>NI12/NG12</f>
        <v>0</v>
      </c>
      <c r="NK12" s="593">
        <f>'Proy 2022 vs 2019 sem'!BN11*NN$4</f>
        <v>17939.256000000001</v>
      </c>
      <c r="NL12" s="593">
        <f>'Proy 2022 vs 2019 sem'!BO11*NN$4</f>
        <v>15607.152720000002</v>
      </c>
      <c r="NM12" s="699"/>
      <c r="NN12" s="700">
        <f>NM12/NK12</f>
        <v>0</v>
      </c>
      <c r="NO12" s="593">
        <f>'Proy 2022 vs 2019 sem'!BN11*NR$4</f>
        <v>24666.477000000003</v>
      </c>
      <c r="NP12" s="593">
        <f>'Proy 2022 vs 2019 sem'!BO11*NR$4</f>
        <v>21459.834990000003</v>
      </c>
      <c r="NQ12" s="699"/>
      <c r="NR12" s="700">
        <f>NQ12/NO12</f>
        <v>0</v>
      </c>
      <c r="NS12" s="579">
        <f>MQ12+MU12+MY12+NC12+NG12+NK12+NO12</f>
        <v>112120.34999999999</v>
      </c>
      <c r="NT12" s="574">
        <f>MR12+MV12+MZ12+ND12+NH12+NL12+NP12</f>
        <v>97544.704500000007</v>
      </c>
      <c r="NU12" s="710">
        <f>MS12+MW12+NA12+NE12+NI12+NM12+NQ12</f>
        <v>0</v>
      </c>
      <c r="NV12" s="711">
        <f>NU12/NS12</f>
        <v>0</v>
      </c>
      <c r="NW12" s="593">
        <f>'Proy 2022 vs 2019 sem'!BS11*NZ$4</f>
        <v>13818.5388</v>
      </c>
      <c r="NX12" s="593">
        <f>'Proy 2022 vs 2019 sem'!BT11*NZ$4</f>
        <v>12298.499532</v>
      </c>
      <c r="NY12" s="699"/>
      <c r="NZ12" s="700">
        <f>NY12/NW12</f>
        <v>0</v>
      </c>
      <c r="OA12" s="593">
        <f>'Proy 2022 vs 2019 sem'!BS11*OD$4</f>
        <v>13818.5388</v>
      </c>
      <c r="OB12" s="593">
        <f>'Proy 2022 vs 2019 sem'!BT11*OD$4</f>
        <v>12298.499532</v>
      </c>
      <c r="OC12" s="699"/>
      <c r="OD12" s="700">
        <f>OC12/OA12</f>
        <v>0</v>
      </c>
      <c r="OE12" s="593">
        <f>'Proy 2022 vs 2019 sem'!BS11*OH$4</f>
        <v>13818.5388</v>
      </c>
      <c r="OF12" s="593">
        <f>'Proy 2022 vs 2019 sem'!BT11*OH$4</f>
        <v>12298.499532</v>
      </c>
      <c r="OG12" s="699"/>
      <c r="OH12" s="700">
        <f>OG12/OE12</f>
        <v>0</v>
      </c>
      <c r="OI12" s="593">
        <f>'Proy 2022 vs 2019 sem'!BS11*OL$4</f>
        <v>13818.5388</v>
      </c>
      <c r="OJ12" s="593">
        <f>'Proy 2022 vs 2019 sem'!BT11*OL$4</f>
        <v>12298.499532</v>
      </c>
      <c r="OK12" s="699"/>
      <c r="OL12" s="700">
        <f>OK12/OI12</f>
        <v>0</v>
      </c>
      <c r="OM12" s="593">
        <f>'Proy 2022 vs 2019 sem'!BS11*OP$4</f>
        <v>16121.628600000002</v>
      </c>
      <c r="ON12" s="593">
        <f>'Proy 2022 vs 2019 sem'!BT11*OP$4</f>
        <v>14348.249454000003</v>
      </c>
      <c r="OO12" s="699"/>
      <c r="OP12" s="700">
        <f>OO12/OM12</f>
        <v>0</v>
      </c>
      <c r="OQ12" s="593">
        <f>'Proy 2022 vs 2019 sem'!BS11*OT$4</f>
        <v>18424.718400000002</v>
      </c>
      <c r="OR12" s="593">
        <f>'Proy 2022 vs 2019 sem'!BT11*OT$4</f>
        <v>16397.999376</v>
      </c>
      <c r="OS12" s="699"/>
      <c r="OT12" s="700">
        <f>OS12/OQ12</f>
        <v>0</v>
      </c>
      <c r="OU12" s="593">
        <f>'Proy 2022 vs 2019 sem'!BS11*OX$4</f>
        <v>25333.987800000003</v>
      </c>
      <c r="OV12" s="593">
        <f>'Proy 2022 vs 2019 sem'!BT11*OX$4</f>
        <v>22547.249142000001</v>
      </c>
      <c r="OW12" s="699"/>
      <c r="OX12" s="700">
        <f>OW12/OU12</f>
        <v>0</v>
      </c>
      <c r="OY12" s="579">
        <f>NW12+OA12+OE12+OI12+OM12+OQ12+OU12</f>
        <v>115154.49</v>
      </c>
      <c r="OZ12" s="574">
        <f>NX12+OB12+OF12+OJ12+ON12+OR12+OV12</f>
        <v>102487.4961</v>
      </c>
      <c r="PA12" s="710">
        <f>NY12+OC12+OG12+OK12+OO12+OS12+OW12</f>
        <v>0</v>
      </c>
      <c r="PB12" s="711">
        <f>PA12/OY12</f>
        <v>0</v>
      </c>
      <c r="PC12" s="593">
        <f>'Proy 2022 vs 2019 sem'!CB11*PF$4</f>
        <v>13967.862000000001</v>
      </c>
      <c r="PD12" s="593">
        <f>'Proy 2022 vs 2019 sem'!CC11*PF$4</f>
        <v>12431.39718</v>
      </c>
      <c r="PE12" s="735"/>
      <c r="PF12" s="700">
        <f>PE12/PC12</f>
        <v>0</v>
      </c>
      <c r="PG12" s="593">
        <f>'Proy 2022 vs 2019 sem'!CB11*PJ$4</f>
        <v>13967.862000000001</v>
      </c>
      <c r="PH12" s="593">
        <f>'Proy 2022 vs 2019 sem'!CC11*PJ$4</f>
        <v>12431.39718</v>
      </c>
      <c r="PI12" s="699"/>
      <c r="PJ12" s="700">
        <f>PI12/PG12</f>
        <v>0</v>
      </c>
      <c r="PK12" s="593">
        <f>'Proy 2022 vs 2019 sem'!CB11*PN$4</f>
        <v>13967.862000000001</v>
      </c>
      <c r="PL12" s="593">
        <f>'Proy 2022 vs 2019 sem'!CC11*PN$4</f>
        <v>12431.39718</v>
      </c>
      <c r="PM12" s="699"/>
      <c r="PN12" s="700">
        <f>PM12/PK12</f>
        <v>0</v>
      </c>
      <c r="PO12" s="593">
        <f>'Proy 2022 vs 2019 sem'!CB11*PR$4</f>
        <v>13967.862000000001</v>
      </c>
      <c r="PP12" s="593">
        <f>'Proy 2022 vs 2019 sem'!CC11*PR$4</f>
        <v>12431.39718</v>
      </c>
      <c r="PQ12" s="699"/>
      <c r="PR12" s="700">
        <f>PQ12/PO12</f>
        <v>0</v>
      </c>
      <c r="PS12" s="593">
        <f>'Proy 2022 vs 2019 sem'!CB11*PV$4</f>
        <v>16295.839000000002</v>
      </c>
      <c r="PT12" s="593">
        <f>'Proy 2022 vs 2019 sem'!CC11*PV$4</f>
        <v>14503.296710000002</v>
      </c>
      <c r="PU12" s="699"/>
      <c r="PV12" s="700">
        <f>PU12/PS12</f>
        <v>0</v>
      </c>
      <c r="PW12" s="593">
        <f>'Proy 2022 vs 2019 sem'!CB11*PZ$4</f>
        <v>18623.816000000003</v>
      </c>
      <c r="PX12" s="593">
        <f>'Proy 2022 vs 2019 sem'!CC11*PZ$4</f>
        <v>16575.196240000001</v>
      </c>
      <c r="PY12" s="699"/>
      <c r="PZ12" s="700">
        <f>PY12/PW12</f>
        <v>0</v>
      </c>
      <c r="QA12" s="593">
        <f>'Proy 2022 vs 2019 sem'!CB11*QD$4</f>
        <v>25607.747000000003</v>
      </c>
      <c r="QB12" s="593">
        <f>'Proy 2022 vs 2019 sem'!CC11*QD$4</f>
        <v>22790.894830000001</v>
      </c>
      <c r="QC12" s="699"/>
      <c r="QD12" s="700">
        <f>QC12/QA12</f>
        <v>0</v>
      </c>
      <c r="QE12" s="579">
        <f>PC12+PG12+PK12+PO12+PS12+PW12+QA12</f>
        <v>116398.85000000002</v>
      </c>
      <c r="QF12" s="574">
        <f>PD12+PH12+PL12+PP12+PT12+PX12+QB12</f>
        <v>103594.9765</v>
      </c>
      <c r="QG12" s="793">
        <f>PE12+PI12+PM12+PQ12+PU12+PY12+QC12</f>
        <v>0</v>
      </c>
      <c r="QH12" s="786">
        <f>QG12/QE12</f>
        <v>0</v>
      </c>
      <c r="QI12" s="593">
        <f>'Proy 2022 vs 2019 sem'!CG11*QL$4</f>
        <v>16010.117999999999</v>
      </c>
      <c r="QJ12" s="593">
        <f>'Proy 2022 vs 2019 sem'!CH11*QL$4</f>
        <v>14409.106199999998</v>
      </c>
      <c r="QK12" s="699"/>
      <c r="QL12" s="700">
        <f>QK12/QI12</f>
        <v>0</v>
      </c>
      <c r="QM12" s="593">
        <f>'Proy 2022 vs 2019 sem'!CG11*QP$4</f>
        <v>16010.117999999999</v>
      </c>
      <c r="QN12" s="593">
        <f>'Proy 2022 vs 2019 sem'!CH11*QP$4</f>
        <v>14409.106199999998</v>
      </c>
      <c r="QO12" s="699"/>
      <c r="QP12" s="700">
        <f>QO12/QM12</f>
        <v>0</v>
      </c>
      <c r="QQ12" s="593">
        <f>'Proy 2022 vs 2019 sem'!CG11*QT$4</f>
        <v>16010.117999999999</v>
      </c>
      <c r="QR12" s="593">
        <f>'Proy 2022 vs 2019 sem'!CH11*QT$4</f>
        <v>14409.106199999998</v>
      </c>
      <c r="QS12" s="699"/>
      <c r="QT12" s="700">
        <f>QS12/QQ12</f>
        <v>0</v>
      </c>
      <c r="QU12" s="593">
        <f>'Proy 2022 vs 2019 sem'!CG11*QX$4</f>
        <v>16010.117999999999</v>
      </c>
      <c r="QV12" s="593">
        <f>'Proy 2022 vs 2019 sem'!CH11*QX$4</f>
        <v>14409.106199999998</v>
      </c>
      <c r="QW12" s="699"/>
      <c r="QX12" s="700">
        <f>QW12/QU12</f>
        <v>0</v>
      </c>
      <c r="QY12" s="593">
        <f>'Proy 2022 vs 2019 sem'!CG11*RB$4</f>
        <v>18678.471000000001</v>
      </c>
      <c r="QZ12" s="593">
        <f>'Proy 2022 vs 2019 sem'!CH11*RB$4</f>
        <v>16810.623900000002</v>
      </c>
      <c r="RA12" s="699"/>
      <c r="RB12" s="700">
        <f>RA12/QY12</f>
        <v>0</v>
      </c>
      <c r="RC12" s="593">
        <f>'Proy 2022 vs 2019 sem'!CG11*RF$4</f>
        <v>21346.824000000001</v>
      </c>
      <c r="RD12" s="593">
        <f>'Proy 2022 vs 2019 sem'!CH11*RF$4</f>
        <v>19212.141599999999</v>
      </c>
      <c r="RE12" s="699"/>
      <c r="RF12" s="700">
        <f>RE12/RC12</f>
        <v>0</v>
      </c>
      <c r="RG12" s="593">
        <f>'Proy 2022 vs 2019 sem'!CG11*RJ$4</f>
        <v>29351.882999999998</v>
      </c>
      <c r="RH12" s="593">
        <f>'Proy 2022 vs 2019 sem'!CH11*RJ$4</f>
        <v>26416.6947</v>
      </c>
      <c r="RI12" s="699"/>
      <c r="RJ12" s="700">
        <f>RI12/RG12</f>
        <v>0</v>
      </c>
      <c r="RK12" s="579">
        <f>QI12+QM12+QQ12+QU12+QY12+RC12+RG12</f>
        <v>133417.65</v>
      </c>
      <c r="RL12" s="574">
        <f>QJ12+QN12+QR12+QV12+QZ12+RD12+RH12</f>
        <v>120075.88500000001</v>
      </c>
      <c r="RM12" s="794">
        <f>QK12+QO12+QS12+QW12+RA12+RE12+RI12</f>
        <v>0</v>
      </c>
      <c r="RN12" s="786">
        <f>RM12/RK12</f>
        <v>0</v>
      </c>
      <c r="RO12" s="593">
        <f>'Proy 2022 vs 2019 sem'!CL11*RR$4</f>
        <v>15085.343999999999</v>
      </c>
      <c r="RP12" s="593">
        <f>'Proy 2022 vs 2019 sem'!CM11*RR$4</f>
        <v>13576.809600000001</v>
      </c>
      <c r="RQ12" s="699"/>
      <c r="RR12" s="700">
        <f>RQ12/RO12</f>
        <v>0</v>
      </c>
      <c r="RS12" s="593">
        <f>'Proy 2022 vs 2019 sem'!CL11*RV$4</f>
        <v>15085.343999999999</v>
      </c>
      <c r="RT12" s="593">
        <f>'Proy 2022 vs 2019 sem'!CM11*RV$4</f>
        <v>13576.809600000001</v>
      </c>
      <c r="RU12" s="699"/>
      <c r="RV12" s="700">
        <f>RU12/RS12</f>
        <v>0</v>
      </c>
      <c r="RW12" s="593">
        <f>'Proy 2022 vs 2019 sem'!CL11*RZ$4</f>
        <v>15085.343999999999</v>
      </c>
      <c r="RX12" s="593">
        <f>'Proy 2022 vs 2019 sem'!CM11*RZ$4</f>
        <v>13576.809600000001</v>
      </c>
      <c r="RY12" s="699"/>
      <c r="RZ12" s="700">
        <f>RY12/RW12</f>
        <v>0</v>
      </c>
      <c r="SA12" s="593">
        <f>'Proy 2022 vs 2019 sem'!CL11*SD$4</f>
        <v>15085.343999999999</v>
      </c>
      <c r="SB12" s="593">
        <f>'Proy 2022 vs 2019 sem'!CM11*SD$4</f>
        <v>13576.809600000001</v>
      </c>
      <c r="SC12" s="699"/>
      <c r="SD12" s="700">
        <f>SC12/SA12</f>
        <v>0</v>
      </c>
      <c r="SE12" s="593">
        <f>'Proy 2022 vs 2019 sem'!CL11*SH$4</f>
        <v>17599.568000000003</v>
      </c>
      <c r="SF12" s="593">
        <f>'Proy 2022 vs 2019 sem'!CM11*SH$4</f>
        <v>15839.611200000001</v>
      </c>
      <c r="SG12" s="699"/>
      <c r="SH12" s="700">
        <f>SG12/SE12</f>
        <v>0</v>
      </c>
      <c r="SI12" s="593">
        <f>'Proy 2022 vs 2019 sem'!CL11*SL$4</f>
        <v>20113.792000000001</v>
      </c>
      <c r="SJ12" s="593">
        <f>'Proy 2022 vs 2019 sem'!CM11*SL$4</f>
        <v>18102.412800000002</v>
      </c>
      <c r="SK12" s="699"/>
      <c r="SL12" s="700">
        <f>SK12/SI12</f>
        <v>0</v>
      </c>
      <c r="SM12" s="593">
        <f>'Proy 2022 vs 2019 sem'!CL11*SP$4</f>
        <v>27656.464</v>
      </c>
      <c r="SN12" s="593">
        <f>'Proy 2022 vs 2019 sem'!CM11*SP$4</f>
        <v>24890.817600000002</v>
      </c>
      <c r="SO12" s="699"/>
      <c r="SP12" s="700">
        <f>SO12/SM12</f>
        <v>0</v>
      </c>
      <c r="SQ12" s="579">
        <f>RO12+RS12+RW12+SA12+SE12+SI12+SM12</f>
        <v>125711.20000000001</v>
      </c>
      <c r="SR12" s="574">
        <f>RP12+RT12+RX12+SB12+SF12+SJ12+SN12</f>
        <v>113140.08000000002</v>
      </c>
      <c r="SS12" s="794">
        <f>RQ12+RU12+RY12+SC12+SG12+SK12+SO12</f>
        <v>0</v>
      </c>
      <c r="ST12" s="786">
        <f>SS12/SQ12</f>
        <v>0</v>
      </c>
      <c r="SU12" s="593">
        <f>'Proy 2022 vs 2019 sem'!CQ11*SX$4</f>
        <v>19905.981599999999</v>
      </c>
      <c r="SV12" s="593">
        <f>'Proy 2022 vs 2019 sem'!CR11*SX$4</f>
        <v>18114.443255999999</v>
      </c>
      <c r="SW12" s="699"/>
      <c r="SX12" s="700">
        <f>SW12/SU12</f>
        <v>0</v>
      </c>
      <c r="SY12" s="593">
        <f>'Proy 2022 vs 2019 sem'!CQ11*TB$4</f>
        <v>19905.981599999999</v>
      </c>
      <c r="SZ12" s="593">
        <f>'Proy 2022 vs 2019 sem'!CR11*TB$4</f>
        <v>18114.443255999999</v>
      </c>
      <c r="TA12" s="699"/>
      <c r="TB12" s="700">
        <f>TA12/SY12</f>
        <v>0</v>
      </c>
      <c r="TC12" s="593">
        <f>'Proy 2022 vs 2019 sem'!CQ11*TF$4</f>
        <v>19905.981599999999</v>
      </c>
      <c r="TD12" s="593">
        <f>'Proy 2022 vs 2019 sem'!CR11*TF$4</f>
        <v>18114.443255999999</v>
      </c>
      <c r="TE12" s="699"/>
      <c r="TF12" s="700">
        <f>TE12/TC12</f>
        <v>0</v>
      </c>
      <c r="TG12" s="593">
        <f>'Proy 2022 vs 2019 sem'!CQ11*TJ$4</f>
        <v>19905.981599999999</v>
      </c>
      <c r="TH12" s="593">
        <f>'Proy 2022 vs 2019 sem'!CR11*TJ$4</f>
        <v>18114.443255999999</v>
      </c>
      <c r="TI12" s="699"/>
      <c r="TJ12" s="700">
        <f>TI12/TG12</f>
        <v>0</v>
      </c>
      <c r="TK12" s="593">
        <f>'Proy 2022 vs 2019 sem'!CQ11*TN$4</f>
        <v>23223.645200000003</v>
      </c>
      <c r="TL12" s="593">
        <f>'Proy 2022 vs 2019 sem'!CR11*TN$4</f>
        <v>21133.517132000004</v>
      </c>
      <c r="TM12" s="699"/>
      <c r="TN12" s="700">
        <f>TM12/TK12</f>
        <v>0</v>
      </c>
      <c r="TO12" s="593">
        <f>'Proy 2022 vs 2019 sem'!CQ11*TR$4</f>
        <v>26541.308799999999</v>
      </c>
      <c r="TP12" s="593">
        <f>'Proy 2022 vs 2019 sem'!CR11*TR$4</f>
        <v>24152.591008000003</v>
      </c>
      <c r="TQ12" s="699"/>
      <c r="TR12" s="700">
        <f>TQ12/TO12</f>
        <v>0</v>
      </c>
      <c r="TS12" s="593">
        <f>'Proy 2022 vs 2019 sem'!CQ11*TV$4</f>
        <v>36494.299599999998</v>
      </c>
      <c r="TT12" s="593">
        <f>'Proy 2022 vs 2019 sem'!CR11*TV$4</f>
        <v>33209.812636000002</v>
      </c>
      <c r="TU12" s="699"/>
      <c r="TV12" s="700">
        <f>TU12/TS12</f>
        <v>0</v>
      </c>
      <c r="TW12" s="579">
        <f>SU12+SY12+TC12+TG12+TK12+TO12+TS12</f>
        <v>165883.18</v>
      </c>
      <c r="TX12" s="574">
        <f>SV12+SZ12+TD12+TH12+TL12+TP12+TT12</f>
        <v>150953.69380000001</v>
      </c>
      <c r="TY12" s="785">
        <f>SW12+TA12+TE12+TI12+TM12+TQ12+TU12</f>
        <v>0</v>
      </c>
      <c r="TZ12" s="786">
        <f>TY12/TW12</f>
        <v>0</v>
      </c>
      <c r="UA12" s="593">
        <f>'Proy 2022 vs 2019 sem'!CZ11*UD$4</f>
        <v>22734.5628</v>
      </c>
      <c r="UB12" s="593">
        <f>'Proy 2022 vs 2019 sem'!DA11*UD$4</f>
        <v>20233.760891999998</v>
      </c>
      <c r="UC12" s="735"/>
      <c r="UD12" s="700">
        <f>UC12/UA12</f>
        <v>0</v>
      </c>
      <c r="UE12" s="593">
        <f>'Proy 2022 vs 2019 sem'!CZ11*UH$4</f>
        <v>22734.5628</v>
      </c>
      <c r="UF12" s="593">
        <f>'Proy 2022 vs 2019 sem'!DA11*UH$4</f>
        <v>20233.760891999998</v>
      </c>
      <c r="UG12" s="699"/>
      <c r="UH12" s="700">
        <f>UG12/UE12</f>
        <v>0</v>
      </c>
      <c r="UI12" s="593">
        <f>'Proy 2022 vs 2019 sem'!CZ11*UL$4</f>
        <v>22734.5628</v>
      </c>
      <c r="UJ12" s="593">
        <f>'Proy 2022 vs 2019 sem'!DA11*UL$4</f>
        <v>20233.760891999998</v>
      </c>
      <c r="UK12" s="699"/>
      <c r="UL12" s="700">
        <f>UK12/UI12</f>
        <v>0</v>
      </c>
      <c r="UM12" s="593">
        <f>'Proy 2022 vs 2019 sem'!CZ11*UP$4</f>
        <v>22734.5628</v>
      </c>
      <c r="UN12" s="593">
        <f>'Proy 2022 vs 2019 sem'!DA11*UP$4</f>
        <v>20233.760891999998</v>
      </c>
      <c r="UO12" s="699"/>
      <c r="UP12" s="700">
        <f>UO12/UM12</f>
        <v>0</v>
      </c>
      <c r="UQ12" s="593">
        <f>'Proy 2022 vs 2019 sem'!CZ11*UT$4</f>
        <v>26523.656600000002</v>
      </c>
      <c r="UR12" s="593">
        <f>'Proy 2022 vs 2019 sem'!DA11*UT$4</f>
        <v>23606.054374000003</v>
      </c>
      <c r="US12" s="699"/>
      <c r="UT12" s="700">
        <f>US12/UQ12</f>
        <v>0</v>
      </c>
      <c r="UU12" s="593">
        <f>'Proy 2022 vs 2019 sem'!CZ11*UX$4</f>
        <v>30312.750400000001</v>
      </c>
      <c r="UV12" s="593">
        <f>'Proy 2022 vs 2019 sem'!DA11*UX$4</f>
        <v>26978.347856</v>
      </c>
      <c r="UW12" s="699"/>
      <c r="UX12" s="700">
        <f>UW12/UU12</f>
        <v>0</v>
      </c>
      <c r="UY12" s="593">
        <f>'Proy 2022 vs 2019 sem'!CZ11*VB$4</f>
        <v>41680.031800000004</v>
      </c>
      <c r="UZ12" s="593">
        <f>'Proy 2022 vs 2019 sem'!DA11*VB$4</f>
        <v>37095.228302000003</v>
      </c>
      <c r="VA12" s="699"/>
      <c r="VB12" s="700">
        <f>VA12/UY12</f>
        <v>0</v>
      </c>
      <c r="VC12" s="579">
        <f>UA12+UE12+UI12+UM12+UQ12+UU12+UY12</f>
        <v>189454.69</v>
      </c>
      <c r="VD12" s="574">
        <f>UB12+UF12+UJ12+UN12+UR12+UV12+UZ12</f>
        <v>168614.6741</v>
      </c>
      <c r="VE12" s="759">
        <f>UC12+UG12+UK12+UO12+US12+UW12+VA12</f>
        <v>0</v>
      </c>
      <c r="VF12" s="761">
        <f>VE12/VC12</f>
        <v>0</v>
      </c>
      <c r="VG12" s="593">
        <f>'Proy 2022 vs 2019 sem'!DE11*VJ$4</f>
        <v>15964.436399999999</v>
      </c>
      <c r="VH12" s="593">
        <f>'Proy 2022 vs 2019 sem'!DF11*VJ$4</f>
        <v>14208.348395999999</v>
      </c>
      <c r="VI12" s="699"/>
      <c r="VJ12" s="700">
        <f>VI12/VG12</f>
        <v>0</v>
      </c>
      <c r="VK12" s="593">
        <f>'Proy 2022 vs 2019 sem'!DE11*VN$4</f>
        <v>15964.436399999999</v>
      </c>
      <c r="VL12" s="593">
        <f>'Proy 2022 vs 2019 sem'!DF11*VN$4</f>
        <v>14208.348395999999</v>
      </c>
      <c r="VM12" s="699"/>
      <c r="VN12" s="700">
        <f>VM12/VK12</f>
        <v>0</v>
      </c>
      <c r="VO12" s="593">
        <f>'Proy 2022 vs 2019 sem'!DE11*VR$4</f>
        <v>15964.436399999999</v>
      </c>
      <c r="VP12" s="593">
        <f>'Proy 2022 vs 2019 sem'!DF11*VR$4</f>
        <v>14208.348395999999</v>
      </c>
      <c r="VQ12" s="699"/>
      <c r="VR12" s="700">
        <f>VQ12/VO12</f>
        <v>0</v>
      </c>
      <c r="VS12" s="593">
        <f>'Proy 2022 vs 2019 sem'!DE11*VV$4</f>
        <v>15964.436399999999</v>
      </c>
      <c r="VT12" s="593">
        <f>'Proy 2022 vs 2019 sem'!DF11*VV$4</f>
        <v>14208.348395999999</v>
      </c>
      <c r="VU12" s="699"/>
      <c r="VV12" s="700">
        <f>VU12/VS12</f>
        <v>0</v>
      </c>
      <c r="VW12" s="593">
        <f>'Proy 2022 vs 2019 sem'!DE11*VZ$4</f>
        <v>18625.175800000001</v>
      </c>
      <c r="VX12" s="593">
        <f>'Proy 2022 vs 2019 sem'!DF11*VZ$4</f>
        <v>16576.406462000003</v>
      </c>
      <c r="VY12" s="699"/>
      <c r="VZ12" s="700">
        <f>VY12/VW12</f>
        <v>0</v>
      </c>
      <c r="WA12" s="593">
        <f>'Proy 2022 vs 2019 sem'!DE11*WD$4</f>
        <v>21285.915199999999</v>
      </c>
      <c r="WB12" s="593">
        <f>'Proy 2022 vs 2019 sem'!DF11*WD$4</f>
        <v>18944.464528</v>
      </c>
      <c r="WC12" s="699"/>
      <c r="WD12" s="700">
        <f>WC12/WA12</f>
        <v>0</v>
      </c>
      <c r="WE12" s="593">
        <f>'Proy 2022 vs 2019 sem'!DE11*WH$4</f>
        <v>29268.133399999999</v>
      </c>
      <c r="WF12" s="593">
        <f>'Proy 2022 vs 2019 sem'!DF11*WH$4</f>
        <v>26048.638726000001</v>
      </c>
      <c r="WG12" s="699"/>
      <c r="WH12" s="700">
        <f>WG12/WE12</f>
        <v>0</v>
      </c>
      <c r="WI12" s="579">
        <f>VG12+VK12+VO12+VS12+VW12+WA12+WE12</f>
        <v>133036.97</v>
      </c>
      <c r="WJ12" s="574">
        <f>VH12+VL12+VP12+VT12+VX12+WB12+WF12</f>
        <v>118402.90330000001</v>
      </c>
      <c r="WK12" s="765">
        <f>VI12+VM12+VQ12+VU12+VY12+WC12+WG12</f>
        <v>0</v>
      </c>
      <c r="WL12" s="761">
        <f>WK12/WI12</f>
        <v>0</v>
      </c>
      <c r="WM12" s="593">
        <f>'Proy 2022 vs 2019 sem'!DJ11*WP$4</f>
        <v>13097.64</v>
      </c>
      <c r="WN12" s="593">
        <f>'Proy 2022 vs 2019 sem'!DK11*WP$4</f>
        <v>11656.899600000001</v>
      </c>
      <c r="WO12" s="699"/>
      <c r="WP12" s="700">
        <f>WO12/WM12</f>
        <v>0</v>
      </c>
      <c r="WQ12" s="593">
        <f>'Proy 2022 vs 2019 sem'!DJ11*WT$4</f>
        <v>13097.64</v>
      </c>
      <c r="WR12" s="593">
        <f>'Proy 2022 vs 2019 sem'!DK11*WT$4</f>
        <v>11656.899600000001</v>
      </c>
      <c r="WS12" s="699"/>
      <c r="WT12" s="700">
        <f>WS12/WQ12</f>
        <v>0</v>
      </c>
      <c r="WU12" s="593">
        <f>'Proy 2022 vs 2019 sem'!DJ11*WX$4</f>
        <v>13097.64</v>
      </c>
      <c r="WV12" s="593">
        <f>'Proy 2022 vs 2019 sem'!DK11*WX$4</f>
        <v>11656.899600000001</v>
      </c>
      <c r="WW12" s="699"/>
      <c r="WX12" s="700">
        <f>WW12/WU12</f>
        <v>0</v>
      </c>
      <c r="WY12" s="593">
        <f>'Proy 2022 vs 2019 sem'!DJ11*XB$4</f>
        <v>13097.64</v>
      </c>
      <c r="WZ12" s="593">
        <f>'Proy 2022 vs 2019 sem'!DK11*XB$4</f>
        <v>11656.899600000001</v>
      </c>
      <c r="XA12" s="699"/>
      <c r="XB12" s="700">
        <f>XA12/WY12</f>
        <v>0</v>
      </c>
      <c r="XC12" s="593">
        <f>'Proy 2022 vs 2019 sem'!DJ11*XF$4</f>
        <v>15280.580000000002</v>
      </c>
      <c r="XD12" s="593">
        <f>'Proy 2022 vs 2019 sem'!DK11*XF$4</f>
        <v>13599.716200000001</v>
      </c>
      <c r="XE12" s="699"/>
      <c r="XF12" s="700">
        <f>XE12/XC12</f>
        <v>0</v>
      </c>
      <c r="XG12" s="593">
        <f>'Proy 2022 vs 2019 sem'!DJ11*XJ$4</f>
        <v>17463.52</v>
      </c>
      <c r="XH12" s="593">
        <f>'Proy 2022 vs 2019 sem'!DK11*XJ$4</f>
        <v>15542.532800000001</v>
      </c>
      <c r="XI12" s="699"/>
      <c r="XJ12" s="700">
        <f>XI12/XG12</f>
        <v>0</v>
      </c>
      <c r="XK12" s="593">
        <f>'Proy 2022 vs 2019 sem'!DJ11*XN$4</f>
        <v>24012.34</v>
      </c>
      <c r="XL12" s="593">
        <f>'Proy 2022 vs 2019 sem'!DK11*XN$4</f>
        <v>21370.982599999999</v>
      </c>
      <c r="XM12" s="699"/>
      <c r="XN12" s="700">
        <f>XM12/XK12</f>
        <v>0</v>
      </c>
      <c r="XO12" s="579">
        <f>WM12+WQ12+WU12+WY12+XC12+XG12+XK12</f>
        <v>109147</v>
      </c>
      <c r="XP12" s="574">
        <f>WN12+WR12+WV12+WZ12+XD12+XH12+XL12</f>
        <v>97140.83</v>
      </c>
      <c r="XQ12" s="765">
        <f>WO12+WS12+WW12+XA12+XE12+XI12+XM12</f>
        <v>0</v>
      </c>
      <c r="XR12" s="761">
        <f>XQ12/XO12</f>
        <v>0</v>
      </c>
      <c r="XS12" s="593">
        <f>'Proy 2022 vs 2019 sem'!DO11*XV$4</f>
        <v>14360.511599999998</v>
      </c>
      <c r="XT12" s="593">
        <f>'Proy 2022 vs 2019 sem'!DP11*XV$4</f>
        <v>12924.460439999999</v>
      </c>
      <c r="XU12" s="699"/>
      <c r="XV12" s="700">
        <f>XU12/XS12</f>
        <v>0</v>
      </c>
      <c r="XW12" s="593">
        <f>'Proy 2022 vs 2019 sem'!DO11*XZ$4</f>
        <v>14360.511599999998</v>
      </c>
      <c r="XX12" s="593">
        <f>'Proy 2022 vs 2019 sem'!DP11*XZ$4</f>
        <v>12924.460439999999</v>
      </c>
      <c r="XY12" s="699"/>
      <c r="XZ12" s="700">
        <f>XY12/XW12</f>
        <v>0</v>
      </c>
      <c r="YA12" s="593">
        <f>'Proy 2022 vs 2019 sem'!DO11*YD$4</f>
        <v>14360.511599999998</v>
      </c>
      <c r="YB12" s="593">
        <f>'Proy 2022 vs 2019 sem'!DP11*YD$4</f>
        <v>12924.460439999999</v>
      </c>
      <c r="YC12" s="699"/>
      <c r="YD12" s="700">
        <f>YC12/YA12</f>
        <v>0</v>
      </c>
      <c r="YE12" s="593">
        <f>'Proy 2022 vs 2019 sem'!DO11*YH$4</f>
        <v>14360.511599999998</v>
      </c>
      <c r="YF12" s="593">
        <f>'Proy 2022 vs 2019 sem'!DP11*YH$4</f>
        <v>12924.460439999999</v>
      </c>
      <c r="YG12" s="699"/>
      <c r="YH12" s="700">
        <f>YG12/YE12</f>
        <v>0</v>
      </c>
      <c r="YI12" s="593">
        <f>'Proy 2022 vs 2019 sem'!DO11*YL$4</f>
        <v>16753.930199999999</v>
      </c>
      <c r="YJ12" s="593">
        <f>'Proy 2022 vs 2019 sem'!DP11*YL$4</f>
        <v>15078.537180000001</v>
      </c>
      <c r="YK12" s="699"/>
      <c r="YL12" s="700">
        <f>YK12/YI12</f>
        <v>0</v>
      </c>
      <c r="YM12" s="593">
        <f>'Proy 2022 vs 2019 sem'!DO11*YP$4</f>
        <v>19147.3488</v>
      </c>
      <c r="YN12" s="593">
        <f>'Proy 2022 vs 2019 sem'!DP11*YP$4</f>
        <v>17232.61392</v>
      </c>
      <c r="YO12" s="699"/>
      <c r="YP12" s="700">
        <f>YO12/YM12</f>
        <v>0</v>
      </c>
      <c r="YQ12" s="593">
        <f>'Proy 2022 vs 2019 sem'!DO11*YT$4</f>
        <v>26327.604599999999</v>
      </c>
      <c r="YR12" s="593">
        <f>'Proy 2022 vs 2019 sem'!DP11*YT$4</f>
        <v>23694.844140000001</v>
      </c>
      <c r="YS12" s="699"/>
      <c r="YT12" s="700">
        <f>YS12/YQ12</f>
        <v>0</v>
      </c>
      <c r="YU12" s="579">
        <f>XS12+XW12+YA12+YE12+YI12+YM12+YQ12</f>
        <v>119670.93</v>
      </c>
      <c r="YV12" s="574">
        <f>XT12+XX12+YB12+YF12+YJ12+YN12+YR12</f>
        <v>107703.837</v>
      </c>
      <c r="YW12" s="770">
        <f>XU12+XY12+YC12+YG12+YK12+YO12+YS12</f>
        <v>0</v>
      </c>
      <c r="YX12" s="761">
        <f>YW12/YU12</f>
        <v>0</v>
      </c>
      <c r="YY12" s="931">
        <f>'Proy 2022 vs 2019 sem'!DX11*ZB$4</f>
        <v>15970.23</v>
      </c>
      <c r="YZ12" s="931">
        <f>'Proy 2022 vs 2019 sem'!DY11*ZB$4</f>
        <v>14213.5047</v>
      </c>
      <c r="ZA12" s="735"/>
      <c r="ZB12" s="700">
        <f>ZA12/YY12</f>
        <v>0</v>
      </c>
      <c r="ZC12" s="593">
        <f>'Proy 2022 vs 2019 sem'!DX11*ZF$4</f>
        <v>15970.23</v>
      </c>
      <c r="ZD12" s="593">
        <f>'Proy 2022 vs 2019 sem'!DY11*ZF$4</f>
        <v>14213.5047</v>
      </c>
      <c r="ZE12" s="735"/>
      <c r="ZF12" s="700">
        <f>ZE12/ZC12</f>
        <v>0</v>
      </c>
      <c r="ZG12" s="593">
        <f>'Proy 2022 vs 2019 sem'!DX11*ZJ$4</f>
        <v>15970.23</v>
      </c>
      <c r="ZH12" s="593">
        <f>'Proy 2022 vs 2019 sem'!DY11*ZJ$4</f>
        <v>14213.5047</v>
      </c>
      <c r="ZI12" s="735"/>
      <c r="ZJ12" s="700">
        <f>ZI12/ZG12</f>
        <v>0</v>
      </c>
      <c r="ZK12" s="593">
        <f>'Proy 2022 vs 2019 sem'!DX11*ZN$4</f>
        <v>15970.23</v>
      </c>
      <c r="ZL12" s="593">
        <f>'Proy 2022 vs 2019 sem'!DY11*ZN$4</f>
        <v>14213.5047</v>
      </c>
      <c r="ZM12" s="735"/>
      <c r="ZN12" s="700">
        <f>ZM12/ZK12</f>
        <v>0</v>
      </c>
      <c r="ZO12" s="593">
        <f>'Proy 2022 vs 2019 sem'!DX11*ZR$4</f>
        <v>18631.935000000001</v>
      </c>
      <c r="ZP12" s="593">
        <f>'Proy 2022 vs 2019 sem'!DY11*ZR$4</f>
        <v>16582.422150000002</v>
      </c>
      <c r="ZQ12" s="735"/>
      <c r="ZR12" s="700">
        <f>ZQ12/ZO12</f>
        <v>0</v>
      </c>
      <c r="ZS12" s="593">
        <f>'Proy 2022 vs 2019 sem'!DX11*ZV$4</f>
        <v>21293.64</v>
      </c>
      <c r="ZT12" s="593">
        <f>'Proy 2022 vs 2019 sem'!DY11*ZV$4</f>
        <v>18951.339599999999</v>
      </c>
      <c r="ZU12" s="735"/>
      <c r="ZV12" s="700">
        <f>ZU12/ZS12</f>
        <v>0</v>
      </c>
      <c r="ZW12" s="593">
        <f>'Proy 2022 vs 2019 sem'!DX11*ZZ$4</f>
        <v>29278.755000000001</v>
      </c>
      <c r="ZX12" s="593">
        <f>'Proy 2022 vs 2019 sem'!DY11*ZZ$4</f>
        <v>26058.091949999998</v>
      </c>
      <c r="ZY12" s="735"/>
      <c r="ZZ12" s="700">
        <f>ZY12/ZW12</f>
        <v>0</v>
      </c>
      <c r="AAA12" s="579">
        <f>YY12+ZC12+ZG12+ZK12+ZO12+ZS12+ZW12</f>
        <v>133085.25</v>
      </c>
      <c r="AAB12" s="574">
        <f>YZ12+ZD12+ZH12+ZL12+ZP12+ZT12+ZX12</f>
        <v>118445.8725</v>
      </c>
      <c r="AAC12" s="729">
        <f>ZA12+ZE12+ZI12+ZM12+ZQ12+ZU12+ZY12</f>
        <v>0</v>
      </c>
      <c r="AAD12" s="711">
        <f>AAC12/AAA12</f>
        <v>0</v>
      </c>
      <c r="AAE12" s="593">
        <f>'Proy 2022 vs 2019 sem'!EC11*AAH$4</f>
        <v>15696.284399999999</v>
      </c>
      <c r="AAF12" s="593">
        <f>'Proy 2022 vs 2019 sem'!ED11*AAH$4</f>
        <v>13655.767427999999</v>
      </c>
      <c r="AAG12" s="699"/>
      <c r="AAH12" s="700">
        <f>AAG12/AAE12</f>
        <v>0</v>
      </c>
      <c r="AAI12" s="593">
        <f>'Proy 2022 vs 2019 sem'!EC11*AAL$4</f>
        <v>15696.284399999999</v>
      </c>
      <c r="AAJ12" s="593">
        <f>'Proy 2022 vs 2019 sem'!ED11*AAL$4</f>
        <v>13655.767427999999</v>
      </c>
      <c r="AAK12" s="699"/>
      <c r="AAL12" s="700">
        <f>AAK12/AAI12</f>
        <v>0</v>
      </c>
      <c r="AAM12" s="593">
        <f>'Proy 2022 vs 2019 sem'!EC11*AAP$4</f>
        <v>15696.284399999999</v>
      </c>
      <c r="AAN12" s="593">
        <f>'Proy 2022 vs 2019 sem'!ED11*AAP$4</f>
        <v>13655.767427999999</v>
      </c>
      <c r="AAO12" s="699"/>
      <c r="AAP12" s="700">
        <f>AAO12/AAM12</f>
        <v>0</v>
      </c>
      <c r="AAQ12" s="593">
        <f>'Proy 2022 vs 2019 sem'!EC11*AAT$4</f>
        <v>15696.284399999999</v>
      </c>
      <c r="AAR12" s="593">
        <f>'Proy 2022 vs 2019 sem'!ED11*AAT$4</f>
        <v>13655.767427999999</v>
      </c>
      <c r="AAS12" s="699"/>
      <c r="AAT12" s="700">
        <f>AAS12/AAQ12</f>
        <v>0</v>
      </c>
      <c r="AAU12" s="593">
        <f>'Proy 2022 vs 2019 sem'!EC11*AAX$4</f>
        <v>18312.3318</v>
      </c>
      <c r="AAV12" s="593">
        <f>'Proy 2022 vs 2019 sem'!ED11*AAX$4</f>
        <v>15931.728666000001</v>
      </c>
      <c r="AAW12" s="699"/>
      <c r="AAX12" s="700">
        <f>AAW12/AAU12</f>
        <v>0</v>
      </c>
      <c r="AAY12" s="593">
        <f>'Proy 2022 vs 2019 sem'!EC11*ABB$4</f>
        <v>20928.379199999999</v>
      </c>
      <c r="AAZ12" s="593">
        <f>'Proy 2022 vs 2019 sem'!ED11*ABB$4</f>
        <v>18207.689903999999</v>
      </c>
      <c r="ABA12" s="699"/>
      <c r="ABB12" s="700">
        <f>ABA12/AAY12</f>
        <v>0</v>
      </c>
      <c r="ABC12" s="593">
        <f>'Proy 2022 vs 2019 sem'!EC11*ABF$4</f>
        <v>28776.521399999998</v>
      </c>
      <c r="ABD12" s="593">
        <f>'Proy 2022 vs 2019 sem'!ED11*ABF$4</f>
        <v>25035.573617999999</v>
      </c>
      <c r="ABE12" s="699"/>
      <c r="ABF12" s="700">
        <f>ABE12/ABC12</f>
        <v>0</v>
      </c>
      <c r="ABG12" s="579">
        <f>AAE12+AAI12+AAM12+AAQ12+AAU12+AAY12+ABC12</f>
        <v>130802.37</v>
      </c>
      <c r="ABH12" s="574">
        <f>AAF12+AAJ12+AAN12+AAR12+AAV12+AAZ12+ABD12</f>
        <v>113798.06189999999</v>
      </c>
      <c r="ABI12" s="730">
        <f>AAG12+AAK12+AAO12+AAS12+AAW12+ABA12+ABE12</f>
        <v>0</v>
      </c>
      <c r="ABJ12" s="711">
        <f>ABI12/ABG12</f>
        <v>0</v>
      </c>
      <c r="ABK12" s="593">
        <f>'Proy 2022 vs 2019 sem'!EH11*ABN$4</f>
        <v>17229.0864</v>
      </c>
      <c r="ABL12" s="593">
        <f>'Proy 2022 vs 2019 sem'!EI11*ABN$4</f>
        <v>15333.886896</v>
      </c>
      <c r="ABM12" s="699"/>
      <c r="ABN12" s="700">
        <f>ABM12/ABK12</f>
        <v>0</v>
      </c>
      <c r="ABO12" s="593">
        <f>'Proy 2022 vs 2019 sem'!EH11*ABR$4</f>
        <v>17229.0864</v>
      </c>
      <c r="ABP12" s="593">
        <f>'Proy 2022 vs 2019 sem'!EI11*ABR$4</f>
        <v>15333.886896</v>
      </c>
      <c r="ABQ12" s="699"/>
      <c r="ABR12" s="700">
        <f>ABQ12/ABO12</f>
        <v>0</v>
      </c>
      <c r="ABS12" s="593">
        <f>'Proy 2022 vs 2019 sem'!EH11*ABV$4</f>
        <v>17229.0864</v>
      </c>
      <c r="ABT12" s="593">
        <f>'Proy 2022 vs 2019 sem'!EI11*ABV$4</f>
        <v>15333.886896</v>
      </c>
      <c r="ABU12" s="699"/>
      <c r="ABV12" s="700">
        <f>ABU12/ABS12</f>
        <v>0</v>
      </c>
      <c r="ABW12" s="593">
        <f>'Proy 2022 vs 2019 sem'!EH11*ABZ$4</f>
        <v>17229.0864</v>
      </c>
      <c r="ABX12" s="593">
        <f>'Proy 2022 vs 2019 sem'!EI11*ABZ$4</f>
        <v>15333.886896</v>
      </c>
      <c r="ABY12" s="699"/>
      <c r="ABZ12" s="700">
        <f>ABY12/ABW12</f>
        <v>0</v>
      </c>
      <c r="ACA12" s="593">
        <f>'Proy 2022 vs 2019 sem'!EH11*ACD$4</f>
        <v>20100.600800000004</v>
      </c>
      <c r="ACB12" s="593">
        <f>'Proy 2022 vs 2019 sem'!EI11*ACD$4</f>
        <v>17889.534712000004</v>
      </c>
      <c r="ACC12" s="699"/>
      <c r="ACD12" s="700">
        <f>ACC12/ACA12</f>
        <v>0</v>
      </c>
      <c r="ACE12" s="593">
        <f>'Proy 2022 vs 2019 sem'!EH11*ACH$4</f>
        <v>22972.1152</v>
      </c>
      <c r="ACF12" s="593">
        <f>'Proy 2022 vs 2019 sem'!EI11*ACH$4</f>
        <v>20445.182528000001</v>
      </c>
      <c r="ACG12" s="699"/>
      <c r="ACH12" s="700">
        <f>ACG12/ACE12</f>
        <v>0</v>
      </c>
      <c r="ACI12" s="593">
        <f>'Proy 2022 vs 2019 sem'!EH11*ACL$4</f>
        <v>31586.6584</v>
      </c>
      <c r="ACJ12" s="593">
        <f>'Proy 2022 vs 2019 sem'!EI11*ACL$4</f>
        <v>28112.125976000003</v>
      </c>
      <c r="ACK12" s="699"/>
      <c r="ACL12" s="700">
        <f>ACK12/ACI12</f>
        <v>0</v>
      </c>
      <c r="ACM12" s="579">
        <f>ABK12+ABO12+ABS12+ABW12+ACA12+ACE12+ACI12</f>
        <v>143575.72</v>
      </c>
      <c r="ACN12" s="574">
        <f>ABL12+ABP12+ABT12+ABX12+ACB12+ACF12+ACJ12</f>
        <v>127782.39080000002</v>
      </c>
      <c r="ACO12" s="730">
        <f>ABM12+ABQ12+ABU12+ABY12+ACC12+ACG12+ACK12</f>
        <v>0</v>
      </c>
      <c r="ACP12" s="711">
        <f>ACO12/ACM12</f>
        <v>0</v>
      </c>
      <c r="ACQ12" s="593">
        <f>'Proy 2022 vs 2019 sem'!EM11*ACT$4</f>
        <v>16074.4812</v>
      </c>
      <c r="ACR12" s="593">
        <f>'Proy 2022 vs 2019 sem'!EN11*ACT$4</f>
        <v>14949.267516000002</v>
      </c>
      <c r="ACS12" s="699"/>
      <c r="ACT12" s="700">
        <f>ACS12/ACQ12</f>
        <v>0</v>
      </c>
      <c r="ACU12" s="593">
        <f>'Proy 2022 vs 2019 sem'!EM11*ACX$4</f>
        <v>16074.4812</v>
      </c>
      <c r="ACV12" s="593">
        <f>'Proy 2022 vs 2019 sem'!EN11*ACX$4</f>
        <v>14949.267516000002</v>
      </c>
      <c r="ACW12" s="699"/>
      <c r="ACX12" s="700">
        <f>ACW12/ACU12</f>
        <v>0</v>
      </c>
      <c r="ACY12" s="593">
        <f>'Proy 2022 vs 2019 sem'!EM11*ADB$4</f>
        <v>16074.4812</v>
      </c>
      <c r="ACZ12" s="593">
        <f>'Proy 2022 vs 2019 sem'!EN11*ADB$4</f>
        <v>14949.267516000002</v>
      </c>
      <c r="ADA12" s="699"/>
      <c r="ADB12" s="700">
        <f>ADA12/ACY12</f>
        <v>0</v>
      </c>
      <c r="ADC12" s="593">
        <f>'Proy 2022 vs 2019 sem'!EM11*ADF$4</f>
        <v>16074.4812</v>
      </c>
      <c r="ADD12" s="593">
        <f>'Proy 2022 vs 2019 sem'!EN11*ADF$4</f>
        <v>14949.267516000002</v>
      </c>
      <c r="ADE12" s="699"/>
      <c r="ADF12" s="700">
        <f>ADE12/ADC12</f>
        <v>0</v>
      </c>
      <c r="ADG12" s="593">
        <f>'Proy 2022 vs 2019 sem'!EM11*ADJ$4</f>
        <v>18753.561400000002</v>
      </c>
      <c r="ADH12" s="593">
        <f>'Proy 2022 vs 2019 sem'!EN11*ADJ$4</f>
        <v>17440.812102000004</v>
      </c>
      <c r="ADI12" s="699"/>
      <c r="ADJ12" s="700">
        <f>ADI12/ADG12</f>
        <v>0</v>
      </c>
      <c r="ADK12" s="593">
        <f>'Proy 2022 vs 2019 sem'!EM11*ADN$4</f>
        <v>21432.641600000003</v>
      </c>
      <c r="ADL12" s="593">
        <f>'Proy 2022 vs 2019 sem'!EN11*ADN$4</f>
        <v>19932.356688000003</v>
      </c>
      <c r="ADM12" s="699"/>
      <c r="ADN12" s="700">
        <f>ADM12/ADK12</f>
        <v>0</v>
      </c>
      <c r="ADO12" s="593">
        <f>'Proy 2022 vs 2019 sem'!EM11*ADR$4</f>
        <v>29469.882200000004</v>
      </c>
      <c r="ADP12" s="593">
        <f>'Proy 2022 vs 2019 sem'!EN11*ADR$4</f>
        <v>27406.990446000003</v>
      </c>
      <c r="ADQ12" s="699"/>
      <c r="ADR12" s="700">
        <f>ADQ12/ADO12</f>
        <v>0</v>
      </c>
      <c r="ADS12" s="579">
        <f>ACQ12+ACU12+ACY12+ADC12+ADG12+ADK12+ADO12</f>
        <v>133954.01</v>
      </c>
      <c r="ADT12" s="574">
        <f>ACR12+ACV12+ACZ12+ADD12+ADH12+ADL12+ADP12</f>
        <v>124577.22930000001</v>
      </c>
      <c r="ADU12" s="710">
        <f>ACS12+ACW12+ADA12+ADE12+ADI12+ADM12+ADQ12</f>
        <v>0</v>
      </c>
      <c r="ADV12" s="711">
        <f>ADU12/ADS12</f>
        <v>0</v>
      </c>
      <c r="ADW12" s="593">
        <f>'Proy 2022 vs 2019 sem'!ER11*ADZ$4</f>
        <v>15961.902</v>
      </c>
      <c r="ADX12" s="593">
        <f>'Proy 2022 vs 2019 sem'!ES11*ADZ$4</f>
        <v>14844.568860000001</v>
      </c>
      <c r="ADY12" s="699"/>
      <c r="ADZ12" s="700">
        <f>ADY12/ADW12</f>
        <v>0</v>
      </c>
      <c r="AEA12" s="593">
        <f>'Proy 2022 vs 2019 sem'!ER11*AED$4</f>
        <v>15961.902</v>
      </c>
      <c r="AEB12" s="593">
        <f>'Proy 2022 vs 2019 sem'!ES11*AED$4</f>
        <v>14844.568860000001</v>
      </c>
      <c r="AEC12" s="699"/>
      <c r="AED12" s="700">
        <f>AEC12/AEA12</f>
        <v>0</v>
      </c>
      <c r="AEE12" s="593">
        <f>'Proy 2022 vs 2019 sem'!ER11*AEH$4</f>
        <v>15961.902</v>
      </c>
      <c r="AEF12" s="593">
        <f>'Proy 2022 vs 2019 sem'!ES11*AEH$4</f>
        <v>14844.568860000001</v>
      </c>
      <c r="AEG12" s="699"/>
      <c r="AEH12" s="700">
        <f>AEG12/AEE12</f>
        <v>0</v>
      </c>
      <c r="AEI12" s="593">
        <f>'Proy 2022 vs 2019 sem'!ER11*AEL$4</f>
        <v>15961.902</v>
      </c>
      <c r="AEJ12" s="593">
        <f>'Proy 2022 vs 2019 sem'!ES11*AEL$4</f>
        <v>14844.568860000001</v>
      </c>
      <c r="AEK12" s="699"/>
      <c r="AEL12" s="700">
        <f>AEK12/AEI12</f>
        <v>0</v>
      </c>
      <c r="AEM12" s="593">
        <f>'Proy 2022 vs 2019 sem'!ER11*AEP$4</f>
        <v>18622.219000000001</v>
      </c>
      <c r="AEN12" s="593">
        <f>'Proy 2022 vs 2019 sem'!ES11*AEP$4</f>
        <v>17318.663670000005</v>
      </c>
      <c r="AEO12" s="699"/>
      <c r="AEP12" s="700">
        <f>AEO12/AEM12</f>
        <v>0</v>
      </c>
      <c r="AEQ12" s="593">
        <f>'Proy 2022 vs 2019 sem'!ER11*AET$4</f>
        <v>21282.536</v>
      </c>
      <c r="AER12" s="593">
        <f>'Proy 2022 vs 2019 sem'!ES11*AET$4</f>
        <v>19792.758480000004</v>
      </c>
      <c r="AES12" s="699"/>
      <c r="AET12" s="700">
        <f>AES12/AEQ12</f>
        <v>0</v>
      </c>
      <c r="AEU12" s="593">
        <f>'Proy 2022 vs 2019 sem'!ER11*AEX$4</f>
        <v>29263.487000000001</v>
      </c>
      <c r="AEV12" s="593">
        <f>'Proy 2022 vs 2019 sem'!ES11*AEX$4</f>
        <v>27215.042910000004</v>
      </c>
      <c r="AEW12" s="699"/>
      <c r="AEX12" s="700">
        <f>AEW12/AEU12</f>
        <v>0</v>
      </c>
      <c r="AEY12" s="579">
        <f>ADW12+AEA12+AEE12+AEI12+AEM12+AEQ12+AEU12</f>
        <v>133015.85</v>
      </c>
      <c r="AEZ12" s="574">
        <f>ADX12+AEB12+AEF12+AEJ12+AEN12+AER12+AEV12</f>
        <v>123704.74050000001</v>
      </c>
      <c r="AFA12" s="710">
        <f>ADY12+AEC12+AEG12+AEK12+AEO12+AES12+AEW12</f>
        <v>0</v>
      </c>
      <c r="AFB12" s="711">
        <f>AFA12/AEY12</f>
        <v>0</v>
      </c>
      <c r="AFC12" s="593">
        <f>'Proy 2022 vs 2019 sem'!FA11*AFF$4</f>
        <v>15974.347199999998</v>
      </c>
      <c r="AFD12" s="593">
        <f>'Proy 2022 vs 2019 sem'!FB11*AFF$4</f>
        <v>14057.425535999999</v>
      </c>
      <c r="AFE12" s="735"/>
      <c r="AFF12" s="700">
        <f>AFE12/AFC12</f>
        <v>0</v>
      </c>
      <c r="AFG12" s="593">
        <f>'Proy 2022 vs 2019 sem'!FA11*AFJ$4</f>
        <v>15974.347199999998</v>
      </c>
      <c r="AFH12" s="593">
        <f>'Proy 2022 vs 2019 sem'!FB11*AFJ$4</f>
        <v>14057.425535999999</v>
      </c>
      <c r="AFI12" s="699"/>
      <c r="AFJ12" s="700">
        <f>AFI12/AFG12</f>
        <v>0</v>
      </c>
      <c r="AFK12" s="593">
        <f>'Proy 2022 vs 2019 sem'!FA11*AFN$4</f>
        <v>15974.347199999998</v>
      </c>
      <c r="AFL12" s="593">
        <f>'Proy 2022 vs 2019 sem'!FB11*AFN$4</f>
        <v>14057.425535999999</v>
      </c>
      <c r="AFM12" s="699"/>
      <c r="AFN12" s="700">
        <f>AFM12/AFK12</f>
        <v>0</v>
      </c>
      <c r="AFO12" s="593">
        <f>'Proy 2022 vs 2019 sem'!FA11*AFR$4</f>
        <v>15974.347199999998</v>
      </c>
      <c r="AFP12" s="593">
        <f>'Proy 2022 vs 2019 sem'!FB11*AFR$4</f>
        <v>14057.425535999999</v>
      </c>
      <c r="AFQ12" s="699"/>
      <c r="AFR12" s="700">
        <f>AFQ12/AFO12</f>
        <v>0</v>
      </c>
      <c r="AFS12" s="593">
        <f>'Proy 2022 vs 2019 sem'!FA11*AFV$4</f>
        <v>18636.738400000002</v>
      </c>
      <c r="AFT12" s="593">
        <f>'Proy 2022 vs 2019 sem'!FB11*AFV$4</f>
        <v>16400.329792</v>
      </c>
      <c r="AFU12" s="699"/>
      <c r="AFV12" s="700">
        <f>AFU12/AFS12</f>
        <v>0</v>
      </c>
      <c r="AFW12" s="593">
        <f>'Proy 2022 vs 2019 sem'!FA11*AFZ$4</f>
        <v>21299.1296</v>
      </c>
      <c r="AFX12" s="593">
        <f>'Proy 2022 vs 2019 sem'!FB11*AFZ$4</f>
        <v>18743.234047999998</v>
      </c>
      <c r="AFY12" s="699"/>
      <c r="AFZ12" s="700">
        <f>AFY12/AFW12</f>
        <v>0</v>
      </c>
      <c r="AGA12" s="593">
        <f>'Proy 2022 vs 2019 sem'!FA11*AGD$4</f>
        <v>29286.303199999998</v>
      </c>
      <c r="AGB12" s="593">
        <f>'Proy 2022 vs 2019 sem'!FB11*AGD$4</f>
        <v>25771.946816</v>
      </c>
      <c r="AGC12" s="699"/>
      <c r="AGD12" s="700">
        <f>AGC12/AGA12</f>
        <v>0</v>
      </c>
      <c r="AGE12" s="579">
        <f>AFC12+AFG12+AFK12+AFO12+AFS12+AFW12+AGA12</f>
        <v>133119.56</v>
      </c>
      <c r="AGF12" s="574">
        <f>AFD12+AFH12+AFL12+AFP12+AFT12+AFX12+AGB12</f>
        <v>117145.21279999999</v>
      </c>
      <c r="AGG12" s="759">
        <f>AFE12+AFI12+AFM12+AFQ12+AFU12+AFY12+AGC12</f>
        <v>0</v>
      </c>
      <c r="AGH12" s="761">
        <f>AGG12/AGE12</f>
        <v>0</v>
      </c>
      <c r="AGI12" s="593">
        <f>'Proy 2022 vs 2019 sem'!FF11*AGL$4</f>
        <v>15821.341200000001</v>
      </c>
      <c r="AGJ12" s="593">
        <f>'Proy 2022 vs 2019 sem'!FG11*AGL$4</f>
        <v>13922.780256000002</v>
      </c>
      <c r="AGK12" s="699"/>
      <c r="AGL12" s="700">
        <f>AGK12/AGI12</f>
        <v>0</v>
      </c>
      <c r="AGM12" s="593">
        <f>'Proy 2022 vs 2019 sem'!FF11*AGP$4</f>
        <v>15821.341200000001</v>
      </c>
      <c r="AGN12" s="593">
        <f>'Proy 2022 vs 2019 sem'!FG11*AGP$4</f>
        <v>13922.780256000002</v>
      </c>
      <c r="AGO12" s="699"/>
      <c r="AGP12" s="700">
        <f>AGO12/AGM12</f>
        <v>0</v>
      </c>
      <c r="AGQ12" s="593">
        <f>'Proy 2022 vs 2019 sem'!FF11*AGT$4</f>
        <v>15821.341200000001</v>
      </c>
      <c r="AGR12" s="593">
        <f>'Proy 2022 vs 2019 sem'!FG11*AGT$4</f>
        <v>13922.780256000002</v>
      </c>
      <c r="AGS12" s="699"/>
      <c r="AGT12" s="700">
        <f>AGS12/AGQ12</f>
        <v>0</v>
      </c>
      <c r="AGU12" s="593">
        <f>'Proy 2022 vs 2019 sem'!FF11*AGX$4</f>
        <v>15821.341200000001</v>
      </c>
      <c r="AGV12" s="593">
        <f>'Proy 2022 vs 2019 sem'!FG11*AGX$4</f>
        <v>13922.780256000002</v>
      </c>
      <c r="AGW12" s="699"/>
      <c r="AGX12" s="700">
        <f>AGW12/AGU12</f>
        <v>0</v>
      </c>
      <c r="AGY12" s="593">
        <f>'Proy 2022 vs 2019 sem'!FF11*AHB$4</f>
        <v>18458.231400000004</v>
      </c>
      <c r="AGZ12" s="593">
        <f>'Proy 2022 vs 2019 sem'!FG11*AHB$4</f>
        <v>16243.243632000003</v>
      </c>
      <c r="AHA12" s="699"/>
      <c r="AHB12" s="700">
        <f>AHA12/AGY12</f>
        <v>0</v>
      </c>
      <c r="AHC12" s="593">
        <f>'Proy 2022 vs 2019 sem'!FF11*AHF$4</f>
        <v>21095.121600000002</v>
      </c>
      <c r="AHD12" s="593">
        <f>'Proy 2022 vs 2019 sem'!FG11*AHF$4</f>
        <v>18563.707008000001</v>
      </c>
      <c r="AHE12" s="699"/>
      <c r="AHF12" s="700">
        <f>AHE12/AHC12</f>
        <v>0</v>
      </c>
      <c r="AHG12" s="593">
        <f>'Proy 2022 vs 2019 sem'!FF11*AHJ$4</f>
        <v>29005.792200000004</v>
      </c>
      <c r="AHH12" s="593">
        <f>'Proy 2022 vs 2019 sem'!FG11*AHJ$4</f>
        <v>25525.097136000004</v>
      </c>
      <c r="AHI12" s="699"/>
      <c r="AHJ12" s="700">
        <f>AHI12/AHG12</f>
        <v>0</v>
      </c>
      <c r="AHK12" s="579">
        <f>AGI12+AGM12+AGQ12+AGU12+AGY12+AHC12+AHG12</f>
        <v>131844.51</v>
      </c>
      <c r="AHL12" s="574">
        <f>AGJ12+AGN12+AGR12+AGV12+AGZ12+AHD12+AHH12</f>
        <v>116023.16880000001</v>
      </c>
      <c r="AHM12" s="765">
        <f>AGK12+AGO12+AGS12+AGW12+AHA12+AHE12+AHI12</f>
        <v>0</v>
      </c>
      <c r="AHN12" s="761">
        <f>AHM12/AHK12</f>
        <v>0</v>
      </c>
      <c r="AHO12" s="593">
        <f>'Proy 2022 vs 2019 sem'!FK11*AHR$4</f>
        <v>15374.122799999999</v>
      </c>
      <c r="AHP12" s="593">
        <f>'Proy 2022 vs 2019 sem'!FL11*AHR$4</f>
        <v>13529.228064000001</v>
      </c>
      <c r="AHQ12" s="699"/>
      <c r="AHR12" s="700">
        <f>AHQ12/AHO12</f>
        <v>0</v>
      </c>
      <c r="AHS12" s="593">
        <f>'Proy 2022 vs 2019 sem'!FK11*AHV$4</f>
        <v>15374.122799999999</v>
      </c>
      <c r="AHT12" s="593">
        <f>'Proy 2022 vs 2019 sem'!FL11*AHV$4</f>
        <v>13529.228064000001</v>
      </c>
      <c r="AHU12" s="699"/>
      <c r="AHV12" s="700">
        <f>AHU12/AHS12</f>
        <v>0</v>
      </c>
      <c r="AHW12" s="593">
        <f>'Proy 2022 vs 2019 sem'!FK11*AHZ$4</f>
        <v>15374.122799999999</v>
      </c>
      <c r="AHX12" s="593">
        <f>'Proy 2022 vs 2019 sem'!FL11*AHZ$4</f>
        <v>13529.228064000001</v>
      </c>
      <c r="AHY12" s="699"/>
      <c r="AHZ12" s="700">
        <f>AHY12/AHW12</f>
        <v>0</v>
      </c>
      <c r="AIA12" s="593">
        <f>'Proy 2022 vs 2019 sem'!FK11*AID$4</f>
        <v>15374.122799999999</v>
      </c>
      <c r="AIB12" s="593">
        <f>'Proy 2022 vs 2019 sem'!FL11*AID$4</f>
        <v>13529.228064000001</v>
      </c>
      <c r="AIC12" s="699"/>
      <c r="AID12" s="700">
        <f>AIC12/AIA12</f>
        <v>0</v>
      </c>
      <c r="AIE12" s="593">
        <f>'Proy 2022 vs 2019 sem'!FK11*AIH$4</f>
        <v>17936.476600000002</v>
      </c>
      <c r="AIF12" s="593">
        <f>'Proy 2022 vs 2019 sem'!FL11*AIH$4</f>
        <v>15784.099408000002</v>
      </c>
      <c r="AIG12" s="699"/>
      <c r="AIH12" s="700">
        <f>AIG12/AIE12</f>
        <v>0</v>
      </c>
      <c r="AII12" s="593">
        <f>'Proy 2022 vs 2019 sem'!FK11*AIL$4</f>
        <v>20498.830400000003</v>
      </c>
      <c r="AIJ12" s="593">
        <f>'Proy 2022 vs 2019 sem'!FL11*AIL$4</f>
        <v>18038.970752000001</v>
      </c>
      <c r="AIK12" s="699"/>
      <c r="AIL12" s="700">
        <f>AIK12/AII12</f>
        <v>0</v>
      </c>
      <c r="AIM12" s="593">
        <f>'Proy 2022 vs 2019 sem'!FK11*AIP$4</f>
        <v>28185.891800000001</v>
      </c>
      <c r="AIN12" s="593">
        <f>'Proy 2022 vs 2019 sem'!FL11*AIP$4</f>
        <v>24803.584784000002</v>
      </c>
      <c r="AIO12" s="699"/>
      <c r="AIP12" s="700">
        <f>AIO12/AIM12</f>
        <v>0</v>
      </c>
      <c r="AIQ12" s="579">
        <f>AHO12+AHS12+AHW12+AIA12+AIE12+AII12+AIM12</f>
        <v>128117.69</v>
      </c>
      <c r="AIR12" s="574">
        <f>AHP12+AHT12+AHX12+AIB12+AIF12+AIJ12+AIN12</f>
        <v>112743.56720000002</v>
      </c>
      <c r="AIS12" s="765">
        <f>AHQ12+AHU12+AHY12+AIC12+AIG12+AIK12+AIO12</f>
        <v>0</v>
      </c>
      <c r="AIT12" s="761">
        <f>AIS12/AIQ12</f>
        <v>0</v>
      </c>
      <c r="AIU12" s="593">
        <f>'Proy 2022 vs 2019 sem'!FP11*AIX$4</f>
        <v>12516.217199999999</v>
      </c>
      <c r="AIV12" s="593">
        <f>'Proy 2022 vs 2019 sem'!FQ11*AIX$4</f>
        <v>11514.919824000001</v>
      </c>
      <c r="AIW12" s="699"/>
      <c r="AIX12" s="700">
        <f>AIW12/AIU12</f>
        <v>0</v>
      </c>
      <c r="AIY12" s="593">
        <f>'Proy 2022 vs 2019 sem'!FP11*AJB$4</f>
        <v>12516.217199999999</v>
      </c>
      <c r="AIZ12" s="593">
        <f>'Proy 2022 vs 2019 sem'!FQ11*AJB$4</f>
        <v>11514.919824000001</v>
      </c>
      <c r="AJA12" s="699"/>
      <c r="AJB12" s="700">
        <f>AJA12/AIY12</f>
        <v>0</v>
      </c>
      <c r="AJC12" s="593">
        <f>'Proy 2022 vs 2019 sem'!FP11*AJF$4</f>
        <v>12516.217199999999</v>
      </c>
      <c r="AJD12" s="593">
        <f>'Proy 2022 vs 2019 sem'!FQ11*AJF$4</f>
        <v>11514.919824000001</v>
      </c>
      <c r="AJE12" s="699"/>
      <c r="AJF12" s="700">
        <f>AJE12/AJC12</f>
        <v>0</v>
      </c>
      <c r="AJG12" s="593">
        <f>'Proy 2022 vs 2019 sem'!FP11*AJJ$4</f>
        <v>12516.217199999999</v>
      </c>
      <c r="AJH12" s="593">
        <f>'Proy 2022 vs 2019 sem'!FQ11*AJJ$4</f>
        <v>11514.919824000001</v>
      </c>
      <c r="AJI12" s="699"/>
      <c r="AJJ12" s="700">
        <f>AJI12/AJG12</f>
        <v>0</v>
      </c>
      <c r="AJK12" s="593">
        <f>'Proy 2022 vs 2019 sem'!FP11*AJN$4</f>
        <v>14602.253400000001</v>
      </c>
      <c r="AJL12" s="593">
        <f>'Proy 2022 vs 2019 sem'!FQ11*AJN$4</f>
        <v>13434.073128000002</v>
      </c>
      <c r="AJM12" s="699"/>
      <c r="AJN12" s="700">
        <f>AJM12/AJK12</f>
        <v>0</v>
      </c>
      <c r="AJO12" s="593">
        <f>'Proy 2022 vs 2019 sem'!FP11*AJR$4</f>
        <v>16688.2896</v>
      </c>
      <c r="AJP12" s="593">
        <f>'Proy 2022 vs 2019 sem'!FQ11*AJR$4</f>
        <v>15353.226432000001</v>
      </c>
      <c r="AJQ12" s="699"/>
      <c r="AJR12" s="700">
        <f>AJQ12/AJO12</f>
        <v>0</v>
      </c>
      <c r="AJS12" s="593">
        <f>'Proy 2022 vs 2019 sem'!FP11*AJV$4</f>
        <v>22946.3982</v>
      </c>
      <c r="AJT12" s="593">
        <f>'Proy 2022 vs 2019 sem'!FQ11*AJV$4</f>
        <v>21110.686344000002</v>
      </c>
      <c r="AJU12" s="699"/>
      <c r="AJV12" s="700">
        <f>AJU12/AJS12</f>
        <v>0</v>
      </c>
      <c r="AJW12" s="579">
        <f>AIU12+AIY12+AJC12+AJG12+AJK12+AJO12+AJS12</f>
        <v>104301.81</v>
      </c>
      <c r="AJX12" s="574">
        <f>AIV12+AIZ12+AJD12+AJH12+AJL12+AJP12+AJT12</f>
        <v>95957.665200000003</v>
      </c>
      <c r="AJY12" s="770">
        <f>AIW12+AJA12+AJE12+AJI12+AJM12+AJQ12+AJU12</f>
        <v>0</v>
      </c>
      <c r="AJZ12" s="761">
        <f>AJY12/AJW12</f>
        <v>0</v>
      </c>
      <c r="AKA12" s="593"/>
      <c r="AKB12" s="593"/>
      <c r="AKC12" s="735"/>
      <c r="AKD12" s="700" t="e">
        <f>AKC12/AKA12</f>
        <v>#DIV/0!</v>
      </c>
      <c r="AKE12" s="593">
        <v>13012.124399999999</v>
      </c>
      <c r="AKF12" s="593">
        <v>13272.366887999999</v>
      </c>
      <c r="AKG12" s="699"/>
      <c r="AKH12" s="700">
        <f>AKG12/AKE12</f>
        <v>0</v>
      </c>
      <c r="AKI12" s="593">
        <v>13012.124399999999</v>
      </c>
      <c r="AKJ12" s="593">
        <v>13272.366887999999</v>
      </c>
      <c r="AKK12" s="699"/>
      <c r="AKL12" s="700">
        <f>AKK12/AKI12</f>
        <v>0</v>
      </c>
      <c r="AKM12" s="593">
        <v>13012.124399999999</v>
      </c>
      <c r="AKN12" s="593">
        <v>13272.366887999999</v>
      </c>
      <c r="AKO12" s="699"/>
      <c r="AKP12" s="700">
        <f>AKO12/AKM12</f>
        <v>0</v>
      </c>
      <c r="AKQ12" s="593">
        <v>15180.811800000001</v>
      </c>
      <c r="AKR12" s="593">
        <v>15484.428035999999</v>
      </c>
      <c r="AKS12" s="699"/>
      <c r="AKT12" s="700">
        <f>AKS12/AKQ12</f>
        <v>0</v>
      </c>
      <c r="AKU12" s="593">
        <v>17349.499199999998</v>
      </c>
      <c r="AKV12" s="593">
        <v>17696.489183999998</v>
      </c>
      <c r="AKW12" s="699"/>
      <c r="AKX12" s="700">
        <f>AKW12/AKU12</f>
        <v>0</v>
      </c>
      <c r="AKY12" s="593">
        <v>23855.561399999999</v>
      </c>
      <c r="AKZ12" s="593">
        <v>24332.672627999997</v>
      </c>
      <c r="ALA12" s="699"/>
      <c r="ALB12" s="700">
        <f>ALA12/AKY12</f>
        <v>0</v>
      </c>
      <c r="ALC12" s="579">
        <f>AKA12+AKE12+AKI12+AKM12+AKQ12+AKU12+AKY12</f>
        <v>95422.245599999995</v>
      </c>
      <c r="ALD12" s="574">
        <f>AKB12+AKF12+AKJ12+AKN12+AKR12+AKV12+AKZ12</f>
        <v>97330.690512000001</v>
      </c>
      <c r="ALE12" s="793">
        <f>AKC12+AKG12+AKK12+AKO12+AKS12+AKW12+ALA12</f>
        <v>0</v>
      </c>
      <c r="ALF12" s="786">
        <f>ALE12/ALC12</f>
        <v>0</v>
      </c>
      <c r="ALG12" s="593">
        <v>14462.908799999999</v>
      </c>
      <c r="ALH12" s="593">
        <v>14752.166976</v>
      </c>
      <c r="ALI12" s="699"/>
      <c r="ALJ12" s="700">
        <f>ALI12/ALG12</f>
        <v>0</v>
      </c>
      <c r="ALK12" s="593">
        <v>14462.908799999999</v>
      </c>
      <c r="ALL12" s="593">
        <v>14752.166976</v>
      </c>
      <c r="ALM12" s="699"/>
      <c r="ALN12" s="700">
        <f>ALM12/ALK12</f>
        <v>0</v>
      </c>
      <c r="ALO12" s="593">
        <v>14462.908799999999</v>
      </c>
      <c r="ALP12" s="593">
        <v>14752.166976</v>
      </c>
      <c r="ALQ12" s="699"/>
      <c r="ALR12" s="700">
        <f>ALQ12/ALO12</f>
        <v>0</v>
      </c>
      <c r="ALS12" s="593">
        <v>14462.908799999999</v>
      </c>
      <c r="ALT12" s="593">
        <v>14752.166976</v>
      </c>
      <c r="ALU12" s="699"/>
      <c r="ALV12" s="700">
        <f>ALU12/ALS12</f>
        <v>0</v>
      </c>
      <c r="ALW12" s="593">
        <v>16873.393600000003</v>
      </c>
      <c r="ALX12" s="593">
        <v>17210.861472000004</v>
      </c>
      <c r="ALY12" s="699"/>
      <c r="ALZ12" s="700">
        <f>ALY12/ALW12</f>
        <v>0</v>
      </c>
      <c r="AMA12" s="593">
        <v>19283.878400000001</v>
      </c>
      <c r="AMB12" s="593">
        <v>19669.555968000001</v>
      </c>
      <c r="AMC12" s="699"/>
      <c r="AMD12" s="700">
        <f>AMC12/AMA12</f>
        <v>0</v>
      </c>
      <c r="AME12" s="593">
        <v>26515.3328</v>
      </c>
      <c r="AMF12" s="593">
        <v>27045.639456000001</v>
      </c>
      <c r="AMG12" s="699"/>
      <c r="AMH12" s="700">
        <f>AMG12/AME12</f>
        <v>0</v>
      </c>
      <c r="AMI12" s="579">
        <f>ALG12+ALK12+ALO12+ALS12+ALW12+AMA12+AME12</f>
        <v>120524.24</v>
      </c>
      <c r="AMJ12" s="574">
        <f>ALH12+ALL12+ALP12+ALT12+ALX12+AMB12+AMF12</f>
        <v>122934.72480000001</v>
      </c>
      <c r="AMK12" s="794">
        <f>ALI12+ALM12+ALQ12+ALU12+ALY12+AMC12+AMG12</f>
        <v>0</v>
      </c>
      <c r="AML12" s="786">
        <f>AMK12/AMI12</f>
        <v>0</v>
      </c>
      <c r="AMM12" s="593">
        <v>14066.4156</v>
      </c>
      <c r="AMN12" s="593">
        <v>14347.743912</v>
      </c>
      <c r="AMO12" s="699"/>
      <c r="AMP12" s="700">
        <f>AMO12/AMM12</f>
        <v>0</v>
      </c>
      <c r="AMQ12" s="593">
        <v>14066.4156</v>
      </c>
      <c r="AMR12" s="593">
        <v>14347.743912</v>
      </c>
      <c r="AMS12" s="699"/>
      <c r="AMT12" s="700">
        <f>AMS12/AMQ12</f>
        <v>0</v>
      </c>
      <c r="AMU12" s="593">
        <v>14066.4156</v>
      </c>
      <c r="AMV12" s="593">
        <v>14347.743912</v>
      </c>
      <c r="AMW12" s="699"/>
      <c r="AMX12" s="700">
        <f>AMW12/AMU12</f>
        <v>0</v>
      </c>
      <c r="AMY12" s="593">
        <v>14066.4156</v>
      </c>
      <c r="AMZ12" s="593">
        <v>14347.743912</v>
      </c>
      <c r="ANA12" s="699"/>
      <c r="ANB12" s="700">
        <f>ANA12/AMY12</f>
        <v>0</v>
      </c>
      <c r="ANC12" s="593">
        <v>16410.818200000002</v>
      </c>
      <c r="AND12" s="593">
        <v>16739.034564000001</v>
      </c>
      <c r="ANE12" s="699"/>
      <c r="ANF12" s="700">
        <f>ANE12/ANC12</f>
        <v>0</v>
      </c>
      <c r="ANG12" s="593">
        <v>18755.220800000003</v>
      </c>
      <c r="ANH12" s="593">
        <v>19130.325216000001</v>
      </c>
      <c r="ANI12" s="699"/>
      <c r="ANJ12" s="700">
        <f>ANI12/ANG12</f>
        <v>0</v>
      </c>
      <c r="ANK12" s="593">
        <v>25788.428600000003</v>
      </c>
      <c r="ANL12" s="593">
        <v>26304.197172</v>
      </c>
      <c r="ANM12" s="699"/>
      <c r="ANN12" s="700">
        <f>ANM12/ANK12</f>
        <v>0</v>
      </c>
      <c r="ANO12" s="579">
        <f>AMM12+AMQ12+AMU12+AMY12+ANC12+ANG12+ANK12</f>
        <v>117220.13000000002</v>
      </c>
      <c r="ANP12" s="574">
        <f>AMN12+AMR12+AMV12+AMZ12+AND12+ANH12+ANL12</f>
        <v>119564.53259999999</v>
      </c>
      <c r="ANQ12" s="794">
        <f>AMO12+AMS12+AMW12+ANA12+ANE12+ANI12+ANM12</f>
        <v>0</v>
      </c>
      <c r="ANR12" s="786">
        <f>ANQ12/ANO12</f>
        <v>0</v>
      </c>
      <c r="ANS12" s="593">
        <f>'Proy 2022 vs 2019 sem'!GN11*ANV$4</f>
        <v>12179.230799999999</v>
      </c>
      <c r="ANT12" s="593">
        <f>'Proy 2022 vs 2019 sem'!GO11*ANV$4</f>
        <v>11935.646183999997</v>
      </c>
      <c r="ANU12" s="699"/>
      <c r="ANV12" s="700">
        <f>ANU12/ANS12</f>
        <v>0</v>
      </c>
      <c r="ANW12" s="593">
        <f>'Proy 2022 vs 2019 sem'!GN11*ANZ$4</f>
        <v>12179.230799999999</v>
      </c>
      <c r="ANX12" s="593">
        <f>'Proy 2022 vs 2019 sem'!GO11*ANZ$4</f>
        <v>11935.646183999997</v>
      </c>
      <c r="ANY12" s="699"/>
      <c r="ANZ12" s="700">
        <f>ANY12/ANW12</f>
        <v>0</v>
      </c>
      <c r="AOA12" s="593">
        <f>'Proy 2022 vs 2019 sem'!GN11*AOD$4</f>
        <v>12179.230799999999</v>
      </c>
      <c r="AOB12" s="593">
        <f>'Proy 2022 vs 2019 sem'!GO11*AOD$4</f>
        <v>11935.646183999997</v>
      </c>
      <c r="AOC12" s="699"/>
      <c r="AOD12" s="700">
        <f>AOC12/AOA12</f>
        <v>0</v>
      </c>
      <c r="AOE12" s="593">
        <f>'Proy 2022 vs 2019 sem'!GN11*AOH$4</f>
        <v>12179.230799999999</v>
      </c>
      <c r="AOF12" s="593">
        <f>'Proy 2022 vs 2019 sem'!GO11*AOH$4</f>
        <v>11935.646183999997</v>
      </c>
      <c r="AOG12" s="699"/>
      <c r="AOH12" s="700">
        <f>AOG12/AOE12</f>
        <v>0</v>
      </c>
      <c r="AOI12" s="593">
        <f>'Proy 2022 vs 2019 sem'!GN11*AOL$4</f>
        <v>14209.1026</v>
      </c>
      <c r="AOJ12" s="593">
        <f>'Proy 2022 vs 2019 sem'!GO11*AOL$4</f>
        <v>13924.920548</v>
      </c>
      <c r="AOK12" s="699"/>
      <c r="AOL12" s="700">
        <f>AOK12/AOI12</f>
        <v>0</v>
      </c>
      <c r="AOM12" s="593">
        <f>'Proy 2022 vs 2019 sem'!GN11*AOP$4</f>
        <v>16238.974399999999</v>
      </c>
      <c r="AON12" s="593">
        <f>'Proy 2022 vs 2019 sem'!GO11*AOP$4</f>
        <v>15914.194911999999</v>
      </c>
      <c r="AOO12" s="699"/>
      <c r="AOP12" s="700">
        <f>AOO12/AOM12</f>
        <v>0</v>
      </c>
      <c r="AOQ12" s="593">
        <f>'Proy 2022 vs 2019 sem'!GN11*AOT$4</f>
        <v>22328.589799999998</v>
      </c>
      <c r="AOR12" s="593">
        <f>'Proy 2022 vs 2019 sem'!GO11*AOT$4</f>
        <v>21882.018003999998</v>
      </c>
      <c r="AOS12" s="699"/>
      <c r="AOT12" s="700">
        <f>AOS12/AOQ12</f>
        <v>0</v>
      </c>
      <c r="AOU12" s="579">
        <f>ANS12+ANW12+AOA12+AOE12+AOI12+AOM12+AOQ12</f>
        <v>101493.59</v>
      </c>
      <c r="AOV12" s="574">
        <f>ANT12+ANX12+AOB12+AOF12+AOJ12+AON12+AOR12</f>
        <v>99463.718199999988</v>
      </c>
      <c r="AOW12" s="785">
        <f>ANU12+ANY12+AOC12+AOG12+AOK12+AOO12+AOS12</f>
        <v>0</v>
      </c>
      <c r="AOX12" s="786">
        <f>AOW12/AOU12</f>
        <v>0</v>
      </c>
      <c r="AOY12" s="593">
        <f>'Proy 2022 vs 2019 sem'!GW11*APB$4</f>
        <v>13971.72</v>
      </c>
      <c r="AOZ12" s="593">
        <f>'Proy 2022 vs 2019 sem'!GX11*APB$4</f>
        <v>13692.285599999999</v>
      </c>
      <c r="APA12" s="735"/>
      <c r="APB12" s="700">
        <f>APA12/AOY12</f>
        <v>0</v>
      </c>
      <c r="APC12" s="593">
        <f>'Proy 2022 vs 2019 sem'!GW11*APF$4</f>
        <v>13971.72</v>
      </c>
      <c r="APD12" s="593">
        <f>'Proy 2022 vs 2019 sem'!GX11*APF$4</f>
        <v>13692.285599999999</v>
      </c>
      <c r="APE12" s="735"/>
      <c r="APF12" s="700">
        <f>APE12/APC12</f>
        <v>0</v>
      </c>
      <c r="APG12" s="593">
        <f>'Proy 2022 vs 2019 sem'!GW11*APJ$4</f>
        <v>13971.72</v>
      </c>
      <c r="APH12" s="593">
        <f>'Proy 2022 vs 2019 sem'!GX11*APJ$4</f>
        <v>13692.285599999999</v>
      </c>
      <c r="API12" s="735"/>
      <c r="APJ12" s="700">
        <f>API12/APG12</f>
        <v>0</v>
      </c>
      <c r="APK12" s="593">
        <f>'Proy 2022 vs 2019 sem'!GW11*APN$4</f>
        <v>13971.72</v>
      </c>
      <c r="APL12" s="593">
        <f>'Proy 2022 vs 2019 sem'!GX11*APN$4</f>
        <v>13692.285599999999</v>
      </c>
      <c r="APM12" s="735"/>
      <c r="APN12" s="700">
        <f>APM12/APK12</f>
        <v>0</v>
      </c>
      <c r="APO12" s="593">
        <f>'Proy 2022 vs 2019 sem'!GW11*APR$4</f>
        <v>16300.340000000002</v>
      </c>
      <c r="APP12" s="593">
        <f>'Proy 2022 vs 2019 sem'!GX11*APR$4</f>
        <v>15974.333200000003</v>
      </c>
      <c r="APQ12" s="735"/>
      <c r="APR12" s="700">
        <f>APQ12/APO12</f>
        <v>0</v>
      </c>
      <c r="APS12" s="593">
        <f>'Proy 2022 vs 2019 sem'!GW11*APV$4</f>
        <v>18628.96</v>
      </c>
      <c r="APT12" s="593">
        <f>'Proy 2022 vs 2019 sem'!GX11*APV$4</f>
        <v>18256.380800000003</v>
      </c>
      <c r="APU12" s="735"/>
      <c r="APV12" s="700">
        <f>APU12/APS12</f>
        <v>0</v>
      </c>
      <c r="APW12" s="593">
        <f>'Proy 2022 vs 2019 sem'!GW11*APZ$4</f>
        <v>25614.82</v>
      </c>
      <c r="APX12" s="593">
        <f>'Proy 2022 vs 2019 sem'!GX11*APZ$4</f>
        <v>25102.5236</v>
      </c>
      <c r="APY12" s="735"/>
      <c r="APZ12" s="700">
        <f>APY12/APW12</f>
        <v>0</v>
      </c>
      <c r="AQA12" s="579">
        <f>AOY12+APC12+APG12+APK12+APO12+APS12+APW12</f>
        <v>116431</v>
      </c>
      <c r="AQB12" s="574">
        <f>AOZ12+APD12+APH12+APL12+APP12+APT12+APX12</f>
        <v>114102.38</v>
      </c>
      <c r="AQC12" s="729">
        <f>APA12+APE12+API12+APM12+APQ12+APU12+APY12</f>
        <v>0</v>
      </c>
      <c r="AQD12" s="711">
        <f>AQC12/AQA12</f>
        <v>0</v>
      </c>
      <c r="AQE12" s="593">
        <f>'Proy 2022 vs 2019 sem'!HB11*AQH$4</f>
        <v>14109.111599999998</v>
      </c>
      <c r="AQF12" s="593">
        <f>'Proy 2022 vs 2019 sem'!HC11*AQH$4</f>
        <v>14109.111599999998</v>
      </c>
      <c r="AQG12" s="699"/>
      <c r="AQH12" s="700">
        <f>AQG12/AQE12</f>
        <v>0</v>
      </c>
      <c r="AQI12" s="593">
        <f>'Proy 2022 vs 2019 sem'!HB11*AQL$4</f>
        <v>14109.111599999998</v>
      </c>
      <c r="AQJ12" s="593">
        <f>'Proy 2022 vs 2019 sem'!HC11*AQL$4</f>
        <v>14109.111599999998</v>
      </c>
      <c r="AQK12" s="699"/>
      <c r="AQL12" s="700">
        <f>AQK12/AQI12</f>
        <v>0</v>
      </c>
      <c r="AQM12" s="593">
        <f>'Proy 2022 vs 2019 sem'!HB11*AQP$4</f>
        <v>14109.111599999998</v>
      </c>
      <c r="AQN12" s="593">
        <f>'Proy 2022 vs 2019 sem'!HC11*AQP$4</f>
        <v>14109.111599999998</v>
      </c>
      <c r="AQO12" s="699"/>
      <c r="AQP12" s="700">
        <f>AQO12/AQM12</f>
        <v>0</v>
      </c>
      <c r="AQQ12" s="593">
        <f>'Proy 2022 vs 2019 sem'!HB11*AQT$4</f>
        <v>14109.111599999998</v>
      </c>
      <c r="AQR12" s="593">
        <f>'Proy 2022 vs 2019 sem'!HC11*AQT$4</f>
        <v>14109.111599999998</v>
      </c>
      <c r="AQS12" s="699"/>
      <c r="AQT12" s="700">
        <f>AQS12/AQQ12</f>
        <v>0</v>
      </c>
      <c r="AQU12" s="593">
        <f>'Proy 2022 vs 2019 sem'!HB11*AQX$4</f>
        <v>16460.6302</v>
      </c>
      <c r="AQV12" s="593">
        <f>'Proy 2022 vs 2019 sem'!HC11*AQX$4</f>
        <v>16460.6302</v>
      </c>
      <c r="AQW12" s="699"/>
      <c r="AQX12" s="700">
        <f>AQW12/AQU12</f>
        <v>0</v>
      </c>
      <c r="AQY12" s="593">
        <f>'Proy 2022 vs 2019 sem'!HB11*ARB$4</f>
        <v>18812.148799999999</v>
      </c>
      <c r="AQZ12" s="593">
        <f>'Proy 2022 vs 2019 sem'!HC11*ARB$4</f>
        <v>18812.148799999999</v>
      </c>
      <c r="ARA12" s="699"/>
      <c r="ARB12" s="700">
        <f>ARA12/AQY12</f>
        <v>0</v>
      </c>
      <c r="ARC12" s="593">
        <f>'Proy 2022 vs 2019 sem'!HB11*ARF$4</f>
        <v>25866.704599999997</v>
      </c>
      <c r="ARD12" s="593">
        <f>'Proy 2022 vs 2019 sem'!HC11*ARF$4</f>
        <v>25866.704599999997</v>
      </c>
      <c r="ARE12" s="699"/>
      <c r="ARF12" s="700">
        <f>ARE12/ARC12</f>
        <v>0</v>
      </c>
      <c r="ARG12" s="579">
        <f>AQE12+AQI12+AQM12+AQQ12+AQU12+AQY12+ARC12</f>
        <v>117575.93</v>
      </c>
      <c r="ARH12" s="574">
        <f>AQF12+AQJ12+AQN12+AQR12+AQV12+AQZ12+ARD12</f>
        <v>117575.93</v>
      </c>
      <c r="ARI12" s="730">
        <f>AQG12+AQK12+AQO12+AQS12+AQW12+ARA12+ARE12</f>
        <v>0</v>
      </c>
      <c r="ARJ12" s="711">
        <f>ARI12/ARG12</f>
        <v>0</v>
      </c>
      <c r="ARK12" s="593">
        <f>'Proy 2022 vs 2019 sem'!HG11*ARN$4</f>
        <v>12965.9856</v>
      </c>
      <c r="ARL12" s="593">
        <f>'Proy 2022 vs 2019 sem'!HH11*ARN$4</f>
        <v>12317.686319999999</v>
      </c>
      <c r="ARM12" s="699"/>
      <c r="ARN12" s="700">
        <f>ARM12/ARK12</f>
        <v>0</v>
      </c>
      <c r="ARO12" s="593">
        <f>'Proy 2022 vs 2019 sem'!HG11*ARR$4</f>
        <v>12965.9856</v>
      </c>
      <c r="ARP12" s="593">
        <f>'Proy 2022 vs 2019 sem'!HH11*ARR$4</f>
        <v>12317.686319999999</v>
      </c>
      <c r="ARQ12" s="699"/>
      <c r="ARR12" s="700">
        <f>ARQ12/ARO12</f>
        <v>0</v>
      </c>
      <c r="ARS12" s="593">
        <f>'Proy 2022 vs 2019 sem'!HG11*ARV$4</f>
        <v>12965.9856</v>
      </c>
      <c r="ART12" s="593">
        <f>'Proy 2022 vs 2019 sem'!HH11*ARV$4</f>
        <v>12317.686319999999</v>
      </c>
      <c r="ARU12" s="699"/>
      <c r="ARV12" s="700">
        <f>ARU12/ARS12</f>
        <v>0</v>
      </c>
      <c r="ARW12" s="593">
        <f>'Proy 2022 vs 2019 sem'!HG11*ARZ$4</f>
        <v>12965.9856</v>
      </c>
      <c r="ARX12" s="593">
        <f>'Proy 2022 vs 2019 sem'!HH11*ARZ$4</f>
        <v>12317.686319999999</v>
      </c>
      <c r="ARY12" s="699"/>
      <c r="ARZ12" s="700">
        <f>ARY12/ARW12</f>
        <v>0</v>
      </c>
      <c r="ASA12" s="593">
        <f>'Proy 2022 vs 2019 sem'!HG11*ASD$4</f>
        <v>15126.983200000002</v>
      </c>
      <c r="ASB12" s="593">
        <f>'Proy 2022 vs 2019 sem'!HH11*ASD$4</f>
        <v>14370.634040000001</v>
      </c>
      <c r="ASC12" s="699"/>
      <c r="ASD12" s="700">
        <f>ASC12/ASA12</f>
        <v>0</v>
      </c>
      <c r="ASE12" s="593">
        <f>'Proy 2022 vs 2019 sem'!HG11*ASH$4</f>
        <v>17287.980800000001</v>
      </c>
      <c r="ASF12" s="593">
        <f>'Proy 2022 vs 2019 sem'!HH11*ASH$4</f>
        <v>16423.581760000001</v>
      </c>
      <c r="ASG12" s="699"/>
      <c r="ASH12" s="700">
        <f>ASG12/ASE12</f>
        <v>0</v>
      </c>
      <c r="ASI12" s="593">
        <f>'Proy 2022 vs 2019 sem'!HG11*ASL$4</f>
        <v>23770.973600000001</v>
      </c>
      <c r="ASJ12" s="593">
        <f>'Proy 2022 vs 2019 sem'!HH11*ASL$4</f>
        <v>22582.424920000001</v>
      </c>
      <c r="ASK12" s="699"/>
      <c r="ASL12" s="700">
        <f>ASK12/ASI12</f>
        <v>0</v>
      </c>
      <c r="ASM12" s="579">
        <f>ARK12+ARO12+ARS12+ARW12+ASA12+ASE12+ASI12</f>
        <v>108049.88</v>
      </c>
      <c r="ASN12" s="574">
        <f>ARL12+ARP12+ART12+ARX12+ASB12+ASF12+ASJ12</f>
        <v>102647.386</v>
      </c>
      <c r="ASO12" s="730">
        <f>ARM12+ARQ12+ARU12+ARY12+ASC12+ASG12+ASK12</f>
        <v>0</v>
      </c>
      <c r="ASP12" s="711">
        <f>ASO12/ASM12</f>
        <v>0</v>
      </c>
      <c r="ASQ12" s="593">
        <f>'Proy 2022 vs 2019 sem'!HL11*AST$4</f>
        <v>12718.7256</v>
      </c>
      <c r="ASR12" s="593">
        <f>'Proy 2022 vs 2019 sem'!HM11*AST$4</f>
        <v>12337.163832</v>
      </c>
      <c r="ASS12" s="699"/>
      <c r="AST12" s="700">
        <f>ASS12/ASQ12</f>
        <v>0</v>
      </c>
      <c r="ASU12" s="593">
        <f>'Proy 2022 vs 2019 sem'!HL11*ASX$4</f>
        <v>12718.7256</v>
      </c>
      <c r="ASV12" s="593">
        <f>'Proy 2022 vs 2019 sem'!HM11*ASX$4</f>
        <v>12337.163832</v>
      </c>
      <c r="ASW12" s="699"/>
      <c r="ASX12" s="700">
        <f>ASW12/ASU12</f>
        <v>0</v>
      </c>
      <c r="ASY12" s="593">
        <f>'Proy 2022 vs 2019 sem'!HL11*ATB$4</f>
        <v>12718.7256</v>
      </c>
      <c r="ASZ12" s="593">
        <f>'Proy 2022 vs 2019 sem'!HM11*ATB$4</f>
        <v>12337.163832</v>
      </c>
      <c r="ATA12" s="699"/>
      <c r="ATB12" s="700">
        <f>ATA12/ASY12</f>
        <v>0</v>
      </c>
      <c r="ATC12" s="593">
        <f>'Proy 2022 vs 2019 sem'!HL11*ATF$4</f>
        <v>12718.7256</v>
      </c>
      <c r="ATD12" s="593">
        <f>'Proy 2022 vs 2019 sem'!HM11*ATF$4</f>
        <v>12337.163832</v>
      </c>
      <c r="ATE12" s="699"/>
      <c r="ATF12" s="700">
        <f>ATE12/ATC12</f>
        <v>0</v>
      </c>
      <c r="ATG12" s="593">
        <f>'Proy 2022 vs 2019 sem'!HL11*ATJ$4</f>
        <v>14838.513200000001</v>
      </c>
      <c r="ATH12" s="593">
        <f>'Proy 2022 vs 2019 sem'!HM11*ATJ$4</f>
        <v>14393.357804000001</v>
      </c>
      <c r="ATI12" s="699"/>
      <c r="ATJ12" s="700">
        <f>ATI12/ATG12</f>
        <v>0</v>
      </c>
      <c r="ATK12" s="593">
        <f>'Proy 2022 vs 2019 sem'!HL11*ATN$4</f>
        <v>16958.300800000001</v>
      </c>
      <c r="ATL12" s="593">
        <f>'Proy 2022 vs 2019 sem'!HM11*ATN$4</f>
        <v>16449.551776</v>
      </c>
      <c r="ATM12" s="699"/>
      <c r="ATN12" s="700">
        <f>ATM12/ATK12</f>
        <v>0</v>
      </c>
      <c r="ATO12" s="593">
        <f>'Proy 2022 vs 2019 sem'!HL11*ATR$4</f>
        <v>23317.6636</v>
      </c>
      <c r="ATP12" s="593">
        <f>'Proy 2022 vs 2019 sem'!HM11*ATR$4</f>
        <v>22618.133691999999</v>
      </c>
      <c r="ATQ12" s="699"/>
      <c r="ATR12" s="700">
        <f>ATQ12/ATO12</f>
        <v>0</v>
      </c>
      <c r="ATS12" s="579">
        <f>ASQ12+ASU12+ASY12+ATC12+ATG12+ATK12+ATO12</f>
        <v>105989.38</v>
      </c>
      <c r="ATT12" s="574">
        <f>ASR12+ASV12+ASZ12+ATD12+ATH12+ATL12+ATP12</f>
        <v>102809.6986</v>
      </c>
      <c r="ATU12" s="710">
        <f>ASS12+ASW12+ATA12+ATE12+ATI12+ATM12+ATQ12</f>
        <v>0</v>
      </c>
      <c r="ATV12" s="711">
        <f>ATU12/ATS12</f>
        <v>0</v>
      </c>
      <c r="ATW12" s="593">
        <f>'Proy 2022 vs 2019 sem'!HQ11*ATZ$4</f>
        <v>14129.0988</v>
      </c>
      <c r="ATX12" s="593">
        <f>'Proy 2022 vs 2019 sem'!HR11*ATZ$4</f>
        <v>13705.225836</v>
      </c>
      <c r="ATY12" s="699"/>
      <c r="ATZ12" s="700">
        <f>ATY12/ATW12</f>
        <v>0</v>
      </c>
      <c r="AUA12" s="593">
        <f>'Proy 2022 vs 2019 sem'!HQ11*AUD$4</f>
        <v>14129.0988</v>
      </c>
      <c r="AUB12" s="593">
        <f>'Proy 2022 vs 2019 sem'!HR11*AUD$4</f>
        <v>13705.225836</v>
      </c>
      <c r="AUC12" s="699"/>
      <c r="AUD12" s="700">
        <f>AUC12/AUA12</f>
        <v>0</v>
      </c>
      <c r="AUE12" s="593">
        <f>'Proy 2022 vs 2019 sem'!HQ11*AUH$4</f>
        <v>14129.0988</v>
      </c>
      <c r="AUF12" s="593">
        <f>'Proy 2022 vs 2019 sem'!HR11*AUH$4</f>
        <v>13705.225836</v>
      </c>
      <c r="AUG12" s="699"/>
      <c r="AUH12" s="700">
        <f>AUG12/AUE12</f>
        <v>0</v>
      </c>
      <c r="AUI12" s="593">
        <f>'Proy 2022 vs 2019 sem'!HQ11*AUL$4</f>
        <v>14129.0988</v>
      </c>
      <c r="AUJ12" s="593">
        <f>'Proy 2022 vs 2019 sem'!HR11*AUL$4</f>
        <v>13705.225836</v>
      </c>
      <c r="AUK12" s="699"/>
      <c r="AUL12" s="700">
        <f>AUK12/AUI12</f>
        <v>0</v>
      </c>
      <c r="AUM12" s="593">
        <f>'Proy 2022 vs 2019 sem'!HQ11*AUP$4</f>
        <v>16483.948600000003</v>
      </c>
      <c r="AUN12" s="593">
        <f>'Proy 2022 vs 2019 sem'!HR11*AUP$4</f>
        <v>15989.430142000001</v>
      </c>
      <c r="AUO12" s="699"/>
      <c r="AUP12" s="700">
        <f>AUO12/AUM12</f>
        <v>0</v>
      </c>
      <c r="AUQ12" s="593">
        <f>'Proy 2022 vs 2019 sem'!HQ11*AUT$4</f>
        <v>18838.7984</v>
      </c>
      <c r="AUR12" s="593">
        <f>'Proy 2022 vs 2019 sem'!HR11*AUT$4</f>
        <v>18273.634448000001</v>
      </c>
      <c r="AUS12" s="699"/>
      <c r="AUT12" s="700">
        <f>AUS12/AUQ12</f>
        <v>0</v>
      </c>
      <c r="AUU12" s="593">
        <f>'Proy 2022 vs 2019 sem'!HQ11*AUX$4</f>
        <v>25903.3478</v>
      </c>
      <c r="AUV12" s="593">
        <f>'Proy 2022 vs 2019 sem'!HR11*AUX$4</f>
        <v>25126.247366</v>
      </c>
      <c r="AUW12" s="699"/>
      <c r="AUX12" s="700">
        <f>AUW12/AUU12</f>
        <v>0</v>
      </c>
      <c r="AUY12" s="579">
        <f>ATW12+AUA12+AUE12+AUI12+AUM12+AUQ12+AUU12</f>
        <v>117742.49</v>
      </c>
      <c r="AUZ12" s="574">
        <f>ATX12+AUB12+AUF12+AUJ12+AUN12+AUR12+AUV12</f>
        <v>114210.2153</v>
      </c>
      <c r="AVA12" s="710">
        <f>ATY12+AUC12+AUG12+AUK12+AUO12+AUS12+AUW12</f>
        <v>0</v>
      </c>
      <c r="AVB12" s="711">
        <f>AVA12/AUY12</f>
        <v>0</v>
      </c>
      <c r="AVC12" s="593">
        <f>'Proy 2022 vs 2019 sem'!HZ11*AVF$4</f>
        <v>14597.905200000001</v>
      </c>
      <c r="AVD12" s="593">
        <f>'Proy 2022 vs 2019 sem'!IA11*AVF$4</f>
        <v>14159.968043999999</v>
      </c>
      <c r="AVE12" s="735"/>
      <c r="AVF12" s="700">
        <f>AVE12/AVC12</f>
        <v>0</v>
      </c>
      <c r="AVG12" s="593">
        <f>'Proy 2022 vs 2019 sem'!HZ11*AVJ$4</f>
        <v>14597.905200000001</v>
      </c>
      <c r="AVH12" s="593">
        <f>'Proy 2022 vs 2019 sem'!IA11*AVJ$4</f>
        <v>14159.968043999999</v>
      </c>
      <c r="AVI12" s="699"/>
      <c r="AVJ12" s="700">
        <f>AVI12/AVG12</f>
        <v>0</v>
      </c>
      <c r="AVK12" s="593">
        <f>'Proy 2022 vs 2019 sem'!HZ11*AVN$4</f>
        <v>14597.905200000001</v>
      </c>
      <c r="AVL12" s="593">
        <f>'Proy 2022 vs 2019 sem'!IA11*AVN$4</f>
        <v>14159.968043999999</v>
      </c>
      <c r="AVM12" s="699"/>
      <c r="AVN12" s="700">
        <f>AVM12/AVK12</f>
        <v>0</v>
      </c>
      <c r="AVO12" s="593">
        <f>'Proy 2022 vs 2019 sem'!HZ11*AVR$4</f>
        <v>14597.905200000001</v>
      </c>
      <c r="AVP12" s="593">
        <f>'Proy 2022 vs 2019 sem'!IA11*AVR$4</f>
        <v>14159.968043999999</v>
      </c>
      <c r="AVQ12" s="699"/>
      <c r="AVR12" s="700">
        <f>AVQ12/AVO12</f>
        <v>0</v>
      </c>
      <c r="AVS12" s="593">
        <f>'Proy 2022 vs 2019 sem'!HZ11*AVV$4</f>
        <v>17030.889400000004</v>
      </c>
      <c r="AVT12" s="593">
        <f>'Proy 2022 vs 2019 sem'!IA11*AVV$4</f>
        <v>16519.962718000002</v>
      </c>
      <c r="AVU12" s="699"/>
      <c r="AVV12" s="700">
        <f>AVU12/AVS12</f>
        <v>0</v>
      </c>
      <c r="AVW12" s="593">
        <f>'Proy 2022 vs 2019 sem'!HZ11*AVZ$4</f>
        <v>19463.873600000003</v>
      </c>
      <c r="AVX12" s="593">
        <f>'Proy 2022 vs 2019 sem'!IA11*AVZ$4</f>
        <v>18879.957392</v>
      </c>
      <c r="AVY12" s="699"/>
      <c r="AVZ12" s="700">
        <f>AVY12/AVW12</f>
        <v>0</v>
      </c>
      <c r="AWA12" s="593">
        <f>'Proy 2022 vs 2019 sem'!HZ11*AWD$4</f>
        <v>26762.826200000003</v>
      </c>
      <c r="AWB12" s="593">
        <f>'Proy 2022 vs 2019 sem'!IA11*AWD$4</f>
        <v>25959.941414000001</v>
      </c>
      <c r="AWC12" s="699"/>
      <c r="AWD12" s="700">
        <f>AWC12/AWA12</f>
        <v>0</v>
      </c>
      <c r="AWE12" s="579">
        <f>AVC12+AVG12+AVK12+AVO12+AVS12+AVW12+AWA12</f>
        <v>121649.21000000002</v>
      </c>
      <c r="AWF12" s="574">
        <f>AVD12+AVH12+AVL12+AVP12+AVT12+AVX12+AWB12</f>
        <v>117999.7337</v>
      </c>
      <c r="AWG12" s="793">
        <f>AVE12+AVI12+AVM12+AVQ12+AVU12+AVY12+AWC12</f>
        <v>0</v>
      </c>
      <c r="AWH12" s="786">
        <f>AWG12/AWE12</f>
        <v>0</v>
      </c>
      <c r="AWI12" s="593">
        <f>'Proy 2022 vs 2019 sem'!IE11*AWL$4</f>
        <v>15992.685600000001</v>
      </c>
      <c r="AWJ12" s="593">
        <f>'Proy 2022 vs 2019 sem'!IF11*AWL$4</f>
        <v>15352.978176000001</v>
      </c>
      <c r="AWK12" s="699"/>
      <c r="AWL12" s="700">
        <f>AWK12/AWI12</f>
        <v>0</v>
      </c>
      <c r="AWM12" s="593">
        <f>'Proy 2022 vs 2019 sem'!IE11*AWP$4</f>
        <v>15992.685600000001</v>
      </c>
      <c r="AWN12" s="593">
        <f>'Proy 2022 vs 2019 sem'!IF11*AWP$4</f>
        <v>15352.978176000001</v>
      </c>
      <c r="AWO12" s="699"/>
      <c r="AWP12" s="700">
        <f>AWO12/AWM12</f>
        <v>0</v>
      </c>
      <c r="AWQ12" s="593">
        <f>'Proy 2022 vs 2019 sem'!IE11*AWT$4</f>
        <v>15992.685600000001</v>
      </c>
      <c r="AWR12" s="593">
        <f>'Proy 2022 vs 2019 sem'!IF11*AWT$4</f>
        <v>15352.978176000001</v>
      </c>
      <c r="AWS12" s="699"/>
      <c r="AWT12" s="700">
        <f>AWS12/AWQ12</f>
        <v>0</v>
      </c>
      <c r="AWU12" s="593">
        <f>'Proy 2022 vs 2019 sem'!IE11*AWX$4</f>
        <v>15992.685600000001</v>
      </c>
      <c r="AWV12" s="593">
        <f>'Proy 2022 vs 2019 sem'!IF11*AWX$4</f>
        <v>15352.978176000001</v>
      </c>
      <c r="AWW12" s="699"/>
      <c r="AWX12" s="700">
        <f>AWW12/AWU12</f>
        <v>0</v>
      </c>
      <c r="AWY12" s="593">
        <f>'Proy 2022 vs 2019 sem'!IE11*AXB$4</f>
        <v>18658.133200000004</v>
      </c>
      <c r="AWZ12" s="593">
        <f>'Proy 2022 vs 2019 sem'!IF11*AXB$4</f>
        <v>17911.807872000001</v>
      </c>
      <c r="AXA12" s="699"/>
      <c r="AXB12" s="700">
        <f>AXA12/AWY12</f>
        <v>0</v>
      </c>
      <c r="AXC12" s="593">
        <f>'Proy 2022 vs 2019 sem'!IE11*AXF$4</f>
        <v>21323.5808</v>
      </c>
      <c r="AXD12" s="593">
        <f>'Proy 2022 vs 2019 sem'!IF11*AXF$4</f>
        <v>20470.637568000002</v>
      </c>
      <c r="AXE12" s="699"/>
      <c r="AXF12" s="700">
        <f>AXE12/AXC12</f>
        <v>0</v>
      </c>
      <c r="AXG12" s="593">
        <f>'Proy 2022 vs 2019 sem'!IE11*AXJ$4</f>
        <v>29319.923600000002</v>
      </c>
      <c r="AXH12" s="593">
        <f>'Proy 2022 vs 2019 sem'!IF11*AXJ$4</f>
        <v>28147.126656</v>
      </c>
      <c r="AXI12" s="699"/>
      <c r="AXJ12" s="700">
        <f>AXI12/AXG12</f>
        <v>0</v>
      </c>
      <c r="AXK12" s="579">
        <f>AWI12+AWM12+AWQ12+AWU12+AWY12+AXC12+AXG12</f>
        <v>133272.38</v>
      </c>
      <c r="AXL12" s="574">
        <f>AWJ12+AWN12+AWR12+AWV12+AWZ12+AXD12+AXH12</f>
        <v>127941.48480000001</v>
      </c>
      <c r="AXM12" s="794">
        <f>AWK12+AWO12+AWS12+AWW12+AXA12+AXE12+AXI12</f>
        <v>0</v>
      </c>
      <c r="AXN12" s="786">
        <f>AXM12/AXK12</f>
        <v>0</v>
      </c>
      <c r="AXO12" s="593">
        <f>'Proy 2022 vs 2019 sem'!IJ11*AXR$4</f>
        <v>14893.14</v>
      </c>
      <c r="AXP12" s="593">
        <f>'Proy 2022 vs 2019 sem'!IK11*AXR$4</f>
        <v>14744.2086</v>
      </c>
      <c r="AXQ12" s="699"/>
      <c r="AXR12" s="700">
        <f>AXQ12/AXO12</f>
        <v>0</v>
      </c>
      <c r="AXS12" s="593">
        <f>'Proy 2022 vs 2019 sem'!IJ11*AXV$4</f>
        <v>14893.14</v>
      </c>
      <c r="AXT12" s="593">
        <f>'Proy 2022 vs 2019 sem'!IK11*AXV$4</f>
        <v>14744.2086</v>
      </c>
      <c r="AXU12" s="699"/>
      <c r="AXV12" s="700">
        <f>AXU12/AXS12</f>
        <v>0</v>
      </c>
      <c r="AXW12" s="593">
        <f>'Proy 2022 vs 2019 sem'!IJ11*AXZ$4</f>
        <v>14893.14</v>
      </c>
      <c r="AXX12" s="593">
        <f>'Proy 2022 vs 2019 sem'!IK11*AXZ$4</f>
        <v>14744.2086</v>
      </c>
      <c r="AXY12" s="699"/>
      <c r="AXZ12" s="700">
        <f>AXY12/AXW12</f>
        <v>0</v>
      </c>
      <c r="AYA12" s="593">
        <f>'Proy 2022 vs 2019 sem'!IJ11*AYD$4</f>
        <v>14893.14</v>
      </c>
      <c r="AYB12" s="593">
        <f>'Proy 2022 vs 2019 sem'!IK11*AYD$4</f>
        <v>14744.2086</v>
      </c>
      <c r="AYC12" s="699"/>
      <c r="AYD12" s="700">
        <f>AYC12/AYA12</f>
        <v>0</v>
      </c>
      <c r="AYE12" s="593">
        <f>'Proy 2022 vs 2019 sem'!IJ11*AYH$4</f>
        <v>17375.330000000002</v>
      </c>
      <c r="AYF12" s="593">
        <f>'Proy 2022 vs 2019 sem'!IK11*AYH$4</f>
        <v>17201.576700000001</v>
      </c>
      <c r="AYG12" s="699"/>
      <c r="AYH12" s="700">
        <f>AYG12/AYE12</f>
        <v>0</v>
      </c>
      <c r="AYI12" s="593">
        <f>'Proy 2022 vs 2019 sem'!IJ11*AYL$4</f>
        <v>19857.52</v>
      </c>
      <c r="AYJ12" s="593">
        <f>'Proy 2022 vs 2019 sem'!IK11*AYL$4</f>
        <v>19658.944800000001</v>
      </c>
      <c r="AYK12" s="699"/>
      <c r="AYL12" s="700">
        <f>AYK12/AYI12</f>
        <v>0</v>
      </c>
      <c r="AYM12" s="593">
        <f>'Proy 2022 vs 2019 sem'!IJ11*AYP$4</f>
        <v>27304.09</v>
      </c>
      <c r="AYN12" s="593">
        <f>'Proy 2022 vs 2019 sem'!IK11*AYP$4</f>
        <v>27031.0491</v>
      </c>
      <c r="AYO12" s="699"/>
      <c r="AYP12" s="700">
        <f>AYO12/AYM12</f>
        <v>0</v>
      </c>
      <c r="AYQ12" s="579">
        <f>AXO12+AXS12+AXW12+AYA12+AYE12+AYI12+AYM12</f>
        <v>124109.5</v>
      </c>
      <c r="AYR12" s="574">
        <f>AXP12+AXT12+AXX12+AYB12+AYF12+AYJ12+AYN12</f>
        <v>122868.405</v>
      </c>
      <c r="AYS12" s="794">
        <f>AXQ12+AXU12+AXY12+AYC12+AYG12+AYK12+AYO12</f>
        <v>0</v>
      </c>
      <c r="AYT12" s="786">
        <f>AYS12/AYQ12</f>
        <v>0</v>
      </c>
      <c r="AYU12" s="593">
        <f>'Proy 2022 vs 2019 sem'!IO11*AYX$4</f>
        <v>21010.151999999998</v>
      </c>
      <c r="AYV12" s="593">
        <f>'Proy 2022 vs 2019 sem'!IP11*AYX$4</f>
        <v>20169.745919999998</v>
      </c>
      <c r="AYW12" s="699"/>
      <c r="AYX12" s="700">
        <f>AYW12/AYU12</f>
        <v>0</v>
      </c>
      <c r="AYY12" s="593">
        <f>'Proy 2022 vs 2019 sem'!IO11*AZB$4</f>
        <v>21010.151999999998</v>
      </c>
      <c r="AYZ12" s="593">
        <f>'Proy 2022 vs 2019 sem'!IP11*AZB$4</f>
        <v>20169.745919999998</v>
      </c>
      <c r="AZA12" s="699"/>
      <c r="AZB12" s="700">
        <f>AZA12/AYY12</f>
        <v>0</v>
      </c>
      <c r="AZC12" s="593">
        <f>'Proy 2022 vs 2019 sem'!IO11*AZF$4</f>
        <v>21010.151999999998</v>
      </c>
      <c r="AZD12" s="593">
        <f>'Proy 2022 vs 2019 sem'!IP11*AZF$4</f>
        <v>20169.745919999998</v>
      </c>
      <c r="AZE12" s="699"/>
      <c r="AZF12" s="700">
        <f>AZE12/AZC12</f>
        <v>0</v>
      </c>
      <c r="AZG12" s="593">
        <f>'Proy 2022 vs 2019 sem'!IO11*AZJ$4</f>
        <v>21010.151999999998</v>
      </c>
      <c r="AZH12" s="593">
        <f>'Proy 2022 vs 2019 sem'!IP11*AZJ$4</f>
        <v>20169.745919999998</v>
      </c>
      <c r="AZI12" s="699"/>
      <c r="AZJ12" s="700">
        <f>AZI12/AZG12</f>
        <v>0</v>
      </c>
      <c r="AZK12" s="593">
        <f>'Proy 2022 vs 2019 sem'!IO11*AZN$4</f>
        <v>24511.844000000005</v>
      </c>
      <c r="AZL12" s="593">
        <f>'Proy 2022 vs 2019 sem'!IP11*AZN$4</f>
        <v>23531.37024</v>
      </c>
      <c r="AZM12" s="699"/>
      <c r="AZN12" s="700">
        <f>AZM12/AZK12</f>
        <v>0</v>
      </c>
      <c r="AZO12" s="593">
        <f>'Proy 2022 vs 2019 sem'!IO11*AZR$4</f>
        <v>28013.536</v>
      </c>
      <c r="AZP12" s="593">
        <f>'Proy 2022 vs 2019 sem'!IP11*AZR$4</f>
        <v>26892.994559999999</v>
      </c>
      <c r="AZQ12" s="699"/>
      <c r="AZR12" s="700">
        <f>AZQ12/AZO12</f>
        <v>0</v>
      </c>
      <c r="AZS12" s="593">
        <f>'Proy 2022 vs 2019 sem'!IO11*AZV$4</f>
        <v>38518.612000000001</v>
      </c>
      <c r="AZT12" s="593">
        <f>'Proy 2022 vs 2019 sem'!IP11*AZV$4</f>
        <v>36977.86752</v>
      </c>
      <c r="AZU12" s="699"/>
      <c r="AZV12" s="700">
        <f>AZU12/AZS12</f>
        <v>0</v>
      </c>
      <c r="AZW12" s="579">
        <f>AYU12+AYY12+AZC12+AZG12+AZK12+AZO12+AZS12</f>
        <v>175084.59999999998</v>
      </c>
      <c r="AZX12" s="574">
        <f>AYV12+AYZ12+AZD12+AZH12+AZL12+AZP12+AZT12</f>
        <v>168081.21599999999</v>
      </c>
      <c r="AZY12" s="785">
        <f>AYW12+AZA12+AZE12+AZI12+AZM12+AZQ12+AZU12</f>
        <v>0</v>
      </c>
      <c r="AZZ12" s="786">
        <f>AZY12/AZW12</f>
        <v>0</v>
      </c>
      <c r="BAA12" s="593">
        <f>'Proy 2022 vs 2019 sem'!IX11*BAD$4</f>
        <v>13569.392400000001</v>
      </c>
      <c r="BAB12" s="593">
        <f>'Proy 2022 vs 2019 sem'!IY11*BAD$4</f>
        <v>13162.310627999999</v>
      </c>
      <c r="BAC12" s="735"/>
      <c r="BAD12" s="700">
        <f>BAC12/BAA12</f>
        <v>0</v>
      </c>
      <c r="BAE12" s="593">
        <f>'Proy 2022 vs 2019 sem'!IX11*BAH$4</f>
        <v>13569.392400000001</v>
      </c>
      <c r="BAF12" s="593">
        <f>'Proy 2022 vs 2019 sem'!IY11*BAH$4</f>
        <v>13162.310627999999</v>
      </c>
      <c r="BAG12" s="699"/>
      <c r="BAH12" s="700">
        <f>BAG12/BAE12</f>
        <v>0</v>
      </c>
      <c r="BAI12" s="593">
        <f>'Proy 2022 vs 2019 sem'!IX11*BAL$4</f>
        <v>13569.392400000001</v>
      </c>
      <c r="BAJ12" s="593">
        <f>'Proy 2022 vs 2019 sem'!IY11*BAL$4</f>
        <v>13162.310627999999</v>
      </c>
      <c r="BAK12" s="699"/>
      <c r="BAL12" s="700">
        <f>BAK12/BAI12</f>
        <v>0</v>
      </c>
      <c r="BAM12" s="593">
        <f>'Proy 2022 vs 2019 sem'!IX11*BAP$4</f>
        <v>13569.392400000001</v>
      </c>
      <c r="BAN12" s="593">
        <f>'Proy 2022 vs 2019 sem'!IY11*BAP$4</f>
        <v>13162.310627999999</v>
      </c>
      <c r="BAO12" s="699"/>
      <c r="BAP12" s="700">
        <f>BAO12/BAM12</f>
        <v>0</v>
      </c>
      <c r="BAQ12" s="593">
        <f>'Proy 2022 vs 2019 sem'!IX11*BAT$4</f>
        <v>15830.957800000002</v>
      </c>
      <c r="BAR12" s="593">
        <f>'Proy 2022 vs 2019 sem'!IY11*BAT$4</f>
        <v>15356.029066000001</v>
      </c>
      <c r="BAS12" s="699"/>
      <c r="BAT12" s="700">
        <f>BAS12/BAQ12</f>
        <v>0</v>
      </c>
      <c r="BAU12" s="593">
        <f>'Proy 2022 vs 2019 sem'!IX11*BAX$4</f>
        <v>18092.5232</v>
      </c>
      <c r="BAV12" s="593">
        <f>'Proy 2022 vs 2019 sem'!IY11*BAX$4</f>
        <v>17549.747503999999</v>
      </c>
      <c r="BAW12" s="699"/>
      <c r="BAX12" s="700">
        <f>BAW12/BAU12</f>
        <v>0</v>
      </c>
      <c r="BAY12" s="593">
        <f>'Proy 2022 vs 2019 sem'!IX11*BBB$4</f>
        <v>24877.219400000002</v>
      </c>
      <c r="BAZ12" s="593">
        <f>'Proy 2022 vs 2019 sem'!IY11*BBB$4</f>
        <v>24130.902817999999</v>
      </c>
      <c r="BBA12" s="699"/>
      <c r="BBB12" s="700">
        <f>BBA12/BAY12</f>
        <v>0</v>
      </c>
      <c r="BBC12" s="579">
        <f>BAA12+BAE12+BAI12+BAM12+BAQ12+BAU12+BAY12</f>
        <v>113078.27</v>
      </c>
      <c r="BBD12" s="574">
        <f>BAB12+BAF12+BAJ12+BAN12+BAR12+BAV12+BAZ12</f>
        <v>109685.9219</v>
      </c>
      <c r="BBE12" s="759">
        <f>BAC12+BAG12+BAK12+BAO12+BAS12+BAW12+BBA12</f>
        <v>0</v>
      </c>
      <c r="BBF12" s="761">
        <f>BBE12/BBC12</f>
        <v>0</v>
      </c>
      <c r="BBG12" s="593">
        <f>'Proy 2022 vs 2019 sem'!JC11*BBJ$4</f>
        <v>16376.524800000001</v>
      </c>
      <c r="BBH12" s="593">
        <f>'Proy 2022 vs 2019 sem'!JD11*BBJ$4</f>
        <v>15393.933311999999</v>
      </c>
      <c r="BBI12" s="699"/>
      <c r="BBJ12" s="700">
        <f>BBI12/BBG12</f>
        <v>0</v>
      </c>
      <c r="BBK12" s="593">
        <f>'Proy 2022 vs 2019 sem'!JC11*BBN$4</f>
        <v>16376.524800000001</v>
      </c>
      <c r="BBL12" s="593">
        <f>'Proy 2022 vs 2019 sem'!JD11*BBN$4</f>
        <v>15393.933311999999</v>
      </c>
      <c r="BBM12" s="699"/>
      <c r="BBN12" s="700">
        <f>BBM12/BBK12</f>
        <v>0</v>
      </c>
      <c r="BBO12" s="593">
        <f>'Proy 2022 vs 2019 sem'!JC11*BBR$4</f>
        <v>16376.524800000001</v>
      </c>
      <c r="BBP12" s="593">
        <f>'Proy 2022 vs 2019 sem'!JD11*BBR$4</f>
        <v>15393.933311999999</v>
      </c>
      <c r="BBQ12" s="699"/>
      <c r="BBR12" s="700">
        <f>BBQ12/BBO12</f>
        <v>0</v>
      </c>
      <c r="BBS12" s="593">
        <f>'Proy 2022 vs 2019 sem'!JC11*BBV$4</f>
        <v>16376.524800000001</v>
      </c>
      <c r="BBT12" s="593">
        <f>'Proy 2022 vs 2019 sem'!JD11*BBV$4</f>
        <v>15393.933311999999</v>
      </c>
      <c r="BBU12" s="699"/>
      <c r="BBV12" s="700">
        <f>BBU12/BBS12</f>
        <v>0</v>
      </c>
      <c r="BBW12" s="593">
        <f>'Proy 2022 vs 2019 sem'!JC11*BBZ$4</f>
        <v>19105.945600000003</v>
      </c>
      <c r="BBX12" s="593">
        <f>'Proy 2022 vs 2019 sem'!JD11*BBZ$4</f>
        <v>17959.588864000001</v>
      </c>
      <c r="BBY12" s="699"/>
      <c r="BBZ12" s="700">
        <f>BBY12/BBW12</f>
        <v>0</v>
      </c>
      <c r="BCA12" s="593">
        <f>'Proy 2022 vs 2019 sem'!JC11*BCD$4</f>
        <v>21835.366400000003</v>
      </c>
      <c r="BCB12" s="593">
        <f>'Proy 2022 vs 2019 sem'!JD11*BCD$4</f>
        <v>20525.244416000001</v>
      </c>
      <c r="BCC12" s="699"/>
      <c r="BCD12" s="700">
        <f>BCC12/BCA12</f>
        <v>0</v>
      </c>
      <c r="BCE12" s="593">
        <f>'Proy 2022 vs 2019 sem'!JC11*BCH$4</f>
        <v>30023.628800000002</v>
      </c>
      <c r="BCF12" s="593">
        <f>'Proy 2022 vs 2019 sem'!JD11*BCH$4</f>
        <v>28222.211072000002</v>
      </c>
      <c r="BCG12" s="699"/>
      <c r="BCH12" s="700">
        <f>BCG12/BCE12</f>
        <v>0</v>
      </c>
      <c r="BCI12" s="579">
        <f>BBG12+BBK12+BBO12+BBS12+BBW12+BCA12+BCE12</f>
        <v>136471.04000000001</v>
      </c>
      <c r="BCJ12" s="574">
        <f>BBH12+BBL12+BBP12+BBT12+BBX12+BCB12+BCF12</f>
        <v>128282.7776</v>
      </c>
      <c r="BCK12" s="765">
        <f>BBI12+BBM12+BBQ12+BBU12+BBY12+BCC12+BCG12</f>
        <v>0</v>
      </c>
      <c r="BCL12" s="761">
        <f>BCK12/BCI12</f>
        <v>0</v>
      </c>
      <c r="BCM12" s="593">
        <f>'Proy 2022 vs 2019 sem'!JH11*BCP$4</f>
        <v>18442.803599999999</v>
      </c>
      <c r="BCN12" s="593">
        <f>'Proy 2022 vs 2019 sem'!JI11*BCP$4</f>
        <v>17520.663419999997</v>
      </c>
      <c r="BCO12" s="699"/>
      <c r="BCP12" s="700">
        <f>BCO12/BCM12</f>
        <v>0</v>
      </c>
      <c r="BCQ12" s="593">
        <f>'Proy 2022 vs 2019 sem'!JH11*BCT$4</f>
        <v>18442.803599999999</v>
      </c>
      <c r="BCR12" s="593">
        <f>'Proy 2022 vs 2019 sem'!JI11*BCT$4</f>
        <v>17520.663419999997</v>
      </c>
      <c r="BCS12" s="699"/>
      <c r="BCT12" s="700">
        <f>BCS12/BCQ12</f>
        <v>0</v>
      </c>
      <c r="BCU12" s="593">
        <f>'Proy 2022 vs 2019 sem'!JH11*BCX$4</f>
        <v>18442.803599999999</v>
      </c>
      <c r="BCV12" s="593">
        <f>'Proy 2022 vs 2019 sem'!JI11*BCX$4</f>
        <v>17520.663419999997</v>
      </c>
      <c r="BCW12" s="699"/>
      <c r="BCX12" s="700">
        <f>BCW12/BCU12</f>
        <v>0</v>
      </c>
      <c r="BCY12" s="593">
        <f>'Proy 2022 vs 2019 sem'!JH11*BDB$4</f>
        <v>18442.803599999999</v>
      </c>
      <c r="BCZ12" s="593">
        <f>'Proy 2022 vs 2019 sem'!JI11*BDB$4</f>
        <v>17520.663419999997</v>
      </c>
      <c r="BDA12" s="699"/>
      <c r="BDB12" s="700">
        <f>BDA12/BCY12</f>
        <v>0</v>
      </c>
      <c r="BDC12" s="593">
        <f>'Proy 2022 vs 2019 sem'!JH11*BDF$4</f>
        <v>21516.604200000002</v>
      </c>
      <c r="BDD12" s="593">
        <f>'Proy 2022 vs 2019 sem'!JI11*BDF$4</f>
        <v>20440.773990000002</v>
      </c>
      <c r="BDE12" s="699"/>
      <c r="BDF12" s="700">
        <f>BDE12/BDC12</f>
        <v>0</v>
      </c>
      <c r="BDG12" s="593">
        <f>'Proy 2022 vs 2019 sem'!JH11*BDJ$4</f>
        <v>24590.4048</v>
      </c>
      <c r="BDH12" s="593">
        <f>'Proy 2022 vs 2019 sem'!JI11*BDJ$4</f>
        <v>23360.884559999999</v>
      </c>
      <c r="BDI12" s="699"/>
      <c r="BDJ12" s="700">
        <f>BDI12/BDG12</f>
        <v>0</v>
      </c>
      <c r="BDK12" s="593">
        <f>'Proy 2022 vs 2019 sem'!JH11*BDN$4</f>
        <v>33811.806600000004</v>
      </c>
      <c r="BDL12" s="593">
        <f>'Proy 2022 vs 2019 sem'!JI11*BDN$4</f>
        <v>32121.216269999997</v>
      </c>
      <c r="BDM12" s="699"/>
      <c r="BDN12" s="700">
        <f>BDM12/BDK12</f>
        <v>0</v>
      </c>
      <c r="BDO12" s="579">
        <f>BCM12+BCQ12+BCU12+BCY12+BDC12+BDG12+BDK12</f>
        <v>153690.03</v>
      </c>
      <c r="BDP12" s="574">
        <f>BCN12+BCR12+BCV12+BCZ12+BDD12+BDH12+BDL12</f>
        <v>146005.52849999999</v>
      </c>
      <c r="BDQ12" s="765">
        <f>BCO12+BCS12+BCW12+BDA12+BDE12+BDI12+BDM12</f>
        <v>0</v>
      </c>
      <c r="BDR12" s="761">
        <f>BDQ12/BDO12</f>
        <v>0</v>
      </c>
      <c r="BDS12" s="593">
        <f>'Proy 2022 vs 2019 sem'!JM11*BDV$4</f>
        <v>22273.184399999998</v>
      </c>
      <c r="BDT12" s="593">
        <f>'Proy 2022 vs 2019 sem'!JN11*BDV$4</f>
        <v>21159.525179999997</v>
      </c>
      <c r="BDU12" s="699"/>
      <c r="BDV12" s="700">
        <f>BDU12/BDS12</f>
        <v>0</v>
      </c>
      <c r="BDW12" s="593">
        <f>'Proy 2022 vs 2019 sem'!JM11*BDZ$4</f>
        <v>22273.184399999998</v>
      </c>
      <c r="BDX12" s="593">
        <f>'Proy 2022 vs 2019 sem'!JN11*BDZ$4</f>
        <v>21159.525179999997</v>
      </c>
      <c r="BDY12" s="699"/>
      <c r="BDZ12" s="700">
        <f>BDY12/BDW12</f>
        <v>0</v>
      </c>
      <c r="BEA12" s="593">
        <f>'Proy 2022 vs 2019 sem'!JM11*BED$4</f>
        <v>22273.184399999998</v>
      </c>
      <c r="BEB12" s="593">
        <f>'Proy 2022 vs 2019 sem'!JN11*BED$4</f>
        <v>21159.525179999997</v>
      </c>
      <c r="BEC12" s="699"/>
      <c r="BED12" s="700">
        <f>BEC12/BEA12</f>
        <v>0</v>
      </c>
      <c r="BEE12" s="593">
        <v>14491.990400000001</v>
      </c>
      <c r="BEF12" s="593">
        <f>'Proy 2022 vs 2019 sem'!JN11*BEH$4</f>
        <v>21159.525179999997</v>
      </c>
      <c r="BEG12" s="699"/>
      <c r="BEH12" s="700">
        <f>BEG12/BEE12</f>
        <v>0</v>
      </c>
      <c r="BEI12" s="593">
        <f>'Proy 2022 vs 2019 sem'!JM11*BEL$4</f>
        <v>25985.381800000003</v>
      </c>
      <c r="BEJ12" s="593">
        <f>'Proy 2022 vs 2019 sem'!JN11*BEL$4</f>
        <v>24686.112710000001</v>
      </c>
      <c r="BEK12" s="699"/>
      <c r="BEL12" s="700">
        <f>BEK12/BEI12</f>
        <v>0</v>
      </c>
      <c r="BEM12" s="593">
        <f>'Proy 2022 vs 2019 sem'!JM11*BEP$4</f>
        <v>29697.5792</v>
      </c>
      <c r="BEN12" s="593">
        <f>'Proy 2022 vs 2019 sem'!JN11*BEP$4</f>
        <v>28212.700239999998</v>
      </c>
      <c r="BEO12" s="699"/>
      <c r="BEP12" s="700">
        <f>BEO12/BEM12</f>
        <v>0</v>
      </c>
      <c r="BEQ12" s="593">
        <f>'Proy 2022 vs 2019 sem'!JM11*BET$4</f>
        <v>40834.171399999999</v>
      </c>
      <c r="BER12" s="593">
        <f>'Proy 2022 vs 2019 sem'!JN11*BET$4</f>
        <v>38792.462829999997</v>
      </c>
      <c r="BES12" s="699"/>
      <c r="BET12" s="700">
        <f>BES12/BEQ12</f>
        <v>0</v>
      </c>
      <c r="BEU12" s="579">
        <f>BDS12+BDW12+BEA12+BEE12+BEI12+BEM12+BEQ12</f>
        <v>177828.67599999998</v>
      </c>
      <c r="BEV12" s="574">
        <f>BDT12+BDX12+BEB12+BEF12+BEJ12+BEN12+BER12</f>
        <v>176329.37649999998</v>
      </c>
      <c r="BEW12" s="770">
        <f>BDU12+BDY12+BEC12+BEG12+BEK12+BEO12+BES12</f>
        <v>0</v>
      </c>
      <c r="BEX12" s="761">
        <f>BEW12/BEU12</f>
        <v>0</v>
      </c>
      <c r="BEY12" s="593">
        <f>'Proy 2022 vs 2019 sem'!JV11*BFB$4</f>
        <v>34926.851999999999</v>
      </c>
      <c r="BEZ12" s="593">
        <f>'Proy 2022 vs 2019 sem'!JW11*BFB$4</f>
        <v>32831.24087999999</v>
      </c>
      <c r="BFA12" s="735"/>
      <c r="BFB12" s="700">
        <f>BFA12/BEY12</f>
        <v>0</v>
      </c>
      <c r="BFC12" s="593">
        <f>'Proy 2022 vs 2019 sem'!JV11*BFF$4</f>
        <v>34926.851999999999</v>
      </c>
      <c r="BFD12" s="593">
        <f>'Proy 2022 vs 2019 sem'!JW11*BFF$4</f>
        <v>32831.24087999999</v>
      </c>
      <c r="BFE12" s="735"/>
      <c r="BFF12" s="700">
        <f>BFE12/BFC12</f>
        <v>0</v>
      </c>
      <c r="BFG12" s="593">
        <f>'Proy 2022 vs 2019 sem'!JV11*BFJ$4</f>
        <v>34926.851999999999</v>
      </c>
      <c r="BFH12" s="593">
        <f>'Proy 2022 vs 2019 sem'!JW11*BFJ$4</f>
        <v>32831.24087999999</v>
      </c>
      <c r="BFI12" s="735"/>
      <c r="BFJ12" s="700">
        <f>BFI12/BFG12</f>
        <v>0</v>
      </c>
      <c r="BFK12" s="593">
        <f>'Proy 2022 vs 2019 sem'!JV11*BFN$4</f>
        <v>34926.851999999999</v>
      </c>
      <c r="BFL12" s="593">
        <f>'Proy 2022 vs 2019 sem'!JW11*BFN$4</f>
        <v>32831.24087999999</v>
      </c>
      <c r="BFM12" s="735"/>
      <c r="BFN12" s="700">
        <f>BFM12/BFK12</f>
        <v>0</v>
      </c>
      <c r="BFO12" s="593">
        <f>'Proy 2022 vs 2019 sem'!JV11*BFR$4</f>
        <v>40747.993999999999</v>
      </c>
      <c r="BFP12" s="593">
        <f>'Proy 2022 vs 2019 sem'!JW11*BFR$4</f>
        <v>38303.114359999992</v>
      </c>
      <c r="BFQ12" s="735"/>
      <c r="BFR12" s="700">
        <f>BFQ12/BFO12</f>
        <v>0</v>
      </c>
      <c r="BFS12" s="593">
        <f>'Proy 2022 vs 2019 sem'!JV11*BFV$4</f>
        <v>46569.135999999999</v>
      </c>
      <c r="BFT12" s="593">
        <f>'Proy 2022 vs 2019 sem'!JW11*BFV$4</f>
        <v>43774.987839999994</v>
      </c>
      <c r="BFU12" s="735"/>
      <c r="BFV12" s="700">
        <f>BFU12/BFS12</f>
        <v>0</v>
      </c>
      <c r="BFW12" s="593">
        <f>'Proy 2022 vs 2019 sem'!JV11*BFZ$4</f>
        <v>64032.561999999998</v>
      </c>
      <c r="BFX12" s="593">
        <f>'Proy 2022 vs 2019 sem'!JW11*BFZ$4</f>
        <v>60190.608279999986</v>
      </c>
      <c r="BFY12" s="735"/>
      <c r="BFZ12" s="700">
        <f>BFY12/BFW12</f>
        <v>0</v>
      </c>
      <c r="BGA12" s="579">
        <f>BEY12+BFC12+BFG12+BFK12+BFO12+BFS12+BFW12</f>
        <v>291057.09999999998</v>
      </c>
      <c r="BGB12" s="574">
        <f>BEZ12+BFD12+BFH12+BFL12+BFP12+BFT12+BFX12</f>
        <v>273593.67399999988</v>
      </c>
      <c r="BGC12" s="729">
        <f>BFA12+BFE12+BFI12+BFM12+BFQ12+BFU12+BFY12</f>
        <v>0</v>
      </c>
      <c r="BGD12" s="711">
        <f>BGC12/BGA12</f>
        <v>0</v>
      </c>
      <c r="BGE12" s="593">
        <f>'Proy 2022 vs 2019 sem'!KA11*BGH$4</f>
        <v>42353.4588</v>
      </c>
      <c r="BGF12" s="593">
        <f>'Proy 2022 vs 2019 sem'!KB11*BGH$4</f>
        <v>39388.716683999999</v>
      </c>
      <c r="BGG12" s="699"/>
      <c r="BGH12" s="700">
        <f>BGG12/BGE12</f>
        <v>0</v>
      </c>
      <c r="BGI12" s="593">
        <f>'Proy 2022 vs 2019 sem'!KA11*BGL$4</f>
        <v>42353.4588</v>
      </c>
      <c r="BGJ12" s="593">
        <f>'Proy 2022 vs 2019 sem'!KB11*BGL$4</f>
        <v>39388.716683999999</v>
      </c>
      <c r="BGK12" s="699"/>
      <c r="BGL12" s="700">
        <f>BGK12/BGI12</f>
        <v>0</v>
      </c>
      <c r="BGM12" s="593">
        <f>'Proy 2022 vs 2019 sem'!KA11*BGP$4</f>
        <v>42353.4588</v>
      </c>
      <c r="BGN12" s="593">
        <f>'Proy 2022 vs 2019 sem'!KB11*BGP$4</f>
        <v>39388.716683999999</v>
      </c>
      <c r="BGO12" s="699"/>
      <c r="BGP12" s="700">
        <f>BGO12/BGM12</f>
        <v>0</v>
      </c>
      <c r="BGQ12" s="593">
        <f>'Proy 2022 vs 2019 sem'!KA11*BGT$4</f>
        <v>42353.4588</v>
      </c>
      <c r="BGR12" s="593">
        <f>'Proy 2022 vs 2019 sem'!KB11*BGT$4</f>
        <v>39388.716683999999</v>
      </c>
      <c r="BGS12" s="699"/>
      <c r="BGT12" s="700">
        <f>BGS12/BGQ12</f>
        <v>0</v>
      </c>
      <c r="BGU12" s="593">
        <f>'Proy 2022 vs 2019 sem'!KA11*BGX$4</f>
        <v>49412.368600000002</v>
      </c>
      <c r="BGV12" s="593">
        <f>'Proy 2022 vs 2019 sem'!KB11*BGX$4</f>
        <v>45953.502798000009</v>
      </c>
      <c r="BGW12" s="699"/>
      <c r="BGX12" s="700">
        <f>BGW12/BGU12</f>
        <v>0</v>
      </c>
      <c r="BGY12" s="593">
        <f>'Proy 2022 vs 2019 sem'!KA11*BHB$4</f>
        <v>56471.278400000003</v>
      </c>
      <c r="BGZ12" s="593">
        <f>'Proy 2022 vs 2019 sem'!KB11*BHB$4</f>
        <v>52518.288912000004</v>
      </c>
      <c r="BHA12" s="699"/>
      <c r="BHB12" s="700">
        <f>BHA12/BGY12</f>
        <v>0</v>
      </c>
      <c r="BHC12" s="593">
        <f>'Proy 2022 vs 2019 sem'!KA11*BHF$4</f>
        <v>77648.007799999992</v>
      </c>
      <c r="BHD12" s="593">
        <f>'Proy 2022 vs 2019 sem'!KB11*BHF$4</f>
        <v>72212.64725400001</v>
      </c>
      <c r="BHE12" s="699"/>
      <c r="BHF12" s="700">
        <f>BHE12/BHC12</f>
        <v>0</v>
      </c>
      <c r="BHG12" s="579">
        <f>BGE12+BGI12+BGM12+BGQ12+BGU12+BGY12+BHC12</f>
        <v>352945.49</v>
      </c>
      <c r="BHH12" s="574">
        <f>BGF12+BGJ12+BGN12+BGR12+BGV12+BGZ12+BHD12</f>
        <v>328239.30570000003</v>
      </c>
      <c r="BHI12" s="730">
        <f>BGG12+BGK12+BGO12+BGS12+BGW12+BHA12+BHE12</f>
        <v>0</v>
      </c>
      <c r="BHJ12" s="711">
        <f>BHI12/BHG12</f>
        <v>0</v>
      </c>
      <c r="BHK12" s="593">
        <f>'Proy 2022 vs 2019 sem'!KF11*BHN$4</f>
        <v>55135.364399999999</v>
      </c>
      <c r="BHL12" s="593">
        <f>'Proy 2022 vs 2019 sem'!KG11*BHN$4</f>
        <v>51275.888892000003</v>
      </c>
      <c r="BHM12" s="699"/>
      <c r="BHN12" s="700">
        <f>BHM12/BHK12</f>
        <v>0</v>
      </c>
      <c r="BHO12" s="593">
        <f>'Proy 2022 vs 2019 sem'!KF11*BHR$4</f>
        <v>55135.364399999999</v>
      </c>
      <c r="BHP12" s="593">
        <f>'Proy 2022 vs 2019 sem'!KG11*BHR$4</f>
        <v>51275.888892000003</v>
      </c>
      <c r="BHQ12" s="699"/>
      <c r="BHR12" s="700">
        <f>BHQ12/BHO12</f>
        <v>0</v>
      </c>
      <c r="BHS12" s="593">
        <f>'Proy 2022 vs 2019 sem'!KF11*BHV$4</f>
        <v>55135.364399999999</v>
      </c>
      <c r="BHT12" s="593">
        <f>'Proy 2022 vs 2019 sem'!KG11*BHV$4</f>
        <v>51275.888892000003</v>
      </c>
      <c r="BHU12" s="699"/>
      <c r="BHV12" s="700">
        <f>BHU12/BHS12</f>
        <v>0</v>
      </c>
      <c r="BHW12" s="593">
        <f>'Proy 2022 vs 2019 sem'!KF11*BHZ$4</f>
        <v>55135.364399999999</v>
      </c>
      <c r="BHX12" s="593">
        <f>'Proy 2022 vs 2019 sem'!KG11*BHZ$4</f>
        <v>51275.888892000003</v>
      </c>
      <c r="BHY12" s="699"/>
      <c r="BHZ12" s="700">
        <f>BHY12/BHW12</f>
        <v>0</v>
      </c>
      <c r="BIA12" s="593">
        <f>'Proy 2022 vs 2019 sem'!KF11*BID$4</f>
        <v>64324.591800000002</v>
      </c>
      <c r="BIB12" s="593">
        <f>'Proy 2022 vs 2019 sem'!KG11*BID$4</f>
        <v>59821.870374000013</v>
      </c>
      <c r="BIC12" s="699"/>
      <c r="BID12" s="700">
        <f>BIC12/BIA12</f>
        <v>0</v>
      </c>
      <c r="BIE12" s="593">
        <f>'Proy 2022 vs 2019 sem'!KF11*BIH$4</f>
        <v>73513.819199999998</v>
      </c>
      <c r="BIF12" s="593">
        <f>'Proy 2022 vs 2019 sem'!KG11*BIH$4</f>
        <v>68367.851856000008</v>
      </c>
      <c r="BIG12" s="699"/>
      <c r="BIH12" s="700">
        <f>BIG12/BIE12</f>
        <v>0</v>
      </c>
      <c r="BII12" s="593">
        <f>'Proy 2022 vs 2019 sem'!KF11*BIL$4</f>
        <v>101081.50139999999</v>
      </c>
      <c r="BIJ12" s="593">
        <f>'Proy 2022 vs 2019 sem'!KG11*BIL$4</f>
        <v>94005.796302000002</v>
      </c>
      <c r="BIK12" s="699"/>
      <c r="BIL12" s="700">
        <f>BIK12/BII12</f>
        <v>0</v>
      </c>
      <c r="BIM12" s="579">
        <f>BHK12+BHO12+BHS12+BHW12+BIA12+BIE12+BII12</f>
        <v>459461.37000000005</v>
      </c>
      <c r="BIN12" s="574">
        <f>BHL12+BHP12+BHT12+BHX12+BIB12+BIF12+BIJ12</f>
        <v>427299.07410000003</v>
      </c>
      <c r="BIO12" s="730">
        <f>BHM12+BHQ12+BHU12+BHY12+BIC12+BIG12+BIK12</f>
        <v>0</v>
      </c>
      <c r="BIP12" s="711">
        <f>BIO12/BIM12</f>
        <v>0</v>
      </c>
      <c r="BIQ12" s="593">
        <f>'Proy 2022 vs 2019 sem'!KK11*BIT$4</f>
        <v>40560.319199999998</v>
      </c>
      <c r="BIR12" s="593">
        <f>'Proy 2022 vs 2019 sem'!KL11*BIT$4</f>
        <v>37721.096855999996</v>
      </c>
      <c r="BIS12" s="699"/>
      <c r="BIT12" s="700">
        <f>BIS12/BIQ12</f>
        <v>0</v>
      </c>
      <c r="BIU12" s="593">
        <f>'Proy 2022 vs 2019 sem'!KK11*BIX$4</f>
        <v>40560.319199999998</v>
      </c>
      <c r="BIV12" s="593">
        <f>'Proy 2022 vs 2019 sem'!KL11*BIX$4</f>
        <v>37721.096855999996</v>
      </c>
      <c r="BIW12" s="699"/>
      <c r="BIX12" s="700">
        <f>BIW12/BIU12</f>
        <v>0</v>
      </c>
      <c r="BIY12" s="593">
        <f>'Proy 2022 vs 2019 sem'!KK11*BJB$4</f>
        <v>40560.319199999998</v>
      </c>
      <c r="BIZ12" s="593">
        <f>'Proy 2022 vs 2019 sem'!KL11*BJB$4</f>
        <v>37721.096855999996</v>
      </c>
      <c r="BJA12" s="699"/>
      <c r="BJB12" s="700">
        <f>BJA12/BIY12</f>
        <v>0</v>
      </c>
      <c r="BJC12" s="593">
        <f>'Proy 2022 vs 2019 sem'!KK11*BJF$4</f>
        <v>40560.319199999998</v>
      </c>
      <c r="BJD12" s="593">
        <f>'Proy 2022 vs 2019 sem'!KL11*BJF$4</f>
        <v>37721.096855999996</v>
      </c>
      <c r="BJE12" s="699"/>
      <c r="BJF12" s="700">
        <f>BJE12/BJC12</f>
        <v>0</v>
      </c>
      <c r="BJG12" s="593">
        <f>'Proy 2022 vs 2019 sem'!KK11*BJJ$4</f>
        <v>47320.3724</v>
      </c>
      <c r="BJH12" s="593">
        <f>'Proy 2022 vs 2019 sem'!KL11*BJJ$4</f>
        <v>44007.946332</v>
      </c>
      <c r="BJI12" s="699"/>
      <c r="BJJ12" s="700">
        <f>BJI12/BJG12</f>
        <v>0</v>
      </c>
      <c r="BJK12" s="593">
        <f>'Proy 2022 vs 2019 sem'!KK11*BJN$4</f>
        <v>54080.425599999995</v>
      </c>
      <c r="BJL12" s="593">
        <f>'Proy 2022 vs 2019 sem'!KL11*BJN$4</f>
        <v>50294.795807999995</v>
      </c>
      <c r="BJM12" s="699"/>
      <c r="BJN12" s="700">
        <f>BJM12/BJK12</f>
        <v>0</v>
      </c>
      <c r="BJO12" s="593">
        <f>'Proy 2022 vs 2019 sem'!KK11*BJR$4</f>
        <v>74360.585200000001</v>
      </c>
      <c r="BJP12" s="593">
        <f>'Proy 2022 vs 2019 sem'!KL11*BJR$4</f>
        <v>69155.34423599999</v>
      </c>
      <c r="BJQ12" s="699"/>
      <c r="BJR12" s="700">
        <f>BJQ12/BJO12</f>
        <v>0</v>
      </c>
      <c r="BJS12" s="579">
        <f>BIQ12+BIU12+BIY12+BJC12+BJG12+BJK12+BJO12</f>
        <v>338002.66000000003</v>
      </c>
      <c r="BJT12" s="574">
        <f>BIR12+BIV12+BIZ12+BJD12+BJH12+BJL12+BJP12</f>
        <v>314342.47379999998</v>
      </c>
      <c r="BJU12" s="710">
        <f>BIS12+BIW12+BJA12+BJE12+BJI12+BJM12+BJQ12</f>
        <v>0</v>
      </c>
      <c r="BJV12" s="711">
        <f>BJU12/BJS12</f>
        <v>0</v>
      </c>
      <c r="BJW12" s="593">
        <f>'Proy 2022 vs 2019 sem'!KP11*BJZ$4</f>
        <v>13721.8344</v>
      </c>
      <c r="BJX12" s="593">
        <f>'Proy 2022 vs 2019 sem'!KQ11*BJZ$4</f>
        <v>13035.742679999998</v>
      </c>
      <c r="BJY12" s="699"/>
      <c r="BJZ12" s="700">
        <f>BJY12/BJW12</f>
        <v>0</v>
      </c>
      <c r="BKA12" s="593">
        <f>'Proy 2022 vs 2019 sem'!KP11*BKD$4</f>
        <v>13721.8344</v>
      </c>
      <c r="BKB12" s="593">
        <f>'Proy 2022 vs 2019 sem'!KQ11*BKD$4</f>
        <v>13035.742679999998</v>
      </c>
      <c r="BKC12" s="699"/>
      <c r="BKD12" s="700">
        <f>BKC12/BKA12</f>
        <v>0</v>
      </c>
      <c r="BKE12" s="593">
        <f>'Proy 2022 vs 2019 sem'!KP11*BKH$4</f>
        <v>13721.8344</v>
      </c>
      <c r="BKF12" s="593">
        <f>'Proy 2022 vs 2019 sem'!KQ11*BKH$4</f>
        <v>13035.742679999998</v>
      </c>
      <c r="BKG12" s="699"/>
      <c r="BKH12" s="700">
        <f>BKG12/BKE12</f>
        <v>0</v>
      </c>
      <c r="BKI12" s="593">
        <f>'Proy 2022 vs 2019 sem'!KP11*BKL$4</f>
        <v>13721.8344</v>
      </c>
      <c r="BKJ12" s="593">
        <f>'Proy 2022 vs 2019 sem'!KQ11*BKL$4</f>
        <v>13035.742679999998</v>
      </c>
      <c r="BKK12" s="699"/>
      <c r="BKL12" s="700">
        <f>BKK12/BKI12</f>
        <v>0</v>
      </c>
      <c r="BKM12" s="593">
        <f>'Proy 2022 vs 2019 sem'!KP11*BKP$4</f>
        <v>16008.8068</v>
      </c>
      <c r="BKN12" s="593">
        <f>'Proy 2022 vs 2019 sem'!KQ11*BKP$4</f>
        <v>15208.366459999999</v>
      </c>
      <c r="BKO12" s="699"/>
      <c r="BKP12" s="700">
        <f>BKO12/BKM12</f>
        <v>0</v>
      </c>
      <c r="BKQ12" s="593">
        <f>'Proy 2022 vs 2019 sem'!KP11*BKT$4</f>
        <v>18295.779200000001</v>
      </c>
      <c r="BKR12" s="593">
        <f>'Proy 2022 vs 2019 sem'!KQ11*BKT$4</f>
        <v>17380.990239999999</v>
      </c>
      <c r="BKS12" s="699"/>
      <c r="BKT12" s="700">
        <f>BKS12/BKQ12</f>
        <v>0</v>
      </c>
      <c r="BKU12" s="593">
        <f>'Proy 2022 vs 2019 sem'!KP11*BKX$4</f>
        <v>25156.696400000001</v>
      </c>
      <c r="BKV12" s="593">
        <f>'Proy 2022 vs 2019 sem'!KQ11*BKX$4</f>
        <v>23898.861579999997</v>
      </c>
      <c r="BKW12" s="699"/>
      <c r="BKX12" s="700">
        <f>BKW12/BKU12</f>
        <v>0</v>
      </c>
      <c r="BKY12" s="579">
        <f>BJW12+BKA12+BKE12+BKI12+BKM12+BKQ12+BKU12</f>
        <v>114348.62000000001</v>
      </c>
      <c r="BKZ12" s="574">
        <f>BJX12+BKB12+BKF12+BKJ12+BKN12+BKR12+BKV12</f>
        <v>108631.18899999998</v>
      </c>
      <c r="BLA12" s="710">
        <f>BJY12+BKC12+BKG12+BKK12+BKO12+BKS12+BKW12</f>
        <v>0</v>
      </c>
      <c r="BLB12" s="711">
        <f>BLA12/BKY12</f>
        <v>0</v>
      </c>
    </row>
    <row r="13" spans="2:1666" ht="19.5" customHeight="1">
      <c r="B13" s="934" t="s">
        <v>475</v>
      </c>
      <c r="C13" s="593">
        <f>'Proy 2022 vs 2019 sem'!$C$6*$F$4</f>
        <v>9529.1268</v>
      </c>
      <c r="D13" s="593">
        <f>'Proy 2022 vs 2019 sem'!$D$6*$F$4</f>
        <v>8480.9228519999997</v>
      </c>
      <c r="E13" s="735"/>
      <c r="F13" s="700">
        <f>E13/C13</f>
        <v>0</v>
      </c>
      <c r="G13" s="1414">
        <f>'Proy 2022 vs 2019 sem'!C12*$J$4</f>
        <v>4114.7460000000001</v>
      </c>
      <c r="H13" s="593">
        <f>'Proy 2022 vs 2019 sem'!D12*$J$4</f>
        <v>3662.1239399999999</v>
      </c>
      <c r="I13" s="735"/>
      <c r="J13" s="700">
        <f>I13/G13</f>
        <v>0</v>
      </c>
      <c r="K13" s="593">
        <f>'Proy 2022 vs 2019 sem'!C12*$N$4</f>
        <v>4114.7460000000001</v>
      </c>
      <c r="L13" s="593">
        <f>'Proy 2022 vs 2019 sem'!D12*N$4</f>
        <v>3662.1239399999999</v>
      </c>
      <c r="M13" s="735"/>
      <c r="N13" s="700">
        <f>M13/K13</f>
        <v>0</v>
      </c>
      <c r="O13" s="593">
        <f>'Proy 2022 vs 2019 sem'!C12*R$4</f>
        <v>4114.7460000000001</v>
      </c>
      <c r="P13" s="593">
        <f>'Proy 2022 vs 2019 sem'!D12*$R$4</f>
        <v>3662.1239399999999</v>
      </c>
      <c r="Q13" s="735"/>
      <c r="R13" s="700">
        <f>Q13/O13</f>
        <v>0</v>
      </c>
      <c r="S13" s="593">
        <f>'Proy 2022 vs 2019 sem'!C12*V$4</f>
        <v>4800.5370000000012</v>
      </c>
      <c r="T13" s="593">
        <f>'Proy 2022 vs 2019 sem'!D12*V$4</f>
        <v>4272.4779300000009</v>
      </c>
      <c r="U13" s="735"/>
      <c r="V13" s="700">
        <f>U13/S13</f>
        <v>0</v>
      </c>
      <c r="W13" s="593">
        <f>'Proy 2022 vs 2019 sem'!C12*Z$4</f>
        <v>5486.3280000000004</v>
      </c>
      <c r="X13" s="593">
        <f>'Proy 2022 vs 2019 sem'!D12*Z$4</f>
        <v>4882.8319200000005</v>
      </c>
      <c r="Y13" s="735"/>
      <c r="Z13" s="700">
        <f>Y13/W13</f>
        <v>0</v>
      </c>
      <c r="AA13" s="593">
        <f>'Proy 2022 vs 2019 sem'!C12*AD$4</f>
        <v>7543.7010000000009</v>
      </c>
      <c r="AB13" s="593">
        <f>'Proy 2022 vs 2019 sem'!D12*AD$4</f>
        <v>6713.8938900000003</v>
      </c>
      <c r="AC13" s="735"/>
      <c r="AD13" s="700">
        <f>AC13/AA13</f>
        <v>0</v>
      </c>
      <c r="AE13" s="579">
        <f>C13+G13+K13+O13+S13+W13+AA13</f>
        <v>39703.930800000002</v>
      </c>
      <c r="AF13" s="574">
        <f>D13+H13+L13+P13+T13+X13+AB13</f>
        <v>35336.498412000001</v>
      </c>
      <c r="AG13" s="729">
        <f>E13+I13+M13+Q13+U13+Y13+AC13</f>
        <v>0</v>
      </c>
      <c r="AH13" s="711">
        <f>AG13/AE13</f>
        <v>0</v>
      </c>
      <c r="AI13" s="593">
        <f>'Proy 2022 vs 2019 sem'!H12*AL$4</f>
        <v>4922.1527999999998</v>
      </c>
      <c r="AJ13" s="611">
        <f>'Proy 2022 vs 2019 sem'!I12*AL$4</f>
        <v>4380.7159919999995</v>
      </c>
      <c r="AK13" s="699"/>
      <c r="AL13" s="700">
        <f>AK13/AI13</f>
        <v>0</v>
      </c>
      <c r="AM13" s="593">
        <f>'Proy 2022 vs 2019 sem'!H12*AP$4</f>
        <v>4922.1527999999998</v>
      </c>
      <c r="AN13" s="593">
        <f>'Proy 2022 vs 2019 sem'!I12*AP$4</f>
        <v>4380.7159919999995</v>
      </c>
      <c r="AO13" s="699"/>
      <c r="AP13" s="700">
        <f>AO13/AM13</f>
        <v>0</v>
      </c>
      <c r="AQ13" s="593">
        <f>'Proy 2022 vs 2019 sem'!H12*AT$4</f>
        <v>4922.1527999999998</v>
      </c>
      <c r="AR13" s="593">
        <f>'Proy 2022 vs 2019 sem'!I12*AT$4</f>
        <v>4380.7159919999995</v>
      </c>
      <c r="AS13" s="699"/>
      <c r="AT13" s="700">
        <f>AS13/AQ13</f>
        <v>0</v>
      </c>
      <c r="AU13" s="593">
        <f>'Proy 2022 vs 2019 sem'!H12*AX$4</f>
        <v>4922.1527999999998</v>
      </c>
      <c r="AV13" s="593">
        <f>'Proy 2022 vs 2019 sem'!I12*AX$4</f>
        <v>4380.7159919999995</v>
      </c>
      <c r="AW13" s="699"/>
      <c r="AX13" s="700">
        <f>AW13/AU13</f>
        <v>0</v>
      </c>
      <c r="AY13" s="593">
        <f>'Proy 2022 vs 2019 sem'!H12*BB$4</f>
        <v>5742.5116000000007</v>
      </c>
      <c r="AZ13" s="593">
        <f>'Proy 2022 vs 2019 sem'!I12*BB$4</f>
        <v>5110.8353240000006</v>
      </c>
      <c r="BA13" s="699"/>
      <c r="BB13" s="700">
        <f>BA13/AY13</f>
        <v>0</v>
      </c>
      <c r="BC13" s="593">
        <f>'Proy 2022 vs 2019 sem'!H12*BF$4</f>
        <v>6562.8704000000007</v>
      </c>
      <c r="BD13" s="593">
        <f>'Proy 2022 vs 2019 sem'!I12*BF$4</f>
        <v>5840.9546559999999</v>
      </c>
      <c r="BE13" s="699"/>
      <c r="BF13" s="700">
        <f>BE13/BC13</f>
        <v>0</v>
      </c>
      <c r="BG13" s="593">
        <f>'Proy 2022 vs 2019 sem'!H12*BJ$4</f>
        <v>9023.9467999999997</v>
      </c>
      <c r="BH13" s="593">
        <f>'Proy 2022 vs 2019 sem'!I12*BJ$4</f>
        <v>8031.3126519999996</v>
      </c>
      <c r="BI13" s="699"/>
      <c r="BJ13" s="700">
        <f>BI13/BG13</f>
        <v>0</v>
      </c>
      <c r="BK13" s="579">
        <f>AI13+AM13+AQ13+AU13+AY13+BC13+BG13</f>
        <v>41017.94</v>
      </c>
      <c r="BL13" s="574">
        <f>AJ13+AN13+AR13+AV13+AZ13+BD13+BH13</f>
        <v>36505.9666</v>
      </c>
      <c r="BM13" s="730">
        <f>AK13+AO13+AS13+AW13+BA13+BE13+BI13</f>
        <v>0</v>
      </c>
      <c r="BN13" s="711">
        <f>BM13/BK13</f>
        <v>0</v>
      </c>
      <c r="BO13" s="593">
        <f>'Proy 2022 vs 2019 sem'!M12*BR$4</f>
        <v>4130.0796</v>
      </c>
      <c r="BP13" s="593">
        <f>'Proy 2022 vs 2019 sem'!N12*BR$4</f>
        <v>3675.7708440000001</v>
      </c>
      <c r="BQ13" s="699"/>
      <c r="BR13" s="700">
        <f>BQ13/BO13</f>
        <v>0</v>
      </c>
      <c r="BS13" s="593">
        <f>'Proy 2022 vs 2019 sem'!M12*BV$4</f>
        <v>4130.0796</v>
      </c>
      <c r="BT13" s="593">
        <f>'Proy 2022 vs 2019 sem'!N12*BV$4</f>
        <v>3675.7708440000001</v>
      </c>
      <c r="BU13" s="699"/>
      <c r="BV13" s="700">
        <f>BU13/BS13</f>
        <v>0</v>
      </c>
      <c r="BW13" s="593">
        <f>'Proy 2022 vs 2019 sem'!M12*BZ$4</f>
        <v>4130.0796</v>
      </c>
      <c r="BX13" s="593">
        <f>'Proy 2022 vs 2019 sem'!N12*BZ$4</f>
        <v>3675.7708440000001</v>
      </c>
      <c r="BY13" s="699"/>
      <c r="BZ13" s="700">
        <f>BY13/BW13</f>
        <v>0</v>
      </c>
      <c r="CA13" s="593">
        <f>'Proy 2022 vs 2019 sem'!M12*CD$4</f>
        <v>4130.0796</v>
      </c>
      <c r="CB13" s="593">
        <f>'Proy 2022 vs 2019 sem'!N12*CD$4</f>
        <v>3675.7708440000001</v>
      </c>
      <c r="CC13" s="699"/>
      <c r="CD13" s="700">
        <f>CC13/CA13</f>
        <v>0</v>
      </c>
      <c r="CE13" s="593">
        <f>'Proy 2022 vs 2019 sem'!M12*CH$4</f>
        <v>4818.4262000000008</v>
      </c>
      <c r="CF13" s="593">
        <f>'Proy 2022 vs 2019 sem'!N12*CH$4</f>
        <v>4288.3993180000007</v>
      </c>
      <c r="CG13" s="699"/>
      <c r="CH13" s="700">
        <f>CG13/CE13</f>
        <v>0</v>
      </c>
      <c r="CI13" s="593">
        <f>'Proy 2022 vs 2019 sem'!M12*CL$4</f>
        <v>5506.7728000000006</v>
      </c>
      <c r="CJ13" s="593">
        <f>'Proy 2022 vs 2019 sem'!N12*CL$4</f>
        <v>4901.0277920000008</v>
      </c>
      <c r="CK13" s="699"/>
      <c r="CL13" s="700">
        <f>CK13/CI13</f>
        <v>0</v>
      </c>
      <c r="CM13" s="593">
        <f>'Proy 2022 vs 2019 sem'!M12*CP$4</f>
        <v>7571.8126000000002</v>
      </c>
      <c r="CN13" s="593">
        <f>'Proy 2022 vs 2019 sem'!N12*CP$4</f>
        <v>6738.9132140000011</v>
      </c>
      <c r="CO13" s="699"/>
      <c r="CP13" s="700">
        <f>CO13/CM13</f>
        <v>0</v>
      </c>
      <c r="CQ13" s="579">
        <f>BO13+BS13+BW13+CA13+CE13+CI13+CM13</f>
        <v>34417.33</v>
      </c>
      <c r="CR13" s="574">
        <f>BP13+BT13+BX13+CB13+CF13+CJ13+CN13</f>
        <v>30631.423700000003</v>
      </c>
      <c r="CS13" s="730">
        <f>BQ13+BU13+BY13+CC13+CG13+CK13+CO13</f>
        <v>0</v>
      </c>
      <c r="CT13" s="711">
        <f>CS13/CQ13</f>
        <v>0</v>
      </c>
      <c r="CU13" s="593">
        <f>'Proy 2022 vs 2019 sem'!R12*CX$4</f>
        <v>3697.1172000000001</v>
      </c>
      <c r="CV13" s="593">
        <f>'Proy 2022 vs 2019 sem'!S12*CX$4</f>
        <v>3290.4343080000003</v>
      </c>
      <c r="CW13" s="699"/>
      <c r="CX13" s="700">
        <f>CW13/CU13</f>
        <v>0</v>
      </c>
      <c r="CY13" s="593">
        <f>'Proy 2022 vs 2019 sem'!R12*DB$4</f>
        <v>3697.1172000000001</v>
      </c>
      <c r="CZ13" s="593">
        <f>'Proy 2022 vs 2019 sem'!S12*DB$4</f>
        <v>3290.4343080000003</v>
      </c>
      <c r="DA13" s="699"/>
      <c r="DB13" s="700">
        <f>DA13/CY13</f>
        <v>0</v>
      </c>
      <c r="DC13" s="593">
        <f>'Proy 2022 vs 2019 sem'!R12*DF$4</f>
        <v>3697.1172000000001</v>
      </c>
      <c r="DD13" s="593">
        <f>'Proy 2022 vs 2019 sem'!S12*DF$4</f>
        <v>3290.4343080000003</v>
      </c>
      <c r="DE13" s="699"/>
      <c r="DF13" s="700">
        <f>DE13/DC13</f>
        <v>0</v>
      </c>
      <c r="DG13" s="593">
        <f>'Proy 2022 vs 2019 sem'!R12*DJ$4</f>
        <v>3697.1172000000001</v>
      </c>
      <c r="DH13" s="593">
        <f>'Proy 2022 vs 2019 sem'!S12*DJ$4</f>
        <v>3290.4343080000003</v>
      </c>
      <c r="DI13" s="699"/>
      <c r="DJ13" s="700">
        <f>DI13/DG13</f>
        <v>0</v>
      </c>
      <c r="DK13" s="593">
        <f>'Proy 2022 vs 2019 sem'!R12*DN$4</f>
        <v>4313.3034000000007</v>
      </c>
      <c r="DL13" s="593">
        <f>'Proy 2022 vs 2019 sem'!S12*DN$4</f>
        <v>3838.8400260000008</v>
      </c>
      <c r="DM13" s="699"/>
      <c r="DN13" s="700">
        <f>DM13/DK13</f>
        <v>0</v>
      </c>
      <c r="DO13" s="593">
        <f>'Proy 2022 vs 2019 sem'!R12*DR$4</f>
        <v>4929.4895999999999</v>
      </c>
      <c r="DP13" s="593">
        <f>'Proy 2022 vs 2019 sem'!S12*DR$4</f>
        <v>4387.2457440000007</v>
      </c>
      <c r="DQ13" s="699"/>
      <c r="DR13" s="700">
        <f>DQ13/DO13</f>
        <v>0</v>
      </c>
      <c r="DS13" s="593">
        <f>'Proy 2022 vs 2019 sem'!R12*DV$4</f>
        <v>6778.0482000000002</v>
      </c>
      <c r="DT13" s="593">
        <f>'Proy 2022 vs 2019 sem'!S12*DV$4</f>
        <v>6032.4628980000007</v>
      </c>
      <c r="DU13" s="699"/>
      <c r="DV13" s="700">
        <f>DU13/DS13</f>
        <v>0</v>
      </c>
      <c r="DW13" s="579">
        <f>CU13+CY13+DC13+DG13+DK13+DO13+DS13</f>
        <v>30809.31</v>
      </c>
      <c r="DX13" s="574">
        <f>CV13+CZ13+DD13+DH13+DL13+DP13+DT13</f>
        <v>27420.285900000003</v>
      </c>
      <c r="DY13" s="710">
        <f>CW13+DA13+DE13+DI13+DM13+DQ13+DU13</f>
        <v>0</v>
      </c>
      <c r="DZ13" s="711">
        <f>DY13/DW13</f>
        <v>0</v>
      </c>
      <c r="EA13" s="593">
        <f>'Proy 2022 vs 2019 sem'!AA12*ED$4</f>
        <v>4724.1755999999996</v>
      </c>
      <c r="EB13" s="593">
        <f>'Proy 2022 vs 2019 sem'!AB12*ED$4</f>
        <v>4204.5162839999994</v>
      </c>
      <c r="EC13" s="735"/>
      <c r="ED13" s="700">
        <f>EC13/EA13</f>
        <v>0</v>
      </c>
      <c r="EE13" s="593">
        <f>'Proy 2022 vs 2019 sem'!AA12*EH$4</f>
        <v>4724.1755999999996</v>
      </c>
      <c r="EF13" s="593">
        <f>'Proy 2022 vs 2019 sem'!AB12*EH$4</f>
        <v>4204.5162839999994</v>
      </c>
      <c r="EG13" s="699"/>
      <c r="EH13" s="700">
        <f>EG13/EE13</f>
        <v>0</v>
      </c>
      <c r="EI13" s="593">
        <f>'Proy 2022 vs 2019 sem'!AA12*EL$4</f>
        <v>4724.1755999999996</v>
      </c>
      <c r="EJ13" s="593">
        <f>'Proy 2022 vs 2019 sem'!AB12*EL$4</f>
        <v>4204.5162839999994</v>
      </c>
      <c r="EK13" s="699"/>
      <c r="EL13" s="700">
        <f>EK13/EI13</f>
        <v>0</v>
      </c>
      <c r="EM13" s="593">
        <f>'Proy 2022 vs 2019 sem'!AA12*EP$4</f>
        <v>4724.1755999999996</v>
      </c>
      <c r="EN13" s="593">
        <f>'Proy 2022 vs 2019 sem'!AB12*EP$4</f>
        <v>4204.5162839999994</v>
      </c>
      <c r="EO13" s="699"/>
      <c r="EP13" s="700">
        <f>EO13/EM13</f>
        <v>0</v>
      </c>
      <c r="EQ13" s="593">
        <f>'Proy 2022 vs 2019 sem'!AA12*ET$4</f>
        <v>5511.5382</v>
      </c>
      <c r="ER13" s="593">
        <f>'Proy 2022 vs 2019 sem'!AB12*ET$4</f>
        <v>4905.2689980000005</v>
      </c>
      <c r="ES13" s="699"/>
      <c r="ET13" s="700">
        <f>ES13/EQ13</f>
        <v>0</v>
      </c>
      <c r="EU13" s="593">
        <f>'Proy 2022 vs 2019 sem'!AA12*EX$4</f>
        <v>6298.9007999999994</v>
      </c>
      <c r="EV13" s="593">
        <f>'Proy 2022 vs 2019 sem'!AB12*EX$4</f>
        <v>5606.0217119999998</v>
      </c>
      <c r="EW13" s="699"/>
      <c r="EX13" s="700">
        <f>EW13/EU13</f>
        <v>0</v>
      </c>
      <c r="EY13" s="593">
        <f>'Proy 2022 vs 2019 sem'!AA12*FB$4</f>
        <v>8660.9885999999988</v>
      </c>
      <c r="EZ13" s="593">
        <f>'Proy 2022 vs 2019 sem'!AB12*FB$4</f>
        <v>7708.2798539999994</v>
      </c>
      <c r="FA13" s="699"/>
      <c r="FB13" s="700">
        <f>FA13/EY13</f>
        <v>0</v>
      </c>
      <c r="FC13" s="579">
        <f>EA13+EE13+EI13+EM13+EQ13+EU13+EY13</f>
        <v>39368.129999999997</v>
      </c>
      <c r="FD13" s="574">
        <f>EB13+EF13+EJ13+EN13+ER13+EV13+EZ13</f>
        <v>35037.635699999999</v>
      </c>
      <c r="FE13" s="793">
        <f>EC13+EG13+EK13+EO13+ES13+EW13+FA13</f>
        <v>0</v>
      </c>
      <c r="FF13" s="786">
        <f>FE13/FC13</f>
        <v>0</v>
      </c>
      <c r="FG13" s="593">
        <f>'Proy 2022 vs 2019 sem'!AF12*FJ$4</f>
        <v>5499.2867999999999</v>
      </c>
      <c r="FH13" s="593">
        <f>'Proy 2022 vs 2019 sem'!AG12*FJ$4</f>
        <v>4839.3723839999993</v>
      </c>
      <c r="FI13" s="699"/>
      <c r="FJ13" s="700">
        <f>FI13/FG13</f>
        <v>0</v>
      </c>
      <c r="FK13" s="593">
        <f>'Proy 2022 vs 2019 sem'!AF12*FN$4</f>
        <v>5499.2867999999999</v>
      </c>
      <c r="FL13" s="593">
        <f>'Proy 2022 vs 2019 sem'!AG12*FN$4</f>
        <v>4839.3723839999993</v>
      </c>
      <c r="FM13" s="699"/>
      <c r="FN13" s="700">
        <f>FM13/FK13</f>
        <v>0</v>
      </c>
      <c r="FO13" s="593">
        <f>'Proy 2022 vs 2019 sem'!AF12*FR$4</f>
        <v>5499.2867999999999</v>
      </c>
      <c r="FP13" s="593">
        <f>'Proy 2022 vs 2019 sem'!AG12*FR$4</f>
        <v>4839.3723839999993</v>
      </c>
      <c r="FQ13" s="699"/>
      <c r="FR13" s="700">
        <f>FQ13/FO13</f>
        <v>0</v>
      </c>
      <c r="FS13" s="593">
        <f>'Proy 2022 vs 2019 sem'!AF12*FV$4</f>
        <v>5499.2867999999999</v>
      </c>
      <c r="FT13" s="593">
        <f>'Proy 2022 vs 2019 sem'!AG12*FV$4</f>
        <v>4839.3723839999993</v>
      </c>
      <c r="FU13" s="699"/>
      <c r="FV13" s="700">
        <f>FU13/FS13</f>
        <v>0</v>
      </c>
      <c r="FW13" s="593">
        <f>'Proy 2022 vs 2019 sem'!AF12*FZ$4</f>
        <v>6415.8346000000001</v>
      </c>
      <c r="FX13" s="593">
        <f>'Proy 2022 vs 2019 sem'!AG12*FZ$4</f>
        <v>5645.934448</v>
      </c>
      <c r="FY13" s="699"/>
      <c r="FZ13" s="700">
        <f>FY13/FW13</f>
        <v>0</v>
      </c>
      <c r="GA13" s="593">
        <f>'Proy 2022 vs 2019 sem'!AF12*GD$4</f>
        <v>7332.3824000000004</v>
      </c>
      <c r="GB13" s="593">
        <f>'Proy 2022 vs 2019 sem'!AG12*GD$4</f>
        <v>6452.4965119999997</v>
      </c>
      <c r="GC13" s="699"/>
      <c r="GD13" s="700">
        <f>GC13/GA13</f>
        <v>0</v>
      </c>
      <c r="GE13" s="593">
        <f>'Proy 2022 vs 2019 sem'!AF12*GH$4</f>
        <v>10082.025799999999</v>
      </c>
      <c r="GF13" s="593">
        <f>'Proy 2022 vs 2019 sem'!AG12*GH$4</f>
        <v>8872.1827039999989</v>
      </c>
      <c r="GG13" s="699"/>
      <c r="GH13" s="700">
        <f>GG13/GE13</f>
        <v>0</v>
      </c>
      <c r="GI13" s="579">
        <f>FG13+FK13+FO13+FS13+FW13+GA13+GE13</f>
        <v>45827.39</v>
      </c>
      <c r="GJ13" s="574">
        <f>FH13+FL13+FP13+FT13+FX13+GB13+GF13</f>
        <v>40328.103199999998</v>
      </c>
      <c r="GK13" s="794">
        <f>FI13+FM13+FQ13+FU13+FY13+GC13+GG13</f>
        <v>0</v>
      </c>
      <c r="GL13" s="786">
        <f>GK13/GI13</f>
        <v>0</v>
      </c>
      <c r="GM13" s="593">
        <f>'Proy 2022 vs 2019 sem'!AK12*GP$4</f>
        <v>4215.03</v>
      </c>
      <c r="GN13" s="593">
        <f>'Proy 2022 vs 2019 sem'!AL12*GP$4</f>
        <v>3835.6772999999998</v>
      </c>
      <c r="GO13" s="699"/>
      <c r="GP13" s="700">
        <f>GO13/GM13</f>
        <v>0</v>
      </c>
      <c r="GQ13" s="593">
        <f>'Proy 2022 vs 2019 sem'!AK12*GT$4</f>
        <v>4215.03</v>
      </c>
      <c r="GR13" s="593">
        <f>'Proy 2022 vs 2019 sem'!AL12*GT$4</f>
        <v>3835.6772999999998</v>
      </c>
      <c r="GS13" s="699"/>
      <c r="GT13" s="700">
        <f>GS13/GQ13</f>
        <v>0</v>
      </c>
      <c r="GU13" s="593">
        <f>'Proy 2022 vs 2019 sem'!AK12*GX$4</f>
        <v>4215.03</v>
      </c>
      <c r="GV13" s="593">
        <f>'Proy 2022 vs 2019 sem'!AL12*GX$4</f>
        <v>3835.6772999999998</v>
      </c>
      <c r="GW13" s="699"/>
      <c r="GX13" s="700">
        <f>GW13/GU13</f>
        <v>0</v>
      </c>
      <c r="GY13" s="593">
        <f>'Proy 2022 vs 2019 sem'!AK12*HB$4</f>
        <v>4215.03</v>
      </c>
      <c r="GZ13" s="593">
        <f>'Proy 2022 vs 2019 sem'!AL12*HB$4</f>
        <v>3835.6772999999998</v>
      </c>
      <c r="HA13" s="699"/>
      <c r="HB13" s="700">
        <f>HA13/GY13</f>
        <v>0</v>
      </c>
      <c r="HC13" s="593">
        <f>'Proy 2022 vs 2019 sem'!AK12*HF$4</f>
        <v>4917.5350000000008</v>
      </c>
      <c r="HD13" s="593">
        <f>'Proy 2022 vs 2019 sem'!AL12*HF$4</f>
        <v>4474.9568500000005</v>
      </c>
      <c r="HE13" s="699"/>
      <c r="HF13" s="700">
        <f>HE13/HC13</f>
        <v>0</v>
      </c>
      <c r="HG13" s="593">
        <f>'Proy 2022 vs 2019 sem'!AK12*HJ$4</f>
        <v>5620.04</v>
      </c>
      <c r="HH13" s="593">
        <f>'Proy 2022 vs 2019 sem'!AL12*HJ$4</f>
        <v>5114.2364000000007</v>
      </c>
      <c r="HI13" s="699"/>
      <c r="HJ13" s="700">
        <f>HI13/HG13</f>
        <v>0</v>
      </c>
      <c r="HK13" s="593">
        <f>'Proy 2022 vs 2019 sem'!AK12*HN$4</f>
        <v>7727.5550000000003</v>
      </c>
      <c r="HL13" s="593">
        <f>'Proy 2022 vs 2019 sem'!AL12*HN$4</f>
        <v>7032.0750500000004</v>
      </c>
      <c r="HM13" s="699"/>
      <c r="HN13" s="700">
        <f>HM13/HK13</f>
        <v>0</v>
      </c>
      <c r="HO13" s="579">
        <f>GM13+GQ13+GU13+GY13+HC13+HG13+HK13</f>
        <v>35125.25</v>
      </c>
      <c r="HP13" s="574">
        <f>GN13+GR13+GV13+GZ13+HD13+HH13+HL13</f>
        <v>31963.977500000001</v>
      </c>
      <c r="HQ13" s="794">
        <f>GO13+GS13+GW13+HA13+HE13+HI13+HM13</f>
        <v>0</v>
      </c>
      <c r="HR13" s="786">
        <f>HQ13/HO13</f>
        <v>0</v>
      </c>
      <c r="HS13" s="593">
        <f>'Proy 2022 vs 2019 sem'!AK12*HV$4</f>
        <v>4215.03</v>
      </c>
      <c r="HT13" s="593">
        <f>'Proy 2022 vs 2019 sem'!AL12*HV$4</f>
        <v>3835.6772999999998</v>
      </c>
      <c r="HU13" s="699"/>
      <c r="HV13" s="700">
        <f>HU13/HS13</f>
        <v>0</v>
      </c>
      <c r="HW13" s="593">
        <f>'Proy 2022 vs 2019 sem'!AK12*HZ$4</f>
        <v>4215.03</v>
      </c>
      <c r="HX13" s="593">
        <f>'Proy 2022 vs 2019 sem'!AL12*HZ$4</f>
        <v>3835.6772999999998</v>
      </c>
      <c r="HY13" s="699"/>
      <c r="HZ13" s="700">
        <f>HY13/HW13</f>
        <v>0</v>
      </c>
      <c r="IA13" s="593">
        <f>'Proy 2022 vs 2019 sem'!AK12*ID$4</f>
        <v>4215.03</v>
      </c>
      <c r="IB13" s="593">
        <f>'Proy 2022 vs 2019 sem'!AL12*ID$4</f>
        <v>3835.6772999999998</v>
      </c>
      <c r="IC13" s="699"/>
      <c r="ID13" s="700">
        <f>IC13/IA13</f>
        <v>0</v>
      </c>
      <c r="IE13" s="593">
        <f>'Proy 2022 vs 2019 sem'!AK12*IH$4</f>
        <v>4215.03</v>
      </c>
      <c r="IF13" s="593">
        <f>'Proy 2022 vs 2019 sem'!AL12*IH$4</f>
        <v>3835.6772999999998</v>
      </c>
      <c r="IG13" s="699"/>
      <c r="IH13" s="700">
        <f>IG13/IE13</f>
        <v>0</v>
      </c>
      <c r="II13" s="593">
        <f>'Proy 2022 vs 2019 sem'!AK12*IL$4</f>
        <v>4917.5350000000008</v>
      </c>
      <c r="IJ13" s="593">
        <f>'Proy 2022 vs 2019 sem'!AL12*IL$4</f>
        <v>4474.9568500000005</v>
      </c>
      <c r="IK13" s="699"/>
      <c r="IL13" s="700">
        <f>IK13/II13</f>
        <v>0</v>
      </c>
      <c r="IM13" s="593">
        <f>'Proy 2022 vs 2019 sem'!AK12*IP$4</f>
        <v>5620.04</v>
      </c>
      <c r="IN13" s="593">
        <f>'Proy 2022 vs 2019 sem'!AL12*IP$4</f>
        <v>5114.2364000000007</v>
      </c>
      <c r="IO13" s="699"/>
      <c r="IP13" s="700">
        <f>IO13/IM13</f>
        <v>0</v>
      </c>
      <c r="IQ13" s="593">
        <f>'Proy 2022 vs 2019 sem'!AK12*IT$4</f>
        <v>7727.5550000000003</v>
      </c>
      <c r="IR13" s="593">
        <f>'Proy 2022 vs 2019 sem'!AL12*IT$4</f>
        <v>7032.0750500000004</v>
      </c>
      <c r="IS13" s="699"/>
      <c r="IT13" s="700">
        <f>IS13/IQ13</f>
        <v>0</v>
      </c>
      <c r="IU13" s="579">
        <f>HS13+HW13+IA13+IE13+II13+IM13+IQ13</f>
        <v>35125.25</v>
      </c>
      <c r="IV13" s="574">
        <f>HT13+HX13+IB13+IF13+IJ13+IN13+IR13</f>
        <v>31963.977500000001</v>
      </c>
      <c r="IW13" s="785">
        <f>HU13+HY13+IC13+IG13+IK13+IO13+IS13</f>
        <v>0</v>
      </c>
      <c r="IX13" s="786">
        <f>IW13/IU13</f>
        <v>0</v>
      </c>
      <c r="IY13" s="593">
        <f>'Proy 2022 vs 2019 sem'!AY12*JB$4</f>
        <v>4907.192399999999</v>
      </c>
      <c r="IZ13" s="593">
        <f>'Proy 2022 vs 2019 sem'!AZ12*JB$4</f>
        <v>4367.4012359999988</v>
      </c>
      <c r="JA13" s="735"/>
      <c r="JB13" s="700">
        <f>JA13/IY13</f>
        <v>0</v>
      </c>
      <c r="JC13" s="593">
        <f>'Proy 2022 vs 2019 sem'!AY12*JF$4</f>
        <v>4907.192399999999</v>
      </c>
      <c r="JD13" s="593">
        <f>'Proy 2022 vs 2019 sem'!AZ12*JF$4</f>
        <v>4367.4012359999988</v>
      </c>
      <c r="JE13" s="735"/>
      <c r="JF13" s="700">
        <f>JE13/JC13</f>
        <v>0</v>
      </c>
      <c r="JG13" s="593">
        <f>'Proy 2022 vs 2019 sem'!AY12*JJ$4</f>
        <v>4907.192399999999</v>
      </c>
      <c r="JH13" s="593">
        <f>'Proy 2022 vs 2019 sem'!AZ12*JJ$4</f>
        <v>4367.4012359999988</v>
      </c>
      <c r="JI13" s="735"/>
      <c r="JJ13" s="700">
        <f>JI13/JG13</f>
        <v>0</v>
      </c>
      <c r="JK13" s="593">
        <f>'Proy 2022 vs 2019 sem'!AY12*JN$4</f>
        <v>4907.192399999999</v>
      </c>
      <c r="JL13" s="593">
        <f>'Proy 2022 vs 2019 sem'!AZ12*JN$4</f>
        <v>4367.4012359999988</v>
      </c>
      <c r="JM13" s="735"/>
      <c r="JN13" s="700">
        <f>JM13/JK13</f>
        <v>0</v>
      </c>
      <c r="JO13" s="593">
        <f>'Proy 2022 vs 2019 sem'!AY12*JR$4</f>
        <v>5725.0578000000005</v>
      </c>
      <c r="JP13" s="593">
        <f>'Proy 2022 vs 2019 sem'!AZ12*JR$4</f>
        <v>5095.301442</v>
      </c>
      <c r="JQ13" s="735"/>
      <c r="JR13" s="700">
        <f>JQ13/JO13</f>
        <v>0</v>
      </c>
      <c r="JS13" s="593">
        <f>'Proy 2022 vs 2019 sem'!AY12*JV$4</f>
        <v>6542.9231999999993</v>
      </c>
      <c r="JT13" s="593">
        <f>'Proy 2022 vs 2019 sem'!AZ12*JV$4</f>
        <v>5823.2016479999993</v>
      </c>
      <c r="JU13" s="735"/>
      <c r="JV13" s="700">
        <f>JU13/JS13</f>
        <v>0</v>
      </c>
      <c r="JW13" s="593">
        <f>'Proy 2022 vs 2019 sem'!AY12*JZ$4</f>
        <v>8996.5193999999992</v>
      </c>
      <c r="JX13" s="593">
        <f>'Proy 2022 vs 2019 sem'!AZ12*JZ$4</f>
        <v>8006.9022659999991</v>
      </c>
      <c r="JY13" s="735"/>
      <c r="JZ13" s="700">
        <f>JY13/JW13</f>
        <v>0</v>
      </c>
      <c r="KA13" s="579">
        <f>IY13+JC13+JG13+JK13+JO13+JS13+JW13</f>
        <v>40893.26999999999</v>
      </c>
      <c r="KB13" s="574">
        <f>IZ13+JD13+JH13+JL13+JP13+JT13+JX13</f>
        <v>36395.010299999994</v>
      </c>
      <c r="KC13" s="729">
        <f>JA13+JE13+JI13+JM13+JQ13+JU13+JY13</f>
        <v>0</v>
      </c>
      <c r="KD13" s="711">
        <f>KC13/KA13</f>
        <v>0</v>
      </c>
      <c r="KE13" s="593">
        <f>'Proy 2022 vs 2019 sem'!BD12*KH$4</f>
        <v>5453.6399999999994</v>
      </c>
      <c r="KF13" s="593">
        <f>'Proy 2022 vs 2019 sem'!BE12*KH$4</f>
        <v>4853.7395999999999</v>
      </c>
      <c r="KG13" s="699"/>
      <c r="KH13" s="700">
        <f>KG13/KE13</f>
        <v>0</v>
      </c>
      <c r="KI13" s="593">
        <f>'Proy 2022 vs 2019 sem'!BD12*KL$4</f>
        <v>5453.6399999999994</v>
      </c>
      <c r="KJ13" s="593">
        <f>'Proy 2022 vs 2019 sem'!BE12*KL$4</f>
        <v>4853.7395999999999</v>
      </c>
      <c r="KK13" s="699"/>
      <c r="KL13" s="700">
        <f>KK13/KI13</f>
        <v>0</v>
      </c>
      <c r="KM13" s="593">
        <f>'Proy 2022 vs 2019 sem'!BD12*KP$4</f>
        <v>5453.6399999999994</v>
      </c>
      <c r="KN13" s="593">
        <f>'Proy 2022 vs 2019 sem'!BE12*KP$4</f>
        <v>4853.7395999999999</v>
      </c>
      <c r="KO13" s="699"/>
      <c r="KP13" s="700">
        <f>KO13/KM13</f>
        <v>0</v>
      </c>
      <c r="KQ13" s="593">
        <f>'Proy 2022 vs 2019 sem'!BD12*KT$4</f>
        <v>5453.6399999999994</v>
      </c>
      <c r="KR13" s="593">
        <f>'Proy 2022 vs 2019 sem'!BE12*KT$4</f>
        <v>4853.7395999999999</v>
      </c>
      <c r="KS13" s="699"/>
      <c r="KT13" s="700">
        <f>KS13/KQ13</f>
        <v>0</v>
      </c>
      <c r="KU13" s="593">
        <f>'Proy 2022 vs 2019 sem'!BD12*KX$4</f>
        <v>6362.5800000000008</v>
      </c>
      <c r="KV13" s="593">
        <f>'Proy 2022 vs 2019 sem'!BE12*KX$4</f>
        <v>5662.6962000000012</v>
      </c>
      <c r="KW13" s="699"/>
      <c r="KX13" s="700">
        <f>KW13/KU13</f>
        <v>0</v>
      </c>
      <c r="KY13" s="593">
        <f>'Proy 2022 vs 2019 sem'!BD12*LB$4</f>
        <v>7271.52</v>
      </c>
      <c r="KZ13" s="593">
        <f>'Proy 2022 vs 2019 sem'!BE12*LB$4</f>
        <v>6471.6528000000008</v>
      </c>
      <c r="LA13" s="699"/>
      <c r="LB13" s="700">
        <f>LA13/KY13</f>
        <v>0</v>
      </c>
      <c r="LC13" s="593">
        <f>'Proy 2022 vs 2019 sem'!BD12*LF$4</f>
        <v>9998.34</v>
      </c>
      <c r="LD13" s="593">
        <f>'Proy 2022 vs 2019 sem'!BE12*LF$4</f>
        <v>8898.5226000000002</v>
      </c>
      <c r="LE13" s="699"/>
      <c r="LF13" s="700">
        <f>LE13/LC13</f>
        <v>0</v>
      </c>
      <c r="LG13" s="579">
        <f>KE13+KI13+KM13+KQ13+KU13+KY13+LC13</f>
        <v>45447</v>
      </c>
      <c r="LH13" s="574">
        <f>KF13+KJ13+KN13+KR13+KV13+KZ13+LD13</f>
        <v>40447.83</v>
      </c>
      <c r="LI13" s="730">
        <f>KG13+KK13+KO13+KS13+KW13+LA13+LE13</f>
        <v>0</v>
      </c>
      <c r="LJ13" s="711">
        <f>LI13/LG13</f>
        <v>0</v>
      </c>
      <c r="LK13" s="593">
        <f>'Proy 2022 vs 2019 sem'!BI12*LN$4</f>
        <v>5821.1580000000004</v>
      </c>
      <c r="LL13" s="593">
        <f>'Proy 2022 vs 2019 sem'!BJ12*LN$4</f>
        <v>5180.8306200000006</v>
      </c>
      <c r="LM13" s="699"/>
      <c r="LN13" s="700">
        <f>LM13/LK13</f>
        <v>0</v>
      </c>
      <c r="LO13" s="593">
        <f>'Proy 2022 vs 2019 sem'!BI12*LR$4</f>
        <v>5821.1580000000004</v>
      </c>
      <c r="LP13" s="593">
        <f>'Proy 2022 vs 2019 sem'!BJ12*LR$4</f>
        <v>5180.8306200000006</v>
      </c>
      <c r="LQ13" s="699"/>
      <c r="LR13" s="700">
        <f>LQ13/LO13</f>
        <v>0</v>
      </c>
      <c r="LS13" s="593">
        <f>'Proy 2022 vs 2019 sem'!BI12*LV$4</f>
        <v>5821.1580000000004</v>
      </c>
      <c r="LT13" s="593">
        <f>'Proy 2022 vs 2019 sem'!BJ12*LV$4</f>
        <v>5180.8306200000006</v>
      </c>
      <c r="LU13" s="699"/>
      <c r="LV13" s="700">
        <f>LU13/LS13</f>
        <v>0</v>
      </c>
      <c r="LW13" s="593">
        <f>'Proy 2022 vs 2019 sem'!BI12*LZ$4</f>
        <v>5821.1580000000004</v>
      </c>
      <c r="LX13" s="593">
        <f>'Proy 2022 vs 2019 sem'!BJ12*LZ$4</f>
        <v>5180.8306200000006</v>
      </c>
      <c r="LY13" s="699"/>
      <c r="LZ13" s="700">
        <f>LY13/LW13</f>
        <v>0</v>
      </c>
      <c r="MA13" s="593">
        <f>'Proy 2022 vs 2019 sem'!BI12*MD$4</f>
        <v>6791.3510000000006</v>
      </c>
      <c r="MB13" s="593">
        <f>'Proy 2022 vs 2019 sem'!BJ12*MD$4</f>
        <v>6044.3023900000017</v>
      </c>
      <c r="MC13" s="699"/>
      <c r="MD13" s="700">
        <f>MC13/MA13</f>
        <v>0</v>
      </c>
      <c r="ME13" s="593">
        <f>'Proy 2022 vs 2019 sem'!BI12*MH$4</f>
        <v>7761.5440000000008</v>
      </c>
      <c r="MF13" s="593">
        <f>'Proy 2022 vs 2019 sem'!BJ12*MH$4</f>
        <v>6907.7741600000008</v>
      </c>
      <c r="MG13" s="699"/>
      <c r="MH13" s="700">
        <f>MG13/ME13</f>
        <v>0</v>
      </c>
      <c r="MI13" s="593">
        <f>'Proy 2022 vs 2019 sem'!BI12*ML$4</f>
        <v>10672.123</v>
      </c>
      <c r="MJ13" s="593">
        <f>'Proy 2022 vs 2019 sem'!BJ12*ML$4</f>
        <v>9498.1894700000012</v>
      </c>
      <c r="MK13" s="699"/>
      <c r="ML13" s="700">
        <f>MK13/MI13</f>
        <v>0</v>
      </c>
      <c r="MM13" s="579">
        <f>LK13+LO13+LS13+LW13+MA13+ME13+MI13</f>
        <v>48509.65</v>
      </c>
      <c r="MN13" s="574">
        <f>LL13+LP13+LT13+LX13+MB13+MF13+MJ13</f>
        <v>43173.588499999998</v>
      </c>
      <c r="MO13" s="730">
        <f>LM13+LQ13+LU13+LY13+MC13+MG13+MK13</f>
        <v>0</v>
      </c>
      <c r="MP13" s="711">
        <f>MO13/MM13</f>
        <v>0</v>
      </c>
      <c r="MQ13" s="593">
        <f>'Proy 2022 vs 2019 sem'!BN12*MT$4</f>
        <v>5054.3819999999996</v>
      </c>
      <c r="MR13" s="593">
        <f>'Proy 2022 vs 2019 sem'!BO12*MT$4</f>
        <v>4397.3123400000004</v>
      </c>
      <c r="MS13" s="699"/>
      <c r="MT13" s="700">
        <f>MS13/MQ13</f>
        <v>0</v>
      </c>
      <c r="MU13" s="593">
        <f>'Proy 2022 vs 2019 sem'!BN12*MX$4</f>
        <v>5054.3819999999996</v>
      </c>
      <c r="MV13" s="593">
        <f>'Proy 2022 vs 2019 sem'!BO12*MX$4</f>
        <v>4397.3123400000004</v>
      </c>
      <c r="MW13" s="699"/>
      <c r="MX13" s="700">
        <f>MW13/MU13</f>
        <v>0</v>
      </c>
      <c r="MY13" s="593">
        <f>'Proy 2022 vs 2019 sem'!BN12*NB$4</f>
        <v>5054.3819999999996</v>
      </c>
      <c r="MZ13" s="593">
        <f>'Proy 2022 vs 2019 sem'!BO12*NB$4</f>
        <v>4397.3123400000004</v>
      </c>
      <c r="NA13" s="699"/>
      <c r="NB13" s="700">
        <f>NA13/MY13</f>
        <v>0</v>
      </c>
      <c r="NC13" s="593">
        <f>'Proy 2022 vs 2019 sem'!BN12*NF$4</f>
        <v>5054.3819999999996</v>
      </c>
      <c r="ND13" s="593">
        <f>'Proy 2022 vs 2019 sem'!BO12*NF$4</f>
        <v>4397.3123400000004</v>
      </c>
      <c r="NE13" s="699"/>
      <c r="NF13" s="700">
        <f>NE13/NC13</f>
        <v>0</v>
      </c>
      <c r="NG13" s="593">
        <f>'Proy 2022 vs 2019 sem'!BN12*NJ$4</f>
        <v>5896.7790000000005</v>
      </c>
      <c r="NH13" s="593">
        <f>'Proy 2022 vs 2019 sem'!BO12*NJ$4</f>
        <v>5130.1977300000008</v>
      </c>
      <c r="NI13" s="699"/>
      <c r="NJ13" s="700">
        <f>NI13/NG13</f>
        <v>0</v>
      </c>
      <c r="NK13" s="593">
        <f>'Proy 2022 vs 2019 sem'!BN12*NN$4</f>
        <v>6739.1759999999995</v>
      </c>
      <c r="NL13" s="593">
        <f>'Proy 2022 vs 2019 sem'!BO12*NN$4</f>
        <v>5863.0831200000002</v>
      </c>
      <c r="NM13" s="699"/>
      <c r="NN13" s="700">
        <f>NM13/NK13</f>
        <v>0</v>
      </c>
      <c r="NO13" s="593">
        <f>'Proy 2022 vs 2019 sem'!BN12*NR$4</f>
        <v>9266.3670000000002</v>
      </c>
      <c r="NP13" s="593">
        <f>'Proy 2022 vs 2019 sem'!BO12*NR$4</f>
        <v>8061.7392900000004</v>
      </c>
      <c r="NQ13" s="699"/>
      <c r="NR13" s="700">
        <f>NQ13/NO13</f>
        <v>0</v>
      </c>
      <c r="NS13" s="579">
        <f>MQ13+MU13+MY13+NC13+NG13+NK13+NO13</f>
        <v>42119.85</v>
      </c>
      <c r="NT13" s="574">
        <f>MR13+MV13+MZ13+ND13+NH13+NL13+NP13</f>
        <v>36644.269500000002</v>
      </c>
      <c r="NU13" s="710">
        <f>MS13+MW13+NA13+NE13+NI13+NM13+NQ13</f>
        <v>0</v>
      </c>
      <c r="NV13" s="711">
        <f>NU13/NS13</f>
        <v>0</v>
      </c>
      <c r="NW13" s="593">
        <f>'Proy 2022 vs 2019 sem'!BS12*NZ$4</f>
        <v>6012.4607999999989</v>
      </c>
      <c r="NX13" s="593">
        <f>'Proy 2022 vs 2019 sem'!BT12*NZ$4</f>
        <v>5351.0901119999999</v>
      </c>
      <c r="NY13" s="699"/>
      <c r="NZ13" s="700">
        <f>NY13/NW13</f>
        <v>0</v>
      </c>
      <c r="OA13" s="593">
        <f>'Proy 2022 vs 2019 sem'!BS12*OD$4</f>
        <v>6012.4607999999989</v>
      </c>
      <c r="OB13" s="593">
        <f>'Proy 2022 vs 2019 sem'!BT12*OD$4</f>
        <v>5351.0901119999999</v>
      </c>
      <c r="OC13" s="699"/>
      <c r="OD13" s="700">
        <f>OC13/OA13</f>
        <v>0</v>
      </c>
      <c r="OE13" s="593">
        <f>'Proy 2022 vs 2019 sem'!BS12*OH$4</f>
        <v>6012.4607999999989</v>
      </c>
      <c r="OF13" s="593">
        <f>'Proy 2022 vs 2019 sem'!BT12*OH$4</f>
        <v>5351.0901119999999</v>
      </c>
      <c r="OG13" s="699"/>
      <c r="OH13" s="700">
        <f>OG13/OE13</f>
        <v>0</v>
      </c>
      <c r="OI13" s="593">
        <f>'Proy 2022 vs 2019 sem'!BS12*OL$4</f>
        <v>6012.4607999999989</v>
      </c>
      <c r="OJ13" s="593">
        <f>'Proy 2022 vs 2019 sem'!BT12*OL$4</f>
        <v>5351.0901119999999</v>
      </c>
      <c r="OK13" s="699"/>
      <c r="OL13" s="700">
        <f>OK13/OI13</f>
        <v>0</v>
      </c>
      <c r="OM13" s="593">
        <f>'Proy 2022 vs 2019 sem'!BS12*OP$4</f>
        <v>7014.5376000000006</v>
      </c>
      <c r="ON13" s="593">
        <f>'Proy 2022 vs 2019 sem'!BT12*OP$4</f>
        <v>6242.9384640000007</v>
      </c>
      <c r="OO13" s="699"/>
      <c r="OP13" s="700">
        <f>OO13/OM13</f>
        <v>0</v>
      </c>
      <c r="OQ13" s="593">
        <f>'Proy 2022 vs 2019 sem'!BS12*OT$4</f>
        <v>8016.6143999999995</v>
      </c>
      <c r="OR13" s="593">
        <f>'Proy 2022 vs 2019 sem'!BT12*OT$4</f>
        <v>7134.7868159999998</v>
      </c>
      <c r="OS13" s="699"/>
      <c r="OT13" s="700">
        <f>OS13/OQ13</f>
        <v>0</v>
      </c>
      <c r="OU13" s="593">
        <f>'Proy 2022 vs 2019 sem'!BS12*OX$4</f>
        <v>11022.844799999999</v>
      </c>
      <c r="OV13" s="593">
        <f>'Proy 2022 vs 2019 sem'!BT12*OX$4</f>
        <v>9810.3318720000007</v>
      </c>
      <c r="OW13" s="699"/>
      <c r="OX13" s="700">
        <f>OW13/OU13</f>
        <v>0</v>
      </c>
      <c r="OY13" s="579">
        <f>NW13+OA13+OE13+OI13+OM13+OQ13+OU13</f>
        <v>50103.839999999997</v>
      </c>
      <c r="OZ13" s="574">
        <f>NX13+OB13+OF13+OJ13+ON13+OR13+OV13</f>
        <v>44592.417600000001</v>
      </c>
      <c r="PA13" s="710">
        <f>NY13+OC13+OG13+OK13+OO13+OS13+OW13</f>
        <v>0</v>
      </c>
      <c r="PB13" s="711">
        <f>PA13/OY13</f>
        <v>0</v>
      </c>
      <c r="PC13" s="593">
        <f>'Proy 2022 vs 2019 sem'!CB12*PF$4</f>
        <v>6830.9603999999999</v>
      </c>
      <c r="PD13" s="593">
        <f>'Proy 2022 vs 2019 sem'!CC12*PF$4</f>
        <v>6079.5547559999995</v>
      </c>
      <c r="PE13" s="735"/>
      <c r="PF13" s="700">
        <f>PE13/PC13</f>
        <v>0</v>
      </c>
      <c r="PG13" s="593">
        <f>'Proy 2022 vs 2019 sem'!CB12*PJ$4</f>
        <v>6830.9603999999999</v>
      </c>
      <c r="PH13" s="593">
        <f>'Proy 2022 vs 2019 sem'!CC12*PJ$4</f>
        <v>6079.5547559999995</v>
      </c>
      <c r="PI13" s="699"/>
      <c r="PJ13" s="700">
        <f>PI13/PG13</f>
        <v>0</v>
      </c>
      <c r="PK13" s="593">
        <f>'Proy 2022 vs 2019 sem'!CB12*PN$4</f>
        <v>6830.9603999999999</v>
      </c>
      <c r="PL13" s="593">
        <f>'Proy 2022 vs 2019 sem'!CC12*PN$4</f>
        <v>6079.5547559999995</v>
      </c>
      <c r="PM13" s="699"/>
      <c r="PN13" s="700">
        <f>PM13/PK13</f>
        <v>0</v>
      </c>
      <c r="PO13" s="593">
        <f>'Proy 2022 vs 2019 sem'!CB12*PR$4</f>
        <v>6830.9603999999999</v>
      </c>
      <c r="PP13" s="593">
        <f>'Proy 2022 vs 2019 sem'!CC12*PR$4</f>
        <v>6079.5547559999995</v>
      </c>
      <c r="PQ13" s="699"/>
      <c r="PR13" s="700">
        <f>PQ13/PO13</f>
        <v>0</v>
      </c>
      <c r="PS13" s="593">
        <f>'Proy 2022 vs 2019 sem'!CB12*PV$4</f>
        <v>7969.4538000000002</v>
      </c>
      <c r="PT13" s="593">
        <f>'Proy 2022 vs 2019 sem'!CC12*PV$4</f>
        <v>7092.8138820000004</v>
      </c>
      <c r="PU13" s="699"/>
      <c r="PV13" s="700">
        <f>PU13/PS13</f>
        <v>0</v>
      </c>
      <c r="PW13" s="593">
        <f>'Proy 2022 vs 2019 sem'!CB12*PZ$4</f>
        <v>9107.9472000000005</v>
      </c>
      <c r="PX13" s="593">
        <f>'Proy 2022 vs 2019 sem'!CC12*PZ$4</f>
        <v>8106.0730080000003</v>
      </c>
      <c r="PY13" s="699"/>
      <c r="PZ13" s="700">
        <f>PY13/PW13</f>
        <v>0</v>
      </c>
      <c r="QA13" s="593">
        <f>'Proy 2022 vs 2019 sem'!CB12*QD$4</f>
        <v>12523.4274</v>
      </c>
      <c r="QB13" s="593">
        <f>'Proy 2022 vs 2019 sem'!CC12*QD$4</f>
        <v>11145.850386</v>
      </c>
      <c r="QC13" s="699"/>
      <c r="QD13" s="700">
        <f>QC13/QA13</f>
        <v>0</v>
      </c>
      <c r="QE13" s="579">
        <f>PC13+PG13+PK13+PO13+PS13+PW13+QA13</f>
        <v>56924.670000000006</v>
      </c>
      <c r="QF13" s="574">
        <f>PD13+PH13+PL13+PP13+PT13+PX13+QB13</f>
        <v>50662.956299999998</v>
      </c>
      <c r="QG13" s="793">
        <f>PE13+PI13+PM13+PQ13+PU13+PY13+QC13</f>
        <v>0</v>
      </c>
      <c r="QH13" s="786">
        <f>QG13/QE13</f>
        <v>0</v>
      </c>
      <c r="QI13" s="593">
        <f>'Proy 2022 vs 2019 sem'!CG12*QL$4</f>
        <v>5082.4236000000001</v>
      </c>
      <c r="QJ13" s="593">
        <f>'Proy 2022 vs 2019 sem'!CH12*QL$4</f>
        <v>4574.1812399999999</v>
      </c>
      <c r="QK13" s="699"/>
      <c r="QL13" s="700">
        <f>QK13/QI13</f>
        <v>0</v>
      </c>
      <c r="QM13" s="593">
        <f>'Proy 2022 vs 2019 sem'!CG12*QP$4</f>
        <v>5082.4236000000001</v>
      </c>
      <c r="QN13" s="593">
        <f>'Proy 2022 vs 2019 sem'!CH12*QP$4</f>
        <v>4574.1812399999999</v>
      </c>
      <c r="QO13" s="699"/>
      <c r="QP13" s="700">
        <f>QO13/QM13</f>
        <v>0</v>
      </c>
      <c r="QQ13" s="593">
        <f>'Proy 2022 vs 2019 sem'!CG12*QT$4</f>
        <v>5082.4236000000001</v>
      </c>
      <c r="QR13" s="593">
        <f>'Proy 2022 vs 2019 sem'!CH12*QT$4</f>
        <v>4574.1812399999999</v>
      </c>
      <c r="QS13" s="699"/>
      <c r="QT13" s="700">
        <f>QS13/QQ13</f>
        <v>0</v>
      </c>
      <c r="QU13" s="593">
        <f>'Proy 2022 vs 2019 sem'!CG12*QX$4</f>
        <v>5082.4236000000001</v>
      </c>
      <c r="QV13" s="593">
        <f>'Proy 2022 vs 2019 sem'!CH12*QX$4</f>
        <v>4574.1812399999999</v>
      </c>
      <c r="QW13" s="699"/>
      <c r="QX13" s="700">
        <f>QW13/QU13</f>
        <v>0</v>
      </c>
      <c r="QY13" s="593">
        <f>'Proy 2022 vs 2019 sem'!CG12*RB$4</f>
        <v>5929.4942000000001</v>
      </c>
      <c r="QZ13" s="593">
        <f>'Proy 2022 vs 2019 sem'!CH12*RB$4</f>
        <v>5336.5447800000011</v>
      </c>
      <c r="RA13" s="699"/>
      <c r="RB13" s="700">
        <f>RA13/QY13</f>
        <v>0</v>
      </c>
      <c r="RC13" s="593">
        <f>'Proy 2022 vs 2019 sem'!CG12*RF$4</f>
        <v>6776.5648000000001</v>
      </c>
      <c r="RD13" s="593">
        <f>'Proy 2022 vs 2019 sem'!CH12*RF$4</f>
        <v>6098.9083200000005</v>
      </c>
      <c r="RE13" s="699"/>
      <c r="RF13" s="700">
        <f>RE13/RC13</f>
        <v>0</v>
      </c>
      <c r="RG13" s="593">
        <f>'Proy 2022 vs 2019 sem'!CG12*RJ$4</f>
        <v>9317.7765999999992</v>
      </c>
      <c r="RH13" s="593">
        <f>'Proy 2022 vs 2019 sem'!CH12*RJ$4</f>
        <v>8385.9989400000013</v>
      </c>
      <c r="RI13" s="699"/>
      <c r="RJ13" s="700">
        <f>RI13/RG13</f>
        <v>0</v>
      </c>
      <c r="RK13" s="579">
        <f>QI13+QM13+QQ13+QU13+QY13+RC13+RG13</f>
        <v>42353.53</v>
      </c>
      <c r="RL13" s="574">
        <f>QJ13+QN13+QR13+QV13+QZ13+RD13+RH13</f>
        <v>38118.176999999996</v>
      </c>
      <c r="RM13" s="794">
        <f>QK13+QO13+QS13+QW13+RA13+RE13+RI13</f>
        <v>0</v>
      </c>
      <c r="RN13" s="786">
        <f>RM13/RK13</f>
        <v>0</v>
      </c>
      <c r="RO13" s="593">
        <f>'Proy 2022 vs 2019 sem'!CL12*RR$4</f>
        <v>5280.9611999999997</v>
      </c>
      <c r="RP13" s="593">
        <f>'Proy 2022 vs 2019 sem'!CM12*RR$4</f>
        <v>4752.8650800000005</v>
      </c>
      <c r="RQ13" s="699"/>
      <c r="RR13" s="700">
        <f>RQ13/RO13</f>
        <v>0</v>
      </c>
      <c r="RS13" s="593">
        <f>'Proy 2022 vs 2019 sem'!CL12*RV$4</f>
        <v>5280.9611999999997</v>
      </c>
      <c r="RT13" s="593">
        <f>'Proy 2022 vs 2019 sem'!CM12*RV$4</f>
        <v>4752.8650800000005</v>
      </c>
      <c r="RU13" s="699"/>
      <c r="RV13" s="700">
        <f>RU13/RS13</f>
        <v>0</v>
      </c>
      <c r="RW13" s="593">
        <f>'Proy 2022 vs 2019 sem'!CL12*RZ$4</f>
        <v>5280.9611999999997</v>
      </c>
      <c r="RX13" s="593">
        <f>'Proy 2022 vs 2019 sem'!CM12*RZ$4</f>
        <v>4752.8650800000005</v>
      </c>
      <c r="RY13" s="699"/>
      <c r="RZ13" s="700">
        <f>RY13/RW13</f>
        <v>0</v>
      </c>
      <c r="SA13" s="593">
        <f>'Proy 2022 vs 2019 sem'!CL12*SD$4</f>
        <v>5280.9611999999997</v>
      </c>
      <c r="SB13" s="593">
        <f>'Proy 2022 vs 2019 sem'!CM12*SD$4</f>
        <v>4752.8650800000005</v>
      </c>
      <c r="SC13" s="699"/>
      <c r="SD13" s="700">
        <f>SC13/SA13</f>
        <v>0</v>
      </c>
      <c r="SE13" s="593">
        <f>'Proy 2022 vs 2019 sem'!CL12*SH$4</f>
        <v>6161.1214000000009</v>
      </c>
      <c r="SF13" s="593">
        <f>'Proy 2022 vs 2019 sem'!CM12*SH$4</f>
        <v>5545.0092600000007</v>
      </c>
      <c r="SG13" s="699"/>
      <c r="SH13" s="700">
        <f>SG13/SE13</f>
        <v>0</v>
      </c>
      <c r="SI13" s="593">
        <f>'Proy 2022 vs 2019 sem'!CL12*SL$4</f>
        <v>7041.2816000000003</v>
      </c>
      <c r="SJ13" s="593">
        <f>'Proy 2022 vs 2019 sem'!CM12*SL$4</f>
        <v>6337.153440000001</v>
      </c>
      <c r="SK13" s="699"/>
      <c r="SL13" s="700">
        <f>SK13/SI13</f>
        <v>0</v>
      </c>
      <c r="SM13" s="593">
        <f>'Proy 2022 vs 2019 sem'!CL12*SP$4</f>
        <v>9681.762200000001</v>
      </c>
      <c r="SN13" s="593">
        <f>'Proy 2022 vs 2019 sem'!CM12*SP$4</f>
        <v>8713.5859799999998</v>
      </c>
      <c r="SO13" s="699"/>
      <c r="SP13" s="700">
        <f>SO13/SM13</f>
        <v>0</v>
      </c>
      <c r="SQ13" s="579">
        <f>RO13+RS13+RW13+SA13+SE13+SI13+SM13</f>
        <v>44008.009999999995</v>
      </c>
      <c r="SR13" s="574">
        <f>RP13+RT13+RX13+SB13+SF13+SJ13+SN13</f>
        <v>39607.209000000003</v>
      </c>
      <c r="SS13" s="794">
        <f>RQ13+RU13+RY13+SC13+SG13+SK13+SO13</f>
        <v>0</v>
      </c>
      <c r="ST13" s="786">
        <f>SS13/SQ13</f>
        <v>0</v>
      </c>
      <c r="SU13" s="593">
        <f>'Proy 2022 vs 2019 sem'!CQ12*SX$4</f>
        <v>9224.3556000000008</v>
      </c>
      <c r="SV13" s="593">
        <f>'Proy 2022 vs 2019 sem'!CR12*SX$4</f>
        <v>8394.1635960000003</v>
      </c>
      <c r="SW13" s="699"/>
      <c r="SX13" s="700">
        <f>SW13/SU13</f>
        <v>0</v>
      </c>
      <c r="SY13" s="593">
        <f>'Proy 2022 vs 2019 sem'!CQ12*TB$4</f>
        <v>9224.3556000000008</v>
      </c>
      <c r="SZ13" s="593">
        <f>'Proy 2022 vs 2019 sem'!CR12*TB$4</f>
        <v>8394.1635960000003</v>
      </c>
      <c r="TA13" s="699"/>
      <c r="TB13" s="700">
        <f>TA13/SY13</f>
        <v>0</v>
      </c>
      <c r="TC13" s="593">
        <f>'Proy 2022 vs 2019 sem'!CQ12*TF$4</f>
        <v>9224.3556000000008</v>
      </c>
      <c r="TD13" s="593">
        <f>'Proy 2022 vs 2019 sem'!CR12*TF$4</f>
        <v>8394.1635960000003</v>
      </c>
      <c r="TE13" s="699"/>
      <c r="TF13" s="700">
        <f>TE13/TC13</f>
        <v>0</v>
      </c>
      <c r="TG13" s="593">
        <f>'Proy 2022 vs 2019 sem'!CQ12*TJ$4</f>
        <v>9224.3556000000008</v>
      </c>
      <c r="TH13" s="593">
        <f>'Proy 2022 vs 2019 sem'!CR12*TJ$4</f>
        <v>8394.1635960000003</v>
      </c>
      <c r="TI13" s="699"/>
      <c r="TJ13" s="700">
        <f>TI13/TG13</f>
        <v>0</v>
      </c>
      <c r="TK13" s="593">
        <f>'Proy 2022 vs 2019 sem'!CQ12*TN$4</f>
        <v>10761.748200000002</v>
      </c>
      <c r="TL13" s="593">
        <f>'Proy 2022 vs 2019 sem'!CR12*TN$4</f>
        <v>9793.1908620000031</v>
      </c>
      <c r="TM13" s="699"/>
      <c r="TN13" s="700">
        <f>TM13/TK13</f>
        <v>0</v>
      </c>
      <c r="TO13" s="593">
        <f>'Proy 2022 vs 2019 sem'!CQ12*TR$4</f>
        <v>12299.140800000001</v>
      </c>
      <c r="TP13" s="593">
        <f>'Proy 2022 vs 2019 sem'!CR12*TR$4</f>
        <v>11192.218128000002</v>
      </c>
      <c r="TQ13" s="699"/>
      <c r="TR13" s="700">
        <f>TQ13/TO13</f>
        <v>0</v>
      </c>
      <c r="TS13" s="593">
        <f>'Proy 2022 vs 2019 sem'!CQ12*TV$4</f>
        <v>16911.318600000002</v>
      </c>
      <c r="TT13" s="593">
        <f>'Proy 2022 vs 2019 sem'!CR12*TV$4</f>
        <v>15389.299926000003</v>
      </c>
      <c r="TU13" s="699"/>
      <c r="TV13" s="700">
        <f>TU13/TS13</f>
        <v>0</v>
      </c>
      <c r="TW13" s="579">
        <f>SU13+SY13+TC13+TG13+TK13+TO13+TS13</f>
        <v>76869.63</v>
      </c>
      <c r="TX13" s="574">
        <f>SV13+SZ13+TD13+TH13+TL13+TP13+TT13</f>
        <v>69951.363300000012</v>
      </c>
      <c r="TY13" s="785">
        <f>SW13+TA13+TE13+TI13+TM13+TQ13+TU13</f>
        <v>0</v>
      </c>
      <c r="TZ13" s="786">
        <f>TY13/TW13</f>
        <v>0</v>
      </c>
      <c r="UA13" s="593">
        <f>'Proy 2022 vs 2019 sem'!CZ12*UD$4</f>
        <v>8704.9259999999995</v>
      </c>
      <c r="UB13" s="593">
        <f>'Proy 2022 vs 2019 sem'!DA12*UD$4</f>
        <v>7747.3841400000001</v>
      </c>
      <c r="UC13" s="735"/>
      <c r="UD13" s="700">
        <f>UC13/UA13</f>
        <v>0</v>
      </c>
      <c r="UE13" s="593">
        <f>'Proy 2022 vs 2019 sem'!CZ12*UH$4</f>
        <v>8704.9259999999995</v>
      </c>
      <c r="UF13" s="593">
        <f>'Proy 2022 vs 2019 sem'!DA12*UH$4</f>
        <v>7747.3841400000001</v>
      </c>
      <c r="UG13" s="699"/>
      <c r="UH13" s="700">
        <f>UG13/UE13</f>
        <v>0</v>
      </c>
      <c r="UI13" s="593">
        <f>'Proy 2022 vs 2019 sem'!CZ12*UL$4</f>
        <v>8704.9259999999995</v>
      </c>
      <c r="UJ13" s="593">
        <f>'Proy 2022 vs 2019 sem'!DA12*UL$4</f>
        <v>7747.3841400000001</v>
      </c>
      <c r="UK13" s="699"/>
      <c r="UL13" s="700">
        <f>UK13/UI13</f>
        <v>0</v>
      </c>
      <c r="UM13" s="593">
        <f>'Proy 2022 vs 2019 sem'!CZ12*UP$4</f>
        <v>8704.9259999999995</v>
      </c>
      <c r="UN13" s="593">
        <f>'Proy 2022 vs 2019 sem'!DA12*UP$4</f>
        <v>7747.3841400000001</v>
      </c>
      <c r="UO13" s="699"/>
      <c r="UP13" s="700">
        <f>UO13/UM13</f>
        <v>0</v>
      </c>
      <c r="UQ13" s="593">
        <f>'Proy 2022 vs 2019 sem'!CZ12*UT$4</f>
        <v>10155.747000000001</v>
      </c>
      <c r="UR13" s="593">
        <f>'Proy 2022 vs 2019 sem'!DA12*UT$4</f>
        <v>9038.6148300000004</v>
      </c>
      <c r="US13" s="699"/>
      <c r="UT13" s="700">
        <f>US13/UQ13</f>
        <v>0</v>
      </c>
      <c r="UU13" s="593">
        <f>'Proy 2022 vs 2019 sem'!CZ12*UX$4</f>
        <v>11606.568000000001</v>
      </c>
      <c r="UV13" s="593">
        <f>'Proy 2022 vs 2019 sem'!DA12*UX$4</f>
        <v>10329.845520000001</v>
      </c>
      <c r="UW13" s="699"/>
      <c r="UX13" s="700">
        <f>UW13/UU13</f>
        <v>0</v>
      </c>
      <c r="UY13" s="593">
        <f>'Proy 2022 vs 2019 sem'!CZ12*VB$4</f>
        <v>15959.031000000001</v>
      </c>
      <c r="UZ13" s="593">
        <f>'Proy 2022 vs 2019 sem'!DA12*VB$4</f>
        <v>14203.53759</v>
      </c>
      <c r="VA13" s="699"/>
      <c r="VB13" s="700">
        <f>VA13/UY13</f>
        <v>0</v>
      </c>
      <c r="VC13" s="579">
        <f>UA13+UE13+UI13+UM13+UQ13+UU13+UY13</f>
        <v>72541.05</v>
      </c>
      <c r="VD13" s="574">
        <f>UB13+UF13+UJ13+UN13+UR13+UV13+UZ13</f>
        <v>64561.534500000002</v>
      </c>
      <c r="VE13" s="759">
        <f>UC13+UG13+UK13+UO13+US13+UW13+VA13</f>
        <v>0</v>
      </c>
      <c r="VF13" s="761">
        <f>VE13/VC13</f>
        <v>0</v>
      </c>
      <c r="VG13" s="593">
        <f>'Proy 2022 vs 2019 sem'!DE12*VJ$4</f>
        <v>6673.3451999999997</v>
      </c>
      <c r="VH13" s="593">
        <f>'Proy 2022 vs 2019 sem'!DF12*VJ$4</f>
        <v>5939.2772279999999</v>
      </c>
      <c r="VI13" s="699"/>
      <c r="VJ13" s="700">
        <f>VI13/VG13</f>
        <v>0</v>
      </c>
      <c r="VK13" s="593">
        <f>'Proy 2022 vs 2019 sem'!DE12*VN$4</f>
        <v>6673.3451999999997</v>
      </c>
      <c r="VL13" s="593">
        <f>'Proy 2022 vs 2019 sem'!DF12*VN$4</f>
        <v>5939.2772279999999</v>
      </c>
      <c r="VM13" s="699"/>
      <c r="VN13" s="700">
        <f>VM13/VK13</f>
        <v>0</v>
      </c>
      <c r="VO13" s="593">
        <f>'Proy 2022 vs 2019 sem'!DE12*VR$4</f>
        <v>6673.3451999999997</v>
      </c>
      <c r="VP13" s="593">
        <f>'Proy 2022 vs 2019 sem'!DF12*VR$4</f>
        <v>5939.2772279999999</v>
      </c>
      <c r="VQ13" s="699"/>
      <c r="VR13" s="700">
        <f>VQ13/VO13</f>
        <v>0</v>
      </c>
      <c r="VS13" s="593">
        <f>'Proy 2022 vs 2019 sem'!DE12*VV$4</f>
        <v>6673.3451999999997</v>
      </c>
      <c r="VT13" s="593">
        <f>'Proy 2022 vs 2019 sem'!DF12*VV$4</f>
        <v>5939.2772279999999</v>
      </c>
      <c r="VU13" s="699"/>
      <c r="VV13" s="700">
        <f>VU13/VS13</f>
        <v>0</v>
      </c>
      <c r="VW13" s="593">
        <f>'Proy 2022 vs 2019 sem'!DE12*VZ$4</f>
        <v>7785.5694000000003</v>
      </c>
      <c r="VX13" s="593">
        <f>'Proy 2022 vs 2019 sem'!DF12*VZ$4</f>
        <v>6929.156766000001</v>
      </c>
      <c r="VY13" s="699"/>
      <c r="VZ13" s="700">
        <f>VY13/VW13</f>
        <v>0</v>
      </c>
      <c r="WA13" s="593">
        <f>'Proy 2022 vs 2019 sem'!DE12*WD$4</f>
        <v>8897.7936000000009</v>
      </c>
      <c r="WB13" s="593">
        <f>'Proy 2022 vs 2019 sem'!DF12*WD$4</f>
        <v>7919.0363040000002</v>
      </c>
      <c r="WC13" s="699"/>
      <c r="WD13" s="700">
        <f>WC13/WA13</f>
        <v>0</v>
      </c>
      <c r="WE13" s="593">
        <f>'Proy 2022 vs 2019 sem'!DE12*WH$4</f>
        <v>12234.466200000001</v>
      </c>
      <c r="WF13" s="593">
        <f>'Proy 2022 vs 2019 sem'!DF12*WH$4</f>
        <v>10888.674918000001</v>
      </c>
      <c r="WG13" s="699"/>
      <c r="WH13" s="700">
        <f>WG13/WE13</f>
        <v>0</v>
      </c>
      <c r="WI13" s="579">
        <f>VG13+VK13+VO13+VS13+VW13+WA13+WE13</f>
        <v>55611.21</v>
      </c>
      <c r="WJ13" s="574">
        <f>VH13+VL13+VP13+VT13+VX13+WB13+WF13</f>
        <v>49493.976899999994</v>
      </c>
      <c r="WK13" s="765">
        <f>VI13+VM13+VQ13+VU13+VY13+WC13+WG13</f>
        <v>0</v>
      </c>
      <c r="WL13" s="761">
        <f>WK13/WI13</f>
        <v>0</v>
      </c>
      <c r="WM13" s="593">
        <f>'Proy 2022 vs 2019 sem'!DJ12*WP$4</f>
        <v>5171.3064000000004</v>
      </c>
      <c r="WN13" s="593">
        <f>'Proy 2022 vs 2019 sem'!DK12*WP$4</f>
        <v>4602.4626960000005</v>
      </c>
      <c r="WO13" s="699"/>
      <c r="WP13" s="700">
        <f>WO13/WM13</f>
        <v>0</v>
      </c>
      <c r="WQ13" s="593">
        <f>'Proy 2022 vs 2019 sem'!DJ12*WT$4</f>
        <v>5171.3064000000004</v>
      </c>
      <c r="WR13" s="593">
        <f>'Proy 2022 vs 2019 sem'!DK12*WT$4</f>
        <v>4602.4626960000005</v>
      </c>
      <c r="WS13" s="699"/>
      <c r="WT13" s="700">
        <f>WS13/WQ13</f>
        <v>0</v>
      </c>
      <c r="WU13" s="593">
        <f>'Proy 2022 vs 2019 sem'!DJ12*WX$4</f>
        <v>5171.3064000000004</v>
      </c>
      <c r="WV13" s="593">
        <f>'Proy 2022 vs 2019 sem'!DK12*WX$4</f>
        <v>4602.4626960000005</v>
      </c>
      <c r="WW13" s="699"/>
      <c r="WX13" s="700">
        <f>WW13/WU13</f>
        <v>0</v>
      </c>
      <c r="WY13" s="593">
        <f>'Proy 2022 vs 2019 sem'!DJ12*XB$4</f>
        <v>5171.3064000000004</v>
      </c>
      <c r="WZ13" s="593">
        <f>'Proy 2022 vs 2019 sem'!DK12*XB$4</f>
        <v>4602.4626960000005</v>
      </c>
      <c r="XA13" s="699"/>
      <c r="XB13" s="700">
        <f>XA13/WY13</f>
        <v>0</v>
      </c>
      <c r="XC13" s="593">
        <f>'Proy 2022 vs 2019 sem'!DJ12*XF$4</f>
        <v>6033.1908000000003</v>
      </c>
      <c r="XD13" s="593">
        <f>'Proy 2022 vs 2019 sem'!DK12*XF$4</f>
        <v>5369.5398120000009</v>
      </c>
      <c r="XE13" s="699"/>
      <c r="XF13" s="700">
        <f>XE13/XC13</f>
        <v>0</v>
      </c>
      <c r="XG13" s="593">
        <f>'Proy 2022 vs 2019 sem'!DJ12*XJ$4</f>
        <v>6895.0752000000002</v>
      </c>
      <c r="XH13" s="593">
        <f>'Proy 2022 vs 2019 sem'!DK12*XJ$4</f>
        <v>6136.6169280000013</v>
      </c>
      <c r="XI13" s="699"/>
      <c r="XJ13" s="700">
        <f>XI13/XG13</f>
        <v>0</v>
      </c>
      <c r="XK13" s="593">
        <f>'Proy 2022 vs 2019 sem'!DJ12*XN$4</f>
        <v>9480.7284</v>
      </c>
      <c r="XL13" s="593">
        <f>'Proy 2022 vs 2019 sem'!DK12*XN$4</f>
        <v>8437.8482760000006</v>
      </c>
      <c r="XM13" s="699"/>
      <c r="XN13" s="700">
        <f>XM13/XK13</f>
        <v>0</v>
      </c>
      <c r="XO13" s="579">
        <f>WM13+WQ13+WU13+WY13+XC13+XG13+XK13</f>
        <v>43094.22</v>
      </c>
      <c r="XP13" s="574">
        <f>WN13+WR13+WV13+WZ13+XD13+XH13+XL13</f>
        <v>38353.855800000005</v>
      </c>
      <c r="XQ13" s="765">
        <f>WO13+WS13+WW13+XA13+XE13+XI13+XM13</f>
        <v>0</v>
      </c>
      <c r="XR13" s="761">
        <f>XQ13/XO13</f>
        <v>0</v>
      </c>
      <c r="XS13" s="593">
        <f>'Proy 2022 vs 2019 sem'!DO12*XV$4</f>
        <v>5287.6031999999996</v>
      </c>
      <c r="XT13" s="593">
        <f>'Proy 2022 vs 2019 sem'!DP12*XV$4</f>
        <v>4758.8428800000002</v>
      </c>
      <c r="XU13" s="699"/>
      <c r="XV13" s="700">
        <f>XU13/XS13</f>
        <v>0</v>
      </c>
      <c r="XW13" s="593">
        <f>'Proy 2022 vs 2019 sem'!DO12*XZ$4</f>
        <v>5287.6031999999996</v>
      </c>
      <c r="XX13" s="593">
        <f>'Proy 2022 vs 2019 sem'!DP12*XZ$4</f>
        <v>4758.8428800000002</v>
      </c>
      <c r="XY13" s="699"/>
      <c r="XZ13" s="700">
        <f>XY13/XW13</f>
        <v>0</v>
      </c>
      <c r="YA13" s="593">
        <f>'Proy 2022 vs 2019 sem'!DO12*YD$4</f>
        <v>5287.6031999999996</v>
      </c>
      <c r="YB13" s="593">
        <f>'Proy 2022 vs 2019 sem'!DP12*YD$4</f>
        <v>4758.8428800000002</v>
      </c>
      <c r="YC13" s="699"/>
      <c r="YD13" s="700">
        <f>YC13/YA13</f>
        <v>0</v>
      </c>
      <c r="YE13" s="593">
        <f>'Proy 2022 vs 2019 sem'!DO12*YH$4</f>
        <v>5287.6031999999996</v>
      </c>
      <c r="YF13" s="593">
        <f>'Proy 2022 vs 2019 sem'!DP12*YH$4</f>
        <v>4758.8428800000002</v>
      </c>
      <c r="YG13" s="699"/>
      <c r="YH13" s="700">
        <f>YG13/YE13</f>
        <v>0</v>
      </c>
      <c r="YI13" s="593">
        <f>'Proy 2022 vs 2019 sem'!DO12*YL$4</f>
        <v>6168.8704000000007</v>
      </c>
      <c r="YJ13" s="593">
        <f>'Proy 2022 vs 2019 sem'!DP12*YL$4</f>
        <v>5551.9833600000011</v>
      </c>
      <c r="YK13" s="699"/>
      <c r="YL13" s="700">
        <f>YK13/YI13</f>
        <v>0</v>
      </c>
      <c r="YM13" s="593">
        <f>'Proy 2022 vs 2019 sem'!DO12*YP$4</f>
        <v>7050.1376</v>
      </c>
      <c r="YN13" s="593">
        <f>'Proy 2022 vs 2019 sem'!DP12*YP$4</f>
        <v>6345.1238400000011</v>
      </c>
      <c r="YO13" s="699"/>
      <c r="YP13" s="700">
        <f>YO13/YM13</f>
        <v>0</v>
      </c>
      <c r="YQ13" s="593">
        <f>'Proy 2022 vs 2019 sem'!DO12*YT$4</f>
        <v>9693.9392000000007</v>
      </c>
      <c r="YR13" s="593">
        <f>'Proy 2022 vs 2019 sem'!DP12*YT$4</f>
        <v>8724.5452800000003</v>
      </c>
      <c r="YS13" s="699"/>
      <c r="YT13" s="700">
        <f>YS13/YQ13</f>
        <v>0</v>
      </c>
      <c r="YU13" s="579">
        <f>XS13+XW13+YA13+YE13+YI13+YM13+YQ13</f>
        <v>44063.360000000001</v>
      </c>
      <c r="YV13" s="574">
        <f>XT13+XX13+YB13+YF13+YJ13+YN13+YR13</f>
        <v>39657.024000000005</v>
      </c>
      <c r="YW13" s="770">
        <f>XU13+XY13+YC13+YG13+YK13+YO13+YS13</f>
        <v>0</v>
      </c>
      <c r="YX13" s="761">
        <f>YW13/YU13</f>
        <v>0</v>
      </c>
      <c r="YY13" s="931">
        <f>'Proy 2022 vs 2019 sem'!DX12*ZB$4</f>
        <v>2081.0616</v>
      </c>
      <c r="YZ13" s="931">
        <f>'Proy 2022 vs 2019 sem'!DY12*ZB$4</f>
        <v>1852.144824</v>
      </c>
      <c r="ZA13" s="735"/>
      <c r="ZB13" s="700">
        <f>ZA13/YY13</f>
        <v>0</v>
      </c>
      <c r="ZC13" s="593">
        <f>'Proy 2022 vs 2019 sem'!DX12*ZF$4</f>
        <v>2081.0616</v>
      </c>
      <c r="ZD13" s="593">
        <f>'Proy 2022 vs 2019 sem'!DY12*ZF$4</f>
        <v>1852.144824</v>
      </c>
      <c r="ZE13" s="735"/>
      <c r="ZF13" s="700">
        <f>ZE13/ZC13</f>
        <v>0</v>
      </c>
      <c r="ZG13" s="593">
        <f>'Proy 2022 vs 2019 sem'!DX12*ZJ$4</f>
        <v>2081.0616</v>
      </c>
      <c r="ZH13" s="593">
        <f>'Proy 2022 vs 2019 sem'!DY12*ZJ$4</f>
        <v>1852.144824</v>
      </c>
      <c r="ZI13" s="735"/>
      <c r="ZJ13" s="700">
        <f>ZI13/ZG13</f>
        <v>0</v>
      </c>
      <c r="ZK13" s="593">
        <f>'Proy 2022 vs 2019 sem'!DX12*ZN$4</f>
        <v>2081.0616</v>
      </c>
      <c r="ZL13" s="593">
        <f>'Proy 2022 vs 2019 sem'!DY12*ZN$4</f>
        <v>1852.144824</v>
      </c>
      <c r="ZM13" s="735"/>
      <c r="ZN13" s="700">
        <f>ZM13/ZK13</f>
        <v>0</v>
      </c>
      <c r="ZO13" s="593">
        <f>'Proy 2022 vs 2019 sem'!DX12*ZR$4</f>
        <v>2427.9052000000001</v>
      </c>
      <c r="ZP13" s="593">
        <f>'Proy 2022 vs 2019 sem'!DY12*ZR$4</f>
        <v>2160.8356280000003</v>
      </c>
      <c r="ZQ13" s="735"/>
      <c r="ZR13" s="700">
        <f>ZQ13/ZO13</f>
        <v>0</v>
      </c>
      <c r="ZS13" s="593">
        <f>'Proy 2022 vs 2019 sem'!DX12*ZV$4</f>
        <v>2774.7488000000003</v>
      </c>
      <c r="ZT13" s="593">
        <f>'Proy 2022 vs 2019 sem'!DY12*ZV$4</f>
        <v>2469.5264320000001</v>
      </c>
      <c r="ZU13" s="735"/>
      <c r="ZV13" s="700">
        <f>ZU13/ZS13</f>
        <v>0</v>
      </c>
      <c r="ZW13" s="593">
        <f>'Proy 2022 vs 2019 sem'!DX12*ZZ$4</f>
        <v>3815.2796000000003</v>
      </c>
      <c r="ZX13" s="593">
        <f>'Proy 2022 vs 2019 sem'!DY12*ZZ$4</f>
        <v>3395.5988440000001</v>
      </c>
      <c r="ZY13" s="735"/>
      <c r="ZZ13" s="700">
        <f>ZY13/ZW13</f>
        <v>0</v>
      </c>
      <c r="AAA13" s="579">
        <f>YY13+ZC13+ZG13+ZK13+ZO13+ZS13+ZW13</f>
        <v>17342.180000000004</v>
      </c>
      <c r="AAB13" s="574">
        <f>YZ13+ZD13+ZH13+ZL13+ZP13+ZT13+ZX13</f>
        <v>15434.540200000001</v>
      </c>
      <c r="AAC13" s="729">
        <f>ZA13+ZE13+ZI13+ZM13+ZQ13+ZU13+ZY13</f>
        <v>0</v>
      </c>
      <c r="AAD13" s="711">
        <f>AAC13/AAA13</f>
        <v>0</v>
      </c>
      <c r="AAE13" s="593">
        <f>'Proy 2022 vs 2019 sem'!EC12*AAH$4</f>
        <v>4200.366</v>
      </c>
      <c r="AAF13" s="593">
        <f>'Proy 2022 vs 2019 sem'!ED12*AAH$4</f>
        <v>3654.3184200000005</v>
      </c>
      <c r="AAG13" s="699"/>
      <c r="AAH13" s="700">
        <f>AAG13/AAE13</f>
        <v>0</v>
      </c>
      <c r="AAI13" s="593">
        <f>'Proy 2022 vs 2019 sem'!EC12*AAL$4</f>
        <v>4200.366</v>
      </c>
      <c r="AAJ13" s="593">
        <f>'Proy 2022 vs 2019 sem'!ED12*AAL$4</f>
        <v>3654.3184200000005</v>
      </c>
      <c r="AAK13" s="699"/>
      <c r="AAL13" s="700">
        <f>AAK13/AAI13</f>
        <v>0</v>
      </c>
      <c r="AAM13" s="593">
        <f>'Proy 2022 vs 2019 sem'!EC12*AAP$4</f>
        <v>4200.366</v>
      </c>
      <c r="AAN13" s="593">
        <f>'Proy 2022 vs 2019 sem'!ED12*AAP$4</f>
        <v>3654.3184200000005</v>
      </c>
      <c r="AAO13" s="699"/>
      <c r="AAP13" s="700">
        <f>AAO13/AAM13</f>
        <v>0</v>
      </c>
      <c r="AAQ13" s="593">
        <f>'Proy 2022 vs 2019 sem'!EC12*AAT$4</f>
        <v>4200.366</v>
      </c>
      <c r="AAR13" s="593">
        <f>'Proy 2022 vs 2019 sem'!ED12*AAT$4</f>
        <v>3654.3184200000005</v>
      </c>
      <c r="AAS13" s="699"/>
      <c r="AAT13" s="700">
        <f>AAS13/AAQ13</f>
        <v>0</v>
      </c>
      <c r="AAU13" s="593">
        <f>'Proy 2022 vs 2019 sem'!EC12*AAX$4</f>
        <v>4900.4270000000006</v>
      </c>
      <c r="AAV13" s="593">
        <f>'Proy 2022 vs 2019 sem'!ED12*AAX$4</f>
        <v>4263.3714900000014</v>
      </c>
      <c r="AAW13" s="699"/>
      <c r="AAX13" s="700">
        <f>AAW13/AAU13</f>
        <v>0</v>
      </c>
      <c r="AAY13" s="593">
        <f>'Proy 2022 vs 2019 sem'!EC12*ABB$4</f>
        <v>5600.4880000000003</v>
      </c>
      <c r="AAZ13" s="593">
        <f>'Proy 2022 vs 2019 sem'!ED12*ABB$4</f>
        <v>4872.4245600000004</v>
      </c>
      <c r="ABA13" s="699"/>
      <c r="ABB13" s="700">
        <f>ABA13/AAY13</f>
        <v>0</v>
      </c>
      <c r="ABC13" s="593">
        <f>'Proy 2022 vs 2019 sem'!EC12*ABF$4</f>
        <v>7700.6710000000003</v>
      </c>
      <c r="ABD13" s="593">
        <f>'Proy 2022 vs 2019 sem'!ED12*ABF$4</f>
        <v>6699.5837700000011</v>
      </c>
      <c r="ABE13" s="699"/>
      <c r="ABF13" s="700">
        <f>ABE13/ABC13</f>
        <v>0</v>
      </c>
      <c r="ABG13" s="579">
        <f>AAE13+AAI13+AAM13+AAQ13+AAU13+AAY13+ABC13</f>
        <v>35003.050000000003</v>
      </c>
      <c r="ABH13" s="574">
        <f>AAF13+AAJ13+AAN13+AAR13+AAV13+AAZ13+ABD13</f>
        <v>30452.653500000004</v>
      </c>
      <c r="ABI13" s="730">
        <f>AAG13+AAK13+AAO13+AAS13+AAW13+ABA13+ABE13</f>
        <v>0</v>
      </c>
      <c r="ABJ13" s="711">
        <f>ABI13/ABG13</f>
        <v>0</v>
      </c>
      <c r="ABK13" s="593">
        <f>'Proy 2022 vs 2019 sem'!EH12*ABN$4</f>
        <v>18111.8112</v>
      </c>
      <c r="ABL13" s="593">
        <f>'Proy 2022 vs 2019 sem'!EI12*ABN$4</f>
        <v>16119.511968000003</v>
      </c>
      <c r="ABM13" s="699"/>
      <c r="ABN13" s="700">
        <f>ABM13/ABK13</f>
        <v>0</v>
      </c>
      <c r="ABO13" s="593">
        <f>'Proy 2022 vs 2019 sem'!EH12*ABR$4</f>
        <v>18111.8112</v>
      </c>
      <c r="ABP13" s="593">
        <f>'Proy 2022 vs 2019 sem'!EI12*ABR$4</f>
        <v>16119.511968000003</v>
      </c>
      <c r="ABQ13" s="699"/>
      <c r="ABR13" s="700">
        <f>ABQ13/ABO13</f>
        <v>0</v>
      </c>
      <c r="ABS13" s="593">
        <f>'Proy 2022 vs 2019 sem'!EH12*ABV$4</f>
        <v>18111.8112</v>
      </c>
      <c r="ABT13" s="593">
        <f>'Proy 2022 vs 2019 sem'!EI12*ABV$4</f>
        <v>16119.511968000003</v>
      </c>
      <c r="ABU13" s="699"/>
      <c r="ABV13" s="700">
        <f>ABU13/ABS13</f>
        <v>0</v>
      </c>
      <c r="ABW13" s="593">
        <f>'Proy 2022 vs 2019 sem'!EH12*ABZ$4</f>
        <v>18111.8112</v>
      </c>
      <c r="ABX13" s="593">
        <f>'Proy 2022 vs 2019 sem'!EI12*ABZ$4</f>
        <v>16119.511968000003</v>
      </c>
      <c r="ABY13" s="699"/>
      <c r="ABZ13" s="700">
        <f>ABY13/ABW13</f>
        <v>0</v>
      </c>
      <c r="ACA13" s="593">
        <f>'Proy 2022 vs 2019 sem'!EH12*ACD$4</f>
        <v>21130.446400000004</v>
      </c>
      <c r="ACB13" s="593">
        <f>'Proy 2022 vs 2019 sem'!EI12*ACD$4</f>
        <v>18806.097296000004</v>
      </c>
      <c r="ACC13" s="699"/>
      <c r="ACD13" s="700">
        <f>ACC13/ACA13</f>
        <v>0</v>
      </c>
      <c r="ACE13" s="593">
        <f>'Proy 2022 vs 2019 sem'!EH12*ACH$4</f>
        <v>24149.081600000001</v>
      </c>
      <c r="ACF13" s="593">
        <f>'Proy 2022 vs 2019 sem'!EI12*ACH$4</f>
        <v>21492.682624000005</v>
      </c>
      <c r="ACG13" s="699"/>
      <c r="ACH13" s="700">
        <f>ACG13/ACE13</f>
        <v>0</v>
      </c>
      <c r="ACI13" s="593">
        <f>'Proy 2022 vs 2019 sem'!EH12*ACL$4</f>
        <v>33204.987200000003</v>
      </c>
      <c r="ACJ13" s="593">
        <f>'Proy 2022 vs 2019 sem'!EI12*ACL$4</f>
        <v>29552.438608000004</v>
      </c>
      <c r="ACK13" s="699"/>
      <c r="ACL13" s="700">
        <f>ACK13/ACI13</f>
        <v>0</v>
      </c>
      <c r="ACM13" s="579">
        <f>ABK13+ABO13+ABS13+ABW13+ACA13+ACE13+ACI13</f>
        <v>150931.76</v>
      </c>
      <c r="ACN13" s="574">
        <f>ABL13+ABP13+ABT13+ABX13+ACB13+ACF13+ACJ13</f>
        <v>134329.26640000002</v>
      </c>
      <c r="ACO13" s="730">
        <f>ABM13+ABQ13+ABU13+ABY13+ACC13+ACG13+ACK13</f>
        <v>0</v>
      </c>
      <c r="ACP13" s="711">
        <f>ACO13/ACM13</f>
        <v>0</v>
      </c>
      <c r="ACQ13" s="593">
        <f>'Proy 2022 vs 2019 sem'!EM12*ACT$4</f>
        <v>19003.2</v>
      </c>
      <c r="ACR13" s="593">
        <f>'Proy 2022 vs 2019 sem'!EN12*ACT$4</f>
        <v>17672.976000000002</v>
      </c>
      <c r="ACS13" s="699"/>
      <c r="ACT13" s="700">
        <f>ACS13/ACQ13</f>
        <v>0</v>
      </c>
      <c r="ACU13" s="593">
        <f>'Proy 2022 vs 2019 sem'!EM12*ACX$4</f>
        <v>19003.2</v>
      </c>
      <c r="ACV13" s="593">
        <f>'Proy 2022 vs 2019 sem'!EN12*ACX$4</f>
        <v>17672.976000000002</v>
      </c>
      <c r="ACW13" s="699"/>
      <c r="ACX13" s="700">
        <f>ACW13/ACU13</f>
        <v>0</v>
      </c>
      <c r="ACY13" s="593">
        <f>'Proy 2022 vs 2019 sem'!EM12*ADB$4</f>
        <v>19003.2</v>
      </c>
      <c r="ACZ13" s="593">
        <f>'Proy 2022 vs 2019 sem'!EN12*ADB$4</f>
        <v>17672.976000000002</v>
      </c>
      <c r="ADA13" s="699"/>
      <c r="ADB13" s="700">
        <f>ADA13/ACY13</f>
        <v>0</v>
      </c>
      <c r="ADC13" s="593">
        <f>'Proy 2022 vs 2019 sem'!EM12*ADF$4</f>
        <v>19003.2</v>
      </c>
      <c r="ADD13" s="593">
        <f>'Proy 2022 vs 2019 sem'!EN12*ADF$4</f>
        <v>17672.976000000002</v>
      </c>
      <c r="ADE13" s="699"/>
      <c r="ADF13" s="700">
        <f>ADE13/ADC13</f>
        <v>0</v>
      </c>
      <c r="ADG13" s="593">
        <f>'Proy 2022 vs 2019 sem'!EM12*ADJ$4</f>
        <v>22170.400000000001</v>
      </c>
      <c r="ADH13" s="593">
        <f>'Proy 2022 vs 2019 sem'!EN12*ADJ$4</f>
        <v>20618.472000000005</v>
      </c>
      <c r="ADI13" s="699"/>
      <c r="ADJ13" s="700">
        <f>ADI13/ADG13</f>
        <v>0</v>
      </c>
      <c r="ADK13" s="593">
        <f>'Proy 2022 vs 2019 sem'!EM12*ADN$4</f>
        <v>25337.600000000002</v>
      </c>
      <c r="ADL13" s="593">
        <f>'Proy 2022 vs 2019 sem'!EN12*ADN$4</f>
        <v>23563.968000000004</v>
      </c>
      <c r="ADM13" s="699"/>
      <c r="ADN13" s="700">
        <f>ADM13/ADK13</f>
        <v>0</v>
      </c>
      <c r="ADO13" s="593">
        <f>'Proy 2022 vs 2019 sem'!EM12*ADR$4</f>
        <v>34839.199999999997</v>
      </c>
      <c r="ADP13" s="593">
        <f>'Proy 2022 vs 2019 sem'!EN12*ADR$4</f>
        <v>32400.456000000006</v>
      </c>
      <c r="ADQ13" s="699"/>
      <c r="ADR13" s="700">
        <f>ADQ13/ADO13</f>
        <v>0</v>
      </c>
      <c r="ADS13" s="579">
        <f>ACQ13+ACU13+ACY13+ADC13+ADG13+ADK13+ADO13</f>
        <v>158360</v>
      </c>
      <c r="ADT13" s="574">
        <f>ACR13+ACV13+ACZ13+ADD13+ADH13+ADL13+ADP13</f>
        <v>147274.80000000005</v>
      </c>
      <c r="ADU13" s="710">
        <f>ACS13+ACW13+ADA13+ADE13+ADI13+ADM13+ADQ13</f>
        <v>0</v>
      </c>
      <c r="ADV13" s="711">
        <f>ADU13/ADS13</f>
        <v>0</v>
      </c>
      <c r="ADW13" s="593">
        <f>'Proy 2022 vs 2019 sem'!ER12*ADZ$4</f>
        <v>17835.307199999999</v>
      </c>
      <c r="ADX13" s="593">
        <f>'Proy 2022 vs 2019 sem'!ES12*ADZ$4</f>
        <v>16586.835696000002</v>
      </c>
      <c r="ADY13" s="699"/>
      <c r="ADZ13" s="700">
        <f>ADY13/ADW13</f>
        <v>0</v>
      </c>
      <c r="AEA13" s="593">
        <f>'Proy 2022 vs 2019 sem'!ER12*AED$4</f>
        <v>17835.307199999999</v>
      </c>
      <c r="AEB13" s="593">
        <f>'Proy 2022 vs 2019 sem'!ES12*AED$4</f>
        <v>16586.835696000002</v>
      </c>
      <c r="AEC13" s="699"/>
      <c r="AED13" s="700">
        <f>AEC13/AEA13</f>
        <v>0</v>
      </c>
      <c r="AEE13" s="593">
        <f>'Proy 2022 vs 2019 sem'!ER12*AEH$4</f>
        <v>17835.307199999999</v>
      </c>
      <c r="AEF13" s="593">
        <f>'Proy 2022 vs 2019 sem'!ES12*AEH$4</f>
        <v>16586.835696000002</v>
      </c>
      <c r="AEG13" s="699"/>
      <c r="AEH13" s="700">
        <f>AEG13/AEE13</f>
        <v>0</v>
      </c>
      <c r="AEI13" s="593">
        <f>'Proy 2022 vs 2019 sem'!ER12*AEL$4</f>
        <v>17835.307199999999</v>
      </c>
      <c r="AEJ13" s="593">
        <f>'Proy 2022 vs 2019 sem'!ES12*AEL$4</f>
        <v>16586.835696000002</v>
      </c>
      <c r="AEK13" s="699"/>
      <c r="AEL13" s="700">
        <f>AEK13/AEI13</f>
        <v>0</v>
      </c>
      <c r="AEM13" s="593">
        <f>'Proy 2022 vs 2019 sem'!ER12*AEP$4</f>
        <v>20807.858400000001</v>
      </c>
      <c r="AEN13" s="593">
        <f>'Proy 2022 vs 2019 sem'!ES12*AEP$4</f>
        <v>19351.308312000005</v>
      </c>
      <c r="AEO13" s="699"/>
      <c r="AEP13" s="700">
        <f>AEO13/AEM13</f>
        <v>0</v>
      </c>
      <c r="AEQ13" s="593">
        <f>'Proy 2022 vs 2019 sem'!ER12*AET$4</f>
        <v>23780.409599999999</v>
      </c>
      <c r="AER13" s="593">
        <f>'Proy 2022 vs 2019 sem'!ES12*AET$4</f>
        <v>22115.780928000004</v>
      </c>
      <c r="AES13" s="699"/>
      <c r="AET13" s="700">
        <f>AES13/AEQ13</f>
        <v>0</v>
      </c>
      <c r="AEU13" s="593">
        <f>'Proy 2022 vs 2019 sem'!ER12*AEX$4</f>
        <v>32698.063200000001</v>
      </c>
      <c r="AEV13" s="593">
        <f>'Proy 2022 vs 2019 sem'!ES12*AEX$4</f>
        <v>30409.198776000005</v>
      </c>
      <c r="AEW13" s="699"/>
      <c r="AEX13" s="700">
        <f>AEW13/AEU13</f>
        <v>0</v>
      </c>
      <c r="AEY13" s="579">
        <f>ADW13+AEA13+AEE13+AEI13+AEM13+AEQ13+AEU13</f>
        <v>148627.56</v>
      </c>
      <c r="AEZ13" s="574">
        <f>ADX13+AEB13+AEF13+AEJ13+AEN13+AER13+AEV13</f>
        <v>138223.63080000004</v>
      </c>
      <c r="AFA13" s="710">
        <f>ADY13+AEC13+AEG13+AEK13+AEO13+AES13+AEW13</f>
        <v>0</v>
      </c>
      <c r="AFB13" s="711">
        <f>AFA13/AEY13</f>
        <v>0</v>
      </c>
      <c r="AFC13" s="593">
        <f>'Proy 2022 vs 2019 sem'!FA12*AFF$4</f>
        <v>17075.1492</v>
      </c>
      <c r="AFD13" s="593">
        <f>'Proy 2022 vs 2019 sem'!FB12*AFF$4</f>
        <v>15026.131296</v>
      </c>
      <c r="AFE13" s="735"/>
      <c r="AFF13" s="700">
        <f>AFE13/AFC13</f>
        <v>0</v>
      </c>
      <c r="AFG13" s="593">
        <f>'Proy 2022 vs 2019 sem'!FA12*AFJ$4</f>
        <v>17075.1492</v>
      </c>
      <c r="AFH13" s="593">
        <f>'Proy 2022 vs 2019 sem'!FB12*AFJ$4</f>
        <v>15026.131296</v>
      </c>
      <c r="AFI13" s="699"/>
      <c r="AFJ13" s="700">
        <f>AFI13/AFG13</f>
        <v>0</v>
      </c>
      <c r="AFK13" s="593">
        <f>'Proy 2022 vs 2019 sem'!FA12*AFN$4</f>
        <v>17075.1492</v>
      </c>
      <c r="AFL13" s="593">
        <f>'Proy 2022 vs 2019 sem'!FB12*AFN$4</f>
        <v>15026.131296</v>
      </c>
      <c r="AFM13" s="699"/>
      <c r="AFN13" s="700">
        <f>AFM13/AFK13</f>
        <v>0</v>
      </c>
      <c r="AFO13" s="593">
        <f>'Proy 2022 vs 2019 sem'!FA12*AFR$4</f>
        <v>17075.1492</v>
      </c>
      <c r="AFP13" s="593">
        <f>'Proy 2022 vs 2019 sem'!FB12*AFR$4</f>
        <v>15026.131296</v>
      </c>
      <c r="AFQ13" s="699"/>
      <c r="AFR13" s="700">
        <f>AFQ13/AFO13</f>
        <v>0</v>
      </c>
      <c r="AFS13" s="593">
        <f>'Proy 2022 vs 2019 sem'!FA12*AFV$4</f>
        <v>19921.007400000002</v>
      </c>
      <c r="AFT13" s="593">
        <f>'Proy 2022 vs 2019 sem'!FB12*AFV$4</f>
        <v>17530.486512000003</v>
      </c>
      <c r="AFU13" s="699"/>
      <c r="AFV13" s="700">
        <f>AFU13/AFS13</f>
        <v>0</v>
      </c>
      <c r="AFW13" s="593">
        <f>'Proy 2022 vs 2019 sem'!FA12*AFZ$4</f>
        <v>22766.865600000001</v>
      </c>
      <c r="AFX13" s="593">
        <f>'Proy 2022 vs 2019 sem'!FB12*AFZ$4</f>
        <v>20034.841727999999</v>
      </c>
      <c r="AFY13" s="699"/>
      <c r="AFZ13" s="700">
        <f>AFY13/AFW13</f>
        <v>0</v>
      </c>
      <c r="AGA13" s="593">
        <f>'Proy 2022 vs 2019 sem'!FA12*AGD$4</f>
        <v>31304.440200000001</v>
      </c>
      <c r="AGB13" s="593">
        <f>'Proy 2022 vs 2019 sem'!FB12*AGD$4</f>
        <v>27547.907375999999</v>
      </c>
      <c r="AGC13" s="699"/>
      <c r="AGD13" s="700">
        <f>AGC13/AGA13</f>
        <v>0</v>
      </c>
      <c r="AGE13" s="579">
        <f>AFC13+AFG13+AFK13+AFO13+AFS13+AFW13+AGA13</f>
        <v>142292.91</v>
      </c>
      <c r="AGF13" s="574">
        <f>AFD13+AFH13+AFL13+AFP13+AFT13+AFX13+AGB13</f>
        <v>125217.7608</v>
      </c>
      <c r="AGG13" s="759">
        <f>AFE13+AFI13+AFM13+AFQ13+AFU13+AFY13+AGC13</f>
        <v>0</v>
      </c>
      <c r="AGH13" s="761">
        <f>AGG13/AGE13</f>
        <v>0</v>
      </c>
      <c r="AGI13" s="593">
        <f>'Proy 2022 vs 2019 sem'!FF12*AGL$4</f>
        <v>16978.885199999997</v>
      </c>
      <c r="AGJ13" s="593">
        <f>'Proy 2022 vs 2019 sem'!FG12*AGL$4</f>
        <v>14941.418975999997</v>
      </c>
      <c r="AGK13" s="699"/>
      <c r="AGL13" s="700">
        <f>AGK13/AGI13</f>
        <v>0</v>
      </c>
      <c r="AGM13" s="593">
        <f>'Proy 2022 vs 2019 sem'!FF12*AGP$4</f>
        <v>16978.885199999997</v>
      </c>
      <c r="AGN13" s="593">
        <f>'Proy 2022 vs 2019 sem'!FG12*AGP$4</f>
        <v>14941.418975999997</v>
      </c>
      <c r="AGO13" s="699"/>
      <c r="AGP13" s="700">
        <f>AGO13/AGM13</f>
        <v>0</v>
      </c>
      <c r="AGQ13" s="593">
        <f>'Proy 2022 vs 2019 sem'!FF12*AGT$4</f>
        <v>16978.885199999997</v>
      </c>
      <c r="AGR13" s="593">
        <f>'Proy 2022 vs 2019 sem'!FG12*AGT$4</f>
        <v>14941.418975999997</v>
      </c>
      <c r="AGS13" s="699"/>
      <c r="AGT13" s="700">
        <f>AGS13/AGQ13</f>
        <v>0</v>
      </c>
      <c r="AGU13" s="593">
        <f>'Proy 2022 vs 2019 sem'!FF12*AGX$4</f>
        <v>16978.885199999997</v>
      </c>
      <c r="AGV13" s="593">
        <f>'Proy 2022 vs 2019 sem'!FG12*AGX$4</f>
        <v>14941.418975999997</v>
      </c>
      <c r="AGW13" s="699"/>
      <c r="AGX13" s="700">
        <f>AGW13/AGU13</f>
        <v>0</v>
      </c>
      <c r="AGY13" s="593">
        <f>'Proy 2022 vs 2019 sem'!FF12*AHB$4</f>
        <v>19808.699400000001</v>
      </c>
      <c r="AGZ13" s="593">
        <f>'Proy 2022 vs 2019 sem'!FG12*AHB$4</f>
        <v>17431.655471999999</v>
      </c>
      <c r="AHA13" s="699"/>
      <c r="AHB13" s="700">
        <f>AHA13/AGY13</f>
        <v>0</v>
      </c>
      <c r="AHC13" s="593">
        <f>'Proy 2022 vs 2019 sem'!FF12*AHF$4</f>
        <v>22638.513599999998</v>
      </c>
      <c r="AHD13" s="593">
        <f>'Proy 2022 vs 2019 sem'!FG12*AHF$4</f>
        <v>19921.891968</v>
      </c>
      <c r="AHE13" s="699"/>
      <c r="AHF13" s="700">
        <f>AHE13/AHC13</f>
        <v>0</v>
      </c>
      <c r="AHG13" s="593">
        <f>'Proy 2022 vs 2019 sem'!FF12*AHJ$4</f>
        <v>31127.956199999997</v>
      </c>
      <c r="AHH13" s="593">
        <f>'Proy 2022 vs 2019 sem'!FG12*AHJ$4</f>
        <v>27392.601455999997</v>
      </c>
      <c r="AHI13" s="699"/>
      <c r="AHJ13" s="700">
        <f>AHI13/AHG13</f>
        <v>0</v>
      </c>
      <c r="AHK13" s="579">
        <f>AGI13+AGM13+AGQ13+AGU13+AGY13+AHC13+AHG13</f>
        <v>141490.70999999996</v>
      </c>
      <c r="AHL13" s="574">
        <f>AGJ13+AGN13+AGR13+AGV13+AGZ13+AHD13+AHH13</f>
        <v>124511.82479999997</v>
      </c>
      <c r="AHM13" s="765">
        <f>AGK13+AGO13+AGS13+AGW13+AHA13+AHE13+AHI13</f>
        <v>0</v>
      </c>
      <c r="AHN13" s="761">
        <f>AHM13/AHK13</f>
        <v>0</v>
      </c>
      <c r="AHO13" s="593">
        <f>'Proy 2022 vs 2019 sem'!FK12*AHR$4</f>
        <v>15713.299199999999</v>
      </c>
      <c r="AHP13" s="593">
        <f>'Proy 2022 vs 2019 sem'!FL12*AHR$4</f>
        <v>13827.703296000002</v>
      </c>
      <c r="AHQ13" s="699"/>
      <c r="AHR13" s="700">
        <f>AHQ13/AHO13</f>
        <v>0</v>
      </c>
      <c r="AHS13" s="593">
        <f>'Proy 2022 vs 2019 sem'!FK12*AHV$4</f>
        <v>15713.299199999999</v>
      </c>
      <c r="AHT13" s="593">
        <f>'Proy 2022 vs 2019 sem'!FL12*AHV$4</f>
        <v>13827.703296000002</v>
      </c>
      <c r="AHU13" s="699"/>
      <c r="AHV13" s="700">
        <f>AHU13/AHS13</f>
        <v>0</v>
      </c>
      <c r="AHW13" s="593">
        <f>'Proy 2022 vs 2019 sem'!FK12*AHZ$4</f>
        <v>15713.299199999999</v>
      </c>
      <c r="AHX13" s="593">
        <f>'Proy 2022 vs 2019 sem'!FL12*AHZ$4</f>
        <v>13827.703296000002</v>
      </c>
      <c r="AHY13" s="699"/>
      <c r="AHZ13" s="700">
        <f>AHY13/AHW13</f>
        <v>0</v>
      </c>
      <c r="AIA13" s="593">
        <f>'Proy 2022 vs 2019 sem'!FK12*AID$4</f>
        <v>15713.299199999999</v>
      </c>
      <c r="AIB13" s="593">
        <f>'Proy 2022 vs 2019 sem'!FL12*AID$4</f>
        <v>13827.703296000002</v>
      </c>
      <c r="AIC13" s="699"/>
      <c r="AID13" s="700">
        <f>AIC13/AIA13</f>
        <v>0</v>
      </c>
      <c r="AIE13" s="593">
        <f>'Proy 2022 vs 2019 sem'!FK12*AIH$4</f>
        <v>18332.182400000002</v>
      </c>
      <c r="AIF13" s="593">
        <f>'Proy 2022 vs 2019 sem'!FL12*AIH$4</f>
        <v>16132.320512000002</v>
      </c>
      <c r="AIG13" s="699"/>
      <c r="AIH13" s="700">
        <f>AIG13/AIE13</f>
        <v>0</v>
      </c>
      <c r="AII13" s="593">
        <f>'Proy 2022 vs 2019 sem'!FK12*AIL$4</f>
        <v>20951.065600000002</v>
      </c>
      <c r="AIJ13" s="593">
        <f>'Proy 2022 vs 2019 sem'!FL12*AIL$4</f>
        <v>18436.937728000001</v>
      </c>
      <c r="AIK13" s="699"/>
      <c r="AIL13" s="700">
        <f>AIK13/AII13</f>
        <v>0</v>
      </c>
      <c r="AIM13" s="593">
        <f>'Proy 2022 vs 2019 sem'!FK12*AIP$4</f>
        <v>28807.715200000002</v>
      </c>
      <c r="AIN13" s="593">
        <f>'Proy 2022 vs 2019 sem'!FL12*AIP$4</f>
        <v>25350.789376000001</v>
      </c>
      <c r="AIO13" s="699"/>
      <c r="AIP13" s="700">
        <f>AIO13/AIM13</f>
        <v>0</v>
      </c>
      <c r="AIQ13" s="579">
        <f>AHO13+AHS13+AHW13+AIA13+AIE13+AII13+AIM13</f>
        <v>130944.16</v>
      </c>
      <c r="AIR13" s="574">
        <f>AHP13+AHT13+AHX13+AIB13+AIF13+AIJ13+AIN13</f>
        <v>115230.86080000001</v>
      </c>
      <c r="AIS13" s="765">
        <f>AHQ13+AHU13+AHY13+AIC13+AIG13+AIK13+AIO13</f>
        <v>0</v>
      </c>
      <c r="AIT13" s="761">
        <f>AIS13/AIQ13</f>
        <v>0</v>
      </c>
      <c r="AIU13" s="593">
        <f>'Proy 2022 vs 2019 sem'!FP12*AIX$4</f>
        <v>16095.421200000001</v>
      </c>
      <c r="AIV13" s="593">
        <f>'Proy 2022 vs 2019 sem'!FQ12*AIX$4</f>
        <v>14807.787504000002</v>
      </c>
      <c r="AIW13" s="699"/>
      <c r="AIX13" s="700">
        <f>AIW13/AIU13</f>
        <v>0</v>
      </c>
      <c r="AIY13" s="593">
        <f>'Proy 2022 vs 2019 sem'!FP12*AJB$4</f>
        <v>16095.421200000001</v>
      </c>
      <c r="AIZ13" s="593">
        <f>'Proy 2022 vs 2019 sem'!FQ12*AJB$4</f>
        <v>14807.787504000002</v>
      </c>
      <c r="AJA13" s="699"/>
      <c r="AJB13" s="700">
        <f>AJA13/AIY13</f>
        <v>0</v>
      </c>
      <c r="AJC13" s="593">
        <f>'Proy 2022 vs 2019 sem'!FP12*AJF$4</f>
        <v>16095.421200000001</v>
      </c>
      <c r="AJD13" s="593">
        <f>'Proy 2022 vs 2019 sem'!FQ12*AJF$4</f>
        <v>14807.787504000002</v>
      </c>
      <c r="AJE13" s="699"/>
      <c r="AJF13" s="700">
        <f>AJE13/AJC13</f>
        <v>0</v>
      </c>
      <c r="AJG13" s="593">
        <f>'Proy 2022 vs 2019 sem'!FP12*AJJ$4</f>
        <v>16095.421200000001</v>
      </c>
      <c r="AJH13" s="593">
        <f>'Proy 2022 vs 2019 sem'!FQ12*AJJ$4</f>
        <v>14807.787504000002</v>
      </c>
      <c r="AJI13" s="699"/>
      <c r="AJJ13" s="700">
        <f>AJI13/AJG13</f>
        <v>0</v>
      </c>
      <c r="AJK13" s="593">
        <f>'Proy 2022 vs 2019 sem'!FP12*AJN$4</f>
        <v>18777.991400000003</v>
      </c>
      <c r="AJL13" s="593">
        <f>'Proy 2022 vs 2019 sem'!FQ12*AJN$4</f>
        <v>17275.752088000005</v>
      </c>
      <c r="AJM13" s="699"/>
      <c r="AJN13" s="700">
        <f>AJM13/AJK13</f>
        <v>0</v>
      </c>
      <c r="AJO13" s="593">
        <f>'Proy 2022 vs 2019 sem'!FP12*AJR$4</f>
        <v>21460.561600000001</v>
      </c>
      <c r="AJP13" s="593">
        <f>'Proy 2022 vs 2019 sem'!FQ12*AJR$4</f>
        <v>19743.716672000002</v>
      </c>
      <c r="AJQ13" s="699"/>
      <c r="AJR13" s="700">
        <f>AJQ13/AJO13</f>
        <v>0</v>
      </c>
      <c r="AJS13" s="593">
        <f>'Proy 2022 vs 2019 sem'!FP12*AJV$4</f>
        <v>29508.272200000003</v>
      </c>
      <c r="AJT13" s="593">
        <f>'Proy 2022 vs 2019 sem'!FQ12*AJV$4</f>
        <v>27147.610424000002</v>
      </c>
      <c r="AJU13" s="699"/>
      <c r="AJV13" s="700">
        <f>AJU13/AJS13</f>
        <v>0</v>
      </c>
      <c r="AJW13" s="579">
        <f>AIU13+AIY13+AJC13+AJG13+AJK13+AJO13+AJS13</f>
        <v>134128.51</v>
      </c>
      <c r="AJX13" s="574">
        <f>AIV13+AIZ13+AJD13+AJH13+AJL13+AJP13+AJT13</f>
        <v>123398.22920000002</v>
      </c>
      <c r="AJY13" s="770">
        <f>AIW13+AJA13+AJE13+AJI13+AJM13+AJQ13+AJU13</f>
        <v>0</v>
      </c>
      <c r="AJZ13" s="761">
        <f>AJY13/AJW13</f>
        <v>0</v>
      </c>
      <c r="AKA13" s="593"/>
      <c r="AKB13" s="593"/>
      <c r="AKC13" s="735"/>
      <c r="AKD13" s="700" t="e">
        <f>AKC13/AKA13</f>
        <v>#DIV/0!</v>
      </c>
      <c r="AKE13" s="593">
        <v>15705.631199999998</v>
      </c>
      <c r="AKF13" s="593">
        <v>16019.743823999999</v>
      </c>
      <c r="AKG13" s="699"/>
      <c r="AKH13" s="700">
        <f>AKG13/AKE13</f>
        <v>0</v>
      </c>
      <c r="AKI13" s="593">
        <v>15705.631199999998</v>
      </c>
      <c r="AKJ13" s="593">
        <v>16019.743823999999</v>
      </c>
      <c r="AKK13" s="699"/>
      <c r="AKL13" s="700">
        <f>AKK13/AKI13</f>
        <v>0</v>
      </c>
      <c r="AKM13" s="593">
        <v>15705.631199999998</v>
      </c>
      <c r="AKN13" s="593">
        <v>16019.743823999999</v>
      </c>
      <c r="AKO13" s="699"/>
      <c r="AKP13" s="700">
        <f>AKO13/AKM13</f>
        <v>0</v>
      </c>
      <c r="AKQ13" s="593">
        <v>18323.236400000002</v>
      </c>
      <c r="AKR13" s="593">
        <v>18689.701128000001</v>
      </c>
      <c r="AKS13" s="699"/>
      <c r="AKT13" s="700">
        <f>AKS13/AKQ13</f>
        <v>0</v>
      </c>
      <c r="AKU13" s="593">
        <v>20940.8416</v>
      </c>
      <c r="AKV13" s="593">
        <v>21359.658432</v>
      </c>
      <c r="AKW13" s="699"/>
      <c r="AKX13" s="700">
        <f>AKW13/AKU13</f>
        <v>0</v>
      </c>
      <c r="AKY13" s="593">
        <v>28793.657199999998</v>
      </c>
      <c r="AKZ13" s="593">
        <v>29369.530343999999</v>
      </c>
      <c r="ALA13" s="699"/>
      <c r="ALB13" s="700">
        <f>ALA13/AKY13</f>
        <v>0</v>
      </c>
      <c r="ALC13" s="579">
        <f>AKA13+AKE13+AKI13+AKM13+AKQ13+AKU13+AKY13</f>
        <v>115174.62879999999</v>
      </c>
      <c r="ALD13" s="574">
        <f>AKB13+AKF13+AKJ13+AKN13+AKR13+AKV13+AKZ13</f>
        <v>117478.121376</v>
      </c>
      <c r="ALE13" s="793">
        <f>AKC13+AKG13+AKK13+AKO13+AKS13+AKW13+ALA13</f>
        <v>0</v>
      </c>
      <c r="ALF13" s="786">
        <f>ALE13/ALC13</f>
        <v>0</v>
      </c>
      <c r="ALG13" s="593">
        <v>14156.01</v>
      </c>
      <c r="ALH13" s="593">
        <v>14439.1302</v>
      </c>
      <c r="ALI13" s="699"/>
      <c r="ALJ13" s="700">
        <f>ALI13/ALG13</f>
        <v>0</v>
      </c>
      <c r="ALK13" s="593">
        <v>14156.01</v>
      </c>
      <c r="ALL13" s="593">
        <v>14439.1302</v>
      </c>
      <c r="ALM13" s="699"/>
      <c r="ALN13" s="700">
        <f>ALM13/ALK13</f>
        <v>0</v>
      </c>
      <c r="ALO13" s="593">
        <v>14156.01</v>
      </c>
      <c r="ALP13" s="593">
        <v>14439.1302</v>
      </c>
      <c r="ALQ13" s="699"/>
      <c r="ALR13" s="700">
        <f>ALQ13/ALO13</f>
        <v>0</v>
      </c>
      <c r="ALS13" s="593">
        <v>14156.01</v>
      </c>
      <c r="ALT13" s="593">
        <v>14439.1302</v>
      </c>
      <c r="ALU13" s="699"/>
      <c r="ALV13" s="700">
        <f>ALU13/ALS13</f>
        <v>0</v>
      </c>
      <c r="ALW13" s="593">
        <v>16515.345000000001</v>
      </c>
      <c r="ALX13" s="593">
        <v>16845.651900000001</v>
      </c>
      <c r="ALY13" s="699"/>
      <c r="ALZ13" s="700">
        <f>ALY13/ALW13</f>
        <v>0</v>
      </c>
      <c r="AMA13" s="593">
        <v>18874.68</v>
      </c>
      <c r="AMB13" s="593">
        <v>19252.173600000002</v>
      </c>
      <c r="AMC13" s="699"/>
      <c r="AMD13" s="700">
        <f>AMC13/AMA13</f>
        <v>0</v>
      </c>
      <c r="AME13" s="593">
        <v>25952.685000000001</v>
      </c>
      <c r="AMF13" s="593">
        <v>26471.738700000002</v>
      </c>
      <c r="AMG13" s="699"/>
      <c r="AMH13" s="700">
        <f>AMG13/AME13</f>
        <v>0</v>
      </c>
      <c r="AMI13" s="579">
        <f>ALG13+ALK13+ALO13+ALS13+ALW13+AMA13+AME13</f>
        <v>117966.75</v>
      </c>
      <c r="AMJ13" s="574">
        <f>ALH13+ALL13+ALP13+ALT13+ALX13+AMB13+AMF13</f>
        <v>120326.08500000001</v>
      </c>
      <c r="AMK13" s="794">
        <f>ALI13+ALM13+ALQ13+ALU13+ALY13+AMC13+AMG13</f>
        <v>0</v>
      </c>
      <c r="AML13" s="786">
        <f>AMK13/AMI13</f>
        <v>0</v>
      </c>
      <c r="AMM13" s="593">
        <v>13225.949999999999</v>
      </c>
      <c r="AMN13" s="593">
        <v>13490.468999999999</v>
      </c>
      <c r="AMO13" s="699"/>
      <c r="AMP13" s="700">
        <f>AMO13/AMM13</f>
        <v>0</v>
      </c>
      <c r="AMQ13" s="593">
        <v>13225.949999999999</v>
      </c>
      <c r="AMR13" s="593">
        <v>13490.468999999999</v>
      </c>
      <c r="AMS13" s="699"/>
      <c r="AMT13" s="700">
        <f>AMS13/AMQ13</f>
        <v>0</v>
      </c>
      <c r="AMU13" s="593">
        <v>13225.949999999999</v>
      </c>
      <c r="AMV13" s="593">
        <v>13490.468999999999</v>
      </c>
      <c r="AMW13" s="699"/>
      <c r="AMX13" s="700">
        <f>AMW13/AMU13</f>
        <v>0</v>
      </c>
      <c r="AMY13" s="593">
        <v>13225.949999999999</v>
      </c>
      <c r="AMZ13" s="593">
        <v>13490.468999999999</v>
      </c>
      <c r="ANA13" s="699"/>
      <c r="ANB13" s="700">
        <f>ANA13/AMY13</f>
        <v>0</v>
      </c>
      <c r="ANC13" s="593">
        <v>15430.275000000001</v>
      </c>
      <c r="AND13" s="593">
        <v>15738.880500000001</v>
      </c>
      <c r="ANE13" s="699"/>
      <c r="ANF13" s="700">
        <f>ANE13/ANC13</f>
        <v>0</v>
      </c>
      <c r="ANG13" s="593">
        <v>17634.600000000002</v>
      </c>
      <c r="ANH13" s="593">
        <v>17987.292000000001</v>
      </c>
      <c r="ANI13" s="699"/>
      <c r="ANJ13" s="700">
        <f>ANI13/ANG13</f>
        <v>0</v>
      </c>
      <c r="ANK13" s="593">
        <v>24247.575000000001</v>
      </c>
      <c r="ANL13" s="593">
        <v>24732.5265</v>
      </c>
      <c r="ANM13" s="699"/>
      <c r="ANN13" s="700">
        <f>ANM13/ANK13</f>
        <v>0</v>
      </c>
      <c r="ANO13" s="579">
        <f>AMM13+AMQ13+AMU13+AMY13+ANC13+ANG13+ANK13</f>
        <v>110216.25</v>
      </c>
      <c r="ANP13" s="574">
        <f>AMN13+AMR13+AMV13+AMZ13+AND13+ANH13+ANL13</f>
        <v>112420.57500000001</v>
      </c>
      <c r="ANQ13" s="794">
        <f>AMO13+AMS13+AMW13+ANA13+ANE13+ANI13+ANM13</f>
        <v>0</v>
      </c>
      <c r="ANR13" s="786">
        <f>ANQ13/ANO13</f>
        <v>0</v>
      </c>
      <c r="ANS13" s="593">
        <f>'Proy 2022 vs 2019 sem'!GN12*ANV$4</f>
        <v>12636.134399999999</v>
      </c>
      <c r="ANT13" s="593">
        <f>'Proy 2022 vs 2019 sem'!GO12*ANV$4</f>
        <v>12383.411711999999</v>
      </c>
      <c r="ANU13" s="699"/>
      <c r="ANV13" s="700">
        <f>ANU13/ANS13</f>
        <v>0</v>
      </c>
      <c r="ANW13" s="593">
        <f>'Proy 2022 vs 2019 sem'!GN12*ANZ$4</f>
        <v>12636.134399999999</v>
      </c>
      <c r="ANX13" s="593">
        <f>'Proy 2022 vs 2019 sem'!GO12*ANZ$4</f>
        <v>12383.411711999999</v>
      </c>
      <c r="ANY13" s="699"/>
      <c r="ANZ13" s="700">
        <f>ANY13/ANW13</f>
        <v>0</v>
      </c>
      <c r="AOA13" s="593">
        <f>'Proy 2022 vs 2019 sem'!GN12*AOD$4</f>
        <v>12636.134399999999</v>
      </c>
      <c r="AOB13" s="593">
        <f>'Proy 2022 vs 2019 sem'!GO12*AOD$4</f>
        <v>12383.411711999999</v>
      </c>
      <c r="AOC13" s="699"/>
      <c r="AOD13" s="700">
        <f>AOC13/AOA13</f>
        <v>0</v>
      </c>
      <c r="AOE13" s="593">
        <f>'Proy 2022 vs 2019 sem'!GN12*AOH$4</f>
        <v>12636.134399999999</v>
      </c>
      <c r="AOF13" s="593">
        <f>'Proy 2022 vs 2019 sem'!GO12*AOH$4</f>
        <v>12383.411711999999</v>
      </c>
      <c r="AOG13" s="699"/>
      <c r="AOH13" s="700">
        <f>AOG13/AOE13</f>
        <v>0</v>
      </c>
      <c r="AOI13" s="593">
        <f>'Proy 2022 vs 2019 sem'!GN12*AOL$4</f>
        <v>14742.156800000001</v>
      </c>
      <c r="AOJ13" s="593">
        <f>'Proy 2022 vs 2019 sem'!GO12*AOL$4</f>
        <v>14447.313664000001</v>
      </c>
      <c r="AOK13" s="699"/>
      <c r="AOL13" s="700">
        <f>AOK13/AOI13</f>
        <v>0</v>
      </c>
      <c r="AOM13" s="593">
        <f>'Proy 2022 vs 2019 sem'!GN12*AOP$4</f>
        <v>16848.179199999999</v>
      </c>
      <c r="AON13" s="593">
        <f>'Proy 2022 vs 2019 sem'!GO12*AOP$4</f>
        <v>16511.215615999998</v>
      </c>
      <c r="AOO13" s="699"/>
      <c r="AOP13" s="700">
        <f>AOO13/AOM13</f>
        <v>0</v>
      </c>
      <c r="AOQ13" s="593">
        <f>'Proy 2022 vs 2019 sem'!GN12*AOT$4</f>
        <v>23166.2464</v>
      </c>
      <c r="AOR13" s="593">
        <f>'Proy 2022 vs 2019 sem'!GO12*AOT$4</f>
        <v>22702.921471999998</v>
      </c>
      <c r="AOS13" s="699"/>
      <c r="AOT13" s="700">
        <f>AOS13/AOQ13</f>
        <v>0</v>
      </c>
      <c r="AOU13" s="579">
        <f>ANS13+ANW13+AOA13+AOE13+AOI13+AOM13+AOQ13</f>
        <v>105301.12</v>
      </c>
      <c r="AOV13" s="574">
        <f>ANT13+ANX13+AOB13+AOF13+AOJ13+AON13+AOR13</f>
        <v>103195.09759999999</v>
      </c>
      <c r="AOW13" s="785">
        <f>ANU13+ANY13+AOC13+AOG13+AOK13+AOO13+AOS13</f>
        <v>0</v>
      </c>
      <c r="AOX13" s="786">
        <f>AOW13/AOU13</f>
        <v>0</v>
      </c>
      <c r="AOY13" s="593">
        <f>'Proy 2022 vs 2019 sem'!GW12*APB$4</f>
        <v>12088.439999999999</v>
      </c>
      <c r="AOZ13" s="593">
        <f>'Proy 2022 vs 2019 sem'!GX12*APB$4</f>
        <v>11846.671199999999</v>
      </c>
      <c r="APA13" s="735"/>
      <c r="APB13" s="700">
        <f>APA13/AOY13</f>
        <v>0</v>
      </c>
      <c r="APC13" s="593">
        <f>'Proy 2022 vs 2019 sem'!GW12*APF$4</f>
        <v>12088.439999999999</v>
      </c>
      <c r="APD13" s="593">
        <f>'Proy 2022 vs 2019 sem'!GX12*APF$4</f>
        <v>11846.671199999999</v>
      </c>
      <c r="APE13" s="735"/>
      <c r="APF13" s="700">
        <f>APE13/APC13</f>
        <v>0</v>
      </c>
      <c r="APG13" s="593">
        <f>'Proy 2022 vs 2019 sem'!GW12*APJ$4</f>
        <v>12088.439999999999</v>
      </c>
      <c r="APH13" s="593">
        <f>'Proy 2022 vs 2019 sem'!GX12*APJ$4</f>
        <v>11846.671199999999</v>
      </c>
      <c r="API13" s="735"/>
      <c r="APJ13" s="700">
        <f>API13/APG13</f>
        <v>0</v>
      </c>
      <c r="APK13" s="593">
        <f>'Proy 2022 vs 2019 sem'!GW12*APN$4</f>
        <v>12088.439999999999</v>
      </c>
      <c r="APL13" s="593">
        <f>'Proy 2022 vs 2019 sem'!GX12*APN$4</f>
        <v>11846.671199999999</v>
      </c>
      <c r="APM13" s="735"/>
      <c r="APN13" s="700">
        <f>APM13/APK13</f>
        <v>0</v>
      </c>
      <c r="APO13" s="593">
        <f>'Proy 2022 vs 2019 sem'!GW12*APR$4</f>
        <v>14103.180000000002</v>
      </c>
      <c r="APP13" s="593">
        <f>'Proy 2022 vs 2019 sem'!GX12*APR$4</f>
        <v>13821.116400000001</v>
      </c>
      <c r="APQ13" s="735"/>
      <c r="APR13" s="700">
        <f>APQ13/APO13</f>
        <v>0</v>
      </c>
      <c r="APS13" s="593">
        <f>'Proy 2022 vs 2019 sem'!GW12*APV$4</f>
        <v>16117.92</v>
      </c>
      <c r="APT13" s="593">
        <f>'Proy 2022 vs 2019 sem'!GX12*APV$4</f>
        <v>15795.561599999999</v>
      </c>
      <c r="APU13" s="735"/>
      <c r="APV13" s="700">
        <f>APU13/APS13</f>
        <v>0</v>
      </c>
      <c r="APW13" s="593">
        <f>'Proy 2022 vs 2019 sem'!GW12*APZ$4</f>
        <v>22162.14</v>
      </c>
      <c r="APX13" s="593">
        <f>'Proy 2022 vs 2019 sem'!GX12*APZ$4</f>
        <v>21718.897199999999</v>
      </c>
      <c r="APY13" s="735"/>
      <c r="APZ13" s="700">
        <f>APY13/APW13</f>
        <v>0</v>
      </c>
      <c r="AQA13" s="579">
        <f>AOY13+APC13+APG13+APK13+APO13+APS13+APW13</f>
        <v>100737</v>
      </c>
      <c r="AQB13" s="574">
        <f>AOZ13+APD13+APH13+APL13+APP13+APT13+APX13</f>
        <v>98722.25999999998</v>
      </c>
      <c r="AQC13" s="729">
        <f>APA13+APE13+API13+APM13+APQ13+APU13+APY13</f>
        <v>0</v>
      </c>
      <c r="AQD13" s="711">
        <f>AQC13/AQA13</f>
        <v>0</v>
      </c>
      <c r="AQE13" s="593">
        <f>'Proy 2022 vs 2019 sem'!HB12*AQH$4</f>
        <v>13862.162399999999</v>
      </c>
      <c r="AQF13" s="593">
        <f>'Proy 2022 vs 2019 sem'!HC12*AQH$4</f>
        <v>13862.162399999999</v>
      </c>
      <c r="AQG13" s="699"/>
      <c r="AQH13" s="700">
        <f>AQG13/AQE13</f>
        <v>0</v>
      </c>
      <c r="AQI13" s="593">
        <f>'Proy 2022 vs 2019 sem'!HB12*AQL$4</f>
        <v>13862.162399999999</v>
      </c>
      <c r="AQJ13" s="593">
        <f>'Proy 2022 vs 2019 sem'!HC12*AQL$4</f>
        <v>13862.162399999999</v>
      </c>
      <c r="AQK13" s="699"/>
      <c r="AQL13" s="700">
        <f>AQK13/AQI13</f>
        <v>0</v>
      </c>
      <c r="AQM13" s="593">
        <f>'Proy 2022 vs 2019 sem'!HB12*AQP$4</f>
        <v>13862.162399999999</v>
      </c>
      <c r="AQN13" s="593">
        <f>'Proy 2022 vs 2019 sem'!HC12*AQP$4</f>
        <v>13862.162399999999</v>
      </c>
      <c r="AQO13" s="699"/>
      <c r="AQP13" s="700">
        <f>AQO13/AQM13</f>
        <v>0</v>
      </c>
      <c r="AQQ13" s="593">
        <f>'Proy 2022 vs 2019 sem'!HB12*AQT$4</f>
        <v>13862.162399999999</v>
      </c>
      <c r="AQR13" s="593">
        <f>'Proy 2022 vs 2019 sem'!HC12*AQT$4</f>
        <v>13862.162399999999</v>
      </c>
      <c r="AQS13" s="699"/>
      <c r="AQT13" s="700">
        <f>AQS13/AQQ13</f>
        <v>0</v>
      </c>
      <c r="AQU13" s="593">
        <f>'Proy 2022 vs 2019 sem'!HB12*AQX$4</f>
        <v>16172.522800000002</v>
      </c>
      <c r="AQV13" s="593">
        <f>'Proy 2022 vs 2019 sem'!HC12*AQX$4</f>
        <v>16172.522800000002</v>
      </c>
      <c r="AQW13" s="699"/>
      <c r="AQX13" s="700">
        <f>AQW13/AQU13</f>
        <v>0</v>
      </c>
      <c r="AQY13" s="593">
        <f>'Proy 2022 vs 2019 sem'!HB12*ARB$4</f>
        <v>18482.8832</v>
      </c>
      <c r="AQZ13" s="593">
        <f>'Proy 2022 vs 2019 sem'!HC12*ARB$4</f>
        <v>18482.8832</v>
      </c>
      <c r="ARA13" s="699"/>
      <c r="ARB13" s="700">
        <f>ARA13/AQY13</f>
        <v>0</v>
      </c>
      <c r="ARC13" s="593">
        <f>'Proy 2022 vs 2019 sem'!HB12*ARF$4</f>
        <v>25413.964400000001</v>
      </c>
      <c r="ARD13" s="593">
        <f>'Proy 2022 vs 2019 sem'!HC12*ARF$4</f>
        <v>25413.964400000001</v>
      </c>
      <c r="ARE13" s="699"/>
      <c r="ARF13" s="700">
        <f>ARE13/ARC13</f>
        <v>0</v>
      </c>
      <c r="ARG13" s="579">
        <f>AQE13+AQI13+AQM13+AQQ13+AQU13+AQY13+ARC13</f>
        <v>115518.01999999999</v>
      </c>
      <c r="ARH13" s="574">
        <f>AQF13+AQJ13+AQN13+AQR13+AQV13+AQZ13+ARD13</f>
        <v>115518.01999999999</v>
      </c>
      <c r="ARI13" s="730">
        <f>AQG13+AQK13+AQO13+AQS13+AQW13+ARA13+ARE13</f>
        <v>0</v>
      </c>
      <c r="ARJ13" s="711">
        <f>ARI13/ARG13</f>
        <v>0</v>
      </c>
      <c r="ARK13" s="593">
        <f>'Proy 2022 vs 2019 sem'!HG12*ARN$4</f>
        <v>11177.606400000001</v>
      </c>
      <c r="ARL13" s="593">
        <f>'Proy 2022 vs 2019 sem'!HH12*ARN$4</f>
        <v>10618.726079999999</v>
      </c>
      <c r="ARM13" s="699"/>
      <c r="ARN13" s="700">
        <f>ARM13/ARK13</f>
        <v>0</v>
      </c>
      <c r="ARO13" s="593">
        <f>'Proy 2022 vs 2019 sem'!HG12*ARR$4</f>
        <v>11177.606400000001</v>
      </c>
      <c r="ARP13" s="593">
        <f>'Proy 2022 vs 2019 sem'!HH12*ARR$4</f>
        <v>10618.726079999999</v>
      </c>
      <c r="ARQ13" s="699"/>
      <c r="ARR13" s="700">
        <f>ARQ13/ARO13</f>
        <v>0</v>
      </c>
      <c r="ARS13" s="593">
        <f>'Proy 2022 vs 2019 sem'!HG12*ARV$4</f>
        <v>11177.606400000001</v>
      </c>
      <c r="ART13" s="593">
        <f>'Proy 2022 vs 2019 sem'!HH12*ARV$4</f>
        <v>10618.726079999999</v>
      </c>
      <c r="ARU13" s="699"/>
      <c r="ARV13" s="700">
        <f>ARU13/ARS13</f>
        <v>0</v>
      </c>
      <c r="ARW13" s="593">
        <f>'Proy 2022 vs 2019 sem'!HG12*ARZ$4</f>
        <v>11177.606400000001</v>
      </c>
      <c r="ARX13" s="593">
        <f>'Proy 2022 vs 2019 sem'!HH12*ARZ$4</f>
        <v>10618.726079999999</v>
      </c>
      <c r="ARY13" s="699"/>
      <c r="ARZ13" s="700">
        <f>ARY13/ARW13</f>
        <v>0</v>
      </c>
      <c r="ASA13" s="593">
        <f>'Proy 2022 vs 2019 sem'!HG12*ASD$4</f>
        <v>13040.540800000001</v>
      </c>
      <c r="ASB13" s="593">
        <f>'Proy 2022 vs 2019 sem'!HH12*ASD$4</f>
        <v>12388.51376</v>
      </c>
      <c r="ASC13" s="699"/>
      <c r="ASD13" s="700">
        <f>ASC13/ASA13</f>
        <v>0</v>
      </c>
      <c r="ASE13" s="593">
        <f>'Proy 2022 vs 2019 sem'!HG12*ASH$4</f>
        <v>14903.475200000001</v>
      </c>
      <c r="ASF13" s="593">
        <f>'Proy 2022 vs 2019 sem'!HH12*ASH$4</f>
        <v>14158.301439999999</v>
      </c>
      <c r="ASG13" s="699"/>
      <c r="ASH13" s="700">
        <f>ASG13/ASE13</f>
        <v>0</v>
      </c>
      <c r="ASI13" s="593">
        <f>'Proy 2022 vs 2019 sem'!HG12*ASL$4</f>
        <v>20492.278399999999</v>
      </c>
      <c r="ASJ13" s="593">
        <f>'Proy 2022 vs 2019 sem'!HH12*ASL$4</f>
        <v>19467.664479999999</v>
      </c>
      <c r="ASK13" s="699"/>
      <c r="ASL13" s="700">
        <f>ASK13/ASI13</f>
        <v>0</v>
      </c>
      <c r="ASM13" s="579">
        <f>ARK13+ARO13+ARS13+ARW13+ASA13+ASE13+ASI13</f>
        <v>93146.72</v>
      </c>
      <c r="ASN13" s="574">
        <f>ARL13+ARP13+ART13+ARX13+ASB13+ASF13+ASJ13</f>
        <v>88489.383999999991</v>
      </c>
      <c r="ASO13" s="730">
        <f>ARM13+ARQ13+ARU13+ARY13+ASC13+ASG13+ASK13</f>
        <v>0</v>
      </c>
      <c r="ASP13" s="711">
        <f>ASO13/ASM13</f>
        <v>0</v>
      </c>
      <c r="ASQ13" s="593">
        <f>'Proy 2022 vs 2019 sem'!HL12*AST$4</f>
        <v>10649.1396</v>
      </c>
      <c r="ASR13" s="593">
        <f>'Proy 2022 vs 2019 sem'!HM12*AST$4</f>
        <v>10329.665412</v>
      </c>
      <c r="ASS13" s="699"/>
      <c r="AST13" s="700">
        <f>ASS13/ASQ13</f>
        <v>0</v>
      </c>
      <c r="ASU13" s="593">
        <f>'Proy 2022 vs 2019 sem'!HL12*ASX$4</f>
        <v>10649.1396</v>
      </c>
      <c r="ASV13" s="593">
        <f>'Proy 2022 vs 2019 sem'!HM12*ASX$4</f>
        <v>10329.665412</v>
      </c>
      <c r="ASW13" s="699"/>
      <c r="ASX13" s="700">
        <f>ASW13/ASU13</f>
        <v>0</v>
      </c>
      <c r="ASY13" s="593">
        <f>'Proy 2022 vs 2019 sem'!HL12*ATB$4</f>
        <v>10649.1396</v>
      </c>
      <c r="ASZ13" s="593">
        <f>'Proy 2022 vs 2019 sem'!HM12*ATB$4</f>
        <v>10329.665412</v>
      </c>
      <c r="ATA13" s="699"/>
      <c r="ATB13" s="700">
        <f>ATA13/ASY13</f>
        <v>0</v>
      </c>
      <c r="ATC13" s="593">
        <f>'Proy 2022 vs 2019 sem'!HL12*ATF$4</f>
        <v>10649.1396</v>
      </c>
      <c r="ATD13" s="593">
        <f>'Proy 2022 vs 2019 sem'!HM12*ATF$4</f>
        <v>10329.665412</v>
      </c>
      <c r="ATE13" s="699"/>
      <c r="ATF13" s="700">
        <f>ATE13/ATC13</f>
        <v>0</v>
      </c>
      <c r="ATG13" s="593">
        <f>'Proy 2022 vs 2019 sem'!HL12*ATJ$4</f>
        <v>12423.996200000001</v>
      </c>
      <c r="ATH13" s="593">
        <f>'Proy 2022 vs 2019 sem'!HM12*ATJ$4</f>
        <v>12051.276314000002</v>
      </c>
      <c r="ATI13" s="699"/>
      <c r="ATJ13" s="700">
        <f>ATI13/ATG13</f>
        <v>0</v>
      </c>
      <c r="ATK13" s="593">
        <f>'Proy 2022 vs 2019 sem'!HL12*ATN$4</f>
        <v>14198.852800000001</v>
      </c>
      <c r="ATL13" s="593">
        <f>'Proy 2022 vs 2019 sem'!HM12*ATN$4</f>
        <v>13772.887216000001</v>
      </c>
      <c r="ATM13" s="699"/>
      <c r="ATN13" s="700">
        <f>ATM13/ATK13</f>
        <v>0</v>
      </c>
      <c r="ATO13" s="593">
        <f>'Proy 2022 vs 2019 sem'!HL12*ATR$4</f>
        <v>19523.422600000002</v>
      </c>
      <c r="ATP13" s="593">
        <f>'Proy 2022 vs 2019 sem'!HM12*ATR$4</f>
        <v>18937.719922</v>
      </c>
      <c r="ATQ13" s="699"/>
      <c r="ATR13" s="700">
        <f>ATQ13/ATO13</f>
        <v>0</v>
      </c>
      <c r="ATS13" s="579">
        <f>ASQ13+ASU13+ASY13+ATC13+ATG13+ATK13+ATO13</f>
        <v>88742.83</v>
      </c>
      <c r="ATT13" s="574">
        <f>ASR13+ASV13+ASZ13+ATD13+ATH13+ATL13+ATP13</f>
        <v>86080.545100000003</v>
      </c>
      <c r="ATU13" s="710">
        <f>ASS13+ASW13+ATA13+ATE13+ATI13+ATM13+ATQ13</f>
        <v>0</v>
      </c>
      <c r="ATV13" s="711">
        <f>ATU13/ATS13</f>
        <v>0</v>
      </c>
      <c r="ATW13" s="593">
        <f>'Proy 2022 vs 2019 sem'!HQ12*ATZ$4</f>
        <v>12309.163199999999</v>
      </c>
      <c r="ATX13" s="593">
        <f>'Proy 2022 vs 2019 sem'!HR12*ATZ$4</f>
        <v>11939.888304</v>
      </c>
      <c r="ATY13" s="699"/>
      <c r="ATZ13" s="700">
        <f>ATY13/ATW13</f>
        <v>0</v>
      </c>
      <c r="AUA13" s="593">
        <f>'Proy 2022 vs 2019 sem'!HQ12*AUD$4</f>
        <v>12309.163199999999</v>
      </c>
      <c r="AUB13" s="593">
        <f>'Proy 2022 vs 2019 sem'!HR12*AUD$4</f>
        <v>11939.888304</v>
      </c>
      <c r="AUC13" s="699"/>
      <c r="AUD13" s="700">
        <f>AUC13/AUA13</f>
        <v>0</v>
      </c>
      <c r="AUE13" s="593">
        <f>'Proy 2022 vs 2019 sem'!HQ12*AUH$4</f>
        <v>12309.163199999999</v>
      </c>
      <c r="AUF13" s="593">
        <f>'Proy 2022 vs 2019 sem'!HR12*AUH$4</f>
        <v>11939.888304</v>
      </c>
      <c r="AUG13" s="699"/>
      <c r="AUH13" s="700">
        <f>AUG13/AUE13</f>
        <v>0</v>
      </c>
      <c r="AUI13" s="593">
        <f>'Proy 2022 vs 2019 sem'!HQ12*AUL$4</f>
        <v>12309.163199999999</v>
      </c>
      <c r="AUJ13" s="593">
        <f>'Proy 2022 vs 2019 sem'!HR12*AUL$4</f>
        <v>11939.888304</v>
      </c>
      <c r="AUK13" s="699"/>
      <c r="AUL13" s="700">
        <f>AUK13/AUI13</f>
        <v>0</v>
      </c>
      <c r="AUM13" s="593">
        <f>'Proy 2022 vs 2019 sem'!HQ12*AUP$4</f>
        <v>14360.690400000001</v>
      </c>
      <c r="AUN13" s="593">
        <f>'Proy 2022 vs 2019 sem'!HR12*AUP$4</f>
        <v>13929.869688000001</v>
      </c>
      <c r="AUO13" s="699"/>
      <c r="AUP13" s="700">
        <f>AUO13/AUM13</f>
        <v>0</v>
      </c>
      <c r="AUQ13" s="593">
        <f>'Proy 2022 vs 2019 sem'!HQ12*AUT$4</f>
        <v>16412.2176</v>
      </c>
      <c r="AUR13" s="593">
        <f>'Proy 2022 vs 2019 sem'!HR12*AUT$4</f>
        <v>15919.851071999999</v>
      </c>
      <c r="AUS13" s="699"/>
      <c r="AUT13" s="700">
        <f>AUS13/AUQ13</f>
        <v>0</v>
      </c>
      <c r="AUU13" s="593">
        <f>'Proy 2022 vs 2019 sem'!HQ12*AUX$4</f>
        <v>22566.799200000001</v>
      </c>
      <c r="AUV13" s="593">
        <f>'Proy 2022 vs 2019 sem'!HR12*AUX$4</f>
        <v>21889.795224000001</v>
      </c>
      <c r="AUW13" s="699"/>
      <c r="AUX13" s="700">
        <f>AUW13/AUU13</f>
        <v>0</v>
      </c>
      <c r="AUY13" s="579">
        <f>ATW13+AUA13+AUE13+AUI13+AUM13+AUQ13+AUU13</f>
        <v>102576.35999999999</v>
      </c>
      <c r="AUZ13" s="574">
        <f>ATX13+AUB13+AUF13+AUJ13+AUN13+AUR13+AUV13</f>
        <v>99499.069199999998</v>
      </c>
      <c r="AVA13" s="710">
        <f>ATY13+AUC13+AUG13+AUK13+AUO13+AUS13+AUW13</f>
        <v>0</v>
      </c>
      <c r="AVB13" s="711">
        <f>AVA13/AUY13</f>
        <v>0</v>
      </c>
      <c r="AVC13" s="593">
        <f>'Proy 2022 vs 2019 sem'!HZ12*AVF$4</f>
        <v>10558.116</v>
      </c>
      <c r="AVD13" s="593">
        <f>'Proy 2022 vs 2019 sem'!IA12*AVF$4</f>
        <v>10241.372519999999</v>
      </c>
      <c r="AVE13" s="735"/>
      <c r="AVF13" s="700">
        <f>AVE13/AVC13</f>
        <v>0</v>
      </c>
      <c r="AVG13" s="593">
        <f>'Proy 2022 vs 2019 sem'!HZ12*AVJ$4</f>
        <v>10558.116</v>
      </c>
      <c r="AVH13" s="593">
        <f>'Proy 2022 vs 2019 sem'!IA12*AVJ$4</f>
        <v>10241.372519999999</v>
      </c>
      <c r="AVI13" s="699"/>
      <c r="AVJ13" s="700">
        <f>AVI13/AVG13</f>
        <v>0</v>
      </c>
      <c r="AVK13" s="593">
        <f>'Proy 2022 vs 2019 sem'!HZ12*AVN$4</f>
        <v>10558.116</v>
      </c>
      <c r="AVL13" s="593">
        <f>'Proy 2022 vs 2019 sem'!IA12*AVN$4</f>
        <v>10241.372519999999</v>
      </c>
      <c r="AVM13" s="699"/>
      <c r="AVN13" s="700">
        <f>AVM13/AVK13</f>
        <v>0</v>
      </c>
      <c r="AVO13" s="593">
        <f>'Proy 2022 vs 2019 sem'!HZ12*AVR$4</f>
        <v>10558.116</v>
      </c>
      <c r="AVP13" s="593">
        <f>'Proy 2022 vs 2019 sem'!IA12*AVR$4</f>
        <v>10241.372519999999</v>
      </c>
      <c r="AVQ13" s="699"/>
      <c r="AVR13" s="700">
        <f>AVQ13/AVO13</f>
        <v>0</v>
      </c>
      <c r="AVS13" s="593">
        <f>'Proy 2022 vs 2019 sem'!HZ12*AVV$4</f>
        <v>12317.802000000001</v>
      </c>
      <c r="AVT13" s="593">
        <f>'Proy 2022 vs 2019 sem'!IA12*AVV$4</f>
        <v>11948.26794</v>
      </c>
      <c r="AVU13" s="699"/>
      <c r="AVV13" s="700">
        <f>AVU13/AVS13</f>
        <v>0</v>
      </c>
      <c r="AVW13" s="593">
        <f>'Proy 2022 vs 2019 sem'!HZ12*AVZ$4</f>
        <v>14077.488000000001</v>
      </c>
      <c r="AVX13" s="593">
        <f>'Proy 2022 vs 2019 sem'!IA12*AVZ$4</f>
        <v>13655.163359999999</v>
      </c>
      <c r="AVY13" s="699"/>
      <c r="AVZ13" s="700">
        <f>AVY13/AVW13</f>
        <v>0</v>
      </c>
      <c r="AWA13" s="593">
        <f>'Proy 2022 vs 2019 sem'!HZ12*AWD$4</f>
        <v>19356.546000000002</v>
      </c>
      <c r="AWB13" s="593">
        <f>'Proy 2022 vs 2019 sem'!IA12*AWD$4</f>
        <v>18775.849619999997</v>
      </c>
      <c r="AWC13" s="699"/>
      <c r="AWD13" s="700">
        <f>AWC13/AWA13</f>
        <v>0</v>
      </c>
      <c r="AWE13" s="579">
        <f>AVC13+AVG13+AVK13+AVO13+AVS13+AVW13+AWA13</f>
        <v>87984.3</v>
      </c>
      <c r="AWF13" s="574">
        <f>AVD13+AVH13+AVL13+AVP13+AVT13+AVX13+AWB13</f>
        <v>85344.770999999979</v>
      </c>
      <c r="AWG13" s="793">
        <f>AVE13+AVI13+AVM13+AVQ13+AVU13+AVY13+AWC13</f>
        <v>0</v>
      </c>
      <c r="AWH13" s="786">
        <f>AWG13/AWE13</f>
        <v>0</v>
      </c>
      <c r="AWI13" s="593">
        <f>'Proy 2022 vs 2019 sem'!IE12*AWL$4</f>
        <v>11834.4288</v>
      </c>
      <c r="AWJ13" s="593">
        <f>'Proy 2022 vs 2019 sem'!IF12*AWL$4</f>
        <v>11361.051647999999</v>
      </c>
      <c r="AWK13" s="699"/>
      <c r="AWL13" s="700">
        <f>AWK13/AWI13</f>
        <v>0</v>
      </c>
      <c r="AWM13" s="593">
        <f>'Proy 2022 vs 2019 sem'!IE12*AWP$4</f>
        <v>11834.4288</v>
      </c>
      <c r="AWN13" s="593">
        <f>'Proy 2022 vs 2019 sem'!IF12*AWP$4</f>
        <v>11361.051647999999</v>
      </c>
      <c r="AWO13" s="699"/>
      <c r="AWP13" s="700">
        <f>AWO13/AWM13</f>
        <v>0</v>
      </c>
      <c r="AWQ13" s="593">
        <f>'Proy 2022 vs 2019 sem'!IE12*AWT$4</f>
        <v>11834.4288</v>
      </c>
      <c r="AWR13" s="593">
        <f>'Proy 2022 vs 2019 sem'!IF12*AWT$4</f>
        <v>11361.051647999999</v>
      </c>
      <c r="AWS13" s="699"/>
      <c r="AWT13" s="700">
        <f>AWS13/AWQ13</f>
        <v>0</v>
      </c>
      <c r="AWU13" s="593">
        <f>'Proy 2022 vs 2019 sem'!IE12*AWX$4</f>
        <v>11834.4288</v>
      </c>
      <c r="AWV13" s="593">
        <f>'Proy 2022 vs 2019 sem'!IF12*AWX$4</f>
        <v>11361.051647999999</v>
      </c>
      <c r="AWW13" s="699"/>
      <c r="AWX13" s="700">
        <f>AWW13/AWU13</f>
        <v>0</v>
      </c>
      <c r="AWY13" s="593">
        <f>'Proy 2022 vs 2019 sem'!IE12*AXB$4</f>
        <v>13806.833600000002</v>
      </c>
      <c r="AWZ13" s="593">
        <f>'Proy 2022 vs 2019 sem'!IF12*AXB$4</f>
        <v>13254.560256000001</v>
      </c>
      <c r="AXA13" s="699"/>
      <c r="AXB13" s="700">
        <f>AXA13/AWY13</f>
        <v>0</v>
      </c>
      <c r="AXC13" s="593">
        <f>'Proy 2022 vs 2019 sem'!IE12*AXF$4</f>
        <v>15779.238400000002</v>
      </c>
      <c r="AXD13" s="593">
        <f>'Proy 2022 vs 2019 sem'!IF12*AXF$4</f>
        <v>15148.068864000001</v>
      </c>
      <c r="AXE13" s="699"/>
      <c r="AXF13" s="700">
        <f>AXE13/AXC13</f>
        <v>0</v>
      </c>
      <c r="AXG13" s="593">
        <f>'Proy 2022 vs 2019 sem'!IE12*AXJ$4</f>
        <v>21696.452800000003</v>
      </c>
      <c r="AXH13" s="593">
        <f>'Proy 2022 vs 2019 sem'!IF12*AXJ$4</f>
        <v>20828.594688000001</v>
      </c>
      <c r="AXI13" s="699"/>
      <c r="AXJ13" s="700">
        <f>AXI13/AXG13</f>
        <v>0</v>
      </c>
      <c r="AXK13" s="579">
        <f>AWI13+AWM13+AWQ13+AWU13+AWY13+AXC13+AXG13</f>
        <v>98620.24</v>
      </c>
      <c r="AXL13" s="574">
        <f>AWJ13+AWN13+AWR13+AWV13+AWZ13+AXD13+AXH13</f>
        <v>94675.430399999997</v>
      </c>
      <c r="AXM13" s="794">
        <f>AWK13+AWO13+AWS13+AWW13+AXA13+AXE13+AXI13</f>
        <v>0</v>
      </c>
      <c r="AXN13" s="786">
        <f>AXM13/AXK13</f>
        <v>0</v>
      </c>
      <c r="AXO13" s="593">
        <f>'Proy 2022 vs 2019 sem'!IJ12*AXR$4</f>
        <v>12024.96</v>
      </c>
      <c r="AXP13" s="593">
        <f>'Proy 2022 vs 2019 sem'!IK12*AXR$4</f>
        <v>11904.7104</v>
      </c>
      <c r="AXQ13" s="699"/>
      <c r="AXR13" s="700">
        <f>AXQ13/AXO13</f>
        <v>0</v>
      </c>
      <c r="AXS13" s="593">
        <f>'Proy 2022 vs 2019 sem'!IJ12*AXV$4</f>
        <v>12024.96</v>
      </c>
      <c r="AXT13" s="593">
        <f>'Proy 2022 vs 2019 sem'!IK12*AXV$4</f>
        <v>11904.7104</v>
      </c>
      <c r="AXU13" s="699"/>
      <c r="AXV13" s="700">
        <f>AXU13/AXS13</f>
        <v>0</v>
      </c>
      <c r="AXW13" s="593">
        <f>'Proy 2022 vs 2019 sem'!IJ12*AXZ$4</f>
        <v>12024.96</v>
      </c>
      <c r="AXX13" s="593">
        <f>'Proy 2022 vs 2019 sem'!IK12*AXZ$4</f>
        <v>11904.7104</v>
      </c>
      <c r="AXY13" s="699"/>
      <c r="AXZ13" s="700">
        <f>AXY13/AXW13</f>
        <v>0</v>
      </c>
      <c r="AYA13" s="593">
        <f>'Proy 2022 vs 2019 sem'!IJ12*AYD$4</f>
        <v>12024.96</v>
      </c>
      <c r="AYB13" s="593">
        <f>'Proy 2022 vs 2019 sem'!IK12*AYD$4</f>
        <v>11904.7104</v>
      </c>
      <c r="AYC13" s="699"/>
      <c r="AYD13" s="700">
        <f>AYC13/AYA13</f>
        <v>0</v>
      </c>
      <c r="AYE13" s="593">
        <f>'Proy 2022 vs 2019 sem'!IJ12*AYH$4</f>
        <v>14029.12</v>
      </c>
      <c r="AYF13" s="593">
        <f>'Proy 2022 vs 2019 sem'!IK12*AYH$4</f>
        <v>13888.828800000001</v>
      </c>
      <c r="AYG13" s="699"/>
      <c r="AYH13" s="700">
        <f>AYG13/AYE13</f>
        <v>0</v>
      </c>
      <c r="AYI13" s="593">
        <f>'Proy 2022 vs 2019 sem'!IJ12*AYL$4</f>
        <v>16033.28</v>
      </c>
      <c r="AYJ13" s="593">
        <f>'Proy 2022 vs 2019 sem'!IK12*AYL$4</f>
        <v>15872.947200000001</v>
      </c>
      <c r="AYK13" s="699"/>
      <c r="AYL13" s="700">
        <f>AYK13/AYI13</f>
        <v>0</v>
      </c>
      <c r="AYM13" s="593">
        <f>'Proy 2022 vs 2019 sem'!IJ12*AYP$4</f>
        <v>22045.759999999998</v>
      </c>
      <c r="AYN13" s="593">
        <f>'Proy 2022 vs 2019 sem'!IK12*AYP$4</f>
        <v>21825.3024</v>
      </c>
      <c r="AYO13" s="699"/>
      <c r="AYP13" s="700">
        <f>AYO13/AYM13</f>
        <v>0</v>
      </c>
      <c r="AYQ13" s="579">
        <f>AXO13+AXS13+AXW13+AYA13+AYE13+AYI13+AYM13</f>
        <v>100208</v>
      </c>
      <c r="AYR13" s="574">
        <f>AXP13+AXT13+AXX13+AYB13+AYF13+AYJ13+AYN13</f>
        <v>99205.92</v>
      </c>
      <c r="AYS13" s="794">
        <f>AXQ13+AXU13+AXY13+AYC13+AYG13+AYK13+AYO13</f>
        <v>0</v>
      </c>
      <c r="AYT13" s="786">
        <f>AYS13/AYQ13</f>
        <v>0</v>
      </c>
      <c r="AYU13" s="593">
        <f>'Proy 2022 vs 2019 sem'!IO12*AYX$4</f>
        <v>17958.679199999999</v>
      </c>
      <c r="AYV13" s="593">
        <f>'Proy 2022 vs 2019 sem'!IP12*AYX$4</f>
        <v>17240.332031999998</v>
      </c>
      <c r="AYW13" s="699"/>
      <c r="AYX13" s="700">
        <f>AYW13/AYU13</f>
        <v>0</v>
      </c>
      <c r="AYY13" s="593">
        <f>'Proy 2022 vs 2019 sem'!IO12*AZB$4</f>
        <v>17958.679199999999</v>
      </c>
      <c r="AYZ13" s="593">
        <f>'Proy 2022 vs 2019 sem'!IP12*AZB$4</f>
        <v>17240.332031999998</v>
      </c>
      <c r="AZA13" s="699"/>
      <c r="AZB13" s="700">
        <f>AZA13/AYY13</f>
        <v>0</v>
      </c>
      <c r="AZC13" s="593">
        <f>'Proy 2022 vs 2019 sem'!IO12*AZF$4</f>
        <v>17958.679199999999</v>
      </c>
      <c r="AZD13" s="593">
        <f>'Proy 2022 vs 2019 sem'!IP12*AZF$4</f>
        <v>17240.332031999998</v>
      </c>
      <c r="AZE13" s="699"/>
      <c r="AZF13" s="700">
        <f>AZE13/AZC13</f>
        <v>0</v>
      </c>
      <c r="AZG13" s="593">
        <f>'Proy 2022 vs 2019 sem'!IO12*AZJ$4</f>
        <v>17958.679199999999</v>
      </c>
      <c r="AZH13" s="593">
        <f>'Proy 2022 vs 2019 sem'!IP12*AZJ$4</f>
        <v>17240.332031999998</v>
      </c>
      <c r="AZI13" s="699"/>
      <c r="AZJ13" s="700">
        <f>AZI13/AZG13</f>
        <v>0</v>
      </c>
      <c r="AZK13" s="593">
        <f>'Proy 2022 vs 2019 sem'!IO12*AZN$4</f>
        <v>20951.792400000002</v>
      </c>
      <c r="AZL13" s="593">
        <f>'Proy 2022 vs 2019 sem'!IP12*AZN$4</f>
        <v>20113.720703999999</v>
      </c>
      <c r="AZM13" s="699"/>
      <c r="AZN13" s="700">
        <f>AZM13/AZK13</f>
        <v>0</v>
      </c>
      <c r="AZO13" s="593">
        <f>'Proy 2022 vs 2019 sem'!IO12*AZR$4</f>
        <v>23944.905600000002</v>
      </c>
      <c r="AZP13" s="593">
        <f>'Proy 2022 vs 2019 sem'!IP12*AZR$4</f>
        <v>22987.109376</v>
      </c>
      <c r="AZQ13" s="699"/>
      <c r="AZR13" s="700">
        <f>AZQ13/AZO13</f>
        <v>0</v>
      </c>
      <c r="AZS13" s="593">
        <f>'Proy 2022 vs 2019 sem'!IO12*AZV$4</f>
        <v>32924.245199999998</v>
      </c>
      <c r="AZT13" s="593">
        <f>'Proy 2022 vs 2019 sem'!IP12*AZV$4</f>
        <v>31607.275392</v>
      </c>
      <c r="AZU13" s="699"/>
      <c r="AZV13" s="700">
        <f>AZU13/AZS13</f>
        <v>0</v>
      </c>
      <c r="AZW13" s="579">
        <f>AYU13+AYY13+AZC13+AZG13+AZK13+AZO13+AZS13</f>
        <v>149655.66</v>
      </c>
      <c r="AZX13" s="574">
        <f>AYV13+AYZ13+AZD13+AZH13+AZL13+AZP13+AZT13</f>
        <v>143669.43360000002</v>
      </c>
      <c r="AZY13" s="785">
        <f>AYW13+AZA13+AZE13+AZI13+AZM13+AZQ13+AZU13</f>
        <v>0</v>
      </c>
      <c r="AZZ13" s="786">
        <f>AZY13/AZW13</f>
        <v>0</v>
      </c>
      <c r="BAA13" s="593">
        <f>'Proy 2022 vs 2019 sem'!IX12*BAD$4</f>
        <v>11735.578799999999</v>
      </c>
      <c r="BAB13" s="593">
        <f>'Proy 2022 vs 2019 sem'!IY12*BAD$4</f>
        <v>11383.511435999999</v>
      </c>
      <c r="BAC13" s="735"/>
      <c r="BAD13" s="700">
        <f>BAC13/BAA13</f>
        <v>0</v>
      </c>
      <c r="BAE13" s="593">
        <f>'Proy 2022 vs 2019 sem'!IX12*BAH$4</f>
        <v>11735.578799999999</v>
      </c>
      <c r="BAF13" s="593">
        <f>'Proy 2022 vs 2019 sem'!IY12*BAH$4</f>
        <v>11383.511435999999</v>
      </c>
      <c r="BAG13" s="699"/>
      <c r="BAH13" s="700">
        <f>BAG13/BAE13</f>
        <v>0</v>
      </c>
      <c r="BAI13" s="593">
        <f>'Proy 2022 vs 2019 sem'!IX12*BAL$4</f>
        <v>11735.578799999999</v>
      </c>
      <c r="BAJ13" s="593">
        <f>'Proy 2022 vs 2019 sem'!IY12*BAL$4</f>
        <v>11383.511435999999</v>
      </c>
      <c r="BAK13" s="699"/>
      <c r="BAL13" s="700">
        <f>BAK13/BAI13</f>
        <v>0</v>
      </c>
      <c r="BAM13" s="593">
        <f>'Proy 2022 vs 2019 sem'!IX12*BAP$4</f>
        <v>11735.578799999999</v>
      </c>
      <c r="BAN13" s="593">
        <f>'Proy 2022 vs 2019 sem'!IY12*BAP$4</f>
        <v>11383.511435999999</v>
      </c>
      <c r="BAO13" s="699"/>
      <c r="BAP13" s="700">
        <f>BAO13/BAM13</f>
        <v>0</v>
      </c>
      <c r="BAQ13" s="593">
        <f>'Proy 2022 vs 2019 sem'!IX12*BAT$4</f>
        <v>13691.508600000003</v>
      </c>
      <c r="BAR13" s="593">
        <f>'Proy 2022 vs 2019 sem'!IY12*BAT$4</f>
        <v>13280.763342000002</v>
      </c>
      <c r="BAS13" s="699"/>
      <c r="BAT13" s="700">
        <f>BAS13/BAQ13</f>
        <v>0</v>
      </c>
      <c r="BAU13" s="593">
        <f>'Proy 2022 vs 2019 sem'!IX12*BAX$4</f>
        <v>15647.438400000001</v>
      </c>
      <c r="BAV13" s="593">
        <f>'Proy 2022 vs 2019 sem'!IY12*BAX$4</f>
        <v>15178.015248</v>
      </c>
      <c r="BAW13" s="699"/>
      <c r="BAX13" s="700">
        <f>BAW13/BAU13</f>
        <v>0</v>
      </c>
      <c r="BAY13" s="593">
        <f>'Proy 2022 vs 2019 sem'!IX12*BBB$4</f>
        <v>21515.227800000001</v>
      </c>
      <c r="BAZ13" s="593">
        <f>'Proy 2022 vs 2019 sem'!IY12*BBB$4</f>
        <v>20869.770966</v>
      </c>
      <c r="BBA13" s="699"/>
      <c r="BBB13" s="700">
        <f>BBA13/BAY13</f>
        <v>0</v>
      </c>
      <c r="BBC13" s="579">
        <f>BAA13+BAE13+BAI13+BAM13+BAQ13+BAU13+BAY13</f>
        <v>97796.489999999991</v>
      </c>
      <c r="BBD13" s="574">
        <f>BAB13+BAF13+BAJ13+BAN13+BAR13+BAV13+BAZ13</f>
        <v>94862.595299999986</v>
      </c>
      <c r="BBE13" s="759">
        <f>BAC13+BAG13+BAK13+BAO13+BAS13+BAW13+BBA13</f>
        <v>0</v>
      </c>
      <c r="BBF13" s="761">
        <f>BBE13/BBC13</f>
        <v>0</v>
      </c>
      <c r="BBG13" s="593">
        <f>'Proy 2022 vs 2019 sem'!JC12*BBJ$4</f>
        <v>16734.557999999997</v>
      </c>
      <c r="BBH13" s="593">
        <f>'Proy 2022 vs 2019 sem'!JD12*BBJ$4</f>
        <v>15730.484519999998</v>
      </c>
      <c r="BBI13" s="699"/>
      <c r="BBJ13" s="700">
        <f>BBI13/BBG13</f>
        <v>0</v>
      </c>
      <c r="BBK13" s="593">
        <f>'Proy 2022 vs 2019 sem'!JC12*BBN$4</f>
        <v>16734.557999999997</v>
      </c>
      <c r="BBL13" s="593">
        <f>'Proy 2022 vs 2019 sem'!JD12*BBN$4</f>
        <v>15730.484519999998</v>
      </c>
      <c r="BBM13" s="699"/>
      <c r="BBN13" s="700">
        <f>BBM13/BBK13</f>
        <v>0</v>
      </c>
      <c r="BBO13" s="593">
        <f>'Proy 2022 vs 2019 sem'!JC12*BBR$4</f>
        <v>16734.557999999997</v>
      </c>
      <c r="BBP13" s="593">
        <f>'Proy 2022 vs 2019 sem'!JD12*BBR$4</f>
        <v>15730.484519999998</v>
      </c>
      <c r="BBQ13" s="699"/>
      <c r="BBR13" s="700">
        <f>BBQ13/BBO13</f>
        <v>0</v>
      </c>
      <c r="BBS13" s="593">
        <f>'Proy 2022 vs 2019 sem'!JC12*BBV$4</f>
        <v>16734.557999999997</v>
      </c>
      <c r="BBT13" s="593">
        <f>'Proy 2022 vs 2019 sem'!JD12*BBV$4</f>
        <v>15730.484519999998</v>
      </c>
      <c r="BBU13" s="699"/>
      <c r="BBV13" s="700">
        <f>BBU13/BBS13</f>
        <v>0</v>
      </c>
      <c r="BBW13" s="593">
        <f>'Proy 2022 vs 2019 sem'!JC12*BBZ$4</f>
        <v>19523.651000000002</v>
      </c>
      <c r="BBX13" s="593">
        <f>'Proy 2022 vs 2019 sem'!JD12*BBZ$4</f>
        <v>18352.231939999998</v>
      </c>
      <c r="BBY13" s="699"/>
      <c r="BBZ13" s="700">
        <f>BBY13/BBW13</f>
        <v>0</v>
      </c>
      <c r="BCA13" s="593">
        <f>'Proy 2022 vs 2019 sem'!JC12*BCD$4</f>
        <v>22312.743999999999</v>
      </c>
      <c r="BCB13" s="593">
        <f>'Proy 2022 vs 2019 sem'!JD12*BCD$4</f>
        <v>20973.979359999998</v>
      </c>
      <c r="BCC13" s="699"/>
      <c r="BCD13" s="700">
        <f>BCC13/BCA13</f>
        <v>0</v>
      </c>
      <c r="BCE13" s="593">
        <f>'Proy 2022 vs 2019 sem'!JC12*BCH$4</f>
        <v>30680.022999999997</v>
      </c>
      <c r="BCF13" s="593">
        <f>'Proy 2022 vs 2019 sem'!JD12*BCH$4</f>
        <v>28839.221619999997</v>
      </c>
      <c r="BCG13" s="699"/>
      <c r="BCH13" s="700">
        <f>BCG13/BCE13</f>
        <v>0</v>
      </c>
      <c r="BCI13" s="579">
        <f>BBG13+BBK13+BBO13+BBS13+BBW13+BCA13+BCE13</f>
        <v>139454.64999999997</v>
      </c>
      <c r="BCJ13" s="574">
        <f>BBH13+BBL13+BBP13+BBT13+BBX13+BCB13+BCF13</f>
        <v>131087.37099999998</v>
      </c>
      <c r="BCK13" s="765">
        <f>BBI13+BBM13+BBQ13+BBU13+BBY13+BCC13+BCG13</f>
        <v>0</v>
      </c>
      <c r="BCL13" s="761">
        <f>BCK13/BCI13</f>
        <v>0</v>
      </c>
      <c r="BCM13" s="593">
        <f>'Proy 2022 vs 2019 sem'!JH12*BCP$4</f>
        <v>19951.151999999998</v>
      </c>
      <c r="BCN13" s="593">
        <f>'Proy 2022 vs 2019 sem'!JI12*BCP$4</f>
        <v>18953.594399999998</v>
      </c>
      <c r="BCO13" s="699"/>
      <c r="BCP13" s="700">
        <f>BCO13/BCM13</f>
        <v>0</v>
      </c>
      <c r="BCQ13" s="593">
        <f>'Proy 2022 vs 2019 sem'!JH12*BCT$4</f>
        <v>19951.151999999998</v>
      </c>
      <c r="BCR13" s="593">
        <f>'Proy 2022 vs 2019 sem'!JI12*BCT$4</f>
        <v>18953.594399999998</v>
      </c>
      <c r="BCS13" s="699"/>
      <c r="BCT13" s="700">
        <f>BCS13/BCQ13</f>
        <v>0</v>
      </c>
      <c r="BCU13" s="593">
        <f>'Proy 2022 vs 2019 sem'!JH12*BCX$4</f>
        <v>19951.151999999998</v>
      </c>
      <c r="BCV13" s="593">
        <f>'Proy 2022 vs 2019 sem'!JI12*BCX$4</f>
        <v>18953.594399999998</v>
      </c>
      <c r="BCW13" s="699"/>
      <c r="BCX13" s="700">
        <f>BCW13/BCU13</f>
        <v>0</v>
      </c>
      <c r="BCY13" s="593">
        <f>'Proy 2022 vs 2019 sem'!JH12*BDB$4</f>
        <v>19951.151999999998</v>
      </c>
      <c r="BCZ13" s="593">
        <f>'Proy 2022 vs 2019 sem'!JI12*BDB$4</f>
        <v>18953.594399999998</v>
      </c>
      <c r="BDA13" s="699"/>
      <c r="BDB13" s="700">
        <f>BDA13/BCY13</f>
        <v>0</v>
      </c>
      <c r="BDC13" s="593">
        <f>'Proy 2022 vs 2019 sem'!JH12*BDF$4</f>
        <v>23276.344000000005</v>
      </c>
      <c r="BDD13" s="593">
        <f>'Proy 2022 vs 2019 sem'!JI12*BDF$4</f>
        <v>22112.5268</v>
      </c>
      <c r="BDE13" s="699"/>
      <c r="BDF13" s="700">
        <f>BDE13/BDC13</f>
        <v>0</v>
      </c>
      <c r="BDG13" s="593">
        <f>'Proy 2022 vs 2019 sem'!JH12*BDJ$4</f>
        <v>26601.536</v>
      </c>
      <c r="BDH13" s="593">
        <f>'Proy 2022 vs 2019 sem'!JI12*BDJ$4</f>
        <v>25271.459200000001</v>
      </c>
      <c r="BDI13" s="699"/>
      <c r="BDJ13" s="700">
        <f>BDI13/BDG13</f>
        <v>0</v>
      </c>
      <c r="BDK13" s="593">
        <f>'Proy 2022 vs 2019 sem'!JH12*BDN$4</f>
        <v>36577.112000000001</v>
      </c>
      <c r="BDL13" s="593">
        <f>'Proy 2022 vs 2019 sem'!JI12*BDN$4</f>
        <v>34748.256399999998</v>
      </c>
      <c r="BDM13" s="699"/>
      <c r="BDN13" s="700">
        <f>BDM13/BDK13</f>
        <v>0</v>
      </c>
      <c r="BDO13" s="579">
        <f>BCM13+BCQ13+BCU13+BCY13+BDC13+BDG13+BDK13</f>
        <v>166259.59999999998</v>
      </c>
      <c r="BDP13" s="574">
        <f>BCN13+BCR13+BCV13+BCZ13+BDD13+BDH13+BDL13</f>
        <v>157946.62</v>
      </c>
      <c r="BDQ13" s="765">
        <f>BCO13+BCS13+BCW13+BDA13+BDE13+BDI13+BDM13</f>
        <v>0</v>
      </c>
      <c r="BDR13" s="761">
        <f>BDQ13/BDO13</f>
        <v>0</v>
      </c>
      <c r="BDS13" s="593">
        <f>'Proy 2022 vs 2019 sem'!JM12*BDV$4</f>
        <v>18588.927599999999</v>
      </c>
      <c r="BDT13" s="593">
        <f>'Proy 2022 vs 2019 sem'!JN12*BDV$4</f>
        <v>17659.481220000001</v>
      </c>
      <c r="BDU13" s="699"/>
      <c r="BDV13" s="700">
        <f>BDU13/BDS13</f>
        <v>0</v>
      </c>
      <c r="BDW13" s="593">
        <f>'Proy 2022 vs 2019 sem'!JM12*BDZ$4</f>
        <v>18588.927599999999</v>
      </c>
      <c r="BDX13" s="593">
        <f>'Proy 2022 vs 2019 sem'!JN12*BDZ$4</f>
        <v>17659.481220000001</v>
      </c>
      <c r="BDY13" s="699"/>
      <c r="BDZ13" s="700">
        <f>BDY13/BDW13</f>
        <v>0</v>
      </c>
      <c r="BEA13" s="593">
        <f>'Proy 2022 vs 2019 sem'!JM12*BED$4</f>
        <v>18588.927599999999</v>
      </c>
      <c r="BEB13" s="593">
        <f>'Proy 2022 vs 2019 sem'!JN12*BED$4</f>
        <v>17659.481220000001</v>
      </c>
      <c r="BEC13" s="699"/>
      <c r="BED13" s="700">
        <f>BEC13/BEA13</f>
        <v>0</v>
      </c>
      <c r="BEE13" s="593">
        <v>14492.990400000001</v>
      </c>
      <c r="BEF13" s="593">
        <f>'Proy 2022 vs 2019 sem'!JN12*BEH$4</f>
        <v>17659.481220000001</v>
      </c>
      <c r="BEG13" s="699"/>
      <c r="BEH13" s="700">
        <f>BEG13/BEE13</f>
        <v>0</v>
      </c>
      <c r="BEI13" s="593">
        <f>'Proy 2022 vs 2019 sem'!JM12*BEL$4</f>
        <v>21687.082200000004</v>
      </c>
      <c r="BEJ13" s="593">
        <f>'Proy 2022 vs 2019 sem'!JN12*BEL$4</f>
        <v>20602.728090000004</v>
      </c>
      <c r="BEK13" s="699"/>
      <c r="BEL13" s="700">
        <f>BEK13/BEI13</f>
        <v>0</v>
      </c>
      <c r="BEM13" s="593">
        <f>'Proy 2022 vs 2019 sem'!JM12*BEP$4</f>
        <v>24785.236800000002</v>
      </c>
      <c r="BEN13" s="593">
        <f>'Proy 2022 vs 2019 sem'!JN12*BEP$4</f>
        <v>23545.974960000003</v>
      </c>
      <c r="BEO13" s="699"/>
      <c r="BEP13" s="700">
        <f>BEO13/BEM13</f>
        <v>0</v>
      </c>
      <c r="BEQ13" s="593">
        <f>'Proy 2022 vs 2019 sem'!JM12*BET$4</f>
        <v>34079.700600000004</v>
      </c>
      <c r="BER13" s="593">
        <f>'Proy 2022 vs 2019 sem'!JN12*BET$4</f>
        <v>32375.715570000004</v>
      </c>
      <c r="BES13" s="699"/>
      <c r="BET13" s="700">
        <f>BES13/BEQ13</f>
        <v>0</v>
      </c>
      <c r="BEU13" s="579">
        <f>BDS13+BDW13+BEA13+BEE13+BEI13+BEM13+BEQ13</f>
        <v>150811.7928</v>
      </c>
      <c r="BEV13" s="574">
        <f>BDT13+BDX13+BEB13+BEF13+BEJ13+BEN13+BER13</f>
        <v>147162.34350000002</v>
      </c>
      <c r="BEW13" s="770">
        <f>BDU13+BDY13+BEC13+BEG13+BEK13+BEO13+BES13</f>
        <v>0</v>
      </c>
      <c r="BEX13" s="761">
        <f>BEW13/BEU13</f>
        <v>0</v>
      </c>
      <c r="BEY13" s="593">
        <f>'Proy 2022 vs 2019 sem'!JV12*BFB$4</f>
        <v>24401.245199999998</v>
      </c>
      <c r="BEZ13" s="593">
        <f>'Proy 2022 vs 2019 sem'!JW12*BFB$4</f>
        <v>22937.170487999996</v>
      </c>
      <c r="BFA13" s="735"/>
      <c r="BFB13" s="700">
        <f>BFA13/BEY13</f>
        <v>0</v>
      </c>
      <c r="BFC13" s="593">
        <f>'Proy 2022 vs 2019 sem'!JV12*BFF$4</f>
        <v>24401.245199999998</v>
      </c>
      <c r="BFD13" s="593">
        <f>'Proy 2022 vs 2019 sem'!JW12*BFF$4</f>
        <v>22937.170487999996</v>
      </c>
      <c r="BFE13" s="735"/>
      <c r="BFF13" s="700">
        <f>BFE13/BFC13</f>
        <v>0</v>
      </c>
      <c r="BFG13" s="593">
        <f>'Proy 2022 vs 2019 sem'!JV12*BFJ$4</f>
        <v>24401.245199999998</v>
      </c>
      <c r="BFH13" s="593">
        <f>'Proy 2022 vs 2019 sem'!JW12*BFJ$4</f>
        <v>22937.170487999996</v>
      </c>
      <c r="BFI13" s="735"/>
      <c r="BFJ13" s="700">
        <f>BFI13/BFG13</f>
        <v>0</v>
      </c>
      <c r="BFK13" s="593">
        <f>'Proy 2022 vs 2019 sem'!JV12*BFN$4</f>
        <v>24401.245199999998</v>
      </c>
      <c r="BFL13" s="593">
        <f>'Proy 2022 vs 2019 sem'!JW12*BFN$4</f>
        <v>22937.170487999996</v>
      </c>
      <c r="BFM13" s="735"/>
      <c r="BFN13" s="700">
        <f>BFM13/BFK13</f>
        <v>0</v>
      </c>
      <c r="BFO13" s="593">
        <f>'Proy 2022 vs 2019 sem'!JV12*BFR$4</f>
        <v>28468.119400000003</v>
      </c>
      <c r="BFP13" s="593">
        <f>'Proy 2022 vs 2019 sem'!JW12*BFR$4</f>
        <v>26760.032236000003</v>
      </c>
      <c r="BFQ13" s="735"/>
      <c r="BFR13" s="700">
        <f>BFQ13/BFO13</f>
        <v>0</v>
      </c>
      <c r="BFS13" s="593">
        <f>'Proy 2022 vs 2019 sem'!JV12*BFV$4</f>
        <v>32534.993599999998</v>
      </c>
      <c r="BFT13" s="593">
        <f>'Proy 2022 vs 2019 sem'!JW12*BFV$4</f>
        <v>30582.893983999998</v>
      </c>
      <c r="BFU13" s="735"/>
      <c r="BFV13" s="700">
        <f>BFU13/BFS13</f>
        <v>0</v>
      </c>
      <c r="BFW13" s="593">
        <f>'Proy 2022 vs 2019 sem'!JV12*BFZ$4</f>
        <v>44735.616199999997</v>
      </c>
      <c r="BFX13" s="593">
        <f>'Proy 2022 vs 2019 sem'!JW12*BFZ$4</f>
        <v>42051.479227999997</v>
      </c>
      <c r="BFY13" s="735"/>
      <c r="BFZ13" s="700">
        <f>BFY13/BFW13</f>
        <v>0</v>
      </c>
      <c r="BGA13" s="579">
        <f>BEY13+BFC13+BFG13+BFK13+BFO13+BFS13+BFW13</f>
        <v>203343.70999999996</v>
      </c>
      <c r="BGB13" s="574">
        <f>BEZ13+BFD13+BFH13+BFL13+BFP13+BFT13+BFX13</f>
        <v>191143.08739999996</v>
      </c>
      <c r="BGC13" s="729">
        <f>BFA13+BFE13+BFI13+BFM13+BFQ13+BFU13+BFY13</f>
        <v>0</v>
      </c>
      <c r="BGD13" s="711">
        <f>BGC13/BGA13</f>
        <v>0</v>
      </c>
      <c r="BGE13" s="593">
        <f>'Proy 2022 vs 2019 sem'!KA12*BGH$4</f>
        <v>31432.928400000001</v>
      </c>
      <c r="BGF13" s="593">
        <f>'Proy 2022 vs 2019 sem'!KB12*BGH$4</f>
        <v>29232.623412000001</v>
      </c>
      <c r="BGG13" s="699"/>
      <c r="BGH13" s="700">
        <f>BGG13/BGE13</f>
        <v>0</v>
      </c>
      <c r="BGI13" s="593">
        <f>'Proy 2022 vs 2019 sem'!KA12*BGL$4</f>
        <v>31432.928400000001</v>
      </c>
      <c r="BGJ13" s="593">
        <f>'Proy 2022 vs 2019 sem'!KB12*BGL$4</f>
        <v>29232.623412000001</v>
      </c>
      <c r="BGK13" s="699"/>
      <c r="BGL13" s="700">
        <f>BGK13/BGI13</f>
        <v>0</v>
      </c>
      <c r="BGM13" s="593">
        <f>'Proy 2022 vs 2019 sem'!KA12*BGP$4</f>
        <v>31432.928400000001</v>
      </c>
      <c r="BGN13" s="593">
        <f>'Proy 2022 vs 2019 sem'!KB12*BGP$4</f>
        <v>29232.623412000001</v>
      </c>
      <c r="BGO13" s="699"/>
      <c r="BGP13" s="700">
        <f>BGO13/BGM13</f>
        <v>0</v>
      </c>
      <c r="BGQ13" s="593">
        <f>'Proy 2022 vs 2019 sem'!KA12*BGT$4</f>
        <v>31432.928400000001</v>
      </c>
      <c r="BGR13" s="593">
        <f>'Proy 2022 vs 2019 sem'!KB12*BGT$4</f>
        <v>29232.623412000001</v>
      </c>
      <c r="BGS13" s="699"/>
      <c r="BGT13" s="700">
        <f>BGS13/BGQ13</f>
        <v>0</v>
      </c>
      <c r="BGU13" s="593">
        <f>'Proy 2022 vs 2019 sem'!KA12*BGX$4</f>
        <v>36671.749800000005</v>
      </c>
      <c r="BGV13" s="593">
        <f>'Proy 2022 vs 2019 sem'!KB12*BGX$4</f>
        <v>34104.727314000003</v>
      </c>
      <c r="BGW13" s="699"/>
      <c r="BGX13" s="700">
        <f>BGW13/BGU13</f>
        <v>0</v>
      </c>
      <c r="BGY13" s="593">
        <f>'Proy 2022 vs 2019 sem'!KA12*BHB$4</f>
        <v>41910.571199999998</v>
      </c>
      <c r="BGZ13" s="593">
        <f>'Proy 2022 vs 2019 sem'!KB12*BHB$4</f>
        <v>38976.831216000006</v>
      </c>
      <c r="BHA13" s="699"/>
      <c r="BHB13" s="700">
        <f>BHA13/BGY13</f>
        <v>0</v>
      </c>
      <c r="BHC13" s="593">
        <f>'Proy 2022 vs 2019 sem'!KA12*BHF$4</f>
        <v>57627.035400000001</v>
      </c>
      <c r="BHD13" s="593">
        <f>'Proy 2022 vs 2019 sem'!KB12*BHF$4</f>
        <v>53593.142922000006</v>
      </c>
      <c r="BHE13" s="699"/>
      <c r="BHF13" s="700">
        <f>BHE13/BHC13</f>
        <v>0</v>
      </c>
      <c r="BHG13" s="579">
        <f>BGE13+BGI13+BGM13+BGQ13+BGU13+BGY13+BHC13</f>
        <v>261941.07</v>
      </c>
      <c r="BHH13" s="574">
        <f>BGF13+BGJ13+BGN13+BGR13+BGV13+BGZ13+BHD13</f>
        <v>243605.19510000004</v>
      </c>
      <c r="BHI13" s="730">
        <f>BGG13+BGK13+BGO13+BGS13+BGW13+BHA13+BHE13</f>
        <v>0</v>
      </c>
      <c r="BHJ13" s="711">
        <f>BHI13/BHG13</f>
        <v>0</v>
      </c>
      <c r="BHK13" s="593">
        <f>'Proy 2022 vs 2019 sem'!KF12*BHN$4</f>
        <v>42390.861599999997</v>
      </c>
      <c r="BHL13" s="593">
        <f>'Proy 2022 vs 2019 sem'!KG12*BHN$4</f>
        <v>39423.501287999999</v>
      </c>
      <c r="BHM13" s="699"/>
      <c r="BHN13" s="700">
        <f>BHM13/BHK13</f>
        <v>0</v>
      </c>
      <c r="BHO13" s="593">
        <f>'Proy 2022 vs 2019 sem'!KF12*BHR$4</f>
        <v>42390.861599999997</v>
      </c>
      <c r="BHP13" s="593">
        <f>'Proy 2022 vs 2019 sem'!KG12*BHR$4</f>
        <v>39423.501287999999</v>
      </c>
      <c r="BHQ13" s="699"/>
      <c r="BHR13" s="700">
        <f>BHQ13/BHO13</f>
        <v>0</v>
      </c>
      <c r="BHS13" s="593">
        <f>'Proy 2022 vs 2019 sem'!KF12*BHV$4</f>
        <v>42390.861599999997</v>
      </c>
      <c r="BHT13" s="593">
        <f>'Proy 2022 vs 2019 sem'!KG12*BHV$4</f>
        <v>39423.501287999999</v>
      </c>
      <c r="BHU13" s="699"/>
      <c r="BHV13" s="700">
        <f>BHU13/BHS13</f>
        <v>0</v>
      </c>
      <c r="BHW13" s="593">
        <f>'Proy 2022 vs 2019 sem'!KF12*BHZ$4</f>
        <v>42390.861599999997</v>
      </c>
      <c r="BHX13" s="593">
        <f>'Proy 2022 vs 2019 sem'!KG12*BHZ$4</f>
        <v>39423.501287999999</v>
      </c>
      <c r="BHY13" s="699"/>
      <c r="BHZ13" s="700">
        <f>BHY13/BHW13</f>
        <v>0</v>
      </c>
      <c r="BIA13" s="593">
        <f>'Proy 2022 vs 2019 sem'!KF12*BID$4</f>
        <v>49456.005200000007</v>
      </c>
      <c r="BIB13" s="593">
        <f>'Proy 2022 vs 2019 sem'!KG12*BID$4</f>
        <v>45994.084836000002</v>
      </c>
      <c r="BIC13" s="699"/>
      <c r="BID13" s="700">
        <f>BIC13/BIA13</f>
        <v>0</v>
      </c>
      <c r="BIE13" s="593">
        <f>'Proy 2022 vs 2019 sem'!KF12*BIH$4</f>
        <v>56521.148800000003</v>
      </c>
      <c r="BIF13" s="593">
        <f>'Proy 2022 vs 2019 sem'!KG12*BIH$4</f>
        <v>52564.668383999997</v>
      </c>
      <c r="BIG13" s="699"/>
      <c r="BIH13" s="700">
        <f>BIG13/BIE13</f>
        <v>0</v>
      </c>
      <c r="BII13" s="593">
        <f>'Proy 2022 vs 2019 sem'!KF12*BIL$4</f>
        <v>77716.579599999997</v>
      </c>
      <c r="BIJ13" s="593">
        <f>'Proy 2022 vs 2019 sem'!KG12*BIL$4</f>
        <v>72276.419028000004</v>
      </c>
      <c r="BIK13" s="699"/>
      <c r="BIL13" s="700">
        <f>BIK13/BII13</f>
        <v>0</v>
      </c>
      <c r="BIM13" s="579">
        <f>BHK13+BHO13+BHS13+BHW13+BIA13+BIE13+BII13</f>
        <v>353257.18</v>
      </c>
      <c r="BIN13" s="574">
        <f>BHL13+BHP13+BHT13+BHX13+BIB13+BIF13+BIJ13</f>
        <v>328529.17739999999</v>
      </c>
      <c r="BIO13" s="730">
        <f>BHM13+BHQ13+BHU13+BHY13+BIC13+BIG13+BIK13</f>
        <v>0</v>
      </c>
      <c r="BIP13" s="711">
        <f>BIO13/BIM13</f>
        <v>0</v>
      </c>
      <c r="BIQ13" s="593">
        <f>'Proy 2022 vs 2019 sem'!KK12*BIT$4</f>
        <v>38408.646000000001</v>
      </c>
      <c r="BIR13" s="593">
        <f>'Proy 2022 vs 2019 sem'!KL12*BIT$4</f>
        <v>35720.040780000003</v>
      </c>
      <c r="BIS13" s="699"/>
      <c r="BIT13" s="700">
        <f>BIS13/BIQ13</f>
        <v>0</v>
      </c>
      <c r="BIU13" s="593">
        <f>'Proy 2022 vs 2019 sem'!KK12*BIX$4</f>
        <v>38408.646000000001</v>
      </c>
      <c r="BIV13" s="593">
        <f>'Proy 2022 vs 2019 sem'!KL12*BIX$4</f>
        <v>35720.040780000003</v>
      </c>
      <c r="BIW13" s="699"/>
      <c r="BIX13" s="700">
        <f>BIW13/BIU13</f>
        <v>0</v>
      </c>
      <c r="BIY13" s="593">
        <f>'Proy 2022 vs 2019 sem'!KK12*BJB$4</f>
        <v>38408.646000000001</v>
      </c>
      <c r="BIZ13" s="593">
        <f>'Proy 2022 vs 2019 sem'!KL12*BJB$4</f>
        <v>35720.040780000003</v>
      </c>
      <c r="BJA13" s="699"/>
      <c r="BJB13" s="700">
        <f>BJA13/BIY13</f>
        <v>0</v>
      </c>
      <c r="BJC13" s="593">
        <f>'Proy 2022 vs 2019 sem'!KK12*BJF$4</f>
        <v>38408.646000000001</v>
      </c>
      <c r="BJD13" s="593">
        <f>'Proy 2022 vs 2019 sem'!KL12*BJF$4</f>
        <v>35720.040780000003</v>
      </c>
      <c r="BJE13" s="699"/>
      <c r="BJF13" s="700">
        <f>BJE13/BJC13</f>
        <v>0</v>
      </c>
      <c r="BJG13" s="593">
        <f>'Proy 2022 vs 2019 sem'!KK12*BJJ$4</f>
        <v>44810.087</v>
      </c>
      <c r="BJH13" s="593">
        <f>'Proy 2022 vs 2019 sem'!KL12*BJJ$4</f>
        <v>41673.380910000007</v>
      </c>
      <c r="BJI13" s="699"/>
      <c r="BJJ13" s="700">
        <f>BJI13/BJG13</f>
        <v>0</v>
      </c>
      <c r="BJK13" s="593">
        <f>'Proy 2022 vs 2019 sem'!KK12*BJN$4</f>
        <v>51211.527999999998</v>
      </c>
      <c r="BJL13" s="593">
        <f>'Proy 2022 vs 2019 sem'!KL12*BJN$4</f>
        <v>47626.721040000004</v>
      </c>
      <c r="BJM13" s="699"/>
      <c r="BJN13" s="700">
        <f>BJM13/BJK13</f>
        <v>0</v>
      </c>
      <c r="BJO13" s="593">
        <f>'Proy 2022 vs 2019 sem'!KK12*BJR$4</f>
        <v>70415.850999999995</v>
      </c>
      <c r="BJP13" s="593">
        <f>'Proy 2022 vs 2019 sem'!KL12*BJR$4</f>
        <v>65486.741430000002</v>
      </c>
      <c r="BJQ13" s="699"/>
      <c r="BJR13" s="700">
        <f>BJQ13/BJO13</f>
        <v>0</v>
      </c>
      <c r="BJS13" s="579">
        <f>BIQ13+BIU13+BIY13+BJC13+BJG13+BJK13+BJO13</f>
        <v>320072.05</v>
      </c>
      <c r="BJT13" s="574">
        <f>BIR13+BIV13+BIZ13+BJD13+BJH13+BJL13+BJP13</f>
        <v>297667.00650000002</v>
      </c>
      <c r="BJU13" s="710">
        <f>BIS13+BIW13+BJA13+BJE13+BJI13+BJM13+BJQ13</f>
        <v>0</v>
      </c>
      <c r="BJV13" s="711">
        <f>BJU13/BJS13</f>
        <v>0</v>
      </c>
      <c r="BJW13" s="593">
        <f>'Proy 2022 vs 2019 sem'!KP12*BJZ$4</f>
        <v>12935.1</v>
      </c>
      <c r="BJX13" s="593">
        <f>'Proy 2022 vs 2019 sem'!KQ12*BJZ$4</f>
        <v>12288.344999999999</v>
      </c>
      <c r="BJY13" s="699"/>
      <c r="BJZ13" s="700">
        <f>BJY13/BJW13</f>
        <v>0</v>
      </c>
      <c r="BKA13" s="593">
        <f>'Proy 2022 vs 2019 sem'!KP12*BKD$4</f>
        <v>12935.1</v>
      </c>
      <c r="BKB13" s="593">
        <f>'Proy 2022 vs 2019 sem'!KQ12*BKD$4</f>
        <v>12288.344999999999</v>
      </c>
      <c r="BKC13" s="699"/>
      <c r="BKD13" s="700">
        <f>BKC13/BKA13</f>
        <v>0</v>
      </c>
      <c r="BKE13" s="593">
        <f>'Proy 2022 vs 2019 sem'!KP12*BKH$4</f>
        <v>12935.1</v>
      </c>
      <c r="BKF13" s="593">
        <f>'Proy 2022 vs 2019 sem'!KQ12*BKH$4</f>
        <v>12288.344999999999</v>
      </c>
      <c r="BKG13" s="699"/>
      <c r="BKH13" s="700">
        <f>BKG13/BKE13</f>
        <v>0</v>
      </c>
      <c r="BKI13" s="593">
        <f>'Proy 2022 vs 2019 sem'!KP12*BKL$4</f>
        <v>12935.1</v>
      </c>
      <c r="BKJ13" s="593">
        <f>'Proy 2022 vs 2019 sem'!KQ12*BKL$4</f>
        <v>12288.344999999999</v>
      </c>
      <c r="BKK13" s="699"/>
      <c r="BKL13" s="700">
        <f>BKK13/BKI13</f>
        <v>0</v>
      </c>
      <c r="BKM13" s="593">
        <f>'Proy 2022 vs 2019 sem'!KP12*BKP$4</f>
        <v>15090.95</v>
      </c>
      <c r="BKN13" s="593">
        <f>'Proy 2022 vs 2019 sem'!KQ12*BKP$4</f>
        <v>14336.402500000002</v>
      </c>
      <c r="BKO13" s="699"/>
      <c r="BKP13" s="700">
        <f>BKO13/BKM13</f>
        <v>0</v>
      </c>
      <c r="BKQ13" s="593">
        <f>'Proy 2022 vs 2019 sem'!KP12*BKT$4</f>
        <v>17246.8</v>
      </c>
      <c r="BKR13" s="593">
        <f>'Proy 2022 vs 2019 sem'!KQ12*BKT$4</f>
        <v>16384.46</v>
      </c>
      <c r="BKS13" s="699"/>
      <c r="BKT13" s="700">
        <f>BKS13/BKQ13</f>
        <v>0</v>
      </c>
      <c r="BKU13" s="593">
        <f>'Proy 2022 vs 2019 sem'!KP12*BKX$4</f>
        <v>23714.35</v>
      </c>
      <c r="BKV13" s="593">
        <f>'Proy 2022 vs 2019 sem'!KQ12*BKX$4</f>
        <v>22528.6325</v>
      </c>
      <c r="BKW13" s="699"/>
      <c r="BKX13" s="700">
        <f>BKW13/BKU13</f>
        <v>0</v>
      </c>
      <c r="BKY13" s="579">
        <f>BJW13+BKA13+BKE13+BKI13+BKM13+BKQ13+BKU13</f>
        <v>107792.5</v>
      </c>
      <c r="BKZ13" s="574">
        <f>BJX13+BKB13+BKF13+BKJ13+BKN13+BKR13+BKV13</f>
        <v>102402.875</v>
      </c>
      <c r="BLA13" s="710">
        <f>BJY13+BKC13+BKG13+BKK13+BKO13+BKS13+BKW13</f>
        <v>0</v>
      </c>
      <c r="BLB13" s="711">
        <f>BLA13/BKY13</f>
        <v>0</v>
      </c>
    </row>
    <row r="14" spans="2:1666" ht="19.5" customHeight="1">
      <c r="B14" s="934" t="s">
        <v>476</v>
      </c>
      <c r="C14" s="593">
        <f>'Proy 2022 vs 2019 sem'!$C$6*$F$4</f>
        <v>9529.1268</v>
      </c>
      <c r="D14" s="593">
        <f>'Proy 2022 vs 2019 sem'!$D$6*$F$4</f>
        <v>8480.9228519999997</v>
      </c>
      <c r="E14" s="735"/>
      <c r="F14" s="700">
        <f>E14/C14</f>
        <v>0</v>
      </c>
      <c r="G14" s="1414">
        <f>'Proy 2022 vs 2019 sem'!C13*$J$4</f>
        <v>8519.7551999999996</v>
      </c>
      <c r="H14" s="593">
        <f>'Proy 2022 vs 2019 sem'!D13*$J$4</f>
        <v>7582.582128</v>
      </c>
      <c r="I14" s="735"/>
      <c r="J14" s="700">
        <f>I14/G14</f>
        <v>0</v>
      </c>
      <c r="K14" s="593">
        <f>'Proy 2022 vs 2019 sem'!C13*$N$4</f>
        <v>8519.7551999999996</v>
      </c>
      <c r="L14" s="593">
        <f>'Proy 2022 vs 2019 sem'!D13*N$4</f>
        <v>7582.582128</v>
      </c>
      <c r="M14" s="735"/>
      <c r="N14" s="700">
        <f>M14/K14</f>
        <v>0</v>
      </c>
      <c r="O14" s="593">
        <f>'Proy 2022 vs 2019 sem'!C13*R$4</f>
        <v>8519.7551999999996</v>
      </c>
      <c r="P14" s="593">
        <f>'Proy 2022 vs 2019 sem'!D13*$R$4</f>
        <v>7582.582128</v>
      </c>
      <c r="Q14" s="735"/>
      <c r="R14" s="700">
        <f>Q14/O14</f>
        <v>0</v>
      </c>
      <c r="S14" s="593">
        <f>'Proy 2022 vs 2019 sem'!C13*V$4</f>
        <v>9939.7144000000026</v>
      </c>
      <c r="T14" s="593">
        <f>'Proy 2022 vs 2019 sem'!D13*V$4</f>
        <v>8846.3458160000009</v>
      </c>
      <c r="U14" s="735"/>
      <c r="V14" s="700">
        <f>U14/S14</f>
        <v>0</v>
      </c>
      <c r="W14" s="593">
        <f>'Proy 2022 vs 2019 sem'!C13*Z$4</f>
        <v>11359.673600000002</v>
      </c>
      <c r="X14" s="593">
        <f>'Proy 2022 vs 2019 sem'!D13*Z$4</f>
        <v>10110.109504000002</v>
      </c>
      <c r="Y14" s="735"/>
      <c r="Z14" s="700">
        <f>Y14/W14</f>
        <v>0</v>
      </c>
      <c r="AA14" s="593">
        <f>'Proy 2022 vs 2019 sem'!C13*AD$4</f>
        <v>15619.551200000002</v>
      </c>
      <c r="AB14" s="593">
        <f>'Proy 2022 vs 2019 sem'!D13*AD$4</f>
        <v>13901.400568000001</v>
      </c>
      <c r="AC14" s="735"/>
      <c r="AD14" s="700">
        <f>AC14/AA14</f>
        <v>0</v>
      </c>
      <c r="AE14" s="579">
        <f>C14+G14+K14+O14+S14+W14+AA14</f>
        <v>72007.331600000005</v>
      </c>
      <c r="AF14" s="574">
        <f>D14+H14+L14+P14+T14+X14+AB14</f>
        <v>64086.525124000007</v>
      </c>
      <c r="AG14" s="729">
        <f>E14+I14+M14+Q14+U14+Y14+AC14</f>
        <v>0</v>
      </c>
      <c r="AH14" s="711">
        <f>AG14/AE14</f>
        <v>0</v>
      </c>
      <c r="AI14" s="593">
        <f>'Proy 2022 vs 2019 sem'!H13*AL$4</f>
        <v>6884.6003999999994</v>
      </c>
      <c r="AJ14" s="611">
        <f>'Proy 2022 vs 2019 sem'!I13*AL$4</f>
        <v>6127.2943559999994</v>
      </c>
      <c r="AK14" s="699"/>
      <c r="AL14" s="700">
        <f>AK14/AI14</f>
        <v>0</v>
      </c>
      <c r="AM14" s="593">
        <f>'Proy 2022 vs 2019 sem'!H13*AP$4</f>
        <v>6884.6003999999994</v>
      </c>
      <c r="AN14" s="593">
        <f>'Proy 2022 vs 2019 sem'!I13*AP$4</f>
        <v>6127.2943559999994</v>
      </c>
      <c r="AO14" s="699"/>
      <c r="AP14" s="700">
        <f>AO14/AM14</f>
        <v>0</v>
      </c>
      <c r="AQ14" s="593">
        <f>'Proy 2022 vs 2019 sem'!H13*AT$4</f>
        <v>6884.6003999999994</v>
      </c>
      <c r="AR14" s="593">
        <f>'Proy 2022 vs 2019 sem'!I13*AT$4</f>
        <v>6127.2943559999994</v>
      </c>
      <c r="AS14" s="699"/>
      <c r="AT14" s="700">
        <f>AS14/AQ14</f>
        <v>0</v>
      </c>
      <c r="AU14" s="593">
        <f>'Proy 2022 vs 2019 sem'!H13*AX$4</f>
        <v>6884.6003999999994</v>
      </c>
      <c r="AV14" s="593">
        <f>'Proy 2022 vs 2019 sem'!I13*AX$4</f>
        <v>6127.2943559999994</v>
      </c>
      <c r="AW14" s="699"/>
      <c r="AX14" s="700">
        <f>AW14/AU14</f>
        <v>0</v>
      </c>
      <c r="AY14" s="593">
        <f>'Proy 2022 vs 2019 sem'!H13*BB$4</f>
        <v>8032.0338000000002</v>
      </c>
      <c r="AZ14" s="593">
        <f>'Proy 2022 vs 2019 sem'!I13*BB$4</f>
        <v>7148.5100820000007</v>
      </c>
      <c r="BA14" s="699"/>
      <c r="BB14" s="700">
        <f>BA14/AY14</f>
        <v>0</v>
      </c>
      <c r="BC14" s="593">
        <f>'Proy 2022 vs 2019 sem'!H13*BF$4</f>
        <v>9179.4671999999991</v>
      </c>
      <c r="BD14" s="593">
        <f>'Proy 2022 vs 2019 sem'!I13*BF$4</f>
        <v>8169.7258080000001</v>
      </c>
      <c r="BE14" s="699"/>
      <c r="BF14" s="700">
        <f>BE14/BC14</f>
        <v>0</v>
      </c>
      <c r="BG14" s="593">
        <f>'Proy 2022 vs 2019 sem'!H13*BJ$4</f>
        <v>12621.767399999999</v>
      </c>
      <c r="BH14" s="593">
        <f>'Proy 2022 vs 2019 sem'!I13*BJ$4</f>
        <v>11233.372986</v>
      </c>
      <c r="BI14" s="699"/>
      <c r="BJ14" s="700">
        <f>BI14/BG14</f>
        <v>0</v>
      </c>
      <c r="BK14" s="579">
        <f>AI14+AM14+AQ14+AU14+AY14+BC14+BG14</f>
        <v>57371.669999999991</v>
      </c>
      <c r="BL14" s="574">
        <f>AJ14+AN14+AR14+AV14+AZ14+BD14+BH14</f>
        <v>51060.7863</v>
      </c>
      <c r="BM14" s="730">
        <f>AK14+AO14+AS14+AW14+BA14+BE14+BI14</f>
        <v>0</v>
      </c>
      <c r="BN14" s="711">
        <f>BM14/BK14</f>
        <v>0</v>
      </c>
      <c r="BO14" s="593">
        <f>'Proy 2022 vs 2019 sem'!M13*BR$4</f>
        <v>6938.1407999999992</v>
      </c>
      <c r="BP14" s="593">
        <f>'Proy 2022 vs 2019 sem'!N13*BR$4</f>
        <v>6174.9453119999998</v>
      </c>
      <c r="BQ14" s="699"/>
      <c r="BR14" s="700">
        <f>BQ14/BO14</f>
        <v>0</v>
      </c>
      <c r="BS14" s="593">
        <f>'Proy 2022 vs 2019 sem'!M13*BV$4</f>
        <v>6938.1407999999992</v>
      </c>
      <c r="BT14" s="593">
        <f>'Proy 2022 vs 2019 sem'!N13*BV$4</f>
        <v>6174.9453119999998</v>
      </c>
      <c r="BU14" s="699"/>
      <c r="BV14" s="700">
        <f>BU14/BS14</f>
        <v>0</v>
      </c>
      <c r="BW14" s="593">
        <f>'Proy 2022 vs 2019 sem'!M13*BZ$4</f>
        <v>6938.1407999999992</v>
      </c>
      <c r="BX14" s="593">
        <f>'Proy 2022 vs 2019 sem'!N13*BZ$4</f>
        <v>6174.9453119999998</v>
      </c>
      <c r="BY14" s="699"/>
      <c r="BZ14" s="700">
        <f>BY14/BW14</f>
        <v>0</v>
      </c>
      <c r="CA14" s="593">
        <f>'Proy 2022 vs 2019 sem'!M13*CD$4</f>
        <v>6938.1407999999992</v>
      </c>
      <c r="CB14" s="593">
        <f>'Proy 2022 vs 2019 sem'!N13*CD$4</f>
        <v>6174.9453119999998</v>
      </c>
      <c r="CC14" s="699"/>
      <c r="CD14" s="700">
        <f>CC14/CA14</f>
        <v>0</v>
      </c>
      <c r="CE14" s="593">
        <f>'Proy 2022 vs 2019 sem'!M13*CH$4</f>
        <v>8094.4976000000006</v>
      </c>
      <c r="CF14" s="593">
        <f>'Proy 2022 vs 2019 sem'!N13*CH$4</f>
        <v>7204.1028640000004</v>
      </c>
      <c r="CG14" s="699"/>
      <c r="CH14" s="700">
        <f>CG14/CE14</f>
        <v>0</v>
      </c>
      <c r="CI14" s="593">
        <f>'Proy 2022 vs 2019 sem'!M13*CL$4</f>
        <v>9250.8544000000002</v>
      </c>
      <c r="CJ14" s="593">
        <f>'Proy 2022 vs 2019 sem'!N13*CL$4</f>
        <v>8233.260416000001</v>
      </c>
      <c r="CK14" s="699"/>
      <c r="CL14" s="700">
        <f>CK14/CI14</f>
        <v>0</v>
      </c>
      <c r="CM14" s="593">
        <f>'Proy 2022 vs 2019 sem'!M13*CP$4</f>
        <v>12719.924799999999</v>
      </c>
      <c r="CN14" s="593">
        <f>'Proy 2022 vs 2019 sem'!N13*CP$4</f>
        <v>11320.733072000001</v>
      </c>
      <c r="CO14" s="699"/>
      <c r="CP14" s="700">
        <f>CO14/CM14</f>
        <v>0</v>
      </c>
      <c r="CQ14" s="579">
        <f>BO14+BS14+BW14+CA14+CE14+CI14+CM14</f>
        <v>57817.840000000004</v>
      </c>
      <c r="CR14" s="574">
        <f>BP14+BT14+BX14+CB14+CF14+CJ14+CN14</f>
        <v>51457.877600000007</v>
      </c>
      <c r="CS14" s="730">
        <f>BQ14+BU14+BY14+CC14+CG14+CK14+CO14</f>
        <v>0</v>
      </c>
      <c r="CT14" s="711">
        <f>CS14/CQ14</f>
        <v>0</v>
      </c>
      <c r="CU14" s="593">
        <f>'Proy 2022 vs 2019 sem'!R13*CX$4</f>
        <v>8234.8139999999985</v>
      </c>
      <c r="CV14" s="593">
        <f>'Proy 2022 vs 2019 sem'!S13*CX$4</f>
        <v>7328.9844599999997</v>
      </c>
      <c r="CW14" s="699"/>
      <c r="CX14" s="700">
        <f>CW14/CU14</f>
        <v>0</v>
      </c>
      <c r="CY14" s="593">
        <f>'Proy 2022 vs 2019 sem'!R13*DB$4</f>
        <v>8234.8139999999985</v>
      </c>
      <c r="CZ14" s="593">
        <f>'Proy 2022 vs 2019 sem'!S13*DB$4</f>
        <v>7328.9844599999997</v>
      </c>
      <c r="DA14" s="699"/>
      <c r="DB14" s="700">
        <f>DA14/CY14</f>
        <v>0</v>
      </c>
      <c r="DC14" s="593">
        <f>'Proy 2022 vs 2019 sem'!R13*DF$4</f>
        <v>8234.8139999999985</v>
      </c>
      <c r="DD14" s="593">
        <f>'Proy 2022 vs 2019 sem'!S13*DF$4</f>
        <v>7328.9844599999997</v>
      </c>
      <c r="DE14" s="699"/>
      <c r="DF14" s="700">
        <f>DE14/DC14</f>
        <v>0</v>
      </c>
      <c r="DG14" s="593">
        <f>'Proy 2022 vs 2019 sem'!R13*DJ$4</f>
        <v>8234.8139999999985</v>
      </c>
      <c r="DH14" s="593">
        <f>'Proy 2022 vs 2019 sem'!S13*DJ$4</f>
        <v>7328.9844599999997</v>
      </c>
      <c r="DI14" s="699"/>
      <c r="DJ14" s="700">
        <f>DI14/DG14</f>
        <v>0</v>
      </c>
      <c r="DK14" s="593">
        <f>'Proy 2022 vs 2019 sem'!R13*DN$4</f>
        <v>9607.2830000000013</v>
      </c>
      <c r="DL14" s="593">
        <f>'Proy 2022 vs 2019 sem'!S13*DN$4</f>
        <v>8550.4818699999996</v>
      </c>
      <c r="DM14" s="699"/>
      <c r="DN14" s="700">
        <f>DM14/DK14</f>
        <v>0</v>
      </c>
      <c r="DO14" s="593">
        <f>'Proy 2022 vs 2019 sem'!R13*DR$4</f>
        <v>10979.752</v>
      </c>
      <c r="DP14" s="593">
        <f>'Proy 2022 vs 2019 sem'!S13*DR$4</f>
        <v>9771.9792799999996</v>
      </c>
      <c r="DQ14" s="699"/>
      <c r="DR14" s="700">
        <f>DQ14/DO14</f>
        <v>0</v>
      </c>
      <c r="DS14" s="593">
        <f>'Proy 2022 vs 2019 sem'!R13*DV$4</f>
        <v>15097.159</v>
      </c>
      <c r="DT14" s="593">
        <f>'Proy 2022 vs 2019 sem'!S13*DV$4</f>
        <v>13436.471509999999</v>
      </c>
      <c r="DU14" s="699"/>
      <c r="DV14" s="700">
        <f>DU14/DS14</f>
        <v>0</v>
      </c>
      <c r="DW14" s="579">
        <f>CU14+CY14+DC14+DG14+DK14+DO14+DS14</f>
        <v>68623.45</v>
      </c>
      <c r="DX14" s="574">
        <f>CV14+CZ14+DD14+DH14+DL14+DP14+DT14</f>
        <v>61074.870500000005</v>
      </c>
      <c r="DY14" s="710">
        <f>CW14+DA14+DE14+DI14+DM14+DQ14+DU14</f>
        <v>0</v>
      </c>
      <c r="DZ14" s="711">
        <f>DY14/DW14</f>
        <v>0</v>
      </c>
      <c r="EA14" s="593">
        <f>'Proy 2022 vs 2019 sem'!AA13*ED$4</f>
        <v>7984.8347999999987</v>
      </c>
      <c r="EB14" s="593">
        <f>'Proy 2022 vs 2019 sem'!AB13*ED$4</f>
        <v>7106.5029719999993</v>
      </c>
      <c r="EC14" s="735"/>
      <c r="ED14" s="700">
        <f>EC14/EA14</f>
        <v>0</v>
      </c>
      <c r="EE14" s="593">
        <f>'Proy 2022 vs 2019 sem'!AA13*EH$4</f>
        <v>7984.8347999999987</v>
      </c>
      <c r="EF14" s="593">
        <f>'Proy 2022 vs 2019 sem'!AB13*EH$4</f>
        <v>7106.5029719999993</v>
      </c>
      <c r="EG14" s="699"/>
      <c r="EH14" s="700">
        <f>EG14/EE14</f>
        <v>0</v>
      </c>
      <c r="EI14" s="593">
        <f>'Proy 2022 vs 2019 sem'!AA13*EL$4</f>
        <v>7984.8347999999987</v>
      </c>
      <c r="EJ14" s="593">
        <f>'Proy 2022 vs 2019 sem'!AB13*EL$4</f>
        <v>7106.5029719999993</v>
      </c>
      <c r="EK14" s="699"/>
      <c r="EL14" s="700">
        <f>EK14/EI14</f>
        <v>0</v>
      </c>
      <c r="EM14" s="593">
        <f>'Proy 2022 vs 2019 sem'!AA13*EP$4</f>
        <v>7984.8347999999987</v>
      </c>
      <c r="EN14" s="593">
        <f>'Proy 2022 vs 2019 sem'!AB13*EP$4</f>
        <v>7106.5029719999993</v>
      </c>
      <c r="EO14" s="699"/>
      <c r="EP14" s="700">
        <f>EO14/EM14</f>
        <v>0</v>
      </c>
      <c r="EQ14" s="593">
        <f>'Proy 2022 vs 2019 sem'!AA13*ET$4</f>
        <v>9315.6406000000006</v>
      </c>
      <c r="ER14" s="593">
        <f>'Proy 2022 vs 2019 sem'!AB13*ET$4</f>
        <v>8290.920134</v>
      </c>
      <c r="ES14" s="699"/>
      <c r="ET14" s="700">
        <f>ES14/EQ14</f>
        <v>0</v>
      </c>
      <c r="EU14" s="593">
        <f>'Proy 2022 vs 2019 sem'!AA13*EX$4</f>
        <v>10646.446399999999</v>
      </c>
      <c r="EV14" s="593">
        <f>'Proy 2022 vs 2019 sem'!AB13*EX$4</f>
        <v>9475.3372959999997</v>
      </c>
      <c r="EW14" s="699"/>
      <c r="EX14" s="700">
        <f>EW14/EU14</f>
        <v>0</v>
      </c>
      <c r="EY14" s="593">
        <f>'Proy 2022 vs 2019 sem'!AA13*FB$4</f>
        <v>14638.863799999999</v>
      </c>
      <c r="EZ14" s="593">
        <f>'Proy 2022 vs 2019 sem'!AB13*FB$4</f>
        <v>13028.588781999999</v>
      </c>
      <c r="FA14" s="699"/>
      <c r="FB14" s="700">
        <f>FA14/EY14</f>
        <v>0</v>
      </c>
      <c r="FC14" s="579">
        <f>EA14+EE14+EI14+EM14+EQ14+EU14+EY14</f>
        <v>66540.289999999994</v>
      </c>
      <c r="FD14" s="574">
        <f>EB14+EF14+EJ14+EN14+ER14+EV14+EZ14</f>
        <v>59220.85809999999</v>
      </c>
      <c r="FE14" s="793">
        <f>EC14+EG14+EK14+EO14+ES14+EW14+FA14</f>
        <v>0</v>
      </c>
      <c r="FF14" s="786">
        <f>FE14/FC14</f>
        <v>0</v>
      </c>
      <c r="FG14" s="593">
        <f>'Proy 2022 vs 2019 sem'!AF13*FJ$4</f>
        <v>10050.3624</v>
      </c>
      <c r="FH14" s="593">
        <f>'Proy 2022 vs 2019 sem'!AG13*FJ$4</f>
        <v>8844.3189120000006</v>
      </c>
      <c r="FI14" s="699"/>
      <c r="FJ14" s="700">
        <f>FI14/FG14</f>
        <v>0</v>
      </c>
      <c r="FK14" s="593">
        <f>'Proy 2022 vs 2019 sem'!AF13*FN$4</f>
        <v>10050.3624</v>
      </c>
      <c r="FL14" s="593">
        <f>'Proy 2022 vs 2019 sem'!AG13*FN$4</f>
        <v>8844.3189120000006</v>
      </c>
      <c r="FM14" s="699"/>
      <c r="FN14" s="700">
        <f>FM14/FK14</f>
        <v>0</v>
      </c>
      <c r="FO14" s="593">
        <f>'Proy 2022 vs 2019 sem'!AF13*FR$4</f>
        <v>10050.3624</v>
      </c>
      <c r="FP14" s="593">
        <f>'Proy 2022 vs 2019 sem'!AG13*FR$4</f>
        <v>8844.3189120000006</v>
      </c>
      <c r="FQ14" s="699"/>
      <c r="FR14" s="700">
        <f>FQ14/FO14</f>
        <v>0</v>
      </c>
      <c r="FS14" s="593">
        <f>'Proy 2022 vs 2019 sem'!AF13*FV$4</f>
        <v>10050.3624</v>
      </c>
      <c r="FT14" s="593">
        <f>'Proy 2022 vs 2019 sem'!AG13*FV$4</f>
        <v>8844.3189120000006</v>
      </c>
      <c r="FU14" s="699"/>
      <c r="FV14" s="700">
        <f>FU14/FS14</f>
        <v>0</v>
      </c>
      <c r="FW14" s="593">
        <f>'Proy 2022 vs 2019 sem'!AF13*FZ$4</f>
        <v>11725.422800000002</v>
      </c>
      <c r="FX14" s="593">
        <f>'Proy 2022 vs 2019 sem'!AG13*FZ$4</f>
        <v>10318.372064000001</v>
      </c>
      <c r="FY14" s="699"/>
      <c r="FZ14" s="700">
        <f>FY14/FW14</f>
        <v>0</v>
      </c>
      <c r="GA14" s="593">
        <f>'Proy 2022 vs 2019 sem'!AF13*GD$4</f>
        <v>13400.483200000001</v>
      </c>
      <c r="GB14" s="593">
        <f>'Proy 2022 vs 2019 sem'!AG13*GD$4</f>
        <v>11792.425216000001</v>
      </c>
      <c r="GC14" s="699"/>
      <c r="GD14" s="700">
        <f>GC14/GA14</f>
        <v>0</v>
      </c>
      <c r="GE14" s="593">
        <f>'Proy 2022 vs 2019 sem'!AF13*GH$4</f>
        <v>18425.664400000001</v>
      </c>
      <c r="GF14" s="593">
        <f>'Proy 2022 vs 2019 sem'!AG13*GH$4</f>
        <v>16214.584672000001</v>
      </c>
      <c r="GG14" s="699"/>
      <c r="GH14" s="700">
        <f>GG14/GE14</f>
        <v>0</v>
      </c>
      <c r="GI14" s="579">
        <f>FG14+FK14+FO14+FS14+FW14+GA14+GE14</f>
        <v>83753.02</v>
      </c>
      <c r="GJ14" s="574">
        <f>FH14+FL14+FP14+FT14+FX14+GB14+GF14</f>
        <v>73702.657600000006</v>
      </c>
      <c r="GK14" s="794">
        <f>FI14+FM14+FQ14+FU14+FY14+GC14+GG14</f>
        <v>0</v>
      </c>
      <c r="GL14" s="786">
        <f>GK14/GI14</f>
        <v>0</v>
      </c>
      <c r="GM14" s="593">
        <f>'Proy 2022 vs 2019 sem'!AK13*GP$4</f>
        <v>7311.5303999999996</v>
      </c>
      <c r="GN14" s="593">
        <f>'Proy 2022 vs 2019 sem'!AL13*GP$4</f>
        <v>6653.4926639999994</v>
      </c>
      <c r="GO14" s="699"/>
      <c r="GP14" s="700">
        <f>GO14/GM14</f>
        <v>0</v>
      </c>
      <c r="GQ14" s="593">
        <f>'Proy 2022 vs 2019 sem'!AK13*GT$4</f>
        <v>7311.5303999999996</v>
      </c>
      <c r="GR14" s="593">
        <f>'Proy 2022 vs 2019 sem'!AL13*GT$4</f>
        <v>6653.4926639999994</v>
      </c>
      <c r="GS14" s="699"/>
      <c r="GT14" s="700">
        <f>GS14/GQ14</f>
        <v>0</v>
      </c>
      <c r="GU14" s="593">
        <f>'Proy 2022 vs 2019 sem'!AK13*GX$4</f>
        <v>7311.5303999999996</v>
      </c>
      <c r="GV14" s="593">
        <f>'Proy 2022 vs 2019 sem'!AL13*GX$4</f>
        <v>6653.4926639999994</v>
      </c>
      <c r="GW14" s="699"/>
      <c r="GX14" s="700">
        <f>GW14/GU14</f>
        <v>0</v>
      </c>
      <c r="GY14" s="593">
        <f>'Proy 2022 vs 2019 sem'!AK13*HB$4</f>
        <v>7311.5303999999996</v>
      </c>
      <c r="GZ14" s="593">
        <f>'Proy 2022 vs 2019 sem'!AL13*HB$4</f>
        <v>6653.4926639999994</v>
      </c>
      <c r="HA14" s="699"/>
      <c r="HB14" s="700">
        <f>HA14/GY14</f>
        <v>0</v>
      </c>
      <c r="HC14" s="593">
        <f>'Proy 2022 vs 2019 sem'!AK13*HF$4</f>
        <v>8530.1188000000002</v>
      </c>
      <c r="HD14" s="593">
        <f>'Proy 2022 vs 2019 sem'!AL13*HF$4</f>
        <v>7762.4081080000005</v>
      </c>
      <c r="HE14" s="699"/>
      <c r="HF14" s="700">
        <f>HE14/HC14</f>
        <v>0</v>
      </c>
      <c r="HG14" s="593">
        <f>'Proy 2022 vs 2019 sem'!AK13*HJ$4</f>
        <v>9748.7072000000007</v>
      </c>
      <c r="HH14" s="593">
        <f>'Proy 2022 vs 2019 sem'!AL13*HJ$4</f>
        <v>8871.3235519999998</v>
      </c>
      <c r="HI14" s="699"/>
      <c r="HJ14" s="700">
        <f>HI14/HG14</f>
        <v>0</v>
      </c>
      <c r="HK14" s="593">
        <f>'Proy 2022 vs 2019 sem'!AK13*HN$4</f>
        <v>13404.472400000001</v>
      </c>
      <c r="HL14" s="593">
        <f>'Proy 2022 vs 2019 sem'!AL13*HN$4</f>
        <v>12198.069884</v>
      </c>
      <c r="HM14" s="699"/>
      <c r="HN14" s="700">
        <f>HM14/HK14</f>
        <v>0</v>
      </c>
      <c r="HO14" s="579">
        <f>GM14+GQ14+GU14+GY14+HC14+HG14+HK14</f>
        <v>60929.42</v>
      </c>
      <c r="HP14" s="574">
        <f>GN14+GR14+GV14+GZ14+HD14+HH14+HL14</f>
        <v>55445.772200000007</v>
      </c>
      <c r="HQ14" s="794">
        <f>GO14+GS14+GW14+HA14+HE14+HI14+HM14</f>
        <v>0</v>
      </c>
      <c r="HR14" s="786">
        <f>HQ14/HO14</f>
        <v>0</v>
      </c>
      <c r="HS14" s="593">
        <f>'Proy 2022 vs 2019 sem'!AK13*HV$4</f>
        <v>7311.5303999999996</v>
      </c>
      <c r="HT14" s="593">
        <f>'Proy 2022 vs 2019 sem'!AL13*HV$4</f>
        <v>6653.4926639999994</v>
      </c>
      <c r="HU14" s="699"/>
      <c r="HV14" s="700">
        <f>HU14/HS14</f>
        <v>0</v>
      </c>
      <c r="HW14" s="593">
        <f>'Proy 2022 vs 2019 sem'!AK13*HZ$4</f>
        <v>7311.5303999999996</v>
      </c>
      <c r="HX14" s="593">
        <f>'Proy 2022 vs 2019 sem'!AL13*HZ$4</f>
        <v>6653.4926639999994</v>
      </c>
      <c r="HY14" s="699"/>
      <c r="HZ14" s="700">
        <f>HY14/HW14</f>
        <v>0</v>
      </c>
      <c r="IA14" s="593">
        <f>'Proy 2022 vs 2019 sem'!AK13*ID$4</f>
        <v>7311.5303999999996</v>
      </c>
      <c r="IB14" s="593">
        <f>'Proy 2022 vs 2019 sem'!AL13*ID$4</f>
        <v>6653.4926639999994</v>
      </c>
      <c r="IC14" s="699"/>
      <c r="ID14" s="700">
        <f>IC14/IA14</f>
        <v>0</v>
      </c>
      <c r="IE14" s="593">
        <f>'Proy 2022 vs 2019 sem'!AK13*IH$4</f>
        <v>7311.5303999999996</v>
      </c>
      <c r="IF14" s="593">
        <f>'Proy 2022 vs 2019 sem'!AL13*IH$4</f>
        <v>6653.4926639999994</v>
      </c>
      <c r="IG14" s="699"/>
      <c r="IH14" s="700">
        <f>IG14/IE14</f>
        <v>0</v>
      </c>
      <c r="II14" s="593">
        <f>'Proy 2022 vs 2019 sem'!AK13*IL$4</f>
        <v>8530.1188000000002</v>
      </c>
      <c r="IJ14" s="593">
        <f>'Proy 2022 vs 2019 sem'!AL13*IL$4</f>
        <v>7762.4081080000005</v>
      </c>
      <c r="IK14" s="699"/>
      <c r="IL14" s="700">
        <f>IK14/II14</f>
        <v>0</v>
      </c>
      <c r="IM14" s="593">
        <f>'Proy 2022 vs 2019 sem'!AK13*IP$4</f>
        <v>9748.7072000000007</v>
      </c>
      <c r="IN14" s="593">
        <f>'Proy 2022 vs 2019 sem'!AL13*IP$4</f>
        <v>8871.3235519999998</v>
      </c>
      <c r="IO14" s="699"/>
      <c r="IP14" s="700">
        <f>IO14/IM14</f>
        <v>0</v>
      </c>
      <c r="IQ14" s="593">
        <f>'Proy 2022 vs 2019 sem'!AK13*IT$4</f>
        <v>13404.472400000001</v>
      </c>
      <c r="IR14" s="593">
        <f>'Proy 2022 vs 2019 sem'!AL13*IT$4</f>
        <v>12198.069884</v>
      </c>
      <c r="IS14" s="699"/>
      <c r="IT14" s="700">
        <f>IS14/IQ14</f>
        <v>0</v>
      </c>
      <c r="IU14" s="579">
        <f>HS14+HW14+IA14+IE14+II14+IM14+IQ14</f>
        <v>60929.42</v>
      </c>
      <c r="IV14" s="574">
        <f>HT14+HX14+IB14+IF14+IJ14+IN14+IR14</f>
        <v>55445.772200000007</v>
      </c>
      <c r="IW14" s="785">
        <f>HU14+HY14+IC14+IG14+IK14+IO14+IS14</f>
        <v>0</v>
      </c>
      <c r="IX14" s="786">
        <f>IW14/IU14</f>
        <v>0</v>
      </c>
      <c r="IY14" s="593">
        <f>'Proy 2022 vs 2019 sem'!AY13*JB$4</f>
        <v>8527.7807999999986</v>
      </c>
      <c r="IZ14" s="593">
        <f>'Proy 2022 vs 2019 sem'!AZ13*JB$4</f>
        <v>7589.7249119999988</v>
      </c>
      <c r="JA14" s="735"/>
      <c r="JB14" s="700">
        <f>JA14/IY14</f>
        <v>0</v>
      </c>
      <c r="JC14" s="593">
        <f>'Proy 2022 vs 2019 sem'!AY13*JF$4</f>
        <v>8527.7807999999986</v>
      </c>
      <c r="JD14" s="593">
        <f>'Proy 2022 vs 2019 sem'!AZ13*JF$4</f>
        <v>7589.7249119999988</v>
      </c>
      <c r="JE14" s="735"/>
      <c r="JF14" s="700">
        <f>JE14/JC14</f>
        <v>0</v>
      </c>
      <c r="JG14" s="593">
        <f>'Proy 2022 vs 2019 sem'!AY13*JJ$4</f>
        <v>8527.7807999999986</v>
      </c>
      <c r="JH14" s="593">
        <f>'Proy 2022 vs 2019 sem'!AZ13*JJ$4</f>
        <v>7589.7249119999988</v>
      </c>
      <c r="JI14" s="735"/>
      <c r="JJ14" s="700">
        <f>JI14/JG14</f>
        <v>0</v>
      </c>
      <c r="JK14" s="593">
        <f>'Proy 2022 vs 2019 sem'!AY13*JN$4</f>
        <v>8527.7807999999986</v>
      </c>
      <c r="JL14" s="593">
        <f>'Proy 2022 vs 2019 sem'!AZ13*JN$4</f>
        <v>7589.7249119999988</v>
      </c>
      <c r="JM14" s="735"/>
      <c r="JN14" s="700">
        <f>JM14/JK14</f>
        <v>0</v>
      </c>
      <c r="JO14" s="593">
        <f>'Proy 2022 vs 2019 sem'!AY13*JR$4</f>
        <v>9949.0776000000005</v>
      </c>
      <c r="JP14" s="593">
        <f>'Proy 2022 vs 2019 sem'!AZ13*JR$4</f>
        <v>8854.6790639999999</v>
      </c>
      <c r="JQ14" s="735"/>
      <c r="JR14" s="700">
        <f>JQ14/JO14</f>
        <v>0</v>
      </c>
      <c r="JS14" s="593">
        <f>'Proy 2022 vs 2019 sem'!AY13*JV$4</f>
        <v>11370.374399999999</v>
      </c>
      <c r="JT14" s="593">
        <f>'Proy 2022 vs 2019 sem'!AZ13*JV$4</f>
        <v>10119.633216</v>
      </c>
      <c r="JU14" s="735"/>
      <c r="JV14" s="700">
        <f>JU14/JS14</f>
        <v>0</v>
      </c>
      <c r="JW14" s="593">
        <f>'Proy 2022 vs 2019 sem'!AY13*JZ$4</f>
        <v>15634.264799999999</v>
      </c>
      <c r="JX14" s="593">
        <f>'Proy 2022 vs 2019 sem'!AZ13*JZ$4</f>
        <v>13914.495671999999</v>
      </c>
      <c r="JY14" s="735"/>
      <c r="JZ14" s="700">
        <f>JY14/JW14</f>
        <v>0</v>
      </c>
      <c r="KA14" s="579">
        <f>IY14+JC14+JG14+JK14+JO14+JS14+JW14</f>
        <v>71064.84</v>
      </c>
      <c r="KB14" s="574">
        <f>IZ14+JD14+JH14+JL14+JP14+JT14+JX14</f>
        <v>63247.707599999994</v>
      </c>
      <c r="KC14" s="729">
        <f>JA14+JE14+JI14+JM14+JQ14+JU14+JY14</f>
        <v>0</v>
      </c>
      <c r="KD14" s="711">
        <f>KC14/KA14</f>
        <v>0</v>
      </c>
      <c r="KE14" s="593">
        <f>'Proy 2022 vs 2019 sem'!BD13*KH$4</f>
        <v>9335.6820000000007</v>
      </c>
      <c r="KF14" s="593">
        <f>'Proy 2022 vs 2019 sem'!BE13*KH$4</f>
        <v>8308.7569800000019</v>
      </c>
      <c r="KG14" s="699"/>
      <c r="KH14" s="700">
        <f>KG14/KE14</f>
        <v>0</v>
      </c>
      <c r="KI14" s="593">
        <f>'Proy 2022 vs 2019 sem'!BD13*KL$4</f>
        <v>9335.6820000000007</v>
      </c>
      <c r="KJ14" s="593">
        <f>'Proy 2022 vs 2019 sem'!BE13*KL$4</f>
        <v>8308.7569800000019</v>
      </c>
      <c r="KK14" s="699"/>
      <c r="KL14" s="700">
        <f>KK14/KI14</f>
        <v>0</v>
      </c>
      <c r="KM14" s="593">
        <f>'Proy 2022 vs 2019 sem'!BD13*KP$4</f>
        <v>9335.6820000000007</v>
      </c>
      <c r="KN14" s="593">
        <f>'Proy 2022 vs 2019 sem'!BE13*KP$4</f>
        <v>8308.7569800000019</v>
      </c>
      <c r="KO14" s="699"/>
      <c r="KP14" s="700">
        <f>KO14/KM14</f>
        <v>0</v>
      </c>
      <c r="KQ14" s="593">
        <f>'Proy 2022 vs 2019 sem'!BD13*KT$4</f>
        <v>9335.6820000000007</v>
      </c>
      <c r="KR14" s="593">
        <f>'Proy 2022 vs 2019 sem'!BE13*KT$4</f>
        <v>8308.7569800000019</v>
      </c>
      <c r="KS14" s="699"/>
      <c r="KT14" s="700">
        <f>KS14/KQ14</f>
        <v>0</v>
      </c>
      <c r="KU14" s="593">
        <f>'Proy 2022 vs 2019 sem'!BD13*KX$4</f>
        <v>10891.629000000003</v>
      </c>
      <c r="KV14" s="593">
        <f>'Proy 2022 vs 2019 sem'!BE13*KX$4</f>
        <v>9693.5498100000023</v>
      </c>
      <c r="KW14" s="699"/>
      <c r="KX14" s="700">
        <f>KW14/KU14</f>
        <v>0</v>
      </c>
      <c r="KY14" s="593">
        <f>'Proy 2022 vs 2019 sem'!BD13*LB$4</f>
        <v>12447.576000000001</v>
      </c>
      <c r="KZ14" s="593">
        <f>'Proy 2022 vs 2019 sem'!BE13*LB$4</f>
        <v>11078.342640000003</v>
      </c>
      <c r="LA14" s="699"/>
      <c r="LB14" s="700">
        <f>LA14/KY14</f>
        <v>0</v>
      </c>
      <c r="LC14" s="593">
        <f>'Proy 2022 vs 2019 sem'!BD13*LF$4</f>
        <v>17115.417000000001</v>
      </c>
      <c r="LD14" s="593">
        <f>'Proy 2022 vs 2019 sem'!BE13*LF$4</f>
        <v>15232.721130000004</v>
      </c>
      <c r="LE14" s="699"/>
      <c r="LF14" s="700">
        <f>LE14/LC14</f>
        <v>0</v>
      </c>
      <c r="LG14" s="579">
        <f>KE14+KI14+KM14+KQ14+KU14+KY14+LC14</f>
        <v>77797.350000000006</v>
      </c>
      <c r="LH14" s="574">
        <f>KF14+KJ14+KN14+KR14+KV14+KZ14+LD14</f>
        <v>69239.641500000012</v>
      </c>
      <c r="LI14" s="730">
        <f>KG14+KK14+KO14+KS14+KW14+LA14+LE14</f>
        <v>0</v>
      </c>
      <c r="LJ14" s="711">
        <f>LI14/LG14</f>
        <v>0</v>
      </c>
      <c r="LK14" s="593">
        <f>'Proy 2022 vs 2019 sem'!BI13*LN$4</f>
        <v>8925.1404000000002</v>
      </c>
      <c r="LL14" s="593">
        <f>'Proy 2022 vs 2019 sem'!BJ13*LN$4</f>
        <v>7943.3749559999997</v>
      </c>
      <c r="LM14" s="699"/>
      <c r="LN14" s="700">
        <f>LM14/LK14</f>
        <v>0</v>
      </c>
      <c r="LO14" s="593">
        <f>'Proy 2022 vs 2019 sem'!BI13*LR$4</f>
        <v>8925.1404000000002</v>
      </c>
      <c r="LP14" s="593">
        <f>'Proy 2022 vs 2019 sem'!BJ13*LR$4</f>
        <v>7943.3749559999997</v>
      </c>
      <c r="LQ14" s="699"/>
      <c r="LR14" s="700">
        <f>LQ14/LO14</f>
        <v>0</v>
      </c>
      <c r="LS14" s="593">
        <f>'Proy 2022 vs 2019 sem'!BI13*LV$4</f>
        <v>8925.1404000000002</v>
      </c>
      <c r="LT14" s="593">
        <f>'Proy 2022 vs 2019 sem'!BJ13*LV$4</f>
        <v>7943.3749559999997</v>
      </c>
      <c r="LU14" s="699"/>
      <c r="LV14" s="700">
        <f>LU14/LS14</f>
        <v>0</v>
      </c>
      <c r="LW14" s="593">
        <f>'Proy 2022 vs 2019 sem'!BI13*LZ$4</f>
        <v>8925.1404000000002</v>
      </c>
      <c r="LX14" s="593">
        <f>'Proy 2022 vs 2019 sem'!BJ13*LZ$4</f>
        <v>7943.3749559999997</v>
      </c>
      <c r="LY14" s="699"/>
      <c r="LZ14" s="700">
        <f>LY14/LW14</f>
        <v>0</v>
      </c>
      <c r="MA14" s="593">
        <f>'Proy 2022 vs 2019 sem'!BI13*MD$4</f>
        <v>10412.6638</v>
      </c>
      <c r="MB14" s="593">
        <f>'Proy 2022 vs 2019 sem'!BJ13*MD$4</f>
        <v>9267.2707819999996</v>
      </c>
      <c r="MC14" s="699"/>
      <c r="MD14" s="700">
        <f>MC14/MA14</f>
        <v>0</v>
      </c>
      <c r="ME14" s="593">
        <f>'Proy 2022 vs 2019 sem'!BI13*MH$4</f>
        <v>11900.1872</v>
      </c>
      <c r="MF14" s="593">
        <f>'Proy 2022 vs 2019 sem'!BJ13*MH$4</f>
        <v>10591.166608</v>
      </c>
      <c r="MG14" s="699"/>
      <c r="MH14" s="700">
        <f>MG14/ME14</f>
        <v>0</v>
      </c>
      <c r="MI14" s="593">
        <f>'Proy 2022 vs 2019 sem'!BI13*ML$4</f>
        <v>16362.7574</v>
      </c>
      <c r="MJ14" s="593">
        <f>'Proy 2022 vs 2019 sem'!BJ13*ML$4</f>
        <v>14562.854085999999</v>
      </c>
      <c r="MK14" s="699"/>
      <c r="ML14" s="700">
        <f>MK14/MI14</f>
        <v>0</v>
      </c>
      <c r="MM14" s="579">
        <f>LK14+LO14+LS14+LW14+MA14+ME14+MI14</f>
        <v>74376.17</v>
      </c>
      <c r="MN14" s="574">
        <f>LL14+LP14+LT14+LX14+MB14+MF14+MJ14</f>
        <v>66194.791299999997</v>
      </c>
      <c r="MO14" s="730">
        <f>LM14+LQ14+LU14+LY14+MC14+MG14+MK14</f>
        <v>0</v>
      </c>
      <c r="MP14" s="711">
        <f>MO14/MM14</f>
        <v>0</v>
      </c>
      <c r="MQ14" s="593">
        <f>'Proy 2022 vs 2019 sem'!BN13*MT$4</f>
        <v>8871.496799999999</v>
      </c>
      <c r="MR14" s="593">
        <f>'Proy 2022 vs 2019 sem'!BO13*MT$4</f>
        <v>7718.2022159999997</v>
      </c>
      <c r="MS14" s="699"/>
      <c r="MT14" s="700">
        <f>MS14/MQ14</f>
        <v>0</v>
      </c>
      <c r="MU14" s="593">
        <f>'Proy 2022 vs 2019 sem'!BN13*MX$4</f>
        <v>8871.496799999999</v>
      </c>
      <c r="MV14" s="593">
        <f>'Proy 2022 vs 2019 sem'!BO13*MX$4</f>
        <v>7718.2022159999997</v>
      </c>
      <c r="MW14" s="699"/>
      <c r="MX14" s="700">
        <f>MW14/MU14</f>
        <v>0</v>
      </c>
      <c r="MY14" s="593">
        <f>'Proy 2022 vs 2019 sem'!BN13*NB$4</f>
        <v>8871.496799999999</v>
      </c>
      <c r="MZ14" s="593">
        <f>'Proy 2022 vs 2019 sem'!BO13*NB$4</f>
        <v>7718.2022159999997</v>
      </c>
      <c r="NA14" s="699"/>
      <c r="NB14" s="700">
        <f>NA14/MY14</f>
        <v>0</v>
      </c>
      <c r="NC14" s="593">
        <f>'Proy 2022 vs 2019 sem'!BN13*NF$4</f>
        <v>8871.496799999999</v>
      </c>
      <c r="ND14" s="593">
        <f>'Proy 2022 vs 2019 sem'!BO13*NF$4</f>
        <v>7718.2022159999997</v>
      </c>
      <c r="NE14" s="699"/>
      <c r="NF14" s="700">
        <f>NE14/NC14</f>
        <v>0</v>
      </c>
      <c r="NG14" s="593">
        <f>'Proy 2022 vs 2019 sem'!BN13*NJ$4</f>
        <v>10350.079600000001</v>
      </c>
      <c r="NH14" s="593">
        <f>'Proy 2022 vs 2019 sem'!BO13*NJ$4</f>
        <v>9004.5692520000011</v>
      </c>
      <c r="NI14" s="699"/>
      <c r="NJ14" s="700">
        <f>NI14/NG14</f>
        <v>0</v>
      </c>
      <c r="NK14" s="593">
        <f>'Proy 2022 vs 2019 sem'!BN13*NN$4</f>
        <v>11828.662399999999</v>
      </c>
      <c r="NL14" s="593">
        <f>'Proy 2022 vs 2019 sem'!BO13*NN$4</f>
        <v>10290.936287999999</v>
      </c>
      <c r="NM14" s="699"/>
      <c r="NN14" s="700">
        <f>NM14/NK14</f>
        <v>0</v>
      </c>
      <c r="NO14" s="593">
        <f>'Proy 2022 vs 2019 sem'!BN13*NR$4</f>
        <v>16264.4108</v>
      </c>
      <c r="NP14" s="593">
        <f>'Proy 2022 vs 2019 sem'!BO13*NR$4</f>
        <v>14150.037396</v>
      </c>
      <c r="NQ14" s="699"/>
      <c r="NR14" s="700">
        <f>NQ14/NO14</f>
        <v>0</v>
      </c>
      <c r="NS14" s="579">
        <f>MQ14+MU14+MY14+NC14+NG14+NK14+NO14</f>
        <v>73929.14</v>
      </c>
      <c r="NT14" s="574">
        <f>MR14+MV14+MZ14+ND14+NH14+NL14+NP14</f>
        <v>64318.351799999997</v>
      </c>
      <c r="NU14" s="710">
        <f>MS14+MW14+NA14+NE14+NI14+NM14+NQ14</f>
        <v>0</v>
      </c>
      <c r="NV14" s="711">
        <f>NU14/NS14</f>
        <v>0</v>
      </c>
      <c r="NW14" s="593">
        <f>'Proy 2022 vs 2019 sem'!BS13*NZ$4</f>
        <v>10464.762000000001</v>
      </c>
      <c r="NX14" s="593">
        <f>'Proy 2022 vs 2019 sem'!BT13*NZ$4</f>
        <v>9313.6381799999999</v>
      </c>
      <c r="NY14" s="699"/>
      <c r="NZ14" s="700">
        <f>NY14/NW14</f>
        <v>0</v>
      </c>
      <c r="OA14" s="593">
        <f>'Proy 2022 vs 2019 sem'!BS13*OD$4</f>
        <v>10464.762000000001</v>
      </c>
      <c r="OB14" s="593">
        <f>'Proy 2022 vs 2019 sem'!BT13*OD$4</f>
        <v>9313.6381799999999</v>
      </c>
      <c r="OC14" s="699"/>
      <c r="OD14" s="700">
        <f>OC14/OA14</f>
        <v>0</v>
      </c>
      <c r="OE14" s="593">
        <f>'Proy 2022 vs 2019 sem'!BS13*OH$4</f>
        <v>10464.762000000001</v>
      </c>
      <c r="OF14" s="593">
        <f>'Proy 2022 vs 2019 sem'!BT13*OH$4</f>
        <v>9313.6381799999999</v>
      </c>
      <c r="OG14" s="699"/>
      <c r="OH14" s="700">
        <f>OG14/OE14</f>
        <v>0</v>
      </c>
      <c r="OI14" s="593">
        <f>'Proy 2022 vs 2019 sem'!BS13*OL$4</f>
        <v>10464.762000000001</v>
      </c>
      <c r="OJ14" s="593">
        <f>'Proy 2022 vs 2019 sem'!BT13*OL$4</f>
        <v>9313.6381799999999</v>
      </c>
      <c r="OK14" s="699"/>
      <c r="OL14" s="700">
        <f>OK14/OI14</f>
        <v>0</v>
      </c>
      <c r="OM14" s="593">
        <f>'Proy 2022 vs 2019 sem'!BS13*OP$4</f>
        <v>12208.889000000003</v>
      </c>
      <c r="ON14" s="593">
        <f>'Proy 2022 vs 2019 sem'!BT13*OP$4</f>
        <v>10865.911210000002</v>
      </c>
      <c r="OO14" s="699"/>
      <c r="OP14" s="700">
        <f>OO14/OM14</f>
        <v>0</v>
      </c>
      <c r="OQ14" s="593">
        <f>'Proy 2022 vs 2019 sem'!BS13*OT$4</f>
        <v>13953.016000000001</v>
      </c>
      <c r="OR14" s="593">
        <f>'Proy 2022 vs 2019 sem'!BT13*OT$4</f>
        <v>12418.184240000002</v>
      </c>
      <c r="OS14" s="699"/>
      <c r="OT14" s="700">
        <f>OS14/OQ14</f>
        <v>0</v>
      </c>
      <c r="OU14" s="593">
        <f>'Proy 2022 vs 2019 sem'!BS13*OX$4</f>
        <v>19185.397000000001</v>
      </c>
      <c r="OV14" s="593">
        <f>'Proy 2022 vs 2019 sem'!BT13*OX$4</f>
        <v>17075.003330000003</v>
      </c>
      <c r="OW14" s="699"/>
      <c r="OX14" s="700">
        <f>OW14/OU14</f>
        <v>0</v>
      </c>
      <c r="OY14" s="579">
        <f>NW14+OA14+OE14+OI14+OM14+OQ14+OU14</f>
        <v>87206.35</v>
      </c>
      <c r="OZ14" s="574">
        <f>NX14+OB14+OF14+OJ14+ON14+OR14+OV14</f>
        <v>77613.651500000007</v>
      </c>
      <c r="PA14" s="710">
        <f>NY14+OC14+OG14+OK14+OO14+OS14+OW14</f>
        <v>0</v>
      </c>
      <c r="PB14" s="711">
        <f>PA14/OY14</f>
        <v>0</v>
      </c>
      <c r="PC14" s="593">
        <f>'Proy 2022 vs 2019 sem'!CB13*PF$4</f>
        <v>10823.959199999999</v>
      </c>
      <c r="PD14" s="593">
        <f>'Proy 2022 vs 2019 sem'!CC13*PF$4</f>
        <v>9633.3236880000004</v>
      </c>
      <c r="PE14" s="735"/>
      <c r="PF14" s="700">
        <f>PE14/PC14</f>
        <v>0</v>
      </c>
      <c r="PG14" s="593">
        <f>'Proy 2022 vs 2019 sem'!CB13*PJ$4</f>
        <v>10823.959199999999</v>
      </c>
      <c r="PH14" s="593">
        <f>'Proy 2022 vs 2019 sem'!CC13*PJ$4</f>
        <v>9633.3236880000004</v>
      </c>
      <c r="PI14" s="699"/>
      <c r="PJ14" s="700">
        <f>PI14/PG14</f>
        <v>0</v>
      </c>
      <c r="PK14" s="593">
        <f>'Proy 2022 vs 2019 sem'!CB13*PN$4</f>
        <v>10823.959199999999</v>
      </c>
      <c r="PL14" s="593">
        <f>'Proy 2022 vs 2019 sem'!CC13*PN$4</f>
        <v>9633.3236880000004</v>
      </c>
      <c r="PM14" s="699"/>
      <c r="PN14" s="700">
        <f>PM14/PK14</f>
        <v>0</v>
      </c>
      <c r="PO14" s="593">
        <f>'Proy 2022 vs 2019 sem'!CB13*PR$4</f>
        <v>10823.959199999999</v>
      </c>
      <c r="PP14" s="593">
        <f>'Proy 2022 vs 2019 sem'!CC13*PR$4</f>
        <v>9633.3236880000004</v>
      </c>
      <c r="PQ14" s="699"/>
      <c r="PR14" s="700">
        <f>PQ14/PO14</f>
        <v>0</v>
      </c>
      <c r="PS14" s="593">
        <f>'Proy 2022 vs 2019 sem'!CB13*PV$4</f>
        <v>12627.952400000002</v>
      </c>
      <c r="PT14" s="593">
        <f>'Proy 2022 vs 2019 sem'!CC13*PV$4</f>
        <v>11238.877636000001</v>
      </c>
      <c r="PU14" s="699"/>
      <c r="PV14" s="700">
        <f>PU14/PS14</f>
        <v>0</v>
      </c>
      <c r="PW14" s="593">
        <f>'Proy 2022 vs 2019 sem'!CB13*PZ$4</f>
        <v>14431.945600000001</v>
      </c>
      <c r="PX14" s="593">
        <f>'Proy 2022 vs 2019 sem'!CC13*PZ$4</f>
        <v>12844.431584000002</v>
      </c>
      <c r="PY14" s="699"/>
      <c r="PZ14" s="700">
        <f>PY14/PW14</f>
        <v>0</v>
      </c>
      <c r="QA14" s="593">
        <f>'Proy 2022 vs 2019 sem'!CB13*QD$4</f>
        <v>19843.925200000001</v>
      </c>
      <c r="QB14" s="593">
        <f>'Proy 2022 vs 2019 sem'!CC13*QD$4</f>
        <v>17661.093428</v>
      </c>
      <c r="QC14" s="699"/>
      <c r="QD14" s="700">
        <f>QC14/QA14</f>
        <v>0</v>
      </c>
      <c r="QE14" s="579">
        <f>PC14+PG14+PK14+PO14+PS14+PW14+QA14</f>
        <v>90199.66</v>
      </c>
      <c r="QF14" s="574">
        <f>PD14+PH14+PL14+PP14+PT14+PX14+QB14</f>
        <v>80277.697400000005</v>
      </c>
      <c r="QG14" s="793">
        <f>PE14+PI14+PM14+PQ14+PU14+PY14+QC14</f>
        <v>0</v>
      </c>
      <c r="QH14" s="786">
        <f>QG14/QE14</f>
        <v>0</v>
      </c>
      <c r="QI14" s="593">
        <f>'Proy 2022 vs 2019 sem'!CG13*QL$4</f>
        <v>10437.477599999998</v>
      </c>
      <c r="QJ14" s="593">
        <f>'Proy 2022 vs 2019 sem'!CH13*QL$4</f>
        <v>9393.7298399999981</v>
      </c>
      <c r="QK14" s="699"/>
      <c r="QL14" s="700">
        <f>QK14/QI14</f>
        <v>0</v>
      </c>
      <c r="QM14" s="593">
        <f>'Proy 2022 vs 2019 sem'!CG13*QP$4</f>
        <v>10437.477599999998</v>
      </c>
      <c r="QN14" s="593">
        <f>'Proy 2022 vs 2019 sem'!CH13*QP$4</f>
        <v>9393.7298399999981</v>
      </c>
      <c r="QO14" s="699"/>
      <c r="QP14" s="700">
        <f>QO14/QM14</f>
        <v>0</v>
      </c>
      <c r="QQ14" s="593">
        <f>'Proy 2022 vs 2019 sem'!CG13*QT$4</f>
        <v>10437.477599999998</v>
      </c>
      <c r="QR14" s="593">
        <f>'Proy 2022 vs 2019 sem'!CH13*QT$4</f>
        <v>9393.7298399999981</v>
      </c>
      <c r="QS14" s="699"/>
      <c r="QT14" s="700">
        <f>QS14/QQ14</f>
        <v>0</v>
      </c>
      <c r="QU14" s="593">
        <f>'Proy 2022 vs 2019 sem'!CG13*QX$4</f>
        <v>10437.477599999998</v>
      </c>
      <c r="QV14" s="593">
        <f>'Proy 2022 vs 2019 sem'!CH13*QX$4</f>
        <v>9393.7298399999981</v>
      </c>
      <c r="QW14" s="699"/>
      <c r="QX14" s="700">
        <f>QW14/QU14</f>
        <v>0</v>
      </c>
      <c r="QY14" s="593">
        <f>'Proy 2022 vs 2019 sem'!CG13*RB$4</f>
        <v>12177.057200000001</v>
      </c>
      <c r="QZ14" s="593">
        <f>'Proy 2022 vs 2019 sem'!CH13*RB$4</f>
        <v>10959.351480000001</v>
      </c>
      <c r="RA14" s="699"/>
      <c r="RB14" s="700">
        <f>RA14/QY14</f>
        <v>0</v>
      </c>
      <c r="RC14" s="593">
        <f>'Proy 2022 vs 2019 sem'!CG13*RF$4</f>
        <v>13916.6368</v>
      </c>
      <c r="RD14" s="593">
        <f>'Proy 2022 vs 2019 sem'!CH13*RF$4</f>
        <v>12524.973119999999</v>
      </c>
      <c r="RE14" s="699"/>
      <c r="RF14" s="700">
        <f>RE14/RC14</f>
        <v>0</v>
      </c>
      <c r="RG14" s="593">
        <f>'Proy 2022 vs 2019 sem'!CG13*RJ$4</f>
        <v>19135.375599999999</v>
      </c>
      <c r="RH14" s="593">
        <f>'Proy 2022 vs 2019 sem'!CH13*RJ$4</f>
        <v>17221.838039999999</v>
      </c>
      <c r="RI14" s="699"/>
      <c r="RJ14" s="700">
        <f>RI14/RG14</f>
        <v>0</v>
      </c>
      <c r="RK14" s="579">
        <f>QI14+QM14+QQ14+QU14+QY14+RC14+RG14</f>
        <v>86978.98</v>
      </c>
      <c r="RL14" s="574">
        <f>QJ14+QN14+QR14+QV14+QZ14+RD14+RH14</f>
        <v>78281.081999999995</v>
      </c>
      <c r="RM14" s="794">
        <f>QK14+QO14+QS14+QW14+RA14+RE14+RI14</f>
        <v>0</v>
      </c>
      <c r="RN14" s="786">
        <f>RM14/RK14</f>
        <v>0</v>
      </c>
      <c r="RO14" s="593">
        <f>'Proy 2022 vs 2019 sem'!CL13*RR$4</f>
        <v>9876.3359999999993</v>
      </c>
      <c r="RP14" s="593">
        <f>'Proy 2022 vs 2019 sem'!CM13*RR$4</f>
        <v>8888.7024000000001</v>
      </c>
      <c r="RQ14" s="699"/>
      <c r="RR14" s="700">
        <f>RQ14/RO14</f>
        <v>0</v>
      </c>
      <c r="RS14" s="593">
        <f>'Proy 2022 vs 2019 sem'!CL13*RV$4</f>
        <v>9876.3359999999993</v>
      </c>
      <c r="RT14" s="593">
        <f>'Proy 2022 vs 2019 sem'!CM13*RV$4</f>
        <v>8888.7024000000001</v>
      </c>
      <c r="RU14" s="699"/>
      <c r="RV14" s="700">
        <f>RU14/RS14</f>
        <v>0</v>
      </c>
      <c r="RW14" s="593">
        <f>'Proy 2022 vs 2019 sem'!CL13*RZ$4</f>
        <v>9876.3359999999993</v>
      </c>
      <c r="RX14" s="593">
        <f>'Proy 2022 vs 2019 sem'!CM13*RZ$4</f>
        <v>8888.7024000000001</v>
      </c>
      <c r="RY14" s="699"/>
      <c r="RZ14" s="700">
        <f>RY14/RW14</f>
        <v>0</v>
      </c>
      <c r="SA14" s="593">
        <f>'Proy 2022 vs 2019 sem'!CL13*SD$4</f>
        <v>9876.3359999999993</v>
      </c>
      <c r="SB14" s="593">
        <f>'Proy 2022 vs 2019 sem'!CM13*SD$4</f>
        <v>8888.7024000000001</v>
      </c>
      <c r="SC14" s="699"/>
      <c r="SD14" s="700">
        <f>SC14/SA14</f>
        <v>0</v>
      </c>
      <c r="SE14" s="593">
        <f>'Proy 2022 vs 2019 sem'!CL13*SH$4</f>
        <v>11522.392000000002</v>
      </c>
      <c r="SF14" s="593">
        <f>'Proy 2022 vs 2019 sem'!CM13*SH$4</f>
        <v>10370.152800000002</v>
      </c>
      <c r="SG14" s="699"/>
      <c r="SH14" s="700">
        <f>SG14/SE14</f>
        <v>0</v>
      </c>
      <c r="SI14" s="593">
        <f>'Proy 2022 vs 2019 sem'!CL13*SL$4</f>
        <v>13168.448</v>
      </c>
      <c r="SJ14" s="593">
        <f>'Proy 2022 vs 2019 sem'!CM13*SL$4</f>
        <v>11851.603200000001</v>
      </c>
      <c r="SK14" s="699"/>
      <c r="SL14" s="700">
        <f>SK14/SI14</f>
        <v>0</v>
      </c>
      <c r="SM14" s="593">
        <f>'Proy 2022 vs 2019 sem'!CL13*SP$4</f>
        <v>18106.616000000002</v>
      </c>
      <c r="SN14" s="593">
        <f>'Proy 2022 vs 2019 sem'!CM13*SP$4</f>
        <v>16295.954400000001</v>
      </c>
      <c r="SO14" s="699"/>
      <c r="SP14" s="700">
        <f>SO14/SM14</f>
        <v>0</v>
      </c>
      <c r="SQ14" s="579">
        <f>RO14+RS14+RW14+SA14+SE14+SI14+SM14</f>
        <v>82302.799999999988</v>
      </c>
      <c r="SR14" s="574">
        <f>RP14+RT14+RX14+SB14+SF14+SJ14+SN14</f>
        <v>74072.52</v>
      </c>
      <c r="SS14" s="794">
        <f>RQ14+RU14+RY14+SC14+SG14+SK14+SO14</f>
        <v>0</v>
      </c>
      <c r="ST14" s="786">
        <f>SS14/SQ14</f>
        <v>0</v>
      </c>
      <c r="SU14" s="593">
        <f>'Proy 2022 vs 2019 sem'!CQ13*SX$4</f>
        <v>12746.7096</v>
      </c>
      <c r="SV14" s="593">
        <f>'Proy 2022 vs 2019 sem'!CR13*SX$4</f>
        <v>11599.505735999999</v>
      </c>
      <c r="SW14" s="699"/>
      <c r="SX14" s="700">
        <f>SW14/SU14</f>
        <v>0</v>
      </c>
      <c r="SY14" s="593">
        <f>'Proy 2022 vs 2019 sem'!CQ13*TB$4</f>
        <v>12746.7096</v>
      </c>
      <c r="SZ14" s="593">
        <f>'Proy 2022 vs 2019 sem'!CR13*TB$4</f>
        <v>11599.505735999999</v>
      </c>
      <c r="TA14" s="699"/>
      <c r="TB14" s="700">
        <f>TA14/SY14</f>
        <v>0</v>
      </c>
      <c r="TC14" s="593">
        <f>'Proy 2022 vs 2019 sem'!CQ13*TF$4</f>
        <v>12746.7096</v>
      </c>
      <c r="TD14" s="593">
        <f>'Proy 2022 vs 2019 sem'!CR13*TF$4</f>
        <v>11599.505735999999</v>
      </c>
      <c r="TE14" s="699"/>
      <c r="TF14" s="700">
        <f>TE14/TC14</f>
        <v>0</v>
      </c>
      <c r="TG14" s="593">
        <f>'Proy 2022 vs 2019 sem'!CQ13*TJ$4</f>
        <v>12746.7096</v>
      </c>
      <c r="TH14" s="593">
        <f>'Proy 2022 vs 2019 sem'!CR13*TJ$4</f>
        <v>11599.505735999999</v>
      </c>
      <c r="TI14" s="699"/>
      <c r="TJ14" s="700">
        <f>TI14/TG14</f>
        <v>0</v>
      </c>
      <c r="TK14" s="593">
        <f>'Proy 2022 vs 2019 sem'!CQ13*TN$4</f>
        <v>14871.161200000002</v>
      </c>
      <c r="TL14" s="593">
        <f>'Proy 2022 vs 2019 sem'!CR13*TN$4</f>
        <v>13532.756692000001</v>
      </c>
      <c r="TM14" s="699"/>
      <c r="TN14" s="700">
        <f>TM14/TK14</f>
        <v>0</v>
      </c>
      <c r="TO14" s="593">
        <f>'Proy 2022 vs 2019 sem'!CQ13*TR$4</f>
        <v>16995.612799999999</v>
      </c>
      <c r="TP14" s="593">
        <f>'Proy 2022 vs 2019 sem'!CR13*TR$4</f>
        <v>15466.007648000001</v>
      </c>
      <c r="TQ14" s="699"/>
      <c r="TR14" s="700">
        <f>TQ14/TO14</f>
        <v>0</v>
      </c>
      <c r="TS14" s="593">
        <f>'Proy 2022 vs 2019 sem'!CQ13*TV$4</f>
        <v>23368.9676</v>
      </c>
      <c r="TT14" s="593">
        <f>'Proy 2022 vs 2019 sem'!CR13*TV$4</f>
        <v>21265.760515999998</v>
      </c>
      <c r="TU14" s="699"/>
      <c r="TV14" s="700">
        <f>TU14/TS14</f>
        <v>0</v>
      </c>
      <c r="TW14" s="579">
        <f>SU14+SY14+TC14+TG14+TK14+TO14+TS14</f>
        <v>106222.58000000002</v>
      </c>
      <c r="TX14" s="574">
        <f>SV14+SZ14+TD14+TH14+TL14+TP14+TT14</f>
        <v>96662.5478</v>
      </c>
      <c r="TY14" s="785">
        <f>SW14+TA14+TE14+TI14+TM14+TQ14+TU14</f>
        <v>0</v>
      </c>
      <c r="TZ14" s="786">
        <f>TY14/TW14</f>
        <v>0</v>
      </c>
      <c r="UA14" s="593">
        <f>'Proy 2022 vs 2019 sem'!CZ13*UD$4</f>
        <v>14329.742399999999</v>
      </c>
      <c r="UB14" s="593">
        <f>'Proy 2022 vs 2019 sem'!DA13*UD$4</f>
        <v>12753.470735999999</v>
      </c>
      <c r="UC14" s="735"/>
      <c r="UD14" s="700">
        <f>UC14/UA14</f>
        <v>0</v>
      </c>
      <c r="UE14" s="593">
        <f>'Proy 2022 vs 2019 sem'!CZ13*UH$4</f>
        <v>14329.742399999999</v>
      </c>
      <c r="UF14" s="593">
        <f>'Proy 2022 vs 2019 sem'!DA13*UH$4</f>
        <v>12753.470735999999</v>
      </c>
      <c r="UG14" s="699"/>
      <c r="UH14" s="700">
        <f>UG14/UE14</f>
        <v>0</v>
      </c>
      <c r="UI14" s="593">
        <f>'Proy 2022 vs 2019 sem'!CZ13*UL$4</f>
        <v>14329.742399999999</v>
      </c>
      <c r="UJ14" s="593">
        <f>'Proy 2022 vs 2019 sem'!DA13*UL$4</f>
        <v>12753.470735999999</v>
      </c>
      <c r="UK14" s="699"/>
      <c r="UL14" s="700">
        <f>UK14/UI14</f>
        <v>0</v>
      </c>
      <c r="UM14" s="593">
        <f>'Proy 2022 vs 2019 sem'!CZ13*UP$4</f>
        <v>14329.742399999999</v>
      </c>
      <c r="UN14" s="593">
        <f>'Proy 2022 vs 2019 sem'!DA13*UP$4</f>
        <v>12753.470735999999</v>
      </c>
      <c r="UO14" s="699"/>
      <c r="UP14" s="700">
        <f>UO14/UM14</f>
        <v>0</v>
      </c>
      <c r="UQ14" s="593">
        <f>'Proy 2022 vs 2019 sem'!CZ13*UT$4</f>
        <v>16718.032800000001</v>
      </c>
      <c r="UR14" s="593">
        <f>'Proy 2022 vs 2019 sem'!DA13*UT$4</f>
        <v>14879.049192000002</v>
      </c>
      <c r="US14" s="699"/>
      <c r="UT14" s="700">
        <f>US14/UQ14</f>
        <v>0</v>
      </c>
      <c r="UU14" s="593">
        <f>'Proy 2022 vs 2019 sem'!CZ13*UX$4</f>
        <v>19106.323200000003</v>
      </c>
      <c r="UV14" s="593">
        <f>'Proy 2022 vs 2019 sem'!DA13*UX$4</f>
        <v>17004.627648000001</v>
      </c>
      <c r="UW14" s="699"/>
      <c r="UX14" s="700">
        <f>UW14/UU14</f>
        <v>0</v>
      </c>
      <c r="UY14" s="593">
        <f>'Proy 2022 vs 2019 sem'!CZ13*VB$4</f>
        <v>26271.1944</v>
      </c>
      <c r="UZ14" s="593">
        <f>'Proy 2022 vs 2019 sem'!DA13*VB$4</f>
        <v>23381.363015999999</v>
      </c>
      <c r="VA14" s="699"/>
      <c r="VB14" s="700">
        <f>VA14/UY14</f>
        <v>0</v>
      </c>
      <c r="VC14" s="579">
        <f>UA14+UE14+UI14+UM14+UQ14+UU14+UY14</f>
        <v>119414.51999999999</v>
      </c>
      <c r="VD14" s="574">
        <f>UB14+UF14+UJ14+UN14+UR14+UV14+UZ14</f>
        <v>106278.92280000001</v>
      </c>
      <c r="VE14" s="759">
        <f>UC14+UG14+UK14+UO14+US14+UW14+VA14</f>
        <v>0</v>
      </c>
      <c r="VF14" s="761">
        <f>VE14/VC14</f>
        <v>0</v>
      </c>
      <c r="VG14" s="593">
        <f>'Proy 2022 vs 2019 sem'!DE13*VJ$4</f>
        <v>11635.9272</v>
      </c>
      <c r="VH14" s="593">
        <f>'Proy 2022 vs 2019 sem'!DF13*VJ$4</f>
        <v>10355.975208</v>
      </c>
      <c r="VI14" s="699"/>
      <c r="VJ14" s="700">
        <f>VI14/VG14</f>
        <v>0</v>
      </c>
      <c r="VK14" s="593">
        <f>'Proy 2022 vs 2019 sem'!DE13*VN$4</f>
        <v>11635.9272</v>
      </c>
      <c r="VL14" s="593">
        <f>'Proy 2022 vs 2019 sem'!DF13*VN$4</f>
        <v>10355.975208</v>
      </c>
      <c r="VM14" s="699"/>
      <c r="VN14" s="700">
        <f>VM14/VK14</f>
        <v>0</v>
      </c>
      <c r="VO14" s="593">
        <f>'Proy 2022 vs 2019 sem'!DE13*VR$4</f>
        <v>11635.9272</v>
      </c>
      <c r="VP14" s="593">
        <f>'Proy 2022 vs 2019 sem'!DF13*VR$4</f>
        <v>10355.975208</v>
      </c>
      <c r="VQ14" s="699"/>
      <c r="VR14" s="700">
        <f>VQ14/VO14</f>
        <v>0</v>
      </c>
      <c r="VS14" s="593">
        <f>'Proy 2022 vs 2019 sem'!DE13*VV$4</f>
        <v>11635.9272</v>
      </c>
      <c r="VT14" s="593">
        <f>'Proy 2022 vs 2019 sem'!DF13*VV$4</f>
        <v>10355.975208</v>
      </c>
      <c r="VU14" s="699"/>
      <c r="VV14" s="700">
        <f>VU14/VS14</f>
        <v>0</v>
      </c>
      <c r="VW14" s="593">
        <f>'Proy 2022 vs 2019 sem'!DE13*VZ$4</f>
        <v>13575.2484</v>
      </c>
      <c r="VX14" s="593">
        <f>'Proy 2022 vs 2019 sem'!DF13*VZ$4</f>
        <v>12081.971076</v>
      </c>
      <c r="VY14" s="699"/>
      <c r="VZ14" s="700">
        <f>VY14/VW14</f>
        <v>0</v>
      </c>
      <c r="WA14" s="593">
        <f>'Proy 2022 vs 2019 sem'!DE13*WD$4</f>
        <v>15514.569600000001</v>
      </c>
      <c r="WB14" s="593">
        <f>'Proy 2022 vs 2019 sem'!DF13*WD$4</f>
        <v>13807.966944</v>
      </c>
      <c r="WC14" s="699"/>
      <c r="WD14" s="700">
        <f>WC14/WA14</f>
        <v>0</v>
      </c>
      <c r="WE14" s="593">
        <f>'Proy 2022 vs 2019 sem'!DE13*WH$4</f>
        <v>21332.533199999998</v>
      </c>
      <c r="WF14" s="593">
        <f>'Proy 2022 vs 2019 sem'!DF13*WH$4</f>
        <v>18985.954547999998</v>
      </c>
      <c r="WG14" s="699"/>
      <c r="WH14" s="700">
        <f>WG14/WE14</f>
        <v>0</v>
      </c>
      <c r="WI14" s="579">
        <f>VG14+VK14+VO14+VS14+VW14+WA14+WE14</f>
        <v>96966.06</v>
      </c>
      <c r="WJ14" s="574">
        <f>VH14+VL14+VP14+VT14+VX14+WB14+WF14</f>
        <v>86299.793399999995</v>
      </c>
      <c r="WK14" s="765">
        <f>VI14+VM14+VQ14+VU14+VY14+WC14+WG14</f>
        <v>0</v>
      </c>
      <c r="WL14" s="761">
        <f>WK14/WI14</f>
        <v>0</v>
      </c>
      <c r="WM14" s="593">
        <f>'Proy 2022 vs 2019 sem'!DJ13*WP$4</f>
        <v>10883.589599999999</v>
      </c>
      <c r="WN14" s="593">
        <f>'Proy 2022 vs 2019 sem'!DK13*WP$4</f>
        <v>9686.3947439999993</v>
      </c>
      <c r="WO14" s="699"/>
      <c r="WP14" s="700">
        <f>WO14/WM14</f>
        <v>0</v>
      </c>
      <c r="WQ14" s="593">
        <f>'Proy 2022 vs 2019 sem'!DJ13*WT$4</f>
        <v>10883.589599999999</v>
      </c>
      <c r="WR14" s="593">
        <f>'Proy 2022 vs 2019 sem'!DK13*WT$4</f>
        <v>9686.3947439999993</v>
      </c>
      <c r="WS14" s="699"/>
      <c r="WT14" s="700">
        <f>WS14/WQ14</f>
        <v>0</v>
      </c>
      <c r="WU14" s="593">
        <f>'Proy 2022 vs 2019 sem'!DJ13*WX$4</f>
        <v>10883.589599999999</v>
      </c>
      <c r="WV14" s="593">
        <f>'Proy 2022 vs 2019 sem'!DK13*WX$4</f>
        <v>9686.3947439999993</v>
      </c>
      <c r="WW14" s="699"/>
      <c r="WX14" s="700">
        <f>WW14/WU14</f>
        <v>0</v>
      </c>
      <c r="WY14" s="593">
        <f>'Proy 2022 vs 2019 sem'!DJ13*XB$4</f>
        <v>10883.589599999999</v>
      </c>
      <c r="WZ14" s="593">
        <f>'Proy 2022 vs 2019 sem'!DK13*XB$4</f>
        <v>9686.3947439999993</v>
      </c>
      <c r="XA14" s="699"/>
      <c r="XB14" s="700">
        <f>XA14/WY14</f>
        <v>0</v>
      </c>
      <c r="XC14" s="593">
        <f>'Proy 2022 vs 2019 sem'!DJ13*XF$4</f>
        <v>12697.521200000001</v>
      </c>
      <c r="XD14" s="593">
        <f>'Proy 2022 vs 2019 sem'!DK13*XF$4</f>
        <v>11300.793868000001</v>
      </c>
      <c r="XE14" s="699"/>
      <c r="XF14" s="700">
        <f>XE14/XC14</f>
        <v>0</v>
      </c>
      <c r="XG14" s="593">
        <f>'Proy 2022 vs 2019 sem'!DJ13*XJ$4</f>
        <v>14511.452800000001</v>
      </c>
      <c r="XH14" s="593">
        <f>'Proy 2022 vs 2019 sem'!DK13*XJ$4</f>
        <v>12915.192992</v>
      </c>
      <c r="XI14" s="699"/>
      <c r="XJ14" s="700">
        <f>XI14/XG14</f>
        <v>0</v>
      </c>
      <c r="XK14" s="593">
        <f>'Proy 2022 vs 2019 sem'!DJ13*XN$4</f>
        <v>19953.247599999999</v>
      </c>
      <c r="XL14" s="593">
        <f>'Proy 2022 vs 2019 sem'!DK13*XN$4</f>
        <v>17758.390363999999</v>
      </c>
      <c r="XM14" s="699"/>
      <c r="XN14" s="700">
        <f>XM14/XK14</f>
        <v>0</v>
      </c>
      <c r="XO14" s="579">
        <f>WM14+WQ14+WU14+WY14+XC14+XG14+XK14</f>
        <v>90696.58</v>
      </c>
      <c r="XP14" s="574">
        <f>WN14+WR14+WV14+WZ14+XD14+XH14+XL14</f>
        <v>80719.956199999986</v>
      </c>
      <c r="XQ14" s="765">
        <f>WO14+WS14+WW14+XA14+XE14+XI14+XM14</f>
        <v>0</v>
      </c>
      <c r="XR14" s="761">
        <f>XQ14/XO14</f>
        <v>0</v>
      </c>
      <c r="XS14" s="593">
        <f>'Proy 2022 vs 2019 sem'!DO13*XV$4</f>
        <v>10671.3696</v>
      </c>
      <c r="XT14" s="593">
        <f>'Proy 2022 vs 2019 sem'!DP13*XV$4</f>
        <v>9604.2326400000002</v>
      </c>
      <c r="XU14" s="699"/>
      <c r="XV14" s="700">
        <f>XU14/XS14</f>
        <v>0</v>
      </c>
      <c r="XW14" s="593">
        <f>'Proy 2022 vs 2019 sem'!DO13*XZ$4</f>
        <v>10671.3696</v>
      </c>
      <c r="XX14" s="593">
        <f>'Proy 2022 vs 2019 sem'!DP13*XZ$4</f>
        <v>9604.2326400000002</v>
      </c>
      <c r="XY14" s="699"/>
      <c r="XZ14" s="700">
        <f>XY14/XW14</f>
        <v>0</v>
      </c>
      <c r="YA14" s="593">
        <f>'Proy 2022 vs 2019 sem'!DO13*YD$4</f>
        <v>10671.3696</v>
      </c>
      <c r="YB14" s="593">
        <f>'Proy 2022 vs 2019 sem'!DP13*YD$4</f>
        <v>9604.2326400000002</v>
      </c>
      <c r="YC14" s="699"/>
      <c r="YD14" s="700">
        <f>YC14/YA14</f>
        <v>0</v>
      </c>
      <c r="YE14" s="593">
        <f>'Proy 2022 vs 2019 sem'!DO13*YH$4</f>
        <v>10671.3696</v>
      </c>
      <c r="YF14" s="593">
        <f>'Proy 2022 vs 2019 sem'!DP13*YH$4</f>
        <v>9604.2326400000002</v>
      </c>
      <c r="YG14" s="699"/>
      <c r="YH14" s="700">
        <f>YG14/YE14</f>
        <v>0</v>
      </c>
      <c r="YI14" s="593">
        <f>'Proy 2022 vs 2019 sem'!DO13*YL$4</f>
        <v>12449.931200000001</v>
      </c>
      <c r="YJ14" s="593">
        <f>'Proy 2022 vs 2019 sem'!DP13*YL$4</f>
        <v>11204.93808</v>
      </c>
      <c r="YK14" s="699"/>
      <c r="YL14" s="700">
        <f>YK14/YI14</f>
        <v>0</v>
      </c>
      <c r="YM14" s="593">
        <f>'Proy 2022 vs 2019 sem'!DO13*YP$4</f>
        <v>14228.4928</v>
      </c>
      <c r="YN14" s="593">
        <f>'Proy 2022 vs 2019 sem'!DP13*YP$4</f>
        <v>12805.64352</v>
      </c>
      <c r="YO14" s="699"/>
      <c r="YP14" s="700">
        <f>YO14/YM14</f>
        <v>0</v>
      </c>
      <c r="YQ14" s="593">
        <f>'Proy 2022 vs 2019 sem'!DO13*YT$4</f>
        <v>19564.177599999999</v>
      </c>
      <c r="YR14" s="593">
        <f>'Proy 2022 vs 2019 sem'!DP13*YT$4</f>
        <v>17607.759839999999</v>
      </c>
      <c r="YS14" s="699"/>
      <c r="YT14" s="700">
        <f>YS14/YQ14</f>
        <v>0</v>
      </c>
      <c r="YU14" s="579">
        <f>XS14+XW14+YA14+YE14+YI14+YM14+YQ14</f>
        <v>88928.079999999987</v>
      </c>
      <c r="YV14" s="574">
        <f>XT14+XX14+YB14+YF14+YJ14+YN14+YR14</f>
        <v>80035.271999999997</v>
      </c>
      <c r="YW14" s="770">
        <f>XU14+XY14+YC14+YG14+YK14+YO14+YS14</f>
        <v>0</v>
      </c>
      <c r="YX14" s="761">
        <f>YW14/YU14</f>
        <v>0</v>
      </c>
      <c r="YY14" s="931">
        <f>'Proy 2022 vs 2019 sem'!DX13*ZB$4</f>
        <v>11388.582</v>
      </c>
      <c r="YZ14" s="931">
        <f>'Proy 2022 vs 2019 sem'!DY13*ZB$4</f>
        <v>10135.83798</v>
      </c>
      <c r="ZA14" s="735"/>
      <c r="ZB14" s="700">
        <f>ZA14/YY14</f>
        <v>0</v>
      </c>
      <c r="ZC14" s="593">
        <f>'Proy 2022 vs 2019 sem'!DX13*ZF$4</f>
        <v>11388.582</v>
      </c>
      <c r="ZD14" s="593">
        <f>'Proy 2022 vs 2019 sem'!DY13*ZF$4</f>
        <v>10135.83798</v>
      </c>
      <c r="ZE14" s="735"/>
      <c r="ZF14" s="700">
        <f>ZE14/ZC14</f>
        <v>0</v>
      </c>
      <c r="ZG14" s="593">
        <f>'Proy 2022 vs 2019 sem'!DX13*ZJ$4</f>
        <v>11388.582</v>
      </c>
      <c r="ZH14" s="593">
        <f>'Proy 2022 vs 2019 sem'!DY13*ZJ$4</f>
        <v>10135.83798</v>
      </c>
      <c r="ZI14" s="735"/>
      <c r="ZJ14" s="700">
        <f>ZI14/ZG14</f>
        <v>0</v>
      </c>
      <c r="ZK14" s="593">
        <f>'Proy 2022 vs 2019 sem'!DX13*ZN$4</f>
        <v>11388.582</v>
      </c>
      <c r="ZL14" s="593">
        <f>'Proy 2022 vs 2019 sem'!DY13*ZN$4</f>
        <v>10135.83798</v>
      </c>
      <c r="ZM14" s="735"/>
      <c r="ZN14" s="700">
        <f>ZM14/ZK14</f>
        <v>0</v>
      </c>
      <c r="ZO14" s="593">
        <f>'Proy 2022 vs 2019 sem'!DX13*ZR$4</f>
        <v>13286.679000000002</v>
      </c>
      <c r="ZP14" s="593">
        <f>'Proy 2022 vs 2019 sem'!DY13*ZR$4</f>
        <v>11825.144310000001</v>
      </c>
      <c r="ZQ14" s="735"/>
      <c r="ZR14" s="700">
        <f>ZQ14/ZO14</f>
        <v>0</v>
      </c>
      <c r="ZS14" s="593">
        <f>'Proy 2022 vs 2019 sem'!DX13*ZV$4</f>
        <v>15184.776000000002</v>
      </c>
      <c r="ZT14" s="593">
        <f>'Proy 2022 vs 2019 sem'!DY13*ZV$4</f>
        <v>13514.450640000001</v>
      </c>
      <c r="ZU14" s="735"/>
      <c r="ZV14" s="700">
        <f>ZU14/ZS14</f>
        <v>0</v>
      </c>
      <c r="ZW14" s="593">
        <f>'Proy 2022 vs 2019 sem'!DX13*ZZ$4</f>
        <v>20879.067000000003</v>
      </c>
      <c r="ZX14" s="593">
        <f>'Proy 2022 vs 2019 sem'!DY13*ZZ$4</f>
        <v>18582.369630000001</v>
      </c>
      <c r="ZY14" s="735"/>
      <c r="ZZ14" s="700">
        <f>ZY14/ZW14</f>
        <v>0</v>
      </c>
      <c r="AAA14" s="579">
        <f>YY14+ZC14+ZG14+ZK14+ZO14+ZS14+ZW14</f>
        <v>94904.85</v>
      </c>
      <c r="AAB14" s="574">
        <f>YZ14+ZD14+ZH14+ZL14+ZP14+ZT14+ZX14</f>
        <v>84465.316500000001</v>
      </c>
      <c r="AAC14" s="729">
        <f>ZA14+ZE14+ZI14+ZM14+ZQ14+ZU14+ZY14</f>
        <v>0</v>
      </c>
      <c r="AAD14" s="711">
        <f>AAC14/AAA14</f>
        <v>0</v>
      </c>
      <c r="AAE14" s="593">
        <f>'Proy 2022 vs 2019 sem'!EC13*AAH$4</f>
        <v>10720.8444</v>
      </c>
      <c r="AAF14" s="593">
        <f>'Proy 2022 vs 2019 sem'!ED13*AAH$4</f>
        <v>9327.1346279999998</v>
      </c>
      <c r="AAG14" s="699"/>
      <c r="AAH14" s="700">
        <f>AAG14/AAE14</f>
        <v>0</v>
      </c>
      <c r="AAI14" s="593">
        <f>'Proy 2022 vs 2019 sem'!EC13*AAL$4</f>
        <v>10720.8444</v>
      </c>
      <c r="AAJ14" s="593">
        <f>'Proy 2022 vs 2019 sem'!ED13*AAL$4</f>
        <v>9327.1346279999998</v>
      </c>
      <c r="AAK14" s="699"/>
      <c r="AAL14" s="700">
        <f>AAK14/AAI14</f>
        <v>0</v>
      </c>
      <c r="AAM14" s="593">
        <f>'Proy 2022 vs 2019 sem'!EC13*AAP$4</f>
        <v>10720.8444</v>
      </c>
      <c r="AAN14" s="593">
        <f>'Proy 2022 vs 2019 sem'!ED13*AAP$4</f>
        <v>9327.1346279999998</v>
      </c>
      <c r="AAO14" s="699"/>
      <c r="AAP14" s="700">
        <f>AAO14/AAM14</f>
        <v>0</v>
      </c>
      <c r="AAQ14" s="593">
        <f>'Proy 2022 vs 2019 sem'!EC13*AAT$4</f>
        <v>10720.8444</v>
      </c>
      <c r="AAR14" s="593">
        <f>'Proy 2022 vs 2019 sem'!ED13*AAT$4</f>
        <v>9327.1346279999998</v>
      </c>
      <c r="AAS14" s="699"/>
      <c r="AAT14" s="700">
        <f>AAS14/AAQ14</f>
        <v>0</v>
      </c>
      <c r="AAU14" s="593">
        <f>'Proy 2022 vs 2019 sem'!EC13*AAX$4</f>
        <v>12507.6518</v>
      </c>
      <c r="AAV14" s="593">
        <f>'Proy 2022 vs 2019 sem'!ED13*AAX$4</f>
        <v>10881.657066000002</v>
      </c>
      <c r="AAW14" s="699"/>
      <c r="AAX14" s="700">
        <f>AAW14/AAU14</f>
        <v>0</v>
      </c>
      <c r="AAY14" s="593">
        <f>'Proy 2022 vs 2019 sem'!EC13*ABB$4</f>
        <v>14294.459199999999</v>
      </c>
      <c r="AAZ14" s="593">
        <f>'Proy 2022 vs 2019 sem'!ED13*ABB$4</f>
        <v>12436.179504</v>
      </c>
      <c r="ABA14" s="699"/>
      <c r="ABB14" s="700">
        <f>ABA14/AAY14</f>
        <v>0</v>
      </c>
      <c r="ABC14" s="593">
        <f>'Proy 2022 vs 2019 sem'!EC13*ABF$4</f>
        <v>19654.881399999998</v>
      </c>
      <c r="ABD14" s="593">
        <f>'Proy 2022 vs 2019 sem'!ED13*ABF$4</f>
        <v>17099.746818</v>
      </c>
      <c r="ABE14" s="699"/>
      <c r="ABF14" s="700">
        <f>ABE14/ABC14</f>
        <v>0</v>
      </c>
      <c r="ABG14" s="579">
        <f>AAE14+AAI14+AAM14+AAQ14+AAU14+AAY14+ABC14</f>
        <v>89340.37</v>
      </c>
      <c r="ABH14" s="574">
        <f>AAF14+AAJ14+AAN14+AAR14+AAV14+AAZ14+ABD14</f>
        <v>77726.121899999998</v>
      </c>
      <c r="ABI14" s="730">
        <f>AAG14+AAK14+AAO14+AAS14+AAW14+ABA14+ABE14</f>
        <v>0</v>
      </c>
      <c r="ABJ14" s="711">
        <f>ABI14/ABG14</f>
        <v>0</v>
      </c>
      <c r="ABK14" s="593">
        <f>'Proy 2022 vs 2019 sem'!EH13*ABN$4</f>
        <v>12144.237599999999</v>
      </c>
      <c r="ABL14" s="593">
        <f>'Proy 2022 vs 2019 sem'!EI13*ABN$4</f>
        <v>10808.371464</v>
      </c>
      <c r="ABM14" s="699"/>
      <c r="ABN14" s="700">
        <f>ABM14/ABK14</f>
        <v>0</v>
      </c>
      <c r="ABO14" s="593">
        <f>'Proy 2022 vs 2019 sem'!EH13*ABR$4</f>
        <v>12144.237599999999</v>
      </c>
      <c r="ABP14" s="593">
        <f>'Proy 2022 vs 2019 sem'!EI13*ABR$4</f>
        <v>10808.371464</v>
      </c>
      <c r="ABQ14" s="699"/>
      <c r="ABR14" s="700">
        <f>ABQ14/ABO14</f>
        <v>0</v>
      </c>
      <c r="ABS14" s="593">
        <f>'Proy 2022 vs 2019 sem'!EH13*ABV$4</f>
        <v>12144.237599999999</v>
      </c>
      <c r="ABT14" s="593">
        <f>'Proy 2022 vs 2019 sem'!EI13*ABV$4</f>
        <v>10808.371464</v>
      </c>
      <c r="ABU14" s="699"/>
      <c r="ABV14" s="700">
        <f>ABU14/ABS14</f>
        <v>0</v>
      </c>
      <c r="ABW14" s="593">
        <f>'Proy 2022 vs 2019 sem'!EH13*ABZ$4</f>
        <v>12144.237599999999</v>
      </c>
      <c r="ABX14" s="593">
        <f>'Proy 2022 vs 2019 sem'!EI13*ABZ$4</f>
        <v>10808.371464</v>
      </c>
      <c r="ABY14" s="699"/>
      <c r="ABZ14" s="700">
        <f>ABY14/ABW14</f>
        <v>0</v>
      </c>
      <c r="ACA14" s="593">
        <f>'Proy 2022 vs 2019 sem'!EH13*ACD$4</f>
        <v>14168.2772</v>
      </c>
      <c r="ACB14" s="593">
        <f>'Proy 2022 vs 2019 sem'!EI13*ACD$4</f>
        <v>12609.766708000001</v>
      </c>
      <c r="ACC14" s="699"/>
      <c r="ACD14" s="700">
        <f>ACC14/ACA14</f>
        <v>0</v>
      </c>
      <c r="ACE14" s="593">
        <f>'Proy 2022 vs 2019 sem'!EH13*ACH$4</f>
        <v>16192.316800000001</v>
      </c>
      <c r="ACF14" s="593">
        <f>'Proy 2022 vs 2019 sem'!EI13*ACH$4</f>
        <v>14411.161952</v>
      </c>
      <c r="ACG14" s="699"/>
      <c r="ACH14" s="700">
        <f>ACG14/ACE14</f>
        <v>0</v>
      </c>
      <c r="ACI14" s="593">
        <f>'Proy 2022 vs 2019 sem'!EH13*ACL$4</f>
        <v>22264.435600000001</v>
      </c>
      <c r="ACJ14" s="593">
        <f>'Proy 2022 vs 2019 sem'!EI13*ACL$4</f>
        <v>19815.347684</v>
      </c>
      <c r="ACK14" s="699"/>
      <c r="ACL14" s="700">
        <f>ACK14/ACI14</f>
        <v>0</v>
      </c>
      <c r="ACM14" s="579">
        <f>ABK14+ABO14+ABS14+ABW14+ACA14+ACE14+ACI14</f>
        <v>101201.98</v>
      </c>
      <c r="ACN14" s="574">
        <f>ABL14+ABP14+ABT14+ABX14+ACB14+ACF14+ACJ14</f>
        <v>90069.762199999997</v>
      </c>
      <c r="ACO14" s="730">
        <f>ABM14+ABQ14+ABU14+ABY14+ACC14+ACG14+ACK14</f>
        <v>0</v>
      </c>
      <c r="ACP14" s="711">
        <f>ACO14/ACM14</f>
        <v>0</v>
      </c>
      <c r="ACQ14" s="593">
        <f>'Proy 2022 vs 2019 sem'!EM13*ACT$4</f>
        <v>12479.196</v>
      </c>
      <c r="ACR14" s="593">
        <f>'Proy 2022 vs 2019 sem'!EN13*ACT$4</f>
        <v>11605.652280000002</v>
      </c>
      <c r="ACS14" s="699"/>
      <c r="ACT14" s="700">
        <f>ACS14/ACQ14</f>
        <v>0</v>
      </c>
      <c r="ACU14" s="593">
        <f>'Proy 2022 vs 2019 sem'!EM13*ACX$4</f>
        <v>12479.196</v>
      </c>
      <c r="ACV14" s="593">
        <f>'Proy 2022 vs 2019 sem'!EN13*ACX$4</f>
        <v>11605.652280000002</v>
      </c>
      <c r="ACW14" s="699"/>
      <c r="ACX14" s="700">
        <f>ACW14/ACU14</f>
        <v>0</v>
      </c>
      <c r="ACY14" s="593">
        <f>'Proy 2022 vs 2019 sem'!EM13*ADB$4</f>
        <v>12479.196</v>
      </c>
      <c r="ACZ14" s="593">
        <f>'Proy 2022 vs 2019 sem'!EN13*ADB$4</f>
        <v>11605.652280000002</v>
      </c>
      <c r="ADA14" s="699"/>
      <c r="ADB14" s="700">
        <f>ADA14/ACY14</f>
        <v>0</v>
      </c>
      <c r="ADC14" s="593">
        <f>'Proy 2022 vs 2019 sem'!EM13*ADF$4</f>
        <v>12479.196</v>
      </c>
      <c r="ADD14" s="593">
        <f>'Proy 2022 vs 2019 sem'!EN13*ADF$4</f>
        <v>11605.652280000002</v>
      </c>
      <c r="ADE14" s="699"/>
      <c r="ADF14" s="700">
        <f>ADE14/ADC14</f>
        <v>0</v>
      </c>
      <c r="ADG14" s="593">
        <f>'Proy 2022 vs 2019 sem'!EM13*ADJ$4</f>
        <v>14559.062000000002</v>
      </c>
      <c r="ADH14" s="593">
        <f>'Proy 2022 vs 2019 sem'!EN13*ADJ$4</f>
        <v>13539.927660000003</v>
      </c>
      <c r="ADI14" s="699"/>
      <c r="ADJ14" s="700">
        <f>ADI14/ADG14</f>
        <v>0</v>
      </c>
      <c r="ADK14" s="593">
        <f>'Proy 2022 vs 2019 sem'!EM13*ADN$4</f>
        <v>16638.928</v>
      </c>
      <c r="ADL14" s="593">
        <f>'Proy 2022 vs 2019 sem'!EN13*ADN$4</f>
        <v>15474.203040000002</v>
      </c>
      <c r="ADM14" s="699"/>
      <c r="ADN14" s="700">
        <f>ADM14/ADK14</f>
        <v>0</v>
      </c>
      <c r="ADO14" s="593">
        <f>'Proy 2022 vs 2019 sem'!EM13*ADR$4</f>
        <v>22878.526000000002</v>
      </c>
      <c r="ADP14" s="593">
        <f>'Proy 2022 vs 2019 sem'!EN13*ADR$4</f>
        <v>21277.029180000005</v>
      </c>
      <c r="ADQ14" s="699"/>
      <c r="ADR14" s="700">
        <f>ADQ14/ADO14</f>
        <v>0</v>
      </c>
      <c r="ADS14" s="579">
        <f>ACQ14+ACU14+ACY14+ADC14+ADG14+ADK14+ADO14</f>
        <v>103993.3</v>
      </c>
      <c r="ADT14" s="574">
        <f>ACR14+ACV14+ACZ14+ADD14+ADH14+ADL14+ADP14</f>
        <v>96713.769000000029</v>
      </c>
      <c r="ADU14" s="710">
        <f>ACS14+ACW14+ADA14+ADE14+ADI14+ADM14+ADQ14</f>
        <v>0</v>
      </c>
      <c r="ADV14" s="711">
        <f>ADU14/ADS14</f>
        <v>0</v>
      </c>
      <c r="ADW14" s="593">
        <f>'Proy 2022 vs 2019 sem'!ER13*ADZ$4</f>
        <v>11028.8436</v>
      </c>
      <c r="ADX14" s="593">
        <f>'Proy 2022 vs 2019 sem'!ES13*ADZ$4</f>
        <v>10256.824548000001</v>
      </c>
      <c r="ADY14" s="699"/>
      <c r="ADZ14" s="700">
        <f>ADY14/ADW14</f>
        <v>0</v>
      </c>
      <c r="AEA14" s="593">
        <f>'Proy 2022 vs 2019 sem'!ER13*AED$4</f>
        <v>11028.8436</v>
      </c>
      <c r="AEB14" s="593">
        <f>'Proy 2022 vs 2019 sem'!ES13*AED$4</f>
        <v>10256.824548000001</v>
      </c>
      <c r="AEC14" s="699"/>
      <c r="AED14" s="700">
        <f>AEC14/AEA14</f>
        <v>0</v>
      </c>
      <c r="AEE14" s="593">
        <f>'Proy 2022 vs 2019 sem'!ER13*AEH$4</f>
        <v>11028.8436</v>
      </c>
      <c r="AEF14" s="593">
        <f>'Proy 2022 vs 2019 sem'!ES13*AEH$4</f>
        <v>10256.824548000001</v>
      </c>
      <c r="AEG14" s="699"/>
      <c r="AEH14" s="700">
        <f>AEG14/AEE14</f>
        <v>0</v>
      </c>
      <c r="AEI14" s="593">
        <f>'Proy 2022 vs 2019 sem'!ER13*AEL$4</f>
        <v>11028.8436</v>
      </c>
      <c r="AEJ14" s="593">
        <f>'Proy 2022 vs 2019 sem'!ES13*AEL$4</f>
        <v>10256.824548000001</v>
      </c>
      <c r="AEK14" s="699"/>
      <c r="AEL14" s="700">
        <f>AEK14/AEI14</f>
        <v>0</v>
      </c>
      <c r="AEM14" s="593">
        <f>'Proy 2022 vs 2019 sem'!ER13*AEP$4</f>
        <v>12866.984200000001</v>
      </c>
      <c r="AEN14" s="593">
        <f>'Proy 2022 vs 2019 sem'!ES13*AEP$4</f>
        <v>11966.295306000002</v>
      </c>
      <c r="AEO14" s="699"/>
      <c r="AEP14" s="700">
        <f>AEO14/AEM14</f>
        <v>0</v>
      </c>
      <c r="AEQ14" s="593">
        <f>'Proy 2022 vs 2019 sem'!ER13*AET$4</f>
        <v>14705.1248</v>
      </c>
      <c r="AER14" s="593">
        <f>'Proy 2022 vs 2019 sem'!ES13*AET$4</f>
        <v>13675.766064000001</v>
      </c>
      <c r="AES14" s="699"/>
      <c r="AET14" s="700">
        <f>AES14/AEQ14</f>
        <v>0</v>
      </c>
      <c r="AEU14" s="593">
        <f>'Proy 2022 vs 2019 sem'!ER13*AEX$4</f>
        <v>20219.546600000001</v>
      </c>
      <c r="AEV14" s="593">
        <f>'Proy 2022 vs 2019 sem'!ES13*AEX$4</f>
        <v>18804.178338000002</v>
      </c>
      <c r="AEW14" s="699"/>
      <c r="AEX14" s="700">
        <f>AEW14/AEU14</f>
        <v>0</v>
      </c>
      <c r="AEY14" s="579">
        <f>ADW14+AEA14+AEE14+AEI14+AEM14+AEQ14+AEU14</f>
        <v>91907.03</v>
      </c>
      <c r="AEZ14" s="574">
        <f>ADX14+AEB14+AEF14+AEJ14+AEN14+AER14+AEV14</f>
        <v>85473.537899999996</v>
      </c>
      <c r="AFA14" s="710">
        <f>ADY14+AEC14+AEG14+AEK14+AEO14+AES14+AEW14</f>
        <v>0</v>
      </c>
      <c r="AFB14" s="711">
        <f>AFA14/AEY14</f>
        <v>0</v>
      </c>
      <c r="AFC14" s="593">
        <f>'Proy 2022 vs 2019 sem'!FA13*AFF$4</f>
        <v>10939.940399999999</v>
      </c>
      <c r="AFD14" s="593">
        <f>'Proy 2022 vs 2019 sem'!FB13*AFF$4</f>
        <v>9627.1475520000004</v>
      </c>
      <c r="AFE14" s="735"/>
      <c r="AFF14" s="700">
        <f>AFE14/AFC14</f>
        <v>0</v>
      </c>
      <c r="AFG14" s="593">
        <f>'Proy 2022 vs 2019 sem'!FA13*AFJ$4</f>
        <v>10939.940399999999</v>
      </c>
      <c r="AFH14" s="593">
        <f>'Proy 2022 vs 2019 sem'!FB13*AFJ$4</f>
        <v>9627.1475520000004</v>
      </c>
      <c r="AFI14" s="699"/>
      <c r="AFJ14" s="700">
        <f>AFI14/AFG14</f>
        <v>0</v>
      </c>
      <c r="AFK14" s="593">
        <f>'Proy 2022 vs 2019 sem'!FA13*AFN$4</f>
        <v>10939.940399999999</v>
      </c>
      <c r="AFL14" s="593">
        <f>'Proy 2022 vs 2019 sem'!FB13*AFN$4</f>
        <v>9627.1475520000004</v>
      </c>
      <c r="AFM14" s="699"/>
      <c r="AFN14" s="700">
        <f>AFM14/AFK14</f>
        <v>0</v>
      </c>
      <c r="AFO14" s="593">
        <f>'Proy 2022 vs 2019 sem'!FA13*AFR$4</f>
        <v>10939.940399999999</v>
      </c>
      <c r="AFP14" s="593">
        <f>'Proy 2022 vs 2019 sem'!FB13*AFR$4</f>
        <v>9627.1475520000004</v>
      </c>
      <c r="AFQ14" s="699"/>
      <c r="AFR14" s="700">
        <f>AFQ14/AFO14</f>
        <v>0</v>
      </c>
      <c r="AFS14" s="593">
        <f>'Proy 2022 vs 2019 sem'!FA13*AFV$4</f>
        <v>12763.263800000001</v>
      </c>
      <c r="AFT14" s="593">
        <f>'Proy 2022 vs 2019 sem'!FB13*AFV$4</f>
        <v>11231.672144000002</v>
      </c>
      <c r="AFU14" s="699"/>
      <c r="AFV14" s="700">
        <f>AFU14/AFS14</f>
        <v>0</v>
      </c>
      <c r="AFW14" s="593">
        <f>'Proy 2022 vs 2019 sem'!FA13*AFZ$4</f>
        <v>14586.5872</v>
      </c>
      <c r="AFX14" s="593">
        <f>'Proy 2022 vs 2019 sem'!FB13*AFZ$4</f>
        <v>12836.196736000002</v>
      </c>
      <c r="AFY14" s="699"/>
      <c r="AFZ14" s="700">
        <f>AFY14/AFW14</f>
        <v>0</v>
      </c>
      <c r="AGA14" s="593">
        <f>'Proy 2022 vs 2019 sem'!FA13*AGD$4</f>
        <v>20056.557400000002</v>
      </c>
      <c r="AGB14" s="593">
        <f>'Proy 2022 vs 2019 sem'!FB13*AGD$4</f>
        <v>17649.770512000003</v>
      </c>
      <c r="AGC14" s="699"/>
      <c r="AGD14" s="700">
        <f>AGC14/AGA14</f>
        <v>0</v>
      </c>
      <c r="AGE14" s="579">
        <f>AFC14+AFG14+AFK14+AFO14+AFS14+AFW14+AGA14</f>
        <v>91166.17</v>
      </c>
      <c r="AGF14" s="574">
        <f>AFD14+AFH14+AFL14+AFP14+AFT14+AFX14+AGB14</f>
        <v>80226.229600000006</v>
      </c>
      <c r="AGG14" s="759">
        <f>AFE14+AFI14+AFM14+AFQ14+AFU14+AFY14+AGC14</f>
        <v>0</v>
      </c>
      <c r="AGH14" s="761">
        <f>AGG14/AGE14</f>
        <v>0</v>
      </c>
      <c r="AGI14" s="593">
        <f>'Proy 2022 vs 2019 sem'!FF13*AGL$4</f>
        <v>9641.2703999999994</v>
      </c>
      <c r="AGJ14" s="593">
        <f>'Proy 2022 vs 2019 sem'!FG13*AGL$4</f>
        <v>8484.3179519999994</v>
      </c>
      <c r="AGK14" s="699"/>
      <c r="AGL14" s="700">
        <f>AGK14/AGI14</f>
        <v>0</v>
      </c>
      <c r="AGM14" s="593">
        <f>'Proy 2022 vs 2019 sem'!FF13*AGP$4</f>
        <v>9641.2703999999994</v>
      </c>
      <c r="AGN14" s="593">
        <f>'Proy 2022 vs 2019 sem'!FG13*AGP$4</f>
        <v>8484.3179519999994</v>
      </c>
      <c r="AGO14" s="699"/>
      <c r="AGP14" s="700">
        <f>AGO14/AGM14</f>
        <v>0</v>
      </c>
      <c r="AGQ14" s="593">
        <f>'Proy 2022 vs 2019 sem'!FF13*AGT$4</f>
        <v>9641.2703999999994</v>
      </c>
      <c r="AGR14" s="593">
        <f>'Proy 2022 vs 2019 sem'!FG13*AGT$4</f>
        <v>8484.3179519999994</v>
      </c>
      <c r="AGS14" s="699"/>
      <c r="AGT14" s="700">
        <f>AGS14/AGQ14</f>
        <v>0</v>
      </c>
      <c r="AGU14" s="593">
        <f>'Proy 2022 vs 2019 sem'!FF13*AGX$4</f>
        <v>9641.2703999999994</v>
      </c>
      <c r="AGV14" s="593">
        <f>'Proy 2022 vs 2019 sem'!FG13*AGX$4</f>
        <v>8484.3179519999994</v>
      </c>
      <c r="AGW14" s="699"/>
      <c r="AGX14" s="700">
        <f>AGW14/AGU14</f>
        <v>0</v>
      </c>
      <c r="AGY14" s="593">
        <f>'Proy 2022 vs 2019 sem'!FF13*AHB$4</f>
        <v>11248.148800000001</v>
      </c>
      <c r="AGZ14" s="593">
        <f>'Proy 2022 vs 2019 sem'!FG13*AHB$4</f>
        <v>9898.3709440000021</v>
      </c>
      <c r="AHA14" s="699"/>
      <c r="AHB14" s="700">
        <f>AHA14/AGY14</f>
        <v>0</v>
      </c>
      <c r="AHC14" s="593">
        <f>'Proy 2022 vs 2019 sem'!FF13*AHF$4</f>
        <v>12855.0272</v>
      </c>
      <c r="AHD14" s="593">
        <f>'Proy 2022 vs 2019 sem'!FG13*AHF$4</f>
        <v>11312.423936000001</v>
      </c>
      <c r="AHE14" s="699"/>
      <c r="AHF14" s="700">
        <f>AHE14/AHC14</f>
        <v>0</v>
      </c>
      <c r="AHG14" s="593">
        <f>'Proy 2022 vs 2019 sem'!FF13*AHJ$4</f>
        <v>17675.662400000001</v>
      </c>
      <c r="AHH14" s="593">
        <f>'Proy 2022 vs 2019 sem'!FG13*AHJ$4</f>
        <v>15554.582912000002</v>
      </c>
      <c r="AHI14" s="699"/>
      <c r="AHJ14" s="700">
        <f>AHI14/AHG14</f>
        <v>0</v>
      </c>
      <c r="AHK14" s="579">
        <f>AGI14+AGM14+AGQ14+AGU14+AGY14+AHC14+AHG14</f>
        <v>80343.92</v>
      </c>
      <c r="AHL14" s="574">
        <f>AGJ14+AGN14+AGR14+AGV14+AGZ14+AHD14+AHH14</f>
        <v>70702.649600000004</v>
      </c>
      <c r="AHM14" s="765">
        <f>AGK14+AGO14+AGS14+AGW14+AHA14+AHE14+AHI14</f>
        <v>0</v>
      </c>
      <c r="AHN14" s="761">
        <f>AHM14/AHK14</f>
        <v>0</v>
      </c>
      <c r="AHO14" s="593">
        <f>'Proy 2022 vs 2019 sem'!FK13*AHR$4</f>
        <v>8769.2304000000004</v>
      </c>
      <c r="AHP14" s="593">
        <f>'Proy 2022 vs 2019 sem'!FL13*AHR$4</f>
        <v>7716.9227519999995</v>
      </c>
      <c r="AHQ14" s="699"/>
      <c r="AHR14" s="700">
        <f>AHQ14/AHO14</f>
        <v>0</v>
      </c>
      <c r="AHS14" s="593">
        <f>'Proy 2022 vs 2019 sem'!FK13*AHV$4</f>
        <v>8769.2304000000004</v>
      </c>
      <c r="AHT14" s="593">
        <f>'Proy 2022 vs 2019 sem'!FL13*AHV$4</f>
        <v>7716.9227519999995</v>
      </c>
      <c r="AHU14" s="699"/>
      <c r="AHV14" s="700">
        <f>AHU14/AHS14</f>
        <v>0</v>
      </c>
      <c r="AHW14" s="593">
        <f>'Proy 2022 vs 2019 sem'!FK13*AHZ$4</f>
        <v>8769.2304000000004</v>
      </c>
      <c r="AHX14" s="593">
        <f>'Proy 2022 vs 2019 sem'!FL13*AHZ$4</f>
        <v>7716.9227519999995</v>
      </c>
      <c r="AHY14" s="699"/>
      <c r="AHZ14" s="700">
        <f>AHY14/AHW14</f>
        <v>0</v>
      </c>
      <c r="AIA14" s="593">
        <f>'Proy 2022 vs 2019 sem'!FK13*AID$4</f>
        <v>8769.2304000000004</v>
      </c>
      <c r="AIB14" s="593">
        <f>'Proy 2022 vs 2019 sem'!FL13*AID$4</f>
        <v>7716.9227519999995</v>
      </c>
      <c r="AIC14" s="699"/>
      <c r="AID14" s="700">
        <f>AIC14/AIA14</f>
        <v>0</v>
      </c>
      <c r="AIE14" s="593">
        <f>'Proy 2022 vs 2019 sem'!FK13*AIH$4</f>
        <v>10230.7688</v>
      </c>
      <c r="AIF14" s="593">
        <f>'Proy 2022 vs 2019 sem'!FL13*AIH$4</f>
        <v>9003.0765440000014</v>
      </c>
      <c r="AIG14" s="699"/>
      <c r="AIH14" s="700">
        <f>AIG14/AIE14</f>
        <v>0</v>
      </c>
      <c r="AII14" s="593">
        <f>'Proy 2022 vs 2019 sem'!FK13*AIL$4</f>
        <v>11692.307199999999</v>
      </c>
      <c r="AIJ14" s="593">
        <f>'Proy 2022 vs 2019 sem'!FL13*AIL$4</f>
        <v>10289.230336000001</v>
      </c>
      <c r="AIK14" s="699"/>
      <c r="AIL14" s="700">
        <f>AIK14/AII14</f>
        <v>0</v>
      </c>
      <c r="AIM14" s="593">
        <f>'Proy 2022 vs 2019 sem'!FK13*AIP$4</f>
        <v>16076.922399999999</v>
      </c>
      <c r="AIN14" s="593">
        <f>'Proy 2022 vs 2019 sem'!FL13*AIP$4</f>
        <v>14147.691712</v>
      </c>
      <c r="AIO14" s="699"/>
      <c r="AIP14" s="700">
        <f>AIO14/AIM14</f>
        <v>0</v>
      </c>
      <c r="AIQ14" s="579">
        <f>AHO14+AHS14+AHW14+AIA14+AIE14+AII14+AIM14</f>
        <v>73076.92</v>
      </c>
      <c r="AIR14" s="574">
        <f>AHP14+AHT14+AHX14+AIB14+AIF14+AIJ14+AIN14</f>
        <v>64307.689599999998</v>
      </c>
      <c r="AIS14" s="765">
        <f>AHQ14+AHU14+AHY14+AIC14+AIG14+AIK14+AIO14</f>
        <v>0</v>
      </c>
      <c r="AIT14" s="761">
        <f>AIS14/AIQ14</f>
        <v>0</v>
      </c>
      <c r="AIU14" s="593">
        <f>'Proy 2022 vs 2019 sem'!FP13*AIX$4</f>
        <v>10576.767599999999</v>
      </c>
      <c r="AIV14" s="593">
        <f>'Proy 2022 vs 2019 sem'!FQ13*AIX$4</f>
        <v>9730.6261919999997</v>
      </c>
      <c r="AIW14" s="699"/>
      <c r="AIX14" s="700">
        <f>AIW14/AIU14</f>
        <v>0</v>
      </c>
      <c r="AIY14" s="593">
        <f>'Proy 2022 vs 2019 sem'!FP13*AJB$4</f>
        <v>10576.767599999999</v>
      </c>
      <c r="AIZ14" s="593">
        <f>'Proy 2022 vs 2019 sem'!FQ13*AJB$4</f>
        <v>9730.6261919999997</v>
      </c>
      <c r="AJA14" s="699"/>
      <c r="AJB14" s="700">
        <f>AJA14/AIY14</f>
        <v>0</v>
      </c>
      <c r="AJC14" s="593">
        <f>'Proy 2022 vs 2019 sem'!FP13*AJF$4</f>
        <v>10576.767599999999</v>
      </c>
      <c r="AJD14" s="593">
        <f>'Proy 2022 vs 2019 sem'!FQ13*AJF$4</f>
        <v>9730.6261919999997</v>
      </c>
      <c r="AJE14" s="699"/>
      <c r="AJF14" s="700">
        <f>AJE14/AJC14</f>
        <v>0</v>
      </c>
      <c r="AJG14" s="593">
        <f>'Proy 2022 vs 2019 sem'!FP13*AJJ$4</f>
        <v>10576.767599999999</v>
      </c>
      <c r="AJH14" s="593">
        <f>'Proy 2022 vs 2019 sem'!FQ13*AJJ$4</f>
        <v>9730.6261919999997</v>
      </c>
      <c r="AJI14" s="699"/>
      <c r="AJJ14" s="700">
        <f>AJI14/AJG14</f>
        <v>0</v>
      </c>
      <c r="AJK14" s="593">
        <f>'Proy 2022 vs 2019 sem'!FP13*AJN$4</f>
        <v>12339.5622</v>
      </c>
      <c r="AJL14" s="593">
        <f>'Proy 2022 vs 2019 sem'!FQ13*AJN$4</f>
        <v>11352.397224000002</v>
      </c>
      <c r="AJM14" s="699"/>
      <c r="AJN14" s="700">
        <f>AJM14/AJK14</f>
        <v>0</v>
      </c>
      <c r="AJO14" s="593">
        <f>'Proy 2022 vs 2019 sem'!FP13*AJR$4</f>
        <v>14102.3568</v>
      </c>
      <c r="AJP14" s="593">
        <f>'Proy 2022 vs 2019 sem'!FQ13*AJR$4</f>
        <v>12974.168256000001</v>
      </c>
      <c r="AJQ14" s="699"/>
      <c r="AJR14" s="700">
        <f>AJQ14/AJO14</f>
        <v>0</v>
      </c>
      <c r="AJS14" s="593">
        <f>'Proy 2022 vs 2019 sem'!FP13*AJV$4</f>
        <v>19390.740600000001</v>
      </c>
      <c r="AJT14" s="593">
        <f>'Proy 2022 vs 2019 sem'!FQ13*AJV$4</f>
        <v>17839.481352000003</v>
      </c>
      <c r="AJU14" s="699"/>
      <c r="AJV14" s="700">
        <f>AJU14/AJS14</f>
        <v>0</v>
      </c>
      <c r="AJW14" s="579">
        <f>AIU14+AIY14+AJC14+AJG14+AJK14+AJO14+AJS14</f>
        <v>88139.73</v>
      </c>
      <c r="AJX14" s="574">
        <f>AIV14+AIZ14+AJD14+AJH14+AJL14+AJP14+AJT14</f>
        <v>81088.551600000006</v>
      </c>
      <c r="AJY14" s="770">
        <f>AIW14+AJA14+AJE14+AJI14+AJM14+AJQ14+AJU14</f>
        <v>0</v>
      </c>
      <c r="AJZ14" s="761">
        <f>AJY14/AJW14</f>
        <v>0</v>
      </c>
      <c r="AKA14" s="593"/>
      <c r="AKB14" s="593"/>
      <c r="AKC14" s="735"/>
      <c r="AKD14" s="700" t="e">
        <f>AKC14/AKA14</f>
        <v>#DIV/0!</v>
      </c>
      <c r="AKE14" s="593">
        <v>7978.3499999999995</v>
      </c>
      <c r="AKF14" s="593">
        <v>8137.9170000000004</v>
      </c>
      <c r="AKG14" s="699"/>
      <c r="AKH14" s="700">
        <f>AKG14/AKE14</f>
        <v>0</v>
      </c>
      <c r="AKI14" s="593">
        <v>7978.3499999999995</v>
      </c>
      <c r="AKJ14" s="593">
        <v>8137.9170000000004</v>
      </c>
      <c r="AKK14" s="699"/>
      <c r="AKL14" s="700">
        <f>AKK14/AKI14</f>
        <v>0</v>
      </c>
      <c r="AKM14" s="593">
        <v>7978.3499999999995</v>
      </c>
      <c r="AKN14" s="593">
        <v>8137.9170000000004</v>
      </c>
      <c r="AKO14" s="699"/>
      <c r="AKP14" s="700">
        <f>AKO14/AKM14</f>
        <v>0</v>
      </c>
      <c r="AKQ14" s="593">
        <v>9308.0750000000007</v>
      </c>
      <c r="AKR14" s="593">
        <v>9494.2365000000009</v>
      </c>
      <c r="AKS14" s="699"/>
      <c r="AKT14" s="700">
        <f>AKS14/AKQ14</f>
        <v>0</v>
      </c>
      <c r="AKU14" s="593">
        <v>10637.800000000001</v>
      </c>
      <c r="AKV14" s="593">
        <v>10850.556</v>
      </c>
      <c r="AKW14" s="699"/>
      <c r="AKX14" s="700">
        <f>AKW14/AKU14</f>
        <v>0</v>
      </c>
      <c r="AKY14" s="593">
        <v>14626.975</v>
      </c>
      <c r="AKZ14" s="593">
        <v>14919.514500000001</v>
      </c>
      <c r="ALA14" s="699"/>
      <c r="ALB14" s="700">
        <f>ALA14/AKY14</f>
        <v>0</v>
      </c>
      <c r="ALC14" s="579">
        <f>AKA14+AKE14+AKI14+AKM14+AKQ14+AKU14+AKY14</f>
        <v>58507.9</v>
      </c>
      <c r="ALD14" s="574">
        <f>AKB14+AKF14+AKJ14+AKN14+AKR14+AKV14+AKZ14</f>
        <v>59678.058000000005</v>
      </c>
      <c r="ALE14" s="793">
        <f>AKC14+AKG14+AKK14+AKO14+AKS14+AKW14+ALA14</f>
        <v>0</v>
      </c>
      <c r="ALF14" s="786">
        <f>ALE14/ALC14</f>
        <v>0</v>
      </c>
      <c r="ALG14" s="593">
        <v>8755.9367999999995</v>
      </c>
      <c r="ALH14" s="593">
        <v>8931.055535999998</v>
      </c>
      <c r="ALI14" s="699"/>
      <c r="ALJ14" s="700">
        <f>ALI14/ALG14</f>
        <v>0</v>
      </c>
      <c r="ALK14" s="593">
        <v>8755.9367999999995</v>
      </c>
      <c r="ALL14" s="593">
        <v>8931.055535999998</v>
      </c>
      <c r="ALM14" s="699"/>
      <c r="ALN14" s="700">
        <f>ALM14/ALK14</f>
        <v>0</v>
      </c>
      <c r="ALO14" s="593">
        <v>8755.9367999999995</v>
      </c>
      <c r="ALP14" s="593">
        <v>8931.055535999998</v>
      </c>
      <c r="ALQ14" s="699"/>
      <c r="ALR14" s="700">
        <f>ALQ14/ALO14</f>
        <v>0</v>
      </c>
      <c r="ALS14" s="593">
        <v>8755.9367999999995</v>
      </c>
      <c r="ALT14" s="593">
        <v>8931.055535999998</v>
      </c>
      <c r="ALU14" s="699"/>
      <c r="ALV14" s="700">
        <f>ALU14/ALS14</f>
        <v>0</v>
      </c>
      <c r="ALW14" s="593">
        <v>10215.259600000001</v>
      </c>
      <c r="ALX14" s="593">
        <v>10419.564792000001</v>
      </c>
      <c r="ALY14" s="699"/>
      <c r="ALZ14" s="700">
        <f>ALY14/ALW14</f>
        <v>0</v>
      </c>
      <c r="AMA14" s="593">
        <v>11674.582399999999</v>
      </c>
      <c r="AMB14" s="593">
        <v>11908.074047999999</v>
      </c>
      <c r="AMC14" s="699"/>
      <c r="AMD14" s="700">
        <f>AMC14/AMA14</f>
        <v>0</v>
      </c>
      <c r="AME14" s="593">
        <v>16052.550799999999</v>
      </c>
      <c r="AMF14" s="593">
        <v>16373.601815999999</v>
      </c>
      <c r="AMG14" s="699"/>
      <c r="AMH14" s="700">
        <f>AMG14/AME14</f>
        <v>0</v>
      </c>
      <c r="AMI14" s="579">
        <f>ALG14+ALK14+ALO14+ALS14+ALW14+AMA14+AME14</f>
        <v>72966.14</v>
      </c>
      <c r="AMJ14" s="574">
        <f>ALH14+ALL14+ALP14+ALT14+ALX14+AMB14+AMF14</f>
        <v>74425.462799999979</v>
      </c>
      <c r="AMK14" s="794">
        <f>ALI14+ALM14+ALQ14+ALU14+ALY14+AMC14+AMG14</f>
        <v>0</v>
      </c>
      <c r="AML14" s="786">
        <f>AMK14/AMI14</f>
        <v>0</v>
      </c>
      <c r="AMM14" s="593">
        <v>8262.4752000000008</v>
      </c>
      <c r="AMN14" s="593">
        <v>8427.724704000002</v>
      </c>
      <c r="AMO14" s="699"/>
      <c r="AMP14" s="700">
        <f>AMO14/AMM14</f>
        <v>0</v>
      </c>
      <c r="AMQ14" s="593">
        <v>8262.4752000000008</v>
      </c>
      <c r="AMR14" s="593">
        <v>8427.724704000002</v>
      </c>
      <c r="AMS14" s="699"/>
      <c r="AMT14" s="700">
        <f>AMS14/AMQ14</f>
        <v>0</v>
      </c>
      <c r="AMU14" s="593">
        <v>8262.4752000000008</v>
      </c>
      <c r="AMV14" s="593">
        <v>8427.724704000002</v>
      </c>
      <c r="AMW14" s="699"/>
      <c r="AMX14" s="700">
        <f>AMW14/AMU14</f>
        <v>0</v>
      </c>
      <c r="AMY14" s="593">
        <v>8262.4752000000008</v>
      </c>
      <c r="AMZ14" s="593">
        <v>8427.724704000002</v>
      </c>
      <c r="ANA14" s="699"/>
      <c r="ANB14" s="700">
        <f>ANA14/AMY14</f>
        <v>0</v>
      </c>
      <c r="ANC14" s="593">
        <v>9639.5544000000027</v>
      </c>
      <c r="AND14" s="593">
        <v>9832.3454880000027</v>
      </c>
      <c r="ANE14" s="699"/>
      <c r="ANF14" s="700">
        <f>ANE14/ANC14</f>
        <v>0</v>
      </c>
      <c r="ANG14" s="593">
        <v>11016.633600000001</v>
      </c>
      <c r="ANH14" s="593">
        <v>11236.966272000003</v>
      </c>
      <c r="ANI14" s="699"/>
      <c r="ANJ14" s="700">
        <f>ANI14/ANG14</f>
        <v>0</v>
      </c>
      <c r="ANK14" s="593">
        <v>15147.871200000001</v>
      </c>
      <c r="ANL14" s="593">
        <v>15450.828624000003</v>
      </c>
      <c r="ANM14" s="699"/>
      <c r="ANN14" s="700">
        <f>ANM14/ANK14</f>
        <v>0</v>
      </c>
      <c r="ANO14" s="579">
        <f>AMM14+AMQ14+AMU14+AMY14+ANC14+ANG14+ANK14</f>
        <v>68853.960000000006</v>
      </c>
      <c r="ANP14" s="574">
        <f>AMN14+AMR14+AMV14+AMZ14+AND14+ANH14+ANL14</f>
        <v>70231.039200000014</v>
      </c>
      <c r="ANQ14" s="794">
        <f>AMO14+AMS14+AMW14+ANA14+ANE14+ANI14+ANM14</f>
        <v>0</v>
      </c>
      <c r="ANR14" s="786">
        <f>ANQ14/ANO14</f>
        <v>0</v>
      </c>
      <c r="ANS14" s="593">
        <f>'Proy 2022 vs 2019 sem'!GN13*ANV$4</f>
        <v>8846.5439999999999</v>
      </c>
      <c r="ANT14" s="593">
        <f>'Proy 2022 vs 2019 sem'!GO13*ANV$4</f>
        <v>8669.61312</v>
      </c>
      <c r="ANU14" s="699"/>
      <c r="ANV14" s="700">
        <f>ANU14/ANS14</f>
        <v>0</v>
      </c>
      <c r="ANW14" s="593">
        <f>'Proy 2022 vs 2019 sem'!GN13*ANZ$4</f>
        <v>8846.5439999999999</v>
      </c>
      <c r="ANX14" s="593">
        <f>'Proy 2022 vs 2019 sem'!GO13*ANZ$4</f>
        <v>8669.61312</v>
      </c>
      <c r="ANY14" s="699"/>
      <c r="ANZ14" s="700">
        <f>ANY14/ANW14</f>
        <v>0</v>
      </c>
      <c r="AOA14" s="593">
        <f>'Proy 2022 vs 2019 sem'!GN13*AOD$4</f>
        <v>8846.5439999999999</v>
      </c>
      <c r="AOB14" s="593">
        <f>'Proy 2022 vs 2019 sem'!GO13*AOD$4</f>
        <v>8669.61312</v>
      </c>
      <c r="AOC14" s="699"/>
      <c r="AOD14" s="700">
        <f>AOC14/AOA14</f>
        <v>0</v>
      </c>
      <c r="AOE14" s="593">
        <f>'Proy 2022 vs 2019 sem'!GN13*AOH$4</f>
        <v>8846.5439999999999</v>
      </c>
      <c r="AOF14" s="593">
        <f>'Proy 2022 vs 2019 sem'!GO13*AOH$4</f>
        <v>8669.61312</v>
      </c>
      <c r="AOG14" s="699"/>
      <c r="AOH14" s="700">
        <f>AOG14/AOE14</f>
        <v>0</v>
      </c>
      <c r="AOI14" s="593">
        <f>'Proy 2022 vs 2019 sem'!GN13*AOL$4</f>
        <v>10320.968000000001</v>
      </c>
      <c r="AOJ14" s="593">
        <f>'Proy 2022 vs 2019 sem'!GO13*AOL$4</f>
        <v>10114.548640000001</v>
      </c>
      <c r="AOK14" s="699"/>
      <c r="AOL14" s="700">
        <f>AOK14/AOI14</f>
        <v>0</v>
      </c>
      <c r="AOM14" s="593">
        <f>'Proy 2022 vs 2019 sem'!GN13*AOP$4</f>
        <v>11795.392</v>
      </c>
      <c r="AON14" s="593">
        <f>'Proy 2022 vs 2019 sem'!GO13*AOP$4</f>
        <v>11559.48416</v>
      </c>
      <c r="AOO14" s="699"/>
      <c r="AOP14" s="700">
        <f>AOO14/AOM14</f>
        <v>0</v>
      </c>
      <c r="AOQ14" s="593">
        <f>'Proy 2022 vs 2019 sem'!GN13*AOT$4</f>
        <v>16218.663999999999</v>
      </c>
      <c r="AOR14" s="593">
        <f>'Proy 2022 vs 2019 sem'!GO13*AOT$4</f>
        <v>15894.290719999999</v>
      </c>
      <c r="AOS14" s="699"/>
      <c r="AOT14" s="700">
        <f>AOS14/AOQ14</f>
        <v>0</v>
      </c>
      <c r="AOU14" s="579">
        <f>ANS14+ANW14+AOA14+AOE14+AOI14+AOM14+AOQ14</f>
        <v>73721.2</v>
      </c>
      <c r="AOV14" s="574">
        <f>ANT14+ANX14+AOB14+AOF14+AOJ14+AON14+AOR14</f>
        <v>72246.775999999998</v>
      </c>
      <c r="AOW14" s="785">
        <f>ANU14+ANY14+AOC14+AOG14+AOK14+AOO14+AOS14</f>
        <v>0</v>
      </c>
      <c r="AOX14" s="786">
        <f>AOW14/AOU14</f>
        <v>0</v>
      </c>
      <c r="AOY14" s="593">
        <f>'Proy 2022 vs 2019 sem'!GW13*APB$4</f>
        <v>8500.08</v>
      </c>
      <c r="AOZ14" s="593">
        <f>'Proy 2022 vs 2019 sem'!GX13*APB$4</f>
        <v>8330.0783999999985</v>
      </c>
      <c r="APA14" s="735"/>
      <c r="APB14" s="700">
        <f>APA14/AOY14</f>
        <v>0</v>
      </c>
      <c r="APC14" s="593">
        <f>'Proy 2022 vs 2019 sem'!GW13*APF$4</f>
        <v>8500.08</v>
      </c>
      <c r="APD14" s="593">
        <f>'Proy 2022 vs 2019 sem'!GX13*APF$4</f>
        <v>8330.0783999999985</v>
      </c>
      <c r="APE14" s="735"/>
      <c r="APF14" s="700">
        <f>APE14/APC14</f>
        <v>0</v>
      </c>
      <c r="APG14" s="593">
        <f>'Proy 2022 vs 2019 sem'!GW13*APJ$4</f>
        <v>8500.08</v>
      </c>
      <c r="APH14" s="593">
        <f>'Proy 2022 vs 2019 sem'!GX13*APJ$4</f>
        <v>8330.0783999999985</v>
      </c>
      <c r="API14" s="735"/>
      <c r="APJ14" s="700">
        <f>API14/APG14</f>
        <v>0</v>
      </c>
      <c r="APK14" s="593">
        <f>'Proy 2022 vs 2019 sem'!GW13*APN$4</f>
        <v>8500.08</v>
      </c>
      <c r="APL14" s="593">
        <f>'Proy 2022 vs 2019 sem'!GX13*APN$4</f>
        <v>8330.0783999999985</v>
      </c>
      <c r="APM14" s="735"/>
      <c r="APN14" s="700">
        <f>APM14/APK14</f>
        <v>0</v>
      </c>
      <c r="APO14" s="593">
        <f>'Proy 2022 vs 2019 sem'!GW13*APR$4</f>
        <v>9916.76</v>
      </c>
      <c r="APP14" s="593">
        <f>'Proy 2022 vs 2019 sem'!GX13*APR$4</f>
        <v>9718.4248000000007</v>
      </c>
      <c r="APQ14" s="735"/>
      <c r="APR14" s="700">
        <f>APQ14/APO14</f>
        <v>0</v>
      </c>
      <c r="APS14" s="593">
        <f>'Proy 2022 vs 2019 sem'!GW13*APV$4</f>
        <v>11333.44</v>
      </c>
      <c r="APT14" s="593">
        <f>'Proy 2022 vs 2019 sem'!GX13*APV$4</f>
        <v>11106.771199999999</v>
      </c>
      <c r="APU14" s="735"/>
      <c r="APV14" s="700">
        <f>APU14/APS14</f>
        <v>0</v>
      </c>
      <c r="APW14" s="593">
        <f>'Proy 2022 vs 2019 sem'!GW13*APZ$4</f>
        <v>15583.48</v>
      </c>
      <c r="APX14" s="593">
        <f>'Proy 2022 vs 2019 sem'!GX13*APZ$4</f>
        <v>15271.810399999998</v>
      </c>
      <c r="APY14" s="735"/>
      <c r="APZ14" s="700">
        <f>APY14/APW14</f>
        <v>0</v>
      </c>
      <c r="AQA14" s="579">
        <f>AOY14+APC14+APG14+APK14+APO14+APS14+APW14</f>
        <v>70834</v>
      </c>
      <c r="AQB14" s="574">
        <f>AOZ14+APD14+APH14+APL14+APP14+APT14+APX14</f>
        <v>69417.319999999992</v>
      </c>
      <c r="AQC14" s="729">
        <f>APA14+APE14+API14+APM14+APQ14+APU14+APY14</f>
        <v>0</v>
      </c>
      <c r="AQD14" s="711">
        <f>AQC14/AQA14</f>
        <v>0</v>
      </c>
      <c r="AQE14" s="593">
        <f>'Proy 2022 vs 2019 sem'!HB13*AQH$4</f>
        <v>7976.1527999999998</v>
      </c>
      <c r="AQF14" s="593">
        <f>'Proy 2022 vs 2019 sem'!HC13*AQH$4</f>
        <v>7976.1527999999998</v>
      </c>
      <c r="AQG14" s="699"/>
      <c r="AQH14" s="700">
        <f>AQG14/AQE14</f>
        <v>0</v>
      </c>
      <c r="AQI14" s="593">
        <f>'Proy 2022 vs 2019 sem'!HB13*AQL$4</f>
        <v>7976.1527999999998</v>
      </c>
      <c r="AQJ14" s="593">
        <f>'Proy 2022 vs 2019 sem'!HC13*AQL$4</f>
        <v>7976.1527999999998</v>
      </c>
      <c r="AQK14" s="699"/>
      <c r="AQL14" s="700">
        <f>AQK14/AQI14</f>
        <v>0</v>
      </c>
      <c r="AQM14" s="593">
        <f>'Proy 2022 vs 2019 sem'!HB13*AQP$4</f>
        <v>7976.1527999999998</v>
      </c>
      <c r="AQN14" s="593">
        <f>'Proy 2022 vs 2019 sem'!HC13*AQP$4</f>
        <v>7976.1527999999998</v>
      </c>
      <c r="AQO14" s="699"/>
      <c r="AQP14" s="700">
        <f>AQO14/AQM14</f>
        <v>0</v>
      </c>
      <c r="AQQ14" s="593">
        <f>'Proy 2022 vs 2019 sem'!HB13*AQT$4</f>
        <v>7976.1527999999998</v>
      </c>
      <c r="AQR14" s="593">
        <f>'Proy 2022 vs 2019 sem'!HC13*AQT$4</f>
        <v>7976.1527999999998</v>
      </c>
      <c r="AQS14" s="699"/>
      <c r="AQT14" s="700">
        <f>AQS14/AQQ14</f>
        <v>0</v>
      </c>
      <c r="AQU14" s="593">
        <f>'Proy 2022 vs 2019 sem'!HB13*AQX$4</f>
        <v>9305.5116000000016</v>
      </c>
      <c r="AQV14" s="593">
        <f>'Proy 2022 vs 2019 sem'!HC13*AQX$4</f>
        <v>9305.5116000000016</v>
      </c>
      <c r="AQW14" s="699"/>
      <c r="AQX14" s="700">
        <f>AQW14/AQU14</f>
        <v>0</v>
      </c>
      <c r="AQY14" s="593">
        <f>'Proy 2022 vs 2019 sem'!HB13*ARB$4</f>
        <v>10634.8704</v>
      </c>
      <c r="AQZ14" s="593">
        <f>'Proy 2022 vs 2019 sem'!HC13*ARB$4</f>
        <v>10634.8704</v>
      </c>
      <c r="ARA14" s="699"/>
      <c r="ARB14" s="700">
        <f>ARA14/AQY14</f>
        <v>0</v>
      </c>
      <c r="ARC14" s="593">
        <f>'Proy 2022 vs 2019 sem'!HB13*ARF$4</f>
        <v>14622.9468</v>
      </c>
      <c r="ARD14" s="593">
        <f>'Proy 2022 vs 2019 sem'!HC13*ARF$4</f>
        <v>14622.9468</v>
      </c>
      <c r="ARE14" s="699"/>
      <c r="ARF14" s="700">
        <f>ARE14/ARC14</f>
        <v>0</v>
      </c>
      <c r="ARG14" s="579">
        <f>AQE14+AQI14+AQM14+AQQ14+AQU14+AQY14+ARC14</f>
        <v>66467.94</v>
      </c>
      <c r="ARH14" s="574">
        <f>AQF14+AQJ14+AQN14+AQR14+AQV14+AQZ14+ARD14</f>
        <v>66467.94</v>
      </c>
      <c r="ARI14" s="730">
        <f>AQG14+AQK14+AQO14+AQS14+AQW14+ARA14+ARE14</f>
        <v>0</v>
      </c>
      <c r="ARJ14" s="711">
        <f>ARI14/ARG14</f>
        <v>0</v>
      </c>
      <c r="ARK14" s="593">
        <f>'Proy 2022 vs 2019 sem'!HG13*ARN$4</f>
        <v>11510.4588</v>
      </c>
      <c r="ARL14" s="593">
        <f>'Proy 2022 vs 2019 sem'!HH13*ARN$4</f>
        <v>10934.93586</v>
      </c>
      <c r="ARM14" s="699"/>
      <c r="ARN14" s="700">
        <f>ARM14/ARK14</f>
        <v>0</v>
      </c>
      <c r="ARO14" s="593">
        <f>'Proy 2022 vs 2019 sem'!HG13*ARR$4</f>
        <v>11510.4588</v>
      </c>
      <c r="ARP14" s="593">
        <f>'Proy 2022 vs 2019 sem'!HH13*ARR$4</f>
        <v>10934.93586</v>
      </c>
      <c r="ARQ14" s="699"/>
      <c r="ARR14" s="700">
        <f>ARQ14/ARO14</f>
        <v>0</v>
      </c>
      <c r="ARS14" s="593">
        <f>'Proy 2022 vs 2019 sem'!HG13*ARV$4</f>
        <v>11510.4588</v>
      </c>
      <c r="ART14" s="593">
        <f>'Proy 2022 vs 2019 sem'!HH13*ARV$4</f>
        <v>10934.93586</v>
      </c>
      <c r="ARU14" s="699"/>
      <c r="ARV14" s="700">
        <f>ARU14/ARS14</f>
        <v>0</v>
      </c>
      <c r="ARW14" s="593">
        <f>'Proy 2022 vs 2019 sem'!HG13*ARZ$4</f>
        <v>11510.4588</v>
      </c>
      <c r="ARX14" s="593">
        <f>'Proy 2022 vs 2019 sem'!HH13*ARZ$4</f>
        <v>10934.93586</v>
      </c>
      <c r="ARY14" s="699"/>
      <c r="ARZ14" s="700">
        <f>ARY14/ARW14</f>
        <v>0</v>
      </c>
      <c r="ASA14" s="593">
        <f>'Proy 2022 vs 2019 sem'!HG13*ASD$4</f>
        <v>13428.868600000002</v>
      </c>
      <c r="ASB14" s="593">
        <f>'Proy 2022 vs 2019 sem'!HH13*ASD$4</f>
        <v>12757.425170000002</v>
      </c>
      <c r="ASC14" s="699"/>
      <c r="ASD14" s="700">
        <f>ASC14/ASA14</f>
        <v>0</v>
      </c>
      <c r="ASE14" s="593">
        <f>'Proy 2022 vs 2019 sem'!HG13*ASH$4</f>
        <v>15347.278400000001</v>
      </c>
      <c r="ASF14" s="593">
        <f>'Proy 2022 vs 2019 sem'!HH13*ASH$4</f>
        <v>14579.914480000001</v>
      </c>
      <c r="ASG14" s="699"/>
      <c r="ASH14" s="700">
        <f>ASG14/ASE14</f>
        <v>0</v>
      </c>
      <c r="ASI14" s="593">
        <f>'Proy 2022 vs 2019 sem'!HG13*ASL$4</f>
        <v>21102.507800000003</v>
      </c>
      <c r="ASJ14" s="593">
        <f>'Proy 2022 vs 2019 sem'!HH13*ASL$4</f>
        <v>20047.382410000002</v>
      </c>
      <c r="ASK14" s="699"/>
      <c r="ASL14" s="700">
        <f>ASK14/ASI14</f>
        <v>0</v>
      </c>
      <c r="ASM14" s="579">
        <f>ARK14+ARO14+ARS14+ARW14+ASA14+ASE14+ASI14</f>
        <v>95920.49</v>
      </c>
      <c r="ASN14" s="574">
        <f>ARL14+ARP14+ART14+ARX14+ASB14+ASF14+ASJ14</f>
        <v>91124.465500000006</v>
      </c>
      <c r="ASO14" s="730">
        <f>ARM14+ARQ14+ARU14+ARY14+ASC14+ASG14+ASK14</f>
        <v>0</v>
      </c>
      <c r="ASP14" s="711">
        <f>ASO14/ASM14</f>
        <v>0</v>
      </c>
      <c r="ASQ14" s="593">
        <f>'Proy 2022 vs 2019 sem'!HL13*AST$4</f>
        <v>9469.0007999999998</v>
      </c>
      <c r="ASR14" s="593">
        <f>'Proy 2022 vs 2019 sem'!HM13*AST$4</f>
        <v>9184.9307759999992</v>
      </c>
      <c r="ASS14" s="699"/>
      <c r="AST14" s="700">
        <f>ASS14/ASQ14</f>
        <v>0</v>
      </c>
      <c r="ASU14" s="593">
        <f>'Proy 2022 vs 2019 sem'!HL13*ASX$4</f>
        <v>9469.0007999999998</v>
      </c>
      <c r="ASV14" s="593">
        <f>'Proy 2022 vs 2019 sem'!HM13*ASX$4</f>
        <v>9184.9307759999992</v>
      </c>
      <c r="ASW14" s="699"/>
      <c r="ASX14" s="700">
        <f>ASW14/ASU14</f>
        <v>0</v>
      </c>
      <c r="ASY14" s="593">
        <f>'Proy 2022 vs 2019 sem'!HL13*ATB$4</f>
        <v>9469.0007999999998</v>
      </c>
      <c r="ASZ14" s="593">
        <f>'Proy 2022 vs 2019 sem'!HM13*ATB$4</f>
        <v>9184.9307759999992</v>
      </c>
      <c r="ATA14" s="699"/>
      <c r="ATB14" s="700">
        <f>ATA14/ASY14</f>
        <v>0</v>
      </c>
      <c r="ATC14" s="593">
        <f>'Proy 2022 vs 2019 sem'!HL13*ATF$4</f>
        <v>9469.0007999999998</v>
      </c>
      <c r="ATD14" s="593">
        <f>'Proy 2022 vs 2019 sem'!HM13*ATF$4</f>
        <v>9184.9307759999992</v>
      </c>
      <c r="ATE14" s="699"/>
      <c r="ATF14" s="700">
        <f>ATE14/ATC14</f>
        <v>0</v>
      </c>
      <c r="ATG14" s="593">
        <f>'Proy 2022 vs 2019 sem'!HL13*ATJ$4</f>
        <v>11047.167600000001</v>
      </c>
      <c r="ATH14" s="593">
        <f>'Proy 2022 vs 2019 sem'!HM13*ATJ$4</f>
        <v>10715.752572000001</v>
      </c>
      <c r="ATI14" s="699"/>
      <c r="ATJ14" s="700">
        <f>ATI14/ATG14</f>
        <v>0</v>
      </c>
      <c r="ATK14" s="593">
        <f>'Proy 2022 vs 2019 sem'!HL13*ATN$4</f>
        <v>12625.3344</v>
      </c>
      <c r="ATL14" s="593">
        <f>'Proy 2022 vs 2019 sem'!HM13*ATN$4</f>
        <v>12246.574368000001</v>
      </c>
      <c r="ATM14" s="699"/>
      <c r="ATN14" s="700">
        <f>ATM14/ATK14</f>
        <v>0</v>
      </c>
      <c r="ATO14" s="593">
        <f>'Proy 2022 vs 2019 sem'!HL13*ATR$4</f>
        <v>17359.834800000001</v>
      </c>
      <c r="ATP14" s="593">
        <f>'Proy 2022 vs 2019 sem'!HM13*ATR$4</f>
        <v>16839.039756000002</v>
      </c>
      <c r="ATQ14" s="699"/>
      <c r="ATR14" s="700">
        <f>ATQ14/ATO14</f>
        <v>0</v>
      </c>
      <c r="ATS14" s="579">
        <f>ASQ14+ASU14+ASY14+ATC14+ATG14+ATK14+ATO14</f>
        <v>78908.34</v>
      </c>
      <c r="ATT14" s="574">
        <f>ASR14+ASV14+ASZ14+ATD14+ATH14+ATL14+ATP14</f>
        <v>76541.089800000002</v>
      </c>
      <c r="ATU14" s="710">
        <f>ASS14+ASW14+ATA14+ATE14+ATI14+ATM14+ATQ14</f>
        <v>0</v>
      </c>
      <c r="ATV14" s="711">
        <f>ATU14/ATS14</f>
        <v>0</v>
      </c>
      <c r="ATW14" s="593">
        <f>'Proy 2022 vs 2019 sem'!HQ13*ATZ$4</f>
        <v>9404.0483999999997</v>
      </c>
      <c r="ATX14" s="593">
        <f>'Proy 2022 vs 2019 sem'!HR13*ATZ$4</f>
        <v>9121.9269480000003</v>
      </c>
      <c r="ATY14" s="699"/>
      <c r="ATZ14" s="700">
        <f>ATY14/ATW14</f>
        <v>0</v>
      </c>
      <c r="AUA14" s="593">
        <f>'Proy 2022 vs 2019 sem'!HQ13*AUD$4</f>
        <v>9404.0483999999997</v>
      </c>
      <c r="AUB14" s="593">
        <f>'Proy 2022 vs 2019 sem'!HR13*AUD$4</f>
        <v>9121.9269480000003</v>
      </c>
      <c r="AUC14" s="699"/>
      <c r="AUD14" s="700">
        <f>AUC14/AUA14</f>
        <v>0</v>
      </c>
      <c r="AUE14" s="593">
        <f>'Proy 2022 vs 2019 sem'!HQ13*AUH$4</f>
        <v>9404.0483999999997</v>
      </c>
      <c r="AUF14" s="593">
        <f>'Proy 2022 vs 2019 sem'!HR13*AUH$4</f>
        <v>9121.9269480000003</v>
      </c>
      <c r="AUG14" s="699"/>
      <c r="AUH14" s="700">
        <f>AUG14/AUE14</f>
        <v>0</v>
      </c>
      <c r="AUI14" s="593">
        <f>'Proy 2022 vs 2019 sem'!HQ13*AUL$4</f>
        <v>9404.0483999999997</v>
      </c>
      <c r="AUJ14" s="593">
        <f>'Proy 2022 vs 2019 sem'!HR13*AUL$4</f>
        <v>9121.9269480000003</v>
      </c>
      <c r="AUK14" s="699"/>
      <c r="AUL14" s="700">
        <f>AUK14/AUI14</f>
        <v>0</v>
      </c>
      <c r="AUM14" s="593">
        <f>'Proy 2022 vs 2019 sem'!HQ13*AUP$4</f>
        <v>10971.389800000003</v>
      </c>
      <c r="AUN14" s="593">
        <f>'Proy 2022 vs 2019 sem'!HR13*AUP$4</f>
        <v>10642.248106000001</v>
      </c>
      <c r="AUO14" s="699"/>
      <c r="AUP14" s="700">
        <f>AUO14/AUM14</f>
        <v>0</v>
      </c>
      <c r="AUQ14" s="593">
        <f>'Proy 2022 vs 2019 sem'!HQ13*AUT$4</f>
        <v>12538.731200000002</v>
      </c>
      <c r="AUR14" s="593">
        <f>'Proy 2022 vs 2019 sem'!HR13*AUT$4</f>
        <v>12162.569264</v>
      </c>
      <c r="AUS14" s="699"/>
      <c r="AUT14" s="700">
        <f>AUS14/AUQ14</f>
        <v>0</v>
      </c>
      <c r="AUU14" s="593">
        <f>'Proy 2022 vs 2019 sem'!HQ13*AUX$4</f>
        <v>17240.755400000002</v>
      </c>
      <c r="AUV14" s="593">
        <f>'Proy 2022 vs 2019 sem'!HR13*AUX$4</f>
        <v>16723.532738000002</v>
      </c>
      <c r="AUW14" s="699"/>
      <c r="AUX14" s="700">
        <f>AUW14/AUU14</f>
        <v>0</v>
      </c>
      <c r="AUY14" s="579">
        <f>ATW14+AUA14+AUE14+AUI14+AUM14+AUQ14+AUU14</f>
        <v>78367.070000000007</v>
      </c>
      <c r="AUZ14" s="574">
        <f>ATX14+AUB14+AUF14+AUJ14+AUN14+AUR14+AUV14</f>
        <v>76016.0579</v>
      </c>
      <c r="AVA14" s="710">
        <f>ATY14+AUC14+AUG14+AUK14+AUO14+AUS14+AUW14</f>
        <v>0</v>
      </c>
      <c r="AVB14" s="711">
        <f>AVA14/AUY14</f>
        <v>0</v>
      </c>
      <c r="AVC14" s="593">
        <f>'Proy 2022 vs 2019 sem'!HZ13*AVF$4</f>
        <v>9251.7528000000002</v>
      </c>
      <c r="AVD14" s="593">
        <f>'Proy 2022 vs 2019 sem'!IA13*AVF$4</f>
        <v>8974.2002159999993</v>
      </c>
      <c r="AVE14" s="735"/>
      <c r="AVF14" s="700">
        <f>AVE14/AVC14</f>
        <v>0</v>
      </c>
      <c r="AVG14" s="593">
        <f>'Proy 2022 vs 2019 sem'!HZ13*AVJ$4</f>
        <v>9251.7528000000002</v>
      </c>
      <c r="AVH14" s="593">
        <f>'Proy 2022 vs 2019 sem'!IA13*AVJ$4</f>
        <v>8974.2002159999993</v>
      </c>
      <c r="AVI14" s="699"/>
      <c r="AVJ14" s="700">
        <f>AVI14/AVG14</f>
        <v>0</v>
      </c>
      <c r="AVK14" s="593">
        <f>'Proy 2022 vs 2019 sem'!HZ13*AVN$4</f>
        <v>9251.7528000000002</v>
      </c>
      <c r="AVL14" s="593">
        <f>'Proy 2022 vs 2019 sem'!IA13*AVN$4</f>
        <v>8974.2002159999993</v>
      </c>
      <c r="AVM14" s="699"/>
      <c r="AVN14" s="700">
        <f>AVM14/AVK14</f>
        <v>0</v>
      </c>
      <c r="AVO14" s="593">
        <f>'Proy 2022 vs 2019 sem'!HZ13*AVR$4</f>
        <v>9251.7528000000002</v>
      </c>
      <c r="AVP14" s="593">
        <f>'Proy 2022 vs 2019 sem'!IA13*AVR$4</f>
        <v>8974.2002159999993</v>
      </c>
      <c r="AVQ14" s="699"/>
      <c r="AVR14" s="700">
        <f>AVQ14/AVO14</f>
        <v>0</v>
      </c>
      <c r="AVS14" s="593">
        <f>'Proy 2022 vs 2019 sem'!HZ13*AVV$4</f>
        <v>10793.711600000001</v>
      </c>
      <c r="AVT14" s="593">
        <f>'Proy 2022 vs 2019 sem'!IA13*AVV$4</f>
        <v>10469.900252000001</v>
      </c>
      <c r="AVU14" s="699"/>
      <c r="AVV14" s="700">
        <f>AVU14/AVS14</f>
        <v>0</v>
      </c>
      <c r="AVW14" s="593">
        <f>'Proy 2022 vs 2019 sem'!HZ13*AVZ$4</f>
        <v>12335.670400000001</v>
      </c>
      <c r="AVX14" s="593">
        <f>'Proy 2022 vs 2019 sem'!IA13*AVZ$4</f>
        <v>11965.600288</v>
      </c>
      <c r="AVY14" s="699"/>
      <c r="AVZ14" s="700">
        <f>AVY14/AVW14</f>
        <v>0</v>
      </c>
      <c r="AWA14" s="593">
        <f>'Proy 2022 vs 2019 sem'!HZ13*AWD$4</f>
        <v>16961.5468</v>
      </c>
      <c r="AWB14" s="593">
        <f>'Proy 2022 vs 2019 sem'!IA13*AWD$4</f>
        <v>16452.700396</v>
      </c>
      <c r="AWC14" s="699"/>
      <c r="AWD14" s="700">
        <f>AWC14/AWA14</f>
        <v>0</v>
      </c>
      <c r="AWE14" s="579">
        <f>AVC14+AVG14+AVK14+AVO14+AVS14+AVW14+AWA14</f>
        <v>77097.94</v>
      </c>
      <c r="AWF14" s="574">
        <f>AVD14+AVH14+AVL14+AVP14+AVT14+AVX14+AWB14</f>
        <v>74785.001799999998</v>
      </c>
      <c r="AWG14" s="793">
        <f>AVE14+AVI14+AVM14+AVQ14+AVU14+AVY14+AWC14</f>
        <v>0</v>
      </c>
      <c r="AWH14" s="786">
        <f>AWG14/AWE14</f>
        <v>0</v>
      </c>
      <c r="AWI14" s="593">
        <f>'Proy 2022 vs 2019 sem'!IE13*AWL$4</f>
        <v>11513.6556</v>
      </c>
      <c r="AWJ14" s="593">
        <f>'Proy 2022 vs 2019 sem'!IF13*AWL$4</f>
        <v>11053.109376</v>
      </c>
      <c r="AWK14" s="699"/>
      <c r="AWL14" s="700">
        <f>AWK14/AWI14</f>
        <v>0</v>
      </c>
      <c r="AWM14" s="593">
        <f>'Proy 2022 vs 2019 sem'!IE13*AWP$4</f>
        <v>11513.6556</v>
      </c>
      <c r="AWN14" s="593">
        <f>'Proy 2022 vs 2019 sem'!IF13*AWP$4</f>
        <v>11053.109376</v>
      </c>
      <c r="AWO14" s="699"/>
      <c r="AWP14" s="700">
        <f>AWO14/AWM14</f>
        <v>0</v>
      </c>
      <c r="AWQ14" s="593">
        <f>'Proy 2022 vs 2019 sem'!IE13*AWT$4</f>
        <v>11513.6556</v>
      </c>
      <c r="AWR14" s="593">
        <f>'Proy 2022 vs 2019 sem'!IF13*AWT$4</f>
        <v>11053.109376</v>
      </c>
      <c r="AWS14" s="699"/>
      <c r="AWT14" s="700">
        <f>AWS14/AWQ14</f>
        <v>0</v>
      </c>
      <c r="AWU14" s="593">
        <f>'Proy 2022 vs 2019 sem'!IE13*AWX$4</f>
        <v>11513.6556</v>
      </c>
      <c r="AWV14" s="593">
        <f>'Proy 2022 vs 2019 sem'!IF13*AWX$4</f>
        <v>11053.109376</v>
      </c>
      <c r="AWW14" s="699"/>
      <c r="AWX14" s="700">
        <f>AWW14/AWU14</f>
        <v>0</v>
      </c>
      <c r="AWY14" s="593">
        <f>'Proy 2022 vs 2019 sem'!IE13*AXB$4</f>
        <v>13432.598200000002</v>
      </c>
      <c r="AWZ14" s="593">
        <f>'Proy 2022 vs 2019 sem'!IF13*AXB$4</f>
        <v>12895.294272000001</v>
      </c>
      <c r="AXA14" s="699"/>
      <c r="AXB14" s="700">
        <f>AXA14/AWY14</f>
        <v>0</v>
      </c>
      <c r="AXC14" s="593">
        <f>'Proy 2022 vs 2019 sem'!IE13*AXF$4</f>
        <v>15351.540800000001</v>
      </c>
      <c r="AXD14" s="593">
        <f>'Proy 2022 vs 2019 sem'!IF13*AXF$4</f>
        <v>14737.479168</v>
      </c>
      <c r="AXE14" s="699"/>
      <c r="AXF14" s="700">
        <f>AXE14/AXC14</f>
        <v>0</v>
      </c>
      <c r="AXG14" s="593">
        <f>'Proy 2022 vs 2019 sem'!IE13*AXJ$4</f>
        <v>21108.368600000002</v>
      </c>
      <c r="AXH14" s="593">
        <f>'Proy 2022 vs 2019 sem'!IF13*AXJ$4</f>
        <v>20264.033856000002</v>
      </c>
      <c r="AXI14" s="699"/>
      <c r="AXJ14" s="700">
        <f>AXI14/AXG14</f>
        <v>0</v>
      </c>
      <c r="AXK14" s="579">
        <f>AWI14+AWM14+AWQ14+AWU14+AWY14+AXC14+AXG14</f>
        <v>95947.13</v>
      </c>
      <c r="AXL14" s="574">
        <f>AWJ14+AWN14+AWR14+AWV14+AWZ14+AXD14+AXH14</f>
        <v>92109.244800000015</v>
      </c>
      <c r="AXM14" s="794">
        <f>AWK14+AWO14+AWS14+AWW14+AXA14+AXE14+AXI14</f>
        <v>0</v>
      </c>
      <c r="AXN14" s="786">
        <f>AXM14/AXK14</f>
        <v>0</v>
      </c>
      <c r="AXO14" s="593">
        <f>'Proy 2022 vs 2019 sem'!IJ13*AXR$4</f>
        <v>13299.418799999999</v>
      </c>
      <c r="AXP14" s="593">
        <f>'Proy 2022 vs 2019 sem'!IK13*AXR$4</f>
        <v>13166.424612000001</v>
      </c>
      <c r="AXQ14" s="699"/>
      <c r="AXR14" s="700">
        <f>AXQ14/AXO14</f>
        <v>0</v>
      </c>
      <c r="AXS14" s="593">
        <f>'Proy 2022 vs 2019 sem'!IJ13*AXV$4</f>
        <v>13299.418799999999</v>
      </c>
      <c r="AXT14" s="593">
        <f>'Proy 2022 vs 2019 sem'!IK13*AXV$4</f>
        <v>13166.424612000001</v>
      </c>
      <c r="AXU14" s="699"/>
      <c r="AXV14" s="700">
        <f>AXU14/AXS14</f>
        <v>0</v>
      </c>
      <c r="AXW14" s="593">
        <f>'Proy 2022 vs 2019 sem'!IJ13*AXZ$4</f>
        <v>13299.418799999999</v>
      </c>
      <c r="AXX14" s="593">
        <f>'Proy 2022 vs 2019 sem'!IK13*AXZ$4</f>
        <v>13166.424612000001</v>
      </c>
      <c r="AXY14" s="699"/>
      <c r="AXZ14" s="700">
        <f>AXY14/AXW14</f>
        <v>0</v>
      </c>
      <c r="AYA14" s="593">
        <f>'Proy 2022 vs 2019 sem'!IJ13*AYD$4</f>
        <v>13299.418799999999</v>
      </c>
      <c r="AYB14" s="593">
        <f>'Proy 2022 vs 2019 sem'!IK13*AYD$4</f>
        <v>13166.424612000001</v>
      </c>
      <c r="AYC14" s="699"/>
      <c r="AYD14" s="700">
        <f>AYC14/AYA14</f>
        <v>0</v>
      </c>
      <c r="AYE14" s="593">
        <f>'Proy 2022 vs 2019 sem'!IJ13*AYH$4</f>
        <v>15515.988600000002</v>
      </c>
      <c r="AYF14" s="593">
        <f>'Proy 2022 vs 2019 sem'!IK13*AYH$4</f>
        <v>15360.828714000003</v>
      </c>
      <c r="AYG14" s="699"/>
      <c r="AYH14" s="700">
        <f>AYG14/AYE14</f>
        <v>0</v>
      </c>
      <c r="AYI14" s="593">
        <f>'Proy 2022 vs 2019 sem'!IJ13*AYL$4</f>
        <v>17732.558400000002</v>
      </c>
      <c r="AYJ14" s="593">
        <f>'Proy 2022 vs 2019 sem'!IK13*AYL$4</f>
        <v>17555.232816</v>
      </c>
      <c r="AYK14" s="699"/>
      <c r="AYL14" s="700">
        <f>AYK14/AYI14</f>
        <v>0</v>
      </c>
      <c r="AYM14" s="593">
        <f>'Proy 2022 vs 2019 sem'!IJ13*AYP$4</f>
        <v>24382.267800000001</v>
      </c>
      <c r="AYN14" s="593">
        <f>'Proy 2022 vs 2019 sem'!IK13*AYP$4</f>
        <v>24138.445122000001</v>
      </c>
      <c r="AYO14" s="699"/>
      <c r="AYP14" s="700">
        <f>AYO14/AYM14</f>
        <v>0</v>
      </c>
      <c r="AYQ14" s="579">
        <f>AXO14+AXS14+AXW14+AYA14+AYE14+AYI14+AYM14</f>
        <v>110828.48999999999</v>
      </c>
      <c r="AYR14" s="574">
        <f>AXP14+AXT14+AXX14+AYB14+AYF14+AYJ14+AYN14</f>
        <v>109720.20510000002</v>
      </c>
      <c r="AYS14" s="794">
        <f>AXQ14+AXU14+AXY14+AYC14+AYG14+AYK14+AYO14</f>
        <v>0</v>
      </c>
      <c r="AYT14" s="786">
        <f>AYS14/AYQ14</f>
        <v>0</v>
      </c>
      <c r="AYU14" s="593">
        <f>'Proy 2022 vs 2019 sem'!IO13*AYX$4</f>
        <v>12546.954</v>
      </c>
      <c r="AYV14" s="593">
        <f>'Proy 2022 vs 2019 sem'!IP13*AYX$4</f>
        <v>12045.07584</v>
      </c>
      <c r="AYW14" s="699"/>
      <c r="AYX14" s="700">
        <f>AYW14/AYU14</f>
        <v>0</v>
      </c>
      <c r="AYY14" s="593">
        <f>'Proy 2022 vs 2019 sem'!IO13*AZB$4</f>
        <v>12546.954</v>
      </c>
      <c r="AYZ14" s="593">
        <f>'Proy 2022 vs 2019 sem'!IP13*AZB$4</f>
        <v>12045.07584</v>
      </c>
      <c r="AZA14" s="699"/>
      <c r="AZB14" s="700">
        <f>AZA14/AYY14</f>
        <v>0</v>
      </c>
      <c r="AZC14" s="593">
        <f>'Proy 2022 vs 2019 sem'!IO13*AZF$4</f>
        <v>12546.954</v>
      </c>
      <c r="AZD14" s="593">
        <f>'Proy 2022 vs 2019 sem'!IP13*AZF$4</f>
        <v>12045.07584</v>
      </c>
      <c r="AZE14" s="699"/>
      <c r="AZF14" s="700">
        <f>AZE14/AZC14</f>
        <v>0</v>
      </c>
      <c r="AZG14" s="593">
        <f>'Proy 2022 vs 2019 sem'!IO13*AZJ$4</f>
        <v>12546.954</v>
      </c>
      <c r="AZH14" s="593">
        <f>'Proy 2022 vs 2019 sem'!IP13*AZJ$4</f>
        <v>12045.07584</v>
      </c>
      <c r="AZI14" s="699"/>
      <c r="AZJ14" s="700">
        <f>AZI14/AZG14</f>
        <v>0</v>
      </c>
      <c r="AZK14" s="593">
        <f>'Proy 2022 vs 2019 sem'!IO13*AZN$4</f>
        <v>14638.113000000001</v>
      </c>
      <c r="AZL14" s="593">
        <f>'Proy 2022 vs 2019 sem'!IP13*AZN$4</f>
        <v>14052.58848</v>
      </c>
      <c r="AZM14" s="699"/>
      <c r="AZN14" s="700">
        <f>AZM14/AZK14</f>
        <v>0</v>
      </c>
      <c r="AZO14" s="593">
        <f>'Proy 2022 vs 2019 sem'!IO13*AZR$4</f>
        <v>16729.272000000001</v>
      </c>
      <c r="AZP14" s="593">
        <f>'Proy 2022 vs 2019 sem'!IP13*AZR$4</f>
        <v>16060.101119999999</v>
      </c>
      <c r="AZQ14" s="699"/>
      <c r="AZR14" s="700">
        <f>AZQ14/AZO14</f>
        <v>0</v>
      </c>
      <c r="AZS14" s="593">
        <f>'Proy 2022 vs 2019 sem'!IO13*AZV$4</f>
        <v>23002.749</v>
      </c>
      <c r="AZT14" s="593">
        <f>'Proy 2022 vs 2019 sem'!IP13*AZV$4</f>
        <v>22082.639039999998</v>
      </c>
      <c r="AZU14" s="699"/>
      <c r="AZV14" s="700">
        <f>AZU14/AZS14</f>
        <v>0</v>
      </c>
      <c r="AZW14" s="579">
        <f>AYU14+AYY14+AZC14+AZG14+AZK14+AZO14+AZS14</f>
        <v>104557.95</v>
      </c>
      <c r="AZX14" s="574">
        <f>AYV14+AYZ14+AZD14+AZH14+AZL14+AZP14+AZT14</f>
        <v>100375.632</v>
      </c>
      <c r="AZY14" s="785">
        <f>AYW14+AZA14+AZE14+AZI14+AZM14+AZQ14+AZU14</f>
        <v>0</v>
      </c>
      <c r="AZZ14" s="786">
        <f>AZY14/AZW14</f>
        <v>0</v>
      </c>
      <c r="BAA14" s="593">
        <f>'Proy 2022 vs 2019 sem'!IX13*BAD$4</f>
        <v>7888.3379999999988</v>
      </c>
      <c r="BAB14" s="593">
        <f>'Proy 2022 vs 2019 sem'!IY13*BAD$4</f>
        <v>7651.6878599999982</v>
      </c>
      <c r="BAC14" s="735"/>
      <c r="BAD14" s="700">
        <f>BAC14/BAA14</f>
        <v>0</v>
      </c>
      <c r="BAE14" s="593">
        <f>'Proy 2022 vs 2019 sem'!IX13*BAH$4</f>
        <v>7888.3379999999988</v>
      </c>
      <c r="BAF14" s="593">
        <f>'Proy 2022 vs 2019 sem'!IY13*BAH$4</f>
        <v>7651.6878599999982</v>
      </c>
      <c r="BAG14" s="699"/>
      <c r="BAH14" s="700">
        <f>BAG14/BAE14</f>
        <v>0</v>
      </c>
      <c r="BAI14" s="593">
        <f>'Proy 2022 vs 2019 sem'!IX13*BAL$4</f>
        <v>7888.3379999999988</v>
      </c>
      <c r="BAJ14" s="593">
        <f>'Proy 2022 vs 2019 sem'!IY13*BAL$4</f>
        <v>7651.6878599999982</v>
      </c>
      <c r="BAK14" s="699"/>
      <c r="BAL14" s="700">
        <f>BAK14/BAI14</f>
        <v>0</v>
      </c>
      <c r="BAM14" s="593">
        <f>'Proy 2022 vs 2019 sem'!IX13*BAP$4</f>
        <v>7888.3379999999988</v>
      </c>
      <c r="BAN14" s="593">
        <f>'Proy 2022 vs 2019 sem'!IY13*BAP$4</f>
        <v>7651.6878599999982</v>
      </c>
      <c r="BAO14" s="699"/>
      <c r="BAP14" s="700">
        <f>BAO14/BAM14</f>
        <v>0</v>
      </c>
      <c r="BAQ14" s="593">
        <f>'Proy 2022 vs 2019 sem'!IX13*BAT$4</f>
        <v>9203.0609999999997</v>
      </c>
      <c r="BAR14" s="593">
        <f>'Proy 2022 vs 2019 sem'!IY13*BAT$4</f>
        <v>8926.9691700000003</v>
      </c>
      <c r="BAS14" s="699"/>
      <c r="BAT14" s="700">
        <f>BAS14/BAQ14</f>
        <v>0</v>
      </c>
      <c r="BAU14" s="593">
        <f>'Proy 2022 vs 2019 sem'!IX13*BAX$4</f>
        <v>10517.784</v>
      </c>
      <c r="BAV14" s="593">
        <f>'Proy 2022 vs 2019 sem'!IY13*BAX$4</f>
        <v>10202.250479999999</v>
      </c>
      <c r="BAW14" s="699"/>
      <c r="BAX14" s="700">
        <f>BAW14/BAU14</f>
        <v>0</v>
      </c>
      <c r="BAY14" s="593">
        <f>'Proy 2022 vs 2019 sem'!IX13*BBB$4</f>
        <v>14461.953</v>
      </c>
      <c r="BAZ14" s="593">
        <f>'Proy 2022 vs 2019 sem'!IY13*BBB$4</f>
        <v>14028.094409999998</v>
      </c>
      <c r="BBA14" s="699"/>
      <c r="BBB14" s="700">
        <f>BBA14/BAY14</f>
        <v>0</v>
      </c>
      <c r="BBC14" s="579">
        <f>BAA14+BAE14+BAI14+BAM14+BAQ14+BAU14+BAY14</f>
        <v>65736.149999999994</v>
      </c>
      <c r="BBD14" s="574">
        <f>BAB14+BAF14+BAJ14+BAN14+BAR14+BAV14+BAZ14</f>
        <v>63764.06549999999</v>
      </c>
      <c r="BBE14" s="759">
        <f>BAC14+BAG14+BAK14+BAO14+BAS14+BAW14+BBA14</f>
        <v>0</v>
      </c>
      <c r="BBF14" s="761">
        <f>BBE14/BBC14</f>
        <v>0</v>
      </c>
      <c r="BBG14" s="593">
        <f>'Proy 2022 vs 2019 sem'!JC13*BBJ$4</f>
        <v>9962.5403999999999</v>
      </c>
      <c r="BBH14" s="593">
        <f>'Proy 2022 vs 2019 sem'!JD13*BBJ$4</f>
        <v>9364.7879759999996</v>
      </c>
      <c r="BBI14" s="699"/>
      <c r="BBJ14" s="700">
        <f>BBI14/BBG14</f>
        <v>0</v>
      </c>
      <c r="BBK14" s="593">
        <f>'Proy 2022 vs 2019 sem'!JC13*BBN$4</f>
        <v>9962.5403999999999</v>
      </c>
      <c r="BBL14" s="593">
        <f>'Proy 2022 vs 2019 sem'!JD13*BBN$4</f>
        <v>9364.7879759999996</v>
      </c>
      <c r="BBM14" s="699"/>
      <c r="BBN14" s="700">
        <f>BBM14/BBK14</f>
        <v>0</v>
      </c>
      <c r="BBO14" s="593">
        <f>'Proy 2022 vs 2019 sem'!JC13*BBR$4</f>
        <v>9962.5403999999999</v>
      </c>
      <c r="BBP14" s="593">
        <f>'Proy 2022 vs 2019 sem'!JD13*BBR$4</f>
        <v>9364.7879759999996</v>
      </c>
      <c r="BBQ14" s="699"/>
      <c r="BBR14" s="700">
        <f>BBQ14/BBO14</f>
        <v>0</v>
      </c>
      <c r="BBS14" s="593">
        <f>'Proy 2022 vs 2019 sem'!JC13*BBV$4</f>
        <v>9962.5403999999999</v>
      </c>
      <c r="BBT14" s="593">
        <f>'Proy 2022 vs 2019 sem'!JD13*BBV$4</f>
        <v>9364.7879759999996</v>
      </c>
      <c r="BBU14" s="699"/>
      <c r="BBV14" s="700">
        <f>BBU14/BBS14</f>
        <v>0</v>
      </c>
      <c r="BBW14" s="593">
        <f>'Proy 2022 vs 2019 sem'!JC13*BBZ$4</f>
        <v>11622.963800000001</v>
      </c>
      <c r="BBX14" s="593">
        <f>'Proy 2022 vs 2019 sem'!JD13*BBZ$4</f>
        <v>10925.585972000001</v>
      </c>
      <c r="BBY14" s="699"/>
      <c r="BBZ14" s="700">
        <f>BBY14/BBW14</f>
        <v>0</v>
      </c>
      <c r="BCA14" s="593">
        <f>'Proy 2022 vs 2019 sem'!JC13*BCD$4</f>
        <v>13283.387199999999</v>
      </c>
      <c r="BCB14" s="593">
        <f>'Proy 2022 vs 2019 sem'!JD13*BCD$4</f>
        <v>12486.383968</v>
      </c>
      <c r="BCC14" s="699"/>
      <c r="BCD14" s="700">
        <f>BCC14/BCA14</f>
        <v>0</v>
      </c>
      <c r="BCE14" s="593">
        <f>'Proy 2022 vs 2019 sem'!JC13*BCH$4</f>
        <v>18264.6574</v>
      </c>
      <c r="BCF14" s="593">
        <f>'Proy 2022 vs 2019 sem'!JD13*BCH$4</f>
        <v>17168.777956000002</v>
      </c>
      <c r="BCG14" s="699"/>
      <c r="BCH14" s="700">
        <f>BCG14/BCE14</f>
        <v>0</v>
      </c>
      <c r="BCI14" s="579">
        <f>BBG14+BBK14+BBO14+BBS14+BBW14+BCA14+BCE14</f>
        <v>83021.17</v>
      </c>
      <c r="BCJ14" s="574">
        <f>BBH14+BBL14+BBP14+BBT14+BBX14+BCB14+BCF14</f>
        <v>78039.899799999999</v>
      </c>
      <c r="BCK14" s="765">
        <f>BBI14+BBM14+BBQ14+BBU14+BBY14+BCC14+BCG14</f>
        <v>0</v>
      </c>
      <c r="BCL14" s="761">
        <f>BCK14/BCI14</f>
        <v>0</v>
      </c>
      <c r="BCM14" s="593">
        <f>'Proy 2022 vs 2019 sem'!JH13*BCP$4</f>
        <v>13053.3228</v>
      </c>
      <c r="BCN14" s="593">
        <f>'Proy 2022 vs 2019 sem'!JI13*BCP$4</f>
        <v>12400.656660000001</v>
      </c>
      <c r="BCO14" s="699"/>
      <c r="BCP14" s="700">
        <f>BCO14/BCM14</f>
        <v>0</v>
      </c>
      <c r="BCQ14" s="593">
        <f>'Proy 2022 vs 2019 sem'!JH13*BCT$4</f>
        <v>13053.3228</v>
      </c>
      <c r="BCR14" s="593">
        <f>'Proy 2022 vs 2019 sem'!JI13*BCT$4</f>
        <v>12400.656660000001</v>
      </c>
      <c r="BCS14" s="699"/>
      <c r="BCT14" s="700">
        <f>BCS14/BCQ14</f>
        <v>0</v>
      </c>
      <c r="BCU14" s="593">
        <f>'Proy 2022 vs 2019 sem'!JH13*BCX$4</f>
        <v>13053.3228</v>
      </c>
      <c r="BCV14" s="593">
        <f>'Proy 2022 vs 2019 sem'!JI13*BCX$4</f>
        <v>12400.656660000001</v>
      </c>
      <c r="BCW14" s="699"/>
      <c r="BCX14" s="700">
        <f>BCW14/BCU14</f>
        <v>0</v>
      </c>
      <c r="BCY14" s="593">
        <f>'Proy 2022 vs 2019 sem'!JH13*BDB$4</f>
        <v>13053.3228</v>
      </c>
      <c r="BCZ14" s="593">
        <f>'Proy 2022 vs 2019 sem'!JI13*BDB$4</f>
        <v>12400.656660000001</v>
      </c>
      <c r="BDA14" s="699"/>
      <c r="BDB14" s="700">
        <f>BDA14/BCY14</f>
        <v>0</v>
      </c>
      <c r="BDC14" s="593">
        <f>'Proy 2022 vs 2019 sem'!JH13*BDF$4</f>
        <v>15228.876600000001</v>
      </c>
      <c r="BDD14" s="593">
        <f>'Proy 2022 vs 2019 sem'!JI13*BDF$4</f>
        <v>14467.432770000001</v>
      </c>
      <c r="BDE14" s="699"/>
      <c r="BDF14" s="700">
        <f>BDE14/BDC14</f>
        <v>0</v>
      </c>
      <c r="BDG14" s="593">
        <f>'Proy 2022 vs 2019 sem'!JH13*BDJ$4</f>
        <v>17404.430400000001</v>
      </c>
      <c r="BDH14" s="593">
        <f>'Proy 2022 vs 2019 sem'!JI13*BDJ$4</f>
        <v>16534.208880000002</v>
      </c>
      <c r="BDI14" s="699"/>
      <c r="BDJ14" s="700">
        <f>BDI14/BDG14</f>
        <v>0</v>
      </c>
      <c r="BDK14" s="593">
        <f>'Proy 2022 vs 2019 sem'!JH13*BDN$4</f>
        <v>23931.091800000002</v>
      </c>
      <c r="BDL14" s="593">
        <f>'Proy 2022 vs 2019 sem'!JI13*BDN$4</f>
        <v>22734.537210000002</v>
      </c>
      <c r="BDM14" s="699"/>
      <c r="BDN14" s="700">
        <f>BDM14/BDK14</f>
        <v>0</v>
      </c>
      <c r="BDO14" s="579">
        <f>BCM14+BCQ14+BCU14+BCY14+BDC14+BDG14+BDK14</f>
        <v>108777.69</v>
      </c>
      <c r="BDP14" s="574">
        <f>BCN14+BCR14+BCV14+BCZ14+BDD14+BDH14+BDL14</f>
        <v>103338.80550000002</v>
      </c>
      <c r="BDQ14" s="765">
        <f>BCO14+BCS14+BCW14+BDA14+BDE14+BDI14+BDM14</f>
        <v>0</v>
      </c>
      <c r="BDR14" s="761">
        <f>BDQ14/BDO14</f>
        <v>0</v>
      </c>
      <c r="BDS14" s="593">
        <f>'Proy 2022 vs 2019 sem'!JM13*BDV$4</f>
        <v>13552.885200000001</v>
      </c>
      <c r="BDT14" s="593">
        <f>'Proy 2022 vs 2019 sem'!JN13*BDV$4</f>
        <v>12875.24094</v>
      </c>
      <c r="BDU14" s="699"/>
      <c r="BDV14" s="700">
        <f>BDU14/BDS14</f>
        <v>0</v>
      </c>
      <c r="BDW14" s="593">
        <f>'Proy 2022 vs 2019 sem'!JM13*BDZ$4</f>
        <v>13552.885200000001</v>
      </c>
      <c r="BDX14" s="593">
        <f>'Proy 2022 vs 2019 sem'!JN13*BDZ$4</f>
        <v>12875.24094</v>
      </c>
      <c r="BDY14" s="699"/>
      <c r="BDZ14" s="700">
        <f>BDY14/BDW14</f>
        <v>0</v>
      </c>
      <c r="BEA14" s="593">
        <f>'Proy 2022 vs 2019 sem'!JM13*BED$4</f>
        <v>13552.885200000001</v>
      </c>
      <c r="BEB14" s="593">
        <f>'Proy 2022 vs 2019 sem'!JN13*BED$4</f>
        <v>12875.24094</v>
      </c>
      <c r="BEC14" s="699"/>
      <c r="BED14" s="700">
        <f>BEC14/BEA14</f>
        <v>0</v>
      </c>
      <c r="BEE14" s="593">
        <v>14493.990400000001</v>
      </c>
      <c r="BEF14" s="593">
        <f>'Proy 2022 vs 2019 sem'!JN13*BEH$4</f>
        <v>12875.24094</v>
      </c>
      <c r="BEG14" s="699"/>
      <c r="BEH14" s="700">
        <f>BEG14/BEE14</f>
        <v>0</v>
      </c>
      <c r="BEI14" s="593">
        <f>'Proy 2022 vs 2019 sem'!JM13*BEL$4</f>
        <v>15811.699400000003</v>
      </c>
      <c r="BEJ14" s="593">
        <f>'Proy 2022 vs 2019 sem'!JN13*BEL$4</f>
        <v>15021.114430000003</v>
      </c>
      <c r="BEK14" s="699"/>
      <c r="BEL14" s="700">
        <f>BEK14/BEI14</f>
        <v>0</v>
      </c>
      <c r="BEM14" s="593">
        <f>'Proy 2022 vs 2019 sem'!JM13*BEP$4</f>
        <v>18070.513600000002</v>
      </c>
      <c r="BEN14" s="593">
        <f>'Proy 2022 vs 2019 sem'!JN13*BEP$4</f>
        <v>17166.987920000003</v>
      </c>
      <c r="BEO14" s="699"/>
      <c r="BEP14" s="700">
        <f>BEO14/BEM14</f>
        <v>0</v>
      </c>
      <c r="BEQ14" s="593">
        <f>'Proy 2022 vs 2019 sem'!JM13*BET$4</f>
        <v>24846.956200000001</v>
      </c>
      <c r="BER14" s="593">
        <f>'Proy 2022 vs 2019 sem'!JN13*BET$4</f>
        <v>23604.608390000001</v>
      </c>
      <c r="BES14" s="699"/>
      <c r="BET14" s="700">
        <f>BES14/BEQ14</f>
        <v>0</v>
      </c>
      <c r="BEU14" s="579">
        <f>BDS14+BDW14+BEA14+BEE14+BEI14+BEM14+BEQ14</f>
        <v>113881.81520000001</v>
      </c>
      <c r="BEV14" s="574">
        <f>BDT14+BDX14+BEB14+BEF14+BEJ14+BEN14+BER14</f>
        <v>107293.67449999999</v>
      </c>
      <c r="BEW14" s="770">
        <f>BDU14+BDY14+BEC14+BEG14+BEK14+BEO14+BES14</f>
        <v>0</v>
      </c>
      <c r="BEX14" s="761">
        <f>BEW14/BEU14</f>
        <v>0</v>
      </c>
      <c r="BEY14" s="593">
        <f>'Proy 2022 vs 2019 sem'!JV13*BFB$4</f>
        <v>15389.8308</v>
      </c>
      <c r="BEZ14" s="593">
        <f>'Proy 2022 vs 2019 sem'!JW13*BFB$4</f>
        <v>14466.440951999997</v>
      </c>
      <c r="BFA14" s="735"/>
      <c r="BFB14" s="700">
        <f>BFA14/BEY14</f>
        <v>0</v>
      </c>
      <c r="BFC14" s="593">
        <f>'Proy 2022 vs 2019 sem'!JV13*BFF$4</f>
        <v>15389.8308</v>
      </c>
      <c r="BFD14" s="593">
        <f>'Proy 2022 vs 2019 sem'!JW13*BFF$4</f>
        <v>14466.440951999997</v>
      </c>
      <c r="BFE14" s="735"/>
      <c r="BFF14" s="700">
        <f>BFE14/BFC14</f>
        <v>0</v>
      </c>
      <c r="BFG14" s="593">
        <f>'Proy 2022 vs 2019 sem'!JV13*BFJ$4</f>
        <v>15389.8308</v>
      </c>
      <c r="BFH14" s="593">
        <f>'Proy 2022 vs 2019 sem'!JW13*BFJ$4</f>
        <v>14466.440951999997</v>
      </c>
      <c r="BFI14" s="735"/>
      <c r="BFJ14" s="700">
        <f>BFI14/BFG14</f>
        <v>0</v>
      </c>
      <c r="BFK14" s="593">
        <f>'Proy 2022 vs 2019 sem'!JV13*BFN$4</f>
        <v>15389.8308</v>
      </c>
      <c r="BFL14" s="593">
        <f>'Proy 2022 vs 2019 sem'!JW13*BFN$4</f>
        <v>14466.440951999997</v>
      </c>
      <c r="BFM14" s="735"/>
      <c r="BFN14" s="700">
        <f>BFM14/BFK14</f>
        <v>0</v>
      </c>
      <c r="BFO14" s="593">
        <f>'Proy 2022 vs 2019 sem'!JV13*BFR$4</f>
        <v>17954.802600000003</v>
      </c>
      <c r="BFP14" s="593">
        <f>'Proy 2022 vs 2019 sem'!JW13*BFR$4</f>
        <v>16877.514444</v>
      </c>
      <c r="BFQ14" s="735"/>
      <c r="BFR14" s="700">
        <f>BFQ14/BFO14</f>
        <v>0</v>
      </c>
      <c r="BFS14" s="593">
        <f>'Proy 2022 vs 2019 sem'!JV13*BFV$4</f>
        <v>20519.774399999998</v>
      </c>
      <c r="BFT14" s="593">
        <f>'Proy 2022 vs 2019 sem'!JW13*BFV$4</f>
        <v>19288.587935999996</v>
      </c>
      <c r="BFU14" s="735"/>
      <c r="BFV14" s="700">
        <f>BFU14/BFS14</f>
        <v>0</v>
      </c>
      <c r="BFW14" s="593">
        <f>'Proy 2022 vs 2019 sem'!JV13*BFZ$4</f>
        <v>28214.6898</v>
      </c>
      <c r="BFX14" s="593">
        <f>'Proy 2022 vs 2019 sem'!JW13*BFZ$4</f>
        <v>26521.808411999995</v>
      </c>
      <c r="BFY14" s="735"/>
      <c r="BFZ14" s="700">
        <f>BFY14/BFW14</f>
        <v>0</v>
      </c>
      <c r="BGA14" s="579">
        <f>BEY14+BFC14+BFG14+BFK14+BFO14+BFS14+BFW14</f>
        <v>128248.59</v>
      </c>
      <c r="BGB14" s="574">
        <f>BEZ14+BFD14+BFH14+BFL14+BFP14+BFT14+BFX14</f>
        <v>120553.67459999998</v>
      </c>
      <c r="BGC14" s="729">
        <f>BFA14+BFE14+BFI14+BFM14+BFQ14+BFU14+BFY14</f>
        <v>0</v>
      </c>
      <c r="BGD14" s="711">
        <f>BGC14/BGA14</f>
        <v>0</v>
      </c>
      <c r="BGE14" s="593">
        <f>'Proy 2022 vs 2019 sem'!KA13*BGH$4</f>
        <v>21609.729599999999</v>
      </c>
      <c r="BGF14" s="593">
        <f>'Proy 2022 vs 2019 sem'!KB13*BGH$4</f>
        <v>20097.048527999999</v>
      </c>
      <c r="BGG14" s="699"/>
      <c r="BGH14" s="700">
        <f>BGG14/BGE14</f>
        <v>0</v>
      </c>
      <c r="BGI14" s="593">
        <f>'Proy 2022 vs 2019 sem'!KA13*BGL$4</f>
        <v>21609.729599999999</v>
      </c>
      <c r="BGJ14" s="593">
        <f>'Proy 2022 vs 2019 sem'!KB13*BGL$4</f>
        <v>20097.048527999999</v>
      </c>
      <c r="BGK14" s="699"/>
      <c r="BGL14" s="700">
        <f>BGK14/BGI14</f>
        <v>0</v>
      </c>
      <c r="BGM14" s="593">
        <f>'Proy 2022 vs 2019 sem'!KA13*BGP$4</f>
        <v>21609.729599999999</v>
      </c>
      <c r="BGN14" s="593">
        <f>'Proy 2022 vs 2019 sem'!KB13*BGP$4</f>
        <v>20097.048527999999</v>
      </c>
      <c r="BGO14" s="699"/>
      <c r="BGP14" s="700">
        <f>BGO14/BGM14</f>
        <v>0</v>
      </c>
      <c r="BGQ14" s="593">
        <f>'Proy 2022 vs 2019 sem'!KA13*BGT$4</f>
        <v>21609.729599999999</v>
      </c>
      <c r="BGR14" s="593">
        <f>'Proy 2022 vs 2019 sem'!KB13*BGT$4</f>
        <v>20097.048527999999</v>
      </c>
      <c r="BGS14" s="699"/>
      <c r="BGT14" s="700">
        <f>BGS14/BGQ14</f>
        <v>0</v>
      </c>
      <c r="BGU14" s="593">
        <f>'Proy 2022 vs 2019 sem'!KA13*BGX$4</f>
        <v>25211.351200000001</v>
      </c>
      <c r="BGV14" s="593">
        <f>'Proy 2022 vs 2019 sem'!KB13*BGX$4</f>
        <v>23446.556616000002</v>
      </c>
      <c r="BGW14" s="699"/>
      <c r="BGX14" s="700">
        <f>BGW14/BGU14</f>
        <v>0</v>
      </c>
      <c r="BGY14" s="593">
        <f>'Proy 2022 vs 2019 sem'!KA13*BHB$4</f>
        <v>28812.9728</v>
      </c>
      <c r="BGZ14" s="593">
        <f>'Proy 2022 vs 2019 sem'!KB13*BHB$4</f>
        <v>26796.064704</v>
      </c>
      <c r="BHA14" s="699"/>
      <c r="BHB14" s="700">
        <f>BHA14/BGY14</f>
        <v>0</v>
      </c>
      <c r="BHC14" s="593">
        <f>'Proy 2022 vs 2019 sem'!KA13*BHF$4</f>
        <v>39617.837599999999</v>
      </c>
      <c r="BHD14" s="593">
        <f>'Proy 2022 vs 2019 sem'!KB13*BHF$4</f>
        <v>36844.588968000004</v>
      </c>
      <c r="BHE14" s="699"/>
      <c r="BHF14" s="700">
        <f>BHE14/BHC14</f>
        <v>0</v>
      </c>
      <c r="BHG14" s="579">
        <f>BGE14+BGI14+BGM14+BGQ14+BGU14+BGY14+BHC14</f>
        <v>180081.08</v>
      </c>
      <c r="BHH14" s="574">
        <f>BGF14+BGJ14+BGN14+BGR14+BGV14+BGZ14+BHD14</f>
        <v>167475.4044</v>
      </c>
      <c r="BHI14" s="730">
        <f>BGG14+BGK14+BGO14+BGS14+BGW14+BHA14+BHE14</f>
        <v>0</v>
      </c>
      <c r="BHJ14" s="711">
        <f>BHI14/BHG14</f>
        <v>0</v>
      </c>
      <c r="BHK14" s="593">
        <f>'Proy 2022 vs 2019 sem'!KF13*BHN$4</f>
        <v>27824.333999999999</v>
      </c>
      <c r="BHL14" s="593">
        <f>'Proy 2022 vs 2019 sem'!KG13*BHN$4</f>
        <v>25876.63062</v>
      </c>
      <c r="BHM14" s="699"/>
      <c r="BHN14" s="700">
        <f>BHM14/BHK14</f>
        <v>0</v>
      </c>
      <c r="BHO14" s="593">
        <f>'Proy 2022 vs 2019 sem'!KF13*BHR$4</f>
        <v>27824.333999999999</v>
      </c>
      <c r="BHP14" s="593">
        <f>'Proy 2022 vs 2019 sem'!KG13*BHR$4</f>
        <v>25876.63062</v>
      </c>
      <c r="BHQ14" s="699"/>
      <c r="BHR14" s="700">
        <f>BHQ14/BHO14</f>
        <v>0</v>
      </c>
      <c r="BHS14" s="593">
        <f>'Proy 2022 vs 2019 sem'!KF13*BHV$4</f>
        <v>27824.333999999999</v>
      </c>
      <c r="BHT14" s="593">
        <f>'Proy 2022 vs 2019 sem'!KG13*BHV$4</f>
        <v>25876.63062</v>
      </c>
      <c r="BHU14" s="699"/>
      <c r="BHV14" s="700">
        <f>BHU14/BHS14</f>
        <v>0</v>
      </c>
      <c r="BHW14" s="593">
        <f>'Proy 2022 vs 2019 sem'!KF13*BHZ$4</f>
        <v>27824.333999999999</v>
      </c>
      <c r="BHX14" s="593">
        <f>'Proy 2022 vs 2019 sem'!KG13*BHZ$4</f>
        <v>25876.63062</v>
      </c>
      <c r="BHY14" s="699"/>
      <c r="BHZ14" s="700">
        <f>BHY14/BHW14</f>
        <v>0</v>
      </c>
      <c r="BIA14" s="593">
        <f>'Proy 2022 vs 2019 sem'!KF13*BID$4</f>
        <v>32461.723000000005</v>
      </c>
      <c r="BIB14" s="593">
        <f>'Proy 2022 vs 2019 sem'!KG13*BID$4</f>
        <v>30189.402390000003</v>
      </c>
      <c r="BIC14" s="699"/>
      <c r="BID14" s="700">
        <f>BIC14/BIA14</f>
        <v>0</v>
      </c>
      <c r="BIE14" s="593">
        <f>'Proy 2022 vs 2019 sem'!KF13*BIH$4</f>
        <v>37099.112000000001</v>
      </c>
      <c r="BIF14" s="593">
        <f>'Proy 2022 vs 2019 sem'!KG13*BIH$4</f>
        <v>34502.174160000002</v>
      </c>
      <c r="BIG14" s="699"/>
      <c r="BIH14" s="700">
        <f>BIG14/BIE14</f>
        <v>0</v>
      </c>
      <c r="BII14" s="593">
        <f>'Proy 2022 vs 2019 sem'!KF13*BIL$4</f>
        <v>51011.279000000002</v>
      </c>
      <c r="BIJ14" s="593">
        <f>'Proy 2022 vs 2019 sem'!KG13*BIL$4</f>
        <v>47440.48947</v>
      </c>
      <c r="BIK14" s="699"/>
      <c r="BIL14" s="700">
        <f>BIK14/BII14</f>
        <v>0</v>
      </c>
      <c r="BIM14" s="579">
        <f>BHK14+BHO14+BHS14+BHW14+BIA14+BIE14+BII14</f>
        <v>231869.45</v>
      </c>
      <c r="BIN14" s="574">
        <f>BHL14+BHP14+BHT14+BHX14+BIB14+BIF14+BIJ14</f>
        <v>215638.58849999998</v>
      </c>
      <c r="BIO14" s="730">
        <f>BHM14+BHQ14+BHU14+BHY14+BIC14+BIG14+BIK14</f>
        <v>0</v>
      </c>
      <c r="BIP14" s="711">
        <f>BIO14/BIM14</f>
        <v>0</v>
      </c>
      <c r="BIQ14" s="593">
        <f>'Proy 2022 vs 2019 sem'!KK13*BIT$4</f>
        <v>27238.010399999999</v>
      </c>
      <c r="BIR14" s="593">
        <f>'Proy 2022 vs 2019 sem'!KL13*BIT$4</f>
        <v>25331.349672</v>
      </c>
      <c r="BIS14" s="699"/>
      <c r="BIT14" s="700">
        <f>BIS14/BIQ14</f>
        <v>0</v>
      </c>
      <c r="BIU14" s="593">
        <f>'Proy 2022 vs 2019 sem'!KK13*BIX$4</f>
        <v>27238.010399999999</v>
      </c>
      <c r="BIV14" s="593">
        <f>'Proy 2022 vs 2019 sem'!KL13*BIX$4</f>
        <v>25331.349672</v>
      </c>
      <c r="BIW14" s="699"/>
      <c r="BIX14" s="700">
        <f>BIW14/BIU14</f>
        <v>0</v>
      </c>
      <c r="BIY14" s="593">
        <f>'Proy 2022 vs 2019 sem'!KK13*BJB$4</f>
        <v>27238.010399999999</v>
      </c>
      <c r="BIZ14" s="593">
        <f>'Proy 2022 vs 2019 sem'!KL13*BJB$4</f>
        <v>25331.349672</v>
      </c>
      <c r="BJA14" s="699"/>
      <c r="BJB14" s="700">
        <f>BJA14/BIY14</f>
        <v>0</v>
      </c>
      <c r="BJC14" s="593">
        <f>'Proy 2022 vs 2019 sem'!KK13*BJF$4</f>
        <v>27238.010399999999</v>
      </c>
      <c r="BJD14" s="593">
        <f>'Proy 2022 vs 2019 sem'!KL13*BJF$4</f>
        <v>25331.349672</v>
      </c>
      <c r="BJE14" s="699"/>
      <c r="BJF14" s="700">
        <f>BJE14/BJC14</f>
        <v>0</v>
      </c>
      <c r="BJG14" s="593">
        <f>'Proy 2022 vs 2019 sem'!KK13*BJJ$4</f>
        <v>31777.678800000005</v>
      </c>
      <c r="BJH14" s="593">
        <f>'Proy 2022 vs 2019 sem'!KL13*BJJ$4</f>
        <v>29553.241284000003</v>
      </c>
      <c r="BJI14" s="699"/>
      <c r="BJJ14" s="700">
        <f>BJI14/BJG14</f>
        <v>0</v>
      </c>
      <c r="BJK14" s="593">
        <f>'Proy 2022 vs 2019 sem'!KK13*BJN$4</f>
        <v>36317.347200000004</v>
      </c>
      <c r="BJL14" s="593">
        <f>'Proy 2022 vs 2019 sem'!KL13*BJN$4</f>
        <v>33775.132896000003</v>
      </c>
      <c r="BJM14" s="699"/>
      <c r="BJN14" s="700">
        <f>BJM14/BJK14</f>
        <v>0</v>
      </c>
      <c r="BJO14" s="593">
        <f>'Proy 2022 vs 2019 sem'!KK13*BJR$4</f>
        <v>49936.352400000003</v>
      </c>
      <c r="BJP14" s="593">
        <f>'Proy 2022 vs 2019 sem'!KL13*BJR$4</f>
        <v>46440.807732000001</v>
      </c>
      <c r="BJQ14" s="699"/>
      <c r="BJR14" s="700">
        <f>BJQ14/BJO14</f>
        <v>0</v>
      </c>
      <c r="BJS14" s="579">
        <f>BIQ14+BIU14+BIY14+BJC14+BJG14+BJK14+BJO14</f>
        <v>226983.42</v>
      </c>
      <c r="BJT14" s="574">
        <f>BIR14+BIV14+BIZ14+BJD14+BJH14+BJL14+BJP14</f>
        <v>211094.58059999999</v>
      </c>
      <c r="BJU14" s="710">
        <f>BIS14+BIW14+BJA14+BJE14+BJI14+BJM14+BJQ14</f>
        <v>0</v>
      </c>
      <c r="BJV14" s="711">
        <f>BJU14/BJS14</f>
        <v>0</v>
      </c>
      <c r="BJW14" s="593">
        <f>'Proy 2022 vs 2019 sem'!KP13*BJZ$4</f>
        <v>7790.4239999999991</v>
      </c>
      <c r="BJX14" s="593">
        <f>'Proy 2022 vs 2019 sem'!KQ13*BJZ$4</f>
        <v>7400.9027999999989</v>
      </c>
      <c r="BJY14" s="699"/>
      <c r="BJZ14" s="700">
        <f>BJY14/BJW14</f>
        <v>0</v>
      </c>
      <c r="BKA14" s="593">
        <f>'Proy 2022 vs 2019 sem'!KP13*BKD$4</f>
        <v>7790.4239999999991</v>
      </c>
      <c r="BKB14" s="593">
        <f>'Proy 2022 vs 2019 sem'!KQ13*BKD$4</f>
        <v>7400.9027999999989</v>
      </c>
      <c r="BKC14" s="699"/>
      <c r="BKD14" s="700">
        <f>BKC14/BKA14</f>
        <v>0</v>
      </c>
      <c r="BKE14" s="593">
        <f>'Proy 2022 vs 2019 sem'!KP13*BKH$4</f>
        <v>7790.4239999999991</v>
      </c>
      <c r="BKF14" s="593">
        <f>'Proy 2022 vs 2019 sem'!KQ13*BKH$4</f>
        <v>7400.9027999999989</v>
      </c>
      <c r="BKG14" s="699"/>
      <c r="BKH14" s="700">
        <f>BKG14/BKE14</f>
        <v>0</v>
      </c>
      <c r="BKI14" s="593">
        <f>'Proy 2022 vs 2019 sem'!KP13*BKL$4</f>
        <v>7790.4239999999991</v>
      </c>
      <c r="BKJ14" s="593">
        <f>'Proy 2022 vs 2019 sem'!KQ13*BKL$4</f>
        <v>7400.9027999999989</v>
      </c>
      <c r="BKK14" s="699"/>
      <c r="BKL14" s="700">
        <f>BKK14/BKI14</f>
        <v>0</v>
      </c>
      <c r="BKM14" s="593">
        <f>'Proy 2022 vs 2019 sem'!KP13*BKP$4</f>
        <v>9088.8280000000013</v>
      </c>
      <c r="BKN14" s="593">
        <f>'Proy 2022 vs 2019 sem'!KQ13*BKP$4</f>
        <v>8634.3865999999998</v>
      </c>
      <c r="BKO14" s="699"/>
      <c r="BKP14" s="700">
        <f>BKO14/BKM14</f>
        <v>0</v>
      </c>
      <c r="BKQ14" s="593">
        <f>'Proy 2022 vs 2019 sem'!KP13*BKT$4</f>
        <v>10387.232</v>
      </c>
      <c r="BKR14" s="593">
        <f>'Proy 2022 vs 2019 sem'!KQ13*BKT$4</f>
        <v>9867.8703999999998</v>
      </c>
      <c r="BKS14" s="699"/>
      <c r="BKT14" s="700">
        <f>BKS14/BKQ14</f>
        <v>0</v>
      </c>
      <c r="BKU14" s="593">
        <f>'Proy 2022 vs 2019 sem'!KP13*BKX$4</f>
        <v>14282.444</v>
      </c>
      <c r="BKV14" s="593">
        <f>'Proy 2022 vs 2019 sem'!KQ13*BKX$4</f>
        <v>13568.3218</v>
      </c>
      <c r="BKW14" s="699"/>
      <c r="BKX14" s="700">
        <f>BKW14/BKU14</f>
        <v>0</v>
      </c>
      <c r="BKY14" s="579">
        <f>BJW14+BKA14+BKE14+BKI14+BKM14+BKQ14+BKU14</f>
        <v>64920.2</v>
      </c>
      <c r="BKZ14" s="574">
        <f>BJX14+BKB14+BKF14+BKJ14+BKN14+BKR14+BKV14</f>
        <v>61674.189999999995</v>
      </c>
      <c r="BLA14" s="710">
        <f>BJY14+BKC14+BKG14+BKK14+BKO14+BKS14+BKW14</f>
        <v>0</v>
      </c>
      <c r="BLB14" s="711">
        <f>BLA14/BKY14</f>
        <v>0</v>
      </c>
    </row>
    <row r="15" spans="2:1666" ht="15.75" customHeight="1">
      <c r="B15" s="934" t="s">
        <v>17</v>
      </c>
      <c r="C15" s="593">
        <f>'Proy 2022 vs 2019 sem'!$C$6*$F$4</f>
        <v>9529.1268</v>
      </c>
      <c r="D15" s="593">
        <f>'Proy 2022 vs 2019 sem'!$D$6*$F$4</f>
        <v>8480.9228519999997</v>
      </c>
      <c r="E15" s="735"/>
      <c r="F15" s="700">
        <f>E15/C15</f>
        <v>0</v>
      </c>
      <c r="G15" s="1414">
        <f>'Proy 2022 vs 2019 sem'!C14*$J$4</f>
        <v>12757.338</v>
      </c>
      <c r="H15" s="593">
        <f>'Proy 2022 vs 2019 sem'!D14*$J$4</f>
        <v>11481.6042</v>
      </c>
      <c r="I15" s="735"/>
      <c r="J15" s="700">
        <f>I15/G15</f>
        <v>0</v>
      </c>
      <c r="K15" s="593">
        <f>'Proy 2022 vs 2019 sem'!C14*$N$4</f>
        <v>12757.338</v>
      </c>
      <c r="L15" s="593">
        <f>'Proy 2022 vs 2019 sem'!D14*N$4</f>
        <v>11481.6042</v>
      </c>
      <c r="M15" s="735"/>
      <c r="N15" s="700">
        <f>M15/K15</f>
        <v>0</v>
      </c>
      <c r="O15" s="593">
        <f>'Proy 2022 vs 2019 sem'!C14*R$4</f>
        <v>12757.338</v>
      </c>
      <c r="P15" s="593">
        <f>'Proy 2022 vs 2019 sem'!D14*$R$4</f>
        <v>11481.6042</v>
      </c>
      <c r="Q15" s="735"/>
      <c r="R15" s="700">
        <f>Q15/O15</f>
        <v>0</v>
      </c>
      <c r="S15" s="593">
        <f>'Proy 2022 vs 2019 sem'!C14*V$4</f>
        <v>14883.561</v>
      </c>
      <c r="T15" s="593">
        <f>'Proy 2022 vs 2019 sem'!D14*V$4</f>
        <v>13395.204900000002</v>
      </c>
      <c r="U15" s="735"/>
      <c r="V15" s="700">
        <f>U15/S15</f>
        <v>0</v>
      </c>
      <c r="W15" s="593">
        <f>'Proy 2022 vs 2019 sem'!C14*Z$4</f>
        <v>17009.784</v>
      </c>
      <c r="X15" s="593">
        <f>'Proy 2022 vs 2019 sem'!D14*Z$4</f>
        <v>15308.805600000002</v>
      </c>
      <c r="Y15" s="735"/>
      <c r="Z15" s="700">
        <f>Y15/W15</f>
        <v>0</v>
      </c>
      <c r="AA15" s="593">
        <f>'Proy 2022 vs 2019 sem'!C14*AD$4</f>
        <v>23388.452999999998</v>
      </c>
      <c r="AB15" s="593">
        <f>'Proy 2022 vs 2019 sem'!D14*AD$4</f>
        <v>21049.6077</v>
      </c>
      <c r="AC15" s="735"/>
      <c r="AD15" s="700">
        <f>AC15/AA15</f>
        <v>0</v>
      </c>
      <c r="AE15" s="579">
        <f>C15+G15+K15+O15+S15+W15+AA15</f>
        <v>103082.9388</v>
      </c>
      <c r="AF15" s="574">
        <f>D15+H15+L15+P15+T15+X15+AB15</f>
        <v>92679.35365200002</v>
      </c>
      <c r="AG15" s="729">
        <f>E15+I15+M15+Q15+U15+Y15+AC15</f>
        <v>0</v>
      </c>
      <c r="AH15" s="711">
        <f>AG15/AE15</f>
        <v>0</v>
      </c>
      <c r="AI15" s="593">
        <f>'Proy 2022 vs 2019 sem'!H14*AL$4</f>
        <v>12000.995999999999</v>
      </c>
      <c r="AJ15" s="611">
        <f>'Proy 2022 vs 2019 sem'!I14*AL$4</f>
        <v>10800.8964</v>
      </c>
      <c r="AK15" s="699"/>
      <c r="AL15" s="700">
        <f>AK15/AI15</f>
        <v>0</v>
      </c>
      <c r="AM15" s="593">
        <f>'Proy 2022 vs 2019 sem'!H14*AP$4</f>
        <v>12000.995999999999</v>
      </c>
      <c r="AN15" s="593">
        <f>'Proy 2022 vs 2019 sem'!I14*AP$4</f>
        <v>10800.8964</v>
      </c>
      <c r="AO15" s="699"/>
      <c r="AP15" s="700">
        <f>AO15/AM15</f>
        <v>0</v>
      </c>
      <c r="AQ15" s="593">
        <f>'Proy 2022 vs 2019 sem'!H14*AT$4</f>
        <v>12000.995999999999</v>
      </c>
      <c r="AR15" s="593">
        <f>'Proy 2022 vs 2019 sem'!I14*AT$4</f>
        <v>10800.8964</v>
      </c>
      <c r="AS15" s="699"/>
      <c r="AT15" s="700">
        <f>AS15/AQ15</f>
        <v>0</v>
      </c>
      <c r="AU15" s="593">
        <f>'Proy 2022 vs 2019 sem'!H14*AX$4</f>
        <v>12000.995999999999</v>
      </c>
      <c r="AV15" s="593">
        <f>'Proy 2022 vs 2019 sem'!I14*AX$4</f>
        <v>10800.8964</v>
      </c>
      <c r="AW15" s="699"/>
      <c r="AX15" s="700">
        <f>AW15/AU15</f>
        <v>0</v>
      </c>
      <c r="AY15" s="593">
        <f>'Proy 2022 vs 2019 sem'!H14*BB$4</f>
        <v>14001.162000000002</v>
      </c>
      <c r="AZ15" s="593">
        <f>'Proy 2022 vs 2019 sem'!I14*BB$4</f>
        <v>12601.045800000002</v>
      </c>
      <c r="BA15" s="699"/>
      <c r="BB15" s="700">
        <f>BA15/AY15</f>
        <v>0</v>
      </c>
      <c r="BC15" s="593">
        <f>'Proy 2022 vs 2019 sem'!H14*BF$4</f>
        <v>16001.328000000001</v>
      </c>
      <c r="BD15" s="593">
        <f>'Proy 2022 vs 2019 sem'!I14*BF$4</f>
        <v>14401.1952</v>
      </c>
      <c r="BE15" s="699"/>
      <c r="BF15" s="700">
        <f>BE15/BC15</f>
        <v>0</v>
      </c>
      <c r="BG15" s="593">
        <f>'Proy 2022 vs 2019 sem'!H14*BJ$4</f>
        <v>22001.826000000001</v>
      </c>
      <c r="BH15" s="593">
        <f>'Proy 2022 vs 2019 sem'!I14*BJ$4</f>
        <v>19801.643400000001</v>
      </c>
      <c r="BI15" s="699"/>
      <c r="BJ15" s="700">
        <f>BI15/BG15</f>
        <v>0</v>
      </c>
      <c r="BK15" s="579">
        <f>AI15+AM15+AQ15+AU15+AY15+BC15+BG15</f>
        <v>100008.3</v>
      </c>
      <c r="BL15" s="574">
        <f>AJ15+AN15+AR15+AV15+AZ15+BD15+BH15</f>
        <v>90007.47</v>
      </c>
      <c r="BM15" s="730">
        <f>AK15+AO15+AS15+AW15+BA15+BE15+BI15</f>
        <v>0</v>
      </c>
      <c r="BN15" s="711">
        <f>BM15/BK15</f>
        <v>0</v>
      </c>
      <c r="BO15" s="593">
        <f>'Proy 2022 vs 2019 sem'!M14*BR$4</f>
        <v>12615.1356</v>
      </c>
      <c r="BP15" s="593">
        <f>'Proy 2022 vs 2019 sem'!N14*BR$4</f>
        <v>11353.62204</v>
      </c>
      <c r="BQ15" s="699"/>
      <c r="BR15" s="700">
        <f>BQ15/BO15</f>
        <v>0</v>
      </c>
      <c r="BS15" s="593">
        <f>'Proy 2022 vs 2019 sem'!M14*BV$4</f>
        <v>12615.1356</v>
      </c>
      <c r="BT15" s="593">
        <f>'Proy 2022 vs 2019 sem'!N14*BV$4</f>
        <v>11353.62204</v>
      </c>
      <c r="BU15" s="699"/>
      <c r="BV15" s="700">
        <f>BU15/BS15</f>
        <v>0</v>
      </c>
      <c r="BW15" s="593">
        <f>'Proy 2022 vs 2019 sem'!M14*BZ$4</f>
        <v>12615.1356</v>
      </c>
      <c r="BX15" s="593">
        <f>'Proy 2022 vs 2019 sem'!N14*BZ$4</f>
        <v>11353.62204</v>
      </c>
      <c r="BY15" s="699"/>
      <c r="BZ15" s="700">
        <f>BY15/BW15</f>
        <v>0</v>
      </c>
      <c r="CA15" s="593">
        <f>'Proy 2022 vs 2019 sem'!M14*CD$4</f>
        <v>12615.1356</v>
      </c>
      <c r="CB15" s="593">
        <f>'Proy 2022 vs 2019 sem'!N14*CD$4</f>
        <v>11353.62204</v>
      </c>
      <c r="CC15" s="699"/>
      <c r="CD15" s="700">
        <f>CC15/CA15</f>
        <v>0</v>
      </c>
      <c r="CE15" s="593">
        <f>'Proy 2022 vs 2019 sem'!M14*CH$4</f>
        <v>14717.658200000002</v>
      </c>
      <c r="CF15" s="593">
        <f>'Proy 2022 vs 2019 sem'!N14*CH$4</f>
        <v>13245.892380000003</v>
      </c>
      <c r="CG15" s="699"/>
      <c r="CH15" s="700">
        <f>CG15/CE15</f>
        <v>0</v>
      </c>
      <c r="CI15" s="593">
        <f>'Proy 2022 vs 2019 sem'!M14*CL$4</f>
        <v>16820.180800000002</v>
      </c>
      <c r="CJ15" s="593">
        <f>'Proy 2022 vs 2019 sem'!N14*CL$4</f>
        <v>15138.162720000002</v>
      </c>
      <c r="CK15" s="699"/>
      <c r="CL15" s="700">
        <f>CK15/CI15</f>
        <v>0</v>
      </c>
      <c r="CM15" s="593">
        <f>'Proy 2022 vs 2019 sem'!M14*CP$4</f>
        <v>23127.748600000003</v>
      </c>
      <c r="CN15" s="593">
        <f>'Proy 2022 vs 2019 sem'!N14*CP$4</f>
        <v>20814.973740000001</v>
      </c>
      <c r="CO15" s="699"/>
      <c r="CP15" s="700">
        <f>CO15/CM15</f>
        <v>0</v>
      </c>
      <c r="CQ15" s="579">
        <f>BO15+BS15+BW15+CA15+CE15+CI15+CM15</f>
        <v>105126.13</v>
      </c>
      <c r="CR15" s="574">
        <f>BP15+BT15+BX15+CB15+CF15+CJ15+CN15</f>
        <v>94613.517000000007</v>
      </c>
      <c r="CS15" s="730">
        <f>BQ15+BU15+BY15+CC15+CG15+CK15+CO15</f>
        <v>0</v>
      </c>
      <c r="CT15" s="711">
        <f>CS15/CQ15</f>
        <v>0</v>
      </c>
      <c r="CU15" s="593">
        <f>'Proy 2022 vs 2019 sem'!R14*CX$4</f>
        <v>12842.144399999999</v>
      </c>
      <c r="CV15" s="593">
        <f>'Proy 2022 vs 2019 sem'!S14*CX$4</f>
        <v>11557.929959999999</v>
      </c>
      <c r="CW15" s="699"/>
      <c r="CX15" s="700">
        <f>CW15/CU15</f>
        <v>0</v>
      </c>
      <c r="CY15" s="593">
        <f>'Proy 2022 vs 2019 sem'!R14*DB$4</f>
        <v>12842.144399999999</v>
      </c>
      <c r="CZ15" s="593">
        <f>'Proy 2022 vs 2019 sem'!S14*DB$4</f>
        <v>11557.929959999999</v>
      </c>
      <c r="DA15" s="699"/>
      <c r="DB15" s="700">
        <f>DA15/CY15</f>
        <v>0</v>
      </c>
      <c r="DC15" s="593">
        <f>'Proy 2022 vs 2019 sem'!R14*DF$4</f>
        <v>12842.144399999999</v>
      </c>
      <c r="DD15" s="593">
        <f>'Proy 2022 vs 2019 sem'!S14*DF$4</f>
        <v>11557.929959999999</v>
      </c>
      <c r="DE15" s="699"/>
      <c r="DF15" s="700">
        <f>DE15/DC15</f>
        <v>0</v>
      </c>
      <c r="DG15" s="593">
        <f>'Proy 2022 vs 2019 sem'!R14*DJ$4</f>
        <v>12842.144399999999</v>
      </c>
      <c r="DH15" s="593">
        <f>'Proy 2022 vs 2019 sem'!S14*DJ$4</f>
        <v>11557.929959999999</v>
      </c>
      <c r="DI15" s="699"/>
      <c r="DJ15" s="700">
        <f>DI15/DG15</f>
        <v>0</v>
      </c>
      <c r="DK15" s="593">
        <f>'Proy 2022 vs 2019 sem'!R14*DN$4</f>
        <v>14982.5018</v>
      </c>
      <c r="DL15" s="593">
        <f>'Proy 2022 vs 2019 sem'!S14*DN$4</f>
        <v>13484.251620000001</v>
      </c>
      <c r="DM15" s="699"/>
      <c r="DN15" s="700">
        <f>DM15/DK15</f>
        <v>0</v>
      </c>
      <c r="DO15" s="593">
        <f>'Proy 2022 vs 2019 sem'!R14*DR$4</f>
        <v>17122.859199999999</v>
      </c>
      <c r="DP15" s="593">
        <f>'Proy 2022 vs 2019 sem'!S14*DR$4</f>
        <v>15410.573280000001</v>
      </c>
      <c r="DQ15" s="699"/>
      <c r="DR15" s="700">
        <f>DQ15/DO15</f>
        <v>0</v>
      </c>
      <c r="DS15" s="593">
        <f>'Proy 2022 vs 2019 sem'!R14*DV$4</f>
        <v>23543.931399999998</v>
      </c>
      <c r="DT15" s="593">
        <f>'Proy 2022 vs 2019 sem'!S14*DV$4</f>
        <v>21189.538260000001</v>
      </c>
      <c r="DU15" s="699"/>
      <c r="DV15" s="700">
        <f>DU15/DS15</f>
        <v>0</v>
      </c>
      <c r="DW15" s="579">
        <f>CU15+CY15+DC15+DG15+DK15+DO15+DS15</f>
        <v>107017.87</v>
      </c>
      <c r="DX15" s="574">
        <f>CV15+CZ15+DD15+DH15+DL15+DP15+DT15</f>
        <v>96316.082999999999</v>
      </c>
      <c r="DY15" s="710">
        <f>CW15+DA15+DE15+DI15+DM15+DQ15+DU15</f>
        <v>0</v>
      </c>
      <c r="DZ15" s="711">
        <f>DY15/DW15</f>
        <v>0</v>
      </c>
      <c r="EA15" s="593">
        <f>'Proy 2022 vs 2019 sem'!AA14*ED$4</f>
        <v>15209.2284</v>
      </c>
      <c r="EB15" s="593">
        <f>'Proy 2022 vs 2019 sem'!AB14*ED$4</f>
        <v>13688.305560000001</v>
      </c>
      <c r="EC15" s="735"/>
      <c r="ED15" s="700">
        <f>EC15/EA15</f>
        <v>0</v>
      </c>
      <c r="EE15" s="593">
        <f>'Proy 2022 vs 2019 sem'!AA14*EH$4</f>
        <v>15209.2284</v>
      </c>
      <c r="EF15" s="593">
        <f>'Proy 2022 vs 2019 sem'!AB14*EH$4</f>
        <v>13688.305560000001</v>
      </c>
      <c r="EG15" s="699"/>
      <c r="EH15" s="700">
        <f>EG15/EE15</f>
        <v>0</v>
      </c>
      <c r="EI15" s="593">
        <f>'Proy 2022 vs 2019 sem'!AA14*EL$4</f>
        <v>15209.2284</v>
      </c>
      <c r="EJ15" s="593">
        <f>'Proy 2022 vs 2019 sem'!AB14*EL$4</f>
        <v>13688.305560000001</v>
      </c>
      <c r="EK15" s="699"/>
      <c r="EL15" s="700">
        <f>EK15/EI15</f>
        <v>0</v>
      </c>
      <c r="EM15" s="593">
        <f>'Proy 2022 vs 2019 sem'!AA14*EP$4</f>
        <v>15209.2284</v>
      </c>
      <c r="EN15" s="593">
        <f>'Proy 2022 vs 2019 sem'!AB14*EP$4</f>
        <v>13688.305560000001</v>
      </c>
      <c r="EO15" s="699"/>
      <c r="EP15" s="700">
        <f>EO15/EM15</f>
        <v>0</v>
      </c>
      <c r="EQ15" s="593">
        <f>'Proy 2022 vs 2019 sem'!AA14*ET$4</f>
        <v>17744.099800000004</v>
      </c>
      <c r="ER15" s="593">
        <f>'Proy 2022 vs 2019 sem'!AB14*ET$4</f>
        <v>15969.689820000001</v>
      </c>
      <c r="ES15" s="699"/>
      <c r="ET15" s="700">
        <f>ES15/EQ15</f>
        <v>0</v>
      </c>
      <c r="EU15" s="593">
        <f>'Proy 2022 vs 2019 sem'!AA14*EX$4</f>
        <v>20278.9712</v>
      </c>
      <c r="EV15" s="593">
        <f>'Proy 2022 vs 2019 sem'!AB14*EX$4</f>
        <v>18251.074080000002</v>
      </c>
      <c r="EW15" s="699"/>
      <c r="EX15" s="700">
        <f>EW15/EU15</f>
        <v>0</v>
      </c>
      <c r="EY15" s="593">
        <f>'Proy 2022 vs 2019 sem'!AA14*FB$4</f>
        <v>27883.5854</v>
      </c>
      <c r="EZ15" s="593">
        <f>'Proy 2022 vs 2019 sem'!AB14*FB$4</f>
        <v>25095.226860000002</v>
      </c>
      <c r="FA15" s="699"/>
      <c r="FB15" s="700">
        <f>FA15/EY15</f>
        <v>0</v>
      </c>
      <c r="FC15" s="579">
        <f>EA15+EE15+EI15+EM15+EQ15+EU15+EY15</f>
        <v>126743.56999999999</v>
      </c>
      <c r="FD15" s="574">
        <f>EB15+EF15+EJ15+EN15+ER15+EV15+EZ15</f>
        <v>114069.21300000002</v>
      </c>
      <c r="FE15" s="793">
        <f>EC15+EG15+EK15+EO15+ES15+EW15+FA15</f>
        <v>0</v>
      </c>
      <c r="FF15" s="786">
        <f>FE15/FC15</f>
        <v>0</v>
      </c>
      <c r="FG15" s="593">
        <f>'Proy 2022 vs 2019 sem'!AF14*FJ$4</f>
        <v>20466.437999999998</v>
      </c>
      <c r="FH15" s="593">
        <f>'Proy 2022 vs 2019 sem'!AG14*FJ$4</f>
        <v>18419.7942</v>
      </c>
      <c r="FI15" s="699"/>
      <c r="FJ15" s="700">
        <f>FI15/FG15</f>
        <v>0</v>
      </c>
      <c r="FK15" s="593">
        <f>'Proy 2022 vs 2019 sem'!AF14*FN$4</f>
        <v>20466.437999999998</v>
      </c>
      <c r="FL15" s="593">
        <f>'Proy 2022 vs 2019 sem'!AG14*FN$4</f>
        <v>18419.7942</v>
      </c>
      <c r="FM15" s="699"/>
      <c r="FN15" s="700">
        <f>FM15/FK15</f>
        <v>0</v>
      </c>
      <c r="FO15" s="593">
        <f>'Proy 2022 vs 2019 sem'!AF14*FR$4</f>
        <v>20466.437999999998</v>
      </c>
      <c r="FP15" s="593">
        <f>'Proy 2022 vs 2019 sem'!AG14*FR$4</f>
        <v>18419.7942</v>
      </c>
      <c r="FQ15" s="699"/>
      <c r="FR15" s="700">
        <f>FQ15/FO15</f>
        <v>0</v>
      </c>
      <c r="FS15" s="593">
        <f>'Proy 2022 vs 2019 sem'!AF14*FV$4</f>
        <v>20466.437999999998</v>
      </c>
      <c r="FT15" s="593">
        <f>'Proy 2022 vs 2019 sem'!AG14*FV$4</f>
        <v>18419.7942</v>
      </c>
      <c r="FU15" s="699"/>
      <c r="FV15" s="700">
        <f>FU15/FS15</f>
        <v>0</v>
      </c>
      <c r="FW15" s="593">
        <f>'Proy 2022 vs 2019 sem'!AF14*FZ$4</f>
        <v>23877.511000000002</v>
      </c>
      <c r="FX15" s="593">
        <f>'Proy 2022 vs 2019 sem'!AG14*FZ$4</f>
        <v>21489.759900000001</v>
      </c>
      <c r="FY15" s="699"/>
      <c r="FZ15" s="700">
        <f>FY15/FW15</f>
        <v>0</v>
      </c>
      <c r="GA15" s="593">
        <f>'Proy 2022 vs 2019 sem'!AF14*GD$4</f>
        <v>27288.583999999999</v>
      </c>
      <c r="GB15" s="593">
        <f>'Proy 2022 vs 2019 sem'!AG14*GD$4</f>
        <v>24559.725600000002</v>
      </c>
      <c r="GC15" s="699"/>
      <c r="GD15" s="700">
        <f>GC15/GA15</f>
        <v>0</v>
      </c>
      <c r="GE15" s="593">
        <f>'Proy 2022 vs 2019 sem'!AF14*GH$4</f>
        <v>37521.803</v>
      </c>
      <c r="GF15" s="593">
        <f>'Proy 2022 vs 2019 sem'!AG14*GH$4</f>
        <v>33769.6227</v>
      </c>
      <c r="GG15" s="699"/>
      <c r="GH15" s="700">
        <f>GG15/GE15</f>
        <v>0</v>
      </c>
      <c r="GI15" s="579">
        <f>FG15+FK15+FO15+FS15+FW15+GA15+GE15</f>
        <v>170553.64999999997</v>
      </c>
      <c r="GJ15" s="574">
        <f>FH15+FL15+FP15+FT15+FX15+GB15+GF15</f>
        <v>153498.285</v>
      </c>
      <c r="GK15" s="794">
        <f>FI15+FM15+FQ15+FU15+FY15+GC15+GG15</f>
        <v>0</v>
      </c>
      <c r="GL15" s="786">
        <f>GK15/GI15</f>
        <v>0</v>
      </c>
      <c r="GM15" s="593">
        <f>'Proy 2022 vs 2019 sem'!AK14*GP$4</f>
        <v>11764.6356</v>
      </c>
      <c r="GN15" s="593">
        <f>'Proy 2022 vs 2019 sem'!AL14*GP$4</f>
        <v>11176.40382</v>
      </c>
      <c r="GO15" s="699"/>
      <c r="GP15" s="700">
        <f>GO15/GM15</f>
        <v>0</v>
      </c>
      <c r="GQ15" s="593">
        <f>'Proy 2022 vs 2019 sem'!AK14*GT$4</f>
        <v>11764.6356</v>
      </c>
      <c r="GR15" s="593">
        <f>'Proy 2022 vs 2019 sem'!AL14*GT$4</f>
        <v>11176.40382</v>
      </c>
      <c r="GS15" s="699"/>
      <c r="GT15" s="700">
        <f>GS15/GQ15</f>
        <v>0</v>
      </c>
      <c r="GU15" s="593">
        <f>'Proy 2022 vs 2019 sem'!AK14*GX$4</f>
        <v>11764.6356</v>
      </c>
      <c r="GV15" s="593">
        <f>'Proy 2022 vs 2019 sem'!AL14*GX$4</f>
        <v>11176.40382</v>
      </c>
      <c r="GW15" s="699"/>
      <c r="GX15" s="700">
        <f>GW15/GU15</f>
        <v>0</v>
      </c>
      <c r="GY15" s="593">
        <f>'Proy 2022 vs 2019 sem'!AK14*HB$4</f>
        <v>11764.6356</v>
      </c>
      <c r="GZ15" s="593">
        <f>'Proy 2022 vs 2019 sem'!AL14*HB$4</f>
        <v>11176.40382</v>
      </c>
      <c r="HA15" s="699"/>
      <c r="HB15" s="700">
        <f>HA15/GY15</f>
        <v>0</v>
      </c>
      <c r="HC15" s="593">
        <f>'Proy 2022 vs 2019 sem'!AK14*HF$4</f>
        <v>13725.408200000002</v>
      </c>
      <c r="HD15" s="593">
        <f>'Proy 2022 vs 2019 sem'!AL14*HF$4</f>
        <v>13039.137790000001</v>
      </c>
      <c r="HE15" s="699"/>
      <c r="HF15" s="700">
        <f>HE15/HC15</f>
        <v>0</v>
      </c>
      <c r="HG15" s="593">
        <f>'Proy 2022 vs 2019 sem'!AK14*HJ$4</f>
        <v>15686.180800000002</v>
      </c>
      <c r="HH15" s="593">
        <f>'Proy 2022 vs 2019 sem'!AL14*HJ$4</f>
        <v>14901.87176</v>
      </c>
      <c r="HI15" s="699"/>
      <c r="HJ15" s="700">
        <f>HI15/HG15</f>
        <v>0</v>
      </c>
      <c r="HK15" s="593">
        <f>'Proy 2022 vs 2019 sem'!AK14*HN$4</f>
        <v>21568.498600000003</v>
      </c>
      <c r="HL15" s="593">
        <f>'Proy 2022 vs 2019 sem'!AL14*HN$4</f>
        <v>20490.073670000002</v>
      </c>
      <c r="HM15" s="699"/>
      <c r="HN15" s="700">
        <f>HM15/HK15</f>
        <v>0</v>
      </c>
      <c r="HO15" s="579">
        <f>GM15+GQ15+GU15+GY15+HC15+HG15+HK15</f>
        <v>98038.63</v>
      </c>
      <c r="HP15" s="574">
        <f>GN15+GR15+GV15+GZ15+HD15+HH15+HL15</f>
        <v>93136.698499999999</v>
      </c>
      <c r="HQ15" s="794">
        <f>GO15+GS15+GW15+HA15+HE15+HI15+HM15</f>
        <v>0</v>
      </c>
      <c r="HR15" s="786">
        <f>HQ15/HO15</f>
        <v>0</v>
      </c>
      <c r="HS15" s="593">
        <f>'Proy 2022 vs 2019 sem'!AK14*HV$4</f>
        <v>11764.6356</v>
      </c>
      <c r="HT15" s="593">
        <f>'Proy 2022 vs 2019 sem'!AL14*HV$4</f>
        <v>11176.40382</v>
      </c>
      <c r="HU15" s="699"/>
      <c r="HV15" s="700">
        <f>HU15/HS15</f>
        <v>0</v>
      </c>
      <c r="HW15" s="593">
        <f>'Proy 2022 vs 2019 sem'!AK14*HZ$4</f>
        <v>11764.6356</v>
      </c>
      <c r="HX15" s="593">
        <f>'Proy 2022 vs 2019 sem'!AL14*HZ$4</f>
        <v>11176.40382</v>
      </c>
      <c r="HY15" s="699"/>
      <c r="HZ15" s="700">
        <f>HY15/HW15</f>
        <v>0</v>
      </c>
      <c r="IA15" s="593">
        <f>'Proy 2022 vs 2019 sem'!AK14*ID$4</f>
        <v>11764.6356</v>
      </c>
      <c r="IB15" s="593">
        <f>'Proy 2022 vs 2019 sem'!AL14*ID$4</f>
        <v>11176.40382</v>
      </c>
      <c r="IC15" s="699"/>
      <c r="ID15" s="700">
        <f>IC15/IA15</f>
        <v>0</v>
      </c>
      <c r="IE15" s="593">
        <f>'Proy 2022 vs 2019 sem'!AK14*IH$4</f>
        <v>11764.6356</v>
      </c>
      <c r="IF15" s="593">
        <f>'Proy 2022 vs 2019 sem'!AL14*IH$4</f>
        <v>11176.40382</v>
      </c>
      <c r="IG15" s="699"/>
      <c r="IH15" s="700">
        <f>IG15/IE15</f>
        <v>0</v>
      </c>
      <c r="II15" s="593">
        <f>'Proy 2022 vs 2019 sem'!AK14*IL$4</f>
        <v>13725.408200000002</v>
      </c>
      <c r="IJ15" s="593">
        <f>'Proy 2022 vs 2019 sem'!AL14*IL$4</f>
        <v>13039.137790000001</v>
      </c>
      <c r="IK15" s="699"/>
      <c r="IL15" s="700">
        <f>IK15/II15</f>
        <v>0</v>
      </c>
      <c r="IM15" s="593">
        <f>'Proy 2022 vs 2019 sem'!AK14*IP$4</f>
        <v>15686.180800000002</v>
      </c>
      <c r="IN15" s="593">
        <f>'Proy 2022 vs 2019 sem'!AL14*IP$4</f>
        <v>14901.87176</v>
      </c>
      <c r="IO15" s="699"/>
      <c r="IP15" s="700">
        <f>IO15/IM15</f>
        <v>0</v>
      </c>
      <c r="IQ15" s="593">
        <f>'Proy 2022 vs 2019 sem'!AK14*IT$4</f>
        <v>21568.498600000003</v>
      </c>
      <c r="IR15" s="593">
        <f>'Proy 2022 vs 2019 sem'!AL14*IT$4</f>
        <v>20490.073670000002</v>
      </c>
      <c r="IS15" s="699"/>
      <c r="IT15" s="700">
        <f>IS15/IQ15</f>
        <v>0</v>
      </c>
      <c r="IU15" s="579">
        <f>HS15+HW15+IA15+IE15+II15+IM15+IQ15</f>
        <v>98038.63</v>
      </c>
      <c r="IV15" s="574">
        <f>HT15+HX15+IB15+IF15+IJ15+IN15+IR15</f>
        <v>93136.698499999999</v>
      </c>
      <c r="IW15" s="785">
        <f>HU15+HY15+IC15+IG15+IK15+IO15+IS15</f>
        <v>0</v>
      </c>
      <c r="IX15" s="786">
        <f>IW15/IU15</f>
        <v>0</v>
      </c>
      <c r="IY15" s="593">
        <f>'Proy 2022 vs 2019 sem'!AY14*JB$4</f>
        <v>14664.015600000001</v>
      </c>
      <c r="IZ15" s="593">
        <f>'Proy 2022 vs 2019 sem'!AZ14*JB$4</f>
        <v>13490.894351999999</v>
      </c>
      <c r="JA15" s="735"/>
      <c r="JB15" s="700">
        <f>JA15/IY15</f>
        <v>0</v>
      </c>
      <c r="JC15" s="593">
        <f>'Proy 2022 vs 2019 sem'!AY14*JF$4</f>
        <v>14664.015600000001</v>
      </c>
      <c r="JD15" s="593">
        <f>'Proy 2022 vs 2019 sem'!AZ14*JF$4</f>
        <v>13490.894351999999</v>
      </c>
      <c r="JE15" s="735"/>
      <c r="JF15" s="700">
        <f>JE15/JC15</f>
        <v>0</v>
      </c>
      <c r="JG15" s="593">
        <f>'Proy 2022 vs 2019 sem'!AY14*JJ$4</f>
        <v>14664.015600000001</v>
      </c>
      <c r="JH15" s="593">
        <f>'Proy 2022 vs 2019 sem'!AZ14*JJ$4</f>
        <v>13490.894351999999</v>
      </c>
      <c r="JI15" s="735"/>
      <c r="JJ15" s="700">
        <f>JI15/JG15</f>
        <v>0</v>
      </c>
      <c r="JK15" s="593">
        <f>'Proy 2022 vs 2019 sem'!AY14*JN$4</f>
        <v>14664.015600000001</v>
      </c>
      <c r="JL15" s="593">
        <f>'Proy 2022 vs 2019 sem'!AZ14*JN$4</f>
        <v>13490.894351999999</v>
      </c>
      <c r="JM15" s="735"/>
      <c r="JN15" s="700">
        <f>JM15/JK15</f>
        <v>0</v>
      </c>
      <c r="JO15" s="593">
        <f>'Proy 2022 vs 2019 sem'!AY14*JR$4</f>
        <v>17108.018200000002</v>
      </c>
      <c r="JP15" s="593">
        <f>'Proy 2022 vs 2019 sem'!AZ14*JR$4</f>
        <v>15739.376744000003</v>
      </c>
      <c r="JQ15" s="735"/>
      <c r="JR15" s="700">
        <f>JQ15/JO15</f>
        <v>0</v>
      </c>
      <c r="JS15" s="593">
        <f>'Proy 2022 vs 2019 sem'!AY14*JV$4</f>
        <v>19552.020800000002</v>
      </c>
      <c r="JT15" s="593">
        <f>'Proy 2022 vs 2019 sem'!AZ14*JV$4</f>
        <v>17987.859136000003</v>
      </c>
      <c r="JU15" s="735"/>
      <c r="JV15" s="700">
        <f>JU15/JS15</f>
        <v>0</v>
      </c>
      <c r="JW15" s="593">
        <f>'Proy 2022 vs 2019 sem'!AY14*JZ$4</f>
        <v>26884.028600000001</v>
      </c>
      <c r="JX15" s="593">
        <f>'Proy 2022 vs 2019 sem'!AZ14*JZ$4</f>
        <v>24733.306312000001</v>
      </c>
      <c r="JY15" s="735"/>
      <c r="JZ15" s="700">
        <f>JY15/JW15</f>
        <v>0</v>
      </c>
      <c r="KA15" s="579">
        <f>IY15+JC15+JG15+JK15+JO15+JS15+JW15</f>
        <v>122200.13</v>
      </c>
      <c r="KB15" s="574">
        <f>IZ15+JD15+JH15+JL15+JP15+JT15+JX15</f>
        <v>112424.11960000001</v>
      </c>
      <c r="KC15" s="729">
        <f>JA15+JE15+JI15+JM15+JQ15+JU15+JY15</f>
        <v>0</v>
      </c>
      <c r="KD15" s="711">
        <f>KC15/KA15</f>
        <v>0</v>
      </c>
      <c r="KE15" s="593">
        <f>'Proy 2022 vs 2019 sem'!BD14*KH$4</f>
        <v>15289.985999999999</v>
      </c>
      <c r="KF15" s="593">
        <f>'Proy 2022 vs 2019 sem'!BE14*KH$4</f>
        <v>14066.787120000001</v>
      </c>
      <c r="KG15" s="699"/>
      <c r="KH15" s="700">
        <f>KG15/KE15</f>
        <v>0</v>
      </c>
      <c r="KI15" s="593">
        <f>'Proy 2022 vs 2019 sem'!BD14*KL$4</f>
        <v>15289.985999999999</v>
      </c>
      <c r="KJ15" s="593">
        <f>'Proy 2022 vs 2019 sem'!BE14*KL$4</f>
        <v>14066.787120000001</v>
      </c>
      <c r="KK15" s="699"/>
      <c r="KL15" s="700">
        <f>KK15/KI15</f>
        <v>0</v>
      </c>
      <c r="KM15" s="593">
        <f>'Proy 2022 vs 2019 sem'!BD14*KP$4</f>
        <v>15289.985999999999</v>
      </c>
      <c r="KN15" s="593">
        <f>'Proy 2022 vs 2019 sem'!BE14*KP$4</f>
        <v>14066.787120000001</v>
      </c>
      <c r="KO15" s="699"/>
      <c r="KP15" s="700">
        <f>KO15/KM15</f>
        <v>0</v>
      </c>
      <c r="KQ15" s="593">
        <f>'Proy 2022 vs 2019 sem'!BD14*KT$4</f>
        <v>15289.985999999999</v>
      </c>
      <c r="KR15" s="593">
        <f>'Proy 2022 vs 2019 sem'!BE14*KT$4</f>
        <v>14066.787120000001</v>
      </c>
      <c r="KS15" s="699"/>
      <c r="KT15" s="700">
        <f>KS15/KQ15</f>
        <v>0</v>
      </c>
      <c r="KU15" s="593">
        <f>'Proy 2022 vs 2019 sem'!BD14*KX$4</f>
        <v>17838.317000000003</v>
      </c>
      <c r="KV15" s="593">
        <f>'Proy 2022 vs 2019 sem'!BE14*KX$4</f>
        <v>16411.251640000002</v>
      </c>
      <c r="KW15" s="699"/>
      <c r="KX15" s="700">
        <f>KW15/KU15</f>
        <v>0</v>
      </c>
      <c r="KY15" s="593">
        <f>'Proy 2022 vs 2019 sem'!BD14*LB$4</f>
        <v>20386.648000000001</v>
      </c>
      <c r="KZ15" s="593">
        <f>'Proy 2022 vs 2019 sem'!BE14*LB$4</f>
        <v>18755.716160000004</v>
      </c>
      <c r="LA15" s="699"/>
      <c r="LB15" s="700">
        <f>LA15/KY15</f>
        <v>0</v>
      </c>
      <c r="LC15" s="593">
        <f>'Proy 2022 vs 2019 sem'!BD14*LF$4</f>
        <v>28031.641</v>
      </c>
      <c r="LD15" s="593">
        <f>'Proy 2022 vs 2019 sem'!BE14*LF$4</f>
        <v>25789.109720000004</v>
      </c>
      <c r="LE15" s="699"/>
      <c r="LF15" s="700">
        <f>LE15/LC15</f>
        <v>0</v>
      </c>
      <c r="LG15" s="579">
        <f>KE15+KI15+KM15+KQ15+KU15+KY15+LC15</f>
        <v>127416.55</v>
      </c>
      <c r="LH15" s="574">
        <f>KF15+KJ15+KN15+KR15+KV15+KZ15+LD15</f>
        <v>117223.22600000002</v>
      </c>
      <c r="LI15" s="730">
        <f>KG15+KK15+KO15+KS15+KW15+LA15+LE15</f>
        <v>0</v>
      </c>
      <c r="LJ15" s="711">
        <f>LI15/LG15</f>
        <v>0</v>
      </c>
      <c r="LK15" s="593">
        <f>'Proy 2022 vs 2019 sem'!BI14*LN$4</f>
        <v>17433.9876</v>
      </c>
      <c r="LL15" s="593">
        <f>'Proy 2022 vs 2019 sem'!BJ14*LN$4</f>
        <v>16039.268592000002</v>
      </c>
      <c r="LM15" s="699"/>
      <c r="LN15" s="700">
        <f>LM15/LK15</f>
        <v>0</v>
      </c>
      <c r="LO15" s="593">
        <f>'Proy 2022 vs 2019 sem'!BI14*LR$4</f>
        <v>17433.9876</v>
      </c>
      <c r="LP15" s="593">
        <f>'Proy 2022 vs 2019 sem'!BJ14*LR$4</f>
        <v>16039.268592000002</v>
      </c>
      <c r="LQ15" s="699"/>
      <c r="LR15" s="700">
        <f>LQ15/LO15</f>
        <v>0</v>
      </c>
      <c r="LS15" s="593">
        <f>'Proy 2022 vs 2019 sem'!BI14*LV$4</f>
        <v>17433.9876</v>
      </c>
      <c r="LT15" s="593">
        <f>'Proy 2022 vs 2019 sem'!BJ14*LV$4</f>
        <v>16039.268592000002</v>
      </c>
      <c r="LU15" s="699"/>
      <c r="LV15" s="700">
        <f>LU15/LS15</f>
        <v>0</v>
      </c>
      <c r="LW15" s="593">
        <f>'Proy 2022 vs 2019 sem'!BI14*LZ$4</f>
        <v>17433.9876</v>
      </c>
      <c r="LX15" s="593">
        <f>'Proy 2022 vs 2019 sem'!BJ14*LZ$4</f>
        <v>16039.268592000002</v>
      </c>
      <c r="LY15" s="699"/>
      <c r="LZ15" s="700">
        <f>LY15/LW15</f>
        <v>0</v>
      </c>
      <c r="MA15" s="593">
        <f>'Proy 2022 vs 2019 sem'!BI14*MD$4</f>
        <v>20339.652200000004</v>
      </c>
      <c r="MB15" s="593">
        <f>'Proy 2022 vs 2019 sem'!BJ14*MD$4</f>
        <v>18712.480024000004</v>
      </c>
      <c r="MC15" s="699"/>
      <c r="MD15" s="700">
        <f>MC15/MA15</f>
        <v>0</v>
      </c>
      <c r="ME15" s="593">
        <f>'Proy 2022 vs 2019 sem'!BI14*MH$4</f>
        <v>23245.316800000001</v>
      </c>
      <c r="MF15" s="593">
        <f>'Proy 2022 vs 2019 sem'!BJ14*MH$4</f>
        <v>21385.691456000004</v>
      </c>
      <c r="MG15" s="699"/>
      <c r="MH15" s="700">
        <f>MG15/ME15</f>
        <v>0</v>
      </c>
      <c r="MI15" s="593">
        <f>'Proy 2022 vs 2019 sem'!BI14*ML$4</f>
        <v>31962.310600000001</v>
      </c>
      <c r="MJ15" s="593">
        <f>'Proy 2022 vs 2019 sem'!BJ14*ML$4</f>
        <v>29405.325752000004</v>
      </c>
      <c r="MK15" s="699"/>
      <c r="ML15" s="700">
        <f>MK15/MI15</f>
        <v>0</v>
      </c>
      <c r="MM15" s="579">
        <f>LK15+LO15+LS15+LW15+MA15+ME15+MI15</f>
        <v>145283.23000000001</v>
      </c>
      <c r="MN15" s="574">
        <f>LL15+LP15+LT15+LX15+MB15+MF15+MJ15</f>
        <v>133660.57160000002</v>
      </c>
      <c r="MO15" s="730">
        <f>LM15+LQ15+LU15+LY15+MC15+MG15+MK15</f>
        <v>0</v>
      </c>
      <c r="MP15" s="711">
        <f>MO15/MM15</f>
        <v>0</v>
      </c>
      <c r="MQ15" s="593">
        <f>'Proy 2022 vs 2019 sem'!BN14*MT$4</f>
        <v>19376.687999999998</v>
      </c>
      <c r="MR15" s="593">
        <f>'Proy 2022 vs 2019 sem'!BO14*MT$4</f>
        <v>17826.552960000001</v>
      </c>
      <c r="MS15" s="699"/>
      <c r="MT15" s="700">
        <f>MS15/MQ15</f>
        <v>0</v>
      </c>
      <c r="MU15" s="593">
        <f>'Proy 2022 vs 2019 sem'!BN14*MX$4</f>
        <v>19376.687999999998</v>
      </c>
      <c r="MV15" s="593">
        <f>'Proy 2022 vs 2019 sem'!BO14*MX$4</f>
        <v>17826.552960000001</v>
      </c>
      <c r="MW15" s="699"/>
      <c r="MX15" s="700">
        <f>MW15/MU15</f>
        <v>0</v>
      </c>
      <c r="MY15" s="593">
        <f>'Proy 2022 vs 2019 sem'!BN14*NB$4</f>
        <v>19376.687999999998</v>
      </c>
      <c r="MZ15" s="593">
        <f>'Proy 2022 vs 2019 sem'!BO14*NB$4</f>
        <v>17826.552960000001</v>
      </c>
      <c r="NA15" s="699"/>
      <c r="NB15" s="700">
        <f>NA15/MY15</f>
        <v>0</v>
      </c>
      <c r="NC15" s="593">
        <f>'Proy 2022 vs 2019 sem'!BN14*NF$4</f>
        <v>19376.687999999998</v>
      </c>
      <c r="ND15" s="593">
        <f>'Proy 2022 vs 2019 sem'!BO14*NF$4</f>
        <v>17826.552960000001</v>
      </c>
      <c r="NE15" s="699"/>
      <c r="NF15" s="700">
        <f>NE15/NC15</f>
        <v>0</v>
      </c>
      <c r="NG15" s="593">
        <f>'Proy 2022 vs 2019 sem'!BN14*NJ$4</f>
        <v>22606.136000000002</v>
      </c>
      <c r="NH15" s="593">
        <f>'Proy 2022 vs 2019 sem'!BO14*NJ$4</f>
        <v>20797.645120000005</v>
      </c>
      <c r="NI15" s="699"/>
      <c r="NJ15" s="700">
        <f>NI15/NG15</f>
        <v>0</v>
      </c>
      <c r="NK15" s="593">
        <f>'Proy 2022 vs 2019 sem'!BN14*NN$4</f>
        <v>25835.583999999999</v>
      </c>
      <c r="NL15" s="593">
        <f>'Proy 2022 vs 2019 sem'!BO14*NN$4</f>
        <v>23768.737280000001</v>
      </c>
      <c r="NM15" s="699"/>
      <c r="NN15" s="700">
        <f>NM15/NK15</f>
        <v>0</v>
      </c>
      <c r="NO15" s="593">
        <f>'Proy 2022 vs 2019 sem'!BN14*NR$4</f>
        <v>35523.928</v>
      </c>
      <c r="NP15" s="593">
        <f>'Proy 2022 vs 2019 sem'!BO14*NR$4</f>
        <v>32682.013760000002</v>
      </c>
      <c r="NQ15" s="699"/>
      <c r="NR15" s="700">
        <f>NQ15/NO15</f>
        <v>0</v>
      </c>
      <c r="NS15" s="579">
        <f>MQ15+MU15+MY15+NC15+NG15+NK15+NO15</f>
        <v>161472.4</v>
      </c>
      <c r="NT15" s="574">
        <f>MR15+MV15+MZ15+ND15+NH15+NL15+NP15</f>
        <v>148554.60800000001</v>
      </c>
      <c r="NU15" s="710">
        <f>MS15+MW15+NA15+NE15+NI15+NM15+NQ15</f>
        <v>0</v>
      </c>
      <c r="NV15" s="711">
        <f>NU15/NS15</f>
        <v>0</v>
      </c>
      <c r="NW15" s="593">
        <f>'Proy 2022 vs 2019 sem'!BS14*NZ$4</f>
        <v>15816.4764</v>
      </c>
      <c r="NX15" s="593">
        <f>'Proy 2022 vs 2019 sem'!BT14*NZ$4</f>
        <v>14551.158288000001</v>
      </c>
      <c r="NY15" s="699"/>
      <c r="NZ15" s="700">
        <f>NY15/NW15</f>
        <v>0</v>
      </c>
      <c r="OA15" s="593">
        <f>'Proy 2022 vs 2019 sem'!BS14*OD$4</f>
        <v>15816.4764</v>
      </c>
      <c r="OB15" s="593">
        <f>'Proy 2022 vs 2019 sem'!BT14*OD$4</f>
        <v>14551.158288000001</v>
      </c>
      <c r="OC15" s="699"/>
      <c r="OD15" s="700">
        <f>OC15/OA15</f>
        <v>0</v>
      </c>
      <c r="OE15" s="593">
        <f>'Proy 2022 vs 2019 sem'!BS14*OH$4</f>
        <v>15816.4764</v>
      </c>
      <c r="OF15" s="593">
        <f>'Proy 2022 vs 2019 sem'!BT14*OH$4</f>
        <v>14551.158288000001</v>
      </c>
      <c r="OG15" s="699"/>
      <c r="OH15" s="700">
        <f>OG15/OE15</f>
        <v>0</v>
      </c>
      <c r="OI15" s="593">
        <f>'Proy 2022 vs 2019 sem'!BS14*OL$4</f>
        <v>15816.4764</v>
      </c>
      <c r="OJ15" s="593">
        <f>'Proy 2022 vs 2019 sem'!BT14*OL$4</f>
        <v>14551.158288000001</v>
      </c>
      <c r="OK15" s="699"/>
      <c r="OL15" s="700">
        <f>OK15/OI15</f>
        <v>0</v>
      </c>
      <c r="OM15" s="593">
        <f>'Proy 2022 vs 2019 sem'!BS14*OP$4</f>
        <v>18452.555800000002</v>
      </c>
      <c r="ON15" s="593">
        <f>'Proy 2022 vs 2019 sem'!BT14*OP$4</f>
        <v>16976.351336000003</v>
      </c>
      <c r="OO15" s="699"/>
      <c r="OP15" s="700">
        <f>OO15/OM15</f>
        <v>0</v>
      </c>
      <c r="OQ15" s="593">
        <f>'Proy 2022 vs 2019 sem'!BS14*OT$4</f>
        <v>21088.635200000001</v>
      </c>
      <c r="OR15" s="593">
        <f>'Proy 2022 vs 2019 sem'!BT14*OT$4</f>
        <v>19401.544384000001</v>
      </c>
      <c r="OS15" s="699"/>
      <c r="OT15" s="700">
        <f>OS15/OQ15</f>
        <v>0</v>
      </c>
      <c r="OU15" s="593">
        <f>'Proy 2022 vs 2019 sem'!BS14*OX$4</f>
        <v>28996.8734</v>
      </c>
      <c r="OV15" s="593">
        <f>'Proy 2022 vs 2019 sem'!BT14*OX$4</f>
        <v>26677.123528</v>
      </c>
      <c r="OW15" s="699"/>
      <c r="OX15" s="700">
        <f>OW15/OU15</f>
        <v>0</v>
      </c>
      <c r="OY15" s="579">
        <f>NW15+OA15+OE15+OI15+OM15+OQ15+OU15</f>
        <v>131803.97</v>
      </c>
      <c r="OZ15" s="574">
        <f>NX15+OB15+OF15+OJ15+ON15+OR15+OV15</f>
        <v>121259.65239999999</v>
      </c>
      <c r="PA15" s="710">
        <f>NY15+OC15+OG15+OK15+OO15+OS15+OW15</f>
        <v>0</v>
      </c>
      <c r="PB15" s="711">
        <f>PA15/OY15</f>
        <v>0</v>
      </c>
      <c r="PC15" s="593">
        <f>'Proy 2022 vs 2019 sem'!CB14*PF$4</f>
        <v>17626.147199999999</v>
      </c>
      <c r="PD15" s="593">
        <f>'Proy 2022 vs 2019 sem'!CC14*PF$4</f>
        <v>16216.055423999998</v>
      </c>
      <c r="PE15" s="735"/>
      <c r="PF15" s="700">
        <f>PE15/PC15</f>
        <v>0</v>
      </c>
      <c r="PG15" s="593">
        <f>'Proy 2022 vs 2019 sem'!CB14*PJ$4</f>
        <v>17626.147199999999</v>
      </c>
      <c r="PH15" s="593">
        <f>'Proy 2022 vs 2019 sem'!CC14*PJ$4</f>
        <v>16216.055423999998</v>
      </c>
      <c r="PI15" s="699"/>
      <c r="PJ15" s="700">
        <f>PI15/PG15</f>
        <v>0</v>
      </c>
      <c r="PK15" s="593">
        <f>'Proy 2022 vs 2019 sem'!CB14*PN$4</f>
        <v>17626.147199999999</v>
      </c>
      <c r="PL15" s="593">
        <f>'Proy 2022 vs 2019 sem'!CC14*PN$4</f>
        <v>16216.055423999998</v>
      </c>
      <c r="PM15" s="699"/>
      <c r="PN15" s="700">
        <f>PM15/PK15</f>
        <v>0</v>
      </c>
      <c r="PO15" s="593">
        <f>'Proy 2022 vs 2019 sem'!CB14*PR$4</f>
        <v>17626.147199999999</v>
      </c>
      <c r="PP15" s="593">
        <f>'Proy 2022 vs 2019 sem'!CC14*PR$4</f>
        <v>16216.055423999998</v>
      </c>
      <c r="PQ15" s="699"/>
      <c r="PR15" s="700">
        <f>PQ15/PO15</f>
        <v>0</v>
      </c>
      <c r="PS15" s="593">
        <f>'Proy 2022 vs 2019 sem'!CB14*PV$4</f>
        <v>20563.838400000001</v>
      </c>
      <c r="PT15" s="593">
        <f>'Proy 2022 vs 2019 sem'!CC14*PV$4</f>
        <v>18918.731328000002</v>
      </c>
      <c r="PU15" s="699"/>
      <c r="PV15" s="700">
        <f>PU15/PS15</f>
        <v>0</v>
      </c>
      <c r="PW15" s="593">
        <f>'Proy 2022 vs 2019 sem'!CB14*PZ$4</f>
        <v>23501.529600000002</v>
      </c>
      <c r="PX15" s="593">
        <f>'Proy 2022 vs 2019 sem'!CC14*PZ$4</f>
        <v>21621.407231999998</v>
      </c>
      <c r="PY15" s="699"/>
      <c r="PZ15" s="700">
        <f>PY15/PW15</f>
        <v>0</v>
      </c>
      <c r="QA15" s="593">
        <f>'Proy 2022 vs 2019 sem'!CB14*QD$4</f>
        <v>32314.603200000001</v>
      </c>
      <c r="QB15" s="593">
        <f>'Proy 2022 vs 2019 sem'!CC14*QD$4</f>
        <v>29729.434943999997</v>
      </c>
      <c r="QC15" s="699"/>
      <c r="QD15" s="700">
        <f>QC15/QA15</f>
        <v>0</v>
      </c>
      <c r="QE15" s="579">
        <f>PC15+PG15+PK15+PO15+PS15+PW15+QA15</f>
        <v>146884.56000000003</v>
      </c>
      <c r="QF15" s="574">
        <f>PD15+PH15+PL15+PP15+PT15+PX15+QB15</f>
        <v>135133.79519999999</v>
      </c>
      <c r="QG15" s="793">
        <f>PE15+PI15+PM15+PQ15+PU15+PY15+QC15</f>
        <v>0</v>
      </c>
      <c r="QH15" s="786">
        <f>QG15/QE15</f>
        <v>0</v>
      </c>
      <c r="QI15" s="593">
        <f>'Proy 2022 vs 2019 sem'!CG14*QL$4</f>
        <v>20302.630799999999</v>
      </c>
      <c r="QJ15" s="593">
        <f>'Proy 2022 vs 2019 sem'!CH14*QL$4</f>
        <v>19287.499260000001</v>
      </c>
      <c r="QK15" s="699"/>
      <c r="QL15" s="700">
        <f>QK15/QI15</f>
        <v>0</v>
      </c>
      <c r="QM15" s="593">
        <f>'Proy 2022 vs 2019 sem'!CG14*QP$4</f>
        <v>20302.630799999999</v>
      </c>
      <c r="QN15" s="593">
        <f>'Proy 2022 vs 2019 sem'!CH14*QP$4</f>
        <v>19287.499260000001</v>
      </c>
      <c r="QO15" s="699"/>
      <c r="QP15" s="700">
        <f>QO15/QM15</f>
        <v>0</v>
      </c>
      <c r="QQ15" s="593">
        <f>'Proy 2022 vs 2019 sem'!CG14*QT$4</f>
        <v>20302.630799999999</v>
      </c>
      <c r="QR15" s="593">
        <f>'Proy 2022 vs 2019 sem'!CH14*QT$4</f>
        <v>19287.499260000001</v>
      </c>
      <c r="QS15" s="699"/>
      <c r="QT15" s="700">
        <f>QS15/QQ15</f>
        <v>0</v>
      </c>
      <c r="QU15" s="593">
        <f>'Proy 2022 vs 2019 sem'!CG14*QX$4</f>
        <v>20302.630799999999</v>
      </c>
      <c r="QV15" s="593">
        <f>'Proy 2022 vs 2019 sem'!CH14*QX$4</f>
        <v>19287.499260000001</v>
      </c>
      <c r="QW15" s="699"/>
      <c r="QX15" s="700">
        <f>QW15/QU15</f>
        <v>0</v>
      </c>
      <c r="QY15" s="593">
        <f>'Proy 2022 vs 2019 sem'!CG14*RB$4</f>
        <v>23686.402600000001</v>
      </c>
      <c r="QZ15" s="593">
        <f>'Proy 2022 vs 2019 sem'!CH14*RB$4</f>
        <v>22502.082470000001</v>
      </c>
      <c r="RA15" s="699"/>
      <c r="RB15" s="700">
        <f>RA15/QY15</f>
        <v>0</v>
      </c>
      <c r="RC15" s="593">
        <f>'Proy 2022 vs 2019 sem'!CG14*RF$4</f>
        <v>27070.1744</v>
      </c>
      <c r="RD15" s="593">
        <f>'Proy 2022 vs 2019 sem'!CH14*RF$4</f>
        <v>25716.665680000002</v>
      </c>
      <c r="RE15" s="699"/>
      <c r="RF15" s="700">
        <f>RE15/RC15</f>
        <v>0</v>
      </c>
      <c r="RG15" s="593">
        <f>'Proy 2022 vs 2019 sem'!CG14*RJ$4</f>
        <v>37221.489800000003</v>
      </c>
      <c r="RH15" s="593">
        <f>'Proy 2022 vs 2019 sem'!CH14*RJ$4</f>
        <v>35360.415309999997</v>
      </c>
      <c r="RI15" s="699"/>
      <c r="RJ15" s="700">
        <f>RI15/RG15</f>
        <v>0</v>
      </c>
      <c r="RK15" s="579">
        <f>QI15+QM15+QQ15+QU15+QY15+RC15+RG15</f>
        <v>169188.59</v>
      </c>
      <c r="RL15" s="574">
        <f>QJ15+QN15+QR15+QV15+QZ15+RD15+RH15</f>
        <v>160729.1605</v>
      </c>
      <c r="RM15" s="794">
        <f>QK15+QO15+QS15+QW15+RA15+RE15+RI15</f>
        <v>0</v>
      </c>
      <c r="RN15" s="786">
        <f>RM15/RK15</f>
        <v>0</v>
      </c>
      <c r="RO15" s="593">
        <f>'Proy 2022 vs 2019 sem'!CL14*RR$4</f>
        <v>19463.035199999998</v>
      </c>
      <c r="RP15" s="593">
        <f>'Proy 2022 vs 2019 sem'!CM14*RR$4</f>
        <v>18489.883439999998</v>
      </c>
      <c r="RQ15" s="699"/>
      <c r="RR15" s="700">
        <f>RQ15/RO15</f>
        <v>0</v>
      </c>
      <c r="RS15" s="593">
        <f>'Proy 2022 vs 2019 sem'!CL14*RV$4</f>
        <v>19463.035199999998</v>
      </c>
      <c r="RT15" s="593">
        <f>'Proy 2022 vs 2019 sem'!CM14*RV$4</f>
        <v>18489.883439999998</v>
      </c>
      <c r="RU15" s="699"/>
      <c r="RV15" s="700">
        <f>RU15/RS15</f>
        <v>0</v>
      </c>
      <c r="RW15" s="593">
        <f>'Proy 2022 vs 2019 sem'!CL14*RZ$4</f>
        <v>19463.035199999998</v>
      </c>
      <c r="RX15" s="593">
        <f>'Proy 2022 vs 2019 sem'!CM14*RZ$4</f>
        <v>18489.883439999998</v>
      </c>
      <c r="RY15" s="699"/>
      <c r="RZ15" s="700">
        <f>RY15/RW15</f>
        <v>0</v>
      </c>
      <c r="SA15" s="593">
        <f>'Proy 2022 vs 2019 sem'!CL14*SD$4</f>
        <v>19463.035199999998</v>
      </c>
      <c r="SB15" s="593">
        <f>'Proy 2022 vs 2019 sem'!CM14*SD$4</f>
        <v>18489.883439999998</v>
      </c>
      <c r="SC15" s="699"/>
      <c r="SD15" s="700">
        <f>SC15/SA15</f>
        <v>0</v>
      </c>
      <c r="SE15" s="593">
        <f>'Proy 2022 vs 2019 sem'!CL14*SH$4</f>
        <v>22706.874400000001</v>
      </c>
      <c r="SF15" s="593">
        <f>'Proy 2022 vs 2019 sem'!CM14*SH$4</f>
        <v>21571.53068</v>
      </c>
      <c r="SG15" s="699"/>
      <c r="SH15" s="700">
        <f>SG15/SE15</f>
        <v>0</v>
      </c>
      <c r="SI15" s="593">
        <f>'Proy 2022 vs 2019 sem'!CL14*SL$4</f>
        <v>25950.713599999999</v>
      </c>
      <c r="SJ15" s="593">
        <f>'Proy 2022 vs 2019 sem'!CM14*SL$4</f>
        <v>24653.177919999998</v>
      </c>
      <c r="SK15" s="699"/>
      <c r="SL15" s="700">
        <f>SK15/SI15</f>
        <v>0</v>
      </c>
      <c r="SM15" s="593">
        <f>'Proy 2022 vs 2019 sem'!CL14*SP$4</f>
        <v>35682.231200000002</v>
      </c>
      <c r="SN15" s="593">
        <f>'Proy 2022 vs 2019 sem'!CM14*SP$4</f>
        <v>33898.119639999997</v>
      </c>
      <c r="SO15" s="699"/>
      <c r="SP15" s="700">
        <f>SO15/SM15</f>
        <v>0</v>
      </c>
      <c r="SQ15" s="579">
        <f>RO15+RS15+RW15+SA15+SE15+SI15+SM15</f>
        <v>162191.96</v>
      </c>
      <c r="SR15" s="574">
        <f>RP15+RT15+RX15+SB15+SF15+SJ15+SN15</f>
        <v>154082.36199999999</v>
      </c>
      <c r="SS15" s="794">
        <f>RQ15+RU15+RY15+SC15+SG15+SK15+SO15</f>
        <v>0</v>
      </c>
      <c r="ST15" s="786">
        <f>SS15/SQ15</f>
        <v>0</v>
      </c>
      <c r="SU15" s="593">
        <f>'Proy 2022 vs 2019 sem'!CQ14*SX$4</f>
        <v>26493.27</v>
      </c>
      <c r="SV15" s="593">
        <f>'Proy 2022 vs 2019 sem'!CR14*SX$4</f>
        <v>25168.606499999998</v>
      </c>
      <c r="SW15" s="699"/>
      <c r="SX15" s="700">
        <f>SW15/SU15</f>
        <v>0</v>
      </c>
      <c r="SY15" s="593">
        <f>'Proy 2022 vs 2019 sem'!CQ14*TB$4</f>
        <v>26493.27</v>
      </c>
      <c r="SZ15" s="593">
        <f>'Proy 2022 vs 2019 sem'!CR14*TB$4</f>
        <v>25168.606499999998</v>
      </c>
      <c r="TA15" s="699"/>
      <c r="TB15" s="700">
        <f>TA15/SY15</f>
        <v>0</v>
      </c>
      <c r="TC15" s="593">
        <f>'Proy 2022 vs 2019 sem'!CQ14*TF$4</f>
        <v>26493.27</v>
      </c>
      <c r="TD15" s="593">
        <f>'Proy 2022 vs 2019 sem'!CR14*TF$4</f>
        <v>25168.606499999998</v>
      </c>
      <c r="TE15" s="699"/>
      <c r="TF15" s="700">
        <f>TE15/TC15</f>
        <v>0</v>
      </c>
      <c r="TG15" s="593">
        <f>'Proy 2022 vs 2019 sem'!CQ14*TJ$4</f>
        <v>26493.27</v>
      </c>
      <c r="TH15" s="593">
        <f>'Proy 2022 vs 2019 sem'!CR14*TJ$4</f>
        <v>25168.606499999998</v>
      </c>
      <c r="TI15" s="699"/>
      <c r="TJ15" s="700">
        <f>TI15/TG15</f>
        <v>0</v>
      </c>
      <c r="TK15" s="593">
        <f>'Proy 2022 vs 2019 sem'!CQ14*TN$4</f>
        <v>30908.815000000002</v>
      </c>
      <c r="TL15" s="593">
        <f>'Proy 2022 vs 2019 sem'!CR14*TN$4</f>
        <v>29363.374250000001</v>
      </c>
      <c r="TM15" s="699"/>
      <c r="TN15" s="700">
        <f>TM15/TK15</f>
        <v>0</v>
      </c>
      <c r="TO15" s="593">
        <f>'Proy 2022 vs 2019 sem'!CQ14*TR$4</f>
        <v>35324.36</v>
      </c>
      <c r="TP15" s="593">
        <f>'Proy 2022 vs 2019 sem'!CR14*TR$4</f>
        <v>33558.142</v>
      </c>
      <c r="TQ15" s="699"/>
      <c r="TR15" s="700">
        <f>TQ15/TO15</f>
        <v>0</v>
      </c>
      <c r="TS15" s="593">
        <f>'Proy 2022 vs 2019 sem'!CQ14*TV$4</f>
        <v>48570.995000000003</v>
      </c>
      <c r="TT15" s="593">
        <f>'Proy 2022 vs 2019 sem'!CR14*TV$4</f>
        <v>46142.445249999997</v>
      </c>
      <c r="TU15" s="699"/>
      <c r="TV15" s="700">
        <f>TU15/TS15</f>
        <v>0</v>
      </c>
      <c r="TW15" s="579">
        <f>SU15+SY15+TC15+TG15+TK15+TO15+TS15</f>
        <v>220777.25</v>
      </c>
      <c r="TX15" s="574">
        <f>SV15+SZ15+TD15+TH15+TL15+TP15+TT15</f>
        <v>209738.38749999998</v>
      </c>
      <c r="TY15" s="785">
        <f>SW15+TA15+TE15+TI15+TM15+TQ15+TU15</f>
        <v>0</v>
      </c>
      <c r="TZ15" s="786">
        <f>TY15/TW15</f>
        <v>0</v>
      </c>
      <c r="UA15" s="593">
        <f>'Proy 2022 vs 2019 sem'!CZ14*UD$4</f>
        <v>31696.531200000001</v>
      </c>
      <c r="UB15" s="593">
        <f>'Proy 2022 vs 2019 sem'!DA14*UD$4</f>
        <v>28526.878080000002</v>
      </c>
      <c r="UC15" s="735"/>
      <c r="UD15" s="700">
        <f>UC15/UA15</f>
        <v>0</v>
      </c>
      <c r="UE15" s="593">
        <f>'Proy 2022 vs 2019 sem'!CZ14*UH$4</f>
        <v>31696.531200000001</v>
      </c>
      <c r="UF15" s="593">
        <f>'Proy 2022 vs 2019 sem'!DA14*UH$4</f>
        <v>28526.878080000002</v>
      </c>
      <c r="UG15" s="699"/>
      <c r="UH15" s="700">
        <f>UG15/UE15</f>
        <v>0</v>
      </c>
      <c r="UI15" s="593">
        <f>'Proy 2022 vs 2019 sem'!CZ14*UL$4</f>
        <v>31696.531200000001</v>
      </c>
      <c r="UJ15" s="593">
        <f>'Proy 2022 vs 2019 sem'!DA14*UL$4</f>
        <v>28526.878080000002</v>
      </c>
      <c r="UK15" s="699"/>
      <c r="UL15" s="700">
        <f>UK15/UI15</f>
        <v>0</v>
      </c>
      <c r="UM15" s="593">
        <f>'Proy 2022 vs 2019 sem'!CZ14*UP$4</f>
        <v>31696.531200000001</v>
      </c>
      <c r="UN15" s="593">
        <f>'Proy 2022 vs 2019 sem'!DA14*UP$4</f>
        <v>28526.878080000002</v>
      </c>
      <c r="UO15" s="699"/>
      <c r="UP15" s="700">
        <f>UO15/UM15</f>
        <v>0</v>
      </c>
      <c r="UQ15" s="593">
        <f>'Proy 2022 vs 2019 sem'!CZ14*UT$4</f>
        <v>36979.286400000005</v>
      </c>
      <c r="UR15" s="593">
        <f>'Proy 2022 vs 2019 sem'!DA14*UT$4</f>
        <v>33281.357760000006</v>
      </c>
      <c r="US15" s="699"/>
      <c r="UT15" s="700">
        <f>US15/UQ15</f>
        <v>0</v>
      </c>
      <c r="UU15" s="593">
        <f>'Proy 2022 vs 2019 sem'!CZ14*UX$4</f>
        <v>42262.041600000004</v>
      </c>
      <c r="UV15" s="593">
        <f>'Proy 2022 vs 2019 sem'!DA14*UX$4</f>
        <v>38035.837440000003</v>
      </c>
      <c r="UW15" s="699"/>
      <c r="UX15" s="700">
        <f>UW15/UU15</f>
        <v>0</v>
      </c>
      <c r="UY15" s="593">
        <f>'Proy 2022 vs 2019 sem'!CZ14*VB$4</f>
        <v>58110.307200000003</v>
      </c>
      <c r="UZ15" s="593">
        <f>'Proy 2022 vs 2019 sem'!DA14*VB$4</f>
        <v>52299.276480000008</v>
      </c>
      <c r="VA15" s="699"/>
      <c r="VB15" s="700">
        <f>VA15/UY15</f>
        <v>0</v>
      </c>
      <c r="VC15" s="579">
        <f>UA15+UE15+UI15+UM15+UQ15+UU15+UY15</f>
        <v>264137.76</v>
      </c>
      <c r="VD15" s="574">
        <f>UB15+UF15+UJ15+UN15+UR15+UV15+UZ15</f>
        <v>237723.98400000003</v>
      </c>
      <c r="VE15" s="759">
        <f>UC15+UG15+UK15+UO15+US15+UW15+VA15</f>
        <v>0</v>
      </c>
      <c r="VF15" s="761">
        <f>VE15/VC15</f>
        <v>0</v>
      </c>
      <c r="VG15" s="593">
        <f>'Proy 2022 vs 2019 sem'!DE14*VJ$4</f>
        <v>18781.0344</v>
      </c>
      <c r="VH15" s="593">
        <f>'Proy 2022 vs 2019 sem'!DF14*VJ$4</f>
        <v>17841.982679999997</v>
      </c>
      <c r="VI15" s="699"/>
      <c r="VJ15" s="700">
        <f>VI15/VG15</f>
        <v>0</v>
      </c>
      <c r="VK15" s="593">
        <f>'Proy 2022 vs 2019 sem'!DE14*VN$4</f>
        <v>18781.0344</v>
      </c>
      <c r="VL15" s="593">
        <f>'Proy 2022 vs 2019 sem'!DF14*VN$4</f>
        <v>17841.982679999997</v>
      </c>
      <c r="VM15" s="699"/>
      <c r="VN15" s="700">
        <f>VM15/VK15</f>
        <v>0</v>
      </c>
      <c r="VO15" s="593">
        <f>'Proy 2022 vs 2019 sem'!DE14*VR$4</f>
        <v>18781.0344</v>
      </c>
      <c r="VP15" s="593">
        <f>'Proy 2022 vs 2019 sem'!DF14*VR$4</f>
        <v>17841.982679999997</v>
      </c>
      <c r="VQ15" s="699"/>
      <c r="VR15" s="700">
        <f>VQ15/VO15</f>
        <v>0</v>
      </c>
      <c r="VS15" s="593">
        <f>'Proy 2022 vs 2019 sem'!DE14*VV$4</f>
        <v>18781.0344</v>
      </c>
      <c r="VT15" s="593">
        <f>'Proy 2022 vs 2019 sem'!DF14*VV$4</f>
        <v>17841.982679999997</v>
      </c>
      <c r="VU15" s="699"/>
      <c r="VV15" s="700">
        <f>VU15/VS15</f>
        <v>0</v>
      </c>
      <c r="VW15" s="593">
        <f>'Proy 2022 vs 2019 sem'!DE14*VZ$4</f>
        <v>21911.2068</v>
      </c>
      <c r="VX15" s="593">
        <f>'Proy 2022 vs 2019 sem'!DF14*VZ$4</f>
        <v>20815.64646</v>
      </c>
      <c r="VY15" s="699"/>
      <c r="VZ15" s="700">
        <f>VY15/VW15</f>
        <v>0</v>
      </c>
      <c r="WA15" s="593">
        <f>'Proy 2022 vs 2019 sem'!DE14*WD$4</f>
        <v>25041.379199999999</v>
      </c>
      <c r="WB15" s="593">
        <f>'Proy 2022 vs 2019 sem'!DF14*WD$4</f>
        <v>23789.310239999999</v>
      </c>
      <c r="WC15" s="699"/>
      <c r="WD15" s="700">
        <f>WC15/WA15</f>
        <v>0</v>
      </c>
      <c r="WE15" s="593">
        <f>'Proy 2022 vs 2019 sem'!DE14*WH$4</f>
        <v>34431.896399999998</v>
      </c>
      <c r="WF15" s="593">
        <f>'Proy 2022 vs 2019 sem'!DF14*WH$4</f>
        <v>32710.301579999996</v>
      </c>
      <c r="WG15" s="699"/>
      <c r="WH15" s="700">
        <f>WG15/WE15</f>
        <v>0</v>
      </c>
      <c r="WI15" s="579">
        <f>VG15+VK15+VO15+VS15+VW15+WA15+WE15</f>
        <v>156508.62</v>
      </c>
      <c r="WJ15" s="574">
        <f>VH15+VL15+VP15+VT15+VX15+WB15+WF15</f>
        <v>148683.18899999998</v>
      </c>
      <c r="WK15" s="765">
        <f>VI15+VM15+VQ15+VU15+VY15+WC15+WG15</f>
        <v>0</v>
      </c>
      <c r="WL15" s="761">
        <f>WK15/WI15</f>
        <v>0</v>
      </c>
      <c r="WM15" s="593">
        <f>'Proy 2022 vs 2019 sem'!DJ14*WP$4</f>
        <v>20937.5304</v>
      </c>
      <c r="WN15" s="593">
        <f>'Proy 2022 vs 2019 sem'!DK14*WP$4</f>
        <v>18843.77736</v>
      </c>
      <c r="WO15" s="699"/>
      <c r="WP15" s="700">
        <f>WO15/WM15</f>
        <v>0</v>
      </c>
      <c r="WQ15" s="593">
        <f>'Proy 2022 vs 2019 sem'!DJ14*WT$4</f>
        <v>20937.5304</v>
      </c>
      <c r="WR15" s="593">
        <f>'Proy 2022 vs 2019 sem'!DK14*WT$4</f>
        <v>18843.77736</v>
      </c>
      <c r="WS15" s="699"/>
      <c r="WT15" s="700">
        <f>WS15/WQ15</f>
        <v>0</v>
      </c>
      <c r="WU15" s="593">
        <f>'Proy 2022 vs 2019 sem'!DJ14*WX$4</f>
        <v>20937.5304</v>
      </c>
      <c r="WV15" s="593">
        <f>'Proy 2022 vs 2019 sem'!DK14*WX$4</f>
        <v>18843.77736</v>
      </c>
      <c r="WW15" s="699"/>
      <c r="WX15" s="700">
        <f>WW15/WU15</f>
        <v>0</v>
      </c>
      <c r="WY15" s="593">
        <f>'Proy 2022 vs 2019 sem'!DJ14*XB$4</f>
        <v>20937.5304</v>
      </c>
      <c r="WZ15" s="593">
        <f>'Proy 2022 vs 2019 sem'!DK14*XB$4</f>
        <v>18843.77736</v>
      </c>
      <c r="XA15" s="699"/>
      <c r="XB15" s="700">
        <f>XA15/WY15</f>
        <v>0</v>
      </c>
      <c r="XC15" s="593">
        <f>'Proy 2022 vs 2019 sem'!DJ14*XF$4</f>
        <v>24427.118800000004</v>
      </c>
      <c r="XD15" s="593">
        <f>'Proy 2022 vs 2019 sem'!DK14*XF$4</f>
        <v>21984.406920000001</v>
      </c>
      <c r="XE15" s="699"/>
      <c r="XF15" s="700">
        <f>XE15/XC15</f>
        <v>0</v>
      </c>
      <c r="XG15" s="593">
        <f>'Proy 2022 vs 2019 sem'!DJ14*XJ$4</f>
        <v>27916.707200000004</v>
      </c>
      <c r="XH15" s="593">
        <f>'Proy 2022 vs 2019 sem'!DK14*XJ$4</f>
        <v>25125.036480000002</v>
      </c>
      <c r="XI15" s="699"/>
      <c r="XJ15" s="700">
        <f>XI15/XG15</f>
        <v>0</v>
      </c>
      <c r="XK15" s="593">
        <f>'Proy 2022 vs 2019 sem'!DJ14*XN$4</f>
        <v>38385.472400000006</v>
      </c>
      <c r="XL15" s="593">
        <f>'Proy 2022 vs 2019 sem'!DK14*XN$4</f>
        <v>34546.925159999999</v>
      </c>
      <c r="XM15" s="699"/>
      <c r="XN15" s="700">
        <f>XM15/XK15</f>
        <v>0</v>
      </c>
      <c r="XO15" s="579">
        <f>WM15+WQ15+WU15+WY15+XC15+XG15+XK15</f>
        <v>174479.42</v>
      </c>
      <c r="XP15" s="574">
        <f>WN15+WR15+WV15+WZ15+XD15+XH15+XL15</f>
        <v>157031.478</v>
      </c>
      <c r="XQ15" s="765">
        <f>WO15+WS15+WW15+XA15+XE15+XI15+XM15</f>
        <v>0</v>
      </c>
      <c r="XR15" s="761">
        <f>XQ15/XO15</f>
        <v>0</v>
      </c>
      <c r="XS15" s="593">
        <f>'Proy 2022 vs 2019 sem'!DO14*XV$4</f>
        <v>17177.919599999997</v>
      </c>
      <c r="XT15" s="593">
        <f>'Proy 2022 vs 2019 sem'!DP14*XV$4</f>
        <v>16319.023619999996</v>
      </c>
      <c r="XU15" s="699"/>
      <c r="XV15" s="700">
        <f>XU15/XS15</f>
        <v>0</v>
      </c>
      <c r="XW15" s="593">
        <f>'Proy 2022 vs 2019 sem'!DO14*XZ$4</f>
        <v>17177.919599999997</v>
      </c>
      <c r="XX15" s="593">
        <f>'Proy 2022 vs 2019 sem'!DP14*XZ$4</f>
        <v>16319.023619999996</v>
      </c>
      <c r="XY15" s="699"/>
      <c r="XZ15" s="700">
        <f>XY15/XW15</f>
        <v>0</v>
      </c>
      <c r="YA15" s="593">
        <f>'Proy 2022 vs 2019 sem'!DO14*YD$4</f>
        <v>17177.919599999997</v>
      </c>
      <c r="YB15" s="593">
        <f>'Proy 2022 vs 2019 sem'!DP14*YD$4</f>
        <v>16319.023619999996</v>
      </c>
      <c r="YC15" s="699"/>
      <c r="YD15" s="700">
        <f>YC15/YA15</f>
        <v>0</v>
      </c>
      <c r="YE15" s="593">
        <f>'Proy 2022 vs 2019 sem'!DO14*YH$4</f>
        <v>17177.919599999997</v>
      </c>
      <c r="YF15" s="593">
        <f>'Proy 2022 vs 2019 sem'!DP14*YH$4</f>
        <v>16319.023619999996</v>
      </c>
      <c r="YG15" s="699"/>
      <c r="YH15" s="700">
        <f>YG15/YE15</f>
        <v>0</v>
      </c>
      <c r="YI15" s="593">
        <f>'Proy 2022 vs 2019 sem'!DO14*YL$4</f>
        <v>20040.906200000001</v>
      </c>
      <c r="YJ15" s="593">
        <f>'Proy 2022 vs 2019 sem'!DP14*YL$4</f>
        <v>19038.86089</v>
      </c>
      <c r="YK15" s="699"/>
      <c r="YL15" s="700">
        <f>YK15/YI15</f>
        <v>0</v>
      </c>
      <c r="YM15" s="593">
        <f>'Proy 2022 vs 2019 sem'!DO14*YP$4</f>
        <v>22903.892799999998</v>
      </c>
      <c r="YN15" s="593">
        <f>'Proy 2022 vs 2019 sem'!DP14*YP$4</f>
        <v>21758.698159999996</v>
      </c>
      <c r="YO15" s="699"/>
      <c r="YP15" s="700">
        <f>YO15/YM15</f>
        <v>0</v>
      </c>
      <c r="YQ15" s="593">
        <f>'Proy 2022 vs 2019 sem'!DO14*YT$4</f>
        <v>31492.852599999998</v>
      </c>
      <c r="YR15" s="593">
        <f>'Proy 2022 vs 2019 sem'!DP14*YT$4</f>
        <v>29918.209969999996</v>
      </c>
      <c r="YS15" s="699"/>
      <c r="YT15" s="700">
        <f>YS15/YQ15</f>
        <v>0</v>
      </c>
      <c r="YU15" s="579">
        <f>XS15+XW15+YA15+YE15+YI15+YM15+YQ15</f>
        <v>143149.32999999999</v>
      </c>
      <c r="YV15" s="574">
        <f>XT15+XX15+YB15+YF15+YJ15+YN15+YR15</f>
        <v>135991.86349999998</v>
      </c>
      <c r="YW15" s="770">
        <f>XU15+XY15+YC15+YG15+YK15+YO15+YS15</f>
        <v>0</v>
      </c>
      <c r="YX15" s="761">
        <f>YW15/YU15</f>
        <v>0</v>
      </c>
      <c r="YY15" s="931">
        <f>'Proy 2022 vs 2019 sem'!DX14*ZB$4</f>
        <v>18187.629599999997</v>
      </c>
      <c r="YZ15" s="931">
        <f>'Proy 2022 vs 2019 sem'!DY14*ZB$4</f>
        <v>16368.866639999997</v>
      </c>
      <c r="ZA15" s="735"/>
      <c r="ZB15" s="700">
        <f>ZA15/YY15</f>
        <v>0</v>
      </c>
      <c r="ZC15" s="593">
        <f>'Proy 2022 vs 2019 sem'!DX14*ZF$4</f>
        <v>18187.629599999997</v>
      </c>
      <c r="ZD15" s="593">
        <f>'Proy 2022 vs 2019 sem'!DY14*ZF$4</f>
        <v>16368.866639999997</v>
      </c>
      <c r="ZE15" s="735"/>
      <c r="ZF15" s="700">
        <f>ZE15/ZC15</f>
        <v>0</v>
      </c>
      <c r="ZG15" s="593">
        <f>'Proy 2022 vs 2019 sem'!DX14*ZJ$4</f>
        <v>18187.629599999997</v>
      </c>
      <c r="ZH15" s="593">
        <f>'Proy 2022 vs 2019 sem'!DY14*ZJ$4</f>
        <v>16368.866639999997</v>
      </c>
      <c r="ZI15" s="735"/>
      <c r="ZJ15" s="700">
        <f>ZI15/ZG15</f>
        <v>0</v>
      </c>
      <c r="ZK15" s="593">
        <f>'Proy 2022 vs 2019 sem'!DX14*ZN$4</f>
        <v>18187.629599999997</v>
      </c>
      <c r="ZL15" s="593">
        <f>'Proy 2022 vs 2019 sem'!DY14*ZN$4</f>
        <v>16368.866639999997</v>
      </c>
      <c r="ZM15" s="735"/>
      <c r="ZN15" s="700">
        <f>ZM15/ZK15</f>
        <v>0</v>
      </c>
      <c r="ZO15" s="593">
        <f>'Proy 2022 vs 2019 sem'!DX14*ZR$4</f>
        <v>21218.9012</v>
      </c>
      <c r="ZP15" s="593">
        <f>'Proy 2022 vs 2019 sem'!DY14*ZR$4</f>
        <v>19097.01108</v>
      </c>
      <c r="ZQ15" s="735"/>
      <c r="ZR15" s="700">
        <f>ZQ15/ZO15</f>
        <v>0</v>
      </c>
      <c r="ZS15" s="593">
        <f>'Proy 2022 vs 2019 sem'!DX14*ZV$4</f>
        <v>24250.172799999997</v>
      </c>
      <c r="ZT15" s="593">
        <f>'Proy 2022 vs 2019 sem'!DY14*ZV$4</f>
        <v>21825.155519999997</v>
      </c>
      <c r="ZU15" s="735"/>
      <c r="ZV15" s="700">
        <f>ZU15/ZS15</f>
        <v>0</v>
      </c>
      <c r="ZW15" s="593">
        <f>'Proy 2022 vs 2019 sem'!DX14*ZZ$4</f>
        <v>33343.9876</v>
      </c>
      <c r="ZX15" s="593">
        <f>'Proy 2022 vs 2019 sem'!DY14*ZZ$4</f>
        <v>30009.588839999997</v>
      </c>
      <c r="ZY15" s="735"/>
      <c r="ZZ15" s="700">
        <f>ZY15/ZW15</f>
        <v>0</v>
      </c>
      <c r="AAA15" s="579">
        <f>YY15+ZC15+ZG15+ZK15+ZO15+ZS15+ZW15</f>
        <v>151563.57999999999</v>
      </c>
      <c r="AAB15" s="574">
        <f>YZ15+ZD15+ZH15+ZL15+ZP15+ZT15+ZX15</f>
        <v>136407.22199999998</v>
      </c>
      <c r="AAC15" s="729">
        <f>ZA15+ZE15+ZI15+ZM15+ZQ15+ZU15+ZY15</f>
        <v>0</v>
      </c>
      <c r="AAD15" s="711">
        <f>AAC15/AAA15</f>
        <v>0</v>
      </c>
      <c r="AAE15" s="593">
        <f>'Proy 2022 vs 2019 sem'!EC14*AAH$4</f>
        <v>22735.0272</v>
      </c>
      <c r="AAF15" s="593">
        <f>'Proy 2022 vs 2019 sem'!ED14*AAH$4</f>
        <v>20461.52448</v>
      </c>
      <c r="AAG15" s="699"/>
      <c r="AAH15" s="700">
        <f>AAG15/AAE15</f>
        <v>0</v>
      </c>
      <c r="AAI15" s="593">
        <f>'Proy 2022 vs 2019 sem'!EC14*AAL$4</f>
        <v>22735.0272</v>
      </c>
      <c r="AAJ15" s="593">
        <f>'Proy 2022 vs 2019 sem'!ED14*AAL$4</f>
        <v>20461.52448</v>
      </c>
      <c r="AAK15" s="699"/>
      <c r="AAL15" s="700">
        <f>AAK15/AAI15</f>
        <v>0</v>
      </c>
      <c r="AAM15" s="593">
        <f>'Proy 2022 vs 2019 sem'!EC14*AAP$4</f>
        <v>22735.0272</v>
      </c>
      <c r="AAN15" s="593">
        <f>'Proy 2022 vs 2019 sem'!ED14*AAP$4</f>
        <v>20461.52448</v>
      </c>
      <c r="AAO15" s="699"/>
      <c r="AAP15" s="700">
        <f>AAO15/AAM15</f>
        <v>0</v>
      </c>
      <c r="AAQ15" s="593">
        <f>'Proy 2022 vs 2019 sem'!EC14*AAT$4</f>
        <v>22735.0272</v>
      </c>
      <c r="AAR15" s="593">
        <f>'Proy 2022 vs 2019 sem'!ED14*AAT$4</f>
        <v>20461.52448</v>
      </c>
      <c r="AAS15" s="699"/>
      <c r="AAT15" s="700">
        <f>AAS15/AAQ15</f>
        <v>0</v>
      </c>
      <c r="AAU15" s="593">
        <f>'Proy 2022 vs 2019 sem'!EC14*AAX$4</f>
        <v>26524.198400000001</v>
      </c>
      <c r="AAV15" s="593">
        <f>'Proy 2022 vs 2019 sem'!ED14*AAX$4</f>
        <v>23871.778560000002</v>
      </c>
      <c r="AAW15" s="699"/>
      <c r="AAX15" s="700">
        <f>AAW15/AAU15</f>
        <v>0</v>
      </c>
      <c r="AAY15" s="593">
        <f>'Proy 2022 vs 2019 sem'!EC14*ABB$4</f>
        <v>30313.369600000002</v>
      </c>
      <c r="AAZ15" s="593">
        <f>'Proy 2022 vs 2019 sem'!ED14*ABB$4</f>
        <v>27282.032640000001</v>
      </c>
      <c r="ABA15" s="699"/>
      <c r="ABB15" s="700">
        <f>ABA15/AAY15</f>
        <v>0</v>
      </c>
      <c r="ABC15" s="593">
        <f>'Proy 2022 vs 2019 sem'!EC14*ABF$4</f>
        <v>41680.883199999997</v>
      </c>
      <c r="ABD15" s="593">
        <f>'Proy 2022 vs 2019 sem'!ED14*ABF$4</f>
        <v>37512.794880000001</v>
      </c>
      <c r="ABE15" s="699"/>
      <c r="ABF15" s="700">
        <f>ABE15/ABC15</f>
        <v>0</v>
      </c>
      <c r="ABG15" s="579">
        <f>AAE15+AAI15+AAM15+AAQ15+AAU15+AAY15+ABC15</f>
        <v>189458.56</v>
      </c>
      <c r="ABH15" s="574">
        <f>AAF15+AAJ15+AAN15+AAR15+AAV15+AAZ15+ABD15</f>
        <v>170512.704</v>
      </c>
      <c r="ABI15" s="730">
        <f>AAG15+AAK15+AAO15+AAS15+AAW15+ABA15+ABE15</f>
        <v>0</v>
      </c>
      <c r="ABJ15" s="711">
        <f>ABI15/ABG15</f>
        <v>0</v>
      </c>
      <c r="ABK15" s="593">
        <f>'Proy 2022 vs 2019 sem'!EH14*ABN$4</f>
        <v>23591.057999999997</v>
      </c>
      <c r="ABL15" s="593">
        <f>'Proy 2022 vs 2019 sem'!EI14*ABN$4</f>
        <v>21231.9522</v>
      </c>
      <c r="ABM15" s="699"/>
      <c r="ABN15" s="700">
        <f>ABM15/ABK15</f>
        <v>0</v>
      </c>
      <c r="ABO15" s="593">
        <f>'Proy 2022 vs 2019 sem'!EH14*ABR$4</f>
        <v>23591.057999999997</v>
      </c>
      <c r="ABP15" s="593">
        <f>'Proy 2022 vs 2019 sem'!EI14*ABR$4</f>
        <v>21231.9522</v>
      </c>
      <c r="ABQ15" s="699"/>
      <c r="ABR15" s="700">
        <f>ABQ15/ABO15</f>
        <v>0</v>
      </c>
      <c r="ABS15" s="593">
        <f>'Proy 2022 vs 2019 sem'!EH14*ABV$4</f>
        <v>23591.057999999997</v>
      </c>
      <c r="ABT15" s="593">
        <f>'Proy 2022 vs 2019 sem'!EI14*ABV$4</f>
        <v>21231.9522</v>
      </c>
      <c r="ABU15" s="699"/>
      <c r="ABV15" s="700">
        <f>ABU15/ABS15</f>
        <v>0</v>
      </c>
      <c r="ABW15" s="593">
        <f>'Proy 2022 vs 2019 sem'!EH14*ABZ$4</f>
        <v>23591.057999999997</v>
      </c>
      <c r="ABX15" s="593">
        <f>'Proy 2022 vs 2019 sem'!EI14*ABZ$4</f>
        <v>21231.9522</v>
      </c>
      <c r="ABY15" s="699"/>
      <c r="ABZ15" s="700">
        <f>ABY15/ABW15</f>
        <v>0</v>
      </c>
      <c r="ACA15" s="593">
        <f>'Proy 2022 vs 2019 sem'!EH14*ACD$4</f>
        <v>27522.901000000002</v>
      </c>
      <c r="ACB15" s="593">
        <f>'Proy 2022 vs 2019 sem'!EI14*ACD$4</f>
        <v>24770.610900000003</v>
      </c>
      <c r="ACC15" s="699"/>
      <c r="ACD15" s="700">
        <f>ACC15/ACA15</f>
        <v>0</v>
      </c>
      <c r="ACE15" s="593">
        <f>'Proy 2022 vs 2019 sem'!EH14*ACH$4</f>
        <v>31454.743999999999</v>
      </c>
      <c r="ACF15" s="593">
        <f>'Proy 2022 vs 2019 sem'!EI14*ACH$4</f>
        <v>28309.2696</v>
      </c>
      <c r="ACG15" s="699"/>
      <c r="ACH15" s="700">
        <f>ACG15/ACE15</f>
        <v>0</v>
      </c>
      <c r="ACI15" s="593">
        <f>'Proy 2022 vs 2019 sem'!EH14*ACL$4</f>
        <v>43250.273000000001</v>
      </c>
      <c r="ACJ15" s="593">
        <f>'Proy 2022 vs 2019 sem'!EI14*ACL$4</f>
        <v>38925.245699999999</v>
      </c>
      <c r="ACK15" s="699"/>
      <c r="ACL15" s="700">
        <f>ACK15/ACI15</f>
        <v>0</v>
      </c>
      <c r="ACM15" s="579">
        <f>ABK15+ABO15+ABS15+ABW15+ACA15+ACE15+ACI15</f>
        <v>196592.14999999997</v>
      </c>
      <c r="ACN15" s="574">
        <f>ABL15+ABP15+ABT15+ABX15+ACB15+ACF15+ACJ15</f>
        <v>176932.935</v>
      </c>
      <c r="ACO15" s="730">
        <f>ABM15+ABQ15+ABU15+ABY15+ACC15+ACG15+ACK15</f>
        <v>0</v>
      </c>
      <c r="ACP15" s="711">
        <f>ACO15/ACM15</f>
        <v>0</v>
      </c>
      <c r="ACQ15" s="593">
        <f>'Proy 2022 vs 2019 sem'!EM14*ACT$4</f>
        <v>23493.403199999997</v>
      </c>
      <c r="ACR15" s="593">
        <f>'Proy 2022 vs 2019 sem'!EN14*ACT$4</f>
        <v>22318.733039999996</v>
      </c>
      <c r="ACS15" s="699"/>
      <c r="ACT15" s="700">
        <f>ACS15/ACQ15</f>
        <v>0</v>
      </c>
      <c r="ACU15" s="593">
        <f>'Proy 2022 vs 2019 sem'!EM14*ACX$4</f>
        <v>23493.403199999997</v>
      </c>
      <c r="ACV15" s="593">
        <f>'Proy 2022 vs 2019 sem'!EN14*ACX$4</f>
        <v>22318.733039999996</v>
      </c>
      <c r="ACW15" s="699"/>
      <c r="ACX15" s="700">
        <f>ACW15/ACU15</f>
        <v>0</v>
      </c>
      <c r="ACY15" s="593">
        <f>'Proy 2022 vs 2019 sem'!EM14*ADB$4</f>
        <v>23493.403199999997</v>
      </c>
      <c r="ACZ15" s="593">
        <f>'Proy 2022 vs 2019 sem'!EN14*ADB$4</f>
        <v>22318.733039999996</v>
      </c>
      <c r="ADA15" s="699"/>
      <c r="ADB15" s="700">
        <f>ADA15/ACY15</f>
        <v>0</v>
      </c>
      <c r="ADC15" s="593">
        <f>'Proy 2022 vs 2019 sem'!EM14*ADF$4</f>
        <v>23493.403199999997</v>
      </c>
      <c r="ADD15" s="593">
        <f>'Proy 2022 vs 2019 sem'!EN14*ADF$4</f>
        <v>22318.733039999996</v>
      </c>
      <c r="ADE15" s="699"/>
      <c r="ADF15" s="700">
        <f>ADE15/ADC15</f>
        <v>0</v>
      </c>
      <c r="ADG15" s="593">
        <f>'Proy 2022 vs 2019 sem'!EM14*ADJ$4</f>
        <v>27408.970400000002</v>
      </c>
      <c r="ADH15" s="593">
        <f>'Proy 2022 vs 2019 sem'!EN14*ADJ$4</f>
        <v>26038.52188</v>
      </c>
      <c r="ADI15" s="699"/>
      <c r="ADJ15" s="700">
        <f>ADI15/ADG15</f>
        <v>0</v>
      </c>
      <c r="ADK15" s="593">
        <f>'Proy 2022 vs 2019 sem'!EM14*ADN$4</f>
        <v>31324.5376</v>
      </c>
      <c r="ADL15" s="593">
        <f>'Proy 2022 vs 2019 sem'!EN14*ADN$4</f>
        <v>29758.310719999998</v>
      </c>
      <c r="ADM15" s="699"/>
      <c r="ADN15" s="700">
        <f>ADM15/ADK15</f>
        <v>0</v>
      </c>
      <c r="ADO15" s="593">
        <f>'Proy 2022 vs 2019 sem'!EM14*ADR$4</f>
        <v>43071.239199999996</v>
      </c>
      <c r="ADP15" s="593">
        <f>'Proy 2022 vs 2019 sem'!EN14*ADR$4</f>
        <v>40917.677239999997</v>
      </c>
      <c r="ADQ15" s="699"/>
      <c r="ADR15" s="700">
        <f>ADQ15/ADO15</f>
        <v>0</v>
      </c>
      <c r="ADS15" s="579">
        <f>ACQ15+ACU15+ACY15+ADC15+ADG15+ADK15+ADO15</f>
        <v>195778.36</v>
      </c>
      <c r="ADT15" s="574">
        <f>ACR15+ACV15+ACZ15+ADD15+ADH15+ADL15+ADP15</f>
        <v>185989.44199999998</v>
      </c>
      <c r="ADU15" s="710">
        <f>ACS15+ACW15+ADA15+ADE15+ADI15+ADM15+ADQ15</f>
        <v>0</v>
      </c>
      <c r="ADV15" s="711">
        <f>ADU15/ADS15</f>
        <v>0</v>
      </c>
      <c r="ADW15" s="593">
        <f>'Proy 2022 vs 2019 sem'!ER14*ADZ$4</f>
        <v>23306.875199999999</v>
      </c>
      <c r="ADX15" s="593">
        <f>'Proy 2022 vs 2019 sem'!ES14*ADZ$4</f>
        <v>22374.600191999998</v>
      </c>
      <c r="ADY15" s="699"/>
      <c r="ADZ15" s="700">
        <f>ADY15/ADW15</f>
        <v>0</v>
      </c>
      <c r="AEA15" s="593">
        <f>'Proy 2022 vs 2019 sem'!ER14*AED$4</f>
        <v>23306.875199999999</v>
      </c>
      <c r="AEB15" s="593">
        <f>'Proy 2022 vs 2019 sem'!ES14*AED$4</f>
        <v>22374.600191999998</v>
      </c>
      <c r="AEC15" s="699"/>
      <c r="AED15" s="700">
        <f>AEC15/AEA15</f>
        <v>0</v>
      </c>
      <c r="AEE15" s="593">
        <f>'Proy 2022 vs 2019 sem'!ER14*AEH$4</f>
        <v>23306.875199999999</v>
      </c>
      <c r="AEF15" s="593">
        <f>'Proy 2022 vs 2019 sem'!ES14*AEH$4</f>
        <v>22374.600191999998</v>
      </c>
      <c r="AEG15" s="699"/>
      <c r="AEH15" s="700">
        <f>AEG15/AEE15</f>
        <v>0</v>
      </c>
      <c r="AEI15" s="593">
        <f>'Proy 2022 vs 2019 sem'!ER14*AEL$4</f>
        <v>23306.875199999999</v>
      </c>
      <c r="AEJ15" s="593">
        <f>'Proy 2022 vs 2019 sem'!ES14*AEL$4</f>
        <v>22374.600191999998</v>
      </c>
      <c r="AEK15" s="699"/>
      <c r="AEL15" s="700">
        <f>AEK15/AEI15</f>
        <v>0</v>
      </c>
      <c r="AEM15" s="593">
        <f>'Proy 2022 vs 2019 sem'!ER14*AEP$4</f>
        <v>27191.3544</v>
      </c>
      <c r="AEN15" s="593">
        <f>'Proy 2022 vs 2019 sem'!ES14*AEP$4</f>
        <v>26103.700224</v>
      </c>
      <c r="AEO15" s="699"/>
      <c r="AEP15" s="700">
        <f>AEO15/AEM15</f>
        <v>0</v>
      </c>
      <c r="AEQ15" s="593">
        <f>'Proy 2022 vs 2019 sem'!ER14*AET$4</f>
        <v>31075.833599999998</v>
      </c>
      <c r="AER15" s="593">
        <f>'Proy 2022 vs 2019 sem'!ES14*AET$4</f>
        <v>29832.800255999999</v>
      </c>
      <c r="AES15" s="699"/>
      <c r="AET15" s="700">
        <f>AES15/AEQ15</f>
        <v>0</v>
      </c>
      <c r="AEU15" s="593">
        <f>'Proy 2022 vs 2019 sem'!ER14*AEX$4</f>
        <v>42729.271199999996</v>
      </c>
      <c r="AEV15" s="593">
        <f>'Proy 2022 vs 2019 sem'!ES14*AEX$4</f>
        <v>41020.100352000001</v>
      </c>
      <c r="AEW15" s="699"/>
      <c r="AEX15" s="700">
        <f>AEW15/AEU15</f>
        <v>0</v>
      </c>
      <c r="AEY15" s="579">
        <f>ADW15+AEA15+AEE15+AEI15+AEM15+AEQ15+AEU15</f>
        <v>194223.96</v>
      </c>
      <c r="AEZ15" s="574">
        <f>ADX15+AEB15+AEF15+AEJ15+AEN15+AER15+AEV15</f>
        <v>186455.00159999999</v>
      </c>
      <c r="AFA15" s="710">
        <f>ADY15+AEC15+AEG15+AEK15+AEO15+AES15+AEW15</f>
        <v>0</v>
      </c>
      <c r="AFB15" s="711">
        <f>AFA15/AEY15</f>
        <v>0</v>
      </c>
      <c r="AFC15" s="593">
        <f>'Proy 2022 vs 2019 sem'!FA14*AFF$4</f>
        <v>22566.436799999999</v>
      </c>
      <c r="AFD15" s="593">
        <f>'Proy 2022 vs 2019 sem'!FB14*AFF$4</f>
        <v>19858.464384000003</v>
      </c>
      <c r="AFE15" s="735"/>
      <c r="AFF15" s="700">
        <f>AFE15/AFC15</f>
        <v>0</v>
      </c>
      <c r="AFG15" s="593">
        <f>'Proy 2022 vs 2019 sem'!FA14*AFJ$4</f>
        <v>22566.436799999999</v>
      </c>
      <c r="AFH15" s="593">
        <f>'Proy 2022 vs 2019 sem'!FB14*AFJ$4</f>
        <v>19858.464384000003</v>
      </c>
      <c r="AFI15" s="699"/>
      <c r="AFJ15" s="700">
        <f>AFI15/AFG15</f>
        <v>0</v>
      </c>
      <c r="AFK15" s="593">
        <f>'Proy 2022 vs 2019 sem'!FA14*AFN$4</f>
        <v>22566.436799999999</v>
      </c>
      <c r="AFL15" s="593">
        <f>'Proy 2022 vs 2019 sem'!FB14*AFN$4</f>
        <v>19858.464384000003</v>
      </c>
      <c r="AFM15" s="699"/>
      <c r="AFN15" s="700">
        <f>AFM15/AFK15</f>
        <v>0</v>
      </c>
      <c r="AFO15" s="593">
        <f>'Proy 2022 vs 2019 sem'!FA14*AFR$4</f>
        <v>22566.436799999999</v>
      </c>
      <c r="AFP15" s="593">
        <f>'Proy 2022 vs 2019 sem'!FB14*AFR$4</f>
        <v>19858.464384000003</v>
      </c>
      <c r="AFQ15" s="699"/>
      <c r="AFR15" s="700">
        <f>AFQ15/AFO15</f>
        <v>0</v>
      </c>
      <c r="AFS15" s="593">
        <f>'Proy 2022 vs 2019 sem'!FA14*AFV$4</f>
        <v>26327.509600000005</v>
      </c>
      <c r="AFT15" s="593">
        <f>'Proy 2022 vs 2019 sem'!FB14*AFV$4</f>
        <v>23168.208448000005</v>
      </c>
      <c r="AFU15" s="699"/>
      <c r="AFV15" s="700">
        <f>AFU15/AFS15</f>
        <v>0</v>
      </c>
      <c r="AFW15" s="593">
        <f>'Proy 2022 vs 2019 sem'!FA14*AFZ$4</f>
        <v>30088.582400000003</v>
      </c>
      <c r="AFX15" s="593">
        <f>'Proy 2022 vs 2019 sem'!FB14*AFZ$4</f>
        <v>26477.952512000003</v>
      </c>
      <c r="AFY15" s="699"/>
      <c r="AFZ15" s="700">
        <f>AFY15/AFW15</f>
        <v>0</v>
      </c>
      <c r="AGA15" s="593">
        <f>'Proy 2022 vs 2019 sem'!FA14*AGD$4</f>
        <v>41371.800800000005</v>
      </c>
      <c r="AGB15" s="593">
        <f>'Proy 2022 vs 2019 sem'!FB14*AGD$4</f>
        <v>36407.184704000007</v>
      </c>
      <c r="AGC15" s="699"/>
      <c r="AGD15" s="700">
        <f>AGC15/AGA15</f>
        <v>0</v>
      </c>
      <c r="AGE15" s="579">
        <f>AFC15+AFG15+AFK15+AFO15+AFS15+AFW15+AGA15</f>
        <v>188053.64</v>
      </c>
      <c r="AGF15" s="574">
        <f>AFD15+AFH15+AFL15+AFP15+AFT15+AFX15+AGB15</f>
        <v>165487.20320000002</v>
      </c>
      <c r="AGG15" s="759">
        <f>AFE15+AFI15+AFM15+AFQ15+AFU15+AFY15+AGC15</f>
        <v>0</v>
      </c>
      <c r="AGH15" s="761">
        <f>AGG15/AGE15</f>
        <v>0</v>
      </c>
      <c r="AGI15" s="593">
        <f>'Proy 2022 vs 2019 sem'!FF14*AGL$4</f>
        <v>20131.995599999998</v>
      </c>
      <c r="AGJ15" s="593">
        <f>'Proy 2022 vs 2019 sem'!FG14*AGL$4</f>
        <v>18118.796040000001</v>
      </c>
      <c r="AGK15" s="699"/>
      <c r="AGL15" s="700">
        <f>AGK15/AGI15</f>
        <v>0</v>
      </c>
      <c r="AGM15" s="593">
        <f>'Proy 2022 vs 2019 sem'!FF14*AGP$4</f>
        <v>20131.995599999998</v>
      </c>
      <c r="AGN15" s="593">
        <f>'Proy 2022 vs 2019 sem'!FG14*AGP$4</f>
        <v>18118.796040000001</v>
      </c>
      <c r="AGO15" s="699"/>
      <c r="AGP15" s="700">
        <f>AGO15/AGM15</f>
        <v>0</v>
      </c>
      <c r="AGQ15" s="593">
        <f>'Proy 2022 vs 2019 sem'!FF14*AGT$4</f>
        <v>20131.995599999998</v>
      </c>
      <c r="AGR15" s="593">
        <f>'Proy 2022 vs 2019 sem'!FG14*AGT$4</f>
        <v>18118.796040000001</v>
      </c>
      <c r="AGS15" s="699"/>
      <c r="AGT15" s="700">
        <f>AGS15/AGQ15</f>
        <v>0</v>
      </c>
      <c r="AGU15" s="593">
        <f>'Proy 2022 vs 2019 sem'!FF14*AGX$4</f>
        <v>20131.995599999998</v>
      </c>
      <c r="AGV15" s="593">
        <f>'Proy 2022 vs 2019 sem'!FG14*AGX$4</f>
        <v>18118.796040000001</v>
      </c>
      <c r="AGW15" s="699"/>
      <c r="AGX15" s="700">
        <f>AGW15/AGU15</f>
        <v>0</v>
      </c>
      <c r="AGY15" s="593">
        <f>'Proy 2022 vs 2019 sem'!FF14*AHB$4</f>
        <v>23487.328200000004</v>
      </c>
      <c r="AGZ15" s="593">
        <f>'Proy 2022 vs 2019 sem'!FG14*AHB$4</f>
        <v>21138.595380000002</v>
      </c>
      <c r="AHA15" s="699"/>
      <c r="AHB15" s="700">
        <f>AHA15/AGY15</f>
        <v>0</v>
      </c>
      <c r="AHC15" s="593">
        <f>'Proy 2022 vs 2019 sem'!FF14*AHF$4</f>
        <v>26842.660800000001</v>
      </c>
      <c r="AHD15" s="593">
        <f>'Proy 2022 vs 2019 sem'!FG14*AHF$4</f>
        <v>24158.39472</v>
      </c>
      <c r="AHE15" s="699"/>
      <c r="AHF15" s="700">
        <f>AHE15/AHC15</f>
        <v>0</v>
      </c>
      <c r="AHG15" s="593">
        <f>'Proy 2022 vs 2019 sem'!FF14*AHJ$4</f>
        <v>36908.658600000002</v>
      </c>
      <c r="AHH15" s="593">
        <f>'Proy 2022 vs 2019 sem'!FG14*AHJ$4</f>
        <v>33217.792740000004</v>
      </c>
      <c r="AHI15" s="699"/>
      <c r="AHJ15" s="700">
        <f>AHI15/AHG15</f>
        <v>0</v>
      </c>
      <c r="AHK15" s="579">
        <f>AGI15+AGM15+AGQ15+AGU15+AGY15+AHC15+AHG15</f>
        <v>167766.63</v>
      </c>
      <c r="AHL15" s="574">
        <f>AGJ15+AGN15+AGR15+AGV15+AGZ15+AHD15+AHH15</f>
        <v>150989.967</v>
      </c>
      <c r="AHM15" s="765">
        <f>AGK15+AGO15+AGS15+AGW15+AHA15+AHE15+AHI15</f>
        <v>0</v>
      </c>
      <c r="AHN15" s="761">
        <f>AHM15/AHK15</f>
        <v>0</v>
      </c>
      <c r="AHO15" s="593">
        <f>'Proy 2022 vs 2019 sem'!FK14*AHR$4</f>
        <v>20576.8488</v>
      </c>
      <c r="AHP15" s="593">
        <f>'Proy 2022 vs 2019 sem'!FL14*AHR$4</f>
        <v>18519.163919999999</v>
      </c>
      <c r="AHQ15" s="699"/>
      <c r="AHR15" s="700">
        <f>AHQ15/AHO15</f>
        <v>0</v>
      </c>
      <c r="AHS15" s="593">
        <f>'Proy 2022 vs 2019 sem'!FK14*AHV$4</f>
        <v>20576.8488</v>
      </c>
      <c r="AHT15" s="593">
        <f>'Proy 2022 vs 2019 sem'!FL14*AHV$4</f>
        <v>18519.163919999999</v>
      </c>
      <c r="AHU15" s="699"/>
      <c r="AHV15" s="700">
        <f>AHU15/AHS15</f>
        <v>0</v>
      </c>
      <c r="AHW15" s="593">
        <f>'Proy 2022 vs 2019 sem'!FK14*AHZ$4</f>
        <v>20576.8488</v>
      </c>
      <c r="AHX15" s="593">
        <f>'Proy 2022 vs 2019 sem'!FL14*AHZ$4</f>
        <v>18519.163919999999</v>
      </c>
      <c r="AHY15" s="699"/>
      <c r="AHZ15" s="700">
        <f>AHY15/AHW15</f>
        <v>0</v>
      </c>
      <c r="AIA15" s="593">
        <f>'Proy 2022 vs 2019 sem'!FK14*AID$4</f>
        <v>20576.8488</v>
      </c>
      <c r="AIB15" s="593">
        <f>'Proy 2022 vs 2019 sem'!FL14*AID$4</f>
        <v>18519.163919999999</v>
      </c>
      <c r="AIC15" s="699"/>
      <c r="AID15" s="700">
        <f>AIC15/AIA15</f>
        <v>0</v>
      </c>
      <c r="AIE15" s="593">
        <f>'Proy 2022 vs 2019 sem'!FK14*AIH$4</f>
        <v>24006.3236</v>
      </c>
      <c r="AIF15" s="593">
        <f>'Proy 2022 vs 2019 sem'!FL14*AIH$4</f>
        <v>21605.691240000004</v>
      </c>
      <c r="AIG15" s="699"/>
      <c r="AIH15" s="700">
        <f>AIG15/AIE15</f>
        <v>0</v>
      </c>
      <c r="AII15" s="593">
        <f>'Proy 2022 vs 2019 sem'!FK14*AIL$4</f>
        <v>27435.7984</v>
      </c>
      <c r="AIJ15" s="593">
        <f>'Proy 2022 vs 2019 sem'!FL14*AIL$4</f>
        <v>24692.218560000001</v>
      </c>
      <c r="AIK15" s="699"/>
      <c r="AIL15" s="700">
        <f>AIK15/AII15</f>
        <v>0</v>
      </c>
      <c r="AIM15" s="593">
        <f>'Proy 2022 vs 2019 sem'!FK14*AIP$4</f>
        <v>37724.222799999996</v>
      </c>
      <c r="AIN15" s="593">
        <f>'Proy 2022 vs 2019 sem'!FL14*AIP$4</f>
        <v>33951.800520000004</v>
      </c>
      <c r="AIO15" s="699"/>
      <c r="AIP15" s="700">
        <f>AIO15/AIM15</f>
        <v>0</v>
      </c>
      <c r="AIQ15" s="579">
        <f>AHO15+AHS15+AHW15+AIA15+AIE15+AII15+AIM15</f>
        <v>171473.74</v>
      </c>
      <c r="AIR15" s="574">
        <f>AHP15+AHT15+AHX15+AIB15+AIF15+AIJ15+AIN15</f>
        <v>154326.36599999998</v>
      </c>
      <c r="AIS15" s="765">
        <f>AHQ15+AHU15+AHY15+AIC15+AIG15+AIK15+AIO15</f>
        <v>0</v>
      </c>
      <c r="AIT15" s="761">
        <f>AIS15/AIQ15</f>
        <v>0</v>
      </c>
      <c r="AIU15" s="593">
        <f>'Proy 2022 vs 2019 sem'!FP14*AIX$4</f>
        <v>21934.159199999998</v>
      </c>
      <c r="AIV15" s="593">
        <f>'Proy 2022 vs 2019 sem'!FQ14*AIX$4</f>
        <v>21056.792831999999</v>
      </c>
      <c r="AIW15" s="699"/>
      <c r="AIX15" s="700">
        <f>AIW15/AIU15</f>
        <v>0</v>
      </c>
      <c r="AIY15" s="593">
        <f>'Proy 2022 vs 2019 sem'!FP14*AJB$4</f>
        <v>21934.159199999998</v>
      </c>
      <c r="AIZ15" s="593">
        <f>'Proy 2022 vs 2019 sem'!FQ14*AJB$4</f>
        <v>21056.792831999999</v>
      </c>
      <c r="AJA15" s="699"/>
      <c r="AJB15" s="700">
        <f>AJA15/AIY15</f>
        <v>0</v>
      </c>
      <c r="AJC15" s="593">
        <f>'Proy 2022 vs 2019 sem'!FP14*AJF$4</f>
        <v>21934.159199999998</v>
      </c>
      <c r="AJD15" s="593">
        <f>'Proy 2022 vs 2019 sem'!FQ14*AJF$4</f>
        <v>21056.792831999999</v>
      </c>
      <c r="AJE15" s="699"/>
      <c r="AJF15" s="700">
        <f>AJE15/AJC15</f>
        <v>0</v>
      </c>
      <c r="AJG15" s="593">
        <f>'Proy 2022 vs 2019 sem'!FP14*AJJ$4</f>
        <v>21934.159199999998</v>
      </c>
      <c r="AJH15" s="593">
        <f>'Proy 2022 vs 2019 sem'!FQ14*AJJ$4</f>
        <v>21056.792831999999</v>
      </c>
      <c r="AJI15" s="699"/>
      <c r="AJJ15" s="700">
        <f>AJI15/AJG15</f>
        <v>0</v>
      </c>
      <c r="AJK15" s="593">
        <f>'Proy 2022 vs 2019 sem'!FP14*AJN$4</f>
        <v>25589.852400000003</v>
      </c>
      <c r="AJL15" s="593">
        <f>'Proy 2022 vs 2019 sem'!FQ14*AJN$4</f>
        <v>24566.258303999999</v>
      </c>
      <c r="AJM15" s="699"/>
      <c r="AJN15" s="700">
        <f>AJM15/AJK15</f>
        <v>0</v>
      </c>
      <c r="AJO15" s="593">
        <f>'Proy 2022 vs 2019 sem'!FP14*AJR$4</f>
        <v>29245.545600000001</v>
      </c>
      <c r="AJP15" s="593">
        <f>'Proy 2022 vs 2019 sem'!FQ14*AJR$4</f>
        <v>28075.723775999999</v>
      </c>
      <c r="AJQ15" s="699"/>
      <c r="AJR15" s="700">
        <f>AJQ15/AJO15</f>
        <v>0</v>
      </c>
      <c r="AJS15" s="593">
        <f>'Proy 2022 vs 2019 sem'!FP14*AJV$4</f>
        <v>40212.625200000002</v>
      </c>
      <c r="AJT15" s="593">
        <f>'Proy 2022 vs 2019 sem'!FQ14*AJV$4</f>
        <v>38604.120191999995</v>
      </c>
      <c r="AJU15" s="699"/>
      <c r="AJV15" s="700">
        <f>AJU15/AJS15</f>
        <v>0</v>
      </c>
      <c r="AJW15" s="579">
        <f>AIU15+AIY15+AJC15+AJG15+AJK15+AJO15+AJS15</f>
        <v>182784.66</v>
      </c>
      <c r="AJX15" s="574">
        <f>AIV15+AIZ15+AJD15+AJH15+AJL15+AJP15+AJT15</f>
        <v>175473.27360000001</v>
      </c>
      <c r="AJY15" s="770">
        <f>AIW15+AJA15+AJE15+AJI15+AJM15+AJQ15+AJU15</f>
        <v>0</v>
      </c>
      <c r="AJZ15" s="761">
        <f>AJY15/AJW15</f>
        <v>0</v>
      </c>
      <c r="AKA15" s="593"/>
      <c r="AKB15" s="593"/>
      <c r="AKC15" s="735"/>
      <c r="AKD15" s="700" t="e">
        <f>AKC15/AKA15</f>
        <v>#DIV/0!</v>
      </c>
      <c r="AKE15" s="593">
        <v>17806.071599999999</v>
      </c>
      <c r="AKF15" s="593">
        <v>18162.193031999999</v>
      </c>
      <c r="AKG15" s="699"/>
      <c r="AKH15" s="700">
        <f>AKG15/AKE15</f>
        <v>0</v>
      </c>
      <c r="AKI15" s="593">
        <v>17806.071599999999</v>
      </c>
      <c r="AKJ15" s="593">
        <v>18162.193031999999</v>
      </c>
      <c r="AKK15" s="699"/>
      <c r="AKL15" s="700">
        <f>AKK15/AKI15</f>
        <v>0</v>
      </c>
      <c r="AKM15" s="593">
        <v>17806.071599999999</v>
      </c>
      <c r="AKN15" s="593">
        <v>18162.193031999999</v>
      </c>
      <c r="AKO15" s="699"/>
      <c r="AKP15" s="700">
        <f>AKO15/AKM15</f>
        <v>0</v>
      </c>
      <c r="AKQ15" s="593">
        <v>20773.750200000002</v>
      </c>
      <c r="AKR15" s="593">
        <v>21189.225204000002</v>
      </c>
      <c r="AKS15" s="699"/>
      <c r="AKT15" s="700">
        <f>AKS15/AKQ15</f>
        <v>0</v>
      </c>
      <c r="AKU15" s="593">
        <v>23741.428799999998</v>
      </c>
      <c r="AKV15" s="593">
        <v>24216.257376000001</v>
      </c>
      <c r="AKW15" s="699"/>
      <c r="AKX15" s="700">
        <f>AKW15/AKU15</f>
        <v>0</v>
      </c>
      <c r="AKY15" s="593">
        <v>32644.464599999999</v>
      </c>
      <c r="AKZ15" s="593">
        <v>33297.353891999999</v>
      </c>
      <c r="ALA15" s="699"/>
      <c r="ALB15" s="700">
        <f>ALA15/AKY15</f>
        <v>0</v>
      </c>
      <c r="ALC15" s="579">
        <f>AKA15+AKE15+AKI15+AKM15+AKQ15+AKU15+AKY15</f>
        <v>130577.8584</v>
      </c>
      <c r="ALD15" s="574">
        <f>AKB15+AKF15+AKJ15+AKN15+AKR15+AKV15+AKZ15</f>
        <v>133189.415568</v>
      </c>
      <c r="ALE15" s="793">
        <f>AKC15+AKG15+AKK15+AKO15+AKS15+AKW15+ALA15</f>
        <v>0</v>
      </c>
      <c r="ALF15" s="786">
        <f>ALE15/ALC15</f>
        <v>0</v>
      </c>
      <c r="ALG15" s="593">
        <v>20422.232399999997</v>
      </c>
      <c r="ALH15" s="593">
        <v>20830.677047999998</v>
      </c>
      <c r="ALI15" s="699"/>
      <c r="ALJ15" s="700">
        <f>ALI15/ALG15</f>
        <v>0</v>
      </c>
      <c r="ALK15" s="593">
        <v>20422.232399999997</v>
      </c>
      <c r="ALL15" s="593">
        <v>20830.677047999998</v>
      </c>
      <c r="ALM15" s="699"/>
      <c r="ALN15" s="700">
        <f>ALM15/ALK15</f>
        <v>0</v>
      </c>
      <c r="ALO15" s="593">
        <v>20422.232399999997</v>
      </c>
      <c r="ALP15" s="593">
        <v>20830.677047999998</v>
      </c>
      <c r="ALQ15" s="699"/>
      <c r="ALR15" s="700">
        <f>ALQ15/ALO15</f>
        <v>0</v>
      </c>
      <c r="ALS15" s="593">
        <v>20422.232399999997</v>
      </c>
      <c r="ALT15" s="593">
        <v>20830.677047999998</v>
      </c>
      <c r="ALU15" s="699"/>
      <c r="ALV15" s="700">
        <f>ALU15/ALS15</f>
        <v>0</v>
      </c>
      <c r="ALW15" s="593">
        <v>23825.9378</v>
      </c>
      <c r="ALX15" s="593">
        <v>24302.456556000001</v>
      </c>
      <c r="ALY15" s="699"/>
      <c r="ALZ15" s="700">
        <f>ALY15/ALW15</f>
        <v>0</v>
      </c>
      <c r="AMA15" s="593">
        <v>27229.643199999999</v>
      </c>
      <c r="AMB15" s="593">
        <v>27774.236064000001</v>
      </c>
      <c r="AMC15" s="699"/>
      <c r="AMD15" s="700">
        <f>AMC15/AMA15</f>
        <v>0</v>
      </c>
      <c r="AME15" s="593">
        <v>37440.759399999995</v>
      </c>
      <c r="AMF15" s="593">
        <v>38189.574587999996</v>
      </c>
      <c r="AMG15" s="699"/>
      <c r="AMH15" s="700">
        <f>AMG15/AME15</f>
        <v>0</v>
      </c>
      <c r="AMI15" s="579">
        <f>ALG15+ALK15+ALO15+ALS15+ALW15+AMA15+AME15</f>
        <v>170185.26999999996</v>
      </c>
      <c r="AMJ15" s="574">
        <f>ALH15+ALL15+ALP15+ALT15+ALX15+AMB15+AMF15</f>
        <v>173588.9754</v>
      </c>
      <c r="AMK15" s="794">
        <f>ALI15+ALM15+ALQ15+ALU15+ALY15+AMC15+AMG15</f>
        <v>0</v>
      </c>
      <c r="AML15" s="786">
        <f>AMK15/AMI15</f>
        <v>0</v>
      </c>
      <c r="AMM15" s="593">
        <v>20683.6548</v>
      </c>
      <c r="AMN15" s="593">
        <v>21097.327895999999</v>
      </c>
      <c r="AMO15" s="699"/>
      <c r="AMP15" s="700">
        <f>AMO15/AMM15</f>
        <v>0</v>
      </c>
      <c r="AMQ15" s="593">
        <v>20683.6548</v>
      </c>
      <c r="AMR15" s="593">
        <v>21097.327895999999</v>
      </c>
      <c r="AMS15" s="699"/>
      <c r="AMT15" s="700">
        <f>AMS15/AMQ15</f>
        <v>0</v>
      </c>
      <c r="AMU15" s="593">
        <v>20683.6548</v>
      </c>
      <c r="AMV15" s="593">
        <v>21097.327895999999</v>
      </c>
      <c r="AMW15" s="699"/>
      <c r="AMX15" s="700">
        <f>AMW15/AMU15</f>
        <v>0</v>
      </c>
      <c r="AMY15" s="593">
        <v>20683.6548</v>
      </c>
      <c r="AMZ15" s="593">
        <v>21097.327895999999</v>
      </c>
      <c r="ANA15" s="699"/>
      <c r="ANB15" s="700">
        <f>ANA15/AMY15</f>
        <v>0</v>
      </c>
      <c r="ANC15" s="593">
        <v>24130.930600000003</v>
      </c>
      <c r="AND15" s="593">
        <v>24613.549212000005</v>
      </c>
      <c r="ANE15" s="699"/>
      <c r="ANF15" s="700">
        <f>ANE15/ANC15</f>
        <v>0</v>
      </c>
      <c r="ANG15" s="593">
        <v>27578.206400000003</v>
      </c>
      <c r="ANH15" s="593">
        <v>28129.770528000001</v>
      </c>
      <c r="ANI15" s="699"/>
      <c r="ANJ15" s="700">
        <f>ANI15/ANG15</f>
        <v>0</v>
      </c>
      <c r="ANK15" s="593">
        <v>37920.033800000005</v>
      </c>
      <c r="ANL15" s="593">
        <v>38678.434476000002</v>
      </c>
      <c r="ANM15" s="699"/>
      <c r="ANN15" s="700">
        <f>ANM15/ANK15</f>
        <v>0</v>
      </c>
      <c r="ANO15" s="579">
        <f>AMM15+AMQ15+AMU15+AMY15+ANC15+ANG15+ANK15</f>
        <v>172363.79</v>
      </c>
      <c r="ANP15" s="574">
        <f>AMN15+AMR15+AMV15+AMZ15+AND15+ANH15+ANL15</f>
        <v>175811.06579999998</v>
      </c>
      <c r="ANQ15" s="794">
        <f>AMO15+AMS15+AMW15+ANA15+ANE15+ANI15+ANM15</f>
        <v>0</v>
      </c>
      <c r="ANR15" s="786">
        <f>ANQ15/ANO15</f>
        <v>0</v>
      </c>
      <c r="ANS15" s="593">
        <f>'Proy 2022 vs 2019 sem'!GN14*ANV$4</f>
        <v>19144.3992</v>
      </c>
      <c r="ANT15" s="593">
        <f>'Proy 2022 vs 2019 sem'!GO14*ANV$4</f>
        <v>18761.511215999999</v>
      </c>
      <c r="ANU15" s="699"/>
      <c r="ANV15" s="700">
        <f>ANU15/ANS15</f>
        <v>0</v>
      </c>
      <c r="ANW15" s="593">
        <f>'Proy 2022 vs 2019 sem'!GN14*ANZ$4</f>
        <v>19144.3992</v>
      </c>
      <c r="ANX15" s="593">
        <f>'Proy 2022 vs 2019 sem'!GO14*ANZ$4</f>
        <v>18761.511215999999</v>
      </c>
      <c r="ANY15" s="699"/>
      <c r="ANZ15" s="700">
        <f>ANY15/ANW15</f>
        <v>0</v>
      </c>
      <c r="AOA15" s="593">
        <f>'Proy 2022 vs 2019 sem'!GN14*AOD$4</f>
        <v>19144.3992</v>
      </c>
      <c r="AOB15" s="593">
        <f>'Proy 2022 vs 2019 sem'!GO14*AOD$4</f>
        <v>18761.511215999999</v>
      </c>
      <c r="AOC15" s="699"/>
      <c r="AOD15" s="700">
        <f>AOC15/AOA15</f>
        <v>0</v>
      </c>
      <c r="AOE15" s="593">
        <f>'Proy 2022 vs 2019 sem'!GN14*AOH$4</f>
        <v>19144.3992</v>
      </c>
      <c r="AOF15" s="593">
        <f>'Proy 2022 vs 2019 sem'!GO14*AOH$4</f>
        <v>18761.511215999999</v>
      </c>
      <c r="AOG15" s="699"/>
      <c r="AOH15" s="700">
        <f>AOG15/AOE15</f>
        <v>0</v>
      </c>
      <c r="AOI15" s="593">
        <f>'Proy 2022 vs 2019 sem'!GN14*AOL$4</f>
        <v>22335.132400000002</v>
      </c>
      <c r="AOJ15" s="593">
        <f>'Proy 2022 vs 2019 sem'!GO14*AOL$4</f>
        <v>21888.429752</v>
      </c>
      <c r="AOK15" s="699"/>
      <c r="AOL15" s="700">
        <f>AOK15/AOI15</f>
        <v>0</v>
      </c>
      <c r="AOM15" s="593">
        <f>'Proy 2022 vs 2019 sem'!GN14*AOP$4</f>
        <v>25525.865600000001</v>
      </c>
      <c r="AON15" s="593">
        <f>'Proy 2022 vs 2019 sem'!GO14*AOP$4</f>
        <v>25015.348287999997</v>
      </c>
      <c r="AOO15" s="699"/>
      <c r="AOP15" s="700">
        <f>AOO15/AOM15</f>
        <v>0</v>
      </c>
      <c r="AOQ15" s="593">
        <f>'Proy 2022 vs 2019 sem'!GN14*AOT$4</f>
        <v>35098.065200000005</v>
      </c>
      <c r="AOR15" s="593">
        <f>'Proy 2022 vs 2019 sem'!GO14*AOT$4</f>
        <v>34396.103896000001</v>
      </c>
      <c r="AOS15" s="699"/>
      <c r="AOT15" s="700">
        <f>AOS15/AOQ15</f>
        <v>0</v>
      </c>
      <c r="AOU15" s="579">
        <f>ANS15+ANW15+AOA15+AOE15+AOI15+AOM15+AOQ15</f>
        <v>159536.66</v>
      </c>
      <c r="AOV15" s="574">
        <f>ANT15+ANX15+AOB15+AOF15+AOJ15+AON15+AOR15</f>
        <v>156345.92679999999</v>
      </c>
      <c r="AOW15" s="785">
        <f>ANU15+ANY15+AOC15+AOG15+AOK15+AOO15+AOS15</f>
        <v>0</v>
      </c>
      <c r="AOX15" s="786">
        <f>AOW15/AOU15</f>
        <v>0</v>
      </c>
      <c r="AOY15" s="593">
        <f>'Proy 2022 vs 2019 sem'!GW14*APB$4</f>
        <v>19059.84</v>
      </c>
      <c r="AOZ15" s="593">
        <f>'Proy 2022 vs 2019 sem'!GX14*APB$4</f>
        <v>19059.84</v>
      </c>
      <c r="APA15" s="735"/>
      <c r="APB15" s="700">
        <f>APA15/AOY15</f>
        <v>0</v>
      </c>
      <c r="APC15" s="593">
        <f>'Proy 2022 vs 2019 sem'!GW14*APF$4</f>
        <v>19059.84</v>
      </c>
      <c r="APD15" s="593">
        <f>'Proy 2022 vs 2019 sem'!GX14*APF$4</f>
        <v>19059.84</v>
      </c>
      <c r="APE15" s="735"/>
      <c r="APF15" s="700">
        <f>APE15/APC15</f>
        <v>0</v>
      </c>
      <c r="APG15" s="593">
        <f>'Proy 2022 vs 2019 sem'!GW14*APJ$4</f>
        <v>19059.84</v>
      </c>
      <c r="APH15" s="593">
        <f>'Proy 2022 vs 2019 sem'!GX14*APJ$4</f>
        <v>19059.84</v>
      </c>
      <c r="API15" s="735"/>
      <c r="APJ15" s="700">
        <f>API15/APG15</f>
        <v>0</v>
      </c>
      <c r="APK15" s="593">
        <f>'Proy 2022 vs 2019 sem'!GW14*APN$4</f>
        <v>19059.84</v>
      </c>
      <c r="APL15" s="593">
        <f>'Proy 2022 vs 2019 sem'!GX14*APN$4</f>
        <v>19059.84</v>
      </c>
      <c r="APM15" s="735"/>
      <c r="APN15" s="700">
        <f>APM15/APK15</f>
        <v>0</v>
      </c>
      <c r="APO15" s="593">
        <f>'Proy 2022 vs 2019 sem'!GW14*APR$4</f>
        <v>22236.480000000003</v>
      </c>
      <c r="APP15" s="593">
        <f>'Proy 2022 vs 2019 sem'!GX14*APR$4</f>
        <v>22236.480000000003</v>
      </c>
      <c r="APQ15" s="735"/>
      <c r="APR15" s="700">
        <f>APQ15/APO15</f>
        <v>0</v>
      </c>
      <c r="APS15" s="593">
        <f>'Proy 2022 vs 2019 sem'!GW14*APV$4</f>
        <v>25413.119999999999</v>
      </c>
      <c r="APT15" s="593">
        <f>'Proy 2022 vs 2019 sem'!GX14*APV$4</f>
        <v>25413.119999999999</v>
      </c>
      <c r="APU15" s="735"/>
      <c r="APV15" s="700">
        <f>APU15/APS15</f>
        <v>0</v>
      </c>
      <c r="APW15" s="593">
        <f>'Proy 2022 vs 2019 sem'!GW14*APZ$4</f>
        <v>34943.040000000001</v>
      </c>
      <c r="APX15" s="593">
        <f>'Proy 2022 vs 2019 sem'!GX14*APZ$4</f>
        <v>34943.040000000001</v>
      </c>
      <c r="APY15" s="735"/>
      <c r="APZ15" s="700">
        <f>APY15/APW15</f>
        <v>0</v>
      </c>
      <c r="AQA15" s="579">
        <f>AOY15+APC15+APG15+APK15+APO15+APS15+APW15</f>
        <v>158832</v>
      </c>
      <c r="AQB15" s="574">
        <f>AOZ15+APD15+APH15+APL15+APP15+APT15+APX15</f>
        <v>158832</v>
      </c>
      <c r="AQC15" s="729">
        <f>APA15+APE15+API15+APM15+APQ15+APU15+APY15</f>
        <v>0</v>
      </c>
      <c r="AQD15" s="711">
        <f>AQC15/AQA15</f>
        <v>0</v>
      </c>
      <c r="AQE15" s="593">
        <f>'Proy 2022 vs 2019 sem'!HB14*AQH$4</f>
        <v>17035.591199999999</v>
      </c>
      <c r="AQF15" s="593">
        <f>'Proy 2022 vs 2019 sem'!HC14*AQH$4</f>
        <v>17035.591199999999</v>
      </c>
      <c r="AQG15" s="699"/>
      <c r="AQH15" s="700">
        <f>AQG15/AQE15</f>
        <v>0</v>
      </c>
      <c r="AQI15" s="593">
        <f>'Proy 2022 vs 2019 sem'!HB14*AQL$4</f>
        <v>17035.591199999999</v>
      </c>
      <c r="AQJ15" s="593">
        <f>'Proy 2022 vs 2019 sem'!HC14*AQL$4</f>
        <v>17035.591199999999</v>
      </c>
      <c r="AQK15" s="699"/>
      <c r="AQL15" s="700">
        <f>AQK15/AQI15</f>
        <v>0</v>
      </c>
      <c r="AQM15" s="593">
        <f>'Proy 2022 vs 2019 sem'!HB14*AQP$4</f>
        <v>17035.591199999999</v>
      </c>
      <c r="AQN15" s="593">
        <f>'Proy 2022 vs 2019 sem'!HC14*AQP$4</f>
        <v>17035.591199999999</v>
      </c>
      <c r="AQO15" s="699"/>
      <c r="AQP15" s="700">
        <f>AQO15/AQM15</f>
        <v>0</v>
      </c>
      <c r="AQQ15" s="593">
        <f>'Proy 2022 vs 2019 sem'!HB14*AQT$4</f>
        <v>17035.591199999999</v>
      </c>
      <c r="AQR15" s="593">
        <f>'Proy 2022 vs 2019 sem'!HC14*AQT$4</f>
        <v>17035.591199999999</v>
      </c>
      <c r="AQS15" s="699"/>
      <c r="AQT15" s="700">
        <f>AQS15/AQQ15</f>
        <v>0</v>
      </c>
      <c r="AQU15" s="593">
        <f>'Proy 2022 vs 2019 sem'!HB14*AQX$4</f>
        <v>19874.856400000004</v>
      </c>
      <c r="AQV15" s="593">
        <f>'Proy 2022 vs 2019 sem'!HC14*AQX$4</f>
        <v>19874.856400000004</v>
      </c>
      <c r="AQW15" s="699"/>
      <c r="AQX15" s="700">
        <f>AQW15/AQU15</f>
        <v>0</v>
      </c>
      <c r="AQY15" s="593">
        <f>'Proy 2022 vs 2019 sem'!HB14*ARB$4</f>
        <v>22714.121600000002</v>
      </c>
      <c r="AQZ15" s="593">
        <f>'Proy 2022 vs 2019 sem'!HC14*ARB$4</f>
        <v>22714.121600000002</v>
      </c>
      <c r="ARA15" s="699"/>
      <c r="ARB15" s="700">
        <f>ARA15/AQY15</f>
        <v>0</v>
      </c>
      <c r="ARC15" s="593">
        <f>'Proy 2022 vs 2019 sem'!HB14*ARF$4</f>
        <v>31231.917200000004</v>
      </c>
      <c r="ARD15" s="593">
        <f>'Proy 2022 vs 2019 sem'!HC14*ARF$4</f>
        <v>31231.917200000004</v>
      </c>
      <c r="ARE15" s="699"/>
      <c r="ARF15" s="700">
        <f>ARE15/ARC15</f>
        <v>0</v>
      </c>
      <c r="ARG15" s="579">
        <f>AQE15+AQI15+AQM15+AQQ15+AQU15+AQY15+ARC15</f>
        <v>141963.26</v>
      </c>
      <c r="ARH15" s="574">
        <f>AQF15+AQJ15+AQN15+AQR15+AQV15+AQZ15+ARD15</f>
        <v>141963.26</v>
      </c>
      <c r="ARI15" s="730">
        <f>AQG15+AQK15+AQO15+AQS15+AQW15+ARA15+ARE15</f>
        <v>0</v>
      </c>
      <c r="ARJ15" s="711">
        <f>ARI15/ARG15</f>
        <v>0</v>
      </c>
      <c r="ARK15" s="593">
        <f>'Proy 2022 vs 2019 sem'!HG14*ARN$4</f>
        <v>15962.082</v>
      </c>
      <c r="ARL15" s="593">
        <f>'Proy 2022 vs 2019 sem'!HH14*ARN$4</f>
        <v>15962.082</v>
      </c>
      <c r="ARM15" s="699"/>
      <c r="ARN15" s="700">
        <f>ARM15/ARK15</f>
        <v>0</v>
      </c>
      <c r="ARO15" s="593">
        <f>'Proy 2022 vs 2019 sem'!HG14*ARR$4</f>
        <v>15962.082</v>
      </c>
      <c r="ARP15" s="593">
        <f>'Proy 2022 vs 2019 sem'!HH14*ARR$4</f>
        <v>15962.082</v>
      </c>
      <c r="ARQ15" s="699"/>
      <c r="ARR15" s="700">
        <f>ARQ15/ARO15</f>
        <v>0</v>
      </c>
      <c r="ARS15" s="593">
        <f>'Proy 2022 vs 2019 sem'!HG14*ARV$4</f>
        <v>15962.082</v>
      </c>
      <c r="ART15" s="593">
        <f>'Proy 2022 vs 2019 sem'!HH14*ARV$4</f>
        <v>15962.082</v>
      </c>
      <c r="ARU15" s="699"/>
      <c r="ARV15" s="700">
        <f>ARU15/ARS15</f>
        <v>0</v>
      </c>
      <c r="ARW15" s="593">
        <f>'Proy 2022 vs 2019 sem'!HG14*ARZ$4</f>
        <v>15962.082</v>
      </c>
      <c r="ARX15" s="593">
        <f>'Proy 2022 vs 2019 sem'!HH14*ARZ$4</f>
        <v>15962.082</v>
      </c>
      <c r="ARY15" s="699"/>
      <c r="ARZ15" s="700">
        <f>ARY15/ARW15</f>
        <v>0</v>
      </c>
      <c r="ASA15" s="593">
        <f>'Proy 2022 vs 2019 sem'!HG14*ASD$4</f>
        <v>18622.429000000004</v>
      </c>
      <c r="ASB15" s="593">
        <f>'Proy 2022 vs 2019 sem'!HH14*ASD$4</f>
        <v>18622.429000000004</v>
      </c>
      <c r="ASC15" s="699"/>
      <c r="ASD15" s="700">
        <f>ASC15/ASA15</f>
        <v>0</v>
      </c>
      <c r="ASE15" s="593">
        <f>'Proy 2022 vs 2019 sem'!HG14*ASH$4</f>
        <v>21282.776000000002</v>
      </c>
      <c r="ASF15" s="593">
        <f>'Proy 2022 vs 2019 sem'!HH14*ASH$4</f>
        <v>21282.776000000002</v>
      </c>
      <c r="ASG15" s="699"/>
      <c r="ASH15" s="700">
        <f>ASG15/ASE15</f>
        <v>0</v>
      </c>
      <c r="ASI15" s="593">
        <f>'Proy 2022 vs 2019 sem'!HG14*ASL$4</f>
        <v>29263.817000000003</v>
      </c>
      <c r="ASJ15" s="593">
        <f>'Proy 2022 vs 2019 sem'!HH14*ASL$4</f>
        <v>29263.817000000003</v>
      </c>
      <c r="ASK15" s="699"/>
      <c r="ASL15" s="700">
        <f>ASK15/ASI15</f>
        <v>0</v>
      </c>
      <c r="ASM15" s="579">
        <f>ARK15+ARO15+ARS15+ARW15+ASA15+ASE15+ASI15</f>
        <v>133017.35</v>
      </c>
      <c r="ASN15" s="574">
        <f>ARL15+ARP15+ART15+ARX15+ASB15+ASF15+ASJ15</f>
        <v>133017.35</v>
      </c>
      <c r="ASO15" s="730">
        <f>ARM15+ARQ15+ARU15+ARY15+ASC15+ASG15+ASK15</f>
        <v>0</v>
      </c>
      <c r="ASP15" s="711">
        <f>ASO15/ASM15</f>
        <v>0</v>
      </c>
      <c r="ASQ15" s="593">
        <f>'Proy 2022 vs 2019 sem'!HL14*AST$4</f>
        <v>16002.171599999998</v>
      </c>
      <c r="ASR15" s="593">
        <f>'Proy 2022 vs 2019 sem'!HM14*AST$4</f>
        <v>16002.171599999998</v>
      </c>
      <c r="ASS15" s="699"/>
      <c r="AST15" s="700">
        <f>ASS15/ASQ15</f>
        <v>0</v>
      </c>
      <c r="ASU15" s="593">
        <f>'Proy 2022 vs 2019 sem'!HL14*ASX$4</f>
        <v>16002.171599999998</v>
      </c>
      <c r="ASV15" s="593">
        <f>'Proy 2022 vs 2019 sem'!HM14*ASX$4</f>
        <v>16002.171599999998</v>
      </c>
      <c r="ASW15" s="699"/>
      <c r="ASX15" s="700">
        <f>ASW15/ASU15</f>
        <v>0</v>
      </c>
      <c r="ASY15" s="593">
        <f>'Proy 2022 vs 2019 sem'!HL14*ATB$4</f>
        <v>16002.171599999998</v>
      </c>
      <c r="ASZ15" s="593">
        <f>'Proy 2022 vs 2019 sem'!HM14*ATB$4</f>
        <v>16002.171599999998</v>
      </c>
      <c r="ATA15" s="699"/>
      <c r="ATB15" s="700">
        <f>ATA15/ASY15</f>
        <v>0</v>
      </c>
      <c r="ATC15" s="593">
        <f>'Proy 2022 vs 2019 sem'!HL14*ATF$4</f>
        <v>16002.171599999998</v>
      </c>
      <c r="ATD15" s="593">
        <f>'Proy 2022 vs 2019 sem'!HM14*ATF$4</f>
        <v>16002.171599999998</v>
      </c>
      <c r="ATE15" s="699"/>
      <c r="ATF15" s="700">
        <f>ATE15/ATC15</f>
        <v>0</v>
      </c>
      <c r="ATG15" s="593">
        <f>'Proy 2022 vs 2019 sem'!HL14*ATJ$4</f>
        <v>18669.200199999999</v>
      </c>
      <c r="ATH15" s="593">
        <f>'Proy 2022 vs 2019 sem'!HM14*ATJ$4</f>
        <v>18669.200199999999</v>
      </c>
      <c r="ATI15" s="699"/>
      <c r="ATJ15" s="700">
        <f>ATI15/ATG15</f>
        <v>0</v>
      </c>
      <c r="ATK15" s="593">
        <f>'Proy 2022 vs 2019 sem'!HL14*ATN$4</f>
        <v>21336.228800000001</v>
      </c>
      <c r="ATL15" s="593">
        <f>'Proy 2022 vs 2019 sem'!HM14*ATN$4</f>
        <v>21336.228800000001</v>
      </c>
      <c r="ATM15" s="699"/>
      <c r="ATN15" s="700">
        <f>ATM15/ATK15</f>
        <v>0</v>
      </c>
      <c r="ATO15" s="593">
        <f>'Proy 2022 vs 2019 sem'!HL14*ATR$4</f>
        <v>29337.314599999998</v>
      </c>
      <c r="ATP15" s="593">
        <f>'Proy 2022 vs 2019 sem'!HM14*ATR$4</f>
        <v>29337.314599999998</v>
      </c>
      <c r="ATQ15" s="699"/>
      <c r="ATR15" s="700">
        <f>ATQ15/ATO15</f>
        <v>0</v>
      </c>
      <c r="ATS15" s="579">
        <f>ASQ15+ASU15+ASY15+ATC15+ATG15+ATK15+ATO15</f>
        <v>133351.43</v>
      </c>
      <c r="ATT15" s="574">
        <f>ASR15+ASV15+ASZ15+ATD15+ATH15+ATL15+ATP15</f>
        <v>133351.43</v>
      </c>
      <c r="ATU15" s="710">
        <f>ASS15+ASW15+ATA15+ATE15+ATI15+ATM15+ATQ15</f>
        <v>0</v>
      </c>
      <c r="ATV15" s="711">
        <f>ATU15/ATS15</f>
        <v>0</v>
      </c>
      <c r="ATW15" s="593">
        <f>'Proy 2022 vs 2019 sem'!HQ14*ATZ$4</f>
        <v>17910.516</v>
      </c>
      <c r="ATX15" s="593">
        <f>'Proy 2022 vs 2019 sem'!HR14*ATZ$4</f>
        <v>17910.516</v>
      </c>
      <c r="ATY15" s="699"/>
      <c r="ATZ15" s="700">
        <f>ATY15/ATW15</f>
        <v>0</v>
      </c>
      <c r="AUA15" s="593">
        <f>'Proy 2022 vs 2019 sem'!HQ14*AUD$4</f>
        <v>17910.516</v>
      </c>
      <c r="AUB15" s="593">
        <f>'Proy 2022 vs 2019 sem'!HR14*AUD$4</f>
        <v>17910.516</v>
      </c>
      <c r="AUC15" s="699"/>
      <c r="AUD15" s="700">
        <f>AUC15/AUA15</f>
        <v>0</v>
      </c>
      <c r="AUE15" s="593">
        <f>'Proy 2022 vs 2019 sem'!HQ14*AUH$4</f>
        <v>17910.516</v>
      </c>
      <c r="AUF15" s="593">
        <f>'Proy 2022 vs 2019 sem'!HR14*AUH$4</f>
        <v>17910.516</v>
      </c>
      <c r="AUG15" s="699"/>
      <c r="AUH15" s="700">
        <f>AUG15/AUE15</f>
        <v>0</v>
      </c>
      <c r="AUI15" s="593">
        <f>'Proy 2022 vs 2019 sem'!HQ14*AUL$4</f>
        <v>17910.516</v>
      </c>
      <c r="AUJ15" s="593">
        <f>'Proy 2022 vs 2019 sem'!HR14*AUL$4</f>
        <v>17910.516</v>
      </c>
      <c r="AUK15" s="699"/>
      <c r="AUL15" s="700">
        <f>AUK15/AUI15</f>
        <v>0</v>
      </c>
      <c r="AUM15" s="593">
        <f>'Proy 2022 vs 2019 sem'!HQ14*AUP$4</f>
        <v>20895.601999999999</v>
      </c>
      <c r="AUN15" s="593">
        <f>'Proy 2022 vs 2019 sem'!HR14*AUP$4</f>
        <v>20895.601999999999</v>
      </c>
      <c r="AUO15" s="699"/>
      <c r="AUP15" s="700">
        <f>AUO15/AUM15</f>
        <v>0</v>
      </c>
      <c r="AUQ15" s="593">
        <f>'Proy 2022 vs 2019 sem'!HQ14*AUT$4</f>
        <v>23880.687999999998</v>
      </c>
      <c r="AUR15" s="593">
        <f>'Proy 2022 vs 2019 sem'!HR14*AUT$4</f>
        <v>23880.687999999998</v>
      </c>
      <c r="AUS15" s="699"/>
      <c r="AUT15" s="700">
        <f>AUS15/AUQ15</f>
        <v>0</v>
      </c>
      <c r="AUU15" s="593">
        <f>'Proy 2022 vs 2019 sem'!HQ14*AUX$4</f>
        <v>32835.945999999996</v>
      </c>
      <c r="AUV15" s="593">
        <f>'Proy 2022 vs 2019 sem'!HR14*AUX$4</f>
        <v>32835.945999999996</v>
      </c>
      <c r="AUW15" s="699"/>
      <c r="AUX15" s="700">
        <f>AUW15/AUU15</f>
        <v>0</v>
      </c>
      <c r="AUY15" s="579">
        <f>ATW15+AUA15+AUE15+AUI15+AUM15+AUQ15+AUU15</f>
        <v>149254.29999999999</v>
      </c>
      <c r="AUZ15" s="574">
        <f>ATX15+AUB15+AUF15+AUJ15+AUN15+AUR15+AUV15</f>
        <v>149254.29999999999</v>
      </c>
      <c r="AVA15" s="710">
        <f>ATY15+AUC15+AUG15+AUK15+AUO15+AUS15+AUW15</f>
        <v>0</v>
      </c>
      <c r="AVB15" s="711">
        <f>AVA15/AUY15</f>
        <v>0</v>
      </c>
      <c r="AVC15" s="593">
        <f>'Proy 2022 vs 2019 sem'!HZ14*AVF$4</f>
        <v>16282.264800000001</v>
      </c>
      <c r="AVD15" s="593">
        <f>'Proy 2022 vs 2019 sem'!IA14*AVF$4</f>
        <v>16282.264800000001</v>
      </c>
      <c r="AVE15" s="735"/>
      <c r="AVF15" s="700">
        <f>AVE15/AVC15</f>
        <v>0</v>
      </c>
      <c r="AVG15" s="593">
        <f>'Proy 2022 vs 2019 sem'!HZ14*AVJ$4</f>
        <v>16282.264800000001</v>
      </c>
      <c r="AVH15" s="593">
        <f>'Proy 2022 vs 2019 sem'!IA14*AVJ$4</f>
        <v>16282.264800000001</v>
      </c>
      <c r="AVI15" s="699"/>
      <c r="AVJ15" s="700">
        <f>AVI15/AVG15</f>
        <v>0</v>
      </c>
      <c r="AVK15" s="593">
        <f>'Proy 2022 vs 2019 sem'!HZ14*AVN$4</f>
        <v>16282.264800000001</v>
      </c>
      <c r="AVL15" s="593">
        <f>'Proy 2022 vs 2019 sem'!IA14*AVN$4</f>
        <v>16282.264800000001</v>
      </c>
      <c r="AVM15" s="699"/>
      <c r="AVN15" s="700">
        <f>AVM15/AVK15</f>
        <v>0</v>
      </c>
      <c r="AVO15" s="593">
        <f>'Proy 2022 vs 2019 sem'!HZ14*AVR$4</f>
        <v>16282.264800000001</v>
      </c>
      <c r="AVP15" s="593">
        <f>'Proy 2022 vs 2019 sem'!IA14*AVR$4</f>
        <v>16282.264800000001</v>
      </c>
      <c r="AVQ15" s="699"/>
      <c r="AVR15" s="700">
        <f>AVQ15/AVO15</f>
        <v>0</v>
      </c>
      <c r="AVS15" s="593">
        <f>'Proy 2022 vs 2019 sem'!HZ14*AVV$4</f>
        <v>18995.975600000002</v>
      </c>
      <c r="AVT15" s="593">
        <f>'Proy 2022 vs 2019 sem'!IA14*AVV$4</f>
        <v>18995.975600000002</v>
      </c>
      <c r="AVU15" s="699"/>
      <c r="AVV15" s="700">
        <f>AVU15/AVS15</f>
        <v>0</v>
      </c>
      <c r="AVW15" s="593">
        <f>'Proy 2022 vs 2019 sem'!HZ14*AVZ$4</f>
        <v>21709.686400000002</v>
      </c>
      <c r="AVX15" s="593">
        <f>'Proy 2022 vs 2019 sem'!IA14*AVZ$4</f>
        <v>21709.686400000002</v>
      </c>
      <c r="AVY15" s="699"/>
      <c r="AVZ15" s="700">
        <f>AVY15/AVW15</f>
        <v>0</v>
      </c>
      <c r="AWA15" s="593">
        <f>'Proy 2022 vs 2019 sem'!HZ14*AWD$4</f>
        <v>29850.818800000001</v>
      </c>
      <c r="AWB15" s="593">
        <f>'Proy 2022 vs 2019 sem'!IA14*AWD$4</f>
        <v>29850.818800000001</v>
      </c>
      <c r="AWC15" s="699"/>
      <c r="AWD15" s="700">
        <f>AWC15/AWA15</f>
        <v>0</v>
      </c>
      <c r="AWE15" s="579">
        <f>AVC15+AVG15+AVK15+AVO15+AVS15+AVW15+AWA15</f>
        <v>135685.54</v>
      </c>
      <c r="AWF15" s="574">
        <f>AVD15+AVH15+AVL15+AVP15+AVT15+AVX15+AWB15</f>
        <v>135685.54</v>
      </c>
      <c r="AWG15" s="793">
        <f>AVE15+AVI15+AVM15+AVQ15+AVU15+AVY15+AWC15</f>
        <v>0</v>
      </c>
      <c r="AWH15" s="786">
        <f>AWG15/AWE15</f>
        <v>0</v>
      </c>
      <c r="AWI15" s="593">
        <f>'Proy 2022 vs 2019 sem'!IE14*AWL$4</f>
        <v>18980.842799999999</v>
      </c>
      <c r="AWJ15" s="593">
        <f>'Proy 2022 vs 2019 sem'!IF14*AWL$4</f>
        <v>18601.225943999998</v>
      </c>
      <c r="AWK15" s="699"/>
      <c r="AWL15" s="700">
        <f>AWK15/AWI15</f>
        <v>0</v>
      </c>
      <c r="AWM15" s="593">
        <f>'Proy 2022 vs 2019 sem'!IE14*AWP$4</f>
        <v>18980.842799999999</v>
      </c>
      <c r="AWN15" s="593">
        <f>'Proy 2022 vs 2019 sem'!IF14*AWP$4</f>
        <v>18601.225943999998</v>
      </c>
      <c r="AWO15" s="699"/>
      <c r="AWP15" s="700">
        <f>AWO15/AWM15</f>
        <v>0</v>
      </c>
      <c r="AWQ15" s="593">
        <f>'Proy 2022 vs 2019 sem'!IE14*AWT$4</f>
        <v>18980.842799999999</v>
      </c>
      <c r="AWR15" s="593">
        <f>'Proy 2022 vs 2019 sem'!IF14*AWT$4</f>
        <v>18601.225943999998</v>
      </c>
      <c r="AWS15" s="699"/>
      <c r="AWT15" s="700">
        <f>AWS15/AWQ15</f>
        <v>0</v>
      </c>
      <c r="AWU15" s="593">
        <f>'Proy 2022 vs 2019 sem'!IE14*AWX$4</f>
        <v>18980.842799999999</v>
      </c>
      <c r="AWV15" s="593">
        <f>'Proy 2022 vs 2019 sem'!IF14*AWX$4</f>
        <v>18601.225943999998</v>
      </c>
      <c r="AWW15" s="699"/>
      <c r="AWX15" s="700">
        <f>AWW15/AWU15</f>
        <v>0</v>
      </c>
      <c r="AWY15" s="593">
        <f>'Proy 2022 vs 2019 sem'!IE14*AXB$4</f>
        <v>22144.316600000002</v>
      </c>
      <c r="AWZ15" s="593">
        <f>'Proy 2022 vs 2019 sem'!IF14*AXB$4</f>
        <v>21701.430268</v>
      </c>
      <c r="AXA15" s="699"/>
      <c r="AXB15" s="700">
        <f>AXA15/AWY15</f>
        <v>0</v>
      </c>
      <c r="AXC15" s="593">
        <f>'Proy 2022 vs 2019 sem'!IE14*AXF$4</f>
        <v>25307.790400000002</v>
      </c>
      <c r="AXD15" s="593">
        <f>'Proy 2022 vs 2019 sem'!IF14*AXF$4</f>
        <v>24801.634591999999</v>
      </c>
      <c r="AXE15" s="699"/>
      <c r="AXF15" s="700">
        <f>AXE15/AXC15</f>
        <v>0</v>
      </c>
      <c r="AXG15" s="593">
        <f>'Proy 2022 vs 2019 sem'!IE14*AXJ$4</f>
        <v>34798.211799999997</v>
      </c>
      <c r="AXH15" s="593">
        <f>'Proy 2022 vs 2019 sem'!IF14*AXJ$4</f>
        <v>34102.247563999998</v>
      </c>
      <c r="AXI15" s="699"/>
      <c r="AXJ15" s="700">
        <f>AXI15/AXG15</f>
        <v>0</v>
      </c>
      <c r="AXK15" s="579">
        <f>AWI15+AWM15+AWQ15+AWU15+AWY15+AXC15+AXG15</f>
        <v>158173.69</v>
      </c>
      <c r="AXL15" s="574">
        <f>AWJ15+AWN15+AWR15+AWV15+AWZ15+AXD15+AXH15</f>
        <v>155010.2162</v>
      </c>
      <c r="AXM15" s="794">
        <f>AWK15+AWO15+AWS15+AWW15+AXA15+AXE15+AXI15</f>
        <v>0</v>
      </c>
      <c r="AXN15" s="786">
        <f>AXM15/AXK15</f>
        <v>0</v>
      </c>
      <c r="AXO15" s="593">
        <f>'Proy 2022 vs 2019 sem'!IJ14*AXR$4</f>
        <v>18975.350399999999</v>
      </c>
      <c r="AXP15" s="593">
        <f>'Proy 2022 vs 2019 sem'!IK14*AXR$4</f>
        <v>18975.350399999999</v>
      </c>
      <c r="AXQ15" s="699"/>
      <c r="AXR15" s="700">
        <f>AXQ15/AXO15</f>
        <v>0</v>
      </c>
      <c r="AXS15" s="593">
        <f>'Proy 2022 vs 2019 sem'!IJ14*AXV$4</f>
        <v>18975.350399999999</v>
      </c>
      <c r="AXT15" s="593">
        <f>'Proy 2022 vs 2019 sem'!IK14*AXV$4</f>
        <v>18975.350399999999</v>
      </c>
      <c r="AXU15" s="699"/>
      <c r="AXV15" s="700">
        <f>AXU15/AXS15</f>
        <v>0</v>
      </c>
      <c r="AXW15" s="593">
        <f>'Proy 2022 vs 2019 sem'!IJ14*AXZ$4</f>
        <v>18975.350399999999</v>
      </c>
      <c r="AXX15" s="593">
        <f>'Proy 2022 vs 2019 sem'!IK14*AXZ$4</f>
        <v>18975.350399999999</v>
      </c>
      <c r="AXY15" s="699"/>
      <c r="AXZ15" s="700">
        <f>AXY15/AXW15</f>
        <v>0</v>
      </c>
      <c r="AYA15" s="593">
        <f>'Proy 2022 vs 2019 sem'!IJ14*AYD$4</f>
        <v>18975.350399999999</v>
      </c>
      <c r="AYB15" s="593">
        <f>'Proy 2022 vs 2019 sem'!IK14*AYD$4</f>
        <v>18975.350399999999</v>
      </c>
      <c r="AYC15" s="699"/>
      <c r="AYD15" s="700">
        <f>AYC15/AYA15</f>
        <v>0</v>
      </c>
      <c r="AYE15" s="593">
        <f>'Proy 2022 vs 2019 sem'!IJ14*AYH$4</f>
        <v>22137.908800000005</v>
      </c>
      <c r="AYF15" s="593">
        <f>'Proy 2022 vs 2019 sem'!IK14*AYH$4</f>
        <v>22137.908800000005</v>
      </c>
      <c r="AYG15" s="699"/>
      <c r="AYH15" s="700">
        <f>AYG15/AYE15</f>
        <v>0</v>
      </c>
      <c r="AYI15" s="593">
        <f>'Proy 2022 vs 2019 sem'!IJ14*AYL$4</f>
        <v>25300.467200000003</v>
      </c>
      <c r="AYJ15" s="593">
        <f>'Proy 2022 vs 2019 sem'!IK14*AYL$4</f>
        <v>25300.467200000003</v>
      </c>
      <c r="AYK15" s="699"/>
      <c r="AYL15" s="700">
        <f>AYK15/AYI15</f>
        <v>0</v>
      </c>
      <c r="AYM15" s="593">
        <f>'Proy 2022 vs 2019 sem'!IJ14*AYP$4</f>
        <v>34788.142400000004</v>
      </c>
      <c r="AYN15" s="593">
        <f>'Proy 2022 vs 2019 sem'!IK14*AYP$4</f>
        <v>34788.142400000004</v>
      </c>
      <c r="AYO15" s="699"/>
      <c r="AYP15" s="700">
        <f>AYO15/AYM15</f>
        <v>0</v>
      </c>
      <c r="AYQ15" s="579">
        <f>AXO15+AXS15+AXW15+AYA15+AYE15+AYI15+AYM15</f>
        <v>158127.92000000001</v>
      </c>
      <c r="AYR15" s="574">
        <f>AXP15+AXT15+AXX15+AYB15+AYF15+AYJ15+AYN15</f>
        <v>158127.92000000001</v>
      </c>
      <c r="AYS15" s="794">
        <f>AXQ15+AXU15+AXY15+AYC15+AYG15+AYK15+AYO15</f>
        <v>0</v>
      </c>
      <c r="AYT15" s="786">
        <f>AYS15/AYQ15</f>
        <v>0</v>
      </c>
      <c r="AYU15" s="593">
        <f>'Proy 2022 vs 2019 sem'!IO14*AYX$4</f>
        <v>24434.002799999998</v>
      </c>
      <c r="AYV15" s="593">
        <f>'Proy 2022 vs 2019 sem'!IP14*AYX$4</f>
        <v>24434.002799999998</v>
      </c>
      <c r="AYW15" s="699"/>
      <c r="AYX15" s="700">
        <f>AYW15/AYU15</f>
        <v>0</v>
      </c>
      <c r="AYY15" s="593">
        <f>'Proy 2022 vs 2019 sem'!IO14*AZB$4</f>
        <v>24434.002799999998</v>
      </c>
      <c r="AYZ15" s="593">
        <f>'Proy 2022 vs 2019 sem'!IP14*AZB$4</f>
        <v>24434.002799999998</v>
      </c>
      <c r="AZA15" s="699"/>
      <c r="AZB15" s="700">
        <f>AZA15/AYY15</f>
        <v>0</v>
      </c>
      <c r="AZC15" s="593">
        <f>'Proy 2022 vs 2019 sem'!IO14*AZF$4</f>
        <v>24434.002799999998</v>
      </c>
      <c r="AZD15" s="593">
        <f>'Proy 2022 vs 2019 sem'!IP14*AZF$4</f>
        <v>24434.002799999998</v>
      </c>
      <c r="AZE15" s="699"/>
      <c r="AZF15" s="700">
        <f>AZE15/AZC15</f>
        <v>0</v>
      </c>
      <c r="AZG15" s="593">
        <f>'Proy 2022 vs 2019 sem'!IO14*AZJ$4</f>
        <v>24434.002799999998</v>
      </c>
      <c r="AZH15" s="593">
        <f>'Proy 2022 vs 2019 sem'!IP14*AZJ$4</f>
        <v>24434.002799999998</v>
      </c>
      <c r="AZI15" s="699"/>
      <c r="AZJ15" s="700">
        <f>AZI15/AZG15</f>
        <v>0</v>
      </c>
      <c r="AZK15" s="593">
        <f>'Proy 2022 vs 2019 sem'!IO14*AZN$4</f>
        <v>28506.336600000002</v>
      </c>
      <c r="AZL15" s="593">
        <f>'Proy 2022 vs 2019 sem'!IP14*AZN$4</f>
        <v>28506.336600000002</v>
      </c>
      <c r="AZM15" s="699"/>
      <c r="AZN15" s="700">
        <f>AZM15/AZK15</f>
        <v>0</v>
      </c>
      <c r="AZO15" s="593">
        <f>'Proy 2022 vs 2019 sem'!IO14*AZR$4</f>
        <v>32578.670400000003</v>
      </c>
      <c r="AZP15" s="593">
        <f>'Proy 2022 vs 2019 sem'!IP14*AZR$4</f>
        <v>32578.670400000003</v>
      </c>
      <c r="AZQ15" s="699"/>
      <c r="AZR15" s="700">
        <f>AZQ15/AZO15</f>
        <v>0</v>
      </c>
      <c r="AZS15" s="593">
        <f>'Proy 2022 vs 2019 sem'!IO14*AZV$4</f>
        <v>44795.671800000004</v>
      </c>
      <c r="AZT15" s="593">
        <f>'Proy 2022 vs 2019 sem'!IP14*AZV$4</f>
        <v>44795.671800000004</v>
      </c>
      <c r="AZU15" s="699"/>
      <c r="AZV15" s="700">
        <f>AZU15/AZS15</f>
        <v>0</v>
      </c>
      <c r="AZW15" s="579">
        <f>AYU15+AYY15+AZC15+AZG15+AZK15+AZO15+AZS15</f>
        <v>203616.69</v>
      </c>
      <c r="AZX15" s="574">
        <f>AYV15+AYZ15+AZD15+AZH15+AZL15+AZP15+AZT15</f>
        <v>203616.69</v>
      </c>
      <c r="AZY15" s="785">
        <f>AYW15+AZA15+AZE15+AZI15+AZM15+AZQ15+AZU15</f>
        <v>0</v>
      </c>
      <c r="AZZ15" s="786">
        <f>AZY15/AZW15</f>
        <v>0</v>
      </c>
      <c r="BAA15" s="593">
        <f>'Proy 2022 vs 2019 sem'!IX14*BAD$4</f>
        <v>15909.130799999999</v>
      </c>
      <c r="BAB15" s="593">
        <f>'Proy 2022 vs 2019 sem'!IY14*BAD$4</f>
        <v>15909.130799999999</v>
      </c>
      <c r="BAC15" s="735"/>
      <c r="BAD15" s="700">
        <f>BAC15/BAA15</f>
        <v>0</v>
      </c>
      <c r="BAE15" s="593">
        <f>'Proy 2022 vs 2019 sem'!IX14*BAH$4</f>
        <v>15909.130799999999</v>
      </c>
      <c r="BAF15" s="593">
        <f>'Proy 2022 vs 2019 sem'!IY14*BAH$4</f>
        <v>15909.130799999999</v>
      </c>
      <c r="BAG15" s="699"/>
      <c r="BAH15" s="700">
        <f>BAG15/BAE15</f>
        <v>0</v>
      </c>
      <c r="BAI15" s="593">
        <f>'Proy 2022 vs 2019 sem'!IX14*BAL$4</f>
        <v>15909.130799999999</v>
      </c>
      <c r="BAJ15" s="593">
        <f>'Proy 2022 vs 2019 sem'!IY14*BAL$4</f>
        <v>15909.130799999999</v>
      </c>
      <c r="BAK15" s="699"/>
      <c r="BAL15" s="700">
        <f>BAK15/BAI15</f>
        <v>0</v>
      </c>
      <c r="BAM15" s="593">
        <f>'Proy 2022 vs 2019 sem'!IX14*BAP$4</f>
        <v>15909.130799999999</v>
      </c>
      <c r="BAN15" s="593">
        <f>'Proy 2022 vs 2019 sem'!IY14*BAP$4</f>
        <v>15909.130799999999</v>
      </c>
      <c r="BAO15" s="699"/>
      <c r="BAP15" s="700">
        <f>BAO15/BAM15</f>
        <v>0</v>
      </c>
      <c r="BAQ15" s="593">
        <f>'Proy 2022 vs 2019 sem'!IX14*BAT$4</f>
        <v>18560.652600000001</v>
      </c>
      <c r="BAR15" s="593">
        <f>'Proy 2022 vs 2019 sem'!IY14*BAT$4</f>
        <v>18560.652600000001</v>
      </c>
      <c r="BAS15" s="699"/>
      <c r="BAT15" s="700">
        <f>BAS15/BAQ15</f>
        <v>0</v>
      </c>
      <c r="BAU15" s="593">
        <f>'Proy 2022 vs 2019 sem'!IX14*BAX$4</f>
        <v>21212.1744</v>
      </c>
      <c r="BAV15" s="593">
        <f>'Proy 2022 vs 2019 sem'!IY14*BAX$4</f>
        <v>21212.1744</v>
      </c>
      <c r="BAW15" s="699"/>
      <c r="BAX15" s="700">
        <f>BAW15/BAU15</f>
        <v>0</v>
      </c>
      <c r="BAY15" s="593">
        <f>'Proy 2022 vs 2019 sem'!IX14*BBB$4</f>
        <v>29166.739799999999</v>
      </c>
      <c r="BAZ15" s="593">
        <f>'Proy 2022 vs 2019 sem'!IY14*BBB$4</f>
        <v>29166.739799999999</v>
      </c>
      <c r="BBA15" s="699"/>
      <c r="BBB15" s="700">
        <f>BBA15/BAY15</f>
        <v>0</v>
      </c>
      <c r="BBC15" s="579">
        <f>BAA15+BAE15+BAI15+BAM15+BAQ15+BAU15+BAY15</f>
        <v>132576.09</v>
      </c>
      <c r="BBD15" s="574">
        <f>BAB15+BAF15+BAJ15+BAN15+BAR15+BAV15+BAZ15</f>
        <v>132576.09</v>
      </c>
      <c r="BBE15" s="759">
        <f>BAC15+BAG15+BAK15+BAO15+BAS15+BAW15+BBA15</f>
        <v>0</v>
      </c>
      <c r="BBF15" s="761">
        <f>BBE15/BBC15</f>
        <v>0</v>
      </c>
      <c r="BBG15" s="593">
        <f>'Proy 2022 vs 2019 sem'!JC14*BBJ$4</f>
        <v>23175.8076</v>
      </c>
      <c r="BBH15" s="593">
        <f>'Proy 2022 vs 2019 sem'!JD14*BBJ$4</f>
        <v>22248.775296</v>
      </c>
      <c r="BBI15" s="699"/>
      <c r="BBJ15" s="700">
        <f>BBI15/BBG15</f>
        <v>0</v>
      </c>
      <c r="BBK15" s="593">
        <f>'Proy 2022 vs 2019 sem'!JC14*BBN$4</f>
        <v>23175.8076</v>
      </c>
      <c r="BBL15" s="593">
        <f>'Proy 2022 vs 2019 sem'!JD14*BBN$4</f>
        <v>22248.775296</v>
      </c>
      <c r="BBM15" s="699"/>
      <c r="BBN15" s="700">
        <f>BBM15/BBK15</f>
        <v>0</v>
      </c>
      <c r="BBO15" s="593">
        <f>'Proy 2022 vs 2019 sem'!JC14*BBR$4</f>
        <v>23175.8076</v>
      </c>
      <c r="BBP15" s="593">
        <f>'Proy 2022 vs 2019 sem'!JD14*BBR$4</f>
        <v>22248.775296</v>
      </c>
      <c r="BBQ15" s="699"/>
      <c r="BBR15" s="700">
        <f>BBQ15/BBO15</f>
        <v>0</v>
      </c>
      <c r="BBS15" s="593">
        <f>'Proy 2022 vs 2019 sem'!JC14*BBV$4</f>
        <v>23175.8076</v>
      </c>
      <c r="BBT15" s="593">
        <f>'Proy 2022 vs 2019 sem'!JD14*BBV$4</f>
        <v>22248.775296</v>
      </c>
      <c r="BBU15" s="699"/>
      <c r="BBV15" s="700">
        <f>BBU15/BBS15</f>
        <v>0</v>
      </c>
      <c r="BBW15" s="593">
        <f>'Proy 2022 vs 2019 sem'!JC14*BBZ$4</f>
        <v>27038.442200000005</v>
      </c>
      <c r="BBX15" s="593">
        <f>'Proy 2022 vs 2019 sem'!JD14*BBZ$4</f>
        <v>25956.904512000001</v>
      </c>
      <c r="BBY15" s="699"/>
      <c r="BBZ15" s="700">
        <f>BBY15/BBW15</f>
        <v>0</v>
      </c>
      <c r="BCA15" s="593">
        <f>'Proy 2022 vs 2019 sem'!JC14*BCD$4</f>
        <v>30901.076800000003</v>
      </c>
      <c r="BCB15" s="593">
        <f>'Proy 2022 vs 2019 sem'!JD14*BCD$4</f>
        <v>29665.033728000002</v>
      </c>
      <c r="BCC15" s="699"/>
      <c r="BCD15" s="700">
        <f>BCC15/BCA15</f>
        <v>0</v>
      </c>
      <c r="BCE15" s="593">
        <f>'Proy 2022 vs 2019 sem'!JC14*BCH$4</f>
        <v>42488.980600000003</v>
      </c>
      <c r="BCF15" s="593">
        <f>'Proy 2022 vs 2019 sem'!JD14*BCH$4</f>
        <v>40789.421375999998</v>
      </c>
      <c r="BCG15" s="699"/>
      <c r="BCH15" s="700">
        <f>BCG15/BCE15</f>
        <v>0</v>
      </c>
      <c r="BCI15" s="579">
        <f>BBG15+BBK15+BBO15+BBS15+BBW15+BCA15+BCE15</f>
        <v>193131.73</v>
      </c>
      <c r="BCJ15" s="574">
        <f>BBH15+BBL15+BBP15+BBT15+BBX15+BCB15+BCF15</f>
        <v>185406.4608</v>
      </c>
      <c r="BCK15" s="765">
        <f>BBI15+BBM15+BBQ15+BBU15+BBY15+BCC15+BCG15</f>
        <v>0</v>
      </c>
      <c r="BCL15" s="761">
        <f>BCK15/BCI15</f>
        <v>0</v>
      </c>
      <c r="BCM15" s="593">
        <f>'Proy 2022 vs 2019 sem'!JH14*BCP$4</f>
        <v>28283.975999999999</v>
      </c>
      <c r="BCN15" s="593">
        <f>'Proy 2022 vs 2019 sem'!JI14*BCP$4</f>
        <v>27718.296479999997</v>
      </c>
      <c r="BCO15" s="699"/>
      <c r="BCP15" s="700">
        <f>BCO15/BCM15</f>
        <v>0</v>
      </c>
      <c r="BCQ15" s="593">
        <f>'Proy 2022 vs 2019 sem'!JH14*BCT$4</f>
        <v>28283.975999999999</v>
      </c>
      <c r="BCR15" s="593">
        <f>'Proy 2022 vs 2019 sem'!JI14*BCT$4</f>
        <v>27718.296479999997</v>
      </c>
      <c r="BCS15" s="699"/>
      <c r="BCT15" s="700">
        <f>BCS15/BCQ15</f>
        <v>0</v>
      </c>
      <c r="BCU15" s="593">
        <f>'Proy 2022 vs 2019 sem'!JH14*BCX$4</f>
        <v>28283.975999999999</v>
      </c>
      <c r="BCV15" s="593">
        <f>'Proy 2022 vs 2019 sem'!JI14*BCX$4</f>
        <v>27718.296479999997</v>
      </c>
      <c r="BCW15" s="699"/>
      <c r="BCX15" s="700">
        <f>BCW15/BCU15</f>
        <v>0</v>
      </c>
      <c r="BCY15" s="593">
        <f>'Proy 2022 vs 2019 sem'!JH14*BDB$4</f>
        <v>28283.975999999999</v>
      </c>
      <c r="BCZ15" s="593">
        <f>'Proy 2022 vs 2019 sem'!JI14*BDB$4</f>
        <v>27718.296479999997</v>
      </c>
      <c r="BDA15" s="699"/>
      <c r="BDB15" s="700">
        <f>BDA15/BCY15</f>
        <v>0</v>
      </c>
      <c r="BDC15" s="593">
        <f>'Proy 2022 vs 2019 sem'!JH14*BDF$4</f>
        <v>32997.972000000002</v>
      </c>
      <c r="BDD15" s="593">
        <f>'Proy 2022 vs 2019 sem'!JI14*BDF$4</f>
        <v>32338.012559999999</v>
      </c>
      <c r="BDE15" s="699"/>
      <c r="BDF15" s="700">
        <f>BDE15/BDC15</f>
        <v>0</v>
      </c>
      <c r="BDG15" s="593">
        <f>'Proy 2022 vs 2019 sem'!JH14*BDJ$4</f>
        <v>37711.968000000001</v>
      </c>
      <c r="BDH15" s="593">
        <f>'Proy 2022 vs 2019 sem'!JI14*BDJ$4</f>
        <v>36957.728639999994</v>
      </c>
      <c r="BDI15" s="699"/>
      <c r="BDJ15" s="700">
        <f>BDI15/BDG15</f>
        <v>0</v>
      </c>
      <c r="BDK15" s="593">
        <f>'Proy 2022 vs 2019 sem'!JH14*BDN$4</f>
        <v>51853.955999999998</v>
      </c>
      <c r="BDL15" s="593">
        <f>'Proy 2022 vs 2019 sem'!JI14*BDN$4</f>
        <v>50816.876879999996</v>
      </c>
      <c r="BDM15" s="699"/>
      <c r="BDN15" s="700">
        <f>BDM15/BDK15</f>
        <v>0</v>
      </c>
      <c r="BDO15" s="579">
        <f>BCM15+BCQ15+BCU15+BCY15+BDC15+BDG15+BDK15</f>
        <v>235699.8</v>
      </c>
      <c r="BDP15" s="574">
        <f>BCN15+BCR15+BCV15+BCZ15+BDD15+BDH15+BDL15</f>
        <v>230985.80399999997</v>
      </c>
      <c r="BDQ15" s="765">
        <f>BCO15+BCS15+BCW15+BDA15+BDE15+BDI15+BDM15</f>
        <v>0</v>
      </c>
      <c r="BDR15" s="761">
        <f>BDQ15/BDO15</f>
        <v>0</v>
      </c>
      <c r="BDS15" s="593">
        <f>'Proy 2022 vs 2019 sem'!JM14*BDV$4</f>
        <v>32132.548799999997</v>
      </c>
      <c r="BDT15" s="593">
        <f>'Proy 2022 vs 2019 sem'!JN14*BDV$4</f>
        <v>32132.548799999997</v>
      </c>
      <c r="BDU15" s="699"/>
      <c r="BDV15" s="700">
        <f>BDU15/BDS15</f>
        <v>0</v>
      </c>
      <c r="BDW15" s="593">
        <f>'Proy 2022 vs 2019 sem'!JM14*BDZ$4</f>
        <v>32132.548799999997</v>
      </c>
      <c r="BDX15" s="593">
        <f>'Proy 2022 vs 2019 sem'!JN14*BDZ$4</f>
        <v>32132.548799999997</v>
      </c>
      <c r="BDY15" s="699"/>
      <c r="BDZ15" s="700">
        <f>BDY15/BDW15</f>
        <v>0</v>
      </c>
      <c r="BEA15" s="593">
        <f>'Proy 2022 vs 2019 sem'!JM14*BED$4</f>
        <v>32132.548799999997</v>
      </c>
      <c r="BEB15" s="593">
        <f>'Proy 2022 vs 2019 sem'!JN14*BED$4</f>
        <v>32132.548799999997</v>
      </c>
      <c r="BEC15" s="699"/>
      <c r="BED15" s="700">
        <f>BEC15/BEA15</f>
        <v>0</v>
      </c>
      <c r="BEE15" s="593">
        <v>14494.990400000001</v>
      </c>
      <c r="BEF15" s="593">
        <f>'Proy 2022 vs 2019 sem'!JN14*BEH$4</f>
        <v>32132.548799999997</v>
      </c>
      <c r="BEG15" s="699"/>
      <c r="BEH15" s="700">
        <f>BEG15/BEE15</f>
        <v>0</v>
      </c>
      <c r="BEI15" s="593">
        <f>'Proy 2022 vs 2019 sem'!JM14*BEL$4</f>
        <v>37487.973600000005</v>
      </c>
      <c r="BEJ15" s="593">
        <f>'Proy 2022 vs 2019 sem'!JN14*BEL$4</f>
        <v>37487.973600000005</v>
      </c>
      <c r="BEK15" s="699"/>
      <c r="BEL15" s="700">
        <f>BEK15/BEI15</f>
        <v>0</v>
      </c>
      <c r="BEM15" s="593">
        <f>'Proy 2022 vs 2019 sem'!JM14*BEP$4</f>
        <v>42843.398399999998</v>
      </c>
      <c r="BEN15" s="593">
        <f>'Proy 2022 vs 2019 sem'!JN14*BEP$4</f>
        <v>42843.398399999998</v>
      </c>
      <c r="BEO15" s="699"/>
      <c r="BEP15" s="700">
        <f>BEO15/BEM15</f>
        <v>0</v>
      </c>
      <c r="BEQ15" s="593">
        <f>'Proy 2022 vs 2019 sem'!JM14*BET$4</f>
        <v>58909.6728</v>
      </c>
      <c r="BER15" s="593">
        <f>'Proy 2022 vs 2019 sem'!JN14*BET$4</f>
        <v>58909.6728</v>
      </c>
      <c r="BES15" s="699"/>
      <c r="BET15" s="700">
        <f>BES15/BEQ15</f>
        <v>0</v>
      </c>
      <c r="BEU15" s="579">
        <f>BDS15+BDW15+BEA15+BEE15+BEI15+BEM15+BEQ15</f>
        <v>250133.68160000001</v>
      </c>
      <c r="BEV15" s="574">
        <f>BDT15+BDX15+BEB15+BEF15+BEJ15+BEN15+BER15</f>
        <v>267771.24</v>
      </c>
      <c r="BEW15" s="770">
        <f>BDU15+BDY15+BEC15+BEG15+BEK15+BEO15+BES15</f>
        <v>0</v>
      </c>
      <c r="BEX15" s="761">
        <f>BEW15/BEU15</f>
        <v>0</v>
      </c>
      <c r="BEY15" s="593">
        <f>'Proy 2022 vs 2019 sem'!JV14*BFB$4</f>
        <v>49685.908799999997</v>
      </c>
      <c r="BEZ15" s="593">
        <f>'Proy 2022 vs 2019 sem'!JW14*BFB$4</f>
        <v>46704.754271999991</v>
      </c>
      <c r="BFA15" s="735"/>
      <c r="BFB15" s="700">
        <f>BFA15/BEY15</f>
        <v>0</v>
      </c>
      <c r="BFC15" s="593">
        <f>'Proy 2022 vs 2019 sem'!JV14*BFF$4</f>
        <v>49685.908799999997</v>
      </c>
      <c r="BFD15" s="593">
        <f>'Proy 2022 vs 2019 sem'!JW14*BFF$4</f>
        <v>46704.754271999991</v>
      </c>
      <c r="BFE15" s="735"/>
      <c r="BFF15" s="700">
        <f>BFE15/BFC15</f>
        <v>0</v>
      </c>
      <c r="BFG15" s="593">
        <f>'Proy 2022 vs 2019 sem'!JV14*BFJ$4</f>
        <v>49685.908799999997</v>
      </c>
      <c r="BFH15" s="593">
        <f>'Proy 2022 vs 2019 sem'!JW14*BFJ$4</f>
        <v>46704.754271999991</v>
      </c>
      <c r="BFI15" s="735"/>
      <c r="BFJ15" s="700">
        <f>BFI15/BFG15</f>
        <v>0</v>
      </c>
      <c r="BFK15" s="593">
        <f>'Proy 2022 vs 2019 sem'!JV14*BFN$4</f>
        <v>49685.908799999997</v>
      </c>
      <c r="BFL15" s="593">
        <f>'Proy 2022 vs 2019 sem'!JW14*BFN$4</f>
        <v>46704.754271999991</v>
      </c>
      <c r="BFM15" s="735"/>
      <c r="BFN15" s="700">
        <f>BFM15/BFK15</f>
        <v>0</v>
      </c>
      <c r="BFO15" s="593">
        <f>'Proy 2022 vs 2019 sem'!JV14*BFR$4</f>
        <v>57966.893600000003</v>
      </c>
      <c r="BFP15" s="593">
        <f>'Proy 2022 vs 2019 sem'!JW14*BFR$4</f>
        <v>54488.879983999999</v>
      </c>
      <c r="BFQ15" s="735"/>
      <c r="BFR15" s="700">
        <f>BFQ15/BFO15</f>
        <v>0</v>
      </c>
      <c r="BFS15" s="593">
        <f>'Proy 2022 vs 2019 sem'!JV14*BFV$4</f>
        <v>66247.878400000001</v>
      </c>
      <c r="BFT15" s="593">
        <f>'Proy 2022 vs 2019 sem'!JW14*BFV$4</f>
        <v>62273.005695999993</v>
      </c>
      <c r="BFU15" s="735"/>
      <c r="BFV15" s="700">
        <f>BFU15/BFS15</f>
        <v>0</v>
      </c>
      <c r="BFW15" s="593">
        <f>'Proy 2022 vs 2019 sem'!JV14*BFZ$4</f>
        <v>91090.832800000004</v>
      </c>
      <c r="BFX15" s="593">
        <f>'Proy 2022 vs 2019 sem'!JW14*BFZ$4</f>
        <v>85625.382831999988</v>
      </c>
      <c r="BFY15" s="735"/>
      <c r="BFZ15" s="700">
        <f>BFY15/BFW15</f>
        <v>0</v>
      </c>
      <c r="BGA15" s="579">
        <f>BEY15+BFC15+BFG15+BFK15+BFO15+BFS15+BFW15</f>
        <v>414049.24</v>
      </c>
      <c r="BGB15" s="574">
        <f>BEZ15+BFD15+BFH15+BFL15+BFP15+BFT15+BFX15</f>
        <v>389206.28559999994</v>
      </c>
      <c r="BGC15" s="729">
        <f>BFA15+BFE15+BFI15+BFM15+BFQ15+BFU15+BFY15</f>
        <v>0</v>
      </c>
      <c r="BGD15" s="711">
        <f>BGC15/BGA15</f>
        <v>0</v>
      </c>
      <c r="BGE15" s="593">
        <f>'Proy 2022 vs 2019 sem'!KA14*BGH$4</f>
        <v>65567.54879999999</v>
      </c>
      <c r="BGF15" s="593">
        <f>'Proy 2022 vs 2019 sem'!KB14*BGH$4</f>
        <v>60977.820383999999</v>
      </c>
      <c r="BGG15" s="699"/>
      <c r="BGH15" s="700">
        <f>BGG15/BGE15</f>
        <v>0</v>
      </c>
      <c r="BGI15" s="593">
        <f>'Proy 2022 vs 2019 sem'!KA14*BGL$4</f>
        <v>65567.54879999999</v>
      </c>
      <c r="BGJ15" s="593">
        <f>'Proy 2022 vs 2019 sem'!KB14*BGL$4</f>
        <v>60977.820383999999</v>
      </c>
      <c r="BGK15" s="699"/>
      <c r="BGL15" s="700">
        <f>BGK15/BGI15</f>
        <v>0</v>
      </c>
      <c r="BGM15" s="593">
        <f>'Proy 2022 vs 2019 sem'!KA14*BGP$4</f>
        <v>65567.54879999999</v>
      </c>
      <c r="BGN15" s="593">
        <f>'Proy 2022 vs 2019 sem'!KB14*BGP$4</f>
        <v>60977.820383999999</v>
      </c>
      <c r="BGO15" s="699"/>
      <c r="BGP15" s="700">
        <f>BGO15/BGM15</f>
        <v>0</v>
      </c>
      <c r="BGQ15" s="593">
        <f>'Proy 2022 vs 2019 sem'!KA14*BGT$4</f>
        <v>65567.54879999999</v>
      </c>
      <c r="BGR15" s="593">
        <f>'Proy 2022 vs 2019 sem'!KB14*BGT$4</f>
        <v>60977.820383999999</v>
      </c>
      <c r="BGS15" s="699"/>
      <c r="BGT15" s="700">
        <f>BGS15/BGQ15</f>
        <v>0</v>
      </c>
      <c r="BGU15" s="593">
        <f>'Proy 2022 vs 2019 sem'!KA14*BGX$4</f>
        <v>76495.473600000012</v>
      </c>
      <c r="BGV15" s="593">
        <f>'Proy 2022 vs 2019 sem'!KB14*BGX$4</f>
        <v>71140.790448000014</v>
      </c>
      <c r="BGW15" s="699"/>
      <c r="BGX15" s="700">
        <f>BGW15/BGU15</f>
        <v>0</v>
      </c>
      <c r="BGY15" s="593">
        <f>'Proy 2022 vs 2019 sem'!KA14*BHB$4</f>
        <v>87423.398400000005</v>
      </c>
      <c r="BGZ15" s="593">
        <f>'Proy 2022 vs 2019 sem'!KB14*BHB$4</f>
        <v>81303.760512000008</v>
      </c>
      <c r="BHA15" s="699"/>
      <c r="BHB15" s="700">
        <f>BHA15/BGY15</f>
        <v>0</v>
      </c>
      <c r="BHC15" s="593">
        <f>'Proy 2022 vs 2019 sem'!KA14*BHF$4</f>
        <v>120207.1728</v>
      </c>
      <c r="BHD15" s="593">
        <f>'Proy 2022 vs 2019 sem'!KB14*BHF$4</f>
        <v>111792.670704</v>
      </c>
      <c r="BHE15" s="699"/>
      <c r="BHF15" s="700">
        <f>BHE15/BHC15</f>
        <v>0</v>
      </c>
      <c r="BHG15" s="579">
        <f>BGE15+BGI15+BGM15+BGQ15+BGU15+BGY15+BHC15</f>
        <v>546396.24</v>
      </c>
      <c r="BHH15" s="574">
        <f>BGF15+BGJ15+BGN15+BGR15+BGV15+BGZ15+BHD15</f>
        <v>508148.50320000004</v>
      </c>
      <c r="BHI15" s="730">
        <f>BGG15+BGK15+BGO15+BGS15+BGW15+BHA15+BHE15</f>
        <v>0</v>
      </c>
      <c r="BHJ15" s="711">
        <f>BHI15/BHG15</f>
        <v>0</v>
      </c>
      <c r="BHK15" s="593">
        <f>'Proy 2022 vs 2019 sem'!KF14*BHN$4</f>
        <v>84950.441999999995</v>
      </c>
      <c r="BHL15" s="593">
        <f>'Proy 2022 vs 2019 sem'!KG14*BHN$4</f>
        <v>80702.919899999979</v>
      </c>
      <c r="BHM15" s="699"/>
      <c r="BHN15" s="700">
        <f>BHM15/BHK15</f>
        <v>0</v>
      </c>
      <c r="BHO15" s="593">
        <f>'Proy 2022 vs 2019 sem'!KF14*BHR$4</f>
        <v>84950.441999999995</v>
      </c>
      <c r="BHP15" s="593">
        <f>'Proy 2022 vs 2019 sem'!KG14*BHR$4</f>
        <v>80702.919899999979</v>
      </c>
      <c r="BHQ15" s="699"/>
      <c r="BHR15" s="700">
        <f>BHQ15/BHO15</f>
        <v>0</v>
      </c>
      <c r="BHS15" s="593">
        <f>'Proy 2022 vs 2019 sem'!KF14*BHV$4</f>
        <v>84950.441999999995</v>
      </c>
      <c r="BHT15" s="593">
        <f>'Proy 2022 vs 2019 sem'!KG14*BHV$4</f>
        <v>80702.919899999979</v>
      </c>
      <c r="BHU15" s="699"/>
      <c r="BHV15" s="700">
        <f>BHU15/BHS15</f>
        <v>0</v>
      </c>
      <c r="BHW15" s="593">
        <f>'Proy 2022 vs 2019 sem'!KF14*BHZ$4</f>
        <v>84950.441999999995</v>
      </c>
      <c r="BHX15" s="593">
        <f>'Proy 2022 vs 2019 sem'!KG14*BHZ$4</f>
        <v>80702.919899999979</v>
      </c>
      <c r="BHY15" s="699"/>
      <c r="BHZ15" s="700">
        <f>BHY15/BHW15</f>
        <v>0</v>
      </c>
      <c r="BIA15" s="593">
        <f>'Proy 2022 vs 2019 sem'!KF14*BID$4</f>
        <v>99108.849000000002</v>
      </c>
      <c r="BIB15" s="593">
        <f>'Proy 2022 vs 2019 sem'!KG14*BID$4</f>
        <v>94153.40655</v>
      </c>
      <c r="BIC15" s="699"/>
      <c r="BID15" s="700">
        <f>BIC15/BIA15</f>
        <v>0</v>
      </c>
      <c r="BIE15" s="593">
        <f>'Proy 2022 vs 2019 sem'!KF14*BIH$4</f>
        <v>113267.25599999999</v>
      </c>
      <c r="BIF15" s="593">
        <f>'Proy 2022 vs 2019 sem'!KG14*BIH$4</f>
        <v>107603.89319999999</v>
      </c>
      <c r="BIG15" s="699"/>
      <c r="BIH15" s="700">
        <f>BIG15/BIE15</f>
        <v>0</v>
      </c>
      <c r="BII15" s="593">
        <f>'Proy 2022 vs 2019 sem'!KF14*BIL$4</f>
        <v>155742.47699999998</v>
      </c>
      <c r="BIJ15" s="593">
        <f>'Proy 2022 vs 2019 sem'!KG14*BIL$4</f>
        <v>147955.35314999998</v>
      </c>
      <c r="BIK15" s="699"/>
      <c r="BIL15" s="700">
        <f>BIK15/BII15</f>
        <v>0</v>
      </c>
      <c r="BIM15" s="579">
        <f>BHK15+BHO15+BHS15+BHW15+BIA15+BIE15+BII15</f>
        <v>707920.34999999986</v>
      </c>
      <c r="BIN15" s="574">
        <f>BHL15+BHP15+BHT15+BHX15+BIB15+BIF15+BIJ15</f>
        <v>672524.3324999999</v>
      </c>
      <c r="BIO15" s="730">
        <f>BHM15+BHQ15+BHU15+BHY15+BIC15+BIG15+BIK15</f>
        <v>0</v>
      </c>
      <c r="BIP15" s="711">
        <f>BIO15/BIM15</f>
        <v>0</v>
      </c>
      <c r="BIQ15" s="593">
        <f>'Proy 2022 vs 2019 sem'!KK14*BIT$4</f>
        <v>65643.957599999994</v>
      </c>
      <c r="BIR15" s="593">
        <f>'Proy 2022 vs 2019 sem'!KL14*BIT$4</f>
        <v>62361.759719999995</v>
      </c>
      <c r="BIS15" s="699"/>
      <c r="BIT15" s="700">
        <f>BIS15/BIQ15</f>
        <v>0</v>
      </c>
      <c r="BIU15" s="593">
        <f>'Proy 2022 vs 2019 sem'!KK14*BIX$4</f>
        <v>65643.957599999994</v>
      </c>
      <c r="BIV15" s="593">
        <f>'Proy 2022 vs 2019 sem'!KL14*BIX$4</f>
        <v>62361.759719999995</v>
      </c>
      <c r="BIW15" s="699"/>
      <c r="BIX15" s="700">
        <f>BIW15/BIU15</f>
        <v>0</v>
      </c>
      <c r="BIY15" s="593">
        <f>'Proy 2022 vs 2019 sem'!KK14*BJB$4</f>
        <v>65643.957599999994</v>
      </c>
      <c r="BIZ15" s="593">
        <f>'Proy 2022 vs 2019 sem'!KL14*BJB$4</f>
        <v>62361.759719999995</v>
      </c>
      <c r="BJA15" s="699"/>
      <c r="BJB15" s="700">
        <f>BJA15/BIY15</f>
        <v>0</v>
      </c>
      <c r="BJC15" s="593">
        <f>'Proy 2022 vs 2019 sem'!KK14*BJF$4</f>
        <v>65643.957599999994</v>
      </c>
      <c r="BJD15" s="593">
        <f>'Proy 2022 vs 2019 sem'!KL14*BJF$4</f>
        <v>62361.759719999995</v>
      </c>
      <c r="BJE15" s="699"/>
      <c r="BJF15" s="700">
        <f>BJE15/BJC15</f>
        <v>0</v>
      </c>
      <c r="BJG15" s="593">
        <f>'Proy 2022 vs 2019 sem'!KK14*BJJ$4</f>
        <v>76584.617200000008</v>
      </c>
      <c r="BJH15" s="593">
        <f>'Proy 2022 vs 2019 sem'!KL14*BJJ$4</f>
        <v>72755.386339999997</v>
      </c>
      <c r="BJI15" s="699"/>
      <c r="BJJ15" s="700">
        <f>BJI15/BJG15</f>
        <v>0</v>
      </c>
      <c r="BJK15" s="593">
        <f>'Proy 2022 vs 2019 sem'!KK14*BJN$4</f>
        <v>87525.276799999992</v>
      </c>
      <c r="BJL15" s="593">
        <f>'Proy 2022 vs 2019 sem'!KL14*BJN$4</f>
        <v>83149.012959999993</v>
      </c>
      <c r="BJM15" s="699"/>
      <c r="BJN15" s="700">
        <f>BJM15/BJK15</f>
        <v>0</v>
      </c>
      <c r="BJO15" s="593">
        <f>'Proy 2022 vs 2019 sem'!KK14*BJR$4</f>
        <v>120347.25559999999</v>
      </c>
      <c r="BJP15" s="593">
        <f>'Proy 2022 vs 2019 sem'!KL14*BJR$4</f>
        <v>114329.89281999999</v>
      </c>
      <c r="BJQ15" s="699"/>
      <c r="BJR15" s="700">
        <f>BJQ15/BJO15</f>
        <v>0</v>
      </c>
      <c r="BJS15" s="579">
        <f>BIQ15+BIU15+BIY15+BJC15+BJG15+BJK15+BJO15</f>
        <v>547032.98</v>
      </c>
      <c r="BJT15" s="574">
        <f>BIR15+BIV15+BIZ15+BJD15+BJH15+BJL15+BJP15</f>
        <v>519681.33099999995</v>
      </c>
      <c r="BJU15" s="710">
        <f>BIS15+BIW15+BJA15+BJE15+BJI15+BJM15+BJQ15</f>
        <v>0</v>
      </c>
      <c r="BJV15" s="711">
        <f>BJU15/BJS15</f>
        <v>0</v>
      </c>
      <c r="BJW15" s="593">
        <f>'Proy 2022 vs 2019 sem'!KP14*BJZ$4</f>
        <v>16391.7228</v>
      </c>
      <c r="BJX15" s="593">
        <f>'Proy 2022 vs 2019 sem'!KQ14*BJZ$4</f>
        <v>16063.888344000001</v>
      </c>
      <c r="BJY15" s="699"/>
      <c r="BJZ15" s="700">
        <f>BJY15/BJW15</f>
        <v>0</v>
      </c>
      <c r="BKA15" s="593">
        <f>'Proy 2022 vs 2019 sem'!KP14*BKD$4</f>
        <v>16391.7228</v>
      </c>
      <c r="BKB15" s="593">
        <f>'Proy 2022 vs 2019 sem'!KQ14*BKD$4</f>
        <v>16063.888344000001</v>
      </c>
      <c r="BKC15" s="699"/>
      <c r="BKD15" s="700">
        <f>BKC15/BKA15</f>
        <v>0</v>
      </c>
      <c r="BKE15" s="593">
        <f>'Proy 2022 vs 2019 sem'!KP14*BKH$4</f>
        <v>16391.7228</v>
      </c>
      <c r="BKF15" s="593">
        <f>'Proy 2022 vs 2019 sem'!KQ14*BKH$4</f>
        <v>16063.888344000001</v>
      </c>
      <c r="BKG15" s="699"/>
      <c r="BKH15" s="700">
        <f>BKG15/BKE15</f>
        <v>0</v>
      </c>
      <c r="BKI15" s="593">
        <f>'Proy 2022 vs 2019 sem'!KP14*BKL$4</f>
        <v>16391.7228</v>
      </c>
      <c r="BKJ15" s="593">
        <f>'Proy 2022 vs 2019 sem'!KQ14*BKL$4</f>
        <v>16063.888344000001</v>
      </c>
      <c r="BKK15" s="699"/>
      <c r="BKL15" s="700">
        <f>BKK15/BKI15</f>
        <v>0</v>
      </c>
      <c r="BKM15" s="593">
        <f>'Proy 2022 vs 2019 sem'!KP14*BKP$4</f>
        <v>19123.676600000003</v>
      </c>
      <c r="BKN15" s="593">
        <f>'Proy 2022 vs 2019 sem'!KQ14*BKP$4</f>
        <v>18741.203068000003</v>
      </c>
      <c r="BKO15" s="699"/>
      <c r="BKP15" s="700">
        <f>BKO15/BKM15</f>
        <v>0</v>
      </c>
      <c r="BKQ15" s="593">
        <f>'Proy 2022 vs 2019 sem'!KP14*BKT$4</f>
        <v>21855.630400000002</v>
      </c>
      <c r="BKR15" s="593">
        <f>'Proy 2022 vs 2019 sem'!KQ14*BKT$4</f>
        <v>21418.517792000002</v>
      </c>
      <c r="BKS15" s="699"/>
      <c r="BKT15" s="700">
        <f>BKS15/BKQ15</f>
        <v>0</v>
      </c>
      <c r="BKU15" s="593">
        <f>'Proy 2022 vs 2019 sem'!KP14*BKX$4</f>
        <v>30051.4918</v>
      </c>
      <c r="BKV15" s="593">
        <f>'Proy 2022 vs 2019 sem'!KQ14*BKX$4</f>
        <v>29450.461964000002</v>
      </c>
      <c r="BKW15" s="699"/>
      <c r="BKX15" s="700">
        <f>BKW15/BKU15</f>
        <v>0</v>
      </c>
      <c r="BKY15" s="579">
        <f>BJW15+BKA15+BKE15+BKI15+BKM15+BKQ15+BKU15</f>
        <v>136597.69</v>
      </c>
      <c r="BKZ15" s="574">
        <f>BJX15+BKB15+BKF15+BKJ15+BKN15+BKR15+BKV15</f>
        <v>133865.73619999998</v>
      </c>
      <c r="BLA15" s="710">
        <f>BJY15+BKC15+BKG15+BKK15+BKO15+BKS15+BKW15</f>
        <v>0</v>
      </c>
      <c r="BLB15" s="711">
        <f>BLA15/BKY15</f>
        <v>0</v>
      </c>
    </row>
    <row r="16" spans="2:1666" ht="15.75" customHeight="1">
      <c r="B16" s="934" t="s">
        <v>18</v>
      </c>
      <c r="C16" s="593">
        <f>'Proy 2022 vs 2019 sem'!$C$6*$F$4</f>
        <v>9529.1268</v>
      </c>
      <c r="D16" s="593">
        <f>'Proy 2022 vs 2019 sem'!$D$6*$F$4</f>
        <v>8480.9228519999997</v>
      </c>
      <c r="E16" s="735"/>
      <c r="F16" s="700">
        <f>E16/C16</f>
        <v>0</v>
      </c>
      <c r="G16" s="1414">
        <f>'Proy 2022 vs 2019 sem'!C15*$J$4</f>
        <v>11162.600399999999</v>
      </c>
      <c r="H16" s="593">
        <f>'Proy 2022 vs 2019 sem'!D15*$J$4</f>
        <v>9934.7143559999986</v>
      </c>
      <c r="I16" s="735"/>
      <c r="J16" s="700">
        <f>I16/G16</f>
        <v>0</v>
      </c>
      <c r="K16" s="593">
        <f>'Proy 2022 vs 2019 sem'!C15*$N$4</f>
        <v>11162.600399999999</v>
      </c>
      <c r="L16" s="593">
        <f>'Proy 2022 vs 2019 sem'!D15*N$4</f>
        <v>9934.7143559999986</v>
      </c>
      <c r="M16" s="735"/>
      <c r="N16" s="700">
        <f>M16/K16</f>
        <v>0</v>
      </c>
      <c r="O16" s="593">
        <f>'Proy 2022 vs 2019 sem'!C15*R$4</f>
        <v>11162.600399999999</v>
      </c>
      <c r="P16" s="593">
        <f>'Proy 2022 vs 2019 sem'!D15*$R$4</f>
        <v>9934.7143559999986</v>
      </c>
      <c r="Q16" s="735"/>
      <c r="R16" s="700">
        <f>Q16/O16</f>
        <v>0</v>
      </c>
      <c r="S16" s="593">
        <f>'Proy 2022 vs 2019 sem'!C15*V$4</f>
        <v>13023.033800000001</v>
      </c>
      <c r="T16" s="593">
        <f>'Proy 2022 vs 2019 sem'!D15*V$4</f>
        <v>11590.500082</v>
      </c>
      <c r="U16" s="735"/>
      <c r="V16" s="700">
        <f>U16/S16</f>
        <v>0</v>
      </c>
      <c r="W16" s="593">
        <f>'Proy 2022 vs 2019 sem'!C15*Z$4</f>
        <v>14883.467199999999</v>
      </c>
      <c r="X16" s="593">
        <f>'Proy 2022 vs 2019 sem'!D15*Z$4</f>
        <v>13246.285807999999</v>
      </c>
      <c r="Y16" s="735"/>
      <c r="Z16" s="700">
        <f>Y16/W16</f>
        <v>0</v>
      </c>
      <c r="AA16" s="593">
        <f>'Proy 2022 vs 2019 sem'!C15*AD$4</f>
        <v>20464.767400000001</v>
      </c>
      <c r="AB16" s="593">
        <f>'Proy 2022 vs 2019 sem'!D15*AD$4</f>
        <v>18213.642985999999</v>
      </c>
      <c r="AC16" s="735"/>
      <c r="AD16" s="700">
        <f>AC16/AA16</f>
        <v>0</v>
      </c>
      <c r="AE16" s="579">
        <f>C16+G16+K16+O16+S16+W16+AA16</f>
        <v>91388.196400000001</v>
      </c>
      <c r="AF16" s="574">
        <f>D16+H16+L16+P16+T16+X16+AB16</f>
        <v>81335.494795999984</v>
      </c>
      <c r="AG16" s="729">
        <f>E16+I16+M16+Q16+U16+Y16+AC16</f>
        <v>0</v>
      </c>
      <c r="AH16" s="711">
        <f>AG16/AE16</f>
        <v>0</v>
      </c>
      <c r="AI16" s="593">
        <f>'Proy 2022 vs 2019 sem'!H15*AL$4</f>
        <v>10098.449999999999</v>
      </c>
      <c r="AJ16" s="611">
        <f>'Proy 2022 vs 2019 sem'!I15*AL$4</f>
        <v>8987.6204999999991</v>
      </c>
      <c r="AK16" s="699"/>
      <c r="AL16" s="700">
        <f>AK16/AI16</f>
        <v>0</v>
      </c>
      <c r="AM16" s="593">
        <f>'Proy 2022 vs 2019 sem'!H15*AP$4</f>
        <v>10098.449999999999</v>
      </c>
      <c r="AN16" s="593">
        <f>'Proy 2022 vs 2019 sem'!I15*AP$4</f>
        <v>8987.6204999999991</v>
      </c>
      <c r="AO16" s="699"/>
      <c r="AP16" s="700">
        <f>AO16/AM16</f>
        <v>0</v>
      </c>
      <c r="AQ16" s="593">
        <f>'Proy 2022 vs 2019 sem'!H15*AT$4</f>
        <v>10098.449999999999</v>
      </c>
      <c r="AR16" s="593">
        <f>'Proy 2022 vs 2019 sem'!I15*AT$4</f>
        <v>8987.6204999999991</v>
      </c>
      <c r="AS16" s="699"/>
      <c r="AT16" s="700">
        <f>AS16/AQ16</f>
        <v>0</v>
      </c>
      <c r="AU16" s="593">
        <f>'Proy 2022 vs 2019 sem'!H15*AX$4</f>
        <v>10098.449999999999</v>
      </c>
      <c r="AV16" s="593">
        <f>'Proy 2022 vs 2019 sem'!I15*AX$4</f>
        <v>8987.6204999999991</v>
      </c>
      <c r="AW16" s="699"/>
      <c r="AX16" s="700">
        <f>AW16/AU16</f>
        <v>0</v>
      </c>
      <c r="AY16" s="593">
        <f>'Proy 2022 vs 2019 sem'!H15*BB$4</f>
        <v>11781.525000000001</v>
      </c>
      <c r="AZ16" s="593">
        <f>'Proy 2022 vs 2019 sem'!I15*BB$4</f>
        <v>10485.55725</v>
      </c>
      <c r="BA16" s="699"/>
      <c r="BB16" s="700">
        <f>BA16/AY16</f>
        <v>0</v>
      </c>
      <c r="BC16" s="593">
        <f>'Proy 2022 vs 2019 sem'!H15*BF$4</f>
        <v>13464.6</v>
      </c>
      <c r="BD16" s="593">
        <f>'Proy 2022 vs 2019 sem'!I15*BF$4</f>
        <v>11983.493999999999</v>
      </c>
      <c r="BE16" s="699"/>
      <c r="BF16" s="700">
        <f>BE16/BC16</f>
        <v>0</v>
      </c>
      <c r="BG16" s="593">
        <f>'Proy 2022 vs 2019 sem'!H15*BJ$4</f>
        <v>18513.825000000001</v>
      </c>
      <c r="BH16" s="593">
        <f>'Proy 2022 vs 2019 sem'!I15*BJ$4</f>
        <v>16477.304249999997</v>
      </c>
      <c r="BI16" s="699"/>
      <c r="BJ16" s="700">
        <f>BI16/BG16</f>
        <v>0</v>
      </c>
      <c r="BK16" s="579">
        <f>AI16+AM16+AQ16+AU16+AY16+BC16+BG16</f>
        <v>84153.75</v>
      </c>
      <c r="BL16" s="574">
        <f>AJ16+AN16+AR16+AV16+AZ16+BD16+BH16</f>
        <v>74896.837499999994</v>
      </c>
      <c r="BM16" s="730">
        <f>AK16+AO16+AS16+AW16+BA16+BE16+BI16</f>
        <v>0</v>
      </c>
      <c r="BN16" s="711">
        <f>BM16/BK16</f>
        <v>0</v>
      </c>
      <c r="BO16" s="593">
        <f>'Proy 2022 vs 2019 sem'!M15*BR$4</f>
        <v>10719.4944</v>
      </c>
      <c r="BP16" s="593">
        <f>'Proy 2022 vs 2019 sem'!N15*BR$4</f>
        <v>9540.3500159999985</v>
      </c>
      <c r="BQ16" s="699"/>
      <c r="BR16" s="700">
        <f>BQ16/BO16</f>
        <v>0</v>
      </c>
      <c r="BS16" s="593">
        <f>'Proy 2022 vs 2019 sem'!M15*BV$4</f>
        <v>10719.4944</v>
      </c>
      <c r="BT16" s="593">
        <f>'Proy 2022 vs 2019 sem'!N15*BV$4</f>
        <v>9540.3500159999985</v>
      </c>
      <c r="BU16" s="699"/>
      <c r="BV16" s="700">
        <f>BU16/BS16</f>
        <v>0</v>
      </c>
      <c r="BW16" s="593">
        <f>'Proy 2022 vs 2019 sem'!M15*BZ$4</f>
        <v>10719.4944</v>
      </c>
      <c r="BX16" s="593">
        <f>'Proy 2022 vs 2019 sem'!N15*BZ$4</f>
        <v>9540.3500159999985</v>
      </c>
      <c r="BY16" s="699"/>
      <c r="BZ16" s="700">
        <f>BY16/BW16</f>
        <v>0</v>
      </c>
      <c r="CA16" s="593">
        <f>'Proy 2022 vs 2019 sem'!M15*CD$4</f>
        <v>10719.4944</v>
      </c>
      <c r="CB16" s="593">
        <f>'Proy 2022 vs 2019 sem'!N15*CD$4</f>
        <v>9540.3500159999985</v>
      </c>
      <c r="CC16" s="699"/>
      <c r="CD16" s="700">
        <f>CC16/CA16</f>
        <v>0</v>
      </c>
      <c r="CE16" s="593">
        <f>'Proy 2022 vs 2019 sem'!M15*CH$4</f>
        <v>12506.076800000001</v>
      </c>
      <c r="CF16" s="593">
        <f>'Proy 2022 vs 2019 sem'!N15*CH$4</f>
        <v>11130.408352</v>
      </c>
      <c r="CG16" s="699"/>
      <c r="CH16" s="700">
        <f>CG16/CE16</f>
        <v>0</v>
      </c>
      <c r="CI16" s="593">
        <f>'Proy 2022 vs 2019 sem'!M15*CL$4</f>
        <v>14292.6592</v>
      </c>
      <c r="CJ16" s="593">
        <f>'Proy 2022 vs 2019 sem'!N15*CL$4</f>
        <v>12720.466687999999</v>
      </c>
      <c r="CK16" s="699"/>
      <c r="CL16" s="700">
        <f>CK16/CI16</f>
        <v>0</v>
      </c>
      <c r="CM16" s="593">
        <f>'Proy 2022 vs 2019 sem'!M15*CP$4</f>
        <v>19652.4064</v>
      </c>
      <c r="CN16" s="593">
        <f>'Proy 2022 vs 2019 sem'!N15*CP$4</f>
        <v>17490.641695999999</v>
      </c>
      <c r="CO16" s="699"/>
      <c r="CP16" s="700">
        <f>CO16/CM16</f>
        <v>0</v>
      </c>
      <c r="CQ16" s="579">
        <f>BO16+BS16+BW16+CA16+CE16+CI16+CM16</f>
        <v>89329.12</v>
      </c>
      <c r="CR16" s="574">
        <f>BP16+BT16+BX16+CB16+CF16+CJ16+CN16</f>
        <v>79502.916799999992</v>
      </c>
      <c r="CS16" s="730">
        <f>BQ16+BU16+BY16+CC16+CG16+CK16+CO16</f>
        <v>0</v>
      </c>
      <c r="CT16" s="711">
        <f>CS16/CQ16</f>
        <v>0</v>
      </c>
      <c r="CU16" s="593">
        <f>'Proy 2022 vs 2019 sem'!R15*CX$4</f>
        <v>11238.724799999998</v>
      </c>
      <c r="CV16" s="593">
        <f>'Proy 2022 vs 2019 sem'!S15*CX$4</f>
        <v>10002.465071999999</v>
      </c>
      <c r="CW16" s="699"/>
      <c r="CX16" s="700">
        <f>CW16/CU16</f>
        <v>0</v>
      </c>
      <c r="CY16" s="593">
        <f>'Proy 2022 vs 2019 sem'!R15*DB$4</f>
        <v>11238.724799999998</v>
      </c>
      <c r="CZ16" s="593">
        <f>'Proy 2022 vs 2019 sem'!S15*DB$4</f>
        <v>10002.465071999999</v>
      </c>
      <c r="DA16" s="699"/>
      <c r="DB16" s="700">
        <f>DA16/CY16</f>
        <v>0</v>
      </c>
      <c r="DC16" s="593">
        <f>'Proy 2022 vs 2019 sem'!R15*DF$4</f>
        <v>11238.724799999998</v>
      </c>
      <c r="DD16" s="593">
        <f>'Proy 2022 vs 2019 sem'!S15*DF$4</f>
        <v>10002.465071999999</v>
      </c>
      <c r="DE16" s="699"/>
      <c r="DF16" s="700">
        <f>DE16/DC16</f>
        <v>0</v>
      </c>
      <c r="DG16" s="593">
        <f>'Proy 2022 vs 2019 sem'!R15*DJ$4</f>
        <v>11238.724799999998</v>
      </c>
      <c r="DH16" s="593">
        <f>'Proy 2022 vs 2019 sem'!S15*DJ$4</f>
        <v>10002.465071999999</v>
      </c>
      <c r="DI16" s="699"/>
      <c r="DJ16" s="700">
        <f>DI16/DG16</f>
        <v>0</v>
      </c>
      <c r="DK16" s="593">
        <f>'Proy 2022 vs 2019 sem'!R15*DN$4</f>
        <v>13111.845600000001</v>
      </c>
      <c r="DL16" s="593">
        <f>'Proy 2022 vs 2019 sem'!S15*DN$4</f>
        <v>11669.542584000001</v>
      </c>
      <c r="DM16" s="699"/>
      <c r="DN16" s="700">
        <f>DM16/DK16</f>
        <v>0</v>
      </c>
      <c r="DO16" s="593">
        <f>'Proy 2022 vs 2019 sem'!R15*DR$4</f>
        <v>14984.966399999999</v>
      </c>
      <c r="DP16" s="593">
        <f>'Proy 2022 vs 2019 sem'!S15*DR$4</f>
        <v>13336.620096000001</v>
      </c>
      <c r="DQ16" s="699"/>
      <c r="DR16" s="700">
        <f>DQ16/DO16</f>
        <v>0</v>
      </c>
      <c r="DS16" s="593">
        <f>'Proy 2022 vs 2019 sem'!R15*DV$4</f>
        <v>20604.328799999999</v>
      </c>
      <c r="DT16" s="593">
        <f>'Proy 2022 vs 2019 sem'!S15*DV$4</f>
        <v>18337.852631999998</v>
      </c>
      <c r="DU16" s="699"/>
      <c r="DV16" s="700">
        <f>DU16/DS16</f>
        <v>0</v>
      </c>
      <c r="DW16" s="579">
        <f>CU16+CY16+DC16+DG16+DK16+DO16+DS16</f>
        <v>93656.04</v>
      </c>
      <c r="DX16" s="574">
        <f>CV16+CZ16+DD16+DH16+DL16+DP16+DT16</f>
        <v>83353.875599999999</v>
      </c>
      <c r="DY16" s="710">
        <f>CW16+DA16+DE16+DI16+DM16+DQ16+DU16</f>
        <v>0</v>
      </c>
      <c r="DZ16" s="711">
        <f>DY16/DW16</f>
        <v>0</v>
      </c>
      <c r="EA16" s="593">
        <f>'Proy 2022 vs 2019 sem'!AA15*ED$4</f>
        <v>11484.8244</v>
      </c>
      <c r="EB16" s="593">
        <f>'Proy 2022 vs 2019 sem'!AB15*ED$4</f>
        <v>10221.493715999999</v>
      </c>
      <c r="EC16" s="735"/>
      <c r="ED16" s="700">
        <f>EC16/EA16</f>
        <v>0</v>
      </c>
      <c r="EE16" s="593">
        <f>'Proy 2022 vs 2019 sem'!AA15*EH$4</f>
        <v>11484.8244</v>
      </c>
      <c r="EF16" s="593">
        <f>'Proy 2022 vs 2019 sem'!AB15*EH$4</f>
        <v>10221.493715999999</v>
      </c>
      <c r="EG16" s="699"/>
      <c r="EH16" s="700">
        <f>EG16/EE16</f>
        <v>0</v>
      </c>
      <c r="EI16" s="593">
        <f>'Proy 2022 vs 2019 sem'!AA15*EL$4</f>
        <v>11484.8244</v>
      </c>
      <c r="EJ16" s="593">
        <f>'Proy 2022 vs 2019 sem'!AB15*EL$4</f>
        <v>10221.493715999999</v>
      </c>
      <c r="EK16" s="699"/>
      <c r="EL16" s="700">
        <f>EK16/EI16</f>
        <v>0</v>
      </c>
      <c r="EM16" s="593">
        <f>'Proy 2022 vs 2019 sem'!AA15*EP$4</f>
        <v>11484.8244</v>
      </c>
      <c r="EN16" s="593">
        <f>'Proy 2022 vs 2019 sem'!AB15*EP$4</f>
        <v>10221.493715999999</v>
      </c>
      <c r="EO16" s="699"/>
      <c r="EP16" s="700">
        <f>EO16/EM16</f>
        <v>0</v>
      </c>
      <c r="EQ16" s="593">
        <f>'Proy 2022 vs 2019 sem'!AA15*ET$4</f>
        <v>13398.961800000001</v>
      </c>
      <c r="ER16" s="593">
        <f>'Proy 2022 vs 2019 sem'!AB15*ET$4</f>
        <v>11925.076002000002</v>
      </c>
      <c r="ES16" s="699"/>
      <c r="ET16" s="700">
        <f>ES16/EQ16</f>
        <v>0</v>
      </c>
      <c r="EU16" s="593">
        <f>'Proy 2022 vs 2019 sem'!AA15*EX$4</f>
        <v>15313.099199999999</v>
      </c>
      <c r="EV16" s="593">
        <f>'Proy 2022 vs 2019 sem'!AB15*EX$4</f>
        <v>13628.658288000001</v>
      </c>
      <c r="EW16" s="699"/>
      <c r="EX16" s="700">
        <f>EW16/EU16</f>
        <v>0</v>
      </c>
      <c r="EY16" s="593">
        <f>'Proy 2022 vs 2019 sem'!AA15*FB$4</f>
        <v>21055.511399999999</v>
      </c>
      <c r="EZ16" s="593">
        <f>'Proy 2022 vs 2019 sem'!AB15*FB$4</f>
        <v>18739.405146000001</v>
      </c>
      <c r="FA16" s="699"/>
      <c r="FB16" s="700">
        <f>FA16/EY16</f>
        <v>0</v>
      </c>
      <c r="FC16" s="579">
        <f>EA16+EE16+EI16+EM16+EQ16+EU16+EY16</f>
        <v>95706.87</v>
      </c>
      <c r="FD16" s="574">
        <f>EB16+EF16+EJ16+EN16+ER16+EV16+EZ16</f>
        <v>85179.114300000001</v>
      </c>
      <c r="FE16" s="793">
        <f>EC16+EG16+EK16+EO16+ES16+EW16+FA16</f>
        <v>0</v>
      </c>
      <c r="FF16" s="786">
        <f>FE16/FC16</f>
        <v>0</v>
      </c>
      <c r="FG16" s="593">
        <f>'Proy 2022 vs 2019 sem'!AF15*FJ$4</f>
        <v>14807.487599999999</v>
      </c>
      <c r="FH16" s="593">
        <f>'Proy 2022 vs 2019 sem'!AG15*FJ$4</f>
        <v>13030.589088000001</v>
      </c>
      <c r="FI16" s="699"/>
      <c r="FJ16" s="700">
        <f>FI16/FG16</f>
        <v>0</v>
      </c>
      <c r="FK16" s="593">
        <f>'Proy 2022 vs 2019 sem'!AF15*FN$4</f>
        <v>14807.487599999999</v>
      </c>
      <c r="FL16" s="593">
        <f>'Proy 2022 vs 2019 sem'!AG15*FN$4</f>
        <v>13030.589088000001</v>
      </c>
      <c r="FM16" s="699"/>
      <c r="FN16" s="700">
        <f>FM16/FK16</f>
        <v>0</v>
      </c>
      <c r="FO16" s="593">
        <f>'Proy 2022 vs 2019 sem'!AF15*FR$4</f>
        <v>14807.487599999999</v>
      </c>
      <c r="FP16" s="593">
        <f>'Proy 2022 vs 2019 sem'!AG15*FR$4</f>
        <v>13030.589088000001</v>
      </c>
      <c r="FQ16" s="699"/>
      <c r="FR16" s="700">
        <f>FQ16/FO16</f>
        <v>0</v>
      </c>
      <c r="FS16" s="593">
        <f>'Proy 2022 vs 2019 sem'!AF15*FV$4</f>
        <v>14807.487599999999</v>
      </c>
      <c r="FT16" s="593">
        <f>'Proy 2022 vs 2019 sem'!AG15*FV$4</f>
        <v>13030.589088000001</v>
      </c>
      <c r="FU16" s="699"/>
      <c r="FV16" s="700">
        <f>FU16/FS16</f>
        <v>0</v>
      </c>
      <c r="FW16" s="593">
        <f>'Proy 2022 vs 2019 sem'!AF15*FZ$4</f>
        <v>17275.4022</v>
      </c>
      <c r="FX16" s="593">
        <f>'Proy 2022 vs 2019 sem'!AG15*FZ$4</f>
        <v>15202.353936000001</v>
      </c>
      <c r="FY16" s="699"/>
      <c r="FZ16" s="700">
        <f>FY16/FW16</f>
        <v>0</v>
      </c>
      <c r="GA16" s="593">
        <f>'Proy 2022 vs 2019 sem'!AF15*GD$4</f>
        <v>19743.316800000001</v>
      </c>
      <c r="GB16" s="593">
        <f>'Proy 2022 vs 2019 sem'!AG15*GD$4</f>
        <v>17374.118784000002</v>
      </c>
      <c r="GC16" s="699"/>
      <c r="GD16" s="700">
        <f>GC16/GA16</f>
        <v>0</v>
      </c>
      <c r="GE16" s="593">
        <f>'Proy 2022 vs 2019 sem'!AF15*GH$4</f>
        <v>27147.060600000001</v>
      </c>
      <c r="GF16" s="593">
        <f>'Proy 2022 vs 2019 sem'!AG15*GH$4</f>
        <v>23889.413328000002</v>
      </c>
      <c r="GG16" s="699"/>
      <c r="GH16" s="700">
        <f>GG16/GE16</f>
        <v>0</v>
      </c>
      <c r="GI16" s="579">
        <f>FG16+FK16+FO16+FS16+FW16+GA16+GE16</f>
        <v>123395.73</v>
      </c>
      <c r="GJ16" s="574">
        <f>FH16+FL16+FP16+FT16+FX16+GB16+GF16</f>
        <v>108588.24240000002</v>
      </c>
      <c r="GK16" s="794">
        <f>FI16+FM16+FQ16+FU16+FY16+GC16+GG16</f>
        <v>0</v>
      </c>
      <c r="GL16" s="786">
        <f>GK16/GI16</f>
        <v>0</v>
      </c>
      <c r="GM16" s="593">
        <f>'Proy 2022 vs 2019 sem'!AK15*GP$4</f>
        <v>10663.4568</v>
      </c>
      <c r="GN16" s="593">
        <f>'Proy 2022 vs 2019 sem'!AL15*GP$4</f>
        <v>9597.1111199999996</v>
      </c>
      <c r="GO16" s="699"/>
      <c r="GP16" s="700">
        <f>GO16/GM16</f>
        <v>0</v>
      </c>
      <c r="GQ16" s="593">
        <f>'Proy 2022 vs 2019 sem'!AK15*GT$4</f>
        <v>10663.4568</v>
      </c>
      <c r="GR16" s="593">
        <f>'Proy 2022 vs 2019 sem'!AL15*GT$4</f>
        <v>9597.1111199999996</v>
      </c>
      <c r="GS16" s="699"/>
      <c r="GT16" s="700">
        <f>GS16/GQ16</f>
        <v>0</v>
      </c>
      <c r="GU16" s="593">
        <f>'Proy 2022 vs 2019 sem'!AK15*GX$4</f>
        <v>10663.4568</v>
      </c>
      <c r="GV16" s="593">
        <f>'Proy 2022 vs 2019 sem'!AL15*GX$4</f>
        <v>9597.1111199999996</v>
      </c>
      <c r="GW16" s="699"/>
      <c r="GX16" s="700">
        <f>GW16/GU16</f>
        <v>0</v>
      </c>
      <c r="GY16" s="593">
        <f>'Proy 2022 vs 2019 sem'!AK15*HB$4</f>
        <v>10663.4568</v>
      </c>
      <c r="GZ16" s="593">
        <f>'Proy 2022 vs 2019 sem'!AL15*HB$4</f>
        <v>9597.1111199999996</v>
      </c>
      <c r="HA16" s="699"/>
      <c r="HB16" s="700">
        <f>HA16/GY16</f>
        <v>0</v>
      </c>
      <c r="HC16" s="593">
        <f>'Proy 2022 vs 2019 sem'!AK15*HF$4</f>
        <v>12440.699600000002</v>
      </c>
      <c r="HD16" s="593">
        <f>'Proy 2022 vs 2019 sem'!AL15*HF$4</f>
        <v>11196.629640000003</v>
      </c>
      <c r="HE16" s="699"/>
      <c r="HF16" s="700">
        <f>HE16/HC16</f>
        <v>0</v>
      </c>
      <c r="HG16" s="593">
        <f>'Proy 2022 vs 2019 sem'!AK15*HJ$4</f>
        <v>14217.9424</v>
      </c>
      <c r="HH16" s="593">
        <f>'Proy 2022 vs 2019 sem'!AL15*HJ$4</f>
        <v>12796.148160000001</v>
      </c>
      <c r="HI16" s="699"/>
      <c r="HJ16" s="700">
        <f>HI16/HG16</f>
        <v>0</v>
      </c>
      <c r="HK16" s="593">
        <f>'Proy 2022 vs 2019 sem'!AK15*HN$4</f>
        <v>19549.6708</v>
      </c>
      <c r="HL16" s="593">
        <f>'Proy 2022 vs 2019 sem'!AL15*HN$4</f>
        <v>17594.703720000001</v>
      </c>
      <c r="HM16" s="699"/>
      <c r="HN16" s="700">
        <f>HM16/HK16</f>
        <v>0</v>
      </c>
      <c r="HO16" s="579">
        <f>GM16+GQ16+GU16+GY16+HC16+HG16+HK16</f>
        <v>88862.139999999985</v>
      </c>
      <c r="HP16" s="574">
        <f>GN16+GR16+GV16+GZ16+HD16+HH16+HL16</f>
        <v>79975.926000000007</v>
      </c>
      <c r="HQ16" s="794">
        <f>GO16+GS16+GW16+HA16+HE16+HI16+HM16</f>
        <v>0</v>
      </c>
      <c r="HR16" s="786">
        <f>HQ16/HO16</f>
        <v>0</v>
      </c>
      <c r="HS16" s="593">
        <f>'Proy 2022 vs 2019 sem'!AK15*HV$4</f>
        <v>10663.4568</v>
      </c>
      <c r="HT16" s="593">
        <f>'Proy 2022 vs 2019 sem'!AL15*HV$4</f>
        <v>9597.1111199999996</v>
      </c>
      <c r="HU16" s="699"/>
      <c r="HV16" s="700">
        <f>HU16/HS16</f>
        <v>0</v>
      </c>
      <c r="HW16" s="593">
        <f>'Proy 2022 vs 2019 sem'!AK15*HZ$4</f>
        <v>10663.4568</v>
      </c>
      <c r="HX16" s="593">
        <f>'Proy 2022 vs 2019 sem'!AL15*HZ$4</f>
        <v>9597.1111199999996</v>
      </c>
      <c r="HY16" s="699"/>
      <c r="HZ16" s="700">
        <f>HY16/HW16</f>
        <v>0</v>
      </c>
      <c r="IA16" s="593">
        <f>'Proy 2022 vs 2019 sem'!AK15*ID$4</f>
        <v>10663.4568</v>
      </c>
      <c r="IB16" s="593">
        <f>'Proy 2022 vs 2019 sem'!AL15*ID$4</f>
        <v>9597.1111199999996</v>
      </c>
      <c r="IC16" s="699"/>
      <c r="ID16" s="700">
        <f>IC16/IA16</f>
        <v>0</v>
      </c>
      <c r="IE16" s="593">
        <f>'Proy 2022 vs 2019 sem'!AK15*IH$4</f>
        <v>10663.4568</v>
      </c>
      <c r="IF16" s="593">
        <f>'Proy 2022 vs 2019 sem'!AL15*IH$4</f>
        <v>9597.1111199999996</v>
      </c>
      <c r="IG16" s="699"/>
      <c r="IH16" s="700">
        <f>IG16/IE16</f>
        <v>0</v>
      </c>
      <c r="II16" s="593">
        <f>'Proy 2022 vs 2019 sem'!AK15*IL$4</f>
        <v>12440.699600000002</v>
      </c>
      <c r="IJ16" s="593">
        <f>'Proy 2022 vs 2019 sem'!AL15*IL$4</f>
        <v>11196.629640000003</v>
      </c>
      <c r="IK16" s="699"/>
      <c r="IL16" s="700">
        <f>IK16/II16</f>
        <v>0</v>
      </c>
      <c r="IM16" s="593">
        <f>'Proy 2022 vs 2019 sem'!AK15*IP$4</f>
        <v>14217.9424</v>
      </c>
      <c r="IN16" s="593">
        <f>'Proy 2022 vs 2019 sem'!AL15*IP$4</f>
        <v>12796.148160000001</v>
      </c>
      <c r="IO16" s="699"/>
      <c r="IP16" s="700">
        <f>IO16/IM16</f>
        <v>0</v>
      </c>
      <c r="IQ16" s="593">
        <f>'Proy 2022 vs 2019 sem'!AK15*IT$4</f>
        <v>19549.6708</v>
      </c>
      <c r="IR16" s="593">
        <f>'Proy 2022 vs 2019 sem'!AL15*IT$4</f>
        <v>17594.703720000001</v>
      </c>
      <c r="IS16" s="699"/>
      <c r="IT16" s="700">
        <f>IS16/IQ16</f>
        <v>0</v>
      </c>
      <c r="IU16" s="579">
        <f>HS16+HW16+IA16+IE16+II16+IM16+IQ16</f>
        <v>88862.139999999985</v>
      </c>
      <c r="IV16" s="574">
        <f>HT16+HX16+IB16+IF16+IJ16+IN16+IR16</f>
        <v>79975.926000000007</v>
      </c>
      <c r="IW16" s="785">
        <f>HU16+HY16+IC16+IG16+IK16+IO16+IS16</f>
        <v>0</v>
      </c>
      <c r="IX16" s="786">
        <f>IW16/IU16</f>
        <v>0</v>
      </c>
      <c r="IY16" s="593">
        <f>'Proy 2022 vs 2019 sem'!AY15*JB$4</f>
        <v>11930.13</v>
      </c>
      <c r="IZ16" s="593">
        <f>'Proy 2022 vs 2019 sem'!AZ15*JB$4</f>
        <v>10617.815699999999</v>
      </c>
      <c r="JA16" s="735"/>
      <c r="JB16" s="700">
        <f>JA16/IY16</f>
        <v>0</v>
      </c>
      <c r="JC16" s="593">
        <f>'Proy 2022 vs 2019 sem'!AY15*JF$4</f>
        <v>11930.13</v>
      </c>
      <c r="JD16" s="593">
        <f>'Proy 2022 vs 2019 sem'!AZ15*JF$4</f>
        <v>10617.815699999999</v>
      </c>
      <c r="JE16" s="735"/>
      <c r="JF16" s="700">
        <f>JE16/JC16</f>
        <v>0</v>
      </c>
      <c r="JG16" s="593">
        <f>'Proy 2022 vs 2019 sem'!AY15*JJ$4</f>
        <v>11930.13</v>
      </c>
      <c r="JH16" s="593">
        <f>'Proy 2022 vs 2019 sem'!AZ15*JJ$4</f>
        <v>10617.815699999999</v>
      </c>
      <c r="JI16" s="735"/>
      <c r="JJ16" s="700">
        <f>JI16/JG16</f>
        <v>0</v>
      </c>
      <c r="JK16" s="593">
        <f>'Proy 2022 vs 2019 sem'!AY15*JN$4</f>
        <v>11930.13</v>
      </c>
      <c r="JL16" s="593">
        <f>'Proy 2022 vs 2019 sem'!AZ15*JN$4</f>
        <v>10617.815699999999</v>
      </c>
      <c r="JM16" s="735"/>
      <c r="JN16" s="700">
        <f>JM16/JK16</f>
        <v>0</v>
      </c>
      <c r="JO16" s="593">
        <f>'Proy 2022 vs 2019 sem'!AY15*JR$4</f>
        <v>13918.485000000001</v>
      </c>
      <c r="JP16" s="593">
        <f>'Proy 2022 vs 2019 sem'!AZ15*JR$4</f>
        <v>12387.451650000001</v>
      </c>
      <c r="JQ16" s="735"/>
      <c r="JR16" s="700">
        <f>JQ16/JO16</f>
        <v>0</v>
      </c>
      <c r="JS16" s="593">
        <f>'Proy 2022 vs 2019 sem'!AY15*JV$4</f>
        <v>15906.84</v>
      </c>
      <c r="JT16" s="593">
        <f>'Proy 2022 vs 2019 sem'!AZ15*JV$4</f>
        <v>14157.087600000001</v>
      </c>
      <c r="JU16" s="735"/>
      <c r="JV16" s="700">
        <f>JU16/JS16</f>
        <v>0</v>
      </c>
      <c r="JW16" s="593">
        <f>'Proy 2022 vs 2019 sem'!AY15*JZ$4</f>
        <v>21871.904999999999</v>
      </c>
      <c r="JX16" s="593">
        <f>'Proy 2022 vs 2019 sem'!AZ15*JZ$4</f>
        <v>19465.995449999999</v>
      </c>
      <c r="JY16" s="735"/>
      <c r="JZ16" s="700">
        <f>JY16/JW16</f>
        <v>0</v>
      </c>
      <c r="KA16" s="579">
        <f>IY16+JC16+JG16+JK16+JO16+JS16+JW16</f>
        <v>99417.75</v>
      </c>
      <c r="KB16" s="574">
        <f>IZ16+JD16+JH16+JL16+JP16+JT16+JX16</f>
        <v>88481.797500000001</v>
      </c>
      <c r="KC16" s="729">
        <f>JA16+JE16+JI16+JM16+JQ16+JU16+JY16</f>
        <v>0</v>
      </c>
      <c r="KD16" s="711">
        <f>KC16/KA16</f>
        <v>0</v>
      </c>
      <c r="KE16" s="593">
        <f>'Proy 2022 vs 2019 sem'!BD15*KH$4</f>
        <v>12043.369199999999</v>
      </c>
      <c r="KF16" s="593">
        <f>'Proy 2022 vs 2019 sem'!BE15*KH$4</f>
        <v>10718.598588000001</v>
      </c>
      <c r="KG16" s="699"/>
      <c r="KH16" s="700">
        <f>KG16/KE16</f>
        <v>0</v>
      </c>
      <c r="KI16" s="593">
        <f>'Proy 2022 vs 2019 sem'!BD15*KL$4</f>
        <v>12043.369199999999</v>
      </c>
      <c r="KJ16" s="593">
        <f>'Proy 2022 vs 2019 sem'!BE15*KL$4</f>
        <v>10718.598588000001</v>
      </c>
      <c r="KK16" s="699"/>
      <c r="KL16" s="700">
        <f>KK16/KI16</f>
        <v>0</v>
      </c>
      <c r="KM16" s="593">
        <f>'Proy 2022 vs 2019 sem'!BD15*KP$4</f>
        <v>12043.369199999999</v>
      </c>
      <c r="KN16" s="593">
        <f>'Proy 2022 vs 2019 sem'!BE15*KP$4</f>
        <v>10718.598588000001</v>
      </c>
      <c r="KO16" s="699"/>
      <c r="KP16" s="700">
        <f>KO16/KM16</f>
        <v>0</v>
      </c>
      <c r="KQ16" s="593">
        <f>'Proy 2022 vs 2019 sem'!BD15*KT$4</f>
        <v>12043.369199999999</v>
      </c>
      <c r="KR16" s="593">
        <f>'Proy 2022 vs 2019 sem'!BE15*KT$4</f>
        <v>10718.598588000001</v>
      </c>
      <c r="KS16" s="699"/>
      <c r="KT16" s="700">
        <f>KS16/KQ16</f>
        <v>0</v>
      </c>
      <c r="KU16" s="593">
        <f>'Proy 2022 vs 2019 sem'!BD15*KX$4</f>
        <v>14050.597400000002</v>
      </c>
      <c r="KV16" s="593">
        <f>'Proy 2022 vs 2019 sem'!BE15*KX$4</f>
        <v>12505.031686000002</v>
      </c>
      <c r="KW16" s="699"/>
      <c r="KX16" s="700">
        <f>KW16/KU16</f>
        <v>0</v>
      </c>
      <c r="KY16" s="593">
        <f>'Proy 2022 vs 2019 sem'!BD15*LB$4</f>
        <v>16057.8256</v>
      </c>
      <c r="KZ16" s="593">
        <f>'Proy 2022 vs 2019 sem'!BE15*LB$4</f>
        <v>14291.464784000002</v>
      </c>
      <c r="LA16" s="699"/>
      <c r="LB16" s="700">
        <f>LA16/KY16</f>
        <v>0</v>
      </c>
      <c r="LC16" s="593">
        <f>'Proy 2022 vs 2019 sem'!BD15*LF$4</f>
        <v>22079.510200000001</v>
      </c>
      <c r="LD16" s="593">
        <f>'Proy 2022 vs 2019 sem'!BE15*LF$4</f>
        <v>19650.764078000004</v>
      </c>
      <c r="LE16" s="699"/>
      <c r="LF16" s="700">
        <f>LE16/LC16</f>
        <v>0</v>
      </c>
      <c r="LG16" s="579">
        <f>KE16+KI16+KM16+KQ16+KU16+KY16+LC16</f>
        <v>100361.41</v>
      </c>
      <c r="LH16" s="574">
        <f>KF16+KJ16+KN16+KR16+KV16+KZ16+LD16</f>
        <v>89321.654900000009</v>
      </c>
      <c r="LI16" s="730">
        <f>KG16+KK16+KO16+KS16+KW16+LA16+LE16</f>
        <v>0</v>
      </c>
      <c r="LJ16" s="711">
        <f>LI16/LG16</f>
        <v>0</v>
      </c>
      <c r="LK16" s="593">
        <f>'Proy 2022 vs 2019 sem'!BI15*LN$4</f>
        <v>13110.3696</v>
      </c>
      <c r="LL16" s="593">
        <f>'Proy 2022 vs 2019 sem'!BJ15*LN$4</f>
        <v>11668.228944</v>
      </c>
      <c r="LM16" s="699"/>
      <c r="LN16" s="700">
        <f>LM16/LK16</f>
        <v>0</v>
      </c>
      <c r="LO16" s="593">
        <f>'Proy 2022 vs 2019 sem'!BI15*LR$4</f>
        <v>13110.3696</v>
      </c>
      <c r="LP16" s="593">
        <f>'Proy 2022 vs 2019 sem'!BJ15*LR$4</f>
        <v>11668.228944</v>
      </c>
      <c r="LQ16" s="699"/>
      <c r="LR16" s="700">
        <f>LQ16/LO16</f>
        <v>0</v>
      </c>
      <c r="LS16" s="593">
        <f>'Proy 2022 vs 2019 sem'!BI15*LV$4</f>
        <v>13110.3696</v>
      </c>
      <c r="LT16" s="593">
        <f>'Proy 2022 vs 2019 sem'!BJ15*LV$4</f>
        <v>11668.228944</v>
      </c>
      <c r="LU16" s="699"/>
      <c r="LV16" s="700">
        <f>LU16/LS16</f>
        <v>0</v>
      </c>
      <c r="LW16" s="593">
        <f>'Proy 2022 vs 2019 sem'!BI15*LZ$4</f>
        <v>13110.3696</v>
      </c>
      <c r="LX16" s="593">
        <f>'Proy 2022 vs 2019 sem'!BJ15*LZ$4</f>
        <v>11668.228944</v>
      </c>
      <c r="LY16" s="699"/>
      <c r="LZ16" s="700">
        <f>LY16/LW16</f>
        <v>0</v>
      </c>
      <c r="MA16" s="593">
        <f>'Proy 2022 vs 2019 sem'!BI15*MD$4</f>
        <v>15295.431200000001</v>
      </c>
      <c r="MB16" s="593">
        <f>'Proy 2022 vs 2019 sem'!BJ15*MD$4</f>
        <v>13612.933768000003</v>
      </c>
      <c r="MC16" s="699"/>
      <c r="MD16" s="700">
        <f>MC16/MA16</f>
        <v>0</v>
      </c>
      <c r="ME16" s="593">
        <f>'Proy 2022 vs 2019 sem'!BI15*MH$4</f>
        <v>17480.4928</v>
      </c>
      <c r="MF16" s="593">
        <f>'Proy 2022 vs 2019 sem'!BJ15*MH$4</f>
        <v>15557.638592000001</v>
      </c>
      <c r="MG16" s="699"/>
      <c r="MH16" s="700">
        <f>MG16/ME16</f>
        <v>0</v>
      </c>
      <c r="MI16" s="593">
        <f>'Proy 2022 vs 2019 sem'!BI15*ML$4</f>
        <v>24035.677599999999</v>
      </c>
      <c r="MJ16" s="593">
        <f>'Proy 2022 vs 2019 sem'!BJ15*ML$4</f>
        <v>21391.753064</v>
      </c>
      <c r="MK16" s="699"/>
      <c r="ML16" s="700">
        <f>MK16/MI16</f>
        <v>0</v>
      </c>
      <c r="MM16" s="579">
        <f>LK16+LO16+LS16+LW16+MA16+ME16+MI16</f>
        <v>109253.07999999999</v>
      </c>
      <c r="MN16" s="574">
        <f>LL16+LP16+LT16+LX16+MB16+MF16+MJ16</f>
        <v>97235.241200000004</v>
      </c>
      <c r="MO16" s="730">
        <f>LM16+LQ16+LU16+LY16+MC16+MG16+MK16</f>
        <v>0</v>
      </c>
      <c r="MP16" s="711">
        <f>MO16/MM16</f>
        <v>0</v>
      </c>
      <c r="MQ16" s="593">
        <f>'Proy 2022 vs 2019 sem'!BN15*MT$4</f>
        <v>13499.487599999999</v>
      </c>
      <c r="MR16" s="593">
        <f>'Proy 2022 vs 2019 sem'!BO15*MT$4</f>
        <v>11744.554211999999</v>
      </c>
      <c r="MS16" s="699"/>
      <c r="MT16" s="700">
        <f>MS16/MQ16</f>
        <v>0</v>
      </c>
      <c r="MU16" s="593">
        <f>'Proy 2022 vs 2019 sem'!BN15*MX$4</f>
        <v>13499.487599999999</v>
      </c>
      <c r="MV16" s="593">
        <f>'Proy 2022 vs 2019 sem'!BO15*MX$4</f>
        <v>11744.554211999999</v>
      </c>
      <c r="MW16" s="699"/>
      <c r="MX16" s="700">
        <f>MW16/MU16</f>
        <v>0</v>
      </c>
      <c r="MY16" s="593">
        <f>'Proy 2022 vs 2019 sem'!BN15*NB$4</f>
        <v>13499.487599999999</v>
      </c>
      <c r="MZ16" s="593">
        <f>'Proy 2022 vs 2019 sem'!BO15*NB$4</f>
        <v>11744.554211999999</v>
      </c>
      <c r="NA16" s="699"/>
      <c r="NB16" s="700">
        <f>NA16/MY16</f>
        <v>0</v>
      </c>
      <c r="NC16" s="593">
        <f>'Proy 2022 vs 2019 sem'!BN15*NF$4</f>
        <v>13499.487599999999</v>
      </c>
      <c r="ND16" s="593">
        <f>'Proy 2022 vs 2019 sem'!BO15*NF$4</f>
        <v>11744.554211999999</v>
      </c>
      <c r="NE16" s="699"/>
      <c r="NF16" s="700">
        <f>NE16/NC16</f>
        <v>0</v>
      </c>
      <c r="NG16" s="593">
        <f>'Proy 2022 vs 2019 sem'!BN15*NJ$4</f>
        <v>15749.4022</v>
      </c>
      <c r="NH16" s="593">
        <f>'Proy 2022 vs 2019 sem'!BO15*NJ$4</f>
        <v>13701.979914</v>
      </c>
      <c r="NI16" s="699"/>
      <c r="NJ16" s="700">
        <f>NI16/NG16</f>
        <v>0</v>
      </c>
      <c r="NK16" s="593">
        <f>'Proy 2022 vs 2019 sem'!BN15*NN$4</f>
        <v>17999.316800000001</v>
      </c>
      <c r="NL16" s="593">
        <f>'Proy 2022 vs 2019 sem'!BO15*NN$4</f>
        <v>15659.405616</v>
      </c>
      <c r="NM16" s="699"/>
      <c r="NN16" s="700">
        <f>NM16/NK16</f>
        <v>0</v>
      </c>
      <c r="NO16" s="593">
        <f>'Proy 2022 vs 2019 sem'!BN15*NR$4</f>
        <v>24749.060600000001</v>
      </c>
      <c r="NP16" s="593">
        <f>'Proy 2022 vs 2019 sem'!BO15*NR$4</f>
        <v>21531.682721999998</v>
      </c>
      <c r="NQ16" s="699"/>
      <c r="NR16" s="700">
        <f>NQ16/NO16</f>
        <v>0</v>
      </c>
      <c r="NS16" s="579">
        <f>MQ16+MU16+MY16+NC16+NG16+NK16+NO16</f>
        <v>112495.73</v>
      </c>
      <c r="NT16" s="574">
        <f>MR16+MV16+MZ16+ND16+NH16+NL16+NP16</f>
        <v>97871.285099999994</v>
      </c>
      <c r="NU16" s="710">
        <f>MS16+MW16+NA16+NE16+NI16+NM16+NQ16</f>
        <v>0</v>
      </c>
      <c r="NV16" s="711">
        <f>NU16/NS16</f>
        <v>0</v>
      </c>
      <c r="NW16" s="593">
        <f>'Proy 2022 vs 2019 sem'!BS15*NZ$4</f>
        <v>13162.8768</v>
      </c>
      <c r="NX16" s="593">
        <f>'Proy 2022 vs 2019 sem'!BT15*NZ$4</f>
        <v>11714.960351999998</v>
      </c>
      <c r="NY16" s="699"/>
      <c r="NZ16" s="700">
        <f>NY16/NW16</f>
        <v>0</v>
      </c>
      <c r="OA16" s="593">
        <f>'Proy 2022 vs 2019 sem'!BS15*OD$4</f>
        <v>13162.8768</v>
      </c>
      <c r="OB16" s="593">
        <f>'Proy 2022 vs 2019 sem'!BT15*OD$4</f>
        <v>11714.960351999998</v>
      </c>
      <c r="OC16" s="699"/>
      <c r="OD16" s="700">
        <f>OC16/OA16</f>
        <v>0</v>
      </c>
      <c r="OE16" s="593">
        <f>'Proy 2022 vs 2019 sem'!BS15*OH$4</f>
        <v>13162.8768</v>
      </c>
      <c r="OF16" s="593">
        <f>'Proy 2022 vs 2019 sem'!BT15*OH$4</f>
        <v>11714.960351999998</v>
      </c>
      <c r="OG16" s="699"/>
      <c r="OH16" s="700">
        <f>OG16/OE16</f>
        <v>0</v>
      </c>
      <c r="OI16" s="593">
        <f>'Proy 2022 vs 2019 sem'!BS15*OL$4</f>
        <v>13162.8768</v>
      </c>
      <c r="OJ16" s="593">
        <f>'Proy 2022 vs 2019 sem'!BT15*OL$4</f>
        <v>11714.960351999998</v>
      </c>
      <c r="OK16" s="699"/>
      <c r="OL16" s="700">
        <f>OK16/OI16</f>
        <v>0</v>
      </c>
      <c r="OM16" s="593">
        <f>'Proy 2022 vs 2019 sem'!BS15*OP$4</f>
        <v>15356.689600000002</v>
      </c>
      <c r="ON16" s="593">
        <f>'Proy 2022 vs 2019 sem'!BT15*OP$4</f>
        <v>13667.453744</v>
      </c>
      <c r="OO16" s="699"/>
      <c r="OP16" s="700">
        <f>OO16/OM16</f>
        <v>0</v>
      </c>
      <c r="OQ16" s="593">
        <f>'Proy 2022 vs 2019 sem'!BS15*OT$4</f>
        <v>17550.502400000001</v>
      </c>
      <c r="OR16" s="593">
        <f>'Proy 2022 vs 2019 sem'!BT15*OT$4</f>
        <v>15619.947135999999</v>
      </c>
      <c r="OS16" s="699"/>
      <c r="OT16" s="700">
        <f>OS16/OQ16</f>
        <v>0</v>
      </c>
      <c r="OU16" s="593">
        <f>'Proy 2022 vs 2019 sem'!BS15*OX$4</f>
        <v>24131.9408</v>
      </c>
      <c r="OV16" s="593">
        <f>'Proy 2022 vs 2019 sem'!BT15*OX$4</f>
        <v>21477.427312</v>
      </c>
      <c r="OW16" s="699"/>
      <c r="OX16" s="700">
        <f>OW16/OU16</f>
        <v>0</v>
      </c>
      <c r="OY16" s="579">
        <f>NW16+OA16+OE16+OI16+OM16+OQ16+OU16</f>
        <v>109690.64</v>
      </c>
      <c r="OZ16" s="574">
        <f>NX16+OB16+OF16+OJ16+ON16+OR16+OV16</f>
        <v>97624.669599999994</v>
      </c>
      <c r="PA16" s="710">
        <f>NY16+OC16+OG16+OK16+OO16+OS16+OW16</f>
        <v>0</v>
      </c>
      <c r="PB16" s="711">
        <f>PA16/OY16</f>
        <v>0</v>
      </c>
      <c r="PC16" s="593">
        <f>'Proy 2022 vs 2019 sem'!CB15*PF$4</f>
        <v>12299.057999999999</v>
      </c>
      <c r="PD16" s="593">
        <f>'Proy 2022 vs 2019 sem'!CC15*PF$4</f>
        <v>10946.161619999999</v>
      </c>
      <c r="PE16" s="735"/>
      <c r="PF16" s="700">
        <f>PE16/PC16</f>
        <v>0</v>
      </c>
      <c r="PG16" s="593">
        <f>'Proy 2022 vs 2019 sem'!CB15*PJ$4</f>
        <v>12299.057999999999</v>
      </c>
      <c r="PH16" s="593">
        <f>'Proy 2022 vs 2019 sem'!CC15*PJ$4</f>
        <v>10946.161619999999</v>
      </c>
      <c r="PI16" s="699"/>
      <c r="PJ16" s="700">
        <f>PI16/PG16</f>
        <v>0</v>
      </c>
      <c r="PK16" s="593">
        <f>'Proy 2022 vs 2019 sem'!CB15*PN$4</f>
        <v>12299.057999999999</v>
      </c>
      <c r="PL16" s="593">
        <f>'Proy 2022 vs 2019 sem'!CC15*PN$4</f>
        <v>10946.161619999999</v>
      </c>
      <c r="PM16" s="699"/>
      <c r="PN16" s="700">
        <f>PM16/PK16</f>
        <v>0</v>
      </c>
      <c r="PO16" s="593">
        <f>'Proy 2022 vs 2019 sem'!CB15*PR$4</f>
        <v>12299.057999999999</v>
      </c>
      <c r="PP16" s="593">
        <f>'Proy 2022 vs 2019 sem'!CC15*PR$4</f>
        <v>10946.161619999999</v>
      </c>
      <c r="PQ16" s="699"/>
      <c r="PR16" s="700">
        <f>PQ16/PO16</f>
        <v>0</v>
      </c>
      <c r="PS16" s="593">
        <f>'Proy 2022 vs 2019 sem'!CB15*PV$4</f>
        <v>14348.901</v>
      </c>
      <c r="PT16" s="593">
        <f>'Proy 2022 vs 2019 sem'!CC15*PV$4</f>
        <v>12770.521890000002</v>
      </c>
      <c r="PU16" s="699"/>
      <c r="PV16" s="700">
        <f>PU16/PS16</f>
        <v>0</v>
      </c>
      <c r="PW16" s="593">
        <f>'Proy 2022 vs 2019 sem'!CB15*PZ$4</f>
        <v>16398.743999999999</v>
      </c>
      <c r="PX16" s="593">
        <f>'Proy 2022 vs 2019 sem'!CC15*PZ$4</f>
        <v>14594.882160000001</v>
      </c>
      <c r="PY16" s="699"/>
      <c r="PZ16" s="700">
        <f>PY16/PW16</f>
        <v>0</v>
      </c>
      <c r="QA16" s="593">
        <f>'Proy 2022 vs 2019 sem'!CB15*QD$4</f>
        <v>22548.272999999997</v>
      </c>
      <c r="QB16" s="593">
        <f>'Proy 2022 vs 2019 sem'!CC15*QD$4</f>
        <v>20067.96297</v>
      </c>
      <c r="QC16" s="699"/>
      <c r="QD16" s="700">
        <f>QC16/QA16</f>
        <v>0</v>
      </c>
      <c r="QE16" s="579">
        <f>PC16+PG16+PK16+PO16+PS16+PW16+QA16</f>
        <v>102492.15</v>
      </c>
      <c r="QF16" s="574">
        <f>PD16+PH16+PL16+PP16+PT16+PX16+QB16</f>
        <v>91218.013500000001</v>
      </c>
      <c r="QG16" s="793">
        <f>PE16+PI16+PM16+PQ16+PU16+PY16+QC16</f>
        <v>0</v>
      </c>
      <c r="QH16" s="786">
        <f>QG16/QE16</f>
        <v>0</v>
      </c>
      <c r="QI16" s="593">
        <f>'Proy 2022 vs 2019 sem'!CG15*QL$4</f>
        <v>14103.937199999998</v>
      </c>
      <c r="QJ16" s="593">
        <f>'Proy 2022 vs 2019 sem'!CH15*QL$4</f>
        <v>12552.504107999999</v>
      </c>
      <c r="QK16" s="699"/>
      <c r="QL16" s="700">
        <f>QK16/QI16</f>
        <v>0</v>
      </c>
      <c r="QM16" s="593">
        <f>'Proy 2022 vs 2019 sem'!CG15*QP$4</f>
        <v>14103.937199999998</v>
      </c>
      <c r="QN16" s="593">
        <f>'Proy 2022 vs 2019 sem'!CH15*QP$4</f>
        <v>12552.504107999999</v>
      </c>
      <c r="QO16" s="699"/>
      <c r="QP16" s="700">
        <f>QO16/QM16</f>
        <v>0</v>
      </c>
      <c r="QQ16" s="593">
        <f>'Proy 2022 vs 2019 sem'!CG15*QT$4</f>
        <v>14103.937199999998</v>
      </c>
      <c r="QR16" s="593">
        <f>'Proy 2022 vs 2019 sem'!CH15*QT$4</f>
        <v>12552.504107999999</v>
      </c>
      <c r="QS16" s="699"/>
      <c r="QT16" s="700">
        <f>QS16/QQ16</f>
        <v>0</v>
      </c>
      <c r="QU16" s="593">
        <f>'Proy 2022 vs 2019 sem'!CG15*QX$4</f>
        <v>14103.937199999998</v>
      </c>
      <c r="QV16" s="593">
        <f>'Proy 2022 vs 2019 sem'!CH15*QX$4</f>
        <v>12552.504107999999</v>
      </c>
      <c r="QW16" s="699"/>
      <c r="QX16" s="700">
        <f>QW16/QU16</f>
        <v>0</v>
      </c>
      <c r="QY16" s="593">
        <f>'Proy 2022 vs 2019 sem'!CG15*RB$4</f>
        <v>16454.593400000002</v>
      </c>
      <c r="QZ16" s="593">
        <f>'Proy 2022 vs 2019 sem'!CH15*RB$4</f>
        <v>14644.588126000001</v>
      </c>
      <c r="RA16" s="699"/>
      <c r="RB16" s="700">
        <f>RA16/QY16</f>
        <v>0</v>
      </c>
      <c r="RC16" s="593">
        <f>'Proy 2022 vs 2019 sem'!CG15*RF$4</f>
        <v>18805.249599999999</v>
      </c>
      <c r="RD16" s="593">
        <f>'Proy 2022 vs 2019 sem'!CH15*RF$4</f>
        <v>16736.672144</v>
      </c>
      <c r="RE16" s="699"/>
      <c r="RF16" s="700">
        <f>RE16/RC16</f>
        <v>0</v>
      </c>
      <c r="RG16" s="593">
        <f>'Proy 2022 vs 2019 sem'!CG15*RJ$4</f>
        <v>25857.218199999999</v>
      </c>
      <c r="RH16" s="593">
        <f>'Proy 2022 vs 2019 sem'!CH15*RJ$4</f>
        <v>23012.924198000001</v>
      </c>
      <c r="RI16" s="699"/>
      <c r="RJ16" s="700">
        <f>RI16/RG16</f>
        <v>0</v>
      </c>
      <c r="RK16" s="579">
        <f>QI16+QM16+QQ16+QU16+QY16+RC16+RG16</f>
        <v>117532.81</v>
      </c>
      <c r="RL16" s="574">
        <f>QJ16+QN16+QR16+QV16+QZ16+RD16+RH16</f>
        <v>104604.2009</v>
      </c>
      <c r="RM16" s="794">
        <f>QK16+QO16+QS16+QW16+RA16+RE16+RI16</f>
        <v>0</v>
      </c>
      <c r="RN16" s="786">
        <f>RM16/RK16</f>
        <v>0</v>
      </c>
      <c r="RO16" s="593">
        <f>'Proy 2022 vs 2019 sem'!CL15*RR$4</f>
        <v>16996.911599999999</v>
      </c>
      <c r="RP16" s="593">
        <f>'Proy 2022 vs 2019 sem'!CM15*RR$4</f>
        <v>15127.251323999999</v>
      </c>
      <c r="RQ16" s="699"/>
      <c r="RR16" s="700">
        <f>RQ16/RO16</f>
        <v>0</v>
      </c>
      <c r="RS16" s="593">
        <f>'Proy 2022 vs 2019 sem'!CL15*RV$4</f>
        <v>16996.911599999999</v>
      </c>
      <c r="RT16" s="593">
        <f>'Proy 2022 vs 2019 sem'!CM15*RV$4</f>
        <v>15127.251323999999</v>
      </c>
      <c r="RU16" s="699"/>
      <c r="RV16" s="700">
        <f>RU16/RS16</f>
        <v>0</v>
      </c>
      <c r="RW16" s="593">
        <f>'Proy 2022 vs 2019 sem'!CL15*RZ$4</f>
        <v>16996.911599999999</v>
      </c>
      <c r="RX16" s="593">
        <f>'Proy 2022 vs 2019 sem'!CM15*RZ$4</f>
        <v>15127.251323999999</v>
      </c>
      <c r="RY16" s="699"/>
      <c r="RZ16" s="700">
        <f>RY16/RW16</f>
        <v>0</v>
      </c>
      <c r="SA16" s="593">
        <f>'Proy 2022 vs 2019 sem'!CL15*SD$4</f>
        <v>16996.911599999999</v>
      </c>
      <c r="SB16" s="593">
        <f>'Proy 2022 vs 2019 sem'!CM15*SD$4</f>
        <v>15127.251323999999</v>
      </c>
      <c r="SC16" s="699"/>
      <c r="SD16" s="700">
        <f>SC16/SA16</f>
        <v>0</v>
      </c>
      <c r="SE16" s="593">
        <f>'Proy 2022 vs 2019 sem'!CL15*SH$4</f>
        <v>19829.730200000002</v>
      </c>
      <c r="SF16" s="593">
        <f>'Proy 2022 vs 2019 sem'!CM15*SH$4</f>
        <v>17648.459878000001</v>
      </c>
      <c r="SG16" s="699"/>
      <c r="SH16" s="700">
        <f>SG16/SE16</f>
        <v>0</v>
      </c>
      <c r="SI16" s="593">
        <f>'Proy 2022 vs 2019 sem'!CL15*SL$4</f>
        <v>22662.5488</v>
      </c>
      <c r="SJ16" s="593">
        <f>'Proy 2022 vs 2019 sem'!CM15*SL$4</f>
        <v>20169.668432000002</v>
      </c>
      <c r="SK16" s="699"/>
      <c r="SL16" s="700">
        <f>SK16/SI16</f>
        <v>0</v>
      </c>
      <c r="SM16" s="593">
        <f>'Proy 2022 vs 2019 sem'!CL15*SP$4</f>
        <v>31161.0046</v>
      </c>
      <c r="SN16" s="593">
        <f>'Proy 2022 vs 2019 sem'!CM15*SP$4</f>
        <v>27733.294094000001</v>
      </c>
      <c r="SO16" s="699"/>
      <c r="SP16" s="700">
        <f>SO16/SM16</f>
        <v>0</v>
      </c>
      <c r="SQ16" s="579">
        <f>RO16+RS16+RW16+SA16+SE16+SI16+SM16</f>
        <v>141640.93</v>
      </c>
      <c r="SR16" s="574">
        <f>RP16+RT16+RX16+SB16+SF16+SJ16+SN16</f>
        <v>126060.4277</v>
      </c>
      <c r="SS16" s="794">
        <f>RQ16+RU16+RY16+SC16+SG16+SK16+SO16</f>
        <v>0</v>
      </c>
      <c r="ST16" s="786">
        <f>SS16/SQ16</f>
        <v>0</v>
      </c>
      <c r="SU16" s="593">
        <f>'Proy 2022 vs 2019 sem'!CQ15*SX$4</f>
        <v>16666.281599999998</v>
      </c>
      <c r="SV16" s="593">
        <f>'Proy 2022 vs 2019 sem'!CR15*SX$4</f>
        <v>14999.653439999998</v>
      </c>
      <c r="SW16" s="699"/>
      <c r="SX16" s="700">
        <f>SW16/SU16</f>
        <v>0</v>
      </c>
      <c r="SY16" s="593">
        <f>'Proy 2022 vs 2019 sem'!CQ15*TB$4</f>
        <v>16666.281599999998</v>
      </c>
      <c r="SZ16" s="593">
        <f>'Proy 2022 vs 2019 sem'!CR15*TB$4</f>
        <v>14999.653439999998</v>
      </c>
      <c r="TA16" s="699"/>
      <c r="TB16" s="700">
        <f>TA16/SY16</f>
        <v>0</v>
      </c>
      <c r="TC16" s="593">
        <f>'Proy 2022 vs 2019 sem'!CQ15*TF$4</f>
        <v>16666.281599999998</v>
      </c>
      <c r="TD16" s="593">
        <f>'Proy 2022 vs 2019 sem'!CR15*TF$4</f>
        <v>14999.653439999998</v>
      </c>
      <c r="TE16" s="699"/>
      <c r="TF16" s="700">
        <f>TE16/TC16</f>
        <v>0</v>
      </c>
      <c r="TG16" s="593">
        <f>'Proy 2022 vs 2019 sem'!CQ15*TJ$4</f>
        <v>16666.281599999998</v>
      </c>
      <c r="TH16" s="593">
        <f>'Proy 2022 vs 2019 sem'!CR15*TJ$4</f>
        <v>14999.653439999998</v>
      </c>
      <c r="TI16" s="699"/>
      <c r="TJ16" s="700">
        <f>TI16/TG16</f>
        <v>0</v>
      </c>
      <c r="TK16" s="593">
        <f>'Proy 2022 vs 2019 sem'!CQ15*TN$4</f>
        <v>19443.995200000001</v>
      </c>
      <c r="TL16" s="593">
        <f>'Proy 2022 vs 2019 sem'!CR15*TN$4</f>
        <v>17499.595680000002</v>
      </c>
      <c r="TM16" s="699"/>
      <c r="TN16" s="700">
        <f>TM16/TK16</f>
        <v>0</v>
      </c>
      <c r="TO16" s="593">
        <f>'Proy 2022 vs 2019 sem'!CQ15*TR$4</f>
        <v>22221.7088</v>
      </c>
      <c r="TP16" s="593">
        <f>'Proy 2022 vs 2019 sem'!CR15*TR$4</f>
        <v>19999.537919999999</v>
      </c>
      <c r="TQ16" s="699"/>
      <c r="TR16" s="700">
        <f>TQ16/TO16</f>
        <v>0</v>
      </c>
      <c r="TS16" s="593">
        <f>'Proy 2022 vs 2019 sem'!CQ15*TV$4</f>
        <v>30554.849599999998</v>
      </c>
      <c r="TT16" s="593">
        <f>'Proy 2022 vs 2019 sem'!CR15*TV$4</f>
        <v>27499.36464</v>
      </c>
      <c r="TU16" s="699"/>
      <c r="TV16" s="700">
        <f>TU16/TS16</f>
        <v>0</v>
      </c>
      <c r="TW16" s="579">
        <f>SU16+SY16+TC16+TG16+TK16+TO16+TS16</f>
        <v>138885.68</v>
      </c>
      <c r="TX16" s="574">
        <f>SV16+SZ16+TD16+TH16+TL16+TP16+TT16</f>
        <v>124997.11199999999</v>
      </c>
      <c r="TY16" s="785">
        <f>SW16+TA16+TE16+TI16+TM16+TQ16+TU16</f>
        <v>0</v>
      </c>
      <c r="TZ16" s="786">
        <f>TY16/TW16</f>
        <v>0</v>
      </c>
      <c r="UA16" s="593">
        <f>'Proy 2022 vs 2019 sem'!CZ15*UD$4</f>
        <v>19147.891200000002</v>
      </c>
      <c r="UB16" s="593">
        <f>'Proy 2022 vs 2019 sem'!DA15*UD$4</f>
        <v>17041.623167999998</v>
      </c>
      <c r="UC16" s="735"/>
      <c r="UD16" s="700">
        <f>UC16/UA16</f>
        <v>0</v>
      </c>
      <c r="UE16" s="593">
        <f>'Proy 2022 vs 2019 sem'!CZ15*UH$4</f>
        <v>19147.891200000002</v>
      </c>
      <c r="UF16" s="593">
        <f>'Proy 2022 vs 2019 sem'!DA15*UH$4</f>
        <v>17041.623167999998</v>
      </c>
      <c r="UG16" s="699"/>
      <c r="UH16" s="700">
        <f>UG16/UE16</f>
        <v>0</v>
      </c>
      <c r="UI16" s="593">
        <f>'Proy 2022 vs 2019 sem'!CZ15*UL$4</f>
        <v>19147.891200000002</v>
      </c>
      <c r="UJ16" s="593">
        <f>'Proy 2022 vs 2019 sem'!DA15*UL$4</f>
        <v>17041.623167999998</v>
      </c>
      <c r="UK16" s="699"/>
      <c r="UL16" s="700">
        <f>UK16/UI16</f>
        <v>0</v>
      </c>
      <c r="UM16" s="593">
        <f>'Proy 2022 vs 2019 sem'!CZ15*UP$4</f>
        <v>19147.891200000002</v>
      </c>
      <c r="UN16" s="593">
        <f>'Proy 2022 vs 2019 sem'!DA15*UP$4</f>
        <v>17041.623167999998</v>
      </c>
      <c r="UO16" s="699"/>
      <c r="UP16" s="700">
        <f>UO16/UM16</f>
        <v>0</v>
      </c>
      <c r="UQ16" s="593">
        <f>'Proy 2022 vs 2019 sem'!CZ15*UT$4</f>
        <v>22339.206400000003</v>
      </c>
      <c r="UR16" s="593">
        <f>'Proy 2022 vs 2019 sem'!DA15*UT$4</f>
        <v>19881.893696000003</v>
      </c>
      <c r="US16" s="699"/>
      <c r="UT16" s="700">
        <f>US16/UQ16</f>
        <v>0</v>
      </c>
      <c r="UU16" s="593">
        <f>'Proy 2022 vs 2019 sem'!CZ15*UX$4</f>
        <v>25530.521600000004</v>
      </c>
      <c r="UV16" s="593">
        <f>'Proy 2022 vs 2019 sem'!DA15*UX$4</f>
        <v>22722.164224</v>
      </c>
      <c r="UW16" s="699"/>
      <c r="UX16" s="700">
        <f>UW16/UU16</f>
        <v>0</v>
      </c>
      <c r="UY16" s="593">
        <f>'Proy 2022 vs 2019 sem'!CZ15*VB$4</f>
        <v>35104.467199999999</v>
      </c>
      <c r="UZ16" s="593">
        <f>'Proy 2022 vs 2019 sem'!DA15*VB$4</f>
        <v>31242.975807999999</v>
      </c>
      <c r="VA16" s="699"/>
      <c r="VB16" s="700">
        <f>VA16/UY16</f>
        <v>0</v>
      </c>
      <c r="VC16" s="579">
        <f>UA16+UE16+UI16+UM16+UQ16+UU16+UY16</f>
        <v>159565.76000000001</v>
      </c>
      <c r="VD16" s="574">
        <f>UB16+UF16+UJ16+UN16+UR16+UV16+UZ16</f>
        <v>142013.52639999997</v>
      </c>
      <c r="VE16" s="759">
        <f>UC16+UG16+UK16+UO16+US16+UW16+VA16</f>
        <v>0</v>
      </c>
      <c r="VF16" s="761">
        <f>VE16/VC16</f>
        <v>0</v>
      </c>
      <c r="VG16" s="593">
        <f>'Proy 2022 vs 2019 sem'!DE15*VJ$4</f>
        <v>14170.282799999999</v>
      </c>
      <c r="VH16" s="593">
        <f>'Proy 2022 vs 2019 sem'!DF15*VJ$4</f>
        <v>12611.551691999999</v>
      </c>
      <c r="VI16" s="699"/>
      <c r="VJ16" s="700">
        <f>VI16/VG16</f>
        <v>0</v>
      </c>
      <c r="VK16" s="593">
        <f>'Proy 2022 vs 2019 sem'!DE15*VN$4</f>
        <v>14170.282799999999</v>
      </c>
      <c r="VL16" s="593">
        <f>'Proy 2022 vs 2019 sem'!DF15*VN$4</f>
        <v>12611.551691999999</v>
      </c>
      <c r="VM16" s="699"/>
      <c r="VN16" s="700">
        <f>VM16/VK16</f>
        <v>0</v>
      </c>
      <c r="VO16" s="593">
        <f>'Proy 2022 vs 2019 sem'!DE15*VR$4</f>
        <v>14170.282799999999</v>
      </c>
      <c r="VP16" s="593">
        <f>'Proy 2022 vs 2019 sem'!DF15*VR$4</f>
        <v>12611.551691999999</v>
      </c>
      <c r="VQ16" s="699"/>
      <c r="VR16" s="700">
        <f>VQ16/VO16</f>
        <v>0</v>
      </c>
      <c r="VS16" s="593">
        <f>'Proy 2022 vs 2019 sem'!DE15*VV$4</f>
        <v>14170.282799999999</v>
      </c>
      <c r="VT16" s="593">
        <f>'Proy 2022 vs 2019 sem'!DF15*VV$4</f>
        <v>12611.551691999999</v>
      </c>
      <c r="VU16" s="699"/>
      <c r="VV16" s="700">
        <f>VU16/VS16</f>
        <v>0</v>
      </c>
      <c r="VW16" s="593">
        <f>'Proy 2022 vs 2019 sem'!DE15*VZ$4</f>
        <v>16531.996600000002</v>
      </c>
      <c r="VX16" s="593">
        <f>'Proy 2022 vs 2019 sem'!DF15*VZ$4</f>
        <v>14713.476974000001</v>
      </c>
      <c r="VY16" s="699"/>
      <c r="VZ16" s="700">
        <f>VY16/VW16</f>
        <v>0</v>
      </c>
      <c r="WA16" s="593">
        <f>'Proy 2022 vs 2019 sem'!DE15*WD$4</f>
        <v>18893.7104</v>
      </c>
      <c r="WB16" s="593">
        <f>'Proy 2022 vs 2019 sem'!DF15*WD$4</f>
        <v>16815.402256000001</v>
      </c>
      <c r="WC16" s="699"/>
      <c r="WD16" s="700">
        <f>WC16/WA16</f>
        <v>0</v>
      </c>
      <c r="WE16" s="593">
        <f>'Proy 2022 vs 2019 sem'!DE15*WH$4</f>
        <v>25978.8518</v>
      </c>
      <c r="WF16" s="593">
        <f>'Proy 2022 vs 2019 sem'!DF15*WH$4</f>
        <v>23121.178102000002</v>
      </c>
      <c r="WG16" s="699"/>
      <c r="WH16" s="700">
        <f>WG16/WE16</f>
        <v>0</v>
      </c>
      <c r="WI16" s="579">
        <f>VG16+VK16+VO16+VS16+VW16+WA16+WE16</f>
        <v>118085.69</v>
      </c>
      <c r="WJ16" s="574">
        <f>VH16+VL16+VP16+VT16+VX16+WB16+WF16</f>
        <v>105096.2641</v>
      </c>
      <c r="WK16" s="765">
        <f>VI16+VM16+VQ16+VU16+VY16+WC16+WG16</f>
        <v>0</v>
      </c>
      <c r="WL16" s="761">
        <f>WK16/WI16</f>
        <v>0</v>
      </c>
      <c r="WM16" s="593">
        <f>'Proy 2022 vs 2019 sem'!DJ15*WP$4</f>
        <v>13037.727599999998</v>
      </c>
      <c r="WN16" s="593">
        <f>'Proy 2022 vs 2019 sem'!DK15*WP$4</f>
        <v>11603.577563999999</v>
      </c>
      <c r="WO16" s="699"/>
      <c r="WP16" s="700">
        <f>WO16/WM16</f>
        <v>0</v>
      </c>
      <c r="WQ16" s="593">
        <f>'Proy 2022 vs 2019 sem'!DJ15*WT$4</f>
        <v>13037.727599999998</v>
      </c>
      <c r="WR16" s="593">
        <f>'Proy 2022 vs 2019 sem'!DK15*WT$4</f>
        <v>11603.577563999999</v>
      </c>
      <c r="WS16" s="699"/>
      <c r="WT16" s="700">
        <f>WS16/WQ16</f>
        <v>0</v>
      </c>
      <c r="WU16" s="593">
        <f>'Proy 2022 vs 2019 sem'!DJ15*WX$4</f>
        <v>13037.727599999998</v>
      </c>
      <c r="WV16" s="593">
        <f>'Proy 2022 vs 2019 sem'!DK15*WX$4</f>
        <v>11603.577563999999</v>
      </c>
      <c r="WW16" s="699"/>
      <c r="WX16" s="700">
        <f>WW16/WU16</f>
        <v>0</v>
      </c>
      <c r="WY16" s="593">
        <f>'Proy 2022 vs 2019 sem'!DJ15*XB$4</f>
        <v>13037.727599999998</v>
      </c>
      <c r="WZ16" s="593">
        <f>'Proy 2022 vs 2019 sem'!DK15*XB$4</f>
        <v>11603.577563999999</v>
      </c>
      <c r="XA16" s="699"/>
      <c r="XB16" s="700">
        <f>XA16/WY16</f>
        <v>0</v>
      </c>
      <c r="XC16" s="593">
        <f>'Proy 2022 vs 2019 sem'!DJ15*XF$4</f>
        <v>15210.682200000001</v>
      </c>
      <c r="XD16" s="593">
        <f>'Proy 2022 vs 2019 sem'!DK15*XF$4</f>
        <v>13537.507158</v>
      </c>
      <c r="XE16" s="699"/>
      <c r="XF16" s="700">
        <f>XE16/XC16</f>
        <v>0</v>
      </c>
      <c r="XG16" s="593">
        <f>'Proy 2022 vs 2019 sem'!DJ15*XJ$4</f>
        <v>17383.6368</v>
      </c>
      <c r="XH16" s="593">
        <f>'Proy 2022 vs 2019 sem'!DK15*XJ$4</f>
        <v>15471.436752</v>
      </c>
      <c r="XI16" s="699"/>
      <c r="XJ16" s="700">
        <f>XI16/XG16</f>
        <v>0</v>
      </c>
      <c r="XK16" s="593">
        <f>'Proy 2022 vs 2019 sem'!DJ15*XN$4</f>
        <v>23902.500599999999</v>
      </c>
      <c r="XL16" s="593">
        <f>'Proy 2022 vs 2019 sem'!DK15*XN$4</f>
        <v>21273.225534000001</v>
      </c>
      <c r="XM16" s="699"/>
      <c r="XN16" s="700">
        <f>XM16/XK16</f>
        <v>0</v>
      </c>
      <c r="XO16" s="579">
        <f>WM16+WQ16+WU16+WY16+XC16+XG16+XK16</f>
        <v>108647.72999999998</v>
      </c>
      <c r="XP16" s="574">
        <f>WN16+WR16+WV16+WZ16+XD16+XH16+XL16</f>
        <v>96696.479699999996</v>
      </c>
      <c r="XQ16" s="765">
        <f>WO16+WS16+WW16+XA16+XE16+XI16+XM16</f>
        <v>0</v>
      </c>
      <c r="XR16" s="761">
        <f>XQ16/XO16</f>
        <v>0</v>
      </c>
      <c r="XS16" s="593">
        <f>'Proy 2022 vs 2019 sem'!DO15*XV$4</f>
        <v>12745.47</v>
      </c>
      <c r="XT16" s="593">
        <f>'Proy 2022 vs 2019 sem'!DP15*XV$4</f>
        <v>11343.468299999999</v>
      </c>
      <c r="XU16" s="699"/>
      <c r="XV16" s="700">
        <f>XU16/XS16</f>
        <v>0</v>
      </c>
      <c r="XW16" s="593">
        <f>'Proy 2022 vs 2019 sem'!DO15*XZ$4</f>
        <v>12745.47</v>
      </c>
      <c r="XX16" s="593">
        <f>'Proy 2022 vs 2019 sem'!DP15*XZ$4</f>
        <v>11343.468299999999</v>
      </c>
      <c r="XY16" s="699"/>
      <c r="XZ16" s="700">
        <f>XY16/XW16</f>
        <v>0</v>
      </c>
      <c r="YA16" s="593">
        <f>'Proy 2022 vs 2019 sem'!DO15*YD$4</f>
        <v>12745.47</v>
      </c>
      <c r="YB16" s="593">
        <f>'Proy 2022 vs 2019 sem'!DP15*YD$4</f>
        <v>11343.468299999999</v>
      </c>
      <c r="YC16" s="699"/>
      <c r="YD16" s="700">
        <f>YC16/YA16</f>
        <v>0</v>
      </c>
      <c r="YE16" s="593">
        <f>'Proy 2022 vs 2019 sem'!DO15*YH$4</f>
        <v>12745.47</v>
      </c>
      <c r="YF16" s="593">
        <f>'Proy 2022 vs 2019 sem'!DP15*YH$4</f>
        <v>11343.468299999999</v>
      </c>
      <c r="YG16" s="699"/>
      <c r="YH16" s="700">
        <f>YG16/YE16</f>
        <v>0</v>
      </c>
      <c r="YI16" s="593">
        <f>'Proy 2022 vs 2019 sem'!DO15*YL$4</f>
        <v>14869.715000000002</v>
      </c>
      <c r="YJ16" s="593">
        <f>'Proy 2022 vs 2019 sem'!DP15*YL$4</f>
        <v>13234.046350000001</v>
      </c>
      <c r="YK16" s="699"/>
      <c r="YL16" s="700">
        <f>YK16/YI16</f>
        <v>0</v>
      </c>
      <c r="YM16" s="593">
        <f>'Proy 2022 vs 2019 sem'!DO15*YP$4</f>
        <v>16993.96</v>
      </c>
      <c r="YN16" s="593">
        <f>'Proy 2022 vs 2019 sem'!DP15*YP$4</f>
        <v>15124.624400000001</v>
      </c>
      <c r="YO16" s="699"/>
      <c r="YP16" s="700">
        <f>YO16/YM16</f>
        <v>0</v>
      </c>
      <c r="YQ16" s="593">
        <f>'Proy 2022 vs 2019 sem'!DO15*YT$4</f>
        <v>23366.695</v>
      </c>
      <c r="YR16" s="593">
        <f>'Proy 2022 vs 2019 sem'!DP15*YT$4</f>
        <v>20796.358550000001</v>
      </c>
      <c r="YS16" s="699"/>
      <c r="YT16" s="700">
        <f>YS16/YQ16</f>
        <v>0</v>
      </c>
      <c r="YU16" s="579">
        <f>XS16+XW16+YA16+YE16+YI16+YM16+YQ16</f>
        <v>106212.25</v>
      </c>
      <c r="YV16" s="574">
        <f>XT16+XX16+YB16+YF16+YJ16+YN16+YR16</f>
        <v>94528.902499999997</v>
      </c>
      <c r="YW16" s="770">
        <f>XU16+XY16+YC16+YG16+YK16+YO16+YS16</f>
        <v>0</v>
      </c>
      <c r="YX16" s="761">
        <f>YW16/YU16</f>
        <v>0</v>
      </c>
      <c r="YY16" s="931">
        <f>'Proy 2022 vs 2019 sem'!DX15*ZB$4</f>
        <v>13000.207199999999</v>
      </c>
      <c r="YZ16" s="931">
        <f>'Proy 2022 vs 2019 sem'!DY15*ZB$4</f>
        <v>11570.184407999999</v>
      </c>
      <c r="ZA16" s="735"/>
      <c r="ZB16" s="700">
        <f>ZA16/YY16</f>
        <v>0</v>
      </c>
      <c r="ZC16" s="593">
        <f>'Proy 2022 vs 2019 sem'!DX15*ZF$4</f>
        <v>13000.207199999999</v>
      </c>
      <c r="ZD16" s="593">
        <f>'Proy 2022 vs 2019 sem'!DY15*ZF$4</f>
        <v>11570.184407999999</v>
      </c>
      <c r="ZE16" s="735"/>
      <c r="ZF16" s="700">
        <f>ZE16/ZC16</f>
        <v>0</v>
      </c>
      <c r="ZG16" s="593">
        <f>'Proy 2022 vs 2019 sem'!DX15*ZJ$4</f>
        <v>13000.207199999999</v>
      </c>
      <c r="ZH16" s="593">
        <f>'Proy 2022 vs 2019 sem'!DY15*ZJ$4</f>
        <v>11570.184407999999</v>
      </c>
      <c r="ZI16" s="735"/>
      <c r="ZJ16" s="700">
        <f>ZI16/ZG16</f>
        <v>0</v>
      </c>
      <c r="ZK16" s="593">
        <f>'Proy 2022 vs 2019 sem'!DX15*ZN$4</f>
        <v>13000.207199999999</v>
      </c>
      <c r="ZL16" s="593">
        <f>'Proy 2022 vs 2019 sem'!DY15*ZN$4</f>
        <v>11570.184407999999</v>
      </c>
      <c r="ZM16" s="735"/>
      <c r="ZN16" s="700">
        <f>ZM16/ZK16</f>
        <v>0</v>
      </c>
      <c r="ZO16" s="593">
        <f>'Proy 2022 vs 2019 sem'!DX15*ZR$4</f>
        <v>15166.9084</v>
      </c>
      <c r="ZP16" s="593">
        <f>'Proy 2022 vs 2019 sem'!DY15*ZR$4</f>
        <v>13498.548476000002</v>
      </c>
      <c r="ZQ16" s="735"/>
      <c r="ZR16" s="700">
        <f>ZQ16/ZO16</f>
        <v>0</v>
      </c>
      <c r="ZS16" s="593">
        <f>'Proy 2022 vs 2019 sem'!DX15*ZV$4</f>
        <v>17333.6096</v>
      </c>
      <c r="ZT16" s="593">
        <f>'Proy 2022 vs 2019 sem'!DY15*ZV$4</f>
        <v>15426.912544000001</v>
      </c>
      <c r="ZU16" s="735"/>
      <c r="ZV16" s="700">
        <f>ZU16/ZS16</f>
        <v>0</v>
      </c>
      <c r="ZW16" s="593">
        <f>'Proy 2022 vs 2019 sem'!DX15*ZZ$4</f>
        <v>23833.713199999998</v>
      </c>
      <c r="ZX16" s="593">
        <f>'Proy 2022 vs 2019 sem'!DY15*ZZ$4</f>
        <v>21212.004747999999</v>
      </c>
      <c r="ZY16" s="735"/>
      <c r="ZZ16" s="700">
        <f>ZY16/ZW16</f>
        <v>0</v>
      </c>
      <c r="AAA16" s="579">
        <f>YY16+ZC16+ZG16+ZK16+ZO16+ZS16+ZW16</f>
        <v>108335.06</v>
      </c>
      <c r="AAB16" s="574">
        <f>YZ16+ZD16+ZH16+ZL16+ZP16+ZT16+ZX16</f>
        <v>96418.203399999999</v>
      </c>
      <c r="AAC16" s="729">
        <f>ZA16+ZE16+ZI16+ZM16+ZQ16+ZU16+ZY16</f>
        <v>0</v>
      </c>
      <c r="AAD16" s="711">
        <f>AAC16/AAA16</f>
        <v>0</v>
      </c>
      <c r="AAE16" s="593">
        <f>'Proy 2022 vs 2019 sem'!EC15*AAH$4</f>
        <v>14889.8184</v>
      </c>
      <c r="AAF16" s="593">
        <f>'Proy 2022 vs 2019 sem'!ED15*AAH$4</f>
        <v>12954.142008000001</v>
      </c>
      <c r="AAG16" s="699"/>
      <c r="AAH16" s="700">
        <f>AAG16/AAE16</f>
        <v>0</v>
      </c>
      <c r="AAI16" s="593">
        <f>'Proy 2022 vs 2019 sem'!EC15*AAL$4</f>
        <v>14889.8184</v>
      </c>
      <c r="AAJ16" s="593">
        <f>'Proy 2022 vs 2019 sem'!ED15*AAL$4</f>
        <v>12954.142008000001</v>
      </c>
      <c r="AAK16" s="699"/>
      <c r="AAL16" s="700">
        <f>AAK16/AAI16</f>
        <v>0</v>
      </c>
      <c r="AAM16" s="593">
        <f>'Proy 2022 vs 2019 sem'!EC15*AAP$4</f>
        <v>14889.8184</v>
      </c>
      <c r="AAN16" s="593">
        <f>'Proy 2022 vs 2019 sem'!ED15*AAP$4</f>
        <v>12954.142008000001</v>
      </c>
      <c r="AAO16" s="699"/>
      <c r="AAP16" s="700">
        <f>AAO16/AAM16</f>
        <v>0</v>
      </c>
      <c r="AAQ16" s="593">
        <f>'Proy 2022 vs 2019 sem'!EC15*AAT$4</f>
        <v>14889.8184</v>
      </c>
      <c r="AAR16" s="593">
        <f>'Proy 2022 vs 2019 sem'!ED15*AAT$4</f>
        <v>12954.142008000001</v>
      </c>
      <c r="AAS16" s="699"/>
      <c r="AAT16" s="700">
        <f>AAS16/AAQ16</f>
        <v>0</v>
      </c>
      <c r="AAU16" s="593">
        <f>'Proy 2022 vs 2019 sem'!EC15*AAX$4</f>
        <v>17371.454800000003</v>
      </c>
      <c r="AAV16" s="593">
        <f>'Proy 2022 vs 2019 sem'!ED15*AAX$4</f>
        <v>15113.165676000002</v>
      </c>
      <c r="AAW16" s="699"/>
      <c r="AAX16" s="700">
        <f>AAW16/AAU16</f>
        <v>0</v>
      </c>
      <c r="AAY16" s="593">
        <f>'Proy 2022 vs 2019 sem'!EC15*ABB$4</f>
        <v>19853.091200000003</v>
      </c>
      <c r="AAZ16" s="593">
        <f>'Proy 2022 vs 2019 sem'!ED15*ABB$4</f>
        <v>17272.189344000002</v>
      </c>
      <c r="ABA16" s="699"/>
      <c r="ABB16" s="700">
        <f>ABA16/AAY16</f>
        <v>0</v>
      </c>
      <c r="ABC16" s="593">
        <f>'Proy 2022 vs 2019 sem'!EC15*ABF$4</f>
        <v>27298.000400000001</v>
      </c>
      <c r="ABD16" s="593">
        <f>'Proy 2022 vs 2019 sem'!ED15*ABF$4</f>
        <v>23749.260348000003</v>
      </c>
      <c r="ABE16" s="699"/>
      <c r="ABF16" s="700">
        <f>ABE16/ABC16</f>
        <v>0</v>
      </c>
      <c r="ABG16" s="579">
        <f>AAE16+AAI16+AAM16+AAQ16+AAU16+AAY16+ABC16</f>
        <v>124081.82000000002</v>
      </c>
      <c r="ABH16" s="574">
        <f>AAF16+AAJ16+AAN16+AAR16+AAV16+AAZ16+ABD16</f>
        <v>107951.18340000001</v>
      </c>
      <c r="ABI16" s="730">
        <f>AAG16+AAK16+AAO16+AAS16+AAW16+ABA16+ABE16</f>
        <v>0</v>
      </c>
      <c r="ABJ16" s="711">
        <f>ABI16/ABG16</f>
        <v>0</v>
      </c>
      <c r="ABK16" s="593">
        <f>'Proy 2022 vs 2019 sem'!EH15*ABN$4</f>
        <v>14786.393999999998</v>
      </c>
      <c r="ABL16" s="593">
        <f>'Proy 2022 vs 2019 sem'!EI15*ABN$4</f>
        <v>13159.890659999999</v>
      </c>
      <c r="ABM16" s="699"/>
      <c r="ABN16" s="700">
        <f>ABM16/ABK16</f>
        <v>0</v>
      </c>
      <c r="ABO16" s="593">
        <f>'Proy 2022 vs 2019 sem'!EH15*ABR$4</f>
        <v>14786.393999999998</v>
      </c>
      <c r="ABP16" s="593">
        <f>'Proy 2022 vs 2019 sem'!EI15*ABR$4</f>
        <v>13159.890659999999</v>
      </c>
      <c r="ABQ16" s="699"/>
      <c r="ABR16" s="700">
        <f>ABQ16/ABO16</f>
        <v>0</v>
      </c>
      <c r="ABS16" s="593">
        <f>'Proy 2022 vs 2019 sem'!EH15*ABV$4</f>
        <v>14786.393999999998</v>
      </c>
      <c r="ABT16" s="593">
        <f>'Proy 2022 vs 2019 sem'!EI15*ABV$4</f>
        <v>13159.890659999999</v>
      </c>
      <c r="ABU16" s="699"/>
      <c r="ABV16" s="700">
        <f>ABU16/ABS16</f>
        <v>0</v>
      </c>
      <c r="ABW16" s="593">
        <f>'Proy 2022 vs 2019 sem'!EH15*ABZ$4</f>
        <v>14786.393999999998</v>
      </c>
      <c r="ABX16" s="593">
        <f>'Proy 2022 vs 2019 sem'!EI15*ABZ$4</f>
        <v>13159.890659999999</v>
      </c>
      <c r="ABY16" s="699"/>
      <c r="ABZ16" s="700">
        <f>ABY16/ABW16</f>
        <v>0</v>
      </c>
      <c r="ACA16" s="593">
        <f>'Proy 2022 vs 2019 sem'!EH15*ACD$4</f>
        <v>17250.793000000001</v>
      </c>
      <c r="ACB16" s="593">
        <f>'Proy 2022 vs 2019 sem'!EI15*ACD$4</f>
        <v>15353.20577</v>
      </c>
      <c r="ACC16" s="699"/>
      <c r="ACD16" s="700">
        <f>ACC16/ACA16</f>
        <v>0</v>
      </c>
      <c r="ACE16" s="593">
        <f>'Proy 2022 vs 2019 sem'!EH15*ACH$4</f>
        <v>19715.191999999999</v>
      </c>
      <c r="ACF16" s="593">
        <f>'Proy 2022 vs 2019 sem'!EI15*ACH$4</f>
        <v>17546.52088</v>
      </c>
      <c r="ACG16" s="699"/>
      <c r="ACH16" s="700">
        <f>ACG16/ACE16</f>
        <v>0</v>
      </c>
      <c r="ACI16" s="593">
        <f>'Proy 2022 vs 2019 sem'!EH15*ACL$4</f>
        <v>27108.388999999999</v>
      </c>
      <c r="ACJ16" s="593">
        <f>'Proy 2022 vs 2019 sem'!EI15*ACL$4</f>
        <v>24126.466209999999</v>
      </c>
      <c r="ACK16" s="699"/>
      <c r="ACL16" s="700">
        <f>ACK16/ACI16</f>
        <v>0</v>
      </c>
      <c r="ACM16" s="579">
        <f>ABK16+ABO16+ABS16+ABW16+ACA16+ACE16+ACI16</f>
        <v>123219.94999999998</v>
      </c>
      <c r="ACN16" s="574">
        <f>ABL16+ABP16+ABT16+ABX16+ACB16+ACF16+ACJ16</f>
        <v>109665.75549999998</v>
      </c>
      <c r="ACO16" s="730">
        <f>ABM16+ABQ16+ABU16+ABY16+ACC16+ACG16+ACK16</f>
        <v>0</v>
      </c>
      <c r="ACP16" s="711">
        <f>ACO16/ACM16</f>
        <v>0</v>
      </c>
      <c r="ACQ16" s="593">
        <f>'Proy 2022 vs 2019 sem'!EM15*ACT$4</f>
        <v>13497.704399999999</v>
      </c>
      <c r="ACR16" s="593">
        <f>'Proy 2022 vs 2019 sem'!EN15*ACT$4</f>
        <v>12552.865092</v>
      </c>
      <c r="ACS16" s="699"/>
      <c r="ACT16" s="700">
        <f>ACS16/ACQ16</f>
        <v>0</v>
      </c>
      <c r="ACU16" s="593">
        <f>'Proy 2022 vs 2019 sem'!EM15*ACX$4</f>
        <v>13497.704399999999</v>
      </c>
      <c r="ACV16" s="593">
        <f>'Proy 2022 vs 2019 sem'!EN15*ACX$4</f>
        <v>12552.865092</v>
      </c>
      <c r="ACW16" s="699"/>
      <c r="ACX16" s="700">
        <f>ACW16/ACU16</f>
        <v>0</v>
      </c>
      <c r="ACY16" s="593">
        <f>'Proy 2022 vs 2019 sem'!EM15*ADB$4</f>
        <v>13497.704399999999</v>
      </c>
      <c r="ACZ16" s="593">
        <f>'Proy 2022 vs 2019 sem'!EN15*ADB$4</f>
        <v>12552.865092</v>
      </c>
      <c r="ADA16" s="699"/>
      <c r="ADB16" s="700">
        <f>ADA16/ACY16</f>
        <v>0</v>
      </c>
      <c r="ADC16" s="593">
        <f>'Proy 2022 vs 2019 sem'!EM15*ADF$4</f>
        <v>13497.704399999999</v>
      </c>
      <c r="ADD16" s="593">
        <f>'Proy 2022 vs 2019 sem'!EN15*ADF$4</f>
        <v>12552.865092</v>
      </c>
      <c r="ADE16" s="699"/>
      <c r="ADF16" s="700">
        <f>ADE16/ADC16</f>
        <v>0</v>
      </c>
      <c r="ADG16" s="593">
        <f>'Proy 2022 vs 2019 sem'!EM15*ADJ$4</f>
        <v>15747.321800000002</v>
      </c>
      <c r="ADH16" s="593">
        <f>'Proy 2022 vs 2019 sem'!EN15*ADJ$4</f>
        <v>14645.009274000002</v>
      </c>
      <c r="ADI16" s="699"/>
      <c r="ADJ16" s="700">
        <f>ADI16/ADG16</f>
        <v>0</v>
      </c>
      <c r="ADK16" s="593">
        <f>'Proy 2022 vs 2019 sem'!EM15*ADN$4</f>
        <v>17996.939200000001</v>
      </c>
      <c r="ADL16" s="593">
        <f>'Proy 2022 vs 2019 sem'!EN15*ADN$4</f>
        <v>16737.153456</v>
      </c>
      <c r="ADM16" s="699"/>
      <c r="ADN16" s="700">
        <f>ADM16/ADK16</f>
        <v>0</v>
      </c>
      <c r="ADO16" s="593">
        <f>'Proy 2022 vs 2019 sem'!EM15*ADR$4</f>
        <v>24745.791399999998</v>
      </c>
      <c r="ADP16" s="593">
        <f>'Proy 2022 vs 2019 sem'!EN15*ADR$4</f>
        <v>23013.586002</v>
      </c>
      <c r="ADQ16" s="699"/>
      <c r="ADR16" s="700">
        <f>ADQ16/ADO16</f>
        <v>0</v>
      </c>
      <c r="ADS16" s="579">
        <f>ACQ16+ACU16+ACY16+ADC16+ADG16+ADK16+ADO16</f>
        <v>112480.87000000001</v>
      </c>
      <c r="ADT16" s="574">
        <f>ACR16+ACV16+ACZ16+ADD16+ADH16+ADL16+ADP16</f>
        <v>104607.20910000001</v>
      </c>
      <c r="ADU16" s="710">
        <f>ACS16+ACW16+ADA16+ADE16+ADI16+ADM16+ADQ16</f>
        <v>0</v>
      </c>
      <c r="ADV16" s="711">
        <f>ADU16/ADS16</f>
        <v>0</v>
      </c>
      <c r="ADW16" s="593">
        <f>'Proy 2022 vs 2019 sem'!ER15*ADZ$4</f>
        <v>13560.351599999998</v>
      </c>
      <c r="ADX16" s="593">
        <f>'Proy 2022 vs 2019 sem'!ES15*ADZ$4</f>
        <v>12611.126988</v>
      </c>
      <c r="ADY16" s="699"/>
      <c r="ADZ16" s="700">
        <f>ADY16/ADW16</f>
        <v>0</v>
      </c>
      <c r="AEA16" s="593">
        <f>'Proy 2022 vs 2019 sem'!ER15*AED$4</f>
        <v>13560.351599999998</v>
      </c>
      <c r="AEB16" s="593">
        <f>'Proy 2022 vs 2019 sem'!ES15*AED$4</f>
        <v>12611.126988</v>
      </c>
      <c r="AEC16" s="699"/>
      <c r="AED16" s="700">
        <f>AEC16/AEA16</f>
        <v>0</v>
      </c>
      <c r="AEE16" s="593">
        <f>'Proy 2022 vs 2019 sem'!ER15*AEH$4</f>
        <v>13560.351599999998</v>
      </c>
      <c r="AEF16" s="593">
        <f>'Proy 2022 vs 2019 sem'!ES15*AEH$4</f>
        <v>12611.126988</v>
      </c>
      <c r="AEG16" s="699"/>
      <c r="AEH16" s="700">
        <f>AEG16/AEE16</f>
        <v>0</v>
      </c>
      <c r="AEI16" s="593">
        <f>'Proy 2022 vs 2019 sem'!ER15*AEL$4</f>
        <v>13560.351599999998</v>
      </c>
      <c r="AEJ16" s="593">
        <f>'Proy 2022 vs 2019 sem'!ES15*AEL$4</f>
        <v>12611.126988</v>
      </c>
      <c r="AEK16" s="699"/>
      <c r="AEL16" s="700">
        <f>AEK16/AEI16</f>
        <v>0</v>
      </c>
      <c r="AEM16" s="593">
        <f>'Proy 2022 vs 2019 sem'!ER15*AEP$4</f>
        <v>15820.4102</v>
      </c>
      <c r="AEN16" s="593">
        <f>'Proy 2022 vs 2019 sem'!ES15*AEP$4</f>
        <v>14712.981486000002</v>
      </c>
      <c r="AEO16" s="699"/>
      <c r="AEP16" s="700">
        <f>AEO16/AEM16</f>
        <v>0</v>
      </c>
      <c r="AEQ16" s="593">
        <f>'Proy 2022 vs 2019 sem'!ER15*AET$4</f>
        <v>18080.468799999999</v>
      </c>
      <c r="AER16" s="593">
        <f>'Proy 2022 vs 2019 sem'!ES15*AET$4</f>
        <v>16814.835984000001</v>
      </c>
      <c r="AES16" s="699"/>
      <c r="AET16" s="700">
        <f>AES16/AEQ16</f>
        <v>0</v>
      </c>
      <c r="AEU16" s="593">
        <f>'Proy 2022 vs 2019 sem'!ER15*AEX$4</f>
        <v>24860.6446</v>
      </c>
      <c r="AEV16" s="593">
        <f>'Proy 2022 vs 2019 sem'!ES15*AEX$4</f>
        <v>23120.399477999999</v>
      </c>
      <c r="AEW16" s="699"/>
      <c r="AEX16" s="700">
        <f>AEW16/AEU16</f>
        <v>0</v>
      </c>
      <c r="AEY16" s="579">
        <f>ADW16+AEA16+AEE16+AEI16+AEM16+AEQ16+AEU16</f>
        <v>113002.93</v>
      </c>
      <c r="AEZ16" s="574">
        <f>ADX16+AEB16+AEF16+AEJ16+AEN16+AER16+AEV16</f>
        <v>105092.7249</v>
      </c>
      <c r="AFA16" s="710">
        <f>ADY16+AEC16+AEG16+AEK16+AEO16+AES16+AEW16</f>
        <v>0</v>
      </c>
      <c r="AFB16" s="711">
        <f>AFA16/AEY16</f>
        <v>0</v>
      </c>
      <c r="AFC16" s="593">
        <f>'Proy 2022 vs 2019 sem'!FA15*AFF$4</f>
        <v>12991.7076</v>
      </c>
      <c r="AFD16" s="593">
        <f>'Proy 2022 vs 2019 sem'!FB15*AFF$4</f>
        <v>11432.702687999999</v>
      </c>
      <c r="AFE16" s="735"/>
      <c r="AFF16" s="700">
        <f>AFE16/AFC16</f>
        <v>0</v>
      </c>
      <c r="AFG16" s="593">
        <f>'Proy 2022 vs 2019 sem'!FA15*AFJ$4</f>
        <v>12991.7076</v>
      </c>
      <c r="AFH16" s="593">
        <f>'Proy 2022 vs 2019 sem'!FB15*AFJ$4</f>
        <v>11432.702687999999</v>
      </c>
      <c r="AFI16" s="699"/>
      <c r="AFJ16" s="700">
        <f>AFI16/AFG16</f>
        <v>0</v>
      </c>
      <c r="AFK16" s="593">
        <f>'Proy 2022 vs 2019 sem'!FA15*AFN$4</f>
        <v>12991.7076</v>
      </c>
      <c r="AFL16" s="593">
        <f>'Proy 2022 vs 2019 sem'!FB15*AFN$4</f>
        <v>11432.702687999999</v>
      </c>
      <c r="AFM16" s="699"/>
      <c r="AFN16" s="700">
        <f>AFM16/AFK16</f>
        <v>0</v>
      </c>
      <c r="AFO16" s="593">
        <f>'Proy 2022 vs 2019 sem'!FA15*AFR$4</f>
        <v>12991.7076</v>
      </c>
      <c r="AFP16" s="593">
        <f>'Proy 2022 vs 2019 sem'!FB15*AFR$4</f>
        <v>11432.702687999999</v>
      </c>
      <c r="AFQ16" s="699"/>
      <c r="AFR16" s="700">
        <f>AFQ16/AFO16</f>
        <v>0</v>
      </c>
      <c r="AFS16" s="593">
        <f>'Proy 2022 vs 2019 sem'!FA15*AFV$4</f>
        <v>15156.992200000001</v>
      </c>
      <c r="AFT16" s="593">
        <f>'Proy 2022 vs 2019 sem'!FB15*AFV$4</f>
        <v>13338.153136000001</v>
      </c>
      <c r="AFU16" s="699"/>
      <c r="AFV16" s="700">
        <f>AFU16/AFS16</f>
        <v>0</v>
      </c>
      <c r="AFW16" s="593">
        <f>'Proy 2022 vs 2019 sem'!FA15*AFZ$4</f>
        <v>17322.2768</v>
      </c>
      <c r="AFX16" s="593">
        <f>'Proy 2022 vs 2019 sem'!FB15*AFZ$4</f>
        <v>15243.603584</v>
      </c>
      <c r="AFY16" s="699"/>
      <c r="AFZ16" s="700">
        <f>AFY16/AFW16</f>
        <v>0</v>
      </c>
      <c r="AGA16" s="593">
        <f>'Proy 2022 vs 2019 sem'!FA15*AGD$4</f>
        <v>23818.1306</v>
      </c>
      <c r="AGB16" s="593">
        <f>'Proy 2022 vs 2019 sem'!FB15*AGD$4</f>
        <v>20959.954927999999</v>
      </c>
      <c r="AGC16" s="699"/>
      <c r="AGD16" s="700">
        <f>AGC16/AGA16</f>
        <v>0</v>
      </c>
      <c r="AGE16" s="579">
        <f>AFC16+AFG16+AFK16+AFO16+AFS16+AFW16+AGA16</f>
        <v>108264.23000000001</v>
      </c>
      <c r="AGF16" s="574">
        <f>AFD16+AFH16+AFL16+AFP16+AFT16+AFX16+AGB16</f>
        <v>95272.522399999987</v>
      </c>
      <c r="AGG16" s="759">
        <f>AFE16+AFI16+AFM16+AFQ16+AFU16+AFY16+AGC16</f>
        <v>0</v>
      </c>
      <c r="AGH16" s="761">
        <f>AGG16/AGE16</f>
        <v>0</v>
      </c>
      <c r="AGI16" s="593">
        <f>'Proy 2022 vs 2019 sem'!FF15*AGL$4</f>
        <v>14929.9908</v>
      </c>
      <c r="AGJ16" s="593">
        <f>'Proy 2022 vs 2019 sem'!FG15*AGL$4</f>
        <v>13138.391903999998</v>
      </c>
      <c r="AGK16" s="699"/>
      <c r="AGL16" s="700">
        <f>AGK16/AGI16</f>
        <v>0</v>
      </c>
      <c r="AGM16" s="593">
        <f>'Proy 2022 vs 2019 sem'!FF15*AGP$4</f>
        <v>14929.9908</v>
      </c>
      <c r="AGN16" s="593">
        <f>'Proy 2022 vs 2019 sem'!FG15*AGP$4</f>
        <v>13138.391903999998</v>
      </c>
      <c r="AGO16" s="699"/>
      <c r="AGP16" s="700">
        <f>AGO16/AGM16</f>
        <v>0</v>
      </c>
      <c r="AGQ16" s="593">
        <f>'Proy 2022 vs 2019 sem'!FF15*AGT$4</f>
        <v>14929.9908</v>
      </c>
      <c r="AGR16" s="593">
        <f>'Proy 2022 vs 2019 sem'!FG15*AGT$4</f>
        <v>13138.391903999998</v>
      </c>
      <c r="AGS16" s="699"/>
      <c r="AGT16" s="700">
        <f>AGS16/AGQ16</f>
        <v>0</v>
      </c>
      <c r="AGU16" s="593">
        <f>'Proy 2022 vs 2019 sem'!FF15*AGX$4</f>
        <v>14929.9908</v>
      </c>
      <c r="AGV16" s="593">
        <f>'Proy 2022 vs 2019 sem'!FG15*AGX$4</f>
        <v>13138.391903999998</v>
      </c>
      <c r="AGW16" s="699"/>
      <c r="AGX16" s="700">
        <f>AGW16/AGU16</f>
        <v>0</v>
      </c>
      <c r="AGY16" s="593">
        <f>'Proy 2022 vs 2019 sem'!FF15*AHB$4</f>
        <v>17418.3226</v>
      </c>
      <c r="AGZ16" s="593">
        <f>'Proy 2022 vs 2019 sem'!FG15*AHB$4</f>
        <v>15328.123888000002</v>
      </c>
      <c r="AHA16" s="699"/>
      <c r="AHB16" s="700">
        <f>AHA16/AGY16</f>
        <v>0</v>
      </c>
      <c r="AHC16" s="593">
        <f>'Proy 2022 vs 2019 sem'!FF15*AHF$4</f>
        <v>19906.654399999999</v>
      </c>
      <c r="AHD16" s="593">
        <f>'Proy 2022 vs 2019 sem'!FG15*AHF$4</f>
        <v>17517.855872</v>
      </c>
      <c r="AHE16" s="699"/>
      <c r="AHF16" s="700">
        <f>AHE16/AHC16</f>
        <v>0</v>
      </c>
      <c r="AHG16" s="593">
        <f>'Proy 2022 vs 2019 sem'!FF15*AHJ$4</f>
        <v>27371.649799999999</v>
      </c>
      <c r="AHH16" s="593">
        <f>'Proy 2022 vs 2019 sem'!FG15*AHJ$4</f>
        <v>24087.051823999998</v>
      </c>
      <c r="AHI16" s="699"/>
      <c r="AHJ16" s="700">
        <f>AHI16/AHG16</f>
        <v>0</v>
      </c>
      <c r="AHK16" s="579">
        <f>AGI16+AGM16+AGQ16+AGU16+AGY16+AHC16+AHG16</f>
        <v>124416.59</v>
      </c>
      <c r="AHL16" s="574">
        <f>AGJ16+AGN16+AGR16+AGV16+AGZ16+AHD16+AHH16</f>
        <v>109486.59919999998</v>
      </c>
      <c r="AHM16" s="765">
        <f>AGK16+AGO16+AGS16+AGW16+AHA16+AHE16+AHI16</f>
        <v>0</v>
      </c>
      <c r="AHN16" s="761">
        <f>AHM16/AHK16</f>
        <v>0</v>
      </c>
      <c r="AHO16" s="593">
        <f>'Proy 2022 vs 2019 sem'!FK15*AHR$4</f>
        <v>13518.1152</v>
      </c>
      <c r="AHP16" s="593">
        <f>'Proy 2022 vs 2019 sem'!FL15*AHR$4</f>
        <v>11895.941376000001</v>
      </c>
      <c r="AHQ16" s="699"/>
      <c r="AHR16" s="700">
        <f>AHQ16/AHO16</f>
        <v>0</v>
      </c>
      <c r="AHS16" s="593">
        <f>'Proy 2022 vs 2019 sem'!FK15*AHV$4</f>
        <v>13518.1152</v>
      </c>
      <c r="AHT16" s="593">
        <f>'Proy 2022 vs 2019 sem'!FL15*AHV$4</f>
        <v>11895.941376000001</v>
      </c>
      <c r="AHU16" s="699"/>
      <c r="AHV16" s="700">
        <f>AHU16/AHS16</f>
        <v>0</v>
      </c>
      <c r="AHW16" s="593">
        <f>'Proy 2022 vs 2019 sem'!FK15*AHZ$4</f>
        <v>13518.1152</v>
      </c>
      <c r="AHX16" s="593">
        <f>'Proy 2022 vs 2019 sem'!FL15*AHZ$4</f>
        <v>11895.941376000001</v>
      </c>
      <c r="AHY16" s="699"/>
      <c r="AHZ16" s="700">
        <f>AHY16/AHW16</f>
        <v>0</v>
      </c>
      <c r="AIA16" s="593">
        <f>'Proy 2022 vs 2019 sem'!FK15*AID$4</f>
        <v>13518.1152</v>
      </c>
      <c r="AIB16" s="593">
        <f>'Proy 2022 vs 2019 sem'!FL15*AID$4</f>
        <v>11895.941376000001</v>
      </c>
      <c r="AIC16" s="699"/>
      <c r="AID16" s="700">
        <f>AIC16/AIA16</f>
        <v>0</v>
      </c>
      <c r="AIE16" s="593">
        <f>'Proy 2022 vs 2019 sem'!FK15*AIH$4</f>
        <v>15771.134400000003</v>
      </c>
      <c r="AIF16" s="593">
        <f>'Proy 2022 vs 2019 sem'!FL15*AIH$4</f>
        <v>13878.598272000003</v>
      </c>
      <c r="AIG16" s="699"/>
      <c r="AIH16" s="700">
        <f>AIG16/AIE16</f>
        <v>0</v>
      </c>
      <c r="AII16" s="593">
        <f>'Proy 2022 vs 2019 sem'!FK15*AIL$4</f>
        <v>18024.153600000001</v>
      </c>
      <c r="AIJ16" s="593">
        <f>'Proy 2022 vs 2019 sem'!FL15*AIL$4</f>
        <v>15861.255168000002</v>
      </c>
      <c r="AIK16" s="699"/>
      <c r="AIL16" s="700">
        <f>AIK16/AII16</f>
        <v>0</v>
      </c>
      <c r="AIM16" s="593">
        <f>'Proy 2022 vs 2019 sem'!FK15*AIP$4</f>
        <v>24783.211200000002</v>
      </c>
      <c r="AIN16" s="593">
        <f>'Proy 2022 vs 2019 sem'!FL15*AIP$4</f>
        <v>21809.225856000001</v>
      </c>
      <c r="AIO16" s="699"/>
      <c r="AIP16" s="700">
        <f>AIO16/AIM16</f>
        <v>0</v>
      </c>
      <c r="AIQ16" s="579">
        <f>AHO16+AHS16+AHW16+AIA16+AIE16+AII16+AIM16</f>
        <v>112650.96000000002</v>
      </c>
      <c r="AIR16" s="574">
        <f>AHP16+AHT16+AHX16+AIB16+AIF16+AIJ16+AIN16</f>
        <v>99132.844800000006</v>
      </c>
      <c r="AIS16" s="765">
        <f>AHQ16+AHU16+AHY16+AIC16+AIG16+AIK16+AIO16</f>
        <v>0</v>
      </c>
      <c r="AIT16" s="761">
        <f>AIS16/AIQ16</f>
        <v>0</v>
      </c>
      <c r="AIU16" s="593">
        <f>'Proy 2022 vs 2019 sem'!FP15*AIX$4</f>
        <v>12499.517999999998</v>
      </c>
      <c r="AIV16" s="593">
        <f>'Proy 2022 vs 2019 sem'!FQ15*AIX$4</f>
        <v>11499.556559999999</v>
      </c>
      <c r="AIW16" s="699"/>
      <c r="AIX16" s="700">
        <f>AIW16/AIU16</f>
        <v>0</v>
      </c>
      <c r="AIY16" s="593">
        <f>'Proy 2022 vs 2019 sem'!FP15*AJB$4</f>
        <v>12499.517999999998</v>
      </c>
      <c r="AIZ16" s="593">
        <f>'Proy 2022 vs 2019 sem'!FQ15*AJB$4</f>
        <v>11499.556559999999</v>
      </c>
      <c r="AJA16" s="699"/>
      <c r="AJB16" s="700">
        <f>AJA16/AIY16</f>
        <v>0</v>
      </c>
      <c r="AJC16" s="593">
        <f>'Proy 2022 vs 2019 sem'!FP15*AJF$4</f>
        <v>12499.517999999998</v>
      </c>
      <c r="AJD16" s="593">
        <f>'Proy 2022 vs 2019 sem'!FQ15*AJF$4</f>
        <v>11499.556559999999</v>
      </c>
      <c r="AJE16" s="699"/>
      <c r="AJF16" s="700">
        <f>AJE16/AJC16</f>
        <v>0</v>
      </c>
      <c r="AJG16" s="593">
        <f>'Proy 2022 vs 2019 sem'!FP15*AJJ$4</f>
        <v>12499.517999999998</v>
      </c>
      <c r="AJH16" s="593">
        <f>'Proy 2022 vs 2019 sem'!FQ15*AJJ$4</f>
        <v>11499.556559999999</v>
      </c>
      <c r="AJI16" s="699"/>
      <c r="AJJ16" s="700">
        <f>AJI16/AJG16</f>
        <v>0</v>
      </c>
      <c r="AJK16" s="593">
        <f>'Proy 2022 vs 2019 sem'!FP15*AJN$4</f>
        <v>14582.771000000001</v>
      </c>
      <c r="AJL16" s="593">
        <f>'Proy 2022 vs 2019 sem'!FQ15*AJN$4</f>
        <v>13416.14932</v>
      </c>
      <c r="AJM16" s="699"/>
      <c r="AJN16" s="700">
        <f>AJM16/AJK16</f>
        <v>0</v>
      </c>
      <c r="AJO16" s="593">
        <f>'Proy 2022 vs 2019 sem'!FP15*AJR$4</f>
        <v>16666.023999999998</v>
      </c>
      <c r="AJP16" s="593">
        <f>'Proy 2022 vs 2019 sem'!FQ15*AJR$4</f>
        <v>15332.742079999998</v>
      </c>
      <c r="AJQ16" s="699"/>
      <c r="AJR16" s="700">
        <f>AJQ16/AJO16</f>
        <v>0</v>
      </c>
      <c r="AJS16" s="593">
        <f>'Proy 2022 vs 2019 sem'!FP15*AJV$4</f>
        <v>22915.782999999999</v>
      </c>
      <c r="AJT16" s="593">
        <f>'Proy 2022 vs 2019 sem'!FQ15*AJV$4</f>
        <v>21082.520359999999</v>
      </c>
      <c r="AJU16" s="699"/>
      <c r="AJV16" s="700">
        <f>AJU16/AJS16</f>
        <v>0</v>
      </c>
      <c r="AJW16" s="579">
        <f>AIU16+AIY16+AJC16+AJG16+AJK16+AJO16+AJS16</f>
        <v>104162.65</v>
      </c>
      <c r="AJX16" s="574">
        <f>AIV16+AIZ16+AJD16+AJH16+AJL16+AJP16+AJT16</f>
        <v>95829.637999999992</v>
      </c>
      <c r="AJY16" s="770">
        <f>AIW16+AJA16+AJE16+AJI16+AJM16+AJQ16+AJU16</f>
        <v>0</v>
      </c>
      <c r="AJZ16" s="761">
        <f>AJY16/AJW16</f>
        <v>0</v>
      </c>
      <c r="AKA16" s="593"/>
      <c r="AKB16" s="593"/>
      <c r="AKC16" s="735"/>
      <c r="AKD16" s="700" t="e">
        <f>AKC16/AKA16</f>
        <v>#DIV/0!</v>
      </c>
      <c r="AKE16" s="593">
        <v>14613.374399999999</v>
      </c>
      <c r="AKF16" s="593">
        <v>14905.641887999998</v>
      </c>
      <c r="AKG16" s="699"/>
      <c r="AKH16" s="700">
        <f>AKG16/AKE16</f>
        <v>0</v>
      </c>
      <c r="AKI16" s="593">
        <v>14613.374399999999</v>
      </c>
      <c r="AKJ16" s="593">
        <v>14905.641887999998</v>
      </c>
      <c r="AKK16" s="699"/>
      <c r="AKL16" s="700">
        <f>AKK16/AKI16</f>
        <v>0</v>
      </c>
      <c r="AKM16" s="593">
        <v>14613.374399999999</v>
      </c>
      <c r="AKN16" s="593">
        <v>14905.641887999998</v>
      </c>
      <c r="AKO16" s="699"/>
      <c r="AKP16" s="700">
        <f>AKO16/AKM16</f>
        <v>0</v>
      </c>
      <c r="AKQ16" s="593">
        <v>17048.936799999999</v>
      </c>
      <c r="AKR16" s="593">
        <v>17389.915536</v>
      </c>
      <c r="AKS16" s="699"/>
      <c r="AKT16" s="700">
        <f>AKS16/AKQ16</f>
        <v>0</v>
      </c>
      <c r="AKU16" s="593">
        <v>19484.499199999998</v>
      </c>
      <c r="AKV16" s="593">
        <v>19874.189183999999</v>
      </c>
      <c r="AKW16" s="699"/>
      <c r="AKX16" s="700">
        <f>AKW16/AKU16</f>
        <v>0</v>
      </c>
      <c r="AKY16" s="593">
        <v>26791.186399999999</v>
      </c>
      <c r="AKZ16" s="593">
        <v>27327.010127999998</v>
      </c>
      <c r="ALA16" s="699"/>
      <c r="ALB16" s="700">
        <f>ALA16/AKY16</f>
        <v>0</v>
      </c>
      <c r="ALC16" s="579">
        <f>AKA16+AKE16+AKI16+AKM16+AKQ16+AKU16+AKY16</f>
        <v>107164.74559999999</v>
      </c>
      <c r="ALD16" s="574">
        <f>AKB16+AKF16+AKJ16+AKN16+AKR16+AKV16+AKZ16</f>
        <v>109308.04051199999</v>
      </c>
      <c r="ALE16" s="793">
        <f>AKC16+AKG16+AKK16+AKO16+AKS16+AKW16+ALA16</f>
        <v>0</v>
      </c>
      <c r="ALF16" s="786">
        <f>ALE16/ALC16</f>
        <v>0</v>
      </c>
      <c r="ALG16" s="593">
        <v>13457.607599999999</v>
      </c>
      <c r="ALH16" s="593">
        <v>13726.759752</v>
      </c>
      <c r="ALI16" s="699"/>
      <c r="ALJ16" s="700">
        <f>ALI16/ALG16</f>
        <v>0</v>
      </c>
      <c r="ALK16" s="593">
        <v>13457.607599999999</v>
      </c>
      <c r="ALL16" s="593">
        <v>13726.759752</v>
      </c>
      <c r="ALM16" s="699"/>
      <c r="ALN16" s="700">
        <f>ALM16/ALK16</f>
        <v>0</v>
      </c>
      <c r="ALO16" s="593">
        <v>13457.607599999999</v>
      </c>
      <c r="ALP16" s="593">
        <v>13726.759752</v>
      </c>
      <c r="ALQ16" s="699"/>
      <c r="ALR16" s="700">
        <f>ALQ16/ALO16</f>
        <v>0</v>
      </c>
      <c r="ALS16" s="593">
        <v>13457.607599999999</v>
      </c>
      <c r="ALT16" s="593">
        <v>13726.759752</v>
      </c>
      <c r="ALU16" s="699"/>
      <c r="ALV16" s="700">
        <f>ALU16/ALS16</f>
        <v>0</v>
      </c>
      <c r="ALW16" s="593">
        <v>15700.542200000002</v>
      </c>
      <c r="ALX16" s="593">
        <v>16014.553044000002</v>
      </c>
      <c r="ALY16" s="699"/>
      <c r="ALZ16" s="700">
        <f>ALY16/ALW16</f>
        <v>0</v>
      </c>
      <c r="AMA16" s="593">
        <v>17943.4768</v>
      </c>
      <c r="AMB16" s="593">
        <v>18302.346336000002</v>
      </c>
      <c r="AMC16" s="699"/>
      <c r="AMD16" s="700">
        <f>AMC16/AMA16</f>
        <v>0</v>
      </c>
      <c r="AME16" s="593">
        <v>24672.280599999998</v>
      </c>
      <c r="AMF16" s="593">
        <v>25165.726212000001</v>
      </c>
      <c r="AMG16" s="699"/>
      <c r="AMH16" s="700">
        <f>AMG16/AME16</f>
        <v>0</v>
      </c>
      <c r="AMI16" s="579">
        <f>ALG16+ALK16+ALO16+ALS16+ALW16+AMA16+AME16</f>
        <v>112146.73</v>
      </c>
      <c r="AMJ16" s="574">
        <f>ALH16+ALL16+ALP16+ALT16+ALX16+AMB16+AMF16</f>
        <v>114389.66460000002</v>
      </c>
      <c r="AMK16" s="794">
        <f>ALI16+ALM16+ALQ16+ALU16+ALY16+AMC16+AMG16</f>
        <v>0</v>
      </c>
      <c r="AML16" s="786">
        <f>AMK16/AMI16</f>
        <v>0</v>
      </c>
      <c r="AMM16" s="593">
        <v>11599.9992</v>
      </c>
      <c r="AMN16" s="593">
        <v>11831.999184</v>
      </c>
      <c r="AMO16" s="699"/>
      <c r="AMP16" s="700">
        <f>AMO16/AMM16</f>
        <v>0</v>
      </c>
      <c r="AMQ16" s="593">
        <v>11599.9992</v>
      </c>
      <c r="AMR16" s="593">
        <v>11831.999184</v>
      </c>
      <c r="AMS16" s="699"/>
      <c r="AMT16" s="700">
        <f>AMS16/AMQ16</f>
        <v>0</v>
      </c>
      <c r="AMU16" s="593">
        <v>11599.9992</v>
      </c>
      <c r="AMV16" s="593">
        <v>11831.999184</v>
      </c>
      <c r="AMW16" s="699"/>
      <c r="AMX16" s="700">
        <f>AMW16/AMU16</f>
        <v>0</v>
      </c>
      <c r="AMY16" s="593">
        <v>11599.9992</v>
      </c>
      <c r="AMZ16" s="593">
        <v>11831.999184</v>
      </c>
      <c r="ANA16" s="699"/>
      <c r="ANB16" s="700">
        <f>ANA16/AMY16</f>
        <v>0</v>
      </c>
      <c r="ANC16" s="593">
        <v>13533.332400000001</v>
      </c>
      <c r="AND16" s="593">
        <v>13803.999048000003</v>
      </c>
      <c r="ANE16" s="699"/>
      <c r="ANF16" s="700">
        <f>ANE16/ANC16</f>
        <v>0</v>
      </c>
      <c r="ANG16" s="593">
        <v>15466.6656</v>
      </c>
      <c r="ANH16" s="593">
        <v>15775.998912000003</v>
      </c>
      <c r="ANI16" s="699"/>
      <c r="ANJ16" s="700">
        <f>ANI16/ANG16</f>
        <v>0</v>
      </c>
      <c r="ANK16" s="593">
        <v>21266.665199999999</v>
      </c>
      <c r="ANL16" s="593">
        <v>21691.998504000003</v>
      </c>
      <c r="ANM16" s="699"/>
      <c r="ANN16" s="700">
        <f>ANM16/ANK16</f>
        <v>0</v>
      </c>
      <c r="ANO16" s="579">
        <f>AMM16+AMQ16+AMU16+AMY16+ANC16+ANG16+ANK16</f>
        <v>96666.66</v>
      </c>
      <c r="ANP16" s="574">
        <f>AMN16+AMR16+AMV16+AMZ16+AND16+ANH16+ANL16</f>
        <v>98599.993200000012</v>
      </c>
      <c r="ANQ16" s="794">
        <f>AMO16+AMS16+AMW16+ANA16+ANE16+ANI16+ANM16</f>
        <v>0</v>
      </c>
      <c r="ANR16" s="786">
        <f>ANQ16/ANO16</f>
        <v>0</v>
      </c>
      <c r="ANS16" s="593">
        <f>'Proy 2022 vs 2019 sem'!GN15*ANV$4</f>
        <v>11375.4108</v>
      </c>
      <c r="ANT16" s="593">
        <f>'Proy 2022 vs 2019 sem'!GO15*ANV$4</f>
        <v>11147.902583999998</v>
      </c>
      <c r="ANU16" s="699"/>
      <c r="ANV16" s="700">
        <f>ANU16/ANS16</f>
        <v>0</v>
      </c>
      <c r="ANW16" s="593">
        <f>'Proy 2022 vs 2019 sem'!GN15*ANZ$4</f>
        <v>11375.4108</v>
      </c>
      <c r="ANX16" s="593">
        <f>'Proy 2022 vs 2019 sem'!GO15*ANZ$4</f>
        <v>11147.902583999998</v>
      </c>
      <c r="ANY16" s="699"/>
      <c r="ANZ16" s="700">
        <f>ANY16/ANW16</f>
        <v>0</v>
      </c>
      <c r="AOA16" s="593">
        <f>'Proy 2022 vs 2019 sem'!GN15*AOD$4</f>
        <v>11375.4108</v>
      </c>
      <c r="AOB16" s="593">
        <f>'Proy 2022 vs 2019 sem'!GO15*AOD$4</f>
        <v>11147.902583999998</v>
      </c>
      <c r="AOC16" s="699"/>
      <c r="AOD16" s="700">
        <f>AOC16/AOA16</f>
        <v>0</v>
      </c>
      <c r="AOE16" s="593">
        <f>'Proy 2022 vs 2019 sem'!GN15*AOH$4</f>
        <v>11375.4108</v>
      </c>
      <c r="AOF16" s="593">
        <f>'Proy 2022 vs 2019 sem'!GO15*AOH$4</f>
        <v>11147.902583999998</v>
      </c>
      <c r="AOG16" s="699"/>
      <c r="AOH16" s="700">
        <f>AOG16/AOE16</f>
        <v>0</v>
      </c>
      <c r="AOI16" s="593">
        <f>'Proy 2022 vs 2019 sem'!GN15*AOL$4</f>
        <v>13271.312600000001</v>
      </c>
      <c r="AOJ16" s="593">
        <f>'Proy 2022 vs 2019 sem'!GO15*AOL$4</f>
        <v>13005.886348</v>
      </c>
      <c r="AOK16" s="699"/>
      <c r="AOL16" s="700">
        <f>AOK16/AOI16</f>
        <v>0</v>
      </c>
      <c r="AOM16" s="593">
        <f>'Proy 2022 vs 2019 sem'!GN15*AOP$4</f>
        <v>15167.214399999999</v>
      </c>
      <c r="AON16" s="593">
        <f>'Proy 2022 vs 2019 sem'!GO15*AOP$4</f>
        <v>14863.870111999999</v>
      </c>
      <c r="AOO16" s="699"/>
      <c r="AOP16" s="700">
        <f>AOO16/AOM16</f>
        <v>0</v>
      </c>
      <c r="AOQ16" s="593">
        <f>'Proy 2022 vs 2019 sem'!GN15*AOT$4</f>
        <v>20854.9198</v>
      </c>
      <c r="AOR16" s="593">
        <f>'Proy 2022 vs 2019 sem'!GO15*AOT$4</f>
        <v>20437.821403999998</v>
      </c>
      <c r="AOS16" s="699"/>
      <c r="AOT16" s="700">
        <f>AOS16/AOQ16</f>
        <v>0</v>
      </c>
      <c r="AOU16" s="579">
        <f>ANS16+ANW16+AOA16+AOE16+AOI16+AOM16+AOQ16</f>
        <v>94795.09</v>
      </c>
      <c r="AOV16" s="574">
        <f>ANT16+ANX16+AOB16+AOF16+AOJ16+AON16+AOR16</f>
        <v>92899.18819999999</v>
      </c>
      <c r="AOW16" s="785">
        <f>ANU16+ANY16+AOC16+AOG16+AOK16+AOO16+AOS16</f>
        <v>0</v>
      </c>
      <c r="AOX16" s="786">
        <f>AOW16/AOU16</f>
        <v>0</v>
      </c>
      <c r="AOY16" s="593">
        <f>'Proy 2022 vs 2019 sem'!GW15*APB$4</f>
        <v>12136.92</v>
      </c>
      <c r="AOZ16" s="593">
        <f>'Proy 2022 vs 2019 sem'!GX15*APB$4</f>
        <v>11894.181599999998</v>
      </c>
      <c r="APA16" s="735"/>
      <c r="APB16" s="700">
        <f>APA16/AOY16</f>
        <v>0</v>
      </c>
      <c r="APC16" s="593">
        <f>'Proy 2022 vs 2019 sem'!GW15*APF$4</f>
        <v>12136.92</v>
      </c>
      <c r="APD16" s="593">
        <f>'Proy 2022 vs 2019 sem'!GX15*APF$4</f>
        <v>11894.181599999998</v>
      </c>
      <c r="APE16" s="735"/>
      <c r="APF16" s="700">
        <f>APE16/APC16</f>
        <v>0</v>
      </c>
      <c r="APG16" s="593">
        <f>'Proy 2022 vs 2019 sem'!GW15*APJ$4</f>
        <v>12136.92</v>
      </c>
      <c r="APH16" s="593">
        <f>'Proy 2022 vs 2019 sem'!GX15*APJ$4</f>
        <v>11894.181599999998</v>
      </c>
      <c r="API16" s="735"/>
      <c r="APJ16" s="700">
        <f>API16/APG16</f>
        <v>0</v>
      </c>
      <c r="APK16" s="593">
        <f>'Proy 2022 vs 2019 sem'!GW15*APN$4</f>
        <v>12136.92</v>
      </c>
      <c r="APL16" s="593">
        <f>'Proy 2022 vs 2019 sem'!GX15*APN$4</f>
        <v>11894.181599999998</v>
      </c>
      <c r="APM16" s="735"/>
      <c r="APN16" s="700">
        <f>APM16/APK16</f>
        <v>0</v>
      </c>
      <c r="APO16" s="593">
        <f>'Proy 2022 vs 2019 sem'!GW15*APR$4</f>
        <v>14159.740000000002</v>
      </c>
      <c r="APP16" s="593">
        <f>'Proy 2022 vs 2019 sem'!GX15*APR$4</f>
        <v>13876.5452</v>
      </c>
      <c r="APQ16" s="735"/>
      <c r="APR16" s="700">
        <f>APQ16/APO16</f>
        <v>0</v>
      </c>
      <c r="APS16" s="593">
        <f>'Proy 2022 vs 2019 sem'!GW15*APV$4</f>
        <v>16182.56</v>
      </c>
      <c r="APT16" s="593">
        <f>'Proy 2022 vs 2019 sem'!GX15*APV$4</f>
        <v>15858.908799999999</v>
      </c>
      <c r="APU16" s="735"/>
      <c r="APV16" s="700">
        <f>APU16/APS16</f>
        <v>0</v>
      </c>
      <c r="APW16" s="593">
        <f>'Proy 2022 vs 2019 sem'!GW15*APZ$4</f>
        <v>22251.02</v>
      </c>
      <c r="APX16" s="593">
        <f>'Proy 2022 vs 2019 sem'!GX15*APZ$4</f>
        <v>21805.999599999999</v>
      </c>
      <c r="APY16" s="735"/>
      <c r="APZ16" s="700">
        <f>APY16/APW16</f>
        <v>0</v>
      </c>
      <c r="AQA16" s="579">
        <f>AOY16+APC16+APG16+APK16+APO16+APS16+APW16</f>
        <v>101141</v>
      </c>
      <c r="AQB16" s="574">
        <f>AOZ16+APD16+APH16+APL16+APP16+APT16+APX16</f>
        <v>99118.18</v>
      </c>
      <c r="AQC16" s="729">
        <f>APA16+APE16+API16+APM16+APQ16+APU16+APY16</f>
        <v>0</v>
      </c>
      <c r="AQD16" s="711">
        <f>AQC16/AQA16</f>
        <v>0</v>
      </c>
      <c r="AQE16" s="593">
        <f>'Proy 2022 vs 2019 sem'!HB15*AQH$4</f>
        <v>11492.995200000001</v>
      </c>
      <c r="AQF16" s="593">
        <f>'Proy 2022 vs 2019 sem'!HC15*AQH$4</f>
        <v>11492.995200000001</v>
      </c>
      <c r="AQG16" s="699"/>
      <c r="AQH16" s="700">
        <f>AQG16/AQE16</f>
        <v>0</v>
      </c>
      <c r="AQI16" s="593">
        <f>'Proy 2022 vs 2019 sem'!HB15*AQL$4</f>
        <v>11492.995200000001</v>
      </c>
      <c r="AQJ16" s="593">
        <f>'Proy 2022 vs 2019 sem'!HC15*AQL$4</f>
        <v>11492.995200000001</v>
      </c>
      <c r="AQK16" s="699"/>
      <c r="AQL16" s="700">
        <f>AQK16/AQI16</f>
        <v>0</v>
      </c>
      <c r="AQM16" s="593">
        <f>'Proy 2022 vs 2019 sem'!HB15*AQP$4</f>
        <v>11492.995200000001</v>
      </c>
      <c r="AQN16" s="593">
        <f>'Proy 2022 vs 2019 sem'!HC15*AQP$4</f>
        <v>11492.995200000001</v>
      </c>
      <c r="AQO16" s="699"/>
      <c r="AQP16" s="700">
        <f>AQO16/AQM16</f>
        <v>0</v>
      </c>
      <c r="AQQ16" s="593">
        <f>'Proy 2022 vs 2019 sem'!HB15*AQT$4</f>
        <v>11492.995200000001</v>
      </c>
      <c r="AQR16" s="593">
        <f>'Proy 2022 vs 2019 sem'!HC15*AQT$4</f>
        <v>11492.995200000001</v>
      </c>
      <c r="AQS16" s="699"/>
      <c r="AQT16" s="700">
        <f>AQS16/AQQ16</f>
        <v>0</v>
      </c>
      <c r="AQU16" s="593">
        <f>'Proy 2022 vs 2019 sem'!HB15*AQX$4</f>
        <v>13408.494400000001</v>
      </c>
      <c r="AQV16" s="593">
        <f>'Proy 2022 vs 2019 sem'!HC15*AQX$4</f>
        <v>13408.494400000001</v>
      </c>
      <c r="AQW16" s="699"/>
      <c r="AQX16" s="700">
        <f>AQW16/AQU16</f>
        <v>0</v>
      </c>
      <c r="AQY16" s="593">
        <f>'Proy 2022 vs 2019 sem'!HB15*ARB$4</f>
        <v>15323.993600000002</v>
      </c>
      <c r="AQZ16" s="593">
        <f>'Proy 2022 vs 2019 sem'!HC15*ARB$4</f>
        <v>15323.993600000002</v>
      </c>
      <c r="ARA16" s="699"/>
      <c r="ARB16" s="700">
        <f>ARA16/AQY16</f>
        <v>0</v>
      </c>
      <c r="ARC16" s="593">
        <f>'Proy 2022 vs 2019 sem'!HB15*ARF$4</f>
        <v>21070.4912</v>
      </c>
      <c r="ARD16" s="593">
        <f>'Proy 2022 vs 2019 sem'!HC15*ARF$4</f>
        <v>21070.4912</v>
      </c>
      <c r="ARE16" s="699"/>
      <c r="ARF16" s="700">
        <f>ARE16/ARC16</f>
        <v>0</v>
      </c>
      <c r="ARG16" s="579">
        <f>AQE16+AQI16+AQM16+AQQ16+AQU16+AQY16+ARC16</f>
        <v>95774.96</v>
      </c>
      <c r="ARH16" s="574">
        <f>AQF16+AQJ16+AQN16+AQR16+AQV16+AQZ16+ARD16</f>
        <v>95774.96</v>
      </c>
      <c r="ARI16" s="730">
        <f>AQG16+AQK16+AQO16+AQS16+AQW16+ARA16+ARE16</f>
        <v>0</v>
      </c>
      <c r="ARJ16" s="711">
        <f>ARI16/ARG16</f>
        <v>0</v>
      </c>
      <c r="ARK16" s="593">
        <f>'Proy 2022 vs 2019 sem'!HG15*ARN$4</f>
        <v>10360.8876</v>
      </c>
      <c r="ARL16" s="593">
        <f>'Proy 2022 vs 2019 sem'!HH15*ARN$4</f>
        <v>9842.8432199999988</v>
      </c>
      <c r="ARM16" s="699"/>
      <c r="ARN16" s="700">
        <f>ARM16/ARK16</f>
        <v>0</v>
      </c>
      <c r="ARO16" s="593">
        <f>'Proy 2022 vs 2019 sem'!HG15*ARR$4</f>
        <v>10360.8876</v>
      </c>
      <c r="ARP16" s="593">
        <f>'Proy 2022 vs 2019 sem'!HH15*ARR$4</f>
        <v>9842.8432199999988</v>
      </c>
      <c r="ARQ16" s="699"/>
      <c r="ARR16" s="700">
        <f>ARQ16/ARO16</f>
        <v>0</v>
      </c>
      <c r="ARS16" s="593">
        <f>'Proy 2022 vs 2019 sem'!HG15*ARV$4</f>
        <v>10360.8876</v>
      </c>
      <c r="ART16" s="593">
        <f>'Proy 2022 vs 2019 sem'!HH15*ARV$4</f>
        <v>9842.8432199999988</v>
      </c>
      <c r="ARU16" s="699"/>
      <c r="ARV16" s="700">
        <f>ARU16/ARS16</f>
        <v>0</v>
      </c>
      <c r="ARW16" s="593">
        <f>'Proy 2022 vs 2019 sem'!HG15*ARZ$4</f>
        <v>10360.8876</v>
      </c>
      <c r="ARX16" s="593">
        <f>'Proy 2022 vs 2019 sem'!HH15*ARZ$4</f>
        <v>9842.8432199999988</v>
      </c>
      <c r="ARY16" s="699"/>
      <c r="ARZ16" s="700">
        <f>ARY16/ARW16</f>
        <v>0</v>
      </c>
      <c r="ASA16" s="593">
        <f>'Proy 2022 vs 2019 sem'!HG15*ASD$4</f>
        <v>12087.7022</v>
      </c>
      <c r="ASB16" s="593">
        <f>'Proy 2022 vs 2019 sem'!HH15*ASD$4</f>
        <v>11483.31709</v>
      </c>
      <c r="ASC16" s="699"/>
      <c r="ASD16" s="700">
        <f>ASC16/ASA16</f>
        <v>0</v>
      </c>
      <c r="ASE16" s="593">
        <f>'Proy 2022 vs 2019 sem'!HG15*ASH$4</f>
        <v>13814.516799999999</v>
      </c>
      <c r="ASF16" s="593">
        <f>'Proy 2022 vs 2019 sem'!HH15*ASH$4</f>
        <v>13123.790959999998</v>
      </c>
      <c r="ASG16" s="699"/>
      <c r="ASH16" s="700">
        <f>ASG16/ASE16</f>
        <v>0</v>
      </c>
      <c r="ASI16" s="593">
        <f>'Proy 2022 vs 2019 sem'!HG15*ASL$4</f>
        <v>18994.960599999999</v>
      </c>
      <c r="ASJ16" s="593">
        <f>'Proy 2022 vs 2019 sem'!HH15*ASL$4</f>
        <v>18045.21257</v>
      </c>
      <c r="ASK16" s="699"/>
      <c r="ASL16" s="700">
        <f>ASK16/ASI16</f>
        <v>0</v>
      </c>
      <c r="ASM16" s="579">
        <f>ARK16+ARO16+ARS16+ARW16+ASA16+ASE16+ASI16</f>
        <v>86340.73000000001</v>
      </c>
      <c r="ASN16" s="574">
        <f>ARL16+ARP16+ART16+ARX16+ASB16+ASF16+ASJ16</f>
        <v>82023.693499999994</v>
      </c>
      <c r="ASO16" s="730">
        <f>ARM16+ARQ16+ARU16+ARY16+ASC16+ASG16+ASK16</f>
        <v>0</v>
      </c>
      <c r="ASP16" s="711">
        <f>ASO16/ASM16</f>
        <v>0</v>
      </c>
      <c r="ASQ16" s="593">
        <f>'Proy 2022 vs 2019 sem'!HL15*AST$4</f>
        <v>10949.270399999999</v>
      </c>
      <c r="ASR16" s="593">
        <f>'Proy 2022 vs 2019 sem'!HM15*AST$4</f>
        <v>10620.792287999999</v>
      </c>
      <c r="ASS16" s="699"/>
      <c r="AST16" s="700">
        <f>ASS16/ASQ16</f>
        <v>0</v>
      </c>
      <c r="ASU16" s="593">
        <f>'Proy 2022 vs 2019 sem'!HL15*ASX$4</f>
        <v>10949.270399999999</v>
      </c>
      <c r="ASV16" s="593">
        <f>'Proy 2022 vs 2019 sem'!HM15*ASX$4</f>
        <v>10620.792287999999</v>
      </c>
      <c r="ASW16" s="699"/>
      <c r="ASX16" s="700">
        <f>ASW16/ASU16</f>
        <v>0</v>
      </c>
      <c r="ASY16" s="593">
        <f>'Proy 2022 vs 2019 sem'!HL15*ATB$4</f>
        <v>10949.270399999999</v>
      </c>
      <c r="ASZ16" s="593">
        <f>'Proy 2022 vs 2019 sem'!HM15*ATB$4</f>
        <v>10620.792287999999</v>
      </c>
      <c r="ATA16" s="699"/>
      <c r="ATB16" s="700">
        <f>ATA16/ASY16</f>
        <v>0</v>
      </c>
      <c r="ATC16" s="593">
        <f>'Proy 2022 vs 2019 sem'!HL15*ATF$4</f>
        <v>10949.270399999999</v>
      </c>
      <c r="ATD16" s="593">
        <f>'Proy 2022 vs 2019 sem'!HM15*ATF$4</f>
        <v>10620.792287999999</v>
      </c>
      <c r="ATE16" s="699"/>
      <c r="ATF16" s="700">
        <f>ATE16/ATC16</f>
        <v>0</v>
      </c>
      <c r="ATG16" s="593">
        <f>'Proy 2022 vs 2019 sem'!HL15*ATJ$4</f>
        <v>12774.148800000001</v>
      </c>
      <c r="ATH16" s="593">
        <f>'Proy 2022 vs 2019 sem'!HM15*ATJ$4</f>
        <v>12390.924336</v>
      </c>
      <c r="ATI16" s="699"/>
      <c r="ATJ16" s="700">
        <f>ATI16/ATG16</f>
        <v>0</v>
      </c>
      <c r="ATK16" s="593">
        <f>'Proy 2022 vs 2019 sem'!HL15*ATN$4</f>
        <v>14599.0272</v>
      </c>
      <c r="ATL16" s="593">
        <f>'Proy 2022 vs 2019 sem'!HM15*ATN$4</f>
        <v>14161.056383999998</v>
      </c>
      <c r="ATM16" s="699"/>
      <c r="ATN16" s="700">
        <f>ATM16/ATK16</f>
        <v>0</v>
      </c>
      <c r="ATO16" s="593">
        <f>'Proy 2022 vs 2019 sem'!HL15*ATR$4</f>
        <v>20073.662400000001</v>
      </c>
      <c r="ATP16" s="593">
        <f>'Proy 2022 vs 2019 sem'!HM15*ATR$4</f>
        <v>19471.452527999998</v>
      </c>
      <c r="ATQ16" s="699"/>
      <c r="ATR16" s="700">
        <f>ATQ16/ATO16</f>
        <v>0</v>
      </c>
      <c r="ATS16" s="579">
        <f>ASQ16+ASU16+ASY16+ATC16+ATG16+ATK16+ATO16</f>
        <v>91243.92</v>
      </c>
      <c r="ATT16" s="574">
        <f>ASR16+ASV16+ASZ16+ATD16+ATH16+ATL16+ATP16</f>
        <v>88506.602399999989</v>
      </c>
      <c r="ATU16" s="710">
        <f>ASS16+ASW16+ATA16+ATE16+ATI16+ATM16+ATQ16</f>
        <v>0</v>
      </c>
      <c r="ATV16" s="711">
        <f>ATU16/ATS16</f>
        <v>0</v>
      </c>
      <c r="ATW16" s="593">
        <f>'Proy 2022 vs 2019 sem'!HQ15*ATZ$4</f>
        <v>10972.234799999998</v>
      </c>
      <c r="ATX16" s="593">
        <f>'Proy 2022 vs 2019 sem'!HR15*ATZ$4</f>
        <v>10752.790104</v>
      </c>
      <c r="ATY16" s="699"/>
      <c r="ATZ16" s="700">
        <f>ATY16/ATW16</f>
        <v>0</v>
      </c>
      <c r="AUA16" s="593">
        <f>'Proy 2022 vs 2019 sem'!HQ15*AUD$4</f>
        <v>10972.234799999998</v>
      </c>
      <c r="AUB16" s="593">
        <f>'Proy 2022 vs 2019 sem'!HR15*AUD$4</f>
        <v>10752.790104</v>
      </c>
      <c r="AUC16" s="699"/>
      <c r="AUD16" s="700">
        <f>AUC16/AUA16</f>
        <v>0</v>
      </c>
      <c r="AUE16" s="593">
        <f>'Proy 2022 vs 2019 sem'!HQ15*AUH$4</f>
        <v>10972.234799999998</v>
      </c>
      <c r="AUF16" s="593">
        <f>'Proy 2022 vs 2019 sem'!HR15*AUH$4</f>
        <v>10752.790104</v>
      </c>
      <c r="AUG16" s="699"/>
      <c r="AUH16" s="700">
        <f>AUG16/AUE16</f>
        <v>0</v>
      </c>
      <c r="AUI16" s="593">
        <f>'Proy 2022 vs 2019 sem'!HQ15*AUL$4</f>
        <v>10972.234799999998</v>
      </c>
      <c r="AUJ16" s="593">
        <f>'Proy 2022 vs 2019 sem'!HR15*AUL$4</f>
        <v>10752.790104</v>
      </c>
      <c r="AUK16" s="699"/>
      <c r="AUL16" s="700">
        <f>AUK16/AUI16</f>
        <v>0</v>
      </c>
      <c r="AUM16" s="593">
        <f>'Proy 2022 vs 2019 sem'!HQ15*AUP$4</f>
        <v>12800.9406</v>
      </c>
      <c r="AUN16" s="593">
        <f>'Proy 2022 vs 2019 sem'!HR15*AUP$4</f>
        <v>12544.921788000001</v>
      </c>
      <c r="AUO16" s="699"/>
      <c r="AUP16" s="700">
        <f>AUO16/AUM16</f>
        <v>0</v>
      </c>
      <c r="AUQ16" s="593">
        <f>'Proy 2022 vs 2019 sem'!HQ15*AUT$4</f>
        <v>14629.6464</v>
      </c>
      <c r="AUR16" s="593">
        <f>'Proy 2022 vs 2019 sem'!HR15*AUT$4</f>
        <v>14337.053472</v>
      </c>
      <c r="AUS16" s="699"/>
      <c r="AUT16" s="700">
        <f>AUS16/AUQ16</f>
        <v>0</v>
      </c>
      <c r="AUU16" s="593">
        <f>'Proy 2022 vs 2019 sem'!HQ15*AUX$4</f>
        <v>20115.763799999997</v>
      </c>
      <c r="AUV16" s="593">
        <f>'Proy 2022 vs 2019 sem'!HR15*AUX$4</f>
        <v>19713.448523999999</v>
      </c>
      <c r="AUW16" s="699"/>
      <c r="AUX16" s="700">
        <f>AUW16/AUU16</f>
        <v>0</v>
      </c>
      <c r="AUY16" s="579">
        <f>ATW16+AUA16+AUE16+AUI16+AUM16+AUQ16+AUU16</f>
        <v>91435.29</v>
      </c>
      <c r="AUZ16" s="574">
        <f>ATX16+AUB16+AUF16+AUJ16+AUN16+AUR16+AUV16</f>
        <v>89606.584200000012</v>
      </c>
      <c r="AVA16" s="710">
        <f>ATY16+AUC16+AUG16+AUK16+AUO16+AUS16+AUW16</f>
        <v>0</v>
      </c>
      <c r="AVB16" s="711">
        <f>AVA16/AUY16</f>
        <v>0</v>
      </c>
      <c r="AVC16" s="593">
        <f>'Proy 2022 vs 2019 sem'!HZ15*AVF$4</f>
        <v>9752.4456000000009</v>
      </c>
      <c r="AVD16" s="593">
        <f>'Proy 2022 vs 2019 sem'!IA15*AVF$4</f>
        <v>9459.8722319999997</v>
      </c>
      <c r="AVE16" s="735"/>
      <c r="AVF16" s="700">
        <f>AVE16/AVC16</f>
        <v>0</v>
      </c>
      <c r="AVG16" s="593">
        <f>'Proy 2022 vs 2019 sem'!HZ15*AVJ$4</f>
        <v>9752.4456000000009</v>
      </c>
      <c r="AVH16" s="593">
        <f>'Proy 2022 vs 2019 sem'!IA15*AVJ$4</f>
        <v>9459.8722319999997</v>
      </c>
      <c r="AVI16" s="699"/>
      <c r="AVJ16" s="700">
        <f>AVI16/AVG16</f>
        <v>0</v>
      </c>
      <c r="AVK16" s="593">
        <f>'Proy 2022 vs 2019 sem'!HZ15*AVN$4</f>
        <v>9752.4456000000009</v>
      </c>
      <c r="AVL16" s="593">
        <f>'Proy 2022 vs 2019 sem'!IA15*AVN$4</f>
        <v>9459.8722319999997</v>
      </c>
      <c r="AVM16" s="699"/>
      <c r="AVN16" s="700">
        <f>AVM16/AVK16</f>
        <v>0</v>
      </c>
      <c r="AVO16" s="593">
        <f>'Proy 2022 vs 2019 sem'!HZ15*AVR$4</f>
        <v>9752.4456000000009</v>
      </c>
      <c r="AVP16" s="593">
        <f>'Proy 2022 vs 2019 sem'!IA15*AVR$4</f>
        <v>9459.8722319999997</v>
      </c>
      <c r="AVQ16" s="699"/>
      <c r="AVR16" s="700">
        <f>AVQ16/AVO16</f>
        <v>0</v>
      </c>
      <c r="AVS16" s="593">
        <f>'Proy 2022 vs 2019 sem'!HZ15*AVV$4</f>
        <v>11377.853200000001</v>
      </c>
      <c r="AVT16" s="593">
        <f>'Proy 2022 vs 2019 sem'!IA15*AVV$4</f>
        <v>11036.517604000001</v>
      </c>
      <c r="AVU16" s="699"/>
      <c r="AVV16" s="700">
        <f>AVU16/AVS16</f>
        <v>0</v>
      </c>
      <c r="AVW16" s="593">
        <f>'Proy 2022 vs 2019 sem'!HZ15*AVZ$4</f>
        <v>13003.260800000002</v>
      </c>
      <c r="AVX16" s="593">
        <f>'Proy 2022 vs 2019 sem'!IA15*AVZ$4</f>
        <v>12613.162976</v>
      </c>
      <c r="AVY16" s="699"/>
      <c r="AVZ16" s="700">
        <f>AVY16/AVW16</f>
        <v>0</v>
      </c>
      <c r="AWA16" s="593">
        <f>'Proy 2022 vs 2019 sem'!HZ15*AWD$4</f>
        <v>17879.4836</v>
      </c>
      <c r="AWB16" s="593">
        <f>'Proy 2022 vs 2019 sem'!IA15*AWD$4</f>
        <v>17343.099092</v>
      </c>
      <c r="AWC16" s="699"/>
      <c r="AWD16" s="700">
        <f>AWC16/AWA16</f>
        <v>0</v>
      </c>
      <c r="AWE16" s="579">
        <f>AVC16+AVG16+AVK16+AVO16+AVS16+AVW16+AWA16</f>
        <v>81270.38</v>
      </c>
      <c r="AWF16" s="574">
        <f>AVD16+AVH16+AVL16+AVP16+AVT16+AVX16+AWB16</f>
        <v>78832.268599999996</v>
      </c>
      <c r="AWG16" s="793">
        <f>AVE16+AVI16+AVM16+AVQ16+AVU16+AVY16+AWC16</f>
        <v>0</v>
      </c>
      <c r="AWH16" s="786">
        <f>AWG16/AWE16</f>
        <v>0</v>
      </c>
      <c r="AWI16" s="593">
        <f>'Proy 2022 vs 2019 sem'!IE15*AWL$4</f>
        <v>12675.301199999998</v>
      </c>
      <c r="AWJ16" s="593">
        <f>'Proy 2022 vs 2019 sem'!IF15*AWL$4</f>
        <v>12168.289151999998</v>
      </c>
      <c r="AWK16" s="699"/>
      <c r="AWL16" s="700">
        <f>AWK16/AWI16</f>
        <v>0</v>
      </c>
      <c r="AWM16" s="593">
        <f>'Proy 2022 vs 2019 sem'!IE15*AWP$4</f>
        <v>12675.301199999998</v>
      </c>
      <c r="AWN16" s="593">
        <f>'Proy 2022 vs 2019 sem'!IF15*AWP$4</f>
        <v>12168.289151999998</v>
      </c>
      <c r="AWO16" s="699"/>
      <c r="AWP16" s="700">
        <f>AWO16/AWM16</f>
        <v>0</v>
      </c>
      <c r="AWQ16" s="593">
        <f>'Proy 2022 vs 2019 sem'!IE15*AWT$4</f>
        <v>12675.301199999998</v>
      </c>
      <c r="AWR16" s="593">
        <f>'Proy 2022 vs 2019 sem'!IF15*AWT$4</f>
        <v>12168.289151999998</v>
      </c>
      <c r="AWS16" s="699"/>
      <c r="AWT16" s="700">
        <f>AWS16/AWQ16</f>
        <v>0</v>
      </c>
      <c r="AWU16" s="593">
        <f>'Proy 2022 vs 2019 sem'!IE15*AWX$4</f>
        <v>12675.301199999998</v>
      </c>
      <c r="AWV16" s="593">
        <f>'Proy 2022 vs 2019 sem'!IF15*AWX$4</f>
        <v>12168.289151999998</v>
      </c>
      <c r="AWW16" s="699"/>
      <c r="AWX16" s="700">
        <f>AWW16/AWU16</f>
        <v>0</v>
      </c>
      <c r="AWY16" s="593">
        <f>'Proy 2022 vs 2019 sem'!IE15*AXB$4</f>
        <v>14787.851400000001</v>
      </c>
      <c r="AWZ16" s="593">
        <f>'Proy 2022 vs 2019 sem'!IF15*AXB$4</f>
        <v>14196.337344</v>
      </c>
      <c r="AXA16" s="699"/>
      <c r="AXB16" s="700">
        <f>AXA16/AWY16</f>
        <v>0</v>
      </c>
      <c r="AXC16" s="593">
        <f>'Proy 2022 vs 2019 sem'!IE15*AXF$4</f>
        <v>16900.401600000001</v>
      </c>
      <c r="AXD16" s="593">
        <f>'Proy 2022 vs 2019 sem'!IF15*AXF$4</f>
        <v>16224.385535999998</v>
      </c>
      <c r="AXE16" s="699"/>
      <c r="AXF16" s="700">
        <f>AXE16/AXC16</f>
        <v>0</v>
      </c>
      <c r="AXG16" s="593">
        <f>'Proy 2022 vs 2019 sem'!IE15*AXJ$4</f>
        <v>23238.052199999998</v>
      </c>
      <c r="AXH16" s="593">
        <f>'Proy 2022 vs 2019 sem'!IF15*AXJ$4</f>
        <v>22308.530111999997</v>
      </c>
      <c r="AXI16" s="699"/>
      <c r="AXJ16" s="700">
        <f>AXI16/AXG16</f>
        <v>0</v>
      </c>
      <c r="AXK16" s="579">
        <f>AWI16+AWM16+AWQ16+AWU16+AWY16+AXC16+AXG16</f>
        <v>105627.50999999998</v>
      </c>
      <c r="AXL16" s="574">
        <f>AWJ16+AWN16+AWR16+AWV16+AWZ16+AXD16+AXH16</f>
        <v>101402.40959999998</v>
      </c>
      <c r="AXM16" s="794">
        <f>AWK16+AWO16+AWS16+AWW16+AXA16+AXE16+AXI16</f>
        <v>0</v>
      </c>
      <c r="AXN16" s="786">
        <f>AXM16/AXK16</f>
        <v>0</v>
      </c>
      <c r="AXO16" s="593">
        <f>'Proy 2022 vs 2019 sem'!IJ15*AXR$4</f>
        <v>12849.560399999998</v>
      </c>
      <c r="AXP16" s="593">
        <f>'Proy 2022 vs 2019 sem'!IK15*AXR$4</f>
        <v>12721.064795999999</v>
      </c>
      <c r="AXQ16" s="699"/>
      <c r="AXR16" s="700">
        <f>AXQ16/AXO16</f>
        <v>0</v>
      </c>
      <c r="AXS16" s="593">
        <f>'Proy 2022 vs 2019 sem'!IJ15*AXV$4</f>
        <v>12849.560399999998</v>
      </c>
      <c r="AXT16" s="593">
        <f>'Proy 2022 vs 2019 sem'!IK15*AXV$4</f>
        <v>12721.064795999999</v>
      </c>
      <c r="AXU16" s="699"/>
      <c r="AXV16" s="700">
        <f>AXU16/AXS16</f>
        <v>0</v>
      </c>
      <c r="AXW16" s="593">
        <f>'Proy 2022 vs 2019 sem'!IJ15*AXZ$4</f>
        <v>12849.560399999998</v>
      </c>
      <c r="AXX16" s="593">
        <f>'Proy 2022 vs 2019 sem'!IK15*AXZ$4</f>
        <v>12721.064795999999</v>
      </c>
      <c r="AXY16" s="699"/>
      <c r="AXZ16" s="700">
        <f>AXY16/AXW16</f>
        <v>0</v>
      </c>
      <c r="AYA16" s="593">
        <f>'Proy 2022 vs 2019 sem'!IJ15*AYD$4</f>
        <v>12849.560399999998</v>
      </c>
      <c r="AYB16" s="593">
        <f>'Proy 2022 vs 2019 sem'!IK15*AYD$4</f>
        <v>12721.064795999999</v>
      </c>
      <c r="AYC16" s="699"/>
      <c r="AYD16" s="700">
        <f>AYC16/AYA16</f>
        <v>0</v>
      </c>
      <c r="AYE16" s="593">
        <f>'Proy 2022 vs 2019 sem'!IJ15*AYH$4</f>
        <v>14991.153800000002</v>
      </c>
      <c r="AYF16" s="593">
        <f>'Proy 2022 vs 2019 sem'!IK15*AYH$4</f>
        <v>14841.242262</v>
      </c>
      <c r="AYG16" s="699"/>
      <c r="AYH16" s="700">
        <f>AYG16/AYE16</f>
        <v>0</v>
      </c>
      <c r="AYI16" s="593">
        <f>'Proy 2022 vs 2019 sem'!IJ15*AYL$4</f>
        <v>17132.747200000002</v>
      </c>
      <c r="AYJ16" s="593">
        <f>'Proy 2022 vs 2019 sem'!IK15*AYL$4</f>
        <v>16961.419728000001</v>
      </c>
      <c r="AYK16" s="699"/>
      <c r="AYL16" s="700">
        <f>AYK16/AYI16</f>
        <v>0</v>
      </c>
      <c r="AYM16" s="593">
        <f>'Proy 2022 vs 2019 sem'!IJ15*AYP$4</f>
        <v>23557.527399999999</v>
      </c>
      <c r="AYN16" s="593">
        <f>'Proy 2022 vs 2019 sem'!IK15*AYP$4</f>
        <v>23321.952126</v>
      </c>
      <c r="AYO16" s="699"/>
      <c r="AYP16" s="700">
        <f>AYO16/AYM16</f>
        <v>0</v>
      </c>
      <c r="AYQ16" s="579">
        <f>AXO16+AXS16+AXW16+AYA16+AYE16+AYI16+AYM16</f>
        <v>107079.66999999998</v>
      </c>
      <c r="AYR16" s="574">
        <f>AXP16+AXT16+AXX16+AYB16+AYF16+AYJ16+AYN16</f>
        <v>106008.87329999999</v>
      </c>
      <c r="AYS16" s="794">
        <f>AXQ16+AXU16+AXY16+AYC16+AYG16+AYK16+AYO16</f>
        <v>0</v>
      </c>
      <c r="AYT16" s="786">
        <f>AYS16/AYQ16</f>
        <v>0</v>
      </c>
      <c r="AYU16" s="593">
        <f>'Proy 2022 vs 2019 sem'!IO15*AYX$4</f>
        <v>18422.5164</v>
      </c>
      <c r="AYV16" s="593">
        <f>'Proy 2022 vs 2019 sem'!IP15*AYX$4</f>
        <v>17869.840908000002</v>
      </c>
      <c r="AYW16" s="699"/>
      <c r="AYX16" s="700">
        <f>AYW16/AYU16</f>
        <v>0</v>
      </c>
      <c r="AYY16" s="593">
        <f>'Proy 2022 vs 2019 sem'!IO15*AZB$4</f>
        <v>18422.5164</v>
      </c>
      <c r="AYZ16" s="593">
        <f>'Proy 2022 vs 2019 sem'!IP15*AZB$4</f>
        <v>17869.840908000002</v>
      </c>
      <c r="AZA16" s="699"/>
      <c r="AZB16" s="700">
        <f>AZA16/AYY16</f>
        <v>0</v>
      </c>
      <c r="AZC16" s="593">
        <f>'Proy 2022 vs 2019 sem'!IO15*AZF$4</f>
        <v>18422.5164</v>
      </c>
      <c r="AZD16" s="593">
        <f>'Proy 2022 vs 2019 sem'!IP15*AZF$4</f>
        <v>17869.840908000002</v>
      </c>
      <c r="AZE16" s="699"/>
      <c r="AZF16" s="700">
        <f>AZE16/AZC16</f>
        <v>0</v>
      </c>
      <c r="AZG16" s="593">
        <f>'Proy 2022 vs 2019 sem'!IO15*AZJ$4</f>
        <v>18422.5164</v>
      </c>
      <c r="AZH16" s="593">
        <f>'Proy 2022 vs 2019 sem'!IP15*AZJ$4</f>
        <v>17869.840908000002</v>
      </c>
      <c r="AZI16" s="699"/>
      <c r="AZJ16" s="700">
        <f>AZI16/AZG16</f>
        <v>0</v>
      </c>
      <c r="AZK16" s="593">
        <f>'Proy 2022 vs 2019 sem'!IO15*AZN$4</f>
        <v>21492.935800000003</v>
      </c>
      <c r="AZL16" s="593">
        <f>'Proy 2022 vs 2019 sem'!IP15*AZN$4</f>
        <v>20848.147726000003</v>
      </c>
      <c r="AZM16" s="699"/>
      <c r="AZN16" s="700">
        <f>AZM16/AZK16</f>
        <v>0</v>
      </c>
      <c r="AZO16" s="593">
        <f>'Proy 2022 vs 2019 sem'!IO15*AZR$4</f>
        <v>24563.355200000002</v>
      </c>
      <c r="AZP16" s="593">
        <f>'Proy 2022 vs 2019 sem'!IP15*AZR$4</f>
        <v>23826.454544000004</v>
      </c>
      <c r="AZQ16" s="699"/>
      <c r="AZR16" s="700">
        <f>AZQ16/AZO16</f>
        <v>0</v>
      </c>
      <c r="AZS16" s="593">
        <f>'Proy 2022 vs 2019 sem'!IO15*AZV$4</f>
        <v>33774.613400000002</v>
      </c>
      <c r="AZT16" s="593">
        <f>'Proy 2022 vs 2019 sem'!IP15*AZV$4</f>
        <v>32761.374998000003</v>
      </c>
      <c r="AZU16" s="699"/>
      <c r="AZV16" s="700">
        <f>AZU16/AZS16</f>
        <v>0</v>
      </c>
      <c r="AZW16" s="579">
        <f>AYU16+AYY16+AZC16+AZG16+AZK16+AZO16+AZS16</f>
        <v>153520.97000000003</v>
      </c>
      <c r="AZX16" s="574">
        <f>AYV16+AYZ16+AZD16+AZH16+AZL16+AZP16+AZT16</f>
        <v>148915.34090000004</v>
      </c>
      <c r="AZY16" s="785">
        <f>AYW16+AZA16+AZE16+AZI16+AZM16+AZQ16+AZU16</f>
        <v>0</v>
      </c>
      <c r="AZZ16" s="786">
        <f>AZY16/AZW16</f>
        <v>0</v>
      </c>
      <c r="BAA16" s="593">
        <f>'Proy 2022 vs 2019 sem'!IX15*BAD$4</f>
        <v>12463.753199999999</v>
      </c>
      <c r="BAB16" s="593">
        <f>'Proy 2022 vs 2019 sem'!IY15*BAD$4</f>
        <v>12089.840603999999</v>
      </c>
      <c r="BAC16" s="735"/>
      <c r="BAD16" s="700">
        <f>BAC16/BAA16</f>
        <v>0</v>
      </c>
      <c r="BAE16" s="593">
        <f>'Proy 2022 vs 2019 sem'!IX15*BAH$4</f>
        <v>12463.753199999999</v>
      </c>
      <c r="BAF16" s="593">
        <f>'Proy 2022 vs 2019 sem'!IY15*BAH$4</f>
        <v>12089.840603999999</v>
      </c>
      <c r="BAG16" s="699"/>
      <c r="BAH16" s="700">
        <f>BAG16/BAE16</f>
        <v>0</v>
      </c>
      <c r="BAI16" s="593">
        <f>'Proy 2022 vs 2019 sem'!IX15*BAL$4</f>
        <v>12463.753199999999</v>
      </c>
      <c r="BAJ16" s="593">
        <f>'Proy 2022 vs 2019 sem'!IY15*BAL$4</f>
        <v>12089.840603999999</v>
      </c>
      <c r="BAK16" s="699"/>
      <c r="BAL16" s="700">
        <f>BAK16/BAI16</f>
        <v>0</v>
      </c>
      <c r="BAM16" s="593">
        <f>'Proy 2022 vs 2019 sem'!IX15*BAP$4</f>
        <v>12463.753199999999</v>
      </c>
      <c r="BAN16" s="593">
        <f>'Proy 2022 vs 2019 sem'!IY15*BAP$4</f>
        <v>12089.840603999999</v>
      </c>
      <c r="BAO16" s="699"/>
      <c r="BAP16" s="700">
        <f>BAO16/BAM16</f>
        <v>0</v>
      </c>
      <c r="BAQ16" s="593">
        <f>'Proy 2022 vs 2019 sem'!IX15*BAT$4</f>
        <v>14541.045400000001</v>
      </c>
      <c r="BAR16" s="593">
        <f>'Proy 2022 vs 2019 sem'!IY15*BAT$4</f>
        <v>14104.814038</v>
      </c>
      <c r="BAS16" s="699"/>
      <c r="BAT16" s="700">
        <f>BAS16/BAQ16</f>
        <v>0</v>
      </c>
      <c r="BAU16" s="593">
        <f>'Proy 2022 vs 2019 sem'!IX15*BAX$4</f>
        <v>16618.337599999999</v>
      </c>
      <c r="BAV16" s="593">
        <f>'Proy 2022 vs 2019 sem'!IY15*BAX$4</f>
        <v>16119.787471999998</v>
      </c>
      <c r="BAW16" s="699"/>
      <c r="BAX16" s="700">
        <f>BAW16/BAU16</f>
        <v>0</v>
      </c>
      <c r="BAY16" s="593">
        <f>'Proy 2022 vs 2019 sem'!IX15*BBB$4</f>
        <v>22850.214199999999</v>
      </c>
      <c r="BAZ16" s="593">
        <f>'Proy 2022 vs 2019 sem'!IY15*BBB$4</f>
        <v>22164.707773999999</v>
      </c>
      <c r="BBA16" s="699"/>
      <c r="BBB16" s="700">
        <f>BBA16/BAY16</f>
        <v>0</v>
      </c>
      <c r="BBC16" s="579">
        <f>BAA16+BAE16+BAI16+BAM16+BAQ16+BAU16+BAY16</f>
        <v>103864.61</v>
      </c>
      <c r="BBD16" s="574">
        <f>BAB16+BAF16+BAJ16+BAN16+BAR16+BAV16+BAZ16</f>
        <v>100748.67169999999</v>
      </c>
      <c r="BBE16" s="759">
        <f>BAC16+BAG16+BAK16+BAO16+BAS16+BAW16+BBA16</f>
        <v>0</v>
      </c>
      <c r="BBF16" s="761">
        <f>BBE16/BBC16</f>
        <v>0</v>
      </c>
      <c r="BBG16" s="593">
        <f>'Proy 2022 vs 2019 sem'!JC15*BBJ$4</f>
        <v>14699.7876</v>
      </c>
      <c r="BBH16" s="593">
        <f>'Proy 2022 vs 2019 sem'!JD15*BBJ$4</f>
        <v>13817.800343999997</v>
      </c>
      <c r="BBI16" s="699"/>
      <c r="BBJ16" s="700">
        <f>BBI16/BBG16</f>
        <v>0</v>
      </c>
      <c r="BBK16" s="593">
        <f>'Proy 2022 vs 2019 sem'!JC15*BBN$4</f>
        <v>14699.7876</v>
      </c>
      <c r="BBL16" s="593">
        <f>'Proy 2022 vs 2019 sem'!JD15*BBN$4</f>
        <v>13817.800343999997</v>
      </c>
      <c r="BBM16" s="699"/>
      <c r="BBN16" s="700">
        <f>BBM16/BBK16</f>
        <v>0</v>
      </c>
      <c r="BBO16" s="593">
        <f>'Proy 2022 vs 2019 sem'!JC15*BBR$4</f>
        <v>14699.7876</v>
      </c>
      <c r="BBP16" s="593">
        <f>'Proy 2022 vs 2019 sem'!JD15*BBR$4</f>
        <v>13817.800343999997</v>
      </c>
      <c r="BBQ16" s="699"/>
      <c r="BBR16" s="700">
        <f>BBQ16/BBO16</f>
        <v>0</v>
      </c>
      <c r="BBS16" s="593">
        <f>'Proy 2022 vs 2019 sem'!JC15*BBV$4</f>
        <v>14699.7876</v>
      </c>
      <c r="BBT16" s="593">
        <f>'Proy 2022 vs 2019 sem'!JD15*BBV$4</f>
        <v>13817.800343999997</v>
      </c>
      <c r="BBU16" s="699"/>
      <c r="BBV16" s="700">
        <f>BBU16/BBS16</f>
        <v>0</v>
      </c>
      <c r="BBW16" s="593">
        <f>'Proy 2022 vs 2019 sem'!JC15*BBZ$4</f>
        <v>17149.752200000003</v>
      </c>
      <c r="BBX16" s="593">
        <f>'Proy 2022 vs 2019 sem'!JD15*BBZ$4</f>
        <v>16120.767068000001</v>
      </c>
      <c r="BBY16" s="699"/>
      <c r="BBZ16" s="700">
        <f>BBY16/BBW16</f>
        <v>0</v>
      </c>
      <c r="BCA16" s="593">
        <f>'Proy 2022 vs 2019 sem'!JC15*BCD$4</f>
        <v>19599.716799999998</v>
      </c>
      <c r="BCB16" s="593">
        <f>'Proy 2022 vs 2019 sem'!JD15*BCD$4</f>
        <v>18423.733791999999</v>
      </c>
      <c r="BCC16" s="699"/>
      <c r="BCD16" s="700">
        <f>BCC16/BCA16</f>
        <v>0</v>
      </c>
      <c r="BCE16" s="593">
        <f>'Proy 2022 vs 2019 sem'!JC15*BCH$4</f>
        <v>26949.6106</v>
      </c>
      <c r="BCF16" s="593">
        <f>'Proy 2022 vs 2019 sem'!JD15*BCH$4</f>
        <v>25332.633963999997</v>
      </c>
      <c r="BCG16" s="699"/>
      <c r="BCH16" s="700">
        <f>BCG16/BCE16</f>
        <v>0</v>
      </c>
      <c r="BCI16" s="579">
        <f>BBG16+BBK16+BBO16+BBS16+BBW16+BCA16+BCE16</f>
        <v>122498.23</v>
      </c>
      <c r="BCJ16" s="574">
        <f>BBH16+BBL16+BBP16+BBT16+BBX16+BCB16+BCF16</f>
        <v>115148.33619999999</v>
      </c>
      <c r="BCK16" s="765">
        <f>BBI16+BBM16+BBQ16+BBU16+BBY16+BCC16+BCG16</f>
        <v>0</v>
      </c>
      <c r="BCL16" s="761">
        <f>BCK16/BCI16</f>
        <v>0</v>
      </c>
      <c r="BCM16" s="593">
        <f>'Proy 2022 vs 2019 sem'!JH15*BCP$4</f>
        <v>18318.751199999999</v>
      </c>
      <c r="BCN16" s="593">
        <f>'Proy 2022 vs 2019 sem'!JI15*BCP$4</f>
        <v>17586.001151999997</v>
      </c>
      <c r="BCO16" s="699"/>
      <c r="BCP16" s="700">
        <f>BCO16/BCM16</f>
        <v>0</v>
      </c>
      <c r="BCQ16" s="593">
        <f>'Proy 2022 vs 2019 sem'!JH15*BCT$4</f>
        <v>18318.751199999999</v>
      </c>
      <c r="BCR16" s="593">
        <f>'Proy 2022 vs 2019 sem'!JI15*BCT$4</f>
        <v>17586.001151999997</v>
      </c>
      <c r="BCS16" s="699"/>
      <c r="BCT16" s="700">
        <f>BCS16/BCQ16</f>
        <v>0</v>
      </c>
      <c r="BCU16" s="593">
        <f>'Proy 2022 vs 2019 sem'!JH15*BCX$4</f>
        <v>18318.751199999999</v>
      </c>
      <c r="BCV16" s="593">
        <f>'Proy 2022 vs 2019 sem'!JI15*BCX$4</f>
        <v>17586.001151999997</v>
      </c>
      <c r="BCW16" s="699"/>
      <c r="BCX16" s="700">
        <f>BCW16/BCU16</f>
        <v>0</v>
      </c>
      <c r="BCY16" s="593">
        <f>'Proy 2022 vs 2019 sem'!JH15*BDB$4</f>
        <v>18318.751199999999</v>
      </c>
      <c r="BCZ16" s="593">
        <f>'Proy 2022 vs 2019 sem'!JI15*BDB$4</f>
        <v>17586.001151999997</v>
      </c>
      <c r="BDA16" s="699"/>
      <c r="BDB16" s="700">
        <f>BDA16/BCY16</f>
        <v>0</v>
      </c>
      <c r="BDC16" s="593">
        <f>'Proy 2022 vs 2019 sem'!JH15*BDF$4</f>
        <v>21371.876400000005</v>
      </c>
      <c r="BDD16" s="593">
        <f>'Proy 2022 vs 2019 sem'!JI15*BDF$4</f>
        <v>20517.001344</v>
      </c>
      <c r="BDE16" s="699"/>
      <c r="BDF16" s="700">
        <f>BDE16/BDC16</f>
        <v>0</v>
      </c>
      <c r="BDG16" s="593">
        <f>'Proy 2022 vs 2019 sem'!JH15*BDJ$4</f>
        <v>24425.001600000003</v>
      </c>
      <c r="BDH16" s="593">
        <f>'Proy 2022 vs 2019 sem'!JI15*BDJ$4</f>
        <v>23448.001536</v>
      </c>
      <c r="BDI16" s="699"/>
      <c r="BDJ16" s="700">
        <f>BDI16/BDG16</f>
        <v>0</v>
      </c>
      <c r="BDK16" s="593">
        <f>'Proy 2022 vs 2019 sem'!JH15*BDN$4</f>
        <v>33584.377200000003</v>
      </c>
      <c r="BDL16" s="593">
        <f>'Proy 2022 vs 2019 sem'!JI15*BDN$4</f>
        <v>32241.002111999998</v>
      </c>
      <c r="BDM16" s="699"/>
      <c r="BDN16" s="700">
        <f>BDM16/BDK16</f>
        <v>0</v>
      </c>
      <c r="BDO16" s="579">
        <f>BCM16+BCQ16+BCU16+BCY16+BDC16+BDG16+BDK16</f>
        <v>152656.26</v>
      </c>
      <c r="BDP16" s="574">
        <f>BCN16+BCR16+BCV16+BCZ16+BDD16+BDH16+BDL16</f>
        <v>146550.00959999999</v>
      </c>
      <c r="BDQ16" s="765">
        <f>BCO16+BCS16+BCW16+BDA16+BDE16+BDI16+BDM16</f>
        <v>0</v>
      </c>
      <c r="BDR16" s="761">
        <f>BDQ16/BDO16</f>
        <v>0</v>
      </c>
      <c r="BDS16" s="593">
        <f>'Proy 2022 vs 2019 sem'!JM15*BDV$4</f>
        <v>16258.202399999998</v>
      </c>
      <c r="BDT16" s="593">
        <f>'Proy 2022 vs 2019 sem'!JN15*BDV$4</f>
        <v>15445.292279999998</v>
      </c>
      <c r="BDU16" s="699"/>
      <c r="BDV16" s="700">
        <f>BDU16/BDS16</f>
        <v>0</v>
      </c>
      <c r="BDW16" s="593">
        <f>'Proy 2022 vs 2019 sem'!JM15*BDZ$4</f>
        <v>16258.202399999998</v>
      </c>
      <c r="BDX16" s="593">
        <f>'Proy 2022 vs 2019 sem'!JN15*BDZ$4</f>
        <v>15445.292279999998</v>
      </c>
      <c r="BDY16" s="699"/>
      <c r="BDZ16" s="700">
        <f>BDY16/BDW16</f>
        <v>0</v>
      </c>
      <c r="BEA16" s="593">
        <f>'Proy 2022 vs 2019 sem'!JM15*BED$4</f>
        <v>16258.202399999998</v>
      </c>
      <c r="BEB16" s="593">
        <f>'Proy 2022 vs 2019 sem'!JN15*BED$4</f>
        <v>15445.292279999998</v>
      </c>
      <c r="BEC16" s="699"/>
      <c r="BED16" s="700">
        <f>BEC16/BEA16</f>
        <v>0</v>
      </c>
      <c r="BEE16" s="593">
        <v>14495.990400000001</v>
      </c>
      <c r="BEF16" s="593">
        <f>'Proy 2022 vs 2019 sem'!JN15*BEH$4</f>
        <v>15445.292279999998</v>
      </c>
      <c r="BEG16" s="699"/>
      <c r="BEH16" s="700">
        <f>BEG16/BEE16</f>
        <v>0</v>
      </c>
      <c r="BEI16" s="593">
        <f>'Proy 2022 vs 2019 sem'!JM15*BEL$4</f>
        <v>18967.9028</v>
      </c>
      <c r="BEJ16" s="593">
        <f>'Proy 2022 vs 2019 sem'!JN15*BEL$4</f>
        <v>18019.507659999999</v>
      </c>
      <c r="BEK16" s="699"/>
      <c r="BEL16" s="700">
        <f>BEK16/BEI16</f>
        <v>0</v>
      </c>
      <c r="BEM16" s="593">
        <f>'Proy 2022 vs 2019 sem'!JM15*BEP$4</f>
        <v>21677.603199999998</v>
      </c>
      <c r="BEN16" s="593">
        <f>'Proy 2022 vs 2019 sem'!JN15*BEP$4</f>
        <v>20593.723039999997</v>
      </c>
      <c r="BEO16" s="699"/>
      <c r="BEP16" s="700">
        <f>BEO16/BEM16</f>
        <v>0</v>
      </c>
      <c r="BEQ16" s="593">
        <f>'Proy 2022 vs 2019 sem'!JM15*BET$4</f>
        <v>29806.704399999999</v>
      </c>
      <c r="BER16" s="593">
        <f>'Proy 2022 vs 2019 sem'!JN15*BET$4</f>
        <v>28316.369179999998</v>
      </c>
      <c r="BES16" s="699"/>
      <c r="BET16" s="700">
        <f>BES16/BEQ16</f>
        <v>0</v>
      </c>
      <c r="BEU16" s="579">
        <f>BDS16+BDW16+BEA16+BEE16+BEI16+BEM16+BEQ16</f>
        <v>133722.80799999999</v>
      </c>
      <c r="BEV16" s="574">
        <f>BDT16+BDX16+BEB16+BEF16+BEJ16+BEN16+BER16</f>
        <v>128710.76899999999</v>
      </c>
      <c r="BEW16" s="770">
        <f>BDU16+BDY16+BEC16+BEG16+BEK16+BEO16+BES16</f>
        <v>0</v>
      </c>
      <c r="BEX16" s="761">
        <f>BEW16/BEU16</f>
        <v>0</v>
      </c>
      <c r="BEY16" s="593">
        <f>'Proy 2022 vs 2019 sem'!JV15*BFB$4</f>
        <v>24870.0648</v>
      </c>
      <c r="BEZ16" s="593">
        <f>'Proy 2022 vs 2019 sem'!JW15*BFB$4</f>
        <v>23377.860911999996</v>
      </c>
      <c r="BFA16" s="735"/>
      <c r="BFB16" s="700">
        <f>BFA16/BEY16</f>
        <v>0</v>
      </c>
      <c r="BFC16" s="593">
        <f>'Proy 2022 vs 2019 sem'!JV15*BFF$4</f>
        <v>24870.0648</v>
      </c>
      <c r="BFD16" s="593">
        <f>'Proy 2022 vs 2019 sem'!JW15*BFF$4</f>
        <v>23377.860911999996</v>
      </c>
      <c r="BFE16" s="735"/>
      <c r="BFF16" s="700">
        <f>BFE16/BFC16</f>
        <v>0</v>
      </c>
      <c r="BFG16" s="593">
        <f>'Proy 2022 vs 2019 sem'!JV15*BFJ$4</f>
        <v>24870.0648</v>
      </c>
      <c r="BFH16" s="593">
        <f>'Proy 2022 vs 2019 sem'!JW15*BFJ$4</f>
        <v>23377.860911999996</v>
      </c>
      <c r="BFI16" s="735"/>
      <c r="BFJ16" s="700">
        <f>BFI16/BFG16</f>
        <v>0</v>
      </c>
      <c r="BFK16" s="593">
        <f>'Proy 2022 vs 2019 sem'!JV15*BFN$4</f>
        <v>24870.0648</v>
      </c>
      <c r="BFL16" s="593">
        <f>'Proy 2022 vs 2019 sem'!JW15*BFN$4</f>
        <v>23377.860911999996</v>
      </c>
      <c r="BFM16" s="735"/>
      <c r="BFN16" s="700">
        <f>BFM16/BFK16</f>
        <v>0</v>
      </c>
      <c r="BFO16" s="593">
        <f>'Proy 2022 vs 2019 sem'!JV15*BFR$4</f>
        <v>29015.075600000004</v>
      </c>
      <c r="BFP16" s="593">
        <f>'Proy 2022 vs 2019 sem'!JW15*BFR$4</f>
        <v>27274.171064000002</v>
      </c>
      <c r="BFQ16" s="735"/>
      <c r="BFR16" s="700">
        <f>BFQ16/BFO16</f>
        <v>0</v>
      </c>
      <c r="BFS16" s="593">
        <f>'Proy 2022 vs 2019 sem'!JV15*BFV$4</f>
        <v>33160.0864</v>
      </c>
      <c r="BFT16" s="593">
        <f>'Proy 2022 vs 2019 sem'!JW15*BFV$4</f>
        <v>31170.481215999996</v>
      </c>
      <c r="BFU16" s="735"/>
      <c r="BFV16" s="700">
        <f>BFU16/BFS16</f>
        <v>0</v>
      </c>
      <c r="BFW16" s="593">
        <f>'Proy 2022 vs 2019 sem'!JV15*BFZ$4</f>
        <v>45595.118800000004</v>
      </c>
      <c r="BFX16" s="593">
        <f>'Proy 2022 vs 2019 sem'!JW15*BFZ$4</f>
        <v>42859.411671999995</v>
      </c>
      <c r="BFY16" s="735"/>
      <c r="BFZ16" s="700">
        <f>BFY16/BFW16</f>
        <v>0</v>
      </c>
      <c r="BGA16" s="579">
        <f>BEY16+BFC16+BFG16+BFK16+BFO16+BFS16+BFW16</f>
        <v>207250.54</v>
      </c>
      <c r="BGB16" s="574">
        <f>BEZ16+BFD16+BFH16+BFL16+BFP16+BFT16+BFX16</f>
        <v>194815.50759999995</v>
      </c>
      <c r="BGC16" s="729">
        <f>BFA16+BFE16+BFI16+BFM16+BFQ16+BFU16+BFY16</f>
        <v>0</v>
      </c>
      <c r="BGD16" s="711">
        <f>BGC16/BGA16</f>
        <v>0</v>
      </c>
      <c r="BGE16" s="593">
        <f>'Proy 2022 vs 2019 sem'!KA15*BGH$4</f>
        <v>26626.845600000001</v>
      </c>
      <c r="BGF16" s="593">
        <f>'Proy 2022 vs 2019 sem'!KB15*BGH$4</f>
        <v>24762.966408</v>
      </c>
      <c r="BGG16" s="699"/>
      <c r="BGH16" s="700">
        <f>BGG16/BGE16</f>
        <v>0</v>
      </c>
      <c r="BGI16" s="593">
        <f>'Proy 2022 vs 2019 sem'!KA15*BGL$4</f>
        <v>26626.845600000001</v>
      </c>
      <c r="BGJ16" s="593">
        <f>'Proy 2022 vs 2019 sem'!KB15*BGL$4</f>
        <v>24762.966408</v>
      </c>
      <c r="BGK16" s="699"/>
      <c r="BGL16" s="700">
        <f>BGK16/BGI16</f>
        <v>0</v>
      </c>
      <c r="BGM16" s="593">
        <f>'Proy 2022 vs 2019 sem'!KA15*BGP$4</f>
        <v>26626.845600000001</v>
      </c>
      <c r="BGN16" s="593">
        <f>'Proy 2022 vs 2019 sem'!KB15*BGP$4</f>
        <v>24762.966408</v>
      </c>
      <c r="BGO16" s="699"/>
      <c r="BGP16" s="700">
        <f>BGO16/BGM16</f>
        <v>0</v>
      </c>
      <c r="BGQ16" s="593">
        <f>'Proy 2022 vs 2019 sem'!KA15*BGT$4</f>
        <v>26626.845600000001</v>
      </c>
      <c r="BGR16" s="593">
        <f>'Proy 2022 vs 2019 sem'!KB15*BGT$4</f>
        <v>24762.966408</v>
      </c>
      <c r="BGS16" s="699"/>
      <c r="BGT16" s="700">
        <f>BGS16/BGQ16</f>
        <v>0</v>
      </c>
      <c r="BGU16" s="593">
        <f>'Proy 2022 vs 2019 sem'!KA15*BGX$4</f>
        <v>31064.653200000004</v>
      </c>
      <c r="BGV16" s="593">
        <f>'Proy 2022 vs 2019 sem'!KB15*BGX$4</f>
        <v>28890.127476000005</v>
      </c>
      <c r="BGW16" s="699"/>
      <c r="BGX16" s="700">
        <f>BGW16/BGU16</f>
        <v>0</v>
      </c>
      <c r="BGY16" s="593">
        <f>'Proy 2022 vs 2019 sem'!KA15*BHB$4</f>
        <v>35502.460800000001</v>
      </c>
      <c r="BGZ16" s="593">
        <f>'Proy 2022 vs 2019 sem'!KB15*BHB$4</f>
        <v>33017.288544000003</v>
      </c>
      <c r="BHA16" s="699"/>
      <c r="BHB16" s="700">
        <f>BHA16/BGY16</f>
        <v>0</v>
      </c>
      <c r="BHC16" s="593">
        <f>'Proy 2022 vs 2019 sem'!KA15*BHF$4</f>
        <v>48815.883600000001</v>
      </c>
      <c r="BHD16" s="593">
        <f>'Proy 2022 vs 2019 sem'!KB15*BHF$4</f>
        <v>45398.771747999999</v>
      </c>
      <c r="BHE16" s="699"/>
      <c r="BHF16" s="700">
        <f>BHE16/BHC16</f>
        <v>0</v>
      </c>
      <c r="BHG16" s="579">
        <f>BGE16+BGI16+BGM16+BGQ16+BGU16+BGY16+BHC16</f>
        <v>221890.38</v>
      </c>
      <c r="BHH16" s="574">
        <f>BGF16+BGJ16+BGN16+BGR16+BGV16+BGZ16+BHD16</f>
        <v>206358.0534</v>
      </c>
      <c r="BHI16" s="730">
        <f>BGG16+BGK16+BGO16+BGS16+BGW16+BHA16+BHE16</f>
        <v>0</v>
      </c>
      <c r="BHJ16" s="711">
        <f>BHI16/BHG16</f>
        <v>0</v>
      </c>
      <c r="BHK16" s="593">
        <f>'Proy 2022 vs 2019 sem'!KF15*BHN$4</f>
        <v>63533.787599999996</v>
      </c>
      <c r="BHL16" s="593">
        <f>'Proy 2022 vs 2019 sem'!KG15*BHN$4</f>
        <v>59086.422467999997</v>
      </c>
      <c r="BHM16" s="699"/>
      <c r="BHN16" s="700">
        <f>BHM16/BHK16</f>
        <v>0</v>
      </c>
      <c r="BHO16" s="593">
        <f>'Proy 2022 vs 2019 sem'!KF15*BHR$4</f>
        <v>63533.787599999996</v>
      </c>
      <c r="BHP16" s="593">
        <f>'Proy 2022 vs 2019 sem'!KG15*BHR$4</f>
        <v>59086.422467999997</v>
      </c>
      <c r="BHQ16" s="699"/>
      <c r="BHR16" s="700">
        <f>BHQ16/BHO16</f>
        <v>0</v>
      </c>
      <c r="BHS16" s="593">
        <f>'Proy 2022 vs 2019 sem'!KF15*BHV$4</f>
        <v>63533.787599999996</v>
      </c>
      <c r="BHT16" s="593">
        <f>'Proy 2022 vs 2019 sem'!KG15*BHV$4</f>
        <v>59086.422467999997</v>
      </c>
      <c r="BHU16" s="699"/>
      <c r="BHV16" s="700">
        <f>BHU16/BHS16</f>
        <v>0</v>
      </c>
      <c r="BHW16" s="593">
        <f>'Proy 2022 vs 2019 sem'!KF15*BHZ$4</f>
        <v>63533.787599999996</v>
      </c>
      <c r="BHX16" s="593">
        <f>'Proy 2022 vs 2019 sem'!KG15*BHZ$4</f>
        <v>59086.422467999997</v>
      </c>
      <c r="BHY16" s="699"/>
      <c r="BHZ16" s="700">
        <f>BHY16/BHW16</f>
        <v>0</v>
      </c>
      <c r="BIA16" s="593">
        <f>'Proy 2022 vs 2019 sem'!KF15*BID$4</f>
        <v>74122.752200000003</v>
      </c>
      <c r="BIB16" s="593">
        <f>'Proy 2022 vs 2019 sem'!KG15*BID$4</f>
        <v>68934.15954600001</v>
      </c>
      <c r="BIC16" s="699"/>
      <c r="BID16" s="700">
        <f>BIC16/BIA16</f>
        <v>0</v>
      </c>
      <c r="BIE16" s="593">
        <f>'Proy 2022 vs 2019 sem'!KF15*BIH$4</f>
        <v>84711.716799999995</v>
      </c>
      <c r="BIF16" s="593">
        <f>'Proy 2022 vs 2019 sem'!KG15*BIH$4</f>
        <v>78781.896624000001</v>
      </c>
      <c r="BIG16" s="699"/>
      <c r="BIH16" s="700">
        <f>BIG16/BIE16</f>
        <v>0</v>
      </c>
      <c r="BII16" s="593">
        <f>'Proy 2022 vs 2019 sem'!KF15*BIL$4</f>
        <v>116478.6106</v>
      </c>
      <c r="BIJ16" s="593">
        <f>'Proy 2022 vs 2019 sem'!KG15*BIL$4</f>
        <v>108325.107858</v>
      </c>
      <c r="BIK16" s="699"/>
      <c r="BIL16" s="700">
        <f>BIK16/BII16</f>
        <v>0</v>
      </c>
      <c r="BIM16" s="579">
        <f>BHK16+BHO16+BHS16+BHW16+BIA16+BIE16+BII16</f>
        <v>529448.23</v>
      </c>
      <c r="BIN16" s="574">
        <f>BHL16+BHP16+BHT16+BHX16+BIB16+BIF16+BIJ16</f>
        <v>492386.85389999999</v>
      </c>
      <c r="BIO16" s="730">
        <f>BHM16+BHQ16+BHU16+BHY16+BIC16+BIG16+BIK16</f>
        <v>0</v>
      </c>
      <c r="BIP16" s="711">
        <f>BIO16/BIM16</f>
        <v>0</v>
      </c>
      <c r="BIQ16" s="593">
        <f>'Proy 2022 vs 2019 sem'!KK15*BIT$4</f>
        <v>40342.096799999999</v>
      </c>
      <c r="BIR16" s="593">
        <f>'Proy 2022 vs 2019 sem'!KL15*BIT$4</f>
        <v>37518.150024000002</v>
      </c>
      <c r="BIS16" s="699"/>
      <c r="BIT16" s="700">
        <f>BIS16/BIQ16</f>
        <v>0</v>
      </c>
      <c r="BIU16" s="593">
        <f>'Proy 2022 vs 2019 sem'!KK15*BIX$4</f>
        <v>40342.096799999999</v>
      </c>
      <c r="BIV16" s="593">
        <f>'Proy 2022 vs 2019 sem'!KL15*BIX$4</f>
        <v>37518.150024000002</v>
      </c>
      <c r="BIW16" s="699"/>
      <c r="BIX16" s="700">
        <f>BIW16/BIU16</f>
        <v>0</v>
      </c>
      <c r="BIY16" s="593">
        <f>'Proy 2022 vs 2019 sem'!KK15*BJB$4</f>
        <v>40342.096799999999</v>
      </c>
      <c r="BIZ16" s="593">
        <f>'Proy 2022 vs 2019 sem'!KL15*BJB$4</f>
        <v>37518.150024000002</v>
      </c>
      <c r="BJA16" s="699"/>
      <c r="BJB16" s="700">
        <f>BJA16/BIY16</f>
        <v>0</v>
      </c>
      <c r="BJC16" s="593">
        <f>'Proy 2022 vs 2019 sem'!KK15*BJF$4</f>
        <v>40342.096799999999</v>
      </c>
      <c r="BJD16" s="593">
        <f>'Proy 2022 vs 2019 sem'!KL15*BJF$4</f>
        <v>37518.150024000002</v>
      </c>
      <c r="BJE16" s="699"/>
      <c r="BJF16" s="700">
        <f>BJE16/BJC16</f>
        <v>0</v>
      </c>
      <c r="BJG16" s="593">
        <f>'Proy 2022 vs 2019 sem'!KK15*BJJ$4</f>
        <v>47065.779600000009</v>
      </c>
      <c r="BJH16" s="593">
        <f>'Proy 2022 vs 2019 sem'!KL15*BJJ$4</f>
        <v>43771.175028000005</v>
      </c>
      <c r="BJI16" s="699"/>
      <c r="BJJ16" s="700">
        <f>BJI16/BJG16</f>
        <v>0</v>
      </c>
      <c r="BJK16" s="593">
        <f>'Proy 2022 vs 2019 sem'!KK15*BJN$4</f>
        <v>53789.462400000004</v>
      </c>
      <c r="BJL16" s="593">
        <f>'Proy 2022 vs 2019 sem'!KL15*BJN$4</f>
        <v>50024.200032000001</v>
      </c>
      <c r="BJM16" s="699"/>
      <c r="BJN16" s="700">
        <f>BJM16/BJK16</f>
        <v>0</v>
      </c>
      <c r="BJO16" s="593">
        <f>'Proy 2022 vs 2019 sem'!KK15*BJR$4</f>
        <v>73960.510800000004</v>
      </c>
      <c r="BJP16" s="593">
        <f>'Proy 2022 vs 2019 sem'!KL15*BJR$4</f>
        <v>68783.275044000009</v>
      </c>
      <c r="BJQ16" s="699"/>
      <c r="BJR16" s="700">
        <f>BJQ16/BJO16</f>
        <v>0</v>
      </c>
      <c r="BJS16" s="579">
        <f>BIQ16+BIU16+BIY16+BJC16+BJG16+BJK16+BJO16</f>
        <v>336184.14</v>
      </c>
      <c r="BJT16" s="574">
        <f>BIR16+BIV16+BIZ16+BJD16+BJH16+BJL16+BJP16</f>
        <v>312651.25020000001</v>
      </c>
      <c r="BJU16" s="710">
        <f>BIS16+BIW16+BJA16+BJE16+BJI16+BJM16+BJQ16</f>
        <v>0</v>
      </c>
      <c r="BJV16" s="711">
        <f>BJU16/BJS16</f>
        <v>0</v>
      </c>
      <c r="BJW16" s="593">
        <f>'Proy 2022 vs 2019 sem'!KP15*BJZ$4</f>
        <v>12952.785599999999</v>
      </c>
      <c r="BJX16" s="593">
        <f>'Proy 2022 vs 2019 sem'!KQ15*BJZ$4</f>
        <v>12305.14632</v>
      </c>
      <c r="BJY16" s="699"/>
      <c r="BJZ16" s="700">
        <f>BJY16/BJW16</f>
        <v>0</v>
      </c>
      <c r="BKA16" s="593">
        <f>'Proy 2022 vs 2019 sem'!KP15*BKD$4</f>
        <v>12952.785599999999</v>
      </c>
      <c r="BKB16" s="593">
        <f>'Proy 2022 vs 2019 sem'!KQ15*BKD$4</f>
        <v>12305.14632</v>
      </c>
      <c r="BKC16" s="699"/>
      <c r="BKD16" s="700">
        <f>BKC16/BKA16</f>
        <v>0</v>
      </c>
      <c r="BKE16" s="593">
        <f>'Proy 2022 vs 2019 sem'!KP15*BKH$4</f>
        <v>12952.785599999999</v>
      </c>
      <c r="BKF16" s="593">
        <f>'Proy 2022 vs 2019 sem'!KQ15*BKH$4</f>
        <v>12305.14632</v>
      </c>
      <c r="BKG16" s="699"/>
      <c r="BKH16" s="700">
        <f>BKG16/BKE16</f>
        <v>0</v>
      </c>
      <c r="BKI16" s="593">
        <f>'Proy 2022 vs 2019 sem'!KP15*BKL$4</f>
        <v>12952.785599999999</v>
      </c>
      <c r="BKJ16" s="593">
        <f>'Proy 2022 vs 2019 sem'!KQ15*BKL$4</f>
        <v>12305.14632</v>
      </c>
      <c r="BKK16" s="699"/>
      <c r="BKL16" s="700">
        <f>BKK16/BKI16</f>
        <v>0</v>
      </c>
      <c r="BKM16" s="593">
        <f>'Proy 2022 vs 2019 sem'!KP15*BKP$4</f>
        <v>15111.583200000003</v>
      </c>
      <c r="BKN16" s="593">
        <f>'Proy 2022 vs 2019 sem'!KQ15*BKP$4</f>
        <v>14356.004040000002</v>
      </c>
      <c r="BKO16" s="699"/>
      <c r="BKP16" s="700">
        <f>BKO16/BKM16</f>
        <v>0</v>
      </c>
      <c r="BKQ16" s="593">
        <f>'Proy 2022 vs 2019 sem'!KP15*BKT$4</f>
        <v>17270.380800000003</v>
      </c>
      <c r="BKR16" s="593">
        <f>'Proy 2022 vs 2019 sem'!KQ15*BKT$4</f>
        <v>16406.86176</v>
      </c>
      <c r="BKS16" s="699"/>
      <c r="BKT16" s="700">
        <f>BKS16/BKQ16</f>
        <v>0</v>
      </c>
      <c r="BKU16" s="593">
        <f>'Proy 2022 vs 2019 sem'!KP15*BKX$4</f>
        <v>23746.7736</v>
      </c>
      <c r="BKV16" s="593">
        <f>'Proy 2022 vs 2019 sem'!KQ15*BKX$4</f>
        <v>22559.43492</v>
      </c>
      <c r="BKW16" s="699"/>
      <c r="BKX16" s="700">
        <f>BKW16/BKU16</f>
        <v>0</v>
      </c>
      <c r="BKY16" s="579">
        <f>BJW16+BKA16+BKE16+BKI16+BKM16+BKQ16+BKU16</f>
        <v>107939.88</v>
      </c>
      <c r="BKZ16" s="574">
        <f>BJX16+BKB16+BKF16+BKJ16+BKN16+BKR16+BKV16</f>
        <v>102542.886</v>
      </c>
      <c r="BLA16" s="710">
        <f>BJY16+BKC16+BKG16+BKK16+BKO16+BKS16+BKW16</f>
        <v>0</v>
      </c>
      <c r="BLB16" s="711">
        <f>BLA16/BKY16</f>
        <v>0</v>
      </c>
    </row>
    <row r="17" spans="2:1666" ht="19.5" customHeight="1">
      <c r="B17" s="934" t="s">
        <v>19</v>
      </c>
      <c r="C17" s="593">
        <f>'Proy 2022 vs 2019 sem'!$C$6*$F$4</f>
        <v>9529.1268</v>
      </c>
      <c r="D17" s="593">
        <f>'Proy 2022 vs 2019 sem'!$D$6*$F$4</f>
        <v>8480.9228519999997</v>
      </c>
      <c r="E17" s="735"/>
      <c r="F17" s="700">
        <f>E17/C17</f>
        <v>0</v>
      </c>
      <c r="G17" s="1414">
        <f>'Proy 2022 vs 2019 sem'!C16*$J$4</f>
        <v>4538.1120000000001</v>
      </c>
      <c r="H17" s="593">
        <f>'Proy 2022 vs 2019 sem'!D16*$J$4</f>
        <v>9185.2833599999994</v>
      </c>
      <c r="I17" s="735"/>
      <c r="J17" s="700">
        <f>I17/G17</f>
        <v>0</v>
      </c>
      <c r="K17" s="593">
        <f>'Proy 2022 vs 2019 sem'!C16*$N$4</f>
        <v>4538.1120000000001</v>
      </c>
      <c r="L17" s="593">
        <f>'Proy 2022 vs 2019 sem'!D16*N$4</f>
        <v>9185.2833599999994</v>
      </c>
      <c r="M17" s="735"/>
      <c r="N17" s="700">
        <f>M17/K17</f>
        <v>0</v>
      </c>
      <c r="O17" s="593">
        <f>'Proy 2022 vs 2019 sem'!C16*R$4</f>
        <v>4538.1120000000001</v>
      </c>
      <c r="P17" s="593">
        <f>'Proy 2022 vs 2019 sem'!D16*$R$4</f>
        <v>9185.2833599999994</v>
      </c>
      <c r="Q17" s="735"/>
      <c r="R17" s="700">
        <f>Q17/O17</f>
        <v>0</v>
      </c>
      <c r="S17" s="593">
        <f>'Proy 2022 vs 2019 sem'!C16*V$4</f>
        <v>5294.4639999999999</v>
      </c>
      <c r="T17" s="593">
        <f>'Proy 2022 vs 2019 sem'!D16*V$4</f>
        <v>10716.163920000003</v>
      </c>
      <c r="U17" s="735"/>
      <c r="V17" s="700">
        <f>U17/S17</f>
        <v>0</v>
      </c>
      <c r="W17" s="593">
        <f>'Proy 2022 vs 2019 sem'!C16*Z$4</f>
        <v>6050.8159999999998</v>
      </c>
      <c r="X17" s="593">
        <f>'Proy 2022 vs 2019 sem'!D16*Z$4</f>
        <v>12247.04448</v>
      </c>
      <c r="Y17" s="735"/>
      <c r="Z17" s="700">
        <f>Y17/W17</f>
        <v>0</v>
      </c>
      <c r="AA17" s="593">
        <f>'Proy 2022 vs 2019 sem'!C16*AD$4</f>
        <v>8319.8719999999994</v>
      </c>
      <c r="AB17" s="593">
        <f>'Proy 2022 vs 2019 sem'!D16*AD$4</f>
        <v>16839.686160000001</v>
      </c>
      <c r="AC17" s="735"/>
      <c r="AD17" s="700">
        <f>AC17/AA17</f>
        <v>0</v>
      </c>
      <c r="AE17" s="579">
        <f>C17+G17+K17+O17+S17+W17+AA17</f>
        <v>42808.614799999996</v>
      </c>
      <c r="AF17" s="574">
        <f>D17+H17+L17+P17+T17+X17+AB17</f>
        <v>75839.667491999993</v>
      </c>
      <c r="AG17" s="729">
        <f>E17+I17+M17+Q17+U17+Y17+AC17</f>
        <v>0</v>
      </c>
      <c r="AH17" s="711">
        <f>AG17/AE17</f>
        <v>0</v>
      </c>
      <c r="AI17" s="593">
        <f>'Proy 2022 vs 2019 sem'!H16*AL$4</f>
        <v>5694.2447999999995</v>
      </c>
      <c r="AJ17" s="611">
        <f>'Proy 2022 vs 2019 sem'!I16*AL$4</f>
        <v>8640.7171200000012</v>
      </c>
      <c r="AK17" s="699"/>
      <c r="AL17" s="700">
        <f>AK17/AI17</f>
        <v>0</v>
      </c>
      <c r="AM17" s="593">
        <f>'Proy 2022 vs 2019 sem'!H16*AP$4</f>
        <v>5694.2447999999995</v>
      </c>
      <c r="AN17" s="593">
        <f>'Proy 2022 vs 2019 sem'!I16*AP$4</f>
        <v>8640.7171200000012</v>
      </c>
      <c r="AO17" s="699"/>
      <c r="AP17" s="700">
        <f>AO17/AM17</f>
        <v>0</v>
      </c>
      <c r="AQ17" s="593">
        <f>'Proy 2022 vs 2019 sem'!H16*AT$4</f>
        <v>5694.2447999999995</v>
      </c>
      <c r="AR17" s="593">
        <f>'Proy 2022 vs 2019 sem'!I16*AT$4</f>
        <v>8640.7171200000012</v>
      </c>
      <c r="AS17" s="699"/>
      <c r="AT17" s="700">
        <f>AS17/AQ17</f>
        <v>0</v>
      </c>
      <c r="AU17" s="593">
        <f>'Proy 2022 vs 2019 sem'!H16*AX$4</f>
        <v>5694.2447999999995</v>
      </c>
      <c r="AV17" s="593">
        <f>'Proy 2022 vs 2019 sem'!I16*AX$4</f>
        <v>8640.7171200000012</v>
      </c>
      <c r="AW17" s="699"/>
      <c r="AX17" s="700">
        <f>AW17/AU17</f>
        <v>0</v>
      </c>
      <c r="AY17" s="593">
        <f>'Proy 2022 vs 2019 sem'!H16*BB$4</f>
        <v>6643.2856000000011</v>
      </c>
      <c r="AZ17" s="593">
        <f>'Proy 2022 vs 2019 sem'!I16*BB$4</f>
        <v>10080.836640000003</v>
      </c>
      <c r="BA17" s="699"/>
      <c r="BB17" s="700">
        <f>BA17/AY17</f>
        <v>0</v>
      </c>
      <c r="BC17" s="593">
        <f>'Proy 2022 vs 2019 sem'!H16*BF$4</f>
        <v>7592.3263999999999</v>
      </c>
      <c r="BD17" s="593">
        <f>'Proy 2022 vs 2019 sem'!I16*BF$4</f>
        <v>11520.956160000002</v>
      </c>
      <c r="BE17" s="699"/>
      <c r="BF17" s="700">
        <f>BE17/BC17</f>
        <v>0</v>
      </c>
      <c r="BG17" s="593">
        <f>'Proy 2022 vs 2019 sem'!H16*BJ$4</f>
        <v>10439.4488</v>
      </c>
      <c r="BH17" s="593">
        <f>'Proy 2022 vs 2019 sem'!I16*BJ$4</f>
        <v>15841.314720000002</v>
      </c>
      <c r="BI17" s="699"/>
      <c r="BJ17" s="700">
        <f>BI17/BG17</f>
        <v>0</v>
      </c>
      <c r="BK17" s="579">
        <f>AI17+AM17+AQ17+AU17+AY17+BC17+BG17</f>
        <v>47452.039999999994</v>
      </c>
      <c r="BL17" s="574">
        <f>AJ17+AN17+AR17+AV17+AZ17+BD17+BH17</f>
        <v>72005.97600000001</v>
      </c>
      <c r="BM17" s="730">
        <f>AK17+AO17+AS17+AW17+BA17+BE17+BI17</f>
        <v>0</v>
      </c>
      <c r="BN17" s="711">
        <f>BM17/BK17</f>
        <v>0</v>
      </c>
      <c r="BO17" s="593">
        <f>'Proy 2022 vs 2019 sem'!M16*BR$4</f>
        <v>4293.4643999999998</v>
      </c>
      <c r="BP17" s="593">
        <f>'Proy 2022 vs 2019 sem'!N16*BR$4</f>
        <v>9082.8976320000002</v>
      </c>
      <c r="BQ17" s="699"/>
      <c r="BR17" s="700">
        <f>BQ17/BO17</f>
        <v>0</v>
      </c>
      <c r="BS17" s="593">
        <f>'Proy 2022 vs 2019 sem'!M16*BV$4</f>
        <v>4293.4643999999998</v>
      </c>
      <c r="BT17" s="593">
        <f>'Proy 2022 vs 2019 sem'!N16*BV$4</f>
        <v>9082.8976320000002</v>
      </c>
      <c r="BU17" s="699"/>
      <c r="BV17" s="700">
        <f>BU17/BS17</f>
        <v>0</v>
      </c>
      <c r="BW17" s="593">
        <f>'Proy 2022 vs 2019 sem'!M16*BZ$4</f>
        <v>4293.4643999999998</v>
      </c>
      <c r="BX17" s="593">
        <f>'Proy 2022 vs 2019 sem'!N16*BZ$4</f>
        <v>9082.8976320000002</v>
      </c>
      <c r="BY17" s="699"/>
      <c r="BZ17" s="700">
        <f>BY17/BW17</f>
        <v>0</v>
      </c>
      <c r="CA17" s="593">
        <f>'Proy 2022 vs 2019 sem'!M16*CD$4</f>
        <v>4293.4643999999998</v>
      </c>
      <c r="CB17" s="593">
        <f>'Proy 2022 vs 2019 sem'!N16*CD$4</f>
        <v>9082.8976320000002</v>
      </c>
      <c r="CC17" s="699"/>
      <c r="CD17" s="700">
        <f>CC17/CA17</f>
        <v>0</v>
      </c>
      <c r="CE17" s="593">
        <f>'Proy 2022 vs 2019 sem'!M16*CH$4</f>
        <v>5009.0418000000009</v>
      </c>
      <c r="CF17" s="593">
        <f>'Proy 2022 vs 2019 sem'!N16*CH$4</f>
        <v>10596.713904000002</v>
      </c>
      <c r="CG17" s="699"/>
      <c r="CH17" s="700">
        <f>CG17/CE17</f>
        <v>0</v>
      </c>
      <c r="CI17" s="593">
        <f>'Proy 2022 vs 2019 sem'!M16*CL$4</f>
        <v>5724.6192000000001</v>
      </c>
      <c r="CJ17" s="593">
        <f>'Proy 2022 vs 2019 sem'!N16*CL$4</f>
        <v>12110.530176000002</v>
      </c>
      <c r="CK17" s="699"/>
      <c r="CL17" s="700">
        <f>CK17/CI17</f>
        <v>0</v>
      </c>
      <c r="CM17" s="593">
        <f>'Proy 2022 vs 2019 sem'!M16*CP$4</f>
        <v>7871.3514000000005</v>
      </c>
      <c r="CN17" s="593">
        <f>'Proy 2022 vs 2019 sem'!N16*CP$4</f>
        <v>16651.978992</v>
      </c>
      <c r="CO17" s="699"/>
      <c r="CP17" s="700">
        <f>CO17/CM17</f>
        <v>0</v>
      </c>
      <c r="CQ17" s="579">
        <f>BO17+BS17+BW17+CA17+CE17+CI17+CM17</f>
        <v>35778.870000000003</v>
      </c>
      <c r="CR17" s="574">
        <f>BP17+BT17+BX17+CB17+CF17+CJ17+CN17</f>
        <v>75690.813600000009</v>
      </c>
      <c r="CS17" s="730">
        <f>BQ17+BU17+BY17+CC17+CG17+CK17+CO17</f>
        <v>0</v>
      </c>
      <c r="CT17" s="711">
        <f>CS17/CQ17</f>
        <v>0</v>
      </c>
      <c r="CU17" s="593">
        <f>'Proy 2022 vs 2019 sem'!R16*CX$4</f>
        <v>5229.1751999999997</v>
      </c>
      <c r="CV17" s="593">
        <f>'Proy 2022 vs 2019 sem'!S16*CX$4</f>
        <v>9246.3439679999992</v>
      </c>
      <c r="CW17" s="699"/>
      <c r="CX17" s="700">
        <f>CW17/CU17</f>
        <v>0</v>
      </c>
      <c r="CY17" s="593">
        <f>'Proy 2022 vs 2019 sem'!R16*DB$4</f>
        <v>5229.1751999999997</v>
      </c>
      <c r="CZ17" s="593">
        <f>'Proy 2022 vs 2019 sem'!S16*DB$4</f>
        <v>9246.3439679999992</v>
      </c>
      <c r="DA17" s="699"/>
      <c r="DB17" s="700">
        <f>DA17/CY17</f>
        <v>0</v>
      </c>
      <c r="DC17" s="593">
        <f>'Proy 2022 vs 2019 sem'!R16*DF$4</f>
        <v>5229.1751999999997</v>
      </c>
      <c r="DD17" s="593">
        <f>'Proy 2022 vs 2019 sem'!S16*DF$4</f>
        <v>9246.3439679999992</v>
      </c>
      <c r="DE17" s="699"/>
      <c r="DF17" s="700">
        <f>DE17/DC17</f>
        <v>0</v>
      </c>
      <c r="DG17" s="593">
        <f>'Proy 2022 vs 2019 sem'!R16*DJ$4</f>
        <v>5229.1751999999997</v>
      </c>
      <c r="DH17" s="593">
        <f>'Proy 2022 vs 2019 sem'!S16*DJ$4</f>
        <v>9246.3439679999992</v>
      </c>
      <c r="DI17" s="699"/>
      <c r="DJ17" s="700">
        <f>DI17/DG17</f>
        <v>0</v>
      </c>
      <c r="DK17" s="593">
        <f>'Proy 2022 vs 2019 sem'!R16*DN$4</f>
        <v>6100.7044000000005</v>
      </c>
      <c r="DL17" s="593">
        <f>'Proy 2022 vs 2019 sem'!S16*DN$4</f>
        <v>10787.401296</v>
      </c>
      <c r="DM17" s="699"/>
      <c r="DN17" s="700">
        <f>DM17/DK17</f>
        <v>0</v>
      </c>
      <c r="DO17" s="593">
        <f>'Proy 2022 vs 2019 sem'!R16*DR$4</f>
        <v>6972.2335999999996</v>
      </c>
      <c r="DP17" s="593">
        <f>'Proy 2022 vs 2019 sem'!S16*DR$4</f>
        <v>12328.458624000001</v>
      </c>
      <c r="DQ17" s="699"/>
      <c r="DR17" s="700">
        <f>DQ17/DO17</f>
        <v>0</v>
      </c>
      <c r="DS17" s="593">
        <f>'Proy 2022 vs 2019 sem'!R16*DV$4</f>
        <v>9586.8212000000003</v>
      </c>
      <c r="DT17" s="593">
        <f>'Proy 2022 vs 2019 sem'!S16*DV$4</f>
        <v>16951.630607999999</v>
      </c>
      <c r="DU17" s="699"/>
      <c r="DV17" s="700">
        <f>DU17/DS17</f>
        <v>0</v>
      </c>
      <c r="DW17" s="579">
        <f>CU17+CY17+DC17+DG17+DK17+DO17+DS17</f>
        <v>43576.46</v>
      </c>
      <c r="DX17" s="574">
        <f>CV17+CZ17+DD17+DH17+DL17+DP17+DT17</f>
        <v>77052.866399999999</v>
      </c>
      <c r="DY17" s="710">
        <f>CW17+DA17+DE17+DI17+DM17+DQ17+DU17</f>
        <v>0</v>
      </c>
      <c r="DZ17" s="711">
        <f>DY17/DW17</f>
        <v>0</v>
      </c>
      <c r="EA17" s="593">
        <f>'Proy 2022 vs 2019 sem'!AA16*ED$4</f>
        <v>4403.2260000000006</v>
      </c>
      <c r="EB17" s="593">
        <f>'Proy 2022 vs 2019 sem'!AB16*ED$4</f>
        <v>10950.644448000001</v>
      </c>
      <c r="EC17" s="735"/>
      <c r="ED17" s="700">
        <f>EC17/EA17</f>
        <v>0</v>
      </c>
      <c r="EE17" s="593">
        <f>'Proy 2022 vs 2019 sem'!AA16*EH$4</f>
        <v>4403.2260000000006</v>
      </c>
      <c r="EF17" s="593">
        <f>'Proy 2022 vs 2019 sem'!AB16*EH$4</f>
        <v>10950.644448000001</v>
      </c>
      <c r="EG17" s="699"/>
      <c r="EH17" s="700">
        <f>EG17/EE17</f>
        <v>0</v>
      </c>
      <c r="EI17" s="593">
        <f>'Proy 2022 vs 2019 sem'!AA16*EL$4</f>
        <v>4403.2260000000006</v>
      </c>
      <c r="EJ17" s="593">
        <f>'Proy 2022 vs 2019 sem'!AB16*EL$4</f>
        <v>10950.644448000001</v>
      </c>
      <c r="EK17" s="699"/>
      <c r="EL17" s="700">
        <f>EK17/EI17</f>
        <v>0</v>
      </c>
      <c r="EM17" s="593">
        <f>'Proy 2022 vs 2019 sem'!AA16*EP$4</f>
        <v>4403.2260000000006</v>
      </c>
      <c r="EN17" s="593">
        <f>'Proy 2022 vs 2019 sem'!AB16*EP$4</f>
        <v>10950.644448000001</v>
      </c>
      <c r="EO17" s="699"/>
      <c r="EP17" s="700">
        <f>EO17/EM17</f>
        <v>0</v>
      </c>
      <c r="EQ17" s="593">
        <f>'Proy 2022 vs 2019 sem'!AA16*ET$4</f>
        <v>5137.0970000000007</v>
      </c>
      <c r="ER17" s="593">
        <f>'Proy 2022 vs 2019 sem'!AB16*ET$4</f>
        <v>12775.751856000003</v>
      </c>
      <c r="ES17" s="699"/>
      <c r="ET17" s="700">
        <f>ES17/EQ17</f>
        <v>0</v>
      </c>
      <c r="EU17" s="593">
        <f>'Proy 2022 vs 2019 sem'!AA16*EX$4</f>
        <v>5870.9680000000008</v>
      </c>
      <c r="EV17" s="593">
        <f>'Proy 2022 vs 2019 sem'!AB16*EX$4</f>
        <v>14600.859264000002</v>
      </c>
      <c r="EW17" s="699"/>
      <c r="EX17" s="700">
        <f>EW17/EU17</f>
        <v>0</v>
      </c>
      <c r="EY17" s="593">
        <f>'Proy 2022 vs 2019 sem'!AA16*FB$4</f>
        <v>8072.581000000001</v>
      </c>
      <c r="EZ17" s="593">
        <f>'Proy 2022 vs 2019 sem'!AB16*FB$4</f>
        <v>20076.181488000002</v>
      </c>
      <c r="FA17" s="699"/>
      <c r="FB17" s="700">
        <f>FA17/EY17</f>
        <v>0</v>
      </c>
      <c r="FC17" s="579">
        <f>EA17+EE17+EI17+EM17+EQ17+EU17+EY17</f>
        <v>36693.550000000003</v>
      </c>
      <c r="FD17" s="574">
        <f>EB17+EF17+EJ17+EN17+ER17+EV17+EZ17</f>
        <v>91255.370400000014</v>
      </c>
      <c r="FE17" s="793">
        <f>EC17+EG17+EK17+EO17+ES17+EW17+FA17</f>
        <v>0</v>
      </c>
      <c r="FF17" s="786">
        <f>FE17/FC17</f>
        <v>0</v>
      </c>
      <c r="FG17" s="593">
        <f>'Proy 2022 vs 2019 sem'!AF16*FJ$4</f>
        <v>5808.4728000000005</v>
      </c>
      <c r="FH17" s="593">
        <f>'Proy 2022 vs 2019 sem'!AG16*FJ$4</f>
        <v>14735.835360000001</v>
      </c>
      <c r="FI17" s="699"/>
      <c r="FJ17" s="700">
        <f>FI17/FG17</f>
        <v>0</v>
      </c>
      <c r="FK17" s="593">
        <f>'Proy 2022 vs 2019 sem'!AF16*FN$4</f>
        <v>5808.4728000000005</v>
      </c>
      <c r="FL17" s="593">
        <f>'Proy 2022 vs 2019 sem'!AG16*FN$4</f>
        <v>14735.835360000001</v>
      </c>
      <c r="FM17" s="699"/>
      <c r="FN17" s="700">
        <f>FM17/FK17</f>
        <v>0</v>
      </c>
      <c r="FO17" s="593">
        <f>'Proy 2022 vs 2019 sem'!AF16*FR$4</f>
        <v>5808.4728000000005</v>
      </c>
      <c r="FP17" s="593">
        <f>'Proy 2022 vs 2019 sem'!AG16*FR$4</f>
        <v>14735.835360000001</v>
      </c>
      <c r="FQ17" s="699"/>
      <c r="FR17" s="700">
        <f>FQ17/FO17</f>
        <v>0</v>
      </c>
      <c r="FS17" s="593">
        <f>'Proy 2022 vs 2019 sem'!AF16*FV$4</f>
        <v>5808.4728000000005</v>
      </c>
      <c r="FT17" s="593">
        <f>'Proy 2022 vs 2019 sem'!AG16*FV$4</f>
        <v>14735.835360000001</v>
      </c>
      <c r="FU17" s="699"/>
      <c r="FV17" s="700">
        <f>FU17/FS17</f>
        <v>0</v>
      </c>
      <c r="FW17" s="593">
        <f>'Proy 2022 vs 2019 sem'!AF16*FZ$4</f>
        <v>6776.5516000000007</v>
      </c>
      <c r="FX17" s="593">
        <f>'Proy 2022 vs 2019 sem'!AG16*FZ$4</f>
        <v>17191.807920000003</v>
      </c>
      <c r="FY17" s="699"/>
      <c r="FZ17" s="700">
        <f>FY17/FW17</f>
        <v>0</v>
      </c>
      <c r="GA17" s="593">
        <f>'Proy 2022 vs 2019 sem'!AF16*GD$4</f>
        <v>7744.6304000000009</v>
      </c>
      <c r="GB17" s="593">
        <f>'Proy 2022 vs 2019 sem'!AG16*GD$4</f>
        <v>19647.780480000001</v>
      </c>
      <c r="GC17" s="699"/>
      <c r="GD17" s="700">
        <f>GC17/GA17</f>
        <v>0</v>
      </c>
      <c r="GE17" s="593">
        <f>'Proy 2022 vs 2019 sem'!AF16*GH$4</f>
        <v>10648.8668</v>
      </c>
      <c r="GF17" s="593">
        <f>'Proy 2022 vs 2019 sem'!AG16*GH$4</f>
        <v>27015.698160000004</v>
      </c>
      <c r="GG17" s="699"/>
      <c r="GH17" s="700">
        <f>GG17/GE17</f>
        <v>0</v>
      </c>
      <c r="GI17" s="579">
        <f>FG17+FK17+FO17+FS17+FW17+GA17+GE17</f>
        <v>48403.94</v>
      </c>
      <c r="GJ17" s="574">
        <f>FH17+FL17+FP17+FT17+FX17+GB17+GF17</f>
        <v>122798.62800000001</v>
      </c>
      <c r="GK17" s="794">
        <f>FI17+FM17+FQ17+FU17+FY17+GC17+GG17</f>
        <v>0</v>
      </c>
      <c r="GL17" s="786">
        <f>GK17/GI17</f>
        <v>0</v>
      </c>
      <c r="GM17" s="593">
        <f>'Proy 2022 vs 2019 sem'!AK16*GP$4</f>
        <v>4734.5951999999997</v>
      </c>
      <c r="GN17" s="593">
        <f>'Proy 2022 vs 2019 sem'!AL16*GP$4</f>
        <v>8941.1230560000004</v>
      </c>
      <c r="GO17" s="699"/>
      <c r="GP17" s="700">
        <f>GO17/GM17</f>
        <v>0</v>
      </c>
      <c r="GQ17" s="593">
        <f>'Proy 2022 vs 2019 sem'!AK16*GT$4</f>
        <v>4734.5951999999997</v>
      </c>
      <c r="GR17" s="593">
        <f>'Proy 2022 vs 2019 sem'!AL16*GT$4</f>
        <v>8941.1230560000004</v>
      </c>
      <c r="GS17" s="699"/>
      <c r="GT17" s="700">
        <f>GS17/GQ17</f>
        <v>0</v>
      </c>
      <c r="GU17" s="593">
        <f>'Proy 2022 vs 2019 sem'!AK16*GX$4</f>
        <v>4734.5951999999997</v>
      </c>
      <c r="GV17" s="593">
        <f>'Proy 2022 vs 2019 sem'!AL16*GX$4</f>
        <v>8941.1230560000004</v>
      </c>
      <c r="GW17" s="699"/>
      <c r="GX17" s="700">
        <f>GW17/GU17</f>
        <v>0</v>
      </c>
      <c r="GY17" s="593">
        <f>'Proy 2022 vs 2019 sem'!AK16*HB$4</f>
        <v>4734.5951999999997</v>
      </c>
      <c r="GZ17" s="593">
        <f>'Proy 2022 vs 2019 sem'!AL16*HB$4</f>
        <v>8941.1230560000004</v>
      </c>
      <c r="HA17" s="699"/>
      <c r="HB17" s="700">
        <f>HA17/GY17</f>
        <v>0</v>
      </c>
      <c r="HC17" s="593">
        <f>'Proy 2022 vs 2019 sem'!AK16*HF$4</f>
        <v>5523.6944000000003</v>
      </c>
      <c r="HD17" s="593">
        <f>'Proy 2022 vs 2019 sem'!AL16*HF$4</f>
        <v>10431.310232000002</v>
      </c>
      <c r="HE17" s="699"/>
      <c r="HF17" s="700">
        <f>HE17/HC17</f>
        <v>0</v>
      </c>
      <c r="HG17" s="593">
        <f>'Proy 2022 vs 2019 sem'!AK16*HJ$4</f>
        <v>6312.7936</v>
      </c>
      <c r="HH17" s="593">
        <f>'Proy 2022 vs 2019 sem'!AL16*HJ$4</f>
        <v>11921.497408000001</v>
      </c>
      <c r="HI17" s="699"/>
      <c r="HJ17" s="700">
        <f>HI17/HG17</f>
        <v>0</v>
      </c>
      <c r="HK17" s="593">
        <f>'Proy 2022 vs 2019 sem'!AK16*HN$4</f>
        <v>8680.0912000000008</v>
      </c>
      <c r="HL17" s="593">
        <f>'Proy 2022 vs 2019 sem'!AL16*HN$4</f>
        <v>16392.058936000001</v>
      </c>
      <c r="HM17" s="699"/>
      <c r="HN17" s="700">
        <f>HM17/HK17</f>
        <v>0</v>
      </c>
      <c r="HO17" s="579">
        <f>GM17+GQ17+GU17+GY17+HC17+HG17+HK17</f>
        <v>39454.959999999999</v>
      </c>
      <c r="HP17" s="574">
        <f>GN17+GR17+GV17+GZ17+HD17+HH17+HL17</f>
        <v>74509.358800000016</v>
      </c>
      <c r="HQ17" s="794">
        <f>GO17+GS17+GW17+HA17+HE17+HI17+HM17</f>
        <v>0</v>
      </c>
      <c r="HR17" s="786">
        <f>HQ17/HO17</f>
        <v>0</v>
      </c>
      <c r="HS17" s="593">
        <f>'Proy 2022 vs 2019 sem'!AK16*HV$4</f>
        <v>4734.5951999999997</v>
      </c>
      <c r="HT17" s="593">
        <f>'Proy 2022 vs 2019 sem'!AL16*HV$4</f>
        <v>8941.1230560000004</v>
      </c>
      <c r="HU17" s="699"/>
      <c r="HV17" s="700">
        <f>HU17/HS17</f>
        <v>0</v>
      </c>
      <c r="HW17" s="593">
        <f>'Proy 2022 vs 2019 sem'!AK16*HZ$4</f>
        <v>4734.5951999999997</v>
      </c>
      <c r="HX17" s="593">
        <f>'Proy 2022 vs 2019 sem'!AL16*HZ$4</f>
        <v>8941.1230560000004</v>
      </c>
      <c r="HY17" s="699"/>
      <c r="HZ17" s="700">
        <f>HY17/HW17</f>
        <v>0</v>
      </c>
      <c r="IA17" s="593">
        <f>'Proy 2022 vs 2019 sem'!AK16*ID$4</f>
        <v>4734.5951999999997</v>
      </c>
      <c r="IB17" s="593">
        <f>'Proy 2022 vs 2019 sem'!AL16*ID$4</f>
        <v>8941.1230560000004</v>
      </c>
      <c r="IC17" s="699"/>
      <c r="ID17" s="700">
        <f>IC17/IA17</f>
        <v>0</v>
      </c>
      <c r="IE17" s="593">
        <f>'Proy 2022 vs 2019 sem'!AK16*IH$4</f>
        <v>4734.5951999999997</v>
      </c>
      <c r="IF17" s="593">
        <f>'Proy 2022 vs 2019 sem'!AL16*IH$4</f>
        <v>8941.1230560000004</v>
      </c>
      <c r="IG17" s="699"/>
      <c r="IH17" s="700">
        <f>IG17/IE17</f>
        <v>0</v>
      </c>
      <c r="II17" s="593">
        <f>'Proy 2022 vs 2019 sem'!AK16*IL$4</f>
        <v>5523.6944000000003</v>
      </c>
      <c r="IJ17" s="593">
        <f>'Proy 2022 vs 2019 sem'!AL16*IL$4</f>
        <v>10431.310232000002</v>
      </c>
      <c r="IK17" s="699"/>
      <c r="IL17" s="700">
        <f>IK17/II17</f>
        <v>0</v>
      </c>
      <c r="IM17" s="593">
        <f>'Proy 2022 vs 2019 sem'!AK16*IP$4</f>
        <v>6312.7936</v>
      </c>
      <c r="IN17" s="593">
        <f>'Proy 2022 vs 2019 sem'!AL16*IP$4</f>
        <v>11921.497408000001</v>
      </c>
      <c r="IO17" s="699"/>
      <c r="IP17" s="700">
        <f>IO17/IM17</f>
        <v>0</v>
      </c>
      <c r="IQ17" s="593">
        <f>'Proy 2022 vs 2019 sem'!AK16*IT$4</f>
        <v>8680.0912000000008</v>
      </c>
      <c r="IR17" s="593">
        <f>'Proy 2022 vs 2019 sem'!AL16*IT$4</f>
        <v>16392.058936000001</v>
      </c>
      <c r="IS17" s="699"/>
      <c r="IT17" s="700">
        <f>IS17/IQ17</f>
        <v>0</v>
      </c>
      <c r="IU17" s="579">
        <f>HS17+HW17+IA17+IE17+II17+IM17+IQ17</f>
        <v>39454.959999999999</v>
      </c>
      <c r="IV17" s="574">
        <f>HT17+HX17+IB17+IF17+IJ17+IN17+IR17</f>
        <v>74509.358800000016</v>
      </c>
      <c r="IW17" s="785">
        <f>HU17+HY17+IC17+IG17+IK17+IO17+IS17</f>
        <v>0</v>
      </c>
      <c r="IX17" s="786">
        <f>IW17/IU17</f>
        <v>0</v>
      </c>
      <c r="IY17" s="593">
        <f>'Proy 2022 vs 2019 sem'!AY16*JB$4</f>
        <v>4777.4279999999999</v>
      </c>
      <c r="IZ17" s="593">
        <f>'Proy 2022 vs 2019 sem'!AZ16*JB$4</f>
        <v>10792.7154816</v>
      </c>
      <c r="JA17" s="735"/>
      <c r="JB17" s="700">
        <f>JA17/IY17</f>
        <v>0</v>
      </c>
      <c r="JC17" s="593">
        <f>'Proy 2022 vs 2019 sem'!AY16*JF$4</f>
        <v>4777.4279999999999</v>
      </c>
      <c r="JD17" s="593">
        <f>'Proy 2022 vs 2019 sem'!AZ16*JF$4</f>
        <v>10792.7154816</v>
      </c>
      <c r="JE17" s="735"/>
      <c r="JF17" s="700">
        <f>JE17/JC17</f>
        <v>0</v>
      </c>
      <c r="JG17" s="593">
        <f>'Proy 2022 vs 2019 sem'!AY16*JJ$4</f>
        <v>4777.4279999999999</v>
      </c>
      <c r="JH17" s="593">
        <f>'Proy 2022 vs 2019 sem'!AZ16*JJ$4</f>
        <v>10792.7154816</v>
      </c>
      <c r="JI17" s="735"/>
      <c r="JJ17" s="700">
        <f>JI17/JG17</f>
        <v>0</v>
      </c>
      <c r="JK17" s="593">
        <f>'Proy 2022 vs 2019 sem'!AY16*JN$4</f>
        <v>4777.4279999999999</v>
      </c>
      <c r="JL17" s="593">
        <f>'Proy 2022 vs 2019 sem'!AZ16*JN$4</f>
        <v>10792.7154816</v>
      </c>
      <c r="JM17" s="735"/>
      <c r="JN17" s="700">
        <f>JM17/JK17</f>
        <v>0</v>
      </c>
      <c r="JO17" s="593">
        <f>'Proy 2022 vs 2019 sem'!AY16*JR$4</f>
        <v>5573.6660000000011</v>
      </c>
      <c r="JP17" s="593">
        <f>'Proy 2022 vs 2019 sem'!AZ16*JR$4</f>
        <v>12591.501395200003</v>
      </c>
      <c r="JQ17" s="735"/>
      <c r="JR17" s="700">
        <f>JQ17/JO17</f>
        <v>0</v>
      </c>
      <c r="JS17" s="593">
        <f>'Proy 2022 vs 2019 sem'!AY16*JV$4</f>
        <v>6369.9040000000005</v>
      </c>
      <c r="JT17" s="593">
        <f>'Proy 2022 vs 2019 sem'!AZ16*JV$4</f>
        <v>14390.287308800001</v>
      </c>
      <c r="JU17" s="735"/>
      <c r="JV17" s="700">
        <f>JU17/JS17</f>
        <v>0</v>
      </c>
      <c r="JW17" s="593">
        <f>'Proy 2022 vs 2019 sem'!AY16*JZ$4</f>
        <v>8758.6180000000004</v>
      </c>
      <c r="JX17" s="593">
        <f>'Proy 2022 vs 2019 sem'!AZ16*JZ$4</f>
        <v>19786.645049600003</v>
      </c>
      <c r="JY17" s="735"/>
      <c r="JZ17" s="700">
        <f>JY17/JW17</f>
        <v>0</v>
      </c>
      <c r="KA17" s="579">
        <f>IY17+JC17+JG17+JK17+JO17+JS17+JW17</f>
        <v>39811.9</v>
      </c>
      <c r="KB17" s="574">
        <f>IZ17+JD17+JH17+JL17+JP17+JT17+JX17</f>
        <v>89939.29568000001</v>
      </c>
      <c r="KC17" s="729">
        <f>JA17+JE17+JI17+JM17+JQ17+JU17+JY17</f>
        <v>0</v>
      </c>
      <c r="KD17" s="711">
        <f>KC17/KA17</f>
        <v>0</v>
      </c>
      <c r="KE17" s="593">
        <f>'Proy 2022 vs 2019 sem'!BD16*KH$4</f>
        <v>4910.2331999999997</v>
      </c>
      <c r="KF17" s="593">
        <f>'Proy 2022 vs 2019 sem'!BE16*KH$4</f>
        <v>11253.429696000001</v>
      </c>
      <c r="KG17" s="699"/>
      <c r="KH17" s="700">
        <f>KG17/KE17</f>
        <v>0</v>
      </c>
      <c r="KI17" s="593">
        <f>'Proy 2022 vs 2019 sem'!BD16*KL$4</f>
        <v>4910.2331999999997</v>
      </c>
      <c r="KJ17" s="593">
        <f>'Proy 2022 vs 2019 sem'!BE16*KL$4</f>
        <v>11253.429696000001</v>
      </c>
      <c r="KK17" s="699"/>
      <c r="KL17" s="700">
        <f>KK17/KI17</f>
        <v>0</v>
      </c>
      <c r="KM17" s="593">
        <f>'Proy 2022 vs 2019 sem'!BD16*KP$4</f>
        <v>4910.2331999999997</v>
      </c>
      <c r="KN17" s="593">
        <f>'Proy 2022 vs 2019 sem'!BE16*KP$4</f>
        <v>11253.429696000001</v>
      </c>
      <c r="KO17" s="699"/>
      <c r="KP17" s="700">
        <f>KO17/KM17</f>
        <v>0</v>
      </c>
      <c r="KQ17" s="593">
        <f>'Proy 2022 vs 2019 sem'!BD16*KT$4</f>
        <v>4910.2331999999997</v>
      </c>
      <c r="KR17" s="593">
        <f>'Proy 2022 vs 2019 sem'!BE16*KT$4</f>
        <v>11253.429696000001</v>
      </c>
      <c r="KS17" s="699"/>
      <c r="KT17" s="700">
        <f>KS17/KQ17</f>
        <v>0</v>
      </c>
      <c r="KU17" s="593">
        <f>'Proy 2022 vs 2019 sem'!BD16*KX$4</f>
        <v>5728.6054000000004</v>
      </c>
      <c r="KV17" s="593">
        <f>'Proy 2022 vs 2019 sem'!BE16*KX$4</f>
        <v>13129.001312000002</v>
      </c>
      <c r="KW17" s="699"/>
      <c r="KX17" s="700">
        <f>KW17/KU17</f>
        <v>0</v>
      </c>
      <c r="KY17" s="593">
        <f>'Proy 2022 vs 2019 sem'!BD16*LB$4</f>
        <v>6546.9776000000002</v>
      </c>
      <c r="KZ17" s="593">
        <f>'Proy 2022 vs 2019 sem'!BE16*LB$4</f>
        <v>15004.572928000001</v>
      </c>
      <c r="LA17" s="699"/>
      <c r="LB17" s="700">
        <f>LA17/KY17</f>
        <v>0</v>
      </c>
      <c r="LC17" s="593">
        <f>'Proy 2022 vs 2019 sem'!BD16*LF$4</f>
        <v>9002.0941999999995</v>
      </c>
      <c r="LD17" s="593">
        <f>'Proy 2022 vs 2019 sem'!BE16*LF$4</f>
        <v>20631.287776000001</v>
      </c>
      <c r="LE17" s="699"/>
      <c r="LF17" s="700">
        <f>LE17/LC17</f>
        <v>0</v>
      </c>
      <c r="LG17" s="579">
        <f>KE17+KI17+KM17+KQ17+KU17+KY17+LC17</f>
        <v>40918.61</v>
      </c>
      <c r="LH17" s="574">
        <f>KF17+KJ17+KN17+KR17+KV17+KZ17+LD17</f>
        <v>93778.580800000011</v>
      </c>
      <c r="LI17" s="730">
        <f>KG17+KK17+KO17+KS17+KW17+LA17+LE17</f>
        <v>0</v>
      </c>
      <c r="LJ17" s="711">
        <f>LI17/LG17</f>
        <v>0</v>
      </c>
      <c r="LK17" s="593">
        <f>'Proy 2022 vs 2019 sem'!BI16*LN$4</f>
        <v>6763.1339999999991</v>
      </c>
      <c r="LL17" s="593">
        <f>'Proy 2022 vs 2019 sem'!BJ16*LN$4</f>
        <v>12831.414873600002</v>
      </c>
      <c r="LM17" s="699"/>
      <c r="LN17" s="700">
        <f>LM17/LK17</f>
        <v>0</v>
      </c>
      <c r="LO17" s="593">
        <f>'Proy 2022 vs 2019 sem'!BI16*LR$4</f>
        <v>6763.1339999999991</v>
      </c>
      <c r="LP17" s="593">
        <f>'Proy 2022 vs 2019 sem'!BJ16*LR$4</f>
        <v>12831.414873600002</v>
      </c>
      <c r="LQ17" s="699"/>
      <c r="LR17" s="700">
        <f>LQ17/LO17</f>
        <v>0</v>
      </c>
      <c r="LS17" s="593">
        <f>'Proy 2022 vs 2019 sem'!BI16*LV$4</f>
        <v>6763.1339999999991</v>
      </c>
      <c r="LT17" s="593">
        <f>'Proy 2022 vs 2019 sem'!BJ16*LV$4</f>
        <v>12831.414873600002</v>
      </c>
      <c r="LU17" s="699"/>
      <c r="LV17" s="700">
        <f>LU17/LS17</f>
        <v>0</v>
      </c>
      <c r="LW17" s="593">
        <f>'Proy 2022 vs 2019 sem'!BI16*LZ$4</f>
        <v>6763.1339999999991</v>
      </c>
      <c r="LX17" s="593">
        <f>'Proy 2022 vs 2019 sem'!BJ16*LZ$4</f>
        <v>12831.414873600002</v>
      </c>
      <c r="LY17" s="699"/>
      <c r="LZ17" s="700">
        <f>LY17/LW17</f>
        <v>0</v>
      </c>
      <c r="MA17" s="593">
        <f>'Proy 2022 vs 2019 sem'!BI16*MD$4</f>
        <v>7890.3230000000003</v>
      </c>
      <c r="MB17" s="593">
        <f>'Proy 2022 vs 2019 sem'!BJ16*MD$4</f>
        <v>14969.984019200007</v>
      </c>
      <c r="MC17" s="699"/>
      <c r="MD17" s="700">
        <f>MC17/MA17</f>
        <v>0</v>
      </c>
      <c r="ME17" s="593">
        <f>'Proy 2022 vs 2019 sem'!BI16*MH$4</f>
        <v>9017.5120000000006</v>
      </c>
      <c r="MF17" s="593">
        <f>'Proy 2022 vs 2019 sem'!BJ16*MH$4</f>
        <v>17108.553164800007</v>
      </c>
      <c r="MG17" s="699"/>
      <c r="MH17" s="700">
        <f>MG17/ME17</f>
        <v>0</v>
      </c>
      <c r="MI17" s="593">
        <f>'Proy 2022 vs 2019 sem'!BI16*ML$4</f>
        <v>12399.079</v>
      </c>
      <c r="MJ17" s="593">
        <f>'Proy 2022 vs 2019 sem'!BJ16*ML$4</f>
        <v>23524.260601600006</v>
      </c>
      <c r="MK17" s="699"/>
      <c r="ML17" s="700">
        <f>MK17/MI17</f>
        <v>0</v>
      </c>
      <c r="MM17" s="579">
        <f>LK17+LO17+LS17+LW17+MA17+ME17+MI17</f>
        <v>56359.45</v>
      </c>
      <c r="MN17" s="574">
        <f>LL17+LP17+LT17+LX17+MB17+MF17+MJ17</f>
        <v>106928.45728000003</v>
      </c>
      <c r="MO17" s="730">
        <f>LM17+LQ17+LU17+LY17+MC17+MG17+MK17</f>
        <v>0</v>
      </c>
      <c r="MP17" s="711">
        <f>MO17/MM17</f>
        <v>0</v>
      </c>
      <c r="MQ17" s="593">
        <f>'Proy 2022 vs 2019 sem'!BN16*MT$4</f>
        <v>5898.9539999999997</v>
      </c>
      <c r="MR17" s="593">
        <f>'Proy 2022 vs 2019 sem'!BO16*MT$4</f>
        <v>14261.242368000001</v>
      </c>
      <c r="MS17" s="699"/>
      <c r="MT17" s="700">
        <f>MS17/MQ17</f>
        <v>0</v>
      </c>
      <c r="MU17" s="593">
        <f>'Proy 2022 vs 2019 sem'!BN16*MX$4</f>
        <v>5898.9539999999997</v>
      </c>
      <c r="MV17" s="593">
        <f>'Proy 2022 vs 2019 sem'!BO16*MX$4</f>
        <v>14261.242368000001</v>
      </c>
      <c r="MW17" s="699"/>
      <c r="MX17" s="700">
        <f>MW17/MU17</f>
        <v>0</v>
      </c>
      <c r="MY17" s="593">
        <f>'Proy 2022 vs 2019 sem'!BN16*NB$4</f>
        <v>5898.9539999999997</v>
      </c>
      <c r="MZ17" s="593">
        <f>'Proy 2022 vs 2019 sem'!BO16*NB$4</f>
        <v>14261.242368000001</v>
      </c>
      <c r="NA17" s="699"/>
      <c r="NB17" s="700">
        <f>NA17/MY17</f>
        <v>0</v>
      </c>
      <c r="NC17" s="593">
        <f>'Proy 2022 vs 2019 sem'!BN16*NF$4</f>
        <v>5898.9539999999997</v>
      </c>
      <c r="ND17" s="593">
        <f>'Proy 2022 vs 2019 sem'!BO16*NF$4</f>
        <v>14261.242368000001</v>
      </c>
      <c r="NE17" s="699"/>
      <c r="NF17" s="700">
        <f>NE17/NC17</f>
        <v>0</v>
      </c>
      <c r="NG17" s="593">
        <f>'Proy 2022 vs 2019 sem'!BN16*NJ$4</f>
        <v>6882.1130000000003</v>
      </c>
      <c r="NH17" s="593">
        <f>'Proy 2022 vs 2019 sem'!BO16*NJ$4</f>
        <v>16638.116096000002</v>
      </c>
      <c r="NI17" s="699"/>
      <c r="NJ17" s="700">
        <f>NI17/NG17</f>
        <v>0</v>
      </c>
      <c r="NK17" s="593">
        <f>'Proy 2022 vs 2019 sem'!BN16*NN$4</f>
        <v>7865.2719999999999</v>
      </c>
      <c r="NL17" s="593">
        <f>'Proy 2022 vs 2019 sem'!BO16*NN$4</f>
        <v>19014.989824</v>
      </c>
      <c r="NM17" s="699"/>
      <c r="NN17" s="700">
        <f>NM17/NK17</f>
        <v>0</v>
      </c>
      <c r="NO17" s="593">
        <f>'Proy 2022 vs 2019 sem'!BN16*NR$4</f>
        <v>10814.749</v>
      </c>
      <c r="NP17" s="593">
        <f>'Proy 2022 vs 2019 sem'!BO16*NR$4</f>
        <v>26145.611008</v>
      </c>
      <c r="NQ17" s="699"/>
      <c r="NR17" s="700">
        <f>NQ17/NO17</f>
        <v>0</v>
      </c>
      <c r="NS17" s="579">
        <f>MQ17+MU17+MY17+NC17+NG17+NK17+NO17</f>
        <v>49157.95</v>
      </c>
      <c r="NT17" s="574">
        <f>MR17+MV17+MZ17+ND17+NH17+NL17+NP17</f>
        <v>118843.68640000001</v>
      </c>
      <c r="NU17" s="710">
        <f>MS17+MW17+NA17+NE17+NI17+NM17+NQ17</f>
        <v>0</v>
      </c>
      <c r="NV17" s="711">
        <f>NU17/NS17</f>
        <v>0</v>
      </c>
      <c r="NW17" s="593">
        <f>'Proy 2022 vs 2019 sem'!BS16*NZ$4</f>
        <v>6012.4607999999989</v>
      </c>
      <c r="NX17" s="593">
        <f>'Proy 2022 vs 2019 sem'!BT16*NZ$4</f>
        <v>11640.926630400001</v>
      </c>
      <c r="NY17" s="699"/>
      <c r="NZ17" s="700">
        <f>NY17/NW17</f>
        <v>0</v>
      </c>
      <c r="OA17" s="593">
        <f>'Proy 2022 vs 2019 sem'!BS16*OD$4</f>
        <v>6012.4607999999989</v>
      </c>
      <c r="OB17" s="593">
        <f>'Proy 2022 vs 2019 sem'!BT16*OD$4</f>
        <v>11640.926630400001</v>
      </c>
      <c r="OC17" s="699"/>
      <c r="OD17" s="700">
        <f>OC17/OA17</f>
        <v>0</v>
      </c>
      <c r="OE17" s="593">
        <f>'Proy 2022 vs 2019 sem'!BS16*OH$4</f>
        <v>6012.4607999999989</v>
      </c>
      <c r="OF17" s="593">
        <f>'Proy 2022 vs 2019 sem'!BT16*OH$4</f>
        <v>11640.926630400001</v>
      </c>
      <c r="OG17" s="699"/>
      <c r="OH17" s="700">
        <f>OG17/OE17</f>
        <v>0</v>
      </c>
      <c r="OI17" s="593">
        <f>'Proy 2022 vs 2019 sem'!BS16*OL$4</f>
        <v>6012.4607999999989</v>
      </c>
      <c r="OJ17" s="593">
        <f>'Proy 2022 vs 2019 sem'!BT16*OL$4</f>
        <v>11640.926630400001</v>
      </c>
      <c r="OK17" s="699"/>
      <c r="OL17" s="700">
        <f>OK17/OI17</f>
        <v>0</v>
      </c>
      <c r="OM17" s="593">
        <f>'Proy 2022 vs 2019 sem'!BS16*OP$4</f>
        <v>7014.5376000000006</v>
      </c>
      <c r="ON17" s="593">
        <f>'Proy 2022 vs 2019 sem'!BT16*OP$4</f>
        <v>13581.081068800002</v>
      </c>
      <c r="OO17" s="699"/>
      <c r="OP17" s="700">
        <f>OO17/OM17</f>
        <v>0</v>
      </c>
      <c r="OQ17" s="593">
        <f>'Proy 2022 vs 2019 sem'!BS16*OT$4</f>
        <v>8016.6143999999995</v>
      </c>
      <c r="OR17" s="593">
        <f>'Proy 2022 vs 2019 sem'!BT16*OT$4</f>
        <v>15521.235507200003</v>
      </c>
      <c r="OS17" s="699"/>
      <c r="OT17" s="700">
        <f>OS17/OQ17</f>
        <v>0</v>
      </c>
      <c r="OU17" s="593">
        <f>'Proy 2022 vs 2019 sem'!BS16*OX$4</f>
        <v>11022.844799999999</v>
      </c>
      <c r="OV17" s="593">
        <f>'Proy 2022 vs 2019 sem'!BT16*OX$4</f>
        <v>21341.698822400002</v>
      </c>
      <c r="OW17" s="699"/>
      <c r="OX17" s="700">
        <f>OW17/OU17</f>
        <v>0</v>
      </c>
      <c r="OY17" s="579">
        <f>NW17+OA17+OE17+OI17+OM17+OQ17+OU17</f>
        <v>50103.839999999997</v>
      </c>
      <c r="OZ17" s="574">
        <f>NX17+OB17+OF17+OJ17+ON17+OR17+OV17</f>
        <v>97007.721920000011</v>
      </c>
      <c r="PA17" s="710">
        <f>NY17+OC17+OG17+OK17+OO17+OS17+OW17</f>
        <v>0</v>
      </c>
      <c r="PB17" s="711">
        <f>PA17/OY17</f>
        <v>0</v>
      </c>
      <c r="PC17" s="593">
        <f>'Proy 2022 vs 2019 sem'!CB16*PF$4</f>
        <v>7462.7028</v>
      </c>
      <c r="PD17" s="593">
        <f>'Proy 2022 vs 2019 sem'!CC16*PF$4</f>
        <v>12972.844339199999</v>
      </c>
      <c r="PE17" s="735"/>
      <c r="PF17" s="700">
        <f>PE17/PC17</f>
        <v>0</v>
      </c>
      <c r="PG17" s="593">
        <f>'Proy 2022 vs 2019 sem'!CB16*PJ$4</f>
        <v>7462.7028</v>
      </c>
      <c r="PH17" s="593">
        <f>'Proy 2022 vs 2019 sem'!CC16*PJ$4</f>
        <v>12972.844339199999</v>
      </c>
      <c r="PI17" s="699"/>
      <c r="PJ17" s="700">
        <f>PI17/PG17</f>
        <v>0</v>
      </c>
      <c r="PK17" s="593">
        <f>'Proy 2022 vs 2019 sem'!CB16*PN$4</f>
        <v>7462.7028</v>
      </c>
      <c r="PL17" s="593">
        <f>'Proy 2022 vs 2019 sem'!CC16*PN$4</f>
        <v>12972.844339199999</v>
      </c>
      <c r="PM17" s="699"/>
      <c r="PN17" s="700">
        <f>PM17/PK17</f>
        <v>0</v>
      </c>
      <c r="PO17" s="593">
        <f>'Proy 2022 vs 2019 sem'!CB16*PR$4</f>
        <v>7462.7028</v>
      </c>
      <c r="PP17" s="593">
        <f>'Proy 2022 vs 2019 sem'!CC16*PR$4</f>
        <v>12972.844339199999</v>
      </c>
      <c r="PQ17" s="699"/>
      <c r="PR17" s="700">
        <f>PQ17/PO17</f>
        <v>0</v>
      </c>
      <c r="PS17" s="593">
        <f>'Proy 2022 vs 2019 sem'!CB16*PV$4</f>
        <v>8706.486600000002</v>
      </c>
      <c r="PT17" s="593">
        <f>'Proy 2022 vs 2019 sem'!CC16*PV$4</f>
        <v>15134.985062400003</v>
      </c>
      <c r="PU17" s="699"/>
      <c r="PV17" s="700">
        <f>PU17/PS17</f>
        <v>0</v>
      </c>
      <c r="PW17" s="593">
        <f>'Proy 2022 vs 2019 sem'!CB16*PZ$4</f>
        <v>9950.2704000000012</v>
      </c>
      <c r="PX17" s="593">
        <f>'Proy 2022 vs 2019 sem'!CC16*PZ$4</f>
        <v>17297.125785600001</v>
      </c>
      <c r="PY17" s="699"/>
      <c r="PZ17" s="700">
        <f>PY17/PW17</f>
        <v>0</v>
      </c>
      <c r="QA17" s="593">
        <f>'Proy 2022 vs 2019 sem'!CB16*QD$4</f>
        <v>13681.621800000001</v>
      </c>
      <c r="QB17" s="593">
        <f>'Proy 2022 vs 2019 sem'!CC16*QD$4</f>
        <v>23783.5479552</v>
      </c>
      <c r="QC17" s="699"/>
      <c r="QD17" s="700">
        <f>QC17/QA17</f>
        <v>0</v>
      </c>
      <c r="QE17" s="579">
        <f>PC17+PG17+PK17+PO17+PS17+PW17+QA17</f>
        <v>62189.19</v>
      </c>
      <c r="QF17" s="574">
        <f>PD17+PH17+PL17+PP17+PT17+PX17+QB17</f>
        <v>108107.03616</v>
      </c>
      <c r="QG17" s="793">
        <f>PE17+PI17+PM17+PQ17+PU17+PY17+QC17</f>
        <v>0</v>
      </c>
      <c r="QH17" s="786">
        <f>QG17/QE17</f>
        <v>0</v>
      </c>
      <c r="QI17" s="593">
        <f>'Proy 2022 vs 2019 sem'!CG16*QL$4</f>
        <v>7615.74</v>
      </c>
      <c r="QJ17" s="593">
        <f>'Proy 2022 vs 2019 sem'!CH16*QL$4</f>
        <v>15429.999408</v>
      </c>
      <c r="QK17" s="699"/>
      <c r="QL17" s="700">
        <f>QK17/QI17</f>
        <v>0</v>
      </c>
      <c r="QM17" s="593">
        <f>'Proy 2022 vs 2019 sem'!CG16*QP$4</f>
        <v>7615.74</v>
      </c>
      <c r="QN17" s="593">
        <f>'Proy 2022 vs 2019 sem'!CH16*QP$4</f>
        <v>15429.999408</v>
      </c>
      <c r="QO17" s="699"/>
      <c r="QP17" s="700">
        <f>QO17/QM17</f>
        <v>0</v>
      </c>
      <c r="QQ17" s="593">
        <f>'Proy 2022 vs 2019 sem'!CG16*QT$4</f>
        <v>7615.74</v>
      </c>
      <c r="QR17" s="593">
        <f>'Proy 2022 vs 2019 sem'!CH16*QT$4</f>
        <v>15429.999408</v>
      </c>
      <c r="QS17" s="699"/>
      <c r="QT17" s="700">
        <f>QS17/QQ17</f>
        <v>0</v>
      </c>
      <c r="QU17" s="593">
        <f>'Proy 2022 vs 2019 sem'!CG16*QX$4</f>
        <v>7615.74</v>
      </c>
      <c r="QV17" s="593">
        <f>'Proy 2022 vs 2019 sem'!CH16*QX$4</f>
        <v>15429.999408</v>
      </c>
      <c r="QW17" s="699"/>
      <c r="QX17" s="700">
        <f>QW17/QU17</f>
        <v>0</v>
      </c>
      <c r="QY17" s="593">
        <f>'Proy 2022 vs 2019 sem'!CG16*RB$4</f>
        <v>8885.0300000000007</v>
      </c>
      <c r="QZ17" s="593">
        <f>'Proy 2022 vs 2019 sem'!CH16*RB$4</f>
        <v>18001.665976</v>
      </c>
      <c r="RA17" s="699"/>
      <c r="RB17" s="700">
        <f>RA17/QY17</f>
        <v>0</v>
      </c>
      <c r="RC17" s="593">
        <f>'Proy 2022 vs 2019 sem'!CG16*RF$4</f>
        <v>10154.32</v>
      </c>
      <c r="RD17" s="593">
        <f>'Proy 2022 vs 2019 sem'!CH16*RF$4</f>
        <v>20573.332544000001</v>
      </c>
      <c r="RE17" s="699"/>
      <c r="RF17" s="700">
        <f>RE17/RC17</f>
        <v>0</v>
      </c>
      <c r="RG17" s="593">
        <f>'Proy 2022 vs 2019 sem'!CG16*RJ$4</f>
        <v>13962.19</v>
      </c>
      <c r="RH17" s="593">
        <f>'Proy 2022 vs 2019 sem'!CH16*RJ$4</f>
        <v>28288.332247999999</v>
      </c>
      <c r="RI17" s="699"/>
      <c r="RJ17" s="700">
        <f>RI17/RG17</f>
        <v>0</v>
      </c>
      <c r="RK17" s="579">
        <f>QI17+QM17+QQ17+QU17+QY17+RC17+RG17</f>
        <v>63464.5</v>
      </c>
      <c r="RL17" s="574">
        <f>QJ17+QN17+QR17+QV17+QZ17+RD17+RH17</f>
        <v>128583.3284</v>
      </c>
      <c r="RM17" s="794">
        <f>QK17+QO17+QS17+QW17+RA17+RE17+RI17</f>
        <v>0</v>
      </c>
      <c r="RN17" s="786">
        <f>RM17/RK17</f>
        <v>0</v>
      </c>
      <c r="RO17" s="593">
        <f>'Proy 2022 vs 2019 sem'!CL16*RR$4</f>
        <v>8950.5347999999994</v>
      </c>
      <c r="RP17" s="593">
        <f>'Proy 2022 vs 2019 sem'!CM16*RR$4</f>
        <v>14791.906751999999</v>
      </c>
      <c r="RQ17" s="699"/>
      <c r="RR17" s="700">
        <f>RQ17/RO17</f>
        <v>0</v>
      </c>
      <c r="RS17" s="593">
        <f>'Proy 2022 vs 2019 sem'!CL16*RV$4</f>
        <v>8950.5347999999994</v>
      </c>
      <c r="RT17" s="593">
        <f>'Proy 2022 vs 2019 sem'!CM16*RV$4</f>
        <v>14791.906751999999</v>
      </c>
      <c r="RU17" s="699"/>
      <c r="RV17" s="700">
        <f>RU17/RS17</f>
        <v>0</v>
      </c>
      <c r="RW17" s="593">
        <f>'Proy 2022 vs 2019 sem'!CL16*RZ$4</f>
        <v>8950.5347999999994</v>
      </c>
      <c r="RX17" s="593">
        <f>'Proy 2022 vs 2019 sem'!CM16*RZ$4</f>
        <v>14791.906751999999</v>
      </c>
      <c r="RY17" s="699"/>
      <c r="RZ17" s="700">
        <f>RY17/RW17</f>
        <v>0</v>
      </c>
      <c r="SA17" s="593">
        <f>'Proy 2022 vs 2019 sem'!CL16*SD$4</f>
        <v>8950.5347999999994</v>
      </c>
      <c r="SB17" s="593">
        <f>'Proy 2022 vs 2019 sem'!CM16*SD$4</f>
        <v>14791.906751999999</v>
      </c>
      <c r="SC17" s="699"/>
      <c r="SD17" s="700">
        <f>SC17/SA17</f>
        <v>0</v>
      </c>
      <c r="SE17" s="593">
        <f>'Proy 2022 vs 2019 sem'!CL16*SH$4</f>
        <v>10442.2906</v>
      </c>
      <c r="SF17" s="593">
        <f>'Proy 2022 vs 2019 sem'!CM16*SH$4</f>
        <v>17257.224544000001</v>
      </c>
      <c r="SG17" s="699"/>
      <c r="SH17" s="700">
        <f>SG17/SE17</f>
        <v>0</v>
      </c>
      <c r="SI17" s="593">
        <f>'Proy 2022 vs 2019 sem'!CL16*SL$4</f>
        <v>11934.046399999999</v>
      </c>
      <c r="SJ17" s="593">
        <f>'Proy 2022 vs 2019 sem'!CM16*SL$4</f>
        <v>19722.542335999999</v>
      </c>
      <c r="SK17" s="699"/>
      <c r="SL17" s="700">
        <f>SK17/SI17</f>
        <v>0</v>
      </c>
      <c r="SM17" s="593">
        <f>'Proy 2022 vs 2019 sem'!CL16*SP$4</f>
        <v>16409.3138</v>
      </c>
      <c r="SN17" s="593">
        <f>'Proy 2022 vs 2019 sem'!CM16*SP$4</f>
        <v>27118.495712</v>
      </c>
      <c r="SO17" s="699"/>
      <c r="SP17" s="700">
        <f>SO17/SM17</f>
        <v>0</v>
      </c>
      <c r="SQ17" s="579">
        <f>RO17+RS17+RW17+SA17+SE17+SI17+SM17</f>
        <v>74587.789999999994</v>
      </c>
      <c r="SR17" s="574">
        <f>RP17+RT17+RX17+SB17+SF17+SJ17+SN17</f>
        <v>123265.88959999999</v>
      </c>
      <c r="SS17" s="794">
        <f>RQ17+RU17+RY17+SC17+SG17+SK17+SO17</f>
        <v>0</v>
      </c>
      <c r="ST17" s="786">
        <f>SS17/SQ17</f>
        <v>0</v>
      </c>
      <c r="SU17" s="593">
        <f>'Proy 2022 vs 2019 sem'!CQ16*SX$4</f>
        <v>10023.392400000001</v>
      </c>
      <c r="SV17" s="593">
        <f>'Proy 2022 vs 2019 sem'!CR16*SX$4</f>
        <v>20134.885199999997</v>
      </c>
      <c r="SW17" s="699"/>
      <c r="SX17" s="700">
        <f>SW17/SU17</f>
        <v>0</v>
      </c>
      <c r="SY17" s="593">
        <f>'Proy 2022 vs 2019 sem'!CQ16*TB$4</f>
        <v>10023.392400000001</v>
      </c>
      <c r="SZ17" s="593">
        <f>'Proy 2022 vs 2019 sem'!CR16*TB$4</f>
        <v>20134.885199999997</v>
      </c>
      <c r="TA17" s="699"/>
      <c r="TB17" s="700">
        <f>TA17/SY17</f>
        <v>0</v>
      </c>
      <c r="TC17" s="593">
        <f>'Proy 2022 vs 2019 sem'!CQ16*TF$4</f>
        <v>10023.392400000001</v>
      </c>
      <c r="TD17" s="593">
        <f>'Proy 2022 vs 2019 sem'!CR16*TF$4</f>
        <v>20134.885199999997</v>
      </c>
      <c r="TE17" s="699"/>
      <c r="TF17" s="700">
        <f>TE17/TC17</f>
        <v>0</v>
      </c>
      <c r="TG17" s="593">
        <f>'Proy 2022 vs 2019 sem'!CQ16*TJ$4</f>
        <v>10023.392400000001</v>
      </c>
      <c r="TH17" s="593">
        <f>'Proy 2022 vs 2019 sem'!CR16*TJ$4</f>
        <v>20134.885199999997</v>
      </c>
      <c r="TI17" s="699"/>
      <c r="TJ17" s="700">
        <f>TI17/TG17</f>
        <v>0</v>
      </c>
      <c r="TK17" s="593">
        <f>'Proy 2022 vs 2019 sem'!CQ16*TN$4</f>
        <v>11693.957800000002</v>
      </c>
      <c r="TL17" s="593">
        <f>'Proy 2022 vs 2019 sem'!CR16*TN$4</f>
        <v>23490.699400000001</v>
      </c>
      <c r="TM17" s="699"/>
      <c r="TN17" s="700">
        <f>TM17/TK17</f>
        <v>0</v>
      </c>
      <c r="TO17" s="593">
        <f>'Proy 2022 vs 2019 sem'!CQ16*TR$4</f>
        <v>13364.523200000001</v>
      </c>
      <c r="TP17" s="593">
        <f>'Proy 2022 vs 2019 sem'!CR16*TR$4</f>
        <v>26846.513599999998</v>
      </c>
      <c r="TQ17" s="699"/>
      <c r="TR17" s="700">
        <f>TQ17/TO17</f>
        <v>0</v>
      </c>
      <c r="TS17" s="593">
        <f>'Proy 2022 vs 2019 sem'!CQ16*TV$4</f>
        <v>18376.219400000002</v>
      </c>
      <c r="TT17" s="593">
        <f>'Proy 2022 vs 2019 sem'!CR16*TV$4</f>
        <v>36913.956200000001</v>
      </c>
      <c r="TU17" s="699"/>
      <c r="TV17" s="700">
        <f>TU17/TS17</f>
        <v>0</v>
      </c>
      <c r="TW17" s="579">
        <f>SU17+SY17+TC17+TG17+TK17+TO17+TS17</f>
        <v>83528.270000000019</v>
      </c>
      <c r="TX17" s="574">
        <f>SV17+SZ17+TD17+TH17+TL17+TP17+TT17</f>
        <v>167790.70999999996</v>
      </c>
      <c r="TY17" s="785">
        <f>SW17+TA17+TE17+TI17+TM17+TQ17+TU17</f>
        <v>0</v>
      </c>
      <c r="TZ17" s="786">
        <f>TY17/TW17</f>
        <v>0</v>
      </c>
      <c r="UA17" s="593">
        <f>'Proy 2022 vs 2019 sem'!CZ16*UD$4</f>
        <v>8660.8331999999991</v>
      </c>
      <c r="UB17" s="593">
        <f>'Proy 2022 vs 2019 sem'!DA16*UD$4</f>
        <v>22821.502464000005</v>
      </c>
      <c r="UC17" s="735"/>
      <c r="UD17" s="700">
        <f>UC17/UA17</f>
        <v>0</v>
      </c>
      <c r="UE17" s="593">
        <f>'Proy 2022 vs 2019 sem'!CZ16*UH$4</f>
        <v>8660.8331999999991</v>
      </c>
      <c r="UF17" s="593">
        <f>'Proy 2022 vs 2019 sem'!DA16*UH$4</f>
        <v>22821.502464000005</v>
      </c>
      <c r="UG17" s="699"/>
      <c r="UH17" s="700">
        <f>UG17/UE17</f>
        <v>0</v>
      </c>
      <c r="UI17" s="593">
        <f>'Proy 2022 vs 2019 sem'!CZ16*UL$4</f>
        <v>8660.8331999999991</v>
      </c>
      <c r="UJ17" s="593">
        <f>'Proy 2022 vs 2019 sem'!DA16*UL$4</f>
        <v>22821.502464000005</v>
      </c>
      <c r="UK17" s="699"/>
      <c r="UL17" s="700">
        <f>UK17/UI17</f>
        <v>0</v>
      </c>
      <c r="UM17" s="593">
        <f>'Proy 2022 vs 2019 sem'!CZ16*UP$4</f>
        <v>8660.8331999999991</v>
      </c>
      <c r="UN17" s="593">
        <f>'Proy 2022 vs 2019 sem'!DA16*UP$4</f>
        <v>22821.502464000005</v>
      </c>
      <c r="UO17" s="699"/>
      <c r="UP17" s="700">
        <f>UO17/UM17</f>
        <v>0</v>
      </c>
      <c r="UQ17" s="593">
        <f>'Proy 2022 vs 2019 sem'!CZ16*UT$4</f>
        <v>10104.305400000001</v>
      </c>
      <c r="UR17" s="593">
        <f>'Proy 2022 vs 2019 sem'!DA16*UT$4</f>
        <v>26625.086208000008</v>
      </c>
      <c r="US17" s="699"/>
      <c r="UT17" s="700">
        <f>US17/UQ17</f>
        <v>0</v>
      </c>
      <c r="UU17" s="593">
        <f>'Proy 2022 vs 2019 sem'!CZ16*UX$4</f>
        <v>11547.777599999999</v>
      </c>
      <c r="UV17" s="593">
        <f>'Proy 2022 vs 2019 sem'!DA16*UX$4</f>
        <v>30428.669952000007</v>
      </c>
      <c r="UW17" s="699"/>
      <c r="UX17" s="700">
        <f>UW17/UU17</f>
        <v>0</v>
      </c>
      <c r="UY17" s="593">
        <f>'Proy 2022 vs 2019 sem'!CZ16*VB$4</f>
        <v>15878.1942</v>
      </c>
      <c r="UZ17" s="593">
        <f>'Proy 2022 vs 2019 sem'!DA16*VB$4</f>
        <v>41839.421184000013</v>
      </c>
      <c r="VA17" s="699"/>
      <c r="VB17" s="700">
        <f>VA17/UY17</f>
        <v>0</v>
      </c>
      <c r="VC17" s="579">
        <f>UA17+UE17+UI17+UM17+UQ17+UU17+UY17</f>
        <v>72173.61</v>
      </c>
      <c r="VD17" s="574">
        <f>UB17+UF17+UJ17+UN17+UR17+UV17+UZ17</f>
        <v>190179.18720000004</v>
      </c>
      <c r="VE17" s="759">
        <f>UC17+UG17+UK17+UO17+US17+UW17+VA17</f>
        <v>0</v>
      </c>
      <c r="VF17" s="761">
        <f>VE17/VC17</f>
        <v>0</v>
      </c>
      <c r="VG17" s="593">
        <f>'Proy 2022 vs 2019 sem'!DE16*VJ$4</f>
        <v>7330.0955999999996</v>
      </c>
      <c r="VH17" s="593">
        <f>'Proy 2022 vs 2019 sem'!DF16*VJ$4</f>
        <v>14273.586143999997</v>
      </c>
      <c r="VI17" s="699"/>
      <c r="VJ17" s="700">
        <f>VI17/VG17</f>
        <v>0</v>
      </c>
      <c r="VK17" s="593">
        <f>'Proy 2022 vs 2019 sem'!DE16*VN$4</f>
        <v>7330.0955999999996</v>
      </c>
      <c r="VL17" s="593">
        <f>'Proy 2022 vs 2019 sem'!DF16*VN$4</f>
        <v>14273.586143999997</v>
      </c>
      <c r="VM17" s="699"/>
      <c r="VN17" s="700">
        <f>VM17/VK17</f>
        <v>0</v>
      </c>
      <c r="VO17" s="593">
        <f>'Proy 2022 vs 2019 sem'!DE16*VR$4</f>
        <v>7330.0955999999996</v>
      </c>
      <c r="VP17" s="593">
        <f>'Proy 2022 vs 2019 sem'!DF16*VR$4</f>
        <v>14273.586143999997</v>
      </c>
      <c r="VQ17" s="699"/>
      <c r="VR17" s="700">
        <f>VQ17/VO17</f>
        <v>0</v>
      </c>
      <c r="VS17" s="593">
        <f>'Proy 2022 vs 2019 sem'!DE16*VV$4</f>
        <v>7330.0955999999996</v>
      </c>
      <c r="VT17" s="593">
        <f>'Proy 2022 vs 2019 sem'!DF16*VV$4</f>
        <v>14273.586143999997</v>
      </c>
      <c r="VU17" s="699"/>
      <c r="VV17" s="700">
        <f>VU17/VS17</f>
        <v>0</v>
      </c>
      <c r="VW17" s="593">
        <f>'Proy 2022 vs 2019 sem'!DE16*VZ$4</f>
        <v>8551.7782000000007</v>
      </c>
      <c r="VX17" s="593">
        <f>'Proy 2022 vs 2019 sem'!DF16*VZ$4</f>
        <v>16652.517167999998</v>
      </c>
      <c r="VY17" s="699"/>
      <c r="VZ17" s="700">
        <f>VY17/VW17</f>
        <v>0</v>
      </c>
      <c r="WA17" s="593">
        <f>'Proy 2022 vs 2019 sem'!DE16*WD$4</f>
        <v>9773.4607999999989</v>
      </c>
      <c r="WB17" s="593">
        <f>'Proy 2022 vs 2019 sem'!DF16*WD$4</f>
        <v>19031.448192</v>
      </c>
      <c r="WC17" s="699"/>
      <c r="WD17" s="700">
        <f>WC17/WA17</f>
        <v>0</v>
      </c>
      <c r="WE17" s="593">
        <f>'Proy 2022 vs 2019 sem'!DE16*WH$4</f>
        <v>13438.508599999999</v>
      </c>
      <c r="WF17" s="593">
        <f>'Proy 2022 vs 2019 sem'!DF16*WH$4</f>
        <v>26168.241263999997</v>
      </c>
      <c r="WG17" s="699"/>
      <c r="WH17" s="700">
        <f>WG17/WE17</f>
        <v>0</v>
      </c>
      <c r="WI17" s="579">
        <f>VG17+VK17+VO17+VS17+VW17+WA17+WE17</f>
        <v>61084.130000000005</v>
      </c>
      <c r="WJ17" s="574">
        <f>VH17+VL17+VP17+VT17+VX17+WB17+WF17</f>
        <v>118946.55119999999</v>
      </c>
      <c r="WK17" s="765">
        <f>VI17+VM17+VQ17+VU17+VY17+WC17+WG17</f>
        <v>0</v>
      </c>
      <c r="WL17" s="761">
        <f>WK17/WI17</f>
        <v>0</v>
      </c>
      <c r="WM17" s="593">
        <f>'Proy 2022 vs 2019 sem'!DJ16*WP$4</f>
        <v>5727.9564</v>
      </c>
      <c r="WN17" s="593">
        <f>'Proy 2022 vs 2019 sem'!DK16*WP$4</f>
        <v>15075.021887999999</v>
      </c>
      <c r="WO17" s="699"/>
      <c r="WP17" s="700">
        <f>WO17/WM17</f>
        <v>0</v>
      </c>
      <c r="WQ17" s="593">
        <f>'Proy 2022 vs 2019 sem'!DJ16*WT$4</f>
        <v>5727.9564</v>
      </c>
      <c r="WR17" s="593">
        <f>'Proy 2022 vs 2019 sem'!DK16*WT$4</f>
        <v>15075.021887999999</v>
      </c>
      <c r="WS17" s="699"/>
      <c r="WT17" s="700">
        <f>WS17/WQ17</f>
        <v>0</v>
      </c>
      <c r="WU17" s="593">
        <f>'Proy 2022 vs 2019 sem'!DJ16*WX$4</f>
        <v>5727.9564</v>
      </c>
      <c r="WV17" s="593">
        <f>'Proy 2022 vs 2019 sem'!DK16*WX$4</f>
        <v>15075.021887999999</v>
      </c>
      <c r="WW17" s="699"/>
      <c r="WX17" s="700">
        <f>WW17/WU17</f>
        <v>0</v>
      </c>
      <c r="WY17" s="593">
        <f>'Proy 2022 vs 2019 sem'!DJ16*XB$4</f>
        <v>5727.9564</v>
      </c>
      <c r="WZ17" s="593">
        <f>'Proy 2022 vs 2019 sem'!DK16*XB$4</f>
        <v>15075.021887999999</v>
      </c>
      <c r="XA17" s="699"/>
      <c r="XB17" s="700">
        <f>XA17/WY17</f>
        <v>0</v>
      </c>
      <c r="XC17" s="593">
        <f>'Proy 2022 vs 2019 sem'!DJ16*XF$4</f>
        <v>6682.6158000000005</v>
      </c>
      <c r="XD17" s="593">
        <f>'Proy 2022 vs 2019 sem'!DK16*XF$4</f>
        <v>17587.525536000001</v>
      </c>
      <c r="XE17" s="699"/>
      <c r="XF17" s="700">
        <f>XE17/XC17</f>
        <v>0</v>
      </c>
      <c r="XG17" s="593">
        <f>'Proy 2022 vs 2019 sem'!DJ16*XJ$4</f>
        <v>7637.2752</v>
      </c>
      <c r="XH17" s="593">
        <f>'Proy 2022 vs 2019 sem'!DK16*XJ$4</f>
        <v>20100.029184000003</v>
      </c>
      <c r="XI17" s="699"/>
      <c r="XJ17" s="700">
        <f>XI17/XG17</f>
        <v>0</v>
      </c>
      <c r="XK17" s="593">
        <f>'Proy 2022 vs 2019 sem'!DJ16*XN$4</f>
        <v>10501.2534</v>
      </c>
      <c r="XL17" s="593">
        <f>'Proy 2022 vs 2019 sem'!DK16*XN$4</f>
        <v>27637.540128000001</v>
      </c>
      <c r="XM17" s="699"/>
      <c r="XN17" s="700">
        <f>XM17/XK17</f>
        <v>0</v>
      </c>
      <c r="XO17" s="579">
        <f>WM17+WQ17+WU17+WY17+XC17+XG17+XK17</f>
        <v>47732.97</v>
      </c>
      <c r="XP17" s="574">
        <f>WN17+WR17+WV17+WZ17+XD17+XH17+XL17</f>
        <v>125625.18239999999</v>
      </c>
      <c r="XQ17" s="765">
        <f>WO17+WS17+WW17+XA17+XE17+XI17+XM17</f>
        <v>0</v>
      </c>
      <c r="XR17" s="761">
        <f>XQ17/XO17</f>
        <v>0</v>
      </c>
      <c r="XS17" s="593">
        <f>'Proy 2022 vs 2019 sem'!DO16*XV$4</f>
        <v>4321.1963999999998</v>
      </c>
      <c r="XT17" s="593">
        <f>'Proy 2022 vs 2019 sem'!DP16*XV$4</f>
        <v>13055.218895999998</v>
      </c>
      <c r="XU17" s="699"/>
      <c r="XV17" s="700">
        <f>XU17/XS17</f>
        <v>0</v>
      </c>
      <c r="XW17" s="593">
        <f>'Proy 2022 vs 2019 sem'!DO16*XZ$4</f>
        <v>4321.1963999999998</v>
      </c>
      <c r="XX17" s="593">
        <f>'Proy 2022 vs 2019 sem'!DP16*XZ$4</f>
        <v>13055.218895999998</v>
      </c>
      <c r="XY17" s="699"/>
      <c r="XZ17" s="700">
        <f>XY17/XW17</f>
        <v>0</v>
      </c>
      <c r="YA17" s="593">
        <f>'Proy 2022 vs 2019 sem'!DO16*YD$4</f>
        <v>4321.1963999999998</v>
      </c>
      <c r="YB17" s="593">
        <f>'Proy 2022 vs 2019 sem'!DP16*YD$4</f>
        <v>13055.218895999998</v>
      </c>
      <c r="YC17" s="699"/>
      <c r="YD17" s="700">
        <f>YC17/YA17</f>
        <v>0</v>
      </c>
      <c r="YE17" s="593">
        <f>'Proy 2022 vs 2019 sem'!DO16*YH$4</f>
        <v>4321.1963999999998</v>
      </c>
      <c r="YF17" s="593">
        <f>'Proy 2022 vs 2019 sem'!DP16*YH$4</f>
        <v>13055.218895999998</v>
      </c>
      <c r="YG17" s="699"/>
      <c r="YH17" s="700">
        <f>YG17/YE17</f>
        <v>0</v>
      </c>
      <c r="YI17" s="593">
        <f>'Proy 2022 vs 2019 sem'!DO16*YL$4</f>
        <v>5041.3958000000002</v>
      </c>
      <c r="YJ17" s="593">
        <f>'Proy 2022 vs 2019 sem'!DP16*YL$4</f>
        <v>15231.088711999999</v>
      </c>
      <c r="YK17" s="699"/>
      <c r="YL17" s="700">
        <f>YK17/YI17</f>
        <v>0</v>
      </c>
      <c r="YM17" s="593">
        <f>'Proy 2022 vs 2019 sem'!DO16*YP$4</f>
        <v>5761.5952000000007</v>
      </c>
      <c r="YN17" s="593">
        <f>'Proy 2022 vs 2019 sem'!DP16*YP$4</f>
        <v>17406.958527999999</v>
      </c>
      <c r="YO17" s="699"/>
      <c r="YP17" s="700">
        <f>YO17/YM17</f>
        <v>0</v>
      </c>
      <c r="YQ17" s="593">
        <f>'Proy 2022 vs 2019 sem'!DO16*YT$4</f>
        <v>7922.1934000000001</v>
      </c>
      <c r="YR17" s="593">
        <f>'Proy 2022 vs 2019 sem'!DP16*YT$4</f>
        <v>23934.567975999998</v>
      </c>
      <c r="YS17" s="699"/>
      <c r="YT17" s="700">
        <f>YS17/YQ17</f>
        <v>0</v>
      </c>
      <c r="YU17" s="579">
        <f>XS17+XW17+YA17+YE17+YI17+YM17+YQ17</f>
        <v>36009.97</v>
      </c>
      <c r="YV17" s="574">
        <f>XT17+XX17+YB17+YF17+YJ17+YN17+YR17</f>
        <v>108793.4908</v>
      </c>
      <c r="YW17" s="770">
        <f>XU17+XY17+YC17+YG17+YK17+YO17+YS17</f>
        <v>0</v>
      </c>
      <c r="YX17" s="761">
        <f>YW17/YU17</f>
        <v>0</v>
      </c>
      <c r="YY17" s="931">
        <f>'Proy 2022 vs 2019 sem'!DX16*ZB$4</f>
        <v>509.77919999999995</v>
      </c>
      <c r="YZ17" s="931">
        <f>'Proy 2022 vs 2019 sem'!DY16*ZB$4</f>
        <v>13095.093311999997</v>
      </c>
      <c r="ZA17" s="735"/>
      <c r="ZB17" s="700">
        <f>ZA17/YY17</f>
        <v>0</v>
      </c>
      <c r="ZC17" s="593">
        <f>'Proy 2022 vs 2019 sem'!DX16*ZF$4</f>
        <v>509.77919999999995</v>
      </c>
      <c r="ZD17" s="593">
        <f>'Proy 2022 vs 2019 sem'!DY16*ZF$4</f>
        <v>13095.093311999997</v>
      </c>
      <c r="ZE17" s="735"/>
      <c r="ZF17" s="700">
        <f>ZE17/ZC17</f>
        <v>0</v>
      </c>
      <c r="ZG17" s="593">
        <f>'Proy 2022 vs 2019 sem'!DX16*ZJ$4</f>
        <v>509.77919999999995</v>
      </c>
      <c r="ZH17" s="593">
        <f>'Proy 2022 vs 2019 sem'!DY16*ZJ$4</f>
        <v>13095.093311999997</v>
      </c>
      <c r="ZI17" s="735"/>
      <c r="ZJ17" s="700">
        <f>ZI17/ZG17</f>
        <v>0</v>
      </c>
      <c r="ZK17" s="593">
        <f>'Proy 2022 vs 2019 sem'!DX16*ZN$4</f>
        <v>509.77919999999995</v>
      </c>
      <c r="ZL17" s="593">
        <f>'Proy 2022 vs 2019 sem'!DY16*ZN$4</f>
        <v>13095.093311999997</v>
      </c>
      <c r="ZM17" s="735"/>
      <c r="ZN17" s="700">
        <f>ZM17/ZK17</f>
        <v>0</v>
      </c>
      <c r="ZO17" s="593">
        <f>'Proy 2022 vs 2019 sem'!DX16*ZR$4</f>
        <v>594.74240000000009</v>
      </c>
      <c r="ZP17" s="593">
        <f>'Proy 2022 vs 2019 sem'!DY16*ZR$4</f>
        <v>15277.608864</v>
      </c>
      <c r="ZQ17" s="735"/>
      <c r="ZR17" s="700">
        <f>ZQ17/ZO17</f>
        <v>0</v>
      </c>
      <c r="ZS17" s="593">
        <f>'Proy 2022 vs 2019 sem'!DX16*ZV$4</f>
        <v>679.7056</v>
      </c>
      <c r="ZT17" s="593">
        <f>'Proy 2022 vs 2019 sem'!DY16*ZV$4</f>
        <v>17460.124415999999</v>
      </c>
      <c r="ZU17" s="735"/>
      <c r="ZV17" s="700">
        <f>ZU17/ZS17</f>
        <v>0</v>
      </c>
      <c r="ZW17" s="593">
        <f>'Proy 2022 vs 2019 sem'!DX16*ZZ$4</f>
        <v>934.59519999999998</v>
      </c>
      <c r="ZX17" s="593">
        <f>'Proy 2022 vs 2019 sem'!DY16*ZZ$4</f>
        <v>24007.671071999997</v>
      </c>
      <c r="ZY17" s="735"/>
      <c r="ZZ17" s="700">
        <f>ZY17/ZW17</f>
        <v>0</v>
      </c>
      <c r="AAA17" s="579">
        <f>YY17+ZC17+ZG17+ZK17+ZO17+ZS17+ZW17</f>
        <v>4248.16</v>
      </c>
      <c r="AAB17" s="574">
        <f>YZ17+ZD17+ZH17+ZL17+ZP17+ZT17+ZX17</f>
        <v>109125.77759999997</v>
      </c>
      <c r="AAC17" s="729">
        <f>ZA17+ZE17+ZI17+ZM17+ZQ17+ZU17+ZY17</f>
        <v>0</v>
      </c>
      <c r="AAD17" s="711">
        <f>AAC17/AAA17</f>
        <v>0</v>
      </c>
      <c r="AAE17" s="593">
        <f>'Proy 2022 vs 2019 sem'!EC16*AAH$4</f>
        <v>0</v>
      </c>
      <c r="AAF17" s="593">
        <f>'Proy 2022 vs 2019 sem'!ED16*AAH$4</f>
        <v>16369.219584</v>
      </c>
      <c r="AAG17" s="699"/>
      <c r="AAH17" s="700" t="e">
        <f>AAG17/AAE17</f>
        <v>#DIV/0!</v>
      </c>
      <c r="AAI17" s="593">
        <f>'Proy 2022 vs 2019 sem'!EC16*AAL$4</f>
        <v>0</v>
      </c>
      <c r="AAJ17" s="593">
        <f>'Proy 2022 vs 2019 sem'!ED16*AAL$4</f>
        <v>16369.219584</v>
      </c>
      <c r="AAK17" s="699"/>
      <c r="AAL17" s="700" t="e">
        <f>AAK17/AAI17</f>
        <v>#DIV/0!</v>
      </c>
      <c r="AAM17" s="593">
        <f>'Proy 2022 vs 2019 sem'!EC16*AAP$4</f>
        <v>0</v>
      </c>
      <c r="AAN17" s="593">
        <f>'Proy 2022 vs 2019 sem'!ED16*AAP$4</f>
        <v>16369.219584</v>
      </c>
      <c r="AAO17" s="699"/>
      <c r="AAP17" s="700" t="e">
        <f>AAO17/AAM17</f>
        <v>#DIV/0!</v>
      </c>
      <c r="AAQ17" s="593">
        <f>'Proy 2022 vs 2019 sem'!EC16*AAT$4</f>
        <v>0</v>
      </c>
      <c r="AAR17" s="593">
        <f>'Proy 2022 vs 2019 sem'!ED16*AAT$4</f>
        <v>16369.219584</v>
      </c>
      <c r="AAS17" s="699"/>
      <c r="AAT17" s="700" t="e">
        <f>AAS17/AAQ17</f>
        <v>#DIV/0!</v>
      </c>
      <c r="AAU17" s="593">
        <f>'Proy 2022 vs 2019 sem'!EC16*AAX$4</f>
        <v>0</v>
      </c>
      <c r="AAV17" s="593">
        <f>'Proy 2022 vs 2019 sem'!ED16*AAX$4</f>
        <v>19097.422848000002</v>
      </c>
      <c r="AAW17" s="699"/>
      <c r="AAX17" s="700" t="e">
        <f>AAW17/AAU17</f>
        <v>#DIV/0!</v>
      </c>
      <c r="AAY17" s="593">
        <f>'Proy 2022 vs 2019 sem'!EC16*ABB$4</f>
        <v>0</v>
      </c>
      <c r="AAZ17" s="593">
        <f>'Proy 2022 vs 2019 sem'!ED16*ABB$4</f>
        <v>21825.626112000002</v>
      </c>
      <c r="ABA17" s="699"/>
      <c r="ABB17" s="700" t="e">
        <f>ABA17/AAY17</f>
        <v>#DIV/0!</v>
      </c>
      <c r="ABC17" s="593">
        <f>'Proy 2022 vs 2019 sem'!EC16*ABF$4</f>
        <v>0</v>
      </c>
      <c r="ABD17" s="593">
        <f>'Proy 2022 vs 2019 sem'!ED16*ABF$4</f>
        <v>30010.235904000001</v>
      </c>
      <c r="ABE17" s="699"/>
      <c r="ABF17" s="700" t="e">
        <f>ABE17/ABC17</f>
        <v>#DIV/0!</v>
      </c>
      <c r="ABG17" s="579">
        <f>AAE17+AAI17+AAM17+AAQ17+AAU17+AAY17+ABC17</f>
        <v>0</v>
      </c>
      <c r="ABH17" s="574">
        <f>AAF17+AAJ17+AAN17+AAR17+AAV17+AAZ17+ABD17</f>
        <v>136410.16320000001</v>
      </c>
      <c r="ABI17" s="730">
        <f>AAG17+AAK17+AAO17+AAS17+AAW17+ABA17+ABE17</f>
        <v>0</v>
      </c>
      <c r="ABJ17" s="711" t="e">
        <f>ABI17/ABG17</f>
        <v>#DIV/0!</v>
      </c>
      <c r="ABK17" s="593">
        <f>'Proy 2022 vs 2019 sem'!EH16*ABN$4</f>
        <v>0</v>
      </c>
      <c r="ABL17" s="593">
        <f>'Proy 2022 vs 2019 sem'!EI16*ABN$4</f>
        <v>16985.561760000001</v>
      </c>
      <c r="ABM17" s="699"/>
      <c r="ABN17" s="700" t="e">
        <f>ABM17/ABK17</f>
        <v>#DIV/0!</v>
      </c>
      <c r="ABO17" s="593">
        <f>'Proy 2022 vs 2019 sem'!EH16*ABR$4</f>
        <v>0</v>
      </c>
      <c r="ABP17" s="593">
        <f>'Proy 2022 vs 2019 sem'!EI16*ABR$4</f>
        <v>16985.561760000001</v>
      </c>
      <c r="ABQ17" s="699"/>
      <c r="ABR17" s="700" t="e">
        <f>ABQ17/ABO17</f>
        <v>#DIV/0!</v>
      </c>
      <c r="ABS17" s="593">
        <f>'Proy 2022 vs 2019 sem'!EH16*ABV$4</f>
        <v>0</v>
      </c>
      <c r="ABT17" s="593">
        <f>'Proy 2022 vs 2019 sem'!EI16*ABV$4</f>
        <v>16985.561760000001</v>
      </c>
      <c r="ABU17" s="699"/>
      <c r="ABV17" s="700" t="e">
        <f>ABU17/ABS17</f>
        <v>#DIV/0!</v>
      </c>
      <c r="ABW17" s="593">
        <f>'Proy 2022 vs 2019 sem'!EH16*ABZ$4</f>
        <v>0</v>
      </c>
      <c r="ABX17" s="593">
        <f>'Proy 2022 vs 2019 sem'!EI16*ABZ$4</f>
        <v>16985.561760000001</v>
      </c>
      <c r="ABY17" s="699"/>
      <c r="ABZ17" s="700" t="e">
        <f>ABY17/ABW17</f>
        <v>#DIV/0!</v>
      </c>
      <c r="ACA17" s="593">
        <f>'Proy 2022 vs 2019 sem'!EH16*ACD$4</f>
        <v>0</v>
      </c>
      <c r="ACB17" s="593">
        <f>'Proy 2022 vs 2019 sem'!EI16*ACD$4</f>
        <v>19816.488720000001</v>
      </c>
      <c r="ACC17" s="699"/>
      <c r="ACD17" s="700" t="e">
        <f>ACC17/ACA17</f>
        <v>#DIV/0!</v>
      </c>
      <c r="ACE17" s="593">
        <f>'Proy 2022 vs 2019 sem'!EH16*ACH$4</f>
        <v>0</v>
      </c>
      <c r="ACF17" s="593">
        <f>'Proy 2022 vs 2019 sem'!EI16*ACH$4</f>
        <v>22647.415680000002</v>
      </c>
      <c r="ACG17" s="699"/>
      <c r="ACH17" s="700" t="e">
        <f>ACG17/ACE17</f>
        <v>#DIV/0!</v>
      </c>
      <c r="ACI17" s="593">
        <f>'Proy 2022 vs 2019 sem'!EH16*ACL$4</f>
        <v>0</v>
      </c>
      <c r="ACJ17" s="593">
        <f>'Proy 2022 vs 2019 sem'!EI16*ACL$4</f>
        <v>31140.19656</v>
      </c>
      <c r="ACK17" s="699"/>
      <c r="ACL17" s="700" t="e">
        <f>ACK17/ACI17</f>
        <v>#DIV/0!</v>
      </c>
      <c r="ACM17" s="579">
        <f>ABK17+ABO17+ABS17+ABW17+ACA17+ACE17+ACI17</f>
        <v>0</v>
      </c>
      <c r="ACN17" s="574">
        <f>ABL17+ABP17+ABT17+ABX17+ACB17+ACF17+ACJ17</f>
        <v>141546.34800000003</v>
      </c>
      <c r="ACO17" s="730">
        <f>ABM17+ABQ17+ABU17+ABY17+ACC17+ACG17+ACK17</f>
        <v>0</v>
      </c>
      <c r="ACP17" s="711" t="e">
        <f>ACO17/ACM17</f>
        <v>#DIV/0!</v>
      </c>
      <c r="ACQ17" s="593">
        <f>'Proy 2022 vs 2019 sem'!EM16*ACT$4</f>
        <v>23493.403199999997</v>
      </c>
      <c r="ACR17" s="593">
        <f>'Proy 2022 vs 2019 sem'!EN16*ACT$4</f>
        <v>17854.986431999998</v>
      </c>
      <c r="ACS17" s="699"/>
      <c r="ACT17" s="700">
        <f>ACS17/ACQ17</f>
        <v>0</v>
      </c>
      <c r="ACU17" s="593">
        <f>'Proy 2022 vs 2019 sem'!EM16*ACX$4</f>
        <v>23493.403199999997</v>
      </c>
      <c r="ACV17" s="593">
        <f>'Proy 2022 vs 2019 sem'!EN16*ACX$4</f>
        <v>17854.986431999998</v>
      </c>
      <c r="ACW17" s="699"/>
      <c r="ACX17" s="700">
        <f>ACW17/ACU17</f>
        <v>0</v>
      </c>
      <c r="ACY17" s="593">
        <f>'Proy 2022 vs 2019 sem'!EM16*ADB$4</f>
        <v>23493.403199999997</v>
      </c>
      <c r="ACZ17" s="593">
        <f>'Proy 2022 vs 2019 sem'!EN16*ADB$4</f>
        <v>17854.986431999998</v>
      </c>
      <c r="ADA17" s="699"/>
      <c r="ADB17" s="700">
        <f>ADA17/ACY17</f>
        <v>0</v>
      </c>
      <c r="ADC17" s="593">
        <f>'Proy 2022 vs 2019 sem'!EM16*ADF$4</f>
        <v>23493.403199999997</v>
      </c>
      <c r="ADD17" s="593">
        <f>'Proy 2022 vs 2019 sem'!EN16*ADF$4</f>
        <v>17854.986431999998</v>
      </c>
      <c r="ADE17" s="699"/>
      <c r="ADF17" s="700">
        <f>ADE17/ADC17</f>
        <v>0</v>
      </c>
      <c r="ADG17" s="593">
        <f>'Proy 2022 vs 2019 sem'!EM16*ADJ$4</f>
        <v>27408.970400000002</v>
      </c>
      <c r="ADH17" s="593">
        <f>'Proy 2022 vs 2019 sem'!EN16*ADJ$4</f>
        <v>20830.817503999999</v>
      </c>
      <c r="ADI17" s="699"/>
      <c r="ADJ17" s="700">
        <f>ADI17/ADG17</f>
        <v>0</v>
      </c>
      <c r="ADK17" s="593">
        <f>'Proy 2022 vs 2019 sem'!EM16*ADN$4</f>
        <v>31324.5376</v>
      </c>
      <c r="ADL17" s="593">
        <f>'Proy 2022 vs 2019 sem'!EN16*ADN$4</f>
        <v>23806.648576</v>
      </c>
      <c r="ADM17" s="699"/>
      <c r="ADN17" s="700">
        <f>ADM17/ADK17</f>
        <v>0</v>
      </c>
      <c r="ADO17" s="593">
        <f>'Proy 2022 vs 2019 sem'!EM16*ADR$4</f>
        <v>43071.239199999996</v>
      </c>
      <c r="ADP17" s="593">
        <f>'Proy 2022 vs 2019 sem'!EN16*ADR$4</f>
        <v>32734.141791999999</v>
      </c>
      <c r="ADQ17" s="699"/>
      <c r="ADR17" s="700">
        <f>ADQ17/ADO17</f>
        <v>0</v>
      </c>
      <c r="ADS17" s="579">
        <f>ACQ17+ACU17+ACY17+ADC17+ADG17+ADK17+ADO17</f>
        <v>195778.36</v>
      </c>
      <c r="ADT17" s="574">
        <f>ACR17+ACV17+ACZ17+ADD17+ADH17+ADL17+ADP17</f>
        <v>148791.55360000001</v>
      </c>
      <c r="ADU17" s="710">
        <f>ACS17+ACW17+ADA17+ADE17+ADI17+ADM17+ADQ17</f>
        <v>0</v>
      </c>
      <c r="ADV17" s="711">
        <f>ADU17/ADS17</f>
        <v>0</v>
      </c>
      <c r="ADW17" s="593">
        <f>'Proy 2022 vs 2019 sem'!ER16*ADZ$4</f>
        <v>23306.875199999999</v>
      </c>
      <c r="ADX17" s="593">
        <f>'Proy 2022 vs 2019 sem'!ES16*ADZ$4</f>
        <v>17899.680153599998</v>
      </c>
      <c r="ADY17" s="699"/>
      <c r="ADZ17" s="700">
        <f>ADY17/ADW17</f>
        <v>0</v>
      </c>
      <c r="AEA17" s="593">
        <f>'Proy 2022 vs 2019 sem'!ER16*AED$4</f>
        <v>23306.875199999999</v>
      </c>
      <c r="AEB17" s="593">
        <f>'Proy 2022 vs 2019 sem'!ES16*AED$4</f>
        <v>17899.680153599998</v>
      </c>
      <c r="AEC17" s="699"/>
      <c r="AED17" s="700">
        <f>AEC17/AEA17</f>
        <v>0</v>
      </c>
      <c r="AEE17" s="593">
        <f>'Proy 2022 vs 2019 sem'!ER16*AEH$4</f>
        <v>23306.875199999999</v>
      </c>
      <c r="AEF17" s="593">
        <f>'Proy 2022 vs 2019 sem'!ES16*AEH$4</f>
        <v>17899.680153599998</v>
      </c>
      <c r="AEG17" s="699"/>
      <c r="AEH17" s="700">
        <f>AEG17/AEE17</f>
        <v>0</v>
      </c>
      <c r="AEI17" s="593">
        <f>'Proy 2022 vs 2019 sem'!ER16*AEL$4</f>
        <v>23306.875199999999</v>
      </c>
      <c r="AEJ17" s="593">
        <f>'Proy 2022 vs 2019 sem'!ES16*AEL$4</f>
        <v>17899.680153599998</v>
      </c>
      <c r="AEK17" s="699"/>
      <c r="AEL17" s="700">
        <f>AEK17/AEI17</f>
        <v>0</v>
      </c>
      <c r="AEM17" s="593">
        <f>'Proy 2022 vs 2019 sem'!ER16*AEP$4</f>
        <v>27191.3544</v>
      </c>
      <c r="AEN17" s="593">
        <f>'Proy 2022 vs 2019 sem'!ES16*AEP$4</f>
        <v>20882.960179200003</v>
      </c>
      <c r="AEO17" s="699"/>
      <c r="AEP17" s="700">
        <f>AEO17/AEM17</f>
        <v>0</v>
      </c>
      <c r="AEQ17" s="593">
        <f>'Proy 2022 vs 2019 sem'!ER16*AET$4</f>
        <v>31075.833599999998</v>
      </c>
      <c r="AER17" s="593">
        <f>'Proy 2022 vs 2019 sem'!ES16*AET$4</f>
        <v>23866.2402048</v>
      </c>
      <c r="AES17" s="699"/>
      <c r="AET17" s="700">
        <f>AES17/AEQ17</f>
        <v>0</v>
      </c>
      <c r="AEU17" s="593">
        <f>'Proy 2022 vs 2019 sem'!ER16*AEX$4</f>
        <v>42729.271199999996</v>
      </c>
      <c r="AEV17" s="593">
        <f>'Proy 2022 vs 2019 sem'!ES16*AEX$4</f>
        <v>32816.0802816</v>
      </c>
      <c r="AEW17" s="699"/>
      <c r="AEX17" s="700">
        <f>AEW17/AEU17</f>
        <v>0</v>
      </c>
      <c r="AEY17" s="579">
        <f>ADW17+AEA17+AEE17+AEI17+AEM17+AEQ17+AEU17</f>
        <v>194223.96</v>
      </c>
      <c r="AEZ17" s="574">
        <f>ADX17+AEB17+AEF17+AEJ17+AEN17+AER17+AEV17</f>
        <v>149164.00128</v>
      </c>
      <c r="AFA17" s="710">
        <f>ADY17+AEC17+AEG17+AEK17+AEO17+AES17+AEW17</f>
        <v>0</v>
      </c>
      <c r="AFB17" s="711">
        <f>AFA17/AEY17</f>
        <v>0</v>
      </c>
      <c r="AFC17" s="593">
        <f>'Proy 2022 vs 2019 sem'!FA16*AFF$4</f>
        <v>0</v>
      </c>
      <c r="AFD17" s="593">
        <f>'Proy 2022 vs 2019 sem'!FB16*AFF$4</f>
        <v>15886.771507200003</v>
      </c>
      <c r="AFE17" s="735"/>
      <c r="AFF17" s="700" t="e">
        <f>AFE17/AFC17</f>
        <v>#DIV/0!</v>
      </c>
      <c r="AFG17" s="593">
        <f>'Proy 2022 vs 2019 sem'!FA16*AFJ$4</f>
        <v>0</v>
      </c>
      <c r="AFH17" s="593">
        <f>'Proy 2022 vs 2019 sem'!FB16*AFJ$4</f>
        <v>15886.771507200003</v>
      </c>
      <c r="AFI17" s="699"/>
      <c r="AFJ17" s="700" t="e">
        <f>AFI17/AFG17</f>
        <v>#DIV/0!</v>
      </c>
      <c r="AFK17" s="593">
        <f>'Proy 2022 vs 2019 sem'!FA16*AFN$4</f>
        <v>0</v>
      </c>
      <c r="AFL17" s="593">
        <f>'Proy 2022 vs 2019 sem'!FB16*AFN$4</f>
        <v>15886.771507200003</v>
      </c>
      <c r="AFM17" s="699"/>
      <c r="AFN17" s="700" t="e">
        <f>AFM17/AFK17</f>
        <v>#DIV/0!</v>
      </c>
      <c r="AFO17" s="593">
        <f>'Proy 2022 vs 2019 sem'!FA16*AFR$4</f>
        <v>0</v>
      </c>
      <c r="AFP17" s="593">
        <f>'Proy 2022 vs 2019 sem'!FB16*AFR$4</f>
        <v>15886.771507200003</v>
      </c>
      <c r="AFQ17" s="699"/>
      <c r="AFR17" s="700" t="e">
        <f>AFQ17/AFO17</f>
        <v>#DIV/0!</v>
      </c>
      <c r="AFS17" s="593">
        <f>'Proy 2022 vs 2019 sem'!FA16*AFV$4</f>
        <v>0</v>
      </c>
      <c r="AFT17" s="593">
        <f>'Proy 2022 vs 2019 sem'!FB16*AFV$4</f>
        <v>18534.566758400008</v>
      </c>
      <c r="AFU17" s="699"/>
      <c r="AFV17" s="700" t="e">
        <f>AFU17/AFS17</f>
        <v>#DIV/0!</v>
      </c>
      <c r="AFW17" s="593">
        <f>'Proy 2022 vs 2019 sem'!FA16*AFZ$4</f>
        <v>0</v>
      </c>
      <c r="AFX17" s="593">
        <f>'Proy 2022 vs 2019 sem'!FB16*AFZ$4</f>
        <v>21182.362009600005</v>
      </c>
      <c r="AFY17" s="699"/>
      <c r="AFZ17" s="700" t="e">
        <f>AFY17/AFW17</f>
        <v>#DIV/0!</v>
      </c>
      <c r="AGA17" s="593">
        <f>'Proy 2022 vs 2019 sem'!FA16*AGD$4</f>
        <v>0</v>
      </c>
      <c r="AGB17" s="593">
        <f>'Proy 2022 vs 2019 sem'!FB16*AGD$4</f>
        <v>29125.747763200008</v>
      </c>
      <c r="AGC17" s="699"/>
      <c r="AGD17" s="700" t="e">
        <f>AGC17/AGA17</f>
        <v>#DIV/0!</v>
      </c>
      <c r="AGE17" s="579">
        <f>AFC17+AFG17+AFK17+AFO17+AFS17+AFW17+AGA17</f>
        <v>0</v>
      </c>
      <c r="AGF17" s="574">
        <f>AFD17+AFH17+AFL17+AFP17+AFT17+AFX17+AGB17</f>
        <v>132389.76256000003</v>
      </c>
      <c r="AGG17" s="759">
        <f>AFE17+AFI17+AFM17+AFQ17+AFU17+AFY17+AGC17</f>
        <v>0</v>
      </c>
      <c r="AGH17" s="761" t="e">
        <f>AGG17/AGE17</f>
        <v>#DIV/0!</v>
      </c>
      <c r="AGI17" s="593">
        <f>'Proy 2022 vs 2019 sem'!FF16*AGL$4</f>
        <v>0</v>
      </c>
      <c r="AGJ17" s="593">
        <f>'Proy 2022 vs 2019 sem'!FG16*AGL$4</f>
        <v>14495.036832000002</v>
      </c>
      <c r="AGK17" s="699"/>
      <c r="AGL17" s="700" t="e">
        <f>AGK17/AGI17</f>
        <v>#DIV/0!</v>
      </c>
      <c r="AGM17" s="593">
        <f>'Proy 2022 vs 2019 sem'!FF16*AGP$4</f>
        <v>0</v>
      </c>
      <c r="AGN17" s="593">
        <f>'Proy 2022 vs 2019 sem'!FG16*AGP$4</f>
        <v>14495.036832000002</v>
      </c>
      <c r="AGO17" s="699"/>
      <c r="AGP17" s="700" t="e">
        <f>AGO17/AGM17</f>
        <v>#DIV/0!</v>
      </c>
      <c r="AGQ17" s="593">
        <f>'Proy 2022 vs 2019 sem'!FF16*AGT$4</f>
        <v>0</v>
      </c>
      <c r="AGR17" s="593">
        <f>'Proy 2022 vs 2019 sem'!FG16*AGT$4</f>
        <v>14495.036832000002</v>
      </c>
      <c r="AGS17" s="699"/>
      <c r="AGT17" s="700" t="e">
        <f>AGS17/AGQ17</f>
        <v>#DIV/0!</v>
      </c>
      <c r="AGU17" s="593">
        <f>'Proy 2022 vs 2019 sem'!FF16*AGX$4</f>
        <v>0</v>
      </c>
      <c r="AGV17" s="593">
        <f>'Proy 2022 vs 2019 sem'!FG16*AGX$4</f>
        <v>14495.036832000002</v>
      </c>
      <c r="AGW17" s="699"/>
      <c r="AGX17" s="700" t="e">
        <f>AGW17/AGU17</f>
        <v>#DIV/0!</v>
      </c>
      <c r="AGY17" s="593">
        <f>'Proy 2022 vs 2019 sem'!FF16*AHB$4</f>
        <v>0</v>
      </c>
      <c r="AGZ17" s="593">
        <f>'Proy 2022 vs 2019 sem'!FG16*AHB$4</f>
        <v>16910.876304000005</v>
      </c>
      <c r="AHA17" s="699"/>
      <c r="AHB17" s="700" t="e">
        <f>AHA17/AGY17</f>
        <v>#DIV/0!</v>
      </c>
      <c r="AHC17" s="593">
        <f>'Proy 2022 vs 2019 sem'!FF16*AHF$4</f>
        <v>0</v>
      </c>
      <c r="AHD17" s="593">
        <f>'Proy 2022 vs 2019 sem'!FG16*AHF$4</f>
        <v>19326.715776000001</v>
      </c>
      <c r="AHE17" s="699"/>
      <c r="AHF17" s="700" t="e">
        <f>AHE17/AHC17</f>
        <v>#DIV/0!</v>
      </c>
      <c r="AHG17" s="593">
        <f>'Proy 2022 vs 2019 sem'!FF16*AHJ$4</f>
        <v>0</v>
      </c>
      <c r="AHH17" s="593">
        <f>'Proy 2022 vs 2019 sem'!FG16*AHJ$4</f>
        <v>26574.234192000004</v>
      </c>
      <c r="AHI17" s="699"/>
      <c r="AHJ17" s="700" t="e">
        <f>AHI17/AHG17</f>
        <v>#DIV/0!</v>
      </c>
      <c r="AHK17" s="579">
        <f>AGI17+AGM17+AGQ17+AGU17+AGY17+AHC17+AHG17</f>
        <v>0</v>
      </c>
      <c r="AHL17" s="574">
        <f>AGJ17+AGN17+AGR17+AGV17+AGZ17+AHD17+AHH17</f>
        <v>120791.97360000001</v>
      </c>
      <c r="AHM17" s="765">
        <f>AGK17+AGO17+AGS17+AGW17+AHA17+AHE17+AHI17</f>
        <v>0</v>
      </c>
      <c r="AHN17" s="761" t="e">
        <f>AHM17/AHK17</f>
        <v>#DIV/0!</v>
      </c>
      <c r="AHO17" s="593">
        <f>'Proy 2022 vs 2019 sem'!FK16*AHR$4</f>
        <v>0</v>
      </c>
      <c r="AHP17" s="593">
        <f>'Proy 2022 vs 2019 sem'!FL16*AHR$4</f>
        <v>14815.331136000001</v>
      </c>
      <c r="AHQ17" s="699"/>
      <c r="AHR17" s="700" t="e">
        <f>AHQ17/AHO17</f>
        <v>#DIV/0!</v>
      </c>
      <c r="AHS17" s="593">
        <f>'Proy 2022 vs 2019 sem'!FK16*AHV$4</f>
        <v>0</v>
      </c>
      <c r="AHT17" s="593">
        <f>'Proy 2022 vs 2019 sem'!FL16*AHV$4</f>
        <v>14815.331136000001</v>
      </c>
      <c r="AHU17" s="699"/>
      <c r="AHV17" s="700" t="e">
        <f>AHU17/AHS17</f>
        <v>#DIV/0!</v>
      </c>
      <c r="AHW17" s="593">
        <f>'Proy 2022 vs 2019 sem'!FK16*AHZ$4</f>
        <v>0</v>
      </c>
      <c r="AHX17" s="593">
        <f>'Proy 2022 vs 2019 sem'!FL16*AHZ$4</f>
        <v>14815.331136000001</v>
      </c>
      <c r="AHY17" s="699"/>
      <c r="AHZ17" s="700" t="e">
        <f>AHY17/AHW17</f>
        <v>#DIV/0!</v>
      </c>
      <c r="AIA17" s="593">
        <f>'Proy 2022 vs 2019 sem'!FK16*AID$4</f>
        <v>0</v>
      </c>
      <c r="AIB17" s="593">
        <f>'Proy 2022 vs 2019 sem'!FL16*AID$4</f>
        <v>14815.331136000001</v>
      </c>
      <c r="AIC17" s="699"/>
      <c r="AID17" s="700" t="e">
        <f>AIC17/AIA17</f>
        <v>#DIV/0!</v>
      </c>
      <c r="AIE17" s="593">
        <f>'Proy 2022 vs 2019 sem'!FK16*AIH$4</f>
        <v>0</v>
      </c>
      <c r="AIF17" s="593">
        <f>'Proy 2022 vs 2019 sem'!FL16*AIH$4</f>
        <v>17284.552992000004</v>
      </c>
      <c r="AIG17" s="699"/>
      <c r="AIH17" s="700" t="e">
        <f>AIG17/AIE17</f>
        <v>#DIV/0!</v>
      </c>
      <c r="AII17" s="593">
        <f>'Proy 2022 vs 2019 sem'!FK16*AIL$4</f>
        <v>0</v>
      </c>
      <c r="AIJ17" s="593">
        <f>'Proy 2022 vs 2019 sem'!FL16*AIL$4</f>
        <v>19753.774848000001</v>
      </c>
      <c r="AIK17" s="699"/>
      <c r="AIL17" s="700" t="e">
        <f>AIK17/AII17</f>
        <v>#DIV/0!</v>
      </c>
      <c r="AIM17" s="593">
        <f>'Proy 2022 vs 2019 sem'!FK16*AIP$4</f>
        <v>0</v>
      </c>
      <c r="AIN17" s="593">
        <f>'Proy 2022 vs 2019 sem'!FL16*AIP$4</f>
        <v>27161.440416000001</v>
      </c>
      <c r="AIO17" s="699"/>
      <c r="AIP17" s="700" t="e">
        <f>AIO17/AIM17</f>
        <v>#DIV/0!</v>
      </c>
      <c r="AIQ17" s="579">
        <f>AHO17+AHS17+AHW17+AIA17+AIE17+AII17+AIM17</f>
        <v>0</v>
      </c>
      <c r="AIR17" s="574">
        <f>AHP17+AHT17+AHX17+AIB17+AIF17+AIJ17+AIN17</f>
        <v>123461.09280000001</v>
      </c>
      <c r="AIS17" s="765">
        <f>AHQ17+AHU17+AHY17+AIC17+AIG17+AIK17+AIO17</f>
        <v>0</v>
      </c>
      <c r="AIT17" s="761" t="e">
        <f>AIS17/AIQ17</f>
        <v>#DIV/0!</v>
      </c>
      <c r="AIU17" s="593">
        <f>'Proy 2022 vs 2019 sem'!FP16*AIX$4</f>
        <v>21934.159199999998</v>
      </c>
      <c r="AIV17" s="593">
        <f>'Proy 2022 vs 2019 sem'!FQ16*AIX$4</f>
        <v>16845.434265599997</v>
      </c>
      <c r="AIW17" s="699"/>
      <c r="AIX17" s="700">
        <f>AIW17/AIU17</f>
        <v>0</v>
      </c>
      <c r="AIY17" s="593">
        <f>'Proy 2022 vs 2019 sem'!FP16*AJB$4</f>
        <v>21934.159199999998</v>
      </c>
      <c r="AIZ17" s="593">
        <f>'Proy 2022 vs 2019 sem'!FQ16*AJB$4</f>
        <v>16845.434265599997</v>
      </c>
      <c r="AJA17" s="699"/>
      <c r="AJB17" s="700">
        <f>AJA17/AIY17</f>
        <v>0</v>
      </c>
      <c r="AJC17" s="593">
        <f>'Proy 2022 vs 2019 sem'!FP16*AJF$4</f>
        <v>21934.159199999998</v>
      </c>
      <c r="AJD17" s="593">
        <f>'Proy 2022 vs 2019 sem'!FQ16*AJF$4</f>
        <v>16845.434265599997</v>
      </c>
      <c r="AJE17" s="699"/>
      <c r="AJF17" s="700">
        <f>AJE17/AJC17</f>
        <v>0</v>
      </c>
      <c r="AJG17" s="593">
        <f>'Proy 2022 vs 2019 sem'!FP16*AJJ$4</f>
        <v>21934.159199999998</v>
      </c>
      <c r="AJH17" s="593">
        <f>'Proy 2022 vs 2019 sem'!FQ16*AJJ$4</f>
        <v>16845.434265599997</v>
      </c>
      <c r="AJI17" s="699"/>
      <c r="AJJ17" s="700">
        <f>AJI17/AJG17</f>
        <v>0</v>
      </c>
      <c r="AJK17" s="593">
        <f>'Proy 2022 vs 2019 sem'!FP16*AJN$4</f>
        <v>25589.852400000003</v>
      </c>
      <c r="AJL17" s="593">
        <f>'Proy 2022 vs 2019 sem'!FQ16*AJN$4</f>
        <v>19653.006643200002</v>
      </c>
      <c r="AJM17" s="699"/>
      <c r="AJN17" s="700">
        <f>AJM17/AJK17</f>
        <v>0</v>
      </c>
      <c r="AJO17" s="593">
        <f>'Proy 2022 vs 2019 sem'!FP16*AJR$4</f>
        <v>29245.545600000001</v>
      </c>
      <c r="AJP17" s="593">
        <f>'Proy 2022 vs 2019 sem'!FQ16*AJR$4</f>
        <v>22460.5790208</v>
      </c>
      <c r="AJQ17" s="699"/>
      <c r="AJR17" s="700">
        <f>AJQ17/AJO17</f>
        <v>0</v>
      </c>
      <c r="AJS17" s="593">
        <f>'Proy 2022 vs 2019 sem'!FP16*AJV$4</f>
        <v>40212.625200000002</v>
      </c>
      <c r="AJT17" s="593">
        <f>'Proy 2022 vs 2019 sem'!FQ16*AJV$4</f>
        <v>30883.2961536</v>
      </c>
      <c r="AJU17" s="699"/>
      <c r="AJV17" s="700">
        <f>AJU17/AJS17</f>
        <v>0</v>
      </c>
      <c r="AJW17" s="579">
        <f>AIU17+AIY17+AJC17+AJG17+AJK17+AJO17+AJS17</f>
        <v>182784.66</v>
      </c>
      <c r="AJX17" s="574">
        <f>AIV17+AIZ17+AJD17+AJH17+AJL17+AJP17+AJT17</f>
        <v>140378.61887999999</v>
      </c>
      <c r="AJY17" s="770">
        <f>AIW17+AJA17+AJE17+AJI17+AJM17+AJQ17+AJU17</f>
        <v>0</v>
      </c>
      <c r="AJZ17" s="761">
        <f>AJY17/AJW17</f>
        <v>0</v>
      </c>
      <c r="AKA17" s="593"/>
      <c r="AKB17" s="593"/>
      <c r="AKC17" s="735"/>
      <c r="AKD17" s="700" t="e">
        <f>AKC17/AKA17</f>
        <v>#DIV/0!</v>
      </c>
      <c r="AKE17" s="593">
        <v>17806.071599999999</v>
      </c>
      <c r="AKF17" s="593">
        <v>14529.754425600002</v>
      </c>
      <c r="AKG17" s="699"/>
      <c r="AKH17" s="700">
        <f>AKG17/AKE17</f>
        <v>0</v>
      </c>
      <c r="AKI17" s="593">
        <v>17806.071599999999</v>
      </c>
      <c r="AKJ17" s="593">
        <v>14529.754425600002</v>
      </c>
      <c r="AKK17" s="699"/>
      <c r="AKL17" s="700">
        <f>AKK17/AKI17</f>
        <v>0</v>
      </c>
      <c r="AKM17" s="593">
        <v>17806.071599999999</v>
      </c>
      <c r="AKN17" s="593">
        <v>14529.754425600002</v>
      </c>
      <c r="AKO17" s="699"/>
      <c r="AKP17" s="700">
        <f>AKO17/AKM17</f>
        <v>0</v>
      </c>
      <c r="AKQ17" s="593">
        <v>20773.750200000002</v>
      </c>
      <c r="AKR17" s="593">
        <v>16951.380163200003</v>
      </c>
      <c r="AKS17" s="699"/>
      <c r="AKT17" s="700">
        <f>AKS17/AKQ17</f>
        <v>0</v>
      </c>
      <c r="AKU17" s="593">
        <v>23741.428799999998</v>
      </c>
      <c r="AKV17" s="593">
        <v>19373.005900800003</v>
      </c>
      <c r="AKW17" s="699"/>
      <c r="AKX17" s="700">
        <f>AKW17/AKU17</f>
        <v>0</v>
      </c>
      <c r="AKY17" s="593">
        <v>32644.464599999999</v>
      </c>
      <c r="AKZ17" s="593">
        <v>26637.883113600004</v>
      </c>
      <c r="ALA17" s="699"/>
      <c r="ALB17" s="700">
        <f>ALA17/AKY17</f>
        <v>0</v>
      </c>
      <c r="ALC17" s="579">
        <f>AKA17+AKE17+AKI17+AKM17+AKQ17+AKU17+AKY17</f>
        <v>130577.8584</v>
      </c>
      <c r="ALD17" s="574">
        <f>AKB17+AKF17+AKJ17+AKN17+AKR17+AKV17+AKZ17</f>
        <v>106551.53245440002</v>
      </c>
      <c r="ALE17" s="793">
        <f>AKC17+AKG17+AKK17+AKO17+AKS17+AKW17+ALA17</f>
        <v>0</v>
      </c>
      <c r="ALF17" s="786">
        <f>ALE17/ALC17</f>
        <v>0</v>
      </c>
      <c r="ALG17" s="593">
        <v>3698.7743999999998</v>
      </c>
      <c r="ALH17" s="593">
        <v>16664.541638400002</v>
      </c>
      <c r="ALI17" s="699"/>
      <c r="ALJ17" s="700">
        <f>ALI17/ALG17</f>
        <v>0</v>
      </c>
      <c r="ALK17" s="593">
        <v>3698.7743999999998</v>
      </c>
      <c r="ALL17" s="593">
        <v>16664.541638400002</v>
      </c>
      <c r="ALM17" s="699"/>
      <c r="ALN17" s="700">
        <f>ALM17/ALK17</f>
        <v>0</v>
      </c>
      <c r="ALO17" s="593">
        <v>3698.7743999999998</v>
      </c>
      <c r="ALP17" s="593">
        <v>16664.541638400002</v>
      </c>
      <c r="ALQ17" s="699"/>
      <c r="ALR17" s="700">
        <f>ALQ17/ALO17</f>
        <v>0</v>
      </c>
      <c r="ALS17" s="593">
        <v>3698.7743999999998</v>
      </c>
      <c r="ALT17" s="593">
        <v>16664.541638400002</v>
      </c>
      <c r="ALU17" s="699"/>
      <c r="ALV17" s="700">
        <f>ALU17/ALS17</f>
        <v>0</v>
      </c>
      <c r="ALW17" s="593">
        <v>4315.2368000000006</v>
      </c>
      <c r="ALX17" s="593">
        <v>19441.965244800005</v>
      </c>
      <c r="ALY17" s="699"/>
      <c r="ALZ17" s="700">
        <f>ALY17/ALW17</f>
        <v>0</v>
      </c>
      <c r="AMA17" s="593">
        <v>4931.6992</v>
      </c>
      <c r="AMB17" s="593">
        <v>22219.388851200001</v>
      </c>
      <c r="AMC17" s="699"/>
      <c r="AMD17" s="700">
        <f>AMC17/AMA17</f>
        <v>0</v>
      </c>
      <c r="AME17" s="593">
        <v>6781.0864000000001</v>
      </c>
      <c r="AMF17" s="593">
        <v>30551.659670400004</v>
      </c>
      <c r="AMG17" s="699"/>
      <c r="AMH17" s="700">
        <f>AMG17/AME17</f>
        <v>0</v>
      </c>
      <c r="AMI17" s="579">
        <f>ALG17+ALK17+ALO17+ALS17+ALW17+AMA17+AME17</f>
        <v>30823.119999999999</v>
      </c>
      <c r="AMJ17" s="574">
        <f>ALH17+ALL17+ALP17+ALT17+ALX17+AMB17+AMF17</f>
        <v>138871.18032000001</v>
      </c>
      <c r="AMK17" s="794">
        <f>ALI17+ALM17+ALQ17+ALU17+ALY17+AMC17+AMG17</f>
        <v>0</v>
      </c>
      <c r="AML17" s="786">
        <f>AMK17/AMI17</f>
        <v>0</v>
      </c>
      <c r="AMM17" s="593">
        <v>30067.217999999997</v>
      </c>
      <c r="AMN17" s="593">
        <v>16877.862316800001</v>
      </c>
      <c r="AMO17" s="699"/>
      <c r="AMP17" s="700">
        <f>AMO17/AMM17</f>
        <v>0</v>
      </c>
      <c r="AMQ17" s="593">
        <v>30067.217999999997</v>
      </c>
      <c r="AMR17" s="593">
        <v>16877.862316800001</v>
      </c>
      <c r="AMS17" s="699"/>
      <c r="AMT17" s="700">
        <f>AMS17/AMQ17</f>
        <v>0</v>
      </c>
      <c r="AMU17" s="593">
        <v>30067.217999999997</v>
      </c>
      <c r="AMV17" s="593">
        <v>16877.862316800001</v>
      </c>
      <c r="AMW17" s="699"/>
      <c r="AMX17" s="700">
        <f>AMW17/AMU17</f>
        <v>0</v>
      </c>
      <c r="AMY17" s="593">
        <v>30067.217999999997</v>
      </c>
      <c r="AMZ17" s="593">
        <v>16877.862316800001</v>
      </c>
      <c r="ANA17" s="699"/>
      <c r="ANB17" s="700">
        <f>ANA17/AMY17</f>
        <v>0</v>
      </c>
      <c r="ANC17" s="593">
        <v>35078.421000000002</v>
      </c>
      <c r="AND17" s="593">
        <v>19690.839369600006</v>
      </c>
      <c r="ANE17" s="699"/>
      <c r="ANF17" s="700">
        <f>ANE17/ANC17</f>
        <v>0</v>
      </c>
      <c r="ANG17" s="593">
        <v>40089.624000000003</v>
      </c>
      <c r="ANH17" s="593">
        <v>22503.816422400003</v>
      </c>
      <c r="ANI17" s="699"/>
      <c r="ANJ17" s="700">
        <f>ANI17/ANG17</f>
        <v>0</v>
      </c>
      <c r="ANK17" s="593">
        <v>55123.233</v>
      </c>
      <c r="ANL17" s="593">
        <v>30942.747580800005</v>
      </c>
      <c r="ANM17" s="699"/>
      <c r="ANN17" s="700">
        <f>ANM17/ANK17</f>
        <v>0</v>
      </c>
      <c r="ANO17" s="579">
        <f>AMM17+AMQ17+AMU17+AMY17+ANC17+ANG17+ANK17</f>
        <v>250560.15000000002</v>
      </c>
      <c r="ANP17" s="574">
        <f>AMN17+AMR17+AMV17+AMZ17+AND17+ANH17+ANL17</f>
        <v>140648.85264000003</v>
      </c>
      <c r="ANQ17" s="794">
        <f>AMO17+AMS17+AMW17+ANA17+ANE17+ANI17+ANM17</f>
        <v>0</v>
      </c>
      <c r="ANR17" s="786">
        <f>ANQ17/ANO17</f>
        <v>0</v>
      </c>
      <c r="ANS17" s="593">
        <f>'Proy 2022 vs 2019 sem'!GN16*ANV$4</f>
        <v>26025.8328</v>
      </c>
      <c r="ANT17" s="593">
        <f>'Proy 2022 vs 2019 sem'!GO16*ANV$4</f>
        <v>15009.208972799999</v>
      </c>
      <c r="ANU17" s="699"/>
      <c r="ANV17" s="700">
        <f>ANU17/ANS17</f>
        <v>0</v>
      </c>
      <c r="ANW17" s="593">
        <f>'Proy 2022 vs 2019 sem'!GN16*ANZ$4</f>
        <v>26025.8328</v>
      </c>
      <c r="ANX17" s="593">
        <f>'Proy 2022 vs 2019 sem'!GO16*ANZ$4</f>
        <v>15009.208972799999</v>
      </c>
      <c r="ANY17" s="699"/>
      <c r="ANZ17" s="700">
        <f>ANY17/ANW17</f>
        <v>0</v>
      </c>
      <c r="AOA17" s="593">
        <f>'Proy 2022 vs 2019 sem'!GN16*AOD$4</f>
        <v>26025.8328</v>
      </c>
      <c r="AOB17" s="593">
        <f>'Proy 2022 vs 2019 sem'!GO16*AOD$4</f>
        <v>15009.208972799999</v>
      </c>
      <c r="AOC17" s="699"/>
      <c r="AOD17" s="700">
        <f>AOC17/AOA17</f>
        <v>0</v>
      </c>
      <c r="AOE17" s="593">
        <f>'Proy 2022 vs 2019 sem'!GN16*AOH$4</f>
        <v>26025.8328</v>
      </c>
      <c r="AOF17" s="593">
        <f>'Proy 2022 vs 2019 sem'!GO16*AOH$4</f>
        <v>15009.208972799999</v>
      </c>
      <c r="AOG17" s="699"/>
      <c r="AOH17" s="700">
        <f>AOG17/AOE17</f>
        <v>0</v>
      </c>
      <c r="AOI17" s="593">
        <f>'Proy 2022 vs 2019 sem'!GN16*AOL$4</f>
        <v>30363.471600000004</v>
      </c>
      <c r="AOJ17" s="593">
        <f>'Proy 2022 vs 2019 sem'!GO16*AOL$4</f>
        <v>17510.743801600001</v>
      </c>
      <c r="AOK17" s="699"/>
      <c r="AOL17" s="700">
        <f>AOK17/AOI17</f>
        <v>0</v>
      </c>
      <c r="AOM17" s="593">
        <f>'Proy 2022 vs 2019 sem'!GN16*AOP$4</f>
        <v>34701.110399999998</v>
      </c>
      <c r="AON17" s="593">
        <f>'Proy 2022 vs 2019 sem'!GO16*AOP$4</f>
        <v>20012.2786304</v>
      </c>
      <c r="AOO17" s="699"/>
      <c r="AOP17" s="700">
        <f>AOO17/AOM17</f>
        <v>0</v>
      </c>
      <c r="AOQ17" s="593">
        <f>'Proy 2022 vs 2019 sem'!GN16*AOT$4</f>
        <v>47714.0268</v>
      </c>
      <c r="AOR17" s="593">
        <f>'Proy 2022 vs 2019 sem'!GO16*AOT$4</f>
        <v>27516.8831168</v>
      </c>
      <c r="AOS17" s="699"/>
      <c r="AOT17" s="700">
        <f>AOS17/AOQ17</f>
        <v>0</v>
      </c>
      <c r="AOU17" s="579">
        <f>ANS17+ANW17+AOA17+AOE17+AOI17+AOM17+AOQ17</f>
        <v>216881.94</v>
      </c>
      <c r="AOV17" s="574">
        <f>ANT17+ANX17+AOB17+AOF17+AOJ17+AON17+AOR17</f>
        <v>125076.74144000001</v>
      </c>
      <c r="AOW17" s="785">
        <f>ANU17+ANY17+AOC17+AOG17+AOK17+AOO17+AOS17</f>
        <v>0</v>
      </c>
      <c r="AOX17" s="786">
        <f>AOW17/AOU17</f>
        <v>0</v>
      </c>
      <c r="AOY17" s="593">
        <f>'Proy 2022 vs 2019 sem'!GW16*APB$4</f>
        <v>26359.079999999998</v>
      </c>
      <c r="AOZ17" s="593">
        <f>'Proy 2022 vs 2019 sem'!GX16*APB$4</f>
        <v>15247.871999999999</v>
      </c>
      <c r="APA17" s="735"/>
      <c r="APB17" s="700">
        <f>APA17/AOY17</f>
        <v>0</v>
      </c>
      <c r="APC17" s="593">
        <f>'Proy 2022 vs 2019 sem'!GW16*APF$4</f>
        <v>26359.079999999998</v>
      </c>
      <c r="APD17" s="593">
        <f>'Proy 2022 vs 2019 sem'!GX16*APF$4</f>
        <v>15247.871999999999</v>
      </c>
      <c r="APE17" s="735"/>
      <c r="APF17" s="700">
        <f>APE17/APC17</f>
        <v>0</v>
      </c>
      <c r="APG17" s="593">
        <f>'Proy 2022 vs 2019 sem'!GW16*APJ$4</f>
        <v>26359.079999999998</v>
      </c>
      <c r="APH17" s="593">
        <f>'Proy 2022 vs 2019 sem'!GX16*APJ$4</f>
        <v>15247.871999999999</v>
      </c>
      <c r="API17" s="735"/>
      <c r="APJ17" s="700">
        <f>API17/APG17</f>
        <v>0</v>
      </c>
      <c r="APK17" s="593">
        <f>'Proy 2022 vs 2019 sem'!GW16*APN$4</f>
        <v>26359.079999999998</v>
      </c>
      <c r="APL17" s="593">
        <f>'Proy 2022 vs 2019 sem'!GX16*APN$4</f>
        <v>15247.871999999999</v>
      </c>
      <c r="APM17" s="735"/>
      <c r="APN17" s="700">
        <f>APM17/APK17</f>
        <v>0</v>
      </c>
      <c r="APO17" s="593">
        <f>'Proy 2022 vs 2019 sem'!GW16*APR$4</f>
        <v>30752.260000000002</v>
      </c>
      <c r="APP17" s="593">
        <f>'Proy 2022 vs 2019 sem'!GX16*APR$4</f>
        <v>17789.184000000001</v>
      </c>
      <c r="APQ17" s="735"/>
      <c r="APR17" s="700">
        <f>APQ17/APO17</f>
        <v>0</v>
      </c>
      <c r="APS17" s="593">
        <f>'Proy 2022 vs 2019 sem'!GW16*APV$4</f>
        <v>35145.440000000002</v>
      </c>
      <c r="APT17" s="593">
        <f>'Proy 2022 vs 2019 sem'!GX16*APV$4</f>
        <v>20330.496000000003</v>
      </c>
      <c r="APU17" s="735"/>
      <c r="APV17" s="700">
        <f>APU17/APS17</f>
        <v>0</v>
      </c>
      <c r="APW17" s="593">
        <f>'Proy 2022 vs 2019 sem'!GW16*APZ$4</f>
        <v>48324.98</v>
      </c>
      <c r="APX17" s="593">
        <f>'Proy 2022 vs 2019 sem'!GX16*APZ$4</f>
        <v>27954.432000000001</v>
      </c>
      <c r="APY17" s="735"/>
      <c r="APZ17" s="700">
        <f>APY17/APW17</f>
        <v>0</v>
      </c>
      <c r="AQA17" s="579">
        <f>AOY17+APC17+APG17+APK17+APO17+APS17+APW17</f>
        <v>219659</v>
      </c>
      <c r="AQB17" s="574">
        <f>AOZ17+APD17+APH17+APL17+APP17+APT17+APX17</f>
        <v>127065.59999999999</v>
      </c>
      <c r="AQC17" s="729">
        <f>APA17+APE17+API17+APM17+APQ17+APU17+APY17</f>
        <v>0</v>
      </c>
      <c r="AQD17" s="711">
        <f>AQC17/AQA17</f>
        <v>0</v>
      </c>
      <c r="AQE17" s="593">
        <f>'Proy 2022 vs 2019 sem'!HB16*AQH$4</f>
        <v>30564.133199999997</v>
      </c>
      <c r="AQF17" s="593">
        <f>'Proy 2022 vs 2019 sem'!HC16*AQH$4</f>
        <v>13628.472960000001</v>
      </c>
      <c r="AQG17" s="699"/>
      <c r="AQH17" s="700">
        <f>AQG17/AQE17</f>
        <v>0</v>
      </c>
      <c r="AQI17" s="593">
        <f>'Proy 2022 vs 2019 sem'!HB16*AQL$4</f>
        <v>30564.133199999997</v>
      </c>
      <c r="AQJ17" s="593">
        <f>'Proy 2022 vs 2019 sem'!HC16*AQL$4</f>
        <v>13628.472960000001</v>
      </c>
      <c r="AQK17" s="699"/>
      <c r="AQL17" s="700">
        <f>AQK17/AQI17</f>
        <v>0</v>
      </c>
      <c r="AQM17" s="593">
        <f>'Proy 2022 vs 2019 sem'!HB16*AQP$4</f>
        <v>30564.133199999997</v>
      </c>
      <c r="AQN17" s="593">
        <f>'Proy 2022 vs 2019 sem'!HC16*AQP$4</f>
        <v>13628.472960000001</v>
      </c>
      <c r="AQO17" s="699"/>
      <c r="AQP17" s="700">
        <f>AQO17/AQM17</f>
        <v>0</v>
      </c>
      <c r="AQQ17" s="593">
        <f>'Proy 2022 vs 2019 sem'!HB16*AQT$4</f>
        <v>30564.133199999997</v>
      </c>
      <c r="AQR17" s="593">
        <f>'Proy 2022 vs 2019 sem'!HC16*AQT$4</f>
        <v>13628.472960000001</v>
      </c>
      <c r="AQS17" s="699"/>
      <c r="AQT17" s="700">
        <f>AQS17/AQQ17</f>
        <v>0</v>
      </c>
      <c r="AQU17" s="593">
        <f>'Proy 2022 vs 2019 sem'!HB16*AQX$4</f>
        <v>35658.155400000003</v>
      </c>
      <c r="AQV17" s="593">
        <f>'Proy 2022 vs 2019 sem'!HC16*AQX$4</f>
        <v>15899.885120000003</v>
      </c>
      <c r="AQW17" s="699"/>
      <c r="AQX17" s="700">
        <f>AQW17/AQU17</f>
        <v>0</v>
      </c>
      <c r="AQY17" s="593">
        <f>'Proy 2022 vs 2019 sem'!HB16*ARB$4</f>
        <v>40752.177599999995</v>
      </c>
      <c r="AQZ17" s="593">
        <f>'Proy 2022 vs 2019 sem'!HC16*ARB$4</f>
        <v>18171.297280000003</v>
      </c>
      <c r="ARA17" s="699"/>
      <c r="ARB17" s="700">
        <f>ARA17/AQY17</f>
        <v>0</v>
      </c>
      <c r="ARC17" s="593">
        <f>'Proy 2022 vs 2019 sem'!HB16*ARF$4</f>
        <v>56034.244199999994</v>
      </c>
      <c r="ARD17" s="593">
        <f>'Proy 2022 vs 2019 sem'!HC16*ARF$4</f>
        <v>24985.533760000002</v>
      </c>
      <c r="ARE17" s="699"/>
      <c r="ARF17" s="700">
        <f>ARE17/ARC17</f>
        <v>0</v>
      </c>
      <c r="ARG17" s="579">
        <f>AQE17+AQI17+AQM17+AQQ17+AQU17+AQY17+ARC17</f>
        <v>254701.10999999996</v>
      </c>
      <c r="ARH17" s="574">
        <f>AQF17+AQJ17+AQN17+AQR17+AQV17+AQZ17+ARD17</f>
        <v>113570.60800000001</v>
      </c>
      <c r="ARI17" s="730">
        <f>AQG17+AQK17+AQO17+AQS17+AQW17+ARA17+ARE17</f>
        <v>0</v>
      </c>
      <c r="ARJ17" s="711">
        <f>ARI17/ARG17</f>
        <v>0</v>
      </c>
      <c r="ARK17" s="593">
        <f>'Proy 2022 vs 2019 sem'!HG16*ARN$4</f>
        <v>23327.263199999998</v>
      </c>
      <c r="ARL17" s="593">
        <f>'Proy 2022 vs 2019 sem'!HH16*ARN$4</f>
        <v>12769.6656</v>
      </c>
      <c r="ARM17" s="699"/>
      <c r="ARN17" s="700">
        <f>ARM17/ARK17</f>
        <v>0</v>
      </c>
      <c r="ARO17" s="593">
        <f>'Proy 2022 vs 2019 sem'!HG16*ARR$4</f>
        <v>23327.263199999998</v>
      </c>
      <c r="ARP17" s="593">
        <f>'Proy 2022 vs 2019 sem'!HH16*ARR$4</f>
        <v>12769.6656</v>
      </c>
      <c r="ARQ17" s="699"/>
      <c r="ARR17" s="700">
        <f>ARQ17/ARO17</f>
        <v>0</v>
      </c>
      <c r="ARS17" s="593">
        <f>'Proy 2022 vs 2019 sem'!HG16*ARV$4</f>
        <v>23327.263199999998</v>
      </c>
      <c r="ART17" s="593">
        <f>'Proy 2022 vs 2019 sem'!HH16*ARV$4</f>
        <v>12769.6656</v>
      </c>
      <c r="ARU17" s="699"/>
      <c r="ARV17" s="700">
        <f>ARU17/ARS17</f>
        <v>0</v>
      </c>
      <c r="ARW17" s="593">
        <f>'Proy 2022 vs 2019 sem'!HG16*ARZ$4</f>
        <v>23327.263199999998</v>
      </c>
      <c r="ARX17" s="593">
        <f>'Proy 2022 vs 2019 sem'!HH16*ARZ$4</f>
        <v>12769.6656</v>
      </c>
      <c r="ARY17" s="699"/>
      <c r="ARZ17" s="700">
        <f>ARY17/ARW17</f>
        <v>0</v>
      </c>
      <c r="ASA17" s="593">
        <f>'Proy 2022 vs 2019 sem'!HG16*ASD$4</f>
        <v>27215.1404</v>
      </c>
      <c r="ASB17" s="593">
        <f>'Proy 2022 vs 2019 sem'!HH16*ASD$4</f>
        <v>14897.943200000002</v>
      </c>
      <c r="ASC17" s="699"/>
      <c r="ASD17" s="700">
        <f>ASC17/ASA17</f>
        <v>0</v>
      </c>
      <c r="ASE17" s="593">
        <f>'Proy 2022 vs 2019 sem'!HG16*ASH$4</f>
        <v>31103.017599999999</v>
      </c>
      <c r="ASF17" s="593">
        <f>'Proy 2022 vs 2019 sem'!HH16*ASH$4</f>
        <v>17026.220800000003</v>
      </c>
      <c r="ASG17" s="699"/>
      <c r="ASH17" s="700">
        <f>ASG17/ASE17</f>
        <v>0</v>
      </c>
      <c r="ASI17" s="593">
        <f>'Proy 2022 vs 2019 sem'!HG16*ASL$4</f>
        <v>42766.6492</v>
      </c>
      <c r="ASJ17" s="593">
        <f>'Proy 2022 vs 2019 sem'!HH16*ASL$4</f>
        <v>23411.053600000003</v>
      </c>
      <c r="ASK17" s="699"/>
      <c r="ASL17" s="700">
        <f>ASK17/ASI17</f>
        <v>0</v>
      </c>
      <c r="ASM17" s="579">
        <f>ARK17+ARO17+ARS17+ARW17+ASA17+ASE17+ASI17</f>
        <v>194393.86</v>
      </c>
      <c r="ASN17" s="574">
        <f>ARL17+ARP17+ART17+ARX17+ASB17+ASF17+ASJ17</f>
        <v>106413.88000000002</v>
      </c>
      <c r="ASO17" s="730">
        <f>ARM17+ARQ17+ARU17+ARY17+ASC17+ASG17+ASK17</f>
        <v>0</v>
      </c>
      <c r="ASP17" s="711">
        <f>ASO17/ASM17</f>
        <v>0</v>
      </c>
      <c r="ASQ17" s="593">
        <f>'Proy 2022 vs 2019 sem'!HL16*AST$4</f>
        <v>23505.335999999999</v>
      </c>
      <c r="ASR17" s="593">
        <f>'Proy 2022 vs 2019 sem'!HM16*AST$4</f>
        <v>12801.737279999999</v>
      </c>
      <c r="ASS17" s="699"/>
      <c r="AST17" s="700">
        <f>ASS17/ASQ17</f>
        <v>0</v>
      </c>
      <c r="ASU17" s="593">
        <f>'Proy 2022 vs 2019 sem'!HL16*ASX$4</f>
        <v>23505.335999999999</v>
      </c>
      <c r="ASV17" s="593">
        <f>'Proy 2022 vs 2019 sem'!HM16*ASX$4</f>
        <v>12801.737279999999</v>
      </c>
      <c r="ASW17" s="699"/>
      <c r="ASX17" s="700">
        <f>ASW17/ASU17</f>
        <v>0</v>
      </c>
      <c r="ASY17" s="593">
        <f>'Proy 2022 vs 2019 sem'!HL16*ATB$4</f>
        <v>23505.335999999999</v>
      </c>
      <c r="ASZ17" s="593">
        <f>'Proy 2022 vs 2019 sem'!HM16*ATB$4</f>
        <v>12801.737279999999</v>
      </c>
      <c r="ATA17" s="699"/>
      <c r="ATB17" s="700">
        <f>ATA17/ASY17</f>
        <v>0</v>
      </c>
      <c r="ATC17" s="593">
        <f>'Proy 2022 vs 2019 sem'!HL16*ATF$4</f>
        <v>23505.335999999999</v>
      </c>
      <c r="ATD17" s="593">
        <f>'Proy 2022 vs 2019 sem'!HM16*ATF$4</f>
        <v>12801.737279999999</v>
      </c>
      <c r="ATE17" s="699"/>
      <c r="ATF17" s="700">
        <f>ATE17/ATC17</f>
        <v>0</v>
      </c>
      <c r="ATG17" s="593">
        <f>'Proy 2022 vs 2019 sem'!HL16*ATJ$4</f>
        <v>27422.892</v>
      </c>
      <c r="ATH17" s="593">
        <f>'Proy 2022 vs 2019 sem'!HM16*ATJ$4</f>
        <v>14935.360160000002</v>
      </c>
      <c r="ATI17" s="699"/>
      <c r="ATJ17" s="700">
        <f>ATI17/ATG17</f>
        <v>0</v>
      </c>
      <c r="ATK17" s="593">
        <f>'Proy 2022 vs 2019 sem'!HL16*ATN$4</f>
        <v>31340.448</v>
      </c>
      <c r="ATL17" s="593">
        <f>'Proy 2022 vs 2019 sem'!HM16*ATN$4</f>
        <v>17068.983039999999</v>
      </c>
      <c r="ATM17" s="699"/>
      <c r="ATN17" s="700">
        <f>ATM17/ATK17</f>
        <v>0</v>
      </c>
      <c r="ATO17" s="593">
        <f>'Proy 2022 vs 2019 sem'!HL16*ATR$4</f>
        <v>43093.115999999995</v>
      </c>
      <c r="ATP17" s="593">
        <f>'Proy 2022 vs 2019 sem'!HM16*ATR$4</f>
        <v>23469.85168</v>
      </c>
      <c r="ATQ17" s="699"/>
      <c r="ATR17" s="700">
        <f>ATQ17/ATO17</f>
        <v>0</v>
      </c>
      <c r="ATS17" s="579">
        <f>ASQ17+ASU17+ASY17+ATC17+ATG17+ATK17+ATO17</f>
        <v>195877.8</v>
      </c>
      <c r="ATT17" s="574">
        <f>ASR17+ASV17+ASZ17+ATD17+ATH17+ATL17+ATP17</f>
        <v>106681.144</v>
      </c>
      <c r="ATU17" s="710">
        <f>ASS17+ASW17+ATA17+ATE17+ATI17+ATM17+ATQ17</f>
        <v>0</v>
      </c>
      <c r="ATV17" s="711">
        <f>ATU17/ATS17</f>
        <v>0</v>
      </c>
      <c r="ATW17" s="593">
        <f>'Proy 2022 vs 2019 sem'!HQ16*ATZ$4</f>
        <v>25455.132000000001</v>
      </c>
      <c r="ATX17" s="593">
        <f>'Proy 2022 vs 2019 sem'!HR16*ATZ$4</f>
        <v>14328.4128</v>
      </c>
      <c r="ATY17" s="699"/>
      <c r="ATZ17" s="700">
        <f>ATY17/ATW17</f>
        <v>0</v>
      </c>
      <c r="AUA17" s="593">
        <f>'Proy 2022 vs 2019 sem'!HQ16*AUD$4</f>
        <v>25455.132000000001</v>
      </c>
      <c r="AUB17" s="593">
        <f>'Proy 2022 vs 2019 sem'!HR16*AUD$4</f>
        <v>14328.4128</v>
      </c>
      <c r="AUC17" s="699"/>
      <c r="AUD17" s="700">
        <f>AUC17/AUA17</f>
        <v>0</v>
      </c>
      <c r="AUE17" s="593">
        <f>'Proy 2022 vs 2019 sem'!HQ16*AUH$4</f>
        <v>25455.132000000001</v>
      </c>
      <c r="AUF17" s="593">
        <f>'Proy 2022 vs 2019 sem'!HR16*AUH$4</f>
        <v>14328.4128</v>
      </c>
      <c r="AUG17" s="699"/>
      <c r="AUH17" s="700">
        <f>AUG17/AUE17</f>
        <v>0</v>
      </c>
      <c r="AUI17" s="593">
        <f>'Proy 2022 vs 2019 sem'!HQ16*AUL$4</f>
        <v>25455.132000000001</v>
      </c>
      <c r="AUJ17" s="593">
        <f>'Proy 2022 vs 2019 sem'!HR16*AUL$4</f>
        <v>14328.4128</v>
      </c>
      <c r="AUK17" s="699"/>
      <c r="AUL17" s="700">
        <f>AUK17/AUI17</f>
        <v>0</v>
      </c>
      <c r="AUM17" s="593">
        <f>'Proy 2022 vs 2019 sem'!HQ16*AUP$4</f>
        <v>29697.654000000002</v>
      </c>
      <c r="AUN17" s="593">
        <f>'Proy 2022 vs 2019 sem'!HR16*AUP$4</f>
        <v>16716.481600000003</v>
      </c>
      <c r="AUO17" s="699"/>
      <c r="AUP17" s="700">
        <f>AUO17/AUM17</f>
        <v>0</v>
      </c>
      <c r="AUQ17" s="593">
        <f>'Proy 2022 vs 2019 sem'!HQ16*AUT$4</f>
        <v>33940.175999999999</v>
      </c>
      <c r="AUR17" s="593">
        <f>'Proy 2022 vs 2019 sem'!HR16*AUT$4</f>
        <v>19104.5504</v>
      </c>
      <c r="AUS17" s="699"/>
      <c r="AUT17" s="700">
        <f>AUS17/AUQ17</f>
        <v>0</v>
      </c>
      <c r="AUU17" s="593">
        <f>'Proy 2022 vs 2019 sem'!HQ16*AUX$4</f>
        <v>46667.741999999998</v>
      </c>
      <c r="AUV17" s="593">
        <f>'Proy 2022 vs 2019 sem'!HR16*AUX$4</f>
        <v>26268.756799999999</v>
      </c>
      <c r="AUW17" s="699"/>
      <c r="AUX17" s="700">
        <f>AUW17/AUU17</f>
        <v>0</v>
      </c>
      <c r="AUY17" s="579">
        <f>ATW17+AUA17+AUE17+AUI17+AUM17+AUQ17+AUU17</f>
        <v>212126.1</v>
      </c>
      <c r="AUZ17" s="574">
        <f>ATX17+AUB17+AUF17+AUJ17+AUN17+AUR17+AUV17</f>
        <v>119403.44</v>
      </c>
      <c r="AVA17" s="710">
        <f>ATY17+AUC17+AUG17+AUK17+AUO17+AUS17+AUW17</f>
        <v>0</v>
      </c>
      <c r="AVB17" s="711">
        <f>AVA17/AUY17</f>
        <v>0</v>
      </c>
      <c r="AVC17" s="593">
        <f>'Proy 2022 vs 2019 sem'!HZ16*AVF$4</f>
        <v>22050.260399999999</v>
      </c>
      <c r="AVD17" s="593">
        <f>'Proy 2022 vs 2019 sem'!IA16*AVF$4</f>
        <v>13025.811840000002</v>
      </c>
      <c r="AVE17" s="735"/>
      <c r="AVF17" s="700">
        <f>AVE17/AVC17</f>
        <v>0</v>
      </c>
      <c r="AVG17" s="593">
        <f>'Proy 2022 vs 2019 sem'!HZ16*AVJ$4</f>
        <v>22050.260399999999</v>
      </c>
      <c r="AVH17" s="593">
        <f>'Proy 2022 vs 2019 sem'!IA16*AVJ$4</f>
        <v>13025.811840000002</v>
      </c>
      <c r="AVI17" s="699"/>
      <c r="AVJ17" s="700">
        <f>AVI17/AVG17</f>
        <v>0</v>
      </c>
      <c r="AVK17" s="593">
        <f>'Proy 2022 vs 2019 sem'!HZ16*AVN$4</f>
        <v>22050.260399999999</v>
      </c>
      <c r="AVL17" s="593">
        <f>'Proy 2022 vs 2019 sem'!IA16*AVN$4</f>
        <v>13025.811840000002</v>
      </c>
      <c r="AVM17" s="699"/>
      <c r="AVN17" s="700">
        <f>AVM17/AVK17</f>
        <v>0</v>
      </c>
      <c r="AVO17" s="593">
        <f>'Proy 2022 vs 2019 sem'!HZ16*AVR$4</f>
        <v>22050.260399999999</v>
      </c>
      <c r="AVP17" s="593">
        <f>'Proy 2022 vs 2019 sem'!IA16*AVR$4</f>
        <v>13025.811840000002</v>
      </c>
      <c r="AVQ17" s="699"/>
      <c r="AVR17" s="700">
        <f>AVQ17/AVO17</f>
        <v>0</v>
      </c>
      <c r="AVS17" s="593">
        <f>'Proy 2022 vs 2019 sem'!HZ16*AVV$4</f>
        <v>25725.303800000005</v>
      </c>
      <c r="AVT17" s="593">
        <f>'Proy 2022 vs 2019 sem'!IA16*AVV$4</f>
        <v>15196.780480000003</v>
      </c>
      <c r="AVU17" s="699"/>
      <c r="AVV17" s="700">
        <f>AVU17/AVS17</f>
        <v>0</v>
      </c>
      <c r="AVW17" s="593">
        <f>'Proy 2022 vs 2019 sem'!HZ16*AVZ$4</f>
        <v>29400.347200000004</v>
      </c>
      <c r="AVX17" s="593">
        <f>'Proy 2022 vs 2019 sem'!IA16*AVZ$4</f>
        <v>17367.749120000004</v>
      </c>
      <c r="AVY17" s="699"/>
      <c r="AVZ17" s="700">
        <f>AVY17/AVW17</f>
        <v>0</v>
      </c>
      <c r="AWA17" s="593">
        <f>'Proy 2022 vs 2019 sem'!HZ16*AWD$4</f>
        <v>40425.477400000003</v>
      </c>
      <c r="AWB17" s="593">
        <f>'Proy 2022 vs 2019 sem'!IA16*AWD$4</f>
        <v>23880.655040000005</v>
      </c>
      <c r="AWC17" s="699"/>
      <c r="AWD17" s="700">
        <f>AWC17/AWA17</f>
        <v>0</v>
      </c>
      <c r="AWE17" s="579">
        <f>AVC17+AVG17+AVK17+AVO17+AVS17+AVW17+AWA17</f>
        <v>183752.17</v>
      </c>
      <c r="AWF17" s="574">
        <f>AVD17+AVH17+AVL17+AVP17+AVT17+AVX17+AWB17</f>
        <v>108548.43200000003</v>
      </c>
      <c r="AWG17" s="793">
        <f>AVE17+AVI17+AVM17+AVQ17+AVU17+AVY17+AWC17</f>
        <v>0</v>
      </c>
      <c r="AWH17" s="786">
        <f>AWG17/AWE17</f>
        <v>0</v>
      </c>
      <c r="AWI17" s="593">
        <f>'Proy 2022 vs 2019 sem'!IE16*AWL$4</f>
        <v>23013.781200000001</v>
      </c>
      <c r="AWJ17" s="593">
        <f>'Proy 2022 vs 2019 sem'!IF16*AWL$4</f>
        <v>14880.980755199998</v>
      </c>
      <c r="AWK17" s="699"/>
      <c r="AWL17" s="700">
        <f>AWK17/AWI17</f>
        <v>0</v>
      </c>
      <c r="AWM17" s="593">
        <f>'Proy 2022 vs 2019 sem'!IE16*AWP$4</f>
        <v>23013.781200000001</v>
      </c>
      <c r="AWN17" s="593">
        <f>'Proy 2022 vs 2019 sem'!IF16*AWP$4</f>
        <v>14880.980755199998</v>
      </c>
      <c r="AWO17" s="699"/>
      <c r="AWP17" s="700">
        <f>AWO17/AWM17</f>
        <v>0</v>
      </c>
      <c r="AWQ17" s="593">
        <f>'Proy 2022 vs 2019 sem'!IE16*AWT$4</f>
        <v>23013.781200000001</v>
      </c>
      <c r="AWR17" s="593">
        <f>'Proy 2022 vs 2019 sem'!IF16*AWT$4</f>
        <v>14880.980755199998</v>
      </c>
      <c r="AWS17" s="699"/>
      <c r="AWT17" s="700">
        <f>AWS17/AWQ17</f>
        <v>0</v>
      </c>
      <c r="AWU17" s="593">
        <f>'Proy 2022 vs 2019 sem'!IE16*AWX$4</f>
        <v>23013.781200000001</v>
      </c>
      <c r="AWV17" s="593">
        <f>'Proy 2022 vs 2019 sem'!IF16*AWX$4</f>
        <v>14880.980755199998</v>
      </c>
      <c r="AWW17" s="699"/>
      <c r="AWX17" s="700">
        <f>AWW17/AWU17</f>
        <v>0</v>
      </c>
      <c r="AWY17" s="593">
        <f>'Proy 2022 vs 2019 sem'!IE16*AXB$4</f>
        <v>26849.411400000005</v>
      </c>
      <c r="AWZ17" s="593">
        <f>'Proy 2022 vs 2019 sem'!IF16*AXB$4</f>
        <v>17361.144214399999</v>
      </c>
      <c r="AXA17" s="699"/>
      <c r="AXB17" s="700">
        <f>AXA17/AWY17</f>
        <v>0</v>
      </c>
      <c r="AXC17" s="593">
        <f>'Proy 2022 vs 2019 sem'!IE16*AXF$4</f>
        <v>30685.0416</v>
      </c>
      <c r="AXD17" s="593">
        <f>'Proy 2022 vs 2019 sem'!IF16*AXF$4</f>
        <v>19841.3076736</v>
      </c>
      <c r="AXE17" s="699"/>
      <c r="AXF17" s="700">
        <f>AXE17/AXC17</f>
        <v>0</v>
      </c>
      <c r="AXG17" s="593">
        <f>'Proy 2022 vs 2019 sem'!IE16*AXJ$4</f>
        <v>42191.932200000003</v>
      </c>
      <c r="AXH17" s="593">
        <f>'Proy 2022 vs 2019 sem'!IF16*AXJ$4</f>
        <v>27281.798051199999</v>
      </c>
      <c r="AXI17" s="699"/>
      <c r="AXJ17" s="700">
        <f>AXI17/AXG17</f>
        <v>0</v>
      </c>
      <c r="AXK17" s="579">
        <f>AWI17+AWM17+AWQ17+AWU17+AWY17+AXC17+AXG17</f>
        <v>191781.51</v>
      </c>
      <c r="AXL17" s="574">
        <f>AWJ17+AWN17+AWR17+AWV17+AWZ17+AXD17+AXH17</f>
        <v>124008.17296</v>
      </c>
      <c r="AXM17" s="794">
        <f>AWK17+AWO17+AWS17+AWW17+AXA17+AXE17+AXI17</f>
        <v>0</v>
      </c>
      <c r="AXN17" s="786">
        <f>AXM17/AXK17</f>
        <v>0</v>
      </c>
      <c r="AXO17" s="593">
        <f>'Proy 2022 vs 2019 sem'!IJ16*AXR$4</f>
        <v>25729.991999999998</v>
      </c>
      <c r="AXP17" s="593">
        <f>'Proy 2022 vs 2019 sem'!IK16*AXR$4</f>
        <v>15180.28032</v>
      </c>
      <c r="AXQ17" s="699"/>
      <c r="AXR17" s="700">
        <f>AXQ17/AXO17</f>
        <v>0</v>
      </c>
      <c r="AXS17" s="593">
        <f>'Proy 2022 vs 2019 sem'!IJ16*AXV$4</f>
        <v>25729.991999999998</v>
      </c>
      <c r="AXT17" s="593">
        <f>'Proy 2022 vs 2019 sem'!IK16*AXV$4</f>
        <v>15180.28032</v>
      </c>
      <c r="AXU17" s="699"/>
      <c r="AXV17" s="700">
        <f>AXU17/AXS17</f>
        <v>0</v>
      </c>
      <c r="AXW17" s="593">
        <f>'Proy 2022 vs 2019 sem'!IJ16*AXZ$4</f>
        <v>25729.991999999998</v>
      </c>
      <c r="AXX17" s="593">
        <f>'Proy 2022 vs 2019 sem'!IK16*AXZ$4</f>
        <v>15180.28032</v>
      </c>
      <c r="AXY17" s="699"/>
      <c r="AXZ17" s="700">
        <f>AXY17/AXW17</f>
        <v>0</v>
      </c>
      <c r="AYA17" s="593">
        <f>'Proy 2022 vs 2019 sem'!IJ16*AYD$4</f>
        <v>25729.991999999998</v>
      </c>
      <c r="AYB17" s="593">
        <f>'Proy 2022 vs 2019 sem'!IK16*AYD$4</f>
        <v>15180.28032</v>
      </c>
      <c r="AYC17" s="699"/>
      <c r="AYD17" s="700">
        <f>AYC17/AYA17</f>
        <v>0</v>
      </c>
      <c r="AYE17" s="593">
        <f>'Proy 2022 vs 2019 sem'!IJ16*AYH$4</f>
        <v>30018.324000000004</v>
      </c>
      <c r="AYF17" s="593">
        <f>'Proy 2022 vs 2019 sem'!IK16*AYH$4</f>
        <v>17710.327040000004</v>
      </c>
      <c r="AYG17" s="699"/>
      <c r="AYH17" s="700">
        <f>AYG17/AYE17</f>
        <v>0</v>
      </c>
      <c r="AYI17" s="593">
        <f>'Proy 2022 vs 2019 sem'!IJ16*AYL$4</f>
        <v>34306.656000000003</v>
      </c>
      <c r="AYJ17" s="593">
        <f>'Proy 2022 vs 2019 sem'!IK16*AYL$4</f>
        <v>20240.373760000002</v>
      </c>
      <c r="AYK17" s="699"/>
      <c r="AYL17" s="700">
        <f>AYK17/AYI17</f>
        <v>0</v>
      </c>
      <c r="AYM17" s="593">
        <f>'Proy 2022 vs 2019 sem'!IJ16*AYP$4</f>
        <v>47171.652000000002</v>
      </c>
      <c r="AYN17" s="593">
        <f>'Proy 2022 vs 2019 sem'!IK16*AYP$4</f>
        <v>27830.513920000001</v>
      </c>
      <c r="AYO17" s="699"/>
      <c r="AYP17" s="700">
        <f>AYO17/AYM17</f>
        <v>0</v>
      </c>
      <c r="AYQ17" s="579">
        <f>AXO17+AXS17+AXW17+AYA17+AYE17+AYI17+AYM17</f>
        <v>214416.59999999998</v>
      </c>
      <c r="AYR17" s="574">
        <f>AXP17+AXT17+AXX17+AYB17+AYF17+AYJ17+AYN17</f>
        <v>126502.336</v>
      </c>
      <c r="AYS17" s="794">
        <f>AXQ17+AXU17+AXY17+AYC17+AYG17+AYK17+AYO17</f>
        <v>0</v>
      </c>
      <c r="AYT17" s="786">
        <f>AYS17/AYQ17</f>
        <v>0</v>
      </c>
      <c r="AYU17" s="593">
        <f>'Proy 2022 vs 2019 sem'!IO16*AYX$4</f>
        <v>27835.989599999997</v>
      </c>
      <c r="AYV17" s="593">
        <f>'Proy 2022 vs 2019 sem'!IP16*AYX$4</f>
        <v>19547.202240000002</v>
      </c>
      <c r="AYW17" s="699"/>
      <c r="AYX17" s="700">
        <f>AYW17/AYU17</f>
        <v>0</v>
      </c>
      <c r="AYY17" s="593">
        <f>'Proy 2022 vs 2019 sem'!IO16*AZB$4</f>
        <v>27835.989599999997</v>
      </c>
      <c r="AYZ17" s="593">
        <f>'Proy 2022 vs 2019 sem'!IP16*AZB$4</f>
        <v>19547.202240000002</v>
      </c>
      <c r="AZA17" s="699"/>
      <c r="AZB17" s="700">
        <f>AZA17/AYY17</f>
        <v>0</v>
      </c>
      <c r="AZC17" s="593">
        <f>'Proy 2022 vs 2019 sem'!IO16*AZF$4</f>
        <v>27835.989599999997</v>
      </c>
      <c r="AZD17" s="593">
        <f>'Proy 2022 vs 2019 sem'!IP16*AZF$4</f>
        <v>19547.202240000002</v>
      </c>
      <c r="AZE17" s="699"/>
      <c r="AZF17" s="700">
        <f>AZE17/AZC17</f>
        <v>0</v>
      </c>
      <c r="AZG17" s="593">
        <f>'Proy 2022 vs 2019 sem'!IO16*AZJ$4</f>
        <v>27835.989599999997</v>
      </c>
      <c r="AZH17" s="593">
        <f>'Proy 2022 vs 2019 sem'!IP16*AZJ$4</f>
        <v>19547.202240000002</v>
      </c>
      <c r="AZI17" s="699"/>
      <c r="AZJ17" s="700">
        <f>AZI17/AZG17</f>
        <v>0</v>
      </c>
      <c r="AZK17" s="593">
        <f>'Proy 2022 vs 2019 sem'!IO16*AZN$4</f>
        <v>32475.321200000002</v>
      </c>
      <c r="AZL17" s="593">
        <f>'Proy 2022 vs 2019 sem'!IP16*AZN$4</f>
        <v>22805.069280000003</v>
      </c>
      <c r="AZM17" s="699"/>
      <c r="AZN17" s="700">
        <f>AZM17/AZK17</f>
        <v>0</v>
      </c>
      <c r="AZO17" s="593">
        <f>'Proy 2022 vs 2019 sem'!IO16*AZR$4</f>
        <v>37114.652799999996</v>
      </c>
      <c r="AZP17" s="593">
        <f>'Proy 2022 vs 2019 sem'!IP16*AZR$4</f>
        <v>26062.936320000004</v>
      </c>
      <c r="AZQ17" s="699"/>
      <c r="AZR17" s="700">
        <f>AZQ17/AZO17</f>
        <v>0</v>
      </c>
      <c r="AZS17" s="593">
        <f>'Proy 2022 vs 2019 sem'!IO16*AZV$4</f>
        <v>51032.647599999997</v>
      </c>
      <c r="AZT17" s="593">
        <f>'Proy 2022 vs 2019 sem'!IP16*AZV$4</f>
        <v>35836.53744</v>
      </c>
      <c r="AZU17" s="699"/>
      <c r="AZV17" s="700">
        <f>AZU17/AZS17</f>
        <v>0</v>
      </c>
      <c r="AZW17" s="579">
        <f>AYU17+AYY17+AZC17+AZG17+AZK17+AZO17+AZS17</f>
        <v>231966.58</v>
      </c>
      <c r="AZX17" s="574">
        <f>AYV17+AYZ17+AZD17+AZH17+AZL17+AZP17+AZT17</f>
        <v>162893.35200000001</v>
      </c>
      <c r="AZY17" s="785">
        <f>AYW17+AZA17+AZE17+AZI17+AZM17+AZQ17+AZU17</f>
        <v>0</v>
      </c>
      <c r="AZZ17" s="786">
        <f>AZY17/AZW17</f>
        <v>0</v>
      </c>
      <c r="BAA17" s="593">
        <f>'Proy 2022 vs 2019 sem'!IX16*BAD$4</f>
        <v>20575.081200000001</v>
      </c>
      <c r="BAB17" s="593">
        <f>'Proy 2022 vs 2019 sem'!IY16*BAD$4</f>
        <v>12727.30464</v>
      </c>
      <c r="BAC17" s="735"/>
      <c r="BAD17" s="700">
        <f>BAC17/BAA17</f>
        <v>0</v>
      </c>
      <c r="BAE17" s="593">
        <f>'Proy 2022 vs 2019 sem'!IX16*BAH$4</f>
        <v>20575.081200000001</v>
      </c>
      <c r="BAF17" s="593">
        <f>'Proy 2022 vs 2019 sem'!IY16*BAH$4</f>
        <v>12727.30464</v>
      </c>
      <c r="BAG17" s="699"/>
      <c r="BAH17" s="700">
        <f>BAG17/BAE17</f>
        <v>0</v>
      </c>
      <c r="BAI17" s="593">
        <f>'Proy 2022 vs 2019 sem'!IX16*BAL$4</f>
        <v>20575.081200000001</v>
      </c>
      <c r="BAJ17" s="593">
        <f>'Proy 2022 vs 2019 sem'!IY16*BAL$4</f>
        <v>12727.30464</v>
      </c>
      <c r="BAK17" s="699"/>
      <c r="BAL17" s="700">
        <f>BAK17/BAI17</f>
        <v>0</v>
      </c>
      <c r="BAM17" s="593">
        <f>'Proy 2022 vs 2019 sem'!IX16*BAP$4</f>
        <v>20575.081200000001</v>
      </c>
      <c r="BAN17" s="593">
        <f>'Proy 2022 vs 2019 sem'!IY16*BAP$4</f>
        <v>12727.30464</v>
      </c>
      <c r="BAO17" s="699"/>
      <c r="BAP17" s="700">
        <f>BAO17/BAM17</f>
        <v>0</v>
      </c>
      <c r="BAQ17" s="593">
        <f>'Proy 2022 vs 2019 sem'!IX16*BAT$4</f>
        <v>24004.261400000003</v>
      </c>
      <c r="BAR17" s="593">
        <f>'Proy 2022 vs 2019 sem'!IY16*BAT$4</f>
        <v>14848.522080000002</v>
      </c>
      <c r="BAS17" s="699"/>
      <c r="BAT17" s="700">
        <f>BAS17/BAQ17</f>
        <v>0</v>
      </c>
      <c r="BAU17" s="593">
        <f>'Proy 2022 vs 2019 sem'!IX16*BAX$4</f>
        <v>27433.441600000002</v>
      </c>
      <c r="BAV17" s="593">
        <f>'Proy 2022 vs 2019 sem'!IY16*BAX$4</f>
        <v>16969.739519999999</v>
      </c>
      <c r="BAW17" s="699"/>
      <c r="BAX17" s="700">
        <f>BAW17/BAU17</f>
        <v>0</v>
      </c>
      <c r="BAY17" s="593">
        <f>'Proy 2022 vs 2019 sem'!IX16*BBB$4</f>
        <v>37720.982200000006</v>
      </c>
      <c r="BAZ17" s="593">
        <f>'Proy 2022 vs 2019 sem'!IY16*BBB$4</f>
        <v>23333.39184</v>
      </c>
      <c r="BBA17" s="699"/>
      <c r="BBB17" s="700">
        <f>BBA17/BAY17</f>
        <v>0</v>
      </c>
      <c r="BBC17" s="579">
        <f>BAA17+BAE17+BAI17+BAM17+BAQ17+BAU17+BAY17</f>
        <v>171459.01</v>
      </c>
      <c r="BBD17" s="574">
        <f>BAB17+BAF17+BAJ17+BAN17+BAR17+BAV17+BAZ17</f>
        <v>106060.872</v>
      </c>
      <c r="BBE17" s="759">
        <f>BAC17+BAG17+BAK17+BAO17+BAS17+BAW17+BBA17</f>
        <v>0</v>
      </c>
      <c r="BBF17" s="761">
        <f>BBE17/BBC17</f>
        <v>0</v>
      </c>
      <c r="BBG17" s="593">
        <f>'Proy 2022 vs 2019 sem'!JC16*BBJ$4</f>
        <v>24535.443599999999</v>
      </c>
      <c r="BBH17" s="593">
        <f>'Proy 2022 vs 2019 sem'!JD16*BBJ$4</f>
        <v>17799.020236800003</v>
      </c>
      <c r="BBI17" s="699"/>
      <c r="BBJ17" s="700">
        <f>BBI17/BBG17</f>
        <v>0</v>
      </c>
      <c r="BBK17" s="593">
        <f>'Proy 2022 vs 2019 sem'!JC16*BBN$4</f>
        <v>24535.443599999999</v>
      </c>
      <c r="BBL17" s="593">
        <f>'Proy 2022 vs 2019 sem'!JD16*BBN$4</f>
        <v>17799.020236800003</v>
      </c>
      <c r="BBM17" s="699"/>
      <c r="BBN17" s="700">
        <f>BBM17/BBK17</f>
        <v>0</v>
      </c>
      <c r="BBO17" s="593">
        <f>'Proy 2022 vs 2019 sem'!JC16*BBR$4</f>
        <v>24535.443599999999</v>
      </c>
      <c r="BBP17" s="593">
        <f>'Proy 2022 vs 2019 sem'!JD16*BBR$4</f>
        <v>17799.020236800003</v>
      </c>
      <c r="BBQ17" s="699"/>
      <c r="BBR17" s="700">
        <f>BBQ17/BBO17</f>
        <v>0</v>
      </c>
      <c r="BBS17" s="593">
        <f>'Proy 2022 vs 2019 sem'!JC16*BBV$4</f>
        <v>24535.443599999999</v>
      </c>
      <c r="BBT17" s="593">
        <f>'Proy 2022 vs 2019 sem'!JD16*BBV$4</f>
        <v>17799.020236800003</v>
      </c>
      <c r="BBU17" s="699"/>
      <c r="BBV17" s="700">
        <f>BBU17/BBS17</f>
        <v>0</v>
      </c>
      <c r="BBW17" s="593">
        <f>'Proy 2022 vs 2019 sem'!JC16*BBZ$4</f>
        <v>28624.684200000003</v>
      </c>
      <c r="BBX17" s="593">
        <f>'Proy 2022 vs 2019 sem'!JD16*BBZ$4</f>
        <v>20765.523609600004</v>
      </c>
      <c r="BBY17" s="699"/>
      <c r="BBZ17" s="700">
        <f>BBY17/BBW17</f>
        <v>0</v>
      </c>
      <c r="BCA17" s="593">
        <f>'Proy 2022 vs 2019 sem'!JC16*BCD$4</f>
        <v>32713.924800000001</v>
      </c>
      <c r="BCB17" s="593">
        <f>'Proy 2022 vs 2019 sem'!JD16*BCD$4</f>
        <v>23732.026982400002</v>
      </c>
      <c r="BCC17" s="699"/>
      <c r="BCD17" s="700">
        <f>BCC17/BCA17</f>
        <v>0</v>
      </c>
      <c r="BCE17" s="593">
        <f>'Proy 2022 vs 2019 sem'!JC16*BCH$4</f>
        <v>44981.6466</v>
      </c>
      <c r="BCF17" s="593">
        <f>'Proy 2022 vs 2019 sem'!JD16*BCH$4</f>
        <v>32631.537100800004</v>
      </c>
      <c r="BCG17" s="699"/>
      <c r="BCH17" s="700">
        <f>BCG17/BCE17</f>
        <v>0</v>
      </c>
      <c r="BCI17" s="579">
        <f>BBG17+BBK17+BBO17+BBS17+BBW17+BCA17+BCE17</f>
        <v>204462.03</v>
      </c>
      <c r="BCJ17" s="574">
        <f>BBH17+BBL17+BBP17+BBT17+BBX17+BCB17+BCF17</f>
        <v>148325.16864000002</v>
      </c>
      <c r="BCK17" s="765">
        <f>BBI17+BBM17+BBQ17+BBU17+BBY17+BCC17+BCG17</f>
        <v>0</v>
      </c>
      <c r="BCL17" s="761">
        <f>BCK17/BCI17</f>
        <v>0</v>
      </c>
      <c r="BCM17" s="593">
        <f>'Proy 2022 vs 2019 sem'!JH16*BCP$4</f>
        <v>33091.120800000004</v>
      </c>
      <c r="BCN17" s="593">
        <f>'Proy 2022 vs 2019 sem'!JI16*BCP$4</f>
        <v>22174.637183999999</v>
      </c>
      <c r="BCO17" s="699"/>
      <c r="BCP17" s="700">
        <f>BCO17/BCM17</f>
        <v>0</v>
      </c>
      <c r="BCQ17" s="593">
        <f>'Proy 2022 vs 2019 sem'!JH16*BCT$4</f>
        <v>33091.120800000004</v>
      </c>
      <c r="BCR17" s="593">
        <f>'Proy 2022 vs 2019 sem'!JI16*BCT$4</f>
        <v>22174.637183999999</v>
      </c>
      <c r="BCS17" s="699"/>
      <c r="BCT17" s="700">
        <f>BCS17/BCQ17</f>
        <v>0</v>
      </c>
      <c r="BCU17" s="593">
        <f>'Proy 2022 vs 2019 sem'!JH16*BCX$4</f>
        <v>33091.120800000004</v>
      </c>
      <c r="BCV17" s="593">
        <f>'Proy 2022 vs 2019 sem'!JI16*BCX$4</f>
        <v>22174.637183999999</v>
      </c>
      <c r="BCW17" s="699"/>
      <c r="BCX17" s="700">
        <f>BCW17/BCU17</f>
        <v>0</v>
      </c>
      <c r="BCY17" s="593">
        <f>'Proy 2022 vs 2019 sem'!JH16*BDB$4</f>
        <v>33091.120800000004</v>
      </c>
      <c r="BCZ17" s="593">
        <f>'Proy 2022 vs 2019 sem'!JI16*BDB$4</f>
        <v>22174.637183999999</v>
      </c>
      <c r="BDA17" s="699"/>
      <c r="BDB17" s="700">
        <f>BDA17/BCY17</f>
        <v>0</v>
      </c>
      <c r="BDC17" s="593">
        <f>'Proy 2022 vs 2019 sem'!JH16*BDF$4</f>
        <v>38606.307600000007</v>
      </c>
      <c r="BDD17" s="593">
        <f>'Proy 2022 vs 2019 sem'!JI16*BDF$4</f>
        <v>25870.410048000002</v>
      </c>
      <c r="BDE17" s="699"/>
      <c r="BDF17" s="700">
        <f>BDE17/BDC17</f>
        <v>0</v>
      </c>
      <c r="BDG17" s="593">
        <f>'Proy 2022 vs 2019 sem'!JH16*BDJ$4</f>
        <v>44121.494400000003</v>
      </c>
      <c r="BDH17" s="593">
        <f>'Proy 2022 vs 2019 sem'!JI16*BDJ$4</f>
        <v>29566.182912</v>
      </c>
      <c r="BDI17" s="699"/>
      <c r="BDJ17" s="700">
        <f>BDI17/BDG17</f>
        <v>0</v>
      </c>
      <c r="BDK17" s="593">
        <f>'Proy 2022 vs 2019 sem'!JH16*BDN$4</f>
        <v>60667.054800000005</v>
      </c>
      <c r="BDL17" s="593">
        <f>'Proy 2022 vs 2019 sem'!JI16*BDN$4</f>
        <v>40653.501504</v>
      </c>
      <c r="BDM17" s="699"/>
      <c r="BDN17" s="700">
        <f>BDM17/BDK17</f>
        <v>0</v>
      </c>
      <c r="BDO17" s="579">
        <f>BCM17+BCQ17+BCU17+BCY17+BDC17+BDG17+BDK17</f>
        <v>275759.34000000003</v>
      </c>
      <c r="BDP17" s="574">
        <f>BCN17+BCR17+BCV17+BCZ17+BDD17+BDH17+BDL17</f>
        <v>184788.64319999999</v>
      </c>
      <c r="BDQ17" s="765">
        <f>BCO17+BCS17+BCW17+BDA17+BDE17+BDI17+BDM17</f>
        <v>0</v>
      </c>
      <c r="BDR17" s="761">
        <f>BDQ17/BDO17</f>
        <v>0</v>
      </c>
      <c r="BDS17" s="593">
        <f>'Proy 2022 vs 2019 sem'!JM16*BDV$4</f>
        <v>39356.234400000001</v>
      </c>
      <c r="BDT17" s="593">
        <f>'Proy 2022 vs 2019 sem'!JN16*BDV$4</f>
        <v>25706.03904</v>
      </c>
      <c r="BDU17" s="699"/>
      <c r="BDV17" s="700">
        <f>BDU17/BDS17</f>
        <v>0</v>
      </c>
      <c r="BDW17" s="593">
        <f>'Proy 2022 vs 2019 sem'!JM16*BDZ$4</f>
        <v>39356.234400000001</v>
      </c>
      <c r="BDX17" s="593">
        <f>'Proy 2022 vs 2019 sem'!JN16*BDZ$4</f>
        <v>25706.03904</v>
      </c>
      <c r="BDY17" s="699"/>
      <c r="BDZ17" s="700">
        <f>BDY17/BDW17</f>
        <v>0</v>
      </c>
      <c r="BEA17" s="593">
        <f>'Proy 2022 vs 2019 sem'!JM16*BED$4</f>
        <v>39356.234400000001</v>
      </c>
      <c r="BEB17" s="593">
        <f>'Proy 2022 vs 2019 sem'!JN16*BED$4</f>
        <v>25706.03904</v>
      </c>
      <c r="BEC17" s="699"/>
      <c r="BED17" s="700">
        <f>BEC17/BEA17</f>
        <v>0</v>
      </c>
      <c r="BEE17" s="593">
        <v>14496.990400000001</v>
      </c>
      <c r="BEF17" s="593">
        <f>'Proy 2022 vs 2019 sem'!JN16*BEH$4</f>
        <v>25706.03904</v>
      </c>
      <c r="BEG17" s="699"/>
      <c r="BEH17" s="700">
        <f>BEG17/BEE17</f>
        <v>0</v>
      </c>
      <c r="BEI17" s="593">
        <f>'Proy 2022 vs 2019 sem'!JM16*BEL$4</f>
        <v>45915.606800000001</v>
      </c>
      <c r="BEJ17" s="593">
        <f>'Proy 2022 vs 2019 sem'!JN16*BEL$4</f>
        <v>29990.378880000004</v>
      </c>
      <c r="BEK17" s="699"/>
      <c r="BEL17" s="700">
        <f>BEK17/BEI17</f>
        <v>0</v>
      </c>
      <c r="BEM17" s="593">
        <f>'Proy 2022 vs 2019 sem'!JM16*BEP$4</f>
        <v>52474.979200000002</v>
      </c>
      <c r="BEN17" s="593">
        <f>'Proy 2022 vs 2019 sem'!JN16*BEP$4</f>
        <v>34274.718719999997</v>
      </c>
      <c r="BEO17" s="699"/>
      <c r="BEP17" s="700">
        <f>BEO17/BEM17</f>
        <v>0</v>
      </c>
      <c r="BEQ17" s="593">
        <f>'Proy 2022 vs 2019 sem'!JM16*BET$4</f>
        <v>72153.096399999995</v>
      </c>
      <c r="BER17" s="593">
        <f>'Proy 2022 vs 2019 sem'!JN16*BET$4</f>
        <v>47127.738239999999</v>
      </c>
      <c r="BES17" s="699"/>
      <c r="BET17" s="700">
        <f>BES17/BEQ17</f>
        <v>0</v>
      </c>
      <c r="BEU17" s="579">
        <f>BDS17+BDW17+BEA17+BEE17+BEI17+BEM17+BEQ17</f>
        <v>303109.37599999999</v>
      </c>
      <c r="BEV17" s="574">
        <f>BDT17+BDX17+BEB17+BEF17+BEJ17+BEN17+BER17</f>
        <v>214216.992</v>
      </c>
      <c r="BEW17" s="770">
        <f>BDU17+BDY17+BEC17+BEG17+BEK17+BEO17+BES17</f>
        <v>0</v>
      </c>
      <c r="BEX17" s="761">
        <f>BEW17/BEU17</f>
        <v>0</v>
      </c>
      <c r="BEY17" s="593">
        <f>'Proy 2022 vs 2019 sem'!JV16*BFB$4</f>
        <v>50649.910799999998</v>
      </c>
      <c r="BEZ17" s="593">
        <f>'Proy 2022 vs 2019 sem'!JW16*BFB$4</f>
        <v>37363.803417599993</v>
      </c>
      <c r="BFA17" s="735"/>
      <c r="BFB17" s="700">
        <f>BFA17/BEY17</f>
        <v>0</v>
      </c>
      <c r="BFC17" s="593">
        <f>'Proy 2022 vs 2019 sem'!JV16*BFF$4</f>
        <v>50649.910799999998</v>
      </c>
      <c r="BFD17" s="593">
        <f>'Proy 2022 vs 2019 sem'!JW16*BFF$4</f>
        <v>37363.803417599993</v>
      </c>
      <c r="BFE17" s="735"/>
      <c r="BFF17" s="700">
        <f>BFE17/BFC17</f>
        <v>0</v>
      </c>
      <c r="BFG17" s="593">
        <f>'Proy 2022 vs 2019 sem'!JV16*BFJ$4</f>
        <v>50649.910799999998</v>
      </c>
      <c r="BFH17" s="593">
        <f>'Proy 2022 vs 2019 sem'!JW16*BFJ$4</f>
        <v>37363.803417599993</v>
      </c>
      <c r="BFI17" s="735"/>
      <c r="BFJ17" s="700">
        <f>BFI17/BFG17</f>
        <v>0</v>
      </c>
      <c r="BFK17" s="593">
        <f>'Proy 2022 vs 2019 sem'!JV16*BFN$4</f>
        <v>50649.910799999998</v>
      </c>
      <c r="BFL17" s="593">
        <f>'Proy 2022 vs 2019 sem'!JW16*BFN$4</f>
        <v>37363.803417599993</v>
      </c>
      <c r="BFM17" s="735"/>
      <c r="BFN17" s="700">
        <f>BFM17/BFK17</f>
        <v>0</v>
      </c>
      <c r="BFO17" s="593">
        <f>'Proy 2022 vs 2019 sem'!JV16*BFR$4</f>
        <v>59091.562600000012</v>
      </c>
      <c r="BFP17" s="593">
        <f>'Proy 2022 vs 2019 sem'!JW16*BFR$4</f>
        <v>43591.103987200004</v>
      </c>
      <c r="BFQ17" s="735"/>
      <c r="BFR17" s="700">
        <f>BFQ17/BFO17</f>
        <v>0</v>
      </c>
      <c r="BFS17" s="593">
        <f>'Proy 2022 vs 2019 sem'!JV16*BFV$4</f>
        <v>67533.214400000012</v>
      </c>
      <c r="BFT17" s="593">
        <f>'Proy 2022 vs 2019 sem'!JW16*BFV$4</f>
        <v>49818.4045568</v>
      </c>
      <c r="BFU17" s="735"/>
      <c r="BFV17" s="700">
        <f>BFU17/BFS17</f>
        <v>0</v>
      </c>
      <c r="BFW17" s="593">
        <f>'Proy 2022 vs 2019 sem'!JV16*BFZ$4</f>
        <v>92858.169800000003</v>
      </c>
      <c r="BFX17" s="593">
        <f>'Proy 2022 vs 2019 sem'!JW16*BFZ$4</f>
        <v>68500.306265599997</v>
      </c>
      <c r="BFY17" s="735"/>
      <c r="BFZ17" s="700">
        <f>BFY17/BFW17</f>
        <v>0</v>
      </c>
      <c r="BGA17" s="579">
        <f>BEY17+BFC17+BFG17+BFK17+BFO17+BFS17+BFW17</f>
        <v>422082.58999999997</v>
      </c>
      <c r="BGB17" s="574">
        <f>BEZ17+BFD17+BFH17+BFL17+BFP17+BFT17+BFX17</f>
        <v>311365.02847999998</v>
      </c>
      <c r="BGC17" s="729">
        <f>BFA17+BFE17+BFI17+BFM17+BFQ17+BFU17+BFY17</f>
        <v>0</v>
      </c>
      <c r="BGD17" s="711">
        <f>BGC17/BGA17</f>
        <v>0</v>
      </c>
      <c r="BGE17" s="593">
        <f>'Proy 2022 vs 2019 sem'!KA16*BGH$4</f>
        <v>63747.118799999997</v>
      </c>
      <c r="BGF17" s="593">
        <f>'Proy 2022 vs 2019 sem'!KB16*BGH$4</f>
        <v>48782.256307200005</v>
      </c>
      <c r="BGG17" s="699"/>
      <c r="BGH17" s="700">
        <f>BGG17/BGE17</f>
        <v>0</v>
      </c>
      <c r="BGI17" s="593">
        <f>'Proy 2022 vs 2019 sem'!KA16*BGL$4</f>
        <v>63747.118799999997</v>
      </c>
      <c r="BGJ17" s="593">
        <f>'Proy 2022 vs 2019 sem'!KB16*BGL$4</f>
        <v>48782.256307200005</v>
      </c>
      <c r="BGK17" s="699"/>
      <c r="BGL17" s="700">
        <f>BGK17/BGI17</f>
        <v>0</v>
      </c>
      <c r="BGM17" s="593">
        <f>'Proy 2022 vs 2019 sem'!KA16*BGP$4</f>
        <v>63747.118799999997</v>
      </c>
      <c r="BGN17" s="593">
        <f>'Proy 2022 vs 2019 sem'!KB16*BGP$4</f>
        <v>48782.256307200005</v>
      </c>
      <c r="BGO17" s="699"/>
      <c r="BGP17" s="700">
        <f>BGO17/BGM17</f>
        <v>0</v>
      </c>
      <c r="BGQ17" s="593">
        <f>'Proy 2022 vs 2019 sem'!KA16*BGT$4</f>
        <v>63747.118799999997</v>
      </c>
      <c r="BGR17" s="593">
        <f>'Proy 2022 vs 2019 sem'!KB16*BGT$4</f>
        <v>48782.256307200005</v>
      </c>
      <c r="BGS17" s="699"/>
      <c r="BGT17" s="700">
        <f>BGS17/BGQ17</f>
        <v>0</v>
      </c>
      <c r="BGU17" s="593">
        <f>'Proy 2022 vs 2019 sem'!KA16*BGX$4</f>
        <v>74371.638600000006</v>
      </c>
      <c r="BGV17" s="593">
        <f>'Proy 2022 vs 2019 sem'!KB16*BGX$4</f>
        <v>56912.632358400013</v>
      </c>
      <c r="BGW17" s="699"/>
      <c r="BGX17" s="700">
        <f>BGW17/BGU17</f>
        <v>0</v>
      </c>
      <c r="BGY17" s="593">
        <f>'Proy 2022 vs 2019 sem'!KA16*BHB$4</f>
        <v>84996.1584</v>
      </c>
      <c r="BGZ17" s="593">
        <f>'Proy 2022 vs 2019 sem'!KB16*BHB$4</f>
        <v>65043.008409600006</v>
      </c>
      <c r="BHA17" s="699"/>
      <c r="BHB17" s="700">
        <f>BHA17/BGY17</f>
        <v>0</v>
      </c>
      <c r="BHC17" s="593">
        <f>'Proy 2022 vs 2019 sem'!KA16*BHF$4</f>
        <v>116869.7178</v>
      </c>
      <c r="BHD17" s="593">
        <f>'Proy 2022 vs 2019 sem'!KB16*BHF$4</f>
        <v>89434.136563200009</v>
      </c>
      <c r="BHE17" s="699"/>
      <c r="BHF17" s="700">
        <f>BHE17/BHC17</f>
        <v>0</v>
      </c>
      <c r="BHG17" s="579">
        <f>BGE17+BGI17+BGM17+BGQ17+BGU17+BGY17+BHC17</f>
        <v>531225.99</v>
      </c>
      <c r="BHH17" s="574">
        <f>BGF17+BGJ17+BGN17+BGR17+BGV17+BGZ17+BHD17</f>
        <v>406518.8025600001</v>
      </c>
      <c r="BHI17" s="730">
        <f>BGG17+BGK17+BGO17+BGS17+BGW17+BHA17+BHE17</f>
        <v>0</v>
      </c>
      <c r="BHJ17" s="711">
        <f>BHI17/BHG17</f>
        <v>0</v>
      </c>
      <c r="BHK17" s="593">
        <f>'Proy 2022 vs 2019 sem'!KF16*BHN$4</f>
        <v>77979.295199999993</v>
      </c>
      <c r="BHL17" s="593">
        <f>'Proy 2022 vs 2019 sem'!KG16*BHN$4</f>
        <v>64562.335919999983</v>
      </c>
      <c r="BHM17" s="699"/>
      <c r="BHN17" s="700">
        <f>BHM17/BHK17</f>
        <v>0</v>
      </c>
      <c r="BHO17" s="593">
        <f>'Proy 2022 vs 2019 sem'!KF16*BHR$4</f>
        <v>77979.295199999993</v>
      </c>
      <c r="BHP17" s="593">
        <f>'Proy 2022 vs 2019 sem'!KG16*BHR$4</f>
        <v>64562.335919999983</v>
      </c>
      <c r="BHQ17" s="699"/>
      <c r="BHR17" s="700">
        <f>BHQ17/BHO17</f>
        <v>0</v>
      </c>
      <c r="BHS17" s="593">
        <f>'Proy 2022 vs 2019 sem'!KF16*BHV$4</f>
        <v>77979.295199999993</v>
      </c>
      <c r="BHT17" s="593">
        <f>'Proy 2022 vs 2019 sem'!KG16*BHV$4</f>
        <v>64562.335919999983</v>
      </c>
      <c r="BHU17" s="699"/>
      <c r="BHV17" s="700">
        <f>BHU17/BHS17</f>
        <v>0</v>
      </c>
      <c r="BHW17" s="593">
        <f>'Proy 2022 vs 2019 sem'!KF16*BHZ$4</f>
        <v>77979.295199999993</v>
      </c>
      <c r="BHX17" s="593">
        <f>'Proy 2022 vs 2019 sem'!KG16*BHZ$4</f>
        <v>64562.335919999983</v>
      </c>
      <c r="BHY17" s="699"/>
      <c r="BHZ17" s="700">
        <f>BHY17/BHW17</f>
        <v>0</v>
      </c>
      <c r="BIA17" s="593">
        <f>'Proy 2022 vs 2019 sem'!KF16*BID$4</f>
        <v>90975.844400000002</v>
      </c>
      <c r="BIB17" s="593">
        <f>'Proy 2022 vs 2019 sem'!KG16*BID$4</f>
        <v>75322.72524</v>
      </c>
      <c r="BIC17" s="699"/>
      <c r="BID17" s="700">
        <f>BIC17/BIA17</f>
        <v>0</v>
      </c>
      <c r="BIE17" s="593">
        <f>'Proy 2022 vs 2019 sem'!KF16*BIH$4</f>
        <v>103972.3936</v>
      </c>
      <c r="BIF17" s="593">
        <f>'Proy 2022 vs 2019 sem'!KG16*BIH$4</f>
        <v>86083.114559999987</v>
      </c>
      <c r="BIG17" s="699"/>
      <c r="BIH17" s="700">
        <f>BIG17/BIE17</f>
        <v>0</v>
      </c>
      <c r="BII17" s="593">
        <f>'Proy 2022 vs 2019 sem'!KF16*BIL$4</f>
        <v>142962.04120000001</v>
      </c>
      <c r="BIJ17" s="593">
        <f>'Proy 2022 vs 2019 sem'!KG16*BIL$4</f>
        <v>118364.28251999998</v>
      </c>
      <c r="BIK17" s="699"/>
      <c r="BIL17" s="700">
        <f>BIK17/BII17</f>
        <v>0</v>
      </c>
      <c r="BIM17" s="579">
        <f>BHK17+BHO17+BHS17+BHW17+BIA17+BIE17+BII17</f>
        <v>649827.46</v>
      </c>
      <c r="BIN17" s="574">
        <f>BHL17+BHP17+BHT17+BHX17+BIB17+BIF17+BIJ17</f>
        <v>538019.4659999999</v>
      </c>
      <c r="BIO17" s="730">
        <f>BHM17+BHQ17+BHU17+BHY17+BIC17+BIG17+BIK17</f>
        <v>0</v>
      </c>
      <c r="BIP17" s="711">
        <f>BIO17/BIM17</f>
        <v>0</v>
      </c>
      <c r="BIQ17" s="593">
        <f>'Proy 2022 vs 2019 sem'!KK16*BIT$4</f>
        <v>54359.395199999999</v>
      </c>
      <c r="BIR17" s="593">
        <f>'Proy 2022 vs 2019 sem'!KL16*BIT$4</f>
        <v>49889.407776</v>
      </c>
      <c r="BIS17" s="699"/>
      <c r="BIT17" s="700">
        <f>BIS17/BIQ17</f>
        <v>0</v>
      </c>
      <c r="BIU17" s="593">
        <f>'Proy 2022 vs 2019 sem'!KK16*BIX$4</f>
        <v>54359.395199999999</v>
      </c>
      <c r="BIV17" s="593">
        <f>'Proy 2022 vs 2019 sem'!KL16*BIX$4</f>
        <v>49889.407776</v>
      </c>
      <c r="BIW17" s="699"/>
      <c r="BIX17" s="700">
        <f>BIW17/BIU17</f>
        <v>0</v>
      </c>
      <c r="BIY17" s="593">
        <f>'Proy 2022 vs 2019 sem'!KK16*BJB$4</f>
        <v>54359.395199999999</v>
      </c>
      <c r="BIZ17" s="593">
        <f>'Proy 2022 vs 2019 sem'!KL16*BJB$4</f>
        <v>49889.407776</v>
      </c>
      <c r="BJA17" s="699"/>
      <c r="BJB17" s="700">
        <f>BJA17/BIY17</f>
        <v>0</v>
      </c>
      <c r="BJC17" s="593">
        <f>'Proy 2022 vs 2019 sem'!KK16*BJF$4</f>
        <v>54359.395199999999</v>
      </c>
      <c r="BJD17" s="593">
        <f>'Proy 2022 vs 2019 sem'!KL16*BJF$4</f>
        <v>49889.407776</v>
      </c>
      <c r="BJE17" s="699"/>
      <c r="BJF17" s="700">
        <f>BJE17/BJC17</f>
        <v>0</v>
      </c>
      <c r="BJG17" s="593">
        <f>'Proy 2022 vs 2019 sem'!KK16*BJJ$4</f>
        <v>63419.294400000006</v>
      </c>
      <c r="BJH17" s="593">
        <f>'Proy 2022 vs 2019 sem'!KL16*BJJ$4</f>
        <v>58204.309072000004</v>
      </c>
      <c r="BJI17" s="699"/>
      <c r="BJJ17" s="700">
        <f>BJI17/BJG17</f>
        <v>0</v>
      </c>
      <c r="BJK17" s="593">
        <f>'Proy 2022 vs 2019 sem'!KK16*BJN$4</f>
        <v>72479.193599999999</v>
      </c>
      <c r="BJL17" s="593">
        <f>'Proy 2022 vs 2019 sem'!KL16*BJN$4</f>
        <v>66519.210368</v>
      </c>
      <c r="BJM17" s="699"/>
      <c r="BJN17" s="700">
        <f>BJM17/BJK17</f>
        <v>0</v>
      </c>
      <c r="BJO17" s="593">
        <f>'Proy 2022 vs 2019 sem'!KK16*BJR$4</f>
        <v>99658.891199999998</v>
      </c>
      <c r="BJP17" s="593">
        <f>'Proy 2022 vs 2019 sem'!KL16*BJR$4</f>
        <v>91463.914256000004</v>
      </c>
      <c r="BJQ17" s="699"/>
      <c r="BJR17" s="700">
        <f>BJQ17/BJO17</f>
        <v>0</v>
      </c>
      <c r="BJS17" s="579">
        <f>BIQ17+BIU17+BIY17+BJC17+BJG17+BJK17+BJO17</f>
        <v>452994.96</v>
      </c>
      <c r="BJT17" s="574">
        <f>BIR17+BIV17+BIZ17+BJD17+BJH17+BJL17+BJP17</f>
        <v>415745.06479999999</v>
      </c>
      <c r="BJU17" s="710">
        <f>BIS17+BIW17+BJA17+BJE17+BJI17+BJM17+BJQ17</f>
        <v>0</v>
      </c>
      <c r="BJV17" s="711">
        <f>BJU17/BJS17</f>
        <v>0</v>
      </c>
      <c r="BJW17" s="593">
        <f>'Proy 2022 vs 2019 sem'!KP16*BJZ$4</f>
        <v>18193.4604</v>
      </c>
      <c r="BJX17" s="593">
        <f>'Proy 2022 vs 2019 sem'!KQ16*BJZ$4</f>
        <v>12851.110675200001</v>
      </c>
      <c r="BJY17" s="699"/>
      <c r="BJZ17" s="700">
        <f>BJY17/BJW17</f>
        <v>0</v>
      </c>
      <c r="BKA17" s="593">
        <f>'Proy 2022 vs 2019 sem'!KP16*BKD$4</f>
        <v>18193.4604</v>
      </c>
      <c r="BKB17" s="593">
        <f>'Proy 2022 vs 2019 sem'!KQ16*BKD$4</f>
        <v>12851.110675200001</v>
      </c>
      <c r="BKC17" s="699"/>
      <c r="BKD17" s="700">
        <f>BKC17/BKA17</f>
        <v>0</v>
      </c>
      <c r="BKE17" s="593">
        <f>'Proy 2022 vs 2019 sem'!KP16*BKH$4</f>
        <v>18193.4604</v>
      </c>
      <c r="BKF17" s="593">
        <f>'Proy 2022 vs 2019 sem'!KQ16*BKH$4</f>
        <v>12851.110675200001</v>
      </c>
      <c r="BKG17" s="699"/>
      <c r="BKH17" s="700">
        <f>BKG17/BKE17</f>
        <v>0</v>
      </c>
      <c r="BKI17" s="593">
        <f>'Proy 2022 vs 2019 sem'!KP16*BKL$4</f>
        <v>18193.4604</v>
      </c>
      <c r="BKJ17" s="593">
        <f>'Proy 2022 vs 2019 sem'!KQ16*BKL$4</f>
        <v>12851.110675200001</v>
      </c>
      <c r="BKK17" s="699"/>
      <c r="BKL17" s="700">
        <f>BKK17/BKI17</f>
        <v>0</v>
      </c>
      <c r="BKM17" s="593">
        <f>'Proy 2022 vs 2019 sem'!KP16*BKP$4</f>
        <v>21225.703800000003</v>
      </c>
      <c r="BKN17" s="593">
        <f>'Proy 2022 vs 2019 sem'!KQ16*BKP$4</f>
        <v>14992.962454400005</v>
      </c>
      <c r="BKO17" s="699"/>
      <c r="BKP17" s="700">
        <f>BKO17/BKM17</f>
        <v>0</v>
      </c>
      <c r="BKQ17" s="593">
        <f>'Proy 2022 vs 2019 sem'!KP16*BKT$4</f>
        <v>24257.947200000002</v>
      </c>
      <c r="BKR17" s="593">
        <f>'Proy 2022 vs 2019 sem'!KQ16*BKT$4</f>
        <v>17134.814233600006</v>
      </c>
      <c r="BKS17" s="699"/>
      <c r="BKT17" s="700">
        <f>BKS17/BKQ17</f>
        <v>0</v>
      </c>
      <c r="BKU17" s="593">
        <f>'Proy 2022 vs 2019 sem'!KP16*BKX$4</f>
        <v>33354.6774</v>
      </c>
      <c r="BKV17" s="593">
        <f>'Proy 2022 vs 2019 sem'!KQ16*BKX$4</f>
        <v>23560.369571200004</v>
      </c>
      <c r="BKW17" s="699"/>
      <c r="BKX17" s="700">
        <f>BKW17/BKU17</f>
        <v>0</v>
      </c>
      <c r="BKY17" s="579">
        <f>BJW17+BKA17+BKE17+BKI17+BKM17+BKQ17+BKU17</f>
        <v>151612.16999999998</v>
      </c>
      <c r="BKZ17" s="574">
        <f>BJX17+BKB17+BKF17+BKJ17+BKN17+BKR17+BKV17</f>
        <v>107092.58896000002</v>
      </c>
      <c r="BLA17" s="710">
        <f>BJY17+BKC17+BKG17+BKK17+BKO17+BKS17+BKW17</f>
        <v>0</v>
      </c>
      <c r="BLB17" s="711">
        <f>BLA17/BKY17</f>
        <v>0</v>
      </c>
    </row>
    <row r="18" spans="2:1666" ht="19.5" customHeight="1">
      <c r="B18" s="934" t="s">
        <v>20</v>
      </c>
      <c r="C18" s="593">
        <f>'Proy 2022 vs 2019 sem'!$C$6*$F$4</f>
        <v>9529.1268</v>
      </c>
      <c r="D18" s="593">
        <f>'Proy 2022 vs 2019 sem'!$D$6*$F$4</f>
        <v>8480.9228519999997</v>
      </c>
      <c r="E18" s="735"/>
      <c r="F18" s="700">
        <f>E18/C18</f>
        <v>0</v>
      </c>
      <c r="G18" s="1414">
        <f>'Proy 2022 vs 2019 sem'!C17*$J$4</f>
        <v>6587.1732000000002</v>
      </c>
      <c r="H18" s="593">
        <f>'Proy 2022 vs 2019 sem'!D17*$J$4</f>
        <v>5862.5841479999999</v>
      </c>
      <c r="I18" s="735"/>
      <c r="J18" s="700">
        <f>I18/G18</f>
        <v>0</v>
      </c>
      <c r="K18" s="593">
        <f>'Proy 2022 vs 2019 sem'!C17*$N$4</f>
        <v>6587.1732000000002</v>
      </c>
      <c r="L18" s="593">
        <f>'Proy 2022 vs 2019 sem'!D17*N$4</f>
        <v>5862.5841479999999</v>
      </c>
      <c r="M18" s="735"/>
      <c r="N18" s="700">
        <f>M18/K18</f>
        <v>0</v>
      </c>
      <c r="O18" s="593">
        <f>'Proy 2022 vs 2019 sem'!C17*R$4</f>
        <v>6587.1732000000002</v>
      </c>
      <c r="P18" s="593">
        <f>'Proy 2022 vs 2019 sem'!D17*$R$4</f>
        <v>5862.5841479999999</v>
      </c>
      <c r="Q18" s="735"/>
      <c r="R18" s="700">
        <f>Q18/O18</f>
        <v>0</v>
      </c>
      <c r="S18" s="593">
        <f>'Proy 2022 vs 2019 sem'!C17*V$4</f>
        <v>7685.0354000000007</v>
      </c>
      <c r="T18" s="593">
        <f>'Proy 2022 vs 2019 sem'!D17*V$4</f>
        <v>6839.6815060000017</v>
      </c>
      <c r="U18" s="735"/>
      <c r="V18" s="700">
        <f>U18/S18</f>
        <v>0</v>
      </c>
      <c r="W18" s="593">
        <f>'Proy 2022 vs 2019 sem'!C17*Z$4</f>
        <v>8782.8976000000002</v>
      </c>
      <c r="X18" s="593">
        <f>'Proy 2022 vs 2019 sem'!D17*Z$4</f>
        <v>7816.7788640000008</v>
      </c>
      <c r="Y18" s="735"/>
      <c r="Z18" s="700">
        <f>Y18/W18</f>
        <v>0</v>
      </c>
      <c r="AA18" s="593">
        <f>'Proy 2022 vs 2019 sem'!C17*AD$4</f>
        <v>12076.484200000001</v>
      </c>
      <c r="AB18" s="593">
        <f>'Proy 2022 vs 2019 sem'!D17*AD$4</f>
        <v>10748.070938000001</v>
      </c>
      <c r="AC18" s="735"/>
      <c r="AD18" s="700">
        <f>AC18/AA18</f>
        <v>0</v>
      </c>
      <c r="AE18" s="579">
        <f>C18+G18+K18+O18+S18+W18+AA18</f>
        <v>57835.063600000001</v>
      </c>
      <c r="AF18" s="574">
        <f>D18+H18+L18+P18+T18+X18+AB18</f>
        <v>51473.206604000006</v>
      </c>
      <c r="AG18" s="729">
        <f>E18+I18+M18+Q18+U18+Y18+AC18</f>
        <v>0</v>
      </c>
      <c r="AH18" s="711">
        <f>AG18/AE18</f>
        <v>0</v>
      </c>
      <c r="AI18" s="593">
        <f>'Proy 2022 vs 2019 sem'!H17*AL$4</f>
        <v>5417.5007999999998</v>
      </c>
      <c r="AJ18" s="611">
        <f>'Proy 2022 vs 2019 sem'!I17*AL$4</f>
        <v>4821.5757119999998</v>
      </c>
      <c r="AK18" s="699"/>
      <c r="AL18" s="700">
        <f>AK18/AI18</f>
        <v>0</v>
      </c>
      <c r="AM18" s="593">
        <f>'Proy 2022 vs 2019 sem'!H17*AP$4</f>
        <v>5417.5007999999998</v>
      </c>
      <c r="AN18" s="593">
        <f>'Proy 2022 vs 2019 sem'!I17*AP$4</f>
        <v>4821.5757119999998</v>
      </c>
      <c r="AO18" s="699"/>
      <c r="AP18" s="700">
        <f>AO18/AM18</f>
        <v>0</v>
      </c>
      <c r="AQ18" s="593">
        <f>'Proy 2022 vs 2019 sem'!H17*AT$4</f>
        <v>5417.5007999999998</v>
      </c>
      <c r="AR18" s="593">
        <f>'Proy 2022 vs 2019 sem'!I17*AT$4</f>
        <v>4821.5757119999998</v>
      </c>
      <c r="AS18" s="699"/>
      <c r="AT18" s="700">
        <f>AS18/AQ18</f>
        <v>0</v>
      </c>
      <c r="AU18" s="593">
        <f>'Proy 2022 vs 2019 sem'!H17*AX$4</f>
        <v>5417.5007999999998</v>
      </c>
      <c r="AV18" s="593">
        <f>'Proy 2022 vs 2019 sem'!I17*AX$4</f>
        <v>4821.5757119999998</v>
      </c>
      <c r="AW18" s="699"/>
      <c r="AX18" s="700">
        <f>AW18/AU18</f>
        <v>0</v>
      </c>
      <c r="AY18" s="593">
        <f>'Proy 2022 vs 2019 sem'!H17*BB$4</f>
        <v>6320.4175999999998</v>
      </c>
      <c r="AZ18" s="593">
        <f>'Proy 2022 vs 2019 sem'!I17*BB$4</f>
        <v>5625.1716640000004</v>
      </c>
      <c r="BA18" s="699"/>
      <c r="BB18" s="700">
        <f>BA18/AY18</f>
        <v>0</v>
      </c>
      <c r="BC18" s="593">
        <f>'Proy 2022 vs 2019 sem'!H17*BF$4</f>
        <v>7223.3343999999997</v>
      </c>
      <c r="BD18" s="593">
        <f>'Proy 2022 vs 2019 sem'!I17*BF$4</f>
        <v>6428.7676160000001</v>
      </c>
      <c r="BE18" s="699"/>
      <c r="BF18" s="700">
        <f>BE18/BC18</f>
        <v>0</v>
      </c>
      <c r="BG18" s="593">
        <f>'Proy 2022 vs 2019 sem'!H17*BJ$4</f>
        <v>9932.0847999999987</v>
      </c>
      <c r="BH18" s="593">
        <f>'Proy 2022 vs 2019 sem'!I17*BJ$4</f>
        <v>8839.555472</v>
      </c>
      <c r="BI18" s="699"/>
      <c r="BJ18" s="700">
        <f>BI18/BG18</f>
        <v>0</v>
      </c>
      <c r="BK18" s="579">
        <f>AI18+AM18+AQ18+AU18+AY18+BC18+BG18</f>
        <v>45145.84</v>
      </c>
      <c r="BL18" s="574">
        <f>AJ18+AN18+AR18+AV18+AZ18+BD18+BH18</f>
        <v>40179.797600000005</v>
      </c>
      <c r="BM18" s="730">
        <f>AK18+AO18+AS18+AW18+BA18+BE18+BI18</f>
        <v>0</v>
      </c>
      <c r="BN18" s="711">
        <f>BM18/BK18</f>
        <v>0</v>
      </c>
      <c r="BO18" s="593">
        <f>'Proy 2022 vs 2019 sem'!M17*BR$4</f>
        <v>5308.9560000000001</v>
      </c>
      <c r="BP18" s="593">
        <f>'Proy 2022 vs 2019 sem'!N17*BR$4</f>
        <v>4724.9708400000009</v>
      </c>
      <c r="BQ18" s="699"/>
      <c r="BR18" s="700">
        <f>BQ18/BO18</f>
        <v>0</v>
      </c>
      <c r="BS18" s="593">
        <f>'Proy 2022 vs 2019 sem'!M17*BV$4</f>
        <v>5308.9560000000001</v>
      </c>
      <c r="BT18" s="593">
        <f>'Proy 2022 vs 2019 sem'!N17*BV$4</f>
        <v>4724.9708400000009</v>
      </c>
      <c r="BU18" s="699"/>
      <c r="BV18" s="700">
        <f>BU18/BS18</f>
        <v>0</v>
      </c>
      <c r="BW18" s="593">
        <f>'Proy 2022 vs 2019 sem'!M17*BZ$4</f>
        <v>5308.9560000000001</v>
      </c>
      <c r="BX18" s="593">
        <f>'Proy 2022 vs 2019 sem'!N17*BZ$4</f>
        <v>4724.9708400000009</v>
      </c>
      <c r="BY18" s="699"/>
      <c r="BZ18" s="700">
        <f>BY18/BW18</f>
        <v>0</v>
      </c>
      <c r="CA18" s="593">
        <f>'Proy 2022 vs 2019 sem'!M17*CD$4</f>
        <v>5308.9560000000001</v>
      </c>
      <c r="CB18" s="593">
        <f>'Proy 2022 vs 2019 sem'!N17*CD$4</f>
        <v>4724.9708400000009</v>
      </c>
      <c r="CC18" s="699"/>
      <c r="CD18" s="700">
        <f>CC18/CA18</f>
        <v>0</v>
      </c>
      <c r="CE18" s="593">
        <f>'Proy 2022 vs 2019 sem'!M17*CH$4</f>
        <v>6193.7820000000011</v>
      </c>
      <c r="CF18" s="593">
        <f>'Proy 2022 vs 2019 sem'!N17*CH$4</f>
        <v>5512.4659800000009</v>
      </c>
      <c r="CG18" s="699"/>
      <c r="CH18" s="700">
        <f>CG18/CE18</f>
        <v>0</v>
      </c>
      <c r="CI18" s="593">
        <f>'Proy 2022 vs 2019 sem'!M17*CL$4</f>
        <v>7078.6080000000002</v>
      </c>
      <c r="CJ18" s="593">
        <f>'Proy 2022 vs 2019 sem'!N17*CL$4</f>
        <v>6299.9611200000008</v>
      </c>
      <c r="CK18" s="699"/>
      <c r="CL18" s="700">
        <f>CK18/CI18</f>
        <v>0</v>
      </c>
      <c r="CM18" s="593">
        <f>'Proy 2022 vs 2019 sem'!M17*CP$4</f>
        <v>9733.0860000000011</v>
      </c>
      <c r="CN18" s="593">
        <f>'Proy 2022 vs 2019 sem'!N17*CP$4</f>
        <v>8662.4465400000008</v>
      </c>
      <c r="CO18" s="699"/>
      <c r="CP18" s="700">
        <f>CO18/CM18</f>
        <v>0</v>
      </c>
      <c r="CQ18" s="579">
        <f>BO18+BS18+BW18+CA18+CE18+CI18+CM18</f>
        <v>44241.3</v>
      </c>
      <c r="CR18" s="574">
        <f>BP18+BT18+BX18+CB18+CF18+CJ18+CN18</f>
        <v>39374.757000000005</v>
      </c>
      <c r="CS18" s="730">
        <f>BQ18+BU18+BY18+CC18+CG18+CK18+CO18</f>
        <v>0</v>
      </c>
      <c r="CT18" s="711">
        <f>CS18/CQ18</f>
        <v>0</v>
      </c>
      <c r="CU18" s="593">
        <f>'Proy 2022 vs 2019 sem'!R17*CX$4</f>
        <v>5460.0407999999998</v>
      </c>
      <c r="CV18" s="593">
        <f>'Proy 2022 vs 2019 sem'!S17*CX$4</f>
        <v>4859.4363119999989</v>
      </c>
      <c r="CW18" s="699"/>
      <c r="CX18" s="700">
        <f>CW18/CU18</f>
        <v>0</v>
      </c>
      <c r="CY18" s="593">
        <f>'Proy 2022 vs 2019 sem'!R17*DB$4</f>
        <v>5460.0407999999998</v>
      </c>
      <c r="CZ18" s="593">
        <f>'Proy 2022 vs 2019 sem'!S17*DB$4</f>
        <v>4859.4363119999989</v>
      </c>
      <c r="DA18" s="699"/>
      <c r="DB18" s="700">
        <f>DA18/CY18</f>
        <v>0</v>
      </c>
      <c r="DC18" s="593">
        <f>'Proy 2022 vs 2019 sem'!R17*DF$4</f>
        <v>5460.0407999999998</v>
      </c>
      <c r="DD18" s="593">
        <f>'Proy 2022 vs 2019 sem'!S17*DF$4</f>
        <v>4859.4363119999989</v>
      </c>
      <c r="DE18" s="699"/>
      <c r="DF18" s="700">
        <f>DE18/DC18</f>
        <v>0</v>
      </c>
      <c r="DG18" s="593">
        <f>'Proy 2022 vs 2019 sem'!R17*DJ$4</f>
        <v>5460.0407999999998</v>
      </c>
      <c r="DH18" s="593">
        <f>'Proy 2022 vs 2019 sem'!S17*DJ$4</f>
        <v>4859.4363119999989</v>
      </c>
      <c r="DI18" s="699"/>
      <c r="DJ18" s="700">
        <f>DI18/DG18</f>
        <v>0</v>
      </c>
      <c r="DK18" s="593">
        <f>'Proy 2022 vs 2019 sem'!R17*DN$4</f>
        <v>6370.0475999999999</v>
      </c>
      <c r="DL18" s="593">
        <f>'Proy 2022 vs 2019 sem'!S17*DN$4</f>
        <v>5669.3423640000001</v>
      </c>
      <c r="DM18" s="699"/>
      <c r="DN18" s="700">
        <f>DM18/DK18</f>
        <v>0</v>
      </c>
      <c r="DO18" s="593">
        <f>'Proy 2022 vs 2019 sem'!R17*DR$4</f>
        <v>7280.0544</v>
      </c>
      <c r="DP18" s="593">
        <f>'Proy 2022 vs 2019 sem'!S17*DR$4</f>
        <v>6479.2484159999995</v>
      </c>
      <c r="DQ18" s="699"/>
      <c r="DR18" s="700">
        <f>DQ18/DO18</f>
        <v>0</v>
      </c>
      <c r="DS18" s="593">
        <f>'Proy 2022 vs 2019 sem'!R17*DV$4</f>
        <v>10010.074799999999</v>
      </c>
      <c r="DT18" s="593">
        <f>'Proy 2022 vs 2019 sem'!S17*DV$4</f>
        <v>8908.9665719999994</v>
      </c>
      <c r="DU18" s="699"/>
      <c r="DV18" s="700">
        <f>DU18/DS18</f>
        <v>0</v>
      </c>
      <c r="DW18" s="579">
        <f>CU18+CY18+DC18+DG18+DK18+DO18+DS18</f>
        <v>45500.34</v>
      </c>
      <c r="DX18" s="574">
        <f>CV18+CZ18+DD18+DH18+DL18+DP18+DT18</f>
        <v>40495.302599999995</v>
      </c>
      <c r="DY18" s="710">
        <f>CW18+DA18+DE18+DI18+DM18+DQ18+DU18</f>
        <v>0</v>
      </c>
      <c r="DZ18" s="711">
        <f>DY18/DW18</f>
        <v>0</v>
      </c>
      <c r="EA18" s="593">
        <f>'Proy 2022 vs 2019 sem'!AA17*ED$4</f>
        <v>6159.9816000000001</v>
      </c>
      <c r="EB18" s="593">
        <f>'Proy 2022 vs 2019 sem'!AB17*ED$4</f>
        <v>5482.3836240000001</v>
      </c>
      <c r="EC18" s="735"/>
      <c r="ED18" s="700">
        <f>EC18/EA18</f>
        <v>0</v>
      </c>
      <c r="EE18" s="593">
        <f>'Proy 2022 vs 2019 sem'!AA17*EH$4</f>
        <v>6159.9816000000001</v>
      </c>
      <c r="EF18" s="593">
        <f>'Proy 2022 vs 2019 sem'!AB17*EH$4</f>
        <v>5482.3836240000001</v>
      </c>
      <c r="EG18" s="699"/>
      <c r="EH18" s="700">
        <f>EG18/EE18</f>
        <v>0</v>
      </c>
      <c r="EI18" s="593">
        <f>'Proy 2022 vs 2019 sem'!AA17*EL$4</f>
        <v>6159.9816000000001</v>
      </c>
      <c r="EJ18" s="593">
        <f>'Proy 2022 vs 2019 sem'!AB17*EL$4</f>
        <v>5482.3836240000001</v>
      </c>
      <c r="EK18" s="699"/>
      <c r="EL18" s="700">
        <f>EK18/EI18</f>
        <v>0</v>
      </c>
      <c r="EM18" s="593">
        <f>'Proy 2022 vs 2019 sem'!AA17*EP$4</f>
        <v>6159.9816000000001</v>
      </c>
      <c r="EN18" s="593">
        <f>'Proy 2022 vs 2019 sem'!AB17*EP$4</f>
        <v>5482.3836240000001</v>
      </c>
      <c r="EO18" s="699"/>
      <c r="EP18" s="700">
        <f>EO18/EM18</f>
        <v>0</v>
      </c>
      <c r="EQ18" s="593">
        <f>'Proy 2022 vs 2019 sem'!AA17*ET$4</f>
        <v>7186.6452000000008</v>
      </c>
      <c r="ER18" s="593">
        <f>'Proy 2022 vs 2019 sem'!AB17*ET$4</f>
        <v>6396.1142280000004</v>
      </c>
      <c r="ES18" s="699"/>
      <c r="ET18" s="700">
        <f>ES18/EQ18</f>
        <v>0</v>
      </c>
      <c r="EU18" s="593">
        <f>'Proy 2022 vs 2019 sem'!AA17*EX$4</f>
        <v>8213.3088000000007</v>
      </c>
      <c r="EV18" s="593">
        <f>'Proy 2022 vs 2019 sem'!AB17*EX$4</f>
        <v>7309.8448320000007</v>
      </c>
      <c r="EW18" s="699"/>
      <c r="EX18" s="700">
        <f>EW18/EU18</f>
        <v>0</v>
      </c>
      <c r="EY18" s="593">
        <f>'Proy 2022 vs 2019 sem'!AA17*FB$4</f>
        <v>11293.2996</v>
      </c>
      <c r="EZ18" s="593">
        <f>'Proy 2022 vs 2019 sem'!AB17*FB$4</f>
        <v>10051.036644</v>
      </c>
      <c r="FA18" s="699"/>
      <c r="FB18" s="700">
        <f>FA18/EY18</f>
        <v>0</v>
      </c>
      <c r="FC18" s="579">
        <f>EA18+EE18+EI18+EM18+EQ18+EU18+EY18</f>
        <v>51333.18</v>
      </c>
      <c r="FD18" s="574">
        <f>EB18+EF18+EJ18+EN18+ER18+EV18+EZ18</f>
        <v>45686.530200000001</v>
      </c>
      <c r="FE18" s="793">
        <f>EC18+EG18+EK18+EO18+ES18+EW18+FA18</f>
        <v>0</v>
      </c>
      <c r="FF18" s="786">
        <f>FE18/FC18</f>
        <v>0</v>
      </c>
      <c r="FG18" s="593">
        <f>'Proy 2022 vs 2019 sem'!AF17*FJ$4</f>
        <v>7537.1555999999991</v>
      </c>
      <c r="FH18" s="593">
        <f>'Proy 2022 vs 2019 sem'!AG17*FJ$4</f>
        <v>6632.6969279999994</v>
      </c>
      <c r="FI18" s="699"/>
      <c r="FJ18" s="700">
        <f>FI18/FG18</f>
        <v>0</v>
      </c>
      <c r="FK18" s="593">
        <f>'Proy 2022 vs 2019 sem'!AF17*FN$4</f>
        <v>7537.1555999999991</v>
      </c>
      <c r="FL18" s="593">
        <f>'Proy 2022 vs 2019 sem'!AG17*FN$4</f>
        <v>6632.6969279999994</v>
      </c>
      <c r="FM18" s="699"/>
      <c r="FN18" s="700">
        <f>FM18/FK18</f>
        <v>0</v>
      </c>
      <c r="FO18" s="593">
        <f>'Proy 2022 vs 2019 sem'!AF17*FR$4</f>
        <v>7537.1555999999991</v>
      </c>
      <c r="FP18" s="593">
        <f>'Proy 2022 vs 2019 sem'!AG17*FR$4</f>
        <v>6632.6969279999994</v>
      </c>
      <c r="FQ18" s="699"/>
      <c r="FR18" s="700">
        <f>FQ18/FO18</f>
        <v>0</v>
      </c>
      <c r="FS18" s="593">
        <f>'Proy 2022 vs 2019 sem'!AF17*FV$4</f>
        <v>7537.1555999999991</v>
      </c>
      <c r="FT18" s="593">
        <f>'Proy 2022 vs 2019 sem'!AG17*FV$4</f>
        <v>6632.6969279999994</v>
      </c>
      <c r="FU18" s="699"/>
      <c r="FV18" s="700">
        <f>FU18/FS18</f>
        <v>0</v>
      </c>
      <c r="FW18" s="593">
        <f>'Proy 2022 vs 2019 sem'!AF17*FZ$4</f>
        <v>8793.3482000000004</v>
      </c>
      <c r="FX18" s="593">
        <f>'Proy 2022 vs 2019 sem'!AG17*FZ$4</f>
        <v>7738.1464160000005</v>
      </c>
      <c r="FY18" s="699"/>
      <c r="FZ18" s="700">
        <f>FY18/FW18</f>
        <v>0</v>
      </c>
      <c r="GA18" s="593">
        <f>'Proy 2022 vs 2019 sem'!AF17*GD$4</f>
        <v>10049.540800000001</v>
      </c>
      <c r="GB18" s="593">
        <f>'Proy 2022 vs 2019 sem'!AG17*GD$4</f>
        <v>8843.5959039999998</v>
      </c>
      <c r="GC18" s="699"/>
      <c r="GD18" s="700">
        <f>GC18/GA18</f>
        <v>0</v>
      </c>
      <c r="GE18" s="593">
        <f>'Proy 2022 vs 2019 sem'!AF17*GH$4</f>
        <v>13818.1186</v>
      </c>
      <c r="GF18" s="593">
        <f>'Proy 2022 vs 2019 sem'!AG17*GH$4</f>
        <v>12159.944368</v>
      </c>
      <c r="GG18" s="699"/>
      <c r="GH18" s="700">
        <f>GG18/GE18</f>
        <v>0</v>
      </c>
      <c r="GI18" s="579">
        <f>FG18+FK18+FO18+FS18+FW18+GA18+GE18</f>
        <v>62809.630000000005</v>
      </c>
      <c r="GJ18" s="574">
        <f>FH18+FL18+FP18+FT18+FX18+GB18+GF18</f>
        <v>55272.474400000006</v>
      </c>
      <c r="GK18" s="794">
        <f>FI18+FM18+FQ18+FU18+FY18+GC18+GG18</f>
        <v>0</v>
      </c>
      <c r="GL18" s="786">
        <f>GK18/GI18</f>
        <v>0</v>
      </c>
      <c r="GM18" s="593">
        <f>'Proy 2022 vs 2019 sem'!AK17*GP$4</f>
        <v>5290.1292000000003</v>
      </c>
      <c r="GN18" s="593">
        <f>'Proy 2022 vs 2019 sem'!AL17*GP$4</f>
        <v>4761.1162800000002</v>
      </c>
      <c r="GO18" s="699"/>
      <c r="GP18" s="700">
        <f>GO18/GM18</f>
        <v>0</v>
      </c>
      <c r="GQ18" s="593">
        <f>'Proy 2022 vs 2019 sem'!AK17*GT$4</f>
        <v>5290.1292000000003</v>
      </c>
      <c r="GR18" s="593">
        <f>'Proy 2022 vs 2019 sem'!AL17*GT$4</f>
        <v>4761.1162800000002</v>
      </c>
      <c r="GS18" s="699"/>
      <c r="GT18" s="700">
        <f>GS18/GQ18</f>
        <v>0</v>
      </c>
      <c r="GU18" s="593">
        <f>'Proy 2022 vs 2019 sem'!AK17*GX$4</f>
        <v>5290.1292000000003</v>
      </c>
      <c r="GV18" s="593">
        <f>'Proy 2022 vs 2019 sem'!AL17*GX$4</f>
        <v>4761.1162800000002</v>
      </c>
      <c r="GW18" s="699"/>
      <c r="GX18" s="700">
        <f>GW18/GU18</f>
        <v>0</v>
      </c>
      <c r="GY18" s="593">
        <f>'Proy 2022 vs 2019 sem'!AK17*HB$4</f>
        <v>5290.1292000000003</v>
      </c>
      <c r="GZ18" s="593">
        <f>'Proy 2022 vs 2019 sem'!AL17*HB$4</f>
        <v>4761.1162800000002</v>
      </c>
      <c r="HA18" s="699"/>
      <c r="HB18" s="700">
        <f>HA18/GY18</f>
        <v>0</v>
      </c>
      <c r="HC18" s="593">
        <f>'Proy 2022 vs 2019 sem'!AK17*HF$4</f>
        <v>6171.8174000000008</v>
      </c>
      <c r="HD18" s="593">
        <f>'Proy 2022 vs 2019 sem'!AL17*HF$4</f>
        <v>5554.6356600000008</v>
      </c>
      <c r="HE18" s="699"/>
      <c r="HF18" s="700">
        <f>HE18/HC18</f>
        <v>0</v>
      </c>
      <c r="HG18" s="593">
        <f>'Proy 2022 vs 2019 sem'!AK17*HJ$4</f>
        <v>7053.5056000000004</v>
      </c>
      <c r="HH18" s="593">
        <f>'Proy 2022 vs 2019 sem'!AL17*HJ$4</f>
        <v>6348.1550400000006</v>
      </c>
      <c r="HI18" s="699"/>
      <c r="HJ18" s="700">
        <f>HI18/HG18</f>
        <v>0</v>
      </c>
      <c r="HK18" s="593">
        <f>'Proy 2022 vs 2019 sem'!AK17*HN$4</f>
        <v>9698.5702000000001</v>
      </c>
      <c r="HL18" s="593">
        <f>'Proy 2022 vs 2019 sem'!AL17*HN$4</f>
        <v>8728.7131800000006</v>
      </c>
      <c r="HM18" s="699"/>
      <c r="HN18" s="700">
        <f>HM18/HK18</f>
        <v>0</v>
      </c>
      <c r="HO18" s="579">
        <f>GM18+GQ18+GU18+GY18+HC18+HG18+HK18</f>
        <v>44084.41</v>
      </c>
      <c r="HP18" s="574">
        <f>GN18+GR18+GV18+GZ18+HD18+HH18+HL18</f>
        <v>39675.969000000005</v>
      </c>
      <c r="HQ18" s="794">
        <f>GO18+GS18+GW18+HA18+HE18+HI18+HM18</f>
        <v>0</v>
      </c>
      <c r="HR18" s="786">
        <f>HQ18/HO18</f>
        <v>0</v>
      </c>
      <c r="HS18" s="593">
        <f>'Proy 2022 vs 2019 sem'!AK17*HV$4</f>
        <v>5290.1292000000003</v>
      </c>
      <c r="HT18" s="593">
        <f>'Proy 2022 vs 2019 sem'!AL17*HV$4</f>
        <v>4761.1162800000002</v>
      </c>
      <c r="HU18" s="699"/>
      <c r="HV18" s="700">
        <f>HU18/HS18</f>
        <v>0</v>
      </c>
      <c r="HW18" s="593">
        <f>'Proy 2022 vs 2019 sem'!AK17*HZ$4</f>
        <v>5290.1292000000003</v>
      </c>
      <c r="HX18" s="593">
        <f>'Proy 2022 vs 2019 sem'!AL17*HZ$4</f>
        <v>4761.1162800000002</v>
      </c>
      <c r="HY18" s="699"/>
      <c r="HZ18" s="700">
        <f>HY18/HW18</f>
        <v>0</v>
      </c>
      <c r="IA18" s="593">
        <f>'Proy 2022 vs 2019 sem'!AK17*ID$4</f>
        <v>5290.1292000000003</v>
      </c>
      <c r="IB18" s="593">
        <f>'Proy 2022 vs 2019 sem'!AL17*ID$4</f>
        <v>4761.1162800000002</v>
      </c>
      <c r="IC18" s="699"/>
      <c r="ID18" s="700">
        <f>IC18/IA18</f>
        <v>0</v>
      </c>
      <c r="IE18" s="593">
        <f>'Proy 2022 vs 2019 sem'!AK17*IH$4</f>
        <v>5290.1292000000003</v>
      </c>
      <c r="IF18" s="593">
        <f>'Proy 2022 vs 2019 sem'!AL17*IH$4</f>
        <v>4761.1162800000002</v>
      </c>
      <c r="IG18" s="699"/>
      <c r="IH18" s="700">
        <f>IG18/IE18</f>
        <v>0</v>
      </c>
      <c r="II18" s="593">
        <f>'Proy 2022 vs 2019 sem'!AK17*IL$4</f>
        <v>6171.8174000000008</v>
      </c>
      <c r="IJ18" s="593">
        <f>'Proy 2022 vs 2019 sem'!AL17*IL$4</f>
        <v>5554.6356600000008</v>
      </c>
      <c r="IK18" s="699"/>
      <c r="IL18" s="700">
        <f>IK18/II18</f>
        <v>0</v>
      </c>
      <c r="IM18" s="593">
        <f>'Proy 2022 vs 2019 sem'!AK17*IP$4</f>
        <v>7053.5056000000004</v>
      </c>
      <c r="IN18" s="593">
        <f>'Proy 2022 vs 2019 sem'!AL17*IP$4</f>
        <v>6348.1550400000006</v>
      </c>
      <c r="IO18" s="699"/>
      <c r="IP18" s="700">
        <f>IO18/IM18</f>
        <v>0</v>
      </c>
      <c r="IQ18" s="593">
        <f>'Proy 2022 vs 2019 sem'!AK17*IT$4</f>
        <v>9698.5702000000001</v>
      </c>
      <c r="IR18" s="593">
        <f>'Proy 2022 vs 2019 sem'!AL17*IT$4</f>
        <v>8728.7131800000006</v>
      </c>
      <c r="IS18" s="699"/>
      <c r="IT18" s="700">
        <f>IS18/IQ18</f>
        <v>0</v>
      </c>
      <c r="IU18" s="579">
        <f>HS18+HW18+IA18+IE18+II18+IM18+IQ18</f>
        <v>44084.41</v>
      </c>
      <c r="IV18" s="574">
        <f>HT18+HX18+IB18+IF18+IJ18+IN18+IR18</f>
        <v>39675.969000000005</v>
      </c>
      <c r="IW18" s="785">
        <f>HU18+HY18+IC18+IG18+IK18+IO18+IS18</f>
        <v>0</v>
      </c>
      <c r="IX18" s="786">
        <f>IW18/IU18</f>
        <v>0</v>
      </c>
      <c r="IY18" s="593">
        <f>'Proy 2022 vs 2019 sem'!AY17*JB$4</f>
        <v>6436.6764000000003</v>
      </c>
      <c r="IZ18" s="593">
        <f>'Proy 2022 vs 2019 sem'!AZ17*JB$4</f>
        <v>5728.6419960000003</v>
      </c>
      <c r="JA18" s="735"/>
      <c r="JB18" s="700">
        <f>JA18/IY18</f>
        <v>0</v>
      </c>
      <c r="JC18" s="593">
        <f>'Proy 2022 vs 2019 sem'!AY17*JF$4</f>
        <v>6436.6764000000003</v>
      </c>
      <c r="JD18" s="593">
        <f>'Proy 2022 vs 2019 sem'!AZ17*JF$4</f>
        <v>5728.6419960000003</v>
      </c>
      <c r="JE18" s="735"/>
      <c r="JF18" s="700">
        <f>JE18/JC18</f>
        <v>0</v>
      </c>
      <c r="JG18" s="593">
        <f>'Proy 2022 vs 2019 sem'!AY17*JJ$4</f>
        <v>6436.6764000000003</v>
      </c>
      <c r="JH18" s="593">
        <f>'Proy 2022 vs 2019 sem'!AZ17*JJ$4</f>
        <v>5728.6419960000003</v>
      </c>
      <c r="JI18" s="735"/>
      <c r="JJ18" s="700">
        <f>JI18/JG18</f>
        <v>0</v>
      </c>
      <c r="JK18" s="593">
        <f>'Proy 2022 vs 2019 sem'!AY17*JN$4</f>
        <v>6436.6764000000003</v>
      </c>
      <c r="JL18" s="593">
        <f>'Proy 2022 vs 2019 sem'!AZ17*JN$4</f>
        <v>5728.6419960000003</v>
      </c>
      <c r="JM18" s="735"/>
      <c r="JN18" s="700">
        <f>JM18/JK18</f>
        <v>0</v>
      </c>
      <c r="JO18" s="593">
        <f>'Proy 2022 vs 2019 sem'!AY17*JR$4</f>
        <v>7509.4558000000006</v>
      </c>
      <c r="JP18" s="593">
        <f>'Proy 2022 vs 2019 sem'!AZ17*JR$4</f>
        <v>6683.4156620000012</v>
      </c>
      <c r="JQ18" s="735"/>
      <c r="JR18" s="700">
        <f>JQ18/JO18</f>
        <v>0</v>
      </c>
      <c r="JS18" s="593">
        <f>'Proy 2022 vs 2019 sem'!AY17*JV$4</f>
        <v>8582.235200000001</v>
      </c>
      <c r="JT18" s="593">
        <f>'Proy 2022 vs 2019 sem'!AZ17*JV$4</f>
        <v>7638.1893280000004</v>
      </c>
      <c r="JU18" s="735"/>
      <c r="JV18" s="700">
        <f>JU18/JS18</f>
        <v>0</v>
      </c>
      <c r="JW18" s="593">
        <f>'Proy 2022 vs 2019 sem'!AY17*JZ$4</f>
        <v>11800.573400000001</v>
      </c>
      <c r="JX18" s="593">
        <f>'Proy 2022 vs 2019 sem'!AZ17*JZ$4</f>
        <v>10502.510326000001</v>
      </c>
      <c r="JY18" s="735"/>
      <c r="JZ18" s="700">
        <f>JY18/JW18</f>
        <v>0</v>
      </c>
      <c r="KA18" s="579">
        <f>IY18+JC18+JG18+JK18+JO18+JS18+JW18</f>
        <v>53638.970000000008</v>
      </c>
      <c r="KB18" s="574">
        <f>IZ18+JD18+JH18+JL18+JP18+JT18+JX18</f>
        <v>47738.683300000004</v>
      </c>
      <c r="KC18" s="729">
        <f>JA18+JE18+JI18+JM18+JQ18+JU18+JY18</f>
        <v>0</v>
      </c>
      <c r="KD18" s="711">
        <f>KC18/KA18</f>
        <v>0</v>
      </c>
      <c r="KE18" s="593">
        <f>'Proy 2022 vs 2019 sem'!BD17*KH$4</f>
        <v>6030.2892000000002</v>
      </c>
      <c r="KF18" s="593">
        <f>'Proy 2022 vs 2019 sem'!BE17*KH$4</f>
        <v>5366.9573880000007</v>
      </c>
      <c r="KG18" s="699"/>
      <c r="KH18" s="700">
        <f>KG18/KE18</f>
        <v>0</v>
      </c>
      <c r="KI18" s="593">
        <f>'Proy 2022 vs 2019 sem'!BD17*KL$4</f>
        <v>6030.2892000000002</v>
      </c>
      <c r="KJ18" s="593">
        <f>'Proy 2022 vs 2019 sem'!BE17*KL$4</f>
        <v>5366.9573880000007</v>
      </c>
      <c r="KK18" s="699"/>
      <c r="KL18" s="700">
        <f>KK18/KI18</f>
        <v>0</v>
      </c>
      <c r="KM18" s="593">
        <f>'Proy 2022 vs 2019 sem'!BD17*KP$4</f>
        <v>6030.2892000000002</v>
      </c>
      <c r="KN18" s="593">
        <f>'Proy 2022 vs 2019 sem'!BE17*KP$4</f>
        <v>5366.9573880000007</v>
      </c>
      <c r="KO18" s="699"/>
      <c r="KP18" s="700">
        <f>KO18/KM18</f>
        <v>0</v>
      </c>
      <c r="KQ18" s="593">
        <f>'Proy 2022 vs 2019 sem'!BD17*KT$4</f>
        <v>6030.2892000000002</v>
      </c>
      <c r="KR18" s="593">
        <f>'Proy 2022 vs 2019 sem'!BE17*KT$4</f>
        <v>5366.9573880000007</v>
      </c>
      <c r="KS18" s="699"/>
      <c r="KT18" s="700">
        <f>KS18/KQ18</f>
        <v>0</v>
      </c>
      <c r="KU18" s="593">
        <f>'Proy 2022 vs 2019 sem'!BD17*KX$4</f>
        <v>7035.3374000000013</v>
      </c>
      <c r="KV18" s="593">
        <f>'Proy 2022 vs 2019 sem'!BE17*KX$4</f>
        <v>6261.4502860000011</v>
      </c>
      <c r="KW18" s="699"/>
      <c r="KX18" s="700">
        <f>KW18/KU18</f>
        <v>0</v>
      </c>
      <c r="KY18" s="593">
        <f>'Proy 2022 vs 2019 sem'!BD17*LB$4</f>
        <v>8040.3856000000005</v>
      </c>
      <c r="KZ18" s="593">
        <f>'Proy 2022 vs 2019 sem'!BE17*LB$4</f>
        <v>7155.9431840000016</v>
      </c>
      <c r="LA18" s="699"/>
      <c r="LB18" s="700">
        <f>LA18/KY18</f>
        <v>0</v>
      </c>
      <c r="LC18" s="593">
        <f>'Proy 2022 vs 2019 sem'!BD17*LF$4</f>
        <v>11055.530200000001</v>
      </c>
      <c r="LD18" s="593">
        <f>'Proy 2022 vs 2019 sem'!BE17*LF$4</f>
        <v>9839.421878000001</v>
      </c>
      <c r="LE18" s="699"/>
      <c r="LF18" s="700">
        <f>LE18/LC18</f>
        <v>0</v>
      </c>
      <c r="LG18" s="579">
        <f>KE18+KI18+KM18+KQ18+KU18+KY18+LC18</f>
        <v>50252.41</v>
      </c>
      <c r="LH18" s="574">
        <f>KF18+KJ18+KN18+KR18+KV18+KZ18+LD18</f>
        <v>44724.644900000007</v>
      </c>
      <c r="LI18" s="730">
        <f>KG18+KK18+KO18+KS18+KW18+LA18+LE18</f>
        <v>0</v>
      </c>
      <c r="LJ18" s="711">
        <f>LI18/LG18</f>
        <v>0</v>
      </c>
      <c r="LK18" s="593">
        <f>'Proy 2022 vs 2019 sem'!BI17*LN$4</f>
        <v>6099.7007999999996</v>
      </c>
      <c r="LL18" s="593">
        <f>'Proy 2022 vs 2019 sem'!BJ17*LN$4</f>
        <v>5428.7337119999993</v>
      </c>
      <c r="LM18" s="699"/>
      <c r="LN18" s="700">
        <f>LM18/LK18</f>
        <v>0</v>
      </c>
      <c r="LO18" s="593">
        <f>'Proy 2022 vs 2019 sem'!BI17*LR$4</f>
        <v>6099.7007999999996</v>
      </c>
      <c r="LP18" s="593">
        <f>'Proy 2022 vs 2019 sem'!BJ17*LR$4</f>
        <v>5428.7337119999993</v>
      </c>
      <c r="LQ18" s="699"/>
      <c r="LR18" s="700">
        <f>LQ18/LO18</f>
        <v>0</v>
      </c>
      <c r="LS18" s="593">
        <f>'Proy 2022 vs 2019 sem'!BI17*LV$4</f>
        <v>6099.7007999999996</v>
      </c>
      <c r="LT18" s="593">
        <f>'Proy 2022 vs 2019 sem'!BJ17*LV$4</f>
        <v>5428.7337119999993</v>
      </c>
      <c r="LU18" s="699"/>
      <c r="LV18" s="700">
        <f>LU18/LS18</f>
        <v>0</v>
      </c>
      <c r="LW18" s="593">
        <f>'Proy 2022 vs 2019 sem'!BI17*LZ$4</f>
        <v>6099.7007999999996</v>
      </c>
      <c r="LX18" s="593">
        <f>'Proy 2022 vs 2019 sem'!BJ17*LZ$4</f>
        <v>5428.7337119999993</v>
      </c>
      <c r="LY18" s="699"/>
      <c r="LZ18" s="700">
        <f>LY18/LW18</f>
        <v>0</v>
      </c>
      <c r="MA18" s="593">
        <f>'Proy 2022 vs 2019 sem'!BI17*MD$4</f>
        <v>7116.3176000000003</v>
      </c>
      <c r="MB18" s="593">
        <f>'Proy 2022 vs 2019 sem'!BJ17*MD$4</f>
        <v>6333.522664000001</v>
      </c>
      <c r="MC18" s="699"/>
      <c r="MD18" s="700">
        <f>MC18/MA18</f>
        <v>0</v>
      </c>
      <c r="ME18" s="593">
        <f>'Proy 2022 vs 2019 sem'!BI17*MH$4</f>
        <v>8132.9343999999992</v>
      </c>
      <c r="MF18" s="593">
        <f>'Proy 2022 vs 2019 sem'!BJ17*MH$4</f>
        <v>7238.311616</v>
      </c>
      <c r="MG18" s="699"/>
      <c r="MH18" s="700">
        <f>MG18/ME18</f>
        <v>0</v>
      </c>
      <c r="MI18" s="593">
        <f>'Proy 2022 vs 2019 sem'!BI17*ML$4</f>
        <v>11182.784799999999</v>
      </c>
      <c r="MJ18" s="593">
        <f>'Proy 2022 vs 2019 sem'!BJ17*ML$4</f>
        <v>9952.6784719999996</v>
      </c>
      <c r="MK18" s="699"/>
      <c r="ML18" s="700">
        <f>MK18/MI18</f>
        <v>0</v>
      </c>
      <c r="MM18" s="579">
        <f>LK18+LO18+LS18+LW18+MA18+ME18+MI18</f>
        <v>50830.84</v>
      </c>
      <c r="MN18" s="574">
        <f>LL18+LP18+LT18+LX18+MB18+MF18+MJ18</f>
        <v>45239.4476</v>
      </c>
      <c r="MO18" s="730">
        <f>LM18+LQ18+LU18+LY18+MC18+MG18+MK18</f>
        <v>0</v>
      </c>
      <c r="MP18" s="711">
        <f>MO18/MM18</f>
        <v>0</v>
      </c>
      <c r="MQ18" s="593">
        <f>'Proy 2022 vs 2019 sem'!BN17*MT$4</f>
        <v>6781.6812</v>
      </c>
      <c r="MR18" s="593">
        <f>'Proy 2022 vs 2019 sem'!BO17*MT$4</f>
        <v>5900.0626439999996</v>
      </c>
      <c r="MS18" s="699"/>
      <c r="MT18" s="700">
        <f>MS18/MQ18</f>
        <v>0</v>
      </c>
      <c r="MU18" s="593">
        <f>'Proy 2022 vs 2019 sem'!BN17*MX$4</f>
        <v>6781.6812</v>
      </c>
      <c r="MV18" s="593">
        <f>'Proy 2022 vs 2019 sem'!BO17*MX$4</f>
        <v>5900.0626439999996</v>
      </c>
      <c r="MW18" s="699"/>
      <c r="MX18" s="700">
        <f>MW18/MU18</f>
        <v>0</v>
      </c>
      <c r="MY18" s="593">
        <f>'Proy 2022 vs 2019 sem'!BN17*NB$4</f>
        <v>6781.6812</v>
      </c>
      <c r="MZ18" s="593">
        <f>'Proy 2022 vs 2019 sem'!BO17*NB$4</f>
        <v>5900.0626439999996</v>
      </c>
      <c r="NA18" s="699"/>
      <c r="NB18" s="700">
        <f>NA18/MY18</f>
        <v>0</v>
      </c>
      <c r="NC18" s="593">
        <f>'Proy 2022 vs 2019 sem'!BN17*NF$4</f>
        <v>6781.6812</v>
      </c>
      <c r="ND18" s="593">
        <f>'Proy 2022 vs 2019 sem'!BO17*NF$4</f>
        <v>5900.0626439999996</v>
      </c>
      <c r="NE18" s="699"/>
      <c r="NF18" s="700">
        <f>NE18/NC18</f>
        <v>0</v>
      </c>
      <c r="NG18" s="593">
        <f>'Proy 2022 vs 2019 sem'!BN17*NJ$4</f>
        <v>7911.961400000001</v>
      </c>
      <c r="NH18" s="593">
        <f>'Proy 2022 vs 2019 sem'!BO17*NJ$4</f>
        <v>6883.4064180000005</v>
      </c>
      <c r="NI18" s="699"/>
      <c r="NJ18" s="700">
        <f>NI18/NG18</f>
        <v>0</v>
      </c>
      <c r="NK18" s="593">
        <f>'Proy 2022 vs 2019 sem'!BN17*NN$4</f>
        <v>9042.2416000000012</v>
      </c>
      <c r="NL18" s="593">
        <f>'Proy 2022 vs 2019 sem'!BO17*NN$4</f>
        <v>7866.7501919999995</v>
      </c>
      <c r="NM18" s="699"/>
      <c r="NN18" s="700">
        <f>NM18/NK18</f>
        <v>0</v>
      </c>
      <c r="NO18" s="593">
        <f>'Proy 2022 vs 2019 sem'!BN17*NR$4</f>
        <v>12433.082200000001</v>
      </c>
      <c r="NP18" s="593">
        <f>'Proy 2022 vs 2019 sem'!BO17*NR$4</f>
        <v>10816.781514</v>
      </c>
      <c r="NQ18" s="699"/>
      <c r="NR18" s="700">
        <f>NQ18/NO18</f>
        <v>0</v>
      </c>
      <c r="NS18" s="579">
        <f>MQ18+MU18+MY18+NC18+NG18+NK18+NO18</f>
        <v>56514.010000000009</v>
      </c>
      <c r="NT18" s="574">
        <f>MR18+MV18+MZ18+ND18+NH18+NL18+NP18</f>
        <v>49167.188699999999</v>
      </c>
      <c r="NU18" s="710">
        <f>MS18+MW18+NA18+NE18+NI18+NM18+NQ18</f>
        <v>0</v>
      </c>
      <c r="NV18" s="711">
        <f>NU18/NS18</f>
        <v>0</v>
      </c>
      <c r="NW18" s="593">
        <f>'Proy 2022 vs 2019 sem'!BS17*NZ$4</f>
        <v>7393.2312000000002</v>
      </c>
      <c r="NX18" s="593">
        <f>'Proy 2022 vs 2019 sem'!BT17*NZ$4</f>
        <v>6579.9757680000002</v>
      </c>
      <c r="NY18" s="699"/>
      <c r="NZ18" s="700">
        <f>NY18/NW18</f>
        <v>0</v>
      </c>
      <c r="OA18" s="593">
        <f>'Proy 2022 vs 2019 sem'!BS17*OD$4</f>
        <v>7393.2312000000002</v>
      </c>
      <c r="OB18" s="593">
        <f>'Proy 2022 vs 2019 sem'!BT17*OD$4</f>
        <v>6579.9757680000002</v>
      </c>
      <c r="OC18" s="699"/>
      <c r="OD18" s="700">
        <f>OC18/OA18</f>
        <v>0</v>
      </c>
      <c r="OE18" s="593">
        <f>'Proy 2022 vs 2019 sem'!BS17*OH$4</f>
        <v>7393.2312000000002</v>
      </c>
      <c r="OF18" s="593">
        <f>'Proy 2022 vs 2019 sem'!BT17*OH$4</f>
        <v>6579.9757680000002</v>
      </c>
      <c r="OG18" s="699"/>
      <c r="OH18" s="700">
        <f>OG18/OE18</f>
        <v>0</v>
      </c>
      <c r="OI18" s="593">
        <f>'Proy 2022 vs 2019 sem'!BS17*OL$4</f>
        <v>7393.2312000000002</v>
      </c>
      <c r="OJ18" s="593">
        <f>'Proy 2022 vs 2019 sem'!BT17*OL$4</f>
        <v>6579.9757680000002</v>
      </c>
      <c r="OK18" s="699"/>
      <c r="OL18" s="700">
        <f>OK18/OI18</f>
        <v>0</v>
      </c>
      <c r="OM18" s="593">
        <f>'Proy 2022 vs 2019 sem'!BS17*OP$4</f>
        <v>8625.4364000000005</v>
      </c>
      <c r="ON18" s="593">
        <f>'Proy 2022 vs 2019 sem'!BT17*OP$4</f>
        <v>7676.6383960000012</v>
      </c>
      <c r="OO18" s="699"/>
      <c r="OP18" s="700">
        <f>OO18/OM18</f>
        <v>0</v>
      </c>
      <c r="OQ18" s="593">
        <f>'Proy 2022 vs 2019 sem'!BS17*OT$4</f>
        <v>9857.6416000000008</v>
      </c>
      <c r="OR18" s="593">
        <f>'Proy 2022 vs 2019 sem'!BT17*OT$4</f>
        <v>8773.3010240000003</v>
      </c>
      <c r="OS18" s="699"/>
      <c r="OT18" s="700">
        <f>OS18/OQ18</f>
        <v>0</v>
      </c>
      <c r="OU18" s="593">
        <f>'Proy 2022 vs 2019 sem'!BS17*OX$4</f>
        <v>13554.2572</v>
      </c>
      <c r="OV18" s="593">
        <f>'Proy 2022 vs 2019 sem'!BT17*OX$4</f>
        <v>12063.288908</v>
      </c>
      <c r="OW18" s="699"/>
      <c r="OX18" s="700">
        <f>OW18/OU18</f>
        <v>0</v>
      </c>
      <c r="OY18" s="579">
        <f>NW18+OA18+OE18+OI18+OM18+OQ18+OU18</f>
        <v>61610.26</v>
      </c>
      <c r="OZ18" s="574">
        <f>NX18+OB18+OF18+OJ18+ON18+OR18+OV18</f>
        <v>54833.131400000006</v>
      </c>
      <c r="PA18" s="710">
        <f>NY18+OC18+OG18+OK18+OO18+OS18+OW18</f>
        <v>0</v>
      </c>
      <c r="PB18" s="711">
        <f>PA18/OY18</f>
        <v>0</v>
      </c>
      <c r="PC18" s="593">
        <f>'Proy 2022 vs 2019 sem'!CB17*PF$4</f>
        <v>7420.6343999999999</v>
      </c>
      <c r="PD18" s="593">
        <f>'Proy 2022 vs 2019 sem'!CC17*PF$4</f>
        <v>6604.3646159999998</v>
      </c>
      <c r="PE18" s="735"/>
      <c r="PF18" s="700">
        <f>PE18/PC18</f>
        <v>0</v>
      </c>
      <c r="PG18" s="593">
        <f>'Proy 2022 vs 2019 sem'!CB17*PJ$4</f>
        <v>7420.6343999999999</v>
      </c>
      <c r="PH18" s="593">
        <f>'Proy 2022 vs 2019 sem'!CC17*PJ$4</f>
        <v>6604.3646159999998</v>
      </c>
      <c r="PI18" s="699"/>
      <c r="PJ18" s="700">
        <f>PI18/PG18</f>
        <v>0</v>
      </c>
      <c r="PK18" s="593">
        <f>'Proy 2022 vs 2019 sem'!CB17*PN$4</f>
        <v>7420.6343999999999</v>
      </c>
      <c r="PL18" s="593">
        <f>'Proy 2022 vs 2019 sem'!CC17*PN$4</f>
        <v>6604.3646159999998</v>
      </c>
      <c r="PM18" s="699"/>
      <c r="PN18" s="700">
        <f>PM18/PK18</f>
        <v>0</v>
      </c>
      <c r="PO18" s="593">
        <f>'Proy 2022 vs 2019 sem'!CB17*PR$4</f>
        <v>7420.6343999999999</v>
      </c>
      <c r="PP18" s="593">
        <f>'Proy 2022 vs 2019 sem'!CC17*PR$4</f>
        <v>6604.3646159999998</v>
      </c>
      <c r="PQ18" s="699"/>
      <c r="PR18" s="700">
        <f>PQ18/PO18</f>
        <v>0</v>
      </c>
      <c r="PS18" s="593">
        <f>'Proy 2022 vs 2019 sem'!CB17*PV$4</f>
        <v>8657.4068000000007</v>
      </c>
      <c r="PT18" s="593">
        <f>'Proy 2022 vs 2019 sem'!CC17*PV$4</f>
        <v>7705.0920520000009</v>
      </c>
      <c r="PU18" s="699"/>
      <c r="PV18" s="700">
        <f>PU18/PS18</f>
        <v>0</v>
      </c>
      <c r="PW18" s="593">
        <f>'Proy 2022 vs 2019 sem'!CB17*PZ$4</f>
        <v>9894.1792000000005</v>
      </c>
      <c r="PX18" s="593">
        <f>'Proy 2022 vs 2019 sem'!CC17*PZ$4</f>
        <v>8805.819488000001</v>
      </c>
      <c r="PY18" s="699"/>
      <c r="PZ18" s="700">
        <f>PY18/PW18</f>
        <v>0</v>
      </c>
      <c r="QA18" s="593">
        <f>'Proy 2022 vs 2019 sem'!CB17*QD$4</f>
        <v>13604.4964</v>
      </c>
      <c r="QB18" s="593">
        <f>'Proy 2022 vs 2019 sem'!CC17*QD$4</f>
        <v>12108.001796</v>
      </c>
      <c r="QC18" s="699"/>
      <c r="QD18" s="700">
        <f>QC18/QA18</f>
        <v>0</v>
      </c>
      <c r="QE18" s="579">
        <f>PC18+PG18+PK18+PO18+PS18+PW18+QA18</f>
        <v>61838.619999999995</v>
      </c>
      <c r="QF18" s="574">
        <f>PD18+PH18+PL18+PP18+PT18+PX18+QB18</f>
        <v>55036.371800000008</v>
      </c>
      <c r="QG18" s="793">
        <f>PE18+PI18+PM18+PQ18+PU18+PY18+QC18</f>
        <v>0</v>
      </c>
      <c r="QH18" s="786">
        <f>QG18/QE18</f>
        <v>0</v>
      </c>
      <c r="QI18" s="593">
        <f>'Proy 2022 vs 2019 sem'!CG17*QL$4</f>
        <v>7511.9831999999997</v>
      </c>
      <c r="QJ18" s="593">
        <f>'Proy 2022 vs 2019 sem'!CH17*QL$4</f>
        <v>6685.6650479999998</v>
      </c>
      <c r="QK18" s="699"/>
      <c r="QL18" s="700">
        <f>QK18/QI18</f>
        <v>0</v>
      </c>
      <c r="QM18" s="593">
        <f>'Proy 2022 vs 2019 sem'!CG17*QP$4</f>
        <v>7511.9831999999997</v>
      </c>
      <c r="QN18" s="593">
        <f>'Proy 2022 vs 2019 sem'!CH17*QP$4</f>
        <v>6685.6650479999998</v>
      </c>
      <c r="QO18" s="699"/>
      <c r="QP18" s="700">
        <f>QO18/QM18</f>
        <v>0</v>
      </c>
      <c r="QQ18" s="593">
        <f>'Proy 2022 vs 2019 sem'!CG17*QT$4</f>
        <v>7511.9831999999997</v>
      </c>
      <c r="QR18" s="593">
        <f>'Proy 2022 vs 2019 sem'!CH17*QT$4</f>
        <v>6685.6650479999998</v>
      </c>
      <c r="QS18" s="699"/>
      <c r="QT18" s="700">
        <f>QS18/QQ18</f>
        <v>0</v>
      </c>
      <c r="QU18" s="593">
        <f>'Proy 2022 vs 2019 sem'!CG17*QX$4</f>
        <v>7511.9831999999997</v>
      </c>
      <c r="QV18" s="593">
        <f>'Proy 2022 vs 2019 sem'!CH17*QX$4</f>
        <v>6685.6650479999998</v>
      </c>
      <c r="QW18" s="699"/>
      <c r="QX18" s="700">
        <f>QW18/QU18</f>
        <v>0</v>
      </c>
      <c r="QY18" s="593">
        <f>'Proy 2022 vs 2019 sem'!CG17*RB$4</f>
        <v>8763.9804000000004</v>
      </c>
      <c r="QZ18" s="593">
        <f>'Proy 2022 vs 2019 sem'!CH17*RB$4</f>
        <v>7799.9425560000018</v>
      </c>
      <c r="RA18" s="699"/>
      <c r="RB18" s="700">
        <f>RA18/QY18</f>
        <v>0</v>
      </c>
      <c r="RC18" s="593">
        <f>'Proy 2022 vs 2019 sem'!CG17*RF$4</f>
        <v>10015.9776</v>
      </c>
      <c r="RD18" s="593">
        <f>'Proy 2022 vs 2019 sem'!CH17*RF$4</f>
        <v>8914.220064000001</v>
      </c>
      <c r="RE18" s="699"/>
      <c r="RF18" s="700">
        <f>RE18/RC18</f>
        <v>0</v>
      </c>
      <c r="RG18" s="593">
        <f>'Proy 2022 vs 2019 sem'!CG17*RJ$4</f>
        <v>13771.9692</v>
      </c>
      <c r="RH18" s="593">
        <f>'Proy 2022 vs 2019 sem'!CH17*RJ$4</f>
        <v>12257.052588</v>
      </c>
      <c r="RI18" s="699"/>
      <c r="RJ18" s="700">
        <f>RI18/RG18</f>
        <v>0</v>
      </c>
      <c r="RK18" s="579">
        <f>QI18+QM18+QQ18+QU18+QY18+RC18+RG18</f>
        <v>62599.859999999993</v>
      </c>
      <c r="RL18" s="574">
        <f>QJ18+QN18+QR18+QV18+QZ18+RD18+RH18</f>
        <v>55713.875400000004</v>
      </c>
      <c r="RM18" s="794">
        <f>QK18+QO18+QS18+QW18+RA18+RE18+RI18</f>
        <v>0</v>
      </c>
      <c r="RN18" s="786">
        <f>RM18/RK18</f>
        <v>0</v>
      </c>
      <c r="RO18" s="593">
        <f>'Proy 2022 vs 2019 sem'!CL17*RR$4</f>
        <v>7451.1983999999993</v>
      </c>
      <c r="RP18" s="593">
        <f>'Proy 2022 vs 2019 sem'!CM17*RR$4</f>
        <v>6631.5665759999993</v>
      </c>
      <c r="RQ18" s="699"/>
      <c r="RR18" s="700">
        <f>RQ18/RO18</f>
        <v>0</v>
      </c>
      <c r="RS18" s="593">
        <f>'Proy 2022 vs 2019 sem'!CL17*RV$4</f>
        <v>7451.1983999999993</v>
      </c>
      <c r="RT18" s="593">
        <f>'Proy 2022 vs 2019 sem'!CM17*RV$4</f>
        <v>6631.5665759999993</v>
      </c>
      <c r="RU18" s="699"/>
      <c r="RV18" s="700">
        <f>RU18/RS18</f>
        <v>0</v>
      </c>
      <c r="RW18" s="593">
        <f>'Proy 2022 vs 2019 sem'!CL17*RZ$4</f>
        <v>7451.1983999999993</v>
      </c>
      <c r="RX18" s="593">
        <f>'Proy 2022 vs 2019 sem'!CM17*RZ$4</f>
        <v>6631.5665759999993</v>
      </c>
      <c r="RY18" s="699"/>
      <c r="RZ18" s="700">
        <f>RY18/RW18</f>
        <v>0</v>
      </c>
      <c r="SA18" s="593">
        <f>'Proy 2022 vs 2019 sem'!CL17*SD$4</f>
        <v>7451.1983999999993</v>
      </c>
      <c r="SB18" s="593">
        <f>'Proy 2022 vs 2019 sem'!CM17*SD$4</f>
        <v>6631.5665759999993</v>
      </c>
      <c r="SC18" s="699"/>
      <c r="SD18" s="700">
        <f>SC18/SA18</f>
        <v>0</v>
      </c>
      <c r="SE18" s="593">
        <f>'Proy 2022 vs 2019 sem'!CL17*SH$4</f>
        <v>8693.0648000000001</v>
      </c>
      <c r="SF18" s="593">
        <f>'Proy 2022 vs 2019 sem'!CM17*SH$4</f>
        <v>7736.8276720000003</v>
      </c>
      <c r="SG18" s="699"/>
      <c r="SH18" s="700">
        <f>SG18/SE18</f>
        <v>0</v>
      </c>
      <c r="SI18" s="593">
        <f>'Proy 2022 vs 2019 sem'!CL17*SL$4</f>
        <v>9934.9312000000009</v>
      </c>
      <c r="SJ18" s="593">
        <f>'Proy 2022 vs 2019 sem'!CM17*SL$4</f>
        <v>8842.0887679999996</v>
      </c>
      <c r="SK18" s="699"/>
      <c r="SL18" s="700">
        <f>SK18/SI18</f>
        <v>0</v>
      </c>
      <c r="SM18" s="593">
        <f>'Proy 2022 vs 2019 sem'!CL17*SP$4</f>
        <v>13660.5304</v>
      </c>
      <c r="SN18" s="593">
        <f>'Proy 2022 vs 2019 sem'!CM17*SP$4</f>
        <v>12157.872056</v>
      </c>
      <c r="SO18" s="699"/>
      <c r="SP18" s="700">
        <f>SO18/SM18</f>
        <v>0</v>
      </c>
      <c r="SQ18" s="579">
        <f>RO18+RS18+RW18+SA18+SE18+SI18+SM18</f>
        <v>62093.319999999992</v>
      </c>
      <c r="SR18" s="574">
        <f>RP18+RT18+RX18+SB18+SF18+SJ18+SN18</f>
        <v>55263.054799999998</v>
      </c>
      <c r="SS18" s="794">
        <f>RQ18+RU18+RY18+SC18+SG18+SK18+SO18</f>
        <v>0</v>
      </c>
      <c r="ST18" s="786">
        <f>SS18/SQ18</f>
        <v>0</v>
      </c>
      <c r="SU18" s="593">
        <f>'Proy 2022 vs 2019 sem'!CQ17*SX$4</f>
        <v>9445.9115999999995</v>
      </c>
      <c r="SV18" s="593">
        <f>'Proy 2022 vs 2019 sem'!CR17*SX$4</f>
        <v>8501.3204399999995</v>
      </c>
      <c r="SW18" s="699"/>
      <c r="SX18" s="700">
        <f>SW18/SU18</f>
        <v>0</v>
      </c>
      <c r="SY18" s="593">
        <f>'Proy 2022 vs 2019 sem'!CQ17*TB$4</f>
        <v>9445.9115999999995</v>
      </c>
      <c r="SZ18" s="593">
        <f>'Proy 2022 vs 2019 sem'!CR17*TB$4</f>
        <v>8501.3204399999995</v>
      </c>
      <c r="TA18" s="699"/>
      <c r="TB18" s="700">
        <f>TA18/SY18</f>
        <v>0</v>
      </c>
      <c r="TC18" s="593">
        <f>'Proy 2022 vs 2019 sem'!CQ17*TF$4</f>
        <v>9445.9115999999995</v>
      </c>
      <c r="TD18" s="593">
        <f>'Proy 2022 vs 2019 sem'!CR17*TF$4</f>
        <v>8501.3204399999995</v>
      </c>
      <c r="TE18" s="699"/>
      <c r="TF18" s="700">
        <f>TE18/TC18</f>
        <v>0</v>
      </c>
      <c r="TG18" s="593">
        <f>'Proy 2022 vs 2019 sem'!CQ17*TJ$4</f>
        <v>9445.9115999999995</v>
      </c>
      <c r="TH18" s="593">
        <f>'Proy 2022 vs 2019 sem'!CR17*TJ$4</f>
        <v>8501.3204399999995</v>
      </c>
      <c r="TI18" s="699"/>
      <c r="TJ18" s="700">
        <f>TI18/TG18</f>
        <v>0</v>
      </c>
      <c r="TK18" s="593">
        <f>'Proy 2022 vs 2019 sem'!CQ17*TN$4</f>
        <v>11020.2302</v>
      </c>
      <c r="TL18" s="593">
        <f>'Proy 2022 vs 2019 sem'!CR17*TN$4</f>
        <v>9918.2071800000012</v>
      </c>
      <c r="TM18" s="699"/>
      <c r="TN18" s="700">
        <f>TM18/TK18</f>
        <v>0</v>
      </c>
      <c r="TO18" s="593">
        <f>'Proy 2022 vs 2019 sem'!CQ17*TR$4</f>
        <v>12594.548799999999</v>
      </c>
      <c r="TP18" s="593">
        <f>'Proy 2022 vs 2019 sem'!CR17*TR$4</f>
        <v>11335.093919999999</v>
      </c>
      <c r="TQ18" s="699"/>
      <c r="TR18" s="700">
        <f>TQ18/TO18</f>
        <v>0</v>
      </c>
      <c r="TS18" s="593">
        <f>'Proy 2022 vs 2019 sem'!CQ17*TV$4</f>
        <v>17317.5046</v>
      </c>
      <c r="TT18" s="593">
        <f>'Proy 2022 vs 2019 sem'!CR17*TV$4</f>
        <v>15585.754139999999</v>
      </c>
      <c r="TU18" s="699"/>
      <c r="TV18" s="700">
        <f>TU18/TS18</f>
        <v>0</v>
      </c>
      <c r="TW18" s="579">
        <f>SU18+SY18+TC18+TG18+TK18+TO18+TS18</f>
        <v>78715.929999999993</v>
      </c>
      <c r="TX18" s="574">
        <f>SV18+SZ18+TD18+TH18+TL18+TP18+TT18</f>
        <v>70844.337</v>
      </c>
      <c r="TY18" s="785">
        <f>SW18+TA18+TE18+TI18+TM18+TQ18+TU18</f>
        <v>0</v>
      </c>
      <c r="TZ18" s="786">
        <f>TY18/TW18</f>
        <v>0</v>
      </c>
      <c r="UA18" s="593">
        <f>'Proy 2022 vs 2019 sem'!CZ17*UD$4</f>
        <v>9568.1460000000006</v>
      </c>
      <c r="UB18" s="593">
        <f>'Proy 2022 vs 2019 sem'!DA17*UD$4</f>
        <v>8515.6499400000012</v>
      </c>
      <c r="UC18" s="735"/>
      <c r="UD18" s="700">
        <f>UC18/UA18</f>
        <v>0</v>
      </c>
      <c r="UE18" s="593">
        <f>'Proy 2022 vs 2019 sem'!CZ17*UH$4</f>
        <v>9568.1460000000006</v>
      </c>
      <c r="UF18" s="593">
        <f>'Proy 2022 vs 2019 sem'!DA17*UH$4</f>
        <v>8515.6499400000012</v>
      </c>
      <c r="UG18" s="699"/>
      <c r="UH18" s="700">
        <f>UG18/UE18</f>
        <v>0</v>
      </c>
      <c r="UI18" s="593">
        <f>'Proy 2022 vs 2019 sem'!CZ17*UL$4</f>
        <v>9568.1460000000006</v>
      </c>
      <c r="UJ18" s="593">
        <f>'Proy 2022 vs 2019 sem'!DA17*UL$4</f>
        <v>8515.6499400000012</v>
      </c>
      <c r="UK18" s="699"/>
      <c r="UL18" s="700">
        <f>UK18/UI18</f>
        <v>0</v>
      </c>
      <c r="UM18" s="593">
        <f>'Proy 2022 vs 2019 sem'!CZ17*UP$4</f>
        <v>9568.1460000000006</v>
      </c>
      <c r="UN18" s="593">
        <f>'Proy 2022 vs 2019 sem'!DA17*UP$4</f>
        <v>8515.6499400000012</v>
      </c>
      <c r="UO18" s="699"/>
      <c r="UP18" s="700">
        <f>UO18/UM18</f>
        <v>0</v>
      </c>
      <c r="UQ18" s="593">
        <f>'Proy 2022 vs 2019 sem'!CZ17*UT$4</f>
        <v>11162.837000000001</v>
      </c>
      <c r="UR18" s="593">
        <f>'Proy 2022 vs 2019 sem'!DA17*UT$4</f>
        <v>9934.924930000001</v>
      </c>
      <c r="US18" s="699"/>
      <c r="UT18" s="700">
        <f>US18/UQ18</f>
        <v>0</v>
      </c>
      <c r="UU18" s="593">
        <f>'Proy 2022 vs 2019 sem'!CZ17*UX$4</f>
        <v>12757.528</v>
      </c>
      <c r="UV18" s="593">
        <f>'Proy 2022 vs 2019 sem'!DA17*UX$4</f>
        <v>11354.199920000001</v>
      </c>
      <c r="UW18" s="699"/>
      <c r="UX18" s="700">
        <f>UW18/UU18</f>
        <v>0</v>
      </c>
      <c r="UY18" s="593">
        <f>'Proy 2022 vs 2019 sem'!CZ17*VB$4</f>
        <v>17541.601000000002</v>
      </c>
      <c r="UZ18" s="593">
        <f>'Proy 2022 vs 2019 sem'!DA17*VB$4</f>
        <v>15612.024890000001</v>
      </c>
      <c r="VA18" s="699"/>
      <c r="VB18" s="700">
        <f>VA18/UY18</f>
        <v>0</v>
      </c>
      <c r="VC18" s="579">
        <f>UA18+UE18+UI18+UM18+UQ18+UU18+UY18</f>
        <v>79734.55</v>
      </c>
      <c r="VD18" s="574">
        <f>UB18+UF18+UJ18+UN18+UR18+UV18+UZ18</f>
        <v>70963.749500000005</v>
      </c>
      <c r="VE18" s="759">
        <f>UC18+UG18+UK18+UO18+US18+UW18+VA18</f>
        <v>0</v>
      </c>
      <c r="VF18" s="761">
        <f>VE18/VC18</f>
        <v>0</v>
      </c>
      <c r="VG18" s="593">
        <f>'Proy 2022 vs 2019 sem'!DE17*VJ$4</f>
        <v>8696.2811999999994</v>
      </c>
      <c r="VH18" s="593">
        <f>'Proy 2022 vs 2019 sem'!DF17*VJ$4</f>
        <v>7739.6902679999994</v>
      </c>
      <c r="VI18" s="699"/>
      <c r="VJ18" s="700">
        <f>VI18/VG18</f>
        <v>0</v>
      </c>
      <c r="VK18" s="593">
        <f>'Proy 2022 vs 2019 sem'!DE17*VN$4</f>
        <v>8696.2811999999994</v>
      </c>
      <c r="VL18" s="593">
        <f>'Proy 2022 vs 2019 sem'!DF17*VN$4</f>
        <v>7739.6902679999994</v>
      </c>
      <c r="VM18" s="699"/>
      <c r="VN18" s="700">
        <f>VM18/VK18</f>
        <v>0</v>
      </c>
      <c r="VO18" s="593">
        <f>'Proy 2022 vs 2019 sem'!DE17*VR$4</f>
        <v>8696.2811999999994</v>
      </c>
      <c r="VP18" s="593">
        <f>'Proy 2022 vs 2019 sem'!DF17*VR$4</f>
        <v>7739.6902679999994</v>
      </c>
      <c r="VQ18" s="699"/>
      <c r="VR18" s="700">
        <f>VQ18/VO18</f>
        <v>0</v>
      </c>
      <c r="VS18" s="593">
        <f>'Proy 2022 vs 2019 sem'!DE17*VV$4</f>
        <v>8696.2811999999994</v>
      </c>
      <c r="VT18" s="593">
        <f>'Proy 2022 vs 2019 sem'!DF17*VV$4</f>
        <v>7739.6902679999994</v>
      </c>
      <c r="VU18" s="699"/>
      <c r="VV18" s="700">
        <f>VU18/VS18</f>
        <v>0</v>
      </c>
      <c r="VW18" s="593">
        <f>'Proy 2022 vs 2019 sem'!DE17*VZ$4</f>
        <v>10145.661400000001</v>
      </c>
      <c r="VX18" s="593">
        <f>'Proy 2022 vs 2019 sem'!DF17*VZ$4</f>
        <v>9029.6386460000012</v>
      </c>
      <c r="VY18" s="699"/>
      <c r="VZ18" s="700">
        <f>VY18/VW18</f>
        <v>0</v>
      </c>
      <c r="WA18" s="593">
        <f>'Proy 2022 vs 2019 sem'!DE17*WD$4</f>
        <v>11595.041599999999</v>
      </c>
      <c r="WB18" s="593">
        <f>'Proy 2022 vs 2019 sem'!DF17*WD$4</f>
        <v>10319.587024</v>
      </c>
      <c r="WC18" s="699"/>
      <c r="WD18" s="700">
        <f>WC18/WA18</f>
        <v>0</v>
      </c>
      <c r="WE18" s="593">
        <f>'Proy 2022 vs 2019 sem'!DE17*WH$4</f>
        <v>15943.182199999999</v>
      </c>
      <c r="WF18" s="593">
        <f>'Proy 2022 vs 2019 sem'!DF17*WH$4</f>
        <v>14189.432158</v>
      </c>
      <c r="WG18" s="699"/>
      <c r="WH18" s="700">
        <f>WG18/WE18</f>
        <v>0</v>
      </c>
      <c r="WI18" s="579">
        <f>VG18+VK18+VO18+VS18+VW18+WA18+WE18</f>
        <v>72469.009999999995</v>
      </c>
      <c r="WJ18" s="574">
        <f>VH18+VL18+VP18+VT18+VX18+WB18+WF18</f>
        <v>64497.418900000004</v>
      </c>
      <c r="WK18" s="765">
        <f>VI18+VM18+VQ18+VU18+VY18+WC18+WG18</f>
        <v>0</v>
      </c>
      <c r="WL18" s="761">
        <f>WK18/WI18</f>
        <v>0</v>
      </c>
      <c r="WM18" s="593">
        <f>'Proy 2022 vs 2019 sem'!DJ17*WP$4</f>
        <v>6622.8263999999999</v>
      </c>
      <c r="WN18" s="593">
        <f>'Proy 2022 vs 2019 sem'!DK17*WP$4</f>
        <v>5894.3154960000002</v>
      </c>
      <c r="WO18" s="699"/>
      <c r="WP18" s="700">
        <f>WO18/WM18</f>
        <v>0</v>
      </c>
      <c r="WQ18" s="593">
        <f>'Proy 2022 vs 2019 sem'!DJ17*WT$4</f>
        <v>6622.8263999999999</v>
      </c>
      <c r="WR18" s="593">
        <f>'Proy 2022 vs 2019 sem'!DK17*WT$4</f>
        <v>5894.3154960000002</v>
      </c>
      <c r="WS18" s="699"/>
      <c r="WT18" s="700">
        <f>WS18/WQ18</f>
        <v>0</v>
      </c>
      <c r="WU18" s="593">
        <f>'Proy 2022 vs 2019 sem'!DJ17*WX$4</f>
        <v>6622.8263999999999</v>
      </c>
      <c r="WV18" s="593">
        <f>'Proy 2022 vs 2019 sem'!DK17*WX$4</f>
        <v>5894.3154960000002</v>
      </c>
      <c r="WW18" s="699"/>
      <c r="WX18" s="700">
        <f>WW18/WU18</f>
        <v>0</v>
      </c>
      <c r="WY18" s="593">
        <f>'Proy 2022 vs 2019 sem'!DJ17*XB$4</f>
        <v>6622.8263999999999</v>
      </c>
      <c r="WZ18" s="593">
        <f>'Proy 2022 vs 2019 sem'!DK17*XB$4</f>
        <v>5894.3154960000002</v>
      </c>
      <c r="XA18" s="699"/>
      <c r="XB18" s="700">
        <f>XA18/WY18</f>
        <v>0</v>
      </c>
      <c r="XC18" s="593">
        <f>'Proy 2022 vs 2019 sem'!DJ17*XF$4</f>
        <v>7726.6308000000008</v>
      </c>
      <c r="XD18" s="593">
        <f>'Proy 2022 vs 2019 sem'!DK17*XF$4</f>
        <v>6876.7014120000003</v>
      </c>
      <c r="XE18" s="699"/>
      <c r="XF18" s="700">
        <f>XE18/XC18</f>
        <v>0</v>
      </c>
      <c r="XG18" s="593">
        <f>'Proy 2022 vs 2019 sem'!DJ17*XJ$4</f>
        <v>8830.4351999999999</v>
      </c>
      <c r="XH18" s="593">
        <f>'Proy 2022 vs 2019 sem'!DK17*XJ$4</f>
        <v>7859.0873280000005</v>
      </c>
      <c r="XI18" s="699"/>
      <c r="XJ18" s="700">
        <f>XI18/XG18</f>
        <v>0</v>
      </c>
      <c r="XK18" s="593">
        <f>'Proy 2022 vs 2019 sem'!DJ17*XN$4</f>
        <v>12141.848400000001</v>
      </c>
      <c r="XL18" s="593">
        <f>'Proy 2022 vs 2019 sem'!DK17*XN$4</f>
        <v>10806.245075999999</v>
      </c>
      <c r="XM18" s="699"/>
      <c r="XN18" s="700">
        <f>XM18/XK18</f>
        <v>0</v>
      </c>
      <c r="XO18" s="579">
        <f>WM18+WQ18+WU18+WY18+XC18+XG18+XK18</f>
        <v>55190.22</v>
      </c>
      <c r="XP18" s="574">
        <f>WN18+WR18+WV18+WZ18+XD18+XH18+XL18</f>
        <v>49119.2958</v>
      </c>
      <c r="XQ18" s="765">
        <f>WO18+WS18+WW18+XA18+XE18+XI18+XM18</f>
        <v>0</v>
      </c>
      <c r="XR18" s="761">
        <f>XQ18/XO18</f>
        <v>0</v>
      </c>
      <c r="XS18" s="593">
        <f>'Proy 2022 vs 2019 sem'!DO17*XV$4</f>
        <v>6708.8135999999995</v>
      </c>
      <c r="XT18" s="593">
        <f>'Proy 2022 vs 2019 sem'!DP17*XV$4</f>
        <v>5970.8441039999998</v>
      </c>
      <c r="XU18" s="699"/>
      <c r="XV18" s="700">
        <f>XU18/XS18</f>
        <v>0</v>
      </c>
      <c r="XW18" s="593">
        <f>'Proy 2022 vs 2019 sem'!DO17*XZ$4</f>
        <v>6708.8135999999995</v>
      </c>
      <c r="XX18" s="593">
        <f>'Proy 2022 vs 2019 sem'!DP17*XZ$4</f>
        <v>5970.8441039999998</v>
      </c>
      <c r="XY18" s="699"/>
      <c r="XZ18" s="700">
        <f>XY18/XW18</f>
        <v>0</v>
      </c>
      <c r="YA18" s="593">
        <f>'Proy 2022 vs 2019 sem'!DO17*YD$4</f>
        <v>6708.8135999999995</v>
      </c>
      <c r="YB18" s="593">
        <f>'Proy 2022 vs 2019 sem'!DP17*YD$4</f>
        <v>5970.8441039999998</v>
      </c>
      <c r="YC18" s="699"/>
      <c r="YD18" s="700">
        <f>YC18/YA18</f>
        <v>0</v>
      </c>
      <c r="YE18" s="593">
        <f>'Proy 2022 vs 2019 sem'!DO17*YH$4</f>
        <v>6708.8135999999995</v>
      </c>
      <c r="YF18" s="593">
        <f>'Proy 2022 vs 2019 sem'!DP17*YH$4</f>
        <v>5970.8441039999998</v>
      </c>
      <c r="YG18" s="699"/>
      <c r="YH18" s="700">
        <f>YG18/YE18</f>
        <v>0</v>
      </c>
      <c r="YI18" s="593">
        <f>'Proy 2022 vs 2019 sem'!DO17*YL$4</f>
        <v>7826.9492000000009</v>
      </c>
      <c r="YJ18" s="593">
        <f>'Proy 2022 vs 2019 sem'!DP17*YL$4</f>
        <v>6965.9847880000007</v>
      </c>
      <c r="YK18" s="699"/>
      <c r="YL18" s="700">
        <f>YK18/YI18</f>
        <v>0</v>
      </c>
      <c r="YM18" s="593">
        <f>'Proy 2022 vs 2019 sem'!DO17*YP$4</f>
        <v>8945.0848000000005</v>
      </c>
      <c r="YN18" s="593">
        <f>'Proy 2022 vs 2019 sem'!DP17*YP$4</f>
        <v>7961.1254720000006</v>
      </c>
      <c r="YO18" s="699"/>
      <c r="YP18" s="700">
        <f>YO18/YM18</f>
        <v>0</v>
      </c>
      <c r="YQ18" s="593">
        <f>'Proy 2022 vs 2019 sem'!DO17*YT$4</f>
        <v>12299.491599999999</v>
      </c>
      <c r="YR18" s="593">
        <f>'Proy 2022 vs 2019 sem'!DP17*YT$4</f>
        <v>10946.547524</v>
      </c>
      <c r="YS18" s="699"/>
      <c r="YT18" s="700">
        <f>YS18/YQ18</f>
        <v>0</v>
      </c>
      <c r="YU18" s="579">
        <f>XS18+XW18+YA18+YE18+YI18+YM18+YQ18</f>
        <v>55906.780000000006</v>
      </c>
      <c r="YV18" s="574">
        <f>XT18+XX18+YB18+YF18+YJ18+YN18+YR18</f>
        <v>49757.034200000002</v>
      </c>
      <c r="YW18" s="770">
        <f>XU18+XY18+YC18+YG18+YK18+YO18+YS18</f>
        <v>0</v>
      </c>
      <c r="YX18" s="761">
        <f>YW18/YU18</f>
        <v>0</v>
      </c>
      <c r="YY18" s="931">
        <f>'Proy 2022 vs 2019 sem'!DX17*ZB$4</f>
        <v>7845.9203999999991</v>
      </c>
      <c r="YZ18" s="931">
        <f>'Proy 2022 vs 2019 sem'!DY17*ZB$4</f>
        <v>6982.8691559999997</v>
      </c>
      <c r="ZA18" s="735"/>
      <c r="ZB18" s="700">
        <f>ZA18/YY18</f>
        <v>0</v>
      </c>
      <c r="ZC18" s="593">
        <f>'Proy 2022 vs 2019 sem'!DX17*ZF$4</f>
        <v>7845.9203999999991</v>
      </c>
      <c r="ZD18" s="593">
        <f>'Proy 2022 vs 2019 sem'!DY17*ZF$4</f>
        <v>6982.8691559999997</v>
      </c>
      <c r="ZE18" s="735"/>
      <c r="ZF18" s="700">
        <f>ZE18/ZC18</f>
        <v>0</v>
      </c>
      <c r="ZG18" s="593">
        <f>'Proy 2022 vs 2019 sem'!DX17*ZJ$4</f>
        <v>7845.9203999999991</v>
      </c>
      <c r="ZH18" s="593">
        <f>'Proy 2022 vs 2019 sem'!DY17*ZJ$4</f>
        <v>6982.8691559999997</v>
      </c>
      <c r="ZI18" s="735"/>
      <c r="ZJ18" s="700">
        <f>ZI18/ZG18</f>
        <v>0</v>
      </c>
      <c r="ZK18" s="593">
        <f>'Proy 2022 vs 2019 sem'!DX17*ZN$4</f>
        <v>7845.9203999999991</v>
      </c>
      <c r="ZL18" s="593">
        <f>'Proy 2022 vs 2019 sem'!DY17*ZN$4</f>
        <v>6982.8691559999997</v>
      </c>
      <c r="ZM18" s="735"/>
      <c r="ZN18" s="700">
        <f>ZM18/ZK18</f>
        <v>0</v>
      </c>
      <c r="ZO18" s="593">
        <f>'Proy 2022 vs 2019 sem'!DX17*ZR$4</f>
        <v>9153.5738000000001</v>
      </c>
      <c r="ZP18" s="593">
        <f>'Proy 2022 vs 2019 sem'!DY17*ZR$4</f>
        <v>8146.6806820000011</v>
      </c>
      <c r="ZQ18" s="735"/>
      <c r="ZR18" s="700">
        <f>ZQ18/ZO18</f>
        <v>0</v>
      </c>
      <c r="ZS18" s="593">
        <f>'Proy 2022 vs 2019 sem'!DX17*ZV$4</f>
        <v>10461.227199999999</v>
      </c>
      <c r="ZT18" s="593">
        <f>'Proy 2022 vs 2019 sem'!DY17*ZV$4</f>
        <v>9310.4922079999997</v>
      </c>
      <c r="ZU18" s="735"/>
      <c r="ZV18" s="700">
        <f>ZU18/ZS18</f>
        <v>0</v>
      </c>
      <c r="ZW18" s="593">
        <f>'Proy 2022 vs 2019 sem'!DX17*ZZ$4</f>
        <v>14384.187399999999</v>
      </c>
      <c r="ZX18" s="593">
        <f>'Proy 2022 vs 2019 sem'!DY17*ZZ$4</f>
        <v>12801.926786</v>
      </c>
      <c r="ZY18" s="735"/>
      <c r="ZZ18" s="700">
        <f>ZY18/ZW18</f>
        <v>0</v>
      </c>
      <c r="AAA18" s="579">
        <f>YY18+ZC18+ZG18+ZK18+ZO18+ZS18+ZW18</f>
        <v>65382.67</v>
      </c>
      <c r="AAB18" s="574">
        <f>YZ18+ZD18+ZH18+ZL18+ZP18+ZT18+ZX18</f>
        <v>58190.576300000001</v>
      </c>
      <c r="AAC18" s="729">
        <f>ZA18+ZE18+ZI18+ZM18+ZQ18+ZU18+ZY18</f>
        <v>0</v>
      </c>
      <c r="AAD18" s="711">
        <f>AAC18/AAA18</f>
        <v>0</v>
      </c>
      <c r="AAE18" s="593">
        <f>'Proy 2022 vs 2019 sem'!EC17*AAH$4</f>
        <v>7073.0592000000006</v>
      </c>
      <c r="AAF18" s="593">
        <f>'Proy 2022 vs 2019 sem'!ED17*AAH$4</f>
        <v>6153.5615040000002</v>
      </c>
      <c r="AAG18" s="699"/>
      <c r="AAH18" s="700">
        <f>AAG18/AAE18</f>
        <v>0</v>
      </c>
      <c r="AAI18" s="593">
        <f>'Proy 2022 vs 2019 sem'!EC17*AAL$4</f>
        <v>7073.0592000000006</v>
      </c>
      <c r="AAJ18" s="593">
        <f>'Proy 2022 vs 2019 sem'!ED17*AAL$4</f>
        <v>6153.5615040000002</v>
      </c>
      <c r="AAK18" s="699"/>
      <c r="AAL18" s="700">
        <f>AAK18/AAI18</f>
        <v>0</v>
      </c>
      <c r="AAM18" s="593">
        <f>'Proy 2022 vs 2019 sem'!EC17*AAP$4</f>
        <v>7073.0592000000006</v>
      </c>
      <c r="AAN18" s="593">
        <f>'Proy 2022 vs 2019 sem'!ED17*AAP$4</f>
        <v>6153.5615040000002</v>
      </c>
      <c r="AAO18" s="699"/>
      <c r="AAP18" s="700">
        <f>AAO18/AAM18</f>
        <v>0</v>
      </c>
      <c r="AAQ18" s="593">
        <f>'Proy 2022 vs 2019 sem'!EC17*AAT$4</f>
        <v>7073.0592000000006</v>
      </c>
      <c r="AAR18" s="593">
        <f>'Proy 2022 vs 2019 sem'!ED17*AAT$4</f>
        <v>6153.5615040000002</v>
      </c>
      <c r="AAS18" s="699"/>
      <c r="AAT18" s="700">
        <f>AAS18/AAQ18</f>
        <v>0</v>
      </c>
      <c r="AAU18" s="593">
        <f>'Proy 2022 vs 2019 sem'!EC17*AAX$4</f>
        <v>8251.9024000000009</v>
      </c>
      <c r="AAV18" s="593">
        <f>'Proy 2022 vs 2019 sem'!ED17*AAX$4</f>
        <v>7179.1550880000013</v>
      </c>
      <c r="AAW18" s="699"/>
      <c r="AAX18" s="700">
        <f>AAW18/AAU18</f>
        <v>0</v>
      </c>
      <c r="AAY18" s="593">
        <f>'Proy 2022 vs 2019 sem'!EC17*ABB$4</f>
        <v>9430.7456000000002</v>
      </c>
      <c r="AAZ18" s="593">
        <f>'Proy 2022 vs 2019 sem'!ED17*ABB$4</f>
        <v>8204.7486720000015</v>
      </c>
      <c r="ABA18" s="699"/>
      <c r="ABB18" s="700">
        <f>ABA18/AAY18</f>
        <v>0</v>
      </c>
      <c r="ABC18" s="593">
        <f>'Proy 2022 vs 2019 sem'!EC17*ABF$4</f>
        <v>12967.2752</v>
      </c>
      <c r="ABD18" s="593">
        <f>'Proy 2022 vs 2019 sem'!ED17*ABF$4</f>
        <v>11281.529424000002</v>
      </c>
      <c r="ABE18" s="699"/>
      <c r="ABF18" s="700">
        <f>ABE18/ABC18</f>
        <v>0</v>
      </c>
      <c r="ABG18" s="579">
        <f>AAE18+AAI18+AAM18+AAQ18+AAU18+AAY18+ABC18</f>
        <v>58942.16</v>
      </c>
      <c r="ABH18" s="574">
        <f>AAF18+AAJ18+AAN18+AAR18+AAV18+AAZ18+ABD18</f>
        <v>51279.679200000006</v>
      </c>
      <c r="ABI18" s="730">
        <f>AAG18+AAK18+AAO18+AAS18+AAW18+ABA18+ABE18</f>
        <v>0</v>
      </c>
      <c r="ABJ18" s="711">
        <f>ABI18/ABG18</f>
        <v>0</v>
      </c>
      <c r="ABK18" s="593">
        <f>'Proy 2022 vs 2019 sem'!EH17*ABN$4</f>
        <v>9302.7924000000003</v>
      </c>
      <c r="ABL18" s="593">
        <f>'Proy 2022 vs 2019 sem'!EI17*ABN$4</f>
        <v>8279.4852360000004</v>
      </c>
      <c r="ABM18" s="699"/>
      <c r="ABN18" s="700">
        <f>ABM18/ABK18</f>
        <v>0</v>
      </c>
      <c r="ABO18" s="593">
        <f>'Proy 2022 vs 2019 sem'!EH17*ABR$4</f>
        <v>9302.7924000000003</v>
      </c>
      <c r="ABP18" s="593">
        <f>'Proy 2022 vs 2019 sem'!EI17*ABR$4</f>
        <v>8279.4852360000004</v>
      </c>
      <c r="ABQ18" s="699"/>
      <c r="ABR18" s="700">
        <f>ABQ18/ABO18</f>
        <v>0</v>
      </c>
      <c r="ABS18" s="593">
        <f>'Proy 2022 vs 2019 sem'!EH17*ABV$4</f>
        <v>9302.7924000000003</v>
      </c>
      <c r="ABT18" s="593">
        <f>'Proy 2022 vs 2019 sem'!EI17*ABV$4</f>
        <v>8279.4852360000004</v>
      </c>
      <c r="ABU18" s="699"/>
      <c r="ABV18" s="700">
        <f>ABU18/ABS18</f>
        <v>0</v>
      </c>
      <c r="ABW18" s="593">
        <f>'Proy 2022 vs 2019 sem'!EH17*ABZ$4</f>
        <v>9302.7924000000003</v>
      </c>
      <c r="ABX18" s="593">
        <f>'Proy 2022 vs 2019 sem'!EI17*ABZ$4</f>
        <v>8279.4852360000004</v>
      </c>
      <c r="ABY18" s="699"/>
      <c r="ABZ18" s="700">
        <f>ABY18/ABW18</f>
        <v>0</v>
      </c>
      <c r="ACA18" s="593">
        <f>'Proy 2022 vs 2019 sem'!EH17*ACD$4</f>
        <v>10853.257800000001</v>
      </c>
      <c r="ACB18" s="593">
        <f>'Proy 2022 vs 2019 sem'!EI17*ACD$4</f>
        <v>9659.3994420000017</v>
      </c>
      <c r="ACC18" s="699"/>
      <c r="ACD18" s="700">
        <f>ACC18/ACA18</f>
        <v>0</v>
      </c>
      <c r="ACE18" s="593">
        <f>'Proy 2022 vs 2019 sem'!EH17*ACH$4</f>
        <v>12403.7232</v>
      </c>
      <c r="ACF18" s="593">
        <f>'Proy 2022 vs 2019 sem'!EI17*ACH$4</f>
        <v>11039.313648000001</v>
      </c>
      <c r="ACG18" s="699"/>
      <c r="ACH18" s="700">
        <f>ACG18/ACE18</f>
        <v>0</v>
      </c>
      <c r="ACI18" s="593">
        <f>'Proy 2022 vs 2019 sem'!EH17*ACL$4</f>
        <v>17055.1194</v>
      </c>
      <c r="ACJ18" s="593">
        <f>'Proy 2022 vs 2019 sem'!EI17*ACL$4</f>
        <v>15179.056266000001</v>
      </c>
      <c r="ACK18" s="699"/>
      <c r="ACL18" s="700">
        <f>ACK18/ACI18</f>
        <v>0</v>
      </c>
      <c r="ACM18" s="579">
        <f>ABK18+ABO18+ABS18+ABW18+ACA18+ACE18+ACI18</f>
        <v>77523.27</v>
      </c>
      <c r="ACN18" s="574">
        <f>ABL18+ABP18+ABT18+ABX18+ACB18+ACF18+ACJ18</f>
        <v>68995.710300000006</v>
      </c>
      <c r="ACO18" s="730">
        <f>ABM18+ABQ18+ABU18+ABY18+ACC18+ACG18+ACK18</f>
        <v>0</v>
      </c>
      <c r="ACP18" s="711">
        <f>ACO18/ACM18</f>
        <v>0</v>
      </c>
      <c r="ACQ18" s="593">
        <f>'Proy 2022 vs 2019 sem'!EM17*ACT$4</f>
        <v>7327.1435999999994</v>
      </c>
      <c r="ACR18" s="593">
        <f>'Proy 2022 vs 2019 sem'!EN17*ACT$4</f>
        <v>6814.2435479999995</v>
      </c>
      <c r="ACS18" s="699"/>
      <c r="ACT18" s="700">
        <f>ACS18/ACQ18</f>
        <v>0</v>
      </c>
      <c r="ACU18" s="593">
        <f>'Proy 2022 vs 2019 sem'!EM17*ACX$4</f>
        <v>7327.1435999999994</v>
      </c>
      <c r="ACV18" s="593">
        <f>'Proy 2022 vs 2019 sem'!EN17*ACX$4</f>
        <v>6814.2435479999995</v>
      </c>
      <c r="ACW18" s="699"/>
      <c r="ACX18" s="700">
        <f>ACW18/ACU18</f>
        <v>0</v>
      </c>
      <c r="ACY18" s="593">
        <f>'Proy 2022 vs 2019 sem'!EM17*ADB$4</f>
        <v>7327.1435999999994</v>
      </c>
      <c r="ACZ18" s="593">
        <f>'Proy 2022 vs 2019 sem'!EN17*ADB$4</f>
        <v>6814.2435479999995</v>
      </c>
      <c r="ADA18" s="699"/>
      <c r="ADB18" s="700">
        <f>ADA18/ACY18</f>
        <v>0</v>
      </c>
      <c r="ADC18" s="593">
        <f>'Proy 2022 vs 2019 sem'!EM17*ADF$4</f>
        <v>7327.1435999999994</v>
      </c>
      <c r="ADD18" s="593">
        <f>'Proy 2022 vs 2019 sem'!EN17*ADF$4</f>
        <v>6814.2435479999995</v>
      </c>
      <c r="ADE18" s="699"/>
      <c r="ADF18" s="700">
        <f>ADE18/ADC18</f>
        <v>0</v>
      </c>
      <c r="ADG18" s="593">
        <f>'Proy 2022 vs 2019 sem'!EM17*ADJ$4</f>
        <v>8548.3342000000011</v>
      </c>
      <c r="ADH18" s="593">
        <f>'Proy 2022 vs 2019 sem'!EN17*ADJ$4</f>
        <v>7949.9508060000007</v>
      </c>
      <c r="ADI18" s="699"/>
      <c r="ADJ18" s="700">
        <f>ADI18/ADG18</f>
        <v>0</v>
      </c>
      <c r="ADK18" s="593">
        <f>'Proy 2022 vs 2019 sem'!EM17*ADN$4</f>
        <v>9769.5247999999992</v>
      </c>
      <c r="ADL18" s="593">
        <f>'Proy 2022 vs 2019 sem'!EN17*ADN$4</f>
        <v>9085.6580640000011</v>
      </c>
      <c r="ADM18" s="699"/>
      <c r="ADN18" s="700">
        <f>ADM18/ADK18</f>
        <v>0</v>
      </c>
      <c r="ADO18" s="593">
        <f>'Proy 2022 vs 2019 sem'!EM17*ADR$4</f>
        <v>13433.096599999999</v>
      </c>
      <c r="ADP18" s="593">
        <f>'Proy 2022 vs 2019 sem'!EN17*ADR$4</f>
        <v>12492.779838</v>
      </c>
      <c r="ADQ18" s="699"/>
      <c r="ADR18" s="700">
        <f>ADQ18/ADO18</f>
        <v>0</v>
      </c>
      <c r="ADS18" s="579">
        <f>ACQ18+ACU18+ACY18+ADC18+ADG18+ADK18+ADO18</f>
        <v>61059.529999999992</v>
      </c>
      <c r="ADT18" s="574">
        <f>ACR18+ACV18+ACZ18+ADD18+ADH18+ADL18+ADP18</f>
        <v>56785.362900000007</v>
      </c>
      <c r="ADU18" s="710">
        <f>ACS18+ACW18+ADA18+ADE18+ADI18+ADM18+ADQ18</f>
        <v>0</v>
      </c>
      <c r="ADV18" s="711">
        <f>ADU18/ADS18</f>
        <v>0</v>
      </c>
      <c r="ADW18" s="593">
        <f>'Proy 2022 vs 2019 sem'!ER17*ADZ$4</f>
        <v>7790.1995999999999</v>
      </c>
      <c r="ADX18" s="593">
        <f>'Proy 2022 vs 2019 sem'!ES17*ADZ$4</f>
        <v>7244.885628</v>
      </c>
      <c r="ADY18" s="699"/>
      <c r="ADZ18" s="700">
        <f>ADY18/ADW18</f>
        <v>0</v>
      </c>
      <c r="AEA18" s="593">
        <f>'Proy 2022 vs 2019 sem'!ER17*AED$4</f>
        <v>7790.1995999999999</v>
      </c>
      <c r="AEB18" s="593">
        <f>'Proy 2022 vs 2019 sem'!ES17*AED$4</f>
        <v>7244.885628</v>
      </c>
      <c r="AEC18" s="699"/>
      <c r="AED18" s="700">
        <f>AEC18/AEA18</f>
        <v>0</v>
      </c>
      <c r="AEE18" s="593">
        <f>'Proy 2022 vs 2019 sem'!ER17*AEH$4</f>
        <v>7790.1995999999999</v>
      </c>
      <c r="AEF18" s="593">
        <f>'Proy 2022 vs 2019 sem'!ES17*AEH$4</f>
        <v>7244.885628</v>
      </c>
      <c r="AEG18" s="699"/>
      <c r="AEH18" s="700">
        <f>AEG18/AEE18</f>
        <v>0</v>
      </c>
      <c r="AEI18" s="593">
        <f>'Proy 2022 vs 2019 sem'!ER17*AEL$4</f>
        <v>7790.1995999999999</v>
      </c>
      <c r="AEJ18" s="593">
        <f>'Proy 2022 vs 2019 sem'!ES17*AEL$4</f>
        <v>7244.885628</v>
      </c>
      <c r="AEK18" s="699"/>
      <c r="AEL18" s="700">
        <f>AEK18/AEI18</f>
        <v>0</v>
      </c>
      <c r="AEM18" s="593">
        <f>'Proy 2022 vs 2019 sem'!ER17*AEP$4</f>
        <v>9088.5662000000011</v>
      </c>
      <c r="AEN18" s="593">
        <f>'Proy 2022 vs 2019 sem'!ES17*AEP$4</f>
        <v>8452.3665660000006</v>
      </c>
      <c r="AEO18" s="699"/>
      <c r="AEP18" s="700">
        <f>AEO18/AEM18</f>
        <v>0</v>
      </c>
      <c r="AEQ18" s="593">
        <f>'Proy 2022 vs 2019 sem'!ER17*AET$4</f>
        <v>10386.9328</v>
      </c>
      <c r="AER18" s="593">
        <f>'Proy 2022 vs 2019 sem'!ES17*AET$4</f>
        <v>9659.8475040000012</v>
      </c>
      <c r="AES18" s="699"/>
      <c r="AET18" s="700">
        <f>AES18/AEQ18</f>
        <v>0</v>
      </c>
      <c r="AEU18" s="593">
        <f>'Proy 2022 vs 2019 sem'!ER17*AEX$4</f>
        <v>14282.0326</v>
      </c>
      <c r="AEV18" s="593">
        <f>'Proy 2022 vs 2019 sem'!ES17*AEX$4</f>
        <v>13282.290318000001</v>
      </c>
      <c r="AEW18" s="699"/>
      <c r="AEX18" s="700">
        <f>AEW18/AEU18</f>
        <v>0</v>
      </c>
      <c r="AEY18" s="579">
        <f>ADW18+AEA18+AEE18+AEI18+AEM18+AEQ18+AEU18</f>
        <v>64918.33</v>
      </c>
      <c r="AEZ18" s="574">
        <f>ADX18+AEB18+AEF18+AEJ18+AEN18+AER18+AEV18</f>
        <v>60374.046900000001</v>
      </c>
      <c r="AFA18" s="710">
        <f>ADY18+AEC18+AEG18+AEK18+AEO18+AES18+AEW18</f>
        <v>0</v>
      </c>
      <c r="AFB18" s="711">
        <f>AFA18/AEY18</f>
        <v>0</v>
      </c>
      <c r="AFC18" s="593">
        <f>'Proy 2022 vs 2019 sem'!FA17*AFF$4</f>
        <v>6395.0928000000004</v>
      </c>
      <c r="AFD18" s="593">
        <f>'Proy 2022 vs 2019 sem'!FB17*AFF$4</f>
        <v>5627.6816640000006</v>
      </c>
      <c r="AFE18" s="735"/>
      <c r="AFF18" s="700">
        <f>AFE18/AFC18</f>
        <v>0</v>
      </c>
      <c r="AFG18" s="593">
        <f>'Proy 2022 vs 2019 sem'!FA17*AFJ$4</f>
        <v>6395.0928000000004</v>
      </c>
      <c r="AFH18" s="593">
        <f>'Proy 2022 vs 2019 sem'!FB17*AFJ$4</f>
        <v>5627.6816640000006</v>
      </c>
      <c r="AFI18" s="699"/>
      <c r="AFJ18" s="700">
        <f>AFI18/AFG18</f>
        <v>0</v>
      </c>
      <c r="AFK18" s="593">
        <f>'Proy 2022 vs 2019 sem'!FA17*AFN$4</f>
        <v>6395.0928000000004</v>
      </c>
      <c r="AFL18" s="593">
        <f>'Proy 2022 vs 2019 sem'!FB17*AFN$4</f>
        <v>5627.6816640000006</v>
      </c>
      <c r="AFM18" s="699"/>
      <c r="AFN18" s="700">
        <f>AFM18/AFK18</f>
        <v>0</v>
      </c>
      <c r="AFO18" s="593">
        <f>'Proy 2022 vs 2019 sem'!FA17*AFR$4</f>
        <v>6395.0928000000004</v>
      </c>
      <c r="AFP18" s="593">
        <f>'Proy 2022 vs 2019 sem'!FB17*AFR$4</f>
        <v>5627.6816640000006</v>
      </c>
      <c r="AFQ18" s="699"/>
      <c r="AFR18" s="700">
        <f>AFQ18/AFO18</f>
        <v>0</v>
      </c>
      <c r="AFS18" s="593">
        <f>'Proy 2022 vs 2019 sem'!FA17*AFV$4</f>
        <v>7460.941600000001</v>
      </c>
      <c r="AFT18" s="593">
        <f>'Proy 2022 vs 2019 sem'!FB17*AFV$4</f>
        <v>6565.6286080000009</v>
      </c>
      <c r="AFU18" s="699"/>
      <c r="AFV18" s="700">
        <f>AFU18/AFS18</f>
        <v>0</v>
      </c>
      <c r="AFW18" s="593">
        <f>'Proy 2022 vs 2019 sem'!FA17*AFZ$4</f>
        <v>8526.7903999999999</v>
      </c>
      <c r="AFX18" s="593">
        <f>'Proy 2022 vs 2019 sem'!FB17*AFZ$4</f>
        <v>7503.5755520000012</v>
      </c>
      <c r="AFY18" s="699"/>
      <c r="AFZ18" s="700">
        <f>AFY18/AFW18</f>
        <v>0</v>
      </c>
      <c r="AGA18" s="593">
        <f>'Proy 2022 vs 2019 sem'!FA17*AGD$4</f>
        <v>11724.336800000001</v>
      </c>
      <c r="AGB18" s="593">
        <f>'Proy 2022 vs 2019 sem'!FB17*AGD$4</f>
        <v>10317.416384</v>
      </c>
      <c r="AGC18" s="699"/>
      <c r="AGD18" s="700">
        <f>AGC18/AGA18</f>
        <v>0</v>
      </c>
      <c r="AGE18" s="579">
        <f>AFC18+AFG18+AFK18+AFO18+AFS18+AFW18+AGA18</f>
        <v>53292.44</v>
      </c>
      <c r="AGF18" s="574">
        <f>AFD18+AFH18+AFL18+AFP18+AFT18+AFX18+AGB18</f>
        <v>46897.347200000004</v>
      </c>
      <c r="AGG18" s="759">
        <f>AFE18+AFI18+AFM18+AFQ18+AFU18+AFY18+AGC18</f>
        <v>0</v>
      </c>
      <c r="AGH18" s="761">
        <f>AGG18/AGE18</f>
        <v>0</v>
      </c>
      <c r="AGI18" s="593">
        <f>'Proy 2022 vs 2019 sem'!FF17*AGL$4</f>
        <v>7879.7315999999992</v>
      </c>
      <c r="AGJ18" s="593">
        <f>'Proy 2022 vs 2019 sem'!FG17*AGL$4</f>
        <v>6934.1638079999993</v>
      </c>
      <c r="AGK18" s="699"/>
      <c r="AGL18" s="700">
        <f>AGK18/AGI18</f>
        <v>0</v>
      </c>
      <c r="AGM18" s="593">
        <f>'Proy 2022 vs 2019 sem'!FF17*AGP$4</f>
        <v>7879.7315999999992</v>
      </c>
      <c r="AGN18" s="593">
        <f>'Proy 2022 vs 2019 sem'!FG17*AGP$4</f>
        <v>6934.1638079999993</v>
      </c>
      <c r="AGO18" s="699"/>
      <c r="AGP18" s="700">
        <f>AGO18/AGM18</f>
        <v>0</v>
      </c>
      <c r="AGQ18" s="593">
        <f>'Proy 2022 vs 2019 sem'!FF17*AGT$4</f>
        <v>7879.7315999999992</v>
      </c>
      <c r="AGR18" s="593">
        <f>'Proy 2022 vs 2019 sem'!FG17*AGT$4</f>
        <v>6934.1638079999993</v>
      </c>
      <c r="AGS18" s="699"/>
      <c r="AGT18" s="700">
        <f>AGS18/AGQ18</f>
        <v>0</v>
      </c>
      <c r="AGU18" s="593">
        <f>'Proy 2022 vs 2019 sem'!FF17*AGX$4</f>
        <v>7879.7315999999992</v>
      </c>
      <c r="AGV18" s="593">
        <f>'Proy 2022 vs 2019 sem'!FG17*AGX$4</f>
        <v>6934.1638079999993</v>
      </c>
      <c r="AGW18" s="699"/>
      <c r="AGX18" s="700">
        <f>AGW18/AGU18</f>
        <v>0</v>
      </c>
      <c r="AGY18" s="593">
        <f>'Proy 2022 vs 2019 sem'!FF17*AHB$4</f>
        <v>9193.020199999999</v>
      </c>
      <c r="AGZ18" s="593">
        <f>'Proy 2022 vs 2019 sem'!FG17*AHB$4</f>
        <v>8089.8577759999998</v>
      </c>
      <c r="AHA18" s="699"/>
      <c r="AHB18" s="700">
        <f>AHA18/AGY18</f>
        <v>0</v>
      </c>
      <c r="AHC18" s="593">
        <f>'Proy 2022 vs 2019 sem'!FF17*AHF$4</f>
        <v>10506.308799999999</v>
      </c>
      <c r="AHD18" s="593">
        <f>'Proy 2022 vs 2019 sem'!FG17*AHF$4</f>
        <v>9245.5517439999985</v>
      </c>
      <c r="AHE18" s="699"/>
      <c r="AHF18" s="700">
        <f>AHE18/AHC18</f>
        <v>0</v>
      </c>
      <c r="AHG18" s="593">
        <f>'Proy 2022 vs 2019 sem'!FF17*AHJ$4</f>
        <v>14446.174599999998</v>
      </c>
      <c r="AHH18" s="593">
        <f>'Proy 2022 vs 2019 sem'!FG17*AHJ$4</f>
        <v>12712.633647999999</v>
      </c>
      <c r="AHI18" s="699"/>
      <c r="AHJ18" s="700">
        <f>AHI18/AHG18</f>
        <v>0</v>
      </c>
      <c r="AHK18" s="579">
        <f>AGI18+AGM18+AGQ18+AGU18+AGY18+AHC18+AHG18</f>
        <v>65664.429999999993</v>
      </c>
      <c r="AHL18" s="574">
        <f>AGJ18+AGN18+AGR18+AGV18+AGZ18+AHD18+AHH18</f>
        <v>57784.698399999994</v>
      </c>
      <c r="AHM18" s="765">
        <f>AGK18+AGO18+AGS18+AGW18+AHA18+AHE18+AHI18</f>
        <v>0</v>
      </c>
      <c r="AHN18" s="761">
        <f>AHM18/AHK18</f>
        <v>0</v>
      </c>
      <c r="AHO18" s="593">
        <f>'Proy 2022 vs 2019 sem'!FK17*AHR$4</f>
        <v>6907.3343999999997</v>
      </c>
      <c r="AHP18" s="593">
        <f>'Proy 2022 vs 2019 sem'!FL17*AHR$4</f>
        <v>6078.4542719999999</v>
      </c>
      <c r="AHQ18" s="699"/>
      <c r="AHR18" s="700">
        <f>AHQ18/AHO18</f>
        <v>0</v>
      </c>
      <c r="AHS18" s="593">
        <f>'Proy 2022 vs 2019 sem'!FK17*AHV$4</f>
        <v>6907.3343999999997</v>
      </c>
      <c r="AHT18" s="593">
        <f>'Proy 2022 vs 2019 sem'!FL17*AHV$4</f>
        <v>6078.4542719999999</v>
      </c>
      <c r="AHU18" s="699"/>
      <c r="AHV18" s="700">
        <f>AHU18/AHS18</f>
        <v>0</v>
      </c>
      <c r="AHW18" s="593">
        <f>'Proy 2022 vs 2019 sem'!FK17*AHZ$4</f>
        <v>6907.3343999999997</v>
      </c>
      <c r="AHX18" s="593">
        <f>'Proy 2022 vs 2019 sem'!FL17*AHZ$4</f>
        <v>6078.4542719999999</v>
      </c>
      <c r="AHY18" s="699"/>
      <c r="AHZ18" s="700">
        <f>AHY18/AHW18</f>
        <v>0</v>
      </c>
      <c r="AIA18" s="593">
        <f>'Proy 2022 vs 2019 sem'!FK17*AID$4</f>
        <v>6907.3343999999997</v>
      </c>
      <c r="AIB18" s="593">
        <f>'Proy 2022 vs 2019 sem'!FL17*AID$4</f>
        <v>6078.4542719999999</v>
      </c>
      <c r="AIC18" s="699"/>
      <c r="AID18" s="700">
        <f>AIC18/AIA18</f>
        <v>0</v>
      </c>
      <c r="AIE18" s="593">
        <f>'Proy 2022 vs 2019 sem'!FK17*AIH$4</f>
        <v>8058.5568000000012</v>
      </c>
      <c r="AIF18" s="593">
        <f>'Proy 2022 vs 2019 sem'!FL17*AIH$4</f>
        <v>7091.5299840000007</v>
      </c>
      <c r="AIG18" s="699"/>
      <c r="AIH18" s="700">
        <f>AIG18/AIE18</f>
        <v>0</v>
      </c>
      <c r="AII18" s="593">
        <f>'Proy 2022 vs 2019 sem'!FK17*AIL$4</f>
        <v>9209.7792000000009</v>
      </c>
      <c r="AIJ18" s="593">
        <f>'Proy 2022 vs 2019 sem'!FL17*AIL$4</f>
        <v>8104.6056960000005</v>
      </c>
      <c r="AIK18" s="699"/>
      <c r="AIL18" s="700">
        <f>AIK18/AII18</f>
        <v>0</v>
      </c>
      <c r="AIM18" s="593">
        <f>'Proy 2022 vs 2019 sem'!FK17*AIP$4</f>
        <v>12663.446400000001</v>
      </c>
      <c r="AIN18" s="593">
        <f>'Proy 2022 vs 2019 sem'!FL17*AIP$4</f>
        <v>11143.832832</v>
      </c>
      <c r="AIO18" s="699"/>
      <c r="AIP18" s="700">
        <f>AIO18/AIM18</f>
        <v>0</v>
      </c>
      <c r="AIQ18" s="579">
        <f>AHO18+AHS18+AHW18+AIA18+AIE18+AII18+AIM18</f>
        <v>57561.119999999995</v>
      </c>
      <c r="AIR18" s="574">
        <f>AHP18+AHT18+AHX18+AIB18+AIF18+AIJ18+AIN18</f>
        <v>50653.785600000003</v>
      </c>
      <c r="AIS18" s="765">
        <f>AHQ18+AHU18+AHY18+AIC18+AIG18+AIK18+AIO18</f>
        <v>0</v>
      </c>
      <c r="AIT18" s="761">
        <f>AIS18/AIQ18</f>
        <v>0</v>
      </c>
      <c r="AIU18" s="593">
        <f>'Proy 2022 vs 2019 sem'!FP17*AIX$4</f>
        <v>6514.1747999999998</v>
      </c>
      <c r="AIV18" s="593">
        <f>'Proy 2022 vs 2019 sem'!FQ17*AIX$4</f>
        <v>5993.0408159999997</v>
      </c>
      <c r="AIW18" s="699"/>
      <c r="AIX18" s="700">
        <f>AIW18/AIU18</f>
        <v>0</v>
      </c>
      <c r="AIY18" s="593">
        <f>'Proy 2022 vs 2019 sem'!FP17*AJB$4</f>
        <v>6514.1747999999998</v>
      </c>
      <c r="AIZ18" s="593">
        <f>'Proy 2022 vs 2019 sem'!FQ17*AJB$4</f>
        <v>5993.0408159999997</v>
      </c>
      <c r="AJA18" s="699"/>
      <c r="AJB18" s="700">
        <f>AJA18/AIY18</f>
        <v>0</v>
      </c>
      <c r="AJC18" s="593">
        <f>'Proy 2022 vs 2019 sem'!FP17*AJF$4</f>
        <v>6514.1747999999998</v>
      </c>
      <c r="AJD18" s="593">
        <f>'Proy 2022 vs 2019 sem'!FQ17*AJF$4</f>
        <v>5993.0408159999997</v>
      </c>
      <c r="AJE18" s="699"/>
      <c r="AJF18" s="700">
        <f>AJE18/AJC18</f>
        <v>0</v>
      </c>
      <c r="AJG18" s="593">
        <f>'Proy 2022 vs 2019 sem'!FP17*AJJ$4</f>
        <v>6514.1747999999998</v>
      </c>
      <c r="AJH18" s="593">
        <f>'Proy 2022 vs 2019 sem'!FQ17*AJJ$4</f>
        <v>5993.0408159999997</v>
      </c>
      <c r="AJI18" s="699"/>
      <c r="AJJ18" s="700">
        <f>AJI18/AJG18</f>
        <v>0</v>
      </c>
      <c r="AJK18" s="593">
        <f>'Proy 2022 vs 2019 sem'!FP17*AJN$4</f>
        <v>7599.8706000000011</v>
      </c>
      <c r="AJL18" s="593">
        <f>'Proy 2022 vs 2019 sem'!FQ17*AJN$4</f>
        <v>6991.8809520000013</v>
      </c>
      <c r="AJM18" s="699"/>
      <c r="AJN18" s="700">
        <f>AJM18/AJK18</f>
        <v>0</v>
      </c>
      <c r="AJO18" s="593">
        <f>'Proy 2022 vs 2019 sem'!FP17*AJR$4</f>
        <v>8685.5663999999997</v>
      </c>
      <c r="AJP18" s="593">
        <f>'Proy 2022 vs 2019 sem'!FQ17*AJR$4</f>
        <v>7990.7210880000002</v>
      </c>
      <c r="AJQ18" s="699"/>
      <c r="AJR18" s="700">
        <f>AJQ18/AJO18</f>
        <v>0</v>
      </c>
      <c r="AJS18" s="593">
        <f>'Proy 2022 vs 2019 sem'!FP17*AJV$4</f>
        <v>11942.6538</v>
      </c>
      <c r="AJT18" s="593">
        <f>'Proy 2022 vs 2019 sem'!FQ17*AJV$4</f>
        <v>10987.241496000001</v>
      </c>
      <c r="AJU18" s="699"/>
      <c r="AJV18" s="700">
        <f>AJU18/AJS18</f>
        <v>0</v>
      </c>
      <c r="AJW18" s="579">
        <f>AIU18+AIY18+AJC18+AJG18+AJK18+AJO18+AJS18</f>
        <v>54284.789999999994</v>
      </c>
      <c r="AJX18" s="574">
        <f>AIV18+AIZ18+AJD18+AJH18+AJL18+AJP18+AJT18</f>
        <v>49942.006800000003</v>
      </c>
      <c r="AJY18" s="770">
        <f>AIW18+AJA18+AJE18+AJI18+AJM18+AJQ18+AJU18</f>
        <v>0</v>
      </c>
      <c r="AJZ18" s="761">
        <f>AJY18/AJW18</f>
        <v>0</v>
      </c>
      <c r="AKA18" s="593"/>
      <c r="AKB18" s="593"/>
      <c r="AKC18" s="735"/>
      <c r="AKD18" s="700" t="e">
        <f>AKC18/AKA18</f>
        <v>#DIV/0!</v>
      </c>
      <c r="AKE18" s="593">
        <v>7514.8499999999995</v>
      </c>
      <c r="AKF18" s="593">
        <v>7665.1469999999999</v>
      </c>
      <c r="AKG18" s="699"/>
      <c r="AKH18" s="700">
        <f>AKG18/AKE18</f>
        <v>0</v>
      </c>
      <c r="AKI18" s="593">
        <v>7514.8499999999995</v>
      </c>
      <c r="AKJ18" s="593">
        <v>7665.1469999999999</v>
      </c>
      <c r="AKK18" s="699"/>
      <c r="AKL18" s="700">
        <f>AKK18/AKI18</f>
        <v>0</v>
      </c>
      <c r="AKM18" s="593">
        <v>7514.8499999999995</v>
      </c>
      <c r="AKN18" s="593">
        <v>7665.1469999999999</v>
      </c>
      <c r="AKO18" s="699"/>
      <c r="AKP18" s="700">
        <f>AKO18/AKM18</f>
        <v>0</v>
      </c>
      <c r="AKQ18" s="593">
        <v>8767.3250000000007</v>
      </c>
      <c r="AKR18" s="593">
        <v>8942.6715000000004</v>
      </c>
      <c r="AKS18" s="699"/>
      <c r="AKT18" s="700">
        <f>AKS18/AKQ18</f>
        <v>0</v>
      </c>
      <c r="AKU18" s="593">
        <v>10019.800000000001</v>
      </c>
      <c r="AKV18" s="593">
        <v>10220.196</v>
      </c>
      <c r="AKW18" s="699"/>
      <c r="AKX18" s="700">
        <f>AKW18/AKU18</f>
        <v>0</v>
      </c>
      <c r="AKY18" s="593">
        <v>13777.225</v>
      </c>
      <c r="AKZ18" s="593">
        <v>14052.7695</v>
      </c>
      <c r="ALA18" s="699"/>
      <c r="ALB18" s="700">
        <f>ALA18/AKY18</f>
        <v>0</v>
      </c>
      <c r="ALC18" s="579">
        <f>AKA18+AKE18+AKI18+AKM18+AKQ18+AKU18+AKY18</f>
        <v>55108.9</v>
      </c>
      <c r="ALD18" s="574">
        <f>AKB18+AKF18+AKJ18+AKN18+AKR18+AKV18+AKZ18</f>
        <v>56211.078000000001</v>
      </c>
      <c r="ALE18" s="793">
        <f>AKC18+AKG18+AKK18+AKO18+AKS18+AKW18+ALA18</f>
        <v>0</v>
      </c>
      <c r="ALF18" s="786">
        <f>ALE18/ALC18</f>
        <v>0</v>
      </c>
      <c r="ALG18" s="593">
        <v>6180.0695999999998</v>
      </c>
      <c r="ALH18" s="593">
        <v>6303.6709919999994</v>
      </c>
      <c r="ALI18" s="699"/>
      <c r="ALJ18" s="700">
        <f>ALI18/ALG18</f>
        <v>0</v>
      </c>
      <c r="ALK18" s="593">
        <v>6180.0695999999998</v>
      </c>
      <c r="ALL18" s="593">
        <v>6303.6709919999994</v>
      </c>
      <c r="ALM18" s="699"/>
      <c r="ALN18" s="700">
        <f>ALM18/ALK18</f>
        <v>0</v>
      </c>
      <c r="ALO18" s="593">
        <v>6180.0695999999998</v>
      </c>
      <c r="ALP18" s="593">
        <v>6303.6709919999994</v>
      </c>
      <c r="ALQ18" s="699"/>
      <c r="ALR18" s="700">
        <f>ALQ18/ALO18</f>
        <v>0</v>
      </c>
      <c r="ALS18" s="593">
        <v>6180.0695999999998</v>
      </c>
      <c r="ALT18" s="593">
        <v>6303.6709919999994</v>
      </c>
      <c r="ALU18" s="699"/>
      <c r="ALV18" s="700">
        <f>ALU18/ALS18</f>
        <v>0</v>
      </c>
      <c r="ALW18" s="593">
        <v>7210.0812000000005</v>
      </c>
      <c r="ALX18" s="593">
        <v>7354.2828240000008</v>
      </c>
      <c r="ALY18" s="699"/>
      <c r="ALZ18" s="700">
        <f>ALY18/ALW18</f>
        <v>0</v>
      </c>
      <c r="AMA18" s="593">
        <v>8240.0928000000004</v>
      </c>
      <c r="AMB18" s="593">
        <v>8404.8946560000004</v>
      </c>
      <c r="AMC18" s="699"/>
      <c r="AMD18" s="700">
        <f>AMC18/AMA18</f>
        <v>0</v>
      </c>
      <c r="AME18" s="593">
        <v>11330.1276</v>
      </c>
      <c r="AMF18" s="593">
        <v>11556.730152</v>
      </c>
      <c r="AMG18" s="699"/>
      <c r="AMH18" s="700">
        <f>AMG18/AME18</f>
        <v>0</v>
      </c>
      <c r="AMI18" s="579">
        <f>ALG18+ALK18+ALO18+ALS18+ALW18+AMA18+AME18</f>
        <v>51500.58</v>
      </c>
      <c r="AMJ18" s="574">
        <f>ALH18+ALL18+ALP18+ALT18+ALX18+AMB18+AMF18</f>
        <v>52530.5916</v>
      </c>
      <c r="AMK18" s="794">
        <f>ALI18+ALM18+ALQ18+ALU18+ALY18+AMC18+AMG18</f>
        <v>0</v>
      </c>
      <c r="AML18" s="786">
        <f>AMK18/AMI18</f>
        <v>0</v>
      </c>
      <c r="AMM18" s="593">
        <v>7123.4855999999991</v>
      </c>
      <c r="AMN18" s="593">
        <v>7265.955312</v>
      </c>
      <c r="AMO18" s="699"/>
      <c r="AMP18" s="700">
        <f>AMO18/AMM18</f>
        <v>0</v>
      </c>
      <c r="AMQ18" s="593">
        <v>7123.4855999999991</v>
      </c>
      <c r="AMR18" s="593">
        <v>7265.955312</v>
      </c>
      <c r="AMS18" s="699"/>
      <c r="AMT18" s="700">
        <f>AMS18/AMQ18</f>
        <v>0</v>
      </c>
      <c r="AMU18" s="593">
        <v>7123.4855999999991</v>
      </c>
      <c r="AMV18" s="593">
        <v>7265.955312</v>
      </c>
      <c r="AMW18" s="699"/>
      <c r="AMX18" s="700">
        <f>AMW18/AMU18</f>
        <v>0</v>
      </c>
      <c r="AMY18" s="593">
        <v>7123.4855999999991</v>
      </c>
      <c r="AMZ18" s="593">
        <v>7265.955312</v>
      </c>
      <c r="ANA18" s="699"/>
      <c r="ANB18" s="700">
        <f>ANA18/AMY18</f>
        <v>0</v>
      </c>
      <c r="ANC18" s="593">
        <v>8310.7332000000006</v>
      </c>
      <c r="AND18" s="593">
        <v>8476.9478640000016</v>
      </c>
      <c r="ANE18" s="699"/>
      <c r="ANF18" s="700">
        <f>ANE18/ANC18</f>
        <v>0</v>
      </c>
      <c r="ANG18" s="593">
        <v>9497.9807999999994</v>
      </c>
      <c r="ANH18" s="593">
        <v>9687.9404159999995</v>
      </c>
      <c r="ANI18" s="699"/>
      <c r="ANJ18" s="700">
        <f>ANI18/ANG18</f>
        <v>0</v>
      </c>
      <c r="ANK18" s="593">
        <v>13059.723599999999</v>
      </c>
      <c r="ANL18" s="593">
        <v>13320.918072</v>
      </c>
      <c r="ANM18" s="699"/>
      <c r="ANN18" s="700">
        <f>ANM18/ANK18</f>
        <v>0</v>
      </c>
      <c r="ANO18" s="579">
        <f>AMM18+AMQ18+AMU18+AMY18+ANC18+ANG18+ANK18</f>
        <v>59362.37999999999</v>
      </c>
      <c r="ANP18" s="574">
        <f>AMN18+AMR18+AMV18+AMZ18+AND18+ANH18+ANL18</f>
        <v>60549.6276</v>
      </c>
      <c r="ANQ18" s="794">
        <f>AMO18+AMS18+AMW18+ANA18+ANE18+ANI18+ANM18</f>
        <v>0</v>
      </c>
      <c r="ANR18" s="786">
        <f>ANQ18/ANO18</f>
        <v>0</v>
      </c>
      <c r="ANS18" s="593">
        <f>'Proy 2022 vs 2019 sem'!GN17*ANV$4</f>
        <v>6425.3219999999992</v>
      </c>
      <c r="ANT18" s="593">
        <f>'Proy 2022 vs 2019 sem'!GO17*ANV$4</f>
        <v>6296.8155599999991</v>
      </c>
      <c r="ANU18" s="699"/>
      <c r="ANV18" s="700">
        <f>ANU18/ANS18</f>
        <v>0</v>
      </c>
      <c r="ANW18" s="593">
        <f>'Proy 2022 vs 2019 sem'!GN17*ANZ$4</f>
        <v>6425.3219999999992</v>
      </c>
      <c r="ANX18" s="593">
        <f>'Proy 2022 vs 2019 sem'!GO17*ANZ$4</f>
        <v>6296.8155599999991</v>
      </c>
      <c r="ANY18" s="699"/>
      <c r="ANZ18" s="700">
        <f>ANY18/ANW18</f>
        <v>0</v>
      </c>
      <c r="AOA18" s="593">
        <f>'Proy 2022 vs 2019 sem'!GN17*AOD$4</f>
        <v>6425.3219999999992</v>
      </c>
      <c r="AOB18" s="593">
        <f>'Proy 2022 vs 2019 sem'!GO17*AOD$4</f>
        <v>6296.8155599999991</v>
      </c>
      <c r="AOC18" s="699"/>
      <c r="AOD18" s="700">
        <f>AOC18/AOA18</f>
        <v>0</v>
      </c>
      <c r="AOE18" s="593">
        <f>'Proy 2022 vs 2019 sem'!GN17*AOH$4</f>
        <v>6425.3219999999992</v>
      </c>
      <c r="AOF18" s="593">
        <f>'Proy 2022 vs 2019 sem'!GO17*AOH$4</f>
        <v>6296.8155599999991</v>
      </c>
      <c r="AOG18" s="699"/>
      <c r="AOH18" s="700">
        <f>AOG18/AOE18</f>
        <v>0</v>
      </c>
      <c r="AOI18" s="593">
        <f>'Proy 2022 vs 2019 sem'!GN17*AOL$4</f>
        <v>7496.2090000000007</v>
      </c>
      <c r="AOJ18" s="593">
        <f>'Proy 2022 vs 2019 sem'!GO17*AOL$4</f>
        <v>7346.2848199999999</v>
      </c>
      <c r="AOK18" s="699"/>
      <c r="AOL18" s="700">
        <f>AOK18/AOI18</f>
        <v>0</v>
      </c>
      <c r="AOM18" s="593">
        <f>'Proy 2022 vs 2019 sem'!GN17*AOP$4</f>
        <v>8567.0959999999995</v>
      </c>
      <c r="AON18" s="593">
        <f>'Proy 2022 vs 2019 sem'!GO17*AOP$4</f>
        <v>8395.7540799999988</v>
      </c>
      <c r="AOO18" s="699"/>
      <c r="AOP18" s="700">
        <f>AOO18/AOM18</f>
        <v>0</v>
      </c>
      <c r="AOQ18" s="593">
        <f>'Proy 2022 vs 2019 sem'!GN17*AOT$4</f>
        <v>11779.757</v>
      </c>
      <c r="AOR18" s="593">
        <f>'Proy 2022 vs 2019 sem'!GO17*AOT$4</f>
        <v>11544.161859999998</v>
      </c>
      <c r="AOS18" s="699"/>
      <c r="AOT18" s="700">
        <f>AOS18/AOQ18</f>
        <v>0</v>
      </c>
      <c r="AOU18" s="579">
        <f>ANS18+ANW18+AOA18+AOE18+AOI18+AOM18+AOQ18</f>
        <v>53544.349999999991</v>
      </c>
      <c r="AOV18" s="574">
        <f>ANT18+ANX18+AOB18+AOF18+AOJ18+AON18+AOR18</f>
        <v>52473.462999999996</v>
      </c>
      <c r="AOW18" s="785">
        <f>ANU18+ANY18+AOC18+AOG18+AOK18+AOO18+AOS18</f>
        <v>0</v>
      </c>
      <c r="AOX18" s="786">
        <f>AOW18/AOU18</f>
        <v>0</v>
      </c>
      <c r="AOY18" s="593">
        <f>'Proy 2022 vs 2019 sem'!GW17*APB$4</f>
        <v>5908.92</v>
      </c>
      <c r="AOZ18" s="593">
        <f>'Proy 2022 vs 2019 sem'!GX17*APB$4</f>
        <v>5790.7415999999994</v>
      </c>
      <c r="APA18" s="735"/>
      <c r="APB18" s="700">
        <f>APA18/AOY18</f>
        <v>0</v>
      </c>
      <c r="APC18" s="593">
        <f>'Proy 2022 vs 2019 sem'!GW17*APF$4</f>
        <v>5908.92</v>
      </c>
      <c r="APD18" s="593">
        <f>'Proy 2022 vs 2019 sem'!GX17*APF$4</f>
        <v>5790.7415999999994</v>
      </c>
      <c r="APE18" s="735"/>
      <c r="APF18" s="700">
        <f>APE18/APC18</f>
        <v>0</v>
      </c>
      <c r="APG18" s="593">
        <f>'Proy 2022 vs 2019 sem'!GW17*APJ$4</f>
        <v>5908.92</v>
      </c>
      <c r="APH18" s="593">
        <f>'Proy 2022 vs 2019 sem'!GX17*APJ$4</f>
        <v>5790.7415999999994</v>
      </c>
      <c r="API18" s="735"/>
      <c r="APJ18" s="700">
        <f>API18/APG18</f>
        <v>0</v>
      </c>
      <c r="APK18" s="593">
        <f>'Proy 2022 vs 2019 sem'!GW17*APN$4</f>
        <v>5908.92</v>
      </c>
      <c r="APL18" s="593">
        <f>'Proy 2022 vs 2019 sem'!GX17*APN$4</f>
        <v>5790.7415999999994</v>
      </c>
      <c r="APM18" s="735"/>
      <c r="APN18" s="700">
        <f>APM18/APK18</f>
        <v>0</v>
      </c>
      <c r="APO18" s="593">
        <f>'Proy 2022 vs 2019 sem'!GW17*APR$4</f>
        <v>6893.7400000000007</v>
      </c>
      <c r="APP18" s="593">
        <f>'Proy 2022 vs 2019 sem'!GX17*APR$4</f>
        <v>6755.8652000000011</v>
      </c>
      <c r="APQ18" s="735"/>
      <c r="APR18" s="700">
        <f>APQ18/APO18</f>
        <v>0</v>
      </c>
      <c r="APS18" s="593">
        <f>'Proy 2022 vs 2019 sem'!GW17*APV$4</f>
        <v>7878.56</v>
      </c>
      <c r="APT18" s="593">
        <f>'Proy 2022 vs 2019 sem'!GX17*APV$4</f>
        <v>7720.9888000000001</v>
      </c>
      <c r="APU18" s="735"/>
      <c r="APV18" s="700">
        <f>APU18/APS18</f>
        <v>0</v>
      </c>
      <c r="APW18" s="593">
        <f>'Proy 2022 vs 2019 sem'!GW17*APZ$4</f>
        <v>10833.02</v>
      </c>
      <c r="APX18" s="593">
        <f>'Proy 2022 vs 2019 sem'!GX17*APZ$4</f>
        <v>10616.3596</v>
      </c>
      <c r="APY18" s="735"/>
      <c r="APZ18" s="700">
        <f>APY18/APW18</f>
        <v>0</v>
      </c>
      <c r="AQA18" s="579">
        <f>AOY18+APC18+APG18+APK18+APO18+APS18+APW18</f>
        <v>49241</v>
      </c>
      <c r="AQB18" s="574">
        <f>AOZ18+APD18+APH18+APL18+APP18+APT18+APX18</f>
        <v>48256.179999999993</v>
      </c>
      <c r="AQC18" s="729">
        <f>APA18+APE18+API18+APM18+APQ18+APU18+APY18</f>
        <v>0</v>
      </c>
      <c r="AQD18" s="711">
        <f>AQC18/AQA18</f>
        <v>0</v>
      </c>
      <c r="AQE18" s="593">
        <f>'Proy 2022 vs 2019 sem'!HB17*AQH$4</f>
        <v>6225.4703999999992</v>
      </c>
      <c r="AQF18" s="593">
        <f>'Proy 2022 vs 2019 sem'!HC17*AQH$4</f>
        <v>6225.4703999999992</v>
      </c>
      <c r="AQG18" s="699"/>
      <c r="AQH18" s="700">
        <f>AQG18/AQE18</f>
        <v>0</v>
      </c>
      <c r="AQI18" s="593">
        <f>'Proy 2022 vs 2019 sem'!HB17*AQL$4</f>
        <v>6225.4703999999992</v>
      </c>
      <c r="AQJ18" s="593">
        <f>'Proy 2022 vs 2019 sem'!HC17*AQL$4</f>
        <v>6225.4703999999992</v>
      </c>
      <c r="AQK18" s="699"/>
      <c r="AQL18" s="700">
        <f>AQK18/AQI18</f>
        <v>0</v>
      </c>
      <c r="AQM18" s="593">
        <f>'Proy 2022 vs 2019 sem'!HB17*AQP$4</f>
        <v>6225.4703999999992</v>
      </c>
      <c r="AQN18" s="593">
        <f>'Proy 2022 vs 2019 sem'!HC17*AQP$4</f>
        <v>6225.4703999999992</v>
      </c>
      <c r="AQO18" s="699"/>
      <c r="AQP18" s="700">
        <f>AQO18/AQM18</f>
        <v>0</v>
      </c>
      <c r="AQQ18" s="593">
        <f>'Proy 2022 vs 2019 sem'!HB17*AQT$4</f>
        <v>6225.4703999999992</v>
      </c>
      <c r="AQR18" s="593">
        <f>'Proy 2022 vs 2019 sem'!HC17*AQT$4</f>
        <v>6225.4703999999992</v>
      </c>
      <c r="AQS18" s="699"/>
      <c r="AQT18" s="700">
        <f>AQS18/AQQ18</f>
        <v>0</v>
      </c>
      <c r="AQU18" s="593">
        <f>'Proy 2022 vs 2019 sem'!HB17*AQX$4</f>
        <v>7263.0488000000005</v>
      </c>
      <c r="AQV18" s="593">
        <f>'Proy 2022 vs 2019 sem'!HC17*AQX$4</f>
        <v>7263.0488000000005</v>
      </c>
      <c r="AQW18" s="699"/>
      <c r="AQX18" s="700">
        <f>AQW18/AQU18</f>
        <v>0</v>
      </c>
      <c r="AQY18" s="593">
        <f>'Proy 2022 vs 2019 sem'!HB17*ARB$4</f>
        <v>8300.627199999999</v>
      </c>
      <c r="AQZ18" s="593">
        <f>'Proy 2022 vs 2019 sem'!HC17*ARB$4</f>
        <v>8300.627199999999</v>
      </c>
      <c r="ARA18" s="699"/>
      <c r="ARB18" s="700">
        <f>ARA18/AQY18</f>
        <v>0</v>
      </c>
      <c r="ARC18" s="593">
        <f>'Proy 2022 vs 2019 sem'!HB17*ARF$4</f>
        <v>11413.3624</v>
      </c>
      <c r="ARD18" s="593">
        <f>'Proy 2022 vs 2019 sem'!HC17*ARF$4</f>
        <v>11413.3624</v>
      </c>
      <c r="ARE18" s="699"/>
      <c r="ARF18" s="700">
        <f>ARE18/ARC18</f>
        <v>0</v>
      </c>
      <c r="ARG18" s="579">
        <f>AQE18+AQI18+AQM18+AQQ18+AQU18+AQY18+ARC18</f>
        <v>51878.92</v>
      </c>
      <c r="ARH18" s="574">
        <f>AQF18+AQJ18+AQN18+AQR18+AQV18+AQZ18+ARD18</f>
        <v>51878.92</v>
      </c>
      <c r="ARI18" s="730">
        <f>AQG18+AQK18+AQO18+AQS18+AQW18+ARA18+ARE18</f>
        <v>0</v>
      </c>
      <c r="ARJ18" s="711">
        <f>ARI18/ARG18</f>
        <v>0</v>
      </c>
      <c r="ARK18" s="593">
        <f>'Proy 2022 vs 2019 sem'!HG17*ARN$4</f>
        <v>5839.9236000000001</v>
      </c>
      <c r="ARL18" s="593">
        <f>'Proy 2022 vs 2019 sem'!HH17*ARN$4</f>
        <v>5547.9274199999991</v>
      </c>
      <c r="ARM18" s="699"/>
      <c r="ARN18" s="700">
        <f>ARM18/ARK18</f>
        <v>0</v>
      </c>
      <c r="ARO18" s="593">
        <f>'Proy 2022 vs 2019 sem'!HG17*ARR$4</f>
        <v>5839.9236000000001</v>
      </c>
      <c r="ARP18" s="593">
        <f>'Proy 2022 vs 2019 sem'!HH17*ARR$4</f>
        <v>5547.9274199999991</v>
      </c>
      <c r="ARQ18" s="699"/>
      <c r="ARR18" s="700">
        <f>ARQ18/ARO18</f>
        <v>0</v>
      </c>
      <c r="ARS18" s="593">
        <f>'Proy 2022 vs 2019 sem'!HG17*ARV$4</f>
        <v>5839.9236000000001</v>
      </c>
      <c r="ART18" s="593">
        <f>'Proy 2022 vs 2019 sem'!HH17*ARV$4</f>
        <v>5547.9274199999991</v>
      </c>
      <c r="ARU18" s="699"/>
      <c r="ARV18" s="700">
        <f>ARU18/ARS18</f>
        <v>0</v>
      </c>
      <c r="ARW18" s="593">
        <f>'Proy 2022 vs 2019 sem'!HG17*ARZ$4</f>
        <v>5839.9236000000001</v>
      </c>
      <c r="ARX18" s="593">
        <f>'Proy 2022 vs 2019 sem'!HH17*ARZ$4</f>
        <v>5547.9274199999991</v>
      </c>
      <c r="ARY18" s="699"/>
      <c r="ARZ18" s="700">
        <f>ARY18/ARW18</f>
        <v>0</v>
      </c>
      <c r="ASA18" s="593">
        <f>'Proy 2022 vs 2019 sem'!HG17*ASD$4</f>
        <v>6813.2442000000001</v>
      </c>
      <c r="ASB18" s="593">
        <f>'Proy 2022 vs 2019 sem'!HH17*ASD$4</f>
        <v>6472.5819900000006</v>
      </c>
      <c r="ASC18" s="699"/>
      <c r="ASD18" s="700">
        <f>ASC18/ASA18</f>
        <v>0</v>
      </c>
      <c r="ASE18" s="593">
        <f>'Proy 2022 vs 2019 sem'!HG17*ASH$4</f>
        <v>7786.5648000000001</v>
      </c>
      <c r="ASF18" s="593">
        <f>'Proy 2022 vs 2019 sem'!HH17*ASH$4</f>
        <v>7397.2365599999994</v>
      </c>
      <c r="ASG18" s="699"/>
      <c r="ASH18" s="700">
        <f>ASG18/ASE18</f>
        <v>0</v>
      </c>
      <c r="ASI18" s="593">
        <f>'Proy 2022 vs 2019 sem'!HG17*ASL$4</f>
        <v>10706.526599999999</v>
      </c>
      <c r="ASJ18" s="593">
        <f>'Proy 2022 vs 2019 sem'!HH17*ASL$4</f>
        <v>10171.200269999999</v>
      </c>
      <c r="ASK18" s="699"/>
      <c r="ASL18" s="700">
        <f>ASK18/ASI18</f>
        <v>0</v>
      </c>
      <c r="ASM18" s="579">
        <f>ARK18+ARO18+ARS18+ARW18+ASA18+ASE18+ASI18</f>
        <v>48666.03</v>
      </c>
      <c r="ASN18" s="574">
        <f>ARL18+ARP18+ART18+ARX18+ASB18+ASF18+ASJ18</f>
        <v>46232.728499999997</v>
      </c>
      <c r="ASO18" s="730">
        <f>ARM18+ARQ18+ARU18+ARY18+ASC18+ASG18+ASK18</f>
        <v>0</v>
      </c>
      <c r="ASP18" s="711">
        <f>ASO18/ASM18</f>
        <v>0</v>
      </c>
      <c r="ASQ18" s="593">
        <f>'Proy 2022 vs 2019 sem'!HL17*AST$4</f>
        <v>4639.8180000000002</v>
      </c>
      <c r="ASR18" s="593">
        <f>'Proy 2022 vs 2019 sem'!HM17*AST$4</f>
        <v>4500.6234599999998</v>
      </c>
      <c r="ASS18" s="699"/>
      <c r="AST18" s="700">
        <f>ASS18/ASQ18</f>
        <v>0</v>
      </c>
      <c r="ASU18" s="593">
        <f>'Proy 2022 vs 2019 sem'!HL17*ASX$4</f>
        <v>4639.8180000000002</v>
      </c>
      <c r="ASV18" s="593">
        <f>'Proy 2022 vs 2019 sem'!HM17*ASX$4</f>
        <v>4500.6234599999998</v>
      </c>
      <c r="ASW18" s="699"/>
      <c r="ASX18" s="700">
        <f>ASW18/ASU18</f>
        <v>0</v>
      </c>
      <c r="ASY18" s="593">
        <f>'Proy 2022 vs 2019 sem'!HL17*ATB$4</f>
        <v>4639.8180000000002</v>
      </c>
      <c r="ASZ18" s="593">
        <f>'Proy 2022 vs 2019 sem'!HM17*ATB$4</f>
        <v>4500.6234599999998</v>
      </c>
      <c r="ATA18" s="699"/>
      <c r="ATB18" s="700">
        <f>ATA18/ASY18</f>
        <v>0</v>
      </c>
      <c r="ATC18" s="593">
        <f>'Proy 2022 vs 2019 sem'!HL17*ATF$4</f>
        <v>4639.8180000000002</v>
      </c>
      <c r="ATD18" s="593">
        <f>'Proy 2022 vs 2019 sem'!HM17*ATF$4</f>
        <v>4500.6234599999998</v>
      </c>
      <c r="ATE18" s="699"/>
      <c r="ATF18" s="700">
        <f>ATE18/ATC18</f>
        <v>0</v>
      </c>
      <c r="ATG18" s="593">
        <f>'Proy 2022 vs 2019 sem'!HL17*ATJ$4</f>
        <v>5413.121000000001</v>
      </c>
      <c r="ATH18" s="593">
        <f>'Proy 2022 vs 2019 sem'!HM17*ATJ$4</f>
        <v>5250.7273700000005</v>
      </c>
      <c r="ATI18" s="699"/>
      <c r="ATJ18" s="700">
        <f>ATI18/ATG18</f>
        <v>0</v>
      </c>
      <c r="ATK18" s="593">
        <f>'Proy 2022 vs 2019 sem'!HL17*ATN$4</f>
        <v>6186.424</v>
      </c>
      <c r="ATL18" s="593">
        <f>'Proy 2022 vs 2019 sem'!HM17*ATN$4</f>
        <v>6000.8312800000003</v>
      </c>
      <c r="ATM18" s="699"/>
      <c r="ATN18" s="700">
        <f>ATM18/ATK18</f>
        <v>0</v>
      </c>
      <c r="ATO18" s="593">
        <f>'Proy 2022 vs 2019 sem'!HL17*ATR$4</f>
        <v>8506.3330000000005</v>
      </c>
      <c r="ATP18" s="593">
        <f>'Proy 2022 vs 2019 sem'!HM17*ATR$4</f>
        <v>8251.1430099999998</v>
      </c>
      <c r="ATQ18" s="699"/>
      <c r="ATR18" s="700">
        <f>ATQ18/ATO18</f>
        <v>0</v>
      </c>
      <c r="ATS18" s="579">
        <f>ASQ18+ASU18+ASY18+ATC18+ATG18+ATK18+ATO18</f>
        <v>38665.15</v>
      </c>
      <c r="ATT18" s="574">
        <f>ASR18+ASV18+ASZ18+ATD18+ATH18+ATL18+ATP18</f>
        <v>37505.195500000002</v>
      </c>
      <c r="ATU18" s="710">
        <f>ASS18+ASW18+ATA18+ATE18+ATI18+ATM18+ATQ18</f>
        <v>0</v>
      </c>
      <c r="ATV18" s="711">
        <f>ATU18/ATS18</f>
        <v>0</v>
      </c>
      <c r="ATW18" s="593">
        <f>'Proy 2022 vs 2019 sem'!HQ17*ATZ$4</f>
        <v>4874.1419999999998</v>
      </c>
      <c r="ATX18" s="593">
        <f>'Proy 2022 vs 2019 sem'!HR17*ATZ$4</f>
        <v>4776.6591599999992</v>
      </c>
      <c r="ATY18" s="699"/>
      <c r="ATZ18" s="700">
        <f>ATY18/ATW18</f>
        <v>0</v>
      </c>
      <c r="AUA18" s="593">
        <f>'Proy 2022 vs 2019 sem'!HQ17*AUD$4</f>
        <v>4874.1419999999998</v>
      </c>
      <c r="AUB18" s="593">
        <f>'Proy 2022 vs 2019 sem'!HR17*AUD$4</f>
        <v>4776.6591599999992</v>
      </c>
      <c r="AUC18" s="699"/>
      <c r="AUD18" s="700">
        <f>AUC18/AUA18</f>
        <v>0</v>
      </c>
      <c r="AUE18" s="593">
        <f>'Proy 2022 vs 2019 sem'!HQ17*AUH$4</f>
        <v>4874.1419999999998</v>
      </c>
      <c r="AUF18" s="593">
        <f>'Proy 2022 vs 2019 sem'!HR17*AUH$4</f>
        <v>4776.6591599999992</v>
      </c>
      <c r="AUG18" s="699"/>
      <c r="AUH18" s="700">
        <f>AUG18/AUE18</f>
        <v>0</v>
      </c>
      <c r="AUI18" s="593">
        <f>'Proy 2022 vs 2019 sem'!HQ17*AUL$4</f>
        <v>4874.1419999999998</v>
      </c>
      <c r="AUJ18" s="593">
        <f>'Proy 2022 vs 2019 sem'!HR17*AUL$4</f>
        <v>4776.6591599999992</v>
      </c>
      <c r="AUK18" s="699"/>
      <c r="AUL18" s="700">
        <f>AUK18/AUI18</f>
        <v>0</v>
      </c>
      <c r="AUM18" s="593">
        <f>'Proy 2022 vs 2019 sem'!HQ17*AUP$4</f>
        <v>5686.4990000000007</v>
      </c>
      <c r="AUN18" s="593">
        <f>'Proy 2022 vs 2019 sem'!HR17*AUP$4</f>
        <v>5572.7690199999997</v>
      </c>
      <c r="AUO18" s="699"/>
      <c r="AUP18" s="700">
        <f>AUO18/AUM18</f>
        <v>0</v>
      </c>
      <c r="AUQ18" s="593">
        <f>'Proy 2022 vs 2019 sem'!HQ17*AUT$4</f>
        <v>6498.8559999999998</v>
      </c>
      <c r="AUR18" s="593">
        <f>'Proy 2022 vs 2019 sem'!HR17*AUT$4</f>
        <v>6368.8788799999993</v>
      </c>
      <c r="AUS18" s="699"/>
      <c r="AUT18" s="700">
        <f>AUS18/AUQ18</f>
        <v>0</v>
      </c>
      <c r="AUU18" s="593">
        <f>'Proy 2022 vs 2019 sem'!HQ17*AUX$4</f>
        <v>8935.9269999999997</v>
      </c>
      <c r="AUV18" s="593">
        <f>'Proy 2022 vs 2019 sem'!HR17*AUX$4</f>
        <v>8757.2084599999998</v>
      </c>
      <c r="AUW18" s="699"/>
      <c r="AUX18" s="700">
        <f>AUW18/AUU18</f>
        <v>0</v>
      </c>
      <c r="AUY18" s="579">
        <f>ATW18+AUA18+AUE18+AUI18+AUM18+AUQ18+AUU18</f>
        <v>40617.85</v>
      </c>
      <c r="AUZ18" s="574">
        <f>ATX18+AUB18+AUF18+AUJ18+AUN18+AUR18+AUV18</f>
        <v>39805.492999999995</v>
      </c>
      <c r="AVA18" s="710">
        <f>ATY18+AUC18+AUG18+AUK18+AUO18+AUS18+AUW18</f>
        <v>0</v>
      </c>
      <c r="AVB18" s="711">
        <f>AVA18/AUY18</f>
        <v>0</v>
      </c>
      <c r="AVC18" s="593">
        <f>'Proy 2022 vs 2019 sem'!HZ17*AVF$4</f>
        <v>3241.2588000000001</v>
      </c>
      <c r="AVD18" s="593">
        <f>'Proy 2022 vs 2019 sem'!IA17*AVF$4</f>
        <v>3144.0210360000001</v>
      </c>
      <c r="AVE18" s="735"/>
      <c r="AVF18" s="700">
        <f>AVE18/AVC18</f>
        <v>0</v>
      </c>
      <c r="AVG18" s="593">
        <f>'Proy 2022 vs 2019 sem'!HZ17*AVJ$4</f>
        <v>3241.2588000000001</v>
      </c>
      <c r="AVH18" s="593">
        <f>'Proy 2022 vs 2019 sem'!IA17*AVJ$4</f>
        <v>3144.0210360000001</v>
      </c>
      <c r="AVI18" s="699"/>
      <c r="AVJ18" s="700">
        <f>AVI18/AVG18</f>
        <v>0</v>
      </c>
      <c r="AVK18" s="593">
        <f>'Proy 2022 vs 2019 sem'!HZ17*AVN$4</f>
        <v>3241.2588000000001</v>
      </c>
      <c r="AVL18" s="593">
        <f>'Proy 2022 vs 2019 sem'!IA17*AVN$4</f>
        <v>3144.0210360000001</v>
      </c>
      <c r="AVM18" s="699"/>
      <c r="AVN18" s="700">
        <f>AVM18/AVK18</f>
        <v>0</v>
      </c>
      <c r="AVO18" s="593">
        <f>'Proy 2022 vs 2019 sem'!HZ17*AVR$4</f>
        <v>3241.2588000000001</v>
      </c>
      <c r="AVP18" s="593">
        <f>'Proy 2022 vs 2019 sem'!IA17*AVR$4</f>
        <v>3144.0210360000001</v>
      </c>
      <c r="AVQ18" s="699"/>
      <c r="AVR18" s="700">
        <f>AVQ18/AVO18</f>
        <v>0</v>
      </c>
      <c r="AVS18" s="593">
        <f>'Proy 2022 vs 2019 sem'!HZ17*AVV$4</f>
        <v>3781.4686000000006</v>
      </c>
      <c r="AVT18" s="593">
        <f>'Proy 2022 vs 2019 sem'!IA17*AVV$4</f>
        <v>3668.0245420000006</v>
      </c>
      <c r="AVU18" s="699"/>
      <c r="AVV18" s="700">
        <f>AVU18/AVS18</f>
        <v>0</v>
      </c>
      <c r="AVW18" s="593">
        <f>'Proy 2022 vs 2019 sem'!HZ17*AVZ$4</f>
        <v>4321.6784000000007</v>
      </c>
      <c r="AVX18" s="593">
        <f>'Proy 2022 vs 2019 sem'!IA17*AVZ$4</f>
        <v>4192.0280480000001</v>
      </c>
      <c r="AVY18" s="699"/>
      <c r="AVZ18" s="700">
        <f>AVY18/AVW18</f>
        <v>0</v>
      </c>
      <c r="AWA18" s="593">
        <f>'Proy 2022 vs 2019 sem'!HZ17*AWD$4</f>
        <v>5942.3078000000005</v>
      </c>
      <c r="AWB18" s="593">
        <f>'Proy 2022 vs 2019 sem'!IA17*AWD$4</f>
        <v>5764.0385660000002</v>
      </c>
      <c r="AWC18" s="699"/>
      <c r="AWD18" s="700">
        <f>AWC18/AWA18</f>
        <v>0</v>
      </c>
      <c r="AWE18" s="579">
        <f>AVC18+AVG18+AVK18+AVO18+AVS18+AVW18+AWA18</f>
        <v>27010.490000000005</v>
      </c>
      <c r="AWF18" s="574">
        <f>AVD18+AVH18+AVL18+AVP18+AVT18+AVX18+AWB18</f>
        <v>26200.175299999999</v>
      </c>
      <c r="AWG18" s="793">
        <f>AVE18+AVI18+AVM18+AVQ18+AVU18+AVY18+AWC18</f>
        <v>0</v>
      </c>
      <c r="AWH18" s="786">
        <f>AWG18/AWE18</f>
        <v>0</v>
      </c>
      <c r="AWI18" s="593">
        <f>'Proy 2022 vs 2019 sem'!IE17*AWL$4</f>
        <v>1578.2687999999998</v>
      </c>
      <c r="AWJ18" s="593">
        <f>'Proy 2022 vs 2019 sem'!IF17*AWL$4</f>
        <v>1515.1380479999998</v>
      </c>
      <c r="AWK18" s="699"/>
      <c r="AWL18" s="700">
        <f>AWK18/AWI18</f>
        <v>0</v>
      </c>
      <c r="AWM18" s="593">
        <f>'Proy 2022 vs 2019 sem'!IE17*AWP$4</f>
        <v>1578.2687999999998</v>
      </c>
      <c r="AWN18" s="593">
        <f>'Proy 2022 vs 2019 sem'!IF17*AWP$4</f>
        <v>1515.1380479999998</v>
      </c>
      <c r="AWO18" s="699"/>
      <c r="AWP18" s="700">
        <f>AWO18/AWM18</f>
        <v>0</v>
      </c>
      <c r="AWQ18" s="593">
        <f>'Proy 2022 vs 2019 sem'!IE17*AWT$4</f>
        <v>1578.2687999999998</v>
      </c>
      <c r="AWR18" s="593">
        <f>'Proy 2022 vs 2019 sem'!IF17*AWT$4</f>
        <v>1515.1380479999998</v>
      </c>
      <c r="AWS18" s="699"/>
      <c r="AWT18" s="700">
        <f>AWS18/AWQ18</f>
        <v>0</v>
      </c>
      <c r="AWU18" s="593">
        <f>'Proy 2022 vs 2019 sem'!IE17*AWX$4</f>
        <v>1578.2687999999998</v>
      </c>
      <c r="AWV18" s="593">
        <f>'Proy 2022 vs 2019 sem'!IF17*AWX$4</f>
        <v>1515.1380479999998</v>
      </c>
      <c r="AWW18" s="699"/>
      <c r="AWX18" s="700">
        <f>AWW18/AWU18</f>
        <v>0</v>
      </c>
      <c r="AWY18" s="593">
        <f>'Proy 2022 vs 2019 sem'!IE17*AXB$4</f>
        <v>1841.3136000000002</v>
      </c>
      <c r="AWZ18" s="593">
        <f>'Proy 2022 vs 2019 sem'!IF17*AXB$4</f>
        <v>1767.6610559999999</v>
      </c>
      <c r="AXA18" s="699"/>
      <c r="AXB18" s="700">
        <f>AXA18/AWY18</f>
        <v>0</v>
      </c>
      <c r="AXC18" s="593">
        <f>'Proy 2022 vs 2019 sem'!IE17*AXF$4</f>
        <v>2104.3584000000001</v>
      </c>
      <c r="AXD18" s="593">
        <f>'Proy 2022 vs 2019 sem'!IF17*AXF$4</f>
        <v>2020.1840639999998</v>
      </c>
      <c r="AXE18" s="699"/>
      <c r="AXF18" s="700">
        <f>AXE18/AXC18</f>
        <v>0</v>
      </c>
      <c r="AXG18" s="593">
        <f>'Proy 2022 vs 2019 sem'!IE17*AXJ$4</f>
        <v>2893.4928</v>
      </c>
      <c r="AXH18" s="593">
        <f>'Proy 2022 vs 2019 sem'!IF17*AXJ$4</f>
        <v>2777.7530879999999</v>
      </c>
      <c r="AXI18" s="699"/>
      <c r="AXJ18" s="700">
        <f>AXI18/AXG18</f>
        <v>0</v>
      </c>
      <c r="AXK18" s="579">
        <f>AWI18+AWM18+AWQ18+AWU18+AWY18+AXC18+AXG18</f>
        <v>13152.24</v>
      </c>
      <c r="AXL18" s="574">
        <f>AWJ18+AWN18+AWR18+AWV18+AWZ18+AXD18+AXH18</f>
        <v>12626.150399999999</v>
      </c>
      <c r="AXM18" s="794">
        <f>AWK18+AWO18+AWS18+AWW18+AXA18+AXE18+AXI18</f>
        <v>0</v>
      </c>
      <c r="AXN18" s="786">
        <f>AXM18/AXK18</f>
        <v>0</v>
      </c>
      <c r="AXO18" s="593">
        <f>'Proy 2022 vs 2019 sem'!IJ17*AXR$4</f>
        <v>12914.789999999999</v>
      </c>
      <c r="AXP18" s="593">
        <f>'Proy 2022 vs 2019 sem'!IK17*AXR$4</f>
        <v>12785.642099999999</v>
      </c>
      <c r="AXQ18" s="699"/>
      <c r="AXR18" s="700">
        <f>AXQ18/AXO18</f>
        <v>0</v>
      </c>
      <c r="AXS18" s="593">
        <f>'Proy 2022 vs 2019 sem'!IJ17*AXV$4</f>
        <v>12914.789999999999</v>
      </c>
      <c r="AXT18" s="593">
        <f>'Proy 2022 vs 2019 sem'!IK17*AXV$4</f>
        <v>12785.642099999999</v>
      </c>
      <c r="AXU18" s="699"/>
      <c r="AXV18" s="700">
        <f>AXU18/AXS18</f>
        <v>0</v>
      </c>
      <c r="AXW18" s="593">
        <f>'Proy 2022 vs 2019 sem'!IJ17*AXZ$4</f>
        <v>12914.789999999999</v>
      </c>
      <c r="AXX18" s="593">
        <f>'Proy 2022 vs 2019 sem'!IK17*AXZ$4</f>
        <v>12785.642099999999</v>
      </c>
      <c r="AXY18" s="699"/>
      <c r="AXZ18" s="700">
        <f>AXY18/AXW18</f>
        <v>0</v>
      </c>
      <c r="AYA18" s="593">
        <f>'Proy 2022 vs 2019 sem'!IJ17*AYD$4</f>
        <v>12914.789999999999</v>
      </c>
      <c r="AYB18" s="593">
        <f>'Proy 2022 vs 2019 sem'!IK17*AYD$4</f>
        <v>12785.642099999999</v>
      </c>
      <c r="AYC18" s="699"/>
      <c r="AYD18" s="700">
        <f>AYC18/AYA18</f>
        <v>0</v>
      </c>
      <c r="AYE18" s="593">
        <f>'Proy 2022 vs 2019 sem'!IJ17*AYH$4</f>
        <v>15067.255000000001</v>
      </c>
      <c r="AYF18" s="593">
        <f>'Proy 2022 vs 2019 sem'!IK17*AYH$4</f>
        <v>14916.582450000002</v>
      </c>
      <c r="AYG18" s="699"/>
      <c r="AYH18" s="700">
        <f>AYG18/AYE18</f>
        <v>0</v>
      </c>
      <c r="AYI18" s="593">
        <f>'Proy 2022 vs 2019 sem'!IJ17*AYL$4</f>
        <v>17219.72</v>
      </c>
      <c r="AYJ18" s="593">
        <f>'Proy 2022 vs 2019 sem'!IK17*AYL$4</f>
        <v>17047.522799999999</v>
      </c>
      <c r="AYK18" s="699"/>
      <c r="AYL18" s="700">
        <f>AYK18/AYI18</f>
        <v>0</v>
      </c>
      <c r="AYM18" s="593">
        <f>'Proy 2022 vs 2019 sem'!IJ17*AYP$4</f>
        <v>23677.115000000002</v>
      </c>
      <c r="AYN18" s="593">
        <f>'Proy 2022 vs 2019 sem'!IK17*AYP$4</f>
        <v>23440.343850000001</v>
      </c>
      <c r="AYO18" s="699"/>
      <c r="AYP18" s="700">
        <f>AYO18/AYM18</f>
        <v>0</v>
      </c>
      <c r="AYQ18" s="579">
        <f>AXO18+AXS18+AXW18+AYA18+AYE18+AYI18+AYM18</f>
        <v>107623.25</v>
      </c>
      <c r="AYR18" s="574">
        <f>AXP18+AXT18+AXX18+AYB18+AYF18+AYJ18+AYN18</f>
        <v>106547.01750000002</v>
      </c>
      <c r="AYS18" s="794">
        <f>AXQ18+AXU18+AXY18+AYC18+AYG18+AYK18+AYO18</f>
        <v>0</v>
      </c>
      <c r="AYT18" s="786">
        <f>AYS18/AYQ18</f>
        <v>0</v>
      </c>
      <c r="AYU18" s="593">
        <f>'Proy 2022 vs 2019 sem'!IO17*AYX$4</f>
        <v>14870.0988</v>
      </c>
      <c r="AYV18" s="593">
        <f>'Proy 2022 vs 2019 sem'!IP17*AYX$4</f>
        <v>14423.995835999998</v>
      </c>
      <c r="AYW18" s="699"/>
      <c r="AYX18" s="700">
        <f>AYW18/AYU18</f>
        <v>0</v>
      </c>
      <c r="AYY18" s="593">
        <f>'Proy 2022 vs 2019 sem'!IO17*AZB$4</f>
        <v>14870.0988</v>
      </c>
      <c r="AYZ18" s="593">
        <f>'Proy 2022 vs 2019 sem'!IP17*AZB$4</f>
        <v>14423.995835999998</v>
      </c>
      <c r="AZA18" s="699"/>
      <c r="AZB18" s="700">
        <f>AZA18/AYY18</f>
        <v>0</v>
      </c>
      <c r="AZC18" s="593">
        <f>'Proy 2022 vs 2019 sem'!IO17*AZF$4</f>
        <v>14870.0988</v>
      </c>
      <c r="AZD18" s="593">
        <f>'Proy 2022 vs 2019 sem'!IP17*AZF$4</f>
        <v>14423.995835999998</v>
      </c>
      <c r="AZE18" s="699"/>
      <c r="AZF18" s="700">
        <f>AZE18/AZC18</f>
        <v>0</v>
      </c>
      <c r="AZG18" s="593">
        <f>'Proy 2022 vs 2019 sem'!IO17*AZJ$4</f>
        <v>14870.0988</v>
      </c>
      <c r="AZH18" s="593">
        <f>'Proy 2022 vs 2019 sem'!IP17*AZJ$4</f>
        <v>14423.995835999998</v>
      </c>
      <c r="AZI18" s="699"/>
      <c r="AZJ18" s="700">
        <f>AZI18/AZG18</f>
        <v>0</v>
      </c>
      <c r="AZK18" s="593">
        <f>'Proy 2022 vs 2019 sem'!IO17*AZN$4</f>
        <v>17348.448600000003</v>
      </c>
      <c r="AZL18" s="593">
        <f>'Proy 2022 vs 2019 sem'!IP17*AZN$4</f>
        <v>16827.995142</v>
      </c>
      <c r="AZM18" s="699"/>
      <c r="AZN18" s="700">
        <f>AZM18/AZK18</f>
        <v>0</v>
      </c>
      <c r="AZO18" s="593">
        <f>'Proy 2022 vs 2019 sem'!IO17*AZR$4</f>
        <v>19826.7984</v>
      </c>
      <c r="AZP18" s="593">
        <f>'Proy 2022 vs 2019 sem'!IP17*AZR$4</f>
        <v>19231.994448000001</v>
      </c>
      <c r="AZQ18" s="699"/>
      <c r="AZR18" s="700">
        <f>AZQ18/AZO18</f>
        <v>0</v>
      </c>
      <c r="AZS18" s="593">
        <f>'Proy 2022 vs 2019 sem'!IO17*AZV$4</f>
        <v>27261.8478</v>
      </c>
      <c r="AZT18" s="593">
        <f>'Proy 2022 vs 2019 sem'!IP17*AZV$4</f>
        <v>26443.992365999999</v>
      </c>
      <c r="AZU18" s="699"/>
      <c r="AZV18" s="700">
        <f>AZU18/AZS18</f>
        <v>0</v>
      </c>
      <c r="AZW18" s="579">
        <f>AYU18+AYY18+AZC18+AZG18+AZK18+AZO18+AZS18</f>
        <v>123917.49</v>
      </c>
      <c r="AZX18" s="574">
        <f>AYV18+AYZ18+AZD18+AZH18+AZL18+AZP18+AZT18</f>
        <v>120199.96529999998</v>
      </c>
      <c r="AZY18" s="785">
        <f>AYW18+AZA18+AZE18+AZI18+AZM18+AZQ18+AZU18</f>
        <v>0</v>
      </c>
      <c r="AZZ18" s="786">
        <f>AZY18/AZW18</f>
        <v>0</v>
      </c>
      <c r="BAA18" s="593">
        <f>'Proy 2022 vs 2019 sem'!IX17*BAD$4</f>
        <v>11556.5232</v>
      </c>
      <c r="BAB18" s="593">
        <f>'Proy 2022 vs 2019 sem'!IY17*BAD$4</f>
        <v>11209.827503999999</v>
      </c>
      <c r="BAC18" s="735"/>
      <c r="BAD18" s="700">
        <f>BAC18/BAA18</f>
        <v>0</v>
      </c>
      <c r="BAE18" s="593">
        <f>'Proy 2022 vs 2019 sem'!IX17*BAH$4</f>
        <v>11556.5232</v>
      </c>
      <c r="BAF18" s="593">
        <f>'Proy 2022 vs 2019 sem'!IY17*BAH$4</f>
        <v>11209.827503999999</v>
      </c>
      <c r="BAG18" s="699"/>
      <c r="BAH18" s="700">
        <f>BAG18/BAE18</f>
        <v>0</v>
      </c>
      <c r="BAI18" s="593">
        <f>'Proy 2022 vs 2019 sem'!IX17*BAL$4</f>
        <v>11556.5232</v>
      </c>
      <c r="BAJ18" s="593">
        <f>'Proy 2022 vs 2019 sem'!IY17*BAL$4</f>
        <v>11209.827503999999</v>
      </c>
      <c r="BAK18" s="699"/>
      <c r="BAL18" s="700">
        <f>BAK18/BAI18</f>
        <v>0</v>
      </c>
      <c r="BAM18" s="593">
        <f>'Proy 2022 vs 2019 sem'!IX17*BAP$4</f>
        <v>11556.5232</v>
      </c>
      <c r="BAN18" s="593">
        <f>'Proy 2022 vs 2019 sem'!IY17*BAP$4</f>
        <v>11209.827503999999</v>
      </c>
      <c r="BAO18" s="699"/>
      <c r="BAP18" s="700">
        <f>BAO18/BAM18</f>
        <v>0</v>
      </c>
      <c r="BAQ18" s="593">
        <f>'Proy 2022 vs 2019 sem'!IX17*BAT$4</f>
        <v>13482.610400000001</v>
      </c>
      <c r="BAR18" s="593">
        <f>'Proy 2022 vs 2019 sem'!IY17*BAT$4</f>
        <v>13078.132088000002</v>
      </c>
      <c r="BAS18" s="699"/>
      <c r="BAT18" s="700">
        <f>BAS18/BAQ18</f>
        <v>0</v>
      </c>
      <c r="BAU18" s="593">
        <f>'Proy 2022 vs 2019 sem'!IX17*BAX$4</f>
        <v>15408.6976</v>
      </c>
      <c r="BAV18" s="593">
        <f>'Proy 2022 vs 2019 sem'!IY17*BAX$4</f>
        <v>14946.436672</v>
      </c>
      <c r="BAW18" s="699"/>
      <c r="BAX18" s="700">
        <f>BAW18/BAU18</f>
        <v>0</v>
      </c>
      <c r="BAY18" s="593">
        <f>'Proy 2022 vs 2019 sem'!IX17*BBB$4</f>
        <v>21186.959200000001</v>
      </c>
      <c r="BAZ18" s="593">
        <f>'Proy 2022 vs 2019 sem'!IY17*BBB$4</f>
        <v>20551.350424</v>
      </c>
      <c r="BBA18" s="699"/>
      <c r="BBB18" s="700">
        <f>BBA18/BAY18</f>
        <v>0</v>
      </c>
      <c r="BBC18" s="579">
        <f>BAA18+BAE18+BAI18+BAM18+BAQ18+BAU18+BAY18</f>
        <v>96304.36</v>
      </c>
      <c r="BBD18" s="574">
        <f>BAB18+BAF18+BAJ18+BAN18+BAR18+BAV18+BAZ18</f>
        <v>93415.229200000002</v>
      </c>
      <c r="BBE18" s="759">
        <f>BAC18+BAG18+BAK18+BAO18+BAS18+BAW18+BBA18</f>
        <v>0</v>
      </c>
      <c r="BBF18" s="761">
        <f>BBE18/BBC18</f>
        <v>0</v>
      </c>
      <c r="BBG18" s="593">
        <f>'Proy 2022 vs 2019 sem'!JC17*BBJ$4</f>
        <v>12796.1052</v>
      </c>
      <c r="BBH18" s="593">
        <f>'Proy 2022 vs 2019 sem'!JD17*BBJ$4</f>
        <v>12028.338887999998</v>
      </c>
      <c r="BBI18" s="699"/>
      <c r="BBJ18" s="700">
        <f>BBI18/BBG18</f>
        <v>0</v>
      </c>
      <c r="BBK18" s="593">
        <f>'Proy 2022 vs 2019 sem'!JC17*BBN$4</f>
        <v>12796.1052</v>
      </c>
      <c r="BBL18" s="593">
        <f>'Proy 2022 vs 2019 sem'!JD17*BBN$4</f>
        <v>12028.338887999998</v>
      </c>
      <c r="BBM18" s="699"/>
      <c r="BBN18" s="700">
        <f>BBM18/BBK18</f>
        <v>0</v>
      </c>
      <c r="BBO18" s="593">
        <f>'Proy 2022 vs 2019 sem'!JC17*BBR$4</f>
        <v>12796.1052</v>
      </c>
      <c r="BBP18" s="593">
        <f>'Proy 2022 vs 2019 sem'!JD17*BBR$4</f>
        <v>12028.338887999998</v>
      </c>
      <c r="BBQ18" s="699"/>
      <c r="BBR18" s="700">
        <f>BBQ18/BBO18</f>
        <v>0</v>
      </c>
      <c r="BBS18" s="593">
        <f>'Proy 2022 vs 2019 sem'!JC17*BBV$4</f>
        <v>12796.1052</v>
      </c>
      <c r="BBT18" s="593">
        <f>'Proy 2022 vs 2019 sem'!JD17*BBV$4</f>
        <v>12028.338887999998</v>
      </c>
      <c r="BBU18" s="699"/>
      <c r="BBV18" s="700">
        <f>BBU18/BBS18</f>
        <v>0</v>
      </c>
      <c r="BBW18" s="593">
        <f>'Proy 2022 vs 2019 sem'!JC17*BBZ$4</f>
        <v>14928.789400000001</v>
      </c>
      <c r="BBX18" s="593">
        <f>'Proy 2022 vs 2019 sem'!JD17*BBZ$4</f>
        <v>14033.062036000001</v>
      </c>
      <c r="BBY18" s="699"/>
      <c r="BBZ18" s="700">
        <f>BBY18/BBW18</f>
        <v>0</v>
      </c>
      <c r="BCA18" s="593">
        <f>'Proy 2022 vs 2019 sem'!JC17*BCD$4</f>
        <v>17061.473600000001</v>
      </c>
      <c r="BCB18" s="593">
        <f>'Proy 2022 vs 2019 sem'!JD17*BCD$4</f>
        <v>16037.785184</v>
      </c>
      <c r="BCC18" s="699"/>
      <c r="BCD18" s="700">
        <f>BCC18/BCA18</f>
        <v>0</v>
      </c>
      <c r="BCE18" s="593">
        <f>'Proy 2022 vs 2019 sem'!JC17*BCH$4</f>
        <v>23459.5262</v>
      </c>
      <c r="BCF18" s="593">
        <f>'Proy 2022 vs 2019 sem'!JD17*BCH$4</f>
        <v>22051.954628</v>
      </c>
      <c r="BCG18" s="699"/>
      <c r="BCH18" s="700">
        <f>BCG18/BCE18</f>
        <v>0</v>
      </c>
      <c r="BCI18" s="579">
        <f>BBG18+BBK18+BBO18+BBS18+BBW18+BCA18+BCE18</f>
        <v>106634.20999999999</v>
      </c>
      <c r="BCJ18" s="574">
        <f>BBH18+BBL18+BBP18+BBT18+BBX18+BCB18+BCF18</f>
        <v>100236.1574</v>
      </c>
      <c r="BCK18" s="765">
        <f>BBI18+BBM18+BBQ18+BBU18+BBY18+BCC18+BCG18</f>
        <v>0</v>
      </c>
      <c r="BCL18" s="761">
        <f>BCK18/BCI18</f>
        <v>0</v>
      </c>
      <c r="BCM18" s="593">
        <f>'Proy 2022 vs 2019 sem'!JH17*BCP$4</f>
        <v>14545.163999999999</v>
      </c>
      <c r="BCN18" s="593">
        <f>'Proy 2022 vs 2019 sem'!JI17*BCP$4</f>
        <v>13963.357439999998</v>
      </c>
      <c r="BCO18" s="699"/>
      <c r="BCP18" s="700">
        <f>BCO18/BCM18</f>
        <v>0</v>
      </c>
      <c r="BCQ18" s="593">
        <f>'Proy 2022 vs 2019 sem'!JH17*BCT$4</f>
        <v>14545.163999999999</v>
      </c>
      <c r="BCR18" s="593">
        <f>'Proy 2022 vs 2019 sem'!JI17*BCT$4</f>
        <v>13963.357439999998</v>
      </c>
      <c r="BCS18" s="699"/>
      <c r="BCT18" s="700">
        <f>BCS18/BCQ18</f>
        <v>0</v>
      </c>
      <c r="BCU18" s="593">
        <f>'Proy 2022 vs 2019 sem'!JH17*BCX$4</f>
        <v>14545.163999999999</v>
      </c>
      <c r="BCV18" s="593">
        <f>'Proy 2022 vs 2019 sem'!JI17*BCX$4</f>
        <v>13963.357439999998</v>
      </c>
      <c r="BCW18" s="699"/>
      <c r="BCX18" s="700">
        <f>BCW18/BCU18</f>
        <v>0</v>
      </c>
      <c r="BCY18" s="593">
        <f>'Proy 2022 vs 2019 sem'!JH17*BDB$4</f>
        <v>14545.163999999999</v>
      </c>
      <c r="BCZ18" s="593">
        <f>'Proy 2022 vs 2019 sem'!JI17*BDB$4</f>
        <v>13963.357439999998</v>
      </c>
      <c r="BDA18" s="699"/>
      <c r="BDB18" s="700">
        <f>BDA18/BCY18</f>
        <v>0</v>
      </c>
      <c r="BDC18" s="593">
        <f>'Proy 2022 vs 2019 sem'!JH17*BDF$4</f>
        <v>16969.358</v>
      </c>
      <c r="BDD18" s="593">
        <f>'Proy 2022 vs 2019 sem'!JI17*BDF$4</f>
        <v>16290.58368</v>
      </c>
      <c r="BDE18" s="699"/>
      <c r="BDF18" s="700">
        <f>BDE18/BDC18</f>
        <v>0</v>
      </c>
      <c r="BDG18" s="593">
        <f>'Proy 2022 vs 2019 sem'!JH17*BDJ$4</f>
        <v>19393.552</v>
      </c>
      <c r="BDH18" s="593">
        <f>'Proy 2022 vs 2019 sem'!JI17*BDJ$4</f>
        <v>18617.80992</v>
      </c>
      <c r="BDI18" s="699"/>
      <c r="BDJ18" s="700">
        <f>BDI18/BDG18</f>
        <v>0</v>
      </c>
      <c r="BDK18" s="593">
        <f>'Proy 2022 vs 2019 sem'!JH17*BDN$4</f>
        <v>26666.133999999998</v>
      </c>
      <c r="BDL18" s="593">
        <f>'Proy 2022 vs 2019 sem'!JI17*BDN$4</f>
        <v>25599.48864</v>
      </c>
      <c r="BDM18" s="699"/>
      <c r="BDN18" s="700">
        <f>BDM18/BDK18</f>
        <v>0</v>
      </c>
      <c r="BDO18" s="579">
        <f>BCM18+BCQ18+BCU18+BCY18+BDC18+BDG18+BDK18</f>
        <v>121209.69999999998</v>
      </c>
      <c r="BDP18" s="574">
        <f>BCN18+BCR18+BCV18+BCZ18+BDD18+BDH18+BDL18</f>
        <v>116361.31199999999</v>
      </c>
      <c r="BDQ18" s="765">
        <f>BCO18+BCS18+BCW18+BDA18+BDE18+BDI18+BDM18</f>
        <v>0</v>
      </c>
      <c r="BDR18" s="761">
        <f>BDQ18/BDO18</f>
        <v>0</v>
      </c>
      <c r="BDS18" s="593">
        <f>'Proy 2022 vs 2019 sem'!JM17*BDV$4</f>
        <v>17351.79</v>
      </c>
      <c r="BDT18" s="593">
        <f>'Proy 2022 vs 2019 sem'!JN17*BDV$4</f>
        <v>16484.200499999999</v>
      </c>
      <c r="BDU18" s="699"/>
      <c r="BDV18" s="700">
        <f>BDU18/BDS18</f>
        <v>0</v>
      </c>
      <c r="BDW18" s="593">
        <f>'Proy 2022 vs 2019 sem'!JM17*BDZ$4</f>
        <v>17351.79</v>
      </c>
      <c r="BDX18" s="593">
        <f>'Proy 2022 vs 2019 sem'!JN17*BDZ$4</f>
        <v>16484.200499999999</v>
      </c>
      <c r="BDY18" s="699"/>
      <c r="BDZ18" s="700">
        <f>BDY18/BDW18</f>
        <v>0</v>
      </c>
      <c r="BEA18" s="593">
        <f>'Proy 2022 vs 2019 sem'!JM17*BED$4</f>
        <v>17351.79</v>
      </c>
      <c r="BEB18" s="593">
        <f>'Proy 2022 vs 2019 sem'!JN17*BED$4</f>
        <v>16484.200499999999</v>
      </c>
      <c r="BEC18" s="699"/>
      <c r="BED18" s="700">
        <f>BEC18/BEA18</f>
        <v>0</v>
      </c>
      <c r="BEE18" s="593">
        <v>14497.990400000001</v>
      </c>
      <c r="BEF18" s="593">
        <f>'Proy 2022 vs 2019 sem'!JN17*BEH$4</f>
        <v>16484.200499999999</v>
      </c>
      <c r="BEG18" s="699"/>
      <c r="BEH18" s="700">
        <f>BEG18/BEE18</f>
        <v>0</v>
      </c>
      <c r="BEI18" s="593">
        <f>'Proy 2022 vs 2019 sem'!JM17*BEL$4</f>
        <v>20243.755000000001</v>
      </c>
      <c r="BEJ18" s="593">
        <f>'Proy 2022 vs 2019 sem'!JN17*BEL$4</f>
        <v>19231.56725</v>
      </c>
      <c r="BEK18" s="699"/>
      <c r="BEL18" s="700">
        <f>BEK18/BEI18</f>
        <v>0</v>
      </c>
      <c r="BEM18" s="593">
        <f>'Proy 2022 vs 2019 sem'!JM17*BEP$4</f>
        <v>23135.72</v>
      </c>
      <c r="BEN18" s="593">
        <f>'Proy 2022 vs 2019 sem'!JN17*BEP$4</f>
        <v>21978.934000000001</v>
      </c>
      <c r="BEO18" s="699"/>
      <c r="BEP18" s="700">
        <f>BEO18/BEM18</f>
        <v>0</v>
      </c>
      <c r="BEQ18" s="593">
        <f>'Proy 2022 vs 2019 sem'!JM17*BET$4</f>
        <v>31811.615000000002</v>
      </c>
      <c r="BER18" s="593">
        <f>'Proy 2022 vs 2019 sem'!JN17*BET$4</f>
        <v>30221.034250000001</v>
      </c>
      <c r="BES18" s="699"/>
      <c r="BET18" s="700">
        <f>BES18/BEQ18</f>
        <v>0</v>
      </c>
      <c r="BEU18" s="579">
        <f>BDS18+BDW18+BEA18+BEE18+BEI18+BEM18+BEQ18</f>
        <v>141744.4504</v>
      </c>
      <c r="BEV18" s="574">
        <f>BDT18+BDX18+BEB18+BEF18+BEJ18+BEN18+BER18</f>
        <v>137368.33749999999</v>
      </c>
      <c r="BEW18" s="770">
        <f>BDU18+BDY18+BEC18+BEG18+BEK18+BEO18+BES18</f>
        <v>0</v>
      </c>
      <c r="BEX18" s="761">
        <f>BEW18/BEU18</f>
        <v>0</v>
      </c>
      <c r="BEY18" s="593">
        <f>'Proy 2022 vs 2019 sem'!JV17*BFB$4</f>
        <v>23548.306800000002</v>
      </c>
      <c r="BEZ18" s="593">
        <f>'Proy 2022 vs 2019 sem'!JW17*BFB$4</f>
        <v>22135.408392000001</v>
      </c>
      <c r="BFA18" s="735"/>
      <c r="BFB18" s="700">
        <f>BFA18/BEY18</f>
        <v>0</v>
      </c>
      <c r="BFC18" s="593">
        <f>'Proy 2022 vs 2019 sem'!JV17*BFF$4</f>
        <v>23548.306800000002</v>
      </c>
      <c r="BFD18" s="593">
        <f>'Proy 2022 vs 2019 sem'!JW17*BFF$4</f>
        <v>22135.408392000001</v>
      </c>
      <c r="BFE18" s="735"/>
      <c r="BFF18" s="700">
        <f>BFE18/BFC18</f>
        <v>0</v>
      </c>
      <c r="BFG18" s="593">
        <f>'Proy 2022 vs 2019 sem'!JV17*BFJ$4</f>
        <v>23548.306800000002</v>
      </c>
      <c r="BFH18" s="593">
        <f>'Proy 2022 vs 2019 sem'!JW17*BFJ$4</f>
        <v>22135.408392000001</v>
      </c>
      <c r="BFI18" s="735"/>
      <c r="BFJ18" s="700">
        <f>BFI18/BFG18</f>
        <v>0</v>
      </c>
      <c r="BFK18" s="593">
        <f>'Proy 2022 vs 2019 sem'!JV17*BFN$4</f>
        <v>23548.306800000002</v>
      </c>
      <c r="BFL18" s="593">
        <f>'Proy 2022 vs 2019 sem'!JW17*BFN$4</f>
        <v>22135.408392000001</v>
      </c>
      <c r="BFM18" s="735"/>
      <c r="BFN18" s="700">
        <f>BFM18/BFK18</f>
        <v>0</v>
      </c>
      <c r="BFO18" s="593">
        <f>'Proy 2022 vs 2019 sem'!JV17*BFR$4</f>
        <v>27473.024600000004</v>
      </c>
      <c r="BFP18" s="593">
        <f>'Proy 2022 vs 2019 sem'!JW17*BFR$4</f>
        <v>25824.643124000002</v>
      </c>
      <c r="BFQ18" s="735"/>
      <c r="BFR18" s="700">
        <f>BFQ18/BFO18</f>
        <v>0</v>
      </c>
      <c r="BFS18" s="593">
        <f>'Proy 2022 vs 2019 sem'!JV17*BFV$4</f>
        <v>31397.742400000003</v>
      </c>
      <c r="BFT18" s="593">
        <f>'Proy 2022 vs 2019 sem'!JW17*BFV$4</f>
        <v>29513.877856000003</v>
      </c>
      <c r="BFU18" s="735"/>
      <c r="BFV18" s="700">
        <f>BFU18/BFS18</f>
        <v>0</v>
      </c>
      <c r="BFW18" s="593">
        <f>'Proy 2022 vs 2019 sem'!JV17*BFZ$4</f>
        <v>43171.895800000006</v>
      </c>
      <c r="BFX18" s="593">
        <f>'Proy 2022 vs 2019 sem'!JW17*BFZ$4</f>
        <v>40581.582051999998</v>
      </c>
      <c r="BFY18" s="735"/>
      <c r="BFZ18" s="700">
        <f>BFY18/BFW18</f>
        <v>0</v>
      </c>
      <c r="BGA18" s="579">
        <f>BEY18+BFC18+BFG18+BFK18+BFO18+BFS18+BFW18</f>
        <v>196235.89</v>
      </c>
      <c r="BGB18" s="574">
        <f>BEZ18+BFD18+BFH18+BFL18+BFP18+BFT18+BFX18</f>
        <v>184461.7366</v>
      </c>
      <c r="BGC18" s="729">
        <f>BFA18+BFE18+BFI18+BFM18+BFQ18+BFU18+BFY18</f>
        <v>0</v>
      </c>
      <c r="BGD18" s="711">
        <f>BGC18/BGA18</f>
        <v>0</v>
      </c>
      <c r="BGE18" s="593">
        <f>'Proy 2022 vs 2019 sem'!KA17*BGH$4</f>
        <v>34294.720800000003</v>
      </c>
      <c r="BGF18" s="593">
        <f>'Proy 2022 vs 2019 sem'!KB17*BGH$4</f>
        <v>31894.090344</v>
      </c>
      <c r="BGG18" s="699"/>
      <c r="BGH18" s="700">
        <f>BGG18/BGE18</f>
        <v>0</v>
      </c>
      <c r="BGI18" s="593">
        <f>'Proy 2022 vs 2019 sem'!KA17*BGL$4</f>
        <v>34294.720800000003</v>
      </c>
      <c r="BGJ18" s="593">
        <f>'Proy 2022 vs 2019 sem'!KB17*BGL$4</f>
        <v>31894.090344</v>
      </c>
      <c r="BGK18" s="699"/>
      <c r="BGL18" s="700">
        <f>BGK18/BGI18</f>
        <v>0</v>
      </c>
      <c r="BGM18" s="593">
        <f>'Proy 2022 vs 2019 sem'!KA17*BGP$4</f>
        <v>34294.720800000003</v>
      </c>
      <c r="BGN18" s="593">
        <f>'Proy 2022 vs 2019 sem'!KB17*BGP$4</f>
        <v>31894.090344</v>
      </c>
      <c r="BGO18" s="699"/>
      <c r="BGP18" s="700">
        <f>BGO18/BGM18</f>
        <v>0</v>
      </c>
      <c r="BGQ18" s="593">
        <f>'Proy 2022 vs 2019 sem'!KA17*BGT$4</f>
        <v>34294.720800000003</v>
      </c>
      <c r="BGR18" s="593">
        <f>'Proy 2022 vs 2019 sem'!KB17*BGT$4</f>
        <v>31894.090344</v>
      </c>
      <c r="BGS18" s="699"/>
      <c r="BGT18" s="700">
        <f>BGS18/BGQ18</f>
        <v>0</v>
      </c>
      <c r="BGU18" s="593">
        <f>'Proy 2022 vs 2019 sem'!KA17*BGX$4</f>
        <v>40010.507600000004</v>
      </c>
      <c r="BGV18" s="593">
        <f>'Proy 2022 vs 2019 sem'!KB17*BGX$4</f>
        <v>37209.772068000006</v>
      </c>
      <c r="BGW18" s="699"/>
      <c r="BGX18" s="700">
        <f>BGW18/BGU18</f>
        <v>0</v>
      </c>
      <c r="BGY18" s="593">
        <f>'Proy 2022 vs 2019 sem'!KA17*BHB$4</f>
        <v>45726.294400000006</v>
      </c>
      <c r="BGZ18" s="593">
        <f>'Proy 2022 vs 2019 sem'!KB17*BHB$4</f>
        <v>42525.453792000008</v>
      </c>
      <c r="BHA18" s="699"/>
      <c r="BHB18" s="700">
        <f>BHA18/BGY18</f>
        <v>0</v>
      </c>
      <c r="BHC18" s="593">
        <f>'Proy 2022 vs 2019 sem'!KA17*BHF$4</f>
        <v>62873.654800000004</v>
      </c>
      <c r="BHD18" s="593">
        <f>'Proy 2022 vs 2019 sem'!KB17*BHF$4</f>
        <v>58472.498964000006</v>
      </c>
      <c r="BHE18" s="699"/>
      <c r="BHF18" s="700">
        <f>BHE18/BHC18</f>
        <v>0</v>
      </c>
      <c r="BHG18" s="579">
        <f>BGE18+BGI18+BGM18+BGQ18+BGU18+BGY18+BHC18</f>
        <v>285789.34000000003</v>
      </c>
      <c r="BHH18" s="574">
        <f>BGF18+BGJ18+BGN18+BGR18+BGV18+BGZ18+BHD18</f>
        <v>265784.08620000002</v>
      </c>
      <c r="BHI18" s="730">
        <f>BGG18+BGK18+BGO18+BGS18+BGW18+BHA18+BHE18</f>
        <v>0</v>
      </c>
      <c r="BHJ18" s="711">
        <f>BHI18/BHG18</f>
        <v>0</v>
      </c>
      <c r="BHK18" s="593">
        <f>'Proy 2022 vs 2019 sem'!KF17*BHN$4</f>
        <v>46291.756800000003</v>
      </c>
      <c r="BHL18" s="593">
        <f>'Proy 2022 vs 2019 sem'!KG17*BHN$4</f>
        <v>43051.333824000008</v>
      </c>
      <c r="BHM18" s="699"/>
      <c r="BHN18" s="700">
        <f>BHM18/BHK18</f>
        <v>0</v>
      </c>
      <c r="BHO18" s="593">
        <f>'Proy 2022 vs 2019 sem'!KF17*BHR$4</f>
        <v>46291.756800000003</v>
      </c>
      <c r="BHP18" s="593">
        <f>'Proy 2022 vs 2019 sem'!KG17*BHR$4</f>
        <v>43051.333824000008</v>
      </c>
      <c r="BHQ18" s="699"/>
      <c r="BHR18" s="700">
        <f>BHQ18/BHO18</f>
        <v>0</v>
      </c>
      <c r="BHS18" s="593">
        <f>'Proy 2022 vs 2019 sem'!KF17*BHV$4</f>
        <v>46291.756800000003</v>
      </c>
      <c r="BHT18" s="593">
        <f>'Proy 2022 vs 2019 sem'!KG17*BHV$4</f>
        <v>43051.333824000008</v>
      </c>
      <c r="BHU18" s="699"/>
      <c r="BHV18" s="700">
        <f>BHU18/BHS18</f>
        <v>0</v>
      </c>
      <c r="BHW18" s="593">
        <f>'Proy 2022 vs 2019 sem'!KF17*BHZ$4</f>
        <v>46291.756800000003</v>
      </c>
      <c r="BHX18" s="593">
        <f>'Proy 2022 vs 2019 sem'!KG17*BHZ$4</f>
        <v>43051.333824000008</v>
      </c>
      <c r="BHY18" s="699"/>
      <c r="BHZ18" s="700">
        <f>BHY18/BHW18</f>
        <v>0</v>
      </c>
      <c r="BIA18" s="593">
        <f>'Proy 2022 vs 2019 sem'!KF17*BID$4</f>
        <v>54007.049600000006</v>
      </c>
      <c r="BIB18" s="593">
        <f>'Proy 2022 vs 2019 sem'!KG17*BID$4</f>
        <v>50226.556128000011</v>
      </c>
      <c r="BIC18" s="699"/>
      <c r="BID18" s="700">
        <f>BIC18/BIA18</f>
        <v>0</v>
      </c>
      <c r="BIE18" s="593">
        <f>'Proy 2022 vs 2019 sem'!KF17*BIH$4</f>
        <v>61722.342400000001</v>
      </c>
      <c r="BIF18" s="593">
        <f>'Proy 2022 vs 2019 sem'!KG17*BIH$4</f>
        <v>57401.778432000014</v>
      </c>
      <c r="BIG18" s="699"/>
      <c r="BIH18" s="700">
        <f>BIG18/BIE18</f>
        <v>0</v>
      </c>
      <c r="BII18" s="593">
        <f>'Proy 2022 vs 2019 sem'!KF17*BIL$4</f>
        <v>84868.22080000001</v>
      </c>
      <c r="BIJ18" s="593">
        <f>'Proy 2022 vs 2019 sem'!KG17*BIL$4</f>
        <v>78927.445344000007</v>
      </c>
      <c r="BIK18" s="699"/>
      <c r="BIL18" s="700">
        <f>BIK18/BII18</f>
        <v>0</v>
      </c>
      <c r="BIM18" s="579">
        <f>BHK18+BHO18+BHS18+BHW18+BIA18+BIE18+BII18</f>
        <v>385764.64</v>
      </c>
      <c r="BIN18" s="574">
        <f>BHL18+BHP18+BHT18+BHX18+BIB18+BIF18+BIJ18</f>
        <v>358761.11520000006</v>
      </c>
      <c r="BIO18" s="730">
        <f>BHM18+BHQ18+BHU18+BHY18+BIC18+BIG18+BIK18</f>
        <v>0</v>
      </c>
      <c r="BIP18" s="711">
        <f>BIO18/BIM18</f>
        <v>0</v>
      </c>
      <c r="BIQ18" s="593">
        <f>'Proy 2022 vs 2019 sem'!KK17*BIT$4</f>
        <v>37958.908799999997</v>
      </c>
      <c r="BIR18" s="593">
        <f>'Proy 2022 vs 2019 sem'!KL17*BIT$4</f>
        <v>35301.785184</v>
      </c>
      <c r="BIS18" s="699"/>
      <c r="BIT18" s="700">
        <f>BIS18/BIQ18</f>
        <v>0</v>
      </c>
      <c r="BIU18" s="593">
        <f>'Proy 2022 vs 2019 sem'!KK17*BIX$4</f>
        <v>37958.908799999997</v>
      </c>
      <c r="BIV18" s="593">
        <f>'Proy 2022 vs 2019 sem'!KL17*BIX$4</f>
        <v>35301.785184</v>
      </c>
      <c r="BIW18" s="699"/>
      <c r="BIX18" s="700">
        <f>BIW18/BIU18</f>
        <v>0</v>
      </c>
      <c r="BIY18" s="593">
        <f>'Proy 2022 vs 2019 sem'!KK17*BJB$4</f>
        <v>37958.908799999997</v>
      </c>
      <c r="BIZ18" s="593">
        <f>'Proy 2022 vs 2019 sem'!KL17*BJB$4</f>
        <v>35301.785184</v>
      </c>
      <c r="BJA18" s="699"/>
      <c r="BJB18" s="700">
        <f>BJA18/BIY18</f>
        <v>0</v>
      </c>
      <c r="BJC18" s="593">
        <f>'Proy 2022 vs 2019 sem'!KK17*BJF$4</f>
        <v>37958.908799999997</v>
      </c>
      <c r="BJD18" s="593">
        <f>'Proy 2022 vs 2019 sem'!KL17*BJF$4</f>
        <v>35301.785184</v>
      </c>
      <c r="BJE18" s="699"/>
      <c r="BJF18" s="700">
        <f>BJE18/BJC18</f>
        <v>0</v>
      </c>
      <c r="BJG18" s="593">
        <f>'Proy 2022 vs 2019 sem'!KK17*BJJ$4</f>
        <v>44285.393600000003</v>
      </c>
      <c r="BJH18" s="593">
        <f>'Proy 2022 vs 2019 sem'!KL17*BJJ$4</f>
        <v>41185.416048000006</v>
      </c>
      <c r="BJI18" s="699"/>
      <c r="BJJ18" s="700">
        <f>BJI18/BJG18</f>
        <v>0</v>
      </c>
      <c r="BJK18" s="593">
        <f>'Proy 2022 vs 2019 sem'!KK17*BJN$4</f>
        <v>50611.878400000001</v>
      </c>
      <c r="BJL18" s="593">
        <f>'Proy 2022 vs 2019 sem'!KL17*BJN$4</f>
        <v>47069.046912000005</v>
      </c>
      <c r="BJM18" s="699"/>
      <c r="BJN18" s="700">
        <f>BJM18/BJK18</f>
        <v>0</v>
      </c>
      <c r="BJO18" s="593">
        <f>'Proy 2022 vs 2019 sem'!KK17*BJR$4</f>
        <v>69591.332800000004</v>
      </c>
      <c r="BJP18" s="593">
        <f>'Proy 2022 vs 2019 sem'!KL17*BJR$4</f>
        <v>64719.939504000002</v>
      </c>
      <c r="BJQ18" s="699"/>
      <c r="BJR18" s="700">
        <f>BJQ18/BJO18</f>
        <v>0</v>
      </c>
      <c r="BJS18" s="579">
        <f>BIQ18+BIU18+BIY18+BJC18+BJG18+BJK18+BJO18</f>
        <v>316324.24</v>
      </c>
      <c r="BJT18" s="574">
        <f>BIR18+BIV18+BIZ18+BJD18+BJH18+BJL18+BJP18</f>
        <v>294181.54320000001</v>
      </c>
      <c r="BJU18" s="710">
        <f>BIS18+BIW18+BJA18+BJE18+BJI18+BJM18+BJQ18</f>
        <v>0</v>
      </c>
      <c r="BJV18" s="711">
        <f>BJU18/BJS18</f>
        <v>0</v>
      </c>
      <c r="BJW18" s="593">
        <f>'Proy 2022 vs 2019 sem'!KP17*BJZ$4</f>
        <v>12053.511599999998</v>
      </c>
      <c r="BJX18" s="593">
        <f>'Proy 2022 vs 2019 sem'!KQ17*BJZ$4</f>
        <v>11450.836019999997</v>
      </c>
      <c r="BJY18" s="699"/>
      <c r="BJZ18" s="700">
        <f>BJY18/BJW18</f>
        <v>0</v>
      </c>
      <c r="BKA18" s="593">
        <f>'Proy 2022 vs 2019 sem'!KP17*BKD$4</f>
        <v>12053.511599999998</v>
      </c>
      <c r="BKB18" s="593">
        <f>'Proy 2022 vs 2019 sem'!KQ17*BKD$4</f>
        <v>11450.836019999997</v>
      </c>
      <c r="BKC18" s="699"/>
      <c r="BKD18" s="700">
        <f>BKC18/BKA18</f>
        <v>0</v>
      </c>
      <c r="BKE18" s="593">
        <f>'Proy 2022 vs 2019 sem'!KP17*BKH$4</f>
        <v>12053.511599999998</v>
      </c>
      <c r="BKF18" s="593">
        <f>'Proy 2022 vs 2019 sem'!KQ17*BKH$4</f>
        <v>11450.836019999997</v>
      </c>
      <c r="BKG18" s="699"/>
      <c r="BKH18" s="700">
        <f>BKG18/BKE18</f>
        <v>0</v>
      </c>
      <c r="BKI18" s="593">
        <f>'Proy 2022 vs 2019 sem'!KP17*BKL$4</f>
        <v>12053.511599999998</v>
      </c>
      <c r="BKJ18" s="593">
        <f>'Proy 2022 vs 2019 sem'!KQ17*BKL$4</f>
        <v>11450.836019999997</v>
      </c>
      <c r="BKK18" s="699"/>
      <c r="BKL18" s="700">
        <f>BKK18/BKI18</f>
        <v>0</v>
      </c>
      <c r="BKM18" s="593">
        <f>'Proy 2022 vs 2019 sem'!KP17*BKP$4</f>
        <v>14062.430200000001</v>
      </c>
      <c r="BKN18" s="593">
        <f>'Proy 2022 vs 2019 sem'!KQ17*BKP$4</f>
        <v>13359.308689999998</v>
      </c>
      <c r="BKO18" s="699"/>
      <c r="BKP18" s="700">
        <f>BKO18/BKM18</f>
        <v>0</v>
      </c>
      <c r="BKQ18" s="593">
        <f>'Proy 2022 vs 2019 sem'!KP17*BKT$4</f>
        <v>16071.3488</v>
      </c>
      <c r="BKR18" s="593">
        <f>'Proy 2022 vs 2019 sem'!KQ17*BKT$4</f>
        <v>15267.781359999997</v>
      </c>
      <c r="BKS18" s="699"/>
      <c r="BKT18" s="700">
        <f>BKS18/BKQ18</f>
        <v>0</v>
      </c>
      <c r="BKU18" s="593">
        <f>'Proy 2022 vs 2019 sem'!KP17*BKX$4</f>
        <v>22098.104599999999</v>
      </c>
      <c r="BKV18" s="593">
        <f>'Proy 2022 vs 2019 sem'!KQ17*BKX$4</f>
        <v>20993.199369999995</v>
      </c>
      <c r="BKW18" s="699"/>
      <c r="BKX18" s="700">
        <f>BKW18/BKU18</f>
        <v>0</v>
      </c>
      <c r="BKY18" s="579">
        <f>BJW18+BKA18+BKE18+BKI18+BKM18+BKQ18+BKU18</f>
        <v>100445.93</v>
      </c>
      <c r="BKZ18" s="574">
        <f>BJX18+BKB18+BKF18+BKJ18+BKN18+BKR18+BKV18</f>
        <v>95423.633499999967</v>
      </c>
      <c r="BLA18" s="710">
        <f>BJY18+BKC18+BKG18+BKK18+BKO18+BKS18+BKW18</f>
        <v>0</v>
      </c>
      <c r="BLB18" s="711">
        <f>BLA18/BKY18</f>
        <v>0</v>
      </c>
    </row>
    <row r="19" spans="2:1666" ht="15.75" customHeight="1">
      <c r="B19" s="934" t="s">
        <v>21</v>
      </c>
      <c r="C19" s="593">
        <f>'Proy 2022 vs 2019 sem'!$C$6*$F$4</f>
        <v>9529.1268</v>
      </c>
      <c r="D19" s="593">
        <f>'Proy 2022 vs 2019 sem'!$D$6*$F$4</f>
        <v>8480.9228519999997</v>
      </c>
      <c r="E19" s="735"/>
      <c r="F19" s="700">
        <f>E19/C19</f>
        <v>0</v>
      </c>
      <c r="G19" s="1414">
        <f>'Proy 2022 vs 2019 sem'!C18*$J$4</f>
        <v>7814.2776000000003</v>
      </c>
      <c r="H19" s="593">
        <f>'Proy 2022 vs 2019 sem'!D18*$J$4</f>
        <v>6954.7070640000002</v>
      </c>
      <c r="I19" s="735"/>
      <c r="J19" s="700">
        <f>I19/G19</f>
        <v>0</v>
      </c>
      <c r="K19" s="593">
        <f>'Proy 2022 vs 2019 sem'!C18*$N$4</f>
        <v>7814.2776000000003</v>
      </c>
      <c r="L19" s="593">
        <f>'Proy 2022 vs 2019 sem'!D18*N$4</f>
        <v>6954.7070640000002</v>
      </c>
      <c r="M19" s="735"/>
      <c r="N19" s="700">
        <f>M19/K19</f>
        <v>0</v>
      </c>
      <c r="O19" s="593">
        <f>'Proy 2022 vs 2019 sem'!C18*R$4</f>
        <v>7814.2776000000003</v>
      </c>
      <c r="P19" s="593">
        <f>'Proy 2022 vs 2019 sem'!D18*$R$4</f>
        <v>6954.7070640000002</v>
      </c>
      <c r="Q19" s="735"/>
      <c r="R19" s="700">
        <f>Q19/O19</f>
        <v>0</v>
      </c>
      <c r="S19" s="593">
        <f>'Proy 2022 vs 2019 sem'!C18*V$4</f>
        <v>9116.6572000000015</v>
      </c>
      <c r="T19" s="593">
        <f>'Proy 2022 vs 2019 sem'!D18*V$4</f>
        <v>8113.8249080000014</v>
      </c>
      <c r="U19" s="735"/>
      <c r="V19" s="700">
        <f>U19/S19</f>
        <v>0</v>
      </c>
      <c r="W19" s="593">
        <f>'Proy 2022 vs 2019 sem'!C18*Z$4</f>
        <v>10419.0368</v>
      </c>
      <c r="X19" s="593">
        <f>'Proy 2022 vs 2019 sem'!D18*Z$4</f>
        <v>9272.9427520000008</v>
      </c>
      <c r="Y19" s="735"/>
      <c r="Z19" s="700">
        <f>Y19/W19</f>
        <v>0</v>
      </c>
      <c r="AA19" s="593">
        <f>'Proy 2022 vs 2019 sem'!C18*AD$4</f>
        <v>14326.1756</v>
      </c>
      <c r="AB19" s="593">
        <f>'Proy 2022 vs 2019 sem'!D18*AD$4</f>
        <v>12750.296284</v>
      </c>
      <c r="AC19" s="735"/>
      <c r="AD19" s="700">
        <f>AC19/AA19</f>
        <v>0</v>
      </c>
      <c r="AE19" s="579">
        <f>C19+G19+K19+O19+S19+W19+AA19</f>
        <v>66833.829200000007</v>
      </c>
      <c r="AF19" s="574">
        <f>D19+H19+L19+P19+T19+X19+AB19</f>
        <v>59482.107988000003</v>
      </c>
      <c r="AG19" s="729">
        <f>E19+I19+M19+Q19+U19+Y19+AC19</f>
        <v>0</v>
      </c>
      <c r="AH19" s="711">
        <f>AG19/AE19</f>
        <v>0</v>
      </c>
      <c r="AI19" s="593">
        <f>'Proy 2022 vs 2019 sem'!H18*AL$4</f>
        <v>7556.8907999999992</v>
      </c>
      <c r="AJ19" s="611">
        <f>'Proy 2022 vs 2019 sem'!I18*AL$4</f>
        <v>6725.6328119999998</v>
      </c>
      <c r="AK19" s="699"/>
      <c r="AL19" s="700">
        <f>AK19/AI19</f>
        <v>0</v>
      </c>
      <c r="AM19" s="593">
        <f>'Proy 2022 vs 2019 sem'!H18*AP$4</f>
        <v>7556.8907999999992</v>
      </c>
      <c r="AN19" s="593">
        <f>'Proy 2022 vs 2019 sem'!I18*AP$4</f>
        <v>6725.6328119999998</v>
      </c>
      <c r="AO19" s="699"/>
      <c r="AP19" s="700">
        <f>AO19/AM19</f>
        <v>0</v>
      </c>
      <c r="AQ19" s="593">
        <f>'Proy 2022 vs 2019 sem'!H18*AT$4</f>
        <v>7556.8907999999992</v>
      </c>
      <c r="AR19" s="593">
        <f>'Proy 2022 vs 2019 sem'!I18*AT$4</f>
        <v>6725.6328119999998</v>
      </c>
      <c r="AS19" s="699"/>
      <c r="AT19" s="700">
        <f>AS19/AQ19</f>
        <v>0</v>
      </c>
      <c r="AU19" s="593">
        <f>'Proy 2022 vs 2019 sem'!H18*AX$4</f>
        <v>7556.8907999999992</v>
      </c>
      <c r="AV19" s="593">
        <f>'Proy 2022 vs 2019 sem'!I18*AX$4</f>
        <v>6725.6328119999998</v>
      </c>
      <c r="AW19" s="699"/>
      <c r="AX19" s="700">
        <f>AW19/AU19</f>
        <v>0</v>
      </c>
      <c r="AY19" s="593">
        <f>'Proy 2022 vs 2019 sem'!H18*BB$4</f>
        <v>8816.3726000000006</v>
      </c>
      <c r="AZ19" s="593">
        <f>'Proy 2022 vs 2019 sem'!I18*BB$4</f>
        <v>7846.5716140000004</v>
      </c>
      <c r="BA19" s="699"/>
      <c r="BB19" s="700">
        <f>BA19/AY19</f>
        <v>0</v>
      </c>
      <c r="BC19" s="593">
        <f>'Proy 2022 vs 2019 sem'!H18*BF$4</f>
        <v>10075.8544</v>
      </c>
      <c r="BD19" s="593">
        <f>'Proy 2022 vs 2019 sem'!I18*BF$4</f>
        <v>8967.510416000001</v>
      </c>
      <c r="BE19" s="699"/>
      <c r="BF19" s="700">
        <f>BE19/BC19</f>
        <v>0</v>
      </c>
      <c r="BG19" s="593">
        <f>'Proy 2022 vs 2019 sem'!H18*BJ$4</f>
        <v>13854.299799999999</v>
      </c>
      <c r="BH19" s="593">
        <f>'Proy 2022 vs 2019 sem'!I18*BJ$4</f>
        <v>12330.326822000001</v>
      </c>
      <c r="BI19" s="699"/>
      <c r="BJ19" s="700">
        <f>BI19/BG19</f>
        <v>0</v>
      </c>
      <c r="BK19" s="579">
        <f>AI19+AM19+AQ19+AU19+AY19+BC19+BG19</f>
        <v>62974.090000000004</v>
      </c>
      <c r="BL19" s="574">
        <f>AJ19+AN19+AR19+AV19+AZ19+BD19+BH19</f>
        <v>56046.940100000007</v>
      </c>
      <c r="BM19" s="730">
        <f>AK19+AO19+AS19+AW19+BA19+BE19+BI19</f>
        <v>0</v>
      </c>
      <c r="BN19" s="711">
        <f>BM19/BK19</f>
        <v>0</v>
      </c>
      <c r="BO19" s="593">
        <f>'Proy 2022 vs 2019 sem'!M18*BR$4</f>
        <v>6964.2479999999996</v>
      </c>
      <c r="BP19" s="593">
        <f>'Proy 2022 vs 2019 sem'!N18*BR$4</f>
        <v>6198.1807200000003</v>
      </c>
      <c r="BQ19" s="699"/>
      <c r="BR19" s="700">
        <f>BQ19/BO19</f>
        <v>0</v>
      </c>
      <c r="BS19" s="593">
        <f>'Proy 2022 vs 2019 sem'!M18*BV$4</f>
        <v>6964.2479999999996</v>
      </c>
      <c r="BT19" s="593">
        <f>'Proy 2022 vs 2019 sem'!N18*BV$4</f>
        <v>6198.1807200000003</v>
      </c>
      <c r="BU19" s="699"/>
      <c r="BV19" s="700">
        <f>BU19/BS19</f>
        <v>0</v>
      </c>
      <c r="BW19" s="593">
        <f>'Proy 2022 vs 2019 sem'!M18*BZ$4</f>
        <v>6964.2479999999996</v>
      </c>
      <c r="BX19" s="593">
        <f>'Proy 2022 vs 2019 sem'!N18*BZ$4</f>
        <v>6198.1807200000003</v>
      </c>
      <c r="BY19" s="699"/>
      <c r="BZ19" s="700">
        <f>BY19/BW19</f>
        <v>0</v>
      </c>
      <c r="CA19" s="593">
        <f>'Proy 2022 vs 2019 sem'!M18*CD$4</f>
        <v>6964.2479999999996</v>
      </c>
      <c r="CB19" s="593">
        <f>'Proy 2022 vs 2019 sem'!N18*CD$4</f>
        <v>6198.1807200000003</v>
      </c>
      <c r="CC19" s="699"/>
      <c r="CD19" s="700">
        <f>CC19/CA19</f>
        <v>0</v>
      </c>
      <c r="CE19" s="593">
        <f>'Proy 2022 vs 2019 sem'!M18*CH$4</f>
        <v>8124.956000000001</v>
      </c>
      <c r="CF19" s="593">
        <f>'Proy 2022 vs 2019 sem'!N18*CH$4</f>
        <v>7231.2108400000006</v>
      </c>
      <c r="CG19" s="699"/>
      <c r="CH19" s="700">
        <f>CG19/CE19</f>
        <v>0</v>
      </c>
      <c r="CI19" s="593">
        <f>'Proy 2022 vs 2019 sem'!M18*CL$4</f>
        <v>9285.6640000000007</v>
      </c>
      <c r="CJ19" s="593">
        <f>'Proy 2022 vs 2019 sem'!N18*CL$4</f>
        <v>8264.240960000001</v>
      </c>
      <c r="CK19" s="699"/>
      <c r="CL19" s="700">
        <f>CK19/CI19</f>
        <v>0</v>
      </c>
      <c r="CM19" s="593">
        <f>'Proy 2022 vs 2019 sem'!M18*CP$4</f>
        <v>12767.788</v>
      </c>
      <c r="CN19" s="593">
        <f>'Proy 2022 vs 2019 sem'!N18*CP$4</f>
        <v>11363.331320000001</v>
      </c>
      <c r="CO19" s="699"/>
      <c r="CP19" s="700">
        <f>CO19/CM19</f>
        <v>0</v>
      </c>
      <c r="CQ19" s="579">
        <f>BO19+BS19+BW19+CA19+CE19+CI19+CM19</f>
        <v>58035.399999999994</v>
      </c>
      <c r="CR19" s="574">
        <f>BP19+BT19+BX19+CB19+CF19+CJ19+CN19</f>
        <v>51651.506000000008</v>
      </c>
      <c r="CS19" s="730">
        <f>BQ19+BU19+BY19+CC19+CG19+CK19+CO19</f>
        <v>0</v>
      </c>
      <c r="CT19" s="711">
        <f>CS19/CQ19</f>
        <v>0</v>
      </c>
      <c r="CU19" s="593">
        <f>'Proy 2022 vs 2019 sem'!R18*CX$4</f>
        <v>7404.99</v>
      </c>
      <c r="CV19" s="593">
        <f>'Proy 2022 vs 2019 sem'!S18*CX$4</f>
        <v>6590.4411</v>
      </c>
      <c r="CW19" s="699"/>
      <c r="CX19" s="700">
        <f>CW19/CU19</f>
        <v>0</v>
      </c>
      <c r="CY19" s="593">
        <f>'Proy 2022 vs 2019 sem'!R18*DB$4</f>
        <v>7404.99</v>
      </c>
      <c r="CZ19" s="593">
        <f>'Proy 2022 vs 2019 sem'!S18*DB$4</f>
        <v>6590.4411</v>
      </c>
      <c r="DA19" s="699"/>
      <c r="DB19" s="700">
        <f>DA19/CY19</f>
        <v>0</v>
      </c>
      <c r="DC19" s="593">
        <f>'Proy 2022 vs 2019 sem'!R18*DF$4</f>
        <v>7404.99</v>
      </c>
      <c r="DD19" s="593">
        <f>'Proy 2022 vs 2019 sem'!S18*DF$4</f>
        <v>6590.4411</v>
      </c>
      <c r="DE19" s="699"/>
      <c r="DF19" s="700">
        <f>DE19/DC19</f>
        <v>0</v>
      </c>
      <c r="DG19" s="593">
        <f>'Proy 2022 vs 2019 sem'!R18*DJ$4</f>
        <v>7404.99</v>
      </c>
      <c r="DH19" s="593">
        <f>'Proy 2022 vs 2019 sem'!S18*DJ$4</f>
        <v>6590.4411</v>
      </c>
      <c r="DI19" s="699"/>
      <c r="DJ19" s="700">
        <f>DI19/DG19</f>
        <v>0</v>
      </c>
      <c r="DK19" s="593">
        <f>'Proy 2022 vs 2019 sem'!R18*DN$4</f>
        <v>8639.1550000000007</v>
      </c>
      <c r="DL19" s="593">
        <f>'Proy 2022 vs 2019 sem'!S18*DN$4</f>
        <v>7688.8479500000003</v>
      </c>
      <c r="DM19" s="699"/>
      <c r="DN19" s="700">
        <f>DM19/DK19</f>
        <v>0</v>
      </c>
      <c r="DO19" s="593">
        <f>'Proy 2022 vs 2019 sem'!R18*DR$4</f>
        <v>9873.32</v>
      </c>
      <c r="DP19" s="593">
        <f>'Proy 2022 vs 2019 sem'!S18*DR$4</f>
        <v>8787.2548000000006</v>
      </c>
      <c r="DQ19" s="699"/>
      <c r="DR19" s="700">
        <f>DQ19/DO19</f>
        <v>0</v>
      </c>
      <c r="DS19" s="593">
        <f>'Proy 2022 vs 2019 sem'!R18*DV$4</f>
        <v>13575.815000000001</v>
      </c>
      <c r="DT19" s="593">
        <f>'Proy 2022 vs 2019 sem'!S18*DV$4</f>
        <v>12082.475350000001</v>
      </c>
      <c r="DU19" s="699"/>
      <c r="DV19" s="700">
        <f>DU19/DS19</f>
        <v>0</v>
      </c>
      <c r="DW19" s="579">
        <f>CU19+CY19+DC19+DG19+DK19+DO19+DS19</f>
        <v>61708.25</v>
      </c>
      <c r="DX19" s="574">
        <f>CV19+CZ19+DD19+DH19+DL19+DP19+DT19</f>
        <v>54920.342500000006</v>
      </c>
      <c r="DY19" s="710">
        <f>CW19+DA19+DE19+DI19+DM19+DQ19+DU19</f>
        <v>0</v>
      </c>
      <c r="DZ19" s="711">
        <f>DY19/DW19</f>
        <v>0</v>
      </c>
      <c r="EA19" s="593">
        <f>'Proy 2022 vs 2019 sem'!AA18*ED$4</f>
        <v>7197.1715999999997</v>
      </c>
      <c r="EB19" s="593">
        <f>'Proy 2022 vs 2019 sem'!AB18*ED$4</f>
        <v>6405.4827239999995</v>
      </c>
      <c r="EC19" s="735"/>
      <c r="ED19" s="700">
        <f>EC19/EA19</f>
        <v>0</v>
      </c>
      <c r="EE19" s="593">
        <f>'Proy 2022 vs 2019 sem'!AA18*EH$4</f>
        <v>7197.1715999999997</v>
      </c>
      <c r="EF19" s="593">
        <f>'Proy 2022 vs 2019 sem'!AB18*EH$4</f>
        <v>6405.4827239999995</v>
      </c>
      <c r="EG19" s="699"/>
      <c r="EH19" s="700">
        <f>EG19/EE19</f>
        <v>0</v>
      </c>
      <c r="EI19" s="593">
        <f>'Proy 2022 vs 2019 sem'!AA18*EL$4</f>
        <v>7197.1715999999997</v>
      </c>
      <c r="EJ19" s="593">
        <f>'Proy 2022 vs 2019 sem'!AB18*EL$4</f>
        <v>6405.4827239999995</v>
      </c>
      <c r="EK19" s="699"/>
      <c r="EL19" s="700">
        <f>EK19/EI19</f>
        <v>0</v>
      </c>
      <c r="EM19" s="593">
        <f>'Proy 2022 vs 2019 sem'!AA18*EP$4</f>
        <v>7197.1715999999997</v>
      </c>
      <c r="EN19" s="593">
        <f>'Proy 2022 vs 2019 sem'!AB18*EP$4</f>
        <v>6405.4827239999995</v>
      </c>
      <c r="EO19" s="699"/>
      <c r="EP19" s="700">
        <f>EO19/EM19</f>
        <v>0</v>
      </c>
      <c r="EQ19" s="593">
        <f>'Proy 2022 vs 2019 sem'!AA18*ET$4</f>
        <v>8396.7002000000011</v>
      </c>
      <c r="ER19" s="593">
        <f>'Proy 2022 vs 2019 sem'!AB18*ET$4</f>
        <v>7473.0631780000012</v>
      </c>
      <c r="ES19" s="699"/>
      <c r="ET19" s="700">
        <f>ES19/EQ19</f>
        <v>0</v>
      </c>
      <c r="EU19" s="593">
        <f>'Proy 2022 vs 2019 sem'!AA18*EX$4</f>
        <v>9596.2288000000008</v>
      </c>
      <c r="EV19" s="593">
        <f>'Proy 2022 vs 2019 sem'!AB18*EX$4</f>
        <v>8540.6436320000012</v>
      </c>
      <c r="EW19" s="699"/>
      <c r="EX19" s="700">
        <f>EW19/EU19</f>
        <v>0</v>
      </c>
      <c r="EY19" s="593">
        <f>'Proy 2022 vs 2019 sem'!AA18*FB$4</f>
        <v>13194.8146</v>
      </c>
      <c r="EZ19" s="593">
        <f>'Proy 2022 vs 2019 sem'!AB18*FB$4</f>
        <v>11743.384994</v>
      </c>
      <c r="FA19" s="699"/>
      <c r="FB19" s="700">
        <f>FA19/EY19</f>
        <v>0</v>
      </c>
      <c r="FC19" s="579">
        <f>EA19+EE19+EI19+EM19+EQ19+EU19+EY19</f>
        <v>59976.429999999993</v>
      </c>
      <c r="FD19" s="574">
        <f>EB19+EF19+EJ19+EN19+ER19+EV19+EZ19</f>
        <v>53379.022700000001</v>
      </c>
      <c r="FE19" s="793">
        <f>EC19+EG19+EK19+EO19+ES19+EW19+FA19</f>
        <v>0</v>
      </c>
      <c r="FF19" s="786">
        <f>FE19/FC19</f>
        <v>0</v>
      </c>
      <c r="FG19" s="593">
        <f>'Proy 2022 vs 2019 sem'!AF18*FJ$4</f>
        <v>9027.0384000000013</v>
      </c>
      <c r="FH19" s="593">
        <f>'Proy 2022 vs 2019 sem'!AG18*FJ$4</f>
        <v>7943.7937920000004</v>
      </c>
      <c r="FI19" s="699"/>
      <c r="FJ19" s="700">
        <f>FI19/FG19</f>
        <v>0</v>
      </c>
      <c r="FK19" s="593">
        <f>'Proy 2022 vs 2019 sem'!AF18*FN$4</f>
        <v>9027.0384000000013</v>
      </c>
      <c r="FL19" s="593">
        <f>'Proy 2022 vs 2019 sem'!AG18*FN$4</f>
        <v>7943.7937920000004</v>
      </c>
      <c r="FM19" s="699"/>
      <c r="FN19" s="700">
        <f>FM19/FK19</f>
        <v>0</v>
      </c>
      <c r="FO19" s="593">
        <f>'Proy 2022 vs 2019 sem'!AF18*FR$4</f>
        <v>9027.0384000000013</v>
      </c>
      <c r="FP19" s="593">
        <f>'Proy 2022 vs 2019 sem'!AG18*FR$4</f>
        <v>7943.7937920000004</v>
      </c>
      <c r="FQ19" s="699"/>
      <c r="FR19" s="700">
        <f>FQ19/FO19</f>
        <v>0</v>
      </c>
      <c r="FS19" s="593">
        <f>'Proy 2022 vs 2019 sem'!AF18*FV$4</f>
        <v>9027.0384000000013</v>
      </c>
      <c r="FT19" s="593">
        <f>'Proy 2022 vs 2019 sem'!AG18*FV$4</f>
        <v>7943.7937920000004</v>
      </c>
      <c r="FU19" s="699"/>
      <c r="FV19" s="700">
        <f>FU19/FS19</f>
        <v>0</v>
      </c>
      <c r="FW19" s="593">
        <f>'Proy 2022 vs 2019 sem'!AF18*FZ$4</f>
        <v>10531.544800000001</v>
      </c>
      <c r="FX19" s="593">
        <f>'Proy 2022 vs 2019 sem'!AG18*FZ$4</f>
        <v>9267.7594240000017</v>
      </c>
      <c r="FY19" s="699"/>
      <c r="FZ19" s="700">
        <f>FY19/FW19</f>
        <v>0</v>
      </c>
      <c r="GA19" s="593">
        <f>'Proy 2022 vs 2019 sem'!AF18*GD$4</f>
        <v>12036.051200000002</v>
      </c>
      <c r="GB19" s="593">
        <f>'Proy 2022 vs 2019 sem'!AG18*GD$4</f>
        <v>10591.725056000001</v>
      </c>
      <c r="GC19" s="699"/>
      <c r="GD19" s="700">
        <f>GC19/GA19</f>
        <v>0</v>
      </c>
      <c r="GE19" s="593">
        <f>'Proy 2022 vs 2019 sem'!AF18*GH$4</f>
        <v>16549.570400000001</v>
      </c>
      <c r="GF19" s="593">
        <f>'Proy 2022 vs 2019 sem'!AG18*GH$4</f>
        <v>14563.621952000001</v>
      </c>
      <c r="GG19" s="699"/>
      <c r="GH19" s="700">
        <f>GG19/GE19</f>
        <v>0</v>
      </c>
      <c r="GI19" s="579">
        <f>FG19+FK19+FO19+FS19+FW19+GA19+GE19</f>
        <v>75225.320000000007</v>
      </c>
      <c r="GJ19" s="574">
        <f>FH19+FL19+FP19+FT19+FX19+GB19+GF19</f>
        <v>66198.281600000017</v>
      </c>
      <c r="GK19" s="794">
        <f>FI19+FM19+FQ19+FU19+FY19+GC19+GG19</f>
        <v>0</v>
      </c>
      <c r="GL19" s="786">
        <f>GK19/GI19</f>
        <v>0</v>
      </c>
      <c r="GM19" s="593">
        <f>'Proy 2022 vs 2019 sem'!AK18*GP$4</f>
        <v>6863.8055999999997</v>
      </c>
      <c r="GN19" s="593">
        <f>'Proy 2022 vs 2019 sem'!AL18*GP$4</f>
        <v>6177.4250400000001</v>
      </c>
      <c r="GO19" s="699"/>
      <c r="GP19" s="700">
        <f>GO19/GM19</f>
        <v>0</v>
      </c>
      <c r="GQ19" s="593">
        <f>'Proy 2022 vs 2019 sem'!AK18*GT$4</f>
        <v>6863.8055999999997</v>
      </c>
      <c r="GR19" s="593">
        <f>'Proy 2022 vs 2019 sem'!AL18*GT$4</f>
        <v>6177.4250400000001</v>
      </c>
      <c r="GS19" s="699"/>
      <c r="GT19" s="700">
        <f>GS19/GQ19</f>
        <v>0</v>
      </c>
      <c r="GU19" s="593">
        <f>'Proy 2022 vs 2019 sem'!AK18*GX$4</f>
        <v>6863.8055999999997</v>
      </c>
      <c r="GV19" s="593">
        <f>'Proy 2022 vs 2019 sem'!AL18*GX$4</f>
        <v>6177.4250400000001</v>
      </c>
      <c r="GW19" s="699"/>
      <c r="GX19" s="700">
        <f>GW19/GU19</f>
        <v>0</v>
      </c>
      <c r="GY19" s="593">
        <f>'Proy 2022 vs 2019 sem'!AK18*HB$4</f>
        <v>6863.8055999999997</v>
      </c>
      <c r="GZ19" s="593">
        <f>'Proy 2022 vs 2019 sem'!AL18*HB$4</f>
        <v>6177.4250400000001</v>
      </c>
      <c r="HA19" s="699"/>
      <c r="HB19" s="700">
        <f>HA19/GY19</f>
        <v>0</v>
      </c>
      <c r="HC19" s="593">
        <f>'Proy 2022 vs 2019 sem'!AK18*HF$4</f>
        <v>8007.7732000000005</v>
      </c>
      <c r="HD19" s="593">
        <f>'Proy 2022 vs 2019 sem'!AL18*HF$4</f>
        <v>7206.9958800000013</v>
      </c>
      <c r="HE19" s="699"/>
      <c r="HF19" s="700">
        <f>HE19/HC19</f>
        <v>0</v>
      </c>
      <c r="HG19" s="593">
        <f>'Proy 2022 vs 2019 sem'!AK18*HJ$4</f>
        <v>9151.7407999999996</v>
      </c>
      <c r="HH19" s="593">
        <f>'Proy 2022 vs 2019 sem'!AL18*HJ$4</f>
        <v>8236.5667200000007</v>
      </c>
      <c r="HI19" s="699"/>
      <c r="HJ19" s="700">
        <f>HI19/HG19</f>
        <v>0</v>
      </c>
      <c r="HK19" s="593">
        <f>'Proy 2022 vs 2019 sem'!AK18*HN$4</f>
        <v>12583.643599999999</v>
      </c>
      <c r="HL19" s="593">
        <f>'Proy 2022 vs 2019 sem'!AL18*HN$4</f>
        <v>11325.27924</v>
      </c>
      <c r="HM19" s="699"/>
      <c r="HN19" s="700">
        <f>HM19/HK19</f>
        <v>0</v>
      </c>
      <c r="HO19" s="579">
        <f>GM19+GQ19+GU19+GY19+HC19+HG19+HK19</f>
        <v>57198.380000000005</v>
      </c>
      <c r="HP19" s="574">
        <f>GN19+GR19+GV19+GZ19+HD19+HH19+HL19</f>
        <v>51478.542000000001</v>
      </c>
      <c r="HQ19" s="794">
        <f>GO19+GS19+GW19+HA19+HE19+HI19+HM19</f>
        <v>0</v>
      </c>
      <c r="HR19" s="786">
        <f>HQ19/HO19</f>
        <v>0</v>
      </c>
      <c r="HS19" s="593">
        <f>'Proy 2022 vs 2019 sem'!AK18*HV$4</f>
        <v>6863.8055999999997</v>
      </c>
      <c r="HT19" s="593">
        <f>'Proy 2022 vs 2019 sem'!AL18*HV$4</f>
        <v>6177.4250400000001</v>
      </c>
      <c r="HU19" s="699"/>
      <c r="HV19" s="700">
        <f>HU19/HS19</f>
        <v>0</v>
      </c>
      <c r="HW19" s="593">
        <f>'Proy 2022 vs 2019 sem'!AK18*HZ$4</f>
        <v>6863.8055999999997</v>
      </c>
      <c r="HX19" s="593">
        <f>'Proy 2022 vs 2019 sem'!AL18*HZ$4</f>
        <v>6177.4250400000001</v>
      </c>
      <c r="HY19" s="699"/>
      <c r="HZ19" s="700">
        <f>HY19/HW19</f>
        <v>0</v>
      </c>
      <c r="IA19" s="593">
        <f>'Proy 2022 vs 2019 sem'!AK18*ID$4</f>
        <v>6863.8055999999997</v>
      </c>
      <c r="IB19" s="593">
        <f>'Proy 2022 vs 2019 sem'!AL18*ID$4</f>
        <v>6177.4250400000001</v>
      </c>
      <c r="IC19" s="699"/>
      <c r="ID19" s="700">
        <f>IC19/IA19</f>
        <v>0</v>
      </c>
      <c r="IE19" s="593">
        <f>'Proy 2022 vs 2019 sem'!AK18*IH$4</f>
        <v>6863.8055999999997</v>
      </c>
      <c r="IF19" s="593">
        <f>'Proy 2022 vs 2019 sem'!AL18*IH$4</f>
        <v>6177.4250400000001</v>
      </c>
      <c r="IG19" s="699"/>
      <c r="IH19" s="700">
        <f>IG19/IE19</f>
        <v>0</v>
      </c>
      <c r="II19" s="593">
        <f>'Proy 2022 vs 2019 sem'!AK18*IL$4</f>
        <v>8007.7732000000005</v>
      </c>
      <c r="IJ19" s="593">
        <f>'Proy 2022 vs 2019 sem'!AL18*IL$4</f>
        <v>7206.9958800000013</v>
      </c>
      <c r="IK19" s="699"/>
      <c r="IL19" s="700">
        <f>IK19/II19</f>
        <v>0</v>
      </c>
      <c r="IM19" s="593">
        <f>'Proy 2022 vs 2019 sem'!AK18*IP$4</f>
        <v>9151.7407999999996</v>
      </c>
      <c r="IN19" s="593">
        <f>'Proy 2022 vs 2019 sem'!AL18*IP$4</f>
        <v>8236.5667200000007</v>
      </c>
      <c r="IO19" s="699"/>
      <c r="IP19" s="700">
        <f>IO19/IM19</f>
        <v>0</v>
      </c>
      <c r="IQ19" s="593">
        <f>'Proy 2022 vs 2019 sem'!AK18*IT$4</f>
        <v>12583.643599999999</v>
      </c>
      <c r="IR19" s="593">
        <f>'Proy 2022 vs 2019 sem'!AL18*IT$4</f>
        <v>11325.27924</v>
      </c>
      <c r="IS19" s="699"/>
      <c r="IT19" s="700">
        <f>IS19/IQ19</f>
        <v>0</v>
      </c>
      <c r="IU19" s="579">
        <f>HS19+HW19+IA19+IE19+II19+IM19+IQ19</f>
        <v>57198.380000000005</v>
      </c>
      <c r="IV19" s="574">
        <f>HT19+HX19+IB19+IF19+IJ19+IN19+IR19</f>
        <v>51478.542000000001</v>
      </c>
      <c r="IW19" s="785">
        <f>HU19+HY19+IC19+IG19+IK19+IO19+IS19</f>
        <v>0</v>
      </c>
      <c r="IX19" s="786">
        <f>IW19/IU19</f>
        <v>0</v>
      </c>
      <c r="IY19" s="593">
        <f>'Proy 2022 vs 2019 sem'!AY18*JB$4</f>
        <v>9405.7620000000006</v>
      </c>
      <c r="IZ19" s="593">
        <f>'Proy 2022 vs 2019 sem'!AZ18*JB$4</f>
        <v>8371.1281799999997</v>
      </c>
      <c r="JA19" s="735"/>
      <c r="JB19" s="700">
        <f>JA19/IY19</f>
        <v>0</v>
      </c>
      <c r="JC19" s="593">
        <f>'Proy 2022 vs 2019 sem'!AY18*JF$4</f>
        <v>9405.7620000000006</v>
      </c>
      <c r="JD19" s="593">
        <f>'Proy 2022 vs 2019 sem'!AZ18*JF$4</f>
        <v>8371.1281799999997</v>
      </c>
      <c r="JE19" s="735"/>
      <c r="JF19" s="700">
        <f>JE19/JC19</f>
        <v>0</v>
      </c>
      <c r="JG19" s="593">
        <f>'Proy 2022 vs 2019 sem'!AY18*JJ$4</f>
        <v>9405.7620000000006</v>
      </c>
      <c r="JH19" s="593">
        <f>'Proy 2022 vs 2019 sem'!AZ18*JJ$4</f>
        <v>8371.1281799999997</v>
      </c>
      <c r="JI19" s="735"/>
      <c r="JJ19" s="700">
        <f>JI19/JG19</f>
        <v>0</v>
      </c>
      <c r="JK19" s="593">
        <f>'Proy 2022 vs 2019 sem'!AY18*JN$4</f>
        <v>9405.7620000000006</v>
      </c>
      <c r="JL19" s="593">
        <f>'Proy 2022 vs 2019 sem'!AZ18*JN$4</f>
        <v>8371.1281799999997</v>
      </c>
      <c r="JM19" s="735"/>
      <c r="JN19" s="700">
        <f>JM19/JK19</f>
        <v>0</v>
      </c>
      <c r="JO19" s="593">
        <f>'Proy 2022 vs 2019 sem'!AY18*JR$4</f>
        <v>10973.389000000001</v>
      </c>
      <c r="JP19" s="593">
        <f>'Proy 2022 vs 2019 sem'!AZ18*JR$4</f>
        <v>9766.3162100000027</v>
      </c>
      <c r="JQ19" s="735"/>
      <c r="JR19" s="700">
        <f>JQ19/JO19</f>
        <v>0</v>
      </c>
      <c r="JS19" s="593">
        <f>'Proy 2022 vs 2019 sem'!AY18*JV$4</f>
        <v>12541.016000000001</v>
      </c>
      <c r="JT19" s="593">
        <f>'Proy 2022 vs 2019 sem'!AZ18*JV$4</f>
        <v>11161.504240000002</v>
      </c>
      <c r="JU19" s="735"/>
      <c r="JV19" s="700">
        <f>JU19/JS19</f>
        <v>0</v>
      </c>
      <c r="JW19" s="593">
        <f>'Proy 2022 vs 2019 sem'!AY18*JZ$4</f>
        <v>17243.897000000001</v>
      </c>
      <c r="JX19" s="593">
        <f>'Proy 2022 vs 2019 sem'!AZ18*JZ$4</f>
        <v>15347.068330000002</v>
      </c>
      <c r="JY19" s="735"/>
      <c r="JZ19" s="700">
        <f>JY19/JW19</f>
        <v>0</v>
      </c>
      <c r="KA19" s="579">
        <f>IY19+JC19+JG19+JK19+JO19+JS19+JW19</f>
        <v>78381.350000000006</v>
      </c>
      <c r="KB19" s="574">
        <f>IZ19+JD19+JH19+JL19+JP19+JT19+JX19</f>
        <v>69759.401500000007</v>
      </c>
      <c r="KC19" s="729">
        <f>JA19+JE19+JI19+JM19+JQ19+JU19+JY19</f>
        <v>0</v>
      </c>
      <c r="KD19" s="711">
        <f>KC19/KA19</f>
        <v>0</v>
      </c>
      <c r="KE19" s="593">
        <f>'Proy 2022 vs 2019 sem'!BD18*KH$4</f>
        <v>10620.754799999999</v>
      </c>
      <c r="KF19" s="593">
        <f>'Proy 2022 vs 2019 sem'!BE18*KH$4</f>
        <v>9452.471771999999</v>
      </c>
      <c r="KG19" s="699"/>
      <c r="KH19" s="700">
        <f>KG19/KE19</f>
        <v>0</v>
      </c>
      <c r="KI19" s="593">
        <f>'Proy 2022 vs 2019 sem'!BD18*KL$4</f>
        <v>10620.754799999999</v>
      </c>
      <c r="KJ19" s="593">
        <f>'Proy 2022 vs 2019 sem'!BE18*KL$4</f>
        <v>9452.471771999999</v>
      </c>
      <c r="KK19" s="699"/>
      <c r="KL19" s="700">
        <f>KK19/KI19</f>
        <v>0</v>
      </c>
      <c r="KM19" s="593">
        <f>'Proy 2022 vs 2019 sem'!BD18*KP$4</f>
        <v>10620.754799999999</v>
      </c>
      <c r="KN19" s="593">
        <f>'Proy 2022 vs 2019 sem'!BE18*KP$4</f>
        <v>9452.471771999999</v>
      </c>
      <c r="KO19" s="699"/>
      <c r="KP19" s="700">
        <f>KO19/KM19</f>
        <v>0</v>
      </c>
      <c r="KQ19" s="593">
        <f>'Proy 2022 vs 2019 sem'!BD18*KT$4</f>
        <v>10620.754799999999</v>
      </c>
      <c r="KR19" s="593">
        <f>'Proy 2022 vs 2019 sem'!BE18*KT$4</f>
        <v>9452.471771999999</v>
      </c>
      <c r="KS19" s="699"/>
      <c r="KT19" s="700">
        <f>KS19/KQ19</f>
        <v>0</v>
      </c>
      <c r="KU19" s="593">
        <f>'Proy 2022 vs 2019 sem'!BD18*KX$4</f>
        <v>12390.8806</v>
      </c>
      <c r="KV19" s="593">
        <f>'Proy 2022 vs 2019 sem'!BE18*KX$4</f>
        <v>11027.883733999999</v>
      </c>
      <c r="KW19" s="699"/>
      <c r="KX19" s="700">
        <f>KW19/KU19</f>
        <v>0</v>
      </c>
      <c r="KY19" s="593">
        <f>'Proy 2022 vs 2019 sem'!BD18*LB$4</f>
        <v>14161.006399999998</v>
      </c>
      <c r="KZ19" s="593">
        <f>'Proy 2022 vs 2019 sem'!BE18*LB$4</f>
        <v>12603.295695999999</v>
      </c>
      <c r="LA19" s="699"/>
      <c r="LB19" s="700">
        <f>LA19/KY19</f>
        <v>0</v>
      </c>
      <c r="LC19" s="593">
        <f>'Proy 2022 vs 2019 sem'!BD18*LF$4</f>
        <v>19471.3838</v>
      </c>
      <c r="LD19" s="593">
        <f>'Proy 2022 vs 2019 sem'!BE18*LF$4</f>
        <v>17329.531581999996</v>
      </c>
      <c r="LE19" s="699"/>
      <c r="LF19" s="700">
        <f>LE19/LC19</f>
        <v>0</v>
      </c>
      <c r="LG19" s="579">
        <f>KE19+KI19+KM19+KQ19+KU19+KY19+LC19</f>
        <v>88506.29</v>
      </c>
      <c r="LH19" s="574">
        <f>KF19+KJ19+KN19+KR19+KV19+KZ19+LD19</f>
        <v>78770.598099999988</v>
      </c>
      <c r="LI19" s="730">
        <f>KG19+KK19+KO19+KS19+KW19+LA19+LE19</f>
        <v>0</v>
      </c>
      <c r="LJ19" s="711">
        <f>LI19/LG19</f>
        <v>0</v>
      </c>
      <c r="LK19" s="593">
        <f>'Proy 2022 vs 2019 sem'!BI18*LN$4</f>
        <v>10745.0988</v>
      </c>
      <c r="LL19" s="593">
        <f>'Proy 2022 vs 2019 sem'!BJ18*LN$4</f>
        <v>9563.1379320000015</v>
      </c>
      <c r="LM19" s="699"/>
      <c r="LN19" s="700">
        <f>LM19/LK19</f>
        <v>0</v>
      </c>
      <c r="LO19" s="593">
        <f>'Proy 2022 vs 2019 sem'!BI18*LR$4</f>
        <v>10745.0988</v>
      </c>
      <c r="LP19" s="593">
        <f>'Proy 2022 vs 2019 sem'!BJ18*LR$4</f>
        <v>9563.1379320000015</v>
      </c>
      <c r="LQ19" s="699"/>
      <c r="LR19" s="700">
        <f>LQ19/LO19</f>
        <v>0</v>
      </c>
      <c r="LS19" s="593">
        <f>'Proy 2022 vs 2019 sem'!BI18*LV$4</f>
        <v>10745.0988</v>
      </c>
      <c r="LT19" s="593">
        <f>'Proy 2022 vs 2019 sem'!BJ18*LV$4</f>
        <v>9563.1379320000015</v>
      </c>
      <c r="LU19" s="699"/>
      <c r="LV19" s="700">
        <f>LU19/LS19</f>
        <v>0</v>
      </c>
      <c r="LW19" s="593">
        <f>'Proy 2022 vs 2019 sem'!BI18*LZ$4</f>
        <v>10745.0988</v>
      </c>
      <c r="LX19" s="593">
        <f>'Proy 2022 vs 2019 sem'!BJ18*LZ$4</f>
        <v>9563.1379320000015</v>
      </c>
      <c r="LY19" s="699"/>
      <c r="LZ19" s="700">
        <f>LY19/LW19</f>
        <v>0</v>
      </c>
      <c r="MA19" s="593">
        <f>'Proy 2022 vs 2019 sem'!BI18*MD$4</f>
        <v>12535.948600000002</v>
      </c>
      <c r="MB19" s="593">
        <f>'Proy 2022 vs 2019 sem'!BJ18*MD$4</f>
        <v>11156.994254000003</v>
      </c>
      <c r="MC19" s="699"/>
      <c r="MD19" s="700">
        <f>MC19/MA19</f>
        <v>0</v>
      </c>
      <c r="ME19" s="593">
        <f>'Proy 2022 vs 2019 sem'!BI18*MH$4</f>
        <v>14326.798400000001</v>
      </c>
      <c r="MF19" s="593">
        <f>'Proy 2022 vs 2019 sem'!BJ18*MH$4</f>
        <v>12750.850576000003</v>
      </c>
      <c r="MG19" s="699"/>
      <c r="MH19" s="700">
        <f>MG19/ME19</f>
        <v>0</v>
      </c>
      <c r="MI19" s="593">
        <f>'Proy 2022 vs 2019 sem'!BI18*ML$4</f>
        <v>19699.3478</v>
      </c>
      <c r="MJ19" s="593">
        <f>'Proy 2022 vs 2019 sem'!BJ18*ML$4</f>
        <v>17532.419542000003</v>
      </c>
      <c r="MK19" s="699"/>
      <c r="ML19" s="700">
        <f>MK19/MI19</f>
        <v>0</v>
      </c>
      <c r="MM19" s="579">
        <f>LK19+LO19+LS19+LW19+MA19+ME19+MI19</f>
        <v>89542.49</v>
      </c>
      <c r="MN19" s="574">
        <f>LL19+LP19+LT19+LX19+MB19+MF19+MJ19</f>
        <v>79692.816100000025</v>
      </c>
      <c r="MO19" s="730">
        <f>LM19+LQ19+LU19+LY19+MC19+MG19+MK19</f>
        <v>0</v>
      </c>
      <c r="MP19" s="711">
        <f>MO19/MM19</f>
        <v>0</v>
      </c>
      <c r="MQ19" s="593">
        <f>'Proy 2022 vs 2019 sem'!BN18*MT$4</f>
        <v>9338.5979999999981</v>
      </c>
      <c r="MR19" s="593">
        <f>'Proy 2022 vs 2019 sem'!BO18*MT$4</f>
        <v>8124.5802599999997</v>
      </c>
      <c r="MS19" s="699"/>
      <c r="MT19" s="700">
        <f>MS19/MQ19</f>
        <v>0</v>
      </c>
      <c r="MU19" s="593">
        <f>'Proy 2022 vs 2019 sem'!BN18*MX$4</f>
        <v>9338.5979999999981</v>
      </c>
      <c r="MV19" s="593">
        <f>'Proy 2022 vs 2019 sem'!BO18*MX$4</f>
        <v>8124.5802599999997</v>
      </c>
      <c r="MW19" s="699"/>
      <c r="MX19" s="700">
        <f>MW19/MU19</f>
        <v>0</v>
      </c>
      <c r="MY19" s="593">
        <f>'Proy 2022 vs 2019 sem'!BN18*NB$4</f>
        <v>9338.5979999999981</v>
      </c>
      <c r="MZ19" s="593">
        <f>'Proy 2022 vs 2019 sem'!BO18*NB$4</f>
        <v>8124.5802599999997</v>
      </c>
      <c r="NA19" s="699"/>
      <c r="NB19" s="700">
        <f>NA19/MY19</f>
        <v>0</v>
      </c>
      <c r="NC19" s="593">
        <f>'Proy 2022 vs 2019 sem'!BN18*NF$4</f>
        <v>9338.5979999999981</v>
      </c>
      <c r="ND19" s="593">
        <f>'Proy 2022 vs 2019 sem'!BO18*NF$4</f>
        <v>8124.5802599999997</v>
      </c>
      <c r="NE19" s="699"/>
      <c r="NF19" s="700">
        <f>NE19/NC19</f>
        <v>0</v>
      </c>
      <c r="NG19" s="593">
        <f>'Proy 2022 vs 2019 sem'!BN18*NJ$4</f>
        <v>10895.031000000001</v>
      </c>
      <c r="NH19" s="593">
        <f>'Proy 2022 vs 2019 sem'!BO18*NJ$4</f>
        <v>9478.6769700000004</v>
      </c>
      <c r="NI19" s="699"/>
      <c r="NJ19" s="700">
        <f>NI19/NG19</f>
        <v>0</v>
      </c>
      <c r="NK19" s="593">
        <f>'Proy 2022 vs 2019 sem'!BN18*NN$4</f>
        <v>12451.464</v>
      </c>
      <c r="NL19" s="593">
        <f>'Proy 2022 vs 2019 sem'!BO18*NN$4</f>
        <v>10832.77368</v>
      </c>
      <c r="NM19" s="699"/>
      <c r="NN19" s="700">
        <f>NM19/NK19</f>
        <v>0</v>
      </c>
      <c r="NO19" s="593">
        <f>'Proy 2022 vs 2019 sem'!BN18*NR$4</f>
        <v>17120.762999999999</v>
      </c>
      <c r="NP19" s="593">
        <f>'Proy 2022 vs 2019 sem'!BO18*NR$4</f>
        <v>14895.06381</v>
      </c>
      <c r="NQ19" s="699"/>
      <c r="NR19" s="700">
        <f>NQ19/NO19</f>
        <v>0</v>
      </c>
      <c r="NS19" s="579">
        <f>MQ19+MU19+MY19+NC19+NG19+NK19+NO19</f>
        <v>77821.649999999994</v>
      </c>
      <c r="NT19" s="574">
        <f>MR19+MV19+MZ19+ND19+NH19+NL19+NP19</f>
        <v>67704.835499999986</v>
      </c>
      <c r="NU19" s="710">
        <f>MS19+MW19+NA19+NE19+NI19+NM19+NQ19</f>
        <v>0</v>
      </c>
      <c r="NV19" s="711">
        <f>NU19/NS19</f>
        <v>0</v>
      </c>
      <c r="NW19" s="593">
        <f>'Proy 2022 vs 2019 sem'!BS18*NZ$4</f>
        <v>10040.151599999999</v>
      </c>
      <c r="NX19" s="593">
        <f>'Proy 2022 vs 2019 sem'!BT18*NZ$4</f>
        <v>8935.7349240000003</v>
      </c>
      <c r="NY19" s="699"/>
      <c r="NZ19" s="700">
        <f>NY19/NW19</f>
        <v>0</v>
      </c>
      <c r="OA19" s="593">
        <f>'Proy 2022 vs 2019 sem'!BS18*OD$4</f>
        <v>10040.151599999999</v>
      </c>
      <c r="OB19" s="593">
        <f>'Proy 2022 vs 2019 sem'!BT18*OD$4</f>
        <v>8935.7349240000003</v>
      </c>
      <c r="OC19" s="699"/>
      <c r="OD19" s="700">
        <f>OC19/OA19</f>
        <v>0</v>
      </c>
      <c r="OE19" s="593">
        <f>'Proy 2022 vs 2019 sem'!BS18*OH$4</f>
        <v>10040.151599999999</v>
      </c>
      <c r="OF19" s="593">
        <f>'Proy 2022 vs 2019 sem'!BT18*OH$4</f>
        <v>8935.7349240000003</v>
      </c>
      <c r="OG19" s="699"/>
      <c r="OH19" s="700">
        <f>OG19/OE19</f>
        <v>0</v>
      </c>
      <c r="OI19" s="593">
        <f>'Proy 2022 vs 2019 sem'!BS18*OL$4</f>
        <v>10040.151599999999</v>
      </c>
      <c r="OJ19" s="593">
        <f>'Proy 2022 vs 2019 sem'!BT18*OL$4</f>
        <v>8935.7349240000003</v>
      </c>
      <c r="OK19" s="699"/>
      <c r="OL19" s="700">
        <f>OK19/OI19</f>
        <v>0</v>
      </c>
      <c r="OM19" s="593">
        <f>'Proy 2022 vs 2019 sem'!BS18*OP$4</f>
        <v>11713.510200000001</v>
      </c>
      <c r="ON19" s="593">
        <f>'Proy 2022 vs 2019 sem'!BT18*OP$4</f>
        <v>10425.024078</v>
      </c>
      <c r="OO19" s="699"/>
      <c r="OP19" s="700">
        <f>OO19/OM19</f>
        <v>0</v>
      </c>
      <c r="OQ19" s="593">
        <f>'Proy 2022 vs 2019 sem'!BS18*OT$4</f>
        <v>13386.868799999998</v>
      </c>
      <c r="OR19" s="593">
        <f>'Proy 2022 vs 2019 sem'!BT18*OT$4</f>
        <v>11914.313232</v>
      </c>
      <c r="OS19" s="699"/>
      <c r="OT19" s="700">
        <f>OS19/OQ19</f>
        <v>0</v>
      </c>
      <c r="OU19" s="593">
        <f>'Proy 2022 vs 2019 sem'!BS18*OX$4</f>
        <v>18406.944599999999</v>
      </c>
      <c r="OV19" s="593">
        <f>'Proy 2022 vs 2019 sem'!BT18*OX$4</f>
        <v>16382.180694000001</v>
      </c>
      <c r="OW19" s="699"/>
      <c r="OX19" s="700">
        <f>OW19/OU19</f>
        <v>0</v>
      </c>
      <c r="OY19" s="579">
        <f>NW19+OA19+OE19+OI19+OM19+OQ19+OU19</f>
        <v>83667.929999999993</v>
      </c>
      <c r="OZ19" s="574">
        <f>NX19+OB19+OF19+OJ19+ON19+OR19+OV19</f>
        <v>74464.457699999999</v>
      </c>
      <c r="PA19" s="710">
        <f>NY19+OC19+OG19+OK19+OO19+OS19+OW19</f>
        <v>0</v>
      </c>
      <c r="PB19" s="711">
        <f>PA19/OY19</f>
        <v>0</v>
      </c>
      <c r="PC19" s="593">
        <f>'Proy 2022 vs 2019 sem'!CB18*PF$4</f>
        <v>10783.010399999999</v>
      </c>
      <c r="PD19" s="593">
        <f>'Proy 2022 vs 2019 sem'!CC18*PF$4</f>
        <v>9596.8792559999983</v>
      </c>
      <c r="PE19" s="735"/>
      <c r="PF19" s="700">
        <f>PE19/PC19</f>
        <v>0</v>
      </c>
      <c r="PG19" s="593">
        <f>'Proy 2022 vs 2019 sem'!CB18*PJ$4</f>
        <v>10783.010399999999</v>
      </c>
      <c r="PH19" s="593">
        <f>'Proy 2022 vs 2019 sem'!CC18*PJ$4</f>
        <v>9596.8792559999983</v>
      </c>
      <c r="PI19" s="699"/>
      <c r="PJ19" s="700">
        <f>PI19/PG19</f>
        <v>0</v>
      </c>
      <c r="PK19" s="593">
        <f>'Proy 2022 vs 2019 sem'!CB18*PN$4</f>
        <v>10783.010399999999</v>
      </c>
      <c r="PL19" s="593">
        <f>'Proy 2022 vs 2019 sem'!CC18*PN$4</f>
        <v>9596.8792559999983</v>
      </c>
      <c r="PM19" s="699"/>
      <c r="PN19" s="700">
        <f>PM19/PK19</f>
        <v>0</v>
      </c>
      <c r="PO19" s="593">
        <f>'Proy 2022 vs 2019 sem'!CB18*PR$4</f>
        <v>10783.010399999999</v>
      </c>
      <c r="PP19" s="593">
        <f>'Proy 2022 vs 2019 sem'!CC18*PR$4</f>
        <v>9596.8792559999983</v>
      </c>
      <c r="PQ19" s="699"/>
      <c r="PR19" s="700">
        <f>PQ19/PO19</f>
        <v>0</v>
      </c>
      <c r="PS19" s="593">
        <f>'Proy 2022 vs 2019 sem'!CB18*PV$4</f>
        <v>12580.178800000002</v>
      </c>
      <c r="PT19" s="593">
        <f>'Proy 2022 vs 2019 sem'!CC18*PV$4</f>
        <v>11196.359132000001</v>
      </c>
      <c r="PU19" s="699"/>
      <c r="PV19" s="700">
        <f>PU19/PS19</f>
        <v>0</v>
      </c>
      <c r="PW19" s="593">
        <f>'Proy 2022 vs 2019 sem'!CB18*PZ$4</f>
        <v>14377.3472</v>
      </c>
      <c r="PX19" s="593">
        <f>'Proy 2022 vs 2019 sem'!CC18*PZ$4</f>
        <v>12795.839007999999</v>
      </c>
      <c r="PY19" s="699"/>
      <c r="PZ19" s="700">
        <f>PY19/PW19</f>
        <v>0</v>
      </c>
      <c r="QA19" s="593">
        <f>'Proy 2022 vs 2019 sem'!CB18*QD$4</f>
        <v>19768.8524</v>
      </c>
      <c r="QB19" s="593">
        <f>'Proy 2022 vs 2019 sem'!CC18*QD$4</f>
        <v>17594.278635999999</v>
      </c>
      <c r="QC19" s="699"/>
      <c r="QD19" s="700">
        <f>QC19/QA19</f>
        <v>0</v>
      </c>
      <c r="QE19" s="579">
        <f>PC19+PG19+PK19+PO19+PS19+PW19+QA19</f>
        <v>89858.42</v>
      </c>
      <c r="QF19" s="574">
        <f>PD19+PH19+PL19+PP19+PT19+PX19+QB19</f>
        <v>79973.993799999997</v>
      </c>
      <c r="QG19" s="793">
        <f>PE19+PI19+PM19+PQ19+PU19+PY19+QC19</f>
        <v>0</v>
      </c>
      <c r="QH19" s="786">
        <f>QG19/QE19</f>
        <v>0</v>
      </c>
      <c r="QI19" s="593">
        <f>'Proy 2022 vs 2019 sem'!CG18*QL$4</f>
        <v>11238.9144</v>
      </c>
      <c r="QJ19" s="593">
        <f>'Proy 2022 vs 2019 sem'!CH18*QL$4</f>
        <v>10002.633816</v>
      </c>
      <c r="QK19" s="699"/>
      <c r="QL19" s="700">
        <f>QK19/QI19</f>
        <v>0</v>
      </c>
      <c r="QM19" s="593">
        <f>'Proy 2022 vs 2019 sem'!CG18*QP$4</f>
        <v>11238.9144</v>
      </c>
      <c r="QN19" s="593">
        <f>'Proy 2022 vs 2019 sem'!CH18*QP$4</f>
        <v>10002.633816</v>
      </c>
      <c r="QO19" s="699"/>
      <c r="QP19" s="700">
        <f>QO19/QM19</f>
        <v>0</v>
      </c>
      <c r="QQ19" s="593">
        <f>'Proy 2022 vs 2019 sem'!CG18*QT$4</f>
        <v>11238.9144</v>
      </c>
      <c r="QR19" s="593">
        <f>'Proy 2022 vs 2019 sem'!CH18*QT$4</f>
        <v>10002.633816</v>
      </c>
      <c r="QS19" s="699"/>
      <c r="QT19" s="700">
        <f>QS19/QQ19</f>
        <v>0</v>
      </c>
      <c r="QU19" s="593">
        <f>'Proy 2022 vs 2019 sem'!CG18*QX$4</f>
        <v>11238.9144</v>
      </c>
      <c r="QV19" s="593">
        <f>'Proy 2022 vs 2019 sem'!CH18*QX$4</f>
        <v>10002.633816</v>
      </c>
      <c r="QW19" s="699"/>
      <c r="QX19" s="700">
        <f>QW19/QU19</f>
        <v>0</v>
      </c>
      <c r="QY19" s="593">
        <f>'Proy 2022 vs 2019 sem'!CG18*RB$4</f>
        <v>13112.066800000001</v>
      </c>
      <c r="QZ19" s="593">
        <f>'Proy 2022 vs 2019 sem'!CH18*RB$4</f>
        <v>11669.739452</v>
      </c>
      <c r="RA19" s="699"/>
      <c r="RB19" s="700">
        <f>RA19/QY19</f>
        <v>0</v>
      </c>
      <c r="RC19" s="593">
        <f>'Proy 2022 vs 2019 sem'!CG18*RF$4</f>
        <v>14985.2192</v>
      </c>
      <c r="RD19" s="593">
        <f>'Proy 2022 vs 2019 sem'!CH18*RF$4</f>
        <v>13336.845088</v>
      </c>
      <c r="RE19" s="699"/>
      <c r="RF19" s="700">
        <f>RE19/RC19</f>
        <v>0</v>
      </c>
      <c r="RG19" s="593">
        <f>'Proy 2022 vs 2019 sem'!CG18*RJ$4</f>
        <v>20604.6764</v>
      </c>
      <c r="RH19" s="593">
        <f>'Proy 2022 vs 2019 sem'!CH18*RJ$4</f>
        <v>18338.161995999999</v>
      </c>
      <c r="RI19" s="699"/>
      <c r="RJ19" s="700">
        <f>RI19/RG19</f>
        <v>0</v>
      </c>
      <c r="RK19" s="579">
        <f>QI19+QM19+QQ19+QU19+QY19+RC19+RG19</f>
        <v>93657.62</v>
      </c>
      <c r="RL19" s="574">
        <f>QJ19+QN19+QR19+QV19+QZ19+RD19+RH19</f>
        <v>83355.281799999997</v>
      </c>
      <c r="RM19" s="794">
        <f>QK19+QO19+QS19+QW19+RA19+RE19+RI19</f>
        <v>0</v>
      </c>
      <c r="RN19" s="786">
        <f>RM19/RK19</f>
        <v>0</v>
      </c>
      <c r="RO19" s="593">
        <f>'Proy 2022 vs 2019 sem'!CL18*RR$4</f>
        <v>12128.7996</v>
      </c>
      <c r="RP19" s="593">
        <f>'Proy 2022 vs 2019 sem'!CM18*RR$4</f>
        <v>10794.631643999999</v>
      </c>
      <c r="RQ19" s="699"/>
      <c r="RR19" s="700">
        <f>RQ19/RO19</f>
        <v>0</v>
      </c>
      <c r="RS19" s="593">
        <f>'Proy 2022 vs 2019 sem'!CL18*RV$4</f>
        <v>12128.7996</v>
      </c>
      <c r="RT19" s="593">
        <f>'Proy 2022 vs 2019 sem'!CM18*RV$4</f>
        <v>10794.631643999999</v>
      </c>
      <c r="RU19" s="699"/>
      <c r="RV19" s="700">
        <f>RU19/RS19</f>
        <v>0</v>
      </c>
      <c r="RW19" s="593">
        <f>'Proy 2022 vs 2019 sem'!CL18*RZ$4</f>
        <v>12128.7996</v>
      </c>
      <c r="RX19" s="593">
        <f>'Proy 2022 vs 2019 sem'!CM18*RZ$4</f>
        <v>10794.631643999999</v>
      </c>
      <c r="RY19" s="699"/>
      <c r="RZ19" s="700">
        <f>RY19/RW19</f>
        <v>0</v>
      </c>
      <c r="SA19" s="593">
        <f>'Proy 2022 vs 2019 sem'!CL18*SD$4</f>
        <v>12128.7996</v>
      </c>
      <c r="SB19" s="593">
        <f>'Proy 2022 vs 2019 sem'!CM18*SD$4</f>
        <v>10794.631643999999</v>
      </c>
      <c r="SC19" s="699"/>
      <c r="SD19" s="700">
        <f>SC19/SA19</f>
        <v>0</v>
      </c>
      <c r="SE19" s="593">
        <f>'Proy 2022 vs 2019 sem'!CL18*SH$4</f>
        <v>14150.266200000002</v>
      </c>
      <c r="SF19" s="593">
        <f>'Proy 2022 vs 2019 sem'!CM18*SH$4</f>
        <v>12593.736918000001</v>
      </c>
      <c r="SG19" s="699"/>
      <c r="SH19" s="700">
        <f>SG19/SE19</f>
        <v>0</v>
      </c>
      <c r="SI19" s="593">
        <f>'Proy 2022 vs 2019 sem'!CL18*SL$4</f>
        <v>16171.7328</v>
      </c>
      <c r="SJ19" s="593">
        <f>'Proy 2022 vs 2019 sem'!CM18*SL$4</f>
        <v>14392.842192</v>
      </c>
      <c r="SK19" s="699"/>
      <c r="SL19" s="700">
        <f>SK19/SI19</f>
        <v>0</v>
      </c>
      <c r="SM19" s="593">
        <f>'Proy 2022 vs 2019 sem'!CL18*SP$4</f>
        <v>22236.132600000001</v>
      </c>
      <c r="SN19" s="593">
        <f>'Proy 2022 vs 2019 sem'!CM18*SP$4</f>
        <v>19790.158014000001</v>
      </c>
      <c r="SO19" s="699"/>
      <c r="SP19" s="700">
        <f>SO19/SM19</f>
        <v>0</v>
      </c>
      <c r="SQ19" s="579">
        <f>RO19+RS19+RW19+SA19+SE19+SI19+SM19</f>
        <v>101073.33</v>
      </c>
      <c r="SR19" s="574">
        <f>RP19+RT19+RX19+SB19+SF19+SJ19+SN19</f>
        <v>89955.263699999996</v>
      </c>
      <c r="SS19" s="794">
        <f>RQ19+RU19+RY19+SC19+SG19+SK19+SO19</f>
        <v>0</v>
      </c>
      <c r="ST19" s="786">
        <f>SS19/SQ19</f>
        <v>0</v>
      </c>
      <c r="SU19" s="593">
        <f>'Proy 2022 vs 2019 sem'!CQ18*SX$4</f>
        <v>14919.940799999998</v>
      </c>
      <c r="SV19" s="593">
        <f>'Proy 2022 vs 2019 sem'!CR18*SX$4</f>
        <v>13427.94672</v>
      </c>
      <c r="SW19" s="699"/>
      <c r="SX19" s="700">
        <f>SW19/SU19</f>
        <v>0</v>
      </c>
      <c r="SY19" s="593">
        <f>'Proy 2022 vs 2019 sem'!CQ18*TB$4</f>
        <v>14919.940799999998</v>
      </c>
      <c r="SZ19" s="593">
        <f>'Proy 2022 vs 2019 sem'!CR18*TB$4</f>
        <v>13427.94672</v>
      </c>
      <c r="TA19" s="699"/>
      <c r="TB19" s="700">
        <f>TA19/SY19</f>
        <v>0</v>
      </c>
      <c r="TC19" s="593">
        <f>'Proy 2022 vs 2019 sem'!CQ18*TF$4</f>
        <v>14919.940799999998</v>
      </c>
      <c r="TD19" s="593">
        <f>'Proy 2022 vs 2019 sem'!CR18*TF$4</f>
        <v>13427.94672</v>
      </c>
      <c r="TE19" s="699"/>
      <c r="TF19" s="700">
        <f>TE19/TC19</f>
        <v>0</v>
      </c>
      <c r="TG19" s="593">
        <f>'Proy 2022 vs 2019 sem'!CQ18*TJ$4</f>
        <v>14919.940799999998</v>
      </c>
      <c r="TH19" s="593">
        <f>'Proy 2022 vs 2019 sem'!CR18*TJ$4</f>
        <v>13427.94672</v>
      </c>
      <c r="TI19" s="699"/>
      <c r="TJ19" s="700">
        <f>TI19/TG19</f>
        <v>0</v>
      </c>
      <c r="TK19" s="593">
        <f>'Proy 2022 vs 2019 sem'!CQ18*TN$4</f>
        <v>17406.597600000001</v>
      </c>
      <c r="TL19" s="593">
        <f>'Proy 2022 vs 2019 sem'!CR18*TN$4</f>
        <v>15665.937840000001</v>
      </c>
      <c r="TM19" s="699"/>
      <c r="TN19" s="700">
        <f>TM19/TK19</f>
        <v>0</v>
      </c>
      <c r="TO19" s="593">
        <f>'Proy 2022 vs 2019 sem'!CQ18*TR$4</f>
        <v>19893.254400000002</v>
      </c>
      <c r="TP19" s="593">
        <f>'Proy 2022 vs 2019 sem'!CR18*TR$4</f>
        <v>17903.928960000001</v>
      </c>
      <c r="TQ19" s="699"/>
      <c r="TR19" s="700">
        <f>TQ19/TO19</f>
        <v>0</v>
      </c>
      <c r="TS19" s="593">
        <f>'Proy 2022 vs 2019 sem'!CQ18*TV$4</f>
        <v>27353.2248</v>
      </c>
      <c r="TT19" s="593">
        <f>'Proy 2022 vs 2019 sem'!CR18*TV$4</f>
        <v>24617.902320000001</v>
      </c>
      <c r="TU19" s="699"/>
      <c r="TV19" s="700">
        <f>TU19/TS19</f>
        <v>0</v>
      </c>
      <c r="TW19" s="579">
        <f>SU19+SY19+TC19+TG19+TK19+TO19+TS19</f>
        <v>124332.84</v>
      </c>
      <c r="TX19" s="574">
        <f>SV19+SZ19+TD19+TH19+TL19+TP19+TT19</f>
        <v>111899.55600000001</v>
      </c>
      <c r="TY19" s="785">
        <f>SW19+TA19+TE19+TI19+TM19+TQ19+TU19</f>
        <v>0</v>
      </c>
      <c r="TZ19" s="786">
        <f>TY19/TW19</f>
        <v>0</v>
      </c>
      <c r="UA19" s="593">
        <f>'Proy 2022 vs 2019 sem'!CZ18*UD$4</f>
        <v>15647.9256</v>
      </c>
      <c r="UB19" s="593">
        <f>'Proy 2022 vs 2019 sem'!DA18*UD$4</f>
        <v>13926.653784</v>
      </c>
      <c r="UC19" s="735"/>
      <c r="UD19" s="700">
        <f>UC19/UA19</f>
        <v>0</v>
      </c>
      <c r="UE19" s="593">
        <f>'Proy 2022 vs 2019 sem'!CZ18*UH$4</f>
        <v>15647.9256</v>
      </c>
      <c r="UF19" s="593">
        <f>'Proy 2022 vs 2019 sem'!DA18*UH$4</f>
        <v>13926.653784</v>
      </c>
      <c r="UG19" s="699"/>
      <c r="UH19" s="700">
        <f>UG19/UE19</f>
        <v>0</v>
      </c>
      <c r="UI19" s="593">
        <f>'Proy 2022 vs 2019 sem'!CZ18*UL$4</f>
        <v>15647.9256</v>
      </c>
      <c r="UJ19" s="593">
        <f>'Proy 2022 vs 2019 sem'!DA18*UL$4</f>
        <v>13926.653784</v>
      </c>
      <c r="UK19" s="699"/>
      <c r="UL19" s="700">
        <f>UK19/UI19</f>
        <v>0</v>
      </c>
      <c r="UM19" s="593">
        <f>'Proy 2022 vs 2019 sem'!CZ18*UP$4</f>
        <v>15647.9256</v>
      </c>
      <c r="UN19" s="593">
        <f>'Proy 2022 vs 2019 sem'!DA18*UP$4</f>
        <v>13926.653784</v>
      </c>
      <c r="UO19" s="699"/>
      <c r="UP19" s="700">
        <f>UO19/UM19</f>
        <v>0</v>
      </c>
      <c r="UQ19" s="593">
        <f>'Proy 2022 vs 2019 sem'!CZ18*UT$4</f>
        <v>18255.913200000003</v>
      </c>
      <c r="UR19" s="593">
        <f>'Proy 2022 vs 2019 sem'!DA18*UT$4</f>
        <v>16247.762748000001</v>
      </c>
      <c r="US19" s="699"/>
      <c r="UT19" s="700">
        <f>US19/UQ19</f>
        <v>0</v>
      </c>
      <c r="UU19" s="593">
        <f>'Proy 2022 vs 2019 sem'!CZ18*UX$4</f>
        <v>20863.900799999999</v>
      </c>
      <c r="UV19" s="593">
        <f>'Proy 2022 vs 2019 sem'!DA18*UX$4</f>
        <v>18568.871712</v>
      </c>
      <c r="UW19" s="699"/>
      <c r="UX19" s="700">
        <f>UW19/UU19</f>
        <v>0</v>
      </c>
      <c r="UY19" s="593">
        <f>'Proy 2022 vs 2019 sem'!CZ18*VB$4</f>
        <v>28687.863600000001</v>
      </c>
      <c r="UZ19" s="593">
        <f>'Proy 2022 vs 2019 sem'!DA18*VB$4</f>
        <v>25532.198604000001</v>
      </c>
      <c r="VA19" s="699"/>
      <c r="VB19" s="700">
        <f>VA19/UY19</f>
        <v>0</v>
      </c>
      <c r="VC19" s="579">
        <f>UA19+UE19+UI19+UM19+UQ19+UU19+UY19</f>
        <v>130399.38</v>
      </c>
      <c r="VD19" s="574">
        <f>UB19+UF19+UJ19+UN19+UR19+UV19+UZ19</f>
        <v>116055.44820000001</v>
      </c>
      <c r="VE19" s="759">
        <f>UC19+UG19+UK19+UO19+US19+UW19+VA19</f>
        <v>0</v>
      </c>
      <c r="VF19" s="761">
        <f>VE19/VC19</f>
        <v>0</v>
      </c>
      <c r="VG19" s="593">
        <f>'Proy 2022 vs 2019 sem'!DE18*VJ$4</f>
        <v>13367.115599999999</v>
      </c>
      <c r="VH19" s="593">
        <f>'Proy 2022 vs 2019 sem'!DF18*VJ$4</f>
        <v>11896.732884000001</v>
      </c>
      <c r="VI19" s="699"/>
      <c r="VJ19" s="700">
        <f>VI19/VG19</f>
        <v>0</v>
      </c>
      <c r="VK19" s="593">
        <f>'Proy 2022 vs 2019 sem'!DE18*VN$4</f>
        <v>13367.115599999999</v>
      </c>
      <c r="VL19" s="593">
        <f>'Proy 2022 vs 2019 sem'!DF18*VN$4</f>
        <v>11896.732884000001</v>
      </c>
      <c r="VM19" s="699"/>
      <c r="VN19" s="700">
        <f>VM19/VK19</f>
        <v>0</v>
      </c>
      <c r="VO19" s="593">
        <f>'Proy 2022 vs 2019 sem'!DE18*VR$4</f>
        <v>13367.115599999999</v>
      </c>
      <c r="VP19" s="593">
        <f>'Proy 2022 vs 2019 sem'!DF18*VR$4</f>
        <v>11896.732884000001</v>
      </c>
      <c r="VQ19" s="699"/>
      <c r="VR19" s="700">
        <f>VQ19/VO19</f>
        <v>0</v>
      </c>
      <c r="VS19" s="593">
        <f>'Proy 2022 vs 2019 sem'!DE18*VV$4</f>
        <v>13367.115599999999</v>
      </c>
      <c r="VT19" s="593">
        <f>'Proy 2022 vs 2019 sem'!DF18*VV$4</f>
        <v>11896.732884000001</v>
      </c>
      <c r="VU19" s="699"/>
      <c r="VV19" s="700">
        <f>VU19/VS19</f>
        <v>0</v>
      </c>
      <c r="VW19" s="593">
        <f>'Proy 2022 vs 2019 sem'!DE18*VZ$4</f>
        <v>15594.968200000003</v>
      </c>
      <c r="VX19" s="593">
        <f>'Proy 2022 vs 2019 sem'!DF18*VZ$4</f>
        <v>13879.521698000002</v>
      </c>
      <c r="VY19" s="699"/>
      <c r="VZ19" s="700">
        <f>VY19/VW19</f>
        <v>0</v>
      </c>
      <c r="WA19" s="593">
        <f>'Proy 2022 vs 2019 sem'!DE18*WD$4</f>
        <v>17822.820800000001</v>
      </c>
      <c r="WB19" s="593">
        <f>'Proy 2022 vs 2019 sem'!DF18*WD$4</f>
        <v>15862.310512000002</v>
      </c>
      <c r="WC19" s="699"/>
      <c r="WD19" s="700">
        <f>WC19/WA19</f>
        <v>0</v>
      </c>
      <c r="WE19" s="593">
        <f>'Proy 2022 vs 2019 sem'!DE18*WH$4</f>
        <v>24506.3786</v>
      </c>
      <c r="WF19" s="593">
        <f>'Proy 2022 vs 2019 sem'!DF18*WH$4</f>
        <v>21810.676954000002</v>
      </c>
      <c r="WG19" s="699"/>
      <c r="WH19" s="700">
        <f>WG19/WE19</f>
        <v>0</v>
      </c>
      <c r="WI19" s="579">
        <f>VG19+VK19+VO19+VS19+VW19+WA19+WE19</f>
        <v>111392.62999999999</v>
      </c>
      <c r="WJ19" s="574">
        <f>VH19+VL19+VP19+VT19+VX19+WB19+WF19</f>
        <v>99139.440700000006</v>
      </c>
      <c r="WK19" s="765">
        <f>VI19+VM19+VQ19+VU19+VY19+WC19+WG19</f>
        <v>0</v>
      </c>
      <c r="WL19" s="761">
        <f>WK19/WI19</f>
        <v>0</v>
      </c>
      <c r="WM19" s="593">
        <f>'Proy 2022 vs 2019 sem'!DJ18*WP$4</f>
        <v>10995.5856</v>
      </c>
      <c r="WN19" s="593">
        <f>'Proy 2022 vs 2019 sem'!DK18*WP$4</f>
        <v>9786.0711840000004</v>
      </c>
      <c r="WO19" s="699"/>
      <c r="WP19" s="700">
        <f>WO19/WM19</f>
        <v>0</v>
      </c>
      <c r="WQ19" s="593">
        <f>'Proy 2022 vs 2019 sem'!DJ18*WT$4</f>
        <v>10995.5856</v>
      </c>
      <c r="WR19" s="593">
        <f>'Proy 2022 vs 2019 sem'!DK18*WT$4</f>
        <v>9786.0711840000004</v>
      </c>
      <c r="WS19" s="699"/>
      <c r="WT19" s="700">
        <f>WS19/WQ19</f>
        <v>0</v>
      </c>
      <c r="WU19" s="593">
        <f>'Proy 2022 vs 2019 sem'!DJ18*WX$4</f>
        <v>10995.5856</v>
      </c>
      <c r="WV19" s="593">
        <f>'Proy 2022 vs 2019 sem'!DK18*WX$4</f>
        <v>9786.0711840000004</v>
      </c>
      <c r="WW19" s="699"/>
      <c r="WX19" s="700">
        <f>WW19/WU19</f>
        <v>0</v>
      </c>
      <c r="WY19" s="593">
        <f>'Proy 2022 vs 2019 sem'!DJ18*XB$4</f>
        <v>10995.5856</v>
      </c>
      <c r="WZ19" s="593">
        <f>'Proy 2022 vs 2019 sem'!DK18*XB$4</f>
        <v>9786.0711840000004</v>
      </c>
      <c r="XA19" s="699"/>
      <c r="XB19" s="700">
        <f>XA19/WY19</f>
        <v>0</v>
      </c>
      <c r="XC19" s="593">
        <f>'Proy 2022 vs 2019 sem'!DJ18*XF$4</f>
        <v>12828.183200000001</v>
      </c>
      <c r="XD19" s="593">
        <f>'Proy 2022 vs 2019 sem'!DK18*XF$4</f>
        <v>11417.083048000002</v>
      </c>
      <c r="XE19" s="699"/>
      <c r="XF19" s="700">
        <f>XE19/XC19</f>
        <v>0</v>
      </c>
      <c r="XG19" s="593">
        <f>'Proy 2022 vs 2019 sem'!DJ18*XJ$4</f>
        <v>14660.7808</v>
      </c>
      <c r="XH19" s="593">
        <f>'Proy 2022 vs 2019 sem'!DK18*XJ$4</f>
        <v>13048.094912</v>
      </c>
      <c r="XI19" s="699"/>
      <c r="XJ19" s="700">
        <f>XI19/XG19</f>
        <v>0</v>
      </c>
      <c r="XK19" s="593">
        <f>'Proy 2022 vs 2019 sem'!DJ18*XN$4</f>
        <v>20158.5736</v>
      </c>
      <c r="XL19" s="593">
        <f>'Proy 2022 vs 2019 sem'!DK18*XN$4</f>
        <v>17941.130504000001</v>
      </c>
      <c r="XM19" s="699"/>
      <c r="XN19" s="700">
        <f>XM19/XK19</f>
        <v>0</v>
      </c>
      <c r="XO19" s="579">
        <f>WM19+WQ19+WU19+WY19+XC19+XG19+XK19</f>
        <v>91629.88</v>
      </c>
      <c r="XP19" s="574">
        <f>WN19+WR19+WV19+WZ19+XD19+XH19+XL19</f>
        <v>81550.593200000003</v>
      </c>
      <c r="XQ19" s="765">
        <f>WO19+WS19+WW19+XA19+XE19+XI19+XM19</f>
        <v>0</v>
      </c>
      <c r="XR19" s="761">
        <f>XQ19/XO19</f>
        <v>0</v>
      </c>
      <c r="XS19" s="593">
        <f>'Proy 2022 vs 2019 sem'!DO18*XV$4</f>
        <v>12318.4056</v>
      </c>
      <c r="XT19" s="593">
        <f>'Proy 2022 vs 2019 sem'!DP18*XV$4</f>
        <v>10963.380984000001</v>
      </c>
      <c r="XU19" s="699"/>
      <c r="XV19" s="700">
        <f>XU19/XS19</f>
        <v>0</v>
      </c>
      <c r="XW19" s="593">
        <f>'Proy 2022 vs 2019 sem'!DO18*XZ$4</f>
        <v>12318.4056</v>
      </c>
      <c r="XX19" s="593">
        <f>'Proy 2022 vs 2019 sem'!DP18*XZ$4</f>
        <v>10963.380984000001</v>
      </c>
      <c r="XY19" s="699"/>
      <c r="XZ19" s="700">
        <f>XY19/XW19</f>
        <v>0</v>
      </c>
      <c r="YA19" s="593">
        <f>'Proy 2022 vs 2019 sem'!DO18*YD$4</f>
        <v>12318.4056</v>
      </c>
      <c r="YB19" s="593">
        <f>'Proy 2022 vs 2019 sem'!DP18*YD$4</f>
        <v>10963.380984000001</v>
      </c>
      <c r="YC19" s="699"/>
      <c r="YD19" s="700">
        <f>YC19/YA19</f>
        <v>0</v>
      </c>
      <c r="YE19" s="593">
        <f>'Proy 2022 vs 2019 sem'!DO18*YH$4</f>
        <v>12318.4056</v>
      </c>
      <c r="YF19" s="593">
        <f>'Proy 2022 vs 2019 sem'!DP18*YH$4</f>
        <v>10963.380984000001</v>
      </c>
      <c r="YG19" s="699"/>
      <c r="YH19" s="700">
        <f>YG19/YE19</f>
        <v>0</v>
      </c>
      <c r="YI19" s="593">
        <f>'Proy 2022 vs 2019 sem'!DO18*YL$4</f>
        <v>14371.473200000002</v>
      </c>
      <c r="YJ19" s="593">
        <f>'Proy 2022 vs 2019 sem'!DP18*YL$4</f>
        <v>12790.611148000004</v>
      </c>
      <c r="YK19" s="699"/>
      <c r="YL19" s="700">
        <f>YK19/YI19</f>
        <v>0</v>
      </c>
      <c r="YM19" s="593">
        <f>'Proy 2022 vs 2019 sem'!DO18*YP$4</f>
        <v>16424.540800000002</v>
      </c>
      <c r="YN19" s="593">
        <f>'Proy 2022 vs 2019 sem'!DP18*YP$4</f>
        <v>14617.841312000002</v>
      </c>
      <c r="YO19" s="699"/>
      <c r="YP19" s="700">
        <f>YO19/YM19</f>
        <v>0</v>
      </c>
      <c r="YQ19" s="593">
        <f>'Proy 2022 vs 2019 sem'!DO18*YT$4</f>
        <v>22583.743600000002</v>
      </c>
      <c r="YR19" s="593">
        <f>'Proy 2022 vs 2019 sem'!DP18*YT$4</f>
        <v>20099.531804000002</v>
      </c>
      <c r="YS19" s="699"/>
      <c r="YT19" s="700">
        <f>YS19/YQ19</f>
        <v>0</v>
      </c>
      <c r="YU19" s="579">
        <f>XS19+XW19+YA19+YE19+YI19+YM19+YQ19</f>
        <v>102653.38</v>
      </c>
      <c r="YV19" s="574">
        <f>XT19+XX19+YB19+YF19+YJ19+YN19+YR19</f>
        <v>91361.508200000011</v>
      </c>
      <c r="YW19" s="770">
        <f>XU19+XY19+YC19+YG19+YK19+YO19+YS19</f>
        <v>0</v>
      </c>
      <c r="YX19" s="761">
        <f>YW19/YU19</f>
        <v>0</v>
      </c>
      <c r="YY19" s="931">
        <f>'Proy 2022 vs 2019 sem'!DX18*ZB$4</f>
        <v>11121.256799999999</v>
      </c>
      <c r="YZ19" s="931">
        <f>'Proy 2022 vs 2019 sem'!DY18*ZB$4</f>
        <v>9897.9185519999992</v>
      </c>
      <c r="ZA19" s="735"/>
      <c r="ZB19" s="700">
        <f>ZA19/YY19</f>
        <v>0</v>
      </c>
      <c r="ZC19" s="593">
        <f>'Proy 2022 vs 2019 sem'!DX18*ZF$4</f>
        <v>11121.256799999999</v>
      </c>
      <c r="ZD19" s="593">
        <f>'Proy 2022 vs 2019 sem'!DY18*ZF$4</f>
        <v>9897.9185519999992</v>
      </c>
      <c r="ZE19" s="735"/>
      <c r="ZF19" s="700">
        <f>ZE19/ZC19</f>
        <v>0</v>
      </c>
      <c r="ZG19" s="593">
        <f>'Proy 2022 vs 2019 sem'!DX18*ZJ$4</f>
        <v>11121.256799999999</v>
      </c>
      <c r="ZH19" s="593">
        <f>'Proy 2022 vs 2019 sem'!DY18*ZJ$4</f>
        <v>9897.9185519999992</v>
      </c>
      <c r="ZI19" s="735"/>
      <c r="ZJ19" s="700">
        <f>ZI19/ZG19</f>
        <v>0</v>
      </c>
      <c r="ZK19" s="593">
        <f>'Proy 2022 vs 2019 sem'!DX18*ZN$4</f>
        <v>11121.256799999999</v>
      </c>
      <c r="ZL19" s="593">
        <f>'Proy 2022 vs 2019 sem'!DY18*ZN$4</f>
        <v>9897.9185519999992</v>
      </c>
      <c r="ZM19" s="735"/>
      <c r="ZN19" s="700">
        <f>ZM19/ZK19</f>
        <v>0</v>
      </c>
      <c r="ZO19" s="593">
        <f>'Proy 2022 vs 2019 sem'!DX18*ZR$4</f>
        <v>12974.7996</v>
      </c>
      <c r="ZP19" s="593">
        <f>'Proy 2022 vs 2019 sem'!DY18*ZR$4</f>
        <v>11547.571644</v>
      </c>
      <c r="ZQ19" s="735"/>
      <c r="ZR19" s="700">
        <f>ZQ19/ZO19</f>
        <v>0</v>
      </c>
      <c r="ZS19" s="593">
        <f>'Proy 2022 vs 2019 sem'!DX18*ZV$4</f>
        <v>14828.3424</v>
      </c>
      <c r="ZT19" s="593">
        <f>'Proy 2022 vs 2019 sem'!DY18*ZV$4</f>
        <v>13197.224736</v>
      </c>
      <c r="ZU19" s="735"/>
      <c r="ZV19" s="700">
        <f>ZU19/ZS19</f>
        <v>0</v>
      </c>
      <c r="ZW19" s="593">
        <f>'Proy 2022 vs 2019 sem'!DX18*ZZ$4</f>
        <v>20388.970799999999</v>
      </c>
      <c r="ZX19" s="593">
        <f>'Proy 2022 vs 2019 sem'!DY18*ZZ$4</f>
        <v>18146.184011999998</v>
      </c>
      <c r="ZY19" s="735"/>
      <c r="ZZ19" s="700">
        <f>ZY19/ZW19</f>
        <v>0</v>
      </c>
      <c r="AAA19" s="579">
        <f>YY19+ZC19+ZG19+ZK19+ZO19+ZS19+ZW19</f>
        <v>92677.139999999985</v>
      </c>
      <c r="AAB19" s="574">
        <f>YZ19+ZD19+ZH19+ZL19+ZP19+ZT19+ZX19</f>
        <v>82482.654599999994</v>
      </c>
      <c r="AAC19" s="729">
        <f>ZA19+ZE19+ZI19+ZM19+ZQ19+ZU19+ZY19</f>
        <v>0</v>
      </c>
      <c r="AAD19" s="711">
        <f>AAC19/AAA19</f>
        <v>0</v>
      </c>
      <c r="AAE19" s="593">
        <f>'Proy 2022 vs 2019 sem'!EC18*AAH$4</f>
        <v>12887.020799999998</v>
      </c>
      <c r="AAF19" s="593">
        <f>'Proy 2022 vs 2019 sem'!ED18*AAH$4</f>
        <v>11211.708096</v>
      </c>
      <c r="AAG19" s="699"/>
      <c r="AAH19" s="700">
        <f>AAG19/AAE19</f>
        <v>0</v>
      </c>
      <c r="AAI19" s="593">
        <f>'Proy 2022 vs 2019 sem'!EC18*AAL$4</f>
        <v>12887.020799999998</v>
      </c>
      <c r="AAJ19" s="593">
        <f>'Proy 2022 vs 2019 sem'!ED18*AAL$4</f>
        <v>11211.708096</v>
      </c>
      <c r="AAK19" s="699"/>
      <c r="AAL19" s="700">
        <f>AAK19/AAI19</f>
        <v>0</v>
      </c>
      <c r="AAM19" s="593">
        <f>'Proy 2022 vs 2019 sem'!EC18*AAP$4</f>
        <v>12887.020799999998</v>
      </c>
      <c r="AAN19" s="593">
        <f>'Proy 2022 vs 2019 sem'!ED18*AAP$4</f>
        <v>11211.708096</v>
      </c>
      <c r="AAO19" s="699"/>
      <c r="AAP19" s="700">
        <f>AAO19/AAM19</f>
        <v>0</v>
      </c>
      <c r="AAQ19" s="593">
        <f>'Proy 2022 vs 2019 sem'!EC18*AAT$4</f>
        <v>12887.020799999998</v>
      </c>
      <c r="AAR19" s="593">
        <f>'Proy 2022 vs 2019 sem'!ED18*AAT$4</f>
        <v>11211.708096</v>
      </c>
      <c r="AAS19" s="699"/>
      <c r="AAT19" s="700">
        <f>AAS19/AAQ19</f>
        <v>0</v>
      </c>
      <c r="AAU19" s="593">
        <f>'Proy 2022 vs 2019 sem'!EC18*AAX$4</f>
        <v>15034.857600000001</v>
      </c>
      <c r="AAV19" s="593">
        <f>'Proy 2022 vs 2019 sem'!ED18*AAX$4</f>
        <v>13080.326112000002</v>
      </c>
      <c r="AAW19" s="699"/>
      <c r="AAX19" s="700">
        <f>AAW19/AAU19</f>
        <v>0</v>
      </c>
      <c r="AAY19" s="593">
        <f>'Proy 2022 vs 2019 sem'!EC18*ABB$4</f>
        <v>17182.6944</v>
      </c>
      <c r="AAZ19" s="593">
        <f>'Proy 2022 vs 2019 sem'!ED18*ABB$4</f>
        <v>14948.944128000001</v>
      </c>
      <c r="ABA19" s="699"/>
      <c r="ABB19" s="700">
        <f>ABA19/AAY19</f>
        <v>0</v>
      </c>
      <c r="ABC19" s="593">
        <f>'Proy 2022 vs 2019 sem'!EC18*ABF$4</f>
        <v>23626.2048</v>
      </c>
      <c r="ABD19" s="593">
        <f>'Proy 2022 vs 2019 sem'!ED18*ABF$4</f>
        <v>20554.798176</v>
      </c>
      <c r="ABE19" s="699"/>
      <c r="ABF19" s="700">
        <f>ABE19/ABC19</f>
        <v>0</v>
      </c>
      <c r="ABG19" s="579">
        <f>AAE19+AAI19+AAM19+AAQ19+AAU19+AAY19+ABC19</f>
        <v>107391.84</v>
      </c>
      <c r="ABH19" s="574">
        <f>AAF19+AAJ19+AAN19+AAR19+AAV19+AAZ19+ABD19</f>
        <v>93430.900800000003</v>
      </c>
      <c r="ABI19" s="730">
        <f>AAG19+AAK19+AAO19+AAS19+AAW19+ABA19+ABE19</f>
        <v>0</v>
      </c>
      <c r="ABJ19" s="711">
        <f>ABI19/ABG19</f>
        <v>0</v>
      </c>
      <c r="ABK19" s="593">
        <f>'Proy 2022 vs 2019 sem'!EH18*ABN$4</f>
        <v>12300.9756</v>
      </c>
      <c r="ABL19" s="593">
        <f>'Proy 2022 vs 2019 sem'!EI18*ABN$4</f>
        <v>10947.868284</v>
      </c>
      <c r="ABM19" s="699"/>
      <c r="ABN19" s="700">
        <f>ABM19/ABK19</f>
        <v>0</v>
      </c>
      <c r="ABO19" s="593">
        <f>'Proy 2022 vs 2019 sem'!EH18*ABR$4</f>
        <v>12300.9756</v>
      </c>
      <c r="ABP19" s="593">
        <f>'Proy 2022 vs 2019 sem'!EI18*ABR$4</f>
        <v>10947.868284</v>
      </c>
      <c r="ABQ19" s="699"/>
      <c r="ABR19" s="700">
        <f>ABQ19/ABO19</f>
        <v>0</v>
      </c>
      <c r="ABS19" s="593">
        <f>'Proy 2022 vs 2019 sem'!EH18*ABV$4</f>
        <v>12300.9756</v>
      </c>
      <c r="ABT19" s="593">
        <f>'Proy 2022 vs 2019 sem'!EI18*ABV$4</f>
        <v>10947.868284</v>
      </c>
      <c r="ABU19" s="699"/>
      <c r="ABV19" s="700">
        <f>ABU19/ABS19</f>
        <v>0</v>
      </c>
      <c r="ABW19" s="593">
        <f>'Proy 2022 vs 2019 sem'!EH18*ABZ$4</f>
        <v>12300.9756</v>
      </c>
      <c r="ABX19" s="593">
        <f>'Proy 2022 vs 2019 sem'!EI18*ABZ$4</f>
        <v>10947.868284</v>
      </c>
      <c r="ABY19" s="699"/>
      <c r="ABZ19" s="700">
        <f>ABY19/ABW19</f>
        <v>0</v>
      </c>
      <c r="ACA19" s="593">
        <f>'Proy 2022 vs 2019 sem'!EH18*ACD$4</f>
        <v>14351.138200000001</v>
      </c>
      <c r="ACB19" s="593">
        <f>'Proy 2022 vs 2019 sem'!EI18*ACD$4</f>
        <v>12772.512998000002</v>
      </c>
      <c r="ACC19" s="699"/>
      <c r="ACD19" s="700">
        <f>ACC19/ACA19</f>
        <v>0</v>
      </c>
      <c r="ACE19" s="593">
        <f>'Proy 2022 vs 2019 sem'!EH18*ACH$4</f>
        <v>16401.300800000001</v>
      </c>
      <c r="ACF19" s="593">
        <f>'Proy 2022 vs 2019 sem'!EI18*ACH$4</f>
        <v>14597.157712</v>
      </c>
      <c r="ACG19" s="699"/>
      <c r="ACH19" s="700">
        <f>ACG19/ACE19</f>
        <v>0</v>
      </c>
      <c r="ACI19" s="593">
        <f>'Proy 2022 vs 2019 sem'!EH18*ACL$4</f>
        <v>22551.7886</v>
      </c>
      <c r="ACJ19" s="593">
        <f>'Proy 2022 vs 2019 sem'!EI18*ACL$4</f>
        <v>20071.091854000002</v>
      </c>
      <c r="ACK19" s="699"/>
      <c r="ACL19" s="700">
        <f>ACK19/ACI19</f>
        <v>0</v>
      </c>
      <c r="ACM19" s="579">
        <f>ABK19+ABO19+ABS19+ABW19+ACA19+ACE19+ACI19</f>
        <v>102508.13</v>
      </c>
      <c r="ACN19" s="574">
        <f>ABL19+ABP19+ABT19+ABX19+ACB19+ACF19+ACJ19</f>
        <v>91232.235700000005</v>
      </c>
      <c r="ACO19" s="730">
        <f>ABM19+ABQ19+ABU19+ABY19+ACC19+ACG19+ACK19</f>
        <v>0</v>
      </c>
      <c r="ACP19" s="711">
        <f>ACO19/ACM19</f>
        <v>0</v>
      </c>
      <c r="ACQ19" s="593">
        <f>'Proy 2022 vs 2019 sem'!EM18*ACT$4</f>
        <v>9729.8004000000001</v>
      </c>
      <c r="ACR19" s="593">
        <f>'Proy 2022 vs 2019 sem'!EN18*ACT$4</f>
        <v>9048.7143720000004</v>
      </c>
      <c r="ACS19" s="699"/>
      <c r="ACT19" s="700">
        <f>ACS19/ACQ19</f>
        <v>0</v>
      </c>
      <c r="ACU19" s="593">
        <f>'Proy 2022 vs 2019 sem'!EM18*ACX$4</f>
        <v>9729.8004000000001</v>
      </c>
      <c r="ACV19" s="593">
        <f>'Proy 2022 vs 2019 sem'!EN18*ACX$4</f>
        <v>9048.7143720000004</v>
      </c>
      <c r="ACW19" s="699"/>
      <c r="ACX19" s="700">
        <f>ACW19/ACU19</f>
        <v>0</v>
      </c>
      <c r="ACY19" s="593">
        <f>'Proy 2022 vs 2019 sem'!EM18*ADB$4</f>
        <v>9729.8004000000001</v>
      </c>
      <c r="ACZ19" s="593">
        <f>'Proy 2022 vs 2019 sem'!EN18*ADB$4</f>
        <v>9048.7143720000004</v>
      </c>
      <c r="ADA19" s="699"/>
      <c r="ADB19" s="700">
        <f>ADA19/ACY19</f>
        <v>0</v>
      </c>
      <c r="ADC19" s="593">
        <f>'Proy 2022 vs 2019 sem'!EM18*ADF$4</f>
        <v>9729.8004000000001</v>
      </c>
      <c r="ADD19" s="593">
        <f>'Proy 2022 vs 2019 sem'!EN18*ADF$4</f>
        <v>9048.7143720000004</v>
      </c>
      <c r="ADE19" s="699"/>
      <c r="ADF19" s="700">
        <f>ADE19/ADC19</f>
        <v>0</v>
      </c>
      <c r="ADG19" s="593">
        <f>'Proy 2022 vs 2019 sem'!EM18*ADJ$4</f>
        <v>11351.433800000001</v>
      </c>
      <c r="ADH19" s="593">
        <f>'Proy 2022 vs 2019 sem'!EN18*ADJ$4</f>
        <v>10556.833434</v>
      </c>
      <c r="ADI19" s="699"/>
      <c r="ADJ19" s="700">
        <f>ADI19/ADG19</f>
        <v>0</v>
      </c>
      <c r="ADK19" s="593">
        <f>'Proy 2022 vs 2019 sem'!EM18*ADN$4</f>
        <v>12973.0672</v>
      </c>
      <c r="ADL19" s="593">
        <f>'Proy 2022 vs 2019 sem'!EN18*ADN$4</f>
        <v>12064.952496</v>
      </c>
      <c r="ADM19" s="699"/>
      <c r="ADN19" s="700">
        <f>ADM19/ADK19</f>
        <v>0</v>
      </c>
      <c r="ADO19" s="593">
        <f>'Proy 2022 vs 2019 sem'!EM18*ADR$4</f>
        <v>17837.967400000001</v>
      </c>
      <c r="ADP19" s="593">
        <f>'Proy 2022 vs 2019 sem'!EN18*ADR$4</f>
        <v>16589.309681999999</v>
      </c>
      <c r="ADQ19" s="699"/>
      <c r="ADR19" s="700">
        <f>ADQ19/ADO19</f>
        <v>0</v>
      </c>
      <c r="ADS19" s="579">
        <f>ACQ19+ACU19+ACY19+ADC19+ADG19+ADK19+ADO19</f>
        <v>81081.67</v>
      </c>
      <c r="ADT19" s="574">
        <f>ACR19+ACV19+ACZ19+ADD19+ADH19+ADL19+ADP19</f>
        <v>75405.953099999999</v>
      </c>
      <c r="ADU19" s="710">
        <f>ACS19+ACW19+ADA19+ADE19+ADI19+ADM19+ADQ19</f>
        <v>0</v>
      </c>
      <c r="ADV19" s="711">
        <f>ADU19/ADS19</f>
        <v>0</v>
      </c>
      <c r="ADW19" s="593">
        <f>'Proy 2022 vs 2019 sem'!ER18*ADZ$4</f>
        <v>13592.613599999999</v>
      </c>
      <c r="ADX19" s="593">
        <f>'Proy 2022 vs 2019 sem'!ES18*ADZ$4</f>
        <v>12641.130648</v>
      </c>
      <c r="ADY19" s="699"/>
      <c r="ADZ19" s="700">
        <f>ADY19/ADW19</f>
        <v>0</v>
      </c>
      <c r="AEA19" s="593">
        <f>'Proy 2022 vs 2019 sem'!ER18*AED$4</f>
        <v>13592.613599999999</v>
      </c>
      <c r="AEB19" s="593">
        <f>'Proy 2022 vs 2019 sem'!ES18*AED$4</f>
        <v>12641.130648</v>
      </c>
      <c r="AEC19" s="699"/>
      <c r="AED19" s="700">
        <f>AEC19/AEA19</f>
        <v>0</v>
      </c>
      <c r="AEE19" s="593">
        <f>'Proy 2022 vs 2019 sem'!ER18*AEH$4</f>
        <v>13592.613599999999</v>
      </c>
      <c r="AEF19" s="593">
        <f>'Proy 2022 vs 2019 sem'!ES18*AEH$4</f>
        <v>12641.130648</v>
      </c>
      <c r="AEG19" s="699"/>
      <c r="AEH19" s="700">
        <f>AEG19/AEE19</f>
        <v>0</v>
      </c>
      <c r="AEI19" s="593">
        <f>'Proy 2022 vs 2019 sem'!ER18*AEL$4</f>
        <v>13592.613599999999</v>
      </c>
      <c r="AEJ19" s="593">
        <f>'Proy 2022 vs 2019 sem'!ES18*AEL$4</f>
        <v>12641.130648</v>
      </c>
      <c r="AEK19" s="699"/>
      <c r="AEL19" s="700">
        <f>AEK19/AEI19</f>
        <v>0</v>
      </c>
      <c r="AEM19" s="593">
        <f>'Proy 2022 vs 2019 sem'!ER18*AEP$4</f>
        <v>15858.049200000001</v>
      </c>
      <c r="AEN19" s="593">
        <f>'Proy 2022 vs 2019 sem'!ES18*AEP$4</f>
        <v>14747.985756000002</v>
      </c>
      <c r="AEO19" s="699"/>
      <c r="AEP19" s="700">
        <f>AEO19/AEM19</f>
        <v>0</v>
      </c>
      <c r="AEQ19" s="593">
        <f>'Proy 2022 vs 2019 sem'!ER18*AET$4</f>
        <v>18123.484800000002</v>
      </c>
      <c r="AER19" s="593">
        <f>'Proy 2022 vs 2019 sem'!ES18*AET$4</f>
        <v>16854.840864000002</v>
      </c>
      <c r="AES19" s="699"/>
      <c r="AET19" s="700">
        <f>AES19/AEQ19</f>
        <v>0</v>
      </c>
      <c r="AEU19" s="593">
        <f>'Proy 2022 vs 2019 sem'!ER18*AEX$4</f>
        <v>24919.7916</v>
      </c>
      <c r="AEV19" s="593">
        <f>'Proy 2022 vs 2019 sem'!ES18*AEX$4</f>
        <v>23175.406188000001</v>
      </c>
      <c r="AEW19" s="699"/>
      <c r="AEX19" s="700">
        <f>AEW19/AEU19</f>
        <v>0</v>
      </c>
      <c r="AEY19" s="579">
        <f>ADW19+AEA19+AEE19+AEI19+AEM19+AEQ19+AEU19</f>
        <v>113271.78</v>
      </c>
      <c r="AEZ19" s="574">
        <f>ADX19+AEB19+AEF19+AEJ19+AEN19+AER19+AEV19</f>
        <v>105342.75539999999</v>
      </c>
      <c r="AFA19" s="710">
        <f>ADY19+AEC19+AEG19+AEK19+AEO19+AES19+AEW19</f>
        <v>0</v>
      </c>
      <c r="AFB19" s="711">
        <f>AFA19/AEY19</f>
        <v>0</v>
      </c>
      <c r="AFC19" s="593">
        <f>'Proy 2022 vs 2019 sem'!FA18*AFF$4</f>
        <v>10800.877199999999</v>
      </c>
      <c r="AFD19" s="593">
        <f>'Proy 2022 vs 2019 sem'!FB18*AFF$4</f>
        <v>9504.7719359999992</v>
      </c>
      <c r="AFE19" s="735"/>
      <c r="AFF19" s="700">
        <f>AFE19/AFC19</f>
        <v>0</v>
      </c>
      <c r="AFG19" s="593">
        <f>'Proy 2022 vs 2019 sem'!FA18*AFJ$4</f>
        <v>10800.877199999999</v>
      </c>
      <c r="AFH19" s="593">
        <f>'Proy 2022 vs 2019 sem'!FB18*AFJ$4</f>
        <v>9504.7719359999992</v>
      </c>
      <c r="AFI19" s="699"/>
      <c r="AFJ19" s="700">
        <f>AFI19/AFG19</f>
        <v>0</v>
      </c>
      <c r="AFK19" s="593">
        <f>'Proy 2022 vs 2019 sem'!FA18*AFN$4</f>
        <v>10800.877199999999</v>
      </c>
      <c r="AFL19" s="593">
        <f>'Proy 2022 vs 2019 sem'!FB18*AFN$4</f>
        <v>9504.7719359999992</v>
      </c>
      <c r="AFM19" s="699"/>
      <c r="AFN19" s="700">
        <f>AFM19/AFK19</f>
        <v>0</v>
      </c>
      <c r="AFO19" s="593">
        <f>'Proy 2022 vs 2019 sem'!FA18*AFR$4</f>
        <v>10800.877199999999</v>
      </c>
      <c r="AFP19" s="593">
        <f>'Proy 2022 vs 2019 sem'!FB18*AFR$4</f>
        <v>9504.7719359999992</v>
      </c>
      <c r="AFQ19" s="699"/>
      <c r="AFR19" s="700">
        <f>AFQ19/AFO19</f>
        <v>0</v>
      </c>
      <c r="AFS19" s="593">
        <f>'Proy 2022 vs 2019 sem'!FA18*AFV$4</f>
        <v>12601.0234</v>
      </c>
      <c r="AFT19" s="593">
        <f>'Proy 2022 vs 2019 sem'!FB18*AFV$4</f>
        <v>11088.900592</v>
      </c>
      <c r="AFU19" s="699"/>
      <c r="AFV19" s="700">
        <f>AFU19/AFS19</f>
        <v>0</v>
      </c>
      <c r="AFW19" s="593">
        <f>'Proy 2022 vs 2019 sem'!FA18*AFZ$4</f>
        <v>14401.169599999999</v>
      </c>
      <c r="AFX19" s="593">
        <f>'Proy 2022 vs 2019 sem'!FB18*AFZ$4</f>
        <v>12673.029247999999</v>
      </c>
      <c r="AFY19" s="699"/>
      <c r="AFZ19" s="700">
        <f>AFY19/AFW19</f>
        <v>0</v>
      </c>
      <c r="AGA19" s="593">
        <f>'Proy 2022 vs 2019 sem'!FA18*AGD$4</f>
        <v>19801.608199999999</v>
      </c>
      <c r="AGB19" s="593">
        <f>'Proy 2022 vs 2019 sem'!FB18*AGD$4</f>
        <v>17425.415215999998</v>
      </c>
      <c r="AGC19" s="699"/>
      <c r="AGD19" s="700">
        <f>AGC19/AGA19</f>
        <v>0</v>
      </c>
      <c r="AGE19" s="579">
        <f>AFC19+AFG19+AFK19+AFO19+AFS19+AFW19+AGA19</f>
        <v>90007.31</v>
      </c>
      <c r="AGF19" s="574">
        <f>AFD19+AFH19+AFL19+AFP19+AFT19+AFX19+AGB19</f>
        <v>79206.432799999995</v>
      </c>
      <c r="AGG19" s="759">
        <f>AFE19+AFI19+AFM19+AFQ19+AFU19+AFY19+AGC19</f>
        <v>0</v>
      </c>
      <c r="AGH19" s="761">
        <f>AGG19/AGE19</f>
        <v>0</v>
      </c>
      <c r="AGI19" s="593">
        <f>'Proy 2022 vs 2019 sem'!FF18*AGL$4</f>
        <v>11298.882</v>
      </c>
      <c r="AGJ19" s="593">
        <f>'Proy 2022 vs 2019 sem'!FG18*AGL$4</f>
        <v>9943.016160000001</v>
      </c>
      <c r="AGK19" s="699"/>
      <c r="AGL19" s="700">
        <f>AGK19/AGI19</f>
        <v>0</v>
      </c>
      <c r="AGM19" s="593">
        <f>'Proy 2022 vs 2019 sem'!FF18*AGP$4</f>
        <v>11298.882</v>
      </c>
      <c r="AGN19" s="593">
        <f>'Proy 2022 vs 2019 sem'!FG18*AGP$4</f>
        <v>9943.016160000001</v>
      </c>
      <c r="AGO19" s="699"/>
      <c r="AGP19" s="700">
        <f>AGO19/AGM19</f>
        <v>0</v>
      </c>
      <c r="AGQ19" s="593">
        <f>'Proy 2022 vs 2019 sem'!FF18*AGT$4</f>
        <v>11298.882</v>
      </c>
      <c r="AGR19" s="593">
        <f>'Proy 2022 vs 2019 sem'!FG18*AGT$4</f>
        <v>9943.016160000001</v>
      </c>
      <c r="AGS19" s="699"/>
      <c r="AGT19" s="700">
        <f>AGS19/AGQ19</f>
        <v>0</v>
      </c>
      <c r="AGU19" s="593">
        <f>'Proy 2022 vs 2019 sem'!FF18*AGX$4</f>
        <v>11298.882</v>
      </c>
      <c r="AGV19" s="593">
        <f>'Proy 2022 vs 2019 sem'!FG18*AGX$4</f>
        <v>9943.016160000001</v>
      </c>
      <c r="AGW19" s="699"/>
      <c r="AGX19" s="700">
        <f>AGW19/AGU19</f>
        <v>0</v>
      </c>
      <c r="AGY19" s="593">
        <f>'Proy 2022 vs 2019 sem'!FF18*AHB$4</f>
        <v>13182.029000000002</v>
      </c>
      <c r="AGZ19" s="593">
        <f>'Proy 2022 vs 2019 sem'!FG18*AHB$4</f>
        <v>11600.185520000003</v>
      </c>
      <c r="AHA19" s="699"/>
      <c r="AHB19" s="700">
        <f>AHA19/AGY19</f>
        <v>0</v>
      </c>
      <c r="AHC19" s="593">
        <f>'Proy 2022 vs 2019 sem'!FF18*AHF$4</f>
        <v>15065.176000000001</v>
      </c>
      <c r="AHD19" s="593">
        <f>'Proy 2022 vs 2019 sem'!FG18*AHF$4</f>
        <v>13257.354880000001</v>
      </c>
      <c r="AHE19" s="699"/>
      <c r="AHF19" s="700">
        <f>AHE19/AHC19</f>
        <v>0</v>
      </c>
      <c r="AHG19" s="593">
        <f>'Proy 2022 vs 2019 sem'!FF18*AHJ$4</f>
        <v>20714.617000000002</v>
      </c>
      <c r="AHH19" s="593">
        <f>'Proy 2022 vs 2019 sem'!FG18*AHJ$4</f>
        <v>18228.862960000002</v>
      </c>
      <c r="AHI19" s="699"/>
      <c r="AHJ19" s="700">
        <f>AHI19/AHG19</f>
        <v>0</v>
      </c>
      <c r="AHK19" s="579">
        <f>AGI19+AGM19+AGQ19+AGU19+AGY19+AHC19+AHG19</f>
        <v>94157.35</v>
      </c>
      <c r="AHL19" s="574">
        <f>AGJ19+AGN19+AGR19+AGV19+AGZ19+AHD19+AHH19</f>
        <v>82858.468000000008</v>
      </c>
      <c r="AHM19" s="765">
        <f>AGK19+AGO19+AGS19+AGW19+AHA19+AHE19+AHI19</f>
        <v>0</v>
      </c>
      <c r="AHN19" s="761">
        <f>AHM19/AHK19</f>
        <v>0</v>
      </c>
      <c r="AHO19" s="593">
        <f>'Proy 2022 vs 2019 sem'!FK18*AHR$4</f>
        <v>10893.653999999999</v>
      </c>
      <c r="AHP19" s="593">
        <f>'Proy 2022 vs 2019 sem'!FL18*AHR$4</f>
        <v>9586.4155200000005</v>
      </c>
      <c r="AHQ19" s="699"/>
      <c r="AHR19" s="700">
        <f>AHQ19/AHO19</f>
        <v>0</v>
      </c>
      <c r="AHS19" s="593">
        <f>'Proy 2022 vs 2019 sem'!FK18*AHV$4</f>
        <v>10893.653999999999</v>
      </c>
      <c r="AHT19" s="593">
        <f>'Proy 2022 vs 2019 sem'!FL18*AHV$4</f>
        <v>9586.4155200000005</v>
      </c>
      <c r="AHU19" s="699"/>
      <c r="AHV19" s="700">
        <f>AHU19/AHS19</f>
        <v>0</v>
      </c>
      <c r="AHW19" s="593">
        <f>'Proy 2022 vs 2019 sem'!FK18*AHZ$4</f>
        <v>10893.653999999999</v>
      </c>
      <c r="AHX19" s="593">
        <f>'Proy 2022 vs 2019 sem'!FL18*AHZ$4</f>
        <v>9586.4155200000005</v>
      </c>
      <c r="AHY19" s="699"/>
      <c r="AHZ19" s="700">
        <f>AHY19/AHW19</f>
        <v>0</v>
      </c>
      <c r="AIA19" s="593">
        <f>'Proy 2022 vs 2019 sem'!FK18*AID$4</f>
        <v>10893.653999999999</v>
      </c>
      <c r="AIB19" s="593">
        <f>'Proy 2022 vs 2019 sem'!FL18*AID$4</f>
        <v>9586.4155200000005</v>
      </c>
      <c r="AIC19" s="699"/>
      <c r="AID19" s="700">
        <f>AIC19/AIA19</f>
        <v>0</v>
      </c>
      <c r="AIE19" s="593">
        <f>'Proy 2022 vs 2019 sem'!FK18*AIH$4</f>
        <v>12709.263000000001</v>
      </c>
      <c r="AIF19" s="593">
        <f>'Proy 2022 vs 2019 sem'!FL18*AIH$4</f>
        <v>11184.151440000001</v>
      </c>
      <c r="AIG19" s="699"/>
      <c r="AIH19" s="700">
        <f>AIG19/AIE19</f>
        <v>0</v>
      </c>
      <c r="AII19" s="593">
        <f>'Proy 2022 vs 2019 sem'!FK18*AIL$4</f>
        <v>14524.871999999999</v>
      </c>
      <c r="AIJ19" s="593">
        <f>'Proy 2022 vs 2019 sem'!FL18*AIL$4</f>
        <v>12781.887360000001</v>
      </c>
      <c r="AIK19" s="699"/>
      <c r="AIL19" s="700">
        <f>AIK19/AII19</f>
        <v>0</v>
      </c>
      <c r="AIM19" s="593">
        <f>'Proy 2022 vs 2019 sem'!FK18*AIP$4</f>
        <v>19971.699000000001</v>
      </c>
      <c r="AIN19" s="593">
        <f>'Proy 2022 vs 2019 sem'!FL18*AIP$4</f>
        <v>17575.095120000002</v>
      </c>
      <c r="AIO19" s="699"/>
      <c r="AIP19" s="700">
        <f>AIO19/AIM19</f>
        <v>0</v>
      </c>
      <c r="AIQ19" s="579">
        <f>AHO19+AHS19+AHW19+AIA19+AIE19+AII19+AIM19</f>
        <v>90780.449999999983</v>
      </c>
      <c r="AIR19" s="574">
        <f>AHP19+AHT19+AHX19+AIB19+AIF19+AIJ19+AIN19</f>
        <v>79886.796000000002</v>
      </c>
      <c r="AIS19" s="765">
        <f>AHQ19+AHU19+AHY19+AIC19+AIG19+AIK19+AIO19</f>
        <v>0</v>
      </c>
      <c r="AIT19" s="761">
        <f>AIS19/AIQ19</f>
        <v>0</v>
      </c>
      <c r="AIU19" s="593">
        <f>'Proy 2022 vs 2019 sem'!FP18*AIX$4</f>
        <v>10499.286</v>
      </c>
      <c r="AIV19" s="593">
        <f>'Proy 2022 vs 2019 sem'!FQ18*AIX$4</f>
        <v>9659.3431200000014</v>
      </c>
      <c r="AIW19" s="699"/>
      <c r="AIX19" s="700">
        <f>AIW19/AIU19</f>
        <v>0</v>
      </c>
      <c r="AIY19" s="593">
        <f>'Proy 2022 vs 2019 sem'!FP18*AJB$4</f>
        <v>10499.286</v>
      </c>
      <c r="AIZ19" s="593">
        <f>'Proy 2022 vs 2019 sem'!FQ18*AJB$4</f>
        <v>9659.3431200000014</v>
      </c>
      <c r="AJA19" s="699"/>
      <c r="AJB19" s="700">
        <f>AJA19/AIY19</f>
        <v>0</v>
      </c>
      <c r="AJC19" s="593">
        <f>'Proy 2022 vs 2019 sem'!FP18*AJF$4</f>
        <v>10499.286</v>
      </c>
      <c r="AJD19" s="593">
        <f>'Proy 2022 vs 2019 sem'!FQ18*AJF$4</f>
        <v>9659.3431200000014</v>
      </c>
      <c r="AJE19" s="699"/>
      <c r="AJF19" s="700">
        <f>AJE19/AJC19</f>
        <v>0</v>
      </c>
      <c r="AJG19" s="593">
        <f>'Proy 2022 vs 2019 sem'!FP18*AJJ$4</f>
        <v>10499.286</v>
      </c>
      <c r="AJH19" s="593">
        <f>'Proy 2022 vs 2019 sem'!FQ18*AJJ$4</f>
        <v>9659.3431200000014</v>
      </c>
      <c r="AJI19" s="699"/>
      <c r="AJJ19" s="700">
        <f>AJI19/AJG19</f>
        <v>0</v>
      </c>
      <c r="AJK19" s="593">
        <f>'Proy 2022 vs 2019 sem'!FP18*AJN$4</f>
        <v>12249.167000000001</v>
      </c>
      <c r="AJL19" s="593">
        <f>'Proy 2022 vs 2019 sem'!FQ18*AJN$4</f>
        <v>11269.233640000002</v>
      </c>
      <c r="AJM19" s="699"/>
      <c r="AJN19" s="700">
        <f>AJM19/AJK19</f>
        <v>0</v>
      </c>
      <c r="AJO19" s="593">
        <f>'Proy 2022 vs 2019 sem'!FP18*AJR$4</f>
        <v>13999.048000000001</v>
      </c>
      <c r="AJP19" s="593">
        <f>'Proy 2022 vs 2019 sem'!FQ18*AJR$4</f>
        <v>12879.124160000003</v>
      </c>
      <c r="AJQ19" s="699"/>
      <c r="AJR19" s="700">
        <f>AJQ19/AJO19</f>
        <v>0</v>
      </c>
      <c r="AJS19" s="593">
        <f>'Proy 2022 vs 2019 sem'!FP18*AJV$4</f>
        <v>19248.691000000003</v>
      </c>
      <c r="AJT19" s="593">
        <f>'Proy 2022 vs 2019 sem'!FQ18*AJV$4</f>
        <v>17708.795720000002</v>
      </c>
      <c r="AJU19" s="699"/>
      <c r="AJV19" s="700">
        <f>AJU19/AJS19</f>
        <v>0</v>
      </c>
      <c r="AJW19" s="579">
        <f>AIU19+AIY19+AJC19+AJG19+AJK19+AJO19+AJS19</f>
        <v>87494.05</v>
      </c>
      <c r="AJX19" s="574">
        <f>AIV19+AIZ19+AJD19+AJH19+AJL19+AJP19+AJT19</f>
        <v>80494.526000000013</v>
      </c>
      <c r="AJY19" s="770">
        <f>AIW19+AJA19+AJE19+AJI19+AJM19+AJQ19+AJU19</f>
        <v>0</v>
      </c>
      <c r="AJZ19" s="761">
        <f>AJY19/AJW19</f>
        <v>0</v>
      </c>
      <c r="AKA19" s="593"/>
      <c r="AKB19" s="593"/>
      <c r="AKC19" s="735"/>
      <c r="AKD19" s="700" t="e">
        <f>AKC19/AKA19</f>
        <v>#DIV/0!</v>
      </c>
      <c r="AKE19" s="593">
        <v>8889.9743999999992</v>
      </c>
      <c r="AKF19" s="593">
        <v>9067.7738879999997</v>
      </c>
      <c r="AKG19" s="699"/>
      <c r="AKH19" s="700">
        <f>AKG19/AKE19</f>
        <v>0</v>
      </c>
      <c r="AKI19" s="593">
        <v>8889.9743999999992</v>
      </c>
      <c r="AKJ19" s="593">
        <v>9067.7738879999997</v>
      </c>
      <c r="AKK19" s="699"/>
      <c r="AKL19" s="700">
        <f>AKK19/AKI19</f>
        <v>0</v>
      </c>
      <c r="AKM19" s="593">
        <v>8889.9743999999992</v>
      </c>
      <c r="AKN19" s="593">
        <v>9067.7738879999997</v>
      </c>
      <c r="AKO19" s="699"/>
      <c r="AKP19" s="700">
        <f>AKO19/AKM19</f>
        <v>0</v>
      </c>
      <c r="AKQ19" s="593">
        <v>10371.6368</v>
      </c>
      <c r="AKR19" s="593">
        <v>10579.069536000001</v>
      </c>
      <c r="AKS19" s="699"/>
      <c r="AKT19" s="700">
        <f>AKS19/AKQ19</f>
        <v>0</v>
      </c>
      <c r="AKU19" s="593">
        <v>11853.299199999999</v>
      </c>
      <c r="AKV19" s="593">
        <v>12090.365184</v>
      </c>
      <c r="AKW19" s="699"/>
      <c r="AKX19" s="700">
        <f>AKW19/AKU19</f>
        <v>0</v>
      </c>
      <c r="AKY19" s="593">
        <v>16298.286399999999</v>
      </c>
      <c r="AKZ19" s="593">
        <v>16624.252128</v>
      </c>
      <c r="ALA19" s="699"/>
      <c r="ALB19" s="700">
        <f>ALA19/AKY19</f>
        <v>0</v>
      </c>
      <c r="ALC19" s="579">
        <f>AKA19+AKE19+AKI19+AKM19+AKQ19+AKU19+AKY19</f>
        <v>65193.145599999996</v>
      </c>
      <c r="ALD19" s="574">
        <f>AKB19+AKF19+AKJ19+AKN19+AKR19+AKV19+AKZ19</f>
        <v>66497.008512</v>
      </c>
      <c r="ALE19" s="793">
        <f>AKC19+AKG19+AKK19+AKO19+AKS19+AKW19+ALA19</f>
        <v>0</v>
      </c>
      <c r="ALF19" s="786">
        <f>ALE19/ALC19</f>
        <v>0</v>
      </c>
      <c r="ALG19" s="593">
        <v>9927.7439999999988</v>
      </c>
      <c r="ALH19" s="593">
        <v>10126.298879999998</v>
      </c>
      <c r="ALI19" s="699"/>
      <c r="ALJ19" s="700">
        <f>ALI19/ALG19</f>
        <v>0</v>
      </c>
      <c r="ALK19" s="593">
        <v>9927.7439999999988</v>
      </c>
      <c r="ALL19" s="593">
        <v>10126.298879999998</v>
      </c>
      <c r="ALM19" s="699"/>
      <c r="ALN19" s="700">
        <f>ALM19/ALK19</f>
        <v>0</v>
      </c>
      <c r="ALO19" s="593">
        <v>9927.7439999999988</v>
      </c>
      <c r="ALP19" s="593">
        <v>10126.298879999998</v>
      </c>
      <c r="ALQ19" s="699"/>
      <c r="ALR19" s="700">
        <f>ALQ19/ALO19</f>
        <v>0</v>
      </c>
      <c r="ALS19" s="593">
        <v>9927.7439999999988</v>
      </c>
      <c r="ALT19" s="593">
        <v>10126.298879999998</v>
      </c>
      <c r="ALU19" s="699"/>
      <c r="ALV19" s="700">
        <f>ALU19/ALS19</f>
        <v>0</v>
      </c>
      <c r="ALW19" s="593">
        <v>11582.368</v>
      </c>
      <c r="ALX19" s="593">
        <v>11814.015359999999</v>
      </c>
      <c r="ALY19" s="699"/>
      <c r="ALZ19" s="700">
        <f>ALY19/ALW19</f>
        <v>0</v>
      </c>
      <c r="AMA19" s="593">
        <v>13236.992</v>
      </c>
      <c r="AMB19" s="593">
        <v>13501.731839999999</v>
      </c>
      <c r="AMC19" s="699"/>
      <c r="AMD19" s="700">
        <f>AMC19/AMA19</f>
        <v>0</v>
      </c>
      <c r="AME19" s="593">
        <v>18200.863999999998</v>
      </c>
      <c r="AMF19" s="593">
        <v>18564.881279999998</v>
      </c>
      <c r="AMG19" s="699"/>
      <c r="AMH19" s="700">
        <f>AMG19/AME19</f>
        <v>0</v>
      </c>
      <c r="AMI19" s="579">
        <f>ALG19+ALK19+ALO19+ALS19+ALW19+AMA19+AME19</f>
        <v>82731.199999999997</v>
      </c>
      <c r="AMJ19" s="574">
        <f>ALH19+ALL19+ALP19+ALT19+ALX19+AMB19+AMF19</f>
        <v>84385.823999999993</v>
      </c>
      <c r="AMK19" s="794">
        <f>ALI19+ALM19+ALQ19+ALU19+ALY19+AMC19+AMG19</f>
        <v>0</v>
      </c>
      <c r="AML19" s="786">
        <f>AMK19/AMI19</f>
        <v>0</v>
      </c>
      <c r="AMM19" s="593">
        <v>8063.6375999999991</v>
      </c>
      <c r="AMN19" s="593">
        <v>8224.910351999999</v>
      </c>
      <c r="AMO19" s="699"/>
      <c r="AMP19" s="700">
        <f>AMO19/AMM19</f>
        <v>0</v>
      </c>
      <c r="AMQ19" s="593">
        <v>8063.6375999999991</v>
      </c>
      <c r="AMR19" s="593">
        <v>8224.910351999999</v>
      </c>
      <c r="AMS19" s="699"/>
      <c r="AMT19" s="700">
        <f>AMS19/AMQ19</f>
        <v>0</v>
      </c>
      <c r="AMU19" s="593">
        <v>8063.6375999999991</v>
      </c>
      <c r="AMV19" s="593">
        <v>8224.910351999999</v>
      </c>
      <c r="AMW19" s="699"/>
      <c r="AMX19" s="700">
        <f>AMW19/AMU19</f>
        <v>0</v>
      </c>
      <c r="AMY19" s="593">
        <v>8063.6375999999991</v>
      </c>
      <c r="AMZ19" s="593">
        <v>8224.910351999999</v>
      </c>
      <c r="ANA19" s="699"/>
      <c r="ANB19" s="700">
        <f>ANA19/AMY19</f>
        <v>0</v>
      </c>
      <c r="ANC19" s="593">
        <v>9407.5771999999997</v>
      </c>
      <c r="AND19" s="593">
        <v>9595.728744</v>
      </c>
      <c r="ANE19" s="699"/>
      <c r="ANF19" s="700">
        <f>ANE19/ANC19</f>
        <v>0</v>
      </c>
      <c r="ANG19" s="593">
        <v>10751.516799999999</v>
      </c>
      <c r="ANH19" s="593">
        <v>10966.547135999999</v>
      </c>
      <c r="ANI19" s="699"/>
      <c r="ANJ19" s="700">
        <f>ANI19/ANG19</f>
        <v>0</v>
      </c>
      <c r="ANK19" s="593">
        <v>14783.335599999999</v>
      </c>
      <c r="ANL19" s="593">
        <v>15079.002311999999</v>
      </c>
      <c r="ANM19" s="699"/>
      <c r="ANN19" s="700">
        <f>ANM19/ANK19</f>
        <v>0</v>
      </c>
      <c r="ANO19" s="579">
        <f>AMM19+AMQ19+AMU19+AMY19+ANC19+ANG19+ANK19</f>
        <v>67196.979999999981</v>
      </c>
      <c r="ANP19" s="574">
        <f>AMN19+AMR19+AMV19+AMZ19+AND19+ANH19+ANL19</f>
        <v>68540.919599999994</v>
      </c>
      <c r="ANQ19" s="794">
        <f>AMO19+AMS19+AMW19+ANA19+ANE19+ANI19+ANM19</f>
        <v>0</v>
      </c>
      <c r="ANR19" s="786">
        <f>ANQ19/ANO19</f>
        <v>0</v>
      </c>
      <c r="ANS19" s="593">
        <f>'Proy 2022 vs 2019 sem'!GN18*ANV$4</f>
        <v>9207.27</v>
      </c>
      <c r="ANT19" s="593">
        <f>'Proy 2022 vs 2019 sem'!GO18*ANV$4</f>
        <v>9023.1245999999992</v>
      </c>
      <c r="ANU19" s="699"/>
      <c r="ANV19" s="700">
        <f>ANU19/ANS19</f>
        <v>0</v>
      </c>
      <c r="ANW19" s="593">
        <f>'Proy 2022 vs 2019 sem'!GN18*ANZ$4</f>
        <v>9207.27</v>
      </c>
      <c r="ANX19" s="593">
        <f>'Proy 2022 vs 2019 sem'!GO18*ANZ$4</f>
        <v>9023.1245999999992</v>
      </c>
      <c r="ANY19" s="699"/>
      <c r="ANZ19" s="700">
        <f>ANY19/ANW19</f>
        <v>0</v>
      </c>
      <c r="AOA19" s="593">
        <f>'Proy 2022 vs 2019 sem'!GN18*AOD$4</f>
        <v>9207.27</v>
      </c>
      <c r="AOB19" s="593">
        <f>'Proy 2022 vs 2019 sem'!GO18*AOD$4</f>
        <v>9023.1245999999992</v>
      </c>
      <c r="AOC19" s="699"/>
      <c r="AOD19" s="700">
        <f>AOC19/AOA19</f>
        <v>0</v>
      </c>
      <c r="AOE19" s="593">
        <f>'Proy 2022 vs 2019 sem'!GN18*AOH$4</f>
        <v>9207.27</v>
      </c>
      <c r="AOF19" s="593">
        <f>'Proy 2022 vs 2019 sem'!GO18*AOH$4</f>
        <v>9023.1245999999992</v>
      </c>
      <c r="AOG19" s="699"/>
      <c r="AOH19" s="700">
        <f>AOG19/AOE19</f>
        <v>0</v>
      </c>
      <c r="AOI19" s="593">
        <f>'Proy 2022 vs 2019 sem'!GN18*AOL$4</f>
        <v>10741.815000000001</v>
      </c>
      <c r="AOJ19" s="593">
        <f>'Proy 2022 vs 2019 sem'!GO18*AOL$4</f>
        <v>10526.978700000001</v>
      </c>
      <c r="AOK19" s="699"/>
      <c r="AOL19" s="700">
        <f>AOK19/AOI19</f>
        <v>0</v>
      </c>
      <c r="AOM19" s="593">
        <f>'Proy 2022 vs 2019 sem'!GN18*AOP$4</f>
        <v>12276.36</v>
      </c>
      <c r="AON19" s="593">
        <f>'Proy 2022 vs 2019 sem'!GO18*AOP$4</f>
        <v>12030.8328</v>
      </c>
      <c r="AOO19" s="699"/>
      <c r="AOP19" s="700">
        <f>AOO19/AOM19</f>
        <v>0</v>
      </c>
      <c r="AOQ19" s="593">
        <f>'Proy 2022 vs 2019 sem'!GN18*AOT$4</f>
        <v>16879.994999999999</v>
      </c>
      <c r="AOR19" s="593">
        <f>'Proy 2022 vs 2019 sem'!GO18*AOT$4</f>
        <v>16542.395100000002</v>
      </c>
      <c r="AOS19" s="699"/>
      <c r="AOT19" s="700">
        <f>AOS19/AOQ19</f>
        <v>0</v>
      </c>
      <c r="AOU19" s="579">
        <f>ANS19+ANW19+AOA19+AOE19+AOI19+AOM19+AOQ19</f>
        <v>76727.25</v>
      </c>
      <c r="AOV19" s="574">
        <f>ANT19+ANX19+AOB19+AOF19+AOJ19+AON19+AOR19</f>
        <v>75192.704999999987</v>
      </c>
      <c r="AOW19" s="785">
        <f>ANU19+ANY19+AOC19+AOG19+AOK19+AOO19+AOS19</f>
        <v>0</v>
      </c>
      <c r="AOX19" s="786">
        <f>AOW19/AOU19</f>
        <v>0</v>
      </c>
      <c r="AOY19" s="593">
        <f>'Proy 2022 vs 2019 sem'!GW18*APB$4</f>
        <v>9574.56</v>
      </c>
      <c r="AOZ19" s="593">
        <f>'Proy 2022 vs 2019 sem'!GX18*APB$4</f>
        <v>9383.0688000000009</v>
      </c>
      <c r="APA19" s="735"/>
      <c r="APB19" s="700">
        <f>APA19/AOY19</f>
        <v>0</v>
      </c>
      <c r="APC19" s="593">
        <f>'Proy 2022 vs 2019 sem'!GW18*APF$4</f>
        <v>9574.56</v>
      </c>
      <c r="APD19" s="593">
        <f>'Proy 2022 vs 2019 sem'!GX18*APF$4</f>
        <v>9383.0688000000009</v>
      </c>
      <c r="APE19" s="735"/>
      <c r="APF19" s="700">
        <f>APE19/APC19</f>
        <v>0</v>
      </c>
      <c r="APG19" s="593">
        <f>'Proy 2022 vs 2019 sem'!GW18*APJ$4</f>
        <v>9574.56</v>
      </c>
      <c r="APH19" s="593">
        <f>'Proy 2022 vs 2019 sem'!GX18*APJ$4</f>
        <v>9383.0688000000009</v>
      </c>
      <c r="API19" s="735"/>
      <c r="APJ19" s="700">
        <f>API19/APG19</f>
        <v>0</v>
      </c>
      <c r="APK19" s="593">
        <f>'Proy 2022 vs 2019 sem'!GW18*APN$4</f>
        <v>9574.56</v>
      </c>
      <c r="APL19" s="593">
        <f>'Proy 2022 vs 2019 sem'!GX18*APN$4</f>
        <v>9383.0688000000009</v>
      </c>
      <c r="APM19" s="735"/>
      <c r="APN19" s="700">
        <f>APM19/APK19</f>
        <v>0</v>
      </c>
      <c r="APO19" s="593">
        <f>'Proy 2022 vs 2019 sem'!GW18*APR$4</f>
        <v>11170.320000000002</v>
      </c>
      <c r="APP19" s="593">
        <f>'Proy 2022 vs 2019 sem'!GX18*APR$4</f>
        <v>10946.913600000002</v>
      </c>
      <c r="APQ19" s="735"/>
      <c r="APR19" s="700">
        <f>APQ19/APO19</f>
        <v>0</v>
      </c>
      <c r="APS19" s="593">
        <f>'Proy 2022 vs 2019 sem'!GW18*APV$4</f>
        <v>12766.08</v>
      </c>
      <c r="APT19" s="593">
        <f>'Proy 2022 vs 2019 sem'!GX18*APV$4</f>
        <v>12510.758400000001</v>
      </c>
      <c r="APU19" s="735"/>
      <c r="APV19" s="700">
        <f>APU19/APS19</f>
        <v>0</v>
      </c>
      <c r="APW19" s="593">
        <f>'Proy 2022 vs 2019 sem'!GW18*APZ$4</f>
        <v>17553.36</v>
      </c>
      <c r="APX19" s="593">
        <f>'Proy 2022 vs 2019 sem'!GX18*APZ$4</f>
        <v>17202.292800000003</v>
      </c>
      <c r="APY19" s="735"/>
      <c r="APZ19" s="700">
        <f>APY19/APW19</f>
        <v>0</v>
      </c>
      <c r="AQA19" s="579">
        <f>AOY19+APC19+APG19+APK19+APO19+APS19+APW19</f>
        <v>79788</v>
      </c>
      <c r="AQB19" s="574">
        <f>AOZ19+APD19+APH19+APL19+APP19+APT19+APX19</f>
        <v>78192.240000000005</v>
      </c>
      <c r="AQC19" s="729">
        <f>APA19+APE19+API19+APM19+APQ19+APU19+APY19</f>
        <v>0</v>
      </c>
      <c r="AQD19" s="711">
        <f>AQC19/AQA19</f>
        <v>0</v>
      </c>
      <c r="AQE19" s="593">
        <f>'Proy 2022 vs 2019 sem'!HB18*AQH$4</f>
        <v>9431.3111999999983</v>
      </c>
      <c r="AQF19" s="593">
        <f>'Proy 2022 vs 2019 sem'!HC18*AQH$4</f>
        <v>9431.3111999999983</v>
      </c>
      <c r="AQG19" s="699"/>
      <c r="AQH19" s="700">
        <f>AQG19/AQE19</f>
        <v>0</v>
      </c>
      <c r="AQI19" s="593">
        <f>'Proy 2022 vs 2019 sem'!HB18*AQL$4</f>
        <v>9431.3111999999983</v>
      </c>
      <c r="AQJ19" s="593">
        <f>'Proy 2022 vs 2019 sem'!HC18*AQL$4</f>
        <v>9431.3111999999983</v>
      </c>
      <c r="AQK19" s="699"/>
      <c r="AQL19" s="700">
        <f>AQK19/AQI19</f>
        <v>0</v>
      </c>
      <c r="AQM19" s="593">
        <f>'Proy 2022 vs 2019 sem'!HB18*AQP$4</f>
        <v>9431.3111999999983</v>
      </c>
      <c r="AQN19" s="593">
        <f>'Proy 2022 vs 2019 sem'!HC18*AQP$4</f>
        <v>9431.3111999999983</v>
      </c>
      <c r="AQO19" s="699"/>
      <c r="AQP19" s="700">
        <f>AQO19/AQM19</f>
        <v>0</v>
      </c>
      <c r="AQQ19" s="593">
        <f>'Proy 2022 vs 2019 sem'!HB18*AQT$4</f>
        <v>9431.3111999999983</v>
      </c>
      <c r="AQR19" s="593">
        <f>'Proy 2022 vs 2019 sem'!HC18*AQT$4</f>
        <v>9431.3111999999983</v>
      </c>
      <c r="AQS19" s="699"/>
      <c r="AQT19" s="700">
        <f>AQS19/AQQ19</f>
        <v>0</v>
      </c>
      <c r="AQU19" s="593">
        <f>'Proy 2022 vs 2019 sem'!HB18*AQX$4</f>
        <v>11003.196400000001</v>
      </c>
      <c r="AQV19" s="593">
        <f>'Proy 2022 vs 2019 sem'!HC18*AQX$4</f>
        <v>11003.196400000001</v>
      </c>
      <c r="AQW19" s="699"/>
      <c r="AQX19" s="700">
        <f>AQW19/AQU19</f>
        <v>0</v>
      </c>
      <c r="AQY19" s="593">
        <f>'Proy 2022 vs 2019 sem'!HB18*ARB$4</f>
        <v>12575.0816</v>
      </c>
      <c r="AQZ19" s="593">
        <f>'Proy 2022 vs 2019 sem'!HC18*ARB$4</f>
        <v>12575.0816</v>
      </c>
      <c r="ARA19" s="699"/>
      <c r="ARB19" s="700">
        <f>ARA19/AQY19</f>
        <v>0</v>
      </c>
      <c r="ARC19" s="593">
        <f>'Proy 2022 vs 2019 sem'!HB18*ARF$4</f>
        <v>17290.7372</v>
      </c>
      <c r="ARD19" s="593">
        <f>'Proy 2022 vs 2019 sem'!HC18*ARF$4</f>
        <v>17290.7372</v>
      </c>
      <c r="ARE19" s="699"/>
      <c r="ARF19" s="700">
        <f>ARE19/ARC19</f>
        <v>0</v>
      </c>
      <c r="ARG19" s="579">
        <f>AQE19+AQI19+AQM19+AQQ19+AQU19+AQY19+ARC19</f>
        <v>78594.259999999995</v>
      </c>
      <c r="ARH19" s="574">
        <f>AQF19+AQJ19+AQN19+AQR19+AQV19+AQZ19+ARD19</f>
        <v>78594.259999999995</v>
      </c>
      <c r="ARI19" s="730">
        <f>AQG19+AQK19+AQO19+AQS19+AQW19+ARA19+ARE19</f>
        <v>0</v>
      </c>
      <c r="ARJ19" s="711">
        <f>ARI19/ARG19</f>
        <v>0</v>
      </c>
      <c r="ARK19" s="593">
        <f>'Proy 2022 vs 2019 sem'!HG18*ARN$4</f>
        <v>9172.9811999999984</v>
      </c>
      <c r="ARL19" s="593">
        <f>'Proy 2022 vs 2019 sem'!HH18*ARN$4</f>
        <v>8714.3321399999986</v>
      </c>
      <c r="ARM19" s="699"/>
      <c r="ARN19" s="700">
        <f>ARM19/ARK19</f>
        <v>0</v>
      </c>
      <c r="ARO19" s="593">
        <f>'Proy 2022 vs 2019 sem'!HG18*ARR$4</f>
        <v>9172.9811999999984</v>
      </c>
      <c r="ARP19" s="593">
        <f>'Proy 2022 vs 2019 sem'!HH18*ARR$4</f>
        <v>8714.3321399999986</v>
      </c>
      <c r="ARQ19" s="699"/>
      <c r="ARR19" s="700">
        <f>ARQ19/ARO19</f>
        <v>0</v>
      </c>
      <c r="ARS19" s="593">
        <f>'Proy 2022 vs 2019 sem'!HG18*ARV$4</f>
        <v>9172.9811999999984</v>
      </c>
      <c r="ART19" s="593">
        <f>'Proy 2022 vs 2019 sem'!HH18*ARV$4</f>
        <v>8714.3321399999986</v>
      </c>
      <c r="ARU19" s="699"/>
      <c r="ARV19" s="700">
        <f>ARU19/ARS19</f>
        <v>0</v>
      </c>
      <c r="ARW19" s="593">
        <f>'Proy 2022 vs 2019 sem'!HG18*ARZ$4</f>
        <v>9172.9811999999984</v>
      </c>
      <c r="ARX19" s="593">
        <f>'Proy 2022 vs 2019 sem'!HH18*ARZ$4</f>
        <v>8714.3321399999986</v>
      </c>
      <c r="ARY19" s="699"/>
      <c r="ARZ19" s="700">
        <f>ARY19/ARW19</f>
        <v>0</v>
      </c>
      <c r="ASA19" s="593">
        <f>'Proy 2022 vs 2019 sem'!HG18*ASD$4</f>
        <v>10701.811400000001</v>
      </c>
      <c r="ASB19" s="593">
        <f>'Proy 2022 vs 2019 sem'!HH18*ASD$4</f>
        <v>10166.72083</v>
      </c>
      <c r="ASC19" s="699"/>
      <c r="ASD19" s="700">
        <f>ASC19/ASA19</f>
        <v>0</v>
      </c>
      <c r="ASE19" s="593">
        <f>'Proy 2022 vs 2019 sem'!HG18*ASH$4</f>
        <v>12230.641599999999</v>
      </c>
      <c r="ASF19" s="593">
        <f>'Proy 2022 vs 2019 sem'!HH18*ASH$4</f>
        <v>11619.109519999998</v>
      </c>
      <c r="ASG19" s="699"/>
      <c r="ASH19" s="700">
        <f>ASG19/ASE19</f>
        <v>0</v>
      </c>
      <c r="ASI19" s="593">
        <f>'Proy 2022 vs 2019 sem'!HG18*ASL$4</f>
        <v>16817.1322</v>
      </c>
      <c r="ASJ19" s="593">
        <f>'Proy 2022 vs 2019 sem'!HH18*ASL$4</f>
        <v>15976.275589999997</v>
      </c>
      <c r="ASK19" s="699"/>
      <c r="ASL19" s="700">
        <f>ASK19/ASI19</f>
        <v>0</v>
      </c>
      <c r="ASM19" s="579">
        <f>ARK19+ARO19+ARS19+ARW19+ASA19+ASE19+ASI19</f>
        <v>76441.50999999998</v>
      </c>
      <c r="ASN19" s="574">
        <f>ARL19+ARP19+ART19+ARX19+ASB19+ASF19+ASJ19</f>
        <v>72619.434499999988</v>
      </c>
      <c r="ASO19" s="730">
        <f>ARM19+ARQ19+ARU19+ARY19+ASC19+ASG19+ASK19</f>
        <v>0</v>
      </c>
      <c r="ASP19" s="711">
        <f>ASO19/ASM19</f>
        <v>0</v>
      </c>
      <c r="ASQ19" s="593">
        <f>'Proy 2022 vs 2019 sem'!HL18*AST$4</f>
        <v>7430.3411999999998</v>
      </c>
      <c r="ASR19" s="593">
        <f>'Proy 2022 vs 2019 sem'!HM18*AST$4</f>
        <v>7207.4309640000001</v>
      </c>
      <c r="ASS19" s="699"/>
      <c r="AST19" s="700">
        <f>ASS19/ASQ19</f>
        <v>0</v>
      </c>
      <c r="ASU19" s="593">
        <f>'Proy 2022 vs 2019 sem'!HL18*ASX$4</f>
        <v>7430.3411999999998</v>
      </c>
      <c r="ASV19" s="593">
        <f>'Proy 2022 vs 2019 sem'!HM18*ASX$4</f>
        <v>7207.4309640000001</v>
      </c>
      <c r="ASW19" s="699"/>
      <c r="ASX19" s="700">
        <f>ASW19/ASU19</f>
        <v>0</v>
      </c>
      <c r="ASY19" s="593">
        <f>'Proy 2022 vs 2019 sem'!HL18*ATB$4</f>
        <v>7430.3411999999998</v>
      </c>
      <c r="ASZ19" s="593">
        <f>'Proy 2022 vs 2019 sem'!HM18*ATB$4</f>
        <v>7207.4309640000001</v>
      </c>
      <c r="ATA19" s="699"/>
      <c r="ATB19" s="700">
        <f>ATA19/ASY19</f>
        <v>0</v>
      </c>
      <c r="ATC19" s="593">
        <f>'Proy 2022 vs 2019 sem'!HL18*ATF$4</f>
        <v>7430.3411999999998</v>
      </c>
      <c r="ATD19" s="593">
        <f>'Proy 2022 vs 2019 sem'!HM18*ATF$4</f>
        <v>7207.4309640000001</v>
      </c>
      <c r="ATE19" s="699"/>
      <c r="ATF19" s="700">
        <f>ATE19/ATC19</f>
        <v>0</v>
      </c>
      <c r="ATG19" s="593">
        <f>'Proy 2022 vs 2019 sem'!HL18*ATJ$4</f>
        <v>8668.7314000000006</v>
      </c>
      <c r="ATH19" s="593">
        <f>'Proy 2022 vs 2019 sem'!HM18*ATJ$4</f>
        <v>8408.6694580000021</v>
      </c>
      <c r="ATI19" s="699"/>
      <c r="ATJ19" s="700">
        <f>ATI19/ATG19</f>
        <v>0</v>
      </c>
      <c r="ATK19" s="593">
        <f>'Proy 2022 vs 2019 sem'!HL18*ATN$4</f>
        <v>9907.1216000000004</v>
      </c>
      <c r="ATL19" s="593">
        <f>'Proy 2022 vs 2019 sem'!HM18*ATN$4</f>
        <v>9609.9079520000014</v>
      </c>
      <c r="ATM19" s="699"/>
      <c r="ATN19" s="700">
        <f>ATM19/ATK19</f>
        <v>0</v>
      </c>
      <c r="ATO19" s="593">
        <f>'Proy 2022 vs 2019 sem'!HL18*ATR$4</f>
        <v>13622.2922</v>
      </c>
      <c r="ATP19" s="593">
        <f>'Proy 2022 vs 2019 sem'!HM18*ATR$4</f>
        <v>13213.623434000001</v>
      </c>
      <c r="ATQ19" s="699"/>
      <c r="ATR19" s="700">
        <f>ATQ19/ATO19</f>
        <v>0</v>
      </c>
      <c r="ATS19" s="579">
        <f>ASQ19+ASU19+ASY19+ATC19+ATG19+ATK19+ATO19</f>
        <v>61919.509999999995</v>
      </c>
      <c r="ATT19" s="574">
        <f>ASR19+ASV19+ASZ19+ATD19+ATH19+ATL19+ATP19</f>
        <v>60061.924700000003</v>
      </c>
      <c r="ATU19" s="710">
        <f>ASS19+ASW19+ATA19+ATE19+ATI19+ATM19+ATQ19</f>
        <v>0</v>
      </c>
      <c r="ATV19" s="711">
        <f>ATU19/ATS19</f>
        <v>0</v>
      </c>
      <c r="ATW19" s="593">
        <f>'Proy 2022 vs 2019 sem'!HQ18*ATZ$4</f>
        <v>8681.4611999999997</v>
      </c>
      <c r="ATX19" s="593">
        <f>'Proy 2022 vs 2019 sem'!HR18*ATZ$4</f>
        <v>8507.8319759999995</v>
      </c>
      <c r="ATY19" s="699"/>
      <c r="ATZ19" s="700">
        <f>ATY19/ATW19</f>
        <v>0</v>
      </c>
      <c r="AUA19" s="593">
        <f>'Proy 2022 vs 2019 sem'!HQ18*AUD$4</f>
        <v>8681.4611999999997</v>
      </c>
      <c r="AUB19" s="593">
        <f>'Proy 2022 vs 2019 sem'!HR18*AUD$4</f>
        <v>8507.8319759999995</v>
      </c>
      <c r="AUC19" s="699"/>
      <c r="AUD19" s="700">
        <f>AUC19/AUA19</f>
        <v>0</v>
      </c>
      <c r="AUE19" s="593">
        <f>'Proy 2022 vs 2019 sem'!HQ18*AUH$4</f>
        <v>8681.4611999999997</v>
      </c>
      <c r="AUF19" s="593">
        <f>'Proy 2022 vs 2019 sem'!HR18*AUH$4</f>
        <v>8507.8319759999995</v>
      </c>
      <c r="AUG19" s="699"/>
      <c r="AUH19" s="700">
        <f>AUG19/AUE19</f>
        <v>0</v>
      </c>
      <c r="AUI19" s="593">
        <f>'Proy 2022 vs 2019 sem'!HQ18*AUL$4</f>
        <v>8681.4611999999997</v>
      </c>
      <c r="AUJ19" s="593">
        <f>'Proy 2022 vs 2019 sem'!HR18*AUL$4</f>
        <v>8507.8319759999995</v>
      </c>
      <c r="AUK19" s="699"/>
      <c r="AUL19" s="700">
        <f>AUK19/AUI19</f>
        <v>0</v>
      </c>
      <c r="AUM19" s="593">
        <f>'Proy 2022 vs 2019 sem'!HQ18*AUP$4</f>
        <v>10128.3714</v>
      </c>
      <c r="AUN19" s="593">
        <f>'Proy 2022 vs 2019 sem'!HR18*AUP$4</f>
        <v>9925.8039719999997</v>
      </c>
      <c r="AUO19" s="699"/>
      <c r="AUP19" s="700">
        <f>AUO19/AUM19</f>
        <v>0</v>
      </c>
      <c r="AUQ19" s="593">
        <f>'Proy 2022 vs 2019 sem'!HQ18*AUT$4</f>
        <v>11575.2816</v>
      </c>
      <c r="AUR19" s="593">
        <f>'Proy 2022 vs 2019 sem'!HR18*AUT$4</f>
        <v>11343.775968</v>
      </c>
      <c r="AUS19" s="699"/>
      <c r="AUT19" s="700">
        <f>AUS19/AUQ19</f>
        <v>0</v>
      </c>
      <c r="AUU19" s="593">
        <f>'Proy 2022 vs 2019 sem'!HQ18*AUX$4</f>
        <v>15916.012199999999</v>
      </c>
      <c r="AUV19" s="593">
        <f>'Proy 2022 vs 2019 sem'!HR18*AUX$4</f>
        <v>15597.691955999999</v>
      </c>
      <c r="AUW19" s="699"/>
      <c r="AUX19" s="700">
        <f>AUW19/AUU19</f>
        <v>0</v>
      </c>
      <c r="AUY19" s="579">
        <f>ATW19+AUA19+AUE19+AUI19+AUM19+AUQ19+AUU19</f>
        <v>72345.509999999995</v>
      </c>
      <c r="AUZ19" s="574">
        <f>ATX19+AUB19+AUF19+AUJ19+AUN19+AUR19+AUV19</f>
        <v>70898.599799999996</v>
      </c>
      <c r="AVA19" s="710">
        <f>ATY19+AUC19+AUG19+AUK19+AUO19+AUS19+AUW19</f>
        <v>0</v>
      </c>
      <c r="AVB19" s="711">
        <f>AVA19/AUY19</f>
        <v>0</v>
      </c>
      <c r="AVC19" s="593">
        <f>'Proy 2022 vs 2019 sem'!HZ18*AVF$4</f>
        <v>8424.8760000000002</v>
      </c>
      <c r="AVD19" s="593">
        <f>'Proy 2022 vs 2019 sem'!IA18*AVF$4</f>
        <v>8172.1297200000008</v>
      </c>
      <c r="AVE19" s="735"/>
      <c r="AVF19" s="700">
        <f>AVE19/AVC19</f>
        <v>0</v>
      </c>
      <c r="AVG19" s="593">
        <f>'Proy 2022 vs 2019 sem'!HZ18*AVJ$4</f>
        <v>8424.8760000000002</v>
      </c>
      <c r="AVH19" s="593">
        <f>'Proy 2022 vs 2019 sem'!IA18*AVJ$4</f>
        <v>8172.1297200000008</v>
      </c>
      <c r="AVI19" s="699"/>
      <c r="AVJ19" s="700">
        <f>AVI19/AVG19</f>
        <v>0</v>
      </c>
      <c r="AVK19" s="593">
        <f>'Proy 2022 vs 2019 sem'!HZ18*AVN$4</f>
        <v>8424.8760000000002</v>
      </c>
      <c r="AVL19" s="593">
        <f>'Proy 2022 vs 2019 sem'!IA18*AVN$4</f>
        <v>8172.1297200000008</v>
      </c>
      <c r="AVM19" s="699"/>
      <c r="AVN19" s="700">
        <f>AVM19/AVK19</f>
        <v>0</v>
      </c>
      <c r="AVO19" s="593">
        <f>'Proy 2022 vs 2019 sem'!HZ18*AVR$4</f>
        <v>8424.8760000000002</v>
      </c>
      <c r="AVP19" s="593">
        <f>'Proy 2022 vs 2019 sem'!IA18*AVR$4</f>
        <v>8172.1297200000008</v>
      </c>
      <c r="AVQ19" s="699"/>
      <c r="AVR19" s="700">
        <f>AVQ19/AVO19</f>
        <v>0</v>
      </c>
      <c r="AVS19" s="593">
        <f>'Proy 2022 vs 2019 sem'!HZ18*AVV$4</f>
        <v>9829.0220000000008</v>
      </c>
      <c r="AVT19" s="593">
        <f>'Proy 2022 vs 2019 sem'!IA18*AVV$4</f>
        <v>9534.1513400000022</v>
      </c>
      <c r="AVU19" s="699"/>
      <c r="AVV19" s="700">
        <f>AVU19/AVS19</f>
        <v>0</v>
      </c>
      <c r="AVW19" s="593">
        <f>'Proy 2022 vs 2019 sem'!HZ18*AVZ$4</f>
        <v>11233.168000000001</v>
      </c>
      <c r="AVX19" s="593">
        <f>'Proy 2022 vs 2019 sem'!IA18*AVZ$4</f>
        <v>10896.172960000002</v>
      </c>
      <c r="AVY19" s="699"/>
      <c r="AVZ19" s="700">
        <f>AVY19/AVW19</f>
        <v>0</v>
      </c>
      <c r="AWA19" s="593">
        <f>'Proy 2022 vs 2019 sem'!HZ18*AWD$4</f>
        <v>15445.606000000002</v>
      </c>
      <c r="AWB19" s="593">
        <f>'Proy 2022 vs 2019 sem'!IA18*AWD$4</f>
        <v>14982.237820000002</v>
      </c>
      <c r="AWC19" s="699"/>
      <c r="AWD19" s="700">
        <f>AWC19/AWA19</f>
        <v>0</v>
      </c>
      <c r="AWE19" s="579">
        <f>AVC19+AVG19+AVK19+AVO19+AVS19+AVW19+AWA19</f>
        <v>70207.3</v>
      </c>
      <c r="AWF19" s="574">
        <f>AVD19+AVH19+AVL19+AVP19+AVT19+AVX19+AWB19</f>
        <v>68101.081000000006</v>
      </c>
      <c r="AWG19" s="793">
        <f>AVE19+AVI19+AVM19+AVQ19+AVU19+AVY19+AWC19</f>
        <v>0</v>
      </c>
      <c r="AWH19" s="786">
        <f>AWG19/AWE19</f>
        <v>0</v>
      </c>
      <c r="AWI19" s="593">
        <f>'Proy 2022 vs 2019 sem'!IE18*AWL$4</f>
        <v>7818.2903999999999</v>
      </c>
      <c r="AWJ19" s="593">
        <f>'Proy 2022 vs 2019 sem'!IF18*AWL$4</f>
        <v>7505.5587839999998</v>
      </c>
      <c r="AWK19" s="699"/>
      <c r="AWL19" s="700">
        <f>AWK19/AWI19</f>
        <v>0</v>
      </c>
      <c r="AWM19" s="593">
        <f>'Proy 2022 vs 2019 sem'!IE18*AWP$4</f>
        <v>7818.2903999999999</v>
      </c>
      <c r="AWN19" s="593">
        <f>'Proy 2022 vs 2019 sem'!IF18*AWP$4</f>
        <v>7505.5587839999998</v>
      </c>
      <c r="AWO19" s="699"/>
      <c r="AWP19" s="700">
        <f>AWO19/AWM19</f>
        <v>0</v>
      </c>
      <c r="AWQ19" s="593">
        <f>'Proy 2022 vs 2019 sem'!IE18*AWT$4</f>
        <v>7818.2903999999999</v>
      </c>
      <c r="AWR19" s="593">
        <f>'Proy 2022 vs 2019 sem'!IF18*AWT$4</f>
        <v>7505.5587839999998</v>
      </c>
      <c r="AWS19" s="699"/>
      <c r="AWT19" s="700">
        <f>AWS19/AWQ19</f>
        <v>0</v>
      </c>
      <c r="AWU19" s="593">
        <f>'Proy 2022 vs 2019 sem'!IE18*AWX$4</f>
        <v>7818.2903999999999</v>
      </c>
      <c r="AWV19" s="593">
        <f>'Proy 2022 vs 2019 sem'!IF18*AWX$4</f>
        <v>7505.5587839999998</v>
      </c>
      <c r="AWW19" s="699"/>
      <c r="AWX19" s="700">
        <f>AWW19/AWU19</f>
        <v>0</v>
      </c>
      <c r="AWY19" s="593">
        <f>'Proy 2022 vs 2019 sem'!IE18*AXB$4</f>
        <v>9121.3388000000014</v>
      </c>
      <c r="AWZ19" s="593">
        <f>'Proy 2022 vs 2019 sem'!IF18*AXB$4</f>
        <v>8756.4852480000009</v>
      </c>
      <c r="AXA19" s="699"/>
      <c r="AXB19" s="700">
        <f>AXA19/AWY19</f>
        <v>0</v>
      </c>
      <c r="AXC19" s="593">
        <f>'Proy 2022 vs 2019 sem'!IE18*AXF$4</f>
        <v>10424.387199999999</v>
      </c>
      <c r="AXD19" s="593">
        <f>'Proy 2022 vs 2019 sem'!IF18*AXF$4</f>
        <v>10007.411711999999</v>
      </c>
      <c r="AXE19" s="699"/>
      <c r="AXF19" s="700">
        <f>AXE19/AXC19</f>
        <v>0</v>
      </c>
      <c r="AXG19" s="593">
        <f>'Proy 2022 vs 2019 sem'!IE18*AXJ$4</f>
        <v>14333.5324</v>
      </c>
      <c r="AXH19" s="593">
        <f>'Proy 2022 vs 2019 sem'!IF18*AXJ$4</f>
        <v>13760.191104</v>
      </c>
      <c r="AXI19" s="699"/>
      <c r="AXJ19" s="700">
        <f>AXI19/AXG19</f>
        <v>0</v>
      </c>
      <c r="AXK19" s="579">
        <f>AWI19+AWM19+AWQ19+AWU19+AWY19+AXC19+AXG19</f>
        <v>65152.42</v>
      </c>
      <c r="AXL19" s="574">
        <f>AWJ19+AWN19+AWR19+AWV19+AWZ19+AXD19+AXH19</f>
        <v>62546.323199999999</v>
      </c>
      <c r="AXM19" s="794">
        <f>AWK19+AWO19+AWS19+AWW19+AXA19+AXE19+AXI19</f>
        <v>0</v>
      </c>
      <c r="AXN19" s="786">
        <f>AXM19/AXK19</f>
        <v>0</v>
      </c>
      <c r="AXO19" s="593">
        <f>'Proy 2022 vs 2019 sem'!IJ18*AXR$4</f>
        <v>8813.4707999999991</v>
      </c>
      <c r="AXP19" s="593">
        <f>'Proy 2022 vs 2019 sem'!IK18*AXR$4</f>
        <v>8725.3360919999996</v>
      </c>
      <c r="AXQ19" s="699"/>
      <c r="AXR19" s="700">
        <f>AXQ19/AXO19</f>
        <v>0</v>
      </c>
      <c r="AXS19" s="593">
        <f>'Proy 2022 vs 2019 sem'!IJ18*AXV$4</f>
        <v>8813.4707999999991</v>
      </c>
      <c r="AXT19" s="593">
        <f>'Proy 2022 vs 2019 sem'!IK18*AXV$4</f>
        <v>8725.3360919999996</v>
      </c>
      <c r="AXU19" s="699"/>
      <c r="AXV19" s="700">
        <f>AXU19/AXS19</f>
        <v>0</v>
      </c>
      <c r="AXW19" s="593">
        <f>'Proy 2022 vs 2019 sem'!IJ18*AXZ$4</f>
        <v>8813.4707999999991</v>
      </c>
      <c r="AXX19" s="593">
        <f>'Proy 2022 vs 2019 sem'!IK18*AXZ$4</f>
        <v>8725.3360919999996</v>
      </c>
      <c r="AXY19" s="699"/>
      <c r="AXZ19" s="700">
        <f>AXY19/AXW19</f>
        <v>0</v>
      </c>
      <c r="AYA19" s="593">
        <f>'Proy 2022 vs 2019 sem'!IJ18*AYD$4</f>
        <v>8813.4707999999991</v>
      </c>
      <c r="AYB19" s="593">
        <f>'Proy 2022 vs 2019 sem'!IK18*AYD$4</f>
        <v>8725.3360919999996</v>
      </c>
      <c r="AYC19" s="699"/>
      <c r="AYD19" s="700">
        <f>AYC19/AYA19</f>
        <v>0</v>
      </c>
      <c r="AYE19" s="593">
        <f>'Proy 2022 vs 2019 sem'!IJ18*AYH$4</f>
        <v>10282.382600000001</v>
      </c>
      <c r="AYF19" s="593">
        <f>'Proy 2022 vs 2019 sem'!IK18*AYH$4</f>
        <v>10179.558774000001</v>
      </c>
      <c r="AYG19" s="699"/>
      <c r="AYH19" s="700">
        <f>AYG19/AYE19</f>
        <v>0</v>
      </c>
      <c r="AYI19" s="593">
        <f>'Proy 2022 vs 2019 sem'!IJ18*AYL$4</f>
        <v>11751.294399999999</v>
      </c>
      <c r="AYJ19" s="593">
        <f>'Proy 2022 vs 2019 sem'!IK18*AYL$4</f>
        <v>11633.781455999999</v>
      </c>
      <c r="AYK19" s="699"/>
      <c r="AYL19" s="700">
        <f>AYK19/AYI19</f>
        <v>0</v>
      </c>
      <c r="AYM19" s="593">
        <f>'Proy 2022 vs 2019 sem'!IJ18*AYP$4</f>
        <v>16158.029799999998</v>
      </c>
      <c r="AYN19" s="593">
        <f>'Proy 2022 vs 2019 sem'!IK18*AYP$4</f>
        <v>15996.449501999999</v>
      </c>
      <c r="AYO19" s="699"/>
      <c r="AYP19" s="700">
        <f>AYO19/AYM19</f>
        <v>0</v>
      </c>
      <c r="AYQ19" s="579">
        <f>AXO19+AXS19+AXW19+AYA19+AYE19+AYI19+AYM19</f>
        <v>73445.59</v>
      </c>
      <c r="AYR19" s="574">
        <f>AXP19+AXT19+AXX19+AYB19+AYF19+AYJ19+AYN19</f>
        <v>72711.134099999996</v>
      </c>
      <c r="AYS19" s="794">
        <f>AXQ19+AXU19+AXY19+AYC19+AYG19+AYK19+AYO19</f>
        <v>0</v>
      </c>
      <c r="AYT19" s="786">
        <f>AYS19/AYQ19</f>
        <v>0</v>
      </c>
      <c r="AYU19" s="593">
        <f>'Proy 2022 vs 2019 sem'!IO18*AYX$4</f>
        <v>12941.354399999998</v>
      </c>
      <c r="AYV19" s="593">
        <f>'Proy 2022 vs 2019 sem'!IP18*AYX$4</f>
        <v>12553.113767999999</v>
      </c>
      <c r="AYW19" s="699"/>
      <c r="AYX19" s="700">
        <f>AYW19/AYU19</f>
        <v>0</v>
      </c>
      <c r="AYY19" s="593">
        <f>'Proy 2022 vs 2019 sem'!IO18*AZB$4</f>
        <v>12941.354399999998</v>
      </c>
      <c r="AYZ19" s="593">
        <f>'Proy 2022 vs 2019 sem'!IP18*AZB$4</f>
        <v>12553.113767999999</v>
      </c>
      <c r="AZA19" s="699"/>
      <c r="AZB19" s="700">
        <f>AZA19/AYY19</f>
        <v>0</v>
      </c>
      <c r="AZC19" s="593">
        <f>'Proy 2022 vs 2019 sem'!IO18*AZF$4</f>
        <v>12941.354399999998</v>
      </c>
      <c r="AZD19" s="593">
        <f>'Proy 2022 vs 2019 sem'!IP18*AZF$4</f>
        <v>12553.113767999999</v>
      </c>
      <c r="AZE19" s="699"/>
      <c r="AZF19" s="700">
        <f>AZE19/AZC19</f>
        <v>0</v>
      </c>
      <c r="AZG19" s="593">
        <f>'Proy 2022 vs 2019 sem'!IO18*AZJ$4</f>
        <v>12941.354399999998</v>
      </c>
      <c r="AZH19" s="593">
        <f>'Proy 2022 vs 2019 sem'!IP18*AZJ$4</f>
        <v>12553.113767999999</v>
      </c>
      <c r="AZI19" s="699"/>
      <c r="AZJ19" s="700">
        <f>AZI19/AZG19</f>
        <v>0</v>
      </c>
      <c r="AZK19" s="593">
        <f>'Proy 2022 vs 2019 sem'!IO18*AZN$4</f>
        <v>15098.246800000001</v>
      </c>
      <c r="AZL19" s="593">
        <f>'Proy 2022 vs 2019 sem'!IP18*AZN$4</f>
        <v>14645.299396</v>
      </c>
      <c r="AZM19" s="699"/>
      <c r="AZN19" s="700">
        <f>AZM19/AZK19</f>
        <v>0</v>
      </c>
      <c r="AZO19" s="593">
        <f>'Proy 2022 vs 2019 sem'!IO18*AZR$4</f>
        <v>17255.139199999998</v>
      </c>
      <c r="AZP19" s="593">
        <f>'Proy 2022 vs 2019 sem'!IP18*AZR$4</f>
        <v>16737.485023999998</v>
      </c>
      <c r="AZQ19" s="699"/>
      <c r="AZR19" s="700">
        <f>AZQ19/AZO19</f>
        <v>0</v>
      </c>
      <c r="AZS19" s="593">
        <f>'Proy 2022 vs 2019 sem'!IO18*AZV$4</f>
        <v>23725.8164</v>
      </c>
      <c r="AZT19" s="593">
        <f>'Proy 2022 vs 2019 sem'!IP18*AZV$4</f>
        <v>23014.041907999999</v>
      </c>
      <c r="AZU19" s="699"/>
      <c r="AZV19" s="700">
        <f>AZU19/AZS19</f>
        <v>0</v>
      </c>
      <c r="AZW19" s="579">
        <f>AYU19+AYY19+AZC19+AZG19+AZK19+AZO19+AZS19</f>
        <v>107844.61999999998</v>
      </c>
      <c r="AZX19" s="574">
        <f>AYV19+AYZ19+AZD19+AZH19+AZL19+AZP19+AZT19</f>
        <v>104609.28139999999</v>
      </c>
      <c r="AZY19" s="785">
        <f>AYW19+AZA19+AZE19+AZI19+AZM19+AZQ19+AZU19</f>
        <v>0</v>
      </c>
      <c r="AZZ19" s="786">
        <f>AZY19/AZW19</f>
        <v>0</v>
      </c>
      <c r="BAA19" s="593">
        <f>'Proy 2022 vs 2019 sem'!IX18*BAD$4</f>
        <v>9635.9339999999993</v>
      </c>
      <c r="BAB19" s="593">
        <f>'Proy 2022 vs 2019 sem'!IY18*BAD$4</f>
        <v>9346.8559799999985</v>
      </c>
      <c r="BAC19" s="735"/>
      <c r="BAD19" s="700">
        <f>BAC19/BAA19</f>
        <v>0</v>
      </c>
      <c r="BAE19" s="593">
        <f>'Proy 2022 vs 2019 sem'!IX18*BAH$4</f>
        <v>9635.9339999999993</v>
      </c>
      <c r="BAF19" s="593">
        <f>'Proy 2022 vs 2019 sem'!IY18*BAH$4</f>
        <v>9346.8559799999985</v>
      </c>
      <c r="BAG19" s="699"/>
      <c r="BAH19" s="700">
        <f>BAG19/BAE19</f>
        <v>0</v>
      </c>
      <c r="BAI19" s="593">
        <f>'Proy 2022 vs 2019 sem'!IX18*BAL$4</f>
        <v>9635.9339999999993</v>
      </c>
      <c r="BAJ19" s="593">
        <f>'Proy 2022 vs 2019 sem'!IY18*BAL$4</f>
        <v>9346.8559799999985</v>
      </c>
      <c r="BAK19" s="699"/>
      <c r="BAL19" s="700">
        <f>BAK19/BAI19</f>
        <v>0</v>
      </c>
      <c r="BAM19" s="593">
        <f>'Proy 2022 vs 2019 sem'!IX18*BAP$4</f>
        <v>9635.9339999999993</v>
      </c>
      <c r="BAN19" s="593">
        <f>'Proy 2022 vs 2019 sem'!IY18*BAP$4</f>
        <v>9346.8559799999985</v>
      </c>
      <c r="BAO19" s="699"/>
      <c r="BAP19" s="700">
        <f>BAO19/BAM19</f>
        <v>0</v>
      </c>
      <c r="BAQ19" s="593">
        <f>'Proy 2022 vs 2019 sem'!IX18*BAT$4</f>
        <v>11241.923000000001</v>
      </c>
      <c r="BAR19" s="593">
        <f>'Proy 2022 vs 2019 sem'!IY18*BAT$4</f>
        <v>10904.66531</v>
      </c>
      <c r="BAS19" s="699"/>
      <c r="BAT19" s="700">
        <f>BAS19/BAQ19</f>
        <v>0</v>
      </c>
      <c r="BAU19" s="593">
        <f>'Proy 2022 vs 2019 sem'!IX18*BAX$4</f>
        <v>12847.912</v>
      </c>
      <c r="BAV19" s="593">
        <f>'Proy 2022 vs 2019 sem'!IY18*BAX$4</f>
        <v>12462.47464</v>
      </c>
      <c r="BAW19" s="699"/>
      <c r="BAX19" s="700">
        <f>BAW19/BAU19</f>
        <v>0</v>
      </c>
      <c r="BAY19" s="593">
        <f>'Proy 2022 vs 2019 sem'!IX18*BBB$4</f>
        <v>17665.879000000001</v>
      </c>
      <c r="BAZ19" s="593">
        <f>'Proy 2022 vs 2019 sem'!IY18*BBB$4</f>
        <v>17135.90263</v>
      </c>
      <c r="BBA19" s="699"/>
      <c r="BBB19" s="700">
        <f>BBA19/BAY19</f>
        <v>0</v>
      </c>
      <c r="BBC19" s="579">
        <f>BAA19+BAE19+BAI19+BAM19+BAQ19+BAU19+BAY19</f>
        <v>80299.45</v>
      </c>
      <c r="BBD19" s="574">
        <f>BAB19+BAF19+BAJ19+BAN19+BAR19+BAV19+BAZ19</f>
        <v>77890.466499999995</v>
      </c>
      <c r="BBE19" s="759">
        <f>BAC19+BAG19+BAK19+BAO19+BAS19+BAW19+BBA19</f>
        <v>0</v>
      </c>
      <c r="BBF19" s="761">
        <f>BBE19/BBC19</f>
        <v>0</v>
      </c>
      <c r="BBG19" s="593">
        <f>'Proy 2022 vs 2019 sem'!JC18*BBJ$4</f>
        <v>11491.6296</v>
      </c>
      <c r="BBH19" s="593">
        <f>'Proy 2022 vs 2019 sem'!JD18*BBJ$4</f>
        <v>10802.131823999998</v>
      </c>
      <c r="BBI19" s="699"/>
      <c r="BBJ19" s="700">
        <f>BBI19/BBG19</f>
        <v>0</v>
      </c>
      <c r="BBK19" s="593">
        <f>'Proy 2022 vs 2019 sem'!JC18*BBN$4</f>
        <v>11491.6296</v>
      </c>
      <c r="BBL19" s="593">
        <f>'Proy 2022 vs 2019 sem'!JD18*BBN$4</f>
        <v>10802.131823999998</v>
      </c>
      <c r="BBM19" s="699"/>
      <c r="BBN19" s="700">
        <f>BBM19/BBK19</f>
        <v>0</v>
      </c>
      <c r="BBO19" s="593">
        <f>'Proy 2022 vs 2019 sem'!JC18*BBR$4</f>
        <v>11491.6296</v>
      </c>
      <c r="BBP19" s="593">
        <f>'Proy 2022 vs 2019 sem'!JD18*BBR$4</f>
        <v>10802.131823999998</v>
      </c>
      <c r="BBQ19" s="699"/>
      <c r="BBR19" s="700">
        <f>BBQ19/BBO19</f>
        <v>0</v>
      </c>
      <c r="BBS19" s="593">
        <f>'Proy 2022 vs 2019 sem'!JC18*BBV$4</f>
        <v>11491.6296</v>
      </c>
      <c r="BBT19" s="593">
        <f>'Proy 2022 vs 2019 sem'!JD18*BBV$4</f>
        <v>10802.131823999998</v>
      </c>
      <c r="BBU19" s="699"/>
      <c r="BBV19" s="700">
        <f>BBU19/BBS19</f>
        <v>0</v>
      </c>
      <c r="BBW19" s="593">
        <f>'Proy 2022 vs 2019 sem'!JC18*BBZ$4</f>
        <v>13406.901200000002</v>
      </c>
      <c r="BBX19" s="593">
        <f>'Proy 2022 vs 2019 sem'!JD18*BBZ$4</f>
        <v>12602.487128000001</v>
      </c>
      <c r="BBY19" s="699"/>
      <c r="BBZ19" s="700">
        <f>BBY19/BBW19</f>
        <v>0</v>
      </c>
      <c r="BCA19" s="593">
        <f>'Proy 2022 vs 2019 sem'!JC18*BCD$4</f>
        <v>15322.1728</v>
      </c>
      <c r="BCB19" s="593">
        <f>'Proy 2022 vs 2019 sem'!JD18*BCD$4</f>
        <v>14402.842431999999</v>
      </c>
      <c r="BCC19" s="699"/>
      <c r="BCD19" s="700">
        <f>BCC19/BCA19</f>
        <v>0</v>
      </c>
      <c r="BCE19" s="593">
        <f>'Proy 2022 vs 2019 sem'!JC18*BCH$4</f>
        <v>21067.9876</v>
      </c>
      <c r="BCF19" s="593">
        <f>'Proy 2022 vs 2019 sem'!JD18*BCH$4</f>
        <v>19803.908343999999</v>
      </c>
      <c r="BCG19" s="699"/>
      <c r="BCH19" s="700">
        <f>BCG19/BCE19</f>
        <v>0</v>
      </c>
      <c r="BCI19" s="579">
        <f>BBG19+BBK19+BBO19+BBS19+BBW19+BCA19+BCE19</f>
        <v>95763.579999999987</v>
      </c>
      <c r="BCJ19" s="574">
        <f>BBH19+BBL19+BBP19+BBT19+BBX19+BCB19+BCF19</f>
        <v>90017.765199999994</v>
      </c>
      <c r="BCK19" s="765">
        <f>BBI19+BBM19+BBQ19+BBU19+BBY19+BCC19+BCG19</f>
        <v>0</v>
      </c>
      <c r="BCL19" s="761">
        <f>BCK19/BCI19</f>
        <v>0</v>
      </c>
      <c r="BCM19" s="593">
        <f>'Proy 2022 vs 2019 sem'!JH18*BCP$4</f>
        <v>13211.5656</v>
      </c>
      <c r="BCN19" s="593">
        <f>'Proy 2022 vs 2019 sem'!JI18*BCP$4</f>
        <v>12683.102976</v>
      </c>
      <c r="BCO19" s="699"/>
      <c r="BCP19" s="700">
        <f>BCO19/BCM19</f>
        <v>0</v>
      </c>
      <c r="BCQ19" s="593">
        <f>'Proy 2022 vs 2019 sem'!JH18*BCT$4</f>
        <v>13211.5656</v>
      </c>
      <c r="BCR19" s="593">
        <f>'Proy 2022 vs 2019 sem'!JI18*BCT$4</f>
        <v>12683.102976</v>
      </c>
      <c r="BCS19" s="699"/>
      <c r="BCT19" s="700">
        <f>BCS19/BCQ19</f>
        <v>0</v>
      </c>
      <c r="BCU19" s="593">
        <f>'Proy 2022 vs 2019 sem'!JH18*BCX$4</f>
        <v>13211.5656</v>
      </c>
      <c r="BCV19" s="593">
        <f>'Proy 2022 vs 2019 sem'!JI18*BCX$4</f>
        <v>12683.102976</v>
      </c>
      <c r="BCW19" s="699"/>
      <c r="BCX19" s="700">
        <f>BCW19/BCU19</f>
        <v>0</v>
      </c>
      <c r="BCY19" s="593">
        <f>'Proy 2022 vs 2019 sem'!JH18*BDB$4</f>
        <v>13211.5656</v>
      </c>
      <c r="BCZ19" s="593">
        <f>'Proy 2022 vs 2019 sem'!JI18*BDB$4</f>
        <v>12683.102976</v>
      </c>
      <c r="BDA19" s="699"/>
      <c r="BDB19" s="700">
        <f>BDA19/BCY19</f>
        <v>0</v>
      </c>
      <c r="BDC19" s="593">
        <f>'Proy 2022 vs 2019 sem'!JH18*BDF$4</f>
        <v>15413.493200000003</v>
      </c>
      <c r="BDD19" s="593">
        <f>'Proy 2022 vs 2019 sem'!JI18*BDF$4</f>
        <v>14796.953472000001</v>
      </c>
      <c r="BDE19" s="699"/>
      <c r="BDF19" s="700">
        <f>BDE19/BDC19</f>
        <v>0</v>
      </c>
      <c r="BDG19" s="593">
        <f>'Proy 2022 vs 2019 sem'!JH18*BDJ$4</f>
        <v>17615.4208</v>
      </c>
      <c r="BDH19" s="593">
        <f>'Proy 2022 vs 2019 sem'!JI18*BDJ$4</f>
        <v>16910.803968</v>
      </c>
      <c r="BDI19" s="699"/>
      <c r="BDJ19" s="700">
        <f>BDI19/BDG19</f>
        <v>0</v>
      </c>
      <c r="BDK19" s="593">
        <f>'Proy 2022 vs 2019 sem'!JH18*BDN$4</f>
        <v>24221.203600000001</v>
      </c>
      <c r="BDL19" s="593">
        <f>'Proy 2022 vs 2019 sem'!JI18*BDN$4</f>
        <v>23252.355456000001</v>
      </c>
      <c r="BDM19" s="699"/>
      <c r="BDN19" s="700">
        <f>BDM19/BDK19</f>
        <v>0</v>
      </c>
      <c r="BDO19" s="579">
        <f>BCM19+BCQ19+BCU19+BCY19+BDC19+BDG19+BDK19</f>
        <v>110096.38</v>
      </c>
      <c r="BDP19" s="574">
        <f>BCN19+BCR19+BCV19+BCZ19+BDD19+BDH19+BDL19</f>
        <v>105692.5248</v>
      </c>
      <c r="BDQ19" s="765">
        <f>BCO19+BCS19+BCW19+BDA19+BDE19+BDI19+BDM19</f>
        <v>0</v>
      </c>
      <c r="BDR19" s="761">
        <f>BDQ19/BDO19</f>
        <v>0</v>
      </c>
      <c r="BDS19" s="593">
        <f>'Proy 2022 vs 2019 sem'!JM18*BDV$4</f>
        <v>15758.9136</v>
      </c>
      <c r="BDT19" s="593">
        <f>'Proy 2022 vs 2019 sem'!JN18*BDV$4</f>
        <v>14970.967919999999</v>
      </c>
      <c r="BDU19" s="699"/>
      <c r="BDV19" s="700">
        <f>BDU19/BDS19</f>
        <v>0</v>
      </c>
      <c r="BDW19" s="593">
        <f>'Proy 2022 vs 2019 sem'!JM18*BDZ$4</f>
        <v>15758.9136</v>
      </c>
      <c r="BDX19" s="593">
        <f>'Proy 2022 vs 2019 sem'!JN18*BDZ$4</f>
        <v>14970.967919999999</v>
      </c>
      <c r="BDY19" s="699"/>
      <c r="BDZ19" s="700">
        <f>BDY19/BDW19</f>
        <v>0</v>
      </c>
      <c r="BEA19" s="593">
        <f>'Proy 2022 vs 2019 sem'!JM18*BED$4</f>
        <v>15758.9136</v>
      </c>
      <c r="BEB19" s="593">
        <f>'Proy 2022 vs 2019 sem'!JN18*BED$4</f>
        <v>14970.967919999999</v>
      </c>
      <c r="BEC19" s="699"/>
      <c r="BED19" s="700">
        <f>BEC19/BEA19</f>
        <v>0</v>
      </c>
      <c r="BEE19" s="593">
        <v>14498.990400000001</v>
      </c>
      <c r="BEF19" s="593">
        <f>'Proy 2022 vs 2019 sem'!JN18*BEH$4</f>
        <v>14970.967919999999</v>
      </c>
      <c r="BEG19" s="699"/>
      <c r="BEH19" s="700">
        <f>BEG19/BEE19</f>
        <v>0</v>
      </c>
      <c r="BEI19" s="593">
        <f>'Proy 2022 vs 2019 sem'!JM18*BEL$4</f>
        <v>18385.3992</v>
      </c>
      <c r="BEJ19" s="593">
        <f>'Proy 2022 vs 2019 sem'!JN18*BEL$4</f>
        <v>17466.129240000002</v>
      </c>
      <c r="BEK19" s="699"/>
      <c r="BEL19" s="700">
        <f>BEK19/BEI19</f>
        <v>0</v>
      </c>
      <c r="BEM19" s="593">
        <f>'Proy 2022 vs 2019 sem'!JM18*BEP$4</f>
        <v>21011.8848</v>
      </c>
      <c r="BEN19" s="593">
        <f>'Proy 2022 vs 2019 sem'!JN18*BEP$4</f>
        <v>19961.290559999998</v>
      </c>
      <c r="BEO19" s="699"/>
      <c r="BEP19" s="700">
        <f>BEO19/BEM19</f>
        <v>0</v>
      </c>
      <c r="BEQ19" s="593">
        <f>'Proy 2022 vs 2019 sem'!JM18*BET$4</f>
        <v>28891.3416</v>
      </c>
      <c r="BER19" s="593">
        <f>'Proy 2022 vs 2019 sem'!JN18*BET$4</f>
        <v>27446.774519999999</v>
      </c>
      <c r="BES19" s="699"/>
      <c r="BET19" s="700">
        <f>BES19/BEQ19</f>
        <v>0</v>
      </c>
      <c r="BEU19" s="579">
        <f>BDS19+BDW19+BEA19+BEE19+BEI19+BEM19+BEQ19</f>
        <v>130064.35679999999</v>
      </c>
      <c r="BEV19" s="574">
        <f>BDT19+BDX19+BEB19+BEF19+BEJ19+BEN19+BER19</f>
        <v>124758.06599999999</v>
      </c>
      <c r="BEW19" s="770">
        <f>BDU19+BDY19+BEC19+BEG19+BEK19+BEO19+BES19</f>
        <v>0</v>
      </c>
      <c r="BEX19" s="761">
        <f>BEW19/BEU19</f>
        <v>0</v>
      </c>
      <c r="BEY19" s="593">
        <f>'Proy 2022 vs 2019 sem'!JV18*BFB$4</f>
        <v>18730.975199999997</v>
      </c>
      <c r="BEZ19" s="593">
        <f>'Proy 2022 vs 2019 sem'!JW18*BFB$4</f>
        <v>17607.116687999995</v>
      </c>
      <c r="BFA19" s="735"/>
      <c r="BFB19" s="700">
        <f>BFA19/BEY19</f>
        <v>0</v>
      </c>
      <c r="BFC19" s="593">
        <f>'Proy 2022 vs 2019 sem'!JV18*BFF$4</f>
        <v>18730.975199999997</v>
      </c>
      <c r="BFD19" s="593">
        <f>'Proy 2022 vs 2019 sem'!JW18*BFF$4</f>
        <v>17607.116687999995</v>
      </c>
      <c r="BFE19" s="735"/>
      <c r="BFF19" s="700">
        <f>BFE19/BFC19</f>
        <v>0</v>
      </c>
      <c r="BFG19" s="593">
        <f>'Proy 2022 vs 2019 sem'!JV18*BFJ$4</f>
        <v>18730.975199999997</v>
      </c>
      <c r="BFH19" s="593">
        <f>'Proy 2022 vs 2019 sem'!JW18*BFJ$4</f>
        <v>17607.116687999995</v>
      </c>
      <c r="BFI19" s="735"/>
      <c r="BFJ19" s="700">
        <f>BFI19/BFG19</f>
        <v>0</v>
      </c>
      <c r="BFK19" s="593">
        <f>'Proy 2022 vs 2019 sem'!JV18*BFN$4</f>
        <v>18730.975199999997</v>
      </c>
      <c r="BFL19" s="593">
        <f>'Proy 2022 vs 2019 sem'!JW18*BFN$4</f>
        <v>17607.116687999995</v>
      </c>
      <c r="BFM19" s="735"/>
      <c r="BFN19" s="700">
        <f>BFM19/BFK19</f>
        <v>0</v>
      </c>
      <c r="BFO19" s="593">
        <f>'Proy 2022 vs 2019 sem'!JV18*BFR$4</f>
        <v>21852.804400000001</v>
      </c>
      <c r="BFP19" s="593">
        <f>'Proy 2022 vs 2019 sem'!JW18*BFR$4</f>
        <v>20541.636135999997</v>
      </c>
      <c r="BFQ19" s="735"/>
      <c r="BFR19" s="700">
        <f>BFQ19/BFO19</f>
        <v>0</v>
      </c>
      <c r="BFS19" s="593">
        <f>'Proy 2022 vs 2019 sem'!JV18*BFV$4</f>
        <v>24974.633600000001</v>
      </c>
      <c r="BFT19" s="593">
        <f>'Proy 2022 vs 2019 sem'!JW18*BFV$4</f>
        <v>23476.155583999996</v>
      </c>
      <c r="BFU19" s="735"/>
      <c r="BFV19" s="700">
        <f>BFU19/BFS19</f>
        <v>0</v>
      </c>
      <c r="BFW19" s="593">
        <f>'Proy 2022 vs 2019 sem'!JV18*BFZ$4</f>
        <v>34340.121200000001</v>
      </c>
      <c r="BFX19" s="593">
        <f>'Proy 2022 vs 2019 sem'!JW18*BFZ$4</f>
        <v>32279.713927999994</v>
      </c>
      <c r="BFY19" s="735"/>
      <c r="BFZ19" s="700">
        <f>BFY19/BFW19</f>
        <v>0</v>
      </c>
      <c r="BGA19" s="579">
        <f>BEY19+BFC19+BFG19+BFK19+BFO19+BFS19+BFW19</f>
        <v>156091.46</v>
      </c>
      <c r="BGB19" s="574">
        <f>BEZ19+BFD19+BFH19+BFL19+BFP19+BFT19+BFX19</f>
        <v>146725.97239999997</v>
      </c>
      <c r="BGC19" s="729">
        <f>BFA19+BFE19+BFI19+BFM19+BFQ19+BFU19+BFY19</f>
        <v>0</v>
      </c>
      <c r="BGD19" s="711">
        <f>BGC19/BGA19</f>
        <v>0</v>
      </c>
      <c r="BGE19" s="593">
        <f>'Proy 2022 vs 2019 sem'!KA18*BGH$4</f>
        <v>20327.602800000001</v>
      </c>
      <c r="BGF19" s="593">
        <f>'Proy 2022 vs 2019 sem'!KB18*BGH$4</f>
        <v>18904.670603999999</v>
      </c>
      <c r="BGG19" s="699"/>
      <c r="BGH19" s="700">
        <f>BGG19/BGE19</f>
        <v>0</v>
      </c>
      <c r="BGI19" s="593">
        <f>'Proy 2022 vs 2019 sem'!KA18*BGL$4</f>
        <v>20327.602800000001</v>
      </c>
      <c r="BGJ19" s="593">
        <f>'Proy 2022 vs 2019 sem'!KB18*BGL$4</f>
        <v>18904.670603999999</v>
      </c>
      <c r="BGK19" s="699"/>
      <c r="BGL19" s="700">
        <f>BGK19/BGI19</f>
        <v>0</v>
      </c>
      <c r="BGM19" s="593">
        <f>'Proy 2022 vs 2019 sem'!KA18*BGP$4</f>
        <v>20327.602800000001</v>
      </c>
      <c r="BGN19" s="593">
        <f>'Proy 2022 vs 2019 sem'!KB18*BGP$4</f>
        <v>18904.670603999999</v>
      </c>
      <c r="BGO19" s="699"/>
      <c r="BGP19" s="700">
        <f>BGO19/BGM19</f>
        <v>0</v>
      </c>
      <c r="BGQ19" s="593">
        <f>'Proy 2022 vs 2019 sem'!KA18*BGT$4</f>
        <v>20327.602800000001</v>
      </c>
      <c r="BGR19" s="593">
        <f>'Proy 2022 vs 2019 sem'!KB18*BGT$4</f>
        <v>18904.670603999999</v>
      </c>
      <c r="BGS19" s="699"/>
      <c r="BGT19" s="700">
        <f>BGS19/BGQ19</f>
        <v>0</v>
      </c>
      <c r="BGU19" s="593">
        <f>'Proy 2022 vs 2019 sem'!KA18*BGX$4</f>
        <v>23715.536600000003</v>
      </c>
      <c r="BGV19" s="593">
        <f>'Proy 2022 vs 2019 sem'!KB18*BGX$4</f>
        <v>22055.449038000002</v>
      </c>
      <c r="BGW19" s="699"/>
      <c r="BGX19" s="700">
        <f>BGW19/BGU19</f>
        <v>0</v>
      </c>
      <c r="BGY19" s="593">
        <f>'Proy 2022 vs 2019 sem'!KA18*BHB$4</f>
        <v>27103.470400000002</v>
      </c>
      <c r="BGZ19" s="593">
        <f>'Proy 2022 vs 2019 sem'!KB18*BHB$4</f>
        <v>25206.227472000002</v>
      </c>
      <c r="BHA19" s="699"/>
      <c r="BHB19" s="700">
        <f>BHA19/BGY19</f>
        <v>0</v>
      </c>
      <c r="BHC19" s="593">
        <f>'Proy 2022 vs 2019 sem'!KA18*BHF$4</f>
        <v>37267.271800000002</v>
      </c>
      <c r="BHD19" s="593">
        <f>'Proy 2022 vs 2019 sem'!KB18*BHF$4</f>
        <v>34658.562773999998</v>
      </c>
      <c r="BHE19" s="699"/>
      <c r="BHF19" s="700">
        <f>BHE19/BHC19</f>
        <v>0</v>
      </c>
      <c r="BHG19" s="579">
        <f>BGE19+BGI19+BGM19+BGQ19+BGU19+BGY19+BHC19</f>
        <v>169396.69</v>
      </c>
      <c r="BHH19" s="574">
        <f>BGF19+BGJ19+BGN19+BGR19+BGV19+BGZ19+BHD19</f>
        <v>157538.92170000001</v>
      </c>
      <c r="BHI19" s="730">
        <f>BGG19+BGK19+BGO19+BGS19+BGW19+BHA19+BHE19</f>
        <v>0</v>
      </c>
      <c r="BHJ19" s="711">
        <f>BHI19/BHG19</f>
        <v>0</v>
      </c>
      <c r="BHK19" s="593">
        <f>'Proy 2022 vs 2019 sem'!KF18*BHN$4</f>
        <v>26811.261599999998</v>
      </c>
      <c r="BHL19" s="593">
        <f>'Proy 2022 vs 2019 sem'!KG18*BHN$4</f>
        <v>24934.473287999997</v>
      </c>
      <c r="BHM19" s="699"/>
      <c r="BHN19" s="700">
        <f>BHM19/BHK19</f>
        <v>0</v>
      </c>
      <c r="BHO19" s="593">
        <f>'Proy 2022 vs 2019 sem'!KF18*BHR$4</f>
        <v>26811.261599999998</v>
      </c>
      <c r="BHP19" s="593">
        <f>'Proy 2022 vs 2019 sem'!KG18*BHR$4</f>
        <v>24934.473287999997</v>
      </c>
      <c r="BHQ19" s="699"/>
      <c r="BHR19" s="700">
        <f>BHQ19/BHO19</f>
        <v>0</v>
      </c>
      <c r="BHS19" s="593">
        <f>'Proy 2022 vs 2019 sem'!KF18*BHV$4</f>
        <v>26811.261599999998</v>
      </c>
      <c r="BHT19" s="593">
        <f>'Proy 2022 vs 2019 sem'!KG18*BHV$4</f>
        <v>24934.473287999997</v>
      </c>
      <c r="BHU19" s="699"/>
      <c r="BHV19" s="700">
        <f>BHU19/BHS19</f>
        <v>0</v>
      </c>
      <c r="BHW19" s="593">
        <f>'Proy 2022 vs 2019 sem'!KF18*BHZ$4</f>
        <v>26811.261599999998</v>
      </c>
      <c r="BHX19" s="593">
        <f>'Proy 2022 vs 2019 sem'!KG18*BHZ$4</f>
        <v>24934.473287999997</v>
      </c>
      <c r="BHY19" s="699"/>
      <c r="BHZ19" s="700">
        <f>BHY19/BHW19</f>
        <v>0</v>
      </c>
      <c r="BIA19" s="593">
        <f>'Proy 2022 vs 2019 sem'!KF18*BID$4</f>
        <v>31279.805200000003</v>
      </c>
      <c r="BIB19" s="593">
        <f>'Proy 2022 vs 2019 sem'!KG18*BID$4</f>
        <v>29090.218836</v>
      </c>
      <c r="BIC19" s="699"/>
      <c r="BID19" s="700">
        <f>BIC19/BIA19</f>
        <v>0</v>
      </c>
      <c r="BIE19" s="593">
        <f>'Proy 2022 vs 2019 sem'!KF18*BIH$4</f>
        <v>35748.3488</v>
      </c>
      <c r="BIF19" s="593">
        <f>'Proy 2022 vs 2019 sem'!KG18*BIH$4</f>
        <v>33245.964383999999</v>
      </c>
      <c r="BIG19" s="699"/>
      <c r="BIH19" s="700">
        <f>BIG19/BIE19</f>
        <v>0</v>
      </c>
      <c r="BII19" s="593">
        <f>'Proy 2022 vs 2019 sem'!KF18*BIL$4</f>
        <v>49153.979599999999</v>
      </c>
      <c r="BIJ19" s="593">
        <f>'Proy 2022 vs 2019 sem'!KG18*BIL$4</f>
        <v>45713.201027999996</v>
      </c>
      <c r="BIK19" s="699"/>
      <c r="BIL19" s="700">
        <f>BIK19/BII19</f>
        <v>0</v>
      </c>
      <c r="BIM19" s="579">
        <f>BHK19+BHO19+BHS19+BHW19+BIA19+BIE19+BII19</f>
        <v>223427.18</v>
      </c>
      <c r="BIN19" s="574">
        <f>BHL19+BHP19+BHT19+BHX19+BIB19+BIF19+BIJ19</f>
        <v>207787.27739999996</v>
      </c>
      <c r="BIO19" s="730">
        <f>BHM19+BHQ19+BHU19+BHY19+BIC19+BIG19+BIK19</f>
        <v>0</v>
      </c>
      <c r="BIP19" s="711">
        <f>BIO19/BIM19</f>
        <v>0</v>
      </c>
      <c r="BIQ19" s="593">
        <f>'Proy 2022 vs 2019 sem'!KK18*BIT$4</f>
        <v>28945.054800000002</v>
      </c>
      <c r="BIR19" s="593">
        <f>'Proy 2022 vs 2019 sem'!KL18*BIT$4</f>
        <v>26918.900964000004</v>
      </c>
      <c r="BIS19" s="699"/>
      <c r="BIT19" s="700">
        <f>BIS19/BIQ19</f>
        <v>0</v>
      </c>
      <c r="BIU19" s="593">
        <f>'Proy 2022 vs 2019 sem'!KK18*BIX$4</f>
        <v>28945.054800000002</v>
      </c>
      <c r="BIV19" s="593">
        <f>'Proy 2022 vs 2019 sem'!KL18*BIX$4</f>
        <v>26918.900964000004</v>
      </c>
      <c r="BIW19" s="699"/>
      <c r="BIX19" s="700">
        <f>BIW19/BIU19</f>
        <v>0</v>
      </c>
      <c r="BIY19" s="593">
        <f>'Proy 2022 vs 2019 sem'!KK18*BJB$4</f>
        <v>28945.054800000002</v>
      </c>
      <c r="BIZ19" s="593">
        <f>'Proy 2022 vs 2019 sem'!KL18*BJB$4</f>
        <v>26918.900964000004</v>
      </c>
      <c r="BJA19" s="699"/>
      <c r="BJB19" s="700">
        <f>BJA19/BIY19</f>
        <v>0</v>
      </c>
      <c r="BJC19" s="593">
        <f>'Proy 2022 vs 2019 sem'!KK18*BJF$4</f>
        <v>28945.054800000002</v>
      </c>
      <c r="BJD19" s="593">
        <f>'Proy 2022 vs 2019 sem'!KL18*BJF$4</f>
        <v>26918.900964000004</v>
      </c>
      <c r="BJE19" s="699"/>
      <c r="BJF19" s="700">
        <f>BJE19/BJC19</f>
        <v>0</v>
      </c>
      <c r="BJG19" s="593">
        <f>'Proy 2022 vs 2019 sem'!KK18*BJJ$4</f>
        <v>33769.230600000003</v>
      </c>
      <c r="BJH19" s="593">
        <f>'Proy 2022 vs 2019 sem'!KL18*BJJ$4</f>
        <v>31405.384458000008</v>
      </c>
      <c r="BJI19" s="699"/>
      <c r="BJJ19" s="700">
        <f>BJI19/BJG19</f>
        <v>0</v>
      </c>
      <c r="BJK19" s="593">
        <f>'Proy 2022 vs 2019 sem'!KK18*BJN$4</f>
        <v>38593.4064</v>
      </c>
      <c r="BJL19" s="593">
        <f>'Proy 2022 vs 2019 sem'!KL18*BJN$4</f>
        <v>35891.867952000008</v>
      </c>
      <c r="BJM19" s="699"/>
      <c r="BJN19" s="700">
        <f>BJM19/BJK19</f>
        <v>0</v>
      </c>
      <c r="BJO19" s="593">
        <f>'Proy 2022 vs 2019 sem'!KK18*BJR$4</f>
        <v>53065.933799999999</v>
      </c>
      <c r="BJP19" s="593">
        <f>'Proy 2022 vs 2019 sem'!KL18*BJR$4</f>
        <v>49351.318434000008</v>
      </c>
      <c r="BJQ19" s="699"/>
      <c r="BJR19" s="700">
        <f>BJQ19/BJO19</f>
        <v>0</v>
      </c>
      <c r="BJS19" s="579">
        <f>BIQ19+BIU19+BIY19+BJC19+BJG19+BJK19+BJO19</f>
        <v>241208.79</v>
      </c>
      <c r="BJT19" s="574">
        <f>BIR19+BIV19+BIZ19+BJD19+BJH19+BJL19+BJP19</f>
        <v>224324.17470000003</v>
      </c>
      <c r="BJU19" s="710">
        <f>BIS19+BIW19+BJA19+BJE19+BJI19+BJM19+BJQ19</f>
        <v>0</v>
      </c>
      <c r="BJV19" s="711">
        <f>BJU19/BJS19</f>
        <v>0</v>
      </c>
      <c r="BJW19" s="593">
        <f>'Proy 2022 vs 2019 sem'!KP18*BJZ$4</f>
        <v>8970.9143999999997</v>
      </c>
      <c r="BJX19" s="593">
        <f>'Proy 2022 vs 2019 sem'!KQ18*BJZ$4</f>
        <v>8522.3686799999978</v>
      </c>
      <c r="BJY19" s="699"/>
      <c r="BJZ19" s="700">
        <f>BJY19/BJW19</f>
        <v>0</v>
      </c>
      <c r="BKA19" s="593">
        <f>'Proy 2022 vs 2019 sem'!KP18*BKD$4</f>
        <v>8970.9143999999997</v>
      </c>
      <c r="BKB19" s="593">
        <f>'Proy 2022 vs 2019 sem'!KQ18*BKD$4</f>
        <v>8522.3686799999978</v>
      </c>
      <c r="BKC19" s="699"/>
      <c r="BKD19" s="700">
        <f>BKC19/BKA19</f>
        <v>0</v>
      </c>
      <c r="BKE19" s="593">
        <f>'Proy 2022 vs 2019 sem'!KP18*BKH$4</f>
        <v>8970.9143999999997</v>
      </c>
      <c r="BKF19" s="593">
        <f>'Proy 2022 vs 2019 sem'!KQ18*BKH$4</f>
        <v>8522.3686799999978</v>
      </c>
      <c r="BKG19" s="699"/>
      <c r="BKH19" s="700">
        <f>BKG19/BKE19</f>
        <v>0</v>
      </c>
      <c r="BKI19" s="593">
        <f>'Proy 2022 vs 2019 sem'!KP18*BKL$4</f>
        <v>8970.9143999999997</v>
      </c>
      <c r="BKJ19" s="593">
        <f>'Proy 2022 vs 2019 sem'!KQ18*BKL$4</f>
        <v>8522.3686799999978</v>
      </c>
      <c r="BKK19" s="699"/>
      <c r="BKL19" s="700">
        <f>BKK19/BKI19</f>
        <v>0</v>
      </c>
      <c r="BKM19" s="593">
        <f>'Proy 2022 vs 2019 sem'!KP18*BKP$4</f>
        <v>10466.066800000001</v>
      </c>
      <c r="BKN19" s="593">
        <f>'Proy 2022 vs 2019 sem'!KQ18*BKP$4</f>
        <v>9942.7634599999983</v>
      </c>
      <c r="BKO19" s="699"/>
      <c r="BKP19" s="700">
        <f>BKO19/BKM19</f>
        <v>0</v>
      </c>
      <c r="BKQ19" s="593">
        <f>'Proy 2022 vs 2019 sem'!KP18*BKT$4</f>
        <v>11961.2192</v>
      </c>
      <c r="BKR19" s="593">
        <f>'Proy 2022 vs 2019 sem'!KQ18*BKT$4</f>
        <v>11363.158239999999</v>
      </c>
      <c r="BKS19" s="699"/>
      <c r="BKT19" s="700">
        <f>BKS19/BKQ19</f>
        <v>0</v>
      </c>
      <c r="BKU19" s="593">
        <f>'Proy 2022 vs 2019 sem'!KP18*BKX$4</f>
        <v>16446.6764</v>
      </c>
      <c r="BKV19" s="593">
        <f>'Proy 2022 vs 2019 sem'!KQ18*BKX$4</f>
        <v>15624.342579999997</v>
      </c>
      <c r="BKW19" s="699"/>
      <c r="BKX19" s="700">
        <f>BKW19/BKU19</f>
        <v>0</v>
      </c>
      <c r="BKY19" s="579">
        <f>BJW19+BKA19+BKE19+BKI19+BKM19+BKQ19+BKU19</f>
        <v>74757.62</v>
      </c>
      <c r="BKZ19" s="574">
        <f>BJX19+BKB19+BKF19+BKJ19+BKN19+BKR19+BKV19</f>
        <v>71019.738999999972</v>
      </c>
      <c r="BLA19" s="710">
        <f>BJY19+BKC19+BKG19+BKK19+BKO19+BKS19+BKW19</f>
        <v>0</v>
      </c>
      <c r="BLB19" s="711">
        <f>BLA19/BKY19</f>
        <v>0</v>
      </c>
    </row>
    <row r="20" spans="2:1666" ht="15.75" customHeight="1">
      <c r="B20" s="934" t="s">
        <v>22</v>
      </c>
      <c r="C20" s="593">
        <f>'Proy 2022 vs 2019 sem'!$C$6*$F$4</f>
        <v>9529.1268</v>
      </c>
      <c r="D20" s="593">
        <f>'Proy 2022 vs 2019 sem'!$D$6*$F$4</f>
        <v>8480.9228519999997</v>
      </c>
      <c r="E20" s="735"/>
      <c r="F20" s="700">
        <f>E20/C20</f>
        <v>0</v>
      </c>
      <c r="G20" s="1414">
        <f>'Proy 2022 vs 2019 sem'!C19*$J$4</f>
        <v>7154.7803999999996</v>
      </c>
      <c r="H20" s="593">
        <f>'Proy 2022 vs 2019 sem'!D19*$J$4</f>
        <v>6367.7545559999999</v>
      </c>
      <c r="I20" s="735"/>
      <c r="J20" s="700">
        <f>I20/G20</f>
        <v>0</v>
      </c>
      <c r="K20" s="593">
        <f>'Proy 2022 vs 2019 sem'!C19*$N$4</f>
        <v>7154.7803999999996</v>
      </c>
      <c r="L20" s="593">
        <f>'Proy 2022 vs 2019 sem'!D19*N$4</f>
        <v>6367.7545559999999</v>
      </c>
      <c r="M20" s="735"/>
      <c r="N20" s="700">
        <f>M20/K20</f>
        <v>0</v>
      </c>
      <c r="O20" s="593">
        <f>'Proy 2022 vs 2019 sem'!C19*R$4</f>
        <v>7154.7803999999996</v>
      </c>
      <c r="P20" s="593">
        <f>'Proy 2022 vs 2019 sem'!D19*$R$4</f>
        <v>6367.7545559999999</v>
      </c>
      <c r="Q20" s="735"/>
      <c r="R20" s="700">
        <f>Q20/O20</f>
        <v>0</v>
      </c>
      <c r="S20" s="593">
        <f>'Proy 2022 vs 2019 sem'!C19*V$4</f>
        <v>8347.2438000000002</v>
      </c>
      <c r="T20" s="593">
        <f>'Proy 2022 vs 2019 sem'!D19*V$4</f>
        <v>7429.0469820000008</v>
      </c>
      <c r="U20" s="735"/>
      <c r="V20" s="700">
        <f>U20/S20</f>
        <v>0</v>
      </c>
      <c r="W20" s="593">
        <f>'Proy 2022 vs 2019 sem'!C19*Z$4</f>
        <v>9539.7072000000007</v>
      </c>
      <c r="X20" s="593">
        <f>'Proy 2022 vs 2019 sem'!D19*Z$4</f>
        <v>8490.3394079999998</v>
      </c>
      <c r="Y20" s="735"/>
      <c r="Z20" s="700">
        <f>Y20/W20</f>
        <v>0</v>
      </c>
      <c r="AA20" s="593">
        <f>'Proy 2022 vs 2019 sem'!C19*AD$4</f>
        <v>13117.097400000001</v>
      </c>
      <c r="AB20" s="593">
        <f>'Proy 2022 vs 2019 sem'!D19*AD$4</f>
        <v>11674.216686</v>
      </c>
      <c r="AC20" s="735"/>
      <c r="AD20" s="700">
        <f>AC20/AA20</f>
        <v>0</v>
      </c>
      <c r="AE20" s="579">
        <f>C20+G20+K20+O20+S20+W20+AA20</f>
        <v>61997.516400000008</v>
      </c>
      <c r="AF20" s="574">
        <f>D20+H20+L20+P20+T20+X20+AB20</f>
        <v>55177.789596000002</v>
      </c>
      <c r="AG20" s="729">
        <f>E20+I20+M20+Q20+U20+Y20+AC20</f>
        <v>0</v>
      </c>
      <c r="AH20" s="711">
        <f>AG20/AE20</f>
        <v>0</v>
      </c>
      <c r="AI20" s="593">
        <f>'Proy 2022 vs 2019 sem'!H19*AL$4</f>
        <v>6925.6139999999996</v>
      </c>
      <c r="AJ20" s="611">
        <f>'Proy 2022 vs 2019 sem'!I19*AL$4</f>
        <v>6163.7964599999996</v>
      </c>
      <c r="AK20" s="699"/>
      <c r="AL20" s="700">
        <f>AK20/AI20</f>
        <v>0</v>
      </c>
      <c r="AM20" s="593">
        <f>'Proy 2022 vs 2019 sem'!H19*AP$4</f>
        <v>6925.6139999999996</v>
      </c>
      <c r="AN20" s="593">
        <f>'Proy 2022 vs 2019 sem'!I19*AP$4</f>
        <v>6163.7964599999996</v>
      </c>
      <c r="AO20" s="699"/>
      <c r="AP20" s="700">
        <f>AO20/AM20</f>
        <v>0</v>
      </c>
      <c r="AQ20" s="593">
        <f>'Proy 2022 vs 2019 sem'!H19*AT$4</f>
        <v>6925.6139999999996</v>
      </c>
      <c r="AR20" s="593">
        <f>'Proy 2022 vs 2019 sem'!I19*AT$4</f>
        <v>6163.7964599999996</v>
      </c>
      <c r="AS20" s="699"/>
      <c r="AT20" s="700">
        <f>AS20/AQ20</f>
        <v>0</v>
      </c>
      <c r="AU20" s="593">
        <f>'Proy 2022 vs 2019 sem'!H19*AX$4</f>
        <v>6925.6139999999996</v>
      </c>
      <c r="AV20" s="593">
        <f>'Proy 2022 vs 2019 sem'!I19*AX$4</f>
        <v>6163.7964599999996</v>
      </c>
      <c r="AW20" s="699"/>
      <c r="AX20" s="700">
        <f>AW20/AU20</f>
        <v>0</v>
      </c>
      <c r="AY20" s="593">
        <f>'Proy 2022 vs 2019 sem'!H19*BB$4</f>
        <v>8079.8830000000007</v>
      </c>
      <c r="AZ20" s="593">
        <f>'Proy 2022 vs 2019 sem'!I19*BB$4</f>
        <v>7191.0958700000001</v>
      </c>
      <c r="BA20" s="699"/>
      <c r="BB20" s="700">
        <f>BA20/AY20</f>
        <v>0</v>
      </c>
      <c r="BC20" s="593">
        <f>'Proy 2022 vs 2019 sem'!H19*BF$4</f>
        <v>9234.152</v>
      </c>
      <c r="BD20" s="593">
        <f>'Proy 2022 vs 2019 sem'!I19*BF$4</f>
        <v>8218.3952799999988</v>
      </c>
      <c r="BE20" s="699"/>
      <c r="BF20" s="700">
        <f>BE20/BC20</f>
        <v>0</v>
      </c>
      <c r="BG20" s="593">
        <f>'Proy 2022 vs 2019 sem'!H19*BJ$4</f>
        <v>12696.958999999999</v>
      </c>
      <c r="BH20" s="593">
        <f>'Proy 2022 vs 2019 sem'!I19*BJ$4</f>
        <v>11300.29351</v>
      </c>
      <c r="BI20" s="699"/>
      <c r="BJ20" s="700">
        <f>BI20/BG20</f>
        <v>0</v>
      </c>
      <c r="BK20" s="579">
        <f>AI20+AM20+AQ20+AU20+AY20+BC20+BG20</f>
        <v>57713.45</v>
      </c>
      <c r="BL20" s="574">
        <f>AJ20+AN20+AR20+AV20+AZ20+BD20+BH20</f>
        <v>51364.970499999996</v>
      </c>
      <c r="BM20" s="730">
        <f>AK20+AO20+AS20+AW20+BA20+BE20+BI20</f>
        <v>0</v>
      </c>
      <c r="BN20" s="711">
        <f>BM20/BK20</f>
        <v>0</v>
      </c>
      <c r="BO20" s="593">
        <f>'Proy 2022 vs 2019 sem'!M19*BR$4</f>
        <v>8223.4439999999995</v>
      </c>
      <c r="BP20" s="593">
        <f>'Proy 2022 vs 2019 sem'!N19*BR$4</f>
        <v>7318.8651599999994</v>
      </c>
      <c r="BQ20" s="699"/>
      <c r="BR20" s="700">
        <f>BQ20/BO20</f>
        <v>0</v>
      </c>
      <c r="BS20" s="593">
        <f>'Proy 2022 vs 2019 sem'!M19*BV$4</f>
        <v>8223.4439999999995</v>
      </c>
      <c r="BT20" s="593">
        <f>'Proy 2022 vs 2019 sem'!N19*BV$4</f>
        <v>7318.8651599999994</v>
      </c>
      <c r="BU20" s="699"/>
      <c r="BV20" s="700">
        <f>BU20/BS20</f>
        <v>0</v>
      </c>
      <c r="BW20" s="593">
        <f>'Proy 2022 vs 2019 sem'!M19*BZ$4</f>
        <v>8223.4439999999995</v>
      </c>
      <c r="BX20" s="593">
        <f>'Proy 2022 vs 2019 sem'!N19*BZ$4</f>
        <v>7318.8651599999994</v>
      </c>
      <c r="BY20" s="699"/>
      <c r="BZ20" s="700">
        <f>BY20/BW20</f>
        <v>0</v>
      </c>
      <c r="CA20" s="593">
        <f>'Proy 2022 vs 2019 sem'!M19*CD$4</f>
        <v>8223.4439999999995</v>
      </c>
      <c r="CB20" s="593">
        <f>'Proy 2022 vs 2019 sem'!N19*CD$4</f>
        <v>7318.8651599999994</v>
      </c>
      <c r="CC20" s="699"/>
      <c r="CD20" s="700">
        <f>CC20/CA20</f>
        <v>0</v>
      </c>
      <c r="CE20" s="593">
        <f>'Proy 2022 vs 2019 sem'!M19*CH$4</f>
        <v>9594.018</v>
      </c>
      <c r="CF20" s="593">
        <f>'Proy 2022 vs 2019 sem'!N19*CH$4</f>
        <v>8538.6760200000008</v>
      </c>
      <c r="CG20" s="699"/>
      <c r="CH20" s="700">
        <f>CG20/CE20</f>
        <v>0</v>
      </c>
      <c r="CI20" s="593">
        <f>'Proy 2022 vs 2019 sem'!M19*CL$4</f>
        <v>10964.592000000001</v>
      </c>
      <c r="CJ20" s="593">
        <f>'Proy 2022 vs 2019 sem'!N19*CL$4</f>
        <v>9758.4868800000004</v>
      </c>
      <c r="CK20" s="699"/>
      <c r="CL20" s="700">
        <f>CK20/CI20</f>
        <v>0</v>
      </c>
      <c r="CM20" s="593">
        <f>'Proy 2022 vs 2019 sem'!M19*CP$4</f>
        <v>15076.314</v>
      </c>
      <c r="CN20" s="593">
        <f>'Proy 2022 vs 2019 sem'!N19*CP$4</f>
        <v>13417.919459999999</v>
      </c>
      <c r="CO20" s="699"/>
      <c r="CP20" s="700">
        <f>CO20/CM20</f>
        <v>0</v>
      </c>
      <c r="CQ20" s="579">
        <f>BO20+BS20+BW20+CA20+CE20+CI20+CM20</f>
        <v>68528.7</v>
      </c>
      <c r="CR20" s="574">
        <f>BP20+BT20+BX20+CB20+CF20+CJ20+CN20</f>
        <v>60990.542999999998</v>
      </c>
      <c r="CS20" s="730">
        <f>BQ20+BU20+BY20+CC20+CG20+CK20+CO20</f>
        <v>0</v>
      </c>
      <c r="CT20" s="711">
        <f>CS20/CQ20</f>
        <v>0</v>
      </c>
      <c r="CU20" s="593">
        <f>'Proy 2022 vs 2019 sem'!R19*CX$4</f>
        <v>7995.33</v>
      </c>
      <c r="CV20" s="593">
        <f>'Proy 2022 vs 2019 sem'!S19*CX$4</f>
        <v>7115.8437000000004</v>
      </c>
      <c r="CW20" s="699"/>
      <c r="CX20" s="700">
        <f>CW20/CU20</f>
        <v>0</v>
      </c>
      <c r="CY20" s="593">
        <f>'Proy 2022 vs 2019 sem'!R19*DB$4</f>
        <v>7995.33</v>
      </c>
      <c r="CZ20" s="593">
        <f>'Proy 2022 vs 2019 sem'!S19*DB$4</f>
        <v>7115.8437000000004</v>
      </c>
      <c r="DA20" s="699"/>
      <c r="DB20" s="700">
        <f>DA20/CY20</f>
        <v>0</v>
      </c>
      <c r="DC20" s="593">
        <f>'Proy 2022 vs 2019 sem'!R19*DF$4</f>
        <v>7995.33</v>
      </c>
      <c r="DD20" s="593">
        <f>'Proy 2022 vs 2019 sem'!S19*DF$4</f>
        <v>7115.8437000000004</v>
      </c>
      <c r="DE20" s="699"/>
      <c r="DF20" s="700">
        <f>DE20/DC20</f>
        <v>0</v>
      </c>
      <c r="DG20" s="593">
        <f>'Proy 2022 vs 2019 sem'!R19*DJ$4</f>
        <v>7995.33</v>
      </c>
      <c r="DH20" s="593">
        <f>'Proy 2022 vs 2019 sem'!S19*DJ$4</f>
        <v>7115.8437000000004</v>
      </c>
      <c r="DI20" s="699"/>
      <c r="DJ20" s="700">
        <f>DI20/DG20</f>
        <v>0</v>
      </c>
      <c r="DK20" s="593">
        <f>'Proy 2022 vs 2019 sem'!R19*DN$4</f>
        <v>9327.8850000000002</v>
      </c>
      <c r="DL20" s="593">
        <f>'Proy 2022 vs 2019 sem'!S19*DN$4</f>
        <v>8301.8176500000009</v>
      </c>
      <c r="DM20" s="699"/>
      <c r="DN20" s="700">
        <f>DM20/DK20</f>
        <v>0</v>
      </c>
      <c r="DO20" s="593">
        <f>'Proy 2022 vs 2019 sem'!R19*DR$4</f>
        <v>10660.44</v>
      </c>
      <c r="DP20" s="593">
        <f>'Proy 2022 vs 2019 sem'!S19*DR$4</f>
        <v>9487.7916000000005</v>
      </c>
      <c r="DQ20" s="699"/>
      <c r="DR20" s="700">
        <f>DQ20/DO20</f>
        <v>0</v>
      </c>
      <c r="DS20" s="593">
        <f>'Proy 2022 vs 2019 sem'!R19*DV$4</f>
        <v>14658.105</v>
      </c>
      <c r="DT20" s="593">
        <f>'Proy 2022 vs 2019 sem'!S19*DV$4</f>
        <v>13045.713450000001</v>
      </c>
      <c r="DU20" s="699"/>
      <c r="DV20" s="700">
        <f>DU20/DS20</f>
        <v>0</v>
      </c>
      <c r="DW20" s="579">
        <f>CU20+CY20+DC20+DG20+DK20+DO20+DS20</f>
        <v>66627.75</v>
      </c>
      <c r="DX20" s="574">
        <f>CV20+CZ20+DD20+DH20+DL20+DP20+DT20</f>
        <v>59298.697500000002</v>
      </c>
      <c r="DY20" s="710">
        <f>CW20+DA20+DE20+DI20+DM20+DQ20+DU20</f>
        <v>0</v>
      </c>
      <c r="DZ20" s="711">
        <f>DY20/DW20</f>
        <v>0</v>
      </c>
      <c r="EA20" s="593">
        <f>'Proy 2022 vs 2019 sem'!AA19*ED$4</f>
        <v>8694.2111999999997</v>
      </c>
      <c r="EB20" s="593">
        <f>'Proy 2022 vs 2019 sem'!AB19*ED$4</f>
        <v>7737.8479679999991</v>
      </c>
      <c r="EC20" s="735"/>
      <c r="ED20" s="700">
        <f>EC20/EA20</f>
        <v>0</v>
      </c>
      <c r="EE20" s="593">
        <f>'Proy 2022 vs 2019 sem'!AA19*EH$4</f>
        <v>8694.2111999999997</v>
      </c>
      <c r="EF20" s="593">
        <f>'Proy 2022 vs 2019 sem'!AB19*EH$4</f>
        <v>7737.8479679999991</v>
      </c>
      <c r="EG20" s="699"/>
      <c r="EH20" s="700">
        <f>EG20/EE20</f>
        <v>0</v>
      </c>
      <c r="EI20" s="593">
        <f>'Proy 2022 vs 2019 sem'!AA19*EL$4</f>
        <v>8694.2111999999997</v>
      </c>
      <c r="EJ20" s="593">
        <f>'Proy 2022 vs 2019 sem'!AB19*EL$4</f>
        <v>7737.8479679999991</v>
      </c>
      <c r="EK20" s="699"/>
      <c r="EL20" s="700">
        <f>EK20/EI20</f>
        <v>0</v>
      </c>
      <c r="EM20" s="593">
        <f>'Proy 2022 vs 2019 sem'!AA19*EP$4</f>
        <v>8694.2111999999997</v>
      </c>
      <c r="EN20" s="593">
        <f>'Proy 2022 vs 2019 sem'!AB19*EP$4</f>
        <v>7737.8479679999991</v>
      </c>
      <c r="EO20" s="699"/>
      <c r="EP20" s="700">
        <f>EO20/EM20</f>
        <v>0</v>
      </c>
      <c r="EQ20" s="593">
        <f>'Proy 2022 vs 2019 sem'!AA19*ET$4</f>
        <v>10143.2464</v>
      </c>
      <c r="ER20" s="593">
        <f>'Proy 2022 vs 2019 sem'!AB19*ET$4</f>
        <v>9027.4892959999997</v>
      </c>
      <c r="ES20" s="699"/>
      <c r="ET20" s="700">
        <f>ES20/EQ20</f>
        <v>0</v>
      </c>
      <c r="EU20" s="593">
        <f>'Proy 2022 vs 2019 sem'!AA19*EX$4</f>
        <v>11592.2816</v>
      </c>
      <c r="EV20" s="593">
        <f>'Proy 2022 vs 2019 sem'!AB19*EX$4</f>
        <v>10317.130623999999</v>
      </c>
      <c r="EW20" s="699"/>
      <c r="EX20" s="700">
        <f>EW20/EU20</f>
        <v>0</v>
      </c>
      <c r="EY20" s="593">
        <f>'Proy 2022 vs 2019 sem'!AA19*FB$4</f>
        <v>15939.387199999999</v>
      </c>
      <c r="EZ20" s="593">
        <f>'Proy 2022 vs 2019 sem'!AB19*FB$4</f>
        <v>14186.054607999999</v>
      </c>
      <c r="FA20" s="699"/>
      <c r="FB20" s="700">
        <f>FA20/EY20</f>
        <v>0</v>
      </c>
      <c r="FC20" s="579">
        <f>EA20+EE20+EI20+EM20+EQ20+EU20+EY20</f>
        <v>72451.759999999995</v>
      </c>
      <c r="FD20" s="574">
        <f>EB20+EF20+EJ20+EN20+ER20+EV20+EZ20</f>
        <v>64482.066399999989</v>
      </c>
      <c r="FE20" s="793">
        <f>EC20+EG20+EK20+EO20+ES20+EW20+FA20</f>
        <v>0</v>
      </c>
      <c r="FF20" s="786">
        <f>FE20/FC20</f>
        <v>0</v>
      </c>
      <c r="FG20" s="593">
        <f>'Proy 2022 vs 2019 sem'!AF19*FJ$4</f>
        <v>12316.103999999999</v>
      </c>
      <c r="FH20" s="593">
        <f>'Proy 2022 vs 2019 sem'!AG19*FJ$4</f>
        <v>10838.17152</v>
      </c>
      <c r="FI20" s="699"/>
      <c r="FJ20" s="700">
        <f>FI20/FG20</f>
        <v>0</v>
      </c>
      <c r="FK20" s="593">
        <f>'Proy 2022 vs 2019 sem'!AF19*FN$4</f>
        <v>12316.103999999999</v>
      </c>
      <c r="FL20" s="593">
        <f>'Proy 2022 vs 2019 sem'!AG19*FN$4</f>
        <v>10838.17152</v>
      </c>
      <c r="FM20" s="699"/>
      <c r="FN20" s="700">
        <f>FM20/FK20</f>
        <v>0</v>
      </c>
      <c r="FO20" s="593">
        <f>'Proy 2022 vs 2019 sem'!AF19*FR$4</f>
        <v>12316.103999999999</v>
      </c>
      <c r="FP20" s="593">
        <f>'Proy 2022 vs 2019 sem'!AG19*FR$4</f>
        <v>10838.17152</v>
      </c>
      <c r="FQ20" s="699"/>
      <c r="FR20" s="700">
        <f>FQ20/FO20</f>
        <v>0</v>
      </c>
      <c r="FS20" s="593">
        <f>'Proy 2022 vs 2019 sem'!AF19*FV$4</f>
        <v>12316.103999999999</v>
      </c>
      <c r="FT20" s="593">
        <f>'Proy 2022 vs 2019 sem'!AG19*FV$4</f>
        <v>10838.17152</v>
      </c>
      <c r="FU20" s="699"/>
      <c r="FV20" s="700">
        <f>FU20/FS20</f>
        <v>0</v>
      </c>
      <c r="FW20" s="593">
        <f>'Proy 2022 vs 2019 sem'!AF19*FZ$4</f>
        <v>14368.788</v>
      </c>
      <c r="FX20" s="593">
        <f>'Proy 2022 vs 2019 sem'!AG19*FZ$4</f>
        <v>12644.533440000001</v>
      </c>
      <c r="FY20" s="699"/>
      <c r="FZ20" s="700">
        <f>FY20/FW20</f>
        <v>0</v>
      </c>
      <c r="GA20" s="593">
        <f>'Proy 2022 vs 2019 sem'!AF19*GD$4</f>
        <v>16421.472000000002</v>
      </c>
      <c r="GB20" s="593">
        <f>'Proy 2022 vs 2019 sem'!AG19*GD$4</f>
        <v>14450.89536</v>
      </c>
      <c r="GC20" s="699"/>
      <c r="GD20" s="700">
        <f>GC20/GA20</f>
        <v>0</v>
      </c>
      <c r="GE20" s="593">
        <f>'Proy 2022 vs 2019 sem'!AF19*GH$4</f>
        <v>22579.524000000001</v>
      </c>
      <c r="GF20" s="593">
        <f>'Proy 2022 vs 2019 sem'!AG19*GH$4</f>
        <v>19869.98112</v>
      </c>
      <c r="GG20" s="699"/>
      <c r="GH20" s="700">
        <f>GG20/GE20</f>
        <v>0</v>
      </c>
      <c r="GI20" s="579">
        <f>FG20+FK20+FO20+FS20+FW20+GA20+GE20</f>
        <v>102634.20000000001</v>
      </c>
      <c r="GJ20" s="574">
        <f>FH20+FL20+FP20+FT20+FX20+GB20+GF20</f>
        <v>90318.09599999999</v>
      </c>
      <c r="GK20" s="794">
        <f>FI20+FM20+FQ20+FU20+FY20+GC20+GG20</f>
        <v>0</v>
      </c>
      <c r="GL20" s="786">
        <f>GK20/GI20</f>
        <v>0</v>
      </c>
      <c r="GM20" s="593">
        <f>'Proy 2022 vs 2019 sem'!AK19*GP$4</f>
        <v>10411.493999999999</v>
      </c>
      <c r="GN20" s="593">
        <f>'Proy 2022 vs 2019 sem'!AL19*GP$4</f>
        <v>9370.3446000000004</v>
      </c>
      <c r="GO20" s="699"/>
      <c r="GP20" s="700">
        <f>GO20/GM20</f>
        <v>0</v>
      </c>
      <c r="GQ20" s="593">
        <f>'Proy 2022 vs 2019 sem'!AK19*GT$4</f>
        <v>10411.493999999999</v>
      </c>
      <c r="GR20" s="593">
        <f>'Proy 2022 vs 2019 sem'!AL19*GT$4</f>
        <v>9370.3446000000004</v>
      </c>
      <c r="GS20" s="699"/>
      <c r="GT20" s="700">
        <f>GS20/GQ20</f>
        <v>0</v>
      </c>
      <c r="GU20" s="593">
        <f>'Proy 2022 vs 2019 sem'!AK19*GX$4</f>
        <v>10411.493999999999</v>
      </c>
      <c r="GV20" s="593">
        <f>'Proy 2022 vs 2019 sem'!AL19*GX$4</f>
        <v>9370.3446000000004</v>
      </c>
      <c r="GW20" s="699"/>
      <c r="GX20" s="700">
        <f>GW20/GU20</f>
        <v>0</v>
      </c>
      <c r="GY20" s="593">
        <f>'Proy 2022 vs 2019 sem'!AK19*HB$4</f>
        <v>10411.493999999999</v>
      </c>
      <c r="GZ20" s="593">
        <f>'Proy 2022 vs 2019 sem'!AL19*HB$4</f>
        <v>9370.3446000000004</v>
      </c>
      <c r="HA20" s="699"/>
      <c r="HB20" s="700">
        <f>HA20/GY20</f>
        <v>0</v>
      </c>
      <c r="HC20" s="593">
        <f>'Proy 2022 vs 2019 sem'!AK19*HF$4</f>
        <v>12146.743</v>
      </c>
      <c r="HD20" s="593">
        <f>'Proy 2022 vs 2019 sem'!AL19*HF$4</f>
        <v>10932.068700000002</v>
      </c>
      <c r="HE20" s="699"/>
      <c r="HF20" s="700">
        <f>HE20/HC20</f>
        <v>0</v>
      </c>
      <c r="HG20" s="593">
        <f>'Proy 2022 vs 2019 sem'!AK19*HJ$4</f>
        <v>13881.992</v>
      </c>
      <c r="HH20" s="593">
        <f>'Proy 2022 vs 2019 sem'!AL19*HJ$4</f>
        <v>12493.792800000001</v>
      </c>
      <c r="HI20" s="699"/>
      <c r="HJ20" s="700">
        <f>HI20/HG20</f>
        <v>0</v>
      </c>
      <c r="HK20" s="593">
        <f>'Proy 2022 vs 2019 sem'!AK19*HN$4</f>
        <v>19087.738999999998</v>
      </c>
      <c r="HL20" s="593">
        <f>'Proy 2022 vs 2019 sem'!AL19*HN$4</f>
        <v>17178.965100000001</v>
      </c>
      <c r="HM20" s="699"/>
      <c r="HN20" s="700">
        <f>HM20/HK20</f>
        <v>0</v>
      </c>
      <c r="HO20" s="579">
        <f>GM20+GQ20+GU20+GY20+HC20+HG20+HK20</f>
        <v>86762.45</v>
      </c>
      <c r="HP20" s="574">
        <f>GN20+GR20+GV20+GZ20+HD20+HH20+HL20</f>
        <v>78086.205000000016</v>
      </c>
      <c r="HQ20" s="794">
        <f>GO20+GS20+GW20+HA20+HE20+HI20+HM20</f>
        <v>0</v>
      </c>
      <c r="HR20" s="786">
        <f>HQ20/HO20</f>
        <v>0</v>
      </c>
      <c r="HS20" s="593">
        <f>'Proy 2022 vs 2019 sem'!AK19*HV$4</f>
        <v>10411.493999999999</v>
      </c>
      <c r="HT20" s="593">
        <f>'Proy 2022 vs 2019 sem'!AL19*HV$4</f>
        <v>9370.3446000000004</v>
      </c>
      <c r="HU20" s="699"/>
      <c r="HV20" s="700">
        <f>HU20/HS20</f>
        <v>0</v>
      </c>
      <c r="HW20" s="593">
        <f>'Proy 2022 vs 2019 sem'!AK19*HZ$4</f>
        <v>10411.493999999999</v>
      </c>
      <c r="HX20" s="593">
        <f>'Proy 2022 vs 2019 sem'!AL19*HZ$4</f>
        <v>9370.3446000000004</v>
      </c>
      <c r="HY20" s="699"/>
      <c r="HZ20" s="700">
        <f>HY20/HW20</f>
        <v>0</v>
      </c>
      <c r="IA20" s="593">
        <f>'Proy 2022 vs 2019 sem'!AK19*ID$4</f>
        <v>10411.493999999999</v>
      </c>
      <c r="IB20" s="593">
        <f>'Proy 2022 vs 2019 sem'!AL19*ID$4</f>
        <v>9370.3446000000004</v>
      </c>
      <c r="IC20" s="699"/>
      <c r="ID20" s="700">
        <f>IC20/IA20</f>
        <v>0</v>
      </c>
      <c r="IE20" s="593">
        <f>'Proy 2022 vs 2019 sem'!AK19*IH$4</f>
        <v>10411.493999999999</v>
      </c>
      <c r="IF20" s="593">
        <f>'Proy 2022 vs 2019 sem'!AL19*IH$4</f>
        <v>9370.3446000000004</v>
      </c>
      <c r="IG20" s="699"/>
      <c r="IH20" s="700">
        <f>IG20/IE20</f>
        <v>0</v>
      </c>
      <c r="II20" s="593">
        <f>'Proy 2022 vs 2019 sem'!AK19*IL$4</f>
        <v>12146.743</v>
      </c>
      <c r="IJ20" s="593">
        <f>'Proy 2022 vs 2019 sem'!AL19*IL$4</f>
        <v>10932.068700000002</v>
      </c>
      <c r="IK20" s="699"/>
      <c r="IL20" s="700">
        <f>IK20/II20</f>
        <v>0</v>
      </c>
      <c r="IM20" s="593">
        <f>'Proy 2022 vs 2019 sem'!AK19*IP$4</f>
        <v>13881.992</v>
      </c>
      <c r="IN20" s="593">
        <f>'Proy 2022 vs 2019 sem'!AL19*IP$4</f>
        <v>12493.792800000001</v>
      </c>
      <c r="IO20" s="699"/>
      <c r="IP20" s="700">
        <f>IO20/IM20</f>
        <v>0</v>
      </c>
      <c r="IQ20" s="593">
        <f>'Proy 2022 vs 2019 sem'!AK19*IT$4</f>
        <v>19087.738999999998</v>
      </c>
      <c r="IR20" s="593">
        <f>'Proy 2022 vs 2019 sem'!AL19*IT$4</f>
        <v>17178.965100000001</v>
      </c>
      <c r="IS20" s="699"/>
      <c r="IT20" s="700">
        <f>IS20/IQ20</f>
        <v>0</v>
      </c>
      <c r="IU20" s="579">
        <f>HS20+HW20+IA20+IE20+II20+IM20+IQ20</f>
        <v>86762.45</v>
      </c>
      <c r="IV20" s="574">
        <f>HT20+HX20+IB20+IF20+IJ20+IN20+IR20</f>
        <v>78086.205000000016</v>
      </c>
      <c r="IW20" s="785">
        <f>HU20+HY20+IC20+IG20+IK20+IO20+IS20</f>
        <v>0</v>
      </c>
      <c r="IX20" s="786">
        <f>IW20/IU20</f>
        <v>0</v>
      </c>
      <c r="IY20" s="593">
        <f>'Proy 2022 vs 2019 sem'!AY19*JB$4</f>
        <v>11418.7284</v>
      </c>
      <c r="IZ20" s="593">
        <f>'Proy 2022 vs 2019 sem'!AZ19*JB$4</f>
        <v>10162.668276</v>
      </c>
      <c r="JA20" s="735"/>
      <c r="JB20" s="700">
        <f>JA20/IY20</f>
        <v>0</v>
      </c>
      <c r="JC20" s="593">
        <f>'Proy 2022 vs 2019 sem'!AY19*JF$4</f>
        <v>11418.7284</v>
      </c>
      <c r="JD20" s="593">
        <f>'Proy 2022 vs 2019 sem'!AZ19*JF$4</f>
        <v>10162.668276</v>
      </c>
      <c r="JE20" s="735"/>
      <c r="JF20" s="700">
        <f>JE20/JC20</f>
        <v>0</v>
      </c>
      <c r="JG20" s="593">
        <f>'Proy 2022 vs 2019 sem'!AY19*JJ$4</f>
        <v>11418.7284</v>
      </c>
      <c r="JH20" s="593">
        <f>'Proy 2022 vs 2019 sem'!AZ19*JJ$4</f>
        <v>10162.668276</v>
      </c>
      <c r="JI20" s="735"/>
      <c r="JJ20" s="700">
        <f>JI20/JG20</f>
        <v>0</v>
      </c>
      <c r="JK20" s="593">
        <f>'Proy 2022 vs 2019 sem'!AY19*JN$4</f>
        <v>11418.7284</v>
      </c>
      <c r="JL20" s="593">
        <f>'Proy 2022 vs 2019 sem'!AZ19*JN$4</f>
        <v>10162.668276</v>
      </c>
      <c r="JM20" s="735"/>
      <c r="JN20" s="700">
        <f>JM20/JK20</f>
        <v>0</v>
      </c>
      <c r="JO20" s="593">
        <f>'Proy 2022 vs 2019 sem'!AY19*JR$4</f>
        <v>13321.849800000002</v>
      </c>
      <c r="JP20" s="593">
        <f>'Proy 2022 vs 2019 sem'!AZ19*JR$4</f>
        <v>11856.446322000002</v>
      </c>
      <c r="JQ20" s="735"/>
      <c r="JR20" s="700">
        <f>JQ20/JO20</f>
        <v>0</v>
      </c>
      <c r="JS20" s="593">
        <f>'Proy 2022 vs 2019 sem'!AY19*JV$4</f>
        <v>15224.971200000002</v>
      </c>
      <c r="JT20" s="593">
        <f>'Proy 2022 vs 2019 sem'!AZ19*JV$4</f>
        <v>13550.224368000001</v>
      </c>
      <c r="JU20" s="735"/>
      <c r="JV20" s="700">
        <f>JU20/JS20</f>
        <v>0</v>
      </c>
      <c r="JW20" s="593">
        <f>'Proy 2022 vs 2019 sem'!AY19*JZ$4</f>
        <v>20934.3354</v>
      </c>
      <c r="JX20" s="593">
        <f>'Proy 2022 vs 2019 sem'!AZ19*JZ$4</f>
        <v>18631.558506000001</v>
      </c>
      <c r="JY20" s="735"/>
      <c r="JZ20" s="700">
        <f>JY20/JW20</f>
        <v>0</v>
      </c>
      <c r="KA20" s="579">
        <f>IY20+JC20+JG20+JK20+JO20+JS20+JW20</f>
        <v>95156.07</v>
      </c>
      <c r="KB20" s="574">
        <f>IZ20+JD20+JH20+JL20+JP20+JT20+JX20</f>
        <v>84688.902300000002</v>
      </c>
      <c r="KC20" s="729">
        <f>JA20+JE20+JI20+JM20+JQ20+JU20+JY20</f>
        <v>0</v>
      </c>
      <c r="KD20" s="711">
        <f>KC20/KA20</f>
        <v>0</v>
      </c>
      <c r="KE20" s="593">
        <f>'Proy 2022 vs 2019 sem'!BD19*KH$4</f>
        <v>12725.4792</v>
      </c>
      <c r="KF20" s="593">
        <f>'Proy 2022 vs 2019 sem'!BE19*KH$4</f>
        <v>11325.676488000001</v>
      </c>
      <c r="KG20" s="699"/>
      <c r="KH20" s="700">
        <f>KG20/KE20</f>
        <v>0</v>
      </c>
      <c r="KI20" s="593">
        <f>'Proy 2022 vs 2019 sem'!BD19*KL$4</f>
        <v>12725.4792</v>
      </c>
      <c r="KJ20" s="593">
        <f>'Proy 2022 vs 2019 sem'!BE19*KL$4</f>
        <v>11325.676488000001</v>
      </c>
      <c r="KK20" s="699"/>
      <c r="KL20" s="700">
        <f>KK20/KI20</f>
        <v>0</v>
      </c>
      <c r="KM20" s="593">
        <f>'Proy 2022 vs 2019 sem'!BD19*KP$4</f>
        <v>12725.4792</v>
      </c>
      <c r="KN20" s="593">
        <f>'Proy 2022 vs 2019 sem'!BE19*KP$4</f>
        <v>11325.676488000001</v>
      </c>
      <c r="KO20" s="699"/>
      <c r="KP20" s="700">
        <f>KO20/KM20</f>
        <v>0</v>
      </c>
      <c r="KQ20" s="593">
        <f>'Proy 2022 vs 2019 sem'!BD19*KT$4</f>
        <v>12725.4792</v>
      </c>
      <c r="KR20" s="593">
        <f>'Proy 2022 vs 2019 sem'!BE19*KT$4</f>
        <v>11325.676488000001</v>
      </c>
      <c r="KS20" s="699"/>
      <c r="KT20" s="700">
        <f>KS20/KQ20</f>
        <v>0</v>
      </c>
      <c r="KU20" s="593">
        <f>'Proy 2022 vs 2019 sem'!BD19*KX$4</f>
        <v>14846.392400000002</v>
      </c>
      <c r="KV20" s="593">
        <f>'Proy 2022 vs 2019 sem'!BE19*KX$4</f>
        <v>13213.289236000002</v>
      </c>
      <c r="KW20" s="699"/>
      <c r="KX20" s="700">
        <f>KW20/KU20</f>
        <v>0</v>
      </c>
      <c r="KY20" s="593">
        <f>'Proy 2022 vs 2019 sem'!BD19*LB$4</f>
        <v>16967.3056</v>
      </c>
      <c r="KZ20" s="593">
        <f>'Proy 2022 vs 2019 sem'!BE19*LB$4</f>
        <v>15100.901984000002</v>
      </c>
      <c r="LA20" s="699"/>
      <c r="LB20" s="700">
        <f>LA20/KY20</f>
        <v>0</v>
      </c>
      <c r="LC20" s="593">
        <f>'Proy 2022 vs 2019 sem'!BD19*LF$4</f>
        <v>23330.0452</v>
      </c>
      <c r="LD20" s="593">
        <f>'Proy 2022 vs 2019 sem'!BE19*LF$4</f>
        <v>20763.740228000002</v>
      </c>
      <c r="LE20" s="699"/>
      <c r="LF20" s="700">
        <f>LE20/LC20</f>
        <v>0</v>
      </c>
      <c r="LG20" s="579">
        <f>KE20+KI20+KM20+KQ20+KU20+KY20+LC20</f>
        <v>106045.66</v>
      </c>
      <c r="LH20" s="574">
        <f>KF20+KJ20+KN20+KR20+KV20+KZ20+LD20</f>
        <v>94380.637400000007</v>
      </c>
      <c r="LI20" s="730">
        <f>KG20+KK20+KO20+KS20+KW20+LA20+LE20</f>
        <v>0</v>
      </c>
      <c r="LJ20" s="711">
        <f>LI20/LG20</f>
        <v>0</v>
      </c>
      <c r="LK20" s="593">
        <f>'Proy 2022 vs 2019 sem'!BI19*LN$4</f>
        <v>12272.0928</v>
      </c>
      <c r="LL20" s="593">
        <f>'Proy 2022 vs 2019 sem'!BJ19*LN$4</f>
        <v>10922.162592000001</v>
      </c>
      <c r="LM20" s="699"/>
      <c r="LN20" s="700">
        <f>LM20/LK20</f>
        <v>0</v>
      </c>
      <c r="LO20" s="593">
        <f>'Proy 2022 vs 2019 sem'!BI19*LR$4</f>
        <v>12272.0928</v>
      </c>
      <c r="LP20" s="593">
        <f>'Proy 2022 vs 2019 sem'!BJ19*LR$4</f>
        <v>10922.162592000001</v>
      </c>
      <c r="LQ20" s="699"/>
      <c r="LR20" s="700">
        <f>LQ20/LO20</f>
        <v>0</v>
      </c>
      <c r="LS20" s="593">
        <f>'Proy 2022 vs 2019 sem'!BI19*LV$4</f>
        <v>12272.0928</v>
      </c>
      <c r="LT20" s="593">
        <f>'Proy 2022 vs 2019 sem'!BJ19*LV$4</f>
        <v>10922.162592000001</v>
      </c>
      <c r="LU20" s="699"/>
      <c r="LV20" s="700">
        <f>LU20/LS20</f>
        <v>0</v>
      </c>
      <c r="LW20" s="593">
        <f>'Proy 2022 vs 2019 sem'!BI19*LZ$4</f>
        <v>12272.0928</v>
      </c>
      <c r="LX20" s="593">
        <f>'Proy 2022 vs 2019 sem'!BJ19*LZ$4</f>
        <v>10922.162592000001</v>
      </c>
      <c r="LY20" s="699"/>
      <c r="LZ20" s="700">
        <f>LY20/LW20</f>
        <v>0</v>
      </c>
      <c r="MA20" s="593">
        <f>'Proy 2022 vs 2019 sem'!BI19*MD$4</f>
        <v>14317.441600000002</v>
      </c>
      <c r="MB20" s="593">
        <f>'Proy 2022 vs 2019 sem'!BJ19*MD$4</f>
        <v>12742.523024000002</v>
      </c>
      <c r="MC20" s="699"/>
      <c r="MD20" s="700">
        <f>MC20/MA20</f>
        <v>0</v>
      </c>
      <c r="ME20" s="593">
        <f>'Proy 2022 vs 2019 sem'!BI19*MH$4</f>
        <v>16362.7904</v>
      </c>
      <c r="MF20" s="593">
        <f>'Proy 2022 vs 2019 sem'!BJ19*MH$4</f>
        <v>14562.883456000001</v>
      </c>
      <c r="MG20" s="699"/>
      <c r="MH20" s="700">
        <f>MG20/ME20</f>
        <v>0</v>
      </c>
      <c r="MI20" s="593">
        <f>'Proy 2022 vs 2019 sem'!BI19*ML$4</f>
        <v>22498.836800000001</v>
      </c>
      <c r="MJ20" s="593">
        <f>'Proy 2022 vs 2019 sem'!BJ19*ML$4</f>
        <v>20023.964752000004</v>
      </c>
      <c r="MK20" s="699"/>
      <c r="ML20" s="700">
        <f>MK20/MI20</f>
        <v>0</v>
      </c>
      <c r="MM20" s="579">
        <f>LK20+LO20+LS20+LW20+MA20+ME20+MI20</f>
        <v>102267.44</v>
      </c>
      <c r="MN20" s="574">
        <f>LL20+LP20+LT20+LX20+MB20+MF20+MJ20</f>
        <v>91018.021600000007</v>
      </c>
      <c r="MO20" s="730">
        <f>LM20+LQ20+LU20+LY20+MC20+MG20+MK20</f>
        <v>0</v>
      </c>
      <c r="MP20" s="711">
        <f>MO20/MM20</f>
        <v>0</v>
      </c>
      <c r="MQ20" s="593">
        <f>'Proy 2022 vs 2019 sem'!BN19*MT$4</f>
        <v>10858.480799999999</v>
      </c>
      <c r="MR20" s="593">
        <f>'Proy 2022 vs 2019 sem'!BO19*MT$4</f>
        <v>9446.878295999999</v>
      </c>
      <c r="MS20" s="699"/>
      <c r="MT20" s="700">
        <f>MS20/MQ20</f>
        <v>0</v>
      </c>
      <c r="MU20" s="593">
        <f>'Proy 2022 vs 2019 sem'!BN19*MX$4</f>
        <v>10858.480799999999</v>
      </c>
      <c r="MV20" s="593">
        <f>'Proy 2022 vs 2019 sem'!BO19*MX$4</f>
        <v>9446.878295999999</v>
      </c>
      <c r="MW20" s="699"/>
      <c r="MX20" s="700">
        <f>MW20/MU20</f>
        <v>0</v>
      </c>
      <c r="MY20" s="593">
        <f>'Proy 2022 vs 2019 sem'!BN19*NB$4</f>
        <v>10858.480799999999</v>
      </c>
      <c r="MZ20" s="593">
        <f>'Proy 2022 vs 2019 sem'!BO19*NB$4</f>
        <v>9446.878295999999</v>
      </c>
      <c r="NA20" s="699"/>
      <c r="NB20" s="700">
        <f>NA20/MY20</f>
        <v>0</v>
      </c>
      <c r="NC20" s="593">
        <f>'Proy 2022 vs 2019 sem'!BN19*NF$4</f>
        <v>10858.480799999999</v>
      </c>
      <c r="ND20" s="593">
        <f>'Proy 2022 vs 2019 sem'!BO19*NF$4</f>
        <v>9446.878295999999</v>
      </c>
      <c r="NE20" s="699"/>
      <c r="NF20" s="700">
        <f>NE20/NC20</f>
        <v>0</v>
      </c>
      <c r="NG20" s="593">
        <f>'Proy 2022 vs 2019 sem'!BN19*NJ$4</f>
        <v>12668.2276</v>
      </c>
      <c r="NH20" s="593">
        <f>'Proy 2022 vs 2019 sem'!BO19*NJ$4</f>
        <v>11021.358012000001</v>
      </c>
      <c r="NI20" s="699"/>
      <c r="NJ20" s="700">
        <f>NI20/NG20</f>
        <v>0</v>
      </c>
      <c r="NK20" s="593">
        <f>'Proy 2022 vs 2019 sem'!BN19*NN$4</f>
        <v>14477.974399999999</v>
      </c>
      <c r="NL20" s="593">
        <f>'Proy 2022 vs 2019 sem'!BO19*NN$4</f>
        <v>12595.837727999999</v>
      </c>
      <c r="NM20" s="699"/>
      <c r="NN20" s="700">
        <f>NM20/NK20</f>
        <v>0</v>
      </c>
      <c r="NO20" s="593">
        <f>'Proy 2022 vs 2019 sem'!BN19*NR$4</f>
        <v>19907.214799999998</v>
      </c>
      <c r="NP20" s="593">
        <f>'Proy 2022 vs 2019 sem'!BO19*NR$4</f>
        <v>17319.276876</v>
      </c>
      <c r="NQ20" s="699"/>
      <c r="NR20" s="700">
        <f>NQ20/NO20</f>
        <v>0</v>
      </c>
      <c r="NS20" s="579">
        <f>MQ20+MU20+MY20+NC20+NG20+NK20+NO20</f>
        <v>90487.34</v>
      </c>
      <c r="NT20" s="574">
        <f>MR20+MV20+MZ20+ND20+NH20+NL20+NP20</f>
        <v>78723.985799999995</v>
      </c>
      <c r="NU20" s="710">
        <f>MS20+MW20+NA20+NE20+NI20+NM20+NQ20</f>
        <v>0</v>
      </c>
      <c r="NV20" s="711">
        <f>NU20/NS20</f>
        <v>0</v>
      </c>
      <c r="NW20" s="593">
        <f>'Proy 2022 vs 2019 sem'!BS19*NZ$4</f>
        <v>12951.109200000001</v>
      </c>
      <c r="NX20" s="593">
        <f>'Proy 2022 vs 2019 sem'!BT19*NZ$4</f>
        <v>11526.487188000001</v>
      </c>
      <c r="NY20" s="699"/>
      <c r="NZ20" s="700">
        <f>NY20/NW20</f>
        <v>0</v>
      </c>
      <c r="OA20" s="593">
        <f>'Proy 2022 vs 2019 sem'!BS19*OD$4</f>
        <v>12951.109200000001</v>
      </c>
      <c r="OB20" s="593">
        <f>'Proy 2022 vs 2019 sem'!BT19*OD$4</f>
        <v>11526.487188000001</v>
      </c>
      <c r="OC20" s="699"/>
      <c r="OD20" s="700">
        <f>OC20/OA20</f>
        <v>0</v>
      </c>
      <c r="OE20" s="593">
        <f>'Proy 2022 vs 2019 sem'!BS19*OH$4</f>
        <v>12951.109200000001</v>
      </c>
      <c r="OF20" s="593">
        <f>'Proy 2022 vs 2019 sem'!BT19*OH$4</f>
        <v>11526.487188000001</v>
      </c>
      <c r="OG20" s="699"/>
      <c r="OH20" s="700">
        <f>OG20/OE20</f>
        <v>0</v>
      </c>
      <c r="OI20" s="593">
        <f>'Proy 2022 vs 2019 sem'!BS19*OL$4</f>
        <v>12951.109200000001</v>
      </c>
      <c r="OJ20" s="593">
        <f>'Proy 2022 vs 2019 sem'!BT19*OL$4</f>
        <v>11526.487188000001</v>
      </c>
      <c r="OK20" s="699"/>
      <c r="OL20" s="700">
        <f>OK20/OI20</f>
        <v>0</v>
      </c>
      <c r="OM20" s="593">
        <f>'Proy 2022 vs 2019 sem'!BS19*OP$4</f>
        <v>15109.627400000001</v>
      </c>
      <c r="ON20" s="593">
        <f>'Proy 2022 vs 2019 sem'!BT19*OP$4</f>
        <v>13447.568386000003</v>
      </c>
      <c r="OO20" s="699"/>
      <c r="OP20" s="700">
        <f>OO20/OM20</f>
        <v>0</v>
      </c>
      <c r="OQ20" s="593">
        <f>'Proy 2022 vs 2019 sem'!BS19*OT$4</f>
        <v>17268.1456</v>
      </c>
      <c r="OR20" s="593">
        <f>'Proy 2022 vs 2019 sem'!BT19*OT$4</f>
        <v>15368.649584000001</v>
      </c>
      <c r="OS20" s="699"/>
      <c r="OT20" s="700">
        <f>OS20/OQ20</f>
        <v>0</v>
      </c>
      <c r="OU20" s="593">
        <f>'Proy 2022 vs 2019 sem'!BS19*OX$4</f>
        <v>23743.700199999999</v>
      </c>
      <c r="OV20" s="593">
        <f>'Proy 2022 vs 2019 sem'!BT19*OX$4</f>
        <v>21131.893178000002</v>
      </c>
      <c r="OW20" s="699"/>
      <c r="OX20" s="700">
        <f>OW20/OU20</f>
        <v>0</v>
      </c>
      <c r="OY20" s="579">
        <f>NW20+OA20+OE20+OI20+OM20+OQ20+OU20</f>
        <v>107925.91</v>
      </c>
      <c r="OZ20" s="574">
        <f>NX20+OB20+OF20+OJ20+ON20+OR20+OV20</f>
        <v>96054.059900000007</v>
      </c>
      <c r="PA20" s="710">
        <f>NY20+OC20+OG20+OK20+OO20+OS20+OW20</f>
        <v>0</v>
      </c>
      <c r="PB20" s="711">
        <f>PA20/OY20</f>
        <v>0</v>
      </c>
      <c r="PC20" s="593">
        <f>'Proy 2022 vs 2019 sem'!CB19*PF$4</f>
        <v>14263.996799999999</v>
      </c>
      <c r="PD20" s="593">
        <f>'Proy 2022 vs 2019 sem'!CC19*PF$4</f>
        <v>12694.957152000001</v>
      </c>
      <c r="PE20" s="735"/>
      <c r="PF20" s="700">
        <f>PE20/PC20</f>
        <v>0</v>
      </c>
      <c r="PG20" s="593">
        <f>'Proy 2022 vs 2019 sem'!CB19*PJ$4</f>
        <v>14263.996799999999</v>
      </c>
      <c r="PH20" s="593">
        <f>'Proy 2022 vs 2019 sem'!CC19*PJ$4</f>
        <v>12694.957152000001</v>
      </c>
      <c r="PI20" s="699"/>
      <c r="PJ20" s="700">
        <f>PI20/PG20</f>
        <v>0</v>
      </c>
      <c r="PK20" s="593">
        <f>'Proy 2022 vs 2019 sem'!CB19*PN$4</f>
        <v>14263.996799999999</v>
      </c>
      <c r="PL20" s="593">
        <f>'Proy 2022 vs 2019 sem'!CC19*PN$4</f>
        <v>12694.957152000001</v>
      </c>
      <c r="PM20" s="699"/>
      <c r="PN20" s="700">
        <f>PM20/PK20</f>
        <v>0</v>
      </c>
      <c r="PO20" s="593">
        <f>'Proy 2022 vs 2019 sem'!CB19*PR$4</f>
        <v>14263.996799999999</v>
      </c>
      <c r="PP20" s="593">
        <f>'Proy 2022 vs 2019 sem'!CC19*PR$4</f>
        <v>12694.957152000001</v>
      </c>
      <c r="PQ20" s="699"/>
      <c r="PR20" s="700">
        <f>PQ20/PO20</f>
        <v>0</v>
      </c>
      <c r="PS20" s="593">
        <f>'Proy 2022 vs 2019 sem'!CB19*PV$4</f>
        <v>16641.329600000001</v>
      </c>
      <c r="PT20" s="593">
        <f>'Proy 2022 vs 2019 sem'!CC19*PV$4</f>
        <v>14810.783344000003</v>
      </c>
      <c r="PU20" s="699"/>
      <c r="PV20" s="700">
        <f>PU20/PS20</f>
        <v>0</v>
      </c>
      <c r="PW20" s="593">
        <f>'Proy 2022 vs 2019 sem'!CB19*PZ$4</f>
        <v>19018.662400000001</v>
      </c>
      <c r="PX20" s="593">
        <f>'Proy 2022 vs 2019 sem'!CC19*PZ$4</f>
        <v>16926.609536</v>
      </c>
      <c r="PY20" s="699"/>
      <c r="PZ20" s="700">
        <f>PY20/PW20</f>
        <v>0</v>
      </c>
      <c r="QA20" s="593">
        <f>'Proy 2022 vs 2019 sem'!CB19*QD$4</f>
        <v>26150.660800000001</v>
      </c>
      <c r="QB20" s="593">
        <f>'Proy 2022 vs 2019 sem'!CC19*QD$4</f>
        <v>23274.088112000001</v>
      </c>
      <c r="QC20" s="699"/>
      <c r="QD20" s="700">
        <f>QC20/QA20</f>
        <v>0</v>
      </c>
      <c r="QE20" s="579">
        <f>PC20+PG20+PK20+PO20+PS20+PW20+QA20</f>
        <v>118866.64</v>
      </c>
      <c r="QF20" s="574">
        <f>PD20+PH20+PL20+PP20+PT20+PX20+QB20</f>
        <v>105791.30960000001</v>
      </c>
      <c r="QG20" s="793">
        <f>PE20+PI20+PM20+PQ20+PU20+PY20+QC20</f>
        <v>0</v>
      </c>
      <c r="QH20" s="786">
        <f>QG20/QE20</f>
        <v>0</v>
      </c>
      <c r="QI20" s="593">
        <f>'Proy 2022 vs 2019 sem'!CG19*QL$4</f>
        <v>16403.3652</v>
      </c>
      <c r="QJ20" s="593">
        <f>'Proy 2022 vs 2019 sem'!CH19*QL$4</f>
        <v>14598.995027999999</v>
      </c>
      <c r="QK20" s="699"/>
      <c r="QL20" s="700">
        <f>QK20/QI20</f>
        <v>0</v>
      </c>
      <c r="QM20" s="593">
        <f>'Proy 2022 vs 2019 sem'!CG19*QP$4</f>
        <v>16403.3652</v>
      </c>
      <c r="QN20" s="593">
        <f>'Proy 2022 vs 2019 sem'!CH19*QP$4</f>
        <v>14598.995027999999</v>
      </c>
      <c r="QO20" s="699"/>
      <c r="QP20" s="700">
        <f>QO20/QM20</f>
        <v>0</v>
      </c>
      <c r="QQ20" s="593">
        <f>'Proy 2022 vs 2019 sem'!CG19*QT$4</f>
        <v>16403.3652</v>
      </c>
      <c r="QR20" s="593">
        <f>'Proy 2022 vs 2019 sem'!CH19*QT$4</f>
        <v>14598.995027999999</v>
      </c>
      <c r="QS20" s="699"/>
      <c r="QT20" s="700">
        <f>QS20/QQ20</f>
        <v>0</v>
      </c>
      <c r="QU20" s="593">
        <f>'Proy 2022 vs 2019 sem'!CG19*QX$4</f>
        <v>16403.3652</v>
      </c>
      <c r="QV20" s="593">
        <f>'Proy 2022 vs 2019 sem'!CH19*QX$4</f>
        <v>14598.995027999999</v>
      </c>
      <c r="QW20" s="699"/>
      <c r="QX20" s="700">
        <f>QW20/QU20</f>
        <v>0</v>
      </c>
      <c r="QY20" s="593">
        <f>'Proy 2022 vs 2019 sem'!CG19*RB$4</f>
        <v>19137.259399999999</v>
      </c>
      <c r="QZ20" s="593">
        <f>'Proy 2022 vs 2019 sem'!CH19*RB$4</f>
        <v>17032.160866000002</v>
      </c>
      <c r="RA20" s="699"/>
      <c r="RB20" s="700">
        <f>RA20/QY20</f>
        <v>0</v>
      </c>
      <c r="RC20" s="593">
        <f>'Proy 2022 vs 2019 sem'!CG19*RF$4</f>
        <v>21871.153599999998</v>
      </c>
      <c r="RD20" s="593">
        <f>'Proy 2022 vs 2019 sem'!CH19*RF$4</f>
        <v>19465.326703999999</v>
      </c>
      <c r="RE20" s="699"/>
      <c r="RF20" s="700">
        <f>RE20/RC20</f>
        <v>0</v>
      </c>
      <c r="RG20" s="593">
        <f>'Proy 2022 vs 2019 sem'!CG19*RJ$4</f>
        <v>30072.836199999998</v>
      </c>
      <c r="RH20" s="593">
        <f>'Proy 2022 vs 2019 sem'!CH19*RJ$4</f>
        <v>26764.824217999998</v>
      </c>
      <c r="RI20" s="699"/>
      <c r="RJ20" s="700">
        <f>RI20/RG20</f>
        <v>0</v>
      </c>
      <c r="RK20" s="579">
        <f>QI20+QM20+QQ20+QU20+QY20+RC20+RG20</f>
        <v>136694.71</v>
      </c>
      <c r="RL20" s="574">
        <f>QJ20+QN20+QR20+QV20+QZ20+RD20+RH20</f>
        <v>121658.29189999998</v>
      </c>
      <c r="RM20" s="794">
        <f>QK20+QO20+QS20+QW20+RA20+RE20+RI20</f>
        <v>0</v>
      </c>
      <c r="RN20" s="786">
        <f>RM20/RK20</f>
        <v>0</v>
      </c>
      <c r="RO20" s="593">
        <f>'Proy 2022 vs 2019 sem'!CL19*RR$4</f>
        <v>12776.25</v>
      </c>
      <c r="RP20" s="593">
        <f>'Proy 2022 vs 2019 sem'!CM19*RR$4</f>
        <v>11370.862499999999</v>
      </c>
      <c r="RQ20" s="699"/>
      <c r="RR20" s="700">
        <f>RQ20/RO20</f>
        <v>0</v>
      </c>
      <c r="RS20" s="593">
        <f>'Proy 2022 vs 2019 sem'!CL19*RV$4</f>
        <v>12776.25</v>
      </c>
      <c r="RT20" s="593">
        <f>'Proy 2022 vs 2019 sem'!CM19*RV$4</f>
        <v>11370.862499999999</v>
      </c>
      <c r="RU20" s="699"/>
      <c r="RV20" s="700">
        <f>RU20/RS20</f>
        <v>0</v>
      </c>
      <c r="RW20" s="593">
        <f>'Proy 2022 vs 2019 sem'!CL19*RZ$4</f>
        <v>12776.25</v>
      </c>
      <c r="RX20" s="593">
        <f>'Proy 2022 vs 2019 sem'!CM19*RZ$4</f>
        <v>11370.862499999999</v>
      </c>
      <c r="RY20" s="699"/>
      <c r="RZ20" s="700">
        <f>RY20/RW20</f>
        <v>0</v>
      </c>
      <c r="SA20" s="593">
        <f>'Proy 2022 vs 2019 sem'!CL19*SD$4</f>
        <v>12776.25</v>
      </c>
      <c r="SB20" s="593">
        <f>'Proy 2022 vs 2019 sem'!CM19*SD$4</f>
        <v>11370.862499999999</v>
      </c>
      <c r="SC20" s="699"/>
      <c r="SD20" s="700">
        <f>SC20/SA20</f>
        <v>0</v>
      </c>
      <c r="SE20" s="593">
        <f>'Proy 2022 vs 2019 sem'!CL19*SH$4</f>
        <v>14905.625000000002</v>
      </c>
      <c r="SF20" s="593">
        <f>'Proy 2022 vs 2019 sem'!CM19*SH$4</f>
        <v>13266.00625</v>
      </c>
      <c r="SG20" s="699"/>
      <c r="SH20" s="700">
        <f>SG20/SE20</f>
        <v>0</v>
      </c>
      <c r="SI20" s="593">
        <f>'Proy 2022 vs 2019 sem'!CL19*SL$4</f>
        <v>17035</v>
      </c>
      <c r="SJ20" s="593">
        <f>'Proy 2022 vs 2019 sem'!CM19*SL$4</f>
        <v>15161.15</v>
      </c>
      <c r="SK20" s="699"/>
      <c r="SL20" s="700">
        <f>SK20/SI20</f>
        <v>0</v>
      </c>
      <c r="SM20" s="593">
        <f>'Proy 2022 vs 2019 sem'!CL19*SP$4</f>
        <v>23423.125</v>
      </c>
      <c r="SN20" s="593">
        <f>'Proy 2022 vs 2019 sem'!CM19*SP$4</f>
        <v>20846.581249999999</v>
      </c>
      <c r="SO20" s="699"/>
      <c r="SP20" s="700">
        <f>SO20/SM20</f>
        <v>0</v>
      </c>
      <c r="SQ20" s="579">
        <f>RO20+RS20+RW20+SA20+SE20+SI20+SM20</f>
        <v>106468.75</v>
      </c>
      <c r="SR20" s="574">
        <f>RP20+RT20+RX20+SB20+SF20+SJ20+SN20</f>
        <v>94757.1875</v>
      </c>
      <c r="SS20" s="794">
        <f>RQ20+RU20+RY20+SC20+SG20+SK20+SO20</f>
        <v>0</v>
      </c>
      <c r="ST20" s="786">
        <f>SS20/SQ20</f>
        <v>0</v>
      </c>
      <c r="SU20" s="593">
        <f>'Proy 2022 vs 2019 sem'!CQ19*SX$4</f>
        <v>15775.048799999999</v>
      </c>
      <c r="SV20" s="593">
        <f>'Proy 2022 vs 2019 sem'!CR19*SX$4</f>
        <v>14197.543919999998</v>
      </c>
      <c r="SW20" s="699"/>
      <c r="SX20" s="700">
        <f>SW20/SU20</f>
        <v>0</v>
      </c>
      <c r="SY20" s="593">
        <f>'Proy 2022 vs 2019 sem'!CQ19*TB$4</f>
        <v>15775.048799999999</v>
      </c>
      <c r="SZ20" s="593">
        <f>'Proy 2022 vs 2019 sem'!CR19*TB$4</f>
        <v>14197.543919999998</v>
      </c>
      <c r="TA20" s="699"/>
      <c r="TB20" s="700">
        <f>TA20/SY20</f>
        <v>0</v>
      </c>
      <c r="TC20" s="593">
        <f>'Proy 2022 vs 2019 sem'!CQ19*TF$4</f>
        <v>15775.048799999999</v>
      </c>
      <c r="TD20" s="593">
        <f>'Proy 2022 vs 2019 sem'!CR19*TF$4</f>
        <v>14197.543919999998</v>
      </c>
      <c r="TE20" s="699"/>
      <c r="TF20" s="700">
        <f>TE20/TC20</f>
        <v>0</v>
      </c>
      <c r="TG20" s="593">
        <f>'Proy 2022 vs 2019 sem'!CQ19*TJ$4</f>
        <v>15775.048799999999</v>
      </c>
      <c r="TH20" s="593">
        <f>'Proy 2022 vs 2019 sem'!CR19*TJ$4</f>
        <v>14197.543919999998</v>
      </c>
      <c r="TI20" s="699"/>
      <c r="TJ20" s="700">
        <f>TI20/TG20</f>
        <v>0</v>
      </c>
      <c r="TK20" s="593">
        <f>'Proy 2022 vs 2019 sem'!CQ19*TN$4</f>
        <v>18404.223600000001</v>
      </c>
      <c r="TL20" s="593">
        <f>'Proy 2022 vs 2019 sem'!CR19*TN$4</f>
        <v>16563.801240000001</v>
      </c>
      <c r="TM20" s="699"/>
      <c r="TN20" s="700">
        <f>TM20/TK20</f>
        <v>0</v>
      </c>
      <c r="TO20" s="593">
        <f>'Proy 2022 vs 2019 sem'!CQ19*TR$4</f>
        <v>21033.398399999998</v>
      </c>
      <c r="TP20" s="593">
        <f>'Proy 2022 vs 2019 sem'!CR19*TR$4</f>
        <v>18930.058560000001</v>
      </c>
      <c r="TQ20" s="699"/>
      <c r="TR20" s="700">
        <f>TQ20/TO20</f>
        <v>0</v>
      </c>
      <c r="TS20" s="593">
        <f>'Proy 2022 vs 2019 sem'!CQ19*TV$4</f>
        <v>28920.922799999997</v>
      </c>
      <c r="TT20" s="593">
        <f>'Proy 2022 vs 2019 sem'!CR19*TV$4</f>
        <v>26028.83052</v>
      </c>
      <c r="TU20" s="699"/>
      <c r="TV20" s="700">
        <f>TU20/TS20</f>
        <v>0</v>
      </c>
      <c r="TW20" s="579">
        <f>SU20+SY20+TC20+TG20+TK20+TO20+TS20</f>
        <v>131458.74</v>
      </c>
      <c r="TX20" s="574">
        <f>SV20+SZ20+TD20+TH20+TL20+TP20+TT20</f>
        <v>118312.86599999999</v>
      </c>
      <c r="TY20" s="785">
        <f>SW20+TA20+TE20+TI20+TM20+TQ20+TU20</f>
        <v>0</v>
      </c>
      <c r="TZ20" s="786">
        <f>TY20/TW20</f>
        <v>0</v>
      </c>
      <c r="UA20" s="593">
        <f>'Proy 2022 vs 2019 sem'!CZ19*UD$4</f>
        <v>18085.071599999999</v>
      </c>
      <c r="UB20" s="593">
        <f>'Proy 2022 vs 2019 sem'!DA19*UD$4</f>
        <v>16095.713723999997</v>
      </c>
      <c r="UC20" s="735"/>
      <c r="UD20" s="700">
        <f>UC20/UA20</f>
        <v>0</v>
      </c>
      <c r="UE20" s="593">
        <f>'Proy 2022 vs 2019 sem'!CZ19*UH$4</f>
        <v>18085.071599999999</v>
      </c>
      <c r="UF20" s="593">
        <f>'Proy 2022 vs 2019 sem'!DA19*UH$4</f>
        <v>16095.713723999997</v>
      </c>
      <c r="UG20" s="699"/>
      <c r="UH20" s="700">
        <f>UG20/UE20</f>
        <v>0</v>
      </c>
      <c r="UI20" s="593">
        <f>'Proy 2022 vs 2019 sem'!CZ19*UL$4</f>
        <v>18085.071599999999</v>
      </c>
      <c r="UJ20" s="593">
        <f>'Proy 2022 vs 2019 sem'!DA19*UL$4</f>
        <v>16095.713723999997</v>
      </c>
      <c r="UK20" s="699"/>
      <c r="UL20" s="700">
        <f>UK20/UI20</f>
        <v>0</v>
      </c>
      <c r="UM20" s="593">
        <f>'Proy 2022 vs 2019 sem'!CZ19*UP$4</f>
        <v>18085.071599999999</v>
      </c>
      <c r="UN20" s="593">
        <f>'Proy 2022 vs 2019 sem'!DA19*UP$4</f>
        <v>16095.713723999997</v>
      </c>
      <c r="UO20" s="699"/>
      <c r="UP20" s="700">
        <f>UO20/UM20</f>
        <v>0</v>
      </c>
      <c r="UQ20" s="593">
        <f>'Proy 2022 vs 2019 sem'!CZ19*UT$4</f>
        <v>21099.250200000002</v>
      </c>
      <c r="UR20" s="593">
        <f>'Proy 2022 vs 2019 sem'!DA19*UT$4</f>
        <v>18778.332677999999</v>
      </c>
      <c r="US20" s="699"/>
      <c r="UT20" s="700">
        <f>US20/UQ20</f>
        <v>0</v>
      </c>
      <c r="UU20" s="593">
        <f>'Proy 2022 vs 2019 sem'!CZ19*UX$4</f>
        <v>24113.428799999998</v>
      </c>
      <c r="UV20" s="593">
        <f>'Proy 2022 vs 2019 sem'!DA19*UX$4</f>
        <v>21460.951632</v>
      </c>
      <c r="UW20" s="699"/>
      <c r="UX20" s="700">
        <f>UW20/UU20</f>
        <v>0</v>
      </c>
      <c r="UY20" s="593">
        <f>'Proy 2022 vs 2019 sem'!CZ19*VB$4</f>
        <v>33155.964599999999</v>
      </c>
      <c r="UZ20" s="593">
        <f>'Proy 2022 vs 2019 sem'!DA19*VB$4</f>
        <v>29508.808493999997</v>
      </c>
      <c r="VA20" s="699"/>
      <c r="VB20" s="700">
        <f>VA20/UY20</f>
        <v>0</v>
      </c>
      <c r="VC20" s="579">
        <f>UA20+UE20+UI20+UM20+UQ20+UU20+UY20</f>
        <v>150708.93</v>
      </c>
      <c r="VD20" s="574">
        <f>UB20+UF20+UJ20+UN20+UR20+UV20+UZ20</f>
        <v>134130.94769999996</v>
      </c>
      <c r="VE20" s="759">
        <f>UC20+UG20+UK20+UO20+US20+UW20+VA20</f>
        <v>0</v>
      </c>
      <c r="VF20" s="761">
        <f>VE20/VC20</f>
        <v>0</v>
      </c>
      <c r="VG20" s="593">
        <f>'Proy 2022 vs 2019 sem'!DE19*VJ$4</f>
        <v>13361.8344</v>
      </c>
      <c r="VH20" s="593">
        <f>'Proy 2022 vs 2019 sem'!DF19*VJ$4</f>
        <v>11892.032616</v>
      </c>
      <c r="VI20" s="699"/>
      <c r="VJ20" s="700">
        <f>VI20/VG20</f>
        <v>0</v>
      </c>
      <c r="VK20" s="593">
        <f>'Proy 2022 vs 2019 sem'!DE19*VN$4</f>
        <v>13361.8344</v>
      </c>
      <c r="VL20" s="593">
        <f>'Proy 2022 vs 2019 sem'!DF19*VN$4</f>
        <v>11892.032616</v>
      </c>
      <c r="VM20" s="699"/>
      <c r="VN20" s="700">
        <f>VM20/VK20</f>
        <v>0</v>
      </c>
      <c r="VO20" s="593">
        <f>'Proy 2022 vs 2019 sem'!DE19*VR$4</f>
        <v>13361.8344</v>
      </c>
      <c r="VP20" s="593">
        <f>'Proy 2022 vs 2019 sem'!DF19*VR$4</f>
        <v>11892.032616</v>
      </c>
      <c r="VQ20" s="699"/>
      <c r="VR20" s="700">
        <f>VQ20/VO20</f>
        <v>0</v>
      </c>
      <c r="VS20" s="593">
        <f>'Proy 2022 vs 2019 sem'!DE19*VV$4</f>
        <v>13361.8344</v>
      </c>
      <c r="VT20" s="593">
        <f>'Proy 2022 vs 2019 sem'!DF19*VV$4</f>
        <v>11892.032616</v>
      </c>
      <c r="VU20" s="699"/>
      <c r="VV20" s="700">
        <f>VU20/VS20</f>
        <v>0</v>
      </c>
      <c r="VW20" s="593">
        <f>'Proy 2022 vs 2019 sem'!DE19*VZ$4</f>
        <v>15588.8068</v>
      </c>
      <c r="VX20" s="593">
        <f>'Proy 2022 vs 2019 sem'!DF19*VZ$4</f>
        <v>13874.038052000002</v>
      </c>
      <c r="VY20" s="699"/>
      <c r="VZ20" s="700">
        <f>VY20/VW20</f>
        <v>0</v>
      </c>
      <c r="WA20" s="593">
        <f>'Proy 2022 vs 2019 sem'!DE19*WD$4</f>
        <v>17815.779200000001</v>
      </c>
      <c r="WB20" s="593">
        <f>'Proy 2022 vs 2019 sem'!DF19*WD$4</f>
        <v>15856.043488000001</v>
      </c>
      <c r="WC20" s="699"/>
      <c r="WD20" s="700">
        <f>WC20/WA20</f>
        <v>0</v>
      </c>
      <c r="WE20" s="593">
        <f>'Proy 2022 vs 2019 sem'!DE19*WH$4</f>
        <v>24496.696400000001</v>
      </c>
      <c r="WF20" s="593">
        <f>'Proy 2022 vs 2019 sem'!DF19*WH$4</f>
        <v>21802.059796000001</v>
      </c>
      <c r="WG20" s="699"/>
      <c r="WH20" s="700">
        <f>WG20/WE20</f>
        <v>0</v>
      </c>
      <c r="WI20" s="579">
        <f>VG20+VK20+VO20+VS20+VW20+WA20+WE20</f>
        <v>111348.62000000001</v>
      </c>
      <c r="WJ20" s="574">
        <f>VH20+VL20+VP20+VT20+VX20+WB20+WF20</f>
        <v>99100.271800000002</v>
      </c>
      <c r="WK20" s="765">
        <f>VI20+VM20+VQ20+VU20+VY20+WC20+WG20</f>
        <v>0</v>
      </c>
      <c r="WL20" s="761">
        <f>WK20/WI20</f>
        <v>0</v>
      </c>
      <c r="WM20" s="593">
        <f>'Proy 2022 vs 2019 sem'!DJ19*WP$4</f>
        <v>13088.6052</v>
      </c>
      <c r="WN20" s="593">
        <f>'Proy 2022 vs 2019 sem'!DK19*WP$4</f>
        <v>11648.858628</v>
      </c>
      <c r="WO20" s="699"/>
      <c r="WP20" s="700">
        <f>WO20/WM20</f>
        <v>0</v>
      </c>
      <c r="WQ20" s="593">
        <f>'Proy 2022 vs 2019 sem'!DJ19*WT$4</f>
        <v>13088.6052</v>
      </c>
      <c r="WR20" s="593">
        <f>'Proy 2022 vs 2019 sem'!DK19*WT$4</f>
        <v>11648.858628</v>
      </c>
      <c r="WS20" s="699"/>
      <c r="WT20" s="700">
        <f>WS20/WQ20</f>
        <v>0</v>
      </c>
      <c r="WU20" s="593">
        <f>'Proy 2022 vs 2019 sem'!DJ19*WX$4</f>
        <v>13088.6052</v>
      </c>
      <c r="WV20" s="593">
        <f>'Proy 2022 vs 2019 sem'!DK19*WX$4</f>
        <v>11648.858628</v>
      </c>
      <c r="WW20" s="699"/>
      <c r="WX20" s="700">
        <f>WW20/WU20</f>
        <v>0</v>
      </c>
      <c r="WY20" s="593">
        <f>'Proy 2022 vs 2019 sem'!DJ19*XB$4</f>
        <v>13088.6052</v>
      </c>
      <c r="WZ20" s="593">
        <f>'Proy 2022 vs 2019 sem'!DK19*XB$4</f>
        <v>11648.858628</v>
      </c>
      <c r="XA20" s="699"/>
      <c r="XB20" s="700">
        <f>XA20/WY20</f>
        <v>0</v>
      </c>
      <c r="XC20" s="593">
        <f>'Proy 2022 vs 2019 sem'!DJ19*XF$4</f>
        <v>15270.039400000001</v>
      </c>
      <c r="XD20" s="593">
        <f>'Proy 2022 vs 2019 sem'!DK19*XF$4</f>
        <v>13590.335066000003</v>
      </c>
      <c r="XE20" s="699"/>
      <c r="XF20" s="700">
        <f>XE20/XC20</f>
        <v>0</v>
      </c>
      <c r="XG20" s="593">
        <f>'Proy 2022 vs 2019 sem'!DJ19*XJ$4</f>
        <v>17451.473600000001</v>
      </c>
      <c r="XH20" s="593">
        <f>'Proy 2022 vs 2019 sem'!DK19*XJ$4</f>
        <v>15531.811504000001</v>
      </c>
      <c r="XI20" s="699"/>
      <c r="XJ20" s="700">
        <f>XI20/XG20</f>
        <v>0</v>
      </c>
      <c r="XK20" s="593">
        <f>'Proy 2022 vs 2019 sem'!DJ19*XN$4</f>
        <v>23995.7762</v>
      </c>
      <c r="XL20" s="593">
        <f>'Proy 2022 vs 2019 sem'!DK19*XN$4</f>
        <v>21356.240818000002</v>
      </c>
      <c r="XM20" s="699"/>
      <c r="XN20" s="700">
        <f>XM20/XK20</f>
        <v>0</v>
      </c>
      <c r="XO20" s="579">
        <f>WM20+WQ20+WU20+WY20+XC20+XG20+XK20</f>
        <v>109071.70999999999</v>
      </c>
      <c r="XP20" s="574">
        <f>WN20+WR20+WV20+WZ20+XD20+XH20+XL20</f>
        <v>97073.82190000001</v>
      </c>
      <c r="XQ20" s="765">
        <f>WO20+WS20+WW20+XA20+XE20+XI20+XM20</f>
        <v>0</v>
      </c>
      <c r="XR20" s="761">
        <f>XQ20/XO20</f>
        <v>0</v>
      </c>
      <c r="XS20" s="593">
        <f>'Proy 2022 vs 2019 sem'!DO19*XV$4</f>
        <v>13229.187599999999</v>
      </c>
      <c r="XT20" s="593">
        <f>'Proy 2022 vs 2019 sem'!DP19*XV$4</f>
        <v>11773.976963999998</v>
      </c>
      <c r="XU20" s="699"/>
      <c r="XV20" s="700">
        <f>XU20/XS20</f>
        <v>0</v>
      </c>
      <c r="XW20" s="593">
        <f>'Proy 2022 vs 2019 sem'!DO19*XZ$4</f>
        <v>13229.187599999999</v>
      </c>
      <c r="XX20" s="593">
        <f>'Proy 2022 vs 2019 sem'!DP19*XZ$4</f>
        <v>11773.976963999998</v>
      </c>
      <c r="XY20" s="699"/>
      <c r="XZ20" s="700">
        <f>XY20/XW20</f>
        <v>0</v>
      </c>
      <c r="YA20" s="593">
        <f>'Proy 2022 vs 2019 sem'!DO19*YD$4</f>
        <v>13229.187599999999</v>
      </c>
      <c r="YB20" s="593">
        <f>'Proy 2022 vs 2019 sem'!DP19*YD$4</f>
        <v>11773.976963999998</v>
      </c>
      <c r="YC20" s="699"/>
      <c r="YD20" s="700">
        <f>YC20/YA20</f>
        <v>0</v>
      </c>
      <c r="YE20" s="593">
        <f>'Proy 2022 vs 2019 sem'!DO19*YH$4</f>
        <v>13229.187599999999</v>
      </c>
      <c r="YF20" s="593">
        <f>'Proy 2022 vs 2019 sem'!DP19*YH$4</f>
        <v>11773.976963999998</v>
      </c>
      <c r="YG20" s="699"/>
      <c r="YH20" s="700">
        <f>YG20/YE20</f>
        <v>0</v>
      </c>
      <c r="YI20" s="593">
        <f>'Proy 2022 vs 2019 sem'!DO19*YL$4</f>
        <v>15434.0522</v>
      </c>
      <c r="YJ20" s="593">
        <f>'Proy 2022 vs 2019 sem'!DP19*YL$4</f>
        <v>13736.306458000001</v>
      </c>
      <c r="YK20" s="699"/>
      <c r="YL20" s="700">
        <f>YK20/YI20</f>
        <v>0</v>
      </c>
      <c r="YM20" s="593">
        <f>'Proy 2022 vs 2019 sem'!DO19*YP$4</f>
        <v>17638.916799999999</v>
      </c>
      <c r="YN20" s="593">
        <f>'Proy 2022 vs 2019 sem'!DP19*YP$4</f>
        <v>15698.635951999999</v>
      </c>
      <c r="YO20" s="699"/>
      <c r="YP20" s="700">
        <f>YO20/YM20</f>
        <v>0</v>
      </c>
      <c r="YQ20" s="593">
        <f>'Proy 2022 vs 2019 sem'!DO19*YT$4</f>
        <v>24253.510599999998</v>
      </c>
      <c r="YR20" s="593">
        <f>'Proy 2022 vs 2019 sem'!DP19*YT$4</f>
        <v>21585.624433999998</v>
      </c>
      <c r="YS20" s="699"/>
      <c r="YT20" s="700">
        <f>YS20/YQ20</f>
        <v>0</v>
      </c>
      <c r="YU20" s="579">
        <f>XS20+XW20+YA20+YE20+YI20+YM20+YQ20</f>
        <v>110243.23</v>
      </c>
      <c r="YV20" s="574">
        <f>XT20+XX20+YB20+YF20+YJ20+YN20+YR20</f>
        <v>98116.474699999992</v>
      </c>
      <c r="YW20" s="770">
        <f>XU20+XY20+YC20+YG20+YK20+YO20+YS20</f>
        <v>0</v>
      </c>
      <c r="YX20" s="761">
        <f>YW20/YU20</f>
        <v>0</v>
      </c>
      <c r="YY20" s="931">
        <f>'Proy 2022 vs 2019 sem'!DX19*ZB$4</f>
        <v>11073.812400000001</v>
      </c>
      <c r="YZ20" s="931">
        <f>'Proy 2022 vs 2019 sem'!DY19*ZB$4</f>
        <v>9855.6930360000006</v>
      </c>
      <c r="ZA20" s="735"/>
      <c r="ZB20" s="700">
        <f>ZA20/YY20</f>
        <v>0</v>
      </c>
      <c r="ZC20" s="593">
        <f>'Proy 2022 vs 2019 sem'!DX19*ZF$4</f>
        <v>11073.812400000001</v>
      </c>
      <c r="ZD20" s="593">
        <f>'Proy 2022 vs 2019 sem'!DY19*ZF$4</f>
        <v>9855.6930360000006</v>
      </c>
      <c r="ZE20" s="735"/>
      <c r="ZF20" s="700">
        <f>ZE20/ZC20</f>
        <v>0</v>
      </c>
      <c r="ZG20" s="593">
        <f>'Proy 2022 vs 2019 sem'!DX19*ZJ$4</f>
        <v>11073.812400000001</v>
      </c>
      <c r="ZH20" s="593">
        <f>'Proy 2022 vs 2019 sem'!DY19*ZJ$4</f>
        <v>9855.6930360000006</v>
      </c>
      <c r="ZI20" s="735"/>
      <c r="ZJ20" s="700">
        <f>ZI20/ZG20</f>
        <v>0</v>
      </c>
      <c r="ZK20" s="593">
        <f>'Proy 2022 vs 2019 sem'!DX19*ZN$4</f>
        <v>11073.812400000001</v>
      </c>
      <c r="ZL20" s="593">
        <f>'Proy 2022 vs 2019 sem'!DY19*ZN$4</f>
        <v>9855.6930360000006</v>
      </c>
      <c r="ZM20" s="735"/>
      <c r="ZN20" s="700">
        <f>ZM20/ZK20</f>
        <v>0</v>
      </c>
      <c r="ZO20" s="593">
        <f>'Proy 2022 vs 2019 sem'!DX19*ZR$4</f>
        <v>12919.447800000002</v>
      </c>
      <c r="ZP20" s="593">
        <f>'Proy 2022 vs 2019 sem'!DY19*ZR$4</f>
        <v>11498.308542000002</v>
      </c>
      <c r="ZQ20" s="735"/>
      <c r="ZR20" s="700">
        <f>ZQ20/ZO20</f>
        <v>0</v>
      </c>
      <c r="ZS20" s="593">
        <f>'Proy 2022 vs 2019 sem'!DX19*ZV$4</f>
        <v>14765.083200000001</v>
      </c>
      <c r="ZT20" s="593">
        <f>'Proy 2022 vs 2019 sem'!DY19*ZV$4</f>
        <v>13140.924048000001</v>
      </c>
      <c r="ZU20" s="735"/>
      <c r="ZV20" s="700">
        <f>ZU20/ZS20</f>
        <v>0</v>
      </c>
      <c r="ZW20" s="593">
        <f>'Proy 2022 vs 2019 sem'!DX19*ZZ$4</f>
        <v>20301.989400000002</v>
      </c>
      <c r="ZX20" s="593">
        <f>'Proy 2022 vs 2019 sem'!DY19*ZZ$4</f>
        <v>18068.770566000003</v>
      </c>
      <c r="ZY20" s="735"/>
      <c r="ZZ20" s="700">
        <f>ZY20/ZW20</f>
        <v>0</v>
      </c>
      <c r="AAA20" s="579">
        <f>YY20+ZC20+ZG20+ZK20+ZO20+ZS20+ZW20</f>
        <v>92281.77</v>
      </c>
      <c r="AAB20" s="574">
        <f>YZ20+ZD20+ZH20+ZL20+ZP20+ZT20+ZX20</f>
        <v>82130.775300000008</v>
      </c>
      <c r="AAC20" s="729">
        <f>ZA20+ZE20+ZI20+ZM20+ZQ20+ZU20+ZY20</f>
        <v>0</v>
      </c>
      <c r="AAD20" s="711">
        <f>AAC20/AAA20</f>
        <v>0</v>
      </c>
      <c r="AAE20" s="593">
        <f>'Proy 2022 vs 2019 sem'!EC19*AAH$4</f>
        <v>14959.027199999999</v>
      </c>
      <c r="AAF20" s="593">
        <f>'Proy 2022 vs 2019 sem'!ED19*AAH$4</f>
        <v>13014.353663999998</v>
      </c>
      <c r="AAG20" s="699"/>
      <c r="AAH20" s="700">
        <f>AAG20/AAE20</f>
        <v>0</v>
      </c>
      <c r="AAI20" s="593">
        <f>'Proy 2022 vs 2019 sem'!EC19*AAL$4</f>
        <v>14959.027199999999</v>
      </c>
      <c r="AAJ20" s="593">
        <f>'Proy 2022 vs 2019 sem'!ED19*AAL$4</f>
        <v>13014.353663999998</v>
      </c>
      <c r="AAK20" s="699"/>
      <c r="AAL20" s="700">
        <f>AAK20/AAI20</f>
        <v>0</v>
      </c>
      <c r="AAM20" s="593">
        <f>'Proy 2022 vs 2019 sem'!EC19*AAP$4</f>
        <v>14959.027199999999</v>
      </c>
      <c r="AAN20" s="593">
        <f>'Proy 2022 vs 2019 sem'!ED19*AAP$4</f>
        <v>13014.353663999998</v>
      </c>
      <c r="AAO20" s="699"/>
      <c r="AAP20" s="700">
        <f>AAO20/AAM20</f>
        <v>0</v>
      </c>
      <c r="AAQ20" s="593">
        <f>'Proy 2022 vs 2019 sem'!EC19*AAT$4</f>
        <v>14959.027199999999</v>
      </c>
      <c r="AAR20" s="593">
        <f>'Proy 2022 vs 2019 sem'!ED19*AAT$4</f>
        <v>13014.353663999998</v>
      </c>
      <c r="AAS20" s="699"/>
      <c r="AAT20" s="700">
        <f>AAS20/AAQ20</f>
        <v>0</v>
      </c>
      <c r="AAU20" s="593">
        <f>'Proy 2022 vs 2019 sem'!EC19*AAX$4</f>
        <v>17452.198400000001</v>
      </c>
      <c r="AAV20" s="593">
        <f>'Proy 2022 vs 2019 sem'!ED19*AAX$4</f>
        <v>15183.412608000001</v>
      </c>
      <c r="AAW20" s="699"/>
      <c r="AAX20" s="700">
        <f>AAW20/AAU20</f>
        <v>0</v>
      </c>
      <c r="AAY20" s="593">
        <f>'Proy 2022 vs 2019 sem'!EC19*ABB$4</f>
        <v>19945.369600000002</v>
      </c>
      <c r="AAZ20" s="593">
        <f>'Proy 2022 vs 2019 sem'!ED19*ABB$4</f>
        <v>17352.471551999999</v>
      </c>
      <c r="ABA20" s="699"/>
      <c r="ABB20" s="700">
        <f>ABA20/AAY20</f>
        <v>0</v>
      </c>
      <c r="ABC20" s="593">
        <f>'Proy 2022 vs 2019 sem'!EC19*ABF$4</f>
        <v>27424.8832</v>
      </c>
      <c r="ABD20" s="593">
        <f>'Proy 2022 vs 2019 sem'!ED19*ABF$4</f>
        <v>23859.648384</v>
      </c>
      <c r="ABE20" s="699"/>
      <c r="ABF20" s="700">
        <f>ABE20/ABC20</f>
        <v>0</v>
      </c>
      <c r="ABG20" s="579">
        <f>AAE20+AAI20+AAM20+AAQ20+AAU20+AAY20+ABC20</f>
        <v>124658.56</v>
      </c>
      <c r="ABH20" s="574">
        <f>AAF20+AAJ20+AAN20+AAR20+AAV20+AAZ20+ABD20</f>
        <v>108452.9472</v>
      </c>
      <c r="ABI20" s="730">
        <f>AAG20+AAK20+AAO20+AAS20+AAW20+ABA20+ABE20</f>
        <v>0</v>
      </c>
      <c r="ABJ20" s="711">
        <f>ABI20/ABG20</f>
        <v>0</v>
      </c>
      <c r="ABK20" s="593">
        <f>'Proy 2022 vs 2019 sem'!EH19*ABN$4</f>
        <v>12913.0656</v>
      </c>
      <c r="ABL20" s="593">
        <f>'Proy 2022 vs 2019 sem'!EI19*ABN$4</f>
        <v>11492.628384</v>
      </c>
      <c r="ABM20" s="699"/>
      <c r="ABN20" s="700">
        <f>ABM20/ABK20</f>
        <v>0</v>
      </c>
      <c r="ABO20" s="593">
        <f>'Proy 2022 vs 2019 sem'!EH19*ABR$4</f>
        <v>12913.0656</v>
      </c>
      <c r="ABP20" s="593">
        <f>'Proy 2022 vs 2019 sem'!EI19*ABR$4</f>
        <v>11492.628384</v>
      </c>
      <c r="ABQ20" s="699"/>
      <c r="ABR20" s="700">
        <f>ABQ20/ABO20</f>
        <v>0</v>
      </c>
      <c r="ABS20" s="593">
        <f>'Proy 2022 vs 2019 sem'!EH19*ABV$4</f>
        <v>12913.0656</v>
      </c>
      <c r="ABT20" s="593">
        <f>'Proy 2022 vs 2019 sem'!EI19*ABV$4</f>
        <v>11492.628384</v>
      </c>
      <c r="ABU20" s="699"/>
      <c r="ABV20" s="700">
        <f>ABU20/ABS20</f>
        <v>0</v>
      </c>
      <c r="ABW20" s="593">
        <f>'Proy 2022 vs 2019 sem'!EH19*ABZ$4</f>
        <v>12913.0656</v>
      </c>
      <c r="ABX20" s="593">
        <f>'Proy 2022 vs 2019 sem'!EI19*ABZ$4</f>
        <v>11492.628384</v>
      </c>
      <c r="ABY20" s="699"/>
      <c r="ABZ20" s="700">
        <f>ABY20/ABW20</f>
        <v>0</v>
      </c>
      <c r="ACA20" s="593">
        <f>'Proy 2022 vs 2019 sem'!EH19*ACD$4</f>
        <v>15065.243200000003</v>
      </c>
      <c r="ACB20" s="593">
        <f>'Proy 2022 vs 2019 sem'!EI19*ACD$4</f>
        <v>13408.066448000001</v>
      </c>
      <c r="ACC20" s="699"/>
      <c r="ACD20" s="700">
        <f>ACC20/ACA20</f>
        <v>0</v>
      </c>
      <c r="ACE20" s="593">
        <f>'Proy 2022 vs 2019 sem'!EH19*ACH$4</f>
        <v>17217.4208</v>
      </c>
      <c r="ACF20" s="593">
        <f>'Proy 2022 vs 2019 sem'!EI19*ACH$4</f>
        <v>15323.504512</v>
      </c>
      <c r="ACG20" s="699"/>
      <c r="ACH20" s="700">
        <f>ACG20/ACE20</f>
        <v>0</v>
      </c>
      <c r="ACI20" s="593">
        <f>'Proy 2022 vs 2019 sem'!EH19*ACL$4</f>
        <v>23673.953600000001</v>
      </c>
      <c r="ACJ20" s="593">
        <f>'Proy 2022 vs 2019 sem'!EI19*ACL$4</f>
        <v>21069.818704000001</v>
      </c>
      <c r="ACK20" s="699"/>
      <c r="ACL20" s="700">
        <f>ACK20/ACI20</f>
        <v>0</v>
      </c>
      <c r="ACM20" s="579">
        <f>ABK20+ABO20+ABS20+ABW20+ACA20+ACE20+ACI20</f>
        <v>107608.88</v>
      </c>
      <c r="ACN20" s="574">
        <f>ABL20+ABP20+ABT20+ABX20+ACB20+ACF20+ACJ20</f>
        <v>95771.903200000001</v>
      </c>
      <c r="ACO20" s="730">
        <f>ABM20+ABQ20+ABU20+ABY20+ACC20+ACG20+ACK20</f>
        <v>0</v>
      </c>
      <c r="ACP20" s="711">
        <f>ACO20/ACM20</f>
        <v>0</v>
      </c>
      <c r="ACQ20" s="593">
        <f>'Proy 2022 vs 2019 sem'!EM19*ACT$4</f>
        <v>11031.0852</v>
      </c>
      <c r="ACR20" s="593">
        <f>'Proy 2022 vs 2019 sem'!EN19*ACT$4</f>
        <v>10258.909236</v>
      </c>
      <c r="ACS20" s="699"/>
      <c r="ACT20" s="700">
        <f>ACS20/ACQ20</f>
        <v>0</v>
      </c>
      <c r="ACU20" s="593">
        <f>'Proy 2022 vs 2019 sem'!EM19*ACX$4</f>
        <v>11031.0852</v>
      </c>
      <c r="ACV20" s="593">
        <f>'Proy 2022 vs 2019 sem'!EN19*ACX$4</f>
        <v>10258.909236</v>
      </c>
      <c r="ACW20" s="699"/>
      <c r="ACX20" s="700">
        <f>ACW20/ACU20</f>
        <v>0</v>
      </c>
      <c r="ACY20" s="593">
        <f>'Proy 2022 vs 2019 sem'!EM19*ADB$4</f>
        <v>11031.0852</v>
      </c>
      <c r="ACZ20" s="593">
        <f>'Proy 2022 vs 2019 sem'!EN19*ADB$4</f>
        <v>10258.909236</v>
      </c>
      <c r="ADA20" s="699"/>
      <c r="ADB20" s="700">
        <f>ADA20/ACY20</f>
        <v>0</v>
      </c>
      <c r="ADC20" s="593">
        <f>'Proy 2022 vs 2019 sem'!EM19*ADF$4</f>
        <v>11031.0852</v>
      </c>
      <c r="ADD20" s="593">
        <f>'Proy 2022 vs 2019 sem'!EN19*ADF$4</f>
        <v>10258.909236</v>
      </c>
      <c r="ADE20" s="699"/>
      <c r="ADF20" s="700">
        <f>ADE20/ADC20</f>
        <v>0</v>
      </c>
      <c r="ADG20" s="593">
        <f>'Proy 2022 vs 2019 sem'!EM19*ADJ$4</f>
        <v>12869.599400000003</v>
      </c>
      <c r="ADH20" s="593">
        <f>'Proy 2022 vs 2019 sem'!EN19*ADJ$4</f>
        <v>11968.727442000001</v>
      </c>
      <c r="ADI20" s="699"/>
      <c r="ADJ20" s="700">
        <f>ADI20/ADG20</f>
        <v>0</v>
      </c>
      <c r="ADK20" s="593">
        <f>'Proy 2022 vs 2019 sem'!EM19*ADN$4</f>
        <v>14708.113600000001</v>
      </c>
      <c r="ADL20" s="593">
        <f>'Proy 2022 vs 2019 sem'!EN19*ADN$4</f>
        <v>13678.545648000001</v>
      </c>
      <c r="ADM20" s="699"/>
      <c r="ADN20" s="700">
        <f>ADM20/ADK20</f>
        <v>0</v>
      </c>
      <c r="ADO20" s="593">
        <f>'Proy 2022 vs 2019 sem'!EM19*ADR$4</f>
        <v>20223.656200000001</v>
      </c>
      <c r="ADP20" s="593">
        <f>'Proy 2022 vs 2019 sem'!EN19*ADR$4</f>
        <v>18808.000265999999</v>
      </c>
      <c r="ADQ20" s="699"/>
      <c r="ADR20" s="700">
        <f>ADQ20/ADO20</f>
        <v>0</v>
      </c>
      <c r="ADS20" s="579">
        <f>ACQ20+ACU20+ACY20+ADC20+ADG20+ADK20+ADO20</f>
        <v>91925.709999999992</v>
      </c>
      <c r="ADT20" s="574">
        <f>ACR20+ACV20+ACZ20+ADD20+ADH20+ADL20+ADP20</f>
        <v>85490.910300000003</v>
      </c>
      <c r="ADU20" s="710">
        <f>ACS20+ACW20+ADA20+ADE20+ADI20+ADM20+ADQ20</f>
        <v>0</v>
      </c>
      <c r="ADV20" s="711">
        <f>ADU20/ADS20</f>
        <v>0</v>
      </c>
      <c r="ADW20" s="593">
        <f>'Proy 2022 vs 2019 sem'!ER19*ADZ$4</f>
        <v>12072.4764</v>
      </c>
      <c r="ADX20" s="593">
        <f>'Proy 2022 vs 2019 sem'!ES19*ADZ$4</f>
        <v>11227.403052</v>
      </c>
      <c r="ADY20" s="699"/>
      <c r="ADZ20" s="700">
        <f>ADY20/ADW20</f>
        <v>0</v>
      </c>
      <c r="AEA20" s="593">
        <f>'Proy 2022 vs 2019 sem'!ER19*AED$4</f>
        <v>12072.4764</v>
      </c>
      <c r="AEB20" s="593">
        <f>'Proy 2022 vs 2019 sem'!ES19*AED$4</f>
        <v>11227.403052</v>
      </c>
      <c r="AEC20" s="699"/>
      <c r="AED20" s="700">
        <f>AEC20/AEA20</f>
        <v>0</v>
      </c>
      <c r="AEE20" s="593">
        <f>'Proy 2022 vs 2019 sem'!ER19*AEH$4</f>
        <v>12072.4764</v>
      </c>
      <c r="AEF20" s="593">
        <f>'Proy 2022 vs 2019 sem'!ES19*AEH$4</f>
        <v>11227.403052</v>
      </c>
      <c r="AEG20" s="699"/>
      <c r="AEH20" s="700">
        <f>AEG20/AEE20</f>
        <v>0</v>
      </c>
      <c r="AEI20" s="593">
        <f>'Proy 2022 vs 2019 sem'!ER19*AEL$4</f>
        <v>12072.4764</v>
      </c>
      <c r="AEJ20" s="593">
        <f>'Proy 2022 vs 2019 sem'!ES19*AEL$4</f>
        <v>11227.403052</v>
      </c>
      <c r="AEK20" s="699"/>
      <c r="AEL20" s="700">
        <f>AEK20/AEI20</f>
        <v>0</v>
      </c>
      <c r="AEM20" s="593">
        <f>'Proy 2022 vs 2019 sem'!ER19*AEP$4</f>
        <v>14084.555800000002</v>
      </c>
      <c r="AEN20" s="593">
        <f>'Proy 2022 vs 2019 sem'!ES19*AEP$4</f>
        <v>13098.636894000001</v>
      </c>
      <c r="AEO20" s="699"/>
      <c r="AEP20" s="700">
        <f>AEO20/AEM20</f>
        <v>0</v>
      </c>
      <c r="AEQ20" s="593">
        <f>'Proy 2022 vs 2019 sem'!ER19*AET$4</f>
        <v>16096.635200000001</v>
      </c>
      <c r="AER20" s="593">
        <f>'Proy 2022 vs 2019 sem'!ES19*AET$4</f>
        <v>14969.870736000001</v>
      </c>
      <c r="AES20" s="699"/>
      <c r="AET20" s="700">
        <f>AES20/AEQ20</f>
        <v>0</v>
      </c>
      <c r="AEU20" s="593">
        <f>'Proy 2022 vs 2019 sem'!ER19*AEX$4</f>
        <v>22132.8734</v>
      </c>
      <c r="AEV20" s="593">
        <f>'Proy 2022 vs 2019 sem'!ES19*AEX$4</f>
        <v>20583.572262000002</v>
      </c>
      <c r="AEW20" s="699"/>
      <c r="AEX20" s="700">
        <f>AEW20/AEU20</f>
        <v>0</v>
      </c>
      <c r="AEY20" s="579">
        <f>ADW20+AEA20+AEE20+AEI20+AEM20+AEQ20+AEU20</f>
        <v>100603.97</v>
      </c>
      <c r="AEZ20" s="574">
        <f>ADX20+AEB20+AEF20+AEJ20+AEN20+AER20+AEV20</f>
        <v>93561.6921</v>
      </c>
      <c r="AFA20" s="710">
        <f>ADY20+AEC20+AEG20+AEK20+AEO20+AES20+AEW20</f>
        <v>0</v>
      </c>
      <c r="AFB20" s="711">
        <f>AFA20/AEY20</f>
        <v>0</v>
      </c>
      <c r="AFC20" s="593">
        <f>'Proy 2022 vs 2019 sem'!FA19*AFF$4</f>
        <v>11020.501199999999</v>
      </c>
      <c r="AFD20" s="593">
        <f>'Proy 2022 vs 2019 sem'!FB19*AFF$4</f>
        <v>9698.041056</v>
      </c>
      <c r="AFE20" s="735"/>
      <c r="AFF20" s="700">
        <f>AFE20/AFC20</f>
        <v>0</v>
      </c>
      <c r="AFG20" s="593">
        <f>'Proy 2022 vs 2019 sem'!FA19*AFJ$4</f>
        <v>11020.501199999999</v>
      </c>
      <c r="AFH20" s="593">
        <f>'Proy 2022 vs 2019 sem'!FB19*AFJ$4</f>
        <v>9698.041056</v>
      </c>
      <c r="AFI20" s="699"/>
      <c r="AFJ20" s="700">
        <f>AFI20/AFG20</f>
        <v>0</v>
      </c>
      <c r="AFK20" s="593">
        <f>'Proy 2022 vs 2019 sem'!FA19*AFN$4</f>
        <v>11020.501199999999</v>
      </c>
      <c r="AFL20" s="593">
        <f>'Proy 2022 vs 2019 sem'!FB19*AFN$4</f>
        <v>9698.041056</v>
      </c>
      <c r="AFM20" s="699"/>
      <c r="AFN20" s="700">
        <f>AFM20/AFK20</f>
        <v>0</v>
      </c>
      <c r="AFO20" s="593">
        <f>'Proy 2022 vs 2019 sem'!FA19*AFR$4</f>
        <v>11020.501199999999</v>
      </c>
      <c r="AFP20" s="593">
        <f>'Proy 2022 vs 2019 sem'!FB19*AFR$4</f>
        <v>9698.041056</v>
      </c>
      <c r="AFQ20" s="699"/>
      <c r="AFR20" s="700">
        <f>AFQ20/AFO20</f>
        <v>0</v>
      </c>
      <c r="AFS20" s="593">
        <f>'Proy 2022 vs 2019 sem'!FA19*AFV$4</f>
        <v>12857.251400000001</v>
      </c>
      <c r="AFT20" s="593">
        <f>'Proy 2022 vs 2019 sem'!FB19*AFV$4</f>
        <v>11314.381232</v>
      </c>
      <c r="AFU20" s="699"/>
      <c r="AFV20" s="700">
        <f>AFU20/AFS20</f>
        <v>0</v>
      </c>
      <c r="AFW20" s="593">
        <f>'Proy 2022 vs 2019 sem'!FA19*AFZ$4</f>
        <v>14694.0016</v>
      </c>
      <c r="AFX20" s="593">
        <f>'Proy 2022 vs 2019 sem'!FB19*AFZ$4</f>
        <v>12930.721407999999</v>
      </c>
      <c r="AFY20" s="699"/>
      <c r="AFZ20" s="700">
        <f>AFY20/AFW20</f>
        <v>0</v>
      </c>
      <c r="AGA20" s="593">
        <f>'Proy 2022 vs 2019 sem'!FA19*AGD$4</f>
        <v>20204.252199999999</v>
      </c>
      <c r="AGB20" s="593">
        <f>'Proy 2022 vs 2019 sem'!FB19*AGD$4</f>
        <v>17779.741935999999</v>
      </c>
      <c r="AGC20" s="699"/>
      <c r="AGD20" s="700">
        <f>AGC20/AGA20</f>
        <v>0</v>
      </c>
      <c r="AGE20" s="579">
        <f>AFC20+AFG20+AFK20+AFO20+AFS20+AFW20+AGA20</f>
        <v>91837.51</v>
      </c>
      <c r="AGF20" s="574">
        <f>AFD20+AFH20+AFL20+AFP20+AFT20+AFX20+AGB20</f>
        <v>80817.008799999996</v>
      </c>
      <c r="AGG20" s="759">
        <f>AFE20+AFI20+AFM20+AFQ20+AFU20+AFY20+AGC20</f>
        <v>0</v>
      </c>
      <c r="AGH20" s="761">
        <f>AGG20/AGE20</f>
        <v>0</v>
      </c>
      <c r="AGI20" s="593">
        <f>'Proy 2022 vs 2019 sem'!FF19*AGL$4</f>
        <v>11715.5844</v>
      </c>
      <c r="AGJ20" s="593">
        <f>'Proy 2022 vs 2019 sem'!FG19*AGL$4</f>
        <v>10309.714271999999</v>
      </c>
      <c r="AGK20" s="699"/>
      <c r="AGL20" s="700">
        <f>AGK20/AGI20</f>
        <v>0</v>
      </c>
      <c r="AGM20" s="593">
        <f>'Proy 2022 vs 2019 sem'!FF19*AGP$4</f>
        <v>11715.5844</v>
      </c>
      <c r="AGN20" s="593">
        <f>'Proy 2022 vs 2019 sem'!FG19*AGP$4</f>
        <v>10309.714271999999</v>
      </c>
      <c r="AGO20" s="699"/>
      <c r="AGP20" s="700">
        <f>AGO20/AGM20</f>
        <v>0</v>
      </c>
      <c r="AGQ20" s="593">
        <f>'Proy 2022 vs 2019 sem'!FF19*AGT$4</f>
        <v>11715.5844</v>
      </c>
      <c r="AGR20" s="593">
        <f>'Proy 2022 vs 2019 sem'!FG19*AGT$4</f>
        <v>10309.714271999999</v>
      </c>
      <c r="AGS20" s="699"/>
      <c r="AGT20" s="700">
        <f>AGS20/AGQ20</f>
        <v>0</v>
      </c>
      <c r="AGU20" s="593">
        <f>'Proy 2022 vs 2019 sem'!FF19*AGX$4</f>
        <v>11715.5844</v>
      </c>
      <c r="AGV20" s="593">
        <f>'Proy 2022 vs 2019 sem'!FG19*AGX$4</f>
        <v>10309.714271999999</v>
      </c>
      <c r="AGW20" s="699"/>
      <c r="AGX20" s="700">
        <f>AGW20/AGU20</f>
        <v>0</v>
      </c>
      <c r="AGY20" s="593">
        <f>'Proy 2022 vs 2019 sem'!FF19*AHB$4</f>
        <v>13668.1818</v>
      </c>
      <c r="AGZ20" s="593">
        <f>'Proy 2022 vs 2019 sem'!FG19*AHB$4</f>
        <v>12027.999984000002</v>
      </c>
      <c r="AHA20" s="699"/>
      <c r="AHB20" s="700">
        <f>AHA20/AGY20</f>
        <v>0</v>
      </c>
      <c r="AHC20" s="593">
        <f>'Proy 2022 vs 2019 sem'!FF19*AHF$4</f>
        <v>15620.779199999999</v>
      </c>
      <c r="AHD20" s="593">
        <f>'Proy 2022 vs 2019 sem'!FG19*AHF$4</f>
        <v>13746.285696000001</v>
      </c>
      <c r="AHE20" s="699"/>
      <c r="AHF20" s="700">
        <f>AHE20/AHC20</f>
        <v>0</v>
      </c>
      <c r="AHG20" s="593">
        <f>'Proy 2022 vs 2019 sem'!FF19*AHJ$4</f>
        <v>21478.571400000001</v>
      </c>
      <c r="AHH20" s="593">
        <f>'Proy 2022 vs 2019 sem'!FG19*AHJ$4</f>
        <v>18901.142832000001</v>
      </c>
      <c r="AHI20" s="699"/>
      <c r="AHJ20" s="700">
        <f>AHI20/AHG20</f>
        <v>0</v>
      </c>
      <c r="AHK20" s="579">
        <f>AGI20+AGM20+AGQ20+AGU20+AGY20+AHC20+AHG20</f>
        <v>97629.87</v>
      </c>
      <c r="AHL20" s="574">
        <f>AGJ20+AGN20+AGR20+AGV20+AGZ20+AHD20+AHH20</f>
        <v>85914.285600000003</v>
      </c>
      <c r="AHM20" s="765">
        <f>AGK20+AGO20+AGS20+AGW20+AHA20+AHE20+AHI20</f>
        <v>0</v>
      </c>
      <c r="AHN20" s="761">
        <f>AHM20/AHK20</f>
        <v>0</v>
      </c>
      <c r="AHO20" s="593">
        <f>'Proy 2022 vs 2019 sem'!FK19*AHR$4</f>
        <v>12000.614399999999</v>
      </c>
      <c r="AHP20" s="593">
        <f>'Proy 2022 vs 2019 sem'!FL19*AHR$4</f>
        <v>10560.540671999999</v>
      </c>
      <c r="AHQ20" s="699"/>
      <c r="AHR20" s="700">
        <f>AHQ20/AHO20</f>
        <v>0</v>
      </c>
      <c r="AHS20" s="593">
        <f>'Proy 2022 vs 2019 sem'!FK19*AHV$4</f>
        <v>12000.614399999999</v>
      </c>
      <c r="AHT20" s="593">
        <f>'Proy 2022 vs 2019 sem'!FL19*AHV$4</f>
        <v>10560.540671999999</v>
      </c>
      <c r="AHU20" s="699"/>
      <c r="AHV20" s="700">
        <f>AHU20/AHS20</f>
        <v>0</v>
      </c>
      <c r="AHW20" s="593">
        <f>'Proy 2022 vs 2019 sem'!FK19*AHZ$4</f>
        <v>12000.614399999999</v>
      </c>
      <c r="AHX20" s="593">
        <f>'Proy 2022 vs 2019 sem'!FL19*AHZ$4</f>
        <v>10560.540671999999</v>
      </c>
      <c r="AHY20" s="699"/>
      <c r="AHZ20" s="700">
        <f>AHY20/AHW20</f>
        <v>0</v>
      </c>
      <c r="AIA20" s="593">
        <f>'Proy 2022 vs 2019 sem'!FK19*AID$4</f>
        <v>12000.614399999999</v>
      </c>
      <c r="AIB20" s="593">
        <f>'Proy 2022 vs 2019 sem'!FL19*AID$4</f>
        <v>10560.540671999999</v>
      </c>
      <c r="AIC20" s="699"/>
      <c r="AID20" s="700">
        <f>AIC20/AIA20</f>
        <v>0</v>
      </c>
      <c r="AIE20" s="593">
        <f>'Proy 2022 vs 2019 sem'!FK19*AIH$4</f>
        <v>14000.7168</v>
      </c>
      <c r="AIF20" s="593">
        <f>'Proy 2022 vs 2019 sem'!FL19*AIH$4</f>
        <v>12320.630783999999</v>
      </c>
      <c r="AIG20" s="699"/>
      <c r="AIH20" s="700">
        <f>AIG20/AIE20</f>
        <v>0</v>
      </c>
      <c r="AII20" s="593">
        <f>'Proy 2022 vs 2019 sem'!FK19*AIL$4</f>
        <v>16000.8192</v>
      </c>
      <c r="AIJ20" s="593">
        <f>'Proy 2022 vs 2019 sem'!FL19*AIL$4</f>
        <v>14080.720895999999</v>
      </c>
      <c r="AIK20" s="699"/>
      <c r="AIL20" s="700">
        <f>AIK20/AII20</f>
        <v>0</v>
      </c>
      <c r="AIM20" s="593">
        <f>'Proy 2022 vs 2019 sem'!FK19*AIP$4</f>
        <v>22001.126399999997</v>
      </c>
      <c r="AIN20" s="593">
        <f>'Proy 2022 vs 2019 sem'!FL19*AIP$4</f>
        <v>19360.991231999997</v>
      </c>
      <c r="AIO20" s="699"/>
      <c r="AIP20" s="700">
        <f>AIO20/AIM20</f>
        <v>0</v>
      </c>
      <c r="AIQ20" s="579">
        <f>AHO20+AHS20+AHW20+AIA20+AIE20+AII20+AIM20</f>
        <v>100005.12</v>
      </c>
      <c r="AIR20" s="574">
        <f>AHP20+AHT20+AHX20+AIB20+AIF20+AIJ20+AIN20</f>
        <v>88004.505600000004</v>
      </c>
      <c r="AIS20" s="765">
        <f>AHQ20+AHU20+AHY20+AIC20+AIG20+AIK20+AIO20</f>
        <v>0</v>
      </c>
      <c r="AIT20" s="761">
        <f>AIS20/AIQ20</f>
        <v>0</v>
      </c>
      <c r="AIU20" s="593">
        <f>'Proy 2022 vs 2019 sem'!FP19*AIX$4</f>
        <v>11361.752399999999</v>
      </c>
      <c r="AIV20" s="593">
        <f>'Proy 2022 vs 2019 sem'!FQ19*AIX$4</f>
        <v>10452.812207999999</v>
      </c>
      <c r="AIW20" s="699"/>
      <c r="AIX20" s="700">
        <f>AIW20/AIU20</f>
        <v>0</v>
      </c>
      <c r="AIY20" s="593">
        <f>'Proy 2022 vs 2019 sem'!FP19*AJB$4</f>
        <v>11361.752399999999</v>
      </c>
      <c r="AIZ20" s="593">
        <f>'Proy 2022 vs 2019 sem'!FQ19*AJB$4</f>
        <v>10452.812207999999</v>
      </c>
      <c r="AJA20" s="699"/>
      <c r="AJB20" s="700">
        <f>AJA20/AIY20</f>
        <v>0</v>
      </c>
      <c r="AJC20" s="593">
        <f>'Proy 2022 vs 2019 sem'!FP19*AJF$4</f>
        <v>11361.752399999999</v>
      </c>
      <c r="AJD20" s="593">
        <f>'Proy 2022 vs 2019 sem'!FQ19*AJF$4</f>
        <v>10452.812207999999</v>
      </c>
      <c r="AJE20" s="699"/>
      <c r="AJF20" s="700">
        <f>AJE20/AJC20</f>
        <v>0</v>
      </c>
      <c r="AJG20" s="593">
        <f>'Proy 2022 vs 2019 sem'!FP19*AJJ$4</f>
        <v>11361.752399999999</v>
      </c>
      <c r="AJH20" s="593">
        <f>'Proy 2022 vs 2019 sem'!FQ19*AJJ$4</f>
        <v>10452.812207999999</v>
      </c>
      <c r="AJI20" s="699"/>
      <c r="AJJ20" s="700">
        <f>AJI20/AJG20</f>
        <v>0</v>
      </c>
      <c r="AJK20" s="593">
        <f>'Proy 2022 vs 2019 sem'!FP19*AJN$4</f>
        <v>13255.377800000002</v>
      </c>
      <c r="AJL20" s="593">
        <f>'Proy 2022 vs 2019 sem'!FQ19*AJN$4</f>
        <v>12194.947576</v>
      </c>
      <c r="AJM20" s="699"/>
      <c r="AJN20" s="700">
        <f>AJM20/AJK20</f>
        <v>0</v>
      </c>
      <c r="AJO20" s="593">
        <f>'Proy 2022 vs 2019 sem'!FP19*AJR$4</f>
        <v>15149.003200000001</v>
      </c>
      <c r="AJP20" s="593">
        <f>'Proy 2022 vs 2019 sem'!FQ19*AJR$4</f>
        <v>13937.082944</v>
      </c>
      <c r="AJQ20" s="699"/>
      <c r="AJR20" s="700">
        <f>AJQ20/AJO20</f>
        <v>0</v>
      </c>
      <c r="AJS20" s="593">
        <f>'Proy 2022 vs 2019 sem'!FP19*AJV$4</f>
        <v>20829.879400000002</v>
      </c>
      <c r="AJT20" s="593">
        <f>'Proy 2022 vs 2019 sem'!FQ19*AJV$4</f>
        <v>19163.489047999999</v>
      </c>
      <c r="AJU20" s="699"/>
      <c r="AJV20" s="700">
        <f>AJU20/AJS20</f>
        <v>0</v>
      </c>
      <c r="AJW20" s="579">
        <f>AIU20+AIY20+AJC20+AJG20+AJK20+AJO20+AJS20</f>
        <v>94681.27</v>
      </c>
      <c r="AJX20" s="574">
        <f>AIV20+AIZ20+AJD20+AJH20+AJL20+AJP20+AJT20</f>
        <v>87106.768400000001</v>
      </c>
      <c r="AJY20" s="770">
        <f>AIW20+AJA20+AJE20+AJI20+AJM20+AJQ20+AJU20</f>
        <v>0</v>
      </c>
      <c r="AJZ20" s="761">
        <f>AJY20/AJW20</f>
        <v>0</v>
      </c>
      <c r="AKA20" s="593"/>
      <c r="AKB20" s="593"/>
      <c r="AKC20" s="735"/>
      <c r="AKD20" s="700" t="e">
        <f>AKC20/AKA20</f>
        <v>#DIV/0!</v>
      </c>
      <c r="AKE20" s="593">
        <v>11675.25</v>
      </c>
      <c r="AKF20" s="593">
        <v>11908.754999999999</v>
      </c>
      <c r="AKG20" s="699"/>
      <c r="AKH20" s="700">
        <f>AKG20/AKE20</f>
        <v>0</v>
      </c>
      <c r="AKI20" s="593">
        <v>11675.25</v>
      </c>
      <c r="AKJ20" s="593">
        <v>11908.754999999999</v>
      </c>
      <c r="AKK20" s="699"/>
      <c r="AKL20" s="700">
        <f>AKK20/AKI20</f>
        <v>0</v>
      </c>
      <c r="AKM20" s="593">
        <v>11675.25</v>
      </c>
      <c r="AKN20" s="593">
        <v>11908.754999999999</v>
      </c>
      <c r="AKO20" s="699"/>
      <c r="AKP20" s="700">
        <f>AKO20/AKM20</f>
        <v>0</v>
      </c>
      <c r="AKQ20" s="593">
        <v>13621.125000000002</v>
      </c>
      <c r="AKR20" s="593">
        <v>13893.547500000001</v>
      </c>
      <c r="AKS20" s="699"/>
      <c r="AKT20" s="700">
        <f>AKS20/AKQ20</f>
        <v>0</v>
      </c>
      <c r="AKU20" s="593">
        <v>15567</v>
      </c>
      <c r="AKV20" s="593">
        <v>15878.34</v>
      </c>
      <c r="AKW20" s="699"/>
      <c r="AKX20" s="700">
        <f>AKW20/AKU20</f>
        <v>0</v>
      </c>
      <c r="AKY20" s="593">
        <v>21404.625</v>
      </c>
      <c r="AKZ20" s="593">
        <v>21832.717499999999</v>
      </c>
      <c r="ALA20" s="699"/>
      <c r="ALB20" s="700">
        <f>ALA20/AKY20</f>
        <v>0</v>
      </c>
      <c r="ALC20" s="579">
        <f>AKA20+AKE20+AKI20+AKM20+AKQ20+AKU20+AKY20</f>
        <v>85618.5</v>
      </c>
      <c r="ALD20" s="574">
        <f>AKB20+AKF20+AKJ20+AKN20+AKR20+AKV20+AKZ20</f>
        <v>87330.87</v>
      </c>
      <c r="ALE20" s="793">
        <f>AKC20+AKG20+AKK20+AKO20+AKS20+AKW20+ALA20</f>
        <v>0</v>
      </c>
      <c r="ALF20" s="786">
        <f>ALE20/ALC20</f>
        <v>0</v>
      </c>
      <c r="ALG20" s="593">
        <v>10734.529200000001</v>
      </c>
      <c r="ALH20" s="593">
        <v>10949.219783999999</v>
      </c>
      <c r="ALI20" s="699"/>
      <c r="ALJ20" s="700">
        <f>ALI20/ALG20</f>
        <v>0</v>
      </c>
      <c r="ALK20" s="593">
        <v>10734.529200000001</v>
      </c>
      <c r="ALL20" s="593">
        <v>10949.219783999999</v>
      </c>
      <c r="ALM20" s="699"/>
      <c r="ALN20" s="700">
        <f>ALM20/ALK20</f>
        <v>0</v>
      </c>
      <c r="ALO20" s="593">
        <v>10734.529200000001</v>
      </c>
      <c r="ALP20" s="593">
        <v>10949.219783999999</v>
      </c>
      <c r="ALQ20" s="699"/>
      <c r="ALR20" s="700">
        <f>ALQ20/ALO20</f>
        <v>0</v>
      </c>
      <c r="ALS20" s="593">
        <v>10734.529200000001</v>
      </c>
      <c r="ALT20" s="593">
        <v>10949.219783999999</v>
      </c>
      <c r="ALU20" s="699"/>
      <c r="ALV20" s="700">
        <f>ALU20/ALS20</f>
        <v>0</v>
      </c>
      <c r="ALW20" s="593">
        <v>12523.617400000001</v>
      </c>
      <c r="ALX20" s="593">
        <v>12774.089748000002</v>
      </c>
      <c r="ALY20" s="699"/>
      <c r="ALZ20" s="700">
        <f>ALY20/ALW20</f>
        <v>0</v>
      </c>
      <c r="AMA20" s="593">
        <v>14312.705600000001</v>
      </c>
      <c r="AMB20" s="593">
        <v>14598.959712</v>
      </c>
      <c r="AMC20" s="699"/>
      <c r="AMD20" s="700">
        <f>AMC20/AMA20</f>
        <v>0</v>
      </c>
      <c r="AME20" s="593">
        <v>19679.9702</v>
      </c>
      <c r="AMF20" s="593">
        <v>20073.569604</v>
      </c>
      <c r="AMG20" s="699"/>
      <c r="AMH20" s="700">
        <f>AMG20/AME20</f>
        <v>0</v>
      </c>
      <c r="AMI20" s="579">
        <f>ALG20+ALK20+ALO20+ALS20+ALW20+AMA20+AME20</f>
        <v>89454.41</v>
      </c>
      <c r="AMJ20" s="574">
        <f>ALH20+ALL20+ALP20+ALT20+ALX20+AMB20+AMF20</f>
        <v>91243.498200000002</v>
      </c>
      <c r="AMK20" s="794">
        <f>ALI20+ALM20+ALQ20+ALU20+ALY20+AMC20+AMG20</f>
        <v>0</v>
      </c>
      <c r="AML20" s="786">
        <f>AMK20/AMI20</f>
        <v>0</v>
      </c>
      <c r="AMM20" s="593">
        <v>10064.0844</v>
      </c>
      <c r="AMN20" s="593">
        <v>10265.366087999999</v>
      </c>
      <c r="AMO20" s="699"/>
      <c r="AMP20" s="700">
        <f>AMO20/AMM20</f>
        <v>0</v>
      </c>
      <c r="AMQ20" s="593">
        <v>10064.0844</v>
      </c>
      <c r="AMR20" s="593">
        <v>10265.366087999999</v>
      </c>
      <c r="AMS20" s="699"/>
      <c r="AMT20" s="700">
        <f>AMS20/AMQ20</f>
        <v>0</v>
      </c>
      <c r="AMU20" s="593">
        <v>10064.0844</v>
      </c>
      <c r="AMV20" s="593">
        <v>10265.366087999999</v>
      </c>
      <c r="AMW20" s="699"/>
      <c r="AMX20" s="700">
        <f>AMW20/AMU20</f>
        <v>0</v>
      </c>
      <c r="AMY20" s="593">
        <v>10064.0844</v>
      </c>
      <c r="AMZ20" s="593">
        <v>10265.366087999999</v>
      </c>
      <c r="ANA20" s="699"/>
      <c r="ANB20" s="700">
        <f>ANA20/AMY20</f>
        <v>0</v>
      </c>
      <c r="ANC20" s="593">
        <v>11741.4318</v>
      </c>
      <c r="AND20" s="593">
        <v>11976.260436</v>
      </c>
      <c r="ANE20" s="699"/>
      <c r="ANF20" s="700">
        <f>ANE20/ANC20</f>
        <v>0</v>
      </c>
      <c r="ANG20" s="593">
        <v>13418.779199999999</v>
      </c>
      <c r="ANH20" s="593">
        <v>13687.154783999998</v>
      </c>
      <c r="ANI20" s="699"/>
      <c r="ANJ20" s="700">
        <f>ANI20/ANG20</f>
        <v>0</v>
      </c>
      <c r="ANK20" s="593">
        <v>18450.821400000001</v>
      </c>
      <c r="ANL20" s="593">
        <v>18819.837828</v>
      </c>
      <c r="ANM20" s="699"/>
      <c r="ANN20" s="700">
        <f>ANM20/ANK20</f>
        <v>0</v>
      </c>
      <c r="ANO20" s="579">
        <f>AMM20+AMQ20+AMU20+AMY20+ANC20+ANG20+ANK20</f>
        <v>83867.37</v>
      </c>
      <c r="ANP20" s="574">
        <f>AMN20+AMR20+AMV20+AMZ20+AND20+ANH20+ANL20</f>
        <v>85544.717399999994</v>
      </c>
      <c r="ANQ20" s="794">
        <f>AMO20+AMS20+AMW20+ANA20+ANE20+ANI20+ANM20</f>
        <v>0</v>
      </c>
      <c r="ANR20" s="786">
        <f>ANQ20/ANO20</f>
        <v>0</v>
      </c>
      <c r="ANS20" s="593">
        <f>'Proy 2022 vs 2019 sem'!GN19*ANV$4</f>
        <v>11854.6152</v>
      </c>
      <c r="ANT20" s="593">
        <f>'Proy 2022 vs 2019 sem'!GO19*ANV$4</f>
        <v>11617.522896</v>
      </c>
      <c r="ANU20" s="699"/>
      <c r="ANV20" s="700">
        <f>ANU20/ANS20</f>
        <v>0</v>
      </c>
      <c r="ANW20" s="593">
        <f>'Proy 2022 vs 2019 sem'!GN19*ANZ$4</f>
        <v>11854.6152</v>
      </c>
      <c r="ANX20" s="593">
        <f>'Proy 2022 vs 2019 sem'!GO19*ANZ$4</f>
        <v>11617.522896</v>
      </c>
      <c r="ANY20" s="699"/>
      <c r="ANZ20" s="700">
        <f>ANY20/ANW20</f>
        <v>0</v>
      </c>
      <c r="AOA20" s="593">
        <f>'Proy 2022 vs 2019 sem'!GN19*AOD$4</f>
        <v>11854.6152</v>
      </c>
      <c r="AOB20" s="593">
        <f>'Proy 2022 vs 2019 sem'!GO19*AOD$4</f>
        <v>11617.522896</v>
      </c>
      <c r="AOC20" s="699"/>
      <c r="AOD20" s="700">
        <f>AOC20/AOA20</f>
        <v>0</v>
      </c>
      <c r="AOE20" s="593">
        <f>'Proy 2022 vs 2019 sem'!GN19*AOH$4</f>
        <v>11854.6152</v>
      </c>
      <c r="AOF20" s="593">
        <f>'Proy 2022 vs 2019 sem'!GO19*AOH$4</f>
        <v>11617.522896</v>
      </c>
      <c r="AOG20" s="699"/>
      <c r="AOH20" s="700">
        <f>AOG20/AOE20</f>
        <v>0</v>
      </c>
      <c r="AOI20" s="593">
        <f>'Proy 2022 vs 2019 sem'!GN19*AOL$4</f>
        <v>13830.384400000003</v>
      </c>
      <c r="AOJ20" s="593">
        <f>'Proy 2022 vs 2019 sem'!GO19*AOL$4</f>
        <v>13553.776712000003</v>
      </c>
      <c r="AOK20" s="699"/>
      <c r="AOL20" s="700">
        <f>AOK20/AOI20</f>
        <v>0</v>
      </c>
      <c r="AOM20" s="593">
        <f>'Proy 2022 vs 2019 sem'!GN19*AOP$4</f>
        <v>15806.153600000001</v>
      </c>
      <c r="AON20" s="593">
        <f>'Proy 2022 vs 2019 sem'!GO19*AOP$4</f>
        <v>15490.030528000003</v>
      </c>
      <c r="AOO20" s="699"/>
      <c r="AOP20" s="700">
        <f>AOO20/AOM20</f>
        <v>0</v>
      </c>
      <c r="AOQ20" s="593">
        <f>'Proy 2022 vs 2019 sem'!GN19*AOT$4</f>
        <v>21733.461200000002</v>
      </c>
      <c r="AOR20" s="593">
        <f>'Proy 2022 vs 2019 sem'!GO19*AOT$4</f>
        <v>21298.791976000004</v>
      </c>
      <c r="AOS20" s="699"/>
      <c r="AOT20" s="700">
        <f>AOS20/AOQ20</f>
        <v>0</v>
      </c>
      <c r="AOU20" s="579">
        <f>ANS20+ANW20+AOA20+AOE20+AOI20+AOM20+AOQ20</f>
        <v>98788.46</v>
      </c>
      <c r="AOV20" s="574">
        <f>ANT20+ANX20+AOB20+AOF20+AOJ20+AON20+AOR20</f>
        <v>96812.690800000011</v>
      </c>
      <c r="AOW20" s="785">
        <f>ANU20+ANY20+AOC20+AOG20+AOK20+AOO20+AOS20</f>
        <v>0</v>
      </c>
      <c r="AOX20" s="786">
        <f>AOW20/AOU20</f>
        <v>0</v>
      </c>
      <c r="AOY20" s="593">
        <f>'Proy 2022 vs 2019 sem'!GW19*APB$4</f>
        <v>11054.16</v>
      </c>
      <c r="AOZ20" s="593">
        <f>'Proy 2022 vs 2019 sem'!GX19*APB$4</f>
        <v>10833.076799999999</v>
      </c>
      <c r="APA20" s="735"/>
      <c r="APB20" s="700">
        <f>APA20/AOY20</f>
        <v>0</v>
      </c>
      <c r="APC20" s="593">
        <f>'Proy 2022 vs 2019 sem'!GW19*APF$4</f>
        <v>11054.16</v>
      </c>
      <c r="APD20" s="593">
        <f>'Proy 2022 vs 2019 sem'!GX19*APF$4</f>
        <v>10833.076799999999</v>
      </c>
      <c r="APE20" s="735"/>
      <c r="APF20" s="700">
        <f>APE20/APC20</f>
        <v>0</v>
      </c>
      <c r="APG20" s="593">
        <f>'Proy 2022 vs 2019 sem'!GW19*APJ$4</f>
        <v>11054.16</v>
      </c>
      <c r="APH20" s="593">
        <f>'Proy 2022 vs 2019 sem'!GX19*APJ$4</f>
        <v>10833.076799999999</v>
      </c>
      <c r="API20" s="735"/>
      <c r="APJ20" s="700">
        <f>API20/APG20</f>
        <v>0</v>
      </c>
      <c r="APK20" s="593">
        <f>'Proy 2022 vs 2019 sem'!GW19*APN$4</f>
        <v>11054.16</v>
      </c>
      <c r="APL20" s="593">
        <f>'Proy 2022 vs 2019 sem'!GX19*APN$4</f>
        <v>10833.076799999999</v>
      </c>
      <c r="APM20" s="735"/>
      <c r="APN20" s="700">
        <f>APM20/APK20</f>
        <v>0</v>
      </c>
      <c r="APO20" s="593">
        <f>'Proy 2022 vs 2019 sem'!GW19*APR$4</f>
        <v>12896.52</v>
      </c>
      <c r="APP20" s="593">
        <f>'Proy 2022 vs 2019 sem'!GX19*APR$4</f>
        <v>12638.589600000001</v>
      </c>
      <c r="APQ20" s="735"/>
      <c r="APR20" s="700">
        <f>APQ20/APO20</f>
        <v>0</v>
      </c>
      <c r="APS20" s="593">
        <f>'Proy 2022 vs 2019 sem'!GW19*APV$4</f>
        <v>14738.880000000001</v>
      </c>
      <c r="APT20" s="593">
        <f>'Proy 2022 vs 2019 sem'!GX19*APV$4</f>
        <v>14444.1024</v>
      </c>
      <c r="APU20" s="735"/>
      <c r="APV20" s="700">
        <f>APU20/APS20</f>
        <v>0</v>
      </c>
      <c r="APW20" s="593">
        <f>'Proy 2022 vs 2019 sem'!GW19*APZ$4</f>
        <v>20265.96</v>
      </c>
      <c r="APX20" s="593">
        <f>'Proy 2022 vs 2019 sem'!GX19*APZ$4</f>
        <v>19860.640800000001</v>
      </c>
      <c r="APY20" s="735"/>
      <c r="APZ20" s="700">
        <f>APY20/APW20</f>
        <v>0</v>
      </c>
      <c r="AQA20" s="579">
        <f>AOY20+APC20+APG20+APK20+APO20+APS20+APW20</f>
        <v>92118</v>
      </c>
      <c r="AQB20" s="574">
        <f>AOZ20+APD20+APH20+APL20+APP20+APT20+APX20</f>
        <v>90275.639999999985</v>
      </c>
      <c r="AQC20" s="729">
        <f>APA20+APE20+API20+APM20+APQ20+APU20+APY20</f>
        <v>0</v>
      </c>
      <c r="AQD20" s="711">
        <f>AQC20/AQA20</f>
        <v>0</v>
      </c>
      <c r="AQE20" s="593">
        <f>'Proy 2022 vs 2019 sem'!HB19*AQH$4</f>
        <v>10646.305200000001</v>
      </c>
      <c r="AQF20" s="593">
        <f>'Proy 2022 vs 2019 sem'!HC19*AQH$4</f>
        <v>10646.305200000001</v>
      </c>
      <c r="AQG20" s="699"/>
      <c r="AQH20" s="700">
        <f>AQG20/AQE20</f>
        <v>0</v>
      </c>
      <c r="AQI20" s="593">
        <f>'Proy 2022 vs 2019 sem'!HB19*AQL$4</f>
        <v>10646.305200000001</v>
      </c>
      <c r="AQJ20" s="593">
        <f>'Proy 2022 vs 2019 sem'!HC19*AQL$4</f>
        <v>10646.305200000001</v>
      </c>
      <c r="AQK20" s="699"/>
      <c r="AQL20" s="700">
        <f>AQK20/AQI20</f>
        <v>0</v>
      </c>
      <c r="AQM20" s="593">
        <f>'Proy 2022 vs 2019 sem'!HB19*AQP$4</f>
        <v>10646.305200000001</v>
      </c>
      <c r="AQN20" s="593">
        <f>'Proy 2022 vs 2019 sem'!HC19*AQP$4</f>
        <v>10646.305200000001</v>
      </c>
      <c r="AQO20" s="699"/>
      <c r="AQP20" s="700">
        <f>AQO20/AQM20</f>
        <v>0</v>
      </c>
      <c r="AQQ20" s="593">
        <f>'Proy 2022 vs 2019 sem'!HB19*AQT$4</f>
        <v>10646.305200000001</v>
      </c>
      <c r="AQR20" s="593">
        <f>'Proy 2022 vs 2019 sem'!HC19*AQT$4</f>
        <v>10646.305200000001</v>
      </c>
      <c r="AQS20" s="699"/>
      <c r="AQT20" s="700">
        <f>AQS20/AQQ20</f>
        <v>0</v>
      </c>
      <c r="AQU20" s="593">
        <f>'Proy 2022 vs 2019 sem'!HB19*AQX$4</f>
        <v>12420.689400000003</v>
      </c>
      <c r="AQV20" s="593">
        <f>'Proy 2022 vs 2019 sem'!HC19*AQX$4</f>
        <v>12420.689400000003</v>
      </c>
      <c r="AQW20" s="699"/>
      <c r="AQX20" s="700">
        <f>AQW20/AQU20</f>
        <v>0</v>
      </c>
      <c r="AQY20" s="593">
        <f>'Proy 2022 vs 2019 sem'!HB19*ARB$4</f>
        <v>14195.073600000002</v>
      </c>
      <c r="AQZ20" s="593">
        <f>'Proy 2022 vs 2019 sem'!HC19*ARB$4</f>
        <v>14195.073600000002</v>
      </c>
      <c r="ARA20" s="699"/>
      <c r="ARB20" s="700">
        <f>ARA20/AQY20</f>
        <v>0</v>
      </c>
      <c r="ARC20" s="593">
        <f>'Proy 2022 vs 2019 sem'!HB19*ARF$4</f>
        <v>19518.226200000001</v>
      </c>
      <c r="ARD20" s="593">
        <f>'Proy 2022 vs 2019 sem'!HC19*ARF$4</f>
        <v>19518.226200000001</v>
      </c>
      <c r="ARE20" s="699"/>
      <c r="ARF20" s="700">
        <f>ARE20/ARC20</f>
        <v>0</v>
      </c>
      <c r="ARG20" s="579">
        <f>AQE20+AQI20+AQM20+AQQ20+AQU20+AQY20+ARC20</f>
        <v>88719.21</v>
      </c>
      <c r="ARH20" s="574">
        <f>AQF20+AQJ20+AQN20+AQR20+AQV20+AQZ20+ARD20</f>
        <v>88719.21</v>
      </c>
      <c r="ARI20" s="730">
        <f>AQG20+AQK20+AQO20+AQS20+AQW20+ARA20+ARE20</f>
        <v>0</v>
      </c>
      <c r="ARJ20" s="711">
        <f>ARI20/ARG20</f>
        <v>0</v>
      </c>
      <c r="ARK20" s="593">
        <f>'Proy 2022 vs 2019 sem'!HG19*ARN$4</f>
        <v>11753.264399999998</v>
      </c>
      <c r="ARL20" s="593">
        <f>'Proy 2022 vs 2019 sem'!HH19*ARN$4</f>
        <v>11165.601179999998</v>
      </c>
      <c r="ARM20" s="699"/>
      <c r="ARN20" s="700">
        <f>ARM20/ARK20</f>
        <v>0</v>
      </c>
      <c r="ARO20" s="593">
        <f>'Proy 2022 vs 2019 sem'!HG19*ARR$4</f>
        <v>11753.264399999998</v>
      </c>
      <c r="ARP20" s="593">
        <f>'Proy 2022 vs 2019 sem'!HH19*ARR$4</f>
        <v>11165.601179999998</v>
      </c>
      <c r="ARQ20" s="699"/>
      <c r="ARR20" s="700">
        <f>ARQ20/ARO20</f>
        <v>0</v>
      </c>
      <c r="ARS20" s="593">
        <f>'Proy 2022 vs 2019 sem'!HG19*ARV$4</f>
        <v>11753.264399999998</v>
      </c>
      <c r="ART20" s="593">
        <f>'Proy 2022 vs 2019 sem'!HH19*ARV$4</f>
        <v>11165.601179999998</v>
      </c>
      <c r="ARU20" s="699"/>
      <c r="ARV20" s="700">
        <f>ARU20/ARS20</f>
        <v>0</v>
      </c>
      <c r="ARW20" s="593">
        <f>'Proy 2022 vs 2019 sem'!HG19*ARZ$4</f>
        <v>11753.264399999998</v>
      </c>
      <c r="ARX20" s="593">
        <f>'Proy 2022 vs 2019 sem'!HH19*ARZ$4</f>
        <v>11165.601179999998</v>
      </c>
      <c r="ARY20" s="699"/>
      <c r="ARZ20" s="700">
        <f>ARY20/ARW20</f>
        <v>0</v>
      </c>
      <c r="ASA20" s="593">
        <f>'Proy 2022 vs 2019 sem'!HG19*ASD$4</f>
        <v>13712.141800000001</v>
      </c>
      <c r="ASB20" s="593">
        <f>'Proy 2022 vs 2019 sem'!HH19*ASD$4</f>
        <v>13026.53471</v>
      </c>
      <c r="ASC20" s="699"/>
      <c r="ASD20" s="700">
        <f>ASC20/ASA20</f>
        <v>0</v>
      </c>
      <c r="ASE20" s="593">
        <f>'Proy 2022 vs 2019 sem'!HG19*ASH$4</f>
        <v>15671.019199999999</v>
      </c>
      <c r="ASF20" s="593">
        <f>'Proy 2022 vs 2019 sem'!HH19*ASH$4</f>
        <v>14887.468239999998</v>
      </c>
      <c r="ASG20" s="699"/>
      <c r="ASH20" s="700">
        <f>ASG20/ASE20</f>
        <v>0</v>
      </c>
      <c r="ASI20" s="593">
        <f>'Proy 2022 vs 2019 sem'!HG19*ASL$4</f>
        <v>21547.651399999999</v>
      </c>
      <c r="ASJ20" s="593">
        <f>'Proy 2022 vs 2019 sem'!HH19*ASL$4</f>
        <v>20470.268829999997</v>
      </c>
      <c r="ASK20" s="699"/>
      <c r="ASL20" s="700">
        <f>ASK20/ASI20</f>
        <v>0</v>
      </c>
      <c r="ASM20" s="579">
        <f>ARK20+ARO20+ARS20+ARW20+ASA20+ASE20+ASI20</f>
        <v>97943.87</v>
      </c>
      <c r="ASN20" s="574">
        <f>ARL20+ARP20+ART20+ARX20+ASB20+ASF20+ASJ20</f>
        <v>93046.676499999987</v>
      </c>
      <c r="ASO20" s="730">
        <f>ARM20+ARQ20+ARU20+ARY20+ASC20+ASG20+ASK20</f>
        <v>0</v>
      </c>
      <c r="ASP20" s="711">
        <f>ASO20/ASM20</f>
        <v>0</v>
      </c>
      <c r="ASQ20" s="593">
        <f>'Proy 2022 vs 2019 sem'!HL19*AST$4</f>
        <v>9764.6603999999988</v>
      </c>
      <c r="ASR20" s="593">
        <f>'Proy 2022 vs 2019 sem'!HM19*AST$4</f>
        <v>9471.7205880000001</v>
      </c>
      <c r="ASS20" s="699"/>
      <c r="AST20" s="700">
        <f>ASS20/ASQ20</f>
        <v>0</v>
      </c>
      <c r="ASU20" s="593">
        <f>'Proy 2022 vs 2019 sem'!HL19*ASX$4</f>
        <v>9764.6603999999988</v>
      </c>
      <c r="ASV20" s="593">
        <f>'Proy 2022 vs 2019 sem'!HM19*ASX$4</f>
        <v>9471.7205880000001</v>
      </c>
      <c r="ASW20" s="699"/>
      <c r="ASX20" s="700">
        <f>ASW20/ASU20</f>
        <v>0</v>
      </c>
      <c r="ASY20" s="593">
        <f>'Proy 2022 vs 2019 sem'!HL19*ATB$4</f>
        <v>9764.6603999999988</v>
      </c>
      <c r="ASZ20" s="593">
        <f>'Proy 2022 vs 2019 sem'!HM19*ATB$4</f>
        <v>9471.7205880000001</v>
      </c>
      <c r="ATA20" s="699"/>
      <c r="ATB20" s="700">
        <f>ATA20/ASY20</f>
        <v>0</v>
      </c>
      <c r="ATC20" s="593">
        <f>'Proy 2022 vs 2019 sem'!HL19*ATF$4</f>
        <v>9764.6603999999988</v>
      </c>
      <c r="ATD20" s="593">
        <f>'Proy 2022 vs 2019 sem'!HM19*ATF$4</f>
        <v>9471.7205880000001</v>
      </c>
      <c r="ATE20" s="699"/>
      <c r="ATF20" s="700">
        <f>ATE20/ATC20</f>
        <v>0</v>
      </c>
      <c r="ATG20" s="593">
        <f>'Proy 2022 vs 2019 sem'!HL19*ATJ$4</f>
        <v>11392.103800000001</v>
      </c>
      <c r="ATH20" s="593">
        <f>'Proy 2022 vs 2019 sem'!HM19*ATJ$4</f>
        <v>11050.340686000001</v>
      </c>
      <c r="ATI20" s="699"/>
      <c r="ATJ20" s="700">
        <f>ATI20/ATG20</f>
        <v>0</v>
      </c>
      <c r="ATK20" s="593">
        <f>'Proy 2022 vs 2019 sem'!HL19*ATN$4</f>
        <v>13019.547200000001</v>
      </c>
      <c r="ATL20" s="593">
        <f>'Proy 2022 vs 2019 sem'!HM19*ATN$4</f>
        <v>12628.960784000001</v>
      </c>
      <c r="ATM20" s="699"/>
      <c r="ATN20" s="700">
        <f>ATM20/ATK20</f>
        <v>0</v>
      </c>
      <c r="ATO20" s="593">
        <f>'Proy 2022 vs 2019 sem'!HL19*ATR$4</f>
        <v>17901.877400000001</v>
      </c>
      <c r="ATP20" s="593">
        <f>'Proy 2022 vs 2019 sem'!HM19*ATR$4</f>
        <v>17364.821078000001</v>
      </c>
      <c r="ATQ20" s="699"/>
      <c r="ATR20" s="700">
        <f>ATQ20/ATO20</f>
        <v>0</v>
      </c>
      <c r="ATS20" s="579">
        <f>ASQ20+ASU20+ASY20+ATC20+ATG20+ATK20+ATO20</f>
        <v>81372.17</v>
      </c>
      <c r="ATT20" s="574">
        <f>ASR20+ASV20+ASZ20+ATD20+ATH20+ATL20+ATP20</f>
        <v>78931.0049</v>
      </c>
      <c r="ATU20" s="710">
        <f>ASS20+ASW20+ATA20+ATE20+ATI20+ATM20+ATQ20</f>
        <v>0</v>
      </c>
      <c r="ATV20" s="711">
        <f>ATU20/ATS20</f>
        <v>0</v>
      </c>
      <c r="ATW20" s="593">
        <f>'Proy 2022 vs 2019 sem'!HQ19*ATZ$4</f>
        <v>11503.8336</v>
      </c>
      <c r="ATX20" s="593">
        <f>'Proy 2022 vs 2019 sem'!HR19*ATZ$4</f>
        <v>11273.756927999999</v>
      </c>
      <c r="ATY20" s="699"/>
      <c r="ATZ20" s="700">
        <f>ATY20/ATW20</f>
        <v>0</v>
      </c>
      <c r="AUA20" s="593">
        <f>'Proy 2022 vs 2019 sem'!HQ19*AUD$4</f>
        <v>11503.8336</v>
      </c>
      <c r="AUB20" s="593">
        <f>'Proy 2022 vs 2019 sem'!HR19*AUD$4</f>
        <v>11273.756927999999</v>
      </c>
      <c r="AUC20" s="699"/>
      <c r="AUD20" s="700">
        <f>AUC20/AUA20</f>
        <v>0</v>
      </c>
      <c r="AUE20" s="593">
        <f>'Proy 2022 vs 2019 sem'!HQ19*AUH$4</f>
        <v>11503.8336</v>
      </c>
      <c r="AUF20" s="593">
        <f>'Proy 2022 vs 2019 sem'!HR19*AUH$4</f>
        <v>11273.756927999999</v>
      </c>
      <c r="AUG20" s="699"/>
      <c r="AUH20" s="700">
        <f>AUG20/AUE20</f>
        <v>0</v>
      </c>
      <c r="AUI20" s="593">
        <f>'Proy 2022 vs 2019 sem'!HQ19*AUL$4</f>
        <v>11503.8336</v>
      </c>
      <c r="AUJ20" s="593">
        <f>'Proy 2022 vs 2019 sem'!HR19*AUL$4</f>
        <v>11273.756927999999</v>
      </c>
      <c r="AUK20" s="699"/>
      <c r="AUL20" s="700">
        <f>AUK20/AUI20</f>
        <v>0</v>
      </c>
      <c r="AUM20" s="593">
        <f>'Proy 2022 vs 2019 sem'!HQ19*AUP$4</f>
        <v>13421.139200000001</v>
      </c>
      <c r="AUN20" s="593">
        <f>'Proy 2022 vs 2019 sem'!HR19*AUP$4</f>
        <v>13152.716415999999</v>
      </c>
      <c r="AUO20" s="699"/>
      <c r="AUP20" s="700">
        <f>AUO20/AUM20</f>
        <v>0</v>
      </c>
      <c r="AUQ20" s="593">
        <f>'Proy 2022 vs 2019 sem'!HQ19*AUT$4</f>
        <v>15338.444799999999</v>
      </c>
      <c r="AUR20" s="593">
        <f>'Proy 2022 vs 2019 sem'!HR19*AUT$4</f>
        <v>15031.675904</v>
      </c>
      <c r="AUS20" s="699"/>
      <c r="AUT20" s="700">
        <f>AUS20/AUQ20</f>
        <v>0</v>
      </c>
      <c r="AUU20" s="593">
        <f>'Proy 2022 vs 2019 sem'!HQ19*AUX$4</f>
        <v>21090.3616</v>
      </c>
      <c r="AUV20" s="593">
        <f>'Proy 2022 vs 2019 sem'!HR19*AUX$4</f>
        <v>20668.554367999997</v>
      </c>
      <c r="AUW20" s="699"/>
      <c r="AUX20" s="700">
        <f>AUW20/AUU20</f>
        <v>0</v>
      </c>
      <c r="AUY20" s="579">
        <f>ATW20+AUA20+AUE20+AUI20+AUM20+AUQ20+AUU20</f>
        <v>95865.279999999999</v>
      </c>
      <c r="AUZ20" s="574">
        <f>ATX20+AUB20+AUF20+AUJ20+AUN20+AUR20+AUV20</f>
        <v>93947.974399999992</v>
      </c>
      <c r="AVA20" s="710">
        <f>ATY20+AUC20+AUG20+AUK20+AUO20+AUS20+AUW20</f>
        <v>0</v>
      </c>
      <c r="AVB20" s="711">
        <f>AVA20/AUY20</f>
        <v>0</v>
      </c>
      <c r="AVC20" s="593">
        <f>'Proy 2022 vs 2019 sem'!HZ19*AVF$4</f>
        <v>10540.749599999999</v>
      </c>
      <c r="AVD20" s="593">
        <f>'Proy 2022 vs 2019 sem'!IA19*AVF$4</f>
        <v>10224.527112</v>
      </c>
      <c r="AVE20" s="735"/>
      <c r="AVF20" s="700">
        <f>AVE20/AVC20</f>
        <v>0</v>
      </c>
      <c r="AVG20" s="593">
        <f>'Proy 2022 vs 2019 sem'!HZ19*AVJ$4</f>
        <v>10540.749599999999</v>
      </c>
      <c r="AVH20" s="593">
        <f>'Proy 2022 vs 2019 sem'!IA19*AVJ$4</f>
        <v>10224.527112</v>
      </c>
      <c r="AVI20" s="699"/>
      <c r="AVJ20" s="700">
        <f>AVI20/AVG20</f>
        <v>0</v>
      </c>
      <c r="AVK20" s="593">
        <f>'Proy 2022 vs 2019 sem'!HZ19*AVN$4</f>
        <v>10540.749599999999</v>
      </c>
      <c r="AVL20" s="593">
        <f>'Proy 2022 vs 2019 sem'!IA19*AVN$4</f>
        <v>10224.527112</v>
      </c>
      <c r="AVM20" s="699"/>
      <c r="AVN20" s="700">
        <f>AVM20/AVK20</f>
        <v>0</v>
      </c>
      <c r="AVO20" s="593">
        <f>'Proy 2022 vs 2019 sem'!HZ19*AVR$4</f>
        <v>10540.749599999999</v>
      </c>
      <c r="AVP20" s="593">
        <f>'Proy 2022 vs 2019 sem'!IA19*AVR$4</f>
        <v>10224.527112</v>
      </c>
      <c r="AVQ20" s="699"/>
      <c r="AVR20" s="700">
        <f>AVQ20/AVO20</f>
        <v>0</v>
      </c>
      <c r="AVS20" s="593">
        <f>'Proy 2022 vs 2019 sem'!HZ19*AVV$4</f>
        <v>12297.541200000001</v>
      </c>
      <c r="AVT20" s="593">
        <f>'Proy 2022 vs 2019 sem'!IA19*AVV$4</f>
        <v>11928.614964000002</v>
      </c>
      <c r="AVU20" s="699"/>
      <c r="AVV20" s="700">
        <f>AVU20/AVS20</f>
        <v>0</v>
      </c>
      <c r="AVW20" s="593">
        <f>'Proy 2022 vs 2019 sem'!HZ19*AVZ$4</f>
        <v>14054.3328</v>
      </c>
      <c r="AVX20" s="593">
        <f>'Proy 2022 vs 2019 sem'!IA19*AVZ$4</f>
        <v>13632.702816000001</v>
      </c>
      <c r="AVY20" s="699"/>
      <c r="AVZ20" s="700">
        <f>AVY20/AVW20</f>
        <v>0</v>
      </c>
      <c r="AWA20" s="593">
        <f>'Proy 2022 vs 2019 sem'!HZ19*AWD$4</f>
        <v>19324.707600000002</v>
      </c>
      <c r="AWB20" s="593">
        <f>'Proy 2022 vs 2019 sem'!IA19*AWD$4</f>
        <v>18744.966372000003</v>
      </c>
      <c r="AWC20" s="699"/>
      <c r="AWD20" s="700">
        <f>AWC20/AWA20</f>
        <v>0</v>
      </c>
      <c r="AWE20" s="579">
        <f>AVC20+AVG20+AVK20+AVO20+AVS20+AVW20+AWA20</f>
        <v>87839.579999999987</v>
      </c>
      <c r="AWF20" s="574">
        <f>AVD20+AVH20+AVL20+AVP20+AVT20+AVX20+AWB20</f>
        <v>85204.392599999992</v>
      </c>
      <c r="AWG20" s="793">
        <f>AVE20+AVI20+AVM20+AVQ20+AVU20+AVY20+AWC20</f>
        <v>0</v>
      </c>
      <c r="AWH20" s="786">
        <f>AWG20/AWE20</f>
        <v>0</v>
      </c>
      <c r="AWI20" s="593">
        <f>'Proy 2022 vs 2019 sem'!IE19*AWL$4</f>
        <v>12057.1356</v>
      </c>
      <c r="AWJ20" s="593">
        <f>'Proy 2022 vs 2019 sem'!IF19*AWL$4</f>
        <v>11574.850176</v>
      </c>
      <c r="AWK20" s="699"/>
      <c r="AWL20" s="700">
        <f>AWK20/AWI20</f>
        <v>0</v>
      </c>
      <c r="AWM20" s="593">
        <f>'Proy 2022 vs 2019 sem'!IE19*AWP$4</f>
        <v>12057.1356</v>
      </c>
      <c r="AWN20" s="593">
        <f>'Proy 2022 vs 2019 sem'!IF19*AWP$4</f>
        <v>11574.850176</v>
      </c>
      <c r="AWO20" s="699"/>
      <c r="AWP20" s="700">
        <f>AWO20/AWM20</f>
        <v>0</v>
      </c>
      <c r="AWQ20" s="593">
        <f>'Proy 2022 vs 2019 sem'!IE19*AWT$4</f>
        <v>12057.1356</v>
      </c>
      <c r="AWR20" s="593">
        <f>'Proy 2022 vs 2019 sem'!IF19*AWT$4</f>
        <v>11574.850176</v>
      </c>
      <c r="AWS20" s="699"/>
      <c r="AWT20" s="700">
        <f>AWS20/AWQ20</f>
        <v>0</v>
      </c>
      <c r="AWU20" s="593">
        <f>'Proy 2022 vs 2019 sem'!IE19*AWX$4</f>
        <v>12057.1356</v>
      </c>
      <c r="AWV20" s="593">
        <f>'Proy 2022 vs 2019 sem'!IF19*AWX$4</f>
        <v>11574.850176</v>
      </c>
      <c r="AWW20" s="699"/>
      <c r="AWX20" s="700">
        <f>AWW20/AWU20</f>
        <v>0</v>
      </c>
      <c r="AWY20" s="593">
        <f>'Proy 2022 vs 2019 sem'!IE19*AXB$4</f>
        <v>14066.658200000002</v>
      </c>
      <c r="AWZ20" s="593">
        <f>'Proy 2022 vs 2019 sem'!IF19*AXB$4</f>
        <v>13503.991872000001</v>
      </c>
      <c r="AXA20" s="699"/>
      <c r="AXB20" s="700">
        <f>AXA20/AWY20</f>
        <v>0</v>
      </c>
      <c r="AXC20" s="593">
        <f>'Proy 2022 vs 2019 sem'!IE19*AXF$4</f>
        <v>16076.180800000002</v>
      </c>
      <c r="AXD20" s="593">
        <f>'Proy 2022 vs 2019 sem'!IF19*AXF$4</f>
        <v>15433.133567999999</v>
      </c>
      <c r="AXE20" s="699"/>
      <c r="AXF20" s="700">
        <f>AXE20/AXC20</f>
        <v>0</v>
      </c>
      <c r="AXG20" s="593">
        <f>'Proy 2022 vs 2019 sem'!IE19*AXJ$4</f>
        <v>22104.748600000003</v>
      </c>
      <c r="AXH20" s="593">
        <f>'Proy 2022 vs 2019 sem'!IF19*AXJ$4</f>
        <v>21220.558656000001</v>
      </c>
      <c r="AXI20" s="699"/>
      <c r="AXJ20" s="700">
        <f>AXI20/AXG20</f>
        <v>0</v>
      </c>
      <c r="AXK20" s="579">
        <f>AWI20+AWM20+AWQ20+AWU20+AWY20+AXC20+AXG20</f>
        <v>100476.13</v>
      </c>
      <c r="AXL20" s="574">
        <f>AWJ20+AWN20+AWR20+AWV20+AWZ20+AXD20+AXH20</f>
        <v>96457.084800000011</v>
      </c>
      <c r="AXM20" s="794">
        <f>AWK20+AWO20+AWS20+AWW20+AXA20+AXE20+AXI20</f>
        <v>0</v>
      </c>
      <c r="AXN20" s="786">
        <f>AXM20/AXK20</f>
        <v>0</v>
      </c>
      <c r="AXO20" s="593">
        <f>'Proy 2022 vs 2019 sem'!IJ19*AXR$4</f>
        <v>13634.943599999999</v>
      </c>
      <c r="AXP20" s="593">
        <f>'Proy 2022 vs 2019 sem'!IK19*AXR$4</f>
        <v>13498.594164</v>
      </c>
      <c r="AXQ20" s="699"/>
      <c r="AXR20" s="700">
        <f>AXQ20/AXO20</f>
        <v>0</v>
      </c>
      <c r="AXS20" s="593">
        <f>'Proy 2022 vs 2019 sem'!IJ19*AXV$4</f>
        <v>13634.943599999999</v>
      </c>
      <c r="AXT20" s="593">
        <f>'Proy 2022 vs 2019 sem'!IK19*AXV$4</f>
        <v>13498.594164</v>
      </c>
      <c r="AXU20" s="699"/>
      <c r="AXV20" s="700">
        <f>AXU20/AXS20</f>
        <v>0</v>
      </c>
      <c r="AXW20" s="593">
        <f>'Proy 2022 vs 2019 sem'!IJ19*AXZ$4</f>
        <v>13634.943599999999</v>
      </c>
      <c r="AXX20" s="593">
        <f>'Proy 2022 vs 2019 sem'!IK19*AXZ$4</f>
        <v>13498.594164</v>
      </c>
      <c r="AXY20" s="699"/>
      <c r="AXZ20" s="700">
        <f>AXY20/AXW20</f>
        <v>0</v>
      </c>
      <c r="AYA20" s="593">
        <f>'Proy 2022 vs 2019 sem'!IJ19*AYD$4</f>
        <v>13634.943599999999</v>
      </c>
      <c r="AYB20" s="593">
        <f>'Proy 2022 vs 2019 sem'!IK19*AYD$4</f>
        <v>13498.594164</v>
      </c>
      <c r="AYC20" s="699"/>
      <c r="AYD20" s="700">
        <f>AYC20/AYA20</f>
        <v>0</v>
      </c>
      <c r="AYE20" s="593">
        <f>'Proy 2022 vs 2019 sem'!IJ19*AYH$4</f>
        <v>15907.434200000002</v>
      </c>
      <c r="AYF20" s="593">
        <f>'Proy 2022 vs 2019 sem'!IK19*AYH$4</f>
        <v>15748.359858000002</v>
      </c>
      <c r="AYG20" s="699"/>
      <c r="AYH20" s="700">
        <f>AYG20/AYE20</f>
        <v>0</v>
      </c>
      <c r="AYI20" s="593">
        <f>'Proy 2022 vs 2019 sem'!IJ19*AYL$4</f>
        <v>18179.924800000001</v>
      </c>
      <c r="AYJ20" s="593">
        <f>'Proy 2022 vs 2019 sem'!IK19*AYL$4</f>
        <v>17998.125552000001</v>
      </c>
      <c r="AYK20" s="699"/>
      <c r="AYL20" s="700">
        <f>AYK20/AYI20</f>
        <v>0</v>
      </c>
      <c r="AYM20" s="593">
        <f>'Proy 2022 vs 2019 sem'!IJ19*AYP$4</f>
        <v>24997.3966</v>
      </c>
      <c r="AYN20" s="593">
        <f>'Proy 2022 vs 2019 sem'!IK19*AYP$4</f>
        <v>24747.422634000002</v>
      </c>
      <c r="AYO20" s="699"/>
      <c r="AYP20" s="700">
        <f>AYO20/AYM20</f>
        <v>0</v>
      </c>
      <c r="AYQ20" s="579">
        <f>AXO20+AXS20+AXW20+AYA20+AYE20+AYI20+AYM20</f>
        <v>113624.53</v>
      </c>
      <c r="AYR20" s="574">
        <f>AXP20+AXT20+AXX20+AYB20+AYF20+AYJ20+AYN20</f>
        <v>112488.2847</v>
      </c>
      <c r="AYS20" s="794">
        <f>AXQ20+AXU20+AXY20+AYC20+AYG20+AYK20+AYO20</f>
        <v>0</v>
      </c>
      <c r="AYT20" s="786">
        <f>AYS20/AYQ20</f>
        <v>0</v>
      </c>
      <c r="AYU20" s="593">
        <f>'Proy 2022 vs 2019 sem'!IO19*AYX$4</f>
        <v>16684.727999999999</v>
      </c>
      <c r="AYV20" s="593">
        <f>'Proy 2022 vs 2019 sem'!IP19*AYX$4</f>
        <v>16184.186159999999</v>
      </c>
      <c r="AYW20" s="699"/>
      <c r="AYX20" s="700">
        <f>AYW20/AYU20</f>
        <v>0</v>
      </c>
      <c r="AYY20" s="593">
        <f>'Proy 2022 vs 2019 sem'!IO19*AZB$4</f>
        <v>16684.727999999999</v>
      </c>
      <c r="AYZ20" s="593">
        <f>'Proy 2022 vs 2019 sem'!IP19*AZB$4</f>
        <v>16184.186159999999</v>
      </c>
      <c r="AZA20" s="699"/>
      <c r="AZB20" s="700">
        <f>AZA20/AYY20</f>
        <v>0</v>
      </c>
      <c r="AZC20" s="593">
        <f>'Proy 2022 vs 2019 sem'!IO19*AZF$4</f>
        <v>16684.727999999999</v>
      </c>
      <c r="AZD20" s="593">
        <f>'Proy 2022 vs 2019 sem'!IP19*AZF$4</f>
        <v>16184.186159999999</v>
      </c>
      <c r="AZE20" s="699"/>
      <c r="AZF20" s="700">
        <f>AZE20/AZC20</f>
        <v>0</v>
      </c>
      <c r="AZG20" s="593">
        <f>'Proy 2022 vs 2019 sem'!IO19*AZJ$4</f>
        <v>16684.727999999999</v>
      </c>
      <c r="AZH20" s="593">
        <f>'Proy 2022 vs 2019 sem'!IP19*AZJ$4</f>
        <v>16184.186159999999</v>
      </c>
      <c r="AZI20" s="699"/>
      <c r="AZJ20" s="700">
        <f>AZI20/AZG20</f>
        <v>0</v>
      </c>
      <c r="AZK20" s="593">
        <f>'Proy 2022 vs 2019 sem'!IO19*AZN$4</f>
        <v>19465.516</v>
      </c>
      <c r="AZL20" s="593">
        <f>'Proy 2022 vs 2019 sem'!IP19*AZN$4</f>
        <v>18881.550520000001</v>
      </c>
      <c r="AZM20" s="699"/>
      <c r="AZN20" s="700">
        <f>AZM20/AZK20</f>
        <v>0</v>
      </c>
      <c r="AZO20" s="593">
        <f>'Proy 2022 vs 2019 sem'!IO19*AZR$4</f>
        <v>22246.304</v>
      </c>
      <c r="AZP20" s="593">
        <f>'Proy 2022 vs 2019 sem'!IP19*AZR$4</f>
        <v>21578.91488</v>
      </c>
      <c r="AZQ20" s="699"/>
      <c r="AZR20" s="700">
        <f>AZQ20/AZO20</f>
        <v>0</v>
      </c>
      <c r="AZS20" s="593">
        <f>'Proy 2022 vs 2019 sem'!IO19*AZV$4</f>
        <v>30588.667999999998</v>
      </c>
      <c r="AZT20" s="593">
        <f>'Proy 2022 vs 2019 sem'!IP19*AZV$4</f>
        <v>29671.007959999999</v>
      </c>
      <c r="AZU20" s="699"/>
      <c r="AZV20" s="700">
        <f>AZU20/AZS20</f>
        <v>0</v>
      </c>
      <c r="AZW20" s="579">
        <f>AYU20+AYY20+AZC20+AZG20+AZK20+AZO20+AZS20</f>
        <v>139039.4</v>
      </c>
      <c r="AZX20" s="574">
        <f>AYV20+AYZ20+AZD20+AZH20+AZL20+AZP20+AZT20</f>
        <v>134868.21799999999</v>
      </c>
      <c r="AZY20" s="785">
        <f>AYW20+AZA20+AZE20+AZI20+AZM20+AZQ20+AZU20</f>
        <v>0</v>
      </c>
      <c r="AZZ20" s="786">
        <f>AZY20/AZW20</f>
        <v>0</v>
      </c>
      <c r="BAA20" s="593">
        <f>'Proy 2022 vs 2019 sem'!IX19*BAD$4</f>
        <v>13047.325200000001</v>
      </c>
      <c r="BAB20" s="593">
        <f>'Proy 2022 vs 2019 sem'!IY19*BAD$4</f>
        <v>12655.905444</v>
      </c>
      <c r="BAC20" s="735"/>
      <c r="BAD20" s="700">
        <f>BAC20/BAA20</f>
        <v>0</v>
      </c>
      <c r="BAE20" s="593">
        <f>'Proy 2022 vs 2019 sem'!IX19*BAH$4</f>
        <v>13047.325200000001</v>
      </c>
      <c r="BAF20" s="593">
        <f>'Proy 2022 vs 2019 sem'!IY19*BAH$4</f>
        <v>12655.905444</v>
      </c>
      <c r="BAG20" s="699"/>
      <c r="BAH20" s="700">
        <f>BAG20/BAE20</f>
        <v>0</v>
      </c>
      <c r="BAI20" s="593">
        <f>'Proy 2022 vs 2019 sem'!IX19*BAL$4</f>
        <v>13047.325200000001</v>
      </c>
      <c r="BAJ20" s="593">
        <f>'Proy 2022 vs 2019 sem'!IY19*BAL$4</f>
        <v>12655.905444</v>
      </c>
      <c r="BAK20" s="699"/>
      <c r="BAL20" s="700">
        <f>BAK20/BAI20</f>
        <v>0</v>
      </c>
      <c r="BAM20" s="593">
        <f>'Proy 2022 vs 2019 sem'!IX19*BAP$4</f>
        <v>13047.325200000001</v>
      </c>
      <c r="BAN20" s="593">
        <f>'Proy 2022 vs 2019 sem'!IY19*BAP$4</f>
        <v>12655.905444</v>
      </c>
      <c r="BAO20" s="699"/>
      <c r="BAP20" s="700">
        <f>BAO20/BAM20</f>
        <v>0</v>
      </c>
      <c r="BAQ20" s="593">
        <f>'Proy 2022 vs 2019 sem'!IX19*BAT$4</f>
        <v>15221.879400000002</v>
      </c>
      <c r="BAR20" s="593">
        <f>'Proy 2022 vs 2019 sem'!IY19*BAT$4</f>
        <v>14765.223018000002</v>
      </c>
      <c r="BAS20" s="699"/>
      <c r="BAT20" s="700">
        <f>BAS20/BAQ20</f>
        <v>0</v>
      </c>
      <c r="BAU20" s="593">
        <f>'Proy 2022 vs 2019 sem'!IX19*BAX$4</f>
        <v>17396.4336</v>
      </c>
      <c r="BAV20" s="593">
        <f>'Proy 2022 vs 2019 sem'!IY19*BAX$4</f>
        <v>16874.540592000001</v>
      </c>
      <c r="BAW20" s="699"/>
      <c r="BAX20" s="700">
        <f>BAW20/BAU20</f>
        <v>0</v>
      </c>
      <c r="BAY20" s="593">
        <f>'Proy 2022 vs 2019 sem'!IX19*BBB$4</f>
        <v>23920.0962</v>
      </c>
      <c r="BAZ20" s="593">
        <f>'Proy 2022 vs 2019 sem'!IY19*BBB$4</f>
        <v>23202.493313999999</v>
      </c>
      <c r="BBA20" s="699"/>
      <c r="BBB20" s="700">
        <f>BBA20/BAY20</f>
        <v>0</v>
      </c>
      <c r="BBC20" s="579">
        <f>BAA20+BAE20+BAI20+BAM20+BAQ20+BAU20+BAY20</f>
        <v>108727.71</v>
      </c>
      <c r="BBD20" s="574">
        <f>BAB20+BAF20+BAJ20+BAN20+BAR20+BAV20+BAZ20</f>
        <v>105465.8787</v>
      </c>
      <c r="BBE20" s="759">
        <f>BAC20+BAG20+BAK20+BAO20+BAS20+BAW20+BBA20</f>
        <v>0</v>
      </c>
      <c r="BBF20" s="761">
        <f>BBE20/BBC20</f>
        <v>0</v>
      </c>
      <c r="BBG20" s="593">
        <f>'Proy 2022 vs 2019 sem'!JC19*BBJ$4</f>
        <v>15195.529199999999</v>
      </c>
      <c r="BBH20" s="593">
        <f>'Proy 2022 vs 2019 sem'!JD19*BBJ$4</f>
        <v>14283.797447999999</v>
      </c>
      <c r="BBI20" s="699"/>
      <c r="BBJ20" s="700">
        <f>BBI20/BBG20</f>
        <v>0</v>
      </c>
      <c r="BBK20" s="593">
        <f>'Proy 2022 vs 2019 sem'!JC19*BBN$4</f>
        <v>15195.529199999999</v>
      </c>
      <c r="BBL20" s="593">
        <f>'Proy 2022 vs 2019 sem'!JD19*BBN$4</f>
        <v>14283.797447999999</v>
      </c>
      <c r="BBM20" s="699"/>
      <c r="BBN20" s="700">
        <f>BBM20/BBK20</f>
        <v>0</v>
      </c>
      <c r="BBO20" s="593">
        <f>'Proy 2022 vs 2019 sem'!JC19*BBR$4</f>
        <v>15195.529199999999</v>
      </c>
      <c r="BBP20" s="593">
        <f>'Proy 2022 vs 2019 sem'!JD19*BBR$4</f>
        <v>14283.797447999999</v>
      </c>
      <c r="BBQ20" s="699"/>
      <c r="BBR20" s="700">
        <f>BBQ20/BBO20</f>
        <v>0</v>
      </c>
      <c r="BBS20" s="593">
        <f>'Proy 2022 vs 2019 sem'!JC19*BBV$4</f>
        <v>15195.529199999999</v>
      </c>
      <c r="BBT20" s="593">
        <f>'Proy 2022 vs 2019 sem'!JD19*BBV$4</f>
        <v>14283.797447999999</v>
      </c>
      <c r="BBU20" s="699"/>
      <c r="BBV20" s="700">
        <f>BBU20/BBS20</f>
        <v>0</v>
      </c>
      <c r="BBW20" s="593">
        <f>'Proy 2022 vs 2019 sem'!JC19*BBZ$4</f>
        <v>17728.117400000003</v>
      </c>
      <c r="BBX20" s="593">
        <f>'Proy 2022 vs 2019 sem'!JD19*BBZ$4</f>
        <v>16664.430356000001</v>
      </c>
      <c r="BBY20" s="699"/>
      <c r="BBZ20" s="700">
        <f>BBY20/BBW20</f>
        <v>0</v>
      </c>
      <c r="BCA20" s="593">
        <f>'Proy 2022 vs 2019 sem'!JC19*BCD$4</f>
        <v>20260.705600000001</v>
      </c>
      <c r="BCB20" s="593">
        <f>'Proy 2022 vs 2019 sem'!JD19*BCD$4</f>
        <v>19045.063264</v>
      </c>
      <c r="BCC20" s="699"/>
      <c r="BCD20" s="700">
        <f>BCC20/BCA20</f>
        <v>0</v>
      </c>
      <c r="BCE20" s="593">
        <f>'Proy 2022 vs 2019 sem'!JC19*BCH$4</f>
        <v>27858.4702</v>
      </c>
      <c r="BCF20" s="593">
        <f>'Proy 2022 vs 2019 sem'!JD19*BCH$4</f>
        <v>26186.961987999999</v>
      </c>
      <c r="BCG20" s="699"/>
      <c r="BCH20" s="700">
        <f>BCG20/BCE20</f>
        <v>0</v>
      </c>
      <c r="BCI20" s="579">
        <f>BBG20+BBK20+BBO20+BBS20+BBW20+BCA20+BCE20</f>
        <v>126629.41</v>
      </c>
      <c r="BCJ20" s="574">
        <f>BBH20+BBL20+BBP20+BBT20+BBX20+BCB20+BCF20</f>
        <v>119031.64539999999</v>
      </c>
      <c r="BCK20" s="765">
        <f>BBI20+BBM20+BBQ20+BBU20+BBY20+BCC20+BCG20</f>
        <v>0</v>
      </c>
      <c r="BCL20" s="761">
        <f>BCK20/BCI20</f>
        <v>0</v>
      </c>
      <c r="BCM20" s="593">
        <f>'Proy 2022 vs 2019 sem'!JH19*BCP$4</f>
        <v>16746.043199999996</v>
      </c>
      <c r="BCN20" s="593">
        <f>'Proy 2022 vs 2019 sem'!JI19*BCP$4</f>
        <v>16076.201471999995</v>
      </c>
      <c r="BCO20" s="699"/>
      <c r="BCP20" s="700">
        <f>BCO20/BCM20</f>
        <v>0</v>
      </c>
      <c r="BCQ20" s="593">
        <f>'Proy 2022 vs 2019 sem'!JH19*BCT$4</f>
        <v>16746.043199999996</v>
      </c>
      <c r="BCR20" s="593">
        <f>'Proy 2022 vs 2019 sem'!JI19*BCT$4</f>
        <v>16076.201471999995</v>
      </c>
      <c r="BCS20" s="699"/>
      <c r="BCT20" s="700">
        <f>BCS20/BCQ20</f>
        <v>0</v>
      </c>
      <c r="BCU20" s="593">
        <f>'Proy 2022 vs 2019 sem'!JH19*BCX$4</f>
        <v>16746.043199999996</v>
      </c>
      <c r="BCV20" s="593">
        <f>'Proy 2022 vs 2019 sem'!JI19*BCX$4</f>
        <v>16076.201471999995</v>
      </c>
      <c r="BCW20" s="699"/>
      <c r="BCX20" s="700">
        <f>BCW20/BCU20</f>
        <v>0</v>
      </c>
      <c r="BCY20" s="593">
        <f>'Proy 2022 vs 2019 sem'!JH19*BDB$4</f>
        <v>16746.043199999996</v>
      </c>
      <c r="BCZ20" s="593">
        <f>'Proy 2022 vs 2019 sem'!JI19*BDB$4</f>
        <v>16076.201471999995</v>
      </c>
      <c r="BDA20" s="699"/>
      <c r="BDB20" s="700">
        <f>BDA20/BCY20</f>
        <v>0</v>
      </c>
      <c r="BDC20" s="593">
        <f>'Proy 2022 vs 2019 sem'!JH19*BDF$4</f>
        <v>19537.0504</v>
      </c>
      <c r="BDD20" s="593">
        <f>'Proy 2022 vs 2019 sem'!JI19*BDF$4</f>
        <v>18755.568383999998</v>
      </c>
      <c r="BDE20" s="699"/>
      <c r="BDF20" s="700">
        <f>BDE20/BDC20</f>
        <v>0</v>
      </c>
      <c r="BDG20" s="593">
        <f>'Proy 2022 vs 2019 sem'!JH19*BDJ$4</f>
        <v>22328.057599999996</v>
      </c>
      <c r="BDH20" s="593">
        <f>'Proy 2022 vs 2019 sem'!JI19*BDJ$4</f>
        <v>21434.935295999996</v>
      </c>
      <c r="BDI20" s="699"/>
      <c r="BDJ20" s="700">
        <f>BDI20/BDG20</f>
        <v>0</v>
      </c>
      <c r="BDK20" s="593">
        <f>'Proy 2022 vs 2019 sem'!JH19*BDN$4</f>
        <v>30701.079199999996</v>
      </c>
      <c r="BDL20" s="593">
        <f>'Proy 2022 vs 2019 sem'!JI19*BDN$4</f>
        <v>29473.036031999993</v>
      </c>
      <c r="BDM20" s="699"/>
      <c r="BDN20" s="700">
        <f>BDM20/BDK20</f>
        <v>0</v>
      </c>
      <c r="BDO20" s="579">
        <f>BCM20+BCQ20+BCU20+BCY20+BDC20+BDG20+BDK20</f>
        <v>139550.35999999999</v>
      </c>
      <c r="BDP20" s="574">
        <f>BCN20+BCR20+BCV20+BCZ20+BDD20+BDH20+BDL20</f>
        <v>133968.34559999997</v>
      </c>
      <c r="BDQ20" s="765">
        <f>BCO20+BCS20+BCW20+BDA20+BDE20+BDI20+BDM20</f>
        <v>0</v>
      </c>
      <c r="BDR20" s="761">
        <f>BDQ20/BDO20</f>
        <v>0</v>
      </c>
      <c r="BDS20" s="593">
        <f>'Proy 2022 vs 2019 sem'!JM19*BDV$4</f>
        <v>20925.043199999996</v>
      </c>
      <c r="BDT20" s="593">
        <f>'Proy 2022 vs 2019 sem'!JN19*BDV$4</f>
        <v>19878.791039999996</v>
      </c>
      <c r="BDU20" s="699"/>
      <c r="BDV20" s="700">
        <f>BDU20/BDS20</f>
        <v>0</v>
      </c>
      <c r="BDW20" s="593">
        <f>'Proy 2022 vs 2019 sem'!JM19*BDZ$4</f>
        <v>20925.043199999996</v>
      </c>
      <c r="BDX20" s="593">
        <f>'Proy 2022 vs 2019 sem'!JN19*BDZ$4</f>
        <v>19878.791039999996</v>
      </c>
      <c r="BDY20" s="699"/>
      <c r="BDZ20" s="700">
        <f>BDY20/BDW20</f>
        <v>0</v>
      </c>
      <c r="BEA20" s="593">
        <f>'Proy 2022 vs 2019 sem'!JM19*BED$4</f>
        <v>20925.043199999996</v>
      </c>
      <c r="BEB20" s="593">
        <f>'Proy 2022 vs 2019 sem'!JN19*BED$4</f>
        <v>19878.791039999996</v>
      </c>
      <c r="BEC20" s="699"/>
      <c r="BED20" s="700">
        <f>BEC20/BEA20</f>
        <v>0</v>
      </c>
      <c r="BEE20" s="593">
        <v>14499.990400000001</v>
      </c>
      <c r="BEF20" s="593">
        <f>'Proy 2022 vs 2019 sem'!JN19*BEH$4</f>
        <v>19878.791039999996</v>
      </c>
      <c r="BEG20" s="699"/>
      <c r="BEH20" s="700">
        <f>BEG20/BEE20</f>
        <v>0</v>
      </c>
      <c r="BEI20" s="593">
        <f>'Proy 2022 vs 2019 sem'!JM19*BEL$4</f>
        <v>24412.5504</v>
      </c>
      <c r="BEJ20" s="593">
        <f>'Proy 2022 vs 2019 sem'!JN19*BEL$4</f>
        <v>23191.922879999998</v>
      </c>
      <c r="BEK20" s="699"/>
      <c r="BEL20" s="700">
        <f>BEK20/BEI20</f>
        <v>0</v>
      </c>
      <c r="BEM20" s="593">
        <f>'Proy 2022 vs 2019 sem'!JM19*BEP$4</f>
        <v>27900.0576</v>
      </c>
      <c r="BEN20" s="593">
        <f>'Proy 2022 vs 2019 sem'!JN19*BEP$4</f>
        <v>26505.054719999996</v>
      </c>
      <c r="BEO20" s="699"/>
      <c r="BEP20" s="700">
        <f>BEO20/BEM20</f>
        <v>0</v>
      </c>
      <c r="BEQ20" s="593">
        <f>'Proy 2022 vs 2019 sem'!JM19*BET$4</f>
        <v>38362.5792</v>
      </c>
      <c r="BER20" s="593">
        <f>'Proy 2022 vs 2019 sem'!JN19*BET$4</f>
        <v>36444.450239999998</v>
      </c>
      <c r="BES20" s="699"/>
      <c r="BET20" s="700">
        <f>BES20/BEQ20</f>
        <v>0</v>
      </c>
      <c r="BEU20" s="579">
        <f>BDS20+BDW20+BEA20+BEE20+BEI20+BEM20+BEQ20</f>
        <v>167950.30719999998</v>
      </c>
      <c r="BEV20" s="574">
        <f>BDT20+BDX20+BEB20+BEF20+BEJ20+BEN20+BER20</f>
        <v>165656.59199999998</v>
      </c>
      <c r="BEW20" s="770">
        <f>BDU20+BDY20+BEC20+BEG20+BEK20+BEO20+BES20</f>
        <v>0</v>
      </c>
      <c r="BEX20" s="761">
        <f>BEW20/BEU20</f>
        <v>0</v>
      </c>
      <c r="BEY20" s="593">
        <f>'Proy 2022 vs 2019 sem'!JV19*BFB$4</f>
        <v>25840.077600000001</v>
      </c>
      <c r="BEZ20" s="593">
        <f>'Proy 2022 vs 2019 sem'!JW19*BFB$4</f>
        <v>24289.672943999998</v>
      </c>
      <c r="BFA20" s="735"/>
      <c r="BFB20" s="700">
        <f>BFA20/BEY20</f>
        <v>0</v>
      </c>
      <c r="BFC20" s="593">
        <f>'Proy 2022 vs 2019 sem'!JV19*BFF$4</f>
        <v>25840.077600000001</v>
      </c>
      <c r="BFD20" s="593">
        <f>'Proy 2022 vs 2019 sem'!JW19*BFF$4</f>
        <v>24289.672943999998</v>
      </c>
      <c r="BFE20" s="735"/>
      <c r="BFF20" s="700">
        <f>BFE20/BFC20</f>
        <v>0</v>
      </c>
      <c r="BFG20" s="593">
        <f>'Proy 2022 vs 2019 sem'!JV19*BFJ$4</f>
        <v>25840.077600000001</v>
      </c>
      <c r="BFH20" s="593">
        <f>'Proy 2022 vs 2019 sem'!JW19*BFJ$4</f>
        <v>24289.672943999998</v>
      </c>
      <c r="BFI20" s="735"/>
      <c r="BFJ20" s="700">
        <f>BFI20/BFG20</f>
        <v>0</v>
      </c>
      <c r="BFK20" s="593">
        <f>'Proy 2022 vs 2019 sem'!JV19*BFN$4</f>
        <v>25840.077600000001</v>
      </c>
      <c r="BFL20" s="593">
        <f>'Proy 2022 vs 2019 sem'!JW19*BFN$4</f>
        <v>24289.672943999998</v>
      </c>
      <c r="BFM20" s="735"/>
      <c r="BFN20" s="700">
        <f>BFM20/BFK20</f>
        <v>0</v>
      </c>
      <c r="BFO20" s="593">
        <f>'Proy 2022 vs 2019 sem'!JV19*BFR$4</f>
        <v>30146.757200000004</v>
      </c>
      <c r="BFP20" s="593">
        <f>'Proy 2022 vs 2019 sem'!JW19*BFR$4</f>
        <v>28337.951768000003</v>
      </c>
      <c r="BFQ20" s="735"/>
      <c r="BFR20" s="700">
        <f>BFQ20/BFO20</f>
        <v>0</v>
      </c>
      <c r="BFS20" s="593">
        <f>'Proy 2022 vs 2019 sem'!JV19*BFV$4</f>
        <v>34453.436800000003</v>
      </c>
      <c r="BFT20" s="593">
        <f>'Proy 2022 vs 2019 sem'!JW19*BFV$4</f>
        <v>32386.230592</v>
      </c>
      <c r="BFU20" s="735"/>
      <c r="BFV20" s="700">
        <f>BFU20/BFS20</f>
        <v>0</v>
      </c>
      <c r="BFW20" s="593">
        <f>'Proy 2022 vs 2019 sem'!JV19*BFZ$4</f>
        <v>47373.475600000005</v>
      </c>
      <c r="BFX20" s="593">
        <f>'Proy 2022 vs 2019 sem'!JW19*BFZ$4</f>
        <v>44531.067064000003</v>
      </c>
      <c r="BFY20" s="735"/>
      <c r="BFZ20" s="700">
        <f>BFY20/BFW20</f>
        <v>0</v>
      </c>
      <c r="BGA20" s="579">
        <f>BEY20+BFC20+BFG20+BFK20+BFO20+BFS20+BFW20</f>
        <v>215333.98</v>
      </c>
      <c r="BGB20" s="574">
        <f>BEZ20+BFD20+BFH20+BFL20+BFP20+BFT20+BFX20</f>
        <v>202413.9412</v>
      </c>
      <c r="BGC20" s="729">
        <f>BFA20+BFE20+BFI20+BFM20+BFQ20+BFU20+BFY20</f>
        <v>0</v>
      </c>
      <c r="BGD20" s="711">
        <f>BGC20/BGA20</f>
        <v>0</v>
      </c>
      <c r="BGE20" s="593">
        <f>'Proy 2022 vs 2019 sem'!KA19*BGH$4</f>
        <v>30396.316800000001</v>
      </c>
      <c r="BGF20" s="593">
        <f>'Proy 2022 vs 2019 sem'!KB19*BGH$4</f>
        <v>28268.574624000001</v>
      </c>
      <c r="BGG20" s="699"/>
      <c r="BGH20" s="700">
        <f>BGG20/BGE20</f>
        <v>0</v>
      </c>
      <c r="BGI20" s="593">
        <f>'Proy 2022 vs 2019 sem'!KA19*BGL$4</f>
        <v>30396.316800000001</v>
      </c>
      <c r="BGJ20" s="593">
        <f>'Proy 2022 vs 2019 sem'!KB19*BGL$4</f>
        <v>28268.574624000001</v>
      </c>
      <c r="BGK20" s="699"/>
      <c r="BGL20" s="700">
        <f>BGK20/BGI20</f>
        <v>0</v>
      </c>
      <c r="BGM20" s="593">
        <f>'Proy 2022 vs 2019 sem'!KA19*BGP$4</f>
        <v>30396.316800000001</v>
      </c>
      <c r="BGN20" s="593">
        <f>'Proy 2022 vs 2019 sem'!KB19*BGP$4</f>
        <v>28268.574624000001</v>
      </c>
      <c r="BGO20" s="699"/>
      <c r="BGP20" s="700">
        <f>BGO20/BGM20</f>
        <v>0</v>
      </c>
      <c r="BGQ20" s="593">
        <f>'Proy 2022 vs 2019 sem'!KA19*BGT$4</f>
        <v>30396.316800000001</v>
      </c>
      <c r="BGR20" s="593">
        <f>'Proy 2022 vs 2019 sem'!KB19*BGT$4</f>
        <v>28268.574624000001</v>
      </c>
      <c r="BGS20" s="699"/>
      <c r="BGT20" s="700">
        <f>BGS20/BGQ20</f>
        <v>0</v>
      </c>
      <c r="BGU20" s="593">
        <f>'Proy 2022 vs 2019 sem'!KA19*BGX$4</f>
        <v>35462.369600000005</v>
      </c>
      <c r="BGV20" s="593">
        <f>'Proy 2022 vs 2019 sem'!KB19*BGX$4</f>
        <v>32980.003728000003</v>
      </c>
      <c r="BGW20" s="699"/>
      <c r="BGX20" s="700">
        <f>BGW20/BGU20</f>
        <v>0</v>
      </c>
      <c r="BGY20" s="593">
        <f>'Proy 2022 vs 2019 sem'!KA19*BHB$4</f>
        <v>40528.422400000003</v>
      </c>
      <c r="BGZ20" s="593">
        <f>'Proy 2022 vs 2019 sem'!KB19*BHB$4</f>
        <v>37691.432832000006</v>
      </c>
      <c r="BHA20" s="699"/>
      <c r="BHB20" s="700">
        <f>BHA20/BGY20</f>
        <v>0</v>
      </c>
      <c r="BHC20" s="593">
        <f>'Proy 2022 vs 2019 sem'!KA19*BHF$4</f>
        <v>55726.580800000003</v>
      </c>
      <c r="BHD20" s="593">
        <f>'Proy 2022 vs 2019 sem'!KB19*BHF$4</f>
        <v>51825.720144000006</v>
      </c>
      <c r="BHE20" s="699"/>
      <c r="BHF20" s="700">
        <f>BHE20/BHC20</f>
        <v>0</v>
      </c>
      <c r="BHG20" s="579">
        <f>BGE20+BGI20+BGM20+BGQ20+BGU20+BGY20+BHC20</f>
        <v>253302.64</v>
      </c>
      <c r="BHH20" s="574">
        <f>BGF20+BGJ20+BGN20+BGR20+BGV20+BGZ20+BHD20</f>
        <v>235571.45520000003</v>
      </c>
      <c r="BHI20" s="730">
        <f>BGG20+BGK20+BGO20+BGS20+BGW20+BHA20+BHE20</f>
        <v>0</v>
      </c>
      <c r="BHJ20" s="711">
        <f>BHI20/BHG20</f>
        <v>0</v>
      </c>
      <c r="BHK20" s="593">
        <f>'Proy 2022 vs 2019 sem'!KF19*BHN$4</f>
        <v>43126.5432</v>
      </c>
      <c r="BHL20" s="593">
        <f>'Proy 2022 vs 2019 sem'!KG19*BHN$4</f>
        <v>40107.685175999999</v>
      </c>
      <c r="BHM20" s="699"/>
      <c r="BHN20" s="700">
        <f>BHM20/BHK20</f>
        <v>0</v>
      </c>
      <c r="BHO20" s="593">
        <f>'Proy 2022 vs 2019 sem'!KF19*BHR$4</f>
        <v>43126.5432</v>
      </c>
      <c r="BHP20" s="593">
        <f>'Proy 2022 vs 2019 sem'!KG19*BHR$4</f>
        <v>40107.685175999999</v>
      </c>
      <c r="BHQ20" s="699"/>
      <c r="BHR20" s="700">
        <f>BHQ20/BHO20</f>
        <v>0</v>
      </c>
      <c r="BHS20" s="593">
        <f>'Proy 2022 vs 2019 sem'!KF19*BHV$4</f>
        <v>43126.5432</v>
      </c>
      <c r="BHT20" s="593">
        <f>'Proy 2022 vs 2019 sem'!KG19*BHV$4</f>
        <v>40107.685175999999</v>
      </c>
      <c r="BHU20" s="699"/>
      <c r="BHV20" s="700">
        <f>BHU20/BHS20</f>
        <v>0</v>
      </c>
      <c r="BHW20" s="593">
        <f>'Proy 2022 vs 2019 sem'!KF19*BHZ$4</f>
        <v>43126.5432</v>
      </c>
      <c r="BHX20" s="593">
        <f>'Proy 2022 vs 2019 sem'!KG19*BHZ$4</f>
        <v>40107.685175999999</v>
      </c>
      <c r="BHY20" s="699"/>
      <c r="BHZ20" s="700">
        <f>BHY20/BHW20</f>
        <v>0</v>
      </c>
      <c r="BIA20" s="593">
        <f>'Proy 2022 vs 2019 sem'!KF19*BID$4</f>
        <v>50314.3004</v>
      </c>
      <c r="BIB20" s="593">
        <f>'Proy 2022 vs 2019 sem'!KG19*BID$4</f>
        <v>46792.299372000009</v>
      </c>
      <c r="BIC20" s="699"/>
      <c r="BID20" s="700">
        <f>BIC20/BIA20</f>
        <v>0</v>
      </c>
      <c r="BIE20" s="593">
        <f>'Proy 2022 vs 2019 sem'!KF19*BIH$4</f>
        <v>57502.0576</v>
      </c>
      <c r="BIF20" s="593">
        <f>'Proy 2022 vs 2019 sem'!KG19*BIH$4</f>
        <v>53476.913568000004</v>
      </c>
      <c r="BIG20" s="699"/>
      <c r="BIH20" s="700">
        <f>BIG20/BIE20</f>
        <v>0</v>
      </c>
      <c r="BII20" s="593">
        <f>'Proy 2022 vs 2019 sem'!KF19*BIL$4</f>
        <v>79065.329199999993</v>
      </c>
      <c r="BIJ20" s="593">
        <f>'Proy 2022 vs 2019 sem'!KG19*BIL$4</f>
        <v>73530.756156000003</v>
      </c>
      <c r="BIK20" s="699"/>
      <c r="BIL20" s="700">
        <f>BIK20/BII20</f>
        <v>0</v>
      </c>
      <c r="BIM20" s="579">
        <f>BHK20+BHO20+BHS20+BHW20+BIA20+BIE20+BII20</f>
        <v>359387.86</v>
      </c>
      <c r="BIN20" s="574">
        <f>BHL20+BHP20+BHT20+BHX20+BIB20+BIF20+BIJ20</f>
        <v>334230.70980000001</v>
      </c>
      <c r="BIO20" s="730">
        <f>BHM20+BHQ20+BHU20+BHY20+BIC20+BIG20+BIK20</f>
        <v>0</v>
      </c>
      <c r="BIP20" s="711">
        <f>BIO20/BIM20</f>
        <v>0</v>
      </c>
      <c r="BIQ20" s="593">
        <f>'Proy 2022 vs 2019 sem'!KK19*BIT$4</f>
        <v>36856.424399999996</v>
      </c>
      <c r="BIR20" s="593">
        <f>'Proy 2022 vs 2019 sem'!KL19*BIT$4</f>
        <v>34276.474691999996</v>
      </c>
      <c r="BIS20" s="699"/>
      <c r="BIT20" s="700">
        <f>BIS20/BIQ20</f>
        <v>0</v>
      </c>
      <c r="BIU20" s="593">
        <f>'Proy 2022 vs 2019 sem'!KK19*BIX$4</f>
        <v>36856.424399999996</v>
      </c>
      <c r="BIV20" s="593">
        <f>'Proy 2022 vs 2019 sem'!KL19*BIX$4</f>
        <v>34276.474691999996</v>
      </c>
      <c r="BIW20" s="699"/>
      <c r="BIX20" s="700">
        <f>BIW20/BIU20</f>
        <v>0</v>
      </c>
      <c r="BIY20" s="593">
        <f>'Proy 2022 vs 2019 sem'!KK19*BJB$4</f>
        <v>36856.424399999996</v>
      </c>
      <c r="BIZ20" s="593">
        <f>'Proy 2022 vs 2019 sem'!KL19*BJB$4</f>
        <v>34276.474691999996</v>
      </c>
      <c r="BJA20" s="699"/>
      <c r="BJB20" s="700">
        <f>BJA20/BIY20</f>
        <v>0</v>
      </c>
      <c r="BJC20" s="593">
        <f>'Proy 2022 vs 2019 sem'!KK19*BJF$4</f>
        <v>36856.424399999996</v>
      </c>
      <c r="BJD20" s="593">
        <f>'Proy 2022 vs 2019 sem'!KL19*BJF$4</f>
        <v>34276.474691999996</v>
      </c>
      <c r="BJE20" s="699"/>
      <c r="BJF20" s="700">
        <f>BJE20/BJC20</f>
        <v>0</v>
      </c>
      <c r="BJG20" s="593">
        <f>'Proy 2022 vs 2019 sem'!KK19*BJJ$4</f>
        <v>42999.161800000002</v>
      </c>
      <c r="BJH20" s="593">
        <f>'Proy 2022 vs 2019 sem'!KL19*BJJ$4</f>
        <v>39989.220474000002</v>
      </c>
      <c r="BJI20" s="699"/>
      <c r="BJJ20" s="700">
        <f>BJI20/BJG20</f>
        <v>0</v>
      </c>
      <c r="BJK20" s="593">
        <f>'Proy 2022 vs 2019 sem'!KK19*BJN$4</f>
        <v>49141.8992</v>
      </c>
      <c r="BJL20" s="593">
        <f>'Proy 2022 vs 2019 sem'!KL19*BJN$4</f>
        <v>45701.966256</v>
      </c>
      <c r="BJM20" s="699"/>
      <c r="BJN20" s="700">
        <f>BJM20/BJK20</f>
        <v>0</v>
      </c>
      <c r="BJO20" s="593">
        <f>'Proy 2022 vs 2019 sem'!KK19*BJR$4</f>
        <v>67570.111399999994</v>
      </c>
      <c r="BJP20" s="593">
        <f>'Proy 2022 vs 2019 sem'!KL19*BJR$4</f>
        <v>62840.203602000001</v>
      </c>
      <c r="BJQ20" s="699"/>
      <c r="BJR20" s="700">
        <f>BJQ20/BJO20</f>
        <v>0</v>
      </c>
      <c r="BJS20" s="579">
        <f>BIQ20+BIU20+BIY20+BJC20+BJG20+BJK20+BJO20</f>
        <v>307136.87</v>
      </c>
      <c r="BJT20" s="574">
        <f>BIR20+BIV20+BIZ20+BJD20+BJH20+BJL20+BJP20</f>
        <v>285637.28909999999</v>
      </c>
      <c r="BJU20" s="710">
        <f>BIS20+BIW20+BJA20+BJE20+BJI20+BJM20+BJQ20</f>
        <v>0</v>
      </c>
      <c r="BJV20" s="711">
        <f>BJU20/BJS20</f>
        <v>0</v>
      </c>
      <c r="BJW20" s="593">
        <f>'Proy 2022 vs 2019 sem'!KP19*BJZ$4</f>
        <v>12176.326799999999</v>
      </c>
      <c r="BJX20" s="593">
        <f>'Proy 2022 vs 2019 sem'!KQ19*BJZ$4</f>
        <v>11567.51046</v>
      </c>
      <c r="BJY20" s="699"/>
      <c r="BJZ20" s="700">
        <f>BJY20/BJW20</f>
        <v>0</v>
      </c>
      <c r="BKA20" s="593">
        <f>'Proy 2022 vs 2019 sem'!KP19*BKD$4</f>
        <v>12176.326799999999</v>
      </c>
      <c r="BKB20" s="593">
        <f>'Proy 2022 vs 2019 sem'!KQ19*BKD$4</f>
        <v>11567.51046</v>
      </c>
      <c r="BKC20" s="699"/>
      <c r="BKD20" s="700">
        <f>BKC20/BKA20</f>
        <v>0</v>
      </c>
      <c r="BKE20" s="593">
        <f>'Proy 2022 vs 2019 sem'!KP19*BKH$4</f>
        <v>12176.326799999999</v>
      </c>
      <c r="BKF20" s="593">
        <f>'Proy 2022 vs 2019 sem'!KQ19*BKH$4</f>
        <v>11567.51046</v>
      </c>
      <c r="BKG20" s="699"/>
      <c r="BKH20" s="700">
        <f>BKG20/BKE20</f>
        <v>0</v>
      </c>
      <c r="BKI20" s="593">
        <f>'Proy 2022 vs 2019 sem'!KP19*BKL$4</f>
        <v>12176.326799999999</v>
      </c>
      <c r="BKJ20" s="593">
        <f>'Proy 2022 vs 2019 sem'!KQ19*BKL$4</f>
        <v>11567.51046</v>
      </c>
      <c r="BKK20" s="699"/>
      <c r="BKL20" s="700">
        <f>BKK20/BKI20</f>
        <v>0</v>
      </c>
      <c r="BKM20" s="593">
        <f>'Proy 2022 vs 2019 sem'!KP19*BKP$4</f>
        <v>14205.714600000001</v>
      </c>
      <c r="BKN20" s="593">
        <f>'Proy 2022 vs 2019 sem'!KQ19*BKP$4</f>
        <v>13495.42887</v>
      </c>
      <c r="BKO20" s="699"/>
      <c r="BKP20" s="700">
        <f>BKO20/BKM20</f>
        <v>0</v>
      </c>
      <c r="BKQ20" s="593">
        <f>'Proy 2022 vs 2019 sem'!KP19*BKT$4</f>
        <v>16235.1024</v>
      </c>
      <c r="BKR20" s="593">
        <f>'Proy 2022 vs 2019 sem'!KQ19*BKT$4</f>
        <v>15423.34728</v>
      </c>
      <c r="BKS20" s="699"/>
      <c r="BKT20" s="700">
        <f>BKS20/BKQ20</f>
        <v>0</v>
      </c>
      <c r="BKU20" s="593">
        <f>'Proy 2022 vs 2019 sem'!KP19*BKX$4</f>
        <v>22323.265800000001</v>
      </c>
      <c r="BKV20" s="593">
        <f>'Proy 2022 vs 2019 sem'!KQ19*BKX$4</f>
        <v>21207.102509999997</v>
      </c>
      <c r="BKW20" s="699"/>
      <c r="BKX20" s="700">
        <f>BKW20/BKU20</f>
        <v>0</v>
      </c>
      <c r="BKY20" s="579">
        <f>BJW20+BKA20+BKE20+BKI20+BKM20+BKQ20+BKU20</f>
        <v>101469.38999999998</v>
      </c>
      <c r="BKZ20" s="574">
        <f>BJX20+BKB20+BKF20+BKJ20+BKN20+BKR20+BKV20</f>
        <v>96395.920499999993</v>
      </c>
      <c r="BLA20" s="710">
        <f>BJY20+BKC20+BKG20+BKK20+BKO20+BKS20+BKW20</f>
        <v>0</v>
      </c>
      <c r="BLB20" s="711">
        <f>BLA20/BKY20</f>
        <v>0</v>
      </c>
    </row>
    <row r="21" spans="2:1666" ht="19.5" customHeight="1">
      <c r="B21" s="934" t="s">
        <v>23</v>
      </c>
      <c r="C21" s="593">
        <f>'Proy 2022 vs 2019 sem'!$C$6*$F$4</f>
        <v>9529.1268</v>
      </c>
      <c r="D21" s="593">
        <f>'Proy 2022 vs 2019 sem'!$D$6*$F$4</f>
        <v>8480.9228519999997</v>
      </c>
      <c r="E21" s="735"/>
      <c r="F21" s="700">
        <f>E21/C21</f>
        <v>0</v>
      </c>
      <c r="G21" s="1414">
        <f>'Proy 2022 vs 2019 sem'!C20*$J$4</f>
        <v>7290.2771999999995</v>
      </c>
      <c r="H21" s="593">
        <f>'Proy 2022 vs 2019 sem'!D20*$J$4</f>
        <v>6488.346708</v>
      </c>
      <c r="I21" s="735"/>
      <c r="J21" s="700">
        <f>I21/G21</f>
        <v>0</v>
      </c>
      <c r="K21" s="593">
        <f>'Proy 2022 vs 2019 sem'!C20*$N$4</f>
        <v>7290.2771999999995</v>
      </c>
      <c r="L21" s="593">
        <f>'Proy 2022 vs 2019 sem'!D20*N$4</f>
        <v>6488.346708</v>
      </c>
      <c r="M21" s="735"/>
      <c r="N21" s="700">
        <f>M21/K21</f>
        <v>0</v>
      </c>
      <c r="O21" s="593">
        <f>'Proy 2022 vs 2019 sem'!C20*R$4</f>
        <v>7290.2771999999995</v>
      </c>
      <c r="P21" s="593">
        <f>'Proy 2022 vs 2019 sem'!D20*$R$4</f>
        <v>6488.346708</v>
      </c>
      <c r="Q21" s="735"/>
      <c r="R21" s="700">
        <f>Q21/O21</f>
        <v>0</v>
      </c>
      <c r="S21" s="593">
        <f>'Proy 2022 vs 2019 sem'!C20*V$4</f>
        <v>8505.3234000000011</v>
      </c>
      <c r="T21" s="593">
        <f>'Proy 2022 vs 2019 sem'!D20*V$4</f>
        <v>7569.7378260000005</v>
      </c>
      <c r="U21" s="735"/>
      <c r="V21" s="700">
        <f>U21/S21</f>
        <v>0</v>
      </c>
      <c r="W21" s="593">
        <f>'Proy 2022 vs 2019 sem'!C20*Z$4</f>
        <v>9720.3696</v>
      </c>
      <c r="X21" s="593">
        <f>'Proy 2022 vs 2019 sem'!D20*Z$4</f>
        <v>8651.128944</v>
      </c>
      <c r="Y21" s="735"/>
      <c r="Z21" s="700">
        <f>Y21/W21</f>
        <v>0</v>
      </c>
      <c r="AA21" s="593">
        <f>'Proy 2022 vs 2019 sem'!C20*AD$4</f>
        <v>13365.5082</v>
      </c>
      <c r="AB21" s="593">
        <f>'Proy 2022 vs 2019 sem'!D20*AD$4</f>
        <v>11895.302298000001</v>
      </c>
      <c r="AC21" s="735"/>
      <c r="AD21" s="700">
        <f>AC21/AA21</f>
        <v>0</v>
      </c>
      <c r="AE21" s="579">
        <f>C21+G21+K21+O21+S21+W21+AA21</f>
        <v>62991.159599999999</v>
      </c>
      <c r="AF21" s="574">
        <f>D21+H21+L21+P21+T21+X21+AB21</f>
        <v>56062.132044000005</v>
      </c>
      <c r="AG21" s="729">
        <f>E21+I21+M21+Q21+U21+Y21+AC21</f>
        <v>0</v>
      </c>
      <c r="AH21" s="711">
        <f>AG21/AE21</f>
        <v>0</v>
      </c>
      <c r="AI21" s="593">
        <f>'Proy 2022 vs 2019 sem'!H20*AL$4</f>
        <v>7310.5823999999993</v>
      </c>
      <c r="AJ21" s="611">
        <f>'Proy 2022 vs 2019 sem'!I20*AL$4</f>
        <v>6506.4183359999997</v>
      </c>
      <c r="AK21" s="699"/>
      <c r="AL21" s="700">
        <f>AK21/AI21</f>
        <v>0</v>
      </c>
      <c r="AM21" s="593">
        <f>'Proy 2022 vs 2019 sem'!H20*AP$4</f>
        <v>7310.5823999999993</v>
      </c>
      <c r="AN21" s="593">
        <f>'Proy 2022 vs 2019 sem'!I20*AP$4</f>
        <v>6506.4183359999997</v>
      </c>
      <c r="AO21" s="699"/>
      <c r="AP21" s="700">
        <f>AO21/AM21</f>
        <v>0</v>
      </c>
      <c r="AQ21" s="593">
        <f>'Proy 2022 vs 2019 sem'!H20*AT$4</f>
        <v>7310.5823999999993</v>
      </c>
      <c r="AR21" s="593">
        <f>'Proy 2022 vs 2019 sem'!I20*AT$4</f>
        <v>6506.4183359999997</v>
      </c>
      <c r="AS21" s="699"/>
      <c r="AT21" s="700">
        <f>AS21/AQ21</f>
        <v>0</v>
      </c>
      <c r="AU21" s="593">
        <f>'Proy 2022 vs 2019 sem'!H20*AX$4</f>
        <v>7310.5823999999993</v>
      </c>
      <c r="AV21" s="593">
        <f>'Proy 2022 vs 2019 sem'!I20*AX$4</f>
        <v>6506.4183359999997</v>
      </c>
      <c r="AW21" s="699"/>
      <c r="AX21" s="700">
        <f>AW21/AU21</f>
        <v>0</v>
      </c>
      <c r="AY21" s="593">
        <f>'Proy 2022 vs 2019 sem'!H20*BB$4</f>
        <v>8529.0128000000004</v>
      </c>
      <c r="AZ21" s="593">
        <f>'Proy 2022 vs 2019 sem'!I20*BB$4</f>
        <v>7590.8213919999998</v>
      </c>
      <c r="BA21" s="699"/>
      <c r="BB21" s="700">
        <f>BA21/AY21</f>
        <v>0</v>
      </c>
      <c r="BC21" s="593">
        <f>'Proy 2022 vs 2019 sem'!H20*BF$4</f>
        <v>9747.4431999999997</v>
      </c>
      <c r="BD21" s="593">
        <f>'Proy 2022 vs 2019 sem'!I20*BF$4</f>
        <v>8675.224447999999</v>
      </c>
      <c r="BE21" s="699"/>
      <c r="BF21" s="700">
        <f>BE21/BC21</f>
        <v>0</v>
      </c>
      <c r="BG21" s="593">
        <f>'Proy 2022 vs 2019 sem'!H20*BJ$4</f>
        <v>13402.734399999999</v>
      </c>
      <c r="BH21" s="593">
        <f>'Proy 2022 vs 2019 sem'!I20*BJ$4</f>
        <v>11928.433615999998</v>
      </c>
      <c r="BI21" s="699"/>
      <c r="BJ21" s="700">
        <f>BI21/BG21</f>
        <v>0</v>
      </c>
      <c r="BK21" s="579">
        <f>AI21+AM21+AQ21+AU21+AY21+BC21+BG21</f>
        <v>60921.52</v>
      </c>
      <c r="BL21" s="574">
        <f>AJ21+AN21+AR21+AV21+AZ21+BD21+BH21</f>
        <v>54220.152799999996</v>
      </c>
      <c r="BM21" s="730">
        <f>AK21+AO21+AS21+AW21+BA21+BE21+BI21</f>
        <v>0</v>
      </c>
      <c r="BN21" s="711">
        <f>BM21/BK21</f>
        <v>0</v>
      </c>
      <c r="BO21" s="593">
        <f>'Proy 2022 vs 2019 sem'!M20*BR$4</f>
        <v>7912.7831999999999</v>
      </c>
      <c r="BP21" s="593">
        <f>'Proy 2022 vs 2019 sem'!N20*BR$4</f>
        <v>7042.3770480000003</v>
      </c>
      <c r="BQ21" s="699"/>
      <c r="BR21" s="700">
        <f>BQ21/BO21</f>
        <v>0</v>
      </c>
      <c r="BS21" s="593">
        <f>'Proy 2022 vs 2019 sem'!M20*BV$4</f>
        <v>7912.7831999999999</v>
      </c>
      <c r="BT21" s="593">
        <f>'Proy 2022 vs 2019 sem'!N20*BV$4</f>
        <v>7042.3770480000003</v>
      </c>
      <c r="BU21" s="699"/>
      <c r="BV21" s="700">
        <f>BU21/BS21</f>
        <v>0</v>
      </c>
      <c r="BW21" s="593">
        <f>'Proy 2022 vs 2019 sem'!M20*BZ$4</f>
        <v>7912.7831999999999</v>
      </c>
      <c r="BX21" s="593">
        <f>'Proy 2022 vs 2019 sem'!N20*BZ$4</f>
        <v>7042.3770480000003</v>
      </c>
      <c r="BY21" s="699"/>
      <c r="BZ21" s="700">
        <f>BY21/BW21</f>
        <v>0</v>
      </c>
      <c r="CA21" s="593">
        <f>'Proy 2022 vs 2019 sem'!M20*CD$4</f>
        <v>7912.7831999999999</v>
      </c>
      <c r="CB21" s="593">
        <f>'Proy 2022 vs 2019 sem'!N20*CD$4</f>
        <v>7042.3770480000003</v>
      </c>
      <c r="CC21" s="699"/>
      <c r="CD21" s="700">
        <f>CC21/CA21</f>
        <v>0</v>
      </c>
      <c r="CE21" s="593">
        <f>'Proy 2022 vs 2019 sem'!M20*CH$4</f>
        <v>9231.5804000000007</v>
      </c>
      <c r="CF21" s="593">
        <f>'Proy 2022 vs 2019 sem'!N20*CH$4</f>
        <v>8216.1065560000006</v>
      </c>
      <c r="CG21" s="699"/>
      <c r="CH21" s="700">
        <f>CG21/CE21</f>
        <v>0</v>
      </c>
      <c r="CI21" s="593">
        <f>'Proy 2022 vs 2019 sem'!M20*CL$4</f>
        <v>10550.3776</v>
      </c>
      <c r="CJ21" s="593">
        <f>'Proy 2022 vs 2019 sem'!N20*CL$4</f>
        <v>9389.836064000001</v>
      </c>
      <c r="CK21" s="699"/>
      <c r="CL21" s="700">
        <f>CK21/CI21</f>
        <v>0</v>
      </c>
      <c r="CM21" s="593">
        <f>'Proy 2022 vs 2019 sem'!M20*CP$4</f>
        <v>14506.769200000001</v>
      </c>
      <c r="CN21" s="593">
        <f>'Proy 2022 vs 2019 sem'!N20*CP$4</f>
        <v>12911.024588</v>
      </c>
      <c r="CO21" s="699"/>
      <c r="CP21" s="700">
        <f>CO21/CM21</f>
        <v>0</v>
      </c>
      <c r="CQ21" s="579">
        <f>BO21+BS21+BW21+CA21+CE21+CI21+CM21</f>
        <v>65939.86</v>
      </c>
      <c r="CR21" s="574">
        <f>BP21+BT21+BX21+CB21+CF21+CJ21+CN21</f>
        <v>58686.475400000003</v>
      </c>
      <c r="CS21" s="730">
        <f>BQ21+BU21+BY21+CC21+CG21+CK21+CO21</f>
        <v>0</v>
      </c>
      <c r="CT21" s="711">
        <f>CS21/CQ21</f>
        <v>0</v>
      </c>
      <c r="CU21" s="593">
        <f>'Proy 2022 vs 2019 sem'!R20*CX$4</f>
        <v>7327.5071999999991</v>
      </c>
      <c r="CV21" s="593">
        <f>'Proy 2022 vs 2019 sem'!S20*CX$4</f>
        <v>6521.4814079999996</v>
      </c>
      <c r="CW21" s="699"/>
      <c r="CX21" s="700">
        <f>CW21/CU21</f>
        <v>0</v>
      </c>
      <c r="CY21" s="593">
        <f>'Proy 2022 vs 2019 sem'!R20*DB$4</f>
        <v>7327.5071999999991</v>
      </c>
      <c r="CZ21" s="593">
        <f>'Proy 2022 vs 2019 sem'!S20*DB$4</f>
        <v>6521.4814079999996</v>
      </c>
      <c r="DA21" s="699"/>
      <c r="DB21" s="700">
        <f>DA21/CY21</f>
        <v>0</v>
      </c>
      <c r="DC21" s="593">
        <f>'Proy 2022 vs 2019 sem'!R20*DF$4</f>
        <v>7327.5071999999991</v>
      </c>
      <c r="DD21" s="593">
        <f>'Proy 2022 vs 2019 sem'!S20*DF$4</f>
        <v>6521.4814079999996</v>
      </c>
      <c r="DE21" s="699"/>
      <c r="DF21" s="700">
        <f>DE21/DC21</f>
        <v>0</v>
      </c>
      <c r="DG21" s="593">
        <f>'Proy 2022 vs 2019 sem'!R20*DJ$4</f>
        <v>7327.5071999999991</v>
      </c>
      <c r="DH21" s="593">
        <f>'Proy 2022 vs 2019 sem'!S20*DJ$4</f>
        <v>6521.4814079999996</v>
      </c>
      <c r="DI21" s="699"/>
      <c r="DJ21" s="700">
        <f>DI21/DG21</f>
        <v>0</v>
      </c>
      <c r="DK21" s="593">
        <f>'Proy 2022 vs 2019 sem'!R20*DN$4</f>
        <v>8548.7584000000006</v>
      </c>
      <c r="DL21" s="593">
        <f>'Proy 2022 vs 2019 sem'!S20*DN$4</f>
        <v>7608.3949760000005</v>
      </c>
      <c r="DM21" s="699"/>
      <c r="DN21" s="700">
        <f>DM21/DK21</f>
        <v>0</v>
      </c>
      <c r="DO21" s="593">
        <f>'Proy 2022 vs 2019 sem'!R20*DR$4</f>
        <v>9770.0095999999994</v>
      </c>
      <c r="DP21" s="593">
        <f>'Proy 2022 vs 2019 sem'!S20*DR$4</f>
        <v>8695.3085439999995</v>
      </c>
      <c r="DQ21" s="699"/>
      <c r="DR21" s="700">
        <f>DQ21/DO21</f>
        <v>0</v>
      </c>
      <c r="DS21" s="593">
        <f>'Proy 2022 vs 2019 sem'!R20*DV$4</f>
        <v>13433.763199999999</v>
      </c>
      <c r="DT21" s="593">
        <f>'Proy 2022 vs 2019 sem'!S20*DV$4</f>
        <v>11956.049247999999</v>
      </c>
      <c r="DU21" s="699"/>
      <c r="DV21" s="700">
        <f>DU21/DS21</f>
        <v>0</v>
      </c>
      <c r="DW21" s="579">
        <f>CU21+CY21+DC21+DG21+DK21+DO21+DS21</f>
        <v>61062.559999999998</v>
      </c>
      <c r="DX21" s="574">
        <f>CV21+CZ21+DD21+DH21+DL21+DP21+DT21</f>
        <v>54345.678400000004</v>
      </c>
      <c r="DY21" s="710">
        <f>CW21+DA21+DE21+DI21+DM21+DQ21+DU21</f>
        <v>0</v>
      </c>
      <c r="DZ21" s="711">
        <f>DY21/DW21</f>
        <v>0</v>
      </c>
      <c r="EA21" s="593">
        <f>'Proy 2022 vs 2019 sem'!AA20*ED$4</f>
        <v>6992.0087999999996</v>
      </c>
      <c r="EB21" s="593">
        <f>'Proy 2022 vs 2019 sem'!AB20*ED$4</f>
        <v>6222.8878319999994</v>
      </c>
      <c r="EC21" s="735"/>
      <c r="ED21" s="700">
        <f>EC21/EA21</f>
        <v>0</v>
      </c>
      <c r="EE21" s="593">
        <f>'Proy 2022 vs 2019 sem'!AA20*EH$4</f>
        <v>6992.0087999999996</v>
      </c>
      <c r="EF21" s="593">
        <f>'Proy 2022 vs 2019 sem'!AB20*EH$4</f>
        <v>6222.8878319999994</v>
      </c>
      <c r="EG21" s="699"/>
      <c r="EH21" s="700">
        <f>EG21/EE21</f>
        <v>0</v>
      </c>
      <c r="EI21" s="593">
        <f>'Proy 2022 vs 2019 sem'!AA20*EL$4</f>
        <v>6992.0087999999996</v>
      </c>
      <c r="EJ21" s="593">
        <f>'Proy 2022 vs 2019 sem'!AB20*EL$4</f>
        <v>6222.8878319999994</v>
      </c>
      <c r="EK21" s="699"/>
      <c r="EL21" s="700">
        <f>EK21/EI21</f>
        <v>0</v>
      </c>
      <c r="EM21" s="593">
        <f>'Proy 2022 vs 2019 sem'!AA20*EP$4</f>
        <v>6992.0087999999996</v>
      </c>
      <c r="EN21" s="593">
        <f>'Proy 2022 vs 2019 sem'!AB20*EP$4</f>
        <v>6222.8878319999994</v>
      </c>
      <c r="EO21" s="699"/>
      <c r="EP21" s="700">
        <f>EO21/EM21</f>
        <v>0</v>
      </c>
      <c r="EQ21" s="593">
        <f>'Proy 2022 vs 2019 sem'!AA20*ET$4</f>
        <v>8157.3436000000002</v>
      </c>
      <c r="ER21" s="593">
        <f>'Proy 2022 vs 2019 sem'!AB20*ET$4</f>
        <v>7260.035804000001</v>
      </c>
      <c r="ES21" s="699"/>
      <c r="ET21" s="700">
        <f>ES21/EQ21</f>
        <v>0</v>
      </c>
      <c r="EU21" s="593">
        <f>'Proy 2022 vs 2019 sem'!AA20*EX$4</f>
        <v>9322.6784000000007</v>
      </c>
      <c r="EV21" s="593">
        <f>'Proy 2022 vs 2019 sem'!AB20*EX$4</f>
        <v>8297.1837759999999</v>
      </c>
      <c r="EW21" s="699"/>
      <c r="EX21" s="700">
        <f>EW21/EU21</f>
        <v>0</v>
      </c>
      <c r="EY21" s="593">
        <f>'Proy 2022 vs 2019 sem'!AA20*FB$4</f>
        <v>12818.6828</v>
      </c>
      <c r="EZ21" s="593">
        <f>'Proy 2022 vs 2019 sem'!AB20*FB$4</f>
        <v>11408.627692</v>
      </c>
      <c r="FA21" s="699"/>
      <c r="FB21" s="700">
        <f>FA21/EY21</f>
        <v>0</v>
      </c>
      <c r="FC21" s="579">
        <f>EA21+EE21+EI21+EM21+EQ21+EU21+EY21</f>
        <v>58266.74</v>
      </c>
      <c r="FD21" s="574">
        <f>EB21+EF21+EJ21+EN21+ER21+EV21+EZ21</f>
        <v>51857.3986</v>
      </c>
      <c r="FE21" s="793">
        <f>EC21+EG21+EK21+EO21+ES21+EW21+FA21</f>
        <v>0</v>
      </c>
      <c r="FF21" s="786">
        <f>FE21/FC21</f>
        <v>0</v>
      </c>
      <c r="FG21" s="593">
        <f>'Proy 2022 vs 2019 sem'!AF20*FJ$4</f>
        <v>11478.531599999998</v>
      </c>
      <c r="FH21" s="593">
        <f>'Proy 2022 vs 2019 sem'!AG20*FJ$4</f>
        <v>10101.107807999999</v>
      </c>
      <c r="FI21" s="699"/>
      <c r="FJ21" s="700">
        <f>FI21/FG21</f>
        <v>0</v>
      </c>
      <c r="FK21" s="593">
        <f>'Proy 2022 vs 2019 sem'!AF20*FN$4</f>
        <v>11478.531599999998</v>
      </c>
      <c r="FL21" s="593">
        <f>'Proy 2022 vs 2019 sem'!AG20*FN$4</f>
        <v>10101.107807999999</v>
      </c>
      <c r="FM21" s="699"/>
      <c r="FN21" s="700">
        <f>FM21/FK21</f>
        <v>0</v>
      </c>
      <c r="FO21" s="593">
        <f>'Proy 2022 vs 2019 sem'!AF20*FR$4</f>
        <v>11478.531599999998</v>
      </c>
      <c r="FP21" s="593">
        <f>'Proy 2022 vs 2019 sem'!AG20*FR$4</f>
        <v>10101.107807999999</v>
      </c>
      <c r="FQ21" s="699"/>
      <c r="FR21" s="700">
        <f>FQ21/FO21</f>
        <v>0</v>
      </c>
      <c r="FS21" s="593">
        <f>'Proy 2022 vs 2019 sem'!AF20*FV$4</f>
        <v>11478.531599999998</v>
      </c>
      <c r="FT21" s="593">
        <f>'Proy 2022 vs 2019 sem'!AG20*FV$4</f>
        <v>10101.107807999999</v>
      </c>
      <c r="FU21" s="699"/>
      <c r="FV21" s="700">
        <f>FU21/FS21</f>
        <v>0</v>
      </c>
      <c r="FW21" s="593">
        <f>'Proy 2022 vs 2019 sem'!AF20*FZ$4</f>
        <v>13391.620200000001</v>
      </c>
      <c r="FX21" s="593">
        <f>'Proy 2022 vs 2019 sem'!AG20*FZ$4</f>
        <v>11784.625775999999</v>
      </c>
      <c r="FY21" s="699"/>
      <c r="FZ21" s="700">
        <f>FY21/FW21</f>
        <v>0</v>
      </c>
      <c r="GA21" s="593">
        <f>'Proy 2022 vs 2019 sem'!AF20*GD$4</f>
        <v>15304.708799999999</v>
      </c>
      <c r="GB21" s="593">
        <f>'Proy 2022 vs 2019 sem'!AG20*GD$4</f>
        <v>13468.143743999999</v>
      </c>
      <c r="GC21" s="699"/>
      <c r="GD21" s="700">
        <f>GC21/GA21</f>
        <v>0</v>
      </c>
      <c r="GE21" s="593">
        <f>'Proy 2022 vs 2019 sem'!AF20*GH$4</f>
        <v>21043.974599999998</v>
      </c>
      <c r="GF21" s="593">
        <f>'Proy 2022 vs 2019 sem'!AG20*GH$4</f>
        <v>18518.697647999998</v>
      </c>
      <c r="GG21" s="699"/>
      <c r="GH21" s="700">
        <f>GG21/GE21</f>
        <v>0</v>
      </c>
      <c r="GI21" s="579">
        <f>FG21+FK21+FO21+FS21+FW21+GA21+GE21</f>
        <v>95654.43</v>
      </c>
      <c r="GJ21" s="574">
        <f>FH21+FL21+FP21+FT21+FX21+GB21+GF21</f>
        <v>84175.898399999991</v>
      </c>
      <c r="GK21" s="794">
        <f>FI21+FM21+FQ21+FU21+FY21+GC21+GG21</f>
        <v>0</v>
      </c>
      <c r="GL21" s="786">
        <f>GK21/GI21</f>
        <v>0</v>
      </c>
      <c r="GM21" s="593">
        <f>'Proy 2022 vs 2019 sem'!AK20*GP$4</f>
        <v>8753.0339999999997</v>
      </c>
      <c r="GN21" s="593">
        <f>'Proy 2022 vs 2019 sem'!AL20*GP$4</f>
        <v>7877.7305999999999</v>
      </c>
      <c r="GO21" s="699"/>
      <c r="GP21" s="700">
        <f>GO21/GM21</f>
        <v>0</v>
      </c>
      <c r="GQ21" s="593">
        <f>'Proy 2022 vs 2019 sem'!AK20*GT$4</f>
        <v>8753.0339999999997</v>
      </c>
      <c r="GR21" s="593">
        <f>'Proy 2022 vs 2019 sem'!AL20*GT$4</f>
        <v>7877.7305999999999</v>
      </c>
      <c r="GS21" s="699"/>
      <c r="GT21" s="700">
        <f>GS21/GQ21</f>
        <v>0</v>
      </c>
      <c r="GU21" s="593">
        <f>'Proy 2022 vs 2019 sem'!AK20*GX$4</f>
        <v>8753.0339999999997</v>
      </c>
      <c r="GV21" s="593">
        <f>'Proy 2022 vs 2019 sem'!AL20*GX$4</f>
        <v>7877.7305999999999</v>
      </c>
      <c r="GW21" s="699"/>
      <c r="GX21" s="700">
        <f>GW21/GU21</f>
        <v>0</v>
      </c>
      <c r="GY21" s="593">
        <f>'Proy 2022 vs 2019 sem'!AK20*HB$4</f>
        <v>8753.0339999999997</v>
      </c>
      <c r="GZ21" s="593">
        <f>'Proy 2022 vs 2019 sem'!AL20*HB$4</f>
        <v>7877.7305999999999</v>
      </c>
      <c r="HA21" s="699"/>
      <c r="HB21" s="700">
        <f>HA21/GY21</f>
        <v>0</v>
      </c>
      <c r="HC21" s="593">
        <f>'Proy 2022 vs 2019 sem'!AK20*HF$4</f>
        <v>10211.873000000001</v>
      </c>
      <c r="HD21" s="593">
        <f>'Proy 2022 vs 2019 sem'!AL20*HF$4</f>
        <v>9190.6857000000018</v>
      </c>
      <c r="HE21" s="699"/>
      <c r="HF21" s="700">
        <f>HE21/HC21</f>
        <v>0</v>
      </c>
      <c r="HG21" s="593">
        <f>'Proy 2022 vs 2019 sem'!AK20*HJ$4</f>
        <v>11670.712</v>
      </c>
      <c r="HH21" s="593">
        <f>'Proy 2022 vs 2019 sem'!AL20*HJ$4</f>
        <v>10503.640800000001</v>
      </c>
      <c r="HI21" s="699"/>
      <c r="HJ21" s="700">
        <f>HI21/HG21</f>
        <v>0</v>
      </c>
      <c r="HK21" s="593">
        <f>'Proy 2022 vs 2019 sem'!AK20*HN$4</f>
        <v>16047.228999999999</v>
      </c>
      <c r="HL21" s="593">
        <f>'Proy 2022 vs 2019 sem'!AL20*HN$4</f>
        <v>14442.506100000001</v>
      </c>
      <c r="HM21" s="699"/>
      <c r="HN21" s="700">
        <f>HM21/HK21</f>
        <v>0</v>
      </c>
      <c r="HO21" s="579">
        <f>GM21+GQ21+GU21+GY21+HC21+HG21+HK21</f>
        <v>72941.95</v>
      </c>
      <c r="HP21" s="574">
        <f>GN21+GR21+GV21+GZ21+HD21+HH21+HL21</f>
        <v>65647.755000000005</v>
      </c>
      <c r="HQ21" s="794">
        <f>GO21+GS21+GW21+HA21+HE21+HI21+HM21</f>
        <v>0</v>
      </c>
      <c r="HR21" s="786">
        <f>HQ21/HO21</f>
        <v>0</v>
      </c>
      <c r="HS21" s="593">
        <f>'Proy 2022 vs 2019 sem'!AK20*HV$4</f>
        <v>8753.0339999999997</v>
      </c>
      <c r="HT21" s="593">
        <f>'Proy 2022 vs 2019 sem'!AL20*HV$4</f>
        <v>7877.7305999999999</v>
      </c>
      <c r="HU21" s="699"/>
      <c r="HV21" s="700">
        <f>HU21/HS21</f>
        <v>0</v>
      </c>
      <c r="HW21" s="593">
        <f>'Proy 2022 vs 2019 sem'!AK20*HZ$4</f>
        <v>8753.0339999999997</v>
      </c>
      <c r="HX21" s="593">
        <f>'Proy 2022 vs 2019 sem'!AL20*HZ$4</f>
        <v>7877.7305999999999</v>
      </c>
      <c r="HY21" s="699"/>
      <c r="HZ21" s="700">
        <f>HY21/HW21</f>
        <v>0</v>
      </c>
      <c r="IA21" s="593">
        <f>'Proy 2022 vs 2019 sem'!AK20*ID$4</f>
        <v>8753.0339999999997</v>
      </c>
      <c r="IB21" s="593">
        <f>'Proy 2022 vs 2019 sem'!AL20*ID$4</f>
        <v>7877.7305999999999</v>
      </c>
      <c r="IC21" s="699"/>
      <c r="ID21" s="700">
        <f>IC21/IA21</f>
        <v>0</v>
      </c>
      <c r="IE21" s="593">
        <f>'Proy 2022 vs 2019 sem'!AK20*IH$4</f>
        <v>8753.0339999999997</v>
      </c>
      <c r="IF21" s="593">
        <f>'Proy 2022 vs 2019 sem'!AL20*IH$4</f>
        <v>7877.7305999999999</v>
      </c>
      <c r="IG21" s="699"/>
      <c r="IH21" s="700">
        <f>IG21/IE21</f>
        <v>0</v>
      </c>
      <c r="II21" s="593">
        <f>'Proy 2022 vs 2019 sem'!AK20*IL$4</f>
        <v>10211.873000000001</v>
      </c>
      <c r="IJ21" s="593">
        <f>'Proy 2022 vs 2019 sem'!AL20*IL$4</f>
        <v>9190.6857000000018</v>
      </c>
      <c r="IK21" s="699"/>
      <c r="IL21" s="700">
        <f>IK21/II21</f>
        <v>0</v>
      </c>
      <c r="IM21" s="593">
        <f>'Proy 2022 vs 2019 sem'!AK20*IP$4</f>
        <v>11670.712</v>
      </c>
      <c r="IN21" s="593">
        <f>'Proy 2022 vs 2019 sem'!AL20*IP$4</f>
        <v>10503.640800000001</v>
      </c>
      <c r="IO21" s="699"/>
      <c r="IP21" s="700">
        <f>IO21/IM21</f>
        <v>0</v>
      </c>
      <c r="IQ21" s="593">
        <f>'Proy 2022 vs 2019 sem'!AK20*IT$4</f>
        <v>16047.228999999999</v>
      </c>
      <c r="IR21" s="593">
        <f>'Proy 2022 vs 2019 sem'!AL20*IT$4</f>
        <v>14442.506100000001</v>
      </c>
      <c r="IS21" s="699"/>
      <c r="IT21" s="700">
        <f>IS21/IQ21</f>
        <v>0</v>
      </c>
      <c r="IU21" s="579">
        <f>HS21+HW21+IA21+IE21+II21+IM21+IQ21</f>
        <v>72941.95</v>
      </c>
      <c r="IV21" s="574">
        <f>HT21+HX21+IB21+IF21+IJ21+IN21+IR21</f>
        <v>65647.755000000005</v>
      </c>
      <c r="IW21" s="785">
        <f>HU21+HY21+IC21+IG21+IK21+IO21+IS21</f>
        <v>0</v>
      </c>
      <c r="IX21" s="786">
        <f>IW21/IU21</f>
        <v>0</v>
      </c>
      <c r="IY21" s="593">
        <f>'Proy 2022 vs 2019 sem'!AY20*JB$4</f>
        <v>9462.5267999999996</v>
      </c>
      <c r="IZ21" s="593">
        <f>'Proy 2022 vs 2019 sem'!AZ20*JB$4</f>
        <v>8421.6488519999984</v>
      </c>
      <c r="JA21" s="735"/>
      <c r="JB21" s="700">
        <f>JA21/IY21</f>
        <v>0</v>
      </c>
      <c r="JC21" s="593">
        <f>'Proy 2022 vs 2019 sem'!AY20*JF$4</f>
        <v>9462.5267999999996</v>
      </c>
      <c r="JD21" s="593">
        <f>'Proy 2022 vs 2019 sem'!AZ20*JF$4</f>
        <v>8421.6488519999984</v>
      </c>
      <c r="JE21" s="735"/>
      <c r="JF21" s="700">
        <f>JE21/JC21</f>
        <v>0</v>
      </c>
      <c r="JG21" s="593">
        <f>'Proy 2022 vs 2019 sem'!AY20*JJ$4</f>
        <v>9462.5267999999996</v>
      </c>
      <c r="JH21" s="593">
        <f>'Proy 2022 vs 2019 sem'!AZ20*JJ$4</f>
        <v>8421.6488519999984</v>
      </c>
      <c r="JI21" s="735"/>
      <c r="JJ21" s="700">
        <f>JI21/JG21</f>
        <v>0</v>
      </c>
      <c r="JK21" s="593">
        <f>'Proy 2022 vs 2019 sem'!AY20*JN$4</f>
        <v>9462.5267999999996</v>
      </c>
      <c r="JL21" s="593">
        <f>'Proy 2022 vs 2019 sem'!AZ20*JN$4</f>
        <v>8421.6488519999984</v>
      </c>
      <c r="JM21" s="735"/>
      <c r="JN21" s="700">
        <f>JM21/JK21</f>
        <v>0</v>
      </c>
      <c r="JO21" s="593">
        <f>'Proy 2022 vs 2019 sem'!AY20*JR$4</f>
        <v>11039.614600000001</v>
      </c>
      <c r="JP21" s="593">
        <f>'Proy 2022 vs 2019 sem'!AZ20*JR$4</f>
        <v>9825.2569940000012</v>
      </c>
      <c r="JQ21" s="735"/>
      <c r="JR21" s="700">
        <f>JQ21/JO21</f>
        <v>0</v>
      </c>
      <c r="JS21" s="593">
        <f>'Proy 2022 vs 2019 sem'!AY20*JV$4</f>
        <v>12616.7024</v>
      </c>
      <c r="JT21" s="593">
        <f>'Proy 2022 vs 2019 sem'!AZ20*JV$4</f>
        <v>11228.865136</v>
      </c>
      <c r="JU21" s="735"/>
      <c r="JV21" s="700">
        <f>JU21/JS21</f>
        <v>0</v>
      </c>
      <c r="JW21" s="593">
        <f>'Proy 2022 vs 2019 sem'!AY20*JZ$4</f>
        <v>17347.965800000002</v>
      </c>
      <c r="JX21" s="593">
        <f>'Proy 2022 vs 2019 sem'!AZ20*JZ$4</f>
        <v>15439.689562</v>
      </c>
      <c r="JY21" s="735"/>
      <c r="JZ21" s="700">
        <f>JY21/JW21</f>
        <v>0</v>
      </c>
      <c r="KA21" s="579">
        <f>IY21+JC21+JG21+JK21+JO21+JS21+JW21</f>
        <v>78854.39</v>
      </c>
      <c r="KB21" s="574">
        <f>IZ21+JD21+JH21+JL21+JP21+JT21+JX21</f>
        <v>70180.407099999997</v>
      </c>
      <c r="KC21" s="729">
        <f>JA21+JE21+JI21+JM21+JQ21+JU21+JY21</f>
        <v>0</v>
      </c>
      <c r="KD21" s="711">
        <f>KC21/KA21</f>
        <v>0</v>
      </c>
      <c r="KE21" s="593">
        <f>'Proy 2022 vs 2019 sem'!BD20*KH$4</f>
        <v>10338.5772</v>
      </c>
      <c r="KF21" s="593">
        <f>'Proy 2022 vs 2019 sem'!BE20*KH$4</f>
        <v>9201.3337080000001</v>
      </c>
      <c r="KG21" s="699"/>
      <c r="KH21" s="700">
        <f>KG21/KE21</f>
        <v>0</v>
      </c>
      <c r="KI21" s="593">
        <f>'Proy 2022 vs 2019 sem'!BD20*KL$4</f>
        <v>10338.5772</v>
      </c>
      <c r="KJ21" s="593">
        <f>'Proy 2022 vs 2019 sem'!BE20*KL$4</f>
        <v>9201.3337080000001</v>
      </c>
      <c r="KK21" s="699"/>
      <c r="KL21" s="700">
        <f>KK21/KI21</f>
        <v>0</v>
      </c>
      <c r="KM21" s="593">
        <f>'Proy 2022 vs 2019 sem'!BD20*KP$4</f>
        <v>10338.5772</v>
      </c>
      <c r="KN21" s="593">
        <f>'Proy 2022 vs 2019 sem'!BE20*KP$4</f>
        <v>9201.3337080000001</v>
      </c>
      <c r="KO21" s="699"/>
      <c r="KP21" s="700">
        <f>KO21/KM21</f>
        <v>0</v>
      </c>
      <c r="KQ21" s="593">
        <f>'Proy 2022 vs 2019 sem'!BD20*KT$4</f>
        <v>10338.5772</v>
      </c>
      <c r="KR21" s="593">
        <f>'Proy 2022 vs 2019 sem'!BE20*KT$4</f>
        <v>9201.3337080000001</v>
      </c>
      <c r="KS21" s="699"/>
      <c r="KT21" s="700">
        <f>KS21/KQ21</f>
        <v>0</v>
      </c>
      <c r="KU21" s="593">
        <f>'Proy 2022 vs 2019 sem'!BD20*KX$4</f>
        <v>12061.673400000001</v>
      </c>
      <c r="KV21" s="593">
        <f>'Proy 2022 vs 2019 sem'!BE20*KX$4</f>
        <v>10734.889326</v>
      </c>
      <c r="KW21" s="699"/>
      <c r="KX21" s="700">
        <f>KW21/KU21</f>
        <v>0</v>
      </c>
      <c r="KY21" s="593">
        <f>'Proy 2022 vs 2019 sem'!BD20*LB$4</f>
        <v>13784.7696</v>
      </c>
      <c r="KZ21" s="593">
        <f>'Proy 2022 vs 2019 sem'!BE20*LB$4</f>
        <v>12268.444944000001</v>
      </c>
      <c r="LA21" s="699"/>
      <c r="LB21" s="700">
        <f>LA21/KY21</f>
        <v>0</v>
      </c>
      <c r="LC21" s="593">
        <f>'Proy 2022 vs 2019 sem'!BD20*LF$4</f>
        <v>18954.058199999999</v>
      </c>
      <c r="LD21" s="593">
        <f>'Proy 2022 vs 2019 sem'!BE20*LF$4</f>
        <v>16869.111797999998</v>
      </c>
      <c r="LE21" s="699"/>
      <c r="LF21" s="700">
        <f>LE21/LC21</f>
        <v>0</v>
      </c>
      <c r="LG21" s="579">
        <f>KE21+KI21+KM21+KQ21+KU21+KY21+LC21</f>
        <v>86154.81</v>
      </c>
      <c r="LH21" s="574">
        <f>KF21+KJ21+KN21+KR21+KV21+KZ21+LD21</f>
        <v>76677.780899999998</v>
      </c>
      <c r="LI21" s="730">
        <f>KG21+KK21+KO21+KS21+KW21+LA21+LE21</f>
        <v>0</v>
      </c>
      <c r="LJ21" s="711">
        <f>LI21/LG21</f>
        <v>0</v>
      </c>
      <c r="LK21" s="593">
        <f>'Proy 2022 vs 2019 sem'!BI20*LN$4</f>
        <v>11538.790799999999</v>
      </c>
      <c r="LL21" s="593">
        <f>'Proy 2022 vs 2019 sem'!BJ20*LN$4</f>
        <v>10269.523811999999</v>
      </c>
      <c r="LM21" s="699"/>
      <c r="LN21" s="700">
        <f>LM21/LK21</f>
        <v>0</v>
      </c>
      <c r="LO21" s="593">
        <f>'Proy 2022 vs 2019 sem'!BI20*LR$4</f>
        <v>11538.790799999999</v>
      </c>
      <c r="LP21" s="593">
        <f>'Proy 2022 vs 2019 sem'!BJ20*LR$4</f>
        <v>10269.523811999999</v>
      </c>
      <c r="LQ21" s="699"/>
      <c r="LR21" s="700">
        <f>LQ21/LO21</f>
        <v>0</v>
      </c>
      <c r="LS21" s="593">
        <f>'Proy 2022 vs 2019 sem'!BI20*LV$4</f>
        <v>11538.790799999999</v>
      </c>
      <c r="LT21" s="593">
        <f>'Proy 2022 vs 2019 sem'!BJ20*LV$4</f>
        <v>10269.523811999999</v>
      </c>
      <c r="LU21" s="699"/>
      <c r="LV21" s="700">
        <f>LU21/LS21</f>
        <v>0</v>
      </c>
      <c r="LW21" s="593">
        <f>'Proy 2022 vs 2019 sem'!BI20*LZ$4</f>
        <v>11538.790799999999</v>
      </c>
      <c r="LX21" s="593">
        <f>'Proy 2022 vs 2019 sem'!BJ20*LZ$4</f>
        <v>10269.523811999999</v>
      </c>
      <c r="LY21" s="699"/>
      <c r="LZ21" s="700">
        <f>LY21/LW21</f>
        <v>0</v>
      </c>
      <c r="MA21" s="593">
        <f>'Proy 2022 vs 2019 sem'!BI20*MD$4</f>
        <v>13461.922600000002</v>
      </c>
      <c r="MB21" s="593">
        <f>'Proy 2022 vs 2019 sem'!BJ20*MD$4</f>
        <v>11981.111114000001</v>
      </c>
      <c r="MC21" s="699"/>
      <c r="MD21" s="700">
        <f>MC21/MA21</f>
        <v>0</v>
      </c>
      <c r="ME21" s="593">
        <f>'Proy 2022 vs 2019 sem'!BI20*MH$4</f>
        <v>15385.054399999999</v>
      </c>
      <c r="MF21" s="593">
        <f>'Proy 2022 vs 2019 sem'!BJ20*MH$4</f>
        <v>13692.698415999999</v>
      </c>
      <c r="MG21" s="699"/>
      <c r="MH21" s="700">
        <f>MG21/ME21</f>
        <v>0</v>
      </c>
      <c r="MI21" s="593">
        <f>'Proy 2022 vs 2019 sem'!BI20*ML$4</f>
        <v>21154.449799999999</v>
      </c>
      <c r="MJ21" s="593">
        <f>'Proy 2022 vs 2019 sem'!BJ20*ML$4</f>
        <v>18827.460321999999</v>
      </c>
      <c r="MK21" s="699"/>
      <c r="ML21" s="700">
        <f>MK21/MI21</f>
        <v>0</v>
      </c>
      <c r="MM21" s="579">
        <f>LK21+LO21+LS21+LW21+MA21+ME21+MI21</f>
        <v>96156.59</v>
      </c>
      <c r="MN21" s="574">
        <f>LL21+LP21+LT21+LX21+MB21+MF21+MJ21</f>
        <v>85579.365099999995</v>
      </c>
      <c r="MO21" s="730">
        <f>LM21+LQ21+LU21+LY21+MC21+MG21+MK21</f>
        <v>0</v>
      </c>
      <c r="MP21" s="711">
        <f>MO21/MM21</f>
        <v>0</v>
      </c>
      <c r="MQ21" s="593">
        <f>'Proy 2022 vs 2019 sem'!BN20*MT$4</f>
        <v>9777.42</v>
      </c>
      <c r="MR21" s="593">
        <f>'Proy 2022 vs 2019 sem'!BO20*MT$4</f>
        <v>8506.3554000000004</v>
      </c>
      <c r="MS21" s="699"/>
      <c r="MT21" s="700">
        <f>MS21/MQ21</f>
        <v>0</v>
      </c>
      <c r="MU21" s="593">
        <f>'Proy 2022 vs 2019 sem'!BN20*MX$4</f>
        <v>9777.42</v>
      </c>
      <c r="MV21" s="593">
        <f>'Proy 2022 vs 2019 sem'!BO20*MX$4</f>
        <v>8506.3554000000004</v>
      </c>
      <c r="MW21" s="699"/>
      <c r="MX21" s="700">
        <f>MW21/MU21</f>
        <v>0</v>
      </c>
      <c r="MY21" s="593">
        <f>'Proy 2022 vs 2019 sem'!BN20*NB$4</f>
        <v>9777.42</v>
      </c>
      <c r="MZ21" s="593">
        <f>'Proy 2022 vs 2019 sem'!BO20*NB$4</f>
        <v>8506.3554000000004</v>
      </c>
      <c r="NA21" s="699"/>
      <c r="NB21" s="700">
        <f>NA21/MY21</f>
        <v>0</v>
      </c>
      <c r="NC21" s="593">
        <f>'Proy 2022 vs 2019 sem'!BN20*NF$4</f>
        <v>9777.42</v>
      </c>
      <c r="ND21" s="593">
        <f>'Proy 2022 vs 2019 sem'!BO20*NF$4</f>
        <v>8506.3554000000004</v>
      </c>
      <c r="NE21" s="699"/>
      <c r="NF21" s="700">
        <f>NE21/NC21</f>
        <v>0</v>
      </c>
      <c r="NG21" s="593">
        <f>'Proy 2022 vs 2019 sem'!BN20*NJ$4</f>
        <v>11406.990000000002</v>
      </c>
      <c r="NH21" s="593">
        <f>'Proy 2022 vs 2019 sem'!BO20*NJ$4</f>
        <v>9924.0812999999998</v>
      </c>
      <c r="NI21" s="699"/>
      <c r="NJ21" s="700">
        <f>NI21/NG21</f>
        <v>0</v>
      </c>
      <c r="NK21" s="593">
        <f>'Proy 2022 vs 2019 sem'!BN20*NN$4</f>
        <v>13036.56</v>
      </c>
      <c r="NL21" s="593">
        <f>'Proy 2022 vs 2019 sem'!BO20*NN$4</f>
        <v>11341.807199999999</v>
      </c>
      <c r="NM21" s="699"/>
      <c r="NN21" s="700">
        <f>NM21/NK21</f>
        <v>0</v>
      </c>
      <c r="NO21" s="593">
        <f>'Proy 2022 vs 2019 sem'!BN20*NR$4</f>
        <v>17925.27</v>
      </c>
      <c r="NP21" s="593">
        <f>'Proy 2022 vs 2019 sem'!BO20*NR$4</f>
        <v>15594.984899999999</v>
      </c>
      <c r="NQ21" s="699"/>
      <c r="NR21" s="700">
        <f>NQ21/NO21</f>
        <v>0</v>
      </c>
      <c r="NS21" s="579">
        <f>MQ21+MU21+MY21+NC21+NG21+NK21+NO21</f>
        <v>81478.5</v>
      </c>
      <c r="NT21" s="574">
        <f>MR21+MV21+MZ21+ND21+NH21+NL21+NP21</f>
        <v>70886.294999999998</v>
      </c>
      <c r="NU21" s="710">
        <f>MS21+MW21+NA21+NE21+NI21+NM21+NQ21</f>
        <v>0</v>
      </c>
      <c r="NV21" s="711">
        <f>NU21/NS21</f>
        <v>0</v>
      </c>
      <c r="NW21" s="593">
        <f>'Proy 2022 vs 2019 sem'!BS20*NZ$4</f>
        <v>11137.870799999999</v>
      </c>
      <c r="NX21" s="593">
        <f>'Proy 2022 vs 2019 sem'!BT20*NZ$4</f>
        <v>9912.7050120000004</v>
      </c>
      <c r="NY21" s="699"/>
      <c r="NZ21" s="700">
        <f>NY21/NW21</f>
        <v>0</v>
      </c>
      <c r="OA21" s="593">
        <f>'Proy 2022 vs 2019 sem'!BS20*OD$4</f>
        <v>11137.870799999999</v>
      </c>
      <c r="OB21" s="593">
        <f>'Proy 2022 vs 2019 sem'!BT20*OD$4</f>
        <v>9912.7050120000004</v>
      </c>
      <c r="OC21" s="699"/>
      <c r="OD21" s="700">
        <f>OC21/OA21</f>
        <v>0</v>
      </c>
      <c r="OE21" s="593">
        <f>'Proy 2022 vs 2019 sem'!BS20*OH$4</f>
        <v>11137.870799999999</v>
      </c>
      <c r="OF21" s="593">
        <f>'Proy 2022 vs 2019 sem'!BT20*OH$4</f>
        <v>9912.7050120000004</v>
      </c>
      <c r="OG21" s="699"/>
      <c r="OH21" s="700">
        <f>OG21/OE21</f>
        <v>0</v>
      </c>
      <c r="OI21" s="593">
        <f>'Proy 2022 vs 2019 sem'!BS20*OL$4</f>
        <v>11137.870799999999</v>
      </c>
      <c r="OJ21" s="593">
        <f>'Proy 2022 vs 2019 sem'!BT20*OL$4</f>
        <v>9912.7050120000004</v>
      </c>
      <c r="OK21" s="699"/>
      <c r="OL21" s="700">
        <f>OK21/OI21</f>
        <v>0</v>
      </c>
      <c r="OM21" s="593">
        <f>'Proy 2022 vs 2019 sem'!BS20*OP$4</f>
        <v>12994.1826</v>
      </c>
      <c r="ON21" s="593">
        <f>'Proy 2022 vs 2019 sem'!BT20*OP$4</f>
        <v>11564.822514000001</v>
      </c>
      <c r="OO21" s="699"/>
      <c r="OP21" s="700">
        <f>OO21/OM21</f>
        <v>0</v>
      </c>
      <c r="OQ21" s="593">
        <f>'Proy 2022 vs 2019 sem'!BS20*OT$4</f>
        <v>14850.4944</v>
      </c>
      <c r="OR21" s="593">
        <f>'Proy 2022 vs 2019 sem'!BT20*OT$4</f>
        <v>13216.940016</v>
      </c>
      <c r="OS21" s="699"/>
      <c r="OT21" s="700">
        <f>OS21/OQ21</f>
        <v>0</v>
      </c>
      <c r="OU21" s="593">
        <f>'Proy 2022 vs 2019 sem'!BS20*OX$4</f>
        <v>20419.429799999998</v>
      </c>
      <c r="OV21" s="593">
        <f>'Proy 2022 vs 2019 sem'!BT20*OX$4</f>
        <v>18173.292522</v>
      </c>
      <c r="OW21" s="699"/>
      <c r="OX21" s="700">
        <f>OW21/OU21</f>
        <v>0</v>
      </c>
      <c r="OY21" s="579">
        <f>NW21+OA21+OE21+OI21+OM21+OQ21+OU21</f>
        <v>92815.59</v>
      </c>
      <c r="OZ21" s="574">
        <f>NX21+OB21+OF21+OJ21+ON21+OR21+OV21</f>
        <v>82605.875100000005</v>
      </c>
      <c r="PA21" s="710">
        <f>NY21+OC21+OG21+OK21+OO21+OS21+OW21</f>
        <v>0</v>
      </c>
      <c r="PB21" s="711">
        <f>PA21/OY21</f>
        <v>0</v>
      </c>
      <c r="PC21" s="593">
        <f>'Proy 2022 vs 2019 sem'!CB20*PF$4</f>
        <v>11739.799199999999</v>
      </c>
      <c r="PD21" s="593">
        <f>'Proy 2022 vs 2019 sem'!CC20*PF$4</f>
        <v>10448.421288</v>
      </c>
      <c r="PE21" s="735"/>
      <c r="PF21" s="700">
        <f>PE21/PC21</f>
        <v>0</v>
      </c>
      <c r="PG21" s="593">
        <f>'Proy 2022 vs 2019 sem'!CB20*PJ$4</f>
        <v>11739.799199999999</v>
      </c>
      <c r="PH21" s="593">
        <f>'Proy 2022 vs 2019 sem'!CC20*PJ$4</f>
        <v>10448.421288</v>
      </c>
      <c r="PI21" s="699"/>
      <c r="PJ21" s="700">
        <f>PI21/PG21</f>
        <v>0</v>
      </c>
      <c r="PK21" s="593">
        <f>'Proy 2022 vs 2019 sem'!CB20*PN$4</f>
        <v>11739.799199999999</v>
      </c>
      <c r="PL21" s="593">
        <f>'Proy 2022 vs 2019 sem'!CC20*PN$4</f>
        <v>10448.421288</v>
      </c>
      <c r="PM21" s="699"/>
      <c r="PN21" s="700">
        <f>PM21/PK21</f>
        <v>0</v>
      </c>
      <c r="PO21" s="593">
        <f>'Proy 2022 vs 2019 sem'!CB20*PR$4</f>
        <v>11739.799199999999</v>
      </c>
      <c r="PP21" s="593">
        <f>'Proy 2022 vs 2019 sem'!CC20*PR$4</f>
        <v>10448.421288</v>
      </c>
      <c r="PQ21" s="699"/>
      <c r="PR21" s="700">
        <f>PQ21/PO21</f>
        <v>0</v>
      </c>
      <c r="PS21" s="593">
        <f>'Proy 2022 vs 2019 sem'!CB20*PV$4</f>
        <v>13696.432400000002</v>
      </c>
      <c r="PT21" s="593">
        <f>'Proy 2022 vs 2019 sem'!CC20*PV$4</f>
        <v>12189.824836000002</v>
      </c>
      <c r="PU21" s="699"/>
      <c r="PV21" s="700">
        <f>PU21/PS21</f>
        <v>0</v>
      </c>
      <c r="PW21" s="593">
        <f>'Proy 2022 vs 2019 sem'!CB20*PZ$4</f>
        <v>15653.065600000002</v>
      </c>
      <c r="PX21" s="593">
        <f>'Proy 2022 vs 2019 sem'!CC20*PZ$4</f>
        <v>13931.228384</v>
      </c>
      <c r="PY21" s="699"/>
      <c r="PZ21" s="700">
        <f>PY21/PW21</f>
        <v>0</v>
      </c>
      <c r="QA21" s="593">
        <f>'Proy 2022 vs 2019 sem'!CB20*QD$4</f>
        <v>21522.965200000002</v>
      </c>
      <c r="QB21" s="593">
        <f>'Proy 2022 vs 2019 sem'!CC20*QD$4</f>
        <v>19155.439028000001</v>
      </c>
      <c r="QC21" s="699"/>
      <c r="QD21" s="700">
        <f>QC21/QA21</f>
        <v>0</v>
      </c>
      <c r="QE21" s="579">
        <f>PC21+PG21+PK21+PO21+PS21+PW21+QA21</f>
        <v>97831.66</v>
      </c>
      <c r="QF21" s="574">
        <f>PD21+PH21+PL21+PP21+PT21+PX21+QB21</f>
        <v>87070.177399999986</v>
      </c>
      <c r="QG21" s="793">
        <f>PE21+PI21+PM21+PQ21+PU21+PY21+QC21</f>
        <v>0</v>
      </c>
      <c r="QH21" s="786">
        <f>QG21/QE21</f>
        <v>0</v>
      </c>
      <c r="QI21" s="593">
        <f>'Proy 2022 vs 2019 sem'!CG20*QL$4</f>
        <v>11071.044</v>
      </c>
      <c r="QJ21" s="593">
        <f>'Proy 2022 vs 2019 sem'!CH20*QL$4</f>
        <v>9853.2291600000008</v>
      </c>
      <c r="QK21" s="699"/>
      <c r="QL21" s="700">
        <f>QK21/QI21</f>
        <v>0</v>
      </c>
      <c r="QM21" s="593">
        <f>'Proy 2022 vs 2019 sem'!CG20*QP$4</f>
        <v>11071.044</v>
      </c>
      <c r="QN21" s="593">
        <f>'Proy 2022 vs 2019 sem'!CH20*QP$4</f>
        <v>9853.2291600000008</v>
      </c>
      <c r="QO21" s="699"/>
      <c r="QP21" s="700">
        <f>QO21/QM21</f>
        <v>0</v>
      </c>
      <c r="QQ21" s="593">
        <f>'Proy 2022 vs 2019 sem'!CG20*QT$4</f>
        <v>11071.044</v>
      </c>
      <c r="QR21" s="593">
        <f>'Proy 2022 vs 2019 sem'!CH20*QT$4</f>
        <v>9853.2291600000008</v>
      </c>
      <c r="QS21" s="699"/>
      <c r="QT21" s="700">
        <f>QS21/QQ21</f>
        <v>0</v>
      </c>
      <c r="QU21" s="593">
        <f>'Proy 2022 vs 2019 sem'!CG20*QX$4</f>
        <v>11071.044</v>
      </c>
      <c r="QV21" s="593">
        <f>'Proy 2022 vs 2019 sem'!CH20*QX$4</f>
        <v>9853.2291600000008</v>
      </c>
      <c r="QW21" s="699"/>
      <c r="QX21" s="700">
        <f>QW21/QU21</f>
        <v>0</v>
      </c>
      <c r="QY21" s="593">
        <f>'Proy 2022 vs 2019 sem'!CG20*RB$4</f>
        <v>12916.218000000001</v>
      </c>
      <c r="QZ21" s="593">
        <f>'Proy 2022 vs 2019 sem'!CH20*RB$4</f>
        <v>11495.434020000001</v>
      </c>
      <c r="RA21" s="699"/>
      <c r="RB21" s="700">
        <f>RA21/QY21</f>
        <v>0</v>
      </c>
      <c r="RC21" s="593">
        <f>'Proy 2022 vs 2019 sem'!CG20*RF$4</f>
        <v>14761.392</v>
      </c>
      <c r="RD21" s="593">
        <f>'Proy 2022 vs 2019 sem'!CH20*RF$4</f>
        <v>13137.63888</v>
      </c>
      <c r="RE21" s="699"/>
      <c r="RF21" s="700">
        <f>RE21/RC21</f>
        <v>0</v>
      </c>
      <c r="RG21" s="593">
        <f>'Proy 2022 vs 2019 sem'!CG20*RJ$4</f>
        <v>20296.914000000001</v>
      </c>
      <c r="RH21" s="593">
        <f>'Proy 2022 vs 2019 sem'!CH20*RJ$4</f>
        <v>18064.25346</v>
      </c>
      <c r="RI21" s="699"/>
      <c r="RJ21" s="700">
        <f>RI21/RG21</f>
        <v>0</v>
      </c>
      <c r="RK21" s="579">
        <f>QI21+QM21+QQ21+QU21+QY21+RC21+RG21</f>
        <v>92258.7</v>
      </c>
      <c r="RL21" s="574">
        <f>QJ21+QN21+QR21+QV21+QZ21+RD21+RH21</f>
        <v>82110.243000000002</v>
      </c>
      <c r="RM21" s="794">
        <f>QK21+QO21+QS21+QW21+RA21+RE21+RI21</f>
        <v>0</v>
      </c>
      <c r="RN21" s="786">
        <f>RM21/RK21</f>
        <v>0</v>
      </c>
      <c r="RO21" s="593">
        <f>'Proy 2022 vs 2019 sem'!CL20*RR$4</f>
        <v>10998.966</v>
      </c>
      <c r="RP21" s="593">
        <f>'Proy 2022 vs 2019 sem'!CM20*RR$4</f>
        <v>9789.0797399999992</v>
      </c>
      <c r="RQ21" s="699"/>
      <c r="RR21" s="700">
        <f>RQ21/RO21</f>
        <v>0</v>
      </c>
      <c r="RS21" s="593">
        <f>'Proy 2022 vs 2019 sem'!CL20*RV$4</f>
        <v>10998.966</v>
      </c>
      <c r="RT21" s="593">
        <f>'Proy 2022 vs 2019 sem'!CM20*RV$4</f>
        <v>9789.0797399999992</v>
      </c>
      <c r="RU21" s="699"/>
      <c r="RV21" s="700">
        <f>RU21/RS21</f>
        <v>0</v>
      </c>
      <c r="RW21" s="593">
        <f>'Proy 2022 vs 2019 sem'!CL20*RZ$4</f>
        <v>10998.966</v>
      </c>
      <c r="RX21" s="593">
        <f>'Proy 2022 vs 2019 sem'!CM20*RZ$4</f>
        <v>9789.0797399999992</v>
      </c>
      <c r="RY21" s="699"/>
      <c r="RZ21" s="700">
        <f>RY21/RW21</f>
        <v>0</v>
      </c>
      <c r="SA21" s="593">
        <f>'Proy 2022 vs 2019 sem'!CL20*SD$4</f>
        <v>10998.966</v>
      </c>
      <c r="SB21" s="593">
        <f>'Proy 2022 vs 2019 sem'!CM20*SD$4</f>
        <v>9789.0797399999992</v>
      </c>
      <c r="SC21" s="699"/>
      <c r="SD21" s="700">
        <f>SC21/SA21</f>
        <v>0</v>
      </c>
      <c r="SE21" s="593">
        <f>'Proy 2022 vs 2019 sem'!CL20*SH$4</f>
        <v>12832.127000000002</v>
      </c>
      <c r="SF21" s="593">
        <f>'Proy 2022 vs 2019 sem'!CM20*SH$4</f>
        <v>11420.593030000002</v>
      </c>
      <c r="SG21" s="699"/>
      <c r="SH21" s="700">
        <f>SG21/SE21</f>
        <v>0</v>
      </c>
      <c r="SI21" s="593">
        <f>'Proy 2022 vs 2019 sem'!CL20*SL$4</f>
        <v>14665.288</v>
      </c>
      <c r="SJ21" s="593">
        <f>'Proy 2022 vs 2019 sem'!CM20*SL$4</f>
        <v>13052.106320000001</v>
      </c>
      <c r="SK21" s="699"/>
      <c r="SL21" s="700">
        <f>SK21/SI21</f>
        <v>0</v>
      </c>
      <c r="SM21" s="593">
        <f>'Proy 2022 vs 2019 sem'!CL20*SP$4</f>
        <v>20164.771000000001</v>
      </c>
      <c r="SN21" s="593">
        <f>'Proy 2022 vs 2019 sem'!CM20*SP$4</f>
        <v>17946.646189999999</v>
      </c>
      <c r="SO21" s="699"/>
      <c r="SP21" s="700">
        <f>SO21/SM21</f>
        <v>0</v>
      </c>
      <c r="SQ21" s="579">
        <f>RO21+RS21+RW21+SA21+SE21+SI21+SM21</f>
        <v>91658.050000000017</v>
      </c>
      <c r="SR21" s="574">
        <f>RP21+RT21+RX21+SB21+SF21+SJ21+SN21</f>
        <v>81575.664499999999</v>
      </c>
      <c r="SS21" s="794">
        <f>RQ21+RU21+RY21+SC21+SG21+SK21+SO21</f>
        <v>0</v>
      </c>
      <c r="ST21" s="786">
        <f>SS21/SQ21</f>
        <v>0</v>
      </c>
      <c r="SU21" s="593">
        <f>'Proy 2022 vs 2019 sem'!CQ20*SX$4</f>
        <v>15263.5488</v>
      </c>
      <c r="SV21" s="593">
        <f>'Proy 2022 vs 2019 sem'!CR20*SX$4</f>
        <v>13737.19392</v>
      </c>
      <c r="SW21" s="699"/>
      <c r="SX21" s="700">
        <f>SW21/SU21</f>
        <v>0</v>
      </c>
      <c r="SY21" s="593">
        <f>'Proy 2022 vs 2019 sem'!CQ20*TB$4</f>
        <v>15263.5488</v>
      </c>
      <c r="SZ21" s="593">
        <f>'Proy 2022 vs 2019 sem'!CR20*TB$4</f>
        <v>13737.19392</v>
      </c>
      <c r="TA21" s="699"/>
      <c r="TB21" s="700">
        <f>TA21/SY21</f>
        <v>0</v>
      </c>
      <c r="TC21" s="593">
        <f>'Proy 2022 vs 2019 sem'!CQ20*TF$4</f>
        <v>15263.5488</v>
      </c>
      <c r="TD21" s="593">
        <f>'Proy 2022 vs 2019 sem'!CR20*TF$4</f>
        <v>13737.19392</v>
      </c>
      <c r="TE21" s="699"/>
      <c r="TF21" s="700">
        <f>TE21/TC21</f>
        <v>0</v>
      </c>
      <c r="TG21" s="593">
        <f>'Proy 2022 vs 2019 sem'!CQ20*TJ$4</f>
        <v>15263.5488</v>
      </c>
      <c r="TH21" s="593">
        <f>'Proy 2022 vs 2019 sem'!CR20*TJ$4</f>
        <v>13737.19392</v>
      </c>
      <c r="TI21" s="699"/>
      <c r="TJ21" s="700">
        <f>TI21/TG21</f>
        <v>0</v>
      </c>
      <c r="TK21" s="593">
        <f>'Proy 2022 vs 2019 sem'!CQ20*TN$4</f>
        <v>17807.473600000001</v>
      </c>
      <c r="TL21" s="593">
        <f>'Proy 2022 vs 2019 sem'!CR20*TN$4</f>
        <v>16026.726240000004</v>
      </c>
      <c r="TM21" s="699"/>
      <c r="TN21" s="700">
        <f>TM21/TK21</f>
        <v>0</v>
      </c>
      <c r="TO21" s="593">
        <f>'Proy 2022 vs 2019 sem'!CQ20*TR$4</f>
        <v>20351.398400000002</v>
      </c>
      <c r="TP21" s="593">
        <f>'Proy 2022 vs 2019 sem'!CR20*TR$4</f>
        <v>18316.258560000002</v>
      </c>
      <c r="TQ21" s="699"/>
      <c r="TR21" s="700">
        <f>TQ21/TO21</f>
        <v>0</v>
      </c>
      <c r="TS21" s="593">
        <f>'Proy 2022 vs 2019 sem'!CQ20*TV$4</f>
        <v>27983.1728</v>
      </c>
      <c r="TT21" s="593">
        <f>'Proy 2022 vs 2019 sem'!CR20*TV$4</f>
        <v>25184.855520000001</v>
      </c>
      <c r="TU21" s="699"/>
      <c r="TV21" s="700">
        <f>TU21/TS21</f>
        <v>0</v>
      </c>
      <c r="TW21" s="579">
        <f>SU21+SY21+TC21+TG21+TK21+TO21+TS21</f>
        <v>127196.24</v>
      </c>
      <c r="TX21" s="574">
        <f>SV21+SZ21+TD21+TH21+TL21+TP21+TT21</f>
        <v>114476.61600000001</v>
      </c>
      <c r="TY21" s="785">
        <f>SW21+TA21+TE21+TI21+TM21+TQ21+TU21</f>
        <v>0</v>
      </c>
      <c r="TZ21" s="786">
        <f>TY21/TW21</f>
        <v>0</v>
      </c>
      <c r="UA21" s="593">
        <f>'Proy 2022 vs 2019 sem'!CZ20*UD$4</f>
        <v>15539.260799999998</v>
      </c>
      <c r="UB21" s="593">
        <f>'Proy 2022 vs 2019 sem'!DA20*UD$4</f>
        <v>13829.942111999999</v>
      </c>
      <c r="UC21" s="735"/>
      <c r="UD21" s="700">
        <f>UC21/UA21</f>
        <v>0</v>
      </c>
      <c r="UE21" s="593">
        <f>'Proy 2022 vs 2019 sem'!CZ20*UH$4</f>
        <v>15539.260799999998</v>
      </c>
      <c r="UF21" s="593">
        <f>'Proy 2022 vs 2019 sem'!DA20*UH$4</f>
        <v>13829.942111999999</v>
      </c>
      <c r="UG21" s="699"/>
      <c r="UH21" s="700">
        <f>UG21/UE21</f>
        <v>0</v>
      </c>
      <c r="UI21" s="593">
        <f>'Proy 2022 vs 2019 sem'!CZ20*UL$4</f>
        <v>15539.260799999998</v>
      </c>
      <c r="UJ21" s="593">
        <f>'Proy 2022 vs 2019 sem'!DA20*UL$4</f>
        <v>13829.942111999999</v>
      </c>
      <c r="UK21" s="699"/>
      <c r="UL21" s="700">
        <f>UK21/UI21</f>
        <v>0</v>
      </c>
      <c r="UM21" s="593">
        <f>'Proy 2022 vs 2019 sem'!CZ20*UP$4</f>
        <v>15539.260799999998</v>
      </c>
      <c r="UN21" s="593">
        <f>'Proy 2022 vs 2019 sem'!DA20*UP$4</f>
        <v>13829.942111999999</v>
      </c>
      <c r="UO21" s="699"/>
      <c r="UP21" s="700">
        <f>UO21/UM21</f>
        <v>0</v>
      </c>
      <c r="UQ21" s="593">
        <f>'Proy 2022 vs 2019 sem'!CZ20*UT$4</f>
        <v>18129.137600000002</v>
      </c>
      <c r="UR21" s="593">
        <f>'Proy 2022 vs 2019 sem'!DA20*UT$4</f>
        <v>16134.932464</v>
      </c>
      <c r="US21" s="699"/>
      <c r="UT21" s="700">
        <f>US21/UQ21</f>
        <v>0</v>
      </c>
      <c r="UU21" s="593">
        <f>'Proy 2022 vs 2019 sem'!CZ20*UX$4</f>
        <v>20719.0144</v>
      </c>
      <c r="UV21" s="593">
        <f>'Proy 2022 vs 2019 sem'!DA20*UX$4</f>
        <v>18439.922815999998</v>
      </c>
      <c r="UW21" s="699"/>
      <c r="UX21" s="700">
        <f>UW21/UU21</f>
        <v>0</v>
      </c>
      <c r="UY21" s="593">
        <f>'Proy 2022 vs 2019 sem'!CZ20*VB$4</f>
        <v>28488.644799999998</v>
      </c>
      <c r="UZ21" s="593">
        <f>'Proy 2022 vs 2019 sem'!DA20*VB$4</f>
        <v>25354.893871999997</v>
      </c>
      <c r="VA21" s="699"/>
      <c r="VB21" s="700">
        <f>VA21/UY21</f>
        <v>0</v>
      </c>
      <c r="VC21" s="579">
        <f>UA21+UE21+UI21+UM21+UQ21+UU21+UY21</f>
        <v>129493.84</v>
      </c>
      <c r="VD21" s="574">
        <f>UB21+UF21+UJ21+UN21+UR21+UV21+UZ21</f>
        <v>115249.51760000001</v>
      </c>
      <c r="VE21" s="759">
        <f>UC21+UG21+UK21+UO21+US21+UW21+VA21</f>
        <v>0</v>
      </c>
      <c r="VF21" s="761">
        <f>VE21/VC21</f>
        <v>0</v>
      </c>
      <c r="VG21" s="593">
        <f>'Proy 2022 vs 2019 sem'!DE20*VJ$4</f>
        <v>11439.5808</v>
      </c>
      <c r="VH21" s="593">
        <f>'Proy 2022 vs 2019 sem'!DF20*VJ$4</f>
        <v>10181.226912</v>
      </c>
      <c r="VI21" s="699"/>
      <c r="VJ21" s="700">
        <f>VI21/VG21</f>
        <v>0</v>
      </c>
      <c r="VK21" s="593">
        <f>'Proy 2022 vs 2019 sem'!DE20*VN$4</f>
        <v>11439.5808</v>
      </c>
      <c r="VL21" s="593">
        <f>'Proy 2022 vs 2019 sem'!DF20*VN$4</f>
        <v>10181.226912</v>
      </c>
      <c r="VM21" s="699"/>
      <c r="VN21" s="700">
        <f>VM21/VK21</f>
        <v>0</v>
      </c>
      <c r="VO21" s="593">
        <f>'Proy 2022 vs 2019 sem'!DE20*VR$4</f>
        <v>11439.5808</v>
      </c>
      <c r="VP21" s="593">
        <f>'Proy 2022 vs 2019 sem'!DF20*VR$4</f>
        <v>10181.226912</v>
      </c>
      <c r="VQ21" s="699"/>
      <c r="VR21" s="700">
        <f>VQ21/VO21</f>
        <v>0</v>
      </c>
      <c r="VS21" s="593">
        <f>'Proy 2022 vs 2019 sem'!DE20*VV$4</f>
        <v>11439.5808</v>
      </c>
      <c r="VT21" s="593">
        <f>'Proy 2022 vs 2019 sem'!DF20*VV$4</f>
        <v>10181.226912</v>
      </c>
      <c r="VU21" s="699"/>
      <c r="VV21" s="700">
        <f>VU21/VS21</f>
        <v>0</v>
      </c>
      <c r="VW21" s="593">
        <f>'Proy 2022 vs 2019 sem'!DE20*VZ$4</f>
        <v>13346.177600000001</v>
      </c>
      <c r="VX21" s="593">
        <f>'Proy 2022 vs 2019 sem'!DF20*VZ$4</f>
        <v>11878.098064000002</v>
      </c>
      <c r="VY21" s="699"/>
      <c r="VZ21" s="700">
        <f>VY21/VW21</f>
        <v>0</v>
      </c>
      <c r="WA21" s="593">
        <f>'Proy 2022 vs 2019 sem'!DE20*WD$4</f>
        <v>15252.7744</v>
      </c>
      <c r="WB21" s="593">
        <f>'Proy 2022 vs 2019 sem'!DF20*WD$4</f>
        <v>13574.969216</v>
      </c>
      <c r="WC21" s="699"/>
      <c r="WD21" s="700">
        <f>WC21/WA21</f>
        <v>0</v>
      </c>
      <c r="WE21" s="593">
        <f>'Proy 2022 vs 2019 sem'!DE20*WH$4</f>
        <v>20972.5648</v>
      </c>
      <c r="WF21" s="593">
        <f>'Proy 2022 vs 2019 sem'!DF20*WH$4</f>
        <v>18665.582672</v>
      </c>
      <c r="WG21" s="699"/>
      <c r="WH21" s="700">
        <f>WG21/WE21</f>
        <v>0</v>
      </c>
      <c r="WI21" s="579">
        <f>VG21+VK21+VO21+VS21+VW21+WA21+WE21</f>
        <v>95329.84</v>
      </c>
      <c r="WJ21" s="574">
        <f>VH21+VL21+VP21+VT21+VX21+WB21+WF21</f>
        <v>84843.5576</v>
      </c>
      <c r="WK21" s="765">
        <f>VI21+VM21+VQ21+VU21+VY21+WC21+WG21</f>
        <v>0</v>
      </c>
      <c r="WL21" s="761">
        <f>WK21/WI21</f>
        <v>0</v>
      </c>
      <c r="WM21" s="593">
        <f>'Proy 2022 vs 2019 sem'!DJ20*WP$4</f>
        <v>11062.1052</v>
      </c>
      <c r="WN21" s="593">
        <f>'Proy 2022 vs 2019 sem'!DK20*WP$4</f>
        <v>9845.2736280000008</v>
      </c>
      <c r="WO21" s="699"/>
      <c r="WP21" s="700">
        <f>WO21/WM21</f>
        <v>0</v>
      </c>
      <c r="WQ21" s="593">
        <f>'Proy 2022 vs 2019 sem'!DJ20*WT$4</f>
        <v>11062.1052</v>
      </c>
      <c r="WR21" s="593">
        <f>'Proy 2022 vs 2019 sem'!DK20*WT$4</f>
        <v>9845.2736280000008</v>
      </c>
      <c r="WS21" s="699"/>
      <c r="WT21" s="700">
        <f>WS21/WQ21</f>
        <v>0</v>
      </c>
      <c r="WU21" s="593">
        <f>'Proy 2022 vs 2019 sem'!DJ20*WX$4</f>
        <v>11062.1052</v>
      </c>
      <c r="WV21" s="593">
        <f>'Proy 2022 vs 2019 sem'!DK20*WX$4</f>
        <v>9845.2736280000008</v>
      </c>
      <c r="WW21" s="699"/>
      <c r="WX21" s="700">
        <f>WW21/WU21</f>
        <v>0</v>
      </c>
      <c r="WY21" s="593">
        <f>'Proy 2022 vs 2019 sem'!DJ20*XB$4</f>
        <v>11062.1052</v>
      </c>
      <c r="WZ21" s="593">
        <f>'Proy 2022 vs 2019 sem'!DK20*XB$4</f>
        <v>9845.2736280000008</v>
      </c>
      <c r="XA21" s="699"/>
      <c r="XB21" s="700">
        <f>XA21/WY21</f>
        <v>0</v>
      </c>
      <c r="XC21" s="593">
        <f>'Proy 2022 vs 2019 sem'!DJ20*XF$4</f>
        <v>12905.789400000001</v>
      </c>
      <c r="XD21" s="593">
        <f>'Proy 2022 vs 2019 sem'!DK20*XF$4</f>
        <v>11486.152566000002</v>
      </c>
      <c r="XE21" s="699"/>
      <c r="XF21" s="700">
        <f>XE21/XC21</f>
        <v>0</v>
      </c>
      <c r="XG21" s="593">
        <f>'Proy 2022 vs 2019 sem'!DJ20*XJ$4</f>
        <v>14749.473600000001</v>
      </c>
      <c r="XH21" s="593">
        <f>'Proy 2022 vs 2019 sem'!DK20*XJ$4</f>
        <v>13127.031504000002</v>
      </c>
      <c r="XI21" s="699"/>
      <c r="XJ21" s="700">
        <f>XI21/XG21</f>
        <v>0</v>
      </c>
      <c r="XK21" s="593">
        <f>'Proy 2022 vs 2019 sem'!DJ20*XN$4</f>
        <v>20280.5262</v>
      </c>
      <c r="XL21" s="593">
        <f>'Proy 2022 vs 2019 sem'!DK20*XN$4</f>
        <v>18049.668318000004</v>
      </c>
      <c r="XM21" s="699"/>
      <c r="XN21" s="700">
        <f>XM21/XK21</f>
        <v>0</v>
      </c>
      <c r="XO21" s="579">
        <f>WM21+WQ21+WU21+WY21+XC21+XG21+XK21</f>
        <v>92184.209999999992</v>
      </c>
      <c r="XP21" s="574">
        <f>WN21+WR21+WV21+WZ21+XD21+XH21+XL21</f>
        <v>82043.94690000001</v>
      </c>
      <c r="XQ21" s="765">
        <f>WO21+WS21+WW21+XA21+XE21+XI21+XM21</f>
        <v>0</v>
      </c>
      <c r="XR21" s="761">
        <f>XQ21/XO21</f>
        <v>0</v>
      </c>
      <c r="XS21" s="593">
        <f>'Proy 2022 vs 2019 sem'!DO20*XV$4</f>
        <v>10909.253999999999</v>
      </c>
      <c r="XT21" s="593">
        <f>'Proy 2022 vs 2019 sem'!DP20*XV$4</f>
        <v>9709.2360599999993</v>
      </c>
      <c r="XU21" s="699"/>
      <c r="XV21" s="700">
        <f>XU21/XS21</f>
        <v>0</v>
      </c>
      <c r="XW21" s="593">
        <f>'Proy 2022 vs 2019 sem'!DO20*XZ$4</f>
        <v>10909.253999999999</v>
      </c>
      <c r="XX21" s="593">
        <f>'Proy 2022 vs 2019 sem'!DP20*XZ$4</f>
        <v>9709.2360599999993</v>
      </c>
      <c r="XY21" s="699"/>
      <c r="XZ21" s="700">
        <f>XY21/XW21</f>
        <v>0</v>
      </c>
      <c r="YA21" s="593">
        <f>'Proy 2022 vs 2019 sem'!DO20*YD$4</f>
        <v>10909.253999999999</v>
      </c>
      <c r="YB21" s="593">
        <f>'Proy 2022 vs 2019 sem'!DP20*YD$4</f>
        <v>9709.2360599999993</v>
      </c>
      <c r="YC21" s="699"/>
      <c r="YD21" s="700">
        <f>YC21/YA21</f>
        <v>0</v>
      </c>
      <c r="YE21" s="593">
        <f>'Proy 2022 vs 2019 sem'!DO20*YH$4</f>
        <v>10909.253999999999</v>
      </c>
      <c r="YF21" s="593">
        <f>'Proy 2022 vs 2019 sem'!DP20*YH$4</f>
        <v>9709.2360599999993</v>
      </c>
      <c r="YG21" s="699"/>
      <c r="YH21" s="700">
        <f>YG21/YE21</f>
        <v>0</v>
      </c>
      <c r="YI21" s="593">
        <f>'Proy 2022 vs 2019 sem'!DO20*YL$4</f>
        <v>12727.463000000002</v>
      </c>
      <c r="YJ21" s="593">
        <f>'Proy 2022 vs 2019 sem'!DP20*YL$4</f>
        <v>11327.442070000001</v>
      </c>
      <c r="YK21" s="699"/>
      <c r="YL21" s="700">
        <f>YK21/YI21</f>
        <v>0</v>
      </c>
      <c r="YM21" s="593">
        <f>'Proy 2022 vs 2019 sem'!DO20*YP$4</f>
        <v>14545.672</v>
      </c>
      <c r="YN21" s="593">
        <f>'Proy 2022 vs 2019 sem'!DP20*YP$4</f>
        <v>12945.648079999999</v>
      </c>
      <c r="YO21" s="699"/>
      <c r="YP21" s="700">
        <f>YO21/YM21</f>
        <v>0</v>
      </c>
      <c r="YQ21" s="593">
        <f>'Proy 2022 vs 2019 sem'!DO20*YT$4</f>
        <v>20000.298999999999</v>
      </c>
      <c r="YR21" s="593">
        <f>'Proy 2022 vs 2019 sem'!DP20*YT$4</f>
        <v>17800.26611</v>
      </c>
      <c r="YS21" s="699"/>
      <c r="YT21" s="700">
        <f>YS21/YQ21</f>
        <v>0</v>
      </c>
      <c r="YU21" s="579">
        <f>XS21+XW21+YA21+YE21+YI21+YM21+YQ21</f>
        <v>90910.45</v>
      </c>
      <c r="YV21" s="574">
        <f>XT21+XX21+YB21+YF21+YJ21+YN21+YR21</f>
        <v>80910.300499999998</v>
      </c>
      <c r="YW21" s="770">
        <f>XU21+XY21+YC21+YG21+YK21+YO21+YS21</f>
        <v>0</v>
      </c>
      <c r="YX21" s="761">
        <f>YW21/YU21</f>
        <v>0</v>
      </c>
      <c r="YY21" s="931">
        <f>'Proy 2022 vs 2019 sem'!DX20*ZB$4</f>
        <v>11121.1644</v>
      </c>
      <c r="YZ21" s="931">
        <f>'Proy 2022 vs 2019 sem'!DY20*ZB$4</f>
        <v>9897.836315999999</v>
      </c>
      <c r="ZA21" s="735"/>
      <c r="ZB21" s="700">
        <f>ZA21/YY21</f>
        <v>0</v>
      </c>
      <c r="ZC21" s="593">
        <f>'Proy 2022 vs 2019 sem'!DX20*ZF$4</f>
        <v>11121.1644</v>
      </c>
      <c r="ZD21" s="593">
        <f>'Proy 2022 vs 2019 sem'!DY20*ZF$4</f>
        <v>9897.836315999999</v>
      </c>
      <c r="ZE21" s="735"/>
      <c r="ZF21" s="700">
        <f>ZE21/ZC21</f>
        <v>0</v>
      </c>
      <c r="ZG21" s="593">
        <f>'Proy 2022 vs 2019 sem'!DX20*ZJ$4</f>
        <v>11121.1644</v>
      </c>
      <c r="ZH21" s="593">
        <f>'Proy 2022 vs 2019 sem'!DY20*ZJ$4</f>
        <v>9897.836315999999</v>
      </c>
      <c r="ZI21" s="735"/>
      <c r="ZJ21" s="700">
        <f>ZI21/ZG21</f>
        <v>0</v>
      </c>
      <c r="ZK21" s="593">
        <f>'Proy 2022 vs 2019 sem'!DX20*ZN$4</f>
        <v>11121.1644</v>
      </c>
      <c r="ZL21" s="593">
        <f>'Proy 2022 vs 2019 sem'!DY20*ZN$4</f>
        <v>9897.836315999999</v>
      </c>
      <c r="ZM21" s="735"/>
      <c r="ZN21" s="700">
        <f>ZM21/ZK21</f>
        <v>0</v>
      </c>
      <c r="ZO21" s="593">
        <f>'Proy 2022 vs 2019 sem'!DX20*ZR$4</f>
        <v>12974.691800000001</v>
      </c>
      <c r="ZP21" s="593">
        <f>'Proy 2022 vs 2019 sem'!DY20*ZR$4</f>
        <v>11547.475702000002</v>
      </c>
      <c r="ZQ21" s="735"/>
      <c r="ZR21" s="700">
        <f>ZQ21/ZO21</f>
        <v>0</v>
      </c>
      <c r="ZS21" s="593">
        <f>'Proy 2022 vs 2019 sem'!DX20*ZV$4</f>
        <v>14828.2192</v>
      </c>
      <c r="ZT21" s="593">
        <f>'Proy 2022 vs 2019 sem'!DY20*ZV$4</f>
        <v>13197.115088</v>
      </c>
      <c r="ZU21" s="735"/>
      <c r="ZV21" s="700">
        <f>ZU21/ZS21</f>
        <v>0</v>
      </c>
      <c r="ZW21" s="593">
        <f>'Proy 2022 vs 2019 sem'!DX20*ZZ$4</f>
        <v>20388.8014</v>
      </c>
      <c r="ZX21" s="593">
        <f>'Proy 2022 vs 2019 sem'!DY20*ZZ$4</f>
        <v>18146.033245999999</v>
      </c>
      <c r="ZY21" s="735"/>
      <c r="ZZ21" s="700">
        <f>ZY21/ZW21</f>
        <v>0</v>
      </c>
      <c r="AAA21" s="579">
        <f>YY21+ZC21+ZG21+ZK21+ZO21+ZS21+ZW21</f>
        <v>92676.37</v>
      </c>
      <c r="AAB21" s="574">
        <f>YZ21+ZD21+ZH21+ZL21+ZP21+ZT21+ZX21</f>
        <v>82481.969299999997</v>
      </c>
      <c r="AAC21" s="729">
        <f>ZA21+ZE21+ZI21+ZM21+ZQ21+ZU21+ZY21</f>
        <v>0</v>
      </c>
      <c r="AAD21" s="711">
        <f>AAC21/AAA21</f>
        <v>0</v>
      </c>
      <c r="AAE21" s="593">
        <f>'Proy 2022 vs 2019 sem'!EC20*AAH$4</f>
        <v>12174.945600000001</v>
      </c>
      <c r="AAF21" s="593">
        <f>'Proy 2022 vs 2019 sem'!ED20*AAH$4</f>
        <v>10592.202672000001</v>
      </c>
      <c r="AAG21" s="699"/>
      <c r="AAH21" s="700">
        <f>AAG21/AAE21</f>
        <v>0</v>
      </c>
      <c r="AAI21" s="593">
        <f>'Proy 2022 vs 2019 sem'!EC20*AAL$4</f>
        <v>12174.945600000001</v>
      </c>
      <c r="AAJ21" s="593">
        <f>'Proy 2022 vs 2019 sem'!ED20*AAL$4</f>
        <v>10592.202672000001</v>
      </c>
      <c r="AAK21" s="699"/>
      <c r="AAL21" s="700">
        <f>AAK21/AAI21</f>
        <v>0</v>
      </c>
      <c r="AAM21" s="593">
        <f>'Proy 2022 vs 2019 sem'!EC20*AAP$4</f>
        <v>12174.945600000001</v>
      </c>
      <c r="AAN21" s="593">
        <f>'Proy 2022 vs 2019 sem'!ED20*AAP$4</f>
        <v>10592.202672000001</v>
      </c>
      <c r="AAO21" s="699"/>
      <c r="AAP21" s="700">
        <f>AAO21/AAM21</f>
        <v>0</v>
      </c>
      <c r="AAQ21" s="593">
        <f>'Proy 2022 vs 2019 sem'!EC20*AAT$4</f>
        <v>12174.945600000001</v>
      </c>
      <c r="AAR21" s="593">
        <f>'Proy 2022 vs 2019 sem'!ED20*AAT$4</f>
        <v>10592.202672000001</v>
      </c>
      <c r="AAS21" s="699"/>
      <c r="AAT21" s="700">
        <f>AAS21/AAQ21</f>
        <v>0</v>
      </c>
      <c r="AAU21" s="593">
        <f>'Proy 2022 vs 2019 sem'!EC20*AAX$4</f>
        <v>14204.103200000001</v>
      </c>
      <c r="AAV21" s="593">
        <f>'Proy 2022 vs 2019 sem'!ED20*AAX$4</f>
        <v>12357.569784000003</v>
      </c>
      <c r="AAW21" s="699"/>
      <c r="AAX21" s="700">
        <f>AAW21/AAU21</f>
        <v>0</v>
      </c>
      <c r="AAY21" s="593">
        <f>'Proy 2022 vs 2019 sem'!EC20*ABB$4</f>
        <v>16233.260800000002</v>
      </c>
      <c r="AAZ21" s="593">
        <f>'Proy 2022 vs 2019 sem'!ED20*ABB$4</f>
        <v>14122.936896000001</v>
      </c>
      <c r="ABA21" s="699"/>
      <c r="ABB21" s="700">
        <f>ABA21/AAY21</f>
        <v>0</v>
      </c>
      <c r="ABC21" s="593">
        <f>'Proy 2022 vs 2019 sem'!EC20*ABF$4</f>
        <v>22320.7336</v>
      </c>
      <c r="ABD21" s="593">
        <f>'Proy 2022 vs 2019 sem'!ED20*ABF$4</f>
        <v>19419.038232000003</v>
      </c>
      <c r="ABE21" s="699"/>
      <c r="ABF21" s="700">
        <f>ABE21/ABC21</f>
        <v>0</v>
      </c>
      <c r="ABG21" s="579">
        <f>AAE21+AAI21+AAM21+AAQ21+AAU21+AAY21+ABC21</f>
        <v>101457.88</v>
      </c>
      <c r="ABH21" s="574">
        <f>AAF21+AAJ21+AAN21+AAR21+AAV21+AAZ21+ABD21</f>
        <v>88268.35560000001</v>
      </c>
      <c r="ABI21" s="730">
        <f>AAG21+AAK21+AAO21+AAS21+AAW21+ABA21+ABE21</f>
        <v>0</v>
      </c>
      <c r="ABJ21" s="711">
        <f>ABI21/ABG21</f>
        <v>0</v>
      </c>
      <c r="ABK21" s="593">
        <f>'Proy 2022 vs 2019 sem'!EH20*ABN$4</f>
        <v>12310.042799999999</v>
      </c>
      <c r="ABL21" s="593">
        <f>'Proy 2022 vs 2019 sem'!EI20*ABN$4</f>
        <v>10955.938092</v>
      </c>
      <c r="ABM21" s="699"/>
      <c r="ABN21" s="700">
        <f>ABM21/ABK21</f>
        <v>0</v>
      </c>
      <c r="ABO21" s="593">
        <f>'Proy 2022 vs 2019 sem'!EH20*ABR$4</f>
        <v>12310.042799999999</v>
      </c>
      <c r="ABP21" s="593">
        <f>'Proy 2022 vs 2019 sem'!EI20*ABR$4</f>
        <v>10955.938092</v>
      </c>
      <c r="ABQ21" s="699"/>
      <c r="ABR21" s="700">
        <f>ABQ21/ABO21</f>
        <v>0</v>
      </c>
      <c r="ABS21" s="593">
        <f>'Proy 2022 vs 2019 sem'!EH20*ABV$4</f>
        <v>12310.042799999999</v>
      </c>
      <c r="ABT21" s="593">
        <f>'Proy 2022 vs 2019 sem'!EI20*ABV$4</f>
        <v>10955.938092</v>
      </c>
      <c r="ABU21" s="699"/>
      <c r="ABV21" s="700">
        <f>ABU21/ABS21</f>
        <v>0</v>
      </c>
      <c r="ABW21" s="593">
        <f>'Proy 2022 vs 2019 sem'!EH20*ABZ$4</f>
        <v>12310.042799999999</v>
      </c>
      <c r="ABX21" s="593">
        <f>'Proy 2022 vs 2019 sem'!EI20*ABZ$4</f>
        <v>10955.938092</v>
      </c>
      <c r="ABY21" s="699"/>
      <c r="ABZ21" s="700">
        <f>ABY21/ABW21</f>
        <v>0</v>
      </c>
      <c r="ACA21" s="593">
        <f>'Proy 2022 vs 2019 sem'!EH20*ACD$4</f>
        <v>14361.716600000002</v>
      </c>
      <c r="ACB21" s="593">
        <f>'Proy 2022 vs 2019 sem'!EI20*ACD$4</f>
        <v>12781.927774000002</v>
      </c>
      <c r="ACC21" s="699"/>
      <c r="ACD21" s="700">
        <f>ACC21/ACA21</f>
        <v>0</v>
      </c>
      <c r="ACE21" s="593">
        <f>'Proy 2022 vs 2019 sem'!EH20*ACH$4</f>
        <v>16413.3904</v>
      </c>
      <c r="ACF21" s="593">
        <f>'Proy 2022 vs 2019 sem'!EI20*ACH$4</f>
        <v>14607.917456000001</v>
      </c>
      <c r="ACG21" s="699"/>
      <c r="ACH21" s="700">
        <f>ACG21/ACE21</f>
        <v>0</v>
      </c>
      <c r="ACI21" s="593">
        <f>'Proy 2022 vs 2019 sem'!EH20*ACL$4</f>
        <v>22568.411800000002</v>
      </c>
      <c r="ACJ21" s="593">
        <f>'Proy 2022 vs 2019 sem'!EI20*ACL$4</f>
        <v>20085.886502000001</v>
      </c>
      <c r="ACK21" s="699"/>
      <c r="ACL21" s="700">
        <f>ACK21/ACI21</f>
        <v>0</v>
      </c>
      <c r="ACM21" s="579">
        <f>ABK21+ABO21+ABS21+ABW21+ACA21+ACE21+ACI21</f>
        <v>102583.69</v>
      </c>
      <c r="ACN21" s="574">
        <f>ABL21+ABP21+ABT21+ABX21+ACB21+ACF21+ACJ21</f>
        <v>91299.484100000001</v>
      </c>
      <c r="ACO21" s="730">
        <f>ABM21+ABQ21+ABU21+ABY21+ACC21+ACG21+ACK21</f>
        <v>0</v>
      </c>
      <c r="ACP21" s="711">
        <f>ACO21/ACM21</f>
        <v>0</v>
      </c>
      <c r="ACQ21" s="593">
        <f>'Proy 2022 vs 2019 sem'!EM20*ACT$4</f>
        <v>12585.287999999999</v>
      </c>
      <c r="ACR21" s="593">
        <f>'Proy 2022 vs 2019 sem'!EN20*ACT$4</f>
        <v>11704.31784</v>
      </c>
      <c r="ACS21" s="699"/>
      <c r="ACT21" s="700">
        <f>ACS21/ACQ21</f>
        <v>0</v>
      </c>
      <c r="ACU21" s="593">
        <f>'Proy 2022 vs 2019 sem'!EM20*ACX$4</f>
        <v>12585.287999999999</v>
      </c>
      <c r="ACV21" s="593">
        <f>'Proy 2022 vs 2019 sem'!EN20*ACX$4</f>
        <v>11704.31784</v>
      </c>
      <c r="ACW21" s="699"/>
      <c r="ACX21" s="700">
        <f>ACW21/ACU21</f>
        <v>0</v>
      </c>
      <c r="ACY21" s="593">
        <f>'Proy 2022 vs 2019 sem'!EM20*ADB$4</f>
        <v>12585.287999999999</v>
      </c>
      <c r="ACZ21" s="593">
        <f>'Proy 2022 vs 2019 sem'!EN20*ADB$4</f>
        <v>11704.31784</v>
      </c>
      <c r="ADA21" s="699"/>
      <c r="ADB21" s="700">
        <f>ADA21/ACY21</f>
        <v>0</v>
      </c>
      <c r="ADC21" s="593">
        <f>'Proy 2022 vs 2019 sem'!EM20*ADF$4</f>
        <v>12585.287999999999</v>
      </c>
      <c r="ADD21" s="593">
        <f>'Proy 2022 vs 2019 sem'!EN20*ADF$4</f>
        <v>11704.31784</v>
      </c>
      <c r="ADE21" s="699"/>
      <c r="ADF21" s="700">
        <f>ADE21/ADC21</f>
        <v>0</v>
      </c>
      <c r="ADG21" s="593">
        <f>'Proy 2022 vs 2019 sem'!EM20*ADJ$4</f>
        <v>14682.836000000001</v>
      </c>
      <c r="ADH21" s="593">
        <f>'Proy 2022 vs 2019 sem'!EN20*ADJ$4</f>
        <v>13655.037480000003</v>
      </c>
      <c r="ADI21" s="699"/>
      <c r="ADJ21" s="700">
        <f>ADI21/ADG21</f>
        <v>0</v>
      </c>
      <c r="ADK21" s="593">
        <f>'Proy 2022 vs 2019 sem'!EM20*ADN$4</f>
        <v>16780.383999999998</v>
      </c>
      <c r="ADL21" s="593">
        <f>'Proy 2022 vs 2019 sem'!EN20*ADN$4</f>
        <v>15605.75712</v>
      </c>
      <c r="ADM21" s="699"/>
      <c r="ADN21" s="700">
        <f>ADM21/ADK21</f>
        <v>0</v>
      </c>
      <c r="ADO21" s="593">
        <f>'Proy 2022 vs 2019 sem'!EM20*ADR$4</f>
        <v>23073.027999999998</v>
      </c>
      <c r="ADP21" s="593">
        <f>'Proy 2022 vs 2019 sem'!EN20*ADR$4</f>
        <v>21457.91604</v>
      </c>
      <c r="ADQ21" s="699"/>
      <c r="ADR21" s="700">
        <f>ADQ21/ADO21</f>
        <v>0</v>
      </c>
      <c r="ADS21" s="579">
        <f>ACQ21+ACU21+ACY21+ADC21+ADG21+ADK21+ADO21</f>
        <v>104877.4</v>
      </c>
      <c r="ADT21" s="574">
        <f>ACR21+ACV21+ACZ21+ADD21+ADH21+ADL21+ADP21</f>
        <v>97535.981999999989</v>
      </c>
      <c r="ADU21" s="710">
        <f>ACS21+ACW21+ADA21+ADE21+ADI21+ADM21+ADQ21</f>
        <v>0</v>
      </c>
      <c r="ADV21" s="711">
        <f>ADU21/ADS21</f>
        <v>0</v>
      </c>
      <c r="ADW21" s="593">
        <f>'Proy 2022 vs 2019 sem'!ER20*ADZ$4</f>
        <v>13406.699999999999</v>
      </c>
      <c r="ADX21" s="593">
        <f>'Proy 2022 vs 2019 sem'!ES20*ADZ$4</f>
        <v>12468.231</v>
      </c>
      <c r="ADY21" s="699"/>
      <c r="ADZ21" s="700">
        <f>ADY21/ADW21</f>
        <v>0</v>
      </c>
      <c r="AEA21" s="593">
        <f>'Proy 2022 vs 2019 sem'!ER20*AED$4</f>
        <v>13406.699999999999</v>
      </c>
      <c r="AEB21" s="593">
        <f>'Proy 2022 vs 2019 sem'!ES20*AED$4</f>
        <v>12468.231</v>
      </c>
      <c r="AEC21" s="699"/>
      <c r="AED21" s="700">
        <f>AEC21/AEA21</f>
        <v>0</v>
      </c>
      <c r="AEE21" s="593">
        <f>'Proy 2022 vs 2019 sem'!ER20*AEH$4</f>
        <v>13406.699999999999</v>
      </c>
      <c r="AEF21" s="593">
        <f>'Proy 2022 vs 2019 sem'!ES20*AEH$4</f>
        <v>12468.231</v>
      </c>
      <c r="AEG21" s="699"/>
      <c r="AEH21" s="700">
        <f>AEG21/AEE21</f>
        <v>0</v>
      </c>
      <c r="AEI21" s="593">
        <f>'Proy 2022 vs 2019 sem'!ER20*AEL$4</f>
        <v>13406.699999999999</v>
      </c>
      <c r="AEJ21" s="593">
        <f>'Proy 2022 vs 2019 sem'!ES20*AEL$4</f>
        <v>12468.231</v>
      </c>
      <c r="AEK21" s="699"/>
      <c r="AEL21" s="700">
        <f>AEK21/AEI21</f>
        <v>0</v>
      </c>
      <c r="AEM21" s="593">
        <f>'Proy 2022 vs 2019 sem'!ER20*AEP$4</f>
        <v>15641.150000000001</v>
      </c>
      <c r="AEN21" s="593">
        <f>'Proy 2022 vs 2019 sem'!ES20*AEP$4</f>
        <v>14546.269500000002</v>
      </c>
      <c r="AEO21" s="699"/>
      <c r="AEP21" s="700">
        <f>AEO21/AEM21</f>
        <v>0</v>
      </c>
      <c r="AEQ21" s="593">
        <f>'Proy 2022 vs 2019 sem'!ER20*AET$4</f>
        <v>17875.600000000002</v>
      </c>
      <c r="AER21" s="593">
        <f>'Proy 2022 vs 2019 sem'!ES20*AET$4</f>
        <v>16624.308000000001</v>
      </c>
      <c r="AES21" s="699"/>
      <c r="AET21" s="700">
        <f>AES21/AEQ21</f>
        <v>0</v>
      </c>
      <c r="AEU21" s="593">
        <f>'Proy 2022 vs 2019 sem'!ER20*AEX$4</f>
        <v>24578.95</v>
      </c>
      <c r="AEV21" s="593">
        <f>'Proy 2022 vs 2019 sem'!ES20*AEX$4</f>
        <v>22858.423500000001</v>
      </c>
      <c r="AEW21" s="699"/>
      <c r="AEX21" s="700">
        <f>AEW21/AEU21</f>
        <v>0</v>
      </c>
      <c r="AEY21" s="579">
        <f>ADW21+AEA21+AEE21+AEI21+AEM21+AEQ21+AEU21</f>
        <v>111722.5</v>
      </c>
      <c r="AEZ21" s="574">
        <f>ADX21+AEB21+AEF21+AEJ21+AEN21+AER21+AEV21</f>
        <v>103901.925</v>
      </c>
      <c r="AFA21" s="710">
        <f>ADY21+AEC21+AEG21+AEK21+AEO21+AES21+AEW21</f>
        <v>0</v>
      </c>
      <c r="AFB21" s="711">
        <f>AFA21/AEY21</f>
        <v>0</v>
      </c>
      <c r="AFC21" s="593">
        <f>'Proy 2022 vs 2019 sem'!FA20*AFF$4</f>
        <v>11700.394799999998</v>
      </c>
      <c r="AFD21" s="593">
        <f>'Proy 2022 vs 2019 sem'!FB20*AFF$4</f>
        <v>10296.347424</v>
      </c>
      <c r="AFE21" s="735"/>
      <c r="AFF21" s="700">
        <f>AFE21/AFC21</f>
        <v>0</v>
      </c>
      <c r="AFG21" s="593">
        <f>'Proy 2022 vs 2019 sem'!FA20*AFJ$4</f>
        <v>11700.394799999998</v>
      </c>
      <c r="AFH21" s="593">
        <f>'Proy 2022 vs 2019 sem'!FB20*AFJ$4</f>
        <v>10296.347424</v>
      </c>
      <c r="AFI21" s="699"/>
      <c r="AFJ21" s="700">
        <f>AFI21/AFG21</f>
        <v>0</v>
      </c>
      <c r="AFK21" s="593">
        <f>'Proy 2022 vs 2019 sem'!FA20*AFN$4</f>
        <v>11700.394799999998</v>
      </c>
      <c r="AFL21" s="593">
        <f>'Proy 2022 vs 2019 sem'!FB20*AFN$4</f>
        <v>10296.347424</v>
      </c>
      <c r="AFM21" s="699"/>
      <c r="AFN21" s="700">
        <f>AFM21/AFK21</f>
        <v>0</v>
      </c>
      <c r="AFO21" s="593">
        <f>'Proy 2022 vs 2019 sem'!FA20*AFR$4</f>
        <v>11700.394799999998</v>
      </c>
      <c r="AFP21" s="593">
        <f>'Proy 2022 vs 2019 sem'!FB20*AFR$4</f>
        <v>10296.347424</v>
      </c>
      <c r="AFQ21" s="699"/>
      <c r="AFR21" s="700">
        <f>AFQ21/AFO21</f>
        <v>0</v>
      </c>
      <c r="AFS21" s="593">
        <f>'Proy 2022 vs 2019 sem'!FA20*AFV$4</f>
        <v>13650.4606</v>
      </c>
      <c r="AFT21" s="593">
        <f>'Proy 2022 vs 2019 sem'!FB20*AFV$4</f>
        <v>12012.405328000001</v>
      </c>
      <c r="AFU21" s="699"/>
      <c r="AFV21" s="700">
        <f>AFU21/AFS21</f>
        <v>0</v>
      </c>
      <c r="AFW21" s="593">
        <f>'Proy 2022 vs 2019 sem'!FA20*AFZ$4</f>
        <v>15600.526399999999</v>
      </c>
      <c r="AFX21" s="593">
        <f>'Proy 2022 vs 2019 sem'!FB20*AFZ$4</f>
        <v>13728.463232</v>
      </c>
      <c r="AFY21" s="699"/>
      <c r="AFZ21" s="700">
        <f>AFY21/AFW21</f>
        <v>0</v>
      </c>
      <c r="AGA21" s="593">
        <f>'Proy 2022 vs 2019 sem'!FA20*AGD$4</f>
        <v>21450.7238</v>
      </c>
      <c r="AGB21" s="593">
        <f>'Proy 2022 vs 2019 sem'!FB20*AGD$4</f>
        <v>18876.636944000002</v>
      </c>
      <c r="AGC21" s="699"/>
      <c r="AGD21" s="700">
        <f>AGC21/AGA21</f>
        <v>0</v>
      </c>
      <c r="AGE21" s="579">
        <f>AFC21+AFG21+AFK21+AFO21+AFS21+AFW21+AGA21</f>
        <v>97503.289999999979</v>
      </c>
      <c r="AGF21" s="574">
        <f>AFD21+AFH21+AFL21+AFP21+AFT21+AFX21+AGB21</f>
        <v>85802.895199999999</v>
      </c>
      <c r="AGG21" s="759">
        <f>AFE21+AFI21+AFM21+AFQ21+AFU21+AFY21+AGC21</f>
        <v>0</v>
      </c>
      <c r="AGH21" s="761">
        <f>AGG21/AGE21</f>
        <v>0</v>
      </c>
      <c r="AGI21" s="593">
        <f>'Proy 2022 vs 2019 sem'!FF20*AGL$4</f>
        <v>13203.822</v>
      </c>
      <c r="AGJ21" s="593">
        <f>'Proy 2022 vs 2019 sem'!FG20*AGL$4</f>
        <v>11619.363359999999</v>
      </c>
      <c r="AGK21" s="699"/>
      <c r="AGL21" s="700">
        <f>AGK21/AGI21</f>
        <v>0</v>
      </c>
      <c r="AGM21" s="593">
        <f>'Proy 2022 vs 2019 sem'!FF20*AGP$4</f>
        <v>13203.822</v>
      </c>
      <c r="AGN21" s="593">
        <f>'Proy 2022 vs 2019 sem'!FG20*AGP$4</f>
        <v>11619.363359999999</v>
      </c>
      <c r="AGO21" s="699"/>
      <c r="AGP21" s="700">
        <f>AGO21/AGM21</f>
        <v>0</v>
      </c>
      <c r="AGQ21" s="593">
        <f>'Proy 2022 vs 2019 sem'!FF20*AGT$4</f>
        <v>13203.822</v>
      </c>
      <c r="AGR21" s="593">
        <f>'Proy 2022 vs 2019 sem'!FG20*AGT$4</f>
        <v>11619.363359999999</v>
      </c>
      <c r="AGS21" s="699"/>
      <c r="AGT21" s="700">
        <f>AGS21/AGQ21</f>
        <v>0</v>
      </c>
      <c r="AGU21" s="593">
        <f>'Proy 2022 vs 2019 sem'!FF20*AGX$4</f>
        <v>13203.822</v>
      </c>
      <c r="AGV21" s="593">
        <f>'Proy 2022 vs 2019 sem'!FG20*AGX$4</f>
        <v>11619.363359999999</v>
      </c>
      <c r="AGW21" s="699"/>
      <c r="AGX21" s="700">
        <f>AGW21/AGU21</f>
        <v>0</v>
      </c>
      <c r="AGY21" s="593">
        <f>'Proy 2022 vs 2019 sem'!FF20*AHB$4</f>
        <v>15404.459000000003</v>
      </c>
      <c r="AGZ21" s="593">
        <f>'Proy 2022 vs 2019 sem'!FG20*AHB$4</f>
        <v>13555.923920000003</v>
      </c>
      <c r="AHA21" s="699"/>
      <c r="AHB21" s="700">
        <f>AHA21/AGY21</f>
        <v>0</v>
      </c>
      <c r="AHC21" s="593">
        <f>'Proy 2022 vs 2019 sem'!FF20*AHF$4</f>
        <v>17605.096000000001</v>
      </c>
      <c r="AHD21" s="593">
        <f>'Proy 2022 vs 2019 sem'!FG20*AHF$4</f>
        <v>15492.484480000001</v>
      </c>
      <c r="AHE21" s="699"/>
      <c r="AHF21" s="700">
        <f>AHE21/AHC21</f>
        <v>0</v>
      </c>
      <c r="AHG21" s="593">
        <f>'Proy 2022 vs 2019 sem'!FF20*AHJ$4</f>
        <v>24207.007000000001</v>
      </c>
      <c r="AHH21" s="593">
        <f>'Proy 2022 vs 2019 sem'!FG20*AHJ$4</f>
        <v>21302.166160000001</v>
      </c>
      <c r="AHI21" s="699"/>
      <c r="AHJ21" s="700">
        <f>AHI21/AHG21</f>
        <v>0</v>
      </c>
      <c r="AHK21" s="579">
        <f>AGI21+AGM21+AGQ21+AGU21+AGY21+AHC21+AHG21</f>
        <v>110031.85</v>
      </c>
      <c r="AHL21" s="574">
        <f>AGJ21+AGN21+AGR21+AGV21+AGZ21+AHD21+AHH21</f>
        <v>96828.027999999991</v>
      </c>
      <c r="AHM21" s="765">
        <f>AGK21+AGO21+AGS21+AGW21+AHA21+AHE21+AHI21</f>
        <v>0</v>
      </c>
      <c r="AHN21" s="761">
        <f>AHM21/AHK21</f>
        <v>0</v>
      </c>
      <c r="AHO21" s="593">
        <f>'Proy 2022 vs 2019 sem'!FK20*AHR$4</f>
        <v>11987.690399999999</v>
      </c>
      <c r="AHP21" s="593">
        <f>'Proy 2022 vs 2019 sem'!FL20*AHR$4</f>
        <v>10549.167552000001</v>
      </c>
      <c r="AHQ21" s="699"/>
      <c r="AHR21" s="700">
        <f>AHQ21/AHO21</f>
        <v>0</v>
      </c>
      <c r="AHS21" s="593">
        <f>'Proy 2022 vs 2019 sem'!FK20*AHV$4</f>
        <v>11987.690399999999</v>
      </c>
      <c r="AHT21" s="593">
        <f>'Proy 2022 vs 2019 sem'!FL20*AHV$4</f>
        <v>10549.167552000001</v>
      </c>
      <c r="AHU21" s="699"/>
      <c r="AHV21" s="700">
        <f>AHU21/AHS21</f>
        <v>0</v>
      </c>
      <c r="AHW21" s="593">
        <f>'Proy 2022 vs 2019 sem'!FK20*AHZ$4</f>
        <v>11987.690399999999</v>
      </c>
      <c r="AHX21" s="593">
        <f>'Proy 2022 vs 2019 sem'!FL20*AHZ$4</f>
        <v>10549.167552000001</v>
      </c>
      <c r="AHY21" s="699"/>
      <c r="AHZ21" s="700">
        <f>AHY21/AHW21</f>
        <v>0</v>
      </c>
      <c r="AIA21" s="593">
        <f>'Proy 2022 vs 2019 sem'!FK20*AID$4</f>
        <v>11987.690399999999</v>
      </c>
      <c r="AIB21" s="593">
        <f>'Proy 2022 vs 2019 sem'!FL20*AID$4</f>
        <v>10549.167552000001</v>
      </c>
      <c r="AIC21" s="699"/>
      <c r="AID21" s="700">
        <f>AIC21/AIA21</f>
        <v>0</v>
      </c>
      <c r="AIE21" s="593">
        <f>'Proy 2022 vs 2019 sem'!FK20*AIH$4</f>
        <v>13985.638800000001</v>
      </c>
      <c r="AIF21" s="593">
        <f>'Proy 2022 vs 2019 sem'!FL20*AIH$4</f>
        <v>12307.362144000002</v>
      </c>
      <c r="AIG21" s="699"/>
      <c r="AIH21" s="700">
        <f>AIG21/AIE21</f>
        <v>0</v>
      </c>
      <c r="AII21" s="593">
        <f>'Proy 2022 vs 2019 sem'!FK20*AIL$4</f>
        <v>15983.5872</v>
      </c>
      <c r="AIJ21" s="593">
        <f>'Proy 2022 vs 2019 sem'!FL20*AIL$4</f>
        <v>14065.556736</v>
      </c>
      <c r="AIK21" s="699"/>
      <c r="AIL21" s="700">
        <f>AIK21/AII21</f>
        <v>0</v>
      </c>
      <c r="AIM21" s="593">
        <f>'Proy 2022 vs 2019 sem'!FK20*AIP$4</f>
        <v>21977.432400000002</v>
      </c>
      <c r="AIN21" s="593">
        <f>'Proy 2022 vs 2019 sem'!FL20*AIP$4</f>
        <v>19340.140512000002</v>
      </c>
      <c r="AIO21" s="699"/>
      <c r="AIP21" s="700">
        <f>AIO21/AIM21</f>
        <v>0</v>
      </c>
      <c r="AIQ21" s="579">
        <f>AHO21+AHS21+AHW21+AIA21+AIE21+AII21+AIM21</f>
        <v>99897.42</v>
      </c>
      <c r="AIR21" s="574">
        <f>AHP21+AHT21+AHX21+AIB21+AIF21+AIJ21+AIN21</f>
        <v>87909.729600000006</v>
      </c>
      <c r="AIS21" s="765">
        <f>AHQ21+AHU21+AHY21+AIC21+AIG21+AIK21+AIO21</f>
        <v>0</v>
      </c>
      <c r="AIT21" s="761">
        <f>AIS21/AIQ21</f>
        <v>0</v>
      </c>
      <c r="AIU21" s="593">
        <f>'Proy 2022 vs 2019 sem'!FP20*AIX$4</f>
        <v>11317.293599999999</v>
      </c>
      <c r="AIV21" s="593">
        <f>'Proy 2022 vs 2019 sem'!FQ20*AIX$4</f>
        <v>10411.910112</v>
      </c>
      <c r="AIW21" s="699"/>
      <c r="AIX21" s="700">
        <f>AIW21/AIU21</f>
        <v>0</v>
      </c>
      <c r="AIY21" s="593">
        <f>'Proy 2022 vs 2019 sem'!FP20*AJB$4</f>
        <v>11317.293599999999</v>
      </c>
      <c r="AIZ21" s="593">
        <f>'Proy 2022 vs 2019 sem'!FQ20*AJB$4</f>
        <v>10411.910112</v>
      </c>
      <c r="AJA21" s="699"/>
      <c r="AJB21" s="700">
        <f>AJA21/AIY21</f>
        <v>0</v>
      </c>
      <c r="AJC21" s="593">
        <f>'Proy 2022 vs 2019 sem'!FP20*AJF$4</f>
        <v>11317.293599999999</v>
      </c>
      <c r="AJD21" s="593">
        <f>'Proy 2022 vs 2019 sem'!FQ20*AJF$4</f>
        <v>10411.910112</v>
      </c>
      <c r="AJE21" s="699"/>
      <c r="AJF21" s="700">
        <f>AJE21/AJC21</f>
        <v>0</v>
      </c>
      <c r="AJG21" s="593">
        <f>'Proy 2022 vs 2019 sem'!FP20*AJJ$4</f>
        <v>11317.293599999999</v>
      </c>
      <c r="AJH21" s="593">
        <f>'Proy 2022 vs 2019 sem'!FQ20*AJJ$4</f>
        <v>10411.910112</v>
      </c>
      <c r="AJI21" s="699"/>
      <c r="AJJ21" s="700">
        <f>AJI21/AJG21</f>
        <v>0</v>
      </c>
      <c r="AJK21" s="593">
        <f>'Proy 2022 vs 2019 sem'!FP20*AJN$4</f>
        <v>13203.5092</v>
      </c>
      <c r="AJL21" s="593">
        <f>'Proy 2022 vs 2019 sem'!FQ20*AJN$4</f>
        <v>12147.228464000002</v>
      </c>
      <c r="AJM21" s="699"/>
      <c r="AJN21" s="700">
        <f>AJM21/AJK21</f>
        <v>0</v>
      </c>
      <c r="AJO21" s="593">
        <f>'Proy 2022 vs 2019 sem'!FP20*AJR$4</f>
        <v>15089.7248</v>
      </c>
      <c r="AJP21" s="593">
        <f>'Proy 2022 vs 2019 sem'!FQ20*AJR$4</f>
        <v>13882.546816</v>
      </c>
      <c r="AJQ21" s="699"/>
      <c r="AJR21" s="700">
        <f>AJQ21/AJO21</f>
        <v>0</v>
      </c>
      <c r="AJS21" s="593">
        <f>'Proy 2022 vs 2019 sem'!FP20*AJV$4</f>
        <v>20748.371599999999</v>
      </c>
      <c r="AJT21" s="593">
        <f>'Proy 2022 vs 2019 sem'!FQ20*AJV$4</f>
        <v>19088.501872000001</v>
      </c>
      <c r="AJU21" s="699"/>
      <c r="AJV21" s="700">
        <f>AJU21/AJS21</f>
        <v>0</v>
      </c>
      <c r="AJW21" s="579">
        <f>AIU21+AIY21+AJC21+AJG21+AJK21+AJO21+AJS21</f>
        <v>94310.78</v>
      </c>
      <c r="AJX21" s="574">
        <f>AIV21+AIZ21+AJD21+AJH21+AJL21+AJP21+AJT21</f>
        <v>86765.917599999986</v>
      </c>
      <c r="AJY21" s="770">
        <f>AIW21+AJA21+AJE21+AJI21+AJM21+AJQ21+AJU21</f>
        <v>0</v>
      </c>
      <c r="AJZ21" s="761">
        <f>AJY21/AJW21</f>
        <v>0</v>
      </c>
      <c r="AKA21" s="593"/>
      <c r="AKB21" s="593"/>
      <c r="AKC21" s="735"/>
      <c r="AKD21" s="700" t="e">
        <f>AKC21/AKA21</f>
        <v>#DIV/0!</v>
      </c>
      <c r="AKE21" s="593">
        <v>11821.315200000001</v>
      </c>
      <c r="AKF21" s="593">
        <v>12057.741504000001</v>
      </c>
      <c r="AKG21" s="699"/>
      <c r="AKH21" s="700">
        <f>AKG21/AKE21</f>
        <v>0</v>
      </c>
      <c r="AKI21" s="593">
        <v>11821.315200000001</v>
      </c>
      <c r="AKJ21" s="593">
        <v>12057.741504000001</v>
      </c>
      <c r="AKK21" s="699"/>
      <c r="AKL21" s="700">
        <f>AKK21/AKI21</f>
        <v>0</v>
      </c>
      <c r="AKM21" s="593">
        <v>11821.315200000001</v>
      </c>
      <c r="AKN21" s="593">
        <v>12057.741504000001</v>
      </c>
      <c r="AKO21" s="699"/>
      <c r="AKP21" s="700">
        <f>AKO21/AKM21</f>
        <v>0</v>
      </c>
      <c r="AKQ21" s="593">
        <v>13791.534400000002</v>
      </c>
      <c r="AKR21" s="593">
        <v>14067.365088000002</v>
      </c>
      <c r="AKS21" s="699"/>
      <c r="AKT21" s="700">
        <f>AKS21/AKQ21</f>
        <v>0</v>
      </c>
      <c r="AKU21" s="593">
        <v>15761.753600000002</v>
      </c>
      <c r="AKV21" s="593">
        <v>16076.988672000003</v>
      </c>
      <c r="AKW21" s="699"/>
      <c r="AKX21" s="700">
        <f>AKW21/AKU21</f>
        <v>0</v>
      </c>
      <c r="AKY21" s="593">
        <v>21672.411200000002</v>
      </c>
      <c r="AKZ21" s="593">
        <v>22105.859424000002</v>
      </c>
      <c r="ALA21" s="699"/>
      <c r="ALB21" s="700">
        <f>ALA21/AKY21</f>
        <v>0</v>
      </c>
      <c r="ALC21" s="579">
        <f>AKA21+AKE21+AKI21+AKM21+AKQ21+AKU21+AKY21</f>
        <v>86689.644800000009</v>
      </c>
      <c r="ALD21" s="574">
        <f>AKB21+AKF21+AKJ21+AKN21+AKR21+AKV21+AKZ21</f>
        <v>88423.437696000008</v>
      </c>
      <c r="ALE21" s="793">
        <f>AKC21+AKG21+AKK21+AKO21+AKS21+AKW21+ALA21</f>
        <v>0</v>
      </c>
      <c r="ALF21" s="786">
        <f>ALE21/ALC21</f>
        <v>0</v>
      </c>
      <c r="ALG21" s="593">
        <v>11430.5028</v>
      </c>
      <c r="ALH21" s="593">
        <v>11659.112856000002</v>
      </c>
      <c r="ALI21" s="699"/>
      <c r="ALJ21" s="700">
        <f>ALI21/ALG21</f>
        <v>0</v>
      </c>
      <c r="ALK21" s="593">
        <v>11430.5028</v>
      </c>
      <c r="ALL21" s="593">
        <v>11659.112856000002</v>
      </c>
      <c r="ALM21" s="699"/>
      <c r="ALN21" s="700">
        <f>ALM21/ALK21</f>
        <v>0</v>
      </c>
      <c r="ALO21" s="593">
        <v>11430.5028</v>
      </c>
      <c r="ALP21" s="593">
        <v>11659.112856000002</v>
      </c>
      <c r="ALQ21" s="699"/>
      <c r="ALR21" s="700">
        <f>ALQ21/ALO21</f>
        <v>0</v>
      </c>
      <c r="ALS21" s="593">
        <v>11430.5028</v>
      </c>
      <c r="ALT21" s="593">
        <v>11659.112856000002</v>
      </c>
      <c r="ALU21" s="699"/>
      <c r="ALV21" s="700">
        <f>ALU21/ALS21</f>
        <v>0</v>
      </c>
      <c r="ALW21" s="593">
        <v>13335.586600000002</v>
      </c>
      <c r="ALX21" s="593">
        <v>13602.298332000002</v>
      </c>
      <c r="ALY21" s="699"/>
      <c r="ALZ21" s="700">
        <f>ALY21/ALW21</f>
        <v>0</v>
      </c>
      <c r="AMA21" s="593">
        <v>15240.670400000001</v>
      </c>
      <c r="AMB21" s="593">
        <v>15545.483808000003</v>
      </c>
      <c r="AMC21" s="699"/>
      <c r="AMD21" s="700">
        <f>AMC21/AMA21</f>
        <v>0</v>
      </c>
      <c r="AME21" s="593">
        <v>20955.9218</v>
      </c>
      <c r="AMF21" s="593">
        <v>21375.040236000001</v>
      </c>
      <c r="AMG21" s="699"/>
      <c r="AMH21" s="700">
        <f>AMG21/AME21</f>
        <v>0</v>
      </c>
      <c r="AMI21" s="579">
        <f>ALG21+ALK21+ALO21+ALS21+ALW21+AMA21+AME21</f>
        <v>95254.19</v>
      </c>
      <c r="AMJ21" s="574">
        <f>ALH21+ALL21+ALP21+ALT21+ALX21+AMB21+AMF21</f>
        <v>97159.27380000001</v>
      </c>
      <c r="AMK21" s="794">
        <f>ALI21+ALM21+ALQ21+ALU21+ALY21+AMC21+AMG21</f>
        <v>0</v>
      </c>
      <c r="AML21" s="786">
        <f>AMK21/AMI21</f>
        <v>0</v>
      </c>
      <c r="AMM21" s="593">
        <v>10200.920399999999</v>
      </c>
      <c r="AMN21" s="593">
        <v>10404.938807999999</v>
      </c>
      <c r="AMO21" s="699"/>
      <c r="AMP21" s="700">
        <f>AMO21/AMM21</f>
        <v>0</v>
      </c>
      <c r="AMQ21" s="593">
        <v>10200.920399999999</v>
      </c>
      <c r="AMR21" s="593">
        <v>10404.938807999999</v>
      </c>
      <c r="AMS21" s="699"/>
      <c r="AMT21" s="700">
        <f>AMS21/AMQ21</f>
        <v>0</v>
      </c>
      <c r="AMU21" s="593">
        <v>10200.920399999999</v>
      </c>
      <c r="AMV21" s="593">
        <v>10404.938807999999</v>
      </c>
      <c r="AMW21" s="699"/>
      <c r="AMX21" s="700">
        <f>AMW21/AMU21</f>
        <v>0</v>
      </c>
      <c r="AMY21" s="593">
        <v>10200.920399999999</v>
      </c>
      <c r="AMZ21" s="593">
        <v>10404.938807999999</v>
      </c>
      <c r="ANA21" s="699"/>
      <c r="ANB21" s="700">
        <f>ANA21/AMY21</f>
        <v>0</v>
      </c>
      <c r="ANC21" s="593">
        <v>11901.0738</v>
      </c>
      <c r="AND21" s="593">
        <v>12139.095276</v>
      </c>
      <c r="ANE21" s="699"/>
      <c r="ANF21" s="700">
        <f>ANE21/ANC21</f>
        <v>0</v>
      </c>
      <c r="ANG21" s="593">
        <v>13601.227199999999</v>
      </c>
      <c r="ANH21" s="593">
        <v>13873.251743999999</v>
      </c>
      <c r="ANI21" s="699"/>
      <c r="ANJ21" s="700">
        <f>ANI21/ANG21</f>
        <v>0</v>
      </c>
      <c r="ANK21" s="593">
        <v>18701.687399999999</v>
      </c>
      <c r="ANL21" s="593">
        <v>19075.721148000001</v>
      </c>
      <c r="ANM21" s="699"/>
      <c r="ANN21" s="700">
        <f>ANM21/ANK21</f>
        <v>0</v>
      </c>
      <c r="ANO21" s="579">
        <f>AMM21+AMQ21+AMU21+AMY21+ANC21+ANG21+ANK21</f>
        <v>85007.669999999984</v>
      </c>
      <c r="ANP21" s="574">
        <f>AMN21+AMR21+AMV21+AMZ21+AND21+ANH21+ANL21</f>
        <v>86707.823399999994</v>
      </c>
      <c r="ANQ21" s="794">
        <f>AMO21+AMS21+AMW21+ANA21+ANE21+ANI21+ANM21</f>
        <v>0</v>
      </c>
      <c r="ANR21" s="786">
        <f>ANQ21/ANO21</f>
        <v>0</v>
      </c>
      <c r="ANS21" s="593">
        <f>'Proy 2022 vs 2019 sem'!GN20*ANV$4</f>
        <v>10541.611199999999</v>
      </c>
      <c r="ANT21" s="593">
        <f>'Proy 2022 vs 2019 sem'!GO20*ANV$4</f>
        <v>10330.778975999998</v>
      </c>
      <c r="ANU21" s="699"/>
      <c r="ANV21" s="700">
        <f>ANU21/ANS21</f>
        <v>0</v>
      </c>
      <c r="ANW21" s="593">
        <f>'Proy 2022 vs 2019 sem'!GN20*ANZ$4</f>
        <v>10541.611199999999</v>
      </c>
      <c r="ANX21" s="593">
        <f>'Proy 2022 vs 2019 sem'!GO20*ANZ$4</f>
        <v>10330.778975999998</v>
      </c>
      <c r="ANY21" s="699"/>
      <c r="ANZ21" s="700">
        <f>ANY21/ANW21</f>
        <v>0</v>
      </c>
      <c r="AOA21" s="593">
        <f>'Proy 2022 vs 2019 sem'!GN20*AOD$4</f>
        <v>10541.611199999999</v>
      </c>
      <c r="AOB21" s="593">
        <f>'Proy 2022 vs 2019 sem'!GO20*AOD$4</f>
        <v>10330.778975999998</v>
      </c>
      <c r="AOC21" s="699"/>
      <c r="AOD21" s="700">
        <f>AOC21/AOA21</f>
        <v>0</v>
      </c>
      <c r="AOE21" s="593">
        <f>'Proy 2022 vs 2019 sem'!GN20*AOH$4</f>
        <v>10541.611199999999</v>
      </c>
      <c r="AOF21" s="593">
        <f>'Proy 2022 vs 2019 sem'!GO20*AOH$4</f>
        <v>10330.778975999998</v>
      </c>
      <c r="AOG21" s="699"/>
      <c r="AOH21" s="700">
        <f>AOG21/AOE21</f>
        <v>0</v>
      </c>
      <c r="AOI21" s="593">
        <f>'Proy 2022 vs 2019 sem'!GN20*AOL$4</f>
        <v>12298.546400000001</v>
      </c>
      <c r="AOJ21" s="593">
        <f>'Proy 2022 vs 2019 sem'!GO20*AOL$4</f>
        <v>12052.575471999999</v>
      </c>
      <c r="AOK21" s="699"/>
      <c r="AOL21" s="700">
        <f>AOK21/AOI21</f>
        <v>0</v>
      </c>
      <c r="AOM21" s="593">
        <f>'Proy 2022 vs 2019 sem'!GN20*AOP$4</f>
        <v>14055.481599999999</v>
      </c>
      <c r="AON21" s="593">
        <f>'Proy 2022 vs 2019 sem'!GO20*AOP$4</f>
        <v>13774.371967999998</v>
      </c>
      <c r="AOO21" s="699"/>
      <c r="AOP21" s="700">
        <f>AOO21/AOM21</f>
        <v>0</v>
      </c>
      <c r="AOQ21" s="593">
        <f>'Proy 2022 vs 2019 sem'!GN20*AOT$4</f>
        <v>19326.287199999999</v>
      </c>
      <c r="AOR21" s="593">
        <f>'Proy 2022 vs 2019 sem'!GO20*AOT$4</f>
        <v>18939.761455999997</v>
      </c>
      <c r="AOS21" s="699"/>
      <c r="AOT21" s="700">
        <f>AOS21/AOQ21</f>
        <v>0</v>
      </c>
      <c r="AOU21" s="579">
        <f>ANS21+ANW21+AOA21+AOE21+AOI21+AOM21+AOQ21</f>
        <v>87846.75999999998</v>
      </c>
      <c r="AOV21" s="574">
        <f>ANT21+ANX21+AOB21+AOF21+AOJ21+AON21+AOR21</f>
        <v>86089.824799999973</v>
      </c>
      <c r="AOW21" s="785">
        <f>ANU21+ANY21+AOC21+AOG21+AOK21+AOO21+AOS21</f>
        <v>0</v>
      </c>
      <c r="AOX21" s="786">
        <f>AOW21/AOU21</f>
        <v>0</v>
      </c>
      <c r="AOY21" s="593">
        <f>'Proy 2022 vs 2019 sem'!GW20*APB$4</f>
        <v>10515.96</v>
      </c>
      <c r="AOZ21" s="593">
        <f>'Proy 2022 vs 2019 sem'!GX20*APB$4</f>
        <v>10305.640799999999</v>
      </c>
      <c r="APA21" s="735"/>
      <c r="APB21" s="700">
        <f>APA21/AOY21</f>
        <v>0</v>
      </c>
      <c r="APC21" s="593">
        <f>'Proy 2022 vs 2019 sem'!GW20*APF$4</f>
        <v>10515.96</v>
      </c>
      <c r="APD21" s="593">
        <f>'Proy 2022 vs 2019 sem'!GX20*APF$4</f>
        <v>10305.640799999999</v>
      </c>
      <c r="APE21" s="735"/>
      <c r="APF21" s="700">
        <f>APE21/APC21</f>
        <v>0</v>
      </c>
      <c r="APG21" s="593">
        <f>'Proy 2022 vs 2019 sem'!GW20*APJ$4</f>
        <v>10515.96</v>
      </c>
      <c r="APH21" s="593">
        <f>'Proy 2022 vs 2019 sem'!GX20*APJ$4</f>
        <v>10305.640799999999</v>
      </c>
      <c r="API21" s="735"/>
      <c r="APJ21" s="700">
        <f>API21/APG21</f>
        <v>0</v>
      </c>
      <c r="APK21" s="593">
        <f>'Proy 2022 vs 2019 sem'!GW20*APN$4</f>
        <v>10515.96</v>
      </c>
      <c r="APL21" s="593">
        <f>'Proy 2022 vs 2019 sem'!GX20*APN$4</f>
        <v>10305.640799999999</v>
      </c>
      <c r="APM21" s="735"/>
      <c r="APN21" s="700">
        <f>APM21/APK21</f>
        <v>0</v>
      </c>
      <c r="APO21" s="593">
        <f>'Proy 2022 vs 2019 sem'!GW20*APR$4</f>
        <v>12268.62</v>
      </c>
      <c r="APP21" s="593">
        <f>'Proy 2022 vs 2019 sem'!GX20*APR$4</f>
        <v>12023.247600000001</v>
      </c>
      <c r="APQ21" s="735"/>
      <c r="APR21" s="700">
        <f>APQ21/APO21</f>
        <v>0</v>
      </c>
      <c r="APS21" s="593">
        <f>'Proy 2022 vs 2019 sem'!GW20*APV$4</f>
        <v>14021.28</v>
      </c>
      <c r="APT21" s="593">
        <f>'Proy 2022 vs 2019 sem'!GX20*APV$4</f>
        <v>13740.8544</v>
      </c>
      <c r="APU21" s="735"/>
      <c r="APV21" s="700">
        <f>APU21/APS21</f>
        <v>0</v>
      </c>
      <c r="APW21" s="593">
        <f>'Proy 2022 vs 2019 sem'!GW20*APZ$4</f>
        <v>19279.259999999998</v>
      </c>
      <c r="APX21" s="593">
        <f>'Proy 2022 vs 2019 sem'!GX20*APZ$4</f>
        <v>18893.674800000001</v>
      </c>
      <c r="APY21" s="735"/>
      <c r="APZ21" s="700">
        <f>APY21/APW21</f>
        <v>0</v>
      </c>
      <c r="AQA21" s="579">
        <f>AOY21+APC21+APG21+APK21+APO21+APS21+APW21</f>
        <v>87633</v>
      </c>
      <c r="AQB21" s="574">
        <f>AOZ21+APD21+APH21+APL21+APP21+APT21+APX21</f>
        <v>85880.34</v>
      </c>
      <c r="AQC21" s="729">
        <f>APA21+APE21+API21+APM21+APQ21+APU21+APY21</f>
        <v>0</v>
      </c>
      <c r="AQD21" s="711">
        <f>AQC21/AQA21</f>
        <v>0</v>
      </c>
      <c r="AQE21" s="593">
        <f>'Proy 2022 vs 2019 sem'!HB20*AQH$4</f>
        <v>11672.8824</v>
      </c>
      <c r="AQF21" s="593">
        <f>'Proy 2022 vs 2019 sem'!HC20*AQH$4</f>
        <v>11672.8824</v>
      </c>
      <c r="AQG21" s="699"/>
      <c r="AQH21" s="700">
        <f>AQG21/AQE21</f>
        <v>0</v>
      </c>
      <c r="AQI21" s="593">
        <f>'Proy 2022 vs 2019 sem'!HB20*AQL$4</f>
        <v>11672.8824</v>
      </c>
      <c r="AQJ21" s="593">
        <f>'Proy 2022 vs 2019 sem'!HC20*AQL$4</f>
        <v>11672.8824</v>
      </c>
      <c r="AQK21" s="699"/>
      <c r="AQL21" s="700">
        <f>AQK21/AQI21</f>
        <v>0</v>
      </c>
      <c r="AQM21" s="593">
        <f>'Proy 2022 vs 2019 sem'!HB20*AQP$4</f>
        <v>11672.8824</v>
      </c>
      <c r="AQN21" s="593">
        <f>'Proy 2022 vs 2019 sem'!HC20*AQP$4</f>
        <v>11672.8824</v>
      </c>
      <c r="AQO21" s="699"/>
      <c r="AQP21" s="700">
        <f>AQO21/AQM21</f>
        <v>0</v>
      </c>
      <c r="AQQ21" s="593">
        <f>'Proy 2022 vs 2019 sem'!HB20*AQT$4</f>
        <v>11672.8824</v>
      </c>
      <c r="AQR21" s="593">
        <f>'Proy 2022 vs 2019 sem'!HC20*AQT$4</f>
        <v>11672.8824</v>
      </c>
      <c r="AQS21" s="699"/>
      <c r="AQT21" s="700">
        <f>AQS21/AQQ21</f>
        <v>0</v>
      </c>
      <c r="AQU21" s="593">
        <f>'Proy 2022 vs 2019 sem'!HB20*AQX$4</f>
        <v>13618.362800000003</v>
      </c>
      <c r="AQV21" s="593">
        <f>'Proy 2022 vs 2019 sem'!HC20*AQX$4</f>
        <v>13618.362800000003</v>
      </c>
      <c r="AQW21" s="699"/>
      <c r="AQX21" s="700">
        <f>AQW21/AQU21</f>
        <v>0</v>
      </c>
      <c r="AQY21" s="593">
        <f>'Proy 2022 vs 2019 sem'!HB20*ARB$4</f>
        <v>15563.843200000001</v>
      </c>
      <c r="AQZ21" s="593">
        <f>'Proy 2022 vs 2019 sem'!HC20*ARB$4</f>
        <v>15563.843200000001</v>
      </c>
      <c r="ARA21" s="699"/>
      <c r="ARB21" s="700">
        <f>ARA21/AQY21</f>
        <v>0</v>
      </c>
      <c r="ARC21" s="593">
        <f>'Proy 2022 vs 2019 sem'!HB20*ARF$4</f>
        <v>21400.2844</v>
      </c>
      <c r="ARD21" s="593">
        <f>'Proy 2022 vs 2019 sem'!HC20*ARF$4</f>
        <v>21400.2844</v>
      </c>
      <c r="ARE21" s="699"/>
      <c r="ARF21" s="700">
        <f>ARE21/ARC21</f>
        <v>0</v>
      </c>
      <c r="ARG21" s="579">
        <f>AQE21+AQI21+AQM21+AQQ21+AQU21+AQY21+ARC21</f>
        <v>97274.02</v>
      </c>
      <c r="ARH21" s="574">
        <f>AQF21+AQJ21+AQN21+AQR21+AQV21+AQZ21+ARD21</f>
        <v>97274.02</v>
      </c>
      <c r="ARI21" s="730">
        <f>AQG21+AQK21+AQO21+AQS21+AQW21+ARA21+ARE21</f>
        <v>0</v>
      </c>
      <c r="ARJ21" s="711">
        <f>ARI21/ARG21</f>
        <v>0</v>
      </c>
      <c r="ARK21" s="593">
        <f>'Proy 2022 vs 2019 sem'!HG20*ARN$4</f>
        <v>9451.3356000000003</v>
      </c>
      <c r="ARL21" s="593">
        <f>'Proy 2022 vs 2019 sem'!HH20*ARN$4</f>
        <v>8978.7688199999993</v>
      </c>
      <c r="ARM21" s="699"/>
      <c r="ARN21" s="700">
        <f>ARM21/ARK21</f>
        <v>0</v>
      </c>
      <c r="ARO21" s="593">
        <f>'Proy 2022 vs 2019 sem'!HG20*ARR$4</f>
        <v>9451.3356000000003</v>
      </c>
      <c r="ARP21" s="593">
        <f>'Proy 2022 vs 2019 sem'!HH20*ARR$4</f>
        <v>8978.7688199999993</v>
      </c>
      <c r="ARQ21" s="699"/>
      <c r="ARR21" s="700">
        <f>ARQ21/ARO21</f>
        <v>0</v>
      </c>
      <c r="ARS21" s="593">
        <f>'Proy 2022 vs 2019 sem'!HG20*ARV$4</f>
        <v>9451.3356000000003</v>
      </c>
      <c r="ART21" s="593">
        <f>'Proy 2022 vs 2019 sem'!HH20*ARV$4</f>
        <v>8978.7688199999993</v>
      </c>
      <c r="ARU21" s="699"/>
      <c r="ARV21" s="700">
        <f>ARU21/ARS21</f>
        <v>0</v>
      </c>
      <c r="ARW21" s="593">
        <f>'Proy 2022 vs 2019 sem'!HG20*ARZ$4</f>
        <v>9451.3356000000003</v>
      </c>
      <c r="ARX21" s="593">
        <f>'Proy 2022 vs 2019 sem'!HH20*ARZ$4</f>
        <v>8978.7688199999993</v>
      </c>
      <c r="ARY21" s="699"/>
      <c r="ARZ21" s="700">
        <f>ARY21/ARW21</f>
        <v>0</v>
      </c>
      <c r="ASA21" s="593">
        <f>'Proy 2022 vs 2019 sem'!HG20*ASD$4</f>
        <v>11026.558200000001</v>
      </c>
      <c r="ASB21" s="593">
        <f>'Proy 2022 vs 2019 sem'!HH20*ASD$4</f>
        <v>10475.230290000001</v>
      </c>
      <c r="ASC21" s="699"/>
      <c r="ASD21" s="700">
        <f>ASC21/ASA21</f>
        <v>0</v>
      </c>
      <c r="ASE21" s="593">
        <f>'Proy 2022 vs 2019 sem'!HG20*ASH$4</f>
        <v>12601.7808</v>
      </c>
      <c r="ASF21" s="593">
        <f>'Proy 2022 vs 2019 sem'!HH20*ASH$4</f>
        <v>11971.69176</v>
      </c>
      <c r="ASG21" s="699"/>
      <c r="ASH21" s="700">
        <f>ASG21/ASE21</f>
        <v>0</v>
      </c>
      <c r="ASI21" s="593">
        <f>'Proy 2022 vs 2019 sem'!HG20*ASL$4</f>
        <v>17327.4486</v>
      </c>
      <c r="ASJ21" s="593">
        <f>'Proy 2022 vs 2019 sem'!HH20*ASL$4</f>
        <v>16461.07617</v>
      </c>
      <c r="ASK21" s="699"/>
      <c r="ASL21" s="700">
        <f>ASK21/ASI21</f>
        <v>0</v>
      </c>
      <c r="ASM21" s="579">
        <f>ARK21+ARO21+ARS21+ARW21+ASA21+ASE21+ASI21</f>
        <v>78761.13</v>
      </c>
      <c r="ASN21" s="574">
        <f>ARL21+ARP21+ART21+ARX21+ASB21+ASF21+ASJ21</f>
        <v>74823.073499999999</v>
      </c>
      <c r="ASO21" s="730">
        <f>ARM21+ARQ21+ARU21+ARY21+ASC21+ASG21+ASK21</f>
        <v>0</v>
      </c>
      <c r="ASP21" s="711">
        <f>ASO21/ASM21</f>
        <v>0</v>
      </c>
      <c r="ASQ21" s="593">
        <f>'Proy 2022 vs 2019 sem'!HL20*AST$4</f>
        <v>9289.3320000000003</v>
      </c>
      <c r="ASR21" s="593">
        <f>'Proy 2022 vs 2019 sem'!HM20*AST$4</f>
        <v>9010.6520400000009</v>
      </c>
      <c r="ASS21" s="699"/>
      <c r="AST21" s="700">
        <f>ASS21/ASQ21</f>
        <v>0</v>
      </c>
      <c r="ASU21" s="593">
        <f>'Proy 2022 vs 2019 sem'!HL20*ASX$4</f>
        <v>9289.3320000000003</v>
      </c>
      <c r="ASV21" s="593">
        <f>'Proy 2022 vs 2019 sem'!HM20*ASX$4</f>
        <v>9010.6520400000009</v>
      </c>
      <c r="ASW21" s="699"/>
      <c r="ASX21" s="700">
        <f>ASW21/ASU21</f>
        <v>0</v>
      </c>
      <c r="ASY21" s="593">
        <f>'Proy 2022 vs 2019 sem'!HL20*ATB$4</f>
        <v>9289.3320000000003</v>
      </c>
      <c r="ASZ21" s="593">
        <f>'Proy 2022 vs 2019 sem'!HM20*ATB$4</f>
        <v>9010.6520400000009</v>
      </c>
      <c r="ATA21" s="699"/>
      <c r="ATB21" s="700">
        <f>ATA21/ASY21</f>
        <v>0</v>
      </c>
      <c r="ATC21" s="593">
        <f>'Proy 2022 vs 2019 sem'!HL20*ATF$4</f>
        <v>9289.3320000000003</v>
      </c>
      <c r="ATD21" s="593">
        <f>'Proy 2022 vs 2019 sem'!HM20*ATF$4</f>
        <v>9010.6520400000009</v>
      </c>
      <c r="ATE21" s="699"/>
      <c r="ATF21" s="700">
        <f>ATE21/ATC21</f>
        <v>0</v>
      </c>
      <c r="ATG21" s="593">
        <f>'Proy 2022 vs 2019 sem'!HL20*ATJ$4</f>
        <v>10837.554000000002</v>
      </c>
      <c r="ATH21" s="593">
        <f>'Proy 2022 vs 2019 sem'!HM20*ATJ$4</f>
        <v>10512.427380000003</v>
      </c>
      <c r="ATI21" s="699"/>
      <c r="ATJ21" s="700">
        <f>ATI21/ATG21</f>
        <v>0</v>
      </c>
      <c r="ATK21" s="593">
        <f>'Proy 2022 vs 2019 sem'!HL20*ATN$4</f>
        <v>12385.776000000002</v>
      </c>
      <c r="ATL21" s="593">
        <f>'Proy 2022 vs 2019 sem'!HM20*ATN$4</f>
        <v>12014.202720000001</v>
      </c>
      <c r="ATM21" s="699"/>
      <c r="ATN21" s="700">
        <f>ATM21/ATK21</f>
        <v>0</v>
      </c>
      <c r="ATO21" s="593">
        <f>'Proy 2022 vs 2019 sem'!HL20*ATR$4</f>
        <v>17030.442000000003</v>
      </c>
      <c r="ATP21" s="593">
        <f>'Proy 2022 vs 2019 sem'!HM20*ATR$4</f>
        <v>16519.528740000002</v>
      </c>
      <c r="ATQ21" s="699"/>
      <c r="ATR21" s="700">
        <f>ATQ21/ATO21</f>
        <v>0</v>
      </c>
      <c r="ATS21" s="579">
        <f>ASQ21+ASU21+ASY21+ATC21+ATG21+ATK21+ATO21</f>
        <v>77411.100000000006</v>
      </c>
      <c r="ATT21" s="574">
        <f>ASR21+ASV21+ASZ21+ATD21+ATH21+ATL21+ATP21</f>
        <v>75088.767000000007</v>
      </c>
      <c r="ATU21" s="710">
        <f>ASS21+ASW21+ATA21+ATE21+ATI21+ATM21+ATQ21</f>
        <v>0</v>
      </c>
      <c r="ATV21" s="711">
        <f>ATU21/ATS21</f>
        <v>0</v>
      </c>
      <c r="ATW21" s="593">
        <f>'Proy 2022 vs 2019 sem'!HQ20*ATZ$4</f>
        <v>10380.633599999999</v>
      </c>
      <c r="ATX21" s="593">
        <f>'Proy 2022 vs 2019 sem'!HR20*ATZ$4</f>
        <v>10173.020928</v>
      </c>
      <c r="ATY21" s="699"/>
      <c r="ATZ21" s="700">
        <f>ATY21/ATW21</f>
        <v>0</v>
      </c>
      <c r="AUA21" s="593">
        <f>'Proy 2022 vs 2019 sem'!HQ20*AUD$4</f>
        <v>10380.633599999999</v>
      </c>
      <c r="AUB21" s="593">
        <f>'Proy 2022 vs 2019 sem'!HR20*AUD$4</f>
        <v>10173.020928</v>
      </c>
      <c r="AUC21" s="699"/>
      <c r="AUD21" s="700">
        <f>AUC21/AUA21</f>
        <v>0</v>
      </c>
      <c r="AUE21" s="593">
        <f>'Proy 2022 vs 2019 sem'!HQ20*AUH$4</f>
        <v>10380.633599999999</v>
      </c>
      <c r="AUF21" s="593">
        <f>'Proy 2022 vs 2019 sem'!HR20*AUH$4</f>
        <v>10173.020928</v>
      </c>
      <c r="AUG21" s="699"/>
      <c r="AUH21" s="700">
        <f>AUG21/AUE21</f>
        <v>0</v>
      </c>
      <c r="AUI21" s="593">
        <f>'Proy 2022 vs 2019 sem'!HQ20*AUL$4</f>
        <v>10380.633599999999</v>
      </c>
      <c r="AUJ21" s="593">
        <f>'Proy 2022 vs 2019 sem'!HR20*AUL$4</f>
        <v>10173.020928</v>
      </c>
      <c r="AUK21" s="699"/>
      <c r="AUL21" s="700">
        <f>AUK21/AUI21</f>
        <v>0</v>
      </c>
      <c r="AUM21" s="593">
        <f>'Proy 2022 vs 2019 sem'!HQ20*AUP$4</f>
        <v>12110.739200000002</v>
      </c>
      <c r="AUN21" s="593">
        <f>'Proy 2022 vs 2019 sem'!HR20*AUP$4</f>
        <v>11868.524416000002</v>
      </c>
      <c r="AUO21" s="699"/>
      <c r="AUP21" s="700">
        <f>AUO21/AUM21</f>
        <v>0</v>
      </c>
      <c r="AUQ21" s="593">
        <f>'Proy 2022 vs 2019 sem'!HQ20*AUT$4</f>
        <v>13840.844800000001</v>
      </c>
      <c r="AUR21" s="593">
        <f>'Proy 2022 vs 2019 sem'!HR20*AUT$4</f>
        <v>13564.027904</v>
      </c>
      <c r="AUS21" s="699"/>
      <c r="AUT21" s="700">
        <f>AUS21/AUQ21</f>
        <v>0</v>
      </c>
      <c r="AUU21" s="593">
        <f>'Proy 2022 vs 2019 sem'!HQ20*AUX$4</f>
        <v>19031.161599999999</v>
      </c>
      <c r="AUV21" s="593">
        <f>'Proy 2022 vs 2019 sem'!HR20*AUX$4</f>
        <v>18650.538368000001</v>
      </c>
      <c r="AUW21" s="699"/>
      <c r="AUX21" s="700">
        <f>AUW21/AUU21</f>
        <v>0</v>
      </c>
      <c r="AUY21" s="579">
        <f>ATW21+AUA21+AUE21+AUI21+AUM21+AUQ21+AUU21</f>
        <v>86505.279999999999</v>
      </c>
      <c r="AUZ21" s="574">
        <f>ATX21+AUB21+AUF21+AUJ21+AUN21+AUR21+AUV21</f>
        <v>84775.174399999989</v>
      </c>
      <c r="AVA21" s="710">
        <f>ATY21+AUC21+AUG21+AUK21+AUO21+AUS21+AUW21</f>
        <v>0</v>
      </c>
      <c r="AVB21" s="711">
        <f>AVA21/AUY21</f>
        <v>0</v>
      </c>
      <c r="AVC21" s="593">
        <f>'Proy 2022 vs 2019 sem'!HZ20*AVF$4</f>
        <v>9541.6584000000003</v>
      </c>
      <c r="AVD21" s="593">
        <f>'Proy 2022 vs 2019 sem'!IA20*AVF$4</f>
        <v>9255.4086480000005</v>
      </c>
      <c r="AVE21" s="735"/>
      <c r="AVF21" s="700">
        <f>AVE21/AVC21</f>
        <v>0</v>
      </c>
      <c r="AVG21" s="593">
        <f>'Proy 2022 vs 2019 sem'!HZ20*AVJ$4</f>
        <v>9541.6584000000003</v>
      </c>
      <c r="AVH21" s="593">
        <f>'Proy 2022 vs 2019 sem'!IA20*AVJ$4</f>
        <v>9255.4086480000005</v>
      </c>
      <c r="AVI21" s="699"/>
      <c r="AVJ21" s="700">
        <f>AVI21/AVG21</f>
        <v>0</v>
      </c>
      <c r="AVK21" s="593">
        <f>'Proy 2022 vs 2019 sem'!HZ20*AVN$4</f>
        <v>9541.6584000000003</v>
      </c>
      <c r="AVL21" s="593">
        <f>'Proy 2022 vs 2019 sem'!IA20*AVN$4</f>
        <v>9255.4086480000005</v>
      </c>
      <c r="AVM21" s="699"/>
      <c r="AVN21" s="700">
        <f>AVM21/AVK21</f>
        <v>0</v>
      </c>
      <c r="AVO21" s="593">
        <f>'Proy 2022 vs 2019 sem'!HZ20*AVR$4</f>
        <v>9541.6584000000003</v>
      </c>
      <c r="AVP21" s="593">
        <f>'Proy 2022 vs 2019 sem'!IA20*AVR$4</f>
        <v>9255.4086480000005</v>
      </c>
      <c r="AVQ21" s="699"/>
      <c r="AVR21" s="700">
        <f>AVQ21/AVO21</f>
        <v>0</v>
      </c>
      <c r="AVS21" s="593">
        <f>'Proy 2022 vs 2019 sem'!HZ20*AVV$4</f>
        <v>11131.934800000003</v>
      </c>
      <c r="AVT21" s="593">
        <f>'Proy 2022 vs 2019 sem'!IA20*AVV$4</f>
        <v>10797.976756000002</v>
      </c>
      <c r="AVU21" s="699"/>
      <c r="AVV21" s="700">
        <f>AVU21/AVS21</f>
        <v>0</v>
      </c>
      <c r="AVW21" s="593">
        <f>'Proy 2022 vs 2019 sem'!HZ20*AVZ$4</f>
        <v>12722.211200000002</v>
      </c>
      <c r="AVX21" s="593">
        <f>'Proy 2022 vs 2019 sem'!IA20*AVZ$4</f>
        <v>12340.544864000001</v>
      </c>
      <c r="AVY21" s="699"/>
      <c r="AVZ21" s="700">
        <f>AVY21/AVW21</f>
        <v>0</v>
      </c>
      <c r="AWA21" s="593">
        <f>'Proy 2022 vs 2019 sem'!HZ20*AWD$4</f>
        <v>17493.040400000002</v>
      </c>
      <c r="AWB21" s="593">
        <f>'Proy 2022 vs 2019 sem'!IA20*AWD$4</f>
        <v>16968.249188000002</v>
      </c>
      <c r="AWC21" s="699"/>
      <c r="AWD21" s="700">
        <f>AWC21/AWA21</f>
        <v>0</v>
      </c>
      <c r="AWE21" s="579">
        <f>AVC21+AVG21+AVK21+AVO21+AVS21+AVW21+AWA21</f>
        <v>79513.820000000007</v>
      </c>
      <c r="AWF21" s="574">
        <f>AVD21+AVH21+AVL21+AVP21+AVT21+AVX21+AWB21</f>
        <v>77128.405400000018</v>
      </c>
      <c r="AWG21" s="793">
        <f>AVE21+AVI21+AVM21+AVQ21+AVU21+AVY21+AWC21</f>
        <v>0</v>
      </c>
      <c r="AWH21" s="786">
        <f>AWG21/AWE21</f>
        <v>0</v>
      </c>
      <c r="AWI21" s="593">
        <f>'Proy 2022 vs 2019 sem'!IE20*AWL$4</f>
        <v>10589.8284</v>
      </c>
      <c r="AWJ21" s="593">
        <f>'Proy 2022 vs 2019 sem'!IF20*AWL$4</f>
        <v>10166.235264000001</v>
      </c>
      <c r="AWK21" s="699"/>
      <c r="AWL21" s="700">
        <f>AWK21/AWI21</f>
        <v>0</v>
      </c>
      <c r="AWM21" s="593">
        <f>'Proy 2022 vs 2019 sem'!IE20*AWP$4</f>
        <v>10589.8284</v>
      </c>
      <c r="AWN21" s="593">
        <f>'Proy 2022 vs 2019 sem'!IF20*AWP$4</f>
        <v>10166.235264000001</v>
      </c>
      <c r="AWO21" s="699"/>
      <c r="AWP21" s="700">
        <f>AWO21/AWM21</f>
        <v>0</v>
      </c>
      <c r="AWQ21" s="593">
        <f>'Proy 2022 vs 2019 sem'!IE20*AWT$4</f>
        <v>10589.8284</v>
      </c>
      <c r="AWR21" s="593">
        <f>'Proy 2022 vs 2019 sem'!IF20*AWT$4</f>
        <v>10166.235264000001</v>
      </c>
      <c r="AWS21" s="699"/>
      <c r="AWT21" s="700">
        <f>AWS21/AWQ21</f>
        <v>0</v>
      </c>
      <c r="AWU21" s="593">
        <f>'Proy 2022 vs 2019 sem'!IE20*AWX$4</f>
        <v>10589.8284</v>
      </c>
      <c r="AWV21" s="593">
        <f>'Proy 2022 vs 2019 sem'!IF20*AWX$4</f>
        <v>10166.235264000001</v>
      </c>
      <c r="AWW21" s="699"/>
      <c r="AWX21" s="700">
        <f>AWW21/AWU21</f>
        <v>0</v>
      </c>
      <c r="AWY21" s="593">
        <f>'Proy 2022 vs 2019 sem'!IE20*AXB$4</f>
        <v>12354.799800000003</v>
      </c>
      <c r="AWZ21" s="593">
        <f>'Proy 2022 vs 2019 sem'!IF20*AXB$4</f>
        <v>11860.607808000001</v>
      </c>
      <c r="AXA21" s="699"/>
      <c r="AXB21" s="700">
        <f>AXA21/AWY21</f>
        <v>0</v>
      </c>
      <c r="AXC21" s="593">
        <f>'Proy 2022 vs 2019 sem'!IE20*AXF$4</f>
        <v>14119.771200000001</v>
      </c>
      <c r="AXD21" s="593">
        <f>'Proy 2022 vs 2019 sem'!IF20*AXF$4</f>
        <v>13554.980352</v>
      </c>
      <c r="AXE21" s="699"/>
      <c r="AXF21" s="700">
        <f>AXE21/AXC21</f>
        <v>0</v>
      </c>
      <c r="AXG21" s="593">
        <f>'Proy 2022 vs 2019 sem'!IE20*AXJ$4</f>
        <v>19414.685400000002</v>
      </c>
      <c r="AXH21" s="593">
        <f>'Proy 2022 vs 2019 sem'!IF20*AXJ$4</f>
        <v>18638.097984</v>
      </c>
      <c r="AXI21" s="699"/>
      <c r="AXJ21" s="700">
        <f>AXI21/AXG21</f>
        <v>0</v>
      </c>
      <c r="AXK21" s="579">
        <f>AWI21+AWM21+AWQ21+AWU21+AWY21+AXC21+AXG21</f>
        <v>88248.57</v>
      </c>
      <c r="AXL21" s="574">
        <f>AWJ21+AWN21+AWR21+AWV21+AWZ21+AXD21+AXH21</f>
        <v>84718.627200000017</v>
      </c>
      <c r="AXM21" s="794">
        <f>AWK21+AWO21+AWS21+AWW21+AXA21+AXE21+AXI21</f>
        <v>0</v>
      </c>
      <c r="AXN21" s="786">
        <f>AXM21/AXK21</f>
        <v>0</v>
      </c>
      <c r="AXO21" s="593">
        <f>'Proy 2022 vs 2019 sem'!IJ20*AXR$4</f>
        <v>11063.980799999999</v>
      </c>
      <c r="AXP21" s="593">
        <f>'Proy 2022 vs 2019 sem'!IK20*AXR$4</f>
        <v>10953.340991999999</v>
      </c>
      <c r="AXQ21" s="699"/>
      <c r="AXR21" s="700">
        <f>AXQ21/AXO21</f>
        <v>0</v>
      </c>
      <c r="AXS21" s="593">
        <f>'Proy 2022 vs 2019 sem'!IJ20*AXV$4</f>
        <v>11063.980799999999</v>
      </c>
      <c r="AXT21" s="593">
        <f>'Proy 2022 vs 2019 sem'!IK20*AXV$4</f>
        <v>10953.340991999999</v>
      </c>
      <c r="AXU21" s="699"/>
      <c r="AXV21" s="700">
        <f>AXU21/AXS21</f>
        <v>0</v>
      </c>
      <c r="AXW21" s="593">
        <f>'Proy 2022 vs 2019 sem'!IJ20*AXZ$4</f>
        <v>11063.980799999999</v>
      </c>
      <c r="AXX21" s="593">
        <f>'Proy 2022 vs 2019 sem'!IK20*AXZ$4</f>
        <v>10953.340991999999</v>
      </c>
      <c r="AXY21" s="699"/>
      <c r="AXZ21" s="700">
        <f>AXY21/AXW21</f>
        <v>0</v>
      </c>
      <c r="AYA21" s="593">
        <f>'Proy 2022 vs 2019 sem'!IJ20*AYD$4</f>
        <v>11063.980799999999</v>
      </c>
      <c r="AYB21" s="593">
        <f>'Proy 2022 vs 2019 sem'!IK20*AYD$4</f>
        <v>10953.340991999999</v>
      </c>
      <c r="AYC21" s="699"/>
      <c r="AYD21" s="700">
        <f>AYC21/AYA21</f>
        <v>0</v>
      </c>
      <c r="AYE21" s="593">
        <f>'Proy 2022 vs 2019 sem'!IJ20*AYH$4</f>
        <v>12907.9776</v>
      </c>
      <c r="AYF21" s="593">
        <f>'Proy 2022 vs 2019 sem'!IK20*AYH$4</f>
        <v>12778.897824000001</v>
      </c>
      <c r="AYG21" s="699"/>
      <c r="AYH21" s="700">
        <f>AYG21/AYE21</f>
        <v>0</v>
      </c>
      <c r="AYI21" s="593">
        <f>'Proy 2022 vs 2019 sem'!IJ20*AYL$4</f>
        <v>14751.974399999999</v>
      </c>
      <c r="AYJ21" s="593">
        <f>'Proy 2022 vs 2019 sem'!IK20*AYL$4</f>
        <v>14604.454656</v>
      </c>
      <c r="AYK21" s="699"/>
      <c r="AYL21" s="700">
        <f>AYK21/AYI21</f>
        <v>0</v>
      </c>
      <c r="AYM21" s="593">
        <f>'Proy 2022 vs 2019 sem'!IJ20*AYP$4</f>
        <v>20283.964799999998</v>
      </c>
      <c r="AYN21" s="593">
        <f>'Proy 2022 vs 2019 sem'!IK20*AYP$4</f>
        <v>20081.125152000001</v>
      </c>
      <c r="AYO21" s="699"/>
      <c r="AYP21" s="700">
        <f>AYO21/AYM21</f>
        <v>0</v>
      </c>
      <c r="AYQ21" s="579">
        <f>AXO21+AXS21+AXW21+AYA21+AYE21+AYI21+AYM21</f>
        <v>92199.84</v>
      </c>
      <c r="AYR21" s="574">
        <f>AXP21+AXT21+AXX21+AYB21+AYF21+AYJ21+AYN21</f>
        <v>91277.841599999985</v>
      </c>
      <c r="AYS21" s="794">
        <f>AXQ21+AXU21+AXY21+AYC21+AYG21+AYK21+AYO21</f>
        <v>0</v>
      </c>
      <c r="AYT21" s="786">
        <f>AYS21/AYQ21</f>
        <v>0</v>
      </c>
      <c r="AYU21" s="593">
        <f>'Proy 2022 vs 2019 sem'!IO20*AYX$4</f>
        <v>15583.221599999999</v>
      </c>
      <c r="AYV21" s="593">
        <f>'Proy 2022 vs 2019 sem'!IP20*AYX$4</f>
        <v>15115.724951999999</v>
      </c>
      <c r="AYW21" s="699"/>
      <c r="AYX21" s="700">
        <f>AYW21/AYU21</f>
        <v>0</v>
      </c>
      <c r="AYY21" s="593">
        <f>'Proy 2022 vs 2019 sem'!IO20*AZB$4</f>
        <v>15583.221599999999</v>
      </c>
      <c r="AYZ21" s="593">
        <f>'Proy 2022 vs 2019 sem'!IP20*AZB$4</f>
        <v>15115.724951999999</v>
      </c>
      <c r="AZA21" s="699"/>
      <c r="AZB21" s="700">
        <f>AZA21/AYY21</f>
        <v>0</v>
      </c>
      <c r="AZC21" s="593">
        <f>'Proy 2022 vs 2019 sem'!IO20*AZF$4</f>
        <v>15583.221599999999</v>
      </c>
      <c r="AZD21" s="593">
        <f>'Proy 2022 vs 2019 sem'!IP20*AZF$4</f>
        <v>15115.724951999999</v>
      </c>
      <c r="AZE21" s="699"/>
      <c r="AZF21" s="700">
        <f>AZE21/AZC21</f>
        <v>0</v>
      </c>
      <c r="AZG21" s="593">
        <f>'Proy 2022 vs 2019 sem'!IO20*AZJ$4</f>
        <v>15583.221599999999</v>
      </c>
      <c r="AZH21" s="593">
        <f>'Proy 2022 vs 2019 sem'!IP20*AZJ$4</f>
        <v>15115.724951999999</v>
      </c>
      <c r="AZI21" s="699"/>
      <c r="AZJ21" s="700">
        <f>AZI21/AZG21</f>
        <v>0</v>
      </c>
      <c r="AZK21" s="593">
        <f>'Proy 2022 vs 2019 sem'!IO20*AZN$4</f>
        <v>18180.425200000001</v>
      </c>
      <c r="AZL21" s="593">
        <f>'Proy 2022 vs 2019 sem'!IP20*AZN$4</f>
        <v>17635.012444</v>
      </c>
      <c r="AZM21" s="699"/>
      <c r="AZN21" s="700">
        <f>AZM21/AZK21</f>
        <v>0</v>
      </c>
      <c r="AZO21" s="593">
        <f>'Proy 2022 vs 2019 sem'!IO20*AZR$4</f>
        <v>20777.628799999999</v>
      </c>
      <c r="AZP21" s="593">
        <f>'Proy 2022 vs 2019 sem'!IP20*AZR$4</f>
        <v>20154.299935999999</v>
      </c>
      <c r="AZQ21" s="699"/>
      <c r="AZR21" s="700">
        <f>AZQ21/AZO21</f>
        <v>0</v>
      </c>
      <c r="AZS21" s="593">
        <f>'Proy 2022 vs 2019 sem'!IO20*AZV$4</f>
        <v>28569.239599999997</v>
      </c>
      <c r="AZT21" s="593">
        <f>'Proy 2022 vs 2019 sem'!IP20*AZV$4</f>
        <v>27712.162411999998</v>
      </c>
      <c r="AZU21" s="699"/>
      <c r="AZV21" s="700">
        <f>AZU21/AZS21</f>
        <v>0</v>
      </c>
      <c r="AZW21" s="579">
        <f>AYU21+AYY21+AZC21+AZG21+AZK21+AZO21+AZS21</f>
        <v>129860.18</v>
      </c>
      <c r="AZX21" s="574">
        <f>AYV21+AYZ21+AZD21+AZH21+AZL21+AZP21+AZT21</f>
        <v>125964.37459999998</v>
      </c>
      <c r="AZY21" s="785">
        <f>AYW21+AZA21+AZE21+AZI21+AZM21+AZQ21+AZU21</f>
        <v>0</v>
      </c>
      <c r="AZZ21" s="786">
        <f>AZY21/AZW21</f>
        <v>0</v>
      </c>
      <c r="BAA21" s="593">
        <f>'Proy 2022 vs 2019 sem'!IX20*BAD$4</f>
        <v>8983.4123999999993</v>
      </c>
      <c r="BAB21" s="593">
        <f>'Proy 2022 vs 2019 sem'!IY20*BAD$4</f>
        <v>8713.9100279999984</v>
      </c>
      <c r="BAC21" s="735"/>
      <c r="BAD21" s="700">
        <f>BAC21/BAA21</f>
        <v>0</v>
      </c>
      <c r="BAE21" s="593">
        <f>'Proy 2022 vs 2019 sem'!IX20*BAH$4</f>
        <v>8983.4123999999993</v>
      </c>
      <c r="BAF21" s="593">
        <f>'Proy 2022 vs 2019 sem'!IY20*BAH$4</f>
        <v>8713.9100279999984</v>
      </c>
      <c r="BAG21" s="699"/>
      <c r="BAH21" s="700">
        <f>BAG21/BAE21</f>
        <v>0</v>
      </c>
      <c r="BAI21" s="593">
        <f>'Proy 2022 vs 2019 sem'!IX20*BAL$4</f>
        <v>8983.4123999999993</v>
      </c>
      <c r="BAJ21" s="593">
        <f>'Proy 2022 vs 2019 sem'!IY20*BAL$4</f>
        <v>8713.9100279999984</v>
      </c>
      <c r="BAK21" s="699"/>
      <c r="BAL21" s="700">
        <f>BAK21/BAI21</f>
        <v>0</v>
      </c>
      <c r="BAM21" s="593">
        <f>'Proy 2022 vs 2019 sem'!IX20*BAP$4</f>
        <v>8983.4123999999993</v>
      </c>
      <c r="BAN21" s="593">
        <f>'Proy 2022 vs 2019 sem'!IY20*BAP$4</f>
        <v>8713.9100279999984</v>
      </c>
      <c r="BAO21" s="699"/>
      <c r="BAP21" s="700">
        <f>BAO21/BAM21</f>
        <v>0</v>
      </c>
      <c r="BAQ21" s="593">
        <f>'Proy 2022 vs 2019 sem'!IX20*BAT$4</f>
        <v>10480.647800000002</v>
      </c>
      <c r="BAR21" s="593">
        <f>'Proy 2022 vs 2019 sem'!IY20*BAT$4</f>
        <v>10166.228366000001</v>
      </c>
      <c r="BAS21" s="699"/>
      <c r="BAT21" s="700">
        <f>BAS21/BAQ21</f>
        <v>0</v>
      </c>
      <c r="BAU21" s="593">
        <f>'Proy 2022 vs 2019 sem'!IX20*BAX$4</f>
        <v>11977.8832</v>
      </c>
      <c r="BAV21" s="593">
        <f>'Proy 2022 vs 2019 sem'!IY20*BAX$4</f>
        <v>11618.546704</v>
      </c>
      <c r="BAW21" s="699"/>
      <c r="BAX21" s="700">
        <f>BAW21/BAU21</f>
        <v>0</v>
      </c>
      <c r="BAY21" s="593">
        <f>'Proy 2022 vs 2019 sem'!IX20*BBB$4</f>
        <v>16469.589400000001</v>
      </c>
      <c r="BAZ21" s="593">
        <f>'Proy 2022 vs 2019 sem'!IY20*BBB$4</f>
        <v>15975.501718</v>
      </c>
      <c r="BBA21" s="699"/>
      <c r="BBB21" s="700">
        <f>BBA21/BAY21</f>
        <v>0</v>
      </c>
      <c r="BBC21" s="579">
        <f>BAA21+BAE21+BAI21+BAM21+BAQ21+BAU21+BAY21</f>
        <v>74861.76999999999</v>
      </c>
      <c r="BBD21" s="574">
        <f>BAB21+BAF21+BAJ21+BAN21+BAR21+BAV21+BAZ21</f>
        <v>72615.916899999997</v>
      </c>
      <c r="BBE21" s="759">
        <f>BAC21+BAG21+BAK21+BAO21+BAS21+BAW21+BBA21</f>
        <v>0</v>
      </c>
      <c r="BBF21" s="761">
        <f>BBE21/BBC21</f>
        <v>0</v>
      </c>
      <c r="BBG21" s="593">
        <f>'Proy 2022 vs 2019 sem'!JC20*BBJ$4</f>
        <v>14159.0952</v>
      </c>
      <c r="BBH21" s="593">
        <f>'Proy 2022 vs 2019 sem'!JD20*BBJ$4</f>
        <v>13309.549487999999</v>
      </c>
      <c r="BBI21" s="699"/>
      <c r="BBJ21" s="700">
        <f>BBI21/BBG21</f>
        <v>0</v>
      </c>
      <c r="BBK21" s="593">
        <f>'Proy 2022 vs 2019 sem'!JC20*BBN$4</f>
        <v>14159.0952</v>
      </c>
      <c r="BBL21" s="593">
        <f>'Proy 2022 vs 2019 sem'!JD20*BBN$4</f>
        <v>13309.549487999999</v>
      </c>
      <c r="BBM21" s="699"/>
      <c r="BBN21" s="700">
        <f>BBM21/BBK21</f>
        <v>0</v>
      </c>
      <c r="BBO21" s="593">
        <f>'Proy 2022 vs 2019 sem'!JC20*BBR$4</f>
        <v>14159.0952</v>
      </c>
      <c r="BBP21" s="593">
        <f>'Proy 2022 vs 2019 sem'!JD20*BBR$4</f>
        <v>13309.549487999999</v>
      </c>
      <c r="BBQ21" s="699"/>
      <c r="BBR21" s="700">
        <f>BBQ21/BBO21</f>
        <v>0</v>
      </c>
      <c r="BBS21" s="593">
        <f>'Proy 2022 vs 2019 sem'!JC20*BBV$4</f>
        <v>14159.0952</v>
      </c>
      <c r="BBT21" s="593">
        <f>'Proy 2022 vs 2019 sem'!JD20*BBV$4</f>
        <v>13309.549487999999</v>
      </c>
      <c r="BBU21" s="699"/>
      <c r="BBV21" s="700">
        <f>BBU21/BBS21</f>
        <v>0</v>
      </c>
      <c r="BBW21" s="593">
        <f>'Proy 2022 vs 2019 sem'!JC20*BBZ$4</f>
        <v>16518.944400000004</v>
      </c>
      <c r="BBX21" s="593">
        <f>'Proy 2022 vs 2019 sem'!JD20*BBZ$4</f>
        <v>15527.807736000002</v>
      </c>
      <c r="BBY21" s="699"/>
      <c r="BBZ21" s="700">
        <f>BBY21/BBW21</f>
        <v>0</v>
      </c>
      <c r="BCA21" s="593">
        <f>'Proy 2022 vs 2019 sem'!JC20*BCD$4</f>
        <v>18878.793600000001</v>
      </c>
      <c r="BCB21" s="593">
        <f>'Proy 2022 vs 2019 sem'!JD20*BCD$4</f>
        <v>17746.065984000001</v>
      </c>
      <c r="BCC21" s="699"/>
      <c r="BCD21" s="700">
        <f>BCC21/BCA21</f>
        <v>0</v>
      </c>
      <c r="BCE21" s="593">
        <f>'Proy 2022 vs 2019 sem'!JC20*BCH$4</f>
        <v>25958.341200000003</v>
      </c>
      <c r="BCF21" s="593">
        <f>'Proy 2022 vs 2019 sem'!JD20*BCH$4</f>
        <v>24400.840727999999</v>
      </c>
      <c r="BCG21" s="699"/>
      <c r="BCH21" s="700">
        <f>BCG21/BCE21</f>
        <v>0</v>
      </c>
      <c r="BCI21" s="579">
        <f>BBG21+BBK21+BBO21+BBS21+BBW21+BCA21+BCE21</f>
        <v>117992.46000000002</v>
      </c>
      <c r="BCJ21" s="574">
        <f>BBH21+BBL21+BBP21+BBT21+BBX21+BCB21+BCF21</f>
        <v>110912.9124</v>
      </c>
      <c r="BCK21" s="765">
        <f>BBI21+BBM21+BBQ21+BBU21+BBY21+BCC21+BCG21</f>
        <v>0</v>
      </c>
      <c r="BCL21" s="761">
        <f>BCK21/BCI21</f>
        <v>0</v>
      </c>
      <c r="BCM21" s="593">
        <f>'Proy 2022 vs 2019 sem'!JH20*BCP$4</f>
        <v>14668.41</v>
      </c>
      <c r="BCN21" s="593">
        <f>'Proy 2022 vs 2019 sem'!JI20*BCP$4</f>
        <v>14081.6736</v>
      </c>
      <c r="BCO21" s="699"/>
      <c r="BCP21" s="700">
        <f>BCO21/BCM21</f>
        <v>0</v>
      </c>
      <c r="BCQ21" s="593">
        <f>'Proy 2022 vs 2019 sem'!JH20*BCT$4</f>
        <v>14668.41</v>
      </c>
      <c r="BCR21" s="593">
        <f>'Proy 2022 vs 2019 sem'!JI20*BCT$4</f>
        <v>14081.6736</v>
      </c>
      <c r="BCS21" s="699"/>
      <c r="BCT21" s="700">
        <f>BCS21/BCQ21</f>
        <v>0</v>
      </c>
      <c r="BCU21" s="593">
        <f>'Proy 2022 vs 2019 sem'!JH20*BCX$4</f>
        <v>14668.41</v>
      </c>
      <c r="BCV21" s="593">
        <f>'Proy 2022 vs 2019 sem'!JI20*BCX$4</f>
        <v>14081.6736</v>
      </c>
      <c r="BCW21" s="699"/>
      <c r="BCX21" s="700">
        <f>BCW21/BCU21</f>
        <v>0</v>
      </c>
      <c r="BCY21" s="593">
        <f>'Proy 2022 vs 2019 sem'!JH20*BDB$4</f>
        <v>14668.41</v>
      </c>
      <c r="BCZ21" s="593">
        <f>'Proy 2022 vs 2019 sem'!JI20*BDB$4</f>
        <v>14081.6736</v>
      </c>
      <c r="BDA21" s="699"/>
      <c r="BDB21" s="700">
        <f>BDA21/BCY21</f>
        <v>0</v>
      </c>
      <c r="BDC21" s="593">
        <f>'Proy 2022 vs 2019 sem'!JH20*BDF$4</f>
        <v>17113.145</v>
      </c>
      <c r="BDD21" s="593">
        <f>'Proy 2022 vs 2019 sem'!JI20*BDF$4</f>
        <v>16428.619200000001</v>
      </c>
      <c r="BDE21" s="699"/>
      <c r="BDF21" s="700">
        <f>BDE21/BDC21</f>
        <v>0</v>
      </c>
      <c r="BDG21" s="593">
        <f>'Proy 2022 vs 2019 sem'!JH20*BDJ$4</f>
        <v>19557.88</v>
      </c>
      <c r="BDH21" s="593">
        <f>'Proy 2022 vs 2019 sem'!JI20*BDJ$4</f>
        <v>18775.5648</v>
      </c>
      <c r="BDI21" s="699"/>
      <c r="BDJ21" s="700">
        <f>BDI21/BDG21</f>
        <v>0</v>
      </c>
      <c r="BDK21" s="593">
        <f>'Proy 2022 vs 2019 sem'!JH20*BDN$4</f>
        <v>26892.084999999999</v>
      </c>
      <c r="BDL21" s="593">
        <f>'Proy 2022 vs 2019 sem'!JI20*BDN$4</f>
        <v>25816.401600000001</v>
      </c>
      <c r="BDM21" s="699"/>
      <c r="BDN21" s="700">
        <f>BDM21/BDK21</f>
        <v>0</v>
      </c>
      <c r="BDO21" s="579">
        <f>BCM21+BCQ21+BCU21+BCY21+BDC21+BDG21+BDK21</f>
        <v>122236.75</v>
      </c>
      <c r="BDP21" s="574">
        <f>BCN21+BCR21+BCV21+BCZ21+BDD21+BDH21+BDL21</f>
        <v>117347.27999999998</v>
      </c>
      <c r="BDQ21" s="765">
        <f>BCO21+BCS21+BCW21+BDA21+BDE21+BDI21+BDM21</f>
        <v>0</v>
      </c>
      <c r="BDR21" s="761">
        <f>BDQ21/BDO21</f>
        <v>0</v>
      </c>
      <c r="BDS21" s="593">
        <f>'Proy 2022 vs 2019 sem'!JM20*BDV$4</f>
        <v>19716.655199999997</v>
      </c>
      <c r="BDT21" s="593">
        <f>'Proy 2022 vs 2019 sem'!JN20*BDV$4</f>
        <v>18730.822439999996</v>
      </c>
      <c r="BDU21" s="699"/>
      <c r="BDV21" s="700">
        <f>BDU21/BDS21</f>
        <v>0</v>
      </c>
      <c r="BDW21" s="593">
        <f>'Proy 2022 vs 2019 sem'!JM20*BDZ$4</f>
        <v>19716.655199999997</v>
      </c>
      <c r="BDX21" s="593">
        <f>'Proy 2022 vs 2019 sem'!JN20*BDZ$4</f>
        <v>18730.822439999996</v>
      </c>
      <c r="BDY21" s="699"/>
      <c r="BDZ21" s="700">
        <f>BDY21/BDW21</f>
        <v>0</v>
      </c>
      <c r="BEA21" s="593">
        <f>'Proy 2022 vs 2019 sem'!JM20*BED$4</f>
        <v>19716.655199999997</v>
      </c>
      <c r="BEB21" s="593">
        <f>'Proy 2022 vs 2019 sem'!JN20*BED$4</f>
        <v>18730.822439999996</v>
      </c>
      <c r="BEC21" s="699"/>
      <c r="BED21" s="700">
        <f>BEC21/BEA21</f>
        <v>0</v>
      </c>
      <c r="BEE21" s="593">
        <v>14500.990400000001</v>
      </c>
      <c r="BEF21" s="593">
        <f>'Proy 2022 vs 2019 sem'!JN20*BEH$4</f>
        <v>18730.822439999996</v>
      </c>
      <c r="BEG21" s="699"/>
      <c r="BEH21" s="700">
        <f>BEG21/BEE21</f>
        <v>0</v>
      </c>
      <c r="BEI21" s="593">
        <f>'Proy 2022 vs 2019 sem'!JM20*BEL$4</f>
        <v>23002.7644</v>
      </c>
      <c r="BEJ21" s="593">
        <f>'Proy 2022 vs 2019 sem'!JN20*BEL$4</f>
        <v>21852.626179999999</v>
      </c>
      <c r="BEK21" s="699"/>
      <c r="BEL21" s="700">
        <f>BEK21/BEI21</f>
        <v>0</v>
      </c>
      <c r="BEM21" s="593">
        <f>'Proy 2022 vs 2019 sem'!JM20*BEP$4</f>
        <v>26288.873599999999</v>
      </c>
      <c r="BEN21" s="593">
        <f>'Proy 2022 vs 2019 sem'!JN20*BEP$4</f>
        <v>24974.429919999995</v>
      </c>
      <c r="BEO21" s="699"/>
      <c r="BEP21" s="700">
        <f>BEO21/BEM21</f>
        <v>0</v>
      </c>
      <c r="BEQ21" s="593">
        <f>'Proy 2022 vs 2019 sem'!JM20*BET$4</f>
        <v>36147.201199999996</v>
      </c>
      <c r="BER21" s="593">
        <f>'Proy 2022 vs 2019 sem'!JN20*BET$4</f>
        <v>34339.841139999997</v>
      </c>
      <c r="BES21" s="699"/>
      <c r="BET21" s="700">
        <f>BES21/BEQ21</f>
        <v>0</v>
      </c>
      <c r="BEU21" s="579">
        <f>BDS21+BDW21+BEA21+BEE21+BEI21+BEM21+BEQ21</f>
        <v>159089.79519999999</v>
      </c>
      <c r="BEV21" s="574">
        <f>BDT21+BDX21+BEB21+BEF21+BEJ21+BEN21+BER21</f>
        <v>156090.18699999998</v>
      </c>
      <c r="BEW21" s="770">
        <f>BDU21+BDY21+BEC21+BEG21+BEK21+BEO21+BES21</f>
        <v>0</v>
      </c>
      <c r="BEX21" s="761">
        <f>BEW21/BEU21</f>
        <v>0</v>
      </c>
      <c r="BEY21" s="593">
        <f>'Proy 2022 vs 2019 sem'!JV20*BFB$4</f>
        <v>20632.05</v>
      </c>
      <c r="BEZ21" s="593">
        <f>'Proy 2022 vs 2019 sem'!JW20*BFB$4</f>
        <v>19394.126999999997</v>
      </c>
      <c r="BFA21" s="735"/>
      <c r="BFB21" s="700">
        <f>BFA21/BEY21</f>
        <v>0</v>
      </c>
      <c r="BFC21" s="593">
        <f>'Proy 2022 vs 2019 sem'!JV20*BFF$4</f>
        <v>20632.05</v>
      </c>
      <c r="BFD21" s="593">
        <f>'Proy 2022 vs 2019 sem'!JW20*BFF$4</f>
        <v>19394.126999999997</v>
      </c>
      <c r="BFE21" s="735"/>
      <c r="BFF21" s="700">
        <f>BFE21/BFC21</f>
        <v>0</v>
      </c>
      <c r="BFG21" s="593">
        <f>'Proy 2022 vs 2019 sem'!JV20*BFJ$4</f>
        <v>20632.05</v>
      </c>
      <c r="BFH21" s="593">
        <f>'Proy 2022 vs 2019 sem'!JW20*BFJ$4</f>
        <v>19394.126999999997</v>
      </c>
      <c r="BFI21" s="735"/>
      <c r="BFJ21" s="700">
        <f>BFI21/BFG21</f>
        <v>0</v>
      </c>
      <c r="BFK21" s="593">
        <f>'Proy 2022 vs 2019 sem'!JV20*BFN$4</f>
        <v>20632.05</v>
      </c>
      <c r="BFL21" s="593">
        <f>'Proy 2022 vs 2019 sem'!JW20*BFN$4</f>
        <v>19394.126999999997</v>
      </c>
      <c r="BFM21" s="735"/>
      <c r="BFN21" s="700">
        <f>BFM21/BFK21</f>
        <v>0</v>
      </c>
      <c r="BFO21" s="593">
        <f>'Proy 2022 vs 2019 sem'!JV20*BFR$4</f>
        <v>24070.725000000002</v>
      </c>
      <c r="BFP21" s="593">
        <f>'Proy 2022 vs 2019 sem'!JW20*BFR$4</f>
        <v>22626.481499999998</v>
      </c>
      <c r="BFQ21" s="735"/>
      <c r="BFR21" s="700">
        <f>BFQ21/BFO21</f>
        <v>0</v>
      </c>
      <c r="BFS21" s="593">
        <f>'Proy 2022 vs 2019 sem'!JV20*BFV$4</f>
        <v>27509.4</v>
      </c>
      <c r="BFT21" s="593">
        <f>'Proy 2022 vs 2019 sem'!JW20*BFV$4</f>
        <v>25858.835999999996</v>
      </c>
      <c r="BFU21" s="735"/>
      <c r="BFV21" s="700">
        <f>BFU21/BFS21</f>
        <v>0</v>
      </c>
      <c r="BFW21" s="593">
        <f>'Proy 2022 vs 2019 sem'!JV20*BFZ$4</f>
        <v>37825.425000000003</v>
      </c>
      <c r="BFX21" s="593">
        <f>'Proy 2022 vs 2019 sem'!JW20*BFZ$4</f>
        <v>35555.899499999992</v>
      </c>
      <c r="BFY21" s="735"/>
      <c r="BFZ21" s="700">
        <f>BFY21/BFW21</f>
        <v>0</v>
      </c>
      <c r="BGA21" s="579">
        <f>BEY21+BFC21+BFG21+BFK21+BFO21+BFS21+BFW21</f>
        <v>171933.75</v>
      </c>
      <c r="BGB21" s="574">
        <f>BEZ21+BFD21+BFH21+BFL21+BFP21+BFT21+BFX21</f>
        <v>161617.72499999998</v>
      </c>
      <c r="BGC21" s="729">
        <f>BFA21+BFE21+BFI21+BFM21+BFQ21+BFU21+BFY21</f>
        <v>0</v>
      </c>
      <c r="BGD21" s="711">
        <f>BGC21/BGA21</f>
        <v>0</v>
      </c>
      <c r="BGE21" s="593">
        <f>'Proy 2022 vs 2019 sem'!KA20*BGH$4</f>
        <v>25377.208799999997</v>
      </c>
      <c r="BGF21" s="593">
        <f>'Proy 2022 vs 2019 sem'!KB20*BGH$4</f>
        <v>23600.804184000001</v>
      </c>
      <c r="BGG21" s="699"/>
      <c r="BGH21" s="700">
        <f>BGG21/BGE21</f>
        <v>0</v>
      </c>
      <c r="BGI21" s="593">
        <f>'Proy 2022 vs 2019 sem'!KA20*BGL$4</f>
        <v>25377.208799999997</v>
      </c>
      <c r="BGJ21" s="593">
        <f>'Proy 2022 vs 2019 sem'!KB20*BGL$4</f>
        <v>23600.804184000001</v>
      </c>
      <c r="BGK21" s="699"/>
      <c r="BGL21" s="700">
        <f>BGK21/BGI21</f>
        <v>0</v>
      </c>
      <c r="BGM21" s="593">
        <f>'Proy 2022 vs 2019 sem'!KA20*BGP$4</f>
        <v>25377.208799999997</v>
      </c>
      <c r="BGN21" s="593">
        <f>'Proy 2022 vs 2019 sem'!KB20*BGP$4</f>
        <v>23600.804184000001</v>
      </c>
      <c r="BGO21" s="699"/>
      <c r="BGP21" s="700">
        <f>BGO21/BGM21</f>
        <v>0</v>
      </c>
      <c r="BGQ21" s="593">
        <f>'Proy 2022 vs 2019 sem'!KA20*BGT$4</f>
        <v>25377.208799999997</v>
      </c>
      <c r="BGR21" s="593">
        <f>'Proy 2022 vs 2019 sem'!KB20*BGT$4</f>
        <v>23600.804184000001</v>
      </c>
      <c r="BGS21" s="699"/>
      <c r="BGT21" s="700">
        <f>BGS21/BGQ21</f>
        <v>0</v>
      </c>
      <c r="BGU21" s="593">
        <f>'Proy 2022 vs 2019 sem'!KA20*BGX$4</f>
        <v>29606.743600000002</v>
      </c>
      <c r="BGV21" s="593">
        <f>'Proy 2022 vs 2019 sem'!KB20*BGX$4</f>
        <v>27534.271548000001</v>
      </c>
      <c r="BGW21" s="699"/>
      <c r="BGX21" s="700">
        <f>BGW21/BGU21</f>
        <v>0</v>
      </c>
      <c r="BGY21" s="593">
        <f>'Proy 2022 vs 2019 sem'!KA20*BHB$4</f>
        <v>33836.278399999996</v>
      </c>
      <c r="BGZ21" s="593">
        <f>'Proy 2022 vs 2019 sem'!KB20*BHB$4</f>
        <v>31467.738912000001</v>
      </c>
      <c r="BHA21" s="699"/>
      <c r="BHB21" s="700">
        <f>BHA21/BGY21</f>
        <v>0</v>
      </c>
      <c r="BHC21" s="593">
        <f>'Proy 2022 vs 2019 sem'!KA20*BHF$4</f>
        <v>46524.882799999999</v>
      </c>
      <c r="BHD21" s="593">
        <f>'Proy 2022 vs 2019 sem'!KB20*BHF$4</f>
        <v>43268.141003999997</v>
      </c>
      <c r="BHE21" s="699"/>
      <c r="BHF21" s="700">
        <f>BHE21/BHC21</f>
        <v>0</v>
      </c>
      <c r="BHG21" s="579">
        <f>BGE21+BGI21+BGM21+BGQ21+BGU21+BGY21+BHC21</f>
        <v>211476.73999999996</v>
      </c>
      <c r="BHH21" s="574">
        <f>BGF21+BGJ21+BGN21+BGR21+BGV21+BGZ21+BHD21</f>
        <v>196673.3682</v>
      </c>
      <c r="BHI21" s="730">
        <f>BGG21+BGK21+BGO21+BGS21+BGW21+BHA21+BHE21</f>
        <v>0</v>
      </c>
      <c r="BHJ21" s="711">
        <f>BHI21/BHG21</f>
        <v>0</v>
      </c>
      <c r="BHK21" s="593">
        <f>'Proy 2022 vs 2019 sem'!KF20*BHN$4</f>
        <v>30985.224000000002</v>
      </c>
      <c r="BHL21" s="593">
        <f>'Proy 2022 vs 2019 sem'!KG20*BHN$4</f>
        <v>28816.258320000004</v>
      </c>
      <c r="BHM21" s="699"/>
      <c r="BHN21" s="700">
        <f>BHM21/BHK21</f>
        <v>0</v>
      </c>
      <c r="BHO21" s="593">
        <f>'Proy 2022 vs 2019 sem'!KF20*BHR$4</f>
        <v>30985.224000000002</v>
      </c>
      <c r="BHP21" s="593">
        <f>'Proy 2022 vs 2019 sem'!KG20*BHR$4</f>
        <v>28816.258320000004</v>
      </c>
      <c r="BHQ21" s="699"/>
      <c r="BHR21" s="700">
        <f>BHQ21/BHO21</f>
        <v>0</v>
      </c>
      <c r="BHS21" s="593">
        <f>'Proy 2022 vs 2019 sem'!KF20*BHV$4</f>
        <v>30985.224000000002</v>
      </c>
      <c r="BHT21" s="593">
        <f>'Proy 2022 vs 2019 sem'!KG20*BHV$4</f>
        <v>28816.258320000004</v>
      </c>
      <c r="BHU21" s="699"/>
      <c r="BHV21" s="700">
        <f>BHU21/BHS21</f>
        <v>0</v>
      </c>
      <c r="BHW21" s="593">
        <f>'Proy 2022 vs 2019 sem'!KF20*BHZ$4</f>
        <v>30985.224000000002</v>
      </c>
      <c r="BHX21" s="593">
        <f>'Proy 2022 vs 2019 sem'!KG20*BHZ$4</f>
        <v>28816.258320000004</v>
      </c>
      <c r="BHY21" s="699"/>
      <c r="BHZ21" s="700">
        <f>BHY21/BHW21</f>
        <v>0</v>
      </c>
      <c r="BIA21" s="593">
        <f>'Proy 2022 vs 2019 sem'!KF20*BID$4</f>
        <v>36149.428000000007</v>
      </c>
      <c r="BIB21" s="593">
        <f>'Proy 2022 vs 2019 sem'!KG20*BID$4</f>
        <v>33618.968040000007</v>
      </c>
      <c r="BIC21" s="699"/>
      <c r="BID21" s="700">
        <f>BIC21/BIA21</f>
        <v>0</v>
      </c>
      <c r="BIE21" s="593">
        <f>'Proy 2022 vs 2019 sem'!KF20*BIH$4</f>
        <v>41313.632000000005</v>
      </c>
      <c r="BIF21" s="593">
        <f>'Proy 2022 vs 2019 sem'!KG20*BIH$4</f>
        <v>38421.677760000006</v>
      </c>
      <c r="BIG21" s="699"/>
      <c r="BIH21" s="700">
        <f>BIG21/BIE21</f>
        <v>0</v>
      </c>
      <c r="BII21" s="593">
        <f>'Proy 2022 vs 2019 sem'!KF20*BIL$4</f>
        <v>56806.244000000006</v>
      </c>
      <c r="BIJ21" s="593">
        <f>'Proy 2022 vs 2019 sem'!KG20*BIL$4</f>
        <v>52829.80692000001</v>
      </c>
      <c r="BIK21" s="699"/>
      <c r="BIL21" s="700">
        <f>BIK21/BII21</f>
        <v>0</v>
      </c>
      <c r="BIM21" s="579">
        <f>BHK21+BHO21+BHS21+BHW21+BIA21+BIE21+BII21</f>
        <v>258210.20000000004</v>
      </c>
      <c r="BIN21" s="574">
        <f>BHL21+BHP21+BHT21+BHX21+BIB21+BIF21+BIJ21</f>
        <v>240135.48600000003</v>
      </c>
      <c r="BIO21" s="730">
        <f>BHM21+BHQ21+BHU21+BHY21+BIC21+BIG21+BIK21</f>
        <v>0</v>
      </c>
      <c r="BIP21" s="711">
        <f>BIO21/BIM21</f>
        <v>0</v>
      </c>
      <c r="BIQ21" s="593">
        <f>'Proy 2022 vs 2019 sem'!KK20*BIT$4</f>
        <v>27129.4692</v>
      </c>
      <c r="BIR21" s="593">
        <f>'Proy 2022 vs 2019 sem'!KL20*BIT$4</f>
        <v>25230.406356</v>
      </c>
      <c r="BIS21" s="699"/>
      <c r="BIT21" s="700">
        <f>BIS21/BIQ21</f>
        <v>0</v>
      </c>
      <c r="BIU21" s="593">
        <f>'Proy 2022 vs 2019 sem'!KK20*BIX$4</f>
        <v>27129.4692</v>
      </c>
      <c r="BIV21" s="593">
        <f>'Proy 2022 vs 2019 sem'!KL20*BIX$4</f>
        <v>25230.406356</v>
      </c>
      <c r="BIW21" s="699"/>
      <c r="BIX21" s="700">
        <f>BIW21/BIU21</f>
        <v>0</v>
      </c>
      <c r="BIY21" s="593">
        <f>'Proy 2022 vs 2019 sem'!KK20*BJB$4</f>
        <v>27129.4692</v>
      </c>
      <c r="BIZ21" s="593">
        <f>'Proy 2022 vs 2019 sem'!KL20*BJB$4</f>
        <v>25230.406356</v>
      </c>
      <c r="BJA21" s="699"/>
      <c r="BJB21" s="700">
        <f>BJA21/BIY21</f>
        <v>0</v>
      </c>
      <c r="BJC21" s="593">
        <f>'Proy 2022 vs 2019 sem'!KK20*BJF$4</f>
        <v>27129.4692</v>
      </c>
      <c r="BJD21" s="593">
        <f>'Proy 2022 vs 2019 sem'!KL20*BJF$4</f>
        <v>25230.406356</v>
      </c>
      <c r="BJE21" s="699"/>
      <c r="BJF21" s="700">
        <f>BJE21/BJC21</f>
        <v>0</v>
      </c>
      <c r="BJG21" s="593">
        <f>'Proy 2022 vs 2019 sem'!KK20*BJJ$4</f>
        <v>31651.047400000003</v>
      </c>
      <c r="BJH21" s="593">
        <f>'Proy 2022 vs 2019 sem'!KL20*BJJ$4</f>
        <v>29435.474082000004</v>
      </c>
      <c r="BJI21" s="699"/>
      <c r="BJJ21" s="700">
        <f>BJI21/BJG21</f>
        <v>0</v>
      </c>
      <c r="BJK21" s="593">
        <f>'Proy 2022 vs 2019 sem'!KK20*BJN$4</f>
        <v>36172.625599999999</v>
      </c>
      <c r="BJL21" s="593">
        <f>'Proy 2022 vs 2019 sem'!KL20*BJN$4</f>
        <v>33640.541808000002</v>
      </c>
      <c r="BJM21" s="699"/>
      <c r="BJN21" s="700">
        <f>BJM21/BJK21</f>
        <v>0</v>
      </c>
      <c r="BJO21" s="593">
        <f>'Proy 2022 vs 2019 sem'!KK20*BJR$4</f>
        <v>49737.360200000003</v>
      </c>
      <c r="BJP21" s="593">
        <f>'Proy 2022 vs 2019 sem'!KL20*BJR$4</f>
        <v>46255.744986000005</v>
      </c>
      <c r="BJQ21" s="699"/>
      <c r="BJR21" s="700">
        <f>BJQ21/BJO21</f>
        <v>0</v>
      </c>
      <c r="BJS21" s="579">
        <f>BIQ21+BIU21+BIY21+BJC21+BJG21+BJK21+BJO21</f>
        <v>226078.91</v>
      </c>
      <c r="BJT21" s="574">
        <f>BIR21+BIV21+BIZ21+BJD21+BJH21+BJL21+BJP21</f>
        <v>210253.38630000001</v>
      </c>
      <c r="BJU21" s="710">
        <f>BIS21+BIW21+BJA21+BJE21+BJI21+BJM21+BJQ21</f>
        <v>0</v>
      </c>
      <c r="BJV21" s="711">
        <f>BJU21/BJS21</f>
        <v>0</v>
      </c>
      <c r="BJW21" s="593">
        <f>'Proy 2022 vs 2019 sem'!KP20*BJZ$4</f>
        <v>9515.652</v>
      </c>
      <c r="BJX21" s="593">
        <f>'Proy 2022 vs 2019 sem'!KQ20*BJZ$4</f>
        <v>9039.8693999999996</v>
      </c>
      <c r="BJY21" s="699"/>
      <c r="BJZ21" s="700">
        <f>BJY21/BJW21</f>
        <v>0</v>
      </c>
      <c r="BKA21" s="593">
        <f>'Proy 2022 vs 2019 sem'!KP20*BKD$4</f>
        <v>9515.652</v>
      </c>
      <c r="BKB21" s="593">
        <f>'Proy 2022 vs 2019 sem'!KQ20*BKD$4</f>
        <v>9039.8693999999996</v>
      </c>
      <c r="BKC21" s="699"/>
      <c r="BKD21" s="700">
        <f>BKC21/BKA21</f>
        <v>0</v>
      </c>
      <c r="BKE21" s="593">
        <f>'Proy 2022 vs 2019 sem'!KP20*BKH$4</f>
        <v>9515.652</v>
      </c>
      <c r="BKF21" s="593">
        <f>'Proy 2022 vs 2019 sem'!KQ20*BKH$4</f>
        <v>9039.8693999999996</v>
      </c>
      <c r="BKG21" s="699"/>
      <c r="BKH21" s="700">
        <f>BKG21/BKE21</f>
        <v>0</v>
      </c>
      <c r="BKI21" s="593">
        <f>'Proy 2022 vs 2019 sem'!KP20*BKL$4</f>
        <v>9515.652</v>
      </c>
      <c r="BKJ21" s="593">
        <f>'Proy 2022 vs 2019 sem'!KQ20*BKL$4</f>
        <v>9039.8693999999996</v>
      </c>
      <c r="BKK21" s="699"/>
      <c r="BKL21" s="700">
        <f>BKK21/BKI21</f>
        <v>0</v>
      </c>
      <c r="BKM21" s="593">
        <f>'Proy 2022 vs 2019 sem'!KP20*BKP$4</f>
        <v>11101.594000000003</v>
      </c>
      <c r="BKN21" s="593">
        <f>'Proy 2022 vs 2019 sem'!KQ20*BKP$4</f>
        <v>10546.514300000001</v>
      </c>
      <c r="BKO21" s="699"/>
      <c r="BKP21" s="700">
        <f>BKO21/BKM21</f>
        <v>0</v>
      </c>
      <c r="BKQ21" s="593">
        <f>'Proy 2022 vs 2019 sem'!KP20*BKT$4</f>
        <v>12687.536000000002</v>
      </c>
      <c r="BKR21" s="593">
        <f>'Proy 2022 vs 2019 sem'!KQ20*BKT$4</f>
        <v>12053.1592</v>
      </c>
      <c r="BKS21" s="699"/>
      <c r="BKT21" s="700">
        <f>BKS21/BKQ21</f>
        <v>0</v>
      </c>
      <c r="BKU21" s="593">
        <f>'Proy 2022 vs 2019 sem'!KP20*BKX$4</f>
        <v>17445.362000000001</v>
      </c>
      <c r="BKV21" s="593">
        <f>'Proy 2022 vs 2019 sem'!KQ20*BKX$4</f>
        <v>16573.0939</v>
      </c>
      <c r="BKW21" s="699"/>
      <c r="BKX21" s="700">
        <f>BKW21/BKU21</f>
        <v>0</v>
      </c>
      <c r="BKY21" s="579">
        <f>BJW21+BKA21+BKE21+BKI21+BKM21+BKQ21+BKU21</f>
        <v>79297.100000000006</v>
      </c>
      <c r="BKZ21" s="574">
        <f>BJX21+BKB21+BKF21+BKJ21+BKN21+BKR21+BKV21</f>
        <v>75332.244999999995</v>
      </c>
      <c r="BLA21" s="710">
        <f>BJY21+BKC21+BKG21+BKK21+BKO21+BKS21+BKW21</f>
        <v>0</v>
      </c>
      <c r="BLB21" s="711">
        <f>BLA21/BKY21</f>
        <v>0</v>
      </c>
    </row>
    <row r="22" spans="2:1666" ht="19.5" customHeight="1">
      <c r="B22" s="934" t="s">
        <v>24</v>
      </c>
      <c r="C22" s="593">
        <f>'Proy 2022 vs 2019 sem'!$C$6*$F$4</f>
        <v>9529.1268</v>
      </c>
      <c r="D22" s="593">
        <f>'Proy 2022 vs 2019 sem'!$D$6*$F$4</f>
        <v>8480.9228519999997</v>
      </c>
      <c r="E22" s="735"/>
      <c r="F22" s="700">
        <f>E22/C22</f>
        <v>0</v>
      </c>
      <c r="G22" s="1414">
        <f>'Proy 2022 vs 2019 sem'!C21*$J$4</f>
        <v>10362.672</v>
      </c>
      <c r="H22" s="593">
        <f>'Proy 2022 vs 2019 sem'!D21*$J$4</f>
        <v>9222.7780800000019</v>
      </c>
      <c r="I22" s="735"/>
      <c r="J22" s="700">
        <f>I22/G22</f>
        <v>0</v>
      </c>
      <c r="K22" s="593">
        <f>'Proy 2022 vs 2019 sem'!C21*$N$4</f>
        <v>10362.672</v>
      </c>
      <c r="L22" s="593">
        <f>'Proy 2022 vs 2019 sem'!D21*N$4</f>
        <v>9222.7780800000019</v>
      </c>
      <c r="M22" s="735"/>
      <c r="N22" s="700">
        <f>M22/K22</f>
        <v>0</v>
      </c>
      <c r="O22" s="593">
        <f>'Proy 2022 vs 2019 sem'!C21*R$4</f>
        <v>10362.672</v>
      </c>
      <c r="P22" s="593">
        <f>'Proy 2022 vs 2019 sem'!D21*$R$4</f>
        <v>9222.7780800000019</v>
      </c>
      <c r="Q22" s="735"/>
      <c r="R22" s="700">
        <f>Q22/O22</f>
        <v>0</v>
      </c>
      <c r="S22" s="593">
        <f>'Proy 2022 vs 2019 sem'!C21*V$4</f>
        <v>12089.784000000001</v>
      </c>
      <c r="T22" s="593">
        <f>'Proy 2022 vs 2019 sem'!D21*V$4</f>
        <v>10759.907760000002</v>
      </c>
      <c r="U22" s="735"/>
      <c r="V22" s="700">
        <f>U22/S22</f>
        <v>0</v>
      </c>
      <c r="W22" s="593">
        <f>'Proy 2022 vs 2019 sem'!C21*Z$4</f>
        <v>13816.896000000001</v>
      </c>
      <c r="X22" s="593">
        <f>'Proy 2022 vs 2019 sem'!D21*Z$4</f>
        <v>12297.037440000002</v>
      </c>
      <c r="Y22" s="735"/>
      <c r="Z22" s="700">
        <f>Y22/W22</f>
        <v>0</v>
      </c>
      <c r="AA22" s="593">
        <f>'Proy 2022 vs 2019 sem'!C21*AD$4</f>
        <v>18998.232</v>
      </c>
      <c r="AB22" s="593">
        <f>'Proy 2022 vs 2019 sem'!D21*AD$4</f>
        <v>16908.426480000002</v>
      </c>
      <c r="AC22" s="735"/>
      <c r="AD22" s="700">
        <f>AC22/AA22</f>
        <v>0</v>
      </c>
      <c r="AE22" s="579">
        <f>C22+G22+K22+O22+S22+W22+AA22</f>
        <v>85522.054799999998</v>
      </c>
      <c r="AF22" s="574">
        <f>D22+H22+L22+P22+T22+X22+AB22</f>
        <v>76114.628772000011</v>
      </c>
      <c r="AG22" s="729">
        <f>E22+I22+M22+Q22+U22+Y22+AC22</f>
        <v>0</v>
      </c>
      <c r="AH22" s="711">
        <f>AG22/AE22</f>
        <v>0</v>
      </c>
      <c r="AI22" s="593">
        <f>'Proy 2022 vs 2019 sem'!H21*AL$4</f>
        <v>10179.9684</v>
      </c>
      <c r="AJ22" s="611">
        <f>'Proy 2022 vs 2019 sem'!I21*AL$4</f>
        <v>9060.1718760000003</v>
      </c>
      <c r="AK22" s="699"/>
      <c r="AL22" s="700">
        <f>AK22/AI22</f>
        <v>0</v>
      </c>
      <c r="AM22" s="593">
        <f>'Proy 2022 vs 2019 sem'!H21*AP$4</f>
        <v>10179.9684</v>
      </c>
      <c r="AN22" s="593">
        <f>'Proy 2022 vs 2019 sem'!I21*AP$4</f>
        <v>9060.1718760000003</v>
      </c>
      <c r="AO22" s="699"/>
      <c r="AP22" s="700">
        <f>AO22/AM22</f>
        <v>0</v>
      </c>
      <c r="AQ22" s="593">
        <f>'Proy 2022 vs 2019 sem'!H21*AT$4</f>
        <v>10179.9684</v>
      </c>
      <c r="AR22" s="593">
        <f>'Proy 2022 vs 2019 sem'!I21*AT$4</f>
        <v>9060.1718760000003</v>
      </c>
      <c r="AS22" s="699"/>
      <c r="AT22" s="700">
        <f>AS22/AQ22</f>
        <v>0</v>
      </c>
      <c r="AU22" s="593">
        <f>'Proy 2022 vs 2019 sem'!H21*AX$4</f>
        <v>10179.9684</v>
      </c>
      <c r="AV22" s="593">
        <f>'Proy 2022 vs 2019 sem'!I21*AX$4</f>
        <v>9060.1718760000003</v>
      </c>
      <c r="AW22" s="699"/>
      <c r="AX22" s="700">
        <f>AW22/AU22</f>
        <v>0</v>
      </c>
      <c r="AY22" s="593">
        <f>'Proy 2022 vs 2019 sem'!H21*BB$4</f>
        <v>11876.629800000002</v>
      </c>
      <c r="AZ22" s="593">
        <f>'Proy 2022 vs 2019 sem'!I21*BB$4</f>
        <v>10570.200522000001</v>
      </c>
      <c r="BA22" s="699"/>
      <c r="BB22" s="700">
        <f>BA22/AY22</f>
        <v>0</v>
      </c>
      <c r="BC22" s="593">
        <f>'Proy 2022 vs 2019 sem'!H21*BF$4</f>
        <v>13573.291200000001</v>
      </c>
      <c r="BD22" s="593">
        <f>'Proy 2022 vs 2019 sem'!I21*BF$4</f>
        <v>12080.229168</v>
      </c>
      <c r="BE22" s="699"/>
      <c r="BF22" s="700">
        <f>BE22/BC22</f>
        <v>0</v>
      </c>
      <c r="BG22" s="593">
        <f>'Proy 2022 vs 2019 sem'!H21*BJ$4</f>
        <v>18663.275400000002</v>
      </c>
      <c r="BH22" s="593">
        <f>'Proy 2022 vs 2019 sem'!I21*BJ$4</f>
        <v>16610.315106000002</v>
      </c>
      <c r="BI22" s="699"/>
      <c r="BJ22" s="700">
        <f>BI22/BG22</f>
        <v>0</v>
      </c>
      <c r="BK22" s="579">
        <f>AI22+AM22+AQ22+AU22+AY22+BC22+BG22</f>
        <v>84833.07</v>
      </c>
      <c r="BL22" s="574">
        <f>AJ22+AN22+AR22+AV22+AZ22+BD22+BH22</f>
        <v>75501.4323</v>
      </c>
      <c r="BM22" s="730">
        <f>AK22+AO22+AS22+AW22+BA22+BE22+BI22</f>
        <v>0</v>
      </c>
      <c r="BN22" s="711">
        <f>BM22/BK22</f>
        <v>0</v>
      </c>
      <c r="BO22" s="593">
        <f>'Proy 2022 vs 2019 sem'!M21*BR$4</f>
        <v>9886.83</v>
      </c>
      <c r="BP22" s="593">
        <f>'Proy 2022 vs 2019 sem'!N21*BR$4</f>
        <v>8799.2786999999989</v>
      </c>
      <c r="BQ22" s="699"/>
      <c r="BR22" s="700">
        <f>BQ22/BO22</f>
        <v>0</v>
      </c>
      <c r="BS22" s="593">
        <f>'Proy 2022 vs 2019 sem'!M21*BV$4</f>
        <v>9886.83</v>
      </c>
      <c r="BT22" s="593">
        <f>'Proy 2022 vs 2019 sem'!N21*BV$4</f>
        <v>8799.2786999999989</v>
      </c>
      <c r="BU22" s="699"/>
      <c r="BV22" s="700">
        <f>BU22/BS22</f>
        <v>0</v>
      </c>
      <c r="BW22" s="593">
        <f>'Proy 2022 vs 2019 sem'!M21*BZ$4</f>
        <v>9886.83</v>
      </c>
      <c r="BX22" s="593">
        <f>'Proy 2022 vs 2019 sem'!N21*BZ$4</f>
        <v>8799.2786999999989</v>
      </c>
      <c r="BY22" s="699"/>
      <c r="BZ22" s="700">
        <f>BY22/BW22</f>
        <v>0</v>
      </c>
      <c r="CA22" s="593">
        <f>'Proy 2022 vs 2019 sem'!M21*CD$4</f>
        <v>9886.83</v>
      </c>
      <c r="CB22" s="593">
        <f>'Proy 2022 vs 2019 sem'!N21*CD$4</f>
        <v>8799.2786999999989</v>
      </c>
      <c r="CC22" s="699"/>
      <c r="CD22" s="700">
        <f>CC22/CA22</f>
        <v>0</v>
      </c>
      <c r="CE22" s="593">
        <f>'Proy 2022 vs 2019 sem'!M21*CH$4</f>
        <v>11534.635</v>
      </c>
      <c r="CF22" s="593">
        <f>'Proy 2022 vs 2019 sem'!N21*CH$4</f>
        <v>10265.825150000001</v>
      </c>
      <c r="CG22" s="699"/>
      <c r="CH22" s="700">
        <f>CG22/CE22</f>
        <v>0</v>
      </c>
      <c r="CI22" s="593">
        <f>'Proy 2022 vs 2019 sem'!M21*CL$4</f>
        <v>13182.44</v>
      </c>
      <c r="CJ22" s="593">
        <f>'Proy 2022 vs 2019 sem'!N21*CL$4</f>
        <v>11732.371599999999</v>
      </c>
      <c r="CK22" s="699"/>
      <c r="CL22" s="700">
        <f>CK22/CI22</f>
        <v>0</v>
      </c>
      <c r="CM22" s="593">
        <f>'Proy 2022 vs 2019 sem'!M21*CP$4</f>
        <v>18125.855</v>
      </c>
      <c r="CN22" s="593">
        <f>'Proy 2022 vs 2019 sem'!N21*CP$4</f>
        <v>16132.010949999998</v>
      </c>
      <c r="CO22" s="699"/>
      <c r="CP22" s="700">
        <f>CO22/CM22</f>
        <v>0</v>
      </c>
      <c r="CQ22" s="579">
        <f>BO22+BS22+BW22+CA22+CE22+CI22+CM22</f>
        <v>82390.25</v>
      </c>
      <c r="CR22" s="574">
        <f>BP22+BT22+BX22+CB22+CF22+CJ22+CN22</f>
        <v>73327.322499999995</v>
      </c>
      <c r="CS22" s="730">
        <f>BQ22+BU22+BY22+CC22+CG22+CK22+CO22</f>
        <v>0</v>
      </c>
      <c r="CT22" s="711">
        <f>CS22/CQ22</f>
        <v>0</v>
      </c>
      <c r="CU22" s="593">
        <f>'Proy 2022 vs 2019 sem'!R21*CX$4</f>
        <v>10568.955599999999</v>
      </c>
      <c r="CV22" s="593">
        <f>'Proy 2022 vs 2019 sem'!S21*CX$4</f>
        <v>9406.3704839999991</v>
      </c>
      <c r="CW22" s="699"/>
      <c r="CX22" s="700">
        <f>CW22/CU22</f>
        <v>0</v>
      </c>
      <c r="CY22" s="593">
        <f>'Proy 2022 vs 2019 sem'!R21*DB$4</f>
        <v>10568.955599999999</v>
      </c>
      <c r="CZ22" s="593">
        <f>'Proy 2022 vs 2019 sem'!S21*DB$4</f>
        <v>9406.3704839999991</v>
      </c>
      <c r="DA22" s="699"/>
      <c r="DB22" s="700">
        <f>DA22/CY22</f>
        <v>0</v>
      </c>
      <c r="DC22" s="593">
        <f>'Proy 2022 vs 2019 sem'!R21*DF$4</f>
        <v>10568.955599999999</v>
      </c>
      <c r="DD22" s="593">
        <f>'Proy 2022 vs 2019 sem'!S21*DF$4</f>
        <v>9406.3704839999991</v>
      </c>
      <c r="DE22" s="699"/>
      <c r="DF22" s="700">
        <f>DE22/DC22</f>
        <v>0</v>
      </c>
      <c r="DG22" s="593">
        <f>'Proy 2022 vs 2019 sem'!R21*DJ$4</f>
        <v>10568.955599999999</v>
      </c>
      <c r="DH22" s="593">
        <f>'Proy 2022 vs 2019 sem'!S21*DJ$4</f>
        <v>9406.3704839999991</v>
      </c>
      <c r="DI22" s="699"/>
      <c r="DJ22" s="700">
        <f>DI22/DG22</f>
        <v>0</v>
      </c>
      <c r="DK22" s="593">
        <f>'Proy 2022 vs 2019 sem'!R21*DN$4</f>
        <v>12330.448200000003</v>
      </c>
      <c r="DL22" s="593">
        <f>'Proy 2022 vs 2019 sem'!S21*DN$4</f>
        <v>10974.098898000002</v>
      </c>
      <c r="DM22" s="699"/>
      <c r="DN22" s="700">
        <f>DM22/DK22</f>
        <v>0</v>
      </c>
      <c r="DO22" s="593">
        <f>'Proy 2022 vs 2019 sem'!R21*DR$4</f>
        <v>14091.9408</v>
      </c>
      <c r="DP22" s="593">
        <f>'Proy 2022 vs 2019 sem'!S21*DR$4</f>
        <v>12541.827312000001</v>
      </c>
      <c r="DQ22" s="699"/>
      <c r="DR22" s="700">
        <f>DQ22/DO22</f>
        <v>0</v>
      </c>
      <c r="DS22" s="593">
        <f>'Proy 2022 vs 2019 sem'!R21*DV$4</f>
        <v>19376.418600000001</v>
      </c>
      <c r="DT22" s="593">
        <f>'Proy 2022 vs 2019 sem'!S21*DV$4</f>
        <v>17245.012554000001</v>
      </c>
      <c r="DU22" s="699"/>
      <c r="DV22" s="700">
        <f>DU22/DS22</f>
        <v>0</v>
      </c>
      <c r="DW22" s="579">
        <f>CU22+CY22+DC22+DG22+DK22+DO22+DS22</f>
        <v>88074.63</v>
      </c>
      <c r="DX22" s="574">
        <f>CV22+CZ22+DD22+DH22+DL22+DP22+DT22</f>
        <v>78386.420700000002</v>
      </c>
      <c r="DY22" s="710">
        <f>CW22+DA22+DE22+DI22+DM22+DQ22+DU22</f>
        <v>0</v>
      </c>
      <c r="DZ22" s="711">
        <f>DY22/DW22</f>
        <v>0</v>
      </c>
      <c r="EA22" s="593">
        <f>'Proy 2022 vs 2019 sem'!AA21*ED$4</f>
        <v>12156.276</v>
      </c>
      <c r="EB22" s="593">
        <f>'Proy 2022 vs 2019 sem'!AB21*ED$4</f>
        <v>10819.085640000001</v>
      </c>
      <c r="EC22" s="735"/>
      <c r="ED22" s="700">
        <f>EC22/EA22</f>
        <v>0</v>
      </c>
      <c r="EE22" s="593">
        <f>'Proy 2022 vs 2019 sem'!AA21*EH$4</f>
        <v>12156.276</v>
      </c>
      <c r="EF22" s="593">
        <f>'Proy 2022 vs 2019 sem'!AB21*EH$4</f>
        <v>10819.085640000001</v>
      </c>
      <c r="EG22" s="699"/>
      <c r="EH22" s="700">
        <f>EG22/EE22</f>
        <v>0</v>
      </c>
      <c r="EI22" s="593">
        <f>'Proy 2022 vs 2019 sem'!AA21*EL$4</f>
        <v>12156.276</v>
      </c>
      <c r="EJ22" s="593">
        <f>'Proy 2022 vs 2019 sem'!AB21*EL$4</f>
        <v>10819.085640000001</v>
      </c>
      <c r="EK22" s="699"/>
      <c r="EL22" s="700">
        <f>EK22/EI22</f>
        <v>0</v>
      </c>
      <c r="EM22" s="593">
        <f>'Proy 2022 vs 2019 sem'!AA21*EP$4</f>
        <v>12156.276</v>
      </c>
      <c r="EN22" s="593">
        <f>'Proy 2022 vs 2019 sem'!AB21*EP$4</f>
        <v>10819.085640000001</v>
      </c>
      <c r="EO22" s="699"/>
      <c r="EP22" s="700">
        <f>EO22/EM22</f>
        <v>0</v>
      </c>
      <c r="EQ22" s="593">
        <f>'Proy 2022 vs 2019 sem'!AA21*ET$4</f>
        <v>14182.322000000002</v>
      </c>
      <c r="ER22" s="593">
        <f>'Proy 2022 vs 2019 sem'!AB21*ET$4</f>
        <v>12622.266580000001</v>
      </c>
      <c r="ES22" s="699"/>
      <c r="ET22" s="700">
        <f>ES22/EQ22</f>
        <v>0</v>
      </c>
      <c r="EU22" s="593">
        <f>'Proy 2022 vs 2019 sem'!AA21*EX$4</f>
        <v>16208.368</v>
      </c>
      <c r="EV22" s="593">
        <f>'Proy 2022 vs 2019 sem'!AB21*EX$4</f>
        <v>14425.447520000002</v>
      </c>
      <c r="EW22" s="699"/>
      <c r="EX22" s="700">
        <f>EW22/EU22</f>
        <v>0</v>
      </c>
      <c r="EY22" s="593">
        <f>'Proy 2022 vs 2019 sem'!AA21*FB$4</f>
        <v>22286.506000000001</v>
      </c>
      <c r="EZ22" s="593">
        <f>'Proy 2022 vs 2019 sem'!AB21*FB$4</f>
        <v>19834.99034</v>
      </c>
      <c r="FA22" s="699"/>
      <c r="FB22" s="700">
        <f>FA22/EY22</f>
        <v>0</v>
      </c>
      <c r="FC22" s="579">
        <f>EA22+EE22+EI22+EM22+EQ22+EU22+EY22</f>
        <v>101302.29999999999</v>
      </c>
      <c r="FD22" s="574">
        <f>EB22+EF22+EJ22+EN22+ER22+EV22+EZ22</f>
        <v>90159.047000000006</v>
      </c>
      <c r="FE22" s="793">
        <f>EC22+EG22+EK22+EO22+ES22+EW22+FA22</f>
        <v>0</v>
      </c>
      <c r="FF22" s="786">
        <f>FE22/FC22</f>
        <v>0</v>
      </c>
      <c r="FG22" s="593">
        <f>'Proy 2022 vs 2019 sem'!AF21*FJ$4</f>
        <v>16629.328799999999</v>
      </c>
      <c r="FH22" s="593">
        <f>'Proy 2022 vs 2019 sem'!AG21*FJ$4</f>
        <v>14633.809343999998</v>
      </c>
      <c r="FI22" s="699"/>
      <c r="FJ22" s="700">
        <f>FI22/FG22</f>
        <v>0</v>
      </c>
      <c r="FK22" s="593">
        <f>'Proy 2022 vs 2019 sem'!AF21*FN$4</f>
        <v>16629.328799999999</v>
      </c>
      <c r="FL22" s="593">
        <f>'Proy 2022 vs 2019 sem'!AG21*FN$4</f>
        <v>14633.809343999998</v>
      </c>
      <c r="FM22" s="699"/>
      <c r="FN22" s="700">
        <f>FM22/FK22</f>
        <v>0</v>
      </c>
      <c r="FO22" s="593">
        <f>'Proy 2022 vs 2019 sem'!AF21*FR$4</f>
        <v>16629.328799999999</v>
      </c>
      <c r="FP22" s="593">
        <f>'Proy 2022 vs 2019 sem'!AG21*FR$4</f>
        <v>14633.809343999998</v>
      </c>
      <c r="FQ22" s="699"/>
      <c r="FR22" s="700">
        <f>FQ22/FO22</f>
        <v>0</v>
      </c>
      <c r="FS22" s="593">
        <f>'Proy 2022 vs 2019 sem'!AF21*FV$4</f>
        <v>16629.328799999999</v>
      </c>
      <c r="FT22" s="593">
        <f>'Proy 2022 vs 2019 sem'!AG21*FV$4</f>
        <v>14633.809343999998</v>
      </c>
      <c r="FU22" s="699"/>
      <c r="FV22" s="700">
        <f>FU22/FS22</f>
        <v>0</v>
      </c>
      <c r="FW22" s="593">
        <f>'Proy 2022 vs 2019 sem'!AF21*FZ$4</f>
        <v>19400.883600000001</v>
      </c>
      <c r="FX22" s="593">
        <f>'Proy 2022 vs 2019 sem'!AG21*FZ$4</f>
        <v>17072.777568000001</v>
      </c>
      <c r="FY22" s="699"/>
      <c r="FZ22" s="700">
        <f>FY22/FW22</f>
        <v>0</v>
      </c>
      <c r="GA22" s="593">
        <f>'Proy 2022 vs 2019 sem'!AF21*GD$4</f>
        <v>22172.438399999999</v>
      </c>
      <c r="GB22" s="593">
        <f>'Proy 2022 vs 2019 sem'!AG21*GD$4</f>
        <v>19511.745791999998</v>
      </c>
      <c r="GC22" s="699"/>
      <c r="GD22" s="700">
        <f>GC22/GA22</f>
        <v>0</v>
      </c>
      <c r="GE22" s="593">
        <f>'Proy 2022 vs 2019 sem'!AF21*GH$4</f>
        <v>30487.102799999997</v>
      </c>
      <c r="GF22" s="593">
        <f>'Proy 2022 vs 2019 sem'!AG21*GH$4</f>
        <v>26828.650463999998</v>
      </c>
      <c r="GG22" s="699"/>
      <c r="GH22" s="700">
        <f>GG22/GE22</f>
        <v>0</v>
      </c>
      <c r="GI22" s="579">
        <f>FG22+FK22+FO22+FS22+FW22+GA22+GE22</f>
        <v>138577.74</v>
      </c>
      <c r="GJ22" s="574">
        <f>FH22+FL22+FP22+FT22+FX22+GB22+GF22</f>
        <v>121948.4112</v>
      </c>
      <c r="GK22" s="794">
        <f>FI22+FM22+FQ22+FU22+FY22+GC22+GG22</f>
        <v>0</v>
      </c>
      <c r="GL22" s="786">
        <f>GK22/GI22</f>
        <v>0</v>
      </c>
      <c r="GM22" s="593">
        <f>'Proy 2022 vs 2019 sem'!AK21*GP$4</f>
        <v>12710.391599999999</v>
      </c>
      <c r="GN22" s="593">
        <f>'Proy 2022 vs 2019 sem'!AL21*GP$4</f>
        <v>11439.352439999999</v>
      </c>
      <c r="GO22" s="699"/>
      <c r="GP22" s="700">
        <f>GO22/GM22</f>
        <v>0</v>
      </c>
      <c r="GQ22" s="593">
        <f>'Proy 2022 vs 2019 sem'!AK21*GT$4</f>
        <v>12710.391599999999</v>
      </c>
      <c r="GR22" s="593">
        <f>'Proy 2022 vs 2019 sem'!AL21*GT$4</f>
        <v>11439.352439999999</v>
      </c>
      <c r="GS22" s="699"/>
      <c r="GT22" s="700">
        <f>GS22/GQ22</f>
        <v>0</v>
      </c>
      <c r="GU22" s="593">
        <f>'Proy 2022 vs 2019 sem'!AK21*GX$4</f>
        <v>12710.391599999999</v>
      </c>
      <c r="GV22" s="593">
        <f>'Proy 2022 vs 2019 sem'!AL21*GX$4</f>
        <v>11439.352439999999</v>
      </c>
      <c r="GW22" s="699"/>
      <c r="GX22" s="700">
        <f>GW22/GU22</f>
        <v>0</v>
      </c>
      <c r="GY22" s="593">
        <f>'Proy 2022 vs 2019 sem'!AK21*HB$4</f>
        <v>12710.391599999999</v>
      </c>
      <c r="GZ22" s="593">
        <f>'Proy 2022 vs 2019 sem'!AL21*HB$4</f>
        <v>11439.352439999999</v>
      </c>
      <c r="HA22" s="699"/>
      <c r="HB22" s="700">
        <f>HA22/GY22</f>
        <v>0</v>
      </c>
      <c r="HC22" s="593">
        <f>'Proy 2022 vs 2019 sem'!AK21*HF$4</f>
        <v>14828.790200000001</v>
      </c>
      <c r="HD22" s="593">
        <f>'Proy 2022 vs 2019 sem'!AL21*HF$4</f>
        <v>13345.911179999999</v>
      </c>
      <c r="HE22" s="699"/>
      <c r="HF22" s="700">
        <f>HE22/HC22</f>
        <v>0</v>
      </c>
      <c r="HG22" s="593">
        <f>'Proy 2022 vs 2019 sem'!AK21*HJ$4</f>
        <v>16947.1888</v>
      </c>
      <c r="HH22" s="593">
        <f>'Proy 2022 vs 2019 sem'!AL21*HJ$4</f>
        <v>15252.46992</v>
      </c>
      <c r="HI22" s="699"/>
      <c r="HJ22" s="700">
        <f>HI22/HG22</f>
        <v>0</v>
      </c>
      <c r="HK22" s="593">
        <f>'Proy 2022 vs 2019 sem'!AK21*HN$4</f>
        <v>23302.384599999998</v>
      </c>
      <c r="HL22" s="593">
        <f>'Proy 2022 vs 2019 sem'!AL21*HN$4</f>
        <v>20972.146139999997</v>
      </c>
      <c r="HM22" s="699"/>
      <c r="HN22" s="700">
        <f>HM22/HK22</f>
        <v>0</v>
      </c>
      <c r="HO22" s="579">
        <f>GM22+GQ22+GU22+GY22+HC22+HG22+HK22</f>
        <v>105919.93</v>
      </c>
      <c r="HP22" s="574">
        <f>GN22+GR22+GV22+GZ22+HD22+HH22+HL22</f>
        <v>95327.936999999991</v>
      </c>
      <c r="HQ22" s="794">
        <f>GO22+GS22+GW22+HA22+HE22+HI22+HM22</f>
        <v>0</v>
      </c>
      <c r="HR22" s="786">
        <f>HQ22/HO22</f>
        <v>0</v>
      </c>
      <c r="HS22" s="593">
        <f>'Proy 2022 vs 2019 sem'!AK21*HV$4</f>
        <v>12710.391599999999</v>
      </c>
      <c r="HT22" s="593">
        <f>'Proy 2022 vs 2019 sem'!AL21*HV$4</f>
        <v>11439.352439999999</v>
      </c>
      <c r="HU22" s="699"/>
      <c r="HV22" s="700">
        <f>HU22/HS22</f>
        <v>0</v>
      </c>
      <c r="HW22" s="593">
        <f>'Proy 2022 vs 2019 sem'!AK21*HZ$4</f>
        <v>12710.391599999999</v>
      </c>
      <c r="HX22" s="593">
        <f>'Proy 2022 vs 2019 sem'!AL21*HZ$4</f>
        <v>11439.352439999999</v>
      </c>
      <c r="HY22" s="699"/>
      <c r="HZ22" s="700">
        <f>HY22/HW22</f>
        <v>0</v>
      </c>
      <c r="IA22" s="593">
        <f>'Proy 2022 vs 2019 sem'!AK21*ID$4</f>
        <v>12710.391599999999</v>
      </c>
      <c r="IB22" s="593">
        <f>'Proy 2022 vs 2019 sem'!AL21*ID$4</f>
        <v>11439.352439999999</v>
      </c>
      <c r="IC22" s="699"/>
      <c r="ID22" s="700">
        <f>IC22/IA22</f>
        <v>0</v>
      </c>
      <c r="IE22" s="593">
        <f>'Proy 2022 vs 2019 sem'!AK21*IH$4</f>
        <v>12710.391599999999</v>
      </c>
      <c r="IF22" s="593">
        <f>'Proy 2022 vs 2019 sem'!AL21*IH$4</f>
        <v>11439.352439999999</v>
      </c>
      <c r="IG22" s="699"/>
      <c r="IH22" s="700">
        <f>IG22/IE22</f>
        <v>0</v>
      </c>
      <c r="II22" s="593">
        <f>'Proy 2022 vs 2019 sem'!AK21*IL$4</f>
        <v>14828.790200000001</v>
      </c>
      <c r="IJ22" s="593">
        <f>'Proy 2022 vs 2019 sem'!AL21*IL$4</f>
        <v>13345.911179999999</v>
      </c>
      <c r="IK22" s="699"/>
      <c r="IL22" s="700">
        <f>IK22/II22</f>
        <v>0</v>
      </c>
      <c r="IM22" s="593">
        <f>'Proy 2022 vs 2019 sem'!AK21*IP$4</f>
        <v>16947.1888</v>
      </c>
      <c r="IN22" s="593">
        <f>'Proy 2022 vs 2019 sem'!AL21*IP$4</f>
        <v>15252.46992</v>
      </c>
      <c r="IO22" s="699"/>
      <c r="IP22" s="700">
        <f>IO22/IM22</f>
        <v>0</v>
      </c>
      <c r="IQ22" s="593">
        <f>'Proy 2022 vs 2019 sem'!AK21*IT$4</f>
        <v>23302.384599999998</v>
      </c>
      <c r="IR22" s="593">
        <f>'Proy 2022 vs 2019 sem'!AL21*IT$4</f>
        <v>20972.146139999997</v>
      </c>
      <c r="IS22" s="699"/>
      <c r="IT22" s="700">
        <f>IS22/IQ22</f>
        <v>0</v>
      </c>
      <c r="IU22" s="579">
        <f>HS22+HW22+IA22+IE22+II22+IM22+IQ22</f>
        <v>105919.93</v>
      </c>
      <c r="IV22" s="574">
        <f>HT22+HX22+IB22+IF22+IJ22+IN22+IR22</f>
        <v>95327.936999999991</v>
      </c>
      <c r="IW22" s="785">
        <f>HU22+HY22+IC22+IG22+IK22+IO22+IS22</f>
        <v>0</v>
      </c>
      <c r="IX22" s="786">
        <f>IW22/IU22</f>
        <v>0</v>
      </c>
      <c r="IY22" s="593">
        <f>'Proy 2022 vs 2019 sem'!AY21*JB$4</f>
        <v>14602.2084</v>
      </c>
      <c r="IZ22" s="593">
        <f>'Proy 2022 vs 2019 sem'!AZ21*JB$4</f>
        <v>12995.965476000001</v>
      </c>
      <c r="JA22" s="735"/>
      <c r="JB22" s="700">
        <f>JA22/IY22</f>
        <v>0</v>
      </c>
      <c r="JC22" s="593">
        <f>'Proy 2022 vs 2019 sem'!AY21*JF$4</f>
        <v>14602.2084</v>
      </c>
      <c r="JD22" s="593">
        <f>'Proy 2022 vs 2019 sem'!AZ21*JF$4</f>
        <v>12995.965476000001</v>
      </c>
      <c r="JE22" s="735"/>
      <c r="JF22" s="700">
        <f>JE22/JC22</f>
        <v>0</v>
      </c>
      <c r="JG22" s="593">
        <f>'Proy 2022 vs 2019 sem'!AY21*JJ$4</f>
        <v>14602.2084</v>
      </c>
      <c r="JH22" s="593">
        <f>'Proy 2022 vs 2019 sem'!AZ21*JJ$4</f>
        <v>12995.965476000001</v>
      </c>
      <c r="JI22" s="735"/>
      <c r="JJ22" s="700">
        <f>JI22/JG22</f>
        <v>0</v>
      </c>
      <c r="JK22" s="593">
        <f>'Proy 2022 vs 2019 sem'!AY21*JN$4</f>
        <v>14602.2084</v>
      </c>
      <c r="JL22" s="593">
        <f>'Proy 2022 vs 2019 sem'!AZ21*JN$4</f>
        <v>12995.965476000001</v>
      </c>
      <c r="JM22" s="735"/>
      <c r="JN22" s="700">
        <f>JM22/JK22</f>
        <v>0</v>
      </c>
      <c r="JO22" s="593">
        <f>'Proy 2022 vs 2019 sem'!AY21*JR$4</f>
        <v>17035.909800000001</v>
      </c>
      <c r="JP22" s="593">
        <f>'Proy 2022 vs 2019 sem'!AZ21*JR$4</f>
        <v>15161.959722000003</v>
      </c>
      <c r="JQ22" s="735"/>
      <c r="JR22" s="700">
        <f>JQ22/JO22</f>
        <v>0</v>
      </c>
      <c r="JS22" s="593">
        <f>'Proy 2022 vs 2019 sem'!AY21*JV$4</f>
        <v>19469.611200000003</v>
      </c>
      <c r="JT22" s="593">
        <f>'Proy 2022 vs 2019 sem'!AZ21*JV$4</f>
        <v>17327.953968000002</v>
      </c>
      <c r="JU22" s="735"/>
      <c r="JV22" s="700">
        <f>JU22/JS22</f>
        <v>0</v>
      </c>
      <c r="JW22" s="593">
        <f>'Proy 2022 vs 2019 sem'!AY21*JZ$4</f>
        <v>26770.715400000001</v>
      </c>
      <c r="JX22" s="593">
        <f>'Proy 2022 vs 2019 sem'!AZ21*JZ$4</f>
        <v>23825.936706000004</v>
      </c>
      <c r="JY22" s="735"/>
      <c r="JZ22" s="700">
        <f>JY22/JW22</f>
        <v>0</v>
      </c>
      <c r="KA22" s="579">
        <f>IY22+JC22+JG22+JK22+JO22+JS22+JW22</f>
        <v>121685.07</v>
      </c>
      <c r="KB22" s="574">
        <f>IZ22+JD22+JH22+JL22+JP22+JT22+JX22</f>
        <v>108299.71230000001</v>
      </c>
      <c r="KC22" s="729">
        <f>JA22+JE22+JI22+JM22+JQ22+JU22+JY22</f>
        <v>0</v>
      </c>
      <c r="KD22" s="711">
        <f>KC22/KA22</f>
        <v>0</v>
      </c>
      <c r="KE22" s="593">
        <f>'Proy 2022 vs 2019 sem'!BD21*KH$4</f>
        <v>14804.507999999998</v>
      </c>
      <c r="KF22" s="593">
        <f>'Proy 2022 vs 2019 sem'!BE21*KH$4</f>
        <v>13176.012119999999</v>
      </c>
      <c r="KG22" s="699"/>
      <c r="KH22" s="700">
        <f>KG22/KE22</f>
        <v>0</v>
      </c>
      <c r="KI22" s="593">
        <f>'Proy 2022 vs 2019 sem'!BD21*KL$4</f>
        <v>14804.507999999998</v>
      </c>
      <c r="KJ22" s="593">
        <f>'Proy 2022 vs 2019 sem'!BE21*KL$4</f>
        <v>13176.012119999999</v>
      </c>
      <c r="KK22" s="699"/>
      <c r="KL22" s="700">
        <f>KK22/KI22</f>
        <v>0</v>
      </c>
      <c r="KM22" s="593">
        <f>'Proy 2022 vs 2019 sem'!BD21*KP$4</f>
        <v>14804.507999999998</v>
      </c>
      <c r="KN22" s="593">
        <f>'Proy 2022 vs 2019 sem'!BE21*KP$4</f>
        <v>13176.012119999999</v>
      </c>
      <c r="KO22" s="699"/>
      <c r="KP22" s="700">
        <f>KO22/KM22</f>
        <v>0</v>
      </c>
      <c r="KQ22" s="593">
        <f>'Proy 2022 vs 2019 sem'!BD21*KT$4</f>
        <v>14804.507999999998</v>
      </c>
      <c r="KR22" s="593">
        <f>'Proy 2022 vs 2019 sem'!BE21*KT$4</f>
        <v>13176.012119999999</v>
      </c>
      <c r="KS22" s="699"/>
      <c r="KT22" s="700">
        <f>KS22/KQ22</f>
        <v>0</v>
      </c>
      <c r="KU22" s="593">
        <f>'Proy 2022 vs 2019 sem'!BD21*KX$4</f>
        <v>17271.925999999999</v>
      </c>
      <c r="KV22" s="593">
        <f>'Proy 2022 vs 2019 sem'!BE21*KX$4</f>
        <v>15372.014140000001</v>
      </c>
      <c r="KW22" s="699"/>
      <c r="KX22" s="700">
        <f>KW22/KU22</f>
        <v>0</v>
      </c>
      <c r="KY22" s="593">
        <f>'Proy 2022 vs 2019 sem'!BD21*LB$4</f>
        <v>19739.344000000001</v>
      </c>
      <c r="KZ22" s="593">
        <f>'Proy 2022 vs 2019 sem'!BE21*LB$4</f>
        <v>17568.016159999999</v>
      </c>
      <c r="LA22" s="699"/>
      <c r="LB22" s="700">
        <f>LA22/KY22</f>
        <v>0</v>
      </c>
      <c r="LC22" s="593">
        <f>'Proy 2022 vs 2019 sem'!BD21*LF$4</f>
        <v>27141.597999999998</v>
      </c>
      <c r="LD22" s="593">
        <f>'Proy 2022 vs 2019 sem'!BE21*LF$4</f>
        <v>24156.022219999999</v>
      </c>
      <c r="LE22" s="699"/>
      <c r="LF22" s="700">
        <f>LE22/LC22</f>
        <v>0</v>
      </c>
      <c r="LG22" s="579">
        <f>KE22+KI22+KM22+KQ22+KU22+KY22+LC22</f>
        <v>123370.89999999998</v>
      </c>
      <c r="LH22" s="574">
        <f>KF22+KJ22+KN22+KR22+KV22+KZ22+LD22</f>
        <v>109800.101</v>
      </c>
      <c r="LI22" s="730">
        <f>KG22+KK22+KO22+KS22+KW22+LA22+LE22</f>
        <v>0</v>
      </c>
      <c r="LJ22" s="711">
        <f>LI22/LG22</f>
        <v>0</v>
      </c>
      <c r="LK22" s="593">
        <f>'Proy 2022 vs 2019 sem'!BI21*LN$4</f>
        <v>15164.597999999998</v>
      </c>
      <c r="LL22" s="593">
        <f>'Proy 2022 vs 2019 sem'!BJ21*LN$4</f>
        <v>13496.492219999998</v>
      </c>
      <c r="LM22" s="699"/>
      <c r="LN22" s="700">
        <f>LM22/LK22</f>
        <v>0</v>
      </c>
      <c r="LO22" s="593">
        <f>'Proy 2022 vs 2019 sem'!BI21*LR$4</f>
        <v>15164.597999999998</v>
      </c>
      <c r="LP22" s="593">
        <f>'Proy 2022 vs 2019 sem'!BJ21*LR$4</f>
        <v>13496.492219999998</v>
      </c>
      <c r="LQ22" s="699"/>
      <c r="LR22" s="700">
        <f>LQ22/LO22</f>
        <v>0</v>
      </c>
      <c r="LS22" s="593">
        <f>'Proy 2022 vs 2019 sem'!BI21*LV$4</f>
        <v>15164.597999999998</v>
      </c>
      <c r="LT22" s="593">
        <f>'Proy 2022 vs 2019 sem'!BJ21*LV$4</f>
        <v>13496.492219999998</v>
      </c>
      <c r="LU22" s="699"/>
      <c r="LV22" s="700">
        <f>LU22/LS22</f>
        <v>0</v>
      </c>
      <c r="LW22" s="593">
        <f>'Proy 2022 vs 2019 sem'!BI21*LZ$4</f>
        <v>15164.597999999998</v>
      </c>
      <c r="LX22" s="593">
        <f>'Proy 2022 vs 2019 sem'!BJ21*LZ$4</f>
        <v>13496.492219999998</v>
      </c>
      <c r="LY22" s="699"/>
      <c r="LZ22" s="700">
        <f>LY22/LW22</f>
        <v>0</v>
      </c>
      <c r="MA22" s="593">
        <f>'Proy 2022 vs 2019 sem'!BI21*MD$4</f>
        <v>17692.031000000003</v>
      </c>
      <c r="MB22" s="593">
        <f>'Proy 2022 vs 2019 sem'!BJ21*MD$4</f>
        <v>15745.907590000001</v>
      </c>
      <c r="MC22" s="699"/>
      <c r="MD22" s="700">
        <f>MC22/MA22</f>
        <v>0</v>
      </c>
      <c r="ME22" s="593">
        <f>'Proy 2022 vs 2019 sem'!BI21*MH$4</f>
        <v>20219.464</v>
      </c>
      <c r="MF22" s="593">
        <f>'Proy 2022 vs 2019 sem'!BJ21*MH$4</f>
        <v>17995.322959999998</v>
      </c>
      <c r="MG22" s="699"/>
      <c r="MH22" s="700">
        <f>MG22/ME22</f>
        <v>0</v>
      </c>
      <c r="MI22" s="593">
        <f>'Proy 2022 vs 2019 sem'!BI21*ML$4</f>
        <v>27801.762999999999</v>
      </c>
      <c r="MJ22" s="593">
        <f>'Proy 2022 vs 2019 sem'!BJ21*ML$4</f>
        <v>24743.569069999998</v>
      </c>
      <c r="MK22" s="699"/>
      <c r="ML22" s="700">
        <f>MK22/MI22</f>
        <v>0</v>
      </c>
      <c r="MM22" s="579">
        <f>LK22+LO22+LS22+LW22+MA22+ME22+MI22</f>
        <v>126371.65</v>
      </c>
      <c r="MN22" s="574">
        <f>LL22+LP22+LT22+LX22+MB22+MF22+MJ22</f>
        <v>112470.76849999998</v>
      </c>
      <c r="MO22" s="730">
        <f>LM22+LQ22+LU22+LY22+MC22+MG22+MK22</f>
        <v>0</v>
      </c>
      <c r="MP22" s="711">
        <f>MO22/MM22</f>
        <v>0</v>
      </c>
      <c r="MQ22" s="593">
        <f>'Proy 2022 vs 2019 sem'!BN21*MT$4</f>
        <v>15455.751599999998</v>
      </c>
      <c r="MR22" s="593">
        <f>'Proy 2022 vs 2019 sem'!BO21*MT$4</f>
        <v>13446.503891999999</v>
      </c>
      <c r="MS22" s="699"/>
      <c r="MT22" s="700">
        <f>MS22/MQ22</f>
        <v>0</v>
      </c>
      <c r="MU22" s="593">
        <f>'Proy 2022 vs 2019 sem'!BN21*MX$4</f>
        <v>15455.751599999998</v>
      </c>
      <c r="MV22" s="593">
        <f>'Proy 2022 vs 2019 sem'!BO21*MX$4</f>
        <v>13446.503891999999</v>
      </c>
      <c r="MW22" s="699"/>
      <c r="MX22" s="700">
        <f>MW22/MU22</f>
        <v>0</v>
      </c>
      <c r="MY22" s="593">
        <f>'Proy 2022 vs 2019 sem'!BN21*NB$4</f>
        <v>15455.751599999998</v>
      </c>
      <c r="MZ22" s="593">
        <f>'Proy 2022 vs 2019 sem'!BO21*NB$4</f>
        <v>13446.503891999999</v>
      </c>
      <c r="NA22" s="699"/>
      <c r="NB22" s="700">
        <f>NA22/MY22</f>
        <v>0</v>
      </c>
      <c r="NC22" s="593">
        <f>'Proy 2022 vs 2019 sem'!BN21*NF$4</f>
        <v>15455.751599999998</v>
      </c>
      <c r="ND22" s="593">
        <f>'Proy 2022 vs 2019 sem'!BO21*NF$4</f>
        <v>13446.503891999999</v>
      </c>
      <c r="NE22" s="699"/>
      <c r="NF22" s="700">
        <f>NE22/NC22</f>
        <v>0</v>
      </c>
      <c r="NG22" s="593">
        <f>'Proy 2022 vs 2019 sem'!BN21*NJ$4</f>
        <v>18031.710200000001</v>
      </c>
      <c r="NH22" s="593">
        <f>'Proy 2022 vs 2019 sem'!BO21*NJ$4</f>
        <v>15687.587874000001</v>
      </c>
      <c r="NI22" s="699"/>
      <c r="NJ22" s="700">
        <f>NI22/NG22</f>
        <v>0</v>
      </c>
      <c r="NK22" s="593">
        <f>'Proy 2022 vs 2019 sem'!BN21*NN$4</f>
        <v>20607.668799999999</v>
      </c>
      <c r="NL22" s="593">
        <f>'Proy 2022 vs 2019 sem'!BO21*NN$4</f>
        <v>17928.671856000001</v>
      </c>
      <c r="NM22" s="699"/>
      <c r="NN22" s="700">
        <f>NM22/NK22</f>
        <v>0</v>
      </c>
      <c r="NO22" s="593">
        <f>'Proy 2022 vs 2019 sem'!BN21*NR$4</f>
        <v>28335.544599999997</v>
      </c>
      <c r="NP22" s="593">
        <f>'Proy 2022 vs 2019 sem'!BO21*NR$4</f>
        <v>24651.923802000001</v>
      </c>
      <c r="NQ22" s="699"/>
      <c r="NR22" s="700">
        <f>NQ22/NO22</f>
        <v>0</v>
      </c>
      <c r="NS22" s="579">
        <f>MQ22+MU22+MY22+NC22+NG22+NK22+NO22</f>
        <v>128797.92999999998</v>
      </c>
      <c r="NT22" s="574">
        <f>MR22+MV22+MZ22+ND22+NH22+NL22+NP22</f>
        <v>112054.1991</v>
      </c>
      <c r="NU22" s="710">
        <f>MS22+MW22+NA22+NE22+NI22+NM22+NQ22</f>
        <v>0</v>
      </c>
      <c r="NV22" s="711">
        <f>NU22/NS22</f>
        <v>0</v>
      </c>
      <c r="NW22" s="593">
        <f>'Proy 2022 vs 2019 sem'!BS21*NZ$4</f>
        <v>16397.151599999997</v>
      </c>
      <c r="NX22" s="593">
        <f>'Proy 2022 vs 2019 sem'!BT21*NZ$4</f>
        <v>14593.464924</v>
      </c>
      <c r="NY22" s="699"/>
      <c r="NZ22" s="700">
        <f>NY22/NW22</f>
        <v>0</v>
      </c>
      <c r="OA22" s="593">
        <f>'Proy 2022 vs 2019 sem'!BS21*OD$4</f>
        <v>16397.151599999997</v>
      </c>
      <c r="OB22" s="593">
        <f>'Proy 2022 vs 2019 sem'!BT21*OD$4</f>
        <v>14593.464924</v>
      </c>
      <c r="OC22" s="699"/>
      <c r="OD22" s="700">
        <f>OC22/OA22</f>
        <v>0</v>
      </c>
      <c r="OE22" s="593">
        <f>'Proy 2022 vs 2019 sem'!BS21*OH$4</f>
        <v>16397.151599999997</v>
      </c>
      <c r="OF22" s="593">
        <f>'Proy 2022 vs 2019 sem'!BT21*OH$4</f>
        <v>14593.464924</v>
      </c>
      <c r="OG22" s="699"/>
      <c r="OH22" s="700">
        <f>OG22/OE22</f>
        <v>0</v>
      </c>
      <c r="OI22" s="593">
        <f>'Proy 2022 vs 2019 sem'!BS21*OL$4</f>
        <v>16397.151599999997</v>
      </c>
      <c r="OJ22" s="593">
        <f>'Proy 2022 vs 2019 sem'!BT21*OL$4</f>
        <v>14593.464924</v>
      </c>
      <c r="OK22" s="699"/>
      <c r="OL22" s="700">
        <f>OK22/OI22</f>
        <v>0</v>
      </c>
      <c r="OM22" s="593">
        <f>'Proy 2022 vs 2019 sem'!BS21*OP$4</f>
        <v>19130.010200000001</v>
      </c>
      <c r="ON22" s="593">
        <f>'Proy 2022 vs 2019 sem'!BT21*OP$4</f>
        <v>17025.709078</v>
      </c>
      <c r="OO22" s="699"/>
      <c r="OP22" s="700">
        <f>OO22/OM22</f>
        <v>0</v>
      </c>
      <c r="OQ22" s="593">
        <f>'Proy 2022 vs 2019 sem'!BS21*OT$4</f>
        <v>21862.8688</v>
      </c>
      <c r="OR22" s="593">
        <f>'Proy 2022 vs 2019 sem'!BT21*OT$4</f>
        <v>19457.953232</v>
      </c>
      <c r="OS22" s="699"/>
      <c r="OT22" s="700">
        <f>OS22/OQ22</f>
        <v>0</v>
      </c>
      <c r="OU22" s="593">
        <f>'Proy 2022 vs 2019 sem'!BS21*OX$4</f>
        <v>30061.444599999999</v>
      </c>
      <c r="OV22" s="593">
        <f>'Proy 2022 vs 2019 sem'!BT21*OX$4</f>
        <v>26754.685694</v>
      </c>
      <c r="OW22" s="699"/>
      <c r="OX22" s="700">
        <f>OW22/OU22</f>
        <v>0</v>
      </c>
      <c r="OY22" s="579">
        <f>NW22+OA22+OE22+OI22+OM22+OQ22+OU22</f>
        <v>136642.93</v>
      </c>
      <c r="OZ22" s="574">
        <f>NX22+OB22+OF22+OJ22+ON22+OR22+OV22</f>
        <v>121612.2077</v>
      </c>
      <c r="PA22" s="710">
        <f>NY22+OC22+OG22+OK22+OO22+OS22+OW22</f>
        <v>0</v>
      </c>
      <c r="PB22" s="711">
        <f>PA22/OY22</f>
        <v>0</v>
      </c>
      <c r="PC22" s="593">
        <f>'Proy 2022 vs 2019 sem'!CB21*PF$4</f>
        <v>15461.237999999999</v>
      </c>
      <c r="PD22" s="593">
        <f>'Proy 2022 vs 2019 sem'!CC21*PF$4</f>
        <v>13760.501819999999</v>
      </c>
      <c r="PE22" s="735"/>
      <c r="PF22" s="700">
        <f>PE22/PC22</f>
        <v>0</v>
      </c>
      <c r="PG22" s="593">
        <f>'Proy 2022 vs 2019 sem'!CB21*PJ$4</f>
        <v>15461.237999999999</v>
      </c>
      <c r="PH22" s="593">
        <f>'Proy 2022 vs 2019 sem'!CC21*PJ$4</f>
        <v>13760.501819999999</v>
      </c>
      <c r="PI22" s="699"/>
      <c r="PJ22" s="700">
        <f>PI22/PG22</f>
        <v>0</v>
      </c>
      <c r="PK22" s="593">
        <f>'Proy 2022 vs 2019 sem'!CB21*PN$4</f>
        <v>15461.237999999999</v>
      </c>
      <c r="PL22" s="593">
        <f>'Proy 2022 vs 2019 sem'!CC21*PN$4</f>
        <v>13760.501819999999</v>
      </c>
      <c r="PM22" s="699"/>
      <c r="PN22" s="700">
        <f>PM22/PK22</f>
        <v>0</v>
      </c>
      <c r="PO22" s="593">
        <f>'Proy 2022 vs 2019 sem'!CB21*PR$4</f>
        <v>15461.237999999999</v>
      </c>
      <c r="PP22" s="593">
        <f>'Proy 2022 vs 2019 sem'!CC21*PR$4</f>
        <v>13760.501819999999</v>
      </c>
      <c r="PQ22" s="699"/>
      <c r="PR22" s="700">
        <f>PQ22/PO22</f>
        <v>0</v>
      </c>
      <c r="PS22" s="593">
        <f>'Proy 2022 vs 2019 sem'!CB21*PV$4</f>
        <v>18038.111000000001</v>
      </c>
      <c r="PT22" s="593">
        <f>'Proy 2022 vs 2019 sem'!CC21*PV$4</f>
        <v>16053.91879</v>
      </c>
      <c r="PU22" s="699"/>
      <c r="PV22" s="700">
        <f>PU22/PS22</f>
        <v>0</v>
      </c>
      <c r="PW22" s="593">
        <f>'Proy 2022 vs 2019 sem'!CB21*PZ$4</f>
        <v>20614.984</v>
      </c>
      <c r="PX22" s="593">
        <f>'Proy 2022 vs 2019 sem'!CC21*PZ$4</f>
        <v>18347.335759999998</v>
      </c>
      <c r="PY22" s="699"/>
      <c r="PZ22" s="700">
        <f>PY22/PW22</f>
        <v>0</v>
      </c>
      <c r="QA22" s="593">
        <f>'Proy 2022 vs 2019 sem'!CB21*QD$4</f>
        <v>28345.602999999999</v>
      </c>
      <c r="QB22" s="593">
        <f>'Proy 2022 vs 2019 sem'!CC21*QD$4</f>
        <v>25227.586669999997</v>
      </c>
      <c r="QC22" s="699"/>
      <c r="QD22" s="700">
        <f>QC22/QA22</f>
        <v>0</v>
      </c>
      <c r="QE22" s="579">
        <f>PC22+PG22+PK22+PO22+PS22+PW22+QA22</f>
        <v>128843.65</v>
      </c>
      <c r="QF22" s="574">
        <f>PD22+PH22+PL22+PP22+PT22+PX22+QB22</f>
        <v>114670.84849999999</v>
      </c>
      <c r="QG22" s="793">
        <f>PE22+PI22+PM22+PQ22+PU22+PY22+QC22</f>
        <v>0</v>
      </c>
      <c r="QH22" s="786">
        <f>QG22/QE22</f>
        <v>0</v>
      </c>
      <c r="QI22" s="593">
        <f>'Proy 2022 vs 2019 sem'!CG21*QL$4</f>
        <v>16143.265199999998</v>
      </c>
      <c r="QJ22" s="593">
        <f>'Proy 2022 vs 2019 sem'!CH21*QL$4</f>
        <v>14367.506028</v>
      </c>
      <c r="QK22" s="699"/>
      <c r="QL22" s="700">
        <f>QK22/QI22</f>
        <v>0</v>
      </c>
      <c r="QM22" s="593">
        <f>'Proy 2022 vs 2019 sem'!CG21*QP$4</f>
        <v>16143.265199999998</v>
      </c>
      <c r="QN22" s="593">
        <f>'Proy 2022 vs 2019 sem'!CH21*QP$4</f>
        <v>14367.506028</v>
      </c>
      <c r="QO22" s="699"/>
      <c r="QP22" s="700">
        <f>QO22/QM22</f>
        <v>0</v>
      </c>
      <c r="QQ22" s="593">
        <f>'Proy 2022 vs 2019 sem'!CG21*QT$4</f>
        <v>16143.265199999998</v>
      </c>
      <c r="QR22" s="593">
        <f>'Proy 2022 vs 2019 sem'!CH21*QT$4</f>
        <v>14367.506028</v>
      </c>
      <c r="QS22" s="699"/>
      <c r="QT22" s="700">
        <f>QS22/QQ22</f>
        <v>0</v>
      </c>
      <c r="QU22" s="593">
        <f>'Proy 2022 vs 2019 sem'!CG21*QX$4</f>
        <v>16143.265199999998</v>
      </c>
      <c r="QV22" s="593">
        <f>'Proy 2022 vs 2019 sem'!CH21*QX$4</f>
        <v>14367.506028</v>
      </c>
      <c r="QW22" s="699"/>
      <c r="QX22" s="700">
        <f>QW22/QU22</f>
        <v>0</v>
      </c>
      <c r="QY22" s="593">
        <f>'Proy 2022 vs 2019 sem'!CG21*RB$4</f>
        <v>18833.809400000002</v>
      </c>
      <c r="QZ22" s="593">
        <f>'Proy 2022 vs 2019 sem'!CH21*RB$4</f>
        <v>16762.090366</v>
      </c>
      <c r="RA22" s="699"/>
      <c r="RB22" s="700">
        <f>RA22/QY22</f>
        <v>0</v>
      </c>
      <c r="RC22" s="593">
        <f>'Proy 2022 vs 2019 sem'!CG21*RF$4</f>
        <v>21524.353599999999</v>
      </c>
      <c r="RD22" s="593">
        <f>'Proy 2022 vs 2019 sem'!CH21*RF$4</f>
        <v>19156.674704000001</v>
      </c>
      <c r="RE22" s="699"/>
      <c r="RF22" s="700">
        <f>RE22/RC22</f>
        <v>0</v>
      </c>
      <c r="RG22" s="593">
        <f>'Proy 2022 vs 2019 sem'!CG21*RJ$4</f>
        <v>29595.986199999999</v>
      </c>
      <c r="RH22" s="593">
        <f>'Proy 2022 vs 2019 sem'!CH21*RJ$4</f>
        <v>26340.427717999999</v>
      </c>
      <c r="RI22" s="699"/>
      <c r="RJ22" s="700">
        <f>RI22/RG22</f>
        <v>0</v>
      </c>
      <c r="RK22" s="579">
        <f>QI22+QM22+QQ22+QU22+QY22+RC22+RG22</f>
        <v>134527.21</v>
      </c>
      <c r="RL22" s="574">
        <f>QJ22+QN22+QR22+QV22+QZ22+RD22+RH22</f>
        <v>119729.2169</v>
      </c>
      <c r="RM22" s="794">
        <f>QK22+QO22+QS22+QW22+RA22+RE22+RI22</f>
        <v>0</v>
      </c>
      <c r="RN22" s="786">
        <f>RM22/RK22</f>
        <v>0</v>
      </c>
      <c r="RO22" s="593">
        <f>'Proy 2022 vs 2019 sem'!CL21*RR$4</f>
        <v>15578.036399999999</v>
      </c>
      <c r="RP22" s="593">
        <f>'Proy 2022 vs 2019 sem'!CM21*RR$4</f>
        <v>13864.452396000001</v>
      </c>
      <c r="RQ22" s="699"/>
      <c r="RR22" s="700">
        <f>RQ22/RO22</f>
        <v>0</v>
      </c>
      <c r="RS22" s="593">
        <f>'Proy 2022 vs 2019 sem'!CL21*RV$4</f>
        <v>15578.036399999999</v>
      </c>
      <c r="RT22" s="593">
        <f>'Proy 2022 vs 2019 sem'!CM21*RV$4</f>
        <v>13864.452396000001</v>
      </c>
      <c r="RU22" s="699"/>
      <c r="RV22" s="700">
        <f>RU22/RS22</f>
        <v>0</v>
      </c>
      <c r="RW22" s="593">
        <f>'Proy 2022 vs 2019 sem'!CL21*RZ$4</f>
        <v>15578.036399999999</v>
      </c>
      <c r="RX22" s="593">
        <f>'Proy 2022 vs 2019 sem'!CM21*RZ$4</f>
        <v>13864.452396000001</v>
      </c>
      <c r="RY22" s="699"/>
      <c r="RZ22" s="700">
        <f>RY22/RW22</f>
        <v>0</v>
      </c>
      <c r="SA22" s="593">
        <f>'Proy 2022 vs 2019 sem'!CL21*SD$4</f>
        <v>15578.036399999999</v>
      </c>
      <c r="SB22" s="593">
        <f>'Proy 2022 vs 2019 sem'!CM21*SD$4</f>
        <v>13864.452396000001</v>
      </c>
      <c r="SC22" s="699"/>
      <c r="SD22" s="700">
        <f>SC22/SA22</f>
        <v>0</v>
      </c>
      <c r="SE22" s="593">
        <f>'Proy 2022 vs 2019 sem'!CL21*SH$4</f>
        <v>18174.375800000002</v>
      </c>
      <c r="SF22" s="593">
        <f>'Proy 2022 vs 2019 sem'!CM21*SH$4</f>
        <v>16175.194462000001</v>
      </c>
      <c r="SG22" s="699"/>
      <c r="SH22" s="700">
        <f>SG22/SE22</f>
        <v>0</v>
      </c>
      <c r="SI22" s="593">
        <f>'Proy 2022 vs 2019 sem'!CL21*SL$4</f>
        <v>20770.715200000002</v>
      </c>
      <c r="SJ22" s="593">
        <f>'Proy 2022 vs 2019 sem'!CM21*SL$4</f>
        <v>18485.936528000002</v>
      </c>
      <c r="SK22" s="699"/>
      <c r="SL22" s="700">
        <f>SK22/SI22</f>
        <v>0</v>
      </c>
      <c r="SM22" s="593">
        <f>'Proy 2022 vs 2019 sem'!CL21*SP$4</f>
        <v>28559.733400000001</v>
      </c>
      <c r="SN22" s="593">
        <f>'Proy 2022 vs 2019 sem'!CM21*SP$4</f>
        <v>25418.162726000002</v>
      </c>
      <c r="SO22" s="699"/>
      <c r="SP22" s="700">
        <f>SO22/SM22</f>
        <v>0</v>
      </c>
      <c r="SQ22" s="579">
        <f>RO22+RS22+RW22+SA22+SE22+SI22+SM22</f>
        <v>129816.97</v>
      </c>
      <c r="SR22" s="574">
        <f>RP22+RT22+RX22+SB22+SF22+SJ22+SN22</f>
        <v>115537.10330000002</v>
      </c>
      <c r="SS22" s="794">
        <f>RQ22+RU22+RY22+SC22+SG22+SK22+SO22</f>
        <v>0</v>
      </c>
      <c r="ST22" s="786">
        <f>SS22/SQ22</f>
        <v>0</v>
      </c>
      <c r="SU22" s="593">
        <f>'Proy 2022 vs 2019 sem'!CQ21*SX$4</f>
        <v>18663.2268</v>
      </c>
      <c r="SV22" s="593">
        <f>'Proy 2022 vs 2019 sem'!CR21*SX$4</f>
        <v>16796.904120000003</v>
      </c>
      <c r="SW22" s="699"/>
      <c r="SX22" s="700">
        <f>SW22/SU22</f>
        <v>0</v>
      </c>
      <c r="SY22" s="593">
        <f>'Proy 2022 vs 2019 sem'!CQ21*TB$4</f>
        <v>18663.2268</v>
      </c>
      <c r="SZ22" s="593">
        <f>'Proy 2022 vs 2019 sem'!CR21*TB$4</f>
        <v>16796.904120000003</v>
      </c>
      <c r="TA22" s="699"/>
      <c r="TB22" s="700">
        <f>TA22/SY22</f>
        <v>0</v>
      </c>
      <c r="TC22" s="593">
        <f>'Proy 2022 vs 2019 sem'!CQ21*TF$4</f>
        <v>18663.2268</v>
      </c>
      <c r="TD22" s="593">
        <f>'Proy 2022 vs 2019 sem'!CR21*TF$4</f>
        <v>16796.904120000003</v>
      </c>
      <c r="TE22" s="699"/>
      <c r="TF22" s="700">
        <f>TE22/TC22</f>
        <v>0</v>
      </c>
      <c r="TG22" s="593">
        <f>'Proy 2022 vs 2019 sem'!CQ21*TJ$4</f>
        <v>18663.2268</v>
      </c>
      <c r="TH22" s="593">
        <f>'Proy 2022 vs 2019 sem'!CR21*TJ$4</f>
        <v>16796.904120000003</v>
      </c>
      <c r="TI22" s="699"/>
      <c r="TJ22" s="700">
        <f>TI22/TG22</f>
        <v>0</v>
      </c>
      <c r="TK22" s="593">
        <f>'Proy 2022 vs 2019 sem'!CQ21*TN$4</f>
        <v>21773.764600000002</v>
      </c>
      <c r="TL22" s="593">
        <f>'Proy 2022 vs 2019 sem'!CR21*TN$4</f>
        <v>19596.388140000006</v>
      </c>
      <c r="TM22" s="699"/>
      <c r="TN22" s="700">
        <f>TM22/TK22</f>
        <v>0</v>
      </c>
      <c r="TO22" s="593">
        <f>'Proy 2022 vs 2019 sem'!CQ21*TR$4</f>
        <v>24884.302400000004</v>
      </c>
      <c r="TP22" s="593">
        <f>'Proy 2022 vs 2019 sem'!CR21*TR$4</f>
        <v>22395.872160000006</v>
      </c>
      <c r="TQ22" s="699"/>
      <c r="TR22" s="700">
        <f>TQ22/TO22</f>
        <v>0</v>
      </c>
      <c r="TS22" s="593">
        <f>'Proy 2022 vs 2019 sem'!CQ21*TV$4</f>
        <v>34215.915800000002</v>
      </c>
      <c r="TT22" s="593">
        <f>'Proy 2022 vs 2019 sem'!CR21*TV$4</f>
        <v>30794.324220000006</v>
      </c>
      <c r="TU22" s="699"/>
      <c r="TV22" s="700">
        <f>TU22/TS22</f>
        <v>0</v>
      </c>
      <c r="TW22" s="579">
        <f>SU22+SY22+TC22+TG22+TK22+TO22+TS22</f>
        <v>155526.89000000001</v>
      </c>
      <c r="TX22" s="574">
        <f>SV22+SZ22+TD22+TH22+TL22+TP22+TT22</f>
        <v>139974.20100000003</v>
      </c>
      <c r="TY22" s="785">
        <f>SW22+TA22+TE22+TI22+TM22+TQ22+TU22</f>
        <v>0</v>
      </c>
      <c r="TZ22" s="786">
        <f>TY22/TW22</f>
        <v>0</v>
      </c>
      <c r="UA22" s="593">
        <f>'Proy 2022 vs 2019 sem'!CZ21*UD$4</f>
        <v>20795.240400000002</v>
      </c>
      <c r="UB22" s="593">
        <f>'Proy 2022 vs 2019 sem'!DA21*UD$4</f>
        <v>18507.763956000003</v>
      </c>
      <c r="UC22" s="735"/>
      <c r="UD22" s="700">
        <f>UC22/UA22</f>
        <v>0</v>
      </c>
      <c r="UE22" s="593">
        <f>'Proy 2022 vs 2019 sem'!CZ21*UH$4</f>
        <v>20795.240400000002</v>
      </c>
      <c r="UF22" s="593">
        <f>'Proy 2022 vs 2019 sem'!DA21*UH$4</f>
        <v>18507.763956000003</v>
      </c>
      <c r="UG22" s="699"/>
      <c r="UH22" s="700">
        <f>UG22/UE22</f>
        <v>0</v>
      </c>
      <c r="UI22" s="593">
        <f>'Proy 2022 vs 2019 sem'!CZ21*UL$4</f>
        <v>20795.240400000002</v>
      </c>
      <c r="UJ22" s="593">
        <f>'Proy 2022 vs 2019 sem'!DA21*UL$4</f>
        <v>18507.763956000003</v>
      </c>
      <c r="UK22" s="699"/>
      <c r="UL22" s="700">
        <f>UK22/UI22</f>
        <v>0</v>
      </c>
      <c r="UM22" s="593">
        <f>'Proy 2022 vs 2019 sem'!CZ21*UP$4</f>
        <v>20795.240400000002</v>
      </c>
      <c r="UN22" s="593">
        <f>'Proy 2022 vs 2019 sem'!DA21*UP$4</f>
        <v>18507.763956000003</v>
      </c>
      <c r="UO22" s="699"/>
      <c r="UP22" s="700">
        <f>UO22/UM22</f>
        <v>0</v>
      </c>
      <c r="UQ22" s="593">
        <f>'Proy 2022 vs 2019 sem'!CZ21*UT$4</f>
        <v>24261.113800000003</v>
      </c>
      <c r="UR22" s="593">
        <f>'Proy 2022 vs 2019 sem'!DA21*UT$4</f>
        <v>21592.391282000004</v>
      </c>
      <c r="US22" s="699"/>
      <c r="UT22" s="700">
        <f>US22/UQ22</f>
        <v>0</v>
      </c>
      <c r="UU22" s="593">
        <f>'Proy 2022 vs 2019 sem'!CZ21*UX$4</f>
        <v>27726.987200000003</v>
      </c>
      <c r="UV22" s="593">
        <f>'Proy 2022 vs 2019 sem'!DA21*UX$4</f>
        <v>24677.018608000006</v>
      </c>
      <c r="UW22" s="699"/>
      <c r="UX22" s="700">
        <f>UW22/UU22</f>
        <v>0</v>
      </c>
      <c r="UY22" s="593">
        <f>'Proy 2022 vs 2019 sem'!CZ21*VB$4</f>
        <v>38124.607400000001</v>
      </c>
      <c r="UZ22" s="593">
        <f>'Proy 2022 vs 2019 sem'!DA21*VB$4</f>
        <v>33930.900586000003</v>
      </c>
      <c r="VA22" s="699"/>
      <c r="VB22" s="700">
        <f>VA22/UY22</f>
        <v>0</v>
      </c>
      <c r="VC22" s="579">
        <f>UA22+UE22+UI22+UM22+UQ22+UU22+UY22</f>
        <v>173293.67</v>
      </c>
      <c r="VD22" s="574">
        <f>UB22+UF22+UJ22+UN22+UR22+UV22+UZ22</f>
        <v>154231.36630000002</v>
      </c>
      <c r="VE22" s="759">
        <f>UC22+UG22+UK22+UO22+US22+UW22+VA22</f>
        <v>0</v>
      </c>
      <c r="VF22" s="761">
        <f>VE22/VC22</f>
        <v>0</v>
      </c>
      <c r="VG22" s="593">
        <f>'Proy 2022 vs 2019 sem'!DE21*VJ$4</f>
        <v>16430.636399999999</v>
      </c>
      <c r="VH22" s="593">
        <f>'Proy 2022 vs 2019 sem'!DF21*VJ$4</f>
        <v>14623.266395999999</v>
      </c>
      <c r="VI22" s="699"/>
      <c r="VJ22" s="700">
        <f>VI22/VG22</f>
        <v>0</v>
      </c>
      <c r="VK22" s="593">
        <f>'Proy 2022 vs 2019 sem'!DE21*VN$4</f>
        <v>16430.636399999999</v>
      </c>
      <c r="VL22" s="593">
        <f>'Proy 2022 vs 2019 sem'!DF21*VN$4</f>
        <v>14623.266395999999</v>
      </c>
      <c r="VM22" s="699"/>
      <c r="VN22" s="700">
        <f>VM22/VK22</f>
        <v>0</v>
      </c>
      <c r="VO22" s="593">
        <f>'Proy 2022 vs 2019 sem'!DE21*VR$4</f>
        <v>16430.636399999999</v>
      </c>
      <c r="VP22" s="593">
        <f>'Proy 2022 vs 2019 sem'!DF21*VR$4</f>
        <v>14623.266395999999</v>
      </c>
      <c r="VQ22" s="699"/>
      <c r="VR22" s="700">
        <f>VQ22/VO22</f>
        <v>0</v>
      </c>
      <c r="VS22" s="593">
        <f>'Proy 2022 vs 2019 sem'!DE21*VV$4</f>
        <v>16430.636399999999</v>
      </c>
      <c r="VT22" s="593">
        <f>'Proy 2022 vs 2019 sem'!DF21*VV$4</f>
        <v>14623.266395999999</v>
      </c>
      <c r="VU22" s="699"/>
      <c r="VV22" s="700">
        <f>VU22/VS22</f>
        <v>0</v>
      </c>
      <c r="VW22" s="593">
        <f>'Proy 2022 vs 2019 sem'!DE21*VZ$4</f>
        <v>19169.075800000002</v>
      </c>
      <c r="VX22" s="593">
        <f>'Proy 2022 vs 2019 sem'!DF21*VZ$4</f>
        <v>17060.477462000003</v>
      </c>
      <c r="VY22" s="699"/>
      <c r="VZ22" s="700">
        <f>VY22/VW22</f>
        <v>0</v>
      </c>
      <c r="WA22" s="593">
        <f>'Proy 2022 vs 2019 sem'!DE21*WD$4</f>
        <v>21907.515200000002</v>
      </c>
      <c r="WB22" s="593">
        <f>'Proy 2022 vs 2019 sem'!DF21*WD$4</f>
        <v>19497.688527999999</v>
      </c>
      <c r="WC22" s="699"/>
      <c r="WD22" s="700">
        <f>WC22/WA22</f>
        <v>0</v>
      </c>
      <c r="WE22" s="593">
        <f>'Proy 2022 vs 2019 sem'!DE21*WH$4</f>
        <v>30122.8334</v>
      </c>
      <c r="WF22" s="593">
        <f>'Proy 2022 vs 2019 sem'!DF21*WH$4</f>
        <v>26809.321725999998</v>
      </c>
      <c r="WG22" s="699"/>
      <c r="WH22" s="700">
        <f>WG22/WE22</f>
        <v>0</v>
      </c>
      <c r="WI22" s="579">
        <f>VG22+VK22+VO22+VS22+VW22+WA22+WE22</f>
        <v>136921.97</v>
      </c>
      <c r="WJ22" s="574">
        <f>VH22+VL22+VP22+VT22+VX22+WB22+WF22</f>
        <v>121860.5533</v>
      </c>
      <c r="WK22" s="765">
        <f>VI22+VM22+VQ22+VU22+VY22+WC22+WG22</f>
        <v>0</v>
      </c>
      <c r="WL22" s="761">
        <f>WK22/WI22</f>
        <v>0</v>
      </c>
      <c r="WM22" s="593">
        <f>'Proy 2022 vs 2019 sem'!DJ21*WP$4</f>
        <v>13446.760799999998</v>
      </c>
      <c r="WN22" s="593">
        <f>'Proy 2022 vs 2019 sem'!DK21*WP$4</f>
        <v>11967.617111999998</v>
      </c>
      <c r="WO22" s="699"/>
      <c r="WP22" s="700">
        <f>WO22/WM22</f>
        <v>0</v>
      </c>
      <c r="WQ22" s="593">
        <f>'Proy 2022 vs 2019 sem'!DJ21*WT$4</f>
        <v>13446.760799999998</v>
      </c>
      <c r="WR22" s="593">
        <f>'Proy 2022 vs 2019 sem'!DK21*WT$4</f>
        <v>11967.617111999998</v>
      </c>
      <c r="WS22" s="699"/>
      <c r="WT22" s="700">
        <f>WS22/WQ22</f>
        <v>0</v>
      </c>
      <c r="WU22" s="593">
        <f>'Proy 2022 vs 2019 sem'!DJ21*WX$4</f>
        <v>13446.760799999998</v>
      </c>
      <c r="WV22" s="593">
        <f>'Proy 2022 vs 2019 sem'!DK21*WX$4</f>
        <v>11967.617111999998</v>
      </c>
      <c r="WW22" s="699"/>
      <c r="WX22" s="700">
        <f>WW22/WU22</f>
        <v>0</v>
      </c>
      <c r="WY22" s="593">
        <f>'Proy 2022 vs 2019 sem'!DJ21*XB$4</f>
        <v>13446.760799999998</v>
      </c>
      <c r="WZ22" s="593">
        <f>'Proy 2022 vs 2019 sem'!DK21*XB$4</f>
        <v>11967.617111999998</v>
      </c>
      <c r="XA22" s="699"/>
      <c r="XB22" s="700">
        <f>XA22/WY22</f>
        <v>0</v>
      </c>
      <c r="XC22" s="593">
        <f>'Proy 2022 vs 2019 sem'!DJ21*XF$4</f>
        <v>15687.887600000002</v>
      </c>
      <c r="XD22" s="593">
        <f>'Proy 2022 vs 2019 sem'!DK21*XF$4</f>
        <v>13962.219964</v>
      </c>
      <c r="XE22" s="699"/>
      <c r="XF22" s="700">
        <f>XE22/XC22</f>
        <v>0</v>
      </c>
      <c r="XG22" s="593">
        <f>'Proy 2022 vs 2019 sem'!DJ21*XJ$4</f>
        <v>17929.0144</v>
      </c>
      <c r="XH22" s="593">
        <f>'Proy 2022 vs 2019 sem'!DK21*XJ$4</f>
        <v>15956.822816</v>
      </c>
      <c r="XI22" s="699"/>
      <c r="XJ22" s="700">
        <f>XI22/XG22</f>
        <v>0</v>
      </c>
      <c r="XK22" s="593">
        <f>'Proy 2022 vs 2019 sem'!DJ21*XN$4</f>
        <v>24652.394799999998</v>
      </c>
      <c r="XL22" s="593">
        <f>'Proy 2022 vs 2019 sem'!DK21*XN$4</f>
        <v>21940.631372</v>
      </c>
      <c r="XM22" s="699"/>
      <c r="XN22" s="700">
        <f>XM22/XK22</f>
        <v>0</v>
      </c>
      <c r="XO22" s="579">
        <f>WM22+WQ22+WU22+WY22+XC22+XG22+XK22</f>
        <v>112056.34</v>
      </c>
      <c r="XP22" s="574">
        <f>WN22+WR22+WV22+WZ22+XD22+XH22+XL22</f>
        <v>99730.142599999992</v>
      </c>
      <c r="XQ22" s="765">
        <f>WO22+WS22+WW22+XA22+XE22+XI22+XM22</f>
        <v>0</v>
      </c>
      <c r="XR22" s="761">
        <f>XQ22/XO22</f>
        <v>0</v>
      </c>
      <c r="XS22" s="593">
        <f>'Proy 2022 vs 2019 sem'!DO21*XV$4</f>
        <v>14208.141599999999</v>
      </c>
      <c r="XT22" s="593">
        <f>'Proy 2022 vs 2019 sem'!DP21*XV$4</f>
        <v>12645.246024</v>
      </c>
      <c r="XU22" s="699"/>
      <c r="XV22" s="700">
        <f>XU22/XS22</f>
        <v>0</v>
      </c>
      <c r="XW22" s="593">
        <f>'Proy 2022 vs 2019 sem'!DO21*XZ$4</f>
        <v>14208.141599999999</v>
      </c>
      <c r="XX22" s="593">
        <f>'Proy 2022 vs 2019 sem'!DP21*XZ$4</f>
        <v>12645.246024</v>
      </c>
      <c r="XY22" s="699"/>
      <c r="XZ22" s="700">
        <f>XY22/XW22</f>
        <v>0</v>
      </c>
      <c r="YA22" s="593">
        <f>'Proy 2022 vs 2019 sem'!DO21*YD$4</f>
        <v>14208.141599999999</v>
      </c>
      <c r="YB22" s="593">
        <f>'Proy 2022 vs 2019 sem'!DP21*YD$4</f>
        <v>12645.246024</v>
      </c>
      <c r="YC22" s="699"/>
      <c r="YD22" s="700">
        <f>YC22/YA22</f>
        <v>0</v>
      </c>
      <c r="YE22" s="593">
        <f>'Proy 2022 vs 2019 sem'!DO21*YH$4</f>
        <v>14208.141599999999</v>
      </c>
      <c r="YF22" s="593">
        <f>'Proy 2022 vs 2019 sem'!DP21*YH$4</f>
        <v>12645.246024</v>
      </c>
      <c r="YG22" s="699"/>
      <c r="YH22" s="700">
        <f>YG22/YE22</f>
        <v>0</v>
      </c>
      <c r="YI22" s="593">
        <f>'Proy 2022 vs 2019 sem'!DO21*YL$4</f>
        <v>16576.165199999999</v>
      </c>
      <c r="YJ22" s="593">
        <f>'Proy 2022 vs 2019 sem'!DP21*YL$4</f>
        <v>14752.787028000001</v>
      </c>
      <c r="YK22" s="699"/>
      <c r="YL22" s="700">
        <f>YK22/YI22</f>
        <v>0</v>
      </c>
      <c r="YM22" s="593">
        <f>'Proy 2022 vs 2019 sem'!DO21*YP$4</f>
        <v>18944.1888</v>
      </c>
      <c r="YN22" s="593">
        <f>'Proy 2022 vs 2019 sem'!DP21*YP$4</f>
        <v>16860.328032000001</v>
      </c>
      <c r="YO22" s="699"/>
      <c r="YP22" s="700">
        <f>YO22/YM22</f>
        <v>0</v>
      </c>
      <c r="YQ22" s="593">
        <f>'Proy 2022 vs 2019 sem'!DO21*YT$4</f>
        <v>26048.259599999998</v>
      </c>
      <c r="YR22" s="593">
        <f>'Proy 2022 vs 2019 sem'!DP21*YT$4</f>
        <v>23182.951044000001</v>
      </c>
      <c r="YS22" s="699"/>
      <c r="YT22" s="700">
        <f>YS22/YQ22</f>
        <v>0</v>
      </c>
      <c r="YU22" s="579">
        <f>XS22+XW22+YA22+YE22+YI22+YM22+YQ22</f>
        <v>118401.18</v>
      </c>
      <c r="YV22" s="574">
        <f>XT22+XX22+YB22+YF22+YJ22+YN22+YR22</f>
        <v>105377.0502</v>
      </c>
      <c r="YW22" s="770">
        <f>XU22+XY22+YC22+YG22+YK22+YO22+YS22</f>
        <v>0</v>
      </c>
      <c r="YX22" s="761">
        <f>YW22/YU22</f>
        <v>0</v>
      </c>
      <c r="YY22" s="931">
        <f>'Proy 2022 vs 2019 sem'!DX21*ZB$4</f>
        <v>15836.893199999999</v>
      </c>
      <c r="YZ22" s="931">
        <f>'Proy 2022 vs 2019 sem'!DY21*ZB$4</f>
        <v>14094.834947999998</v>
      </c>
      <c r="ZA22" s="735"/>
      <c r="ZB22" s="700">
        <f>ZA22/YY22</f>
        <v>0</v>
      </c>
      <c r="ZC22" s="593">
        <f>'Proy 2022 vs 2019 sem'!DX21*ZF$4</f>
        <v>15836.893199999999</v>
      </c>
      <c r="ZD22" s="593">
        <f>'Proy 2022 vs 2019 sem'!DY21*ZF$4</f>
        <v>14094.834947999998</v>
      </c>
      <c r="ZE22" s="735"/>
      <c r="ZF22" s="700">
        <f>ZE22/ZC22</f>
        <v>0</v>
      </c>
      <c r="ZG22" s="593">
        <f>'Proy 2022 vs 2019 sem'!DX21*ZJ$4</f>
        <v>15836.893199999999</v>
      </c>
      <c r="ZH22" s="593">
        <f>'Proy 2022 vs 2019 sem'!DY21*ZJ$4</f>
        <v>14094.834947999998</v>
      </c>
      <c r="ZI22" s="735"/>
      <c r="ZJ22" s="700">
        <f>ZI22/ZG22</f>
        <v>0</v>
      </c>
      <c r="ZK22" s="593">
        <f>'Proy 2022 vs 2019 sem'!DX21*ZN$4</f>
        <v>15836.893199999999</v>
      </c>
      <c r="ZL22" s="593">
        <f>'Proy 2022 vs 2019 sem'!DY21*ZN$4</f>
        <v>14094.834947999998</v>
      </c>
      <c r="ZM22" s="735"/>
      <c r="ZN22" s="700">
        <f>ZM22/ZK22</f>
        <v>0</v>
      </c>
      <c r="ZO22" s="593">
        <f>'Proy 2022 vs 2019 sem'!DX21*ZR$4</f>
        <v>18476.375400000001</v>
      </c>
      <c r="ZP22" s="593">
        <f>'Proy 2022 vs 2019 sem'!DY21*ZR$4</f>
        <v>16443.974106000001</v>
      </c>
      <c r="ZQ22" s="735"/>
      <c r="ZR22" s="700">
        <f>ZQ22/ZO22</f>
        <v>0</v>
      </c>
      <c r="ZS22" s="593">
        <f>'Proy 2022 vs 2019 sem'!DX21*ZV$4</f>
        <v>21115.857599999999</v>
      </c>
      <c r="ZT22" s="593">
        <f>'Proy 2022 vs 2019 sem'!DY21*ZV$4</f>
        <v>18793.113264</v>
      </c>
      <c r="ZU22" s="735"/>
      <c r="ZV22" s="700">
        <f>ZU22/ZS22</f>
        <v>0</v>
      </c>
      <c r="ZW22" s="593">
        <f>'Proy 2022 vs 2019 sem'!DX21*ZZ$4</f>
        <v>29034.304199999999</v>
      </c>
      <c r="ZX22" s="593">
        <f>'Proy 2022 vs 2019 sem'!DY21*ZZ$4</f>
        <v>25840.530737999998</v>
      </c>
      <c r="ZY22" s="735"/>
      <c r="ZZ22" s="700">
        <f>ZY22/ZW22</f>
        <v>0</v>
      </c>
      <c r="AAA22" s="579">
        <f>YY22+ZC22+ZG22+ZK22+ZO22+ZS22+ZW22</f>
        <v>131974.10999999999</v>
      </c>
      <c r="AAB22" s="574">
        <f>YZ22+ZD22+ZH22+ZL22+ZP22+ZT22+ZX22</f>
        <v>117456.95789999999</v>
      </c>
      <c r="AAC22" s="729">
        <f>ZA22+ZE22+ZI22+ZM22+ZQ22+ZU22+ZY22</f>
        <v>0</v>
      </c>
      <c r="AAD22" s="711">
        <f>AAC22/AAA22</f>
        <v>0</v>
      </c>
      <c r="AAE22" s="593">
        <f>'Proy 2022 vs 2019 sem'!EC21*AAH$4</f>
        <v>16803.249599999999</v>
      </c>
      <c r="AAF22" s="593">
        <f>'Proy 2022 vs 2019 sem'!ED21*AAH$4</f>
        <v>14618.827151999998</v>
      </c>
      <c r="AAG22" s="699"/>
      <c r="AAH22" s="700">
        <f>AAG22/AAE22</f>
        <v>0</v>
      </c>
      <c r="AAI22" s="593">
        <f>'Proy 2022 vs 2019 sem'!EC21*AAL$4</f>
        <v>16803.249599999999</v>
      </c>
      <c r="AAJ22" s="593">
        <f>'Proy 2022 vs 2019 sem'!ED21*AAL$4</f>
        <v>14618.827151999998</v>
      </c>
      <c r="AAK22" s="699"/>
      <c r="AAL22" s="700">
        <f>AAK22/AAI22</f>
        <v>0</v>
      </c>
      <c r="AAM22" s="593">
        <f>'Proy 2022 vs 2019 sem'!EC21*AAP$4</f>
        <v>16803.249599999999</v>
      </c>
      <c r="AAN22" s="593">
        <f>'Proy 2022 vs 2019 sem'!ED21*AAP$4</f>
        <v>14618.827151999998</v>
      </c>
      <c r="AAO22" s="699"/>
      <c r="AAP22" s="700">
        <f>AAO22/AAM22</f>
        <v>0</v>
      </c>
      <c r="AAQ22" s="593">
        <f>'Proy 2022 vs 2019 sem'!EC21*AAT$4</f>
        <v>16803.249599999999</v>
      </c>
      <c r="AAR22" s="593">
        <f>'Proy 2022 vs 2019 sem'!ED21*AAT$4</f>
        <v>14618.827151999998</v>
      </c>
      <c r="AAS22" s="699"/>
      <c r="AAT22" s="700">
        <f>AAS22/AAQ22</f>
        <v>0</v>
      </c>
      <c r="AAU22" s="593">
        <f>'Proy 2022 vs 2019 sem'!EC21*AAX$4</f>
        <v>19603.7912</v>
      </c>
      <c r="AAV22" s="593">
        <f>'Proy 2022 vs 2019 sem'!ED21*AAX$4</f>
        <v>17055.298343999999</v>
      </c>
      <c r="AAW22" s="699"/>
      <c r="AAX22" s="700">
        <f>AAW22/AAU22</f>
        <v>0</v>
      </c>
      <c r="AAY22" s="593">
        <f>'Proy 2022 vs 2019 sem'!EC21*ABB$4</f>
        <v>22404.3328</v>
      </c>
      <c r="AAZ22" s="593">
        <f>'Proy 2022 vs 2019 sem'!ED21*ABB$4</f>
        <v>19491.769536</v>
      </c>
      <c r="ABA22" s="699"/>
      <c r="ABB22" s="700">
        <f>ABA22/AAY22</f>
        <v>0</v>
      </c>
      <c r="ABC22" s="593">
        <f>'Proy 2022 vs 2019 sem'!EC21*ABF$4</f>
        <v>30805.957599999998</v>
      </c>
      <c r="ABD22" s="593">
        <f>'Proy 2022 vs 2019 sem'!ED21*ABF$4</f>
        <v>26801.183111999999</v>
      </c>
      <c r="ABE22" s="699"/>
      <c r="ABF22" s="700">
        <f>ABE22/ABC22</f>
        <v>0</v>
      </c>
      <c r="ABG22" s="579">
        <f>AAE22+AAI22+AAM22+AAQ22+AAU22+AAY22+ABC22</f>
        <v>140027.07999999999</v>
      </c>
      <c r="ABH22" s="574">
        <f>AAF22+AAJ22+AAN22+AAR22+AAV22+AAZ22+ABD22</f>
        <v>121823.55959999998</v>
      </c>
      <c r="ABI22" s="730">
        <f>AAG22+AAK22+AAO22+AAS22+AAW22+ABA22+ABE22</f>
        <v>0</v>
      </c>
      <c r="ABJ22" s="711">
        <f>ABI22/ABG22</f>
        <v>0</v>
      </c>
      <c r="ABK22" s="593">
        <f>'Proy 2022 vs 2019 sem'!EH21*ABN$4</f>
        <v>18917.859599999996</v>
      </c>
      <c r="ABL22" s="593">
        <f>'Proy 2022 vs 2019 sem'!EI21*ABN$4</f>
        <v>16836.895043999997</v>
      </c>
      <c r="ABM22" s="699"/>
      <c r="ABN22" s="700">
        <f>ABM22/ABK22</f>
        <v>0</v>
      </c>
      <c r="ABO22" s="593">
        <f>'Proy 2022 vs 2019 sem'!EH21*ABR$4</f>
        <v>18917.859599999996</v>
      </c>
      <c r="ABP22" s="593">
        <f>'Proy 2022 vs 2019 sem'!EI21*ABR$4</f>
        <v>16836.895043999997</v>
      </c>
      <c r="ABQ22" s="699"/>
      <c r="ABR22" s="700">
        <f>ABQ22/ABO22</f>
        <v>0</v>
      </c>
      <c r="ABS22" s="593">
        <f>'Proy 2022 vs 2019 sem'!EH21*ABV$4</f>
        <v>18917.859599999996</v>
      </c>
      <c r="ABT22" s="593">
        <f>'Proy 2022 vs 2019 sem'!EI21*ABV$4</f>
        <v>16836.895043999997</v>
      </c>
      <c r="ABU22" s="699"/>
      <c r="ABV22" s="700">
        <f>ABU22/ABS22</f>
        <v>0</v>
      </c>
      <c r="ABW22" s="593">
        <f>'Proy 2022 vs 2019 sem'!EH21*ABZ$4</f>
        <v>18917.859599999996</v>
      </c>
      <c r="ABX22" s="593">
        <f>'Proy 2022 vs 2019 sem'!EI21*ABZ$4</f>
        <v>16836.895043999997</v>
      </c>
      <c r="ABY22" s="699"/>
      <c r="ABZ22" s="700">
        <f>ABY22/ABW22</f>
        <v>0</v>
      </c>
      <c r="ACA22" s="593">
        <f>'Proy 2022 vs 2019 sem'!EH21*ACD$4</f>
        <v>22070.836200000002</v>
      </c>
      <c r="ACB22" s="593">
        <f>'Proy 2022 vs 2019 sem'!EI21*ACD$4</f>
        <v>19643.044217999999</v>
      </c>
      <c r="ACC22" s="699"/>
      <c r="ACD22" s="700">
        <f>ACC22/ACA22</f>
        <v>0</v>
      </c>
      <c r="ACE22" s="593">
        <f>'Proy 2022 vs 2019 sem'!EH21*ACH$4</f>
        <v>25223.8128</v>
      </c>
      <c r="ACF22" s="593">
        <f>'Proy 2022 vs 2019 sem'!EI21*ACH$4</f>
        <v>22449.193391999997</v>
      </c>
      <c r="ACG22" s="699"/>
      <c r="ACH22" s="700">
        <f>ACG22/ACE22</f>
        <v>0</v>
      </c>
      <c r="ACI22" s="593">
        <f>'Proy 2022 vs 2019 sem'!EH21*ACL$4</f>
        <v>34682.742599999998</v>
      </c>
      <c r="ACJ22" s="593">
        <f>'Proy 2022 vs 2019 sem'!EI21*ACL$4</f>
        <v>30867.640913999996</v>
      </c>
      <c r="ACK22" s="699"/>
      <c r="ACL22" s="700">
        <f>ACK22/ACI22</f>
        <v>0</v>
      </c>
      <c r="ACM22" s="579">
        <f>ABK22+ABO22+ABS22+ABW22+ACA22+ACE22+ACI22</f>
        <v>157648.82999999999</v>
      </c>
      <c r="ACN22" s="574">
        <f>ABL22+ABP22+ABT22+ABX22+ACB22+ACF22+ACJ22</f>
        <v>140307.45869999999</v>
      </c>
      <c r="ACO22" s="730">
        <f>ABM22+ABQ22+ABU22+ABY22+ACC22+ACG22+ACK22</f>
        <v>0</v>
      </c>
      <c r="ACP22" s="711">
        <f>ACO22/ACM22</f>
        <v>0</v>
      </c>
      <c r="ACQ22" s="593">
        <f>'Proy 2022 vs 2019 sem'!EM21*ACT$4</f>
        <v>16622.052</v>
      </c>
      <c r="ACR22" s="593">
        <f>'Proy 2022 vs 2019 sem'!EN21*ACT$4</f>
        <v>15458.50836</v>
      </c>
      <c r="ACS22" s="699"/>
      <c r="ACT22" s="700">
        <f>ACS22/ACQ22</f>
        <v>0</v>
      </c>
      <c r="ACU22" s="593">
        <f>'Proy 2022 vs 2019 sem'!EM21*ACX$4</f>
        <v>16622.052</v>
      </c>
      <c r="ACV22" s="593">
        <f>'Proy 2022 vs 2019 sem'!EN21*ACX$4</f>
        <v>15458.50836</v>
      </c>
      <c r="ACW22" s="699"/>
      <c r="ACX22" s="700">
        <f>ACW22/ACU22</f>
        <v>0</v>
      </c>
      <c r="ACY22" s="593">
        <f>'Proy 2022 vs 2019 sem'!EM21*ADB$4</f>
        <v>16622.052</v>
      </c>
      <c r="ACZ22" s="593">
        <f>'Proy 2022 vs 2019 sem'!EN21*ADB$4</f>
        <v>15458.50836</v>
      </c>
      <c r="ADA22" s="699"/>
      <c r="ADB22" s="700">
        <f>ADA22/ACY22</f>
        <v>0</v>
      </c>
      <c r="ADC22" s="593">
        <f>'Proy 2022 vs 2019 sem'!EM21*ADF$4</f>
        <v>16622.052</v>
      </c>
      <c r="ADD22" s="593">
        <f>'Proy 2022 vs 2019 sem'!EN21*ADF$4</f>
        <v>15458.50836</v>
      </c>
      <c r="ADE22" s="699"/>
      <c r="ADF22" s="700">
        <f>ADE22/ADC22</f>
        <v>0</v>
      </c>
      <c r="ADG22" s="593">
        <f>'Proy 2022 vs 2019 sem'!EM21*ADJ$4</f>
        <v>19392.394000000004</v>
      </c>
      <c r="ADH22" s="593">
        <f>'Proy 2022 vs 2019 sem'!EN21*ADJ$4</f>
        <v>18034.926420000003</v>
      </c>
      <c r="ADI22" s="699"/>
      <c r="ADJ22" s="700">
        <f>ADI22/ADG22</f>
        <v>0</v>
      </c>
      <c r="ADK22" s="593">
        <f>'Proy 2022 vs 2019 sem'!EM21*ADN$4</f>
        <v>22162.736000000001</v>
      </c>
      <c r="ADL22" s="593">
        <f>'Proy 2022 vs 2019 sem'!EN21*ADN$4</f>
        <v>20611.34448</v>
      </c>
      <c r="ADM22" s="699"/>
      <c r="ADN22" s="700">
        <f>ADM22/ADK22</f>
        <v>0</v>
      </c>
      <c r="ADO22" s="593">
        <f>'Proy 2022 vs 2019 sem'!EM21*ADR$4</f>
        <v>30473.762000000002</v>
      </c>
      <c r="ADP22" s="593">
        <f>'Proy 2022 vs 2019 sem'!EN21*ADR$4</f>
        <v>28340.59866</v>
      </c>
      <c r="ADQ22" s="699"/>
      <c r="ADR22" s="700">
        <f>ADQ22/ADO22</f>
        <v>0</v>
      </c>
      <c r="ADS22" s="579">
        <f>ACQ22+ACU22+ACY22+ADC22+ADG22+ADK22+ADO22</f>
        <v>138517.1</v>
      </c>
      <c r="ADT22" s="574">
        <f>ACR22+ACV22+ACZ22+ADD22+ADH22+ADL22+ADP22</f>
        <v>128820.90300000001</v>
      </c>
      <c r="ADU22" s="710">
        <f>ACS22+ACW22+ADA22+ADE22+ADI22+ADM22+ADQ22</f>
        <v>0</v>
      </c>
      <c r="ADV22" s="711">
        <f>ADU22/ADS22</f>
        <v>0</v>
      </c>
      <c r="ADW22" s="593">
        <f>'Proy 2022 vs 2019 sem'!ER21*ADZ$4</f>
        <v>16604.584800000001</v>
      </c>
      <c r="ADX22" s="593">
        <f>'Proy 2022 vs 2019 sem'!ES21*ADZ$4</f>
        <v>15442.263864</v>
      </c>
      <c r="ADY22" s="699"/>
      <c r="ADZ22" s="700">
        <f>ADY22/ADW22</f>
        <v>0</v>
      </c>
      <c r="AEA22" s="593">
        <f>'Proy 2022 vs 2019 sem'!ER21*AED$4</f>
        <v>16604.584800000001</v>
      </c>
      <c r="AEB22" s="593">
        <f>'Proy 2022 vs 2019 sem'!ES21*AED$4</f>
        <v>15442.263864</v>
      </c>
      <c r="AEC22" s="699"/>
      <c r="AED22" s="700">
        <f>AEC22/AEA22</f>
        <v>0</v>
      </c>
      <c r="AEE22" s="593">
        <f>'Proy 2022 vs 2019 sem'!ER21*AEH$4</f>
        <v>16604.584800000001</v>
      </c>
      <c r="AEF22" s="593">
        <f>'Proy 2022 vs 2019 sem'!ES21*AEH$4</f>
        <v>15442.263864</v>
      </c>
      <c r="AEG22" s="699"/>
      <c r="AEH22" s="700">
        <f>AEG22/AEE22</f>
        <v>0</v>
      </c>
      <c r="AEI22" s="593">
        <f>'Proy 2022 vs 2019 sem'!ER21*AEL$4</f>
        <v>16604.584800000001</v>
      </c>
      <c r="AEJ22" s="593">
        <f>'Proy 2022 vs 2019 sem'!ES21*AEL$4</f>
        <v>15442.263864</v>
      </c>
      <c r="AEK22" s="699"/>
      <c r="AEL22" s="700">
        <f>AEK22/AEI22</f>
        <v>0</v>
      </c>
      <c r="AEM22" s="593">
        <f>'Proy 2022 vs 2019 sem'!ER21*AEP$4</f>
        <v>19372.015600000002</v>
      </c>
      <c r="AEN22" s="593">
        <f>'Proy 2022 vs 2019 sem'!ES21*AEP$4</f>
        <v>18015.974508000003</v>
      </c>
      <c r="AEO22" s="699"/>
      <c r="AEP22" s="700">
        <f>AEO22/AEM22</f>
        <v>0</v>
      </c>
      <c r="AEQ22" s="593">
        <f>'Proy 2022 vs 2019 sem'!ER21*AET$4</f>
        <v>22139.446400000001</v>
      </c>
      <c r="AER22" s="593">
        <f>'Proy 2022 vs 2019 sem'!ES21*AET$4</f>
        <v>20589.685152000002</v>
      </c>
      <c r="AES22" s="699"/>
      <c r="AET22" s="700">
        <f>AES22/AEQ22</f>
        <v>0</v>
      </c>
      <c r="AEU22" s="593">
        <f>'Proy 2022 vs 2019 sem'!ER21*AEX$4</f>
        <v>30441.738800000003</v>
      </c>
      <c r="AEV22" s="593">
        <f>'Proy 2022 vs 2019 sem'!ES21*AEX$4</f>
        <v>28310.817084000002</v>
      </c>
      <c r="AEW22" s="699"/>
      <c r="AEX22" s="700">
        <f>AEW22/AEU22</f>
        <v>0</v>
      </c>
      <c r="AEY22" s="579">
        <f>ADW22+AEA22+AEE22+AEI22+AEM22+AEQ22+AEU22</f>
        <v>138371.54</v>
      </c>
      <c r="AEZ22" s="574">
        <f>ADX22+AEB22+AEF22+AEJ22+AEN22+AER22+AEV22</f>
        <v>128685.53220000002</v>
      </c>
      <c r="AFA22" s="710">
        <f>ADY22+AEC22+AEG22+AEK22+AEO22+AES22+AEW22</f>
        <v>0</v>
      </c>
      <c r="AFB22" s="711">
        <f>AFA22/AEY22</f>
        <v>0</v>
      </c>
      <c r="AFC22" s="593">
        <f>'Proy 2022 vs 2019 sem'!FA21*AFF$4</f>
        <v>15281.162399999999</v>
      </c>
      <c r="AFD22" s="593">
        <f>'Proy 2022 vs 2019 sem'!FB21*AFF$4</f>
        <v>13447.422912</v>
      </c>
      <c r="AFE22" s="735"/>
      <c r="AFF22" s="700">
        <f>AFE22/AFC22</f>
        <v>0</v>
      </c>
      <c r="AFG22" s="593">
        <f>'Proy 2022 vs 2019 sem'!FA21*AFJ$4</f>
        <v>15281.162399999999</v>
      </c>
      <c r="AFH22" s="593">
        <f>'Proy 2022 vs 2019 sem'!FB21*AFJ$4</f>
        <v>13447.422912</v>
      </c>
      <c r="AFI22" s="699"/>
      <c r="AFJ22" s="700">
        <f>AFI22/AFG22</f>
        <v>0</v>
      </c>
      <c r="AFK22" s="593">
        <f>'Proy 2022 vs 2019 sem'!FA21*AFN$4</f>
        <v>15281.162399999999</v>
      </c>
      <c r="AFL22" s="593">
        <f>'Proy 2022 vs 2019 sem'!FB21*AFN$4</f>
        <v>13447.422912</v>
      </c>
      <c r="AFM22" s="699"/>
      <c r="AFN22" s="700">
        <f>AFM22/AFK22</f>
        <v>0</v>
      </c>
      <c r="AFO22" s="593">
        <f>'Proy 2022 vs 2019 sem'!FA21*AFR$4</f>
        <v>15281.162399999999</v>
      </c>
      <c r="AFP22" s="593">
        <f>'Proy 2022 vs 2019 sem'!FB21*AFR$4</f>
        <v>13447.422912</v>
      </c>
      <c r="AFQ22" s="699"/>
      <c r="AFR22" s="700">
        <f>AFQ22/AFO22</f>
        <v>0</v>
      </c>
      <c r="AFS22" s="593">
        <f>'Proy 2022 vs 2019 sem'!FA21*AFV$4</f>
        <v>17828.022800000002</v>
      </c>
      <c r="AFT22" s="593">
        <f>'Proy 2022 vs 2019 sem'!FB21*AFV$4</f>
        <v>15688.660064000002</v>
      </c>
      <c r="AFU22" s="699"/>
      <c r="AFV22" s="700">
        <f>AFU22/AFS22</f>
        <v>0</v>
      </c>
      <c r="AFW22" s="593">
        <f>'Proy 2022 vs 2019 sem'!FA21*AFZ$4</f>
        <v>20374.8832</v>
      </c>
      <c r="AFX22" s="593">
        <f>'Proy 2022 vs 2019 sem'!FB21*AFZ$4</f>
        <v>17929.897216000001</v>
      </c>
      <c r="AFY22" s="699"/>
      <c r="AFZ22" s="700">
        <f>AFY22/AFW22</f>
        <v>0</v>
      </c>
      <c r="AGA22" s="593">
        <f>'Proy 2022 vs 2019 sem'!FA21*AGD$4</f>
        <v>28015.464400000001</v>
      </c>
      <c r="AGB22" s="593">
        <f>'Proy 2022 vs 2019 sem'!FB21*AGD$4</f>
        <v>24653.608672000002</v>
      </c>
      <c r="AGC22" s="699"/>
      <c r="AGD22" s="700">
        <f>AGC22/AGA22</f>
        <v>0</v>
      </c>
      <c r="AGE22" s="579">
        <f>AFC22+AFG22+AFK22+AFO22+AFS22+AFW22+AGA22</f>
        <v>127343.01999999999</v>
      </c>
      <c r="AGF22" s="574">
        <f>AFD22+AFH22+AFL22+AFP22+AFT22+AFX22+AGB22</f>
        <v>112061.8576</v>
      </c>
      <c r="AGG22" s="759">
        <f>AFE22+AFI22+AFM22+AFQ22+AFU22+AFY22+AGC22</f>
        <v>0</v>
      </c>
      <c r="AGH22" s="761">
        <f>AGG22/AGE22</f>
        <v>0</v>
      </c>
      <c r="AGI22" s="593">
        <f>'Proy 2022 vs 2019 sem'!FF21*AGL$4</f>
        <v>15901.5504</v>
      </c>
      <c r="AGJ22" s="593">
        <f>'Proy 2022 vs 2019 sem'!FG21*AGL$4</f>
        <v>13993.364352000001</v>
      </c>
      <c r="AGK22" s="699"/>
      <c r="AGL22" s="700">
        <f>AGK22/AGI22</f>
        <v>0</v>
      </c>
      <c r="AGM22" s="593">
        <f>'Proy 2022 vs 2019 sem'!FF21*AGP$4</f>
        <v>15901.5504</v>
      </c>
      <c r="AGN22" s="593">
        <f>'Proy 2022 vs 2019 sem'!FG21*AGP$4</f>
        <v>13993.364352000001</v>
      </c>
      <c r="AGO22" s="699"/>
      <c r="AGP22" s="700">
        <f>AGO22/AGM22</f>
        <v>0</v>
      </c>
      <c r="AGQ22" s="593">
        <f>'Proy 2022 vs 2019 sem'!FF21*AGT$4</f>
        <v>15901.5504</v>
      </c>
      <c r="AGR22" s="593">
        <f>'Proy 2022 vs 2019 sem'!FG21*AGT$4</f>
        <v>13993.364352000001</v>
      </c>
      <c r="AGS22" s="699"/>
      <c r="AGT22" s="700">
        <f>AGS22/AGQ22</f>
        <v>0</v>
      </c>
      <c r="AGU22" s="593">
        <f>'Proy 2022 vs 2019 sem'!FF21*AGX$4</f>
        <v>15901.5504</v>
      </c>
      <c r="AGV22" s="593">
        <f>'Proy 2022 vs 2019 sem'!FG21*AGX$4</f>
        <v>13993.364352000001</v>
      </c>
      <c r="AGW22" s="699"/>
      <c r="AGX22" s="700">
        <f>AGW22/AGU22</f>
        <v>0</v>
      </c>
      <c r="AGY22" s="593">
        <f>'Proy 2022 vs 2019 sem'!FF21*AHB$4</f>
        <v>18551.808800000003</v>
      </c>
      <c r="AGZ22" s="593">
        <f>'Proy 2022 vs 2019 sem'!FG21*AHB$4</f>
        <v>16325.591744000003</v>
      </c>
      <c r="AHA22" s="699"/>
      <c r="AHB22" s="700">
        <f>AHA22/AGY22</f>
        <v>0</v>
      </c>
      <c r="AHC22" s="593">
        <f>'Proy 2022 vs 2019 sem'!FF21*AHF$4</f>
        <v>21202.067200000001</v>
      </c>
      <c r="AHD22" s="593">
        <f>'Proy 2022 vs 2019 sem'!FG21*AHF$4</f>
        <v>18657.819136000002</v>
      </c>
      <c r="AHE22" s="699"/>
      <c r="AHF22" s="700">
        <f>AHE22/AHC22</f>
        <v>0</v>
      </c>
      <c r="AHG22" s="593">
        <f>'Proy 2022 vs 2019 sem'!FF21*AHJ$4</f>
        <v>29152.842400000001</v>
      </c>
      <c r="AHH22" s="593">
        <f>'Proy 2022 vs 2019 sem'!FG21*AHJ$4</f>
        <v>25654.501312</v>
      </c>
      <c r="AHI22" s="699"/>
      <c r="AHJ22" s="700">
        <f>AHI22/AHG22</f>
        <v>0</v>
      </c>
      <c r="AHK22" s="579">
        <f>AGI22+AGM22+AGQ22+AGU22+AGY22+AHC22+AHG22</f>
        <v>132512.92000000001</v>
      </c>
      <c r="AHL22" s="574">
        <f>AGJ22+AGN22+AGR22+AGV22+AGZ22+AHD22+AHH22</f>
        <v>116611.36960000001</v>
      </c>
      <c r="AHM22" s="765">
        <f>AGK22+AGO22+AGS22+AGW22+AHA22+AHE22+AHI22</f>
        <v>0</v>
      </c>
      <c r="AHN22" s="761">
        <f>AHM22/AHK22</f>
        <v>0</v>
      </c>
      <c r="AHO22" s="593">
        <f>'Proy 2022 vs 2019 sem'!FK21*AHR$4</f>
        <v>14060.8356</v>
      </c>
      <c r="AHP22" s="593">
        <f>'Proy 2022 vs 2019 sem'!FL21*AHR$4</f>
        <v>12373.535328</v>
      </c>
      <c r="AHQ22" s="699"/>
      <c r="AHR22" s="700">
        <f>AHQ22/AHO22</f>
        <v>0</v>
      </c>
      <c r="AHS22" s="593">
        <f>'Proy 2022 vs 2019 sem'!FK21*AHV$4</f>
        <v>14060.8356</v>
      </c>
      <c r="AHT22" s="593">
        <f>'Proy 2022 vs 2019 sem'!FL21*AHV$4</f>
        <v>12373.535328</v>
      </c>
      <c r="AHU22" s="699"/>
      <c r="AHV22" s="700">
        <f>AHU22/AHS22</f>
        <v>0</v>
      </c>
      <c r="AHW22" s="593">
        <f>'Proy 2022 vs 2019 sem'!FK21*AHZ$4</f>
        <v>14060.8356</v>
      </c>
      <c r="AHX22" s="593">
        <f>'Proy 2022 vs 2019 sem'!FL21*AHZ$4</f>
        <v>12373.535328</v>
      </c>
      <c r="AHY22" s="699"/>
      <c r="AHZ22" s="700">
        <f>AHY22/AHW22</f>
        <v>0</v>
      </c>
      <c r="AIA22" s="593">
        <f>'Proy 2022 vs 2019 sem'!FK21*AID$4</f>
        <v>14060.8356</v>
      </c>
      <c r="AIB22" s="593">
        <f>'Proy 2022 vs 2019 sem'!FL21*AID$4</f>
        <v>12373.535328</v>
      </c>
      <c r="AIC22" s="699"/>
      <c r="AID22" s="700">
        <f>AIC22/AIA22</f>
        <v>0</v>
      </c>
      <c r="AIE22" s="593">
        <f>'Proy 2022 vs 2019 sem'!FK21*AIH$4</f>
        <v>16404.308200000003</v>
      </c>
      <c r="AIF22" s="593">
        <f>'Proy 2022 vs 2019 sem'!FL21*AIH$4</f>
        <v>14435.791216000001</v>
      </c>
      <c r="AIG22" s="699"/>
      <c r="AIH22" s="700">
        <f>AIG22/AIE22</f>
        <v>0</v>
      </c>
      <c r="AII22" s="593">
        <f>'Proy 2022 vs 2019 sem'!FK21*AIL$4</f>
        <v>18747.7808</v>
      </c>
      <c r="AIJ22" s="593">
        <f>'Proy 2022 vs 2019 sem'!FL21*AIL$4</f>
        <v>16498.047104000001</v>
      </c>
      <c r="AIK22" s="699"/>
      <c r="AIL22" s="700">
        <f>AIK22/AII22</f>
        <v>0</v>
      </c>
      <c r="AIM22" s="593">
        <f>'Proy 2022 vs 2019 sem'!FK21*AIP$4</f>
        <v>25778.1986</v>
      </c>
      <c r="AIN22" s="593">
        <f>'Proy 2022 vs 2019 sem'!FL21*AIP$4</f>
        <v>22684.814768</v>
      </c>
      <c r="AIO22" s="699"/>
      <c r="AIP22" s="700">
        <f>AIO22/AIM22</f>
        <v>0</v>
      </c>
      <c r="AIQ22" s="579">
        <f>AHO22+AHS22+AHW22+AIA22+AIE22+AII22+AIM22</f>
        <v>117173.63</v>
      </c>
      <c r="AIR22" s="574">
        <f>AHP22+AHT22+AHX22+AIB22+AIF22+AIJ22+AIN22</f>
        <v>103112.7944</v>
      </c>
      <c r="AIS22" s="765">
        <f>AHQ22+AHU22+AHY22+AIC22+AIG22+AIK22+AIO22</f>
        <v>0</v>
      </c>
      <c r="AIT22" s="761">
        <f>AIS22/AIQ22</f>
        <v>0</v>
      </c>
      <c r="AIU22" s="593">
        <f>'Proy 2022 vs 2019 sem'!FP21*AIX$4</f>
        <v>14739.8364</v>
      </c>
      <c r="AIV22" s="593">
        <f>'Proy 2022 vs 2019 sem'!FQ21*AIX$4</f>
        <v>13560.649487999999</v>
      </c>
      <c r="AIW22" s="699"/>
      <c r="AIX22" s="700">
        <f>AIW22/AIU22</f>
        <v>0</v>
      </c>
      <c r="AIY22" s="593">
        <f>'Proy 2022 vs 2019 sem'!FP21*AJB$4</f>
        <v>14739.8364</v>
      </c>
      <c r="AIZ22" s="593">
        <f>'Proy 2022 vs 2019 sem'!FQ21*AJB$4</f>
        <v>13560.649487999999</v>
      </c>
      <c r="AJA22" s="699"/>
      <c r="AJB22" s="700">
        <f>AJA22/AIY22</f>
        <v>0</v>
      </c>
      <c r="AJC22" s="593">
        <f>'Proy 2022 vs 2019 sem'!FP21*AJF$4</f>
        <v>14739.8364</v>
      </c>
      <c r="AJD22" s="593">
        <f>'Proy 2022 vs 2019 sem'!FQ21*AJF$4</f>
        <v>13560.649487999999</v>
      </c>
      <c r="AJE22" s="699"/>
      <c r="AJF22" s="700">
        <f>AJE22/AJC22</f>
        <v>0</v>
      </c>
      <c r="AJG22" s="593">
        <f>'Proy 2022 vs 2019 sem'!FP21*AJJ$4</f>
        <v>14739.8364</v>
      </c>
      <c r="AJH22" s="593">
        <f>'Proy 2022 vs 2019 sem'!FQ21*AJJ$4</f>
        <v>13560.649487999999</v>
      </c>
      <c r="AJI22" s="699"/>
      <c r="AJJ22" s="700">
        <f>AJI22/AJG22</f>
        <v>0</v>
      </c>
      <c r="AJK22" s="593">
        <f>'Proy 2022 vs 2019 sem'!FP21*AJN$4</f>
        <v>17196.4758</v>
      </c>
      <c r="AJL22" s="593">
        <f>'Proy 2022 vs 2019 sem'!FQ21*AJN$4</f>
        <v>15820.757736000001</v>
      </c>
      <c r="AJM22" s="699"/>
      <c r="AJN22" s="700">
        <f>AJM22/AJK22</f>
        <v>0</v>
      </c>
      <c r="AJO22" s="593">
        <f>'Proy 2022 vs 2019 sem'!FP21*AJR$4</f>
        <v>19653.1152</v>
      </c>
      <c r="AJP22" s="593">
        <f>'Proy 2022 vs 2019 sem'!FQ21*AJR$4</f>
        <v>18080.865984</v>
      </c>
      <c r="AJQ22" s="699"/>
      <c r="AJR22" s="700">
        <f>AJQ22/AJO22</f>
        <v>0</v>
      </c>
      <c r="AJS22" s="593">
        <f>'Proy 2022 vs 2019 sem'!FP21*AJV$4</f>
        <v>27023.0334</v>
      </c>
      <c r="AJT22" s="593">
        <f>'Proy 2022 vs 2019 sem'!FQ21*AJV$4</f>
        <v>24861.190728000001</v>
      </c>
      <c r="AJU22" s="699"/>
      <c r="AJV22" s="700">
        <f>AJU22/AJS22</f>
        <v>0</v>
      </c>
      <c r="AJW22" s="579">
        <f>AIU22+AIY22+AJC22+AJG22+AJK22+AJO22+AJS22</f>
        <v>122831.97</v>
      </c>
      <c r="AJX22" s="574">
        <f>AIV22+AIZ22+AJD22+AJH22+AJL22+AJP22+AJT22</f>
        <v>113005.4124</v>
      </c>
      <c r="AJY22" s="770">
        <f>AIW22+AJA22+AJE22+AJI22+AJM22+AJQ22+AJU22</f>
        <v>0</v>
      </c>
      <c r="AJZ22" s="761">
        <f>AJY22/AJW22</f>
        <v>0</v>
      </c>
      <c r="AKA22" s="593"/>
      <c r="AKB22" s="593"/>
      <c r="AKC22" s="735"/>
      <c r="AKD22" s="700" t="e">
        <f>AKC22/AKA22</f>
        <v>#DIV/0!</v>
      </c>
      <c r="AKE22" s="593">
        <v>14705.229600000001</v>
      </c>
      <c r="AKF22" s="593">
        <v>14999.334192</v>
      </c>
      <c r="AKG22" s="699"/>
      <c r="AKH22" s="700">
        <f>AKG22/AKE22</f>
        <v>0</v>
      </c>
      <c r="AKI22" s="593">
        <v>14705.229600000001</v>
      </c>
      <c r="AKJ22" s="593">
        <v>14999.334192</v>
      </c>
      <c r="AKK22" s="699"/>
      <c r="AKL22" s="700">
        <f>AKK22/AKI22</f>
        <v>0</v>
      </c>
      <c r="AKM22" s="593">
        <v>14705.229600000001</v>
      </c>
      <c r="AKN22" s="593">
        <v>14999.334192</v>
      </c>
      <c r="AKO22" s="699"/>
      <c r="AKP22" s="700">
        <f>AKO22/AKM22</f>
        <v>0</v>
      </c>
      <c r="AKQ22" s="593">
        <v>17156.101200000001</v>
      </c>
      <c r="AKR22" s="593">
        <v>17499.223224000001</v>
      </c>
      <c r="AKS22" s="699"/>
      <c r="AKT22" s="700">
        <f>AKS22/AKQ22</f>
        <v>0</v>
      </c>
      <c r="AKU22" s="593">
        <v>19606.9728</v>
      </c>
      <c r="AKV22" s="593">
        <v>19999.112256</v>
      </c>
      <c r="AKW22" s="699"/>
      <c r="AKX22" s="700">
        <f>AKW22/AKU22</f>
        <v>0</v>
      </c>
      <c r="AKY22" s="593">
        <v>26959.587599999999</v>
      </c>
      <c r="AKZ22" s="593">
        <v>27498.779352000001</v>
      </c>
      <c r="ALA22" s="699"/>
      <c r="ALB22" s="700">
        <f>ALA22/AKY22</f>
        <v>0</v>
      </c>
      <c r="ALC22" s="579">
        <f>AKA22+AKE22+AKI22+AKM22+AKQ22+AKU22+AKY22</f>
        <v>107838.35040000001</v>
      </c>
      <c r="ALD22" s="574">
        <f>AKB22+AKF22+AKJ22+AKN22+AKR22+AKV22+AKZ22</f>
        <v>109995.11740800001</v>
      </c>
      <c r="ALE22" s="793">
        <f>AKC22+AKG22+AKK22+AKO22+AKS22+AKW22+ALA22</f>
        <v>0</v>
      </c>
      <c r="ALF22" s="786">
        <f>ALE22/ALC22</f>
        <v>0</v>
      </c>
      <c r="ALG22" s="593">
        <v>13493.4684</v>
      </c>
      <c r="ALH22" s="593">
        <v>13763.337767999999</v>
      </c>
      <c r="ALI22" s="699"/>
      <c r="ALJ22" s="700">
        <f>ALI22/ALG22</f>
        <v>0</v>
      </c>
      <c r="ALK22" s="593">
        <v>13493.4684</v>
      </c>
      <c r="ALL22" s="593">
        <v>13763.337767999999</v>
      </c>
      <c r="ALM22" s="699"/>
      <c r="ALN22" s="700">
        <f>ALM22/ALK22</f>
        <v>0</v>
      </c>
      <c r="ALO22" s="593">
        <v>13493.4684</v>
      </c>
      <c r="ALP22" s="593">
        <v>13763.337767999999</v>
      </c>
      <c r="ALQ22" s="699"/>
      <c r="ALR22" s="700">
        <f>ALQ22/ALO22</f>
        <v>0</v>
      </c>
      <c r="ALS22" s="593">
        <v>13493.4684</v>
      </c>
      <c r="ALT22" s="593">
        <v>13763.337767999999</v>
      </c>
      <c r="ALU22" s="699"/>
      <c r="ALV22" s="700">
        <f>ALU22/ALS22</f>
        <v>0</v>
      </c>
      <c r="ALW22" s="593">
        <v>15742.379800000002</v>
      </c>
      <c r="ALX22" s="593">
        <v>16057.227396000002</v>
      </c>
      <c r="ALY22" s="699"/>
      <c r="ALZ22" s="700">
        <f>ALY22/ALW22</f>
        <v>0</v>
      </c>
      <c r="AMA22" s="593">
        <v>17991.291200000003</v>
      </c>
      <c r="AMB22" s="593">
        <v>18351.117024000003</v>
      </c>
      <c r="AMC22" s="699"/>
      <c r="AMD22" s="700">
        <f>AMC22/AMA22</f>
        <v>0</v>
      </c>
      <c r="AME22" s="593">
        <v>24738.025400000002</v>
      </c>
      <c r="AMF22" s="593">
        <v>25232.785908000002</v>
      </c>
      <c r="AMG22" s="699"/>
      <c r="AMH22" s="700">
        <f>AMG22/AME22</f>
        <v>0</v>
      </c>
      <c r="AMI22" s="579">
        <f>ALG22+ALK22+ALO22+ALS22+ALW22+AMA22+AME22</f>
        <v>112445.57</v>
      </c>
      <c r="AMJ22" s="574">
        <f>ALH22+ALL22+ALP22+ALT22+ALX22+AMB22+AMF22</f>
        <v>114694.4814</v>
      </c>
      <c r="AMK22" s="794">
        <f>ALI22+ALM22+ALQ22+ALU22+ALY22+AMC22+AMG22</f>
        <v>0</v>
      </c>
      <c r="AML22" s="786">
        <f>AMK22/AMI22</f>
        <v>0</v>
      </c>
      <c r="AMM22" s="593">
        <v>12314.5008</v>
      </c>
      <c r="AMN22" s="593">
        <v>12560.790816000001</v>
      </c>
      <c r="AMO22" s="699"/>
      <c r="AMP22" s="700">
        <f>AMO22/AMM22</f>
        <v>0</v>
      </c>
      <c r="AMQ22" s="593">
        <v>12314.5008</v>
      </c>
      <c r="AMR22" s="593">
        <v>12560.790816000001</v>
      </c>
      <c r="AMS22" s="699"/>
      <c r="AMT22" s="700">
        <f>AMS22/AMQ22</f>
        <v>0</v>
      </c>
      <c r="AMU22" s="593">
        <v>12314.5008</v>
      </c>
      <c r="AMV22" s="593">
        <v>12560.790816000001</v>
      </c>
      <c r="AMW22" s="699"/>
      <c r="AMX22" s="700">
        <f>AMW22/AMU22</f>
        <v>0</v>
      </c>
      <c r="AMY22" s="593">
        <v>12314.5008</v>
      </c>
      <c r="AMZ22" s="593">
        <v>12560.790816000001</v>
      </c>
      <c r="ANA22" s="699"/>
      <c r="ANB22" s="700">
        <f>ANA22/AMY22</f>
        <v>0</v>
      </c>
      <c r="ANC22" s="593">
        <v>14366.917600000001</v>
      </c>
      <c r="AND22" s="593">
        <v>14654.255952000001</v>
      </c>
      <c r="ANE22" s="699"/>
      <c r="ANF22" s="700">
        <f>ANE22/ANC22</f>
        <v>0</v>
      </c>
      <c r="ANG22" s="593">
        <v>16419.3344</v>
      </c>
      <c r="ANH22" s="593">
        <v>16747.721088000002</v>
      </c>
      <c r="ANI22" s="699"/>
      <c r="ANJ22" s="700">
        <f>ANI22/ANG22</f>
        <v>0</v>
      </c>
      <c r="ANK22" s="593">
        <v>22576.584800000001</v>
      </c>
      <c r="ANL22" s="593">
        <v>23028.116496000002</v>
      </c>
      <c r="ANM22" s="699"/>
      <c r="ANN22" s="700">
        <f>ANM22/ANK22</f>
        <v>0</v>
      </c>
      <c r="ANO22" s="579">
        <f>AMM22+AMQ22+AMU22+AMY22+ANC22+ANG22+ANK22</f>
        <v>102620.84</v>
      </c>
      <c r="ANP22" s="574">
        <f>AMN22+AMR22+AMV22+AMZ22+AND22+ANH22+ANL22</f>
        <v>104673.2568</v>
      </c>
      <c r="ANQ22" s="794">
        <f>AMO22+AMS22+AMW22+ANA22+ANE22+ANI22+ANM22</f>
        <v>0</v>
      </c>
      <c r="ANR22" s="786">
        <f>ANQ22/ANO22</f>
        <v>0</v>
      </c>
      <c r="ANS22" s="593">
        <f>'Proy 2022 vs 2019 sem'!GN21*ANV$4</f>
        <v>13325.8284</v>
      </c>
      <c r="ANT22" s="593">
        <f>'Proy 2022 vs 2019 sem'!GO21*ANV$4</f>
        <v>13059.311832000001</v>
      </c>
      <c r="ANU22" s="699"/>
      <c r="ANV22" s="700">
        <f>ANU22/ANS22</f>
        <v>0</v>
      </c>
      <c r="ANW22" s="593">
        <f>'Proy 2022 vs 2019 sem'!GN21*ANZ$4</f>
        <v>13325.8284</v>
      </c>
      <c r="ANX22" s="593">
        <f>'Proy 2022 vs 2019 sem'!GO21*ANZ$4</f>
        <v>13059.311832000001</v>
      </c>
      <c r="ANY22" s="699"/>
      <c r="ANZ22" s="700">
        <f>ANY22/ANW22</f>
        <v>0</v>
      </c>
      <c r="AOA22" s="593">
        <f>'Proy 2022 vs 2019 sem'!GN21*AOD$4</f>
        <v>13325.8284</v>
      </c>
      <c r="AOB22" s="593">
        <f>'Proy 2022 vs 2019 sem'!GO21*AOD$4</f>
        <v>13059.311832000001</v>
      </c>
      <c r="AOC22" s="699"/>
      <c r="AOD22" s="700">
        <f>AOC22/AOA22</f>
        <v>0</v>
      </c>
      <c r="AOE22" s="593">
        <f>'Proy 2022 vs 2019 sem'!GN21*AOH$4</f>
        <v>13325.8284</v>
      </c>
      <c r="AOF22" s="593">
        <f>'Proy 2022 vs 2019 sem'!GO21*AOH$4</f>
        <v>13059.311832000001</v>
      </c>
      <c r="AOG22" s="699"/>
      <c r="AOH22" s="700">
        <f>AOG22/AOE22</f>
        <v>0</v>
      </c>
      <c r="AOI22" s="593">
        <f>'Proy 2022 vs 2019 sem'!GN21*AOL$4</f>
        <v>15546.799800000003</v>
      </c>
      <c r="AOJ22" s="593">
        <f>'Proy 2022 vs 2019 sem'!GO21*AOL$4</f>
        <v>15235.863804000002</v>
      </c>
      <c r="AOK22" s="699"/>
      <c r="AOL22" s="700">
        <f>AOK22/AOI22</f>
        <v>0</v>
      </c>
      <c r="AOM22" s="593">
        <f>'Proy 2022 vs 2019 sem'!GN21*AOP$4</f>
        <v>17767.771200000003</v>
      </c>
      <c r="AON22" s="593">
        <f>'Proy 2022 vs 2019 sem'!GO21*AOP$4</f>
        <v>17412.415776000002</v>
      </c>
      <c r="AOO22" s="699"/>
      <c r="AOP22" s="700">
        <f>AOO22/AOM22</f>
        <v>0</v>
      </c>
      <c r="AOQ22" s="593">
        <f>'Proy 2022 vs 2019 sem'!GN21*AOT$4</f>
        <v>24430.685400000002</v>
      </c>
      <c r="AOR22" s="593">
        <f>'Proy 2022 vs 2019 sem'!GO21*AOT$4</f>
        <v>23942.071692000001</v>
      </c>
      <c r="AOS22" s="699"/>
      <c r="AOT22" s="700">
        <f>AOS22/AOQ22</f>
        <v>0</v>
      </c>
      <c r="AOU22" s="579">
        <f>ANS22+ANW22+AOA22+AOE22+AOI22+AOM22+AOQ22</f>
        <v>111048.57</v>
      </c>
      <c r="AOV22" s="574">
        <f>ANT22+ANX22+AOB22+AOF22+AOJ22+AON22+AOR22</f>
        <v>108827.5986</v>
      </c>
      <c r="AOW22" s="785">
        <f>ANU22+ANY22+AOC22+AOG22+AOK22+AOO22+AOS22</f>
        <v>0</v>
      </c>
      <c r="AOX22" s="786">
        <f>AOW22/AOU22</f>
        <v>0</v>
      </c>
      <c r="AOY22" s="593">
        <f>'Proy 2022 vs 2019 sem'!GW21*APB$4</f>
        <v>12532.92</v>
      </c>
      <c r="AOZ22" s="593">
        <f>'Proy 2022 vs 2019 sem'!GX21*APB$4</f>
        <v>12282.261599999998</v>
      </c>
      <c r="APA22" s="735"/>
      <c r="APB22" s="700">
        <f>APA22/AOY22</f>
        <v>0</v>
      </c>
      <c r="APC22" s="593">
        <f>'Proy 2022 vs 2019 sem'!GW21*APF$4</f>
        <v>12532.92</v>
      </c>
      <c r="APD22" s="593">
        <f>'Proy 2022 vs 2019 sem'!GX21*APF$4</f>
        <v>12282.261599999998</v>
      </c>
      <c r="APE22" s="735"/>
      <c r="APF22" s="700">
        <f>APE22/APC22</f>
        <v>0</v>
      </c>
      <c r="APG22" s="593">
        <f>'Proy 2022 vs 2019 sem'!GW21*APJ$4</f>
        <v>12532.92</v>
      </c>
      <c r="APH22" s="593">
        <f>'Proy 2022 vs 2019 sem'!GX21*APJ$4</f>
        <v>12282.261599999998</v>
      </c>
      <c r="API22" s="735"/>
      <c r="APJ22" s="700">
        <f>API22/APG22</f>
        <v>0</v>
      </c>
      <c r="APK22" s="593">
        <f>'Proy 2022 vs 2019 sem'!GW21*APN$4</f>
        <v>12532.92</v>
      </c>
      <c r="APL22" s="593">
        <f>'Proy 2022 vs 2019 sem'!GX21*APN$4</f>
        <v>12282.261599999998</v>
      </c>
      <c r="APM22" s="735"/>
      <c r="APN22" s="700">
        <f>APM22/APK22</f>
        <v>0</v>
      </c>
      <c r="APO22" s="593">
        <f>'Proy 2022 vs 2019 sem'!GW21*APR$4</f>
        <v>14621.740000000002</v>
      </c>
      <c r="APP22" s="593">
        <f>'Proy 2022 vs 2019 sem'!GX21*APR$4</f>
        <v>14329.305200000001</v>
      </c>
      <c r="APQ22" s="735"/>
      <c r="APR22" s="700">
        <f>APQ22/APO22</f>
        <v>0</v>
      </c>
      <c r="APS22" s="593">
        <f>'Proy 2022 vs 2019 sem'!GW21*APV$4</f>
        <v>16710.560000000001</v>
      </c>
      <c r="APT22" s="593">
        <f>'Proy 2022 vs 2019 sem'!GX21*APV$4</f>
        <v>16376.3488</v>
      </c>
      <c r="APU22" s="735"/>
      <c r="APV22" s="700">
        <f>APU22/APS22</f>
        <v>0</v>
      </c>
      <c r="APW22" s="593">
        <f>'Proy 2022 vs 2019 sem'!GW21*APZ$4</f>
        <v>22977.02</v>
      </c>
      <c r="APX22" s="593">
        <f>'Proy 2022 vs 2019 sem'!GX21*APZ$4</f>
        <v>22517.479599999999</v>
      </c>
      <c r="APY22" s="735"/>
      <c r="APZ22" s="700">
        <f>APY22/APW22</f>
        <v>0</v>
      </c>
      <c r="AQA22" s="579">
        <f>AOY22+APC22+APG22+APK22+APO22+APS22+APW22</f>
        <v>104441</v>
      </c>
      <c r="AQB22" s="574">
        <f>AOZ22+APD22+APH22+APL22+APP22+APT22+APX22</f>
        <v>102352.18</v>
      </c>
      <c r="AQC22" s="729">
        <f>APA22+APE22+API22+APM22+APQ22+APU22+APY22</f>
        <v>0</v>
      </c>
      <c r="AQD22" s="711">
        <f>AQC22/AQA22</f>
        <v>0</v>
      </c>
      <c r="AQE22" s="593">
        <f>'Proy 2022 vs 2019 sem'!HB21*AQH$4</f>
        <v>14140.946399999999</v>
      </c>
      <c r="AQF22" s="593">
        <f>'Proy 2022 vs 2019 sem'!HC21*AQH$4</f>
        <v>14140.946399999999</v>
      </c>
      <c r="AQG22" s="699"/>
      <c r="AQH22" s="700">
        <f>AQG22/AQE22</f>
        <v>0</v>
      </c>
      <c r="AQI22" s="593">
        <f>'Proy 2022 vs 2019 sem'!HB21*AQL$4</f>
        <v>14140.946399999999</v>
      </c>
      <c r="AQJ22" s="593">
        <f>'Proy 2022 vs 2019 sem'!HC21*AQL$4</f>
        <v>14140.946399999999</v>
      </c>
      <c r="AQK22" s="699"/>
      <c r="AQL22" s="700">
        <f>AQK22/AQI22</f>
        <v>0</v>
      </c>
      <c r="AQM22" s="593">
        <f>'Proy 2022 vs 2019 sem'!HB21*AQP$4</f>
        <v>14140.946399999999</v>
      </c>
      <c r="AQN22" s="593">
        <f>'Proy 2022 vs 2019 sem'!HC21*AQP$4</f>
        <v>14140.946399999999</v>
      </c>
      <c r="AQO22" s="699"/>
      <c r="AQP22" s="700">
        <f>AQO22/AQM22</f>
        <v>0</v>
      </c>
      <c r="AQQ22" s="593">
        <f>'Proy 2022 vs 2019 sem'!HB21*AQT$4</f>
        <v>14140.946399999999</v>
      </c>
      <c r="AQR22" s="593">
        <f>'Proy 2022 vs 2019 sem'!HC21*AQT$4</f>
        <v>14140.946399999999</v>
      </c>
      <c r="AQS22" s="699"/>
      <c r="AQT22" s="700">
        <f>AQS22/AQQ22</f>
        <v>0</v>
      </c>
      <c r="AQU22" s="593">
        <f>'Proy 2022 vs 2019 sem'!HB21*AQX$4</f>
        <v>16497.770800000002</v>
      </c>
      <c r="AQV22" s="593">
        <f>'Proy 2022 vs 2019 sem'!HC21*AQX$4</f>
        <v>16497.770800000002</v>
      </c>
      <c r="AQW22" s="699"/>
      <c r="AQX22" s="700">
        <f>AQW22/AQU22</f>
        <v>0</v>
      </c>
      <c r="AQY22" s="593">
        <f>'Proy 2022 vs 2019 sem'!HB21*ARB$4</f>
        <v>18854.5952</v>
      </c>
      <c r="AQZ22" s="593">
        <f>'Proy 2022 vs 2019 sem'!HC21*ARB$4</f>
        <v>18854.5952</v>
      </c>
      <c r="ARA22" s="699"/>
      <c r="ARB22" s="700">
        <f>ARA22/AQY22</f>
        <v>0</v>
      </c>
      <c r="ARC22" s="593">
        <f>'Proy 2022 vs 2019 sem'!HB21*ARF$4</f>
        <v>25925.0684</v>
      </c>
      <c r="ARD22" s="593">
        <f>'Proy 2022 vs 2019 sem'!HC21*ARF$4</f>
        <v>25925.0684</v>
      </c>
      <c r="ARE22" s="699"/>
      <c r="ARF22" s="700">
        <f>ARE22/ARC22</f>
        <v>0</v>
      </c>
      <c r="ARG22" s="579">
        <f>AQE22+AQI22+AQM22+AQQ22+AQU22+AQY22+ARC22</f>
        <v>117841.22</v>
      </c>
      <c r="ARH22" s="574">
        <f>AQF22+AQJ22+AQN22+AQR22+AQV22+AQZ22+ARD22</f>
        <v>117841.22</v>
      </c>
      <c r="ARI22" s="730">
        <f>AQG22+AQK22+AQO22+AQS22+AQW22+ARA22+ARE22</f>
        <v>0</v>
      </c>
      <c r="ARJ22" s="711">
        <f>ARI22/ARG22</f>
        <v>0</v>
      </c>
      <c r="ARK22" s="593">
        <f>'Proy 2022 vs 2019 sem'!HG21*ARN$4</f>
        <v>13384.484399999999</v>
      </c>
      <c r="ARL22" s="593">
        <f>'Proy 2022 vs 2019 sem'!HH21*ARN$4</f>
        <v>12715.260179999997</v>
      </c>
      <c r="ARM22" s="699"/>
      <c r="ARN22" s="700">
        <f>ARM22/ARK22</f>
        <v>0</v>
      </c>
      <c r="ARO22" s="593">
        <f>'Proy 2022 vs 2019 sem'!HG21*ARR$4</f>
        <v>13384.484399999999</v>
      </c>
      <c r="ARP22" s="593">
        <f>'Proy 2022 vs 2019 sem'!HH21*ARR$4</f>
        <v>12715.260179999997</v>
      </c>
      <c r="ARQ22" s="699"/>
      <c r="ARR22" s="700">
        <f>ARQ22/ARO22</f>
        <v>0</v>
      </c>
      <c r="ARS22" s="593">
        <f>'Proy 2022 vs 2019 sem'!HG21*ARV$4</f>
        <v>13384.484399999999</v>
      </c>
      <c r="ART22" s="593">
        <f>'Proy 2022 vs 2019 sem'!HH21*ARV$4</f>
        <v>12715.260179999997</v>
      </c>
      <c r="ARU22" s="699"/>
      <c r="ARV22" s="700">
        <f>ARU22/ARS22</f>
        <v>0</v>
      </c>
      <c r="ARW22" s="593">
        <f>'Proy 2022 vs 2019 sem'!HG21*ARZ$4</f>
        <v>13384.484399999999</v>
      </c>
      <c r="ARX22" s="593">
        <f>'Proy 2022 vs 2019 sem'!HH21*ARZ$4</f>
        <v>12715.260179999997</v>
      </c>
      <c r="ARY22" s="699"/>
      <c r="ARZ22" s="700">
        <f>ARY22/ARW22</f>
        <v>0</v>
      </c>
      <c r="ASA22" s="593">
        <f>'Proy 2022 vs 2019 sem'!HG21*ASD$4</f>
        <v>15615.231800000001</v>
      </c>
      <c r="ASB22" s="593">
        <f>'Proy 2022 vs 2019 sem'!HH21*ASD$4</f>
        <v>14834.470209999999</v>
      </c>
      <c r="ASC22" s="699"/>
      <c r="ASD22" s="700">
        <f>ASC22/ASA22</f>
        <v>0</v>
      </c>
      <c r="ASE22" s="593">
        <f>'Proy 2022 vs 2019 sem'!HG21*ASH$4</f>
        <v>17845.979199999998</v>
      </c>
      <c r="ASF22" s="593">
        <f>'Proy 2022 vs 2019 sem'!HH21*ASH$4</f>
        <v>16953.680239999998</v>
      </c>
      <c r="ASG22" s="699"/>
      <c r="ASH22" s="700">
        <f>ASG22/ASE22</f>
        <v>0</v>
      </c>
      <c r="ASI22" s="593">
        <f>'Proy 2022 vs 2019 sem'!HG21*ASL$4</f>
        <v>24538.221399999999</v>
      </c>
      <c r="ASJ22" s="593">
        <f>'Proy 2022 vs 2019 sem'!HH21*ASL$4</f>
        <v>23311.310329999997</v>
      </c>
      <c r="ASK22" s="699"/>
      <c r="ASL22" s="700">
        <f>ASK22/ASI22</f>
        <v>0</v>
      </c>
      <c r="ASM22" s="579">
        <f>ARK22+ARO22+ARS22+ARW22+ASA22+ASE22+ASI22</f>
        <v>111537.37</v>
      </c>
      <c r="ASN22" s="574">
        <f>ARL22+ARP22+ART22+ARX22+ASB22+ASF22+ASJ22</f>
        <v>105960.50149999998</v>
      </c>
      <c r="ASO22" s="730">
        <f>ARM22+ARQ22+ARU22+ARY22+ASC22+ASG22+ASK22</f>
        <v>0</v>
      </c>
      <c r="ASP22" s="711">
        <f>ASO22/ASM22</f>
        <v>0</v>
      </c>
      <c r="ASQ22" s="593">
        <f>'Proy 2022 vs 2019 sem'!HL21*AST$4</f>
        <v>11811.39</v>
      </c>
      <c r="ASR22" s="593">
        <f>'Proy 2022 vs 2019 sem'!HM21*AST$4</f>
        <v>11457.048299999999</v>
      </c>
      <c r="ASS22" s="699"/>
      <c r="AST22" s="700">
        <f>ASS22/ASQ22</f>
        <v>0</v>
      </c>
      <c r="ASU22" s="593">
        <f>'Proy 2022 vs 2019 sem'!HL21*ASX$4</f>
        <v>11811.39</v>
      </c>
      <c r="ASV22" s="593">
        <f>'Proy 2022 vs 2019 sem'!HM21*ASX$4</f>
        <v>11457.048299999999</v>
      </c>
      <c r="ASW22" s="699"/>
      <c r="ASX22" s="700">
        <f>ASW22/ASU22</f>
        <v>0</v>
      </c>
      <c r="ASY22" s="593">
        <f>'Proy 2022 vs 2019 sem'!HL21*ATB$4</f>
        <v>11811.39</v>
      </c>
      <c r="ASZ22" s="593">
        <f>'Proy 2022 vs 2019 sem'!HM21*ATB$4</f>
        <v>11457.048299999999</v>
      </c>
      <c r="ATA22" s="699"/>
      <c r="ATB22" s="700">
        <f>ATA22/ASY22</f>
        <v>0</v>
      </c>
      <c r="ATC22" s="593">
        <f>'Proy 2022 vs 2019 sem'!HL21*ATF$4</f>
        <v>11811.39</v>
      </c>
      <c r="ATD22" s="593">
        <f>'Proy 2022 vs 2019 sem'!HM21*ATF$4</f>
        <v>11457.048299999999</v>
      </c>
      <c r="ATE22" s="699"/>
      <c r="ATF22" s="700">
        <f>ATE22/ATC22</f>
        <v>0</v>
      </c>
      <c r="ATG22" s="593">
        <f>'Proy 2022 vs 2019 sem'!HL21*ATJ$4</f>
        <v>13779.955000000002</v>
      </c>
      <c r="ATH22" s="593">
        <f>'Proy 2022 vs 2019 sem'!HM21*ATJ$4</f>
        <v>13366.556350000001</v>
      </c>
      <c r="ATI22" s="699"/>
      <c r="ATJ22" s="700">
        <f>ATI22/ATG22</f>
        <v>0</v>
      </c>
      <c r="ATK22" s="593">
        <f>'Proy 2022 vs 2019 sem'!HL21*ATN$4</f>
        <v>15748.52</v>
      </c>
      <c r="ATL22" s="593">
        <f>'Proy 2022 vs 2019 sem'!HM21*ATN$4</f>
        <v>15276.064399999999</v>
      </c>
      <c r="ATM22" s="699"/>
      <c r="ATN22" s="700">
        <f>ATM22/ATK22</f>
        <v>0</v>
      </c>
      <c r="ATO22" s="593">
        <f>'Proy 2022 vs 2019 sem'!HL21*ATR$4</f>
        <v>21654.215</v>
      </c>
      <c r="ATP22" s="593">
        <f>'Proy 2022 vs 2019 sem'!HM21*ATR$4</f>
        <v>21004.58855</v>
      </c>
      <c r="ATQ22" s="699"/>
      <c r="ATR22" s="700">
        <f>ATQ22/ATO22</f>
        <v>0</v>
      </c>
      <c r="ATS22" s="579">
        <f>ASQ22+ASU22+ASY22+ATC22+ATG22+ATK22+ATO22</f>
        <v>98428.25</v>
      </c>
      <c r="ATT22" s="574">
        <f>ASR22+ASV22+ASZ22+ATD22+ATH22+ATL22+ATP22</f>
        <v>95475.402499999997</v>
      </c>
      <c r="ATU22" s="710">
        <f>ASS22+ASW22+ATA22+ATE22+ATI22+ATM22+ATQ22</f>
        <v>0</v>
      </c>
      <c r="ATV22" s="711">
        <f>ATU22/ATS22</f>
        <v>0</v>
      </c>
      <c r="ATW22" s="593">
        <f>'Proy 2022 vs 2019 sem'!HQ21*ATZ$4</f>
        <v>13496.287199999999</v>
      </c>
      <c r="ATX22" s="593">
        <f>'Proy 2022 vs 2019 sem'!HR21*ATZ$4</f>
        <v>13226.361455999999</v>
      </c>
      <c r="ATY22" s="699"/>
      <c r="ATZ22" s="700">
        <f>ATY22/ATW22</f>
        <v>0</v>
      </c>
      <c r="AUA22" s="593">
        <f>'Proy 2022 vs 2019 sem'!HQ21*AUD$4</f>
        <v>13496.287199999999</v>
      </c>
      <c r="AUB22" s="593">
        <f>'Proy 2022 vs 2019 sem'!HR21*AUD$4</f>
        <v>13226.361455999999</v>
      </c>
      <c r="AUC22" s="699"/>
      <c r="AUD22" s="700">
        <f>AUC22/AUA22</f>
        <v>0</v>
      </c>
      <c r="AUE22" s="593">
        <f>'Proy 2022 vs 2019 sem'!HQ21*AUH$4</f>
        <v>13496.287199999999</v>
      </c>
      <c r="AUF22" s="593">
        <f>'Proy 2022 vs 2019 sem'!HR21*AUH$4</f>
        <v>13226.361455999999</v>
      </c>
      <c r="AUG22" s="699"/>
      <c r="AUH22" s="700">
        <f>AUG22/AUE22</f>
        <v>0</v>
      </c>
      <c r="AUI22" s="593">
        <f>'Proy 2022 vs 2019 sem'!HQ21*AUL$4</f>
        <v>13496.287199999999</v>
      </c>
      <c r="AUJ22" s="593">
        <f>'Proy 2022 vs 2019 sem'!HR21*AUL$4</f>
        <v>13226.361455999999</v>
      </c>
      <c r="AUK22" s="699"/>
      <c r="AUL22" s="700">
        <f>AUK22/AUI22</f>
        <v>0</v>
      </c>
      <c r="AUM22" s="593">
        <f>'Proy 2022 vs 2019 sem'!HQ21*AUP$4</f>
        <v>15745.6684</v>
      </c>
      <c r="AUN22" s="593">
        <f>'Proy 2022 vs 2019 sem'!HR21*AUP$4</f>
        <v>15430.755032000001</v>
      </c>
      <c r="AUO22" s="699"/>
      <c r="AUP22" s="700">
        <f>AUO22/AUM22</f>
        <v>0</v>
      </c>
      <c r="AUQ22" s="593">
        <f>'Proy 2022 vs 2019 sem'!HQ21*AUT$4</f>
        <v>17995.049599999998</v>
      </c>
      <c r="AUR22" s="593">
        <f>'Proy 2022 vs 2019 sem'!HR21*AUT$4</f>
        <v>17635.148608</v>
      </c>
      <c r="AUS22" s="699"/>
      <c r="AUT22" s="700">
        <f>AUS22/AUQ22</f>
        <v>0</v>
      </c>
      <c r="AUU22" s="593">
        <f>'Proy 2022 vs 2019 sem'!HQ21*AUX$4</f>
        <v>24743.193199999998</v>
      </c>
      <c r="AUV22" s="593">
        <f>'Proy 2022 vs 2019 sem'!HR21*AUX$4</f>
        <v>24248.329335999999</v>
      </c>
      <c r="AUW22" s="699"/>
      <c r="AUX22" s="700">
        <f>AUW22/AUU22</f>
        <v>0</v>
      </c>
      <c r="AUY22" s="579">
        <f>ATW22+AUA22+AUE22+AUI22+AUM22+AUQ22+AUU22</f>
        <v>112469.05999999998</v>
      </c>
      <c r="AUZ22" s="574">
        <f>ATX22+AUB22+AUF22+AUJ22+AUN22+AUR22+AUV22</f>
        <v>110219.67879999999</v>
      </c>
      <c r="AVA22" s="710">
        <f>ATY22+AUC22+AUG22+AUK22+AUO22+AUS22+AUW22</f>
        <v>0</v>
      </c>
      <c r="AVB22" s="711">
        <f>AVA22/AUY22</f>
        <v>0</v>
      </c>
      <c r="AVC22" s="593">
        <f>'Proy 2022 vs 2019 sem'!HZ21*AVF$4</f>
        <v>11104.670399999999</v>
      </c>
      <c r="AVD22" s="593">
        <f>'Proy 2022 vs 2019 sem'!IA21*AVF$4</f>
        <v>10771.530288</v>
      </c>
      <c r="AVE22" s="735"/>
      <c r="AVF22" s="700">
        <f>AVE22/AVC22</f>
        <v>0</v>
      </c>
      <c r="AVG22" s="593">
        <f>'Proy 2022 vs 2019 sem'!HZ21*AVJ$4</f>
        <v>11104.670399999999</v>
      </c>
      <c r="AVH22" s="593">
        <f>'Proy 2022 vs 2019 sem'!IA21*AVJ$4</f>
        <v>10771.530288</v>
      </c>
      <c r="AVI22" s="699"/>
      <c r="AVJ22" s="700">
        <f>AVI22/AVG22</f>
        <v>0</v>
      </c>
      <c r="AVK22" s="593">
        <f>'Proy 2022 vs 2019 sem'!HZ21*AVN$4</f>
        <v>11104.670399999999</v>
      </c>
      <c r="AVL22" s="593">
        <f>'Proy 2022 vs 2019 sem'!IA21*AVN$4</f>
        <v>10771.530288</v>
      </c>
      <c r="AVM22" s="699"/>
      <c r="AVN22" s="700">
        <f>AVM22/AVK22</f>
        <v>0</v>
      </c>
      <c r="AVO22" s="593">
        <f>'Proy 2022 vs 2019 sem'!HZ21*AVR$4</f>
        <v>11104.670399999999</v>
      </c>
      <c r="AVP22" s="593">
        <f>'Proy 2022 vs 2019 sem'!IA21*AVR$4</f>
        <v>10771.530288</v>
      </c>
      <c r="AVQ22" s="699"/>
      <c r="AVR22" s="700">
        <f>AVQ22/AVO22</f>
        <v>0</v>
      </c>
      <c r="AVS22" s="593">
        <f>'Proy 2022 vs 2019 sem'!HZ21*AVV$4</f>
        <v>12955.4488</v>
      </c>
      <c r="AVT22" s="593">
        <f>'Proy 2022 vs 2019 sem'!IA21*AVV$4</f>
        <v>12566.785336000001</v>
      </c>
      <c r="AVU22" s="699"/>
      <c r="AVV22" s="700">
        <f>AVU22/AVS22</f>
        <v>0</v>
      </c>
      <c r="AVW22" s="593">
        <f>'Proy 2022 vs 2019 sem'!HZ21*AVZ$4</f>
        <v>14806.227199999999</v>
      </c>
      <c r="AVX22" s="593">
        <f>'Proy 2022 vs 2019 sem'!IA21*AVZ$4</f>
        <v>14362.040384</v>
      </c>
      <c r="AVY22" s="699"/>
      <c r="AVZ22" s="700">
        <f>AVY22/AVW22</f>
        <v>0</v>
      </c>
      <c r="AWA22" s="593">
        <f>'Proy 2022 vs 2019 sem'!HZ21*AWD$4</f>
        <v>20358.562399999999</v>
      </c>
      <c r="AWB22" s="593">
        <f>'Proy 2022 vs 2019 sem'!IA21*AWD$4</f>
        <v>19747.805528000001</v>
      </c>
      <c r="AWC22" s="699"/>
      <c r="AWD22" s="700">
        <f>AWC22/AWA22</f>
        <v>0</v>
      </c>
      <c r="AWE22" s="579">
        <f>AVC22+AVG22+AVK22+AVO22+AVS22+AVW22+AWA22</f>
        <v>92538.919999999984</v>
      </c>
      <c r="AWF22" s="574">
        <f>AVD22+AVH22+AVL22+AVP22+AVT22+AVX22+AWB22</f>
        <v>89762.752399999998</v>
      </c>
      <c r="AWG22" s="793">
        <f>AVE22+AVI22+AVM22+AVQ22+AVU22+AVY22+AWC22</f>
        <v>0</v>
      </c>
      <c r="AWH22" s="786">
        <f>AWG22/AWE22</f>
        <v>0</v>
      </c>
      <c r="AWI22" s="593">
        <f>'Proy 2022 vs 2019 sem'!IE21*AWL$4</f>
        <v>13106.73</v>
      </c>
      <c r="AWJ22" s="593">
        <f>'Proy 2022 vs 2019 sem'!IF21*AWL$4</f>
        <v>12582.460799999999</v>
      </c>
      <c r="AWK22" s="699"/>
      <c r="AWL22" s="700">
        <f>AWK22/AWI22</f>
        <v>0</v>
      </c>
      <c r="AWM22" s="593">
        <f>'Proy 2022 vs 2019 sem'!IE21*AWP$4</f>
        <v>13106.73</v>
      </c>
      <c r="AWN22" s="593">
        <f>'Proy 2022 vs 2019 sem'!IF21*AWP$4</f>
        <v>12582.460799999999</v>
      </c>
      <c r="AWO22" s="699"/>
      <c r="AWP22" s="700">
        <f>AWO22/AWM22</f>
        <v>0</v>
      </c>
      <c r="AWQ22" s="593">
        <f>'Proy 2022 vs 2019 sem'!IE21*AWT$4</f>
        <v>13106.73</v>
      </c>
      <c r="AWR22" s="593">
        <f>'Proy 2022 vs 2019 sem'!IF21*AWT$4</f>
        <v>12582.460799999999</v>
      </c>
      <c r="AWS22" s="699"/>
      <c r="AWT22" s="700">
        <f>AWS22/AWQ22</f>
        <v>0</v>
      </c>
      <c r="AWU22" s="593">
        <f>'Proy 2022 vs 2019 sem'!IE21*AWX$4</f>
        <v>13106.73</v>
      </c>
      <c r="AWV22" s="593">
        <f>'Proy 2022 vs 2019 sem'!IF21*AWX$4</f>
        <v>12582.460799999999</v>
      </c>
      <c r="AWW22" s="699"/>
      <c r="AWX22" s="700">
        <f>AWW22/AWU22</f>
        <v>0</v>
      </c>
      <c r="AWY22" s="593">
        <f>'Proy 2022 vs 2019 sem'!IE21*AXB$4</f>
        <v>15291.185000000001</v>
      </c>
      <c r="AWZ22" s="593">
        <f>'Proy 2022 vs 2019 sem'!IF21*AXB$4</f>
        <v>14679.537600000001</v>
      </c>
      <c r="AXA22" s="699"/>
      <c r="AXB22" s="700">
        <f>AXA22/AWY22</f>
        <v>0</v>
      </c>
      <c r="AXC22" s="593">
        <f>'Proy 2022 vs 2019 sem'!IE21*AXF$4</f>
        <v>17475.64</v>
      </c>
      <c r="AXD22" s="593">
        <f>'Proy 2022 vs 2019 sem'!IF21*AXF$4</f>
        <v>16776.614399999999</v>
      </c>
      <c r="AXE22" s="699"/>
      <c r="AXF22" s="700">
        <f>AXE22/AXC22</f>
        <v>0</v>
      </c>
      <c r="AXG22" s="593">
        <f>'Proy 2022 vs 2019 sem'!IE21*AXJ$4</f>
        <v>24029.005000000001</v>
      </c>
      <c r="AXH22" s="593">
        <f>'Proy 2022 vs 2019 sem'!IF21*AXJ$4</f>
        <v>23067.844799999999</v>
      </c>
      <c r="AXI22" s="699"/>
      <c r="AXJ22" s="700">
        <f>AXI22/AXG22</f>
        <v>0</v>
      </c>
      <c r="AXK22" s="579">
        <f>AWI22+AWM22+AWQ22+AWU22+AWY22+AXC22+AXG22</f>
        <v>109222.75</v>
      </c>
      <c r="AXL22" s="574">
        <f>AWJ22+AWN22+AWR22+AWV22+AWZ22+AXD22+AXH22</f>
        <v>104853.84</v>
      </c>
      <c r="AXM22" s="794">
        <f>AWK22+AWO22+AWS22+AWW22+AXA22+AXE22+AXI22</f>
        <v>0</v>
      </c>
      <c r="AXN22" s="786">
        <f>AXM22/AXK22</f>
        <v>0</v>
      </c>
      <c r="AXO22" s="593">
        <f>'Proy 2022 vs 2019 sem'!IJ21*AXR$4</f>
        <v>14956.281599999998</v>
      </c>
      <c r="AXP22" s="593">
        <f>'Proy 2022 vs 2019 sem'!IK21*AXR$4</f>
        <v>14806.718783999999</v>
      </c>
      <c r="AXQ22" s="699"/>
      <c r="AXR22" s="700">
        <f>AXQ22/AXO22</f>
        <v>0</v>
      </c>
      <c r="AXS22" s="593">
        <f>'Proy 2022 vs 2019 sem'!IJ21*AXV$4</f>
        <v>14956.281599999998</v>
      </c>
      <c r="AXT22" s="593">
        <f>'Proy 2022 vs 2019 sem'!IK21*AXV$4</f>
        <v>14806.718783999999</v>
      </c>
      <c r="AXU22" s="699"/>
      <c r="AXV22" s="700">
        <f>AXU22/AXS22</f>
        <v>0</v>
      </c>
      <c r="AXW22" s="593">
        <f>'Proy 2022 vs 2019 sem'!IJ21*AXZ$4</f>
        <v>14956.281599999998</v>
      </c>
      <c r="AXX22" s="593">
        <f>'Proy 2022 vs 2019 sem'!IK21*AXZ$4</f>
        <v>14806.718783999999</v>
      </c>
      <c r="AXY22" s="699"/>
      <c r="AXZ22" s="700">
        <f>AXY22/AXW22</f>
        <v>0</v>
      </c>
      <c r="AYA22" s="593">
        <f>'Proy 2022 vs 2019 sem'!IJ21*AYD$4</f>
        <v>14956.281599999998</v>
      </c>
      <c r="AYB22" s="593">
        <f>'Proy 2022 vs 2019 sem'!IK21*AYD$4</f>
        <v>14806.718783999999</v>
      </c>
      <c r="AYC22" s="699"/>
      <c r="AYD22" s="700">
        <f>AYC22/AYA22</f>
        <v>0</v>
      </c>
      <c r="AYE22" s="593">
        <f>'Proy 2022 vs 2019 sem'!IJ21*AYH$4</f>
        <v>17448.995200000001</v>
      </c>
      <c r="AYF22" s="593">
        <f>'Proy 2022 vs 2019 sem'!IK21*AYH$4</f>
        <v>17274.505248000001</v>
      </c>
      <c r="AYG22" s="699"/>
      <c r="AYH22" s="700">
        <f>AYG22/AYE22</f>
        <v>0</v>
      </c>
      <c r="AYI22" s="593">
        <f>'Proy 2022 vs 2019 sem'!IJ21*AYL$4</f>
        <v>19941.7088</v>
      </c>
      <c r="AYJ22" s="593">
        <f>'Proy 2022 vs 2019 sem'!IK21*AYL$4</f>
        <v>19742.291712000002</v>
      </c>
      <c r="AYK22" s="699"/>
      <c r="AYL22" s="700">
        <f>AYK22/AYI22</f>
        <v>0</v>
      </c>
      <c r="AYM22" s="593">
        <f>'Proy 2022 vs 2019 sem'!IJ21*AYP$4</f>
        <v>27419.849599999998</v>
      </c>
      <c r="AYN22" s="593">
        <f>'Proy 2022 vs 2019 sem'!IK21*AYP$4</f>
        <v>27145.651104</v>
      </c>
      <c r="AYO22" s="699"/>
      <c r="AYP22" s="700">
        <f>AYO22/AYM22</f>
        <v>0</v>
      </c>
      <c r="AYQ22" s="579">
        <f>AXO22+AXS22+AXW22+AYA22+AYE22+AYI22+AYM22</f>
        <v>124635.68000000001</v>
      </c>
      <c r="AYR22" s="574">
        <f>AXP22+AXT22+AXX22+AYB22+AYF22+AYJ22+AYN22</f>
        <v>123389.3232</v>
      </c>
      <c r="AYS22" s="794">
        <f>AXQ22+AXU22+AXY22+AYC22+AYG22+AYK22+AYO22</f>
        <v>0</v>
      </c>
      <c r="AYT22" s="786">
        <f>AYS22/AYQ22</f>
        <v>0</v>
      </c>
      <c r="AYU22" s="593">
        <f>'Proy 2022 vs 2019 sem'!IO21*AYX$4</f>
        <v>18730.504799999999</v>
      </c>
      <c r="AYV22" s="593">
        <f>'Proy 2022 vs 2019 sem'!IP21*AYX$4</f>
        <v>18168.589656</v>
      </c>
      <c r="AYW22" s="699"/>
      <c r="AYX22" s="700">
        <f>AYW22/AYU22</f>
        <v>0</v>
      </c>
      <c r="AYY22" s="593">
        <f>'Proy 2022 vs 2019 sem'!IO21*AZB$4</f>
        <v>18730.504799999999</v>
      </c>
      <c r="AYZ22" s="593">
        <f>'Proy 2022 vs 2019 sem'!IP21*AZB$4</f>
        <v>18168.589656</v>
      </c>
      <c r="AZA22" s="699"/>
      <c r="AZB22" s="700">
        <f>AZA22/AYY22</f>
        <v>0</v>
      </c>
      <c r="AZC22" s="593">
        <f>'Proy 2022 vs 2019 sem'!IO21*AZF$4</f>
        <v>18730.504799999999</v>
      </c>
      <c r="AZD22" s="593">
        <f>'Proy 2022 vs 2019 sem'!IP21*AZF$4</f>
        <v>18168.589656</v>
      </c>
      <c r="AZE22" s="699"/>
      <c r="AZF22" s="700">
        <f>AZE22/AZC22</f>
        <v>0</v>
      </c>
      <c r="AZG22" s="593">
        <f>'Proy 2022 vs 2019 sem'!IO21*AZJ$4</f>
        <v>18730.504799999999</v>
      </c>
      <c r="AZH22" s="593">
        <f>'Proy 2022 vs 2019 sem'!IP21*AZJ$4</f>
        <v>18168.589656</v>
      </c>
      <c r="AZI22" s="699"/>
      <c r="AZJ22" s="700">
        <f>AZI22/AZG22</f>
        <v>0</v>
      </c>
      <c r="AZK22" s="593">
        <f>'Proy 2022 vs 2019 sem'!IO21*AZN$4</f>
        <v>21852.255600000004</v>
      </c>
      <c r="AZL22" s="593">
        <f>'Proy 2022 vs 2019 sem'!IP21*AZN$4</f>
        <v>21196.687932000004</v>
      </c>
      <c r="AZM22" s="699"/>
      <c r="AZN22" s="700">
        <f>AZM22/AZK22</f>
        <v>0</v>
      </c>
      <c r="AZO22" s="593">
        <f>'Proy 2022 vs 2019 sem'!IO21*AZR$4</f>
        <v>24974.006400000002</v>
      </c>
      <c r="AZP22" s="593">
        <f>'Proy 2022 vs 2019 sem'!IP21*AZR$4</f>
        <v>24224.786208000001</v>
      </c>
      <c r="AZQ22" s="699"/>
      <c r="AZR22" s="700">
        <f>AZQ22/AZO22</f>
        <v>0</v>
      </c>
      <c r="AZS22" s="593">
        <f>'Proy 2022 vs 2019 sem'!IO21*AZV$4</f>
        <v>34339.258800000003</v>
      </c>
      <c r="AZT22" s="593">
        <f>'Proy 2022 vs 2019 sem'!IP21*AZV$4</f>
        <v>33309.081036000003</v>
      </c>
      <c r="AZU22" s="699"/>
      <c r="AZV22" s="700">
        <f>AZU22/AZS22</f>
        <v>0</v>
      </c>
      <c r="AZW22" s="579">
        <f>AYU22+AYY22+AZC22+AZG22+AZK22+AZO22+AZS22</f>
        <v>156087.54</v>
      </c>
      <c r="AZX22" s="574">
        <f>AYV22+AYZ22+AZD22+AZH22+AZL22+AZP22+AZT22</f>
        <v>151404.91380000001</v>
      </c>
      <c r="AZY22" s="785">
        <f>AYW22+AZA22+AZE22+AZI22+AZM22+AZQ22+AZU22</f>
        <v>0</v>
      </c>
      <c r="AZZ22" s="786">
        <f>AZY22/AZW22</f>
        <v>0</v>
      </c>
      <c r="BAA22" s="593">
        <f>'Proy 2022 vs 2019 sem'!IX21*BAD$4</f>
        <v>12846.091199999999</v>
      </c>
      <c r="BAB22" s="593">
        <f>'Proy 2022 vs 2019 sem'!IY21*BAD$4</f>
        <v>12460.708463999998</v>
      </c>
      <c r="BAC22" s="735"/>
      <c r="BAD22" s="700">
        <f>BAC22/BAA22</f>
        <v>0</v>
      </c>
      <c r="BAE22" s="593">
        <f>'Proy 2022 vs 2019 sem'!IX21*BAH$4</f>
        <v>12846.091199999999</v>
      </c>
      <c r="BAF22" s="593">
        <f>'Proy 2022 vs 2019 sem'!IY21*BAH$4</f>
        <v>12460.708463999998</v>
      </c>
      <c r="BAG22" s="699"/>
      <c r="BAH22" s="700">
        <f>BAG22/BAE22</f>
        <v>0</v>
      </c>
      <c r="BAI22" s="593">
        <f>'Proy 2022 vs 2019 sem'!IX21*BAL$4</f>
        <v>12846.091199999999</v>
      </c>
      <c r="BAJ22" s="593">
        <f>'Proy 2022 vs 2019 sem'!IY21*BAL$4</f>
        <v>12460.708463999998</v>
      </c>
      <c r="BAK22" s="699"/>
      <c r="BAL22" s="700">
        <f>BAK22/BAI22</f>
        <v>0</v>
      </c>
      <c r="BAM22" s="593">
        <f>'Proy 2022 vs 2019 sem'!IX21*BAP$4</f>
        <v>12846.091199999999</v>
      </c>
      <c r="BAN22" s="593">
        <f>'Proy 2022 vs 2019 sem'!IY21*BAP$4</f>
        <v>12460.708463999998</v>
      </c>
      <c r="BAO22" s="699"/>
      <c r="BAP22" s="700">
        <f>BAO22/BAM22</f>
        <v>0</v>
      </c>
      <c r="BAQ22" s="593">
        <f>'Proy 2022 vs 2019 sem'!IX21*BAT$4</f>
        <v>14987.106400000001</v>
      </c>
      <c r="BAR22" s="593">
        <f>'Proy 2022 vs 2019 sem'!IY21*BAT$4</f>
        <v>14537.493208</v>
      </c>
      <c r="BAS22" s="699"/>
      <c r="BAT22" s="700">
        <f>BAS22/BAQ22</f>
        <v>0</v>
      </c>
      <c r="BAU22" s="593">
        <f>'Proy 2022 vs 2019 sem'!IX21*BAX$4</f>
        <v>17128.121599999999</v>
      </c>
      <c r="BAV22" s="593">
        <f>'Proy 2022 vs 2019 sem'!IY21*BAX$4</f>
        <v>16614.277951999997</v>
      </c>
      <c r="BAW22" s="699"/>
      <c r="BAX22" s="700">
        <f>BAW22/BAU22</f>
        <v>0</v>
      </c>
      <c r="BAY22" s="593">
        <f>'Proy 2022 vs 2019 sem'!IX21*BBB$4</f>
        <v>23551.1672</v>
      </c>
      <c r="BAZ22" s="593">
        <f>'Proy 2022 vs 2019 sem'!IY21*BBB$4</f>
        <v>22844.632183999998</v>
      </c>
      <c r="BBA22" s="699"/>
      <c r="BBB22" s="700">
        <f>BBA22/BAY22</f>
        <v>0</v>
      </c>
      <c r="BBC22" s="579">
        <f>BAA22+BAE22+BAI22+BAM22+BAQ22+BAU22+BAY22</f>
        <v>107050.76</v>
      </c>
      <c r="BBD22" s="574">
        <f>BAB22+BAF22+BAJ22+BAN22+BAR22+BAV22+BAZ22</f>
        <v>103839.23719999999</v>
      </c>
      <c r="BBE22" s="759">
        <f>BAC22+BAG22+BAK22+BAO22+BAS22+BAW22+BBA22</f>
        <v>0</v>
      </c>
      <c r="BBF22" s="761">
        <f>BBE22/BBC22</f>
        <v>0</v>
      </c>
      <c r="BBG22" s="593">
        <f>'Proy 2022 vs 2019 sem'!JC21*BBJ$4</f>
        <v>16761.2736</v>
      </c>
      <c r="BBH22" s="593">
        <f>'Proy 2022 vs 2019 sem'!JD21*BBJ$4</f>
        <v>15755.597183999998</v>
      </c>
      <c r="BBI22" s="699"/>
      <c r="BBJ22" s="700">
        <f>BBI22/BBG22</f>
        <v>0</v>
      </c>
      <c r="BBK22" s="593">
        <f>'Proy 2022 vs 2019 sem'!JC21*BBN$4</f>
        <v>16761.2736</v>
      </c>
      <c r="BBL22" s="593">
        <f>'Proy 2022 vs 2019 sem'!JD21*BBN$4</f>
        <v>15755.597183999998</v>
      </c>
      <c r="BBM22" s="699"/>
      <c r="BBN22" s="700">
        <f>BBM22/BBK22</f>
        <v>0</v>
      </c>
      <c r="BBO22" s="593">
        <f>'Proy 2022 vs 2019 sem'!JC21*BBR$4</f>
        <v>16761.2736</v>
      </c>
      <c r="BBP22" s="593">
        <f>'Proy 2022 vs 2019 sem'!JD21*BBR$4</f>
        <v>15755.597183999998</v>
      </c>
      <c r="BBQ22" s="699"/>
      <c r="BBR22" s="700">
        <f>BBQ22/BBO22</f>
        <v>0</v>
      </c>
      <c r="BBS22" s="593">
        <f>'Proy 2022 vs 2019 sem'!JC21*BBV$4</f>
        <v>16761.2736</v>
      </c>
      <c r="BBT22" s="593">
        <f>'Proy 2022 vs 2019 sem'!JD21*BBV$4</f>
        <v>15755.597183999998</v>
      </c>
      <c r="BBU22" s="699"/>
      <c r="BBV22" s="700">
        <f>BBU22/BBS22</f>
        <v>0</v>
      </c>
      <c r="BBW22" s="593">
        <f>'Proy 2022 vs 2019 sem'!JC21*BBZ$4</f>
        <v>19554.819200000002</v>
      </c>
      <c r="BBX22" s="593">
        <f>'Proy 2022 vs 2019 sem'!JD21*BBZ$4</f>
        <v>18381.530048000001</v>
      </c>
      <c r="BBY22" s="699"/>
      <c r="BBZ22" s="700">
        <f>BBY22/BBW22</f>
        <v>0</v>
      </c>
      <c r="BCA22" s="593">
        <f>'Proy 2022 vs 2019 sem'!JC21*BCD$4</f>
        <v>22348.364799999999</v>
      </c>
      <c r="BCB22" s="593">
        <f>'Proy 2022 vs 2019 sem'!JD21*BCD$4</f>
        <v>21007.462911999999</v>
      </c>
      <c r="BCC22" s="699"/>
      <c r="BCD22" s="700">
        <f>BCC22/BCA22</f>
        <v>0</v>
      </c>
      <c r="BCE22" s="593">
        <f>'Proy 2022 vs 2019 sem'!JC21*BCH$4</f>
        <v>30729.0016</v>
      </c>
      <c r="BCF22" s="593">
        <f>'Proy 2022 vs 2019 sem'!JD21*BCH$4</f>
        <v>28885.261503999998</v>
      </c>
      <c r="BCG22" s="699"/>
      <c r="BCH22" s="700">
        <f>BCG22/BCE22</f>
        <v>0</v>
      </c>
      <c r="BCI22" s="579">
        <f>BBG22+BBK22+BBO22+BBS22+BBW22+BCA22+BCE22</f>
        <v>139677.28</v>
      </c>
      <c r="BCJ22" s="574">
        <f>BBH22+BBL22+BBP22+BBT22+BBX22+BCB22+BCF22</f>
        <v>131296.64319999999</v>
      </c>
      <c r="BCK22" s="765">
        <f>BBI22+BBM22+BBQ22+BBU22+BBY22+BCC22+BCG22</f>
        <v>0</v>
      </c>
      <c r="BCL22" s="761">
        <f>BCK22/BCI22</f>
        <v>0</v>
      </c>
      <c r="BCM22" s="593">
        <f>'Proy 2022 vs 2019 sem'!JH21*BCP$4</f>
        <v>17928.770400000001</v>
      </c>
      <c r="BCN22" s="593">
        <f>'Proy 2022 vs 2019 sem'!JI21*BCP$4</f>
        <v>17211.619584</v>
      </c>
      <c r="BCO22" s="699"/>
      <c r="BCP22" s="700">
        <f>BCO22/BCM22</f>
        <v>0</v>
      </c>
      <c r="BCQ22" s="593">
        <f>'Proy 2022 vs 2019 sem'!JH21*BCT$4</f>
        <v>17928.770400000001</v>
      </c>
      <c r="BCR22" s="593">
        <f>'Proy 2022 vs 2019 sem'!JI21*BCT$4</f>
        <v>17211.619584</v>
      </c>
      <c r="BCS22" s="699"/>
      <c r="BCT22" s="700">
        <f>BCS22/BCQ22</f>
        <v>0</v>
      </c>
      <c r="BCU22" s="593">
        <f>'Proy 2022 vs 2019 sem'!JH21*BCX$4</f>
        <v>17928.770400000001</v>
      </c>
      <c r="BCV22" s="593">
        <f>'Proy 2022 vs 2019 sem'!JI21*BCX$4</f>
        <v>17211.619584</v>
      </c>
      <c r="BCW22" s="699"/>
      <c r="BCX22" s="700">
        <f>BCW22/BCU22</f>
        <v>0</v>
      </c>
      <c r="BCY22" s="593">
        <f>'Proy 2022 vs 2019 sem'!JH21*BDB$4</f>
        <v>17928.770400000001</v>
      </c>
      <c r="BCZ22" s="593">
        <f>'Proy 2022 vs 2019 sem'!JI21*BDB$4</f>
        <v>17211.619584</v>
      </c>
      <c r="BDA22" s="699"/>
      <c r="BDB22" s="700">
        <f>BDA22/BCY22</f>
        <v>0</v>
      </c>
      <c r="BDC22" s="593">
        <f>'Proy 2022 vs 2019 sem'!JH21*BDF$4</f>
        <v>20916.898800000003</v>
      </c>
      <c r="BDD22" s="593">
        <f>'Proy 2022 vs 2019 sem'!JI21*BDF$4</f>
        <v>20080.222848000005</v>
      </c>
      <c r="BDE22" s="699"/>
      <c r="BDF22" s="700">
        <f>BDE22/BDC22</f>
        <v>0</v>
      </c>
      <c r="BDG22" s="593">
        <f>'Proy 2022 vs 2019 sem'!JH21*BDJ$4</f>
        <v>23905.027200000004</v>
      </c>
      <c r="BDH22" s="593">
        <f>'Proy 2022 vs 2019 sem'!JI21*BDJ$4</f>
        <v>22948.826112000002</v>
      </c>
      <c r="BDI22" s="699"/>
      <c r="BDJ22" s="700">
        <f>BDI22/BDG22</f>
        <v>0</v>
      </c>
      <c r="BDK22" s="593">
        <f>'Proy 2022 vs 2019 sem'!JH21*BDN$4</f>
        <v>32869.412400000001</v>
      </c>
      <c r="BDL22" s="593">
        <f>'Proy 2022 vs 2019 sem'!JI21*BDN$4</f>
        <v>31554.635904000002</v>
      </c>
      <c r="BDM22" s="699"/>
      <c r="BDN22" s="700">
        <f>BDM22/BDK22</f>
        <v>0</v>
      </c>
      <c r="BDO22" s="579">
        <f>BCM22+BCQ22+BCU22+BCY22+BDC22+BDG22+BDK22</f>
        <v>149406.42000000001</v>
      </c>
      <c r="BDP22" s="574">
        <f>BCN22+BCR22+BCV22+BCZ22+BDD22+BDH22+BDL22</f>
        <v>143430.16320000001</v>
      </c>
      <c r="BDQ22" s="765">
        <f>BCO22+BCS22+BCW22+BDA22+BDE22+BDI22+BDM22</f>
        <v>0</v>
      </c>
      <c r="BDR22" s="761">
        <f>BDQ22/BDO22</f>
        <v>0</v>
      </c>
      <c r="BDS22" s="593">
        <f>'Proy 2022 vs 2019 sem'!JM21*BDV$4</f>
        <v>19341.236399999998</v>
      </c>
      <c r="BDT22" s="593">
        <f>'Proy 2022 vs 2019 sem'!JN21*BDV$4</f>
        <v>18374.174579999999</v>
      </c>
      <c r="BDU22" s="699"/>
      <c r="BDV22" s="700">
        <f>BDU22/BDS22</f>
        <v>0</v>
      </c>
      <c r="BDW22" s="593">
        <f>'Proy 2022 vs 2019 sem'!JM21*BDZ$4</f>
        <v>19341.236399999998</v>
      </c>
      <c r="BDX22" s="593">
        <f>'Proy 2022 vs 2019 sem'!JN21*BDZ$4</f>
        <v>18374.174579999999</v>
      </c>
      <c r="BDY22" s="699"/>
      <c r="BDZ22" s="700">
        <f>BDY22/BDW22</f>
        <v>0</v>
      </c>
      <c r="BEA22" s="593">
        <f>'Proy 2022 vs 2019 sem'!JM21*BED$4</f>
        <v>19341.236399999998</v>
      </c>
      <c r="BEB22" s="593">
        <f>'Proy 2022 vs 2019 sem'!JN21*BED$4</f>
        <v>18374.174579999999</v>
      </c>
      <c r="BEC22" s="699"/>
      <c r="BED22" s="700">
        <f>BEC22/BEA22</f>
        <v>0</v>
      </c>
      <c r="BEE22" s="593">
        <v>14501.990400000001</v>
      </c>
      <c r="BEF22" s="593">
        <f>'Proy 2022 vs 2019 sem'!JN21*BEH$4</f>
        <v>18374.174579999999</v>
      </c>
      <c r="BEG22" s="699"/>
      <c r="BEH22" s="700">
        <f>BEG22/BEE22</f>
        <v>0</v>
      </c>
      <c r="BEI22" s="593">
        <f>'Proy 2022 vs 2019 sem'!JM21*BEL$4</f>
        <v>22564.775800000003</v>
      </c>
      <c r="BEJ22" s="593">
        <f>'Proy 2022 vs 2019 sem'!JN21*BEL$4</f>
        <v>21436.537010000004</v>
      </c>
      <c r="BEK22" s="699"/>
      <c r="BEL22" s="700">
        <f>BEK22/BEI22</f>
        <v>0</v>
      </c>
      <c r="BEM22" s="593">
        <f>'Proy 2022 vs 2019 sem'!JM21*BEP$4</f>
        <v>25788.315200000001</v>
      </c>
      <c r="BEN22" s="593">
        <f>'Proy 2022 vs 2019 sem'!JN21*BEP$4</f>
        <v>24498.899440000001</v>
      </c>
      <c r="BEO22" s="699"/>
      <c r="BEP22" s="700">
        <f>BEO22/BEM22</f>
        <v>0</v>
      </c>
      <c r="BEQ22" s="593">
        <f>'Proy 2022 vs 2019 sem'!JM21*BET$4</f>
        <v>35458.933400000002</v>
      </c>
      <c r="BER22" s="593">
        <f>'Proy 2022 vs 2019 sem'!JN21*BET$4</f>
        <v>33685.986730000004</v>
      </c>
      <c r="BES22" s="699"/>
      <c r="BET22" s="700">
        <f>BES22/BEQ22</f>
        <v>0</v>
      </c>
      <c r="BEU22" s="579">
        <f>BDS22+BDW22+BEA22+BEE22+BEI22+BEM22+BEQ22</f>
        <v>156337.72399999999</v>
      </c>
      <c r="BEV22" s="574">
        <f>BDT22+BDX22+BEB22+BEF22+BEJ22+BEN22+BER22</f>
        <v>153118.12150000001</v>
      </c>
      <c r="BEW22" s="770">
        <f>BDU22+BDY22+BEC22+BEG22+BEK22+BEO22+BES22</f>
        <v>0</v>
      </c>
      <c r="BEX22" s="761">
        <f>BEW22/BEU22</f>
        <v>0</v>
      </c>
      <c r="BEY22" s="593">
        <f>'Proy 2022 vs 2019 sem'!JV21*BFB$4</f>
        <v>27637.245599999998</v>
      </c>
      <c r="BEZ22" s="593">
        <f>'Proy 2022 vs 2019 sem'!JW21*BFB$4</f>
        <v>25979.010864</v>
      </c>
      <c r="BFA22" s="735"/>
      <c r="BFB22" s="700">
        <f>BFA22/BEY22</f>
        <v>0</v>
      </c>
      <c r="BFC22" s="593">
        <f>'Proy 2022 vs 2019 sem'!JV21*BFF$4</f>
        <v>27637.245599999998</v>
      </c>
      <c r="BFD22" s="593">
        <f>'Proy 2022 vs 2019 sem'!JW21*BFF$4</f>
        <v>25979.010864</v>
      </c>
      <c r="BFE22" s="735"/>
      <c r="BFF22" s="700">
        <f>BFE22/BFC22</f>
        <v>0</v>
      </c>
      <c r="BFG22" s="593">
        <f>'Proy 2022 vs 2019 sem'!JV21*BFJ$4</f>
        <v>27637.245599999998</v>
      </c>
      <c r="BFH22" s="593">
        <f>'Proy 2022 vs 2019 sem'!JW21*BFJ$4</f>
        <v>25979.010864</v>
      </c>
      <c r="BFI22" s="735"/>
      <c r="BFJ22" s="700">
        <f>BFI22/BFG22</f>
        <v>0</v>
      </c>
      <c r="BFK22" s="593">
        <f>'Proy 2022 vs 2019 sem'!JV21*BFN$4</f>
        <v>27637.245599999998</v>
      </c>
      <c r="BFL22" s="593">
        <f>'Proy 2022 vs 2019 sem'!JW21*BFN$4</f>
        <v>25979.010864</v>
      </c>
      <c r="BFM22" s="735"/>
      <c r="BFN22" s="700">
        <f>BFM22/BFK22</f>
        <v>0</v>
      </c>
      <c r="BFO22" s="593">
        <f>'Proy 2022 vs 2019 sem'!JV21*BFR$4</f>
        <v>32243.453200000004</v>
      </c>
      <c r="BFP22" s="593">
        <f>'Proy 2022 vs 2019 sem'!JW21*BFR$4</f>
        <v>30308.846008</v>
      </c>
      <c r="BFQ22" s="735"/>
      <c r="BFR22" s="700">
        <f>BFQ22/BFO22</f>
        <v>0</v>
      </c>
      <c r="BFS22" s="593">
        <f>'Proy 2022 vs 2019 sem'!JV21*BFV$4</f>
        <v>36849.660800000005</v>
      </c>
      <c r="BFT22" s="593">
        <f>'Proy 2022 vs 2019 sem'!JW21*BFV$4</f>
        <v>34638.681151999997</v>
      </c>
      <c r="BFU22" s="735"/>
      <c r="BFV22" s="700">
        <f>BFU22/BFS22</f>
        <v>0</v>
      </c>
      <c r="BFW22" s="593">
        <f>'Proy 2022 vs 2019 sem'!JV21*BFZ$4</f>
        <v>50668.283600000002</v>
      </c>
      <c r="BFX22" s="593">
        <f>'Proy 2022 vs 2019 sem'!JW21*BFZ$4</f>
        <v>47628.186583999995</v>
      </c>
      <c r="BFY22" s="735"/>
      <c r="BFZ22" s="700">
        <f>BFY22/BFW22</f>
        <v>0</v>
      </c>
      <c r="BGA22" s="579">
        <f>BEY22+BFC22+BFG22+BFK22+BFO22+BFS22+BFW22</f>
        <v>230310.38</v>
      </c>
      <c r="BGB22" s="574">
        <f>BEZ22+BFD22+BFH22+BFL22+BFP22+BFT22+BFX22</f>
        <v>216491.75719999999</v>
      </c>
      <c r="BGC22" s="729">
        <f>BFA22+BFE22+BFI22+BFM22+BFQ22+BFU22+BFY22</f>
        <v>0</v>
      </c>
      <c r="BGD22" s="711">
        <f>BGC22/BGA22</f>
        <v>0</v>
      </c>
      <c r="BGE22" s="593">
        <f>'Proy 2022 vs 2019 sem'!KA21*BGH$4</f>
        <v>29554.837199999998</v>
      </c>
      <c r="BGF22" s="593">
        <f>'Proy 2022 vs 2019 sem'!KB21*BGH$4</f>
        <v>27485.998595999998</v>
      </c>
      <c r="BGG22" s="699"/>
      <c r="BGH22" s="700">
        <f>BGG22/BGE22</f>
        <v>0</v>
      </c>
      <c r="BGI22" s="593">
        <f>'Proy 2022 vs 2019 sem'!KA21*BGL$4</f>
        <v>29554.837199999998</v>
      </c>
      <c r="BGJ22" s="593">
        <f>'Proy 2022 vs 2019 sem'!KB21*BGL$4</f>
        <v>27485.998595999998</v>
      </c>
      <c r="BGK22" s="699"/>
      <c r="BGL22" s="700">
        <f>BGK22/BGI22</f>
        <v>0</v>
      </c>
      <c r="BGM22" s="593">
        <f>'Proy 2022 vs 2019 sem'!KA21*BGP$4</f>
        <v>29554.837199999998</v>
      </c>
      <c r="BGN22" s="593">
        <f>'Proy 2022 vs 2019 sem'!KB21*BGP$4</f>
        <v>27485.998595999998</v>
      </c>
      <c r="BGO22" s="699"/>
      <c r="BGP22" s="700">
        <f>BGO22/BGM22</f>
        <v>0</v>
      </c>
      <c r="BGQ22" s="593">
        <f>'Proy 2022 vs 2019 sem'!KA21*BGT$4</f>
        <v>29554.837199999998</v>
      </c>
      <c r="BGR22" s="593">
        <f>'Proy 2022 vs 2019 sem'!KB21*BGT$4</f>
        <v>27485.998595999998</v>
      </c>
      <c r="BGS22" s="699"/>
      <c r="BGT22" s="700">
        <f>BGS22/BGQ22</f>
        <v>0</v>
      </c>
      <c r="BGU22" s="593">
        <f>'Proy 2022 vs 2019 sem'!KA21*BGX$4</f>
        <v>34480.643400000001</v>
      </c>
      <c r="BGV22" s="593">
        <f>'Proy 2022 vs 2019 sem'!KB21*BGX$4</f>
        <v>32066.998362000002</v>
      </c>
      <c r="BGW22" s="699"/>
      <c r="BGX22" s="700">
        <f>BGW22/BGU22</f>
        <v>0</v>
      </c>
      <c r="BGY22" s="593">
        <f>'Proy 2022 vs 2019 sem'!KA21*BHB$4</f>
        <v>39406.4496</v>
      </c>
      <c r="BGZ22" s="593">
        <f>'Proy 2022 vs 2019 sem'!KB21*BHB$4</f>
        <v>36647.998127999999</v>
      </c>
      <c r="BHA22" s="699"/>
      <c r="BHB22" s="700">
        <f>BHA22/BGY22</f>
        <v>0</v>
      </c>
      <c r="BHC22" s="593">
        <f>'Proy 2022 vs 2019 sem'!KA21*BHF$4</f>
        <v>54183.868199999997</v>
      </c>
      <c r="BHD22" s="593">
        <f>'Proy 2022 vs 2019 sem'!KB21*BHF$4</f>
        <v>50390.997426000002</v>
      </c>
      <c r="BHE22" s="699"/>
      <c r="BHF22" s="700">
        <f>BHE22/BHC22</f>
        <v>0</v>
      </c>
      <c r="BHG22" s="579">
        <f>BGE22+BGI22+BGM22+BGQ22+BGU22+BGY22+BHC22</f>
        <v>246290.30999999997</v>
      </c>
      <c r="BHH22" s="574">
        <f>BGF22+BGJ22+BGN22+BGR22+BGV22+BGZ22+BHD22</f>
        <v>229049.98830000003</v>
      </c>
      <c r="BHI22" s="730">
        <f>BGG22+BGK22+BGO22+BGS22+BGW22+BHA22+BHE22</f>
        <v>0</v>
      </c>
      <c r="BHJ22" s="711">
        <f>BHI22/BHG22</f>
        <v>0</v>
      </c>
      <c r="BHK22" s="593">
        <f>'Proy 2022 vs 2019 sem'!KF21*BHN$4</f>
        <v>34997.501999999993</v>
      </c>
      <c r="BHL22" s="593">
        <f>'Proy 2022 vs 2019 sem'!KG21*BHN$4</f>
        <v>32547.676859999996</v>
      </c>
      <c r="BHM22" s="699"/>
      <c r="BHN22" s="700">
        <f>BHM22/BHK22</f>
        <v>0</v>
      </c>
      <c r="BHO22" s="593">
        <f>'Proy 2022 vs 2019 sem'!KF21*BHR$4</f>
        <v>34997.501999999993</v>
      </c>
      <c r="BHP22" s="593">
        <f>'Proy 2022 vs 2019 sem'!KG21*BHR$4</f>
        <v>32547.676859999996</v>
      </c>
      <c r="BHQ22" s="699"/>
      <c r="BHR22" s="700">
        <f>BHQ22/BHO22</f>
        <v>0</v>
      </c>
      <c r="BHS22" s="593">
        <f>'Proy 2022 vs 2019 sem'!KF21*BHV$4</f>
        <v>34997.501999999993</v>
      </c>
      <c r="BHT22" s="593">
        <f>'Proy 2022 vs 2019 sem'!KG21*BHV$4</f>
        <v>32547.676859999996</v>
      </c>
      <c r="BHU22" s="699"/>
      <c r="BHV22" s="700">
        <f>BHU22/BHS22</f>
        <v>0</v>
      </c>
      <c r="BHW22" s="593">
        <f>'Proy 2022 vs 2019 sem'!KF21*BHZ$4</f>
        <v>34997.501999999993</v>
      </c>
      <c r="BHX22" s="593">
        <f>'Proy 2022 vs 2019 sem'!KG21*BHZ$4</f>
        <v>32547.676859999996</v>
      </c>
      <c r="BHY22" s="699"/>
      <c r="BHZ22" s="700">
        <f>BHY22/BHW22</f>
        <v>0</v>
      </c>
      <c r="BIA22" s="593">
        <f>'Proy 2022 vs 2019 sem'!KF21*BID$4</f>
        <v>40830.419000000002</v>
      </c>
      <c r="BIB22" s="593">
        <f>'Proy 2022 vs 2019 sem'!KG21*BID$4</f>
        <v>37972.289669999998</v>
      </c>
      <c r="BIC22" s="699"/>
      <c r="BID22" s="700">
        <f>BIC22/BIA22</f>
        <v>0</v>
      </c>
      <c r="BIE22" s="593">
        <f>'Proy 2022 vs 2019 sem'!KF21*BIH$4</f>
        <v>46663.335999999996</v>
      </c>
      <c r="BIF22" s="593">
        <f>'Proy 2022 vs 2019 sem'!KG21*BIH$4</f>
        <v>43396.902479999997</v>
      </c>
      <c r="BIG22" s="699"/>
      <c r="BIH22" s="700">
        <f>BIG22/BIE22</f>
        <v>0</v>
      </c>
      <c r="BII22" s="593">
        <f>'Proy 2022 vs 2019 sem'!KF21*BIL$4</f>
        <v>64162.086999999992</v>
      </c>
      <c r="BIJ22" s="593">
        <f>'Proy 2022 vs 2019 sem'!KG21*BIL$4</f>
        <v>59670.740909999993</v>
      </c>
      <c r="BIK22" s="699"/>
      <c r="BIL22" s="700">
        <f>BIK22/BII22</f>
        <v>0</v>
      </c>
      <c r="BIM22" s="579">
        <f>BHK22+BHO22+BHS22+BHW22+BIA22+BIE22+BII22</f>
        <v>291645.84999999998</v>
      </c>
      <c r="BIN22" s="574">
        <f>BHL22+BHP22+BHT22+BHX22+BIB22+BIF22+BIJ22</f>
        <v>271230.64049999998</v>
      </c>
      <c r="BIO22" s="730">
        <f>BHM22+BHQ22+BHU22+BHY22+BIC22+BIG22+BIK22</f>
        <v>0</v>
      </c>
      <c r="BIP22" s="711">
        <f>BIO22/BIM22</f>
        <v>0</v>
      </c>
      <c r="BIQ22" s="593">
        <f>'Proy 2022 vs 2019 sem'!KK21*BIT$4</f>
        <v>34571.037599999996</v>
      </c>
      <c r="BIR22" s="593">
        <f>'Proy 2022 vs 2019 sem'!KL21*BIT$4</f>
        <v>32151.064967999999</v>
      </c>
      <c r="BIS22" s="699"/>
      <c r="BIT22" s="700">
        <f>BIS22/BIQ22</f>
        <v>0</v>
      </c>
      <c r="BIU22" s="593">
        <f>'Proy 2022 vs 2019 sem'!KK21*BIX$4</f>
        <v>34571.037599999996</v>
      </c>
      <c r="BIV22" s="593">
        <f>'Proy 2022 vs 2019 sem'!KL21*BIX$4</f>
        <v>32151.064967999999</v>
      </c>
      <c r="BIW22" s="699"/>
      <c r="BIX22" s="700">
        <f>BIW22/BIU22</f>
        <v>0</v>
      </c>
      <c r="BIY22" s="593">
        <f>'Proy 2022 vs 2019 sem'!KK21*BJB$4</f>
        <v>34571.037599999996</v>
      </c>
      <c r="BIZ22" s="593">
        <f>'Proy 2022 vs 2019 sem'!KL21*BJB$4</f>
        <v>32151.064967999999</v>
      </c>
      <c r="BJA22" s="699"/>
      <c r="BJB22" s="700">
        <f>BJA22/BIY22</f>
        <v>0</v>
      </c>
      <c r="BJC22" s="593">
        <f>'Proy 2022 vs 2019 sem'!KK21*BJF$4</f>
        <v>34571.037599999996</v>
      </c>
      <c r="BJD22" s="593">
        <f>'Proy 2022 vs 2019 sem'!KL21*BJF$4</f>
        <v>32151.064967999999</v>
      </c>
      <c r="BJE22" s="699"/>
      <c r="BJF22" s="700">
        <f>BJE22/BJC22</f>
        <v>0</v>
      </c>
      <c r="BJG22" s="593">
        <f>'Proy 2022 vs 2019 sem'!KK21*BJJ$4</f>
        <v>40332.877200000003</v>
      </c>
      <c r="BJH22" s="593">
        <f>'Proy 2022 vs 2019 sem'!KL21*BJJ$4</f>
        <v>37509.575796000005</v>
      </c>
      <c r="BJI22" s="699"/>
      <c r="BJJ22" s="700">
        <f>BJI22/BJG22</f>
        <v>0</v>
      </c>
      <c r="BJK22" s="593">
        <f>'Proy 2022 vs 2019 sem'!KK21*BJN$4</f>
        <v>46094.716799999995</v>
      </c>
      <c r="BJL22" s="593">
        <f>'Proy 2022 vs 2019 sem'!KL21*BJN$4</f>
        <v>42868.086623999996</v>
      </c>
      <c r="BJM22" s="699"/>
      <c r="BJN22" s="700">
        <f>BJM22/BJK22</f>
        <v>0</v>
      </c>
      <c r="BJO22" s="593">
        <f>'Proy 2022 vs 2019 sem'!KK21*BJR$4</f>
        <v>63380.235599999993</v>
      </c>
      <c r="BJP22" s="593">
        <f>'Proy 2022 vs 2019 sem'!KL21*BJR$4</f>
        <v>58943.619107999999</v>
      </c>
      <c r="BJQ22" s="699"/>
      <c r="BJR22" s="700">
        <f>BJQ22/BJO22</f>
        <v>0</v>
      </c>
      <c r="BJS22" s="579">
        <f>BIQ22+BIU22+BIY22+BJC22+BJG22+BJK22+BJO22</f>
        <v>288091.98</v>
      </c>
      <c r="BJT22" s="574">
        <f>BIR22+BIV22+BIZ22+BJD22+BJH22+BJL22+BJP22</f>
        <v>267925.54139999999</v>
      </c>
      <c r="BJU22" s="710">
        <f>BIS22+BIW22+BJA22+BJE22+BJI22+BJM22+BJQ22</f>
        <v>0</v>
      </c>
      <c r="BJV22" s="711">
        <f>BJU22/BJS22</f>
        <v>0</v>
      </c>
      <c r="BJW22" s="593">
        <f>'Proy 2022 vs 2019 sem'!KP21*BJZ$4</f>
        <v>12691.937999999998</v>
      </c>
      <c r="BJX22" s="593">
        <f>'Proy 2022 vs 2019 sem'!KQ21*BJZ$4</f>
        <v>12057.341099999998</v>
      </c>
      <c r="BJY22" s="699"/>
      <c r="BJZ22" s="700">
        <f>BJY22/BJW22</f>
        <v>0</v>
      </c>
      <c r="BKA22" s="593">
        <f>'Proy 2022 vs 2019 sem'!KP21*BKD$4</f>
        <v>12691.937999999998</v>
      </c>
      <c r="BKB22" s="593">
        <f>'Proy 2022 vs 2019 sem'!KQ21*BKD$4</f>
        <v>12057.341099999998</v>
      </c>
      <c r="BKC22" s="699"/>
      <c r="BKD22" s="700">
        <f>BKC22/BKA22</f>
        <v>0</v>
      </c>
      <c r="BKE22" s="593">
        <f>'Proy 2022 vs 2019 sem'!KP21*BKH$4</f>
        <v>12691.937999999998</v>
      </c>
      <c r="BKF22" s="593">
        <f>'Proy 2022 vs 2019 sem'!KQ21*BKH$4</f>
        <v>12057.341099999998</v>
      </c>
      <c r="BKG22" s="699"/>
      <c r="BKH22" s="700">
        <f>BKG22/BKE22</f>
        <v>0</v>
      </c>
      <c r="BKI22" s="593">
        <f>'Proy 2022 vs 2019 sem'!KP21*BKL$4</f>
        <v>12691.937999999998</v>
      </c>
      <c r="BKJ22" s="593">
        <f>'Proy 2022 vs 2019 sem'!KQ21*BKL$4</f>
        <v>12057.341099999998</v>
      </c>
      <c r="BKK22" s="699"/>
      <c r="BKL22" s="700">
        <f>BKK22/BKI22</f>
        <v>0</v>
      </c>
      <c r="BKM22" s="593">
        <f>'Proy 2022 vs 2019 sem'!KP21*BKP$4</f>
        <v>14807.261</v>
      </c>
      <c r="BKN22" s="593">
        <f>'Proy 2022 vs 2019 sem'!KQ21*BKP$4</f>
        <v>14066.897949999999</v>
      </c>
      <c r="BKO22" s="699"/>
      <c r="BKP22" s="700">
        <f>BKO22/BKM22</f>
        <v>0</v>
      </c>
      <c r="BKQ22" s="593">
        <f>'Proy 2022 vs 2019 sem'!KP21*BKT$4</f>
        <v>16922.583999999999</v>
      </c>
      <c r="BKR22" s="593">
        <f>'Proy 2022 vs 2019 sem'!KQ21*BKT$4</f>
        <v>16076.454799999998</v>
      </c>
      <c r="BKS22" s="699"/>
      <c r="BKT22" s="700">
        <f>BKS22/BKQ22</f>
        <v>0</v>
      </c>
      <c r="BKU22" s="593">
        <f>'Proy 2022 vs 2019 sem'!KP21*BKX$4</f>
        <v>23268.553</v>
      </c>
      <c r="BKV22" s="593">
        <f>'Proy 2022 vs 2019 sem'!KQ21*BKX$4</f>
        <v>22105.125349999998</v>
      </c>
      <c r="BKW22" s="699"/>
      <c r="BKX22" s="700">
        <f>BKW22/BKU22</f>
        <v>0</v>
      </c>
      <c r="BKY22" s="579">
        <f>BJW22+BKA22+BKE22+BKI22+BKM22+BKQ22+BKU22</f>
        <v>105766.15</v>
      </c>
      <c r="BKZ22" s="574">
        <f>BJX22+BKB22+BKF22+BKJ22+BKN22+BKR22+BKV22</f>
        <v>100477.84249999998</v>
      </c>
      <c r="BLA22" s="710">
        <f>BJY22+BKC22+BKG22+BKK22+BKO22+BKS22+BKW22</f>
        <v>0</v>
      </c>
      <c r="BLB22" s="711">
        <f>BLA22/BKY22</f>
        <v>0</v>
      </c>
    </row>
    <row r="23" spans="2:1666" ht="15.75" customHeight="1">
      <c r="B23" s="934" t="s">
        <v>25</v>
      </c>
      <c r="C23" s="593">
        <f>'Proy 2022 vs 2019 sem'!$C$6*$F$4</f>
        <v>9529.1268</v>
      </c>
      <c r="D23" s="593">
        <f>'Proy 2022 vs 2019 sem'!$D$6*$F$4</f>
        <v>8480.9228519999997</v>
      </c>
      <c r="E23" s="735"/>
      <c r="F23" s="700">
        <f>E23/C23</f>
        <v>0</v>
      </c>
      <c r="G23" s="1414">
        <f>'Proy 2022 vs 2019 sem'!C22*$J$4</f>
        <v>8326.5479999999989</v>
      </c>
      <c r="H23" s="593">
        <f>'Proy 2022 vs 2019 sem'!D22*$J$4</f>
        <v>7410.6277199999986</v>
      </c>
      <c r="I23" s="735"/>
      <c r="J23" s="700">
        <f>I23/G23</f>
        <v>0</v>
      </c>
      <c r="K23" s="593">
        <f>'Proy 2022 vs 2019 sem'!C22*$N$4</f>
        <v>8326.5479999999989</v>
      </c>
      <c r="L23" s="593">
        <f>'Proy 2022 vs 2019 sem'!D22*N$4</f>
        <v>7410.6277199999986</v>
      </c>
      <c r="M23" s="735"/>
      <c r="N23" s="700">
        <f>M23/K23</f>
        <v>0</v>
      </c>
      <c r="O23" s="593">
        <f>'Proy 2022 vs 2019 sem'!C22*R$4</f>
        <v>8326.5479999999989</v>
      </c>
      <c r="P23" s="593">
        <f>'Proy 2022 vs 2019 sem'!D22*$R$4</f>
        <v>7410.6277199999986</v>
      </c>
      <c r="Q23" s="735"/>
      <c r="R23" s="700">
        <f>Q23/O23</f>
        <v>0</v>
      </c>
      <c r="S23" s="593">
        <f>'Proy 2022 vs 2019 sem'!C22*V$4</f>
        <v>9714.3060000000005</v>
      </c>
      <c r="T23" s="593">
        <f>'Proy 2022 vs 2019 sem'!D22*V$4</f>
        <v>8645.7323400000005</v>
      </c>
      <c r="U23" s="735"/>
      <c r="V23" s="700">
        <f>U23/S23</f>
        <v>0</v>
      </c>
      <c r="W23" s="593">
        <f>'Proy 2022 vs 2019 sem'!C22*Z$4</f>
        <v>11102.063999999998</v>
      </c>
      <c r="X23" s="593">
        <f>'Proy 2022 vs 2019 sem'!D22*Z$4</f>
        <v>9880.8369599999987</v>
      </c>
      <c r="Y23" s="735"/>
      <c r="Z23" s="700">
        <f>Y23/W23</f>
        <v>0</v>
      </c>
      <c r="AA23" s="593">
        <f>'Proy 2022 vs 2019 sem'!C22*AD$4</f>
        <v>15265.337999999998</v>
      </c>
      <c r="AB23" s="593">
        <f>'Proy 2022 vs 2019 sem'!D22*AD$4</f>
        <v>13586.150819999999</v>
      </c>
      <c r="AC23" s="735"/>
      <c r="AD23" s="700">
        <f>AC23/AA23</f>
        <v>0</v>
      </c>
      <c r="AE23" s="579">
        <f>C23+G23+K23+O23+S23+W23+AA23</f>
        <v>70590.478799999997</v>
      </c>
      <c r="AF23" s="574">
        <f>D23+H23+L23+P23+T23+X23+AB23</f>
        <v>62825.526131999999</v>
      </c>
      <c r="AG23" s="729">
        <f>E23+I23+M23+Q23+U23+Y23+AC23</f>
        <v>0</v>
      </c>
      <c r="AH23" s="711">
        <f>AG23/AE23</f>
        <v>0</v>
      </c>
      <c r="AI23" s="593">
        <f>'Proy 2022 vs 2019 sem'!H22*AL$4</f>
        <v>11264.5488</v>
      </c>
      <c r="AJ23" s="611">
        <f>'Proy 2022 vs 2019 sem'!I22*AL$4</f>
        <v>10025.448432000001</v>
      </c>
      <c r="AK23" s="699"/>
      <c r="AL23" s="700">
        <f>AK23/AI23</f>
        <v>0</v>
      </c>
      <c r="AM23" s="593">
        <f>'Proy 2022 vs 2019 sem'!H22*AP$4</f>
        <v>11264.5488</v>
      </c>
      <c r="AN23" s="593">
        <f>'Proy 2022 vs 2019 sem'!I22*AP$4</f>
        <v>10025.448432000001</v>
      </c>
      <c r="AO23" s="699"/>
      <c r="AP23" s="700">
        <f>AO23/AM23</f>
        <v>0</v>
      </c>
      <c r="AQ23" s="593">
        <f>'Proy 2022 vs 2019 sem'!H22*AT$4</f>
        <v>11264.5488</v>
      </c>
      <c r="AR23" s="593">
        <f>'Proy 2022 vs 2019 sem'!I22*AT$4</f>
        <v>10025.448432000001</v>
      </c>
      <c r="AS23" s="699"/>
      <c r="AT23" s="700">
        <f>AS23/AQ23</f>
        <v>0</v>
      </c>
      <c r="AU23" s="593">
        <f>'Proy 2022 vs 2019 sem'!H22*AX$4</f>
        <v>11264.5488</v>
      </c>
      <c r="AV23" s="593">
        <f>'Proy 2022 vs 2019 sem'!I22*AX$4</f>
        <v>10025.448432000001</v>
      </c>
      <c r="AW23" s="699"/>
      <c r="AX23" s="700">
        <f>AW23/AU23</f>
        <v>0</v>
      </c>
      <c r="AY23" s="593">
        <f>'Proy 2022 vs 2019 sem'!H22*BB$4</f>
        <v>13141.973600000001</v>
      </c>
      <c r="AZ23" s="593">
        <f>'Proy 2022 vs 2019 sem'!I22*BB$4</f>
        <v>11696.356504000001</v>
      </c>
      <c r="BA23" s="699"/>
      <c r="BB23" s="700">
        <f>BA23/AY23</f>
        <v>0</v>
      </c>
      <c r="BC23" s="593">
        <f>'Proy 2022 vs 2019 sem'!H22*BF$4</f>
        <v>15019.398400000002</v>
      </c>
      <c r="BD23" s="593">
        <f>'Proy 2022 vs 2019 sem'!I22*BF$4</f>
        <v>13367.264576000001</v>
      </c>
      <c r="BE23" s="699"/>
      <c r="BF23" s="700">
        <f>BE23/BC23</f>
        <v>0</v>
      </c>
      <c r="BG23" s="593">
        <f>'Proy 2022 vs 2019 sem'!H22*BJ$4</f>
        <v>20651.6728</v>
      </c>
      <c r="BH23" s="593">
        <f>'Proy 2022 vs 2019 sem'!I22*BJ$4</f>
        <v>18379.988792</v>
      </c>
      <c r="BI23" s="699"/>
      <c r="BJ23" s="700">
        <f>BI23/BG23</f>
        <v>0</v>
      </c>
      <c r="BK23" s="579">
        <f>AI23+AM23+AQ23+AU23+AY23+BC23+BG23</f>
        <v>93871.24</v>
      </c>
      <c r="BL23" s="574">
        <f>AJ23+AN23+AR23+AV23+AZ23+BD23+BH23</f>
        <v>83545.403600000005</v>
      </c>
      <c r="BM23" s="730">
        <f>AK23+AO23+AS23+AW23+BA23+BE23+BI23</f>
        <v>0</v>
      </c>
      <c r="BN23" s="711">
        <f>BM23/BK23</f>
        <v>0</v>
      </c>
      <c r="BO23" s="593">
        <f>'Proy 2022 vs 2019 sem'!M22*BR$4</f>
        <v>9286.6020000000008</v>
      </c>
      <c r="BP23" s="593">
        <f>'Proy 2022 vs 2019 sem'!N22*BR$4</f>
        <v>8265.0757799999992</v>
      </c>
      <c r="BQ23" s="699"/>
      <c r="BR23" s="700">
        <f>BQ23/BO23</f>
        <v>0</v>
      </c>
      <c r="BS23" s="593">
        <f>'Proy 2022 vs 2019 sem'!M22*BV$4</f>
        <v>9286.6020000000008</v>
      </c>
      <c r="BT23" s="593">
        <f>'Proy 2022 vs 2019 sem'!N22*BV$4</f>
        <v>8265.0757799999992</v>
      </c>
      <c r="BU23" s="699"/>
      <c r="BV23" s="700">
        <f>BU23/BS23</f>
        <v>0</v>
      </c>
      <c r="BW23" s="593">
        <f>'Proy 2022 vs 2019 sem'!M22*BZ$4</f>
        <v>9286.6020000000008</v>
      </c>
      <c r="BX23" s="593">
        <f>'Proy 2022 vs 2019 sem'!N22*BZ$4</f>
        <v>8265.0757799999992</v>
      </c>
      <c r="BY23" s="699"/>
      <c r="BZ23" s="700">
        <f>BY23/BW23</f>
        <v>0</v>
      </c>
      <c r="CA23" s="593">
        <f>'Proy 2022 vs 2019 sem'!M22*CD$4</f>
        <v>9286.6020000000008</v>
      </c>
      <c r="CB23" s="593">
        <f>'Proy 2022 vs 2019 sem'!N22*CD$4</f>
        <v>8265.0757799999992</v>
      </c>
      <c r="CC23" s="699"/>
      <c r="CD23" s="700">
        <f>CC23/CA23</f>
        <v>0</v>
      </c>
      <c r="CE23" s="593">
        <f>'Proy 2022 vs 2019 sem'!M22*CH$4</f>
        <v>10834.369000000002</v>
      </c>
      <c r="CF23" s="593">
        <f>'Proy 2022 vs 2019 sem'!N22*CH$4</f>
        <v>9642.5884100000021</v>
      </c>
      <c r="CG23" s="699"/>
      <c r="CH23" s="700">
        <f>CG23/CE23</f>
        <v>0</v>
      </c>
      <c r="CI23" s="593">
        <f>'Proy 2022 vs 2019 sem'!M22*CL$4</f>
        <v>12382.136</v>
      </c>
      <c r="CJ23" s="593">
        <f>'Proy 2022 vs 2019 sem'!N22*CL$4</f>
        <v>11020.101040000001</v>
      </c>
      <c r="CK23" s="699"/>
      <c r="CL23" s="700">
        <f>CK23/CI23</f>
        <v>0</v>
      </c>
      <c r="CM23" s="593">
        <f>'Proy 2022 vs 2019 sem'!M22*CP$4</f>
        <v>17025.437000000002</v>
      </c>
      <c r="CN23" s="593">
        <f>'Proy 2022 vs 2019 sem'!N22*CP$4</f>
        <v>15152.638930000001</v>
      </c>
      <c r="CO23" s="699"/>
      <c r="CP23" s="700">
        <f>CO23/CM23</f>
        <v>0</v>
      </c>
      <c r="CQ23" s="579">
        <f>BO23+BS23+BW23+CA23+CE23+CI23+CM23</f>
        <v>77388.350000000006</v>
      </c>
      <c r="CR23" s="574">
        <f>BP23+BT23+BX23+CB23+CF23+CJ23+CN23</f>
        <v>68875.631500000003</v>
      </c>
      <c r="CS23" s="730">
        <f>BQ23+BU23+BY23+CC23+CG23+CK23+CO23</f>
        <v>0</v>
      </c>
      <c r="CT23" s="711">
        <f>CS23/CQ23</f>
        <v>0</v>
      </c>
      <c r="CU23" s="593">
        <f>'Proy 2022 vs 2019 sem'!R22*CX$4</f>
        <v>11393.3724</v>
      </c>
      <c r="CV23" s="593">
        <f>'Proy 2022 vs 2019 sem'!S22*CX$4</f>
        <v>10140.101435999999</v>
      </c>
      <c r="CW23" s="699"/>
      <c r="CX23" s="700">
        <f>CW23/CU23</f>
        <v>0</v>
      </c>
      <c r="CY23" s="593">
        <f>'Proy 2022 vs 2019 sem'!R22*DB$4</f>
        <v>11393.3724</v>
      </c>
      <c r="CZ23" s="593">
        <f>'Proy 2022 vs 2019 sem'!S22*DB$4</f>
        <v>10140.101435999999</v>
      </c>
      <c r="DA23" s="699"/>
      <c r="DB23" s="700">
        <f>DA23/CY23</f>
        <v>0</v>
      </c>
      <c r="DC23" s="593">
        <f>'Proy 2022 vs 2019 sem'!R22*DF$4</f>
        <v>11393.3724</v>
      </c>
      <c r="DD23" s="593">
        <f>'Proy 2022 vs 2019 sem'!S22*DF$4</f>
        <v>10140.101435999999</v>
      </c>
      <c r="DE23" s="699"/>
      <c r="DF23" s="700">
        <f>DE23/DC23</f>
        <v>0</v>
      </c>
      <c r="DG23" s="593">
        <f>'Proy 2022 vs 2019 sem'!R22*DJ$4</f>
        <v>11393.3724</v>
      </c>
      <c r="DH23" s="593">
        <f>'Proy 2022 vs 2019 sem'!S22*DJ$4</f>
        <v>10140.101435999999</v>
      </c>
      <c r="DI23" s="699"/>
      <c r="DJ23" s="700">
        <f>DI23/DG23</f>
        <v>0</v>
      </c>
      <c r="DK23" s="593">
        <f>'Proy 2022 vs 2019 sem'!R22*DN$4</f>
        <v>13292.267800000001</v>
      </c>
      <c r="DL23" s="593">
        <f>'Proy 2022 vs 2019 sem'!S22*DN$4</f>
        <v>11830.118342000002</v>
      </c>
      <c r="DM23" s="699"/>
      <c r="DN23" s="700">
        <f>DM23/DK23</f>
        <v>0</v>
      </c>
      <c r="DO23" s="593">
        <f>'Proy 2022 vs 2019 sem'!R22*DR$4</f>
        <v>15191.163200000001</v>
      </c>
      <c r="DP23" s="593">
        <f>'Proy 2022 vs 2019 sem'!S22*DR$4</f>
        <v>13520.135248000001</v>
      </c>
      <c r="DQ23" s="699"/>
      <c r="DR23" s="700">
        <f>DQ23/DO23</f>
        <v>0</v>
      </c>
      <c r="DS23" s="593">
        <f>'Proy 2022 vs 2019 sem'!R22*DV$4</f>
        <v>20887.849400000003</v>
      </c>
      <c r="DT23" s="593">
        <f>'Proy 2022 vs 2019 sem'!S22*DV$4</f>
        <v>18590.185966000001</v>
      </c>
      <c r="DU23" s="699"/>
      <c r="DV23" s="700">
        <f>DU23/DS23</f>
        <v>0</v>
      </c>
      <c r="DW23" s="579">
        <f>CU23+CY23+DC23+DG23+DK23+DO23+DS23</f>
        <v>94944.77</v>
      </c>
      <c r="DX23" s="574">
        <f>CV23+CZ23+DD23+DH23+DL23+DP23+DT23</f>
        <v>84500.845300000001</v>
      </c>
      <c r="DY23" s="710">
        <f>CW23+DA23+DE23+DI23+DM23+DQ23+DU23</f>
        <v>0</v>
      </c>
      <c r="DZ23" s="711">
        <f>DY23/DW23</f>
        <v>0</v>
      </c>
      <c r="EA23" s="593">
        <f>'Proy 2022 vs 2019 sem'!AA22*ED$4</f>
        <v>9933.99</v>
      </c>
      <c r="EB23" s="593">
        <f>'Proy 2022 vs 2019 sem'!AB22*ED$4</f>
        <v>8841.2510999999995</v>
      </c>
      <c r="EC23" s="735"/>
      <c r="ED23" s="700">
        <f>EC23/EA23</f>
        <v>0</v>
      </c>
      <c r="EE23" s="593">
        <f>'Proy 2022 vs 2019 sem'!AA22*EH$4</f>
        <v>9933.99</v>
      </c>
      <c r="EF23" s="593">
        <f>'Proy 2022 vs 2019 sem'!AB22*EH$4</f>
        <v>8841.2510999999995</v>
      </c>
      <c r="EG23" s="699"/>
      <c r="EH23" s="700">
        <f>EG23/EE23</f>
        <v>0</v>
      </c>
      <c r="EI23" s="593">
        <f>'Proy 2022 vs 2019 sem'!AA22*EL$4</f>
        <v>9933.99</v>
      </c>
      <c r="EJ23" s="593">
        <f>'Proy 2022 vs 2019 sem'!AB22*EL$4</f>
        <v>8841.2510999999995</v>
      </c>
      <c r="EK23" s="699"/>
      <c r="EL23" s="700">
        <f>EK23/EI23</f>
        <v>0</v>
      </c>
      <c r="EM23" s="593">
        <f>'Proy 2022 vs 2019 sem'!AA22*EP$4</f>
        <v>9933.99</v>
      </c>
      <c r="EN23" s="593">
        <f>'Proy 2022 vs 2019 sem'!AB22*EP$4</f>
        <v>8841.2510999999995</v>
      </c>
      <c r="EO23" s="699"/>
      <c r="EP23" s="700">
        <f>EO23/EM23</f>
        <v>0</v>
      </c>
      <c r="EQ23" s="593">
        <f>'Proy 2022 vs 2019 sem'!AA22*ET$4</f>
        <v>11589.655000000001</v>
      </c>
      <c r="ER23" s="593">
        <f>'Proy 2022 vs 2019 sem'!AB22*ET$4</f>
        <v>10314.792950000001</v>
      </c>
      <c r="ES23" s="699"/>
      <c r="ET23" s="700">
        <f>ES23/EQ23</f>
        <v>0</v>
      </c>
      <c r="EU23" s="593">
        <f>'Proy 2022 vs 2019 sem'!AA22*EX$4</f>
        <v>13245.32</v>
      </c>
      <c r="EV23" s="593">
        <f>'Proy 2022 vs 2019 sem'!AB22*EX$4</f>
        <v>11788.334800000001</v>
      </c>
      <c r="EW23" s="699"/>
      <c r="EX23" s="700">
        <f>EW23/EU23</f>
        <v>0</v>
      </c>
      <c r="EY23" s="593">
        <f>'Proy 2022 vs 2019 sem'!AA22*FB$4</f>
        <v>18212.314999999999</v>
      </c>
      <c r="EZ23" s="593">
        <f>'Proy 2022 vs 2019 sem'!AB22*FB$4</f>
        <v>16208.960349999999</v>
      </c>
      <c r="FA23" s="699"/>
      <c r="FB23" s="700">
        <f>FA23/EY23</f>
        <v>0</v>
      </c>
      <c r="FC23" s="579">
        <f>EA23+EE23+EI23+EM23+EQ23+EU23+EY23</f>
        <v>82783.25</v>
      </c>
      <c r="FD23" s="574">
        <f>EB23+EF23+EJ23+EN23+ER23+EV23+EZ23</f>
        <v>73677.092499999999</v>
      </c>
      <c r="FE23" s="793">
        <f>EC23+EG23+EK23+EO23+ES23+EW23+FA23</f>
        <v>0</v>
      </c>
      <c r="FF23" s="786">
        <f>FE23/FC23</f>
        <v>0</v>
      </c>
      <c r="FG23" s="593">
        <f>'Proy 2022 vs 2019 sem'!AF22*FJ$4</f>
        <v>13734.5496</v>
      </c>
      <c r="FH23" s="593">
        <f>'Proy 2022 vs 2019 sem'!AG22*FJ$4</f>
        <v>12086.403648</v>
      </c>
      <c r="FI23" s="699"/>
      <c r="FJ23" s="700">
        <f>FI23/FG23</f>
        <v>0</v>
      </c>
      <c r="FK23" s="593">
        <f>'Proy 2022 vs 2019 sem'!AF22*FN$4</f>
        <v>13734.5496</v>
      </c>
      <c r="FL23" s="593">
        <f>'Proy 2022 vs 2019 sem'!AG22*FN$4</f>
        <v>12086.403648</v>
      </c>
      <c r="FM23" s="699"/>
      <c r="FN23" s="700">
        <f>FM23/FK23</f>
        <v>0</v>
      </c>
      <c r="FO23" s="593">
        <f>'Proy 2022 vs 2019 sem'!AF22*FR$4</f>
        <v>13734.5496</v>
      </c>
      <c r="FP23" s="593">
        <f>'Proy 2022 vs 2019 sem'!AG22*FR$4</f>
        <v>12086.403648</v>
      </c>
      <c r="FQ23" s="699"/>
      <c r="FR23" s="700">
        <f>FQ23/FO23</f>
        <v>0</v>
      </c>
      <c r="FS23" s="593">
        <f>'Proy 2022 vs 2019 sem'!AF22*FV$4</f>
        <v>13734.5496</v>
      </c>
      <c r="FT23" s="593">
        <f>'Proy 2022 vs 2019 sem'!AG22*FV$4</f>
        <v>12086.403648</v>
      </c>
      <c r="FU23" s="699"/>
      <c r="FV23" s="700">
        <f>FU23/FS23</f>
        <v>0</v>
      </c>
      <c r="FW23" s="593">
        <f>'Proy 2022 vs 2019 sem'!AF22*FZ$4</f>
        <v>16023.641200000002</v>
      </c>
      <c r="FX23" s="593">
        <f>'Proy 2022 vs 2019 sem'!AG22*FZ$4</f>
        <v>14100.804256000001</v>
      </c>
      <c r="FY23" s="699"/>
      <c r="FZ23" s="700">
        <f>FY23/FW23</f>
        <v>0</v>
      </c>
      <c r="GA23" s="593">
        <f>'Proy 2022 vs 2019 sem'!AF22*GD$4</f>
        <v>18312.732800000002</v>
      </c>
      <c r="GB23" s="593">
        <f>'Proy 2022 vs 2019 sem'!AG22*GD$4</f>
        <v>16115.204864000001</v>
      </c>
      <c r="GC23" s="699"/>
      <c r="GD23" s="700">
        <f>GC23/GA23</f>
        <v>0</v>
      </c>
      <c r="GE23" s="593">
        <f>'Proy 2022 vs 2019 sem'!AF22*GH$4</f>
        <v>25180.007600000001</v>
      </c>
      <c r="GF23" s="593">
        <f>'Proy 2022 vs 2019 sem'!AG22*GH$4</f>
        <v>22158.406687999999</v>
      </c>
      <c r="GG23" s="699"/>
      <c r="GH23" s="700">
        <f>GG23/GE23</f>
        <v>0</v>
      </c>
      <c r="GI23" s="579">
        <f>FG23+FK23+FO23+FS23+FW23+GA23+GE23</f>
        <v>114454.58</v>
      </c>
      <c r="GJ23" s="574">
        <f>FH23+FL23+FP23+FT23+FX23+GB23+GF23</f>
        <v>100720.0304</v>
      </c>
      <c r="GK23" s="794">
        <f>FI23+FM23+FQ23+FU23+FY23+GC23+GG23</f>
        <v>0</v>
      </c>
      <c r="GL23" s="786">
        <f>GK23/GI23</f>
        <v>0</v>
      </c>
      <c r="GM23" s="593">
        <f>'Proy 2022 vs 2019 sem'!AK22*GP$4</f>
        <v>9467.112000000001</v>
      </c>
      <c r="GN23" s="593">
        <f>'Proy 2022 vs 2019 sem'!AL22*GP$4</f>
        <v>8520.4008000000013</v>
      </c>
      <c r="GO23" s="699"/>
      <c r="GP23" s="700">
        <f>GO23/GM23</f>
        <v>0</v>
      </c>
      <c r="GQ23" s="593">
        <f>'Proy 2022 vs 2019 sem'!AK22*GT$4</f>
        <v>9467.112000000001</v>
      </c>
      <c r="GR23" s="593">
        <f>'Proy 2022 vs 2019 sem'!AL22*GT$4</f>
        <v>8520.4008000000013</v>
      </c>
      <c r="GS23" s="699"/>
      <c r="GT23" s="700">
        <f>GS23/GQ23</f>
        <v>0</v>
      </c>
      <c r="GU23" s="593">
        <f>'Proy 2022 vs 2019 sem'!AK22*GX$4</f>
        <v>9467.112000000001</v>
      </c>
      <c r="GV23" s="593">
        <f>'Proy 2022 vs 2019 sem'!AL22*GX$4</f>
        <v>8520.4008000000013</v>
      </c>
      <c r="GW23" s="699"/>
      <c r="GX23" s="700">
        <f>GW23/GU23</f>
        <v>0</v>
      </c>
      <c r="GY23" s="593">
        <f>'Proy 2022 vs 2019 sem'!AK22*HB$4</f>
        <v>9467.112000000001</v>
      </c>
      <c r="GZ23" s="593">
        <f>'Proy 2022 vs 2019 sem'!AL22*HB$4</f>
        <v>8520.4008000000013</v>
      </c>
      <c r="HA23" s="699"/>
      <c r="HB23" s="700">
        <f>HA23/GY23</f>
        <v>0</v>
      </c>
      <c r="HC23" s="593">
        <f>'Proy 2022 vs 2019 sem'!AK22*HF$4</f>
        <v>11044.964000000002</v>
      </c>
      <c r="HD23" s="593">
        <f>'Proy 2022 vs 2019 sem'!AL22*HF$4</f>
        <v>9940.4676000000018</v>
      </c>
      <c r="HE23" s="699"/>
      <c r="HF23" s="700">
        <f>HE23/HC23</f>
        <v>0</v>
      </c>
      <c r="HG23" s="593">
        <f>'Proy 2022 vs 2019 sem'!AK22*HJ$4</f>
        <v>12622.816000000001</v>
      </c>
      <c r="HH23" s="593">
        <f>'Proy 2022 vs 2019 sem'!AL22*HJ$4</f>
        <v>11360.534400000002</v>
      </c>
      <c r="HI23" s="699"/>
      <c r="HJ23" s="700">
        <f>HI23/HG23</f>
        <v>0</v>
      </c>
      <c r="HK23" s="593">
        <f>'Proy 2022 vs 2019 sem'!AK22*HN$4</f>
        <v>17356.372000000003</v>
      </c>
      <c r="HL23" s="593">
        <f>'Proy 2022 vs 2019 sem'!AL22*HN$4</f>
        <v>15620.734800000002</v>
      </c>
      <c r="HM23" s="699"/>
      <c r="HN23" s="700">
        <f>HM23/HK23</f>
        <v>0</v>
      </c>
      <c r="HO23" s="579">
        <f>GM23+GQ23+GU23+GY23+HC23+HG23+HK23</f>
        <v>78892.600000000006</v>
      </c>
      <c r="HP23" s="574">
        <f>GN23+GR23+GV23+GZ23+HD23+HH23+HL23</f>
        <v>71003.340000000011</v>
      </c>
      <c r="HQ23" s="794">
        <f>GO23+GS23+GW23+HA23+HE23+HI23+HM23</f>
        <v>0</v>
      </c>
      <c r="HR23" s="786">
        <f>HQ23/HO23</f>
        <v>0</v>
      </c>
      <c r="HS23" s="593">
        <f>'Proy 2022 vs 2019 sem'!AK22*HV$4</f>
        <v>9467.112000000001</v>
      </c>
      <c r="HT23" s="593">
        <f>'Proy 2022 vs 2019 sem'!AL22*HV$4</f>
        <v>8520.4008000000013</v>
      </c>
      <c r="HU23" s="699"/>
      <c r="HV23" s="700">
        <f>HU23/HS23</f>
        <v>0</v>
      </c>
      <c r="HW23" s="593">
        <f>'Proy 2022 vs 2019 sem'!AK22*HZ$4</f>
        <v>9467.112000000001</v>
      </c>
      <c r="HX23" s="593">
        <f>'Proy 2022 vs 2019 sem'!AL22*HZ$4</f>
        <v>8520.4008000000013</v>
      </c>
      <c r="HY23" s="699"/>
      <c r="HZ23" s="700">
        <f>HY23/HW23</f>
        <v>0</v>
      </c>
      <c r="IA23" s="593">
        <f>'Proy 2022 vs 2019 sem'!AK22*ID$4</f>
        <v>9467.112000000001</v>
      </c>
      <c r="IB23" s="593">
        <f>'Proy 2022 vs 2019 sem'!AL22*ID$4</f>
        <v>8520.4008000000013</v>
      </c>
      <c r="IC23" s="699"/>
      <c r="ID23" s="700">
        <f>IC23/IA23</f>
        <v>0</v>
      </c>
      <c r="IE23" s="593">
        <f>'Proy 2022 vs 2019 sem'!AK22*IH$4</f>
        <v>9467.112000000001</v>
      </c>
      <c r="IF23" s="593">
        <f>'Proy 2022 vs 2019 sem'!AL22*IH$4</f>
        <v>8520.4008000000013</v>
      </c>
      <c r="IG23" s="699"/>
      <c r="IH23" s="700">
        <f>IG23/IE23</f>
        <v>0</v>
      </c>
      <c r="II23" s="593">
        <f>'Proy 2022 vs 2019 sem'!AK22*IL$4</f>
        <v>11044.964000000002</v>
      </c>
      <c r="IJ23" s="593">
        <f>'Proy 2022 vs 2019 sem'!AL22*IL$4</f>
        <v>9940.4676000000018</v>
      </c>
      <c r="IK23" s="699"/>
      <c r="IL23" s="700">
        <f>IK23/II23</f>
        <v>0</v>
      </c>
      <c r="IM23" s="593">
        <f>'Proy 2022 vs 2019 sem'!AK22*IP$4</f>
        <v>12622.816000000001</v>
      </c>
      <c r="IN23" s="593">
        <f>'Proy 2022 vs 2019 sem'!AL22*IP$4</f>
        <v>11360.534400000002</v>
      </c>
      <c r="IO23" s="699"/>
      <c r="IP23" s="700">
        <f>IO23/IM23</f>
        <v>0</v>
      </c>
      <c r="IQ23" s="593">
        <f>'Proy 2022 vs 2019 sem'!AK22*IT$4</f>
        <v>17356.372000000003</v>
      </c>
      <c r="IR23" s="593">
        <f>'Proy 2022 vs 2019 sem'!AL22*IT$4</f>
        <v>15620.734800000002</v>
      </c>
      <c r="IS23" s="699"/>
      <c r="IT23" s="700">
        <f>IS23/IQ23</f>
        <v>0</v>
      </c>
      <c r="IU23" s="579">
        <f>HS23+HW23+IA23+IE23+II23+IM23+IQ23</f>
        <v>78892.600000000006</v>
      </c>
      <c r="IV23" s="574">
        <f>HT23+HX23+IB23+IF23+IJ23+IN23+IR23</f>
        <v>71003.340000000011</v>
      </c>
      <c r="IW23" s="785">
        <f>HU23+HY23+IC23+IG23+IK23+IO23+IS23</f>
        <v>0</v>
      </c>
      <c r="IX23" s="786">
        <f>IW23/IU23</f>
        <v>0</v>
      </c>
      <c r="IY23" s="593">
        <f>'Proy 2022 vs 2019 sem'!AY22*JB$4</f>
        <v>12829.146000000001</v>
      </c>
      <c r="IZ23" s="593">
        <f>'Proy 2022 vs 2019 sem'!AZ22*JB$4</f>
        <v>11417.93994</v>
      </c>
      <c r="JA23" s="735"/>
      <c r="JB23" s="700">
        <f>JA23/IY23</f>
        <v>0</v>
      </c>
      <c r="JC23" s="593">
        <f>'Proy 2022 vs 2019 sem'!AY22*JF$4</f>
        <v>12829.146000000001</v>
      </c>
      <c r="JD23" s="593">
        <f>'Proy 2022 vs 2019 sem'!AZ22*JF$4</f>
        <v>11417.93994</v>
      </c>
      <c r="JE23" s="735"/>
      <c r="JF23" s="700">
        <f>JE23/JC23</f>
        <v>0</v>
      </c>
      <c r="JG23" s="593">
        <f>'Proy 2022 vs 2019 sem'!AY22*JJ$4</f>
        <v>12829.146000000001</v>
      </c>
      <c r="JH23" s="593">
        <f>'Proy 2022 vs 2019 sem'!AZ22*JJ$4</f>
        <v>11417.93994</v>
      </c>
      <c r="JI23" s="735"/>
      <c r="JJ23" s="700">
        <f>JI23/JG23</f>
        <v>0</v>
      </c>
      <c r="JK23" s="593">
        <f>'Proy 2022 vs 2019 sem'!AY22*JN$4</f>
        <v>12829.146000000001</v>
      </c>
      <c r="JL23" s="593">
        <f>'Proy 2022 vs 2019 sem'!AZ22*JN$4</f>
        <v>11417.93994</v>
      </c>
      <c r="JM23" s="735"/>
      <c r="JN23" s="700">
        <f>JM23/JK23</f>
        <v>0</v>
      </c>
      <c r="JO23" s="593">
        <f>'Proy 2022 vs 2019 sem'!AY22*JR$4</f>
        <v>14967.337000000001</v>
      </c>
      <c r="JP23" s="593">
        <f>'Proy 2022 vs 2019 sem'!AZ22*JR$4</f>
        <v>13320.929930000002</v>
      </c>
      <c r="JQ23" s="735"/>
      <c r="JR23" s="700">
        <f>JQ23/JO23</f>
        <v>0</v>
      </c>
      <c r="JS23" s="593">
        <f>'Proy 2022 vs 2019 sem'!AY22*JV$4</f>
        <v>17105.528000000002</v>
      </c>
      <c r="JT23" s="593">
        <f>'Proy 2022 vs 2019 sem'!AZ22*JV$4</f>
        <v>15223.91992</v>
      </c>
      <c r="JU23" s="735"/>
      <c r="JV23" s="700">
        <f>JU23/JS23</f>
        <v>0</v>
      </c>
      <c r="JW23" s="593">
        <f>'Proy 2022 vs 2019 sem'!AY22*JZ$4</f>
        <v>23520.101000000002</v>
      </c>
      <c r="JX23" s="593">
        <f>'Proy 2022 vs 2019 sem'!AZ22*JZ$4</f>
        <v>20932.889890000002</v>
      </c>
      <c r="JY23" s="735"/>
      <c r="JZ23" s="700">
        <f>JY23/JW23</f>
        <v>0</v>
      </c>
      <c r="KA23" s="579">
        <f>IY23+JC23+JG23+JK23+JO23+JS23+JW23</f>
        <v>106909.55000000002</v>
      </c>
      <c r="KB23" s="574">
        <f>IZ23+JD23+JH23+JL23+JP23+JT23+JX23</f>
        <v>95149.499500000005</v>
      </c>
      <c r="KC23" s="729">
        <f>JA23+JE23+JI23+JM23+JQ23+JU23+JY23</f>
        <v>0</v>
      </c>
      <c r="KD23" s="711">
        <f>KC23/KA23</f>
        <v>0</v>
      </c>
      <c r="KE23" s="593">
        <f>'Proy 2022 vs 2019 sem'!BD22*KH$4</f>
        <v>12093.356400000001</v>
      </c>
      <c r="KF23" s="593">
        <f>'Proy 2022 vs 2019 sem'!BE22*KH$4</f>
        <v>10763.087195999999</v>
      </c>
      <c r="KG23" s="699"/>
      <c r="KH23" s="700">
        <f>KG23/KE23</f>
        <v>0</v>
      </c>
      <c r="KI23" s="593">
        <f>'Proy 2022 vs 2019 sem'!BD22*KL$4</f>
        <v>12093.356400000001</v>
      </c>
      <c r="KJ23" s="593">
        <f>'Proy 2022 vs 2019 sem'!BE22*KL$4</f>
        <v>10763.087195999999</v>
      </c>
      <c r="KK23" s="699"/>
      <c r="KL23" s="700">
        <f>KK23/KI23</f>
        <v>0</v>
      </c>
      <c r="KM23" s="593">
        <f>'Proy 2022 vs 2019 sem'!BD22*KP$4</f>
        <v>12093.356400000001</v>
      </c>
      <c r="KN23" s="593">
        <f>'Proy 2022 vs 2019 sem'!BE22*KP$4</f>
        <v>10763.087195999999</v>
      </c>
      <c r="KO23" s="699"/>
      <c r="KP23" s="700">
        <f>KO23/KM23</f>
        <v>0</v>
      </c>
      <c r="KQ23" s="593">
        <f>'Proy 2022 vs 2019 sem'!BD22*KT$4</f>
        <v>12093.356400000001</v>
      </c>
      <c r="KR23" s="593">
        <f>'Proy 2022 vs 2019 sem'!BE22*KT$4</f>
        <v>10763.087195999999</v>
      </c>
      <c r="KS23" s="699"/>
      <c r="KT23" s="700">
        <f>KS23/KQ23</f>
        <v>0</v>
      </c>
      <c r="KU23" s="593">
        <f>'Proy 2022 vs 2019 sem'!BD22*KX$4</f>
        <v>14108.915800000001</v>
      </c>
      <c r="KV23" s="593">
        <f>'Proy 2022 vs 2019 sem'!BE22*KX$4</f>
        <v>12556.935062</v>
      </c>
      <c r="KW23" s="699"/>
      <c r="KX23" s="700">
        <f>KW23/KU23</f>
        <v>0</v>
      </c>
      <c r="KY23" s="593">
        <f>'Proy 2022 vs 2019 sem'!BD22*LB$4</f>
        <v>16124.475200000001</v>
      </c>
      <c r="KZ23" s="593">
        <f>'Proy 2022 vs 2019 sem'!BE22*LB$4</f>
        <v>14350.782928000001</v>
      </c>
      <c r="LA23" s="699"/>
      <c r="LB23" s="700">
        <f>LA23/KY23</f>
        <v>0</v>
      </c>
      <c r="LC23" s="593">
        <f>'Proy 2022 vs 2019 sem'!BD22*LF$4</f>
        <v>22171.153399999999</v>
      </c>
      <c r="LD23" s="593">
        <f>'Proy 2022 vs 2019 sem'!BE22*LF$4</f>
        <v>19732.326526000001</v>
      </c>
      <c r="LE23" s="699"/>
      <c r="LF23" s="700">
        <f>LE23/LC23</f>
        <v>0</v>
      </c>
      <c r="LG23" s="579">
        <f>KE23+KI23+KM23+KQ23+KU23+KY23+LC23</f>
        <v>100777.97</v>
      </c>
      <c r="LH23" s="574">
        <f>KF23+KJ23+KN23+KR23+KV23+KZ23+LD23</f>
        <v>89692.393299999996</v>
      </c>
      <c r="LI23" s="730">
        <f>KG23+KK23+KO23+KS23+KW23+LA23+LE23</f>
        <v>0</v>
      </c>
      <c r="LJ23" s="711">
        <f>LI23/LG23</f>
        <v>0</v>
      </c>
      <c r="LK23" s="593">
        <f>'Proy 2022 vs 2019 sem'!BI22*LN$4</f>
        <v>15554.1396</v>
      </c>
      <c r="LL23" s="593">
        <f>'Proy 2022 vs 2019 sem'!BJ22*LN$4</f>
        <v>13843.184244</v>
      </c>
      <c r="LM23" s="699"/>
      <c r="LN23" s="700">
        <f>LM23/LK23</f>
        <v>0</v>
      </c>
      <c r="LO23" s="593">
        <f>'Proy 2022 vs 2019 sem'!BI22*LR$4</f>
        <v>15554.1396</v>
      </c>
      <c r="LP23" s="593">
        <f>'Proy 2022 vs 2019 sem'!BJ22*LR$4</f>
        <v>13843.184244</v>
      </c>
      <c r="LQ23" s="699"/>
      <c r="LR23" s="700">
        <f>LQ23/LO23</f>
        <v>0</v>
      </c>
      <c r="LS23" s="593">
        <f>'Proy 2022 vs 2019 sem'!BI22*LV$4</f>
        <v>15554.1396</v>
      </c>
      <c r="LT23" s="593">
        <f>'Proy 2022 vs 2019 sem'!BJ22*LV$4</f>
        <v>13843.184244</v>
      </c>
      <c r="LU23" s="699"/>
      <c r="LV23" s="700">
        <f>LU23/LS23</f>
        <v>0</v>
      </c>
      <c r="LW23" s="593">
        <f>'Proy 2022 vs 2019 sem'!BI22*LZ$4</f>
        <v>15554.1396</v>
      </c>
      <c r="LX23" s="593">
        <f>'Proy 2022 vs 2019 sem'!BJ22*LZ$4</f>
        <v>13843.184244</v>
      </c>
      <c r="LY23" s="699"/>
      <c r="LZ23" s="700">
        <f>LY23/LW23</f>
        <v>0</v>
      </c>
      <c r="MA23" s="593">
        <f>'Proy 2022 vs 2019 sem'!BI22*MD$4</f>
        <v>18146.496200000001</v>
      </c>
      <c r="MB23" s="593">
        <f>'Proy 2022 vs 2019 sem'!BJ22*MD$4</f>
        <v>16150.381618000003</v>
      </c>
      <c r="MC23" s="699"/>
      <c r="MD23" s="700">
        <f>MC23/MA23</f>
        <v>0</v>
      </c>
      <c r="ME23" s="593">
        <f>'Proy 2022 vs 2019 sem'!BI22*MH$4</f>
        <v>20738.852800000001</v>
      </c>
      <c r="MF23" s="593">
        <f>'Proy 2022 vs 2019 sem'!BJ22*MH$4</f>
        <v>18457.578992000002</v>
      </c>
      <c r="MG23" s="699"/>
      <c r="MH23" s="700">
        <f>MG23/ME23</f>
        <v>0</v>
      </c>
      <c r="MI23" s="593">
        <f>'Proy 2022 vs 2019 sem'!BI22*ML$4</f>
        <v>28515.922600000002</v>
      </c>
      <c r="MJ23" s="593">
        <f>'Proy 2022 vs 2019 sem'!BJ22*ML$4</f>
        <v>25379.171114000001</v>
      </c>
      <c r="MK23" s="699"/>
      <c r="ML23" s="700">
        <f>MK23/MI23</f>
        <v>0</v>
      </c>
      <c r="MM23" s="579">
        <f>LK23+LO23+LS23+LW23+MA23+ME23+MI23</f>
        <v>129617.83</v>
      </c>
      <c r="MN23" s="574">
        <f>LL23+LP23+LT23+LX23+MB23+MF23+MJ23</f>
        <v>115359.86869999999</v>
      </c>
      <c r="MO23" s="730">
        <f>LM23+LQ23+LU23+LY23+MC23+MG23+MK23</f>
        <v>0</v>
      </c>
      <c r="MP23" s="711">
        <f>MO23/MM23</f>
        <v>0</v>
      </c>
      <c r="MQ23" s="593">
        <f>'Proy 2022 vs 2019 sem'!BN22*MT$4</f>
        <v>16214.8068</v>
      </c>
      <c r="MR23" s="593">
        <f>'Proy 2022 vs 2019 sem'!BO22*MT$4</f>
        <v>14106.881916000002</v>
      </c>
      <c r="MS23" s="699"/>
      <c r="MT23" s="700">
        <f>MS23/MQ23</f>
        <v>0</v>
      </c>
      <c r="MU23" s="593">
        <f>'Proy 2022 vs 2019 sem'!BN22*MX$4</f>
        <v>16214.8068</v>
      </c>
      <c r="MV23" s="593">
        <f>'Proy 2022 vs 2019 sem'!BO22*MX$4</f>
        <v>14106.881916000002</v>
      </c>
      <c r="MW23" s="699"/>
      <c r="MX23" s="700">
        <f>MW23/MU23</f>
        <v>0</v>
      </c>
      <c r="MY23" s="593">
        <f>'Proy 2022 vs 2019 sem'!BN22*NB$4</f>
        <v>16214.8068</v>
      </c>
      <c r="MZ23" s="593">
        <f>'Proy 2022 vs 2019 sem'!BO22*NB$4</f>
        <v>14106.881916000002</v>
      </c>
      <c r="NA23" s="699"/>
      <c r="NB23" s="700">
        <f>NA23/MY23</f>
        <v>0</v>
      </c>
      <c r="NC23" s="593">
        <f>'Proy 2022 vs 2019 sem'!BN22*NF$4</f>
        <v>16214.8068</v>
      </c>
      <c r="ND23" s="593">
        <f>'Proy 2022 vs 2019 sem'!BO22*NF$4</f>
        <v>14106.881916000002</v>
      </c>
      <c r="NE23" s="699"/>
      <c r="NF23" s="700">
        <f>NE23/NC23</f>
        <v>0</v>
      </c>
      <c r="NG23" s="593">
        <f>'Proy 2022 vs 2019 sem'!BN22*NJ$4</f>
        <v>18917.274600000004</v>
      </c>
      <c r="NH23" s="593">
        <f>'Proy 2022 vs 2019 sem'!BO22*NJ$4</f>
        <v>16458.028902000005</v>
      </c>
      <c r="NI23" s="699"/>
      <c r="NJ23" s="700">
        <f>NI23/NG23</f>
        <v>0</v>
      </c>
      <c r="NK23" s="593">
        <f>'Proy 2022 vs 2019 sem'!BN22*NN$4</f>
        <v>21619.742400000003</v>
      </c>
      <c r="NL23" s="593">
        <f>'Proy 2022 vs 2019 sem'!BO22*NN$4</f>
        <v>18809.175888000002</v>
      </c>
      <c r="NM23" s="699"/>
      <c r="NN23" s="700">
        <f>NM23/NK23</f>
        <v>0</v>
      </c>
      <c r="NO23" s="593">
        <f>'Proy 2022 vs 2019 sem'!BN22*NR$4</f>
        <v>29727.145800000002</v>
      </c>
      <c r="NP23" s="593">
        <f>'Proy 2022 vs 2019 sem'!BO22*NR$4</f>
        <v>25862.616846000004</v>
      </c>
      <c r="NQ23" s="699"/>
      <c r="NR23" s="700">
        <f>NQ23/NO23</f>
        <v>0</v>
      </c>
      <c r="NS23" s="579">
        <f>MQ23+MU23+MY23+NC23+NG23+NK23+NO23</f>
        <v>135123.39000000001</v>
      </c>
      <c r="NT23" s="574">
        <f>MR23+MV23+MZ23+ND23+NH23+NL23+NP23</f>
        <v>117557.34930000002</v>
      </c>
      <c r="NU23" s="710">
        <f>MS23+MW23+NA23+NE23+NI23+NM23+NQ23</f>
        <v>0</v>
      </c>
      <c r="NV23" s="711">
        <f>NU23/NS23</f>
        <v>0</v>
      </c>
      <c r="NW23" s="593">
        <f>'Proy 2022 vs 2019 sem'!BS22*NZ$4</f>
        <v>16631.7588</v>
      </c>
      <c r="NX23" s="593">
        <f>'Proy 2022 vs 2019 sem'!BT22*NZ$4</f>
        <v>14802.265331999999</v>
      </c>
      <c r="NY23" s="699"/>
      <c r="NZ23" s="700">
        <f>NY23/NW23</f>
        <v>0</v>
      </c>
      <c r="OA23" s="593">
        <f>'Proy 2022 vs 2019 sem'!BS22*OD$4</f>
        <v>16631.7588</v>
      </c>
      <c r="OB23" s="593">
        <f>'Proy 2022 vs 2019 sem'!BT22*OD$4</f>
        <v>14802.265331999999</v>
      </c>
      <c r="OC23" s="699"/>
      <c r="OD23" s="700">
        <f>OC23/OA23</f>
        <v>0</v>
      </c>
      <c r="OE23" s="593">
        <f>'Proy 2022 vs 2019 sem'!BS22*OH$4</f>
        <v>16631.7588</v>
      </c>
      <c r="OF23" s="593">
        <f>'Proy 2022 vs 2019 sem'!BT22*OH$4</f>
        <v>14802.265331999999</v>
      </c>
      <c r="OG23" s="699"/>
      <c r="OH23" s="700">
        <f>OG23/OE23</f>
        <v>0</v>
      </c>
      <c r="OI23" s="593">
        <f>'Proy 2022 vs 2019 sem'!BS22*OL$4</f>
        <v>16631.7588</v>
      </c>
      <c r="OJ23" s="593">
        <f>'Proy 2022 vs 2019 sem'!BT22*OL$4</f>
        <v>14802.265331999999</v>
      </c>
      <c r="OK23" s="699"/>
      <c r="OL23" s="700">
        <f>OK23/OI23</f>
        <v>0</v>
      </c>
      <c r="OM23" s="593">
        <f>'Proy 2022 vs 2019 sem'!BS22*OP$4</f>
        <v>19403.7186</v>
      </c>
      <c r="ON23" s="593">
        <f>'Proy 2022 vs 2019 sem'!BT22*OP$4</f>
        <v>17269.309554000003</v>
      </c>
      <c r="OO23" s="699"/>
      <c r="OP23" s="700">
        <f>OO23/OM23</f>
        <v>0</v>
      </c>
      <c r="OQ23" s="593">
        <f>'Proy 2022 vs 2019 sem'!BS22*OT$4</f>
        <v>22175.678400000001</v>
      </c>
      <c r="OR23" s="593">
        <f>'Proy 2022 vs 2019 sem'!BT22*OT$4</f>
        <v>19736.353776</v>
      </c>
      <c r="OS23" s="699"/>
      <c r="OT23" s="700">
        <f>OS23/OQ23</f>
        <v>0</v>
      </c>
      <c r="OU23" s="593">
        <f>'Proy 2022 vs 2019 sem'!BS22*OX$4</f>
        <v>30491.557799999999</v>
      </c>
      <c r="OV23" s="593">
        <f>'Proy 2022 vs 2019 sem'!BT22*OX$4</f>
        <v>27137.486442000001</v>
      </c>
      <c r="OW23" s="699"/>
      <c r="OX23" s="700">
        <f>OW23/OU23</f>
        <v>0</v>
      </c>
      <c r="OY23" s="579">
        <f>NW23+OA23+OE23+OI23+OM23+OQ23+OU23</f>
        <v>138597.99000000002</v>
      </c>
      <c r="OZ23" s="574">
        <f>NX23+OB23+OF23+OJ23+ON23+OR23+OV23</f>
        <v>123352.21110000001</v>
      </c>
      <c r="PA23" s="710">
        <f>NY23+OC23+OG23+OK23+OO23+OS23+OW23</f>
        <v>0</v>
      </c>
      <c r="PB23" s="711">
        <f>PA23/OY23</f>
        <v>0</v>
      </c>
      <c r="PC23" s="593">
        <f>'Proy 2022 vs 2019 sem'!CB22*PF$4</f>
        <v>17691.384000000002</v>
      </c>
      <c r="PD23" s="593">
        <f>'Proy 2022 vs 2019 sem'!CC22*PF$4</f>
        <v>15745.331759999999</v>
      </c>
      <c r="PE23" s="735"/>
      <c r="PF23" s="700">
        <f>PE23/PC23</f>
        <v>0</v>
      </c>
      <c r="PG23" s="593">
        <f>'Proy 2022 vs 2019 sem'!CB22*PJ$4</f>
        <v>17691.384000000002</v>
      </c>
      <c r="PH23" s="593">
        <f>'Proy 2022 vs 2019 sem'!CC22*PJ$4</f>
        <v>15745.331759999999</v>
      </c>
      <c r="PI23" s="699"/>
      <c r="PJ23" s="700">
        <f>PI23/PG23</f>
        <v>0</v>
      </c>
      <c r="PK23" s="593">
        <f>'Proy 2022 vs 2019 sem'!CB22*PN$4</f>
        <v>17691.384000000002</v>
      </c>
      <c r="PL23" s="593">
        <f>'Proy 2022 vs 2019 sem'!CC22*PN$4</f>
        <v>15745.331759999999</v>
      </c>
      <c r="PM23" s="699"/>
      <c r="PN23" s="700">
        <f>PM23/PK23</f>
        <v>0</v>
      </c>
      <c r="PO23" s="593">
        <f>'Proy 2022 vs 2019 sem'!CB22*PR$4</f>
        <v>17691.384000000002</v>
      </c>
      <c r="PP23" s="593">
        <f>'Proy 2022 vs 2019 sem'!CC22*PR$4</f>
        <v>15745.331759999999</v>
      </c>
      <c r="PQ23" s="699"/>
      <c r="PR23" s="700">
        <f>PQ23/PO23</f>
        <v>0</v>
      </c>
      <c r="PS23" s="593">
        <f>'Proy 2022 vs 2019 sem'!CB22*PV$4</f>
        <v>20639.948000000004</v>
      </c>
      <c r="PT23" s="593">
        <f>'Proy 2022 vs 2019 sem'!CC22*PV$4</f>
        <v>18369.55372</v>
      </c>
      <c r="PU23" s="699"/>
      <c r="PV23" s="700">
        <f>PU23/PS23</f>
        <v>0</v>
      </c>
      <c r="PW23" s="593">
        <f>'Proy 2022 vs 2019 sem'!CB22*PZ$4</f>
        <v>23588.512000000002</v>
      </c>
      <c r="PX23" s="593">
        <f>'Proy 2022 vs 2019 sem'!CC22*PZ$4</f>
        <v>20993.775679999999</v>
      </c>
      <c r="PY23" s="699"/>
      <c r="PZ23" s="700">
        <f>PY23/PW23</f>
        <v>0</v>
      </c>
      <c r="QA23" s="593">
        <f>'Proy 2022 vs 2019 sem'!CB22*QD$4</f>
        <v>32434.204000000002</v>
      </c>
      <c r="QB23" s="593">
        <f>'Proy 2022 vs 2019 sem'!CC22*QD$4</f>
        <v>28866.441559999999</v>
      </c>
      <c r="QC23" s="699"/>
      <c r="QD23" s="700">
        <f>QC23/QA23</f>
        <v>0</v>
      </c>
      <c r="QE23" s="579">
        <f>PC23+PG23+PK23+PO23+PS23+PW23+QA23</f>
        <v>147428.20000000001</v>
      </c>
      <c r="QF23" s="574">
        <f>PD23+PH23+PL23+PP23+PT23+PX23+QB23</f>
        <v>131211.098</v>
      </c>
      <c r="QG23" s="793">
        <f>PE23+PI23+PM23+PQ23+PU23+PY23+QC23</f>
        <v>0</v>
      </c>
      <c r="QH23" s="786">
        <f>QG23/QE23</f>
        <v>0</v>
      </c>
      <c r="QI23" s="593">
        <f>'Proy 2022 vs 2019 sem'!CG22*QL$4</f>
        <v>17830.959599999998</v>
      </c>
      <c r="QJ23" s="593">
        <f>'Proy 2022 vs 2019 sem'!CH22*QL$4</f>
        <v>15869.554043999999</v>
      </c>
      <c r="QK23" s="699"/>
      <c r="QL23" s="700">
        <f>QK23/QI23</f>
        <v>0</v>
      </c>
      <c r="QM23" s="593">
        <f>'Proy 2022 vs 2019 sem'!CG22*QP$4</f>
        <v>17830.959599999998</v>
      </c>
      <c r="QN23" s="593">
        <f>'Proy 2022 vs 2019 sem'!CH22*QP$4</f>
        <v>15869.554043999999</v>
      </c>
      <c r="QO23" s="699"/>
      <c r="QP23" s="700">
        <f>QO23/QM23</f>
        <v>0</v>
      </c>
      <c r="QQ23" s="593">
        <f>'Proy 2022 vs 2019 sem'!CG22*QT$4</f>
        <v>17830.959599999998</v>
      </c>
      <c r="QR23" s="593">
        <f>'Proy 2022 vs 2019 sem'!CH22*QT$4</f>
        <v>15869.554043999999</v>
      </c>
      <c r="QS23" s="699"/>
      <c r="QT23" s="700">
        <f>QS23/QQ23</f>
        <v>0</v>
      </c>
      <c r="QU23" s="593">
        <f>'Proy 2022 vs 2019 sem'!CG22*QX$4</f>
        <v>17830.959599999998</v>
      </c>
      <c r="QV23" s="593">
        <f>'Proy 2022 vs 2019 sem'!CH22*QX$4</f>
        <v>15869.554043999999</v>
      </c>
      <c r="QW23" s="699"/>
      <c r="QX23" s="700">
        <f>QW23/QU23</f>
        <v>0</v>
      </c>
      <c r="QY23" s="593">
        <f>'Proy 2022 vs 2019 sem'!CG22*RB$4</f>
        <v>20802.786199999999</v>
      </c>
      <c r="QZ23" s="593">
        <f>'Proy 2022 vs 2019 sem'!CH22*RB$4</f>
        <v>18514.479718000002</v>
      </c>
      <c r="RA23" s="699"/>
      <c r="RB23" s="700">
        <f>RA23/QY23</f>
        <v>0</v>
      </c>
      <c r="RC23" s="593">
        <f>'Proy 2022 vs 2019 sem'!CG22*RF$4</f>
        <v>23774.612799999999</v>
      </c>
      <c r="RD23" s="593">
        <f>'Proy 2022 vs 2019 sem'!CH22*RF$4</f>
        <v>21159.405392000001</v>
      </c>
      <c r="RE23" s="699"/>
      <c r="RF23" s="700">
        <f>RE23/RC23</f>
        <v>0</v>
      </c>
      <c r="RG23" s="593">
        <f>'Proy 2022 vs 2019 sem'!CG22*RJ$4</f>
        <v>32690.092599999996</v>
      </c>
      <c r="RH23" s="593">
        <f>'Proy 2022 vs 2019 sem'!CH22*RJ$4</f>
        <v>29094.182413999999</v>
      </c>
      <c r="RI23" s="699"/>
      <c r="RJ23" s="700">
        <f>RI23/RG23</f>
        <v>0</v>
      </c>
      <c r="RK23" s="579">
        <f>QI23+QM23+QQ23+QU23+QY23+RC23+RG23</f>
        <v>148591.32999999999</v>
      </c>
      <c r="RL23" s="574">
        <f>QJ23+QN23+QR23+QV23+QZ23+RD23+RH23</f>
        <v>132246.2837</v>
      </c>
      <c r="RM23" s="794">
        <f>QK23+QO23+QS23+QW23+RA23+RE23+RI23</f>
        <v>0</v>
      </c>
      <c r="RN23" s="786">
        <f>RM23/RK23</f>
        <v>0</v>
      </c>
      <c r="RO23" s="593">
        <f>'Proy 2022 vs 2019 sem'!CL22*RR$4</f>
        <v>17678.1564</v>
      </c>
      <c r="RP23" s="593">
        <f>'Proy 2022 vs 2019 sem'!CM22*RR$4</f>
        <v>15733.559196</v>
      </c>
      <c r="RQ23" s="699"/>
      <c r="RR23" s="700">
        <f>RQ23/RO23</f>
        <v>0</v>
      </c>
      <c r="RS23" s="593">
        <f>'Proy 2022 vs 2019 sem'!CL22*RV$4</f>
        <v>17678.1564</v>
      </c>
      <c r="RT23" s="593">
        <f>'Proy 2022 vs 2019 sem'!CM22*RV$4</f>
        <v>15733.559196</v>
      </c>
      <c r="RU23" s="699"/>
      <c r="RV23" s="700">
        <f>RU23/RS23</f>
        <v>0</v>
      </c>
      <c r="RW23" s="593">
        <f>'Proy 2022 vs 2019 sem'!CL22*RZ$4</f>
        <v>17678.1564</v>
      </c>
      <c r="RX23" s="593">
        <f>'Proy 2022 vs 2019 sem'!CM22*RZ$4</f>
        <v>15733.559196</v>
      </c>
      <c r="RY23" s="699"/>
      <c r="RZ23" s="700">
        <f>RY23/RW23</f>
        <v>0</v>
      </c>
      <c r="SA23" s="593">
        <f>'Proy 2022 vs 2019 sem'!CL22*SD$4</f>
        <v>17678.1564</v>
      </c>
      <c r="SB23" s="593">
        <f>'Proy 2022 vs 2019 sem'!CM22*SD$4</f>
        <v>15733.559196</v>
      </c>
      <c r="SC23" s="699"/>
      <c r="SD23" s="700">
        <f>SC23/SA23</f>
        <v>0</v>
      </c>
      <c r="SE23" s="593">
        <f>'Proy 2022 vs 2019 sem'!CL22*SH$4</f>
        <v>20624.515800000001</v>
      </c>
      <c r="SF23" s="593">
        <f>'Proy 2022 vs 2019 sem'!CM22*SH$4</f>
        <v>18355.819062000002</v>
      </c>
      <c r="SG23" s="699"/>
      <c r="SH23" s="700">
        <f>SG23/SE23</f>
        <v>0</v>
      </c>
      <c r="SI23" s="593">
        <f>'Proy 2022 vs 2019 sem'!CL22*SL$4</f>
        <v>23570.875200000002</v>
      </c>
      <c r="SJ23" s="593">
        <f>'Proy 2022 vs 2019 sem'!CM22*SL$4</f>
        <v>20978.078927999999</v>
      </c>
      <c r="SK23" s="699"/>
      <c r="SL23" s="700">
        <f>SK23/SI23</f>
        <v>0</v>
      </c>
      <c r="SM23" s="593">
        <f>'Proy 2022 vs 2019 sem'!CL22*SP$4</f>
        <v>32409.953400000002</v>
      </c>
      <c r="SN23" s="593">
        <f>'Proy 2022 vs 2019 sem'!CM22*SP$4</f>
        <v>28844.858526</v>
      </c>
      <c r="SO23" s="699"/>
      <c r="SP23" s="700">
        <f>SO23/SM23</f>
        <v>0</v>
      </c>
      <c r="SQ23" s="579">
        <f>RO23+RS23+RW23+SA23+SE23+SI23+SM23</f>
        <v>147317.97</v>
      </c>
      <c r="SR23" s="574">
        <f>RP23+RT23+RX23+SB23+SF23+SJ23+SN23</f>
        <v>131112.9933</v>
      </c>
      <c r="SS23" s="794">
        <f>RQ23+RU23+RY23+SC23+SG23+SK23+SO23</f>
        <v>0</v>
      </c>
      <c r="ST23" s="786">
        <f>SS23/SQ23</f>
        <v>0</v>
      </c>
      <c r="SU23" s="593">
        <f>'Proy 2022 vs 2019 sem'!CQ22*SX$4</f>
        <v>19748.175599999999</v>
      </c>
      <c r="SV23" s="593">
        <f>'Proy 2022 vs 2019 sem'!CR22*SX$4</f>
        <v>17773.358039999999</v>
      </c>
      <c r="SW23" s="699"/>
      <c r="SX23" s="700">
        <f>SW23/SU23</f>
        <v>0</v>
      </c>
      <c r="SY23" s="593">
        <f>'Proy 2022 vs 2019 sem'!CQ22*TB$4</f>
        <v>19748.175599999999</v>
      </c>
      <c r="SZ23" s="593">
        <f>'Proy 2022 vs 2019 sem'!CR22*TB$4</f>
        <v>17773.358039999999</v>
      </c>
      <c r="TA23" s="699"/>
      <c r="TB23" s="700">
        <f>TA23/SY23</f>
        <v>0</v>
      </c>
      <c r="TC23" s="593">
        <f>'Proy 2022 vs 2019 sem'!CQ22*TF$4</f>
        <v>19748.175599999999</v>
      </c>
      <c r="TD23" s="593">
        <f>'Proy 2022 vs 2019 sem'!CR22*TF$4</f>
        <v>17773.358039999999</v>
      </c>
      <c r="TE23" s="699"/>
      <c r="TF23" s="700">
        <f>TE23/TC23</f>
        <v>0</v>
      </c>
      <c r="TG23" s="593">
        <f>'Proy 2022 vs 2019 sem'!CQ22*TJ$4</f>
        <v>19748.175599999999</v>
      </c>
      <c r="TH23" s="593">
        <f>'Proy 2022 vs 2019 sem'!CR22*TJ$4</f>
        <v>17773.358039999999</v>
      </c>
      <c r="TI23" s="699"/>
      <c r="TJ23" s="700">
        <f>TI23/TG23</f>
        <v>0</v>
      </c>
      <c r="TK23" s="593">
        <f>'Proy 2022 vs 2019 sem'!CQ22*TN$4</f>
        <v>23039.538200000003</v>
      </c>
      <c r="TL23" s="593">
        <f>'Proy 2022 vs 2019 sem'!CR22*TN$4</f>
        <v>20735.584380000004</v>
      </c>
      <c r="TM23" s="699"/>
      <c r="TN23" s="700">
        <f>TM23/TK23</f>
        <v>0</v>
      </c>
      <c r="TO23" s="593">
        <f>'Proy 2022 vs 2019 sem'!CQ22*TR$4</f>
        <v>26330.900800000003</v>
      </c>
      <c r="TP23" s="593">
        <f>'Proy 2022 vs 2019 sem'!CR22*TR$4</f>
        <v>23697.810720000001</v>
      </c>
      <c r="TQ23" s="699"/>
      <c r="TR23" s="700">
        <f>TQ23/TO23</f>
        <v>0</v>
      </c>
      <c r="TS23" s="593">
        <f>'Proy 2022 vs 2019 sem'!CQ22*TV$4</f>
        <v>36204.988600000004</v>
      </c>
      <c r="TT23" s="593">
        <f>'Proy 2022 vs 2019 sem'!CR22*TV$4</f>
        <v>32584.489740000001</v>
      </c>
      <c r="TU23" s="699"/>
      <c r="TV23" s="700">
        <f>TU23/TS23</f>
        <v>0</v>
      </c>
      <c r="TW23" s="579">
        <f>SU23+SY23+TC23+TG23+TK23+TO23+TS23</f>
        <v>164568.13</v>
      </c>
      <c r="TX23" s="574">
        <f>SV23+SZ23+TD23+TH23+TL23+TP23+TT23</f>
        <v>148111.31699999998</v>
      </c>
      <c r="TY23" s="785">
        <f>SW23+TA23+TE23+TI23+TM23+TQ23+TU23</f>
        <v>0</v>
      </c>
      <c r="TZ23" s="786">
        <f>TY23/TW23</f>
        <v>0</v>
      </c>
      <c r="UA23" s="593">
        <f>'Proy 2022 vs 2019 sem'!CZ22*UD$4</f>
        <v>21394.2444</v>
      </c>
      <c r="UB23" s="593">
        <f>'Proy 2022 vs 2019 sem'!DA22*UD$4</f>
        <v>19040.877516</v>
      </c>
      <c r="UC23" s="735"/>
      <c r="UD23" s="700">
        <f>UC23/UA23</f>
        <v>0</v>
      </c>
      <c r="UE23" s="593">
        <f>'Proy 2022 vs 2019 sem'!CZ22*UH$4</f>
        <v>21394.2444</v>
      </c>
      <c r="UF23" s="593">
        <f>'Proy 2022 vs 2019 sem'!DA22*UH$4</f>
        <v>19040.877516</v>
      </c>
      <c r="UG23" s="699"/>
      <c r="UH23" s="700">
        <f>UG23/UE23</f>
        <v>0</v>
      </c>
      <c r="UI23" s="593">
        <f>'Proy 2022 vs 2019 sem'!CZ22*UL$4</f>
        <v>21394.2444</v>
      </c>
      <c r="UJ23" s="593">
        <f>'Proy 2022 vs 2019 sem'!DA22*UL$4</f>
        <v>19040.877516</v>
      </c>
      <c r="UK23" s="699"/>
      <c r="UL23" s="700">
        <f>UK23/UI23</f>
        <v>0</v>
      </c>
      <c r="UM23" s="593">
        <f>'Proy 2022 vs 2019 sem'!CZ22*UP$4</f>
        <v>21394.2444</v>
      </c>
      <c r="UN23" s="593">
        <f>'Proy 2022 vs 2019 sem'!DA22*UP$4</f>
        <v>19040.877516</v>
      </c>
      <c r="UO23" s="699"/>
      <c r="UP23" s="700">
        <f>UO23/UM23</f>
        <v>0</v>
      </c>
      <c r="UQ23" s="593">
        <f>'Proy 2022 vs 2019 sem'!CZ22*UT$4</f>
        <v>24959.951800000003</v>
      </c>
      <c r="UR23" s="593">
        <f>'Proy 2022 vs 2019 sem'!DA22*UT$4</f>
        <v>22214.357102000002</v>
      </c>
      <c r="US23" s="699"/>
      <c r="UT23" s="700">
        <f>US23/UQ23</f>
        <v>0</v>
      </c>
      <c r="UU23" s="593">
        <f>'Proy 2022 vs 2019 sem'!CZ22*UX$4</f>
        <v>28525.659199999998</v>
      </c>
      <c r="UV23" s="593">
        <f>'Proy 2022 vs 2019 sem'!DA22*UX$4</f>
        <v>25387.836688000003</v>
      </c>
      <c r="UW23" s="699"/>
      <c r="UX23" s="700">
        <f>UW23/UU23</f>
        <v>0</v>
      </c>
      <c r="UY23" s="593">
        <f>'Proy 2022 vs 2019 sem'!CZ22*VB$4</f>
        <v>39222.7814</v>
      </c>
      <c r="UZ23" s="593">
        <f>'Proy 2022 vs 2019 sem'!DA22*VB$4</f>
        <v>34908.275446</v>
      </c>
      <c r="VA23" s="699"/>
      <c r="VB23" s="700">
        <f>VA23/UY23</f>
        <v>0</v>
      </c>
      <c r="VC23" s="579">
        <f>UA23+UE23+UI23+UM23+UQ23+UU23+UY23</f>
        <v>178285.37</v>
      </c>
      <c r="VD23" s="574">
        <f>UB23+UF23+UJ23+UN23+UR23+UV23+UZ23</f>
        <v>158673.97930000001</v>
      </c>
      <c r="VE23" s="759">
        <f>UC23+UG23+UK23+UO23+US23+UW23+VA23</f>
        <v>0</v>
      </c>
      <c r="VF23" s="761">
        <f>VE23/VC23</f>
        <v>0</v>
      </c>
      <c r="VG23" s="593">
        <f>'Proy 2022 vs 2019 sem'!DE22*VJ$4</f>
        <v>16211.467199999999</v>
      </c>
      <c r="VH23" s="593">
        <f>'Proy 2022 vs 2019 sem'!DF22*VJ$4</f>
        <v>14428.205807999999</v>
      </c>
      <c r="VI23" s="699"/>
      <c r="VJ23" s="700">
        <f>VI23/VG23</f>
        <v>0</v>
      </c>
      <c r="VK23" s="593">
        <f>'Proy 2022 vs 2019 sem'!DE22*VN$4</f>
        <v>16211.467199999999</v>
      </c>
      <c r="VL23" s="593">
        <f>'Proy 2022 vs 2019 sem'!DF22*VN$4</f>
        <v>14428.205807999999</v>
      </c>
      <c r="VM23" s="699"/>
      <c r="VN23" s="700">
        <f>VM23/VK23</f>
        <v>0</v>
      </c>
      <c r="VO23" s="593">
        <f>'Proy 2022 vs 2019 sem'!DE22*VR$4</f>
        <v>16211.467199999999</v>
      </c>
      <c r="VP23" s="593">
        <f>'Proy 2022 vs 2019 sem'!DF22*VR$4</f>
        <v>14428.205807999999</v>
      </c>
      <c r="VQ23" s="699"/>
      <c r="VR23" s="700">
        <f>VQ23/VO23</f>
        <v>0</v>
      </c>
      <c r="VS23" s="593">
        <f>'Proy 2022 vs 2019 sem'!DE22*VV$4</f>
        <v>16211.467199999999</v>
      </c>
      <c r="VT23" s="593">
        <f>'Proy 2022 vs 2019 sem'!DF22*VV$4</f>
        <v>14428.205807999999</v>
      </c>
      <c r="VU23" s="699"/>
      <c r="VV23" s="700">
        <f>VU23/VS23</f>
        <v>0</v>
      </c>
      <c r="VW23" s="593">
        <f>'Proy 2022 vs 2019 sem'!DE22*VZ$4</f>
        <v>18913.378400000001</v>
      </c>
      <c r="VX23" s="593">
        <f>'Proy 2022 vs 2019 sem'!DF22*VZ$4</f>
        <v>16832.906776</v>
      </c>
      <c r="VY23" s="699"/>
      <c r="VZ23" s="700">
        <f>VY23/VW23</f>
        <v>0</v>
      </c>
      <c r="WA23" s="593">
        <f>'Proy 2022 vs 2019 sem'!DE22*WD$4</f>
        <v>21615.2896</v>
      </c>
      <c r="WB23" s="593">
        <f>'Proy 2022 vs 2019 sem'!DF22*WD$4</f>
        <v>19237.607744000001</v>
      </c>
      <c r="WC23" s="699"/>
      <c r="WD23" s="700">
        <f>WC23/WA23</f>
        <v>0</v>
      </c>
      <c r="WE23" s="593">
        <f>'Proy 2022 vs 2019 sem'!DE22*WH$4</f>
        <v>29721.0232</v>
      </c>
      <c r="WF23" s="593">
        <f>'Proy 2022 vs 2019 sem'!DF22*WH$4</f>
        <v>26451.710648</v>
      </c>
      <c r="WG23" s="699"/>
      <c r="WH23" s="700">
        <f>WG23/WE23</f>
        <v>0</v>
      </c>
      <c r="WI23" s="579">
        <f>VG23+VK23+VO23+VS23+VW23+WA23+WE23</f>
        <v>135095.56</v>
      </c>
      <c r="WJ23" s="574">
        <f>VH23+VL23+VP23+VT23+VX23+WB23+WF23</f>
        <v>120235.0484</v>
      </c>
      <c r="WK23" s="765">
        <f>VI23+VM23+VQ23+VU23+VY23+WC23+WG23</f>
        <v>0</v>
      </c>
      <c r="WL23" s="761">
        <f>WK23/WI23</f>
        <v>0</v>
      </c>
      <c r="WM23" s="593">
        <f>'Proy 2022 vs 2019 sem'!DJ22*WP$4</f>
        <v>14068.776</v>
      </c>
      <c r="WN23" s="593">
        <f>'Proy 2022 vs 2019 sem'!DK22*WP$4</f>
        <v>12521.210640000001</v>
      </c>
      <c r="WO23" s="699"/>
      <c r="WP23" s="700">
        <f>WO23/WM23</f>
        <v>0</v>
      </c>
      <c r="WQ23" s="593">
        <f>'Proy 2022 vs 2019 sem'!DJ22*WT$4</f>
        <v>14068.776</v>
      </c>
      <c r="WR23" s="593">
        <f>'Proy 2022 vs 2019 sem'!DK22*WT$4</f>
        <v>12521.210640000001</v>
      </c>
      <c r="WS23" s="699"/>
      <c r="WT23" s="700">
        <f>WS23/WQ23</f>
        <v>0</v>
      </c>
      <c r="WU23" s="593">
        <f>'Proy 2022 vs 2019 sem'!DJ22*WX$4</f>
        <v>14068.776</v>
      </c>
      <c r="WV23" s="593">
        <f>'Proy 2022 vs 2019 sem'!DK22*WX$4</f>
        <v>12521.210640000001</v>
      </c>
      <c r="WW23" s="699"/>
      <c r="WX23" s="700">
        <f>WW23/WU23</f>
        <v>0</v>
      </c>
      <c r="WY23" s="593">
        <f>'Proy 2022 vs 2019 sem'!DJ22*XB$4</f>
        <v>14068.776</v>
      </c>
      <c r="WZ23" s="593">
        <f>'Proy 2022 vs 2019 sem'!DK22*XB$4</f>
        <v>12521.210640000001</v>
      </c>
      <c r="XA23" s="699"/>
      <c r="XB23" s="700">
        <f>XA23/WY23</f>
        <v>0</v>
      </c>
      <c r="XC23" s="593">
        <f>'Proy 2022 vs 2019 sem'!DJ22*XF$4</f>
        <v>16413.572000000004</v>
      </c>
      <c r="XD23" s="593">
        <f>'Proy 2022 vs 2019 sem'!DK22*XF$4</f>
        <v>14608.079080000001</v>
      </c>
      <c r="XE23" s="699"/>
      <c r="XF23" s="700">
        <f>XE23/XC23</f>
        <v>0</v>
      </c>
      <c r="XG23" s="593">
        <f>'Proy 2022 vs 2019 sem'!DJ22*XJ$4</f>
        <v>18758.368000000002</v>
      </c>
      <c r="XH23" s="593">
        <f>'Proy 2022 vs 2019 sem'!DK22*XJ$4</f>
        <v>16694.947520000002</v>
      </c>
      <c r="XI23" s="699"/>
      <c r="XJ23" s="700">
        <f>XI23/XG23</f>
        <v>0</v>
      </c>
      <c r="XK23" s="593">
        <f>'Proy 2022 vs 2019 sem'!DJ22*XN$4</f>
        <v>25792.756000000001</v>
      </c>
      <c r="XL23" s="593">
        <f>'Proy 2022 vs 2019 sem'!DK22*XN$4</f>
        <v>22955.55284</v>
      </c>
      <c r="XM23" s="699"/>
      <c r="XN23" s="700">
        <f>XM23/XK23</f>
        <v>0</v>
      </c>
      <c r="XO23" s="579">
        <f>WM23+WQ23+WU23+WY23+XC23+XG23+XK23</f>
        <v>117239.80000000002</v>
      </c>
      <c r="XP23" s="574">
        <f>WN23+WR23+WV23+WZ23+XD23+XH23+XL23</f>
        <v>104343.42200000001</v>
      </c>
      <c r="XQ23" s="765">
        <f>WO23+WS23+WW23+XA23+XE23+XI23+XM23</f>
        <v>0</v>
      </c>
      <c r="XR23" s="761">
        <f>XQ23/XO23</f>
        <v>0</v>
      </c>
      <c r="XS23" s="593">
        <f>'Proy 2022 vs 2019 sem'!DO22*XV$4</f>
        <v>17030.353199999998</v>
      </c>
      <c r="XT23" s="593">
        <f>'Proy 2022 vs 2019 sem'!DP22*XV$4</f>
        <v>15157.014347999999</v>
      </c>
      <c r="XU23" s="699"/>
      <c r="XV23" s="700">
        <f>XU23/XS23</f>
        <v>0</v>
      </c>
      <c r="XW23" s="593">
        <f>'Proy 2022 vs 2019 sem'!DO22*XZ$4</f>
        <v>17030.353199999998</v>
      </c>
      <c r="XX23" s="593">
        <f>'Proy 2022 vs 2019 sem'!DP22*XZ$4</f>
        <v>15157.014347999999</v>
      </c>
      <c r="XY23" s="699"/>
      <c r="XZ23" s="700">
        <f>XY23/XW23</f>
        <v>0</v>
      </c>
      <c r="YA23" s="593">
        <f>'Proy 2022 vs 2019 sem'!DO22*YD$4</f>
        <v>17030.353199999998</v>
      </c>
      <c r="YB23" s="593">
        <f>'Proy 2022 vs 2019 sem'!DP22*YD$4</f>
        <v>15157.014347999999</v>
      </c>
      <c r="YC23" s="699"/>
      <c r="YD23" s="700">
        <f>YC23/YA23</f>
        <v>0</v>
      </c>
      <c r="YE23" s="593">
        <f>'Proy 2022 vs 2019 sem'!DO22*YH$4</f>
        <v>17030.353199999998</v>
      </c>
      <c r="YF23" s="593">
        <f>'Proy 2022 vs 2019 sem'!DP22*YH$4</f>
        <v>15157.014347999999</v>
      </c>
      <c r="YG23" s="699"/>
      <c r="YH23" s="700">
        <f>YG23/YE23</f>
        <v>0</v>
      </c>
      <c r="YI23" s="593">
        <f>'Proy 2022 vs 2019 sem'!DO22*YL$4</f>
        <v>19868.7454</v>
      </c>
      <c r="YJ23" s="593">
        <f>'Proy 2022 vs 2019 sem'!DP22*YL$4</f>
        <v>17683.183406</v>
      </c>
      <c r="YK23" s="699"/>
      <c r="YL23" s="700">
        <f>YK23/YI23</f>
        <v>0</v>
      </c>
      <c r="YM23" s="593">
        <f>'Proy 2022 vs 2019 sem'!DO22*YP$4</f>
        <v>22707.137599999998</v>
      </c>
      <c r="YN23" s="593">
        <f>'Proy 2022 vs 2019 sem'!DP22*YP$4</f>
        <v>20209.352464</v>
      </c>
      <c r="YO23" s="699"/>
      <c r="YP23" s="700">
        <f>YO23/YM23</f>
        <v>0</v>
      </c>
      <c r="YQ23" s="593">
        <f>'Proy 2022 vs 2019 sem'!DO22*YT$4</f>
        <v>31222.314199999997</v>
      </c>
      <c r="YR23" s="593">
        <f>'Proy 2022 vs 2019 sem'!DP22*YT$4</f>
        <v>27787.859637999998</v>
      </c>
      <c r="YS23" s="699"/>
      <c r="YT23" s="700">
        <f>YS23/YQ23</f>
        <v>0</v>
      </c>
      <c r="YU23" s="579">
        <f>XS23+XW23+YA23+YE23+YI23+YM23+YQ23</f>
        <v>141919.60999999999</v>
      </c>
      <c r="YV23" s="574">
        <f>XT23+XX23+YB23+YF23+YJ23+YN23+YR23</f>
        <v>126308.45289999999</v>
      </c>
      <c r="YW23" s="770">
        <f>XU23+XY23+YC23+YG23+YK23+YO23+YS23</f>
        <v>0</v>
      </c>
      <c r="YX23" s="761">
        <f>YW23/YU23</f>
        <v>0</v>
      </c>
      <c r="YY23" s="931">
        <f>'Proy 2022 vs 2019 sem'!DX22*ZB$4</f>
        <v>17390.1672</v>
      </c>
      <c r="YZ23" s="931">
        <f>'Proy 2022 vs 2019 sem'!DY22*ZB$4</f>
        <v>15477.248807999998</v>
      </c>
      <c r="ZA23" s="735"/>
      <c r="ZB23" s="700">
        <f>ZA23/YY23</f>
        <v>0</v>
      </c>
      <c r="ZC23" s="593">
        <f>'Proy 2022 vs 2019 sem'!DX22*ZF$4</f>
        <v>17390.1672</v>
      </c>
      <c r="ZD23" s="593">
        <f>'Proy 2022 vs 2019 sem'!DY22*ZF$4</f>
        <v>15477.248807999998</v>
      </c>
      <c r="ZE23" s="735"/>
      <c r="ZF23" s="700">
        <f>ZE23/ZC23</f>
        <v>0</v>
      </c>
      <c r="ZG23" s="593">
        <f>'Proy 2022 vs 2019 sem'!DX22*ZJ$4</f>
        <v>17390.1672</v>
      </c>
      <c r="ZH23" s="593">
        <f>'Proy 2022 vs 2019 sem'!DY22*ZJ$4</f>
        <v>15477.248807999998</v>
      </c>
      <c r="ZI23" s="735"/>
      <c r="ZJ23" s="700">
        <f>ZI23/ZG23</f>
        <v>0</v>
      </c>
      <c r="ZK23" s="593">
        <f>'Proy 2022 vs 2019 sem'!DX22*ZN$4</f>
        <v>17390.1672</v>
      </c>
      <c r="ZL23" s="593">
        <f>'Proy 2022 vs 2019 sem'!DY22*ZN$4</f>
        <v>15477.248807999998</v>
      </c>
      <c r="ZM23" s="735"/>
      <c r="ZN23" s="700">
        <f>ZM23/ZK23</f>
        <v>0</v>
      </c>
      <c r="ZO23" s="593">
        <f>'Proy 2022 vs 2019 sem'!DX22*ZR$4</f>
        <v>20288.528400000003</v>
      </c>
      <c r="ZP23" s="593">
        <f>'Proy 2022 vs 2019 sem'!DY22*ZR$4</f>
        <v>18056.790276</v>
      </c>
      <c r="ZQ23" s="735"/>
      <c r="ZR23" s="700">
        <f>ZQ23/ZO23</f>
        <v>0</v>
      </c>
      <c r="ZS23" s="593">
        <f>'Proy 2022 vs 2019 sem'!DX22*ZV$4</f>
        <v>23186.889599999999</v>
      </c>
      <c r="ZT23" s="593">
        <f>'Proy 2022 vs 2019 sem'!DY22*ZV$4</f>
        <v>20636.331743999999</v>
      </c>
      <c r="ZU23" s="735"/>
      <c r="ZV23" s="700">
        <f>ZU23/ZS23</f>
        <v>0</v>
      </c>
      <c r="ZW23" s="593">
        <f>'Proy 2022 vs 2019 sem'!DX22*ZZ$4</f>
        <v>31881.9732</v>
      </c>
      <c r="ZX23" s="593">
        <f>'Proy 2022 vs 2019 sem'!DY22*ZZ$4</f>
        <v>28374.956147999997</v>
      </c>
      <c r="ZY23" s="735"/>
      <c r="ZZ23" s="700">
        <f>ZY23/ZW23</f>
        <v>0</v>
      </c>
      <c r="AAA23" s="579">
        <f>YY23+ZC23+ZG23+ZK23+ZO23+ZS23+ZW23</f>
        <v>144918.06</v>
      </c>
      <c r="AAB23" s="574">
        <f>YZ23+ZD23+ZH23+ZL23+ZP23+ZT23+ZX23</f>
        <v>128977.07339999999</v>
      </c>
      <c r="AAC23" s="729">
        <f>ZA23+ZE23+ZI23+ZM23+ZQ23+ZU23+ZY23</f>
        <v>0</v>
      </c>
      <c r="AAD23" s="711">
        <f>AAC23/AAA23</f>
        <v>0</v>
      </c>
      <c r="AAE23" s="593">
        <f>'Proy 2022 vs 2019 sem'!EC22*AAH$4</f>
        <v>20997.076800000003</v>
      </c>
      <c r="AAF23" s="593">
        <f>'Proy 2022 vs 2019 sem'!ED22*AAH$4</f>
        <v>18267.456816000002</v>
      </c>
      <c r="AAG23" s="699"/>
      <c r="AAH23" s="700">
        <f>AAG23/AAE23</f>
        <v>0</v>
      </c>
      <c r="AAI23" s="593">
        <f>'Proy 2022 vs 2019 sem'!EC22*AAL$4</f>
        <v>20997.076800000003</v>
      </c>
      <c r="AAJ23" s="593">
        <f>'Proy 2022 vs 2019 sem'!ED22*AAL$4</f>
        <v>18267.456816000002</v>
      </c>
      <c r="AAK23" s="699"/>
      <c r="AAL23" s="700">
        <f>AAK23/AAI23</f>
        <v>0</v>
      </c>
      <c r="AAM23" s="593">
        <f>'Proy 2022 vs 2019 sem'!EC22*AAP$4</f>
        <v>20997.076800000003</v>
      </c>
      <c r="AAN23" s="593">
        <f>'Proy 2022 vs 2019 sem'!ED22*AAP$4</f>
        <v>18267.456816000002</v>
      </c>
      <c r="AAO23" s="699"/>
      <c r="AAP23" s="700">
        <f>AAO23/AAM23</f>
        <v>0</v>
      </c>
      <c r="AAQ23" s="593">
        <f>'Proy 2022 vs 2019 sem'!EC22*AAT$4</f>
        <v>20997.076800000003</v>
      </c>
      <c r="AAR23" s="593">
        <f>'Proy 2022 vs 2019 sem'!ED22*AAT$4</f>
        <v>18267.456816000002</v>
      </c>
      <c r="AAS23" s="699"/>
      <c r="AAT23" s="700">
        <f>AAS23/AAQ23</f>
        <v>0</v>
      </c>
      <c r="AAU23" s="593">
        <f>'Proy 2022 vs 2019 sem'!EC22*AAX$4</f>
        <v>24496.589600000003</v>
      </c>
      <c r="AAV23" s="593">
        <f>'Proy 2022 vs 2019 sem'!ED22*AAX$4</f>
        <v>21312.032952000005</v>
      </c>
      <c r="AAW23" s="699"/>
      <c r="AAX23" s="700">
        <f>AAW23/AAU23</f>
        <v>0</v>
      </c>
      <c r="AAY23" s="593">
        <f>'Proy 2022 vs 2019 sem'!EC22*ABB$4</f>
        <v>27996.102400000003</v>
      </c>
      <c r="AAZ23" s="593">
        <f>'Proy 2022 vs 2019 sem'!ED22*ABB$4</f>
        <v>24356.609088000005</v>
      </c>
      <c r="ABA23" s="699"/>
      <c r="ABB23" s="700">
        <f>ABA23/AAY23</f>
        <v>0</v>
      </c>
      <c r="ABC23" s="593">
        <f>'Proy 2022 vs 2019 sem'!EC22*ABF$4</f>
        <v>38494.640800000001</v>
      </c>
      <c r="ABD23" s="593">
        <f>'Proy 2022 vs 2019 sem'!ED22*ABF$4</f>
        <v>33490.337496000007</v>
      </c>
      <c r="ABE23" s="699"/>
      <c r="ABF23" s="700">
        <f>ABE23/ABC23</f>
        <v>0</v>
      </c>
      <c r="ABG23" s="579">
        <f>AAE23+AAI23+AAM23+AAQ23+AAU23+AAY23+ABC23</f>
        <v>174975.64</v>
      </c>
      <c r="ABH23" s="574">
        <f>AAF23+AAJ23+AAN23+AAR23+AAV23+AAZ23+ABD23</f>
        <v>152228.80680000002</v>
      </c>
      <c r="ABI23" s="730">
        <f>AAG23+AAK23+AAO23+AAS23+AAW23+ABA23+ABE23</f>
        <v>0</v>
      </c>
      <c r="ABJ23" s="711">
        <f>ABI23/ABG23</f>
        <v>0</v>
      </c>
      <c r="ABK23" s="593">
        <f>'Proy 2022 vs 2019 sem'!EH22*ABN$4</f>
        <v>18871.98</v>
      </c>
      <c r="ABL23" s="593">
        <f>'Proy 2022 vs 2019 sem'!EI22*ABN$4</f>
        <v>16796.0622</v>
      </c>
      <c r="ABM23" s="699"/>
      <c r="ABN23" s="700">
        <f>ABM23/ABK23</f>
        <v>0</v>
      </c>
      <c r="ABO23" s="593">
        <f>'Proy 2022 vs 2019 sem'!EH22*ABR$4</f>
        <v>18871.98</v>
      </c>
      <c r="ABP23" s="593">
        <f>'Proy 2022 vs 2019 sem'!EI22*ABR$4</f>
        <v>16796.0622</v>
      </c>
      <c r="ABQ23" s="699"/>
      <c r="ABR23" s="700">
        <f>ABQ23/ABO23</f>
        <v>0</v>
      </c>
      <c r="ABS23" s="593">
        <f>'Proy 2022 vs 2019 sem'!EH22*ABV$4</f>
        <v>18871.98</v>
      </c>
      <c r="ABT23" s="593">
        <f>'Proy 2022 vs 2019 sem'!EI22*ABV$4</f>
        <v>16796.0622</v>
      </c>
      <c r="ABU23" s="699"/>
      <c r="ABV23" s="700">
        <f>ABU23/ABS23</f>
        <v>0</v>
      </c>
      <c r="ABW23" s="593">
        <f>'Proy 2022 vs 2019 sem'!EH22*ABZ$4</f>
        <v>18871.98</v>
      </c>
      <c r="ABX23" s="593">
        <f>'Proy 2022 vs 2019 sem'!EI22*ABZ$4</f>
        <v>16796.0622</v>
      </c>
      <c r="ABY23" s="699"/>
      <c r="ABZ23" s="700">
        <f>ABY23/ABW23</f>
        <v>0</v>
      </c>
      <c r="ACA23" s="593">
        <f>'Proy 2022 vs 2019 sem'!EH22*ACD$4</f>
        <v>22017.31</v>
      </c>
      <c r="ACB23" s="593">
        <f>'Proy 2022 vs 2019 sem'!EI22*ACD$4</f>
        <v>19595.405900000002</v>
      </c>
      <c r="ACC23" s="699"/>
      <c r="ACD23" s="700">
        <f>ACC23/ACA23</f>
        <v>0</v>
      </c>
      <c r="ACE23" s="593">
        <f>'Proy 2022 vs 2019 sem'!EH22*ACH$4</f>
        <v>25162.639999999999</v>
      </c>
      <c r="ACF23" s="593">
        <f>'Proy 2022 vs 2019 sem'!EI22*ACH$4</f>
        <v>22394.749599999999</v>
      </c>
      <c r="ACG23" s="699"/>
      <c r="ACH23" s="700">
        <f>ACG23/ACE23</f>
        <v>0</v>
      </c>
      <c r="ACI23" s="593">
        <f>'Proy 2022 vs 2019 sem'!EH22*ACL$4</f>
        <v>34598.629999999997</v>
      </c>
      <c r="ACJ23" s="593">
        <f>'Proy 2022 vs 2019 sem'!EI22*ACL$4</f>
        <v>30792.780699999999</v>
      </c>
      <c r="ACK23" s="699"/>
      <c r="ACL23" s="700">
        <f>ACK23/ACI23</f>
        <v>0</v>
      </c>
      <c r="ACM23" s="579">
        <f>ABK23+ABO23+ABS23+ABW23+ACA23+ACE23+ACI23</f>
        <v>157266.5</v>
      </c>
      <c r="ACN23" s="574">
        <f>ABL23+ABP23+ABT23+ABX23+ACB23+ACF23+ACJ23</f>
        <v>139967.185</v>
      </c>
      <c r="ACO23" s="730">
        <f>ABM23+ABQ23+ABU23+ABY23+ACC23+ACG23+ACK23</f>
        <v>0</v>
      </c>
      <c r="ACP23" s="711">
        <f>ACO23/ACM23</f>
        <v>0</v>
      </c>
      <c r="ACQ23" s="593">
        <f>'Proy 2022 vs 2019 sem'!EM22*ACT$4</f>
        <v>19013.022000000001</v>
      </c>
      <c r="ACR23" s="593">
        <f>'Proy 2022 vs 2019 sem'!EN22*ACT$4</f>
        <v>17872.240679999999</v>
      </c>
      <c r="ACS23" s="699"/>
      <c r="ACT23" s="700">
        <f>ACS23/ACQ23</f>
        <v>0</v>
      </c>
      <c r="ACU23" s="593">
        <f>'Proy 2022 vs 2019 sem'!EM22*ACX$4</f>
        <v>19013.022000000001</v>
      </c>
      <c r="ACV23" s="593">
        <f>'Proy 2022 vs 2019 sem'!EN22*ACX$4</f>
        <v>17872.240679999999</v>
      </c>
      <c r="ACW23" s="699"/>
      <c r="ACX23" s="700">
        <f>ACW23/ACU23</f>
        <v>0</v>
      </c>
      <c r="ACY23" s="593">
        <f>'Proy 2022 vs 2019 sem'!EM22*ADB$4</f>
        <v>19013.022000000001</v>
      </c>
      <c r="ACZ23" s="593">
        <f>'Proy 2022 vs 2019 sem'!EN22*ADB$4</f>
        <v>17872.240679999999</v>
      </c>
      <c r="ADA23" s="699"/>
      <c r="ADB23" s="700">
        <f>ADA23/ACY23</f>
        <v>0</v>
      </c>
      <c r="ADC23" s="593">
        <f>'Proy 2022 vs 2019 sem'!EM22*ADF$4</f>
        <v>19013.022000000001</v>
      </c>
      <c r="ADD23" s="593">
        <f>'Proy 2022 vs 2019 sem'!EN22*ADF$4</f>
        <v>17872.240679999999</v>
      </c>
      <c r="ADE23" s="699"/>
      <c r="ADF23" s="700">
        <f>ADE23/ADC23</f>
        <v>0</v>
      </c>
      <c r="ADG23" s="593">
        <f>'Proy 2022 vs 2019 sem'!EM22*ADJ$4</f>
        <v>22181.859000000004</v>
      </c>
      <c r="ADH23" s="593">
        <f>'Proy 2022 vs 2019 sem'!EN22*ADJ$4</f>
        <v>20850.947460000003</v>
      </c>
      <c r="ADI23" s="699"/>
      <c r="ADJ23" s="700">
        <f>ADI23/ADG23</f>
        <v>0</v>
      </c>
      <c r="ADK23" s="593">
        <f>'Proy 2022 vs 2019 sem'!EM22*ADN$4</f>
        <v>25350.696</v>
      </c>
      <c r="ADL23" s="593">
        <f>'Proy 2022 vs 2019 sem'!EN22*ADN$4</f>
        <v>23829.65424</v>
      </c>
      <c r="ADM23" s="699"/>
      <c r="ADN23" s="700">
        <f>ADM23/ADK23</f>
        <v>0</v>
      </c>
      <c r="ADO23" s="593">
        <f>'Proy 2022 vs 2019 sem'!EM22*ADR$4</f>
        <v>34857.207000000002</v>
      </c>
      <c r="ADP23" s="593">
        <f>'Proy 2022 vs 2019 sem'!EN22*ADR$4</f>
        <v>32765.774580000001</v>
      </c>
      <c r="ADQ23" s="699"/>
      <c r="ADR23" s="700">
        <f>ADQ23/ADO23</f>
        <v>0</v>
      </c>
      <c r="ADS23" s="579">
        <f>ACQ23+ACU23+ACY23+ADC23+ADG23+ADK23+ADO23</f>
        <v>158441.85</v>
      </c>
      <c r="ADT23" s="574">
        <f>ACR23+ACV23+ACZ23+ADD23+ADH23+ADL23+ADP23</f>
        <v>148935.33900000001</v>
      </c>
      <c r="ADU23" s="710">
        <f>ACS23+ACW23+ADA23+ADE23+ADI23+ADM23+ADQ23</f>
        <v>0</v>
      </c>
      <c r="ADV23" s="711">
        <f>ADU23/ADS23</f>
        <v>0</v>
      </c>
      <c r="ADW23" s="593">
        <f>'Proy 2022 vs 2019 sem'!ER22*ADZ$4</f>
        <v>17615.0088</v>
      </c>
      <c r="ADX23" s="593">
        <f>'Proy 2022 vs 2019 sem'!ES22*ADZ$4</f>
        <v>16558.108271999998</v>
      </c>
      <c r="ADY23" s="699"/>
      <c r="ADZ23" s="700">
        <f>ADY23/ADW23</f>
        <v>0</v>
      </c>
      <c r="AEA23" s="593">
        <f>'Proy 2022 vs 2019 sem'!ER22*AED$4</f>
        <v>17615.0088</v>
      </c>
      <c r="AEB23" s="593">
        <f>'Proy 2022 vs 2019 sem'!ES22*AED$4</f>
        <v>16558.108271999998</v>
      </c>
      <c r="AEC23" s="699"/>
      <c r="AED23" s="700">
        <f>AEC23/AEA23</f>
        <v>0</v>
      </c>
      <c r="AEE23" s="593">
        <f>'Proy 2022 vs 2019 sem'!ER22*AEH$4</f>
        <v>17615.0088</v>
      </c>
      <c r="AEF23" s="593">
        <f>'Proy 2022 vs 2019 sem'!ES22*AEH$4</f>
        <v>16558.108271999998</v>
      </c>
      <c r="AEG23" s="699"/>
      <c r="AEH23" s="700">
        <f>AEG23/AEE23</f>
        <v>0</v>
      </c>
      <c r="AEI23" s="593">
        <f>'Proy 2022 vs 2019 sem'!ER22*AEL$4</f>
        <v>17615.0088</v>
      </c>
      <c r="AEJ23" s="593">
        <f>'Proy 2022 vs 2019 sem'!ES22*AEL$4</f>
        <v>16558.108271999998</v>
      </c>
      <c r="AEK23" s="699"/>
      <c r="AEL23" s="700">
        <f>AEK23/AEI23</f>
        <v>0</v>
      </c>
      <c r="AEM23" s="593">
        <f>'Proy 2022 vs 2019 sem'!ER22*AEP$4</f>
        <v>20550.8436</v>
      </c>
      <c r="AEN23" s="593">
        <f>'Proy 2022 vs 2019 sem'!ES22*AEP$4</f>
        <v>19317.792984</v>
      </c>
      <c r="AEO23" s="699"/>
      <c r="AEP23" s="700">
        <f>AEO23/AEM23</f>
        <v>0</v>
      </c>
      <c r="AEQ23" s="593">
        <f>'Proy 2022 vs 2019 sem'!ER22*AET$4</f>
        <v>23486.678400000001</v>
      </c>
      <c r="AER23" s="593">
        <f>'Proy 2022 vs 2019 sem'!ES22*AET$4</f>
        <v>22077.477695999998</v>
      </c>
      <c r="AES23" s="699"/>
      <c r="AET23" s="700">
        <f>AES23/AEQ23</f>
        <v>0</v>
      </c>
      <c r="AEU23" s="593">
        <f>'Proy 2022 vs 2019 sem'!ER22*AEX$4</f>
        <v>32294.182799999999</v>
      </c>
      <c r="AEV23" s="593">
        <f>'Proy 2022 vs 2019 sem'!ES22*AEX$4</f>
        <v>30356.531831999997</v>
      </c>
      <c r="AEW23" s="699"/>
      <c r="AEX23" s="700">
        <f>AEW23/AEU23</f>
        <v>0</v>
      </c>
      <c r="AEY23" s="579">
        <f>ADW23+AEA23+AEE23+AEI23+AEM23+AEQ23+AEU23</f>
        <v>146791.74000000002</v>
      </c>
      <c r="AEZ23" s="574">
        <f>ADX23+AEB23+AEF23+AEJ23+AEN23+AER23+AEV23</f>
        <v>137984.23559999999</v>
      </c>
      <c r="AFA23" s="710">
        <f>ADY23+AEC23+AEG23+AEK23+AEO23+AES23+AEW23</f>
        <v>0</v>
      </c>
      <c r="AFB23" s="711">
        <f>AFA23/AEY23</f>
        <v>0</v>
      </c>
      <c r="AFC23" s="593">
        <f>'Proy 2022 vs 2019 sem'!FA22*AFF$4</f>
        <v>19195.802399999997</v>
      </c>
      <c r="AFD23" s="593">
        <f>'Proy 2022 vs 2019 sem'!FB22*AFF$4</f>
        <v>16892.306111999998</v>
      </c>
      <c r="AFE23" s="735"/>
      <c r="AFF23" s="700">
        <f>AFE23/AFC23</f>
        <v>0</v>
      </c>
      <c r="AFG23" s="593">
        <f>'Proy 2022 vs 2019 sem'!FA22*AFJ$4</f>
        <v>19195.802399999997</v>
      </c>
      <c r="AFH23" s="593">
        <f>'Proy 2022 vs 2019 sem'!FB22*AFJ$4</f>
        <v>16892.306111999998</v>
      </c>
      <c r="AFI23" s="699"/>
      <c r="AFJ23" s="700">
        <f>AFI23/AFG23</f>
        <v>0</v>
      </c>
      <c r="AFK23" s="593">
        <f>'Proy 2022 vs 2019 sem'!FA22*AFN$4</f>
        <v>19195.802399999997</v>
      </c>
      <c r="AFL23" s="593">
        <f>'Proy 2022 vs 2019 sem'!FB22*AFN$4</f>
        <v>16892.306111999998</v>
      </c>
      <c r="AFM23" s="699"/>
      <c r="AFN23" s="700">
        <f>AFM23/AFK23</f>
        <v>0</v>
      </c>
      <c r="AFO23" s="593">
        <f>'Proy 2022 vs 2019 sem'!FA22*AFR$4</f>
        <v>19195.802399999997</v>
      </c>
      <c r="AFP23" s="593">
        <f>'Proy 2022 vs 2019 sem'!FB22*AFR$4</f>
        <v>16892.306111999998</v>
      </c>
      <c r="AFQ23" s="699"/>
      <c r="AFR23" s="700">
        <f>AFQ23/AFO23</f>
        <v>0</v>
      </c>
      <c r="AFS23" s="593">
        <f>'Proy 2022 vs 2019 sem'!FA22*AFV$4</f>
        <v>22395.102800000001</v>
      </c>
      <c r="AFT23" s="593">
        <f>'Proy 2022 vs 2019 sem'!FB22*AFV$4</f>
        <v>19707.690464000003</v>
      </c>
      <c r="AFU23" s="699"/>
      <c r="AFV23" s="700">
        <f>AFU23/AFS23</f>
        <v>0</v>
      </c>
      <c r="AFW23" s="593">
        <f>'Proy 2022 vs 2019 sem'!FA22*AFZ$4</f>
        <v>25594.403200000001</v>
      </c>
      <c r="AFX23" s="593">
        <f>'Proy 2022 vs 2019 sem'!FB22*AFZ$4</f>
        <v>22523.074816</v>
      </c>
      <c r="AFY23" s="699"/>
      <c r="AFZ23" s="700">
        <f>AFY23/AFW23</f>
        <v>0</v>
      </c>
      <c r="AGA23" s="593">
        <f>'Proy 2022 vs 2019 sem'!FA22*AGD$4</f>
        <v>35192.304400000001</v>
      </c>
      <c r="AGB23" s="593">
        <f>'Proy 2022 vs 2019 sem'!FB22*AGD$4</f>
        <v>30969.227871999999</v>
      </c>
      <c r="AGC23" s="699"/>
      <c r="AGD23" s="700">
        <f>AGC23/AGA23</f>
        <v>0</v>
      </c>
      <c r="AGE23" s="579">
        <f>AFC23+AFG23+AFK23+AFO23+AFS23+AFW23+AGA23</f>
        <v>159965.01999999999</v>
      </c>
      <c r="AGF23" s="574">
        <f>AFD23+AFH23+AFL23+AFP23+AFT23+AFX23+AGB23</f>
        <v>140769.21759999997</v>
      </c>
      <c r="AGG23" s="759">
        <f>AFE23+AFI23+AFM23+AFQ23+AFU23+AFY23+AGC23</f>
        <v>0</v>
      </c>
      <c r="AGH23" s="761">
        <f>AGG23/AGE23</f>
        <v>0</v>
      </c>
      <c r="AGI23" s="593">
        <f>'Proy 2022 vs 2019 sem'!FF22*AGL$4</f>
        <v>19644.124800000001</v>
      </c>
      <c r="AGJ23" s="593">
        <f>'Proy 2022 vs 2019 sem'!FG22*AGL$4</f>
        <v>17286.829824</v>
      </c>
      <c r="AGK23" s="699"/>
      <c r="AGL23" s="700">
        <f>AGK23/AGI23</f>
        <v>0</v>
      </c>
      <c r="AGM23" s="593">
        <f>'Proy 2022 vs 2019 sem'!FF22*AGP$4</f>
        <v>19644.124800000001</v>
      </c>
      <c r="AGN23" s="593">
        <f>'Proy 2022 vs 2019 sem'!FG22*AGP$4</f>
        <v>17286.829824</v>
      </c>
      <c r="AGO23" s="699"/>
      <c r="AGP23" s="700">
        <f>AGO23/AGM23</f>
        <v>0</v>
      </c>
      <c r="AGQ23" s="593">
        <f>'Proy 2022 vs 2019 sem'!FF22*AGT$4</f>
        <v>19644.124800000001</v>
      </c>
      <c r="AGR23" s="593">
        <f>'Proy 2022 vs 2019 sem'!FG22*AGT$4</f>
        <v>17286.829824</v>
      </c>
      <c r="AGS23" s="699"/>
      <c r="AGT23" s="700">
        <f>AGS23/AGQ23</f>
        <v>0</v>
      </c>
      <c r="AGU23" s="593">
        <f>'Proy 2022 vs 2019 sem'!FF22*AGX$4</f>
        <v>19644.124800000001</v>
      </c>
      <c r="AGV23" s="593">
        <f>'Proy 2022 vs 2019 sem'!FG22*AGX$4</f>
        <v>17286.829824</v>
      </c>
      <c r="AGW23" s="699"/>
      <c r="AGX23" s="700">
        <f>AGW23/AGU23</f>
        <v>0</v>
      </c>
      <c r="AGY23" s="593">
        <f>'Proy 2022 vs 2019 sem'!FF22*AHB$4</f>
        <v>22918.145600000003</v>
      </c>
      <c r="AGZ23" s="593">
        <f>'Proy 2022 vs 2019 sem'!FG22*AHB$4</f>
        <v>20167.968128000004</v>
      </c>
      <c r="AHA23" s="699"/>
      <c r="AHB23" s="700">
        <f>AHA23/AGY23</f>
        <v>0</v>
      </c>
      <c r="AHC23" s="593">
        <f>'Proy 2022 vs 2019 sem'!FF22*AHF$4</f>
        <v>26192.166400000002</v>
      </c>
      <c r="AHD23" s="593">
        <f>'Proy 2022 vs 2019 sem'!FG22*AHF$4</f>
        <v>23049.106432000004</v>
      </c>
      <c r="AHE23" s="699"/>
      <c r="AHF23" s="700">
        <f>AHE23/AHC23</f>
        <v>0</v>
      </c>
      <c r="AHG23" s="593">
        <f>'Proy 2022 vs 2019 sem'!FF22*AHJ$4</f>
        <v>36014.228800000004</v>
      </c>
      <c r="AHH23" s="593">
        <f>'Proy 2022 vs 2019 sem'!FG22*AHJ$4</f>
        <v>31692.521344000004</v>
      </c>
      <c r="AHI23" s="699"/>
      <c r="AHJ23" s="700">
        <f>AHI23/AHG23</f>
        <v>0</v>
      </c>
      <c r="AHK23" s="579">
        <f>AGI23+AGM23+AGQ23+AGU23+AGY23+AHC23+AHG23</f>
        <v>163701.04</v>
      </c>
      <c r="AHL23" s="574">
        <f>AGJ23+AGN23+AGR23+AGV23+AGZ23+AHD23+AHH23</f>
        <v>144056.91520000002</v>
      </c>
      <c r="AHM23" s="765">
        <f>AGK23+AGO23+AGS23+AGW23+AHA23+AHE23+AHI23</f>
        <v>0</v>
      </c>
      <c r="AHN23" s="761">
        <f>AHM23/AHK23</f>
        <v>0</v>
      </c>
      <c r="AHO23" s="593">
        <f>'Proy 2022 vs 2019 sem'!FK22*AHR$4</f>
        <v>17356.906800000001</v>
      </c>
      <c r="AHP23" s="593">
        <f>'Proy 2022 vs 2019 sem'!FL22*AHR$4</f>
        <v>15621.216120000003</v>
      </c>
      <c r="AHQ23" s="699"/>
      <c r="AHR23" s="700">
        <f>AHQ23/AHO23</f>
        <v>0</v>
      </c>
      <c r="AHS23" s="593">
        <f>'Proy 2022 vs 2019 sem'!FK22*AHV$4</f>
        <v>17356.906800000001</v>
      </c>
      <c r="AHT23" s="593">
        <f>'Proy 2022 vs 2019 sem'!FL22*AHV$4</f>
        <v>15621.216120000003</v>
      </c>
      <c r="AHU23" s="699"/>
      <c r="AHV23" s="700">
        <f>AHU23/AHS23</f>
        <v>0</v>
      </c>
      <c r="AHW23" s="593">
        <f>'Proy 2022 vs 2019 sem'!FK22*AHZ$4</f>
        <v>17356.906800000001</v>
      </c>
      <c r="AHX23" s="593">
        <f>'Proy 2022 vs 2019 sem'!FL22*AHZ$4</f>
        <v>15621.216120000003</v>
      </c>
      <c r="AHY23" s="699"/>
      <c r="AHZ23" s="700">
        <f>AHY23/AHW23</f>
        <v>0</v>
      </c>
      <c r="AIA23" s="593">
        <f>'Proy 2022 vs 2019 sem'!FK22*AID$4</f>
        <v>17356.906800000001</v>
      </c>
      <c r="AIB23" s="593">
        <f>'Proy 2022 vs 2019 sem'!FL22*AID$4</f>
        <v>15621.216120000003</v>
      </c>
      <c r="AIC23" s="699"/>
      <c r="AID23" s="700">
        <f>AIC23/AIA23</f>
        <v>0</v>
      </c>
      <c r="AIE23" s="593">
        <f>'Proy 2022 vs 2019 sem'!FK22*AIH$4</f>
        <v>20249.724600000005</v>
      </c>
      <c r="AIF23" s="593">
        <f>'Proy 2022 vs 2019 sem'!FL22*AIH$4</f>
        <v>18224.752140000004</v>
      </c>
      <c r="AIG23" s="699"/>
      <c r="AIH23" s="700">
        <f>AIG23/AIE23</f>
        <v>0</v>
      </c>
      <c r="AII23" s="593">
        <f>'Proy 2022 vs 2019 sem'!FK22*AIL$4</f>
        <v>23142.542400000002</v>
      </c>
      <c r="AIJ23" s="593">
        <f>'Proy 2022 vs 2019 sem'!FL22*AIL$4</f>
        <v>20828.288160000004</v>
      </c>
      <c r="AIK23" s="699"/>
      <c r="AIL23" s="700">
        <f>AIK23/AII23</f>
        <v>0</v>
      </c>
      <c r="AIM23" s="593">
        <f>'Proy 2022 vs 2019 sem'!FK22*AIP$4</f>
        <v>31820.995800000004</v>
      </c>
      <c r="AIN23" s="593">
        <f>'Proy 2022 vs 2019 sem'!FL22*AIP$4</f>
        <v>28638.896220000006</v>
      </c>
      <c r="AIO23" s="699"/>
      <c r="AIP23" s="700">
        <f>AIO23/AIM23</f>
        <v>0</v>
      </c>
      <c r="AIQ23" s="579">
        <f>AHO23+AHS23+AHW23+AIA23+AIE23+AII23+AIM23</f>
        <v>144640.89000000001</v>
      </c>
      <c r="AIR23" s="574">
        <f>AHP23+AHT23+AHX23+AIB23+AIF23+AIJ23+AIN23</f>
        <v>130176.80100000002</v>
      </c>
      <c r="AIS23" s="765">
        <f>AHQ23+AHU23+AHY23+AIC23+AIG23+AIK23+AIO23</f>
        <v>0</v>
      </c>
      <c r="AIT23" s="761">
        <f>AIS23/AIQ23</f>
        <v>0</v>
      </c>
      <c r="AIU23" s="593">
        <f>'Proy 2022 vs 2019 sem'!FP22*AIX$4</f>
        <v>14503.981199999998</v>
      </c>
      <c r="AIV23" s="593">
        <f>'Proy 2022 vs 2019 sem'!FQ22*AIX$4</f>
        <v>13343.662703999998</v>
      </c>
      <c r="AIW23" s="699"/>
      <c r="AIX23" s="700">
        <f>AIW23/AIU23</f>
        <v>0</v>
      </c>
      <c r="AIY23" s="593">
        <f>'Proy 2022 vs 2019 sem'!FP22*AJB$4</f>
        <v>14503.981199999998</v>
      </c>
      <c r="AIZ23" s="593">
        <f>'Proy 2022 vs 2019 sem'!FQ22*AJB$4</f>
        <v>13343.662703999998</v>
      </c>
      <c r="AJA23" s="699"/>
      <c r="AJB23" s="700">
        <f>AJA23/AIY23</f>
        <v>0</v>
      </c>
      <c r="AJC23" s="593">
        <f>'Proy 2022 vs 2019 sem'!FP22*AJF$4</f>
        <v>14503.981199999998</v>
      </c>
      <c r="AJD23" s="593">
        <f>'Proy 2022 vs 2019 sem'!FQ22*AJF$4</f>
        <v>13343.662703999998</v>
      </c>
      <c r="AJE23" s="699"/>
      <c r="AJF23" s="700">
        <f>AJE23/AJC23</f>
        <v>0</v>
      </c>
      <c r="AJG23" s="593">
        <f>'Proy 2022 vs 2019 sem'!FP22*AJJ$4</f>
        <v>14503.981199999998</v>
      </c>
      <c r="AJH23" s="593">
        <f>'Proy 2022 vs 2019 sem'!FQ22*AJJ$4</f>
        <v>13343.662703999998</v>
      </c>
      <c r="AJI23" s="699"/>
      <c r="AJJ23" s="700">
        <f>AJI23/AJG23</f>
        <v>0</v>
      </c>
      <c r="AJK23" s="593">
        <f>'Proy 2022 vs 2019 sem'!FP22*AJN$4</f>
        <v>16921.311400000002</v>
      </c>
      <c r="AJL23" s="593">
        <f>'Proy 2022 vs 2019 sem'!FQ22*AJN$4</f>
        <v>15567.606488000001</v>
      </c>
      <c r="AJM23" s="699"/>
      <c r="AJN23" s="700">
        <f>AJM23/AJK23</f>
        <v>0</v>
      </c>
      <c r="AJO23" s="593">
        <f>'Proy 2022 vs 2019 sem'!FP22*AJR$4</f>
        <v>19338.641599999999</v>
      </c>
      <c r="AJP23" s="593">
        <f>'Proy 2022 vs 2019 sem'!FQ22*AJR$4</f>
        <v>17791.550272</v>
      </c>
      <c r="AJQ23" s="699"/>
      <c r="AJR23" s="700">
        <f>AJQ23/AJO23</f>
        <v>0</v>
      </c>
      <c r="AJS23" s="593">
        <f>'Proy 2022 vs 2019 sem'!FP22*AJV$4</f>
        <v>26590.6322</v>
      </c>
      <c r="AJT23" s="593">
        <f>'Proy 2022 vs 2019 sem'!FQ22*AJV$4</f>
        <v>24463.381623999998</v>
      </c>
      <c r="AJU23" s="699"/>
      <c r="AJV23" s="700">
        <f>AJU23/AJS23</f>
        <v>0</v>
      </c>
      <c r="AJW23" s="579">
        <f>AIU23+AIY23+AJC23+AJG23+AJK23+AJO23+AJS23</f>
        <v>120866.51000000001</v>
      </c>
      <c r="AJX23" s="574">
        <f>AIV23+AIZ23+AJD23+AJH23+AJL23+AJP23+AJT23</f>
        <v>111197.18919999999</v>
      </c>
      <c r="AJY23" s="770">
        <f>AIW23+AJA23+AJE23+AJI23+AJM23+AJQ23+AJU23</f>
        <v>0</v>
      </c>
      <c r="AJZ23" s="761">
        <f>AJY23/AJW23</f>
        <v>0</v>
      </c>
      <c r="AKA23" s="593"/>
      <c r="AKB23" s="593"/>
      <c r="AKC23" s="735"/>
      <c r="AKD23" s="700" t="e">
        <f>AKC23/AKA23</f>
        <v>#DIV/0!</v>
      </c>
      <c r="AKE23" s="593">
        <v>15214.810799999999</v>
      </c>
      <c r="AKF23" s="593">
        <v>15519.107016</v>
      </c>
      <c r="AKG23" s="699"/>
      <c r="AKH23" s="700">
        <f>AKG23/AKE23</f>
        <v>0</v>
      </c>
      <c r="AKI23" s="593">
        <v>15214.810799999999</v>
      </c>
      <c r="AKJ23" s="593">
        <v>15519.107016</v>
      </c>
      <c r="AKK23" s="699"/>
      <c r="AKL23" s="700">
        <f>AKK23/AKI23</f>
        <v>0</v>
      </c>
      <c r="AKM23" s="593">
        <v>15214.810799999999</v>
      </c>
      <c r="AKN23" s="593">
        <v>15519.107016</v>
      </c>
      <c r="AKO23" s="699"/>
      <c r="AKP23" s="700">
        <f>AKO23/AKM23</f>
        <v>0</v>
      </c>
      <c r="AKQ23" s="593">
        <v>17750.6126</v>
      </c>
      <c r="AKR23" s="593">
        <v>18105.624852000001</v>
      </c>
      <c r="AKS23" s="699"/>
      <c r="AKT23" s="700">
        <f>AKS23/AKQ23</f>
        <v>0</v>
      </c>
      <c r="AKU23" s="593">
        <v>20286.414400000001</v>
      </c>
      <c r="AKV23" s="593">
        <v>20692.142688</v>
      </c>
      <c r="AKW23" s="699"/>
      <c r="AKX23" s="700">
        <f>AKW23/AKU23</f>
        <v>0</v>
      </c>
      <c r="AKY23" s="593">
        <v>27893.819800000001</v>
      </c>
      <c r="AKZ23" s="593">
        <v>28451.696196000001</v>
      </c>
      <c r="ALA23" s="699"/>
      <c r="ALB23" s="700">
        <f>ALA23/AKY23</f>
        <v>0</v>
      </c>
      <c r="ALC23" s="579">
        <f>AKA23+AKE23+AKI23+AKM23+AKQ23+AKU23+AKY23</f>
        <v>111575.27919999999</v>
      </c>
      <c r="ALD23" s="574">
        <f>AKB23+AKF23+AKJ23+AKN23+AKR23+AKV23+AKZ23</f>
        <v>113806.784784</v>
      </c>
      <c r="ALE23" s="793">
        <f>AKC23+AKG23+AKK23+AKO23+AKS23+AKW23+ALA23</f>
        <v>0</v>
      </c>
      <c r="ALF23" s="786">
        <f>ALE23/ALC23</f>
        <v>0</v>
      </c>
      <c r="ALG23" s="593">
        <v>16249.2336</v>
      </c>
      <c r="ALH23" s="593">
        <v>16574.218272000002</v>
      </c>
      <c r="ALI23" s="699"/>
      <c r="ALJ23" s="700">
        <f>ALI23/ALG23</f>
        <v>0</v>
      </c>
      <c r="ALK23" s="593">
        <v>16249.2336</v>
      </c>
      <c r="ALL23" s="593">
        <v>16574.218272000002</v>
      </c>
      <c r="ALM23" s="699"/>
      <c r="ALN23" s="700">
        <f>ALM23/ALK23</f>
        <v>0</v>
      </c>
      <c r="ALO23" s="593">
        <v>16249.2336</v>
      </c>
      <c r="ALP23" s="593">
        <v>16574.218272000002</v>
      </c>
      <c r="ALQ23" s="699"/>
      <c r="ALR23" s="700">
        <f>ALQ23/ALO23</f>
        <v>0</v>
      </c>
      <c r="ALS23" s="593">
        <v>16249.2336</v>
      </c>
      <c r="ALT23" s="593">
        <v>16574.218272000002</v>
      </c>
      <c r="ALU23" s="699"/>
      <c r="ALV23" s="700">
        <f>ALU23/ALS23</f>
        <v>0</v>
      </c>
      <c r="ALW23" s="593">
        <v>18957.439200000001</v>
      </c>
      <c r="ALX23" s="593">
        <v>19336.587984000005</v>
      </c>
      <c r="ALY23" s="699"/>
      <c r="ALZ23" s="700">
        <f>ALY23/ALW23</f>
        <v>0</v>
      </c>
      <c r="AMA23" s="593">
        <v>21665.644800000002</v>
      </c>
      <c r="AMB23" s="593">
        <v>22098.957696000001</v>
      </c>
      <c r="AMC23" s="699"/>
      <c r="AMD23" s="700">
        <f>AMC23/AMA23</f>
        <v>0</v>
      </c>
      <c r="AME23" s="593">
        <v>29790.261600000002</v>
      </c>
      <c r="AMF23" s="593">
        <v>30386.066832000004</v>
      </c>
      <c r="AMG23" s="699"/>
      <c r="AMH23" s="700">
        <f>AMG23/AME23</f>
        <v>0</v>
      </c>
      <c r="AMI23" s="579">
        <f>ALG23+ALK23+ALO23+ALS23+ALW23+AMA23+AME23</f>
        <v>135410.28</v>
      </c>
      <c r="AMJ23" s="574">
        <f>ALH23+ALL23+ALP23+ALT23+ALX23+AMB23+AMF23</f>
        <v>138118.48560000001</v>
      </c>
      <c r="AMK23" s="794">
        <f>ALI23+ALM23+ALQ23+ALU23+ALY23+AMC23+AMG23</f>
        <v>0</v>
      </c>
      <c r="AML23" s="786">
        <f>AMK23/AMI23</f>
        <v>0</v>
      </c>
      <c r="AMM23" s="593">
        <v>15288.434399999998</v>
      </c>
      <c r="AMN23" s="593">
        <v>15594.203088</v>
      </c>
      <c r="AMO23" s="699"/>
      <c r="AMP23" s="700">
        <f>AMO23/AMM23</f>
        <v>0</v>
      </c>
      <c r="AMQ23" s="593">
        <v>15288.434399999998</v>
      </c>
      <c r="AMR23" s="593">
        <v>15594.203088</v>
      </c>
      <c r="AMS23" s="699"/>
      <c r="AMT23" s="700">
        <f>AMS23/AMQ23</f>
        <v>0</v>
      </c>
      <c r="AMU23" s="593">
        <v>15288.434399999998</v>
      </c>
      <c r="AMV23" s="593">
        <v>15594.203088</v>
      </c>
      <c r="AMW23" s="699"/>
      <c r="AMX23" s="700">
        <f>AMW23/AMU23</f>
        <v>0</v>
      </c>
      <c r="AMY23" s="593">
        <v>15288.434399999998</v>
      </c>
      <c r="AMZ23" s="593">
        <v>15594.203088</v>
      </c>
      <c r="ANA23" s="699"/>
      <c r="ANB23" s="700">
        <f>ANA23/AMY23</f>
        <v>0</v>
      </c>
      <c r="ANC23" s="593">
        <v>17836.506800000003</v>
      </c>
      <c r="AND23" s="593">
        <v>18193.236936000001</v>
      </c>
      <c r="ANE23" s="699"/>
      <c r="ANF23" s="700">
        <f>ANE23/ANC23</f>
        <v>0</v>
      </c>
      <c r="ANG23" s="593">
        <v>20384.5792</v>
      </c>
      <c r="ANH23" s="593">
        <v>20792.270784</v>
      </c>
      <c r="ANI23" s="699"/>
      <c r="ANJ23" s="700">
        <f>ANI23/ANG23</f>
        <v>0</v>
      </c>
      <c r="ANK23" s="593">
        <v>28028.796399999999</v>
      </c>
      <c r="ANL23" s="593">
        <v>28589.372328000001</v>
      </c>
      <c r="ANM23" s="699"/>
      <c r="ANN23" s="700">
        <f>ANM23/ANK23</f>
        <v>0</v>
      </c>
      <c r="ANO23" s="579">
        <f>AMM23+AMQ23+AMU23+AMY23+ANC23+ANG23+ANK23</f>
        <v>127403.62</v>
      </c>
      <c r="ANP23" s="574">
        <f>AMN23+AMR23+AMV23+AMZ23+AND23+ANH23+ANL23</f>
        <v>129951.6924</v>
      </c>
      <c r="ANQ23" s="794">
        <f>AMO23+AMS23+AMW23+ANA23+ANE23+ANI23+ANM23</f>
        <v>0</v>
      </c>
      <c r="ANR23" s="786">
        <f>ANQ23/ANO23</f>
        <v>0</v>
      </c>
      <c r="ANS23" s="593">
        <f>'Proy 2022 vs 2019 sem'!GN22*ANV$4</f>
        <v>15361.832399999999</v>
      </c>
      <c r="ANT23" s="593">
        <f>'Proy 2022 vs 2019 sem'!GO22*ANV$4</f>
        <v>15054.595752000001</v>
      </c>
      <c r="ANU23" s="699"/>
      <c r="ANV23" s="700">
        <f>ANU23/ANS23</f>
        <v>0</v>
      </c>
      <c r="ANW23" s="593">
        <f>'Proy 2022 vs 2019 sem'!GN22*ANZ$4</f>
        <v>15361.832399999999</v>
      </c>
      <c r="ANX23" s="593">
        <f>'Proy 2022 vs 2019 sem'!GO22*ANZ$4</f>
        <v>15054.595752000001</v>
      </c>
      <c r="ANY23" s="699"/>
      <c r="ANZ23" s="700">
        <f>ANY23/ANW23</f>
        <v>0</v>
      </c>
      <c r="AOA23" s="593">
        <f>'Proy 2022 vs 2019 sem'!GN22*AOD$4</f>
        <v>15361.832399999999</v>
      </c>
      <c r="AOB23" s="593">
        <f>'Proy 2022 vs 2019 sem'!GO22*AOD$4</f>
        <v>15054.595752000001</v>
      </c>
      <c r="AOC23" s="699"/>
      <c r="AOD23" s="700">
        <f>AOC23/AOA23</f>
        <v>0</v>
      </c>
      <c r="AOE23" s="593">
        <f>'Proy 2022 vs 2019 sem'!GN22*AOH$4</f>
        <v>15361.832399999999</v>
      </c>
      <c r="AOF23" s="593">
        <f>'Proy 2022 vs 2019 sem'!GO22*AOH$4</f>
        <v>15054.595752000001</v>
      </c>
      <c r="AOG23" s="699"/>
      <c r="AOH23" s="700">
        <f>AOG23/AOE23</f>
        <v>0</v>
      </c>
      <c r="AOI23" s="593">
        <f>'Proy 2022 vs 2019 sem'!GN22*AOL$4</f>
        <v>17922.137800000004</v>
      </c>
      <c r="AOJ23" s="593">
        <f>'Proy 2022 vs 2019 sem'!GO22*AOL$4</f>
        <v>17563.695044000004</v>
      </c>
      <c r="AOK23" s="699"/>
      <c r="AOL23" s="700">
        <f>AOK23/AOI23</f>
        <v>0</v>
      </c>
      <c r="AOM23" s="593">
        <f>'Proy 2022 vs 2019 sem'!GN22*AOP$4</f>
        <v>20482.443200000002</v>
      </c>
      <c r="AON23" s="593">
        <f>'Proy 2022 vs 2019 sem'!GO22*AOP$4</f>
        <v>20072.794336000003</v>
      </c>
      <c r="AOO23" s="699"/>
      <c r="AOP23" s="700">
        <f>AOO23/AOM23</f>
        <v>0</v>
      </c>
      <c r="AOQ23" s="593">
        <f>'Proy 2022 vs 2019 sem'!GN22*AOT$4</f>
        <v>28163.359400000001</v>
      </c>
      <c r="AOR23" s="593">
        <f>'Proy 2022 vs 2019 sem'!GO22*AOT$4</f>
        <v>27600.092212000003</v>
      </c>
      <c r="AOS23" s="699"/>
      <c r="AOT23" s="700">
        <f>AOS23/AOQ23</f>
        <v>0</v>
      </c>
      <c r="AOU23" s="579">
        <f>ANS23+ANW23+AOA23+AOE23+AOI23+AOM23+AOQ23</f>
        <v>128015.27</v>
      </c>
      <c r="AOV23" s="574">
        <f>ANT23+ANX23+AOB23+AOF23+AOJ23+AON23+AOR23</f>
        <v>125454.96460000002</v>
      </c>
      <c r="AOW23" s="785">
        <f>ANU23+ANY23+AOC23+AOG23+AOK23+AOO23+AOS23</f>
        <v>0</v>
      </c>
      <c r="AOX23" s="786">
        <f>AOW23/AOU23</f>
        <v>0</v>
      </c>
      <c r="AOY23" s="593">
        <f>'Proy 2022 vs 2019 sem'!GW22*APB$4</f>
        <v>15571.32</v>
      </c>
      <c r="AOZ23" s="593">
        <f>'Proy 2022 vs 2019 sem'!GX22*APB$4</f>
        <v>15259.893599999999</v>
      </c>
      <c r="APA23" s="735"/>
      <c r="APB23" s="700">
        <f>APA23/AOY23</f>
        <v>0</v>
      </c>
      <c r="APC23" s="593">
        <f>'Proy 2022 vs 2019 sem'!GW22*APF$4</f>
        <v>15571.32</v>
      </c>
      <c r="APD23" s="593">
        <f>'Proy 2022 vs 2019 sem'!GX22*APF$4</f>
        <v>15259.893599999999</v>
      </c>
      <c r="APE23" s="735"/>
      <c r="APF23" s="700">
        <f>APE23/APC23</f>
        <v>0</v>
      </c>
      <c r="APG23" s="593">
        <f>'Proy 2022 vs 2019 sem'!GW22*APJ$4</f>
        <v>15571.32</v>
      </c>
      <c r="APH23" s="593">
        <f>'Proy 2022 vs 2019 sem'!GX22*APJ$4</f>
        <v>15259.893599999999</v>
      </c>
      <c r="API23" s="735"/>
      <c r="APJ23" s="700">
        <f>API23/APG23</f>
        <v>0</v>
      </c>
      <c r="APK23" s="593">
        <f>'Proy 2022 vs 2019 sem'!GW22*APN$4</f>
        <v>15571.32</v>
      </c>
      <c r="APL23" s="593">
        <f>'Proy 2022 vs 2019 sem'!GX22*APN$4</f>
        <v>15259.893599999999</v>
      </c>
      <c r="APM23" s="735"/>
      <c r="APN23" s="700">
        <f>APM23/APK23</f>
        <v>0</v>
      </c>
      <c r="APO23" s="593">
        <f>'Proy 2022 vs 2019 sem'!GW22*APR$4</f>
        <v>18166.54</v>
      </c>
      <c r="APP23" s="593">
        <f>'Proy 2022 vs 2019 sem'!GX22*APR$4</f>
        <v>17803.209200000001</v>
      </c>
      <c r="APQ23" s="735"/>
      <c r="APR23" s="700">
        <f>APQ23/APO23</f>
        <v>0</v>
      </c>
      <c r="APS23" s="593">
        <f>'Proy 2022 vs 2019 sem'!GW22*APV$4</f>
        <v>20761.760000000002</v>
      </c>
      <c r="APT23" s="593">
        <f>'Proy 2022 vs 2019 sem'!GX22*APV$4</f>
        <v>20346.524799999999</v>
      </c>
      <c r="APU23" s="735"/>
      <c r="APV23" s="700">
        <f>APU23/APS23</f>
        <v>0</v>
      </c>
      <c r="APW23" s="593">
        <f>'Proy 2022 vs 2019 sem'!GW22*APZ$4</f>
        <v>28547.420000000002</v>
      </c>
      <c r="APX23" s="593">
        <f>'Proy 2022 vs 2019 sem'!GX22*APZ$4</f>
        <v>27976.471600000001</v>
      </c>
      <c r="APY23" s="735"/>
      <c r="APZ23" s="700">
        <f>APY23/APW23</f>
        <v>0</v>
      </c>
      <c r="AQA23" s="579">
        <f>AOY23+APC23+APG23+APK23+APO23+APS23+APW23</f>
        <v>129761.00000000001</v>
      </c>
      <c r="AQB23" s="574">
        <f>AOZ23+APD23+APH23+APL23+APP23+APT23+APX23</f>
        <v>127165.78</v>
      </c>
      <c r="AQC23" s="729">
        <f>APA23+APE23+API23+APM23+APQ23+APU23+APY23</f>
        <v>0</v>
      </c>
      <c r="AQD23" s="711">
        <f>AQC23/AQA23</f>
        <v>0</v>
      </c>
      <c r="AQE23" s="593">
        <f>'Proy 2022 vs 2019 sem'!HB22*AQH$4</f>
        <v>14317.673999999999</v>
      </c>
      <c r="AQF23" s="593">
        <f>'Proy 2022 vs 2019 sem'!HC22*AQH$4</f>
        <v>14317.673999999999</v>
      </c>
      <c r="AQG23" s="699"/>
      <c r="AQH23" s="700">
        <f>AQG23/AQE23</f>
        <v>0</v>
      </c>
      <c r="AQI23" s="593">
        <f>'Proy 2022 vs 2019 sem'!HB22*AQL$4</f>
        <v>14317.673999999999</v>
      </c>
      <c r="AQJ23" s="593">
        <f>'Proy 2022 vs 2019 sem'!HC22*AQL$4</f>
        <v>14317.673999999999</v>
      </c>
      <c r="AQK23" s="699"/>
      <c r="AQL23" s="700">
        <f>AQK23/AQI23</f>
        <v>0</v>
      </c>
      <c r="AQM23" s="593">
        <f>'Proy 2022 vs 2019 sem'!HB22*AQP$4</f>
        <v>14317.673999999999</v>
      </c>
      <c r="AQN23" s="593">
        <f>'Proy 2022 vs 2019 sem'!HC22*AQP$4</f>
        <v>14317.673999999999</v>
      </c>
      <c r="AQO23" s="699"/>
      <c r="AQP23" s="700">
        <f>AQO23/AQM23</f>
        <v>0</v>
      </c>
      <c r="AQQ23" s="593">
        <f>'Proy 2022 vs 2019 sem'!HB22*AQT$4</f>
        <v>14317.673999999999</v>
      </c>
      <c r="AQR23" s="593">
        <f>'Proy 2022 vs 2019 sem'!HC22*AQT$4</f>
        <v>14317.673999999999</v>
      </c>
      <c r="AQS23" s="699"/>
      <c r="AQT23" s="700">
        <f>AQS23/AQQ23</f>
        <v>0</v>
      </c>
      <c r="AQU23" s="593">
        <f>'Proy 2022 vs 2019 sem'!HB22*AQX$4</f>
        <v>16703.953000000001</v>
      </c>
      <c r="AQV23" s="593">
        <f>'Proy 2022 vs 2019 sem'!HC22*AQX$4</f>
        <v>16703.953000000001</v>
      </c>
      <c r="AQW23" s="699"/>
      <c r="AQX23" s="700">
        <f>AQW23/AQU23</f>
        <v>0</v>
      </c>
      <c r="AQY23" s="593">
        <f>'Proy 2022 vs 2019 sem'!HB22*ARB$4</f>
        <v>19090.232</v>
      </c>
      <c r="AQZ23" s="593">
        <f>'Proy 2022 vs 2019 sem'!HC22*ARB$4</f>
        <v>19090.232</v>
      </c>
      <c r="ARA23" s="699"/>
      <c r="ARB23" s="700">
        <f>ARA23/AQY23</f>
        <v>0</v>
      </c>
      <c r="ARC23" s="593">
        <f>'Proy 2022 vs 2019 sem'!HB22*ARF$4</f>
        <v>26249.069</v>
      </c>
      <c r="ARD23" s="593">
        <f>'Proy 2022 vs 2019 sem'!HC22*ARF$4</f>
        <v>26249.069</v>
      </c>
      <c r="ARE23" s="699"/>
      <c r="ARF23" s="700">
        <f>ARE23/ARC23</f>
        <v>0</v>
      </c>
      <c r="ARG23" s="579">
        <f>AQE23+AQI23+AQM23+AQQ23+AQU23+AQY23+ARC23</f>
        <v>119313.95000000001</v>
      </c>
      <c r="ARH23" s="574">
        <f>AQF23+AQJ23+AQN23+AQR23+AQV23+AQZ23+ARD23</f>
        <v>119313.95000000001</v>
      </c>
      <c r="ARI23" s="730">
        <f>AQG23+AQK23+AQO23+AQS23+AQW23+ARA23+ARE23</f>
        <v>0</v>
      </c>
      <c r="ARJ23" s="711">
        <f>ARI23/ARG23</f>
        <v>0</v>
      </c>
      <c r="ARK23" s="593">
        <f>'Proy 2022 vs 2019 sem'!HG22*ARN$4</f>
        <v>15250.7328</v>
      </c>
      <c r="ARL23" s="593">
        <f>'Proy 2022 vs 2019 sem'!HH22*ARN$4</f>
        <v>14488.19616</v>
      </c>
      <c r="ARM23" s="699"/>
      <c r="ARN23" s="700">
        <f>ARM23/ARK23</f>
        <v>0</v>
      </c>
      <c r="ARO23" s="593">
        <f>'Proy 2022 vs 2019 sem'!HG22*ARR$4</f>
        <v>15250.7328</v>
      </c>
      <c r="ARP23" s="593">
        <f>'Proy 2022 vs 2019 sem'!HH22*ARR$4</f>
        <v>14488.19616</v>
      </c>
      <c r="ARQ23" s="699"/>
      <c r="ARR23" s="700">
        <f>ARQ23/ARO23</f>
        <v>0</v>
      </c>
      <c r="ARS23" s="593">
        <f>'Proy 2022 vs 2019 sem'!HG22*ARV$4</f>
        <v>15250.7328</v>
      </c>
      <c r="ART23" s="593">
        <f>'Proy 2022 vs 2019 sem'!HH22*ARV$4</f>
        <v>14488.19616</v>
      </c>
      <c r="ARU23" s="699"/>
      <c r="ARV23" s="700">
        <f>ARU23/ARS23</f>
        <v>0</v>
      </c>
      <c r="ARW23" s="593">
        <f>'Proy 2022 vs 2019 sem'!HG22*ARZ$4</f>
        <v>15250.7328</v>
      </c>
      <c r="ARX23" s="593">
        <f>'Proy 2022 vs 2019 sem'!HH22*ARZ$4</f>
        <v>14488.19616</v>
      </c>
      <c r="ARY23" s="699"/>
      <c r="ARZ23" s="700">
        <f>ARY23/ARW23</f>
        <v>0</v>
      </c>
      <c r="ASA23" s="593">
        <f>'Proy 2022 vs 2019 sem'!HG22*ASD$4</f>
        <v>17792.521600000004</v>
      </c>
      <c r="ASB23" s="593">
        <f>'Proy 2022 vs 2019 sem'!HH22*ASD$4</f>
        <v>16902.895520000002</v>
      </c>
      <c r="ASC23" s="699"/>
      <c r="ASD23" s="700">
        <f>ASC23/ASA23</f>
        <v>0</v>
      </c>
      <c r="ASE23" s="593">
        <f>'Proy 2022 vs 2019 sem'!HG22*ASH$4</f>
        <v>20334.310400000002</v>
      </c>
      <c r="ASF23" s="593">
        <f>'Proy 2022 vs 2019 sem'!HH22*ASH$4</f>
        <v>19317.594880000001</v>
      </c>
      <c r="ASG23" s="699"/>
      <c r="ASH23" s="700">
        <f>ASG23/ASE23</f>
        <v>0</v>
      </c>
      <c r="ASI23" s="593">
        <f>'Proy 2022 vs 2019 sem'!HG22*ASL$4</f>
        <v>27959.676800000001</v>
      </c>
      <c r="ASJ23" s="593">
        <f>'Proy 2022 vs 2019 sem'!HH22*ASL$4</f>
        <v>26561.69296</v>
      </c>
      <c r="ASK23" s="699"/>
      <c r="ASL23" s="700">
        <f>ASK23/ASI23</f>
        <v>0</v>
      </c>
      <c r="ASM23" s="579">
        <f>ARK23+ARO23+ARS23+ARW23+ASA23+ASE23+ASI23</f>
        <v>127089.44</v>
      </c>
      <c r="ASN23" s="574">
        <f>ARL23+ARP23+ART23+ARX23+ASB23+ASF23+ASJ23</f>
        <v>120734.96800000001</v>
      </c>
      <c r="ASO23" s="730">
        <f>ARM23+ARQ23+ARU23+ARY23+ASC23+ASG23+ASK23</f>
        <v>0</v>
      </c>
      <c r="ASP23" s="711">
        <f>ASO23/ASM23</f>
        <v>0</v>
      </c>
      <c r="ASQ23" s="593">
        <f>'Proy 2022 vs 2019 sem'!HL22*AST$4</f>
        <v>14913.312</v>
      </c>
      <c r="ASR23" s="593">
        <f>'Proy 2022 vs 2019 sem'!HM22*AST$4</f>
        <v>14465.912639999999</v>
      </c>
      <c r="ASS23" s="699"/>
      <c r="AST23" s="700">
        <f>ASS23/ASQ23</f>
        <v>0</v>
      </c>
      <c r="ASU23" s="593">
        <f>'Proy 2022 vs 2019 sem'!HL22*ASX$4</f>
        <v>14913.312</v>
      </c>
      <c r="ASV23" s="593">
        <f>'Proy 2022 vs 2019 sem'!HM22*ASX$4</f>
        <v>14465.912639999999</v>
      </c>
      <c r="ASW23" s="699"/>
      <c r="ASX23" s="700">
        <f>ASW23/ASU23</f>
        <v>0</v>
      </c>
      <c r="ASY23" s="593">
        <f>'Proy 2022 vs 2019 sem'!HL22*ATB$4</f>
        <v>14913.312</v>
      </c>
      <c r="ASZ23" s="593">
        <f>'Proy 2022 vs 2019 sem'!HM22*ATB$4</f>
        <v>14465.912639999999</v>
      </c>
      <c r="ATA23" s="699"/>
      <c r="ATB23" s="700">
        <f>ATA23/ASY23</f>
        <v>0</v>
      </c>
      <c r="ATC23" s="593">
        <f>'Proy 2022 vs 2019 sem'!HL22*ATF$4</f>
        <v>14913.312</v>
      </c>
      <c r="ATD23" s="593">
        <f>'Proy 2022 vs 2019 sem'!HM22*ATF$4</f>
        <v>14465.912639999999</v>
      </c>
      <c r="ATE23" s="699"/>
      <c r="ATF23" s="700">
        <f>ATE23/ATC23</f>
        <v>0</v>
      </c>
      <c r="ATG23" s="593">
        <f>'Proy 2022 vs 2019 sem'!HL22*ATJ$4</f>
        <v>17398.864000000001</v>
      </c>
      <c r="ATH23" s="593">
        <f>'Proy 2022 vs 2019 sem'!HM22*ATJ$4</f>
        <v>16876.898080000003</v>
      </c>
      <c r="ATI23" s="699"/>
      <c r="ATJ23" s="700">
        <f>ATI23/ATG23</f>
        <v>0</v>
      </c>
      <c r="ATK23" s="593">
        <f>'Proy 2022 vs 2019 sem'!HL22*ATN$4</f>
        <v>19884.416000000001</v>
      </c>
      <c r="ATL23" s="593">
        <f>'Proy 2022 vs 2019 sem'!HM22*ATN$4</f>
        <v>19287.883519999999</v>
      </c>
      <c r="ATM23" s="699"/>
      <c r="ATN23" s="700">
        <f>ATM23/ATK23</f>
        <v>0</v>
      </c>
      <c r="ATO23" s="593">
        <f>'Proy 2022 vs 2019 sem'!HL22*ATR$4</f>
        <v>27341.072</v>
      </c>
      <c r="ATP23" s="593">
        <f>'Proy 2022 vs 2019 sem'!HM22*ATR$4</f>
        <v>26520.839840000001</v>
      </c>
      <c r="ATQ23" s="699"/>
      <c r="ATR23" s="700">
        <f>ATQ23/ATO23</f>
        <v>0</v>
      </c>
      <c r="ATS23" s="579">
        <f>ASQ23+ASU23+ASY23+ATC23+ATG23+ATK23+ATO23</f>
        <v>124277.59999999999</v>
      </c>
      <c r="ATT23" s="574">
        <f>ASR23+ASV23+ASZ23+ATD23+ATH23+ATL23+ATP23</f>
        <v>120549.272</v>
      </c>
      <c r="ATU23" s="710">
        <f>ASS23+ASW23+ATA23+ATE23+ATI23+ATM23+ATQ23</f>
        <v>0</v>
      </c>
      <c r="ATV23" s="711">
        <f>ATU23/ATS23</f>
        <v>0</v>
      </c>
      <c r="ATW23" s="593">
        <f>'Proy 2022 vs 2019 sem'!HQ22*ATZ$4</f>
        <v>14055.655200000001</v>
      </c>
      <c r="ATX23" s="593">
        <f>'Proy 2022 vs 2019 sem'!HR22*ATZ$4</f>
        <v>13774.542095999999</v>
      </c>
      <c r="ATY23" s="699"/>
      <c r="ATZ23" s="700">
        <f>ATY23/ATW23</f>
        <v>0</v>
      </c>
      <c r="AUA23" s="593">
        <f>'Proy 2022 vs 2019 sem'!HQ22*AUD$4</f>
        <v>14055.655200000001</v>
      </c>
      <c r="AUB23" s="593">
        <f>'Proy 2022 vs 2019 sem'!HR22*AUD$4</f>
        <v>13774.542095999999</v>
      </c>
      <c r="AUC23" s="699"/>
      <c r="AUD23" s="700">
        <f>AUC23/AUA23</f>
        <v>0</v>
      </c>
      <c r="AUE23" s="593">
        <f>'Proy 2022 vs 2019 sem'!HQ22*AUH$4</f>
        <v>14055.655200000001</v>
      </c>
      <c r="AUF23" s="593">
        <f>'Proy 2022 vs 2019 sem'!HR22*AUH$4</f>
        <v>13774.542095999999</v>
      </c>
      <c r="AUG23" s="699"/>
      <c r="AUH23" s="700">
        <f>AUG23/AUE23</f>
        <v>0</v>
      </c>
      <c r="AUI23" s="593">
        <f>'Proy 2022 vs 2019 sem'!HQ22*AUL$4</f>
        <v>14055.655200000001</v>
      </c>
      <c r="AUJ23" s="593">
        <f>'Proy 2022 vs 2019 sem'!HR22*AUL$4</f>
        <v>13774.542095999999</v>
      </c>
      <c r="AUK23" s="699"/>
      <c r="AUL23" s="700">
        <f>AUK23/AUI23</f>
        <v>0</v>
      </c>
      <c r="AUM23" s="593">
        <f>'Proy 2022 vs 2019 sem'!HQ22*AUP$4</f>
        <v>16398.264400000004</v>
      </c>
      <c r="AUN23" s="593">
        <f>'Proy 2022 vs 2019 sem'!HR22*AUP$4</f>
        <v>16070.299112000002</v>
      </c>
      <c r="AUO23" s="699"/>
      <c r="AUP23" s="700">
        <f>AUO23/AUM23</f>
        <v>0</v>
      </c>
      <c r="AUQ23" s="593">
        <f>'Proy 2022 vs 2019 sem'!HQ22*AUT$4</f>
        <v>18740.873600000003</v>
      </c>
      <c r="AUR23" s="593">
        <f>'Proy 2022 vs 2019 sem'!HR22*AUT$4</f>
        <v>18366.056128</v>
      </c>
      <c r="AUS23" s="699"/>
      <c r="AUT23" s="700">
        <f>AUS23/AUQ23</f>
        <v>0</v>
      </c>
      <c r="AUU23" s="593">
        <f>'Proy 2022 vs 2019 sem'!HQ22*AUX$4</f>
        <v>25768.701200000003</v>
      </c>
      <c r="AUV23" s="593">
        <f>'Proy 2022 vs 2019 sem'!HR22*AUX$4</f>
        <v>25253.327175999999</v>
      </c>
      <c r="AUW23" s="699"/>
      <c r="AUX23" s="700">
        <f>AUW23/AUU23</f>
        <v>0</v>
      </c>
      <c r="AUY23" s="579">
        <f>ATW23+AUA23+AUE23+AUI23+AUM23+AUQ23+AUU23</f>
        <v>117130.46000000002</v>
      </c>
      <c r="AUZ23" s="574">
        <f>ATX23+AUB23+AUF23+AUJ23+AUN23+AUR23+AUV23</f>
        <v>114787.85079999999</v>
      </c>
      <c r="AVA23" s="710">
        <f>ATY23+AUC23+AUG23+AUK23+AUO23+AUS23+AUW23</f>
        <v>0</v>
      </c>
      <c r="AVB23" s="711">
        <f>AVA23/AUY23</f>
        <v>0</v>
      </c>
      <c r="AVC23" s="593">
        <f>'Proy 2022 vs 2019 sem'!HZ22*AVF$4</f>
        <v>12728.181599999998</v>
      </c>
      <c r="AVD23" s="593">
        <f>'Proy 2022 vs 2019 sem'!IA22*AVF$4</f>
        <v>12346.336151999998</v>
      </c>
      <c r="AVE23" s="735"/>
      <c r="AVF23" s="700">
        <f>AVE23/AVC23</f>
        <v>0</v>
      </c>
      <c r="AVG23" s="593">
        <f>'Proy 2022 vs 2019 sem'!HZ22*AVJ$4</f>
        <v>12728.181599999998</v>
      </c>
      <c r="AVH23" s="593">
        <f>'Proy 2022 vs 2019 sem'!IA22*AVJ$4</f>
        <v>12346.336151999998</v>
      </c>
      <c r="AVI23" s="699"/>
      <c r="AVJ23" s="700">
        <f>AVI23/AVG23</f>
        <v>0</v>
      </c>
      <c r="AVK23" s="593">
        <f>'Proy 2022 vs 2019 sem'!HZ22*AVN$4</f>
        <v>12728.181599999998</v>
      </c>
      <c r="AVL23" s="593">
        <f>'Proy 2022 vs 2019 sem'!IA22*AVN$4</f>
        <v>12346.336151999998</v>
      </c>
      <c r="AVM23" s="699"/>
      <c r="AVN23" s="700">
        <f>AVM23/AVK23</f>
        <v>0</v>
      </c>
      <c r="AVO23" s="593">
        <f>'Proy 2022 vs 2019 sem'!HZ22*AVR$4</f>
        <v>12728.181599999998</v>
      </c>
      <c r="AVP23" s="593">
        <f>'Proy 2022 vs 2019 sem'!IA22*AVR$4</f>
        <v>12346.336151999998</v>
      </c>
      <c r="AVQ23" s="699"/>
      <c r="AVR23" s="700">
        <f>AVQ23/AVO23</f>
        <v>0</v>
      </c>
      <c r="AVS23" s="593">
        <f>'Proy 2022 vs 2019 sem'!HZ22*AVV$4</f>
        <v>14849.5452</v>
      </c>
      <c r="AVT23" s="593">
        <f>'Proy 2022 vs 2019 sem'!IA22*AVV$4</f>
        <v>14404.058843999999</v>
      </c>
      <c r="AVU23" s="699"/>
      <c r="AVV23" s="700">
        <f>AVU23/AVS23</f>
        <v>0</v>
      </c>
      <c r="AVW23" s="593">
        <f>'Proy 2022 vs 2019 sem'!HZ22*AVZ$4</f>
        <v>16970.908799999997</v>
      </c>
      <c r="AVX23" s="593">
        <f>'Proy 2022 vs 2019 sem'!IA22*AVZ$4</f>
        <v>16461.781535999999</v>
      </c>
      <c r="AVY23" s="699"/>
      <c r="AVZ23" s="700">
        <f>AVY23/AVW23</f>
        <v>0</v>
      </c>
      <c r="AWA23" s="593">
        <f>'Proy 2022 vs 2019 sem'!HZ22*AWD$4</f>
        <v>23334.999599999999</v>
      </c>
      <c r="AWB23" s="593">
        <f>'Proy 2022 vs 2019 sem'!IA22*AWD$4</f>
        <v>22634.949611999997</v>
      </c>
      <c r="AWC23" s="699"/>
      <c r="AWD23" s="700">
        <f>AWC23/AWA23</f>
        <v>0</v>
      </c>
      <c r="AWE23" s="579">
        <f>AVC23+AVG23+AVK23+AVO23+AVS23+AVW23+AWA23</f>
        <v>106068.17999999998</v>
      </c>
      <c r="AWF23" s="574">
        <f>AVD23+AVH23+AVL23+AVP23+AVT23+AVX23+AWB23</f>
        <v>102886.13459999999</v>
      </c>
      <c r="AWG23" s="793">
        <f>AVE23+AVI23+AVM23+AVQ23+AVU23+AVY23+AWC23</f>
        <v>0</v>
      </c>
      <c r="AWH23" s="786">
        <f>AWG23/AWE23</f>
        <v>0</v>
      </c>
      <c r="AWI23" s="593">
        <f>'Proy 2022 vs 2019 sem'!IE22*AWL$4</f>
        <v>12287.682000000001</v>
      </c>
      <c r="AWJ23" s="593">
        <f>'Proy 2022 vs 2019 sem'!IF22*AWL$4</f>
        <v>11796.174720000001</v>
      </c>
      <c r="AWK23" s="699"/>
      <c r="AWL23" s="700">
        <f>AWK23/AWI23</f>
        <v>0</v>
      </c>
      <c r="AWM23" s="593">
        <f>'Proy 2022 vs 2019 sem'!IE22*AWP$4</f>
        <v>12287.682000000001</v>
      </c>
      <c r="AWN23" s="593">
        <f>'Proy 2022 vs 2019 sem'!IF22*AWP$4</f>
        <v>11796.174720000001</v>
      </c>
      <c r="AWO23" s="699"/>
      <c r="AWP23" s="700">
        <f>AWO23/AWM23</f>
        <v>0</v>
      </c>
      <c r="AWQ23" s="593">
        <f>'Proy 2022 vs 2019 sem'!IE22*AWT$4</f>
        <v>12287.682000000001</v>
      </c>
      <c r="AWR23" s="593">
        <f>'Proy 2022 vs 2019 sem'!IF22*AWT$4</f>
        <v>11796.174720000001</v>
      </c>
      <c r="AWS23" s="699"/>
      <c r="AWT23" s="700">
        <f>AWS23/AWQ23</f>
        <v>0</v>
      </c>
      <c r="AWU23" s="593">
        <f>'Proy 2022 vs 2019 sem'!IE22*AWX$4</f>
        <v>12287.682000000001</v>
      </c>
      <c r="AWV23" s="593">
        <f>'Proy 2022 vs 2019 sem'!IF22*AWX$4</f>
        <v>11796.174720000001</v>
      </c>
      <c r="AWW23" s="699"/>
      <c r="AWX23" s="700">
        <f>AWW23/AWU23</f>
        <v>0</v>
      </c>
      <c r="AWY23" s="593">
        <f>'Proy 2022 vs 2019 sem'!IE22*AXB$4</f>
        <v>14335.629000000003</v>
      </c>
      <c r="AWZ23" s="593">
        <f>'Proy 2022 vs 2019 sem'!IF22*AXB$4</f>
        <v>13762.203840000002</v>
      </c>
      <c r="AXA23" s="699"/>
      <c r="AXB23" s="700">
        <f>AXA23/AWY23</f>
        <v>0</v>
      </c>
      <c r="AXC23" s="593">
        <f>'Proy 2022 vs 2019 sem'!IE22*AXF$4</f>
        <v>16383.576000000001</v>
      </c>
      <c r="AXD23" s="593">
        <f>'Proy 2022 vs 2019 sem'!IF22*AXF$4</f>
        <v>15728.232960000001</v>
      </c>
      <c r="AXE23" s="699"/>
      <c r="AXF23" s="700">
        <f>AXE23/AXC23</f>
        <v>0</v>
      </c>
      <c r="AXG23" s="593">
        <f>'Proy 2022 vs 2019 sem'!IE22*AXJ$4</f>
        <v>22527.417000000001</v>
      </c>
      <c r="AXH23" s="593">
        <f>'Proy 2022 vs 2019 sem'!IF22*AXJ$4</f>
        <v>21626.320320000003</v>
      </c>
      <c r="AXI23" s="699"/>
      <c r="AXJ23" s="700">
        <f>AXI23/AXG23</f>
        <v>0</v>
      </c>
      <c r="AXK23" s="579">
        <f>AWI23+AWM23+AWQ23+AWU23+AWY23+AXC23+AXG23</f>
        <v>102397.35</v>
      </c>
      <c r="AXL23" s="574">
        <f>AWJ23+AWN23+AWR23+AWV23+AWZ23+AXD23+AXH23</f>
        <v>98301.456000000006</v>
      </c>
      <c r="AXM23" s="794">
        <f>AWK23+AWO23+AWS23+AWW23+AXA23+AXE23+AXI23</f>
        <v>0</v>
      </c>
      <c r="AXN23" s="786">
        <f>AXM23/AXK23</f>
        <v>0</v>
      </c>
      <c r="AXO23" s="593">
        <f>'Proy 2022 vs 2019 sem'!IJ22*AXR$4</f>
        <v>18353.403599999998</v>
      </c>
      <c r="AXP23" s="593">
        <f>'Proy 2022 vs 2019 sem'!IK22*AXR$4</f>
        <v>18169.869564000001</v>
      </c>
      <c r="AXQ23" s="699"/>
      <c r="AXR23" s="700">
        <f>AXQ23/AXO23</f>
        <v>0</v>
      </c>
      <c r="AXS23" s="593">
        <f>'Proy 2022 vs 2019 sem'!IJ22*AXV$4</f>
        <v>18353.403599999998</v>
      </c>
      <c r="AXT23" s="593">
        <f>'Proy 2022 vs 2019 sem'!IK22*AXV$4</f>
        <v>18169.869564000001</v>
      </c>
      <c r="AXU23" s="699"/>
      <c r="AXV23" s="700">
        <f>AXU23/AXS23</f>
        <v>0</v>
      </c>
      <c r="AXW23" s="593">
        <f>'Proy 2022 vs 2019 sem'!IJ22*AXZ$4</f>
        <v>18353.403599999998</v>
      </c>
      <c r="AXX23" s="593">
        <f>'Proy 2022 vs 2019 sem'!IK22*AXZ$4</f>
        <v>18169.869564000001</v>
      </c>
      <c r="AXY23" s="699"/>
      <c r="AXZ23" s="700">
        <f>AXY23/AXW23</f>
        <v>0</v>
      </c>
      <c r="AYA23" s="593">
        <f>'Proy 2022 vs 2019 sem'!IJ22*AYD$4</f>
        <v>18353.403599999998</v>
      </c>
      <c r="AYB23" s="593">
        <f>'Proy 2022 vs 2019 sem'!IK22*AYD$4</f>
        <v>18169.869564000001</v>
      </c>
      <c r="AYC23" s="699"/>
      <c r="AYD23" s="700">
        <f>AYC23/AYA23</f>
        <v>0</v>
      </c>
      <c r="AYE23" s="593">
        <f>'Proy 2022 vs 2019 sem'!IJ22*AYH$4</f>
        <v>21412.304200000002</v>
      </c>
      <c r="AYF23" s="593">
        <f>'Proy 2022 vs 2019 sem'!IK22*AYH$4</f>
        <v>21198.181158000003</v>
      </c>
      <c r="AYG23" s="699"/>
      <c r="AYH23" s="700">
        <f>AYG23/AYE23</f>
        <v>0</v>
      </c>
      <c r="AYI23" s="593">
        <f>'Proy 2022 vs 2019 sem'!IJ22*AYL$4</f>
        <v>24471.2048</v>
      </c>
      <c r="AYJ23" s="593">
        <f>'Proy 2022 vs 2019 sem'!IK22*AYL$4</f>
        <v>24226.492752000002</v>
      </c>
      <c r="AYK23" s="699"/>
      <c r="AYL23" s="700">
        <f>AYK23/AYI23</f>
        <v>0</v>
      </c>
      <c r="AYM23" s="593">
        <f>'Proy 2022 vs 2019 sem'!IJ22*AYP$4</f>
        <v>33647.906600000002</v>
      </c>
      <c r="AYN23" s="593">
        <f>'Proy 2022 vs 2019 sem'!IK22*AYP$4</f>
        <v>33311.427534000002</v>
      </c>
      <c r="AYO23" s="699"/>
      <c r="AYP23" s="700">
        <f>AYO23/AYM23</f>
        <v>0</v>
      </c>
      <c r="AYQ23" s="579">
        <f>AXO23+AXS23+AXW23+AYA23+AYE23+AYI23+AYM23</f>
        <v>152945.02999999997</v>
      </c>
      <c r="AYR23" s="574">
        <f>AXP23+AXT23+AXX23+AYB23+AYF23+AYJ23+AYN23</f>
        <v>151415.5797</v>
      </c>
      <c r="AYS23" s="794">
        <f>AXQ23+AXU23+AXY23+AYC23+AYG23+AYK23+AYO23</f>
        <v>0</v>
      </c>
      <c r="AYT23" s="786">
        <f>AYS23/AYQ23</f>
        <v>0</v>
      </c>
      <c r="AYU23" s="593">
        <f>'Proy 2022 vs 2019 sem'!IO22*AYX$4</f>
        <v>18095.088</v>
      </c>
      <c r="AYV23" s="593">
        <f>'Proy 2022 vs 2019 sem'!IP22*AYX$4</f>
        <v>17552.235359999999</v>
      </c>
      <c r="AYW23" s="699"/>
      <c r="AYX23" s="700">
        <f>AYW23/AYU23</f>
        <v>0</v>
      </c>
      <c r="AYY23" s="593">
        <f>'Proy 2022 vs 2019 sem'!IO22*AZB$4</f>
        <v>18095.088</v>
      </c>
      <c r="AYZ23" s="593">
        <f>'Proy 2022 vs 2019 sem'!IP22*AZB$4</f>
        <v>17552.235359999999</v>
      </c>
      <c r="AZA23" s="699"/>
      <c r="AZB23" s="700">
        <f>AZA23/AYY23</f>
        <v>0</v>
      </c>
      <c r="AZC23" s="593">
        <f>'Proy 2022 vs 2019 sem'!IO22*AZF$4</f>
        <v>18095.088</v>
      </c>
      <c r="AZD23" s="593">
        <f>'Proy 2022 vs 2019 sem'!IP22*AZF$4</f>
        <v>17552.235359999999</v>
      </c>
      <c r="AZE23" s="699"/>
      <c r="AZF23" s="700">
        <f>AZE23/AZC23</f>
        <v>0</v>
      </c>
      <c r="AZG23" s="593">
        <f>'Proy 2022 vs 2019 sem'!IO22*AZJ$4</f>
        <v>18095.088</v>
      </c>
      <c r="AZH23" s="593">
        <f>'Proy 2022 vs 2019 sem'!IP22*AZJ$4</f>
        <v>17552.235359999999</v>
      </c>
      <c r="AZI23" s="699"/>
      <c r="AZJ23" s="700">
        <f>AZI23/AZG23</f>
        <v>0</v>
      </c>
      <c r="AZK23" s="593">
        <f>'Proy 2022 vs 2019 sem'!IO22*AZN$4</f>
        <v>21110.936000000002</v>
      </c>
      <c r="AZL23" s="593">
        <f>'Proy 2022 vs 2019 sem'!IP22*AZN$4</f>
        <v>20477.607920000002</v>
      </c>
      <c r="AZM23" s="699"/>
      <c r="AZN23" s="700">
        <f>AZM23/AZK23</f>
        <v>0</v>
      </c>
      <c r="AZO23" s="593">
        <f>'Proy 2022 vs 2019 sem'!IO22*AZR$4</f>
        <v>24126.784</v>
      </c>
      <c r="AZP23" s="593">
        <f>'Proy 2022 vs 2019 sem'!IP22*AZR$4</f>
        <v>23402.980479999998</v>
      </c>
      <c r="AZQ23" s="699"/>
      <c r="AZR23" s="700">
        <f>AZQ23/AZO23</f>
        <v>0</v>
      </c>
      <c r="AZS23" s="593">
        <f>'Proy 2022 vs 2019 sem'!IO22*AZV$4</f>
        <v>33174.328000000001</v>
      </c>
      <c r="AZT23" s="593">
        <f>'Proy 2022 vs 2019 sem'!IP22*AZV$4</f>
        <v>32179.098159999998</v>
      </c>
      <c r="AZU23" s="699"/>
      <c r="AZV23" s="700">
        <f>AZU23/AZS23</f>
        <v>0</v>
      </c>
      <c r="AZW23" s="579">
        <f>AYU23+AYY23+AZC23+AZG23+AZK23+AZO23+AZS23</f>
        <v>150792.4</v>
      </c>
      <c r="AZX23" s="574">
        <f>AYV23+AYZ23+AZD23+AZH23+AZL23+AZP23+AZT23</f>
        <v>146268.628</v>
      </c>
      <c r="AZY23" s="785">
        <f>AYW23+AZA23+AZE23+AZI23+AZM23+AZQ23+AZU23</f>
        <v>0</v>
      </c>
      <c r="AZZ23" s="786">
        <f>AZY23/AZW23</f>
        <v>0</v>
      </c>
      <c r="BAA23" s="593">
        <f>'Proy 2022 vs 2019 sem'!IX22*BAD$4</f>
        <v>14288.2752</v>
      </c>
      <c r="BAB23" s="593">
        <f>'Proy 2022 vs 2019 sem'!IY22*BAD$4</f>
        <v>13859.626944</v>
      </c>
      <c r="BAC23" s="735"/>
      <c r="BAD23" s="700">
        <f>BAC23/BAA23</f>
        <v>0</v>
      </c>
      <c r="BAE23" s="593">
        <f>'Proy 2022 vs 2019 sem'!IX22*BAH$4</f>
        <v>14288.2752</v>
      </c>
      <c r="BAF23" s="593">
        <f>'Proy 2022 vs 2019 sem'!IY22*BAH$4</f>
        <v>13859.626944</v>
      </c>
      <c r="BAG23" s="699"/>
      <c r="BAH23" s="700">
        <f>BAG23/BAE23</f>
        <v>0</v>
      </c>
      <c r="BAI23" s="593">
        <f>'Proy 2022 vs 2019 sem'!IX22*BAL$4</f>
        <v>14288.2752</v>
      </c>
      <c r="BAJ23" s="593">
        <f>'Proy 2022 vs 2019 sem'!IY22*BAL$4</f>
        <v>13859.626944</v>
      </c>
      <c r="BAK23" s="699"/>
      <c r="BAL23" s="700">
        <f>BAK23/BAI23</f>
        <v>0</v>
      </c>
      <c r="BAM23" s="593">
        <f>'Proy 2022 vs 2019 sem'!IX22*BAP$4</f>
        <v>14288.2752</v>
      </c>
      <c r="BAN23" s="593">
        <f>'Proy 2022 vs 2019 sem'!IY22*BAP$4</f>
        <v>13859.626944</v>
      </c>
      <c r="BAO23" s="699"/>
      <c r="BAP23" s="700">
        <f>BAO23/BAM23</f>
        <v>0</v>
      </c>
      <c r="BAQ23" s="593">
        <f>'Proy 2022 vs 2019 sem'!IX22*BAT$4</f>
        <v>16669.654400000003</v>
      </c>
      <c r="BAR23" s="593">
        <f>'Proy 2022 vs 2019 sem'!IY22*BAT$4</f>
        <v>16169.564768000002</v>
      </c>
      <c r="BAS23" s="699"/>
      <c r="BAT23" s="700">
        <f>BAS23/BAQ23</f>
        <v>0</v>
      </c>
      <c r="BAU23" s="593">
        <f>'Proy 2022 vs 2019 sem'!IX22*BAX$4</f>
        <v>19051.033600000002</v>
      </c>
      <c r="BAV23" s="593">
        <f>'Proy 2022 vs 2019 sem'!IY22*BAX$4</f>
        <v>18479.502592000001</v>
      </c>
      <c r="BAW23" s="699"/>
      <c r="BAX23" s="700">
        <f>BAW23/BAU23</f>
        <v>0</v>
      </c>
      <c r="BAY23" s="593">
        <f>'Proy 2022 vs 2019 sem'!IX22*BBB$4</f>
        <v>26195.171200000001</v>
      </c>
      <c r="BAZ23" s="593">
        <f>'Proy 2022 vs 2019 sem'!IY22*BBB$4</f>
        <v>25409.316063999999</v>
      </c>
      <c r="BBA23" s="699"/>
      <c r="BBB23" s="700">
        <f>BBA23/BAY23</f>
        <v>0</v>
      </c>
      <c r="BBC23" s="579">
        <f>BAA23+BAE23+BAI23+BAM23+BAQ23+BAU23+BAY23</f>
        <v>119068.96</v>
      </c>
      <c r="BBD23" s="574">
        <f>BAB23+BAF23+BAJ23+BAN23+BAR23+BAV23+BAZ23</f>
        <v>115496.8912</v>
      </c>
      <c r="BBE23" s="759">
        <f>BAC23+BAG23+BAK23+BAO23+BAS23+BAW23+BBA23</f>
        <v>0</v>
      </c>
      <c r="BBF23" s="761">
        <f>BBE23/BBC23</f>
        <v>0</v>
      </c>
      <c r="BBG23" s="593">
        <f>'Proy 2022 vs 2019 sem'!JC22*BBJ$4</f>
        <v>19758.8976</v>
      </c>
      <c r="BBH23" s="593">
        <f>'Proy 2022 vs 2019 sem'!JD22*BBJ$4</f>
        <v>18573.363743999998</v>
      </c>
      <c r="BBI23" s="699"/>
      <c r="BBJ23" s="700">
        <f>BBI23/BBG23</f>
        <v>0</v>
      </c>
      <c r="BBK23" s="593">
        <f>'Proy 2022 vs 2019 sem'!JC22*BBN$4</f>
        <v>19758.8976</v>
      </c>
      <c r="BBL23" s="593">
        <f>'Proy 2022 vs 2019 sem'!JD22*BBN$4</f>
        <v>18573.363743999998</v>
      </c>
      <c r="BBM23" s="699"/>
      <c r="BBN23" s="700">
        <f>BBM23/BBK23</f>
        <v>0</v>
      </c>
      <c r="BBO23" s="593">
        <f>'Proy 2022 vs 2019 sem'!JC22*BBR$4</f>
        <v>19758.8976</v>
      </c>
      <c r="BBP23" s="593">
        <f>'Proy 2022 vs 2019 sem'!JD22*BBR$4</f>
        <v>18573.363743999998</v>
      </c>
      <c r="BBQ23" s="699"/>
      <c r="BBR23" s="700">
        <f>BBQ23/BBO23</f>
        <v>0</v>
      </c>
      <c r="BBS23" s="593">
        <f>'Proy 2022 vs 2019 sem'!JC22*BBV$4</f>
        <v>19758.8976</v>
      </c>
      <c r="BBT23" s="593">
        <f>'Proy 2022 vs 2019 sem'!JD22*BBV$4</f>
        <v>18573.363743999998</v>
      </c>
      <c r="BBU23" s="699"/>
      <c r="BBV23" s="700">
        <f>BBU23/BBS23</f>
        <v>0</v>
      </c>
      <c r="BBW23" s="593">
        <f>'Proy 2022 vs 2019 sem'!JC22*BBZ$4</f>
        <v>23052.047200000005</v>
      </c>
      <c r="BBX23" s="593">
        <f>'Proy 2022 vs 2019 sem'!JD22*BBZ$4</f>
        <v>21668.924368</v>
      </c>
      <c r="BBY23" s="699"/>
      <c r="BBZ23" s="700">
        <f>BBY23/BBW23</f>
        <v>0</v>
      </c>
      <c r="BCA23" s="593">
        <f>'Proy 2022 vs 2019 sem'!JC22*BCD$4</f>
        <v>26345.196800000002</v>
      </c>
      <c r="BCB23" s="593">
        <f>'Proy 2022 vs 2019 sem'!JD22*BCD$4</f>
        <v>24764.484992000002</v>
      </c>
      <c r="BCC23" s="699"/>
      <c r="BCD23" s="700">
        <f>BCC23/BCA23</f>
        <v>0</v>
      </c>
      <c r="BCE23" s="593">
        <f>'Proy 2022 vs 2019 sem'!JC22*BCH$4</f>
        <v>36224.645600000003</v>
      </c>
      <c r="BCF23" s="593">
        <f>'Proy 2022 vs 2019 sem'!JD22*BCH$4</f>
        <v>34051.166863999999</v>
      </c>
      <c r="BCG23" s="699"/>
      <c r="BCH23" s="700">
        <f>BCG23/BCE23</f>
        <v>0</v>
      </c>
      <c r="BCI23" s="579">
        <f>BBG23+BBK23+BBO23+BBS23+BBW23+BCA23+BCE23</f>
        <v>164657.48000000001</v>
      </c>
      <c r="BCJ23" s="574">
        <f>BBH23+BBL23+BBP23+BBT23+BBX23+BCB23+BCF23</f>
        <v>154778.03119999997</v>
      </c>
      <c r="BCK23" s="765">
        <f>BBI23+BBM23+BBQ23+BBU23+BBY23+BCC23+BCG23</f>
        <v>0</v>
      </c>
      <c r="BCL23" s="761">
        <f>BCK23/BCI23</f>
        <v>0</v>
      </c>
      <c r="BCM23" s="593">
        <f>'Proy 2022 vs 2019 sem'!JH22*BCP$4</f>
        <v>24154.2408</v>
      </c>
      <c r="BCN23" s="593">
        <f>'Proy 2022 vs 2019 sem'!JI22*BCP$4</f>
        <v>23188.071167999999</v>
      </c>
      <c r="BCO23" s="699"/>
      <c r="BCP23" s="700">
        <f>BCO23/BCM23</f>
        <v>0</v>
      </c>
      <c r="BCQ23" s="593">
        <f>'Proy 2022 vs 2019 sem'!JH22*BCT$4</f>
        <v>24154.2408</v>
      </c>
      <c r="BCR23" s="593">
        <f>'Proy 2022 vs 2019 sem'!JI22*BCT$4</f>
        <v>23188.071167999999</v>
      </c>
      <c r="BCS23" s="699"/>
      <c r="BCT23" s="700">
        <f>BCS23/BCQ23</f>
        <v>0</v>
      </c>
      <c r="BCU23" s="593">
        <f>'Proy 2022 vs 2019 sem'!JH22*BCX$4</f>
        <v>24154.2408</v>
      </c>
      <c r="BCV23" s="593">
        <f>'Proy 2022 vs 2019 sem'!JI22*BCX$4</f>
        <v>23188.071167999999</v>
      </c>
      <c r="BCW23" s="699"/>
      <c r="BCX23" s="700">
        <f>BCW23/BCU23</f>
        <v>0</v>
      </c>
      <c r="BCY23" s="593">
        <f>'Proy 2022 vs 2019 sem'!JH22*BDB$4</f>
        <v>24154.2408</v>
      </c>
      <c r="BCZ23" s="593">
        <f>'Proy 2022 vs 2019 sem'!JI22*BDB$4</f>
        <v>23188.071167999999</v>
      </c>
      <c r="BDA23" s="699"/>
      <c r="BDB23" s="700">
        <f>BDA23/BCY23</f>
        <v>0</v>
      </c>
      <c r="BDC23" s="593">
        <f>'Proy 2022 vs 2019 sem'!JH22*BDF$4</f>
        <v>28179.947600000003</v>
      </c>
      <c r="BDD23" s="593">
        <f>'Proy 2022 vs 2019 sem'!JI22*BDF$4</f>
        <v>27052.749696000003</v>
      </c>
      <c r="BDE23" s="699"/>
      <c r="BDF23" s="700">
        <f>BDE23/BDC23</f>
        <v>0</v>
      </c>
      <c r="BDG23" s="593">
        <f>'Proy 2022 vs 2019 sem'!JH22*BDJ$4</f>
        <v>32205.654399999999</v>
      </c>
      <c r="BDH23" s="593">
        <f>'Proy 2022 vs 2019 sem'!JI22*BDJ$4</f>
        <v>30917.428223999999</v>
      </c>
      <c r="BDI23" s="699"/>
      <c r="BDJ23" s="700">
        <f>BDI23/BDG23</f>
        <v>0</v>
      </c>
      <c r="BDK23" s="593">
        <f>'Proy 2022 vs 2019 sem'!JH22*BDN$4</f>
        <v>44282.774799999999</v>
      </c>
      <c r="BDL23" s="593">
        <f>'Proy 2022 vs 2019 sem'!JI22*BDN$4</f>
        <v>42511.463808</v>
      </c>
      <c r="BDM23" s="699"/>
      <c r="BDN23" s="700">
        <f>BDM23/BDK23</f>
        <v>0</v>
      </c>
      <c r="BDO23" s="579">
        <f>BCM23+BCQ23+BCU23+BCY23+BDC23+BDG23+BDK23</f>
        <v>201285.34000000003</v>
      </c>
      <c r="BDP23" s="574">
        <f>BCN23+BCR23+BCV23+BCZ23+BDD23+BDH23+BDL23</f>
        <v>193233.9264</v>
      </c>
      <c r="BDQ23" s="765">
        <f>BCO23+BCS23+BCW23+BDA23+BDE23+BDI23+BDM23</f>
        <v>0</v>
      </c>
      <c r="BDR23" s="761">
        <f>BDQ23/BDO23</f>
        <v>0</v>
      </c>
      <c r="BDS23" s="593">
        <f>'Proy 2022 vs 2019 sem'!JM22*BDV$4</f>
        <v>21775.895999999997</v>
      </c>
      <c r="BDT23" s="593">
        <f>'Proy 2022 vs 2019 sem'!JN22*BDV$4</f>
        <v>20687.101199999997</v>
      </c>
      <c r="BDU23" s="699"/>
      <c r="BDV23" s="700">
        <f>BDU23/BDS23</f>
        <v>0</v>
      </c>
      <c r="BDW23" s="593">
        <f>'Proy 2022 vs 2019 sem'!JM22*BDZ$4</f>
        <v>21775.895999999997</v>
      </c>
      <c r="BDX23" s="593">
        <f>'Proy 2022 vs 2019 sem'!JN22*BDZ$4</f>
        <v>20687.101199999997</v>
      </c>
      <c r="BDY23" s="699"/>
      <c r="BDZ23" s="700">
        <f>BDY23/BDW23</f>
        <v>0</v>
      </c>
      <c r="BEA23" s="593">
        <f>'Proy 2022 vs 2019 sem'!JM22*BED$4</f>
        <v>21775.895999999997</v>
      </c>
      <c r="BEB23" s="593">
        <f>'Proy 2022 vs 2019 sem'!JN22*BED$4</f>
        <v>20687.101199999997</v>
      </c>
      <c r="BEC23" s="699"/>
      <c r="BED23" s="700">
        <f>BEC23/BEA23</f>
        <v>0</v>
      </c>
      <c r="BEE23" s="593">
        <v>14502.990400000001</v>
      </c>
      <c r="BEF23" s="593">
        <f>'Proy 2022 vs 2019 sem'!JN22*BEH$4</f>
        <v>20687.101199999997</v>
      </c>
      <c r="BEG23" s="699"/>
      <c r="BEH23" s="700">
        <f>BEG23/BEE23</f>
        <v>0</v>
      </c>
      <c r="BEI23" s="593">
        <f>'Proy 2022 vs 2019 sem'!JM22*BEL$4</f>
        <v>25405.212</v>
      </c>
      <c r="BEJ23" s="593">
        <f>'Proy 2022 vs 2019 sem'!JN22*BEL$4</f>
        <v>24134.951399999998</v>
      </c>
      <c r="BEK23" s="699"/>
      <c r="BEL23" s="700">
        <f>BEK23/BEI23</f>
        <v>0</v>
      </c>
      <c r="BEM23" s="593">
        <f>'Proy 2022 vs 2019 sem'!JM22*BEP$4</f>
        <v>29034.527999999998</v>
      </c>
      <c r="BEN23" s="593">
        <f>'Proy 2022 vs 2019 sem'!JN22*BEP$4</f>
        <v>27582.801599999999</v>
      </c>
      <c r="BEO23" s="699"/>
      <c r="BEP23" s="700">
        <f>BEO23/BEM23</f>
        <v>0</v>
      </c>
      <c r="BEQ23" s="593">
        <f>'Proy 2022 vs 2019 sem'!JM22*BET$4</f>
        <v>39922.475999999995</v>
      </c>
      <c r="BER23" s="593">
        <f>'Proy 2022 vs 2019 sem'!JN22*BET$4</f>
        <v>37926.352199999994</v>
      </c>
      <c r="BES23" s="699"/>
      <c r="BET23" s="700">
        <f>BES23/BEQ23</f>
        <v>0</v>
      </c>
      <c r="BEU23" s="579">
        <f>BDS23+BDW23+BEA23+BEE23+BEI23+BEM23+BEQ23</f>
        <v>174192.89439999999</v>
      </c>
      <c r="BEV23" s="574">
        <f>BDT23+BDX23+BEB23+BEF23+BEJ23+BEN23+BER23</f>
        <v>172392.50999999998</v>
      </c>
      <c r="BEW23" s="770">
        <f>BDU23+BDY23+BEC23+BEG23+BEK23+BEO23+BES23</f>
        <v>0</v>
      </c>
      <c r="BEX23" s="761">
        <f>BEW23/BEU23</f>
        <v>0</v>
      </c>
      <c r="BEY23" s="593">
        <f>'Proy 2022 vs 2019 sem'!JV22*BFB$4</f>
        <v>30330.507600000001</v>
      </c>
      <c r="BEZ23" s="593">
        <f>'Proy 2022 vs 2019 sem'!JW22*BFB$4</f>
        <v>28510.677144000001</v>
      </c>
      <c r="BFA23" s="735"/>
      <c r="BFB23" s="700">
        <f>BFA23/BEY23</f>
        <v>0</v>
      </c>
      <c r="BFC23" s="593">
        <f>'Proy 2022 vs 2019 sem'!JV22*BFF$4</f>
        <v>30330.507600000001</v>
      </c>
      <c r="BFD23" s="593">
        <f>'Proy 2022 vs 2019 sem'!JW22*BFF$4</f>
        <v>28510.677144000001</v>
      </c>
      <c r="BFE23" s="735"/>
      <c r="BFF23" s="700">
        <f>BFE23/BFC23</f>
        <v>0</v>
      </c>
      <c r="BFG23" s="593">
        <f>'Proy 2022 vs 2019 sem'!JV22*BFJ$4</f>
        <v>30330.507600000001</v>
      </c>
      <c r="BFH23" s="593">
        <f>'Proy 2022 vs 2019 sem'!JW22*BFJ$4</f>
        <v>28510.677144000001</v>
      </c>
      <c r="BFI23" s="735"/>
      <c r="BFJ23" s="700">
        <f>BFI23/BFG23</f>
        <v>0</v>
      </c>
      <c r="BFK23" s="593">
        <f>'Proy 2022 vs 2019 sem'!JV22*BFN$4</f>
        <v>30330.507600000001</v>
      </c>
      <c r="BFL23" s="593">
        <f>'Proy 2022 vs 2019 sem'!JW22*BFN$4</f>
        <v>28510.677144000001</v>
      </c>
      <c r="BFM23" s="735"/>
      <c r="BFN23" s="700">
        <f>BFM23/BFK23</f>
        <v>0</v>
      </c>
      <c r="BFO23" s="593">
        <f>'Proy 2022 vs 2019 sem'!JV22*BFR$4</f>
        <v>35385.592200000006</v>
      </c>
      <c r="BFP23" s="593">
        <f>'Proy 2022 vs 2019 sem'!JW22*BFR$4</f>
        <v>33262.456668000006</v>
      </c>
      <c r="BFQ23" s="735"/>
      <c r="BFR23" s="700">
        <f>BFQ23/BFO23</f>
        <v>0</v>
      </c>
      <c r="BFS23" s="593">
        <f>'Proy 2022 vs 2019 sem'!JV22*BFV$4</f>
        <v>40440.676800000001</v>
      </c>
      <c r="BFT23" s="593">
        <f>'Proy 2022 vs 2019 sem'!JW22*BFV$4</f>
        <v>38014.236192000004</v>
      </c>
      <c r="BFU23" s="735"/>
      <c r="BFV23" s="700">
        <f>BFU23/BFS23</f>
        <v>0</v>
      </c>
      <c r="BFW23" s="593">
        <f>'Proy 2022 vs 2019 sem'!JV22*BFZ$4</f>
        <v>55605.9306</v>
      </c>
      <c r="BFX23" s="593">
        <f>'Proy 2022 vs 2019 sem'!JW22*BFZ$4</f>
        <v>52269.574764000005</v>
      </c>
      <c r="BFY23" s="735"/>
      <c r="BFZ23" s="700">
        <f>BFY23/BFW23</f>
        <v>0</v>
      </c>
      <c r="BGA23" s="579">
        <f>BEY23+BFC23+BFG23+BFK23+BFO23+BFS23+BFW23</f>
        <v>252754.23</v>
      </c>
      <c r="BGB23" s="574">
        <f>BEZ23+BFD23+BFH23+BFL23+BFP23+BFT23+BFX23</f>
        <v>237588.97620000003</v>
      </c>
      <c r="BGC23" s="729">
        <f>BFA23+BFE23+BFI23+BFM23+BFQ23+BFU23+BFY23</f>
        <v>0</v>
      </c>
      <c r="BGD23" s="711">
        <f>BGC23/BGA23</f>
        <v>0</v>
      </c>
      <c r="BGE23" s="593">
        <f>'Proy 2022 vs 2019 sem'!KA22*BGH$4</f>
        <v>41488.1976</v>
      </c>
      <c r="BGF23" s="593">
        <f>'Proy 2022 vs 2019 sem'!KB22*BGH$4</f>
        <v>38584.023767999999</v>
      </c>
      <c r="BGG23" s="699"/>
      <c r="BGH23" s="700">
        <f>BGG23/BGE23</f>
        <v>0</v>
      </c>
      <c r="BGI23" s="593">
        <f>'Proy 2022 vs 2019 sem'!KA22*BGL$4</f>
        <v>41488.1976</v>
      </c>
      <c r="BGJ23" s="593">
        <f>'Proy 2022 vs 2019 sem'!KB22*BGL$4</f>
        <v>38584.023767999999</v>
      </c>
      <c r="BGK23" s="699"/>
      <c r="BGL23" s="700">
        <f>BGK23/BGI23</f>
        <v>0</v>
      </c>
      <c r="BGM23" s="593">
        <f>'Proy 2022 vs 2019 sem'!KA22*BGP$4</f>
        <v>41488.1976</v>
      </c>
      <c r="BGN23" s="593">
        <f>'Proy 2022 vs 2019 sem'!KB22*BGP$4</f>
        <v>38584.023767999999</v>
      </c>
      <c r="BGO23" s="699"/>
      <c r="BGP23" s="700">
        <f>BGO23/BGM23</f>
        <v>0</v>
      </c>
      <c r="BGQ23" s="593">
        <f>'Proy 2022 vs 2019 sem'!KA22*BGT$4</f>
        <v>41488.1976</v>
      </c>
      <c r="BGR23" s="593">
        <f>'Proy 2022 vs 2019 sem'!KB22*BGT$4</f>
        <v>38584.023767999999</v>
      </c>
      <c r="BGS23" s="699"/>
      <c r="BGT23" s="700">
        <f>BGS23/BGQ23</f>
        <v>0</v>
      </c>
      <c r="BGU23" s="593">
        <f>'Proy 2022 vs 2019 sem'!KA22*BGX$4</f>
        <v>48402.897199999999</v>
      </c>
      <c r="BGV23" s="593">
        <f>'Proy 2022 vs 2019 sem'!KB22*BGX$4</f>
        <v>45014.694395999999</v>
      </c>
      <c r="BGW23" s="699"/>
      <c r="BGX23" s="700">
        <f>BGW23/BGU23</f>
        <v>0</v>
      </c>
      <c r="BGY23" s="593">
        <f>'Proy 2022 vs 2019 sem'!KA22*BHB$4</f>
        <v>55317.596799999999</v>
      </c>
      <c r="BGZ23" s="593">
        <f>'Proy 2022 vs 2019 sem'!KB22*BHB$4</f>
        <v>51445.365023999999</v>
      </c>
      <c r="BHA23" s="699"/>
      <c r="BHB23" s="700">
        <f>BHA23/BGY23</f>
        <v>0</v>
      </c>
      <c r="BHC23" s="593">
        <f>'Proy 2022 vs 2019 sem'!KA22*BHF$4</f>
        <v>76061.695599999992</v>
      </c>
      <c r="BHD23" s="593">
        <f>'Proy 2022 vs 2019 sem'!KB22*BHF$4</f>
        <v>70737.376907999991</v>
      </c>
      <c r="BHE23" s="699"/>
      <c r="BHF23" s="700">
        <f>BHE23/BHC23</f>
        <v>0</v>
      </c>
      <c r="BHG23" s="579">
        <f>BGE23+BGI23+BGM23+BGQ23+BGU23+BGY23+BHC23</f>
        <v>345734.98</v>
      </c>
      <c r="BHH23" s="574">
        <f>BGF23+BGJ23+BGN23+BGR23+BGV23+BGZ23+BHD23</f>
        <v>321533.53139999998</v>
      </c>
      <c r="BHI23" s="730">
        <f>BGG23+BGK23+BGO23+BGS23+BGW23+BHA23+BHE23</f>
        <v>0</v>
      </c>
      <c r="BHJ23" s="711">
        <f>BHI23/BHG23</f>
        <v>0</v>
      </c>
      <c r="BHK23" s="593">
        <f>'Proy 2022 vs 2019 sem'!KF22*BHN$4</f>
        <v>47933.014799999997</v>
      </c>
      <c r="BHL23" s="593">
        <f>'Proy 2022 vs 2019 sem'!KG22*BHN$4</f>
        <v>44577.703763999998</v>
      </c>
      <c r="BHM23" s="699"/>
      <c r="BHN23" s="700">
        <f>BHM23/BHK23</f>
        <v>0</v>
      </c>
      <c r="BHO23" s="593">
        <f>'Proy 2022 vs 2019 sem'!KF22*BHR$4</f>
        <v>47933.014799999997</v>
      </c>
      <c r="BHP23" s="593">
        <f>'Proy 2022 vs 2019 sem'!KG22*BHR$4</f>
        <v>44577.703763999998</v>
      </c>
      <c r="BHQ23" s="699"/>
      <c r="BHR23" s="700">
        <f>BHQ23/BHO23</f>
        <v>0</v>
      </c>
      <c r="BHS23" s="593">
        <f>'Proy 2022 vs 2019 sem'!KF22*BHV$4</f>
        <v>47933.014799999997</v>
      </c>
      <c r="BHT23" s="593">
        <f>'Proy 2022 vs 2019 sem'!KG22*BHV$4</f>
        <v>44577.703763999998</v>
      </c>
      <c r="BHU23" s="699"/>
      <c r="BHV23" s="700">
        <f>BHU23/BHS23</f>
        <v>0</v>
      </c>
      <c r="BHW23" s="593">
        <f>'Proy 2022 vs 2019 sem'!KF22*BHZ$4</f>
        <v>47933.014799999997</v>
      </c>
      <c r="BHX23" s="593">
        <f>'Proy 2022 vs 2019 sem'!KG22*BHZ$4</f>
        <v>44577.703763999998</v>
      </c>
      <c r="BHY23" s="699"/>
      <c r="BHZ23" s="700">
        <f>BHY23/BHW23</f>
        <v>0</v>
      </c>
      <c r="BIA23" s="593">
        <f>'Proy 2022 vs 2019 sem'!KF22*BID$4</f>
        <v>55921.850600000005</v>
      </c>
      <c r="BIB23" s="593">
        <f>'Proy 2022 vs 2019 sem'!KG22*BID$4</f>
        <v>52007.321058000001</v>
      </c>
      <c r="BIC23" s="699"/>
      <c r="BID23" s="700">
        <f>BIC23/BIA23</f>
        <v>0</v>
      </c>
      <c r="BIE23" s="593">
        <f>'Proy 2022 vs 2019 sem'!KF22*BIH$4</f>
        <v>63910.686399999999</v>
      </c>
      <c r="BIF23" s="593">
        <f>'Proy 2022 vs 2019 sem'!KG22*BIH$4</f>
        <v>59436.938351999997</v>
      </c>
      <c r="BIG23" s="699"/>
      <c r="BIH23" s="700">
        <f>BIG23/BIE23</f>
        <v>0</v>
      </c>
      <c r="BII23" s="593">
        <f>'Proy 2022 vs 2019 sem'!KF22*BIL$4</f>
        <v>87877.193799999994</v>
      </c>
      <c r="BIJ23" s="593">
        <f>'Proy 2022 vs 2019 sem'!KG22*BIL$4</f>
        <v>81725.790234</v>
      </c>
      <c r="BIK23" s="699"/>
      <c r="BIL23" s="700">
        <f>BIK23/BII23</f>
        <v>0</v>
      </c>
      <c r="BIM23" s="579">
        <f>BHK23+BHO23+BHS23+BHW23+BIA23+BIE23+BII23</f>
        <v>399441.79</v>
      </c>
      <c r="BIN23" s="574">
        <f>BHL23+BHP23+BHT23+BHX23+BIB23+BIF23+BIJ23</f>
        <v>371480.86469999998</v>
      </c>
      <c r="BIO23" s="730">
        <f>BHM23+BHQ23+BHU23+BHY23+BIC23+BIG23+BIK23</f>
        <v>0</v>
      </c>
      <c r="BIP23" s="711">
        <f>BIO23/BIM23</f>
        <v>0</v>
      </c>
      <c r="BIQ23" s="593">
        <f>'Proy 2022 vs 2019 sem'!KK22*BIT$4</f>
        <v>35121.5628</v>
      </c>
      <c r="BIR23" s="593">
        <f>'Proy 2022 vs 2019 sem'!KL22*BIT$4</f>
        <v>32663.053403999998</v>
      </c>
      <c r="BIS23" s="699"/>
      <c r="BIT23" s="700">
        <f>BIS23/BIQ23</f>
        <v>0</v>
      </c>
      <c r="BIU23" s="593">
        <f>'Proy 2022 vs 2019 sem'!KK22*BIX$4</f>
        <v>35121.5628</v>
      </c>
      <c r="BIV23" s="593">
        <f>'Proy 2022 vs 2019 sem'!KL22*BIX$4</f>
        <v>32663.053403999998</v>
      </c>
      <c r="BIW23" s="699"/>
      <c r="BIX23" s="700">
        <f>BIW23/BIU23</f>
        <v>0</v>
      </c>
      <c r="BIY23" s="593">
        <f>'Proy 2022 vs 2019 sem'!KK22*BJB$4</f>
        <v>35121.5628</v>
      </c>
      <c r="BIZ23" s="593">
        <f>'Proy 2022 vs 2019 sem'!KL22*BJB$4</f>
        <v>32663.053403999998</v>
      </c>
      <c r="BJA23" s="699"/>
      <c r="BJB23" s="700">
        <f>BJA23/BIY23</f>
        <v>0</v>
      </c>
      <c r="BJC23" s="593">
        <f>'Proy 2022 vs 2019 sem'!KK22*BJF$4</f>
        <v>35121.5628</v>
      </c>
      <c r="BJD23" s="593">
        <f>'Proy 2022 vs 2019 sem'!KL22*BJF$4</f>
        <v>32663.053403999998</v>
      </c>
      <c r="BJE23" s="699"/>
      <c r="BJF23" s="700">
        <f>BJE23/BJC23</f>
        <v>0</v>
      </c>
      <c r="BJG23" s="593">
        <f>'Proy 2022 vs 2019 sem'!KK22*BJJ$4</f>
        <v>40975.156600000002</v>
      </c>
      <c r="BJH23" s="593">
        <f>'Proy 2022 vs 2019 sem'!KL22*BJJ$4</f>
        <v>38106.895638000002</v>
      </c>
      <c r="BJI23" s="699"/>
      <c r="BJJ23" s="700">
        <f>BJI23/BJG23</f>
        <v>0</v>
      </c>
      <c r="BJK23" s="593">
        <f>'Proy 2022 vs 2019 sem'!KK22*BJN$4</f>
        <v>46828.750400000004</v>
      </c>
      <c r="BJL23" s="593">
        <f>'Proy 2022 vs 2019 sem'!KL22*BJN$4</f>
        <v>43550.737872000005</v>
      </c>
      <c r="BJM23" s="699"/>
      <c r="BJN23" s="700">
        <f>BJM23/BJK23</f>
        <v>0</v>
      </c>
      <c r="BJO23" s="593">
        <f>'Proy 2022 vs 2019 sem'!KK22*BJR$4</f>
        <v>64389.531800000004</v>
      </c>
      <c r="BJP23" s="593">
        <f>'Proy 2022 vs 2019 sem'!KL22*BJR$4</f>
        <v>59882.264574000001</v>
      </c>
      <c r="BJQ23" s="699"/>
      <c r="BJR23" s="700">
        <f>BJQ23/BJO23</f>
        <v>0</v>
      </c>
      <c r="BJS23" s="579">
        <f>BIQ23+BIU23+BIY23+BJC23+BJG23+BJK23+BJO23</f>
        <v>292679.69</v>
      </c>
      <c r="BJT23" s="574">
        <f>BIR23+BIV23+BIZ23+BJD23+BJH23+BJL23+BJP23</f>
        <v>272192.11170000001</v>
      </c>
      <c r="BJU23" s="710">
        <f>BIS23+BIW23+BJA23+BJE23+BJI23+BJM23+BJQ23</f>
        <v>0</v>
      </c>
      <c r="BJV23" s="711">
        <f>BJU23/BJS23</f>
        <v>0</v>
      </c>
      <c r="BJW23" s="593">
        <f>'Proy 2022 vs 2019 sem'!KP22*BJZ$4</f>
        <v>9610.9704000000002</v>
      </c>
      <c r="BJX23" s="593">
        <f>'Proy 2022 vs 2019 sem'!KQ22*BJZ$4</f>
        <v>9130.4218799999999</v>
      </c>
      <c r="BJY23" s="699"/>
      <c r="BJZ23" s="700">
        <f>BJY23/BJW23</f>
        <v>0</v>
      </c>
      <c r="BKA23" s="593">
        <f>'Proy 2022 vs 2019 sem'!KP22*BKD$4</f>
        <v>9610.9704000000002</v>
      </c>
      <c r="BKB23" s="593">
        <f>'Proy 2022 vs 2019 sem'!KQ22*BKD$4</f>
        <v>9130.4218799999999</v>
      </c>
      <c r="BKC23" s="699"/>
      <c r="BKD23" s="700">
        <f>BKC23/BKA23</f>
        <v>0</v>
      </c>
      <c r="BKE23" s="593">
        <f>'Proy 2022 vs 2019 sem'!KP22*BKH$4</f>
        <v>9610.9704000000002</v>
      </c>
      <c r="BKF23" s="593">
        <f>'Proy 2022 vs 2019 sem'!KQ22*BKH$4</f>
        <v>9130.4218799999999</v>
      </c>
      <c r="BKG23" s="699"/>
      <c r="BKH23" s="700">
        <f>BKG23/BKE23</f>
        <v>0</v>
      </c>
      <c r="BKI23" s="593">
        <f>'Proy 2022 vs 2019 sem'!KP22*BKL$4</f>
        <v>9610.9704000000002</v>
      </c>
      <c r="BKJ23" s="593">
        <f>'Proy 2022 vs 2019 sem'!KQ22*BKL$4</f>
        <v>9130.4218799999999</v>
      </c>
      <c r="BKK23" s="699"/>
      <c r="BKL23" s="700">
        <f>BKK23/BKI23</f>
        <v>0</v>
      </c>
      <c r="BKM23" s="593">
        <f>'Proy 2022 vs 2019 sem'!KP22*BKP$4</f>
        <v>11212.7988</v>
      </c>
      <c r="BKN23" s="593">
        <f>'Proy 2022 vs 2019 sem'!KQ22*BKP$4</f>
        <v>10652.158860000001</v>
      </c>
      <c r="BKO23" s="699"/>
      <c r="BKP23" s="700">
        <f>BKO23/BKM23</f>
        <v>0</v>
      </c>
      <c r="BKQ23" s="593">
        <f>'Proy 2022 vs 2019 sem'!KP22*BKT$4</f>
        <v>12814.627200000001</v>
      </c>
      <c r="BKR23" s="593">
        <f>'Proy 2022 vs 2019 sem'!KQ22*BKT$4</f>
        <v>12173.895840000001</v>
      </c>
      <c r="BKS23" s="699"/>
      <c r="BKT23" s="700">
        <f>BKS23/BKQ23</f>
        <v>0</v>
      </c>
      <c r="BKU23" s="593">
        <f>'Proy 2022 vs 2019 sem'!KP22*BKX$4</f>
        <v>17620.112399999998</v>
      </c>
      <c r="BKV23" s="593">
        <f>'Proy 2022 vs 2019 sem'!KQ22*BKX$4</f>
        <v>16739.106780000002</v>
      </c>
      <c r="BKW23" s="699"/>
      <c r="BKX23" s="700">
        <f>BKW23/BKU23</f>
        <v>0</v>
      </c>
      <c r="BKY23" s="579">
        <f>BJW23+BKA23+BKE23+BKI23+BKM23+BKQ23+BKU23</f>
        <v>80091.42</v>
      </c>
      <c r="BKZ23" s="574">
        <f>BJX23+BKB23+BKF23+BKJ23+BKN23+BKR23+BKV23</f>
        <v>76086.849000000002</v>
      </c>
      <c r="BLA23" s="710">
        <f>BJY23+BKC23+BKG23+BKK23+BKO23+BKS23+BKW23</f>
        <v>0</v>
      </c>
      <c r="BLB23" s="711">
        <f>BLA23/BKY23</f>
        <v>0</v>
      </c>
    </row>
    <row r="24" spans="2:1666" ht="15.75" customHeight="1">
      <c r="B24" s="934" t="s">
        <v>26</v>
      </c>
      <c r="C24" s="593">
        <f>'Proy 2022 vs 2019 sem'!$C$6*$F$4</f>
        <v>9529.1268</v>
      </c>
      <c r="D24" s="593">
        <f>'Proy 2022 vs 2019 sem'!$D$6*$F$4</f>
        <v>8480.9228519999997</v>
      </c>
      <c r="E24" s="736"/>
      <c r="F24" s="700">
        <f>E24/C24</f>
        <v>0</v>
      </c>
      <c r="G24" s="1414">
        <f>'Proy 2022 vs 2019 sem'!C23*$J$4</f>
        <v>6132.8939999999993</v>
      </c>
      <c r="H24" s="593">
        <f>'Proy 2022 vs 2019 sem'!D23*$J$4</f>
        <v>5458.2756599999993</v>
      </c>
      <c r="I24" s="736"/>
      <c r="J24" s="700">
        <f>I24/G24</f>
        <v>0</v>
      </c>
      <c r="K24" s="593">
        <f>'Proy 2022 vs 2019 sem'!C23*$N$4</f>
        <v>6132.8939999999993</v>
      </c>
      <c r="L24" s="593">
        <f>'Proy 2022 vs 2019 sem'!D23*N$4</f>
        <v>5458.2756599999993</v>
      </c>
      <c r="M24" s="736"/>
      <c r="N24" s="700">
        <f>M24/K24</f>
        <v>0</v>
      </c>
      <c r="O24" s="593">
        <f>'Proy 2022 vs 2019 sem'!C23*R$4</f>
        <v>6132.8939999999993</v>
      </c>
      <c r="P24" s="593">
        <f>'Proy 2022 vs 2019 sem'!D23*$R$4</f>
        <v>5458.2756599999993</v>
      </c>
      <c r="Q24" s="736"/>
      <c r="R24" s="700">
        <f>Q24/O24</f>
        <v>0</v>
      </c>
      <c r="S24" s="593">
        <f>'Proy 2022 vs 2019 sem'!C23*V$4</f>
        <v>7155.0430000000006</v>
      </c>
      <c r="T24" s="593">
        <f>'Proy 2022 vs 2019 sem'!D23*V$4</f>
        <v>6367.9882700000007</v>
      </c>
      <c r="U24" s="736"/>
      <c r="V24" s="700">
        <f>U24/S24</f>
        <v>0</v>
      </c>
      <c r="W24" s="593">
        <f>'Proy 2022 vs 2019 sem'!C23*Z$4</f>
        <v>8177.192</v>
      </c>
      <c r="X24" s="593">
        <f>'Proy 2022 vs 2019 sem'!D23*Z$4</f>
        <v>7277.7008800000003</v>
      </c>
      <c r="Y24" s="736"/>
      <c r="Z24" s="700">
        <f>Y24/W24</f>
        <v>0</v>
      </c>
      <c r="AA24" s="593">
        <f>'Proy 2022 vs 2019 sem'!C23*AD$4</f>
        <v>11243.638999999999</v>
      </c>
      <c r="AB24" s="593">
        <f>'Proy 2022 vs 2019 sem'!D23*AD$4</f>
        <v>10006.83871</v>
      </c>
      <c r="AC24" s="736"/>
      <c r="AD24" s="700">
        <f>AC24/AA24</f>
        <v>0</v>
      </c>
      <c r="AE24" s="579">
        <f>C24+G24+K24+O24+S24+W24+AA24</f>
        <v>54503.682799999995</v>
      </c>
      <c r="AF24" s="574">
        <f>D24+H24+L24+P24+T24+X24+AB24</f>
        <v>48508.277692000003</v>
      </c>
      <c r="AG24" s="729">
        <f>E24+I24+M24+Q24+U24+Y24+AC24</f>
        <v>0</v>
      </c>
      <c r="AH24" s="711">
        <f>AG24/AE24</f>
        <v>0</v>
      </c>
      <c r="AI24" s="593">
        <f>'Proy 2022 vs 2019 sem'!H23*AL$4</f>
        <v>6789.5855999999994</v>
      </c>
      <c r="AJ24" s="611">
        <f>'Proy 2022 vs 2019 sem'!I23*AL$4</f>
        <v>6042.7311839999993</v>
      </c>
      <c r="AK24" s="701"/>
      <c r="AL24" s="700">
        <f>AK24/AI24</f>
        <v>0</v>
      </c>
      <c r="AM24" s="593">
        <f>'Proy 2022 vs 2019 sem'!H23*AP$4</f>
        <v>6789.5855999999994</v>
      </c>
      <c r="AN24" s="593">
        <f>'Proy 2022 vs 2019 sem'!I23*AP$4</f>
        <v>6042.7311839999993</v>
      </c>
      <c r="AO24" s="701"/>
      <c r="AP24" s="700">
        <f>AO24/AM24</f>
        <v>0</v>
      </c>
      <c r="AQ24" s="593">
        <f>'Proy 2022 vs 2019 sem'!H23*AT$4</f>
        <v>6789.5855999999994</v>
      </c>
      <c r="AR24" s="593">
        <f>'Proy 2022 vs 2019 sem'!I23*AT$4</f>
        <v>6042.7311839999993</v>
      </c>
      <c r="AS24" s="701"/>
      <c r="AT24" s="700">
        <f>AS24/AQ24</f>
        <v>0</v>
      </c>
      <c r="AU24" s="593">
        <f>'Proy 2022 vs 2019 sem'!H23*AX$4</f>
        <v>6789.5855999999994</v>
      </c>
      <c r="AV24" s="593">
        <f>'Proy 2022 vs 2019 sem'!I23*AX$4</f>
        <v>6042.7311839999993</v>
      </c>
      <c r="AW24" s="701"/>
      <c r="AX24" s="700">
        <f>AW24/AU24</f>
        <v>0</v>
      </c>
      <c r="AY24" s="593">
        <f>'Proy 2022 vs 2019 sem'!H23*BB$4</f>
        <v>7921.1832000000004</v>
      </c>
      <c r="AZ24" s="593">
        <f>'Proy 2022 vs 2019 sem'!I23*BB$4</f>
        <v>7049.8530479999999</v>
      </c>
      <c r="BA24" s="701"/>
      <c r="BB24" s="700">
        <f>BA24/AY24</f>
        <v>0</v>
      </c>
      <c r="BC24" s="593">
        <f>'Proy 2022 vs 2019 sem'!H23*BF$4</f>
        <v>9052.7808000000005</v>
      </c>
      <c r="BD24" s="593">
        <f>'Proy 2022 vs 2019 sem'!I23*BF$4</f>
        <v>8056.9749119999997</v>
      </c>
      <c r="BE24" s="701"/>
      <c r="BF24" s="700">
        <f>BE24/BC24</f>
        <v>0</v>
      </c>
      <c r="BG24" s="593">
        <f>'Proy 2022 vs 2019 sem'!H23*BJ$4</f>
        <v>12447.5736</v>
      </c>
      <c r="BH24" s="593">
        <f>'Proy 2022 vs 2019 sem'!I23*BJ$4</f>
        <v>11078.340504</v>
      </c>
      <c r="BI24" s="701"/>
      <c r="BJ24" s="700">
        <f>BI24/BG24</f>
        <v>0</v>
      </c>
      <c r="BK24" s="579">
        <f>AI24+AM24+AQ24+AU24+AY24+BC24+BG24</f>
        <v>56579.880000000005</v>
      </c>
      <c r="BL24" s="574">
        <f>AJ24+AN24+AR24+AV24+AZ24+BD24+BH24</f>
        <v>50356.093199999996</v>
      </c>
      <c r="BM24" s="730">
        <f>AK24+AO24+AS24+AW24+BA24+BE24+BI24</f>
        <v>0</v>
      </c>
      <c r="BN24" s="711">
        <f>BM24/BK24</f>
        <v>0</v>
      </c>
      <c r="BO24" s="593">
        <f>'Proy 2022 vs 2019 sem'!M23*BR$4</f>
        <v>5941.9391999999998</v>
      </c>
      <c r="BP24" s="593">
        <f>'Proy 2022 vs 2019 sem'!N23*BR$4</f>
        <v>5288.3258880000003</v>
      </c>
      <c r="BQ24" s="701"/>
      <c r="BR24" s="700">
        <f>BQ24/BO24</f>
        <v>0</v>
      </c>
      <c r="BS24" s="593">
        <f>'Proy 2022 vs 2019 sem'!M23*BV$4</f>
        <v>5941.9391999999998</v>
      </c>
      <c r="BT24" s="593">
        <f>'Proy 2022 vs 2019 sem'!N23*BV$4</f>
        <v>5288.3258880000003</v>
      </c>
      <c r="BU24" s="701"/>
      <c r="BV24" s="700">
        <f>BU24/BS24</f>
        <v>0</v>
      </c>
      <c r="BW24" s="593">
        <f>'Proy 2022 vs 2019 sem'!M23*BZ$4</f>
        <v>5941.9391999999998</v>
      </c>
      <c r="BX24" s="593">
        <f>'Proy 2022 vs 2019 sem'!N23*BZ$4</f>
        <v>5288.3258880000003</v>
      </c>
      <c r="BY24" s="701"/>
      <c r="BZ24" s="700">
        <f>BY24/BW24</f>
        <v>0</v>
      </c>
      <c r="CA24" s="593">
        <f>'Proy 2022 vs 2019 sem'!M23*CD$4</f>
        <v>5941.9391999999998</v>
      </c>
      <c r="CB24" s="593">
        <f>'Proy 2022 vs 2019 sem'!N23*CD$4</f>
        <v>5288.3258880000003</v>
      </c>
      <c r="CC24" s="701"/>
      <c r="CD24" s="700">
        <f>CC24/CA24</f>
        <v>0</v>
      </c>
      <c r="CE24" s="593">
        <f>'Proy 2022 vs 2019 sem'!M23*CH$4</f>
        <v>6932.2624000000014</v>
      </c>
      <c r="CF24" s="593">
        <f>'Proy 2022 vs 2019 sem'!N23*CH$4</f>
        <v>6169.7135360000011</v>
      </c>
      <c r="CG24" s="701"/>
      <c r="CH24" s="700">
        <f>CG24/CE24</f>
        <v>0</v>
      </c>
      <c r="CI24" s="593">
        <f>'Proy 2022 vs 2019 sem'!M23*CL$4</f>
        <v>7922.5856000000003</v>
      </c>
      <c r="CJ24" s="593">
        <f>'Proy 2022 vs 2019 sem'!N23*CL$4</f>
        <v>7051.1011840000001</v>
      </c>
      <c r="CK24" s="701"/>
      <c r="CL24" s="700">
        <f>CK24/CI24</f>
        <v>0</v>
      </c>
      <c r="CM24" s="593">
        <f>'Proy 2022 vs 2019 sem'!M23*CP$4</f>
        <v>10893.555200000001</v>
      </c>
      <c r="CN24" s="593">
        <f>'Proy 2022 vs 2019 sem'!N23*CP$4</f>
        <v>9695.2641280000007</v>
      </c>
      <c r="CO24" s="701"/>
      <c r="CP24" s="700">
        <f>CO24/CM24</f>
        <v>0</v>
      </c>
      <c r="CQ24" s="579">
        <f>BO24+BS24+BW24+CA24+CE24+CI24+CM24</f>
        <v>49516.160000000003</v>
      </c>
      <c r="CR24" s="574">
        <f>BP24+BT24+BX24+CB24+CF24+CJ24+CN24</f>
        <v>44069.382400000002</v>
      </c>
      <c r="CS24" s="730">
        <f>BQ24+BU24+BY24+CC24+CG24+CK24+CO24</f>
        <v>0</v>
      </c>
      <c r="CT24" s="711">
        <f>CS24/CQ24</f>
        <v>0</v>
      </c>
      <c r="CU24" s="593">
        <f>'Proy 2022 vs 2019 sem'!R23*CX$4</f>
        <v>6488.4179999999997</v>
      </c>
      <c r="CV24" s="593">
        <f>'Proy 2022 vs 2019 sem'!S23*CX$4</f>
        <v>5774.6920199999995</v>
      </c>
      <c r="CW24" s="701"/>
      <c r="CX24" s="700">
        <f>CW24/CU24</f>
        <v>0</v>
      </c>
      <c r="CY24" s="593">
        <f>'Proy 2022 vs 2019 sem'!R23*DB$4</f>
        <v>6488.4179999999997</v>
      </c>
      <c r="CZ24" s="593">
        <f>'Proy 2022 vs 2019 sem'!S23*DB$4</f>
        <v>5774.6920199999995</v>
      </c>
      <c r="DA24" s="701"/>
      <c r="DB24" s="700">
        <f>DA24/CY24</f>
        <v>0</v>
      </c>
      <c r="DC24" s="593">
        <f>'Proy 2022 vs 2019 sem'!R23*DF$4</f>
        <v>6488.4179999999997</v>
      </c>
      <c r="DD24" s="593">
        <f>'Proy 2022 vs 2019 sem'!S23*DF$4</f>
        <v>5774.6920199999995</v>
      </c>
      <c r="DE24" s="701"/>
      <c r="DF24" s="700">
        <f>DE24/DC24</f>
        <v>0</v>
      </c>
      <c r="DG24" s="593">
        <f>'Proy 2022 vs 2019 sem'!R23*DJ$4</f>
        <v>6488.4179999999997</v>
      </c>
      <c r="DH24" s="593">
        <f>'Proy 2022 vs 2019 sem'!S23*DJ$4</f>
        <v>5774.6920199999995</v>
      </c>
      <c r="DI24" s="701"/>
      <c r="DJ24" s="700">
        <f>DI24/DG24</f>
        <v>0</v>
      </c>
      <c r="DK24" s="593">
        <f>'Proy 2022 vs 2019 sem'!R23*DN$4</f>
        <v>7569.8210000000008</v>
      </c>
      <c r="DL24" s="593">
        <f>'Proy 2022 vs 2019 sem'!S23*DN$4</f>
        <v>6737.1406900000002</v>
      </c>
      <c r="DM24" s="701"/>
      <c r="DN24" s="700">
        <f>DM24/DK24</f>
        <v>0</v>
      </c>
      <c r="DO24" s="593">
        <f>'Proy 2022 vs 2019 sem'!R23*DR$4</f>
        <v>8651.2240000000002</v>
      </c>
      <c r="DP24" s="593">
        <f>'Proy 2022 vs 2019 sem'!S23*DR$4</f>
        <v>7699.5893599999999</v>
      </c>
      <c r="DQ24" s="701"/>
      <c r="DR24" s="700">
        <f>DQ24/DO24</f>
        <v>0</v>
      </c>
      <c r="DS24" s="593">
        <f>'Proy 2022 vs 2019 sem'!R23*DV$4</f>
        <v>11895.433000000001</v>
      </c>
      <c r="DT24" s="593">
        <f>'Proy 2022 vs 2019 sem'!S23*DV$4</f>
        <v>10586.935369999999</v>
      </c>
      <c r="DU24" s="701"/>
      <c r="DV24" s="700">
        <f>DU24/DS24</f>
        <v>0</v>
      </c>
      <c r="DW24" s="579">
        <f>CU24+CY24+DC24+DG24+DK24+DO24+DS24</f>
        <v>54070.150000000009</v>
      </c>
      <c r="DX24" s="574">
        <f>CV24+CZ24+DD24+DH24+DL24+DP24+DT24</f>
        <v>48122.433499999999</v>
      </c>
      <c r="DY24" s="710">
        <f>CW24+DA24+DE24+DI24+DM24+DQ24+DU24</f>
        <v>0</v>
      </c>
      <c r="DZ24" s="711">
        <f>DY24/DW24</f>
        <v>0</v>
      </c>
      <c r="EA24" s="593">
        <f>'Proy 2022 vs 2019 sem'!AA23*ED$4</f>
        <v>6983.4059999999999</v>
      </c>
      <c r="EB24" s="593">
        <f>'Proy 2022 vs 2019 sem'!AB23*ED$4</f>
        <v>6215.2313400000003</v>
      </c>
      <c r="EC24" s="736"/>
      <c r="ED24" s="700">
        <f>EC24/EA24</f>
        <v>0</v>
      </c>
      <c r="EE24" s="593">
        <f>'Proy 2022 vs 2019 sem'!AA23*EH$4</f>
        <v>6983.4059999999999</v>
      </c>
      <c r="EF24" s="593">
        <f>'Proy 2022 vs 2019 sem'!AB23*EH$4</f>
        <v>6215.2313400000003</v>
      </c>
      <c r="EG24" s="701"/>
      <c r="EH24" s="700">
        <f>EG24/EE24</f>
        <v>0</v>
      </c>
      <c r="EI24" s="593">
        <f>'Proy 2022 vs 2019 sem'!AA23*EL$4</f>
        <v>6983.4059999999999</v>
      </c>
      <c r="EJ24" s="593">
        <f>'Proy 2022 vs 2019 sem'!AB23*EL$4</f>
        <v>6215.2313400000003</v>
      </c>
      <c r="EK24" s="701"/>
      <c r="EL24" s="700">
        <f>EK24/EI24</f>
        <v>0</v>
      </c>
      <c r="EM24" s="593">
        <f>'Proy 2022 vs 2019 sem'!AA23*EP$4</f>
        <v>6983.4059999999999</v>
      </c>
      <c r="EN24" s="593">
        <f>'Proy 2022 vs 2019 sem'!AB23*EP$4</f>
        <v>6215.2313400000003</v>
      </c>
      <c r="EO24" s="701"/>
      <c r="EP24" s="700">
        <f>EO24/EM24</f>
        <v>0</v>
      </c>
      <c r="EQ24" s="593">
        <f>'Proy 2022 vs 2019 sem'!AA23*ET$4</f>
        <v>8147.3070000000016</v>
      </c>
      <c r="ER24" s="593">
        <f>'Proy 2022 vs 2019 sem'!AB23*ET$4</f>
        <v>7251.1032300000015</v>
      </c>
      <c r="ES24" s="701"/>
      <c r="ET24" s="700">
        <f>ES24/EQ24</f>
        <v>0</v>
      </c>
      <c r="EU24" s="593">
        <f>'Proy 2022 vs 2019 sem'!AA23*EX$4</f>
        <v>9311.2080000000005</v>
      </c>
      <c r="EV24" s="593">
        <f>'Proy 2022 vs 2019 sem'!AB23*EX$4</f>
        <v>8286.975120000001</v>
      </c>
      <c r="EW24" s="701"/>
      <c r="EX24" s="700">
        <f>EW24/EU24</f>
        <v>0</v>
      </c>
      <c r="EY24" s="593">
        <f>'Proy 2022 vs 2019 sem'!AA23*FB$4</f>
        <v>12802.911</v>
      </c>
      <c r="EZ24" s="593">
        <f>'Proy 2022 vs 2019 sem'!AB23*FB$4</f>
        <v>11394.590790000002</v>
      </c>
      <c r="FA24" s="701"/>
      <c r="FB24" s="700">
        <f>FA24/EY24</f>
        <v>0</v>
      </c>
      <c r="FC24" s="579">
        <f>EA24+EE24+EI24+EM24+EQ24+EU24+EY24</f>
        <v>58195.05</v>
      </c>
      <c r="FD24" s="574">
        <f>EB24+EF24+EJ24+EN24+ER24+EV24+EZ24</f>
        <v>51793.594500000007</v>
      </c>
      <c r="FE24" s="793">
        <f>EC24+EG24+EK24+EO24+ES24+EW24+FA24</f>
        <v>0</v>
      </c>
      <c r="FF24" s="786">
        <f>FE24/FC24</f>
        <v>0</v>
      </c>
      <c r="FG24" s="593">
        <f>'Proy 2022 vs 2019 sem'!AF23*FJ$4</f>
        <v>10591.8</v>
      </c>
      <c r="FH24" s="593">
        <f>'Proy 2022 vs 2019 sem'!AG23*FJ$4</f>
        <v>9320.7839999999997</v>
      </c>
      <c r="FI24" s="701"/>
      <c r="FJ24" s="700">
        <f>FI24/FG24</f>
        <v>0</v>
      </c>
      <c r="FK24" s="593">
        <f>'Proy 2022 vs 2019 sem'!AF23*FN$4</f>
        <v>10591.8</v>
      </c>
      <c r="FL24" s="593">
        <f>'Proy 2022 vs 2019 sem'!AG23*FN$4</f>
        <v>9320.7839999999997</v>
      </c>
      <c r="FM24" s="701"/>
      <c r="FN24" s="700">
        <f>FM24/FK24</f>
        <v>0</v>
      </c>
      <c r="FO24" s="593">
        <f>'Proy 2022 vs 2019 sem'!AF23*FR$4</f>
        <v>10591.8</v>
      </c>
      <c r="FP24" s="593">
        <f>'Proy 2022 vs 2019 sem'!AG23*FR$4</f>
        <v>9320.7839999999997</v>
      </c>
      <c r="FQ24" s="701"/>
      <c r="FR24" s="700">
        <f>FQ24/FO24</f>
        <v>0</v>
      </c>
      <c r="FS24" s="593">
        <f>'Proy 2022 vs 2019 sem'!AF23*FV$4</f>
        <v>10591.8</v>
      </c>
      <c r="FT24" s="593">
        <f>'Proy 2022 vs 2019 sem'!AG23*FV$4</f>
        <v>9320.7839999999997</v>
      </c>
      <c r="FU24" s="701"/>
      <c r="FV24" s="700">
        <f>FU24/FS24</f>
        <v>0</v>
      </c>
      <c r="FW24" s="593">
        <f>'Proy 2022 vs 2019 sem'!AF23*FZ$4</f>
        <v>12357.1</v>
      </c>
      <c r="FX24" s="593">
        <f>'Proy 2022 vs 2019 sem'!AG23*FZ$4</f>
        <v>10874.248000000001</v>
      </c>
      <c r="FY24" s="701"/>
      <c r="FZ24" s="700">
        <f>FY24/FW24</f>
        <v>0</v>
      </c>
      <c r="GA24" s="593">
        <f>'Proy 2022 vs 2019 sem'!AF23*GD$4</f>
        <v>14122.4</v>
      </c>
      <c r="GB24" s="593">
        <f>'Proy 2022 vs 2019 sem'!AG23*GD$4</f>
        <v>12427.712</v>
      </c>
      <c r="GC24" s="701"/>
      <c r="GD24" s="700">
        <f>GC24/GA24</f>
        <v>0</v>
      </c>
      <c r="GE24" s="593">
        <f>'Proy 2022 vs 2019 sem'!AF23*GH$4</f>
        <v>19418.3</v>
      </c>
      <c r="GF24" s="593">
        <f>'Proy 2022 vs 2019 sem'!AG23*GH$4</f>
        <v>17088.103999999999</v>
      </c>
      <c r="GG24" s="701"/>
      <c r="GH24" s="700">
        <f>GG24/GE24</f>
        <v>0</v>
      </c>
      <c r="GI24" s="579">
        <f>FG24+FK24+FO24+FS24+FW24+GA24+GE24</f>
        <v>88265</v>
      </c>
      <c r="GJ24" s="574">
        <f>FH24+FL24+FP24+FT24+FX24+GB24+GF24</f>
        <v>77673.2</v>
      </c>
      <c r="GK24" s="794">
        <f>FI24+FM24+FQ24+FU24+FY24+GC24+GG24</f>
        <v>0</v>
      </c>
      <c r="GL24" s="786">
        <f>GK24/GI24</f>
        <v>0</v>
      </c>
      <c r="GM24" s="593">
        <f>'Proy 2022 vs 2019 sem'!AK23*GP$4</f>
        <v>5736.5771999999997</v>
      </c>
      <c r="GN24" s="593">
        <f>'Proy 2022 vs 2019 sem'!AL23*GP$4</f>
        <v>5162.9194799999996</v>
      </c>
      <c r="GO24" s="701"/>
      <c r="GP24" s="700">
        <f>GO24/GM24</f>
        <v>0</v>
      </c>
      <c r="GQ24" s="593">
        <f>'Proy 2022 vs 2019 sem'!AK23*GT$4</f>
        <v>5736.5771999999997</v>
      </c>
      <c r="GR24" s="593">
        <f>'Proy 2022 vs 2019 sem'!AL23*GT$4</f>
        <v>5162.9194799999996</v>
      </c>
      <c r="GS24" s="701"/>
      <c r="GT24" s="700">
        <f>GS24/GQ24</f>
        <v>0</v>
      </c>
      <c r="GU24" s="593">
        <f>'Proy 2022 vs 2019 sem'!AK23*GX$4</f>
        <v>5736.5771999999997</v>
      </c>
      <c r="GV24" s="593">
        <f>'Proy 2022 vs 2019 sem'!AL23*GX$4</f>
        <v>5162.9194799999996</v>
      </c>
      <c r="GW24" s="701"/>
      <c r="GX24" s="700">
        <f>GW24/GU24</f>
        <v>0</v>
      </c>
      <c r="GY24" s="593">
        <f>'Proy 2022 vs 2019 sem'!AK23*HB$4</f>
        <v>5736.5771999999997</v>
      </c>
      <c r="GZ24" s="593">
        <f>'Proy 2022 vs 2019 sem'!AL23*HB$4</f>
        <v>5162.9194799999996</v>
      </c>
      <c r="HA24" s="701"/>
      <c r="HB24" s="700">
        <f>HA24/GY24</f>
        <v>0</v>
      </c>
      <c r="HC24" s="593">
        <f>'Proy 2022 vs 2019 sem'!AK23*HF$4</f>
        <v>6692.6734000000006</v>
      </c>
      <c r="HD24" s="593">
        <f>'Proy 2022 vs 2019 sem'!AL23*HF$4</f>
        <v>6023.4060600000003</v>
      </c>
      <c r="HE24" s="701"/>
      <c r="HF24" s="700">
        <f>HE24/HC24</f>
        <v>0</v>
      </c>
      <c r="HG24" s="593">
        <f>'Proy 2022 vs 2019 sem'!AK23*HJ$4</f>
        <v>7648.7695999999996</v>
      </c>
      <c r="HH24" s="593">
        <f>'Proy 2022 vs 2019 sem'!AL23*HJ$4</f>
        <v>6883.89264</v>
      </c>
      <c r="HI24" s="701"/>
      <c r="HJ24" s="700">
        <f>HI24/HG24</f>
        <v>0</v>
      </c>
      <c r="HK24" s="593">
        <f>'Proy 2022 vs 2019 sem'!AK23*HN$4</f>
        <v>10517.058199999999</v>
      </c>
      <c r="HL24" s="593">
        <f>'Proy 2022 vs 2019 sem'!AL23*HN$4</f>
        <v>9465.3523800000003</v>
      </c>
      <c r="HM24" s="701"/>
      <c r="HN24" s="700">
        <f>HM24/HK24</f>
        <v>0</v>
      </c>
      <c r="HO24" s="579">
        <f>GM24+GQ24+GU24+GY24+HC24+HG24+HK24</f>
        <v>47804.81</v>
      </c>
      <c r="HP24" s="574">
        <f>GN24+GR24+GV24+GZ24+HD24+HH24+HL24</f>
        <v>43024.328999999998</v>
      </c>
      <c r="HQ24" s="794">
        <f>GO24+GS24+GW24+HA24+HE24+HI24+HM24</f>
        <v>0</v>
      </c>
      <c r="HR24" s="786">
        <f>HQ24/HO24</f>
        <v>0</v>
      </c>
      <c r="HS24" s="593">
        <f>'Proy 2022 vs 2019 sem'!AK23*HV$4</f>
        <v>5736.5771999999997</v>
      </c>
      <c r="HT24" s="593">
        <f>'Proy 2022 vs 2019 sem'!AL23*HV$4</f>
        <v>5162.9194799999996</v>
      </c>
      <c r="HU24" s="701"/>
      <c r="HV24" s="700">
        <f>HU24/HS24</f>
        <v>0</v>
      </c>
      <c r="HW24" s="593">
        <f>'Proy 2022 vs 2019 sem'!AK23*HZ$4</f>
        <v>5736.5771999999997</v>
      </c>
      <c r="HX24" s="593">
        <f>'Proy 2022 vs 2019 sem'!AL23*HZ$4</f>
        <v>5162.9194799999996</v>
      </c>
      <c r="HY24" s="701"/>
      <c r="HZ24" s="700">
        <f>HY24/HW24</f>
        <v>0</v>
      </c>
      <c r="IA24" s="593">
        <f>'Proy 2022 vs 2019 sem'!AK23*ID$4</f>
        <v>5736.5771999999997</v>
      </c>
      <c r="IB24" s="593">
        <f>'Proy 2022 vs 2019 sem'!AL23*ID$4</f>
        <v>5162.9194799999996</v>
      </c>
      <c r="IC24" s="701"/>
      <c r="ID24" s="700">
        <f>IC24/IA24</f>
        <v>0</v>
      </c>
      <c r="IE24" s="593">
        <f>'Proy 2022 vs 2019 sem'!AK23*IH$4</f>
        <v>5736.5771999999997</v>
      </c>
      <c r="IF24" s="593">
        <f>'Proy 2022 vs 2019 sem'!AL23*IH$4</f>
        <v>5162.9194799999996</v>
      </c>
      <c r="IG24" s="701"/>
      <c r="IH24" s="700">
        <f>IG24/IE24</f>
        <v>0</v>
      </c>
      <c r="II24" s="593">
        <f>'Proy 2022 vs 2019 sem'!AK23*IL$4</f>
        <v>6692.6734000000006</v>
      </c>
      <c r="IJ24" s="593">
        <f>'Proy 2022 vs 2019 sem'!AL23*IL$4</f>
        <v>6023.4060600000003</v>
      </c>
      <c r="IK24" s="701"/>
      <c r="IL24" s="700">
        <f>IK24/II24</f>
        <v>0</v>
      </c>
      <c r="IM24" s="593">
        <f>'Proy 2022 vs 2019 sem'!AK23*IP$4</f>
        <v>7648.7695999999996</v>
      </c>
      <c r="IN24" s="593">
        <f>'Proy 2022 vs 2019 sem'!AL23*IP$4</f>
        <v>6883.89264</v>
      </c>
      <c r="IO24" s="701"/>
      <c r="IP24" s="700">
        <f>IO24/IM24</f>
        <v>0</v>
      </c>
      <c r="IQ24" s="593">
        <f>'Proy 2022 vs 2019 sem'!AK23*IT$4</f>
        <v>10517.058199999999</v>
      </c>
      <c r="IR24" s="593">
        <f>'Proy 2022 vs 2019 sem'!AL23*IT$4</f>
        <v>9465.3523800000003</v>
      </c>
      <c r="IS24" s="701"/>
      <c r="IT24" s="700">
        <f>IS24/IQ24</f>
        <v>0</v>
      </c>
      <c r="IU24" s="579">
        <f>HS24+HW24+IA24+IE24+II24+IM24+IQ24</f>
        <v>47804.81</v>
      </c>
      <c r="IV24" s="574">
        <f>HT24+HX24+IB24+IF24+IJ24+IN24+IR24</f>
        <v>43024.328999999998</v>
      </c>
      <c r="IW24" s="785">
        <f>HU24+HY24+IC24+IG24+IK24+IO24+IS24</f>
        <v>0</v>
      </c>
      <c r="IX24" s="786">
        <f>IW24/IU24</f>
        <v>0</v>
      </c>
      <c r="IY24" s="593">
        <f>'Proy 2022 vs 2019 sem'!AY23*JB$4</f>
        <v>6728.2103999999999</v>
      </c>
      <c r="IZ24" s="593">
        <f>'Proy 2022 vs 2019 sem'!AZ23*JB$4</f>
        <v>5988.1072559999993</v>
      </c>
      <c r="JA24" s="736"/>
      <c r="JB24" s="700">
        <f>JA24/IY24</f>
        <v>0</v>
      </c>
      <c r="JC24" s="593">
        <f>'Proy 2022 vs 2019 sem'!AY23*JF$4</f>
        <v>6728.2103999999999</v>
      </c>
      <c r="JD24" s="593">
        <f>'Proy 2022 vs 2019 sem'!AZ23*JF$4</f>
        <v>5988.1072559999993</v>
      </c>
      <c r="JE24" s="736"/>
      <c r="JF24" s="700">
        <f>JE24/JC24</f>
        <v>0</v>
      </c>
      <c r="JG24" s="593">
        <f>'Proy 2022 vs 2019 sem'!AY23*JJ$4</f>
        <v>6728.2103999999999</v>
      </c>
      <c r="JH24" s="593">
        <f>'Proy 2022 vs 2019 sem'!AZ23*JJ$4</f>
        <v>5988.1072559999993</v>
      </c>
      <c r="JI24" s="736"/>
      <c r="JJ24" s="700">
        <f>JI24/JG24</f>
        <v>0</v>
      </c>
      <c r="JK24" s="593">
        <f>'Proy 2022 vs 2019 sem'!AY23*JN$4</f>
        <v>6728.2103999999999</v>
      </c>
      <c r="JL24" s="593">
        <f>'Proy 2022 vs 2019 sem'!AZ23*JN$4</f>
        <v>5988.1072559999993</v>
      </c>
      <c r="JM24" s="736"/>
      <c r="JN24" s="700">
        <f>JM24/JK24</f>
        <v>0</v>
      </c>
      <c r="JO24" s="593">
        <f>'Proy 2022 vs 2019 sem'!AY23*JR$4</f>
        <v>7849.5788000000002</v>
      </c>
      <c r="JP24" s="593">
        <f>'Proy 2022 vs 2019 sem'!AZ23*JR$4</f>
        <v>6986.1251320000001</v>
      </c>
      <c r="JQ24" s="736"/>
      <c r="JR24" s="700">
        <f>JQ24/JO24</f>
        <v>0</v>
      </c>
      <c r="JS24" s="593">
        <f>'Proy 2022 vs 2019 sem'!AY23*JV$4</f>
        <v>8970.9472000000005</v>
      </c>
      <c r="JT24" s="593">
        <f>'Proy 2022 vs 2019 sem'!AZ23*JV$4</f>
        <v>7984.143008</v>
      </c>
      <c r="JU24" s="736"/>
      <c r="JV24" s="700">
        <f>JU24/JS24</f>
        <v>0</v>
      </c>
      <c r="JW24" s="593">
        <f>'Proy 2022 vs 2019 sem'!AY23*JZ$4</f>
        <v>12335.0524</v>
      </c>
      <c r="JX24" s="593">
        <f>'Proy 2022 vs 2019 sem'!AZ23*JZ$4</f>
        <v>10978.196635999999</v>
      </c>
      <c r="JY24" s="736"/>
      <c r="JZ24" s="700">
        <f>JY24/JW24</f>
        <v>0</v>
      </c>
      <c r="KA24" s="579">
        <f>IY24+JC24+JG24+JK24+JO24+JS24+JW24</f>
        <v>56068.420000000006</v>
      </c>
      <c r="KB24" s="574">
        <f>IZ24+JD24+JH24+JL24+JP24+JT24+JX24</f>
        <v>49900.893799999998</v>
      </c>
      <c r="KC24" s="729">
        <f>JA24+JE24+JI24+JM24+JQ24+JU24+JY24</f>
        <v>0</v>
      </c>
      <c r="KD24" s="711">
        <f>KC24/KA24</f>
        <v>0</v>
      </c>
      <c r="KE24" s="593">
        <f>'Proy 2022 vs 2019 sem'!BD23*KH$4</f>
        <v>6272.4912000000004</v>
      </c>
      <c r="KF24" s="593">
        <f>'Proy 2022 vs 2019 sem'!BE23*KH$4</f>
        <v>5582.5171679999994</v>
      </c>
      <c r="KG24" s="701"/>
      <c r="KH24" s="700">
        <f>KG24/KE24</f>
        <v>0</v>
      </c>
      <c r="KI24" s="593">
        <f>'Proy 2022 vs 2019 sem'!BD23*KL$4</f>
        <v>6272.4912000000004</v>
      </c>
      <c r="KJ24" s="593">
        <f>'Proy 2022 vs 2019 sem'!BE23*KL$4</f>
        <v>5582.5171679999994</v>
      </c>
      <c r="KK24" s="701"/>
      <c r="KL24" s="700">
        <f>KK24/KI24</f>
        <v>0</v>
      </c>
      <c r="KM24" s="593">
        <f>'Proy 2022 vs 2019 sem'!BD23*KP$4</f>
        <v>6272.4912000000004</v>
      </c>
      <c r="KN24" s="593">
        <f>'Proy 2022 vs 2019 sem'!BE23*KP$4</f>
        <v>5582.5171679999994</v>
      </c>
      <c r="KO24" s="701"/>
      <c r="KP24" s="700">
        <f>KO24/KM24</f>
        <v>0</v>
      </c>
      <c r="KQ24" s="593">
        <f>'Proy 2022 vs 2019 sem'!BD23*KT$4</f>
        <v>6272.4912000000004</v>
      </c>
      <c r="KR24" s="593">
        <f>'Proy 2022 vs 2019 sem'!BE23*KT$4</f>
        <v>5582.5171679999994</v>
      </c>
      <c r="KS24" s="701"/>
      <c r="KT24" s="700">
        <f>KS24/KQ24</f>
        <v>0</v>
      </c>
      <c r="KU24" s="593">
        <f>'Proy 2022 vs 2019 sem'!BD23*KX$4</f>
        <v>7317.9064000000008</v>
      </c>
      <c r="KV24" s="593">
        <f>'Proy 2022 vs 2019 sem'!BE23*KX$4</f>
        <v>6512.9366960000007</v>
      </c>
      <c r="KW24" s="701"/>
      <c r="KX24" s="700">
        <f>KW24/KU24</f>
        <v>0</v>
      </c>
      <c r="KY24" s="593">
        <f>'Proy 2022 vs 2019 sem'!BD23*LB$4</f>
        <v>8363.3216000000011</v>
      </c>
      <c r="KZ24" s="593">
        <f>'Proy 2022 vs 2019 sem'!BE23*LB$4</f>
        <v>7443.3562240000001</v>
      </c>
      <c r="LA24" s="701"/>
      <c r="LB24" s="700">
        <f>LA24/KY24</f>
        <v>0</v>
      </c>
      <c r="LC24" s="593">
        <f>'Proy 2022 vs 2019 sem'!BD23*LF$4</f>
        <v>11499.567200000001</v>
      </c>
      <c r="LD24" s="593">
        <f>'Proy 2022 vs 2019 sem'!BE23*LF$4</f>
        <v>10234.614808</v>
      </c>
      <c r="LE24" s="701"/>
      <c r="LF24" s="700">
        <f>LE24/LC24</f>
        <v>0</v>
      </c>
      <c r="LG24" s="579">
        <f>KE24+KI24+KM24+KQ24+KU24+KY24+LC24</f>
        <v>52270.760000000009</v>
      </c>
      <c r="LH24" s="574">
        <f>KF24+KJ24+KN24+KR24+KV24+KZ24+LD24</f>
        <v>46520.9764</v>
      </c>
      <c r="LI24" s="730">
        <f>KG24+KK24+KO24+KS24+KW24+LA24+LE24</f>
        <v>0</v>
      </c>
      <c r="LJ24" s="711">
        <f>LI24/LG24</f>
        <v>0</v>
      </c>
      <c r="LK24" s="593">
        <f>'Proy 2022 vs 2019 sem'!BI23*LN$4</f>
        <v>7935.5591999999997</v>
      </c>
      <c r="LL24" s="593">
        <f>'Proy 2022 vs 2019 sem'!BJ23*LN$4</f>
        <v>7062.647688</v>
      </c>
      <c r="LM24" s="701"/>
      <c r="LN24" s="700">
        <f>LM24/LK24</f>
        <v>0</v>
      </c>
      <c r="LO24" s="593">
        <f>'Proy 2022 vs 2019 sem'!BI23*LR$4</f>
        <v>7935.5591999999997</v>
      </c>
      <c r="LP24" s="593">
        <f>'Proy 2022 vs 2019 sem'!BJ23*LR$4</f>
        <v>7062.647688</v>
      </c>
      <c r="LQ24" s="701"/>
      <c r="LR24" s="700">
        <f>LQ24/LO24</f>
        <v>0</v>
      </c>
      <c r="LS24" s="593">
        <f>'Proy 2022 vs 2019 sem'!BI23*LV$4</f>
        <v>7935.5591999999997</v>
      </c>
      <c r="LT24" s="593">
        <f>'Proy 2022 vs 2019 sem'!BJ23*LV$4</f>
        <v>7062.647688</v>
      </c>
      <c r="LU24" s="701"/>
      <c r="LV24" s="700">
        <f>LU24/LS24</f>
        <v>0</v>
      </c>
      <c r="LW24" s="593">
        <f>'Proy 2022 vs 2019 sem'!BI23*LZ$4</f>
        <v>7935.5591999999997</v>
      </c>
      <c r="LX24" s="593">
        <f>'Proy 2022 vs 2019 sem'!BJ23*LZ$4</f>
        <v>7062.647688</v>
      </c>
      <c r="LY24" s="701"/>
      <c r="LZ24" s="700">
        <f>LY24/LW24</f>
        <v>0</v>
      </c>
      <c r="MA24" s="593">
        <f>'Proy 2022 vs 2019 sem'!BI23*MD$4</f>
        <v>9258.1524000000009</v>
      </c>
      <c r="MB24" s="593">
        <f>'Proy 2022 vs 2019 sem'!BJ23*MD$4</f>
        <v>8239.7556360000017</v>
      </c>
      <c r="MC24" s="701"/>
      <c r="MD24" s="700">
        <f>MC24/MA24</f>
        <v>0</v>
      </c>
      <c r="ME24" s="593">
        <f>'Proy 2022 vs 2019 sem'!BI23*MH$4</f>
        <v>10580.7456</v>
      </c>
      <c r="MF24" s="593">
        <f>'Proy 2022 vs 2019 sem'!BJ23*MH$4</f>
        <v>9416.8635840000006</v>
      </c>
      <c r="MG24" s="701"/>
      <c r="MH24" s="700">
        <f>MG24/ME24</f>
        <v>0</v>
      </c>
      <c r="MI24" s="593">
        <f>'Proy 2022 vs 2019 sem'!BI23*ML$4</f>
        <v>14548.5252</v>
      </c>
      <c r="MJ24" s="593">
        <f>'Proy 2022 vs 2019 sem'!BJ23*ML$4</f>
        <v>12948.187428000001</v>
      </c>
      <c r="MK24" s="701"/>
      <c r="ML24" s="700">
        <f>MK24/MI24</f>
        <v>0</v>
      </c>
      <c r="MM24" s="579">
        <f>LK24+LO24+LS24+LW24+MA24+ME24+MI24</f>
        <v>66129.66</v>
      </c>
      <c r="MN24" s="574">
        <f>LL24+LP24+LT24+LX24+MB24+MF24+MJ24</f>
        <v>58855.397400000002</v>
      </c>
      <c r="MO24" s="730">
        <f>LM24+LQ24+LU24+LY24+MC24+MG24+MK24</f>
        <v>0</v>
      </c>
      <c r="MP24" s="711">
        <f>MO24/MM24</f>
        <v>0</v>
      </c>
      <c r="MQ24" s="593">
        <f>'Proy 2022 vs 2019 sem'!BN23*MT$4</f>
        <v>8851.8635999999988</v>
      </c>
      <c r="MR24" s="593">
        <f>'Proy 2022 vs 2019 sem'!BO23*MT$4</f>
        <v>7701.1213319999988</v>
      </c>
      <c r="MS24" s="701"/>
      <c r="MT24" s="700">
        <f>MS24/MQ24</f>
        <v>0</v>
      </c>
      <c r="MU24" s="593">
        <f>'Proy 2022 vs 2019 sem'!BN23*MX$4</f>
        <v>8851.8635999999988</v>
      </c>
      <c r="MV24" s="593">
        <f>'Proy 2022 vs 2019 sem'!BO23*MX$4</f>
        <v>7701.1213319999988</v>
      </c>
      <c r="MW24" s="701"/>
      <c r="MX24" s="700">
        <f>MW24/MU24</f>
        <v>0</v>
      </c>
      <c r="MY24" s="593">
        <f>'Proy 2022 vs 2019 sem'!BN23*NB$4</f>
        <v>8851.8635999999988</v>
      </c>
      <c r="MZ24" s="593">
        <f>'Proy 2022 vs 2019 sem'!BO23*NB$4</f>
        <v>7701.1213319999988</v>
      </c>
      <c r="NA24" s="701"/>
      <c r="NB24" s="700">
        <f>NA24/MY24</f>
        <v>0</v>
      </c>
      <c r="NC24" s="593">
        <f>'Proy 2022 vs 2019 sem'!BN23*NF$4</f>
        <v>8851.8635999999988</v>
      </c>
      <c r="ND24" s="593">
        <f>'Proy 2022 vs 2019 sem'!BO23*NF$4</f>
        <v>7701.1213319999988</v>
      </c>
      <c r="NE24" s="701"/>
      <c r="NF24" s="700">
        <f>NE24/NC24</f>
        <v>0</v>
      </c>
      <c r="NG24" s="593">
        <f>'Proy 2022 vs 2019 sem'!BN23*NJ$4</f>
        <v>10327.174200000001</v>
      </c>
      <c r="NH24" s="593">
        <f>'Proy 2022 vs 2019 sem'!BO23*NJ$4</f>
        <v>8984.6415539999998</v>
      </c>
      <c r="NI24" s="701"/>
      <c r="NJ24" s="700">
        <f>NI24/NG24</f>
        <v>0</v>
      </c>
      <c r="NK24" s="593">
        <f>'Proy 2022 vs 2019 sem'!BN23*NN$4</f>
        <v>11802.4848</v>
      </c>
      <c r="NL24" s="593">
        <f>'Proy 2022 vs 2019 sem'!BO23*NN$4</f>
        <v>10268.161775999999</v>
      </c>
      <c r="NM24" s="701"/>
      <c r="NN24" s="700">
        <f>NM24/NK24</f>
        <v>0</v>
      </c>
      <c r="NO24" s="593">
        <f>'Proy 2022 vs 2019 sem'!BN23*NR$4</f>
        <v>16228.4166</v>
      </c>
      <c r="NP24" s="593">
        <f>'Proy 2022 vs 2019 sem'!BO23*NR$4</f>
        <v>14118.722441999998</v>
      </c>
      <c r="NQ24" s="701"/>
      <c r="NR24" s="700">
        <f>NQ24/NO24</f>
        <v>0</v>
      </c>
      <c r="NS24" s="579">
        <f>MQ24+MU24+MY24+NC24+NG24+NK24+NO24</f>
        <v>73765.53</v>
      </c>
      <c r="NT24" s="574">
        <f>MR24+MV24+MZ24+ND24+NH24+NL24+NP24</f>
        <v>64176.011099999996</v>
      </c>
      <c r="NU24" s="710">
        <f>MS24+MW24+NA24+NE24+NI24+NM24+NQ24</f>
        <v>0</v>
      </c>
      <c r="NV24" s="711">
        <f>NU24/NS24</f>
        <v>0</v>
      </c>
      <c r="NW24" s="593">
        <f>'Proy 2022 vs 2019 sem'!BS23*NZ$4</f>
        <v>7747.4039999999995</v>
      </c>
      <c r="NX24" s="593">
        <f>'Proy 2022 vs 2019 sem'!BT23*NZ$4</f>
        <v>6895.1895599999998</v>
      </c>
      <c r="NY24" s="701"/>
      <c r="NZ24" s="700">
        <f>NY24/NW24</f>
        <v>0</v>
      </c>
      <c r="OA24" s="593">
        <f>'Proy 2022 vs 2019 sem'!BS23*OD$4</f>
        <v>7747.4039999999995</v>
      </c>
      <c r="OB24" s="593">
        <f>'Proy 2022 vs 2019 sem'!BT23*OD$4</f>
        <v>6895.1895599999998</v>
      </c>
      <c r="OC24" s="701"/>
      <c r="OD24" s="700">
        <f>OC24/OA24</f>
        <v>0</v>
      </c>
      <c r="OE24" s="593">
        <f>'Proy 2022 vs 2019 sem'!BS23*OH$4</f>
        <v>7747.4039999999995</v>
      </c>
      <c r="OF24" s="593">
        <f>'Proy 2022 vs 2019 sem'!BT23*OH$4</f>
        <v>6895.1895599999998</v>
      </c>
      <c r="OG24" s="701"/>
      <c r="OH24" s="700">
        <f>OG24/OE24</f>
        <v>0</v>
      </c>
      <c r="OI24" s="593">
        <f>'Proy 2022 vs 2019 sem'!BS23*OL$4</f>
        <v>7747.4039999999995</v>
      </c>
      <c r="OJ24" s="593">
        <f>'Proy 2022 vs 2019 sem'!BT23*OL$4</f>
        <v>6895.1895599999998</v>
      </c>
      <c r="OK24" s="701"/>
      <c r="OL24" s="700">
        <f>OK24/OI24</f>
        <v>0</v>
      </c>
      <c r="OM24" s="593">
        <f>'Proy 2022 vs 2019 sem'!BS23*OP$4</f>
        <v>9038.6380000000008</v>
      </c>
      <c r="ON24" s="593">
        <f>'Proy 2022 vs 2019 sem'!BT23*OP$4</f>
        <v>8044.3878200000008</v>
      </c>
      <c r="OO24" s="701"/>
      <c r="OP24" s="700">
        <f>OO24/OM24</f>
        <v>0</v>
      </c>
      <c r="OQ24" s="593">
        <f>'Proy 2022 vs 2019 sem'!BS23*OT$4</f>
        <v>10329.871999999999</v>
      </c>
      <c r="OR24" s="593">
        <f>'Proy 2022 vs 2019 sem'!BT23*OT$4</f>
        <v>9193.5860800000009</v>
      </c>
      <c r="OS24" s="701"/>
      <c r="OT24" s="700">
        <f>OS24/OQ24</f>
        <v>0</v>
      </c>
      <c r="OU24" s="593">
        <f>'Proy 2022 vs 2019 sem'!BS23*OX$4</f>
        <v>14203.573999999999</v>
      </c>
      <c r="OV24" s="593">
        <f>'Proy 2022 vs 2019 sem'!BT23*OX$4</f>
        <v>12641.18086</v>
      </c>
      <c r="OW24" s="701"/>
      <c r="OX24" s="700">
        <f>OW24/OU24</f>
        <v>0</v>
      </c>
      <c r="OY24" s="579">
        <f>NW24+OA24+OE24+OI24+OM24+OQ24+OU24</f>
        <v>64561.700000000004</v>
      </c>
      <c r="OZ24" s="574">
        <f>NX24+OB24+OF24+OJ24+ON24+OR24+OV24</f>
        <v>57459.913</v>
      </c>
      <c r="PA24" s="710">
        <f>NY24+OC24+OG24+OK24+OO24+OS24+OW24</f>
        <v>0</v>
      </c>
      <c r="PB24" s="711">
        <f>PA24/OY24</f>
        <v>0</v>
      </c>
      <c r="PC24" s="593">
        <f>'Proy 2022 vs 2019 sem'!CB23*PF$4</f>
        <v>8093.9964</v>
      </c>
      <c r="PD24" s="593">
        <f>'Proy 2022 vs 2019 sem'!CC23*PF$4</f>
        <v>7203.6567960000002</v>
      </c>
      <c r="PE24" s="736"/>
      <c r="PF24" s="700">
        <f>PE24/PC24</f>
        <v>0</v>
      </c>
      <c r="PG24" s="593">
        <f>'Proy 2022 vs 2019 sem'!CB23*PJ$4</f>
        <v>8093.9964</v>
      </c>
      <c r="PH24" s="593">
        <f>'Proy 2022 vs 2019 sem'!CC23*PJ$4</f>
        <v>7203.6567960000002</v>
      </c>
      <c r="PI24" s="701"/>
      <c r="PJ24" s="700">
        <f>PI24/PG24</f>
        <v>0</v>
      </c>
      <c r="PK24" s="593">
        <f>'Proy 2022 vs 2019 sem'!CB23*PN$4</f>
        <v>8093.9964</v>
      </c>
      <c r="PL24" s="593">
        <f>'Proy 2022 vs 2019 sem'!CC23*PN$4</f>
        <v>7203.6567960000002</v>
      </c>
      <c r="PM24" s="701"/>
      <c r="PN24" s="700">
        <f>PM24/PK24</f>
        <v>0</v>
      </c>
      <c r="PO24" s="593">
        <f>'Proy 2022 vs 2019 sem'!CB23*PR$4</f>
        <v>8093.9964</v>
      </c>
      <c r="PP24" s="593">
        <f>'Proy 2022 vs 2019 sem'!CC23*PR$4</f>
        <v>7203.6567960000002</v>
      </c>
      <c r="PQ24" s="701"/>
      <c r="PR24" s="700">
        <f>PQ24/PO24</f>
        <v>0</v>
      </c>
      <c r="PS24" s="593">
        <f>'Proy 2022 vs 2019 sem'!CB23*PV$4</f>
        <v>9442.9958000000006</v>
      </c>
      <c r="PT24" s="593">
        <f>'Proy 2022 vs 2019 sem'!CC23*PV$4</f>
        <v>8404.266262000001</v>
      </c>
      <c r="PU24" s="701"/>
      <c r="PV24" s="700">
        <f>PU24/PS24</f>
        <v>0</v>
      </c>
      <c r="PW24" s="593">
        <f>'Proy 2022 vs 2019 sem'!CB23*PZ$4</f>
        <v>10791.995200000001</v>
      </c>
      <c r="PX24" s="593">
        <f>'Proy 2022 vs 2019 sem'!CC23*PZ$4</f>
        <v>9604.8757280000009</v>
      </c>
      <c r="PY24" s="701"/>
      <c r="PZ24" s="700">
        <f>PY24/PW24</f>
        <v>0</v>
      </c>
      <c r="QA24" s="593">
        <f>'Proy 2022 vs 2019 sem'!CB23*QD$4</f>
        <v>14838.993400000001</v>
      </c>
      <c r="QB24" s="593">
        <f>'Proy 2022 vs 2019 sem'!CC23*QD$4</f>
        <v>13206.704126000001</v>
      </c>
      <c r="QC24" s="701"/>
      <c r="QD24" s="700">
        <f>QC24/QA24</f>
        <v>0</v>
      </c>
      <c r="QE24" s="579">
        <f>PC24+PG24+PK24+PO24+PS24+PW24+QA24</f>
        <v>67449.970000000016</v>
      </c>
      <c r="QF24" s="574">
        <f>PD24+PH24+PL24+PP24+PT24+PX24+QB24</f>
        <v>60030.473299999998</v>
      </c>
      <c r="QG24" s="793">
        <f>PE24+PI24+PM24+PQ24+PU24+PY24+QC24</f>
        <v>0</v>
      </c>
      <c r="QH24" s="786">
        <f>QG24/QE24</f>
        <v>0</v>
      </c>
      <c r="QI24" s="593">
        <f>'Proy 2022 vs 2019 sem'!CG23*QL$4</f>
        <v>9301.5720000000001</v>
      </c>
      <c r="QJ24" s="593">
        <f>'Proy 2022 vs 2019 sem'!CH23*QL$4</f>
        <v>8278.3990799999992</v>
      </c>
      <c r="QK24" s="701"/>
      <c r="QL24" s="700">
        <f>QK24/QI24</f>
        <v>0</v>
      </c>
      <c r="QM24" s="593">
        <f>'Proy 2022 vs 2019 sem'!CG23*QP$4</f>
        <v>9301.5720000000001</v>
      </c>
      <c r="QN24" s="593">
        <f>'Proy 2022 vs 2019 sem'!CH23*QP$4</f>
        <v>8278.3990799999992</v>
      </c>
      <c r="QO24" s="701"/>
      <c r="QP24" s="700">
        <f>QO24/QM24</f>
        <v>0</v>
      </c>
      <c r="QQ24" s="593">
        <f>'Proy 2022 vs 2019 sem'!CG23*QT$4</f>
        <v>9301.5720000000001</v>
      </c>
      <c r="QR24" s="593">
        <f>'Proy 2022 vs 2019 sem'!CH23*QT$4</f>
        <v>8278.3990799999992</v>
      </c>
      <c r="QS24" s="701"/>
      <c r="QT24" s="700">
        <f>QS24/QQ24</f>
        <v>0</v>
      </c>
      <c r="QU24" s="593">
        <f>'Proy 2022 vs 2019 sem'!CG23*QX$4</f>
        <v>9301.5720000000001</v>
      </c>
      <c r="QV24" s="593">
        <f>'Proy 2022 vs 2019 sem'!CH23*QX$4</f>
        <v>8278.3990799999992</v>
      </c>
      <c r="QW24" s="701"/>
      <c r="QX24" s="700">
        <f>QW24/QU24</f>
        <v>0</v>
      </c>
      <c r="QY24" s="593">
        <f>'Proy 2022 vs 2019 sem'!CG23*RB$4</f>
        <v>10851.834000000003</v>
      </c>
      <c r="QZ24" s="593">
        <f>'Proy 2022 vs 2019 sem'!CH23*RB$4</f>
        <v>9658.1322600000003</v>
      </c>
      <c r="RA24" s="701"/>
      <c r="RB24" s="700">
        <f>RA24/QY24</f>
        <v>0</v>
      </c>
      <c r="RC24" s="593">
        <f>'Proy 2022 vs 2019 sem'!CG23*RF$4</f>
        <v>12402.096000000001</v>
      </c>
      <c r="RD24" s="593">
        <f>'Proy 2022 vs 2019 sem'!CH23*RF$4</f>
        <v>11037.86544</v>
      </c>
      <c r="RE24" s="701"/>
      <c r="RF24" s="700">
        <f>RE24/RC24</f>
        <v>0</v>
      </c>
      <c r="RG24" s="593">
        <f>'Proy 2022 vs 2019 sem'!CG23*RJ$4</f>
        <v>17052.882000000001</v>
      </c>
      <c r="RH24" s="593">
        <f>'Proy 2022 vs 2019 sem'!CH23*RJ$4</f>
        <v>15177.064979999999</v>
      </c>
      <c r="RI24" s="701"/>
      <c r="RJ24" s="700">
        <f>RI24/RG24</f>
        <v>0</v>
      </c>
      <c r="RK24" s="579">
        <f>QI24+QM24+QQ24+QU24+QY24+RC24+RG24</f>
        <v>77513.100000000006</v>
      </c>
      <c r="RL24" s="574">
        <f>QJ24+QN24+QR24+QV24+QZ24+RD24+RH24</f>
        <v>68986.659</v>
      </c>
      <c r="RM24" s="794">
        <f>QK24+QO24+QS24+QW24+RA24+RE24+RI24</f>
        <v>0</v>
      </c>
      <c r="RN24" s="786">
        <f>RM24/RK24</f>
        <v>0</v>
      </c>
      <c r="RO24" s="593">
        <f>'Proy 2022 vs 2019 sem'!CL23*RR$4</f>
        <v>9022.3284000000003</v>
      </c>
      <c r="RP24" s="593">
        <f>'Proy 2022 vs 2019 sem'!CM23*RR$4</f>
        <v>8029.872276000001</v>
      </c>
      <c r="RQ24" s="701"/>
      <c r="RR24" s="700">
        <f>RQ24/RO24</f>
        <v>0</v>
      </c>
      <c r="RS24" s="593">
        <f>'Proy 2022 vs 2019 sem'!CL23*RV$4</f>
        <v>9022.3284000000003</v>
      </c>
      <c r="RT24" s="593">
        <f>'Proy 2022 vs 2019 sem'!CM23*RV$4</f>
        <v>8029.872276000001</v>
      </c>
      <c r="RU24" s="701"/>
      <c r="RV24" s="700">
        <f>RU24/RS24</f>
        <v>0</v>
      </c>
      <c r="RW24" s="593">
        <f>'Proy 2022 vs 2019 sem'!CL23*RZ$4</f>
        <v>9022.3284000000003</v>
      </c>
      <c r="RX24" s="593">
        <f>'Proy 2022 vs 2019 sem'!CM23*RZ$4</f>
        <v>8029.872276000001</v>
      </c>
      <c r="RY24" s="701"/>
      <c r="RZ24" s="700">
        <f>RY24/RW24</f>
        <v>0</v>
      </c>
      <c r="SA24" s="593">
        <f>'Proy 2022 vs 2019 sem'!CL23*SD$4</f>
        <v>9022.3284000000003</v>
      </c>
      <c r="SB24" s="593">
        <f>'Proy 2022 vs 2019 sem'!CM23*SD$4</f>
        <v>8029.872276000001</v>
      </c>
      <c r="SC24" s="701"/>
      <c r="SD24" s="700">
        <f>SC24/SA24</f>
        <v>0</v>
      </c>
      <c r="SE24" s="593">
        <f>'Proy 2022 vs 2019 sem'!CL23*SH$4</f>
        <v>10526.049800000003</v>
      </c>
      <c r="SF24" s="593">
        <f>'Proy 2022 vs 2019 sem'!CM23*SH$4</f>
        <v>9368.1843220000028</v>
      </c>
      <c r="SG24" s="701"/>
      <c r="SH24" s="700">
        <f>SG24/SE24</f>
        <v>0</v>
      </c>
      <c r="SI24" s="593">
        <f>'Proy 2022 vs 2019 sem'!CL23*SL$4</f>
        <v>12029.771200000001</v>
      </c>
      <c r="SJ24" s="593">
        <f>'Proy 2022 vs 2019 sem'!CM23*SL$4</f>
        <v>10706.496368000002</v>
      </c>
      <c r="SK24" s="701"/>
      <c r="SL24" s="700">
        <f>SK24/SI24</f>
        <v>0</v>
      </c>
      <c r="SM24" s="593">
        <f>'Proy 2022 vs 2019 sem'!CL23*SP$4</f>
        <v>16540.935400000002</v>
      </c>
      <c r="SN24" s="593">
        <f>'Proy 2022 vs 2019 sem'!CM23*SP$4</f>
        <v>14721.432506000003</v>
      </c>
      <c r="SO24" s="701"/>
      <c r="SP24" s="700">
        <f>SO24/SM24</f>
        <v>0</v>
      </c>
      <c r="SQ24" s="579">
        <f>RO24+RS24+RW24+SA24+SE24+SI24+SM24</f>
        <v>75186.070000000007</v>
      </c>
      <c r="SR24" s="574">
        <f>RP24+RT24+RX24+SB24+SF24+SJ24+SN24</f>
        <v>66915.602300000013</v>
      </c>
      <c r="SS24" s="794">
        <f>RQ24+RU24+RY24+SC24+SG24+SK24+SO24</f>
        <v>0</v>
      </c>
      <c r="ST24" s="786">
        <f>SS24/SQ24</f>
        <v>0</v>
      </c>
      <c r="SU24" s="593">
        <f>'Proy 2022 vs 2019 sem'!CQ23*SX$4</f>
        <v>11528.784</v>
      </c>
      <c r="SV24" s="593">
        <f>'Proy 2022 vs 2019 sem'!CR23*SX$4</f>
        <v>10375.9056</v>
      </c>
      <c r="SW24" s="701"/>
      <c r="SX24" s="700">
        <f>SW24/SU24</f>
        <v>0</v>
      </c>
      <c r="SY24" s="593">
        <f>'Proy 2022 vs 2019 sem'!CQ23*TB$4</f>
        <v>11528.784</v>
      </c>
      <c r="SZ24" s="593">
        <f>'Proy 2022 vs 2019 sem'!CR23*TB$4</f>
        <v>10375.9056</v>
      </c>
      <c r="TA24" s="701"/>
      <c r="TB24" s="700">
        <f>TA24/SY24</f>
        <v>0</v>
      </c>
      <c r="TC24" s="593">
        <f>'Proy 2022 vs 2019 sem'!CQ23*TF$4</f>
        <v>11528.784</v>
      </c>
      <c r="TD24" s="593">
        <f>'Proy 2022 vs 2019 sem'!CR23*TF$4</f>
        <v>10375.9056</v>
      </c>
      <c r="TE24" s="701"/>
      <c r="TF24" s="700">
        <f>TE24/TC24</f>
        <v>0</v>
      </c>
      <c r="TG24" s="593">
        <f>'Proy 2022 vs 2019 sem'!CQ23*TJ$4</f>
        <v>11528.784</v>
      </c>
      <c r="TH24" s="593">
        <f>'Proy 2022 vs 2019 sem'!CR23*TJ$4</f>
        <v>10375.9056</v>
      </c>
      <c r="TI24" s="701"/>
      <c r="TJ24" s="700">
        <f>TI24/TG24</f>
        <v>0</v>
      </c>
      <c r="TK24" s="593">
        <f>'Proy 2022 vs 2019 sem'!CQ23*TN$4</f>
        <v>13450.248000000001</v>
      </c>
      <c r="TL24" s="593">
        <f>'Proy 2022 vs 2019 sem'!CR23*TN$4</f>
        <v>12105.223200000002</v>
      </c>
      <c r="TM24" s="701"/>
      <c r="TN24" s="700">
        <f>TM24/TK24</f>
        <v>0</v>
      </c>
      <c r="TO24" s="593">
        <f>'Proy 2022 vs 2019 sem'!CQ23*TR$4</f>
        <v>15371.712</v>
      </c>
      <c r="TP24" s="593">
        <f>'Proy 2022 vs 2019 sem'!CR23*TR$4</f>
        <v>13834.540800000001</v>
      </c>
      <c r="TQ24" s="701"/>
      <c r="TR24" s="700">
        <f>TQ24/TO24</f>
        <v>0</v>
      </c>
      <c r="TS24" s="593">
        <f>'Proy 2022 vs 2019 sem'!CQ23*TV$4</f>
        <v>21136.103999999999</v>
      </c>
      <c r="TT24" s="593">
        <f>'Proy 2022 vs 2019 sem'!CR23*TV$4</f>
        <v>19022.493600000002</v>
      </c>
      <c r="TU24" s="701"/>
      <c r="TV24" s="700">
        <f>TU24/TS24</f>
        <v>0</v>
      </c>
      <c r="TW24" s="579">
        <f>SU24+SY24+TC24+TG24+TK24+TO24+TS24</f>
        <v>96073.199999999983</v>
      </c>
      <c r="TX24" s="574">
        <f>SV24+SZ24+TD24+TH24+TL24+TP24+TT24</f>
        <v>86465.88</v>
      </c>
      <c r="TY24" s="785">
        <f>SW24+TA24+TE24+TI24+TM24+TQ24+TU24</f>
        <v>0</v>
      </c>
      <c r="TZ24" s="786">
        <f>TY24/TW24</f>
        <v>0</v>
      </c>
      <c r="UA24" s="593">
        <f>'Proy 2022 vs 2019 sem'!CZ23*UD$4</f>
        <v>11693.115600000001</v>
      </c>
      <c r="UB24" s="593">
        <f>'Proy 2022 vs 2019 sem'!DA23*UD$4</f>
        <v>10406.872884</v>
      </c>
      <c r="UC24" s="736"/>
      <c r="UD24" s="700">
        <f>UC24/UA24</f>
        <v>0</v>
      </c>
      <c r="UE24" s="593">
        <f>'Proy 2022 vs 2019 sem'!CZ23*UH$4</f>
        <v>11693.115600000001</v>
      </c>
      <c r="UF24" s="593">
        <f>'Proy 2022 vs 2019 sem'!DA23*UH$4</f>
        <v>10406.872884</v>
      </c>
      <c r="UG24" s="701"/>
      <c r="UH24" s="700">
        <f>UG24/UE24</f>
        <v>0</v>
      </c>
      <c r="UI24" s="593">
        <f>'Proy 2022 vs 2019 sem'!CZ23*UL$4</f>
        <v>11693.115600000001</v>
      </c>
      <c r="UJ24" s="593">
        <f>'Proy 2022 vs 2019 sem'!DA23*UL$4</f>
        <v>10406.872884</v>
      </c>
      <c r="UK24" s="701"/>
      <c r="UL24" s="700">
        <f>UK24/UI24</f>
        <v>0</v>
      </c>
      <c r="UM24" s="593">
        <f>'Proy 2022 vs 2019 sem'!CZ23*UP$4</f>
        <v>11693.115600000001</v>
      </c>
      <c r="UN24" s="593">
        <f>'Proy 2022 vs 2019 sem'!DA23*UP$4</f>
        <v>10406.872884</v>
      </c>
      <c r="UO24" s="701"/>
      <c r="UP24" s="700">
        <f>UO24/UM24</f>
        <v>0</v>
      </c>
      <c r="UQ24" s="593">
        <f>'Proy 2022 vs 2019 sem'!CZ23*UT$4</f>
        <v>13641.968200000001</v>
      </c>
      <c r="UR24" s="593">
        <f>'Proy 2022 vs 2019 sem'!DA23*UT$4</f>
        <v>12141.351698000002</v>
      </c>
      <c r="US24" s="701"/>
      <c r="UT24" s="700">
        <f>US24/UQ24</f>
        <v>0</v>
      </c>
      <c r="UU24" s="593">
        <f>'Proy 2022 vs 2019 sem'!CZ23*UX$4</f>
        <v>15590.820800000001</v>
      </c>
      <c r="UV24" s="593">
        <f>'Proy 2022 vs 2019 sem'!DA23*UX$4</f>
        <v>13875.830512</v>
      </c>
      <c r="UW24" s="701"/>
      <c r="UX24" s="700">
        <f>UW24/UU24</f>
        <v>0</v>
      </c>
      <c r="UY24" s="593">
        <f>'Proy 2022 vs 2019 sem'!CZ23*VB$4</f>
        <v>21437.3786</v>
      </c>
      <c r="UZ24" s="593">
        <f>'Proy 2022 vs 2019 sem'!DA23*VB$4</f>
        <v>19079.266954000002</v>
      </c>
      <c r="VA24" s="701"/>
      <c r="VB24" s="700">
        <f>VA24/UY24</f>
        <v>0</v>
      </c>
      <c r="VC24" s="579">
        <f>UA24+UE24+UI24+UM24+UQ24+UU24+UY24</f>
        <v>97442.63</v>
      </c>
      <c r="VD24" s="574">
        <f>UB24+UF24+UJ24+UN24+UR24+UV24+UZ24</f>
        <v>86723.940700000006</v>
      </c>
      <c r="VE24" s="759">
        <f>UC24+UG24+UK24+UO24+US24+UW24+VA24</f>
        <v>0</v>
      </c>
      <c r="VF24" s="761">
        <f>VE24/VC24</f>
        <v>0</v>
      </c>
      <c r="VG24" s="593">
        <f>'Proy 2022 vs 2019 sem'!DE23*VJ$4</f>
        <v>10054.142400000001</v>
      </c>
      <c r="VH24" s="593">
        <f>'Proy 2022 vs 2019 sem'!DF23*VJ$4</f>
        <v>8948.1867359999997</v>
      </c>
      <c r="VI24" s="701"/>
      <c r="VJ24" s="700">
        <f>VI24/VG24</f>
        <v>0</v>
      </c>
      <c r="VK24" s="593">
        <f>'Proy 2022 vs 2019 sem'!DE23*VN$4</f>
        <v>10054.142400000001</v>
      </c>
      <c r="VL24" s="593">
        <f>'Proy 2022 vs 2019 sem'!DF23*VN$4</f>
        <v>8948.1867359999997</v>
      </c>
      <c r="VM24" s="701"/>
      <c r="VN24" s="700">
        <f>VM24/VK24</f>
        <v>0</v>
      </c>
      <c r="VO24" s="593">
        <f>'Proy 2022 vs 2019 sem'!DE23*VR$4</f>
        <v>10054.142400000001</v>
      </c>
      <c r="VP24" s="593">
        <f>'Proy 2022 vs 2019 sem'!DF23*VR$4</f>
        <v>8948.1867359999997</v>
      </c>
      <c r="VQ24" s="701"/>
      <c r="VR24" s="700">
        <f>VQ24/VO24</f>
        <v>0</v>
      </c>
      <c r="VS24" s="593">
        <f>'Proy 2022 vs 2019 sem'!DE23*VV$4</f>
        <v>10054.142400000001</v>
      </c>
      <c r="VT24" s="593">
        <f>'Proy 2022 vs 2019 sem'!DF23*VV$4</f>
        <v>8948.1867359999997</v>
      </c>
      <c r="VU24" s="701"/>
      <c r="VV24" s="700">
        <f>VU24/VS24</f>
        <v>0</v>
      </c>
      <c r="VW24" s="593">
        <f>'Proy 2022 vs 2019 sem'!DE23*VZ$4</f>
        <v>11729.832800000002</v>
      </c>
      <c r="VX24" s="593">
        <f>'Proy 2022 vs 2019 sem'!DF23*VZ$4</f>
        <v>10439.551192000001</v>
      </c>
      <c r="VY24" s="701"/>
      <c r="VZ24" s="700">
        <f>VY24/VW24</f>
        <v>0</v>
      </c>
      <c r="WA24" s="593">
        <f>'Proy 2022 vs 2019 sem'!DE23*WD$4</f>
        <v>13405.523200000001</v>
      </c>
      <c r="WB24" s="593">
        <f>'Proy 2022 vs 2019 sem'!DF23*WD$4</f>
        <v>11930.915648</v>
      </c>
      <c r="WC24" s="701"/>
      <c r="WD24" s="700">
        <f>WC24/WA24</f>
        <v>0</v>
      </c>
      <c r="WE24" s="593">
        <f>'Proy 2022 vs 2019 sem'!DE23*WH$4</f>
        <v>18432.594400000002</v>
      </c>
      <c r="WF24" s="593">
        <f>'Proy 2022 vs 2019 sem'!DF23*WH$4</f>
        <v>16405.009016</v>
      </c>
      <c r="WG24" s="701"/>
      <c r="WH24" s="700">
        <f>WG24/WE24</f>
        <v>0</v>
      </c>
      <c r="WI24" s="579">
        <f>VG24+VK24+VO24+VS24+VW24+WA24+WE24</f>
        <v>83784.520000000019</v>
      </c>
      <c r="WJ24" s="574">
        <f>VH24+VL24+VP24+VT24+VX24+WB24+WF24</f>
        <v>74568.222800000003</v>
      </c>
      <c r="WK24" s="765">
        <f>VI24+VM24+VQ24+VU24+VY24+WC24+WG24</f>
        <v>0</v>
      </c>
      <c r="WL24" s="761">
        <f>WK24/WI24</f>
        <v>0</v>
      </c>
      <c r="WM24" s="593">
        <f>'Proy 2022 vs 2019 sem'!DJ23*WP$4</f>
        <v>7972.5635999999995</v>
      </c>
      <c r="WN24" s="593">
        <f>'Proy 2022 vs 2019 sem'!DK23*WP$4</f>
        <v>7095.581604</v>
      </c>
      <c r="WO24" s="701"/>
      <c r="WP24" s="700">
        <f>WO24/WM24</f>
        <v>0</v>
      </c>
      <c r="WQ24" s="593">
        <f>'Proy 2022 vs 2019 sem'!DJ23*WT$4</f>
        <v>7972.5635999999995</v>
      </c>
      <c r="WR24" s="593">
        <f>'Proy 2022 vs 2019 sem'!DK23*WT$4</f>
        <v>7095.581604</v>
      </c>
      <c r="WS24" s="701"/>
      <c r="WT24" s="700">
        <f>WS24/WQ24</f>
        <v>0</v>
      </c>
      <c r="WU24" s="593">
        <f>'Proy 2022 vs 2019 sem'!DJ23*WX$4</f>
        <v>7972.5635999999995</v>
      </c>
      <c r="WV24" s="593">
        <f>'Proy 2022 vs 2019 sem'!DK23*WX$4</f>
        <v>7095.581604</v>
      </c>
      <c r="WW24" s="701"/>
      <c r="WX24" s="700">
        <f>WW24/WU24</f>
        <v>0</v>
      </c>
      <c r="WY24" s="593">
        <f>'Proy 2022 vs 2019 sem'!DJ23*XB$4</f>
        <v>7972.5635999999995</v>
      </c>
      <c r="WZ24" s="593">
        <f>'Proy 2022 vs 2019 sem'!DK23*XB$4</f>
        <v>7095.581604</v>
      </c>
      <c r="XA24" s="701"/>
      <c r="XB24" s="700">
        <f>XA24/WY24</f>
        <v>0</v>
      </c>
      <c r="XC24" s="593">
        <f>'Proy 2022 vs 2019 sem'!DJ23*XF$4</f>
        <v>9301.3242000000009</v>
      </c>
      <c r="XD24" s="593">
        <f>'Proy 2022 vs 2019 sem'!DK23*XF$4</f>
        <v>8278.1785380000019</v>
      </c>
      <c r="XE24" s="701"/>
      <c r="XF24" s="700">
        <f>XE24/XC24</f>
        <v>0</v>
      </c>
      <c r="XG24" s="593">
        <f>'Proy 2022 vs 2019 sem'!DJ23*XJ$4</f>
        <v>10630.084800000001</v>
      </c>
      <c r="XH24" s="593">
        <f>'Proy 2022 vs 2019 sem'!DK23*XJ$4</f>
        <v>9460.7754720000012</v>
      </c>
      <c r="XI24" s="701"/>
      <c r="XJ24" s="700">
        <f>XI24/XG24</f>
        <v>0</v>
      </c>
      <c r="XK24" s="593">
        <f>'Proy 2022 vs 2019 sem'!DJ23*XN$4</f>
        <v>14616.366599999999</v>
      </c>
      <c r="XL24" s="593">
        <f>'Proy 2022 vs 2019 sem'!DK23*XN$4</f>
        <v>13008.566274000001</v>
      </c>
      <c r="XM24" s="701"/>
      <c r="XN24" s="700">
        <f>XM24/XK24</f>
        <v>0</v>
      </c>
      <c r="XO24" s="579">
        <f>WM24+WQ24+WU24+WY24+XC24+XG24+XK24</f>
        <v>66438.03</v>
      </c>
      <c r="XP24" s="574">
        <f>WN24+WR24+WV24+WZ24+XD24+XH24+XL24</f>
        <v>59129.846700000009</v>
      </c>
      <c r="XQ24" s="765">
        <f>WO24+WS24+WW24+XA24+XE24+XI24+XM24</f>
        <v>0</v>
      </c>
      <c r="XR24" s="761">
        <f>XQ24/XO24</f>
        <v>0</v>
      </c>
      <c r="XS24" s="593">
        <f>'Proy 2022 vs 2019 sem'!DO23*XV$4</f>
        <v>8367.3996000000006</v>
      </c>
      <c r="XT24" s="593">
        <f>'Proy 2022 vs 2019 sem'!DP23*XV$4</f>
        <v>7446.9856439999994</v>
      </c>
      <c r="XU24" s="701"/>
      <c r="XV24" s="700">
        <f>XU24/XS24</f>
        <v>0</v>
      </c>
      <c r="XW24" s="593">
        <f>'Proy 2022 vs 2019 sem'!DO23*XZ$4</f>
        <v>8367.3996000000006</v>
      </c>
      <c r="XX24" s="593">
        <f>'Proy 2022 vs 2019 sem'!DP23*XZ$4</f>
        <v>7446.9856439999994</v>
      </c>
      <c r="XY24" s="701"/>
      <c r="XZ24" s="700">
        <f>XY24/XW24</f>
        <v>0</v>
      </c>
      <c r="YA24" s="593">
        <f>'Proy 2022 vs 2019 sem'!DO23*YD$4</f>
        <v>8367.3996000000006</v>
      </c>
      <c r="YB24" s="593">
        <f>'Proy 2022 vs 2019 sem'!DP23*YD$4</f>
        <v>7446.9856439999994</v>
      </c>
      <c r="YC24" s="701"/>
      <c r="YD24" s="700">
        <f>YC24/YA24</f>
        <v>0</v>
      </c>
      <c r="YE24" s="593">
        <f>'Proy 2022 vs 2019 sem'!DO23*YH$4</f>
        <v>8367.3996000000006</v>
      </c>
      <c r="YF24" s="593">
        <f>'Proy 2022 vs 2019 sem'!DP23*YH$4</f>
        <v>7446.9856439999994</v>
      </c>
      <c r="YG24" s="701"/>
      <c r="YH24" s="700">
        <f>YG24/YE24</f>
        <v>0</v>
      </c>
      <c r="YI24" s="593">
        <f>'Proy 2022 vs 2019 sem'!DO23*YL$4</f>
        <v>9761.9662000000008</v>
      </c>
      <c r="YJ24" s="593">
        <f>'Proy 2022 vs 2019 sem'!DP23*YL$4</f>
        <v>8688.149918000001</v>
      </c>
      <c r="YK24" s="701"/>
      <c r="YL24" s="700">
        <f>YK24/YI24</f>
        <v>0</v>
      </c>
      <c r="YM24" s="593">
        <f>'Proy 2022 vs 2019 sem'!DO23*YP$4</f>
        <v>11156.532800000001</v>
      </c>
      <c r="YN24" s="593">
        <f>'Proy 2022 vs 2019 sem'!DP23*YP$4</f>
        <v>9929.3141919999998</v>
      </c>
      <c r="YO24" s="701"/>
      <c r="YP24" s="700">
        <f>YO24/YM24</f>
        <v>0</v>
      </c>
      <c r="YQ24" s="593">
        <f>'Proy 2022 vs 2019 sem'!DO23*YT$4</f>
        <v>15340.232600000001</v>
      </c>
      <c r="YR24" s="593">
        <f>'Proy 2022 vs 2019 sem'!DP23*YT$4</f>
        <v>13652.807014</v>
      </c>
      <c r="YS24" s="701"/>
      <c r="YT24" s="700">
        <f>YS24/YQ24</f>
        <v>0</v>
      </c>
      <c r="YU24" s="579">
        <f>XS24+XW24+YA24+YE24+YI24+YM24+YQ24</f>
        <v>69728.33</v>
      </c>
      <c r="YV24" s="574">
        <f>XT24+XX24+YB24+YF24+YJ24+YN24+YR24</f>
        <v>62058.213699999993</v>
      </c>
      <c r="YW24" s="770">
        <f>XU24+XY24+YC24+YG24+YK24+YO24+YS24</f>
        <v>0</v>
      </c>
      <c r="YX24" s="761">
        <f>YW24/YU24</f>
        <v>0</v>
      </c>
      <c r="YY24" s="931">
        <f>'Proy 2022 vs 2019 sem'!DX23*ZB$4</f>
        <v>11486.7948</v>
      </c>
      <c r="YZ24" s="931">
        <f>'Proy 2022 vs 2019 sem'!DY23*ZB$4</f>
        <v>10223.247371999998</v>
      </c>
      <c r="ZA24" s="736"/>
      <c r="ZB24" s="700">
        <f>ZA24/YY24</f>
        <v>0</v>
      </c>
      <c r="ZC24" s="593">
        <f>'Proy 2022 vs 2019 sem'!DX23*ZF$4</f>
        <v>11486.7948</v>
      </c>
      <c r="ZD24" s="593">
        <f>'Proy 2022 vs 2019 sem'!DY23*ZF$4</f>
        <v>10223.247371999998</v>
      </c>
      <c r="ZE24" s="736"/>
      <c r="ZF24" s="700">
        <f>ZE24/ZC24</f>
        <v>0</v>
      </c>
      <c r="ZG24" s="593">
        <f>'Proy 2022 vs 2019 sem'!DX23*ZJ$4</f>
        <v>11486.7948</v>
      </c>
      <c r="ZH24" s="593">
        <f>'Proy 2022 vs 2019 sem'!DY23*ZJ$4</f>
        <v>10223.247371999998</v>
      </c>
      <c r="ZI24" s="736"/>
      <c r="ZJ24" s="700">
        <f>ZI24/ZG24</f>
        <v>0</v>
      </c>
      <c r="ZK24" s="593">
        <f>'Proy 2022 vs 2019 sem'!DX23*ZN$4</f>
        <v>11486.7948</v>
      </c>
      <c r="ZL24" s="593">
        <f>'Proy 2022 vs 2019 sem'!DY23*ZN$4</f>
        <v>10223.247371999998</v>
      </c>
      <c r="ZM24" s="736"/>
      <c r="ZN24" s="700">
        <f>ZM24/ZK24</f>
        <v>0</v>
      </c>
      <c r="ZO24" s="593">
        <f>'Proy 2022 vs 2019 sem'!DX23*ZR$4</f>
        <v>13401.2606</v>
      </c>
      <c r="ZP24" s="593">
        <f>'Proy 2022 vs 2019 sem'!DY23*ZR$4</f>
        <v>11927.121934000001</v>
      </c>
      <c r="ZQ24" s="736"/>
      <c r="ZR24" s="700">
        <f>ZQ24/ZO24</f>
        <v>0</v>
      </c>
      <c r="ZS24" s="593">
        <f>'Proy 2022 vs 2019 sem'!DX23*ZV$4</f>
        <v>15315.7264</v>
      </c>
      <c r="ZT24" s="593">
        <f>'Proy 2022 vs 2019 sem'!DY23*ZV$4</f>
        <v>13630.996496</v>
      </c>
      <c r="ZU24" s="736"/>
      <c r="ZV24" s="700">
        <f>ZU24/ZS24</f>
        <v>0</v>
      </c>
      <c r="ZW24" s="593">
        <f>'Proy 2022 vs 2019 sem'!DX23*ZZ$4</f>
        <v>21059.123799999998</v>
      </c>
      <c r="ZX24" s="593">
        <f>'Proy 2022 vs 2019 sem'!DY23*ZZ$4</f>
        <v>18742.620181999999</v>
      </c>
      <c r="ZY24" s="736"/>
      <c r="ZZ24" s="700">
        <f>ZY24/ZW24</f>
        <v>0</v>
      </c>
      <c r="AAA24" s="579">
        <f>YY24+ZC24+ZG24+ZK24+ZO24+ZS24+ZW24</f>
        <v>95723.290000000008</v>
      </c>
      <c r="AAB24" s="574">
        <f>YZ24+ZD24+ZH24+ZL24+ZP24+ZT24+ZX24</f>
        <v>85193.728099999993</v>
      </c>
      <c r="AAC24" s="729">
        <f>ZA24+ZE24+ZI24+ZM24+ZQ24+ZU24+ZY24</f>
        <v>0</v>
      </c>
      <c r="AAD24" s="711">
        <f>AAC24/AAA24</f>
        <v>0</v>
      </c>
      <c r="AAE24" s="593">
        <f>'Proy 2022 vs 2019 sem'!EC23*AAH$4</f>
        <v>9498.6396000000004</v>
      </c>
      <c r="AAF24" s="593">
        <f>'Proy 2022 vs 2019 sem'!ED23*AAH$4</f>
        <v>8263.8164520000009</v>
      </c>
      <c r="AAG24" s="701"/>
      <c r="AAH24" s="700">
        <f>AAG24/AAE24</f>
        <v>0</v>
      </c>
      <c r="AAI24" s="593">
        <f>'Proy 2022 vs 2019 sem'!EC23*AAL$4</f>
        <v>9498.6396000000004</v>
      </c>
      <c r="AAJ24" s="593">
        <f>'Proy 2022 vs 2019 sem'!ED23*AAL$4</f>
        <v>8263.8164520000009</v>
      </c>
      <c r="AAK24" s="701"/>
      <c r="AAL24" s="700">
        <f>AAK24/AAI24</f>
        <v>0</v>
      </c>
      <c r="AAM24" s="593">
        <f>'Proy 2022 vs 2019 sem'!EC23*AAP$4</f>
        <v>9498.6396000000004</v>
      </c>
      <c r="AAN24" s="593">
        <f>'Proy 2022 vs 2019 sem'!ED23*AAP$4</f>
        <v>8263.8164520000009</v>
      </c>
      <c r="AAO24" s="701"/>
      <c r="AAP24" s="700">
        <f>AAO24/AAM24</f>
        <v>0</v>
      </c>
      <c r="AAQ24" s="593">
        <f>'Proy 2022 vs 2019 sem'!EC23*AAT$4</f>
        <v>9498.6396000000004</v>
      </c>
      <c r="AAR24" s="593">
        <f>'Proy 2022 vs 2019 sem'!ED23*AAT$4</f>
        <v>8263.8164520000009</v>
      </c>
      <c r="AAS24" s="701"/>
      <c r="AAT24" s="700">
        <f>AAS24/AAQ24</f>
        <v>0</v>
      </c>
      <c r="AAU24" s="593">
        <f>'Proy 2022 vs 2019 sem'!EC23*AAX$4</f>
        <v>11081.746200000001</v>
      </c>
      <c r="AAV24" s="593">
        <f>'Proy 2022 vs 2019 sem'!ED23*AAX$4</f>
        <v>9641.1191940000026</v>
      </c>
      <c r="AAW24" s="701"/>
      <c r="AAX24" s="700">
        <f>AAW24/AAU24</f>
        <v>0</v>
      </c>
      <c r="AAY24" s="593">
        <f>'Proy 2022 vs 2019 sem'!EC23*ABB$4</f>
        <v>12664.852800000001</v>
      </c>
      <c r="AAZ24" s="593">
        <f>'Proy 2022 vs 2019 sem'!ED23*ABB$4</f>
        <v>11018.421936000001</v>
      </c>
      <c r="ABA24" s="701"/>
      <c r="ABB24" s="700">
        <f>ABA24/AAY24</f>
        <v>0</v>
      </c>
      <c r="ABC24" s="593">
        <f>'Proy 2022 vs 2019 sem'!EC23*ABF$4</f>
        <v>17414.172600000002</v>
      </c>
      <c r="ABD24" s="593">
        <f>'Proy 2022 vs 2019 sem'!ED23*ABF$4</f>
        <v>15150.330162000002</v>
      </c>
      <c r="ABE24" s="701"/>
      <c r="ABF24" s="700">
        <f>ABE24/ABC24</f>
        <v>0</v>
      </c>
      <c r="ABG24" s="579">
        <f>AAE24+AAI24+AAM24+AAQ24+AAU24+AAY24+ABC24</f>
        <v>79155.33</v>
      </c>
      <c r="ABH24" s="574">
        <f>AAF24+AAJ24+AAN24+AAR24+AAV24+AAZ24+ABD24</f>
        <v>68865.137100000007</v>
      </c>
      <c r="ABI24" s="730">
        <f>AAG24+AAK24+AAO24+AAS24+AAW24+ABA24+ABE24</f>
        <v>0</v>
      </c>
      <c r="ABJ24" s="711">
        <f>ABI24/ABG24</f>
        <v>0</v>
      </c>
      <c r="ABK24" s="593">
        <f>'Proy 2022 vs 2019 sem'!EH23*ABN$4</f>
        <v>9632.4539999999997</v>
      </c>
      <c r="ABL24" s="593">
        <f>'Proy 2022 vs 2019 sem'!EI23*ABN$4</f>
        <v>8572.8840599999985</v>
      </c>
      <c r="ABM24" s="701"/>
      <c r="ABN24" s="700">
        <f>ABM24/ABK24</f>
        <v>0</v>
      </c>
      <c r="ABO24" s="593">
        <f>'Proy 2022 vs 2019 sem'!EH23*ABR$4</f>
        <v>9632.4539999999997</v>
      </c>
      <c r="ABP24" s="593">
        <f>'Proy 2022 vs 2019 sem'!EI23*ABR$4</f>
        <v>8572.8840599999985</v>
      </c>
      <c r="ABQ24" s="701"/>
      <c r="ABR24" s="700">
        <f>ABQ24/ABO24</f>
        <v>0</v>
      </c>
      <c r="ABS24" s="593">
        <f>'Proy 2022 vs 2019 sem'!EH23*ABV$4</f>
        <v>9632.4539999999997</v>
      </c>
      <c r="ABT24" s="593">
        <f>'Proy 2022 vs 2019 sem'!EI23*ABV$4</f>
        <v>8572.8840599999985</v>
      </c>
      <c r="ABU24" s="701"/>
      <c r="ABV24" s="700">
        <f>ABU24/ABS24</f>
        <v>0</v>
      </c>
      <c r="ABW24" s="593">
        <f>'Proy 2022 vs 2019 sem'!EH23*ABZ$4</f>
        <v>9632.4539999999997</v>
      </c>
      <c r="ABX24" s="593">
        <f>'Proy 2022 vs 2019 sem'!EI23*ABZ$4</f>
        <v>8572.8840599999985</v>
      </c>
      <c r="ABY24" s="701"/>
      <c r="ABZ24" s="700">
        <f>ABY24/ABW24</f>
        <v>0</v>
      </c>
      <c r="ACA24" s="593">
        <f>'Proy 2022 vs 2019 sem'!EH23*ACD$4</f>
        <v>11237.863000000001</v>
      </c>
      <c r="ACB24" s="593">
        <f>'Proy 2022 vs 2019 sem'!EI23*ACD$4</f>
        <v>10001.69807</v>
      </c>
      <c r="ACC24" s="701"/>
      <c r="ACD24" s="700">
        <f>ACC24/ACA24</f>
        <v>0</v>
      </c>
      <c r="ACE24" s="593">
        <f>'Proy 2022 vs 2019 sem'!EH23*ACH$4</f>
        <v>12843.271999999999</v>
      </c>
      <c r="ACF24" s="593">
        <f>'Proy 2022 vs 2019 sem'!EI23*ACH$4</f>
        <v>11430.512079999999</v>
      </c>
      <c r="ACG24" s="701"/>
      <c r="ACH24" s="700">
        <f>ACG24/ACE24</f>
        <v>0</v>
      </c>
      <c r="ACI24" s="593">
        <f>'Proy 2022 vs 2019 sem'!EH23*ACL$4</f>
        <v>17659.499</v>
      </c>
      <c r="ACJ24" s="593">
        <f>'Proy 2022 vs 2019 sem'!EI23*ACL$4</f>
        <v>15716.954109999999</v>
      </c>
      <c r="ACK24" s="701"/>
      <c r="ACL24" s="700">
        <f>ACK24/ACI24</f>
        <v>0</v>
      </c>
      <c r="ACM24" s="579">
        <f>ABK24+ABO24+ABS24+ABW24+ACA24+ACE24+ACI24</f>
        <v>80270.45</v>
      </c>
      <c r="ACN24" s="574">
        <f>ABL24+ABP24+ABT24+ABX24+ACB24+ACF24+ACJ24</f>
        <v>71440.700499999992</v>
      </c>
      <c r="ACO24" s="730">
        <f>ABM24+ABQ24+ABU24+ABY24+ACC24+ACG24+ACK24</f>
        <v>0</v>
      </c>
      <c r="ACP24" s="711">
        <f>ACO24/ACM24</f>
        <v>0</v>
      </c>
      <c r="ACQ24" s="593">
        <f>'Proy 2022 vs 2019 sem'!EM23*ACT$4</f>
        <v>9560.16</v>
      </c>
      <c r="ACR24" s="593">
        <f>'Proy 2022 vs 2019 sem'!EN23*ACT$4</f>
        <v>8795.3472000000002</v>
      </c>
      <c r="ACS24" s="701"/>
      <c r="ACT24" s="700">
        <f>ACS24/ACQ24</f>
        <v>0</v>
      </c>
      <c r="ACU24" s="593">
        <f>'Proy 2022 vs 2019 sem'!EM23*ACX$4</f>
        <v>9560.16</v>
      </c>
      <c r="ACV24" s="593">
        <f>'Proy 2022 vs 2019 sem'!EN23*ACX$4</f>
        <v>8795.3472000000002</v>
      </c>
      <c r="ACW24" s="701"/>
      <c r="ACX24" s="700">
        <f>ACW24/ACU24</f>
        <v>0</v>
      </c>
      <c r="ACY24" s="593">
        <f>'Proy 2022 vs 2019 sem'!EM23*ADB$4</f>
        <v>9560.16</v>
      </c>
      <c r="ACZ24" s="593">
        <f>'Proy 2022 vs 2019 sem'!EN23*ADB$4</f>
        <v>8795.3472000000002</v>
      </c>
      <c r="ADA24" s="701"/>
      <c r="ADB24" s="700">
        <f>ADA24/ACY24</f>
        <v>0</v>
      </c>
      <c r="ADC24" s="593">
        <f>'Proy 2022 vs 2019 sem'!EM23*ADF$4</f>
        <v>9560.16</v>
      </c>
      <c r="ADD24" s="593">
        <f>'Proy 2022 vs 2019 sem'!EN23*ADF$4</f>
        <v>8795.3472000000002</v>
      </c>
      <c r="ADE24" s="701"/>
      <c r="ADF24" s="700">
        <f>ADE24/ADC24</f>
        <v>0</v>
      </c>
      <c r="ADG24" s="593">
        <f>'Proy 2022 vs 2019 sem'!EM23*ADJ$4</f>
        <v>11153.52</v>
      </c>
      <c r="ADH24" s="593">
        <f>'Proy 2022 vs 2019 sem'!EN23*ADJ$4</f>
        <v>10261.2384</v>
      </c>
      <c r="ADI24" s="701"/>
      <c r="ADJ24" s="700">
        <f>ADI24/ADG24</f>
        <v>0</v>
      </c>
      <c r="ADK24" s="593">
        <f>'Proy 2022 vs 2019 sem'!EM23*ADN$4</f>
        <v>12746.880000000001</v>
      </c>
      <c r="ADL24" s="593">
        <f>'Proy 2022 vs 2019 sem'!EN23*ADN$4</f>
        <v>11727.1296</v>
      </c>
      <c r="ADM24" s="701"/>
      <c r="ADN24" s="700">
        <f>ADM24/ADK24</f>
        <v>0</v>
      </c>
      <c r="ADO24" s="593">
        <f>'Proy 2022 vs 2019 sem'!EM23*ADR$4</f>
        <v>17526.96</v>
      </c>
      <c r="ADP24" s="593">
        <f>'Proy 2022 vs 2019 sem'!EN23*ADR$4</f>
        <v>16124.8032</v>
      </c>
      <c r="ADQ24" s="701"/>
      <c r="ADR24" s="700">
        <f>ADQ24/ADO24</f>
        <v>0</v>
      </c>
      <c r="ADS24" s="579">
        <f>ACQ24+ACU24+ACY24+ADC24+ADG24+ADK24+ADO24</f>
        <v>79668</v>
      </c>
      <c r="ADT24" s="574">
        <f>ACR24+ACV24+ACZ24+ADD24+ADH24+ADL24+ADP24</f>
        <v>73294.559999999998</v>
      </c>
      <c r="ADU24" s="710">
        <f>ACS24+ACW24+ADA24+ADE24+ADI24+ADM24+ADQ24</f>
        <v>0</v>
      </c>
      <c r="ADV24" s="711">
        <f>ADU24/ADS24</f>
        <v>0</v>
      </c>
      <c r="ADW24" s="593">
        <f>'Proy 2022 vs 2019 sem'!ER23*ADZ$4</f>
        <v>8800.482</v>
      </c>
      <c r="ADX24" s="593">
        <f>'Proy 2022 vs 2019 sem'!ES23*ADZ$4</f>
        <v>8096.4434400000009</v>
      </c>
      <c r="ADY24" s="701"/>
      <c r="ADZ24" s="700">
        <f>ADY24/ADW24</f>
        <v>0</v>
      </c>
      <c r="AEA24" s="593">
        <f>'Proy 2022 vs 2019 sem'!ER23*AED$4</f>
        <v>8800.482</v>
      </c>
      <c r="AEB24" s="593">
        <f>'Proy 2022 vs 2019 sem'!ES23*AED$4</f>
        <v>8096.4434400000009</v>
      </c>
      <c r="AEC24" s="701"/>
      <c r="AED24" s="700">
        <f>AEC24/AEA24</f>
        <v>0</v>
      </c>
      <c r="AEE24" s="593">
        <f>'Proy 2022 vs 2019 sem'!ER23*AEH$4</f>
        <v>8800.482</v>
      </c>
      <c r="AEF24" s="593">
        <f>'Proy 2022 vs 2019 sem'!ES23*AEH$4</f>
        <v>8096.4434400000009</v>
      </c>
      <c r="AEG24" s="701"/>
      <c r="AEH24" s="700">
        <f>AEG24/AEE24</f>
        <v>0</v>
      </c>
      <c r="AEI24" s="593">
        <f>'Proy 2022 vs 2019 sem'!ER23*AEL$4</f>
        <v>8800.482</v>
      </c>
      <c r="AEJ24" s="593">
        <f>'Proy 2022 vs 2019 sem'!ES23*AEL$4</f>
        <v>8096.4434400000009</v>
      </c>
      <c r="AEK24" s="701"/>
      <c r="AEL24" s="700">
        <f>AEK24/AEI24</f>
        <v>0</v>
      </c>
      <c r="AEM24" s="593">
        <f>'Proy 2022 vs 2019 sem'!ER23*AEP$4</f>
        <v>10267.229000000001</v>
      </c>
      <c r="AEN24" s="593">
        <f>'Proy 2022 vs 2019 sem'!ES23*AEP$4</f>
        <v>9445.8506800000014</v>
      </c>
      <c r="AEO24" s="701"/>
      <c r="AEP24" s="700">
        <f>AEO24/AEM24</f>
        <v>0</v>
      </c>
      <c r="AEQ24" s="593">
        <f>'Proy 2022 vs 2019 sem'!ER23*AET$4</f>
        <v>11733.976000000001</v>
      </c>
      <c r="AER24" s="593">
        <f>'Proy 2022 vs 2019 sem'!ES23*AET$4</f>
        <v>10795.257920000002</v>
      </c>
      <c r="AES24" s="701"/>
      <c r="AET24" s="700">
        <f>AES24/AEQ24</f>
        <v>0</v>
      </c>
      <c r="AEU24" s="593">
        <f>'Proy 2022 vs 2019 sem'!ER23*AEX$4</f>
        <v>16134.217000000001</v>
      </c>
      <c r="AEV24" s="593">
        <f>'Proy 2022 vs 2019 sem'!ES23*AEX$4</f>
        <v>14843.479640000001</v>
      </c>
      <c r="AEW24" s="701"/>
      <c r="AEX24" s="700">
        <f>AEW24/AEU24</f>
        <v>0</v>
      </c>
      <c r="AEY24" s="579">
        <f>ADW24+AEA24+AEE24+AEI24+AEM24+AEQ24+AEU24</f>
        <v>73337.350000000006</v>
      </c>
      <c r="AEZ24" s="574">
        <f>ADX24+AEB24+AEF24+AEJ24+AEN24+AER24+AEV24</f>
        <v>67470.362000000008</v>
      </c>
      <c r="AFA24" s="710">
        <f>ADY24+AEC24+AEG24+AEK24+AEO24+AES24+AEW24</f>
        <v>0</v>
      </c>
      <c r="AFB24" s="711">
        <f>AFA24/AEY24</f>
        <v>0</v>
      </c>
      <c r="AFC24" s="593">
        <f>'Proy 2022 vs 2019 sem'!FA23*AFF$4</f>
        <v>8320.4627999999993</v>
      </c>
      <c r="AFD24" s="593">
        <f>'Proy 2022 vs 2019 sem'!FB23*AFF$4</f>
        <v>7322.0072639999999</v>
      </c>
      <c r="AFE24" s="736"/>
      <c r="AFF24" s="700">
        <f>AFE24/AFC24</f>
        <v>0</v>
      </c>
      <c r="AFG24" s="593">
        <f>'Proy 2022 vs 2019 sem'!FA23*AFJ$4</f>
        <v>8320.4627999999993</v>
      </c>
      <c r="AFH24" s="593">
        <f>'Proy 2022 vs 2019 sem'!FB23*AFJ$4</f>
        <v>7322.0072639999999</v>
      </c>
      <c r="AFI24" s="701"/>
      <c r="AFJ24" s="700">
        <f>AFI24/AFG24</f>
        <v>0</v>
      </c>
      <c r="AFK24" s="593">
        <f>'Proy 2022 vs 2019 sem'!FA23*AFN$4</f>
        <v>8320.4627999999993</v>
      </c>
      <c r="AFL24" s="593">
        <f>'Proy 2022 vs 2019 sem'!FB23*AFN$4</f>
        <v>7322.0072639999999</v>
      </c>
      <c r="AFM24" s="701"/>
      <c r="AFN24" s="700">
        <f>AFM24/AFK24</f>
        <v>0</v>
      </c>
      <c r="AFO24" s="593">
        <f>'Proy 2022 vs 2019 sem'!FA23*AFR$4</f>
        <v>8320.4627999999993</v>
      </c>
      <c r="AFP24" s="593">
        <f>'Proy 2022 vs 2019 sem'!FB23*AFR$4</f>
        <v>7322.0072639999999</v>
      </c>
      <c r="AFQ24" s="701"/>
      <c r="AFR24" s="700">
        <f>AFQ24/AFO24</f>
        <v>0</v>
      </c>
      <c r="AFS24" s="593">
        <f>'Proy 2022 vs 2019 sem'!FA23*AFV$4</f>
        <v>9707.2066000000013</v>
      </c>
      <c r="AFT24" s="593">
        <f>'Proy 2022 vs 2019 sem'!FB23*AFV$4</f>
        <v>8542.341808000001</v>
      </c>
      <c r="AFU24" s="701"/>
      <c r="AFV24" s="700">
        <f>AFU24/AFS24</f>
        <v>0</v>
      </c>
      <c r="AFW24" s="593">
        <f>'Proy 2022 vs 2019 sem'!FA23*AFZ$4</f>
        <v>11093.9504</v>
      </c>
      <c r="AFX24" s="593">
        <f>'Proy 2022 vs 2019 sem'!FB23*AFZ$4</f>
        <v>9762.6763520000004</v>
      </c>
      <c r="AFY24" s="701"/>
      <c r="AFZ24" s="700">
        <f>AFY24/AFW24</f>
        <v>0</v>
      </c>
      <c r="AGA24" s="593">
        <f>'Proy 2022 vs 2019 sem'!FA23*AGD$4</f>
        <v>15254.1818</v>
      </c>
      <c r="AGB24" s="593">
        <f>'Proy 2022 vs 2019 sem'!FB23*AGD$4</f>
        <v>13423.679984</v>
      </c>
      <c r="AGC24" s="701"/>
      <c r="AGD24" s="700">
        <f>AGC24/AGA24</f>
        <v>0</v>
      </c>
      <c r="AGE24" s="579">
        <f>AFC24+AFG24+AFK24+AFO24+AFS24+AFW24+AGA24</f>
        <v>69337.19</v>
      </c>
      <c r="AGF24" s="574">
        <f>AFD24+AFH24+AFL24+AFP24+AFT24+AFX24+AGB24</f>
        <v>61016.727200000001</v>
      </c>
      <c r="AGG24" s="759">
        <f>AFE24+AFI24+AFM24+AFQ24+AFU24+AFY24+AGC24</f>
        <v>0</v>
      </c>
      <c r="AGH24" s="761">
        <f>AGG24/AGE24</f>
        <v>0</v>
      </c>
      <c r="AGI24" s="593">
        <f>'Proy 2022 vs 2019 sem'!FF23*AGL$4</f>
        <v>8893.6620000000003</v>
      </c>
      <c r="AGJ24" s="593">
        <f>'Proy 2022 vs 2019 sem'!FG23*AGL$4</f>
        <v>7826.42256</v>
      </c>
      <c r="AGK24" s="701"/>
      <c r="AGL24" s="700">
        <f>AGK24/AGI24</f>
        <v>0</v>
      </c>
      <c r="AGM24" s="593">
        <f>'Proy 2022 vs 2019 sem'!FF23*AGP$4</f>
        <v>8893.6620000000003</v>
      </c>
      <c r="AGN24" s="593">
        <f>'Proy 2022 vs 2019 sem'!FG23*AGP$4</f>
        <v>7826.42256</v>
      </c>
      <c r="AGO24" s="701"/>
      <c r="AGP24" s="700">
        <f>AGO24/AGM24</f>
        <v>0</v>
      </c>
      <c r="AGQ24" s="593">
        <f>'Proy 2022 vs 2019 sem'!FF23*AGT$4</f>
        <v>8893.6620000000003</v>
      </c>
      <c r="AGR24" s="593">
        <f>'Proy 2022 vs 2019 sem'!FG23*AGT$4</f>
        <v>7826.42256</v>
      </c>
      <c r="AGS24" s="701"/>
      <c r="AGT24" s="700">
        <f>AGS24/AGQ24</f>
        <v>0</v>
      </c>
      <c r="AGU24" s="593">
        <f>'Proy 2022 vs 2019 sem'!FF23*AGX$4</f>
        <v>8893.6620000000003</v>
      </c>
      <c r="AGV24" s="593">
        <f>'Proy 2022 vs 2019 sem'!FG23*AGX$4</f>
        <v>7826.42256</v>
      </c>
      <c r="AGW24" s="701"/>
      <c r="AGX24" s="700">
        <f>AGW24/AGU24</f>
        <v>0</v>
      </c>
      <c r="AGY24" s="593">
        <f>'Proy 2022 vs 2019 sem'!FF23*AHB$4</f>
        <v>10375.939000000002</v>
      </c>
      <c r="AGZ24" s="593">
        <f>'Proy 2022 vs 2019 sem'!FG23*AHB$4</f>
        <v>9130.8263200000019</v>
      </c>
      <c r="AHA24" s="701"/>
      <c r="AHB24" s="700">
        <f>AHA24/AGY24</f>
        <v>0</v>
      </c>
      <c r="AHC24" s="593">
        <f>'Proy 2022 vs 2019 sem'!FF23*AHF$4</f>
        <v>11858.216</v>
      </c>
      <c r="AHD24" s="593">
        <f>'Proy 2022 vs 2019 sem'!FG23*AHF$4</f>
        <v>10435.230080000001</v>
      </c>
      <c r="AHE24" s="701"/>
      <c r="AHF24" s="700">
        <f>AHE24/AHC24</f>
        <v>0</v>
      </c>
      <c r="AHG24" s="593">
        <f>'Proy 2022 vs 2019 sem'!FF23*AHJ$4</f>
        <v>16305.047</v>
      </c>
      <c r="AHH24" s="593">
        <f>'Proy 2022 vs 2019 sem'!FG23*AHJ$4</f>
        <v>14348.441360000001</v>
      </c>
      <c r="AHI24" s="701"/>
      <c r="AHJ24" s="700">
        <f>AHI24/AHG24</f>
        <v>0</v>
      </c>
      <c r="AHK24" s="579">
        <f>AGI24+AGM24+AGQ24+AGU24+AGY24+AHC24+AHG24</f>
        <v>74113.850000000006</v>
      </c>
      <c r="AHL24" s="574">
        <f>AGJ24+AGN24+AGR24+AGV24+AGZ24+AHD24+AHH24</f>
        <v>65220.188000000009</v>
      </c>
      <c r="AHM24" s="765">
        <f>AGK24+AGO24+AGS24+AGW24+AHA24+AHE24+AHI24</f>
        <v>0</v>
      </c>
      <c r="AHN24" s="761">
        <f>AHM24/AHK24</f>
        <v>0</v>
      </c>
      <c r="AHO24" s="593">
        <f>'Proy 2022 vs 2019 sem'!FK23*AHR$4</f>
        <v>7998.9947999999986</v>
      </c>
      <c r="AHP24" s="593">
        <f>'Proy 2022 vs 2019 sem'!FL23*AHR$4</f>
        <v>7039.1154239999987</v>
      </c>
      <c r="AHQ24" s="701"/>
      <c r="AHR24" s="700">
        <f>AHQ24/AHO24</f>
        <v>0</v>
      </c>
      <c r="AHS24" s="593">
        <f>'Proy 2022 vs 2019 sem'!FK23*AHV$4</f>
        <v>7998.9947999999986</v>
      </c>
      <c r="AHT24" s="593">
        <f>'Proy 2022 vs 2019 sem'!FL23*AHV$4</f>
        <v>7039.1154239999987</v>
      </c>
      <c r="AHU24" s="701"/>
      <c r="AHV24" s="700">
        <f>AHU24/AHS24</f>
        <v>0</v>
      </c>
      <c r="AHW24" s="593">
        <f>'Proy 2022 vs 2019 sem'!FK23*AHZ$4</f>
        <v>7998.9947999999986</v>
      </c>
      <c r="AHX24" s="593">
        <f>'Proy 2022 vs 2019 sem'!FL23*AHZ$4</f>
        <v>7039.1154239999987</v>
      </c>
      <c r="AHY24" s="701"/>
      <c r="AHZ24" s="700">
        <f>AHY24/AHW24</f>
        <v>0</v>
      </c>
      <c r="AIA24" s="593">
        <f>'Proy 2022 vs 2019 sem'!FK23*AID$4</f>
        <v>7998.9947999999986</v>
      </c>
      <c r="AIB24" s="593">
        <f>'Proy 2022 vs 2019 sem'!FL23*AID$4</f>
        <v>7039.1154239999987</v>
      </c>
      <c r="AIC24" s="701"/>
      <c r="AID24" s="700">
        <f>AIC24/AIA24</f>
        <v>0</v>
      </c>
      <c r="AIE24" s="593">
        <f>'Proy 2022 vs 2019 sem'!FK23*AIH$4</f>
        <v>9332.1605999999992</v>
      </c>
      <c r="AIF24" s="593">
        <f>'Proy 2022 vs 2019 sem'!FL23*AIH$4</f>
        <v>8212.3013279999996</v>
      </c>
      <c r="AIG24" s="701"/>
      <c r="AIH24" s="700">
        <f>AIG24/AIE24</f>
        <v>0</v>
      </c>
      <c r="AII24" s="593">
        <f>'Proy 2022 vs 2019 sem'!FK23*AIL$4</f>
        <v>10665.3264</v>
      </c>
      <c r="AIJ24" s="593">
        <f>'Proy 2022 vs 2019 sem'!FL23*AIL$4</f>
        <v>9385.4872319999995</v>
      </c>
      <c r="AIK24" s="701"/>
      <c r="AIL24" s="700">
        <f>AIK24/AII24</f>
        <v>0</v>
      </c>
      <c r="AIM24" s="593">
        <f>'Proy 2022 vs 2019 sem'!FK23*AIP$4</f>
        <v>14664.823799999998</v>
      </c>
      <c r="AIN24" s="593">
        <f>'Proy 2022 vs 2019 sem'!FL23*AIP$4</f>
        <v>12905.044943999999</v>
      </c>
      <c r="AIO24" s="701"/>
      <c r="AIP24" s="700">
        <f>AIO24/AIM24</f>
        <v>0</v>
      </c>
      <c r="AIQ24" s="579">
        <f>AHO24+AHS24+AHW24+AIA24+AIE24+AII24+AIM24</f>
        <v>66658.289999999979</v>
      </c>
      <c r="AIR24" s="574">
        <f>AHP24+AHT24+AHX24+AIB24+AIF24+AIJ24+AIN24</f>
        <v>58659.295199999993</v>
      </c>
      <c r="AIS24" s="765">
        <f>AHQ24+AHU24+AHY24+AIC24+AIG24+AIK24+AIO24</f>
        <v>0</v>
      </c>
      <c r="AIT24" s="761">
        <f>AIS24/AIQ24</f>
        <v>0</v>
      </c>
      <c r="AIU24" s="593">
        <f>'Proy 2022 vs 2019 sem'!FP23*AIX$4</f>
        <v>7578.7235999999994</v>
      </c>
      <c r="AIV24" s="593">
        <f>'Proy 2022 vs 2019 sem'!FQ23*AIX$4</f>
        <v>6972.4257119999993</v>
      </c>
      <c r="AIW24" s="701"/>
      <c r="AIX24" s="700">
        <f>AIW24/AIU24</f>
        <v>0</v>
      </c>
      <c r="AIY24" s="593">
        <f>'Proy 2022 vs 2019 sem'!FP23*AJB$4</f>
        <v>7578.7235999999994</v>
      </c>
      <c r="AIZ24" s="593">
        <f>'Proy 2022 vs 2019 sem'!FQ23*AJB$4</f>
        <v>6972.4257119999993</v>
      </c>
      <c r="AJA24" s="701"/>
      <c r="AJB24" s="700">
        <f>AJA24/AIY24</f>
        <v>0</v>
      </c>
      <c r="AJC24" s="593">
        <f>'Proy 2022 vs 2019 sem'!FP23*AJF$4</f>
        <v>7578.7235999999994</v>
      </c>
      <c r="AJD24" s="593">
        <f>'Proy 2022 vs 2019 sem'!FQ23*AJF$4</f>
        <v>6972.4257119999993</v>
      </c>
      <c r="AJE24" s="701"/>
      <c r="AJF24" s="700">
        <f>AJE24/AJC24</f>
        <v>0</v>
      </c>
      <c r="AJG24" s="593">
        <f>'Proy 2022 vs 2019 sem'!FP23*AJJ$4</f>
        <v>7578.7235999999994</v>
      </c>
      <c r="AJH24" s="593">
        <f>'Proy 2022 vs 2019 sem'!FQ23*AJJ$4</f>
        <v>6972.4257119999993</v>
      </c>
      <c r="AJI24" s="701"/>
      <c r="AJJ24" s="700">
        <f>AJI24/AJG24</f>
        <v>0</v>
      </c>
      <c r="AJK24" s="593">
        <f>'Proy 2022 vs 2019 sem'!FP23*AJN$4</f>
        <v>8841.8442000000014</v>
      </c>
      <c r="AJL24" s="593">
        <f>'Proy 2022 vs 2019 sem'!FQ23*AJN$4</f>
        <v>8134.4966640000002</v>
      </c>
      <c r="AJM24" s="701"/>
      <c r="AJN24" s="700">
        <f>AJM24/AJK24</f>
        <v>0</v>
      </c>
      <c r="AJO24" s="593">
        <f>'Proy 2022 vs 2019 sem'!FP23*AJR$4</f>
        <v>10104.9648</v>
      </c>
      <c r="AJP24" s="593">
        <f>'Proy 2022 vs 2019 sem'!FQ23*AJR$4</f>
        <v>9296.5676160000003</v>
      </c>
      <c r="AJQ24" s="701"/>
      <c r="AJR24" s="700">
        <f>AJQ24/AJO24</f>
        <v>0</v>
      </c>
      <c r="AJS24" s="593">
        <f>'Proy 2022 vs 2019 sem'!FP23*AJV$4</f>
        <v>13894.3266</v>
      </c>
      <c r="AJT24" s="593">
        <f>'Proy 2022 vs 2019 sem'!FQ23*AJV$4</f>
        <v>12782.780472</v>
      </c>
      <c r="AJU24" s="701"/>
      <c r="AJV24" s="700">
        <f>AJU24/AJS24</f>
        <v>0</v>
      </c>
      <c r="AJW24" s="579">
        <f>AIU24+AIY24+AJC24+AJG24+AJK24+AJO24+AJS24</f>
        <v>63156.03</v>
      </c>
      <c r="AJX24" s="574">
        <f>AIV24+AIZ24+AJD24+AJH24+AJL24+AJP24+AJT24</f>
        <v>58103.547599999998</v>
      </c>
      <c r="AJY24" s="770">
        <f>AIW24+AJA24+AJE24+AJI24+AJM24+AJQ24+AJU24</f>
        <v>0</v>
      </c>
      <c r="AJZ24" s="761">
        <f>AJY24/AJW24</f>
        <v>0</v>
      </c>
      <c r="AKA24" s="593"/>
      <c r="AKB24" s="593"/>
      <c r="AKC24" s="736"/>
      <c r="AKD24" s="700" t="e">
        <f>AKC24/AKA24</f>
        <v>#DIV/0!</v>
      </c>
      <c r="AKE24" s="593">
        <v>7453.1232</v>
      </c>
      <c r="AKF24" s="593">
        <v>7602.1856639999996</v>
      </c>
      <c r="AKG24" s="701"/>
      <c r="AKH24" s="700">
        <f>AKG24/AKE24</f>
        <v>0</v>
      </c>
      <c r="AKI24" s="593">
        <v>7453.1232</v>
      </c>
      <c r="AKJ24" s="593">
        <v>7602.1856639999996</v>
      </c>
      <c r="AKK24" s="701"/>
      <c r="AKL24" s="700">
        <f>AKK24/AKI24</f>
        <v>0</v>
      </c>
      <c r="AKM24" s="593">
        <v>7453.1232</v>
      </c>
      <c r="AKN24" s="593">
        <v>7602.1856639999996</v>
      </c>
      <c r="AKO24" s="701"/>
      <c r="AKP24" s="700">
        <f>AKO24/AKM24</f>
        <v>0</v>
      </c>
      <c r="AKQ24" s="593">
        <v>8695.3104000000003</v>
      </c>
      <c r="AKR24" s="593">
        <v>8869.2166080000006</v>
      </c>
      <c r="AKS24" s="701"/>
      <c r="AKT24" s="700">
        <f>AKS24/AKQ24</f>
        <v>0</v>
      </c>
      <c r="AKU24" s="593">
        <v>9937.4976000000006</v>
      </c>
      <c r="AKV24" s="593">
        <v>10136.247552000001</v>
      </c>
      <c r="AKW24" s="701"/>
      <c r="AKX24" s="700">
        <f>AKW24/AKU24</f>
        <v>0</v>
      </c>
      <c r="AKY24" s="593">
        <v>13664.0592</v>
      </c>
      <c r="AKZ24" s="593">
        <v>13937.340384000001</v>
      </c>
      <c r="ALA24" s="701"/>
      <c r="ALB24" s="700">
        <f>ALA24/AKY24</f>
        <v>0</v>
      </c>
      <c r="ALC24" s="579">
        <f>AKA24+AKE24+AKI24+AKM24+AKQ24+AKU24+AKY24</f>
        <v>54656.236799999999</v>
      </c>
      <c r="ALD24" s="574">
        <f>AKB24+AKF24+AKJ24+AKN24+AKR24+AKV24+AKZ24</f>
        <v>55749.361536000004</v>
      </c>
      <c r="ALE24" s="793">
        <f>AKC24+AKG24+AKK24+AKO24+AKS24+AKW24+ALA24</f>
        <v>0</v>
      </c>
      <c r="ALF24" s="786">
        <f>ALE24/ALC24</f>
        <v>0</v>
      </c>
      <c r="ALG24" s="593">
        <v>7747.4183999999996</v>
      </c>
      <c r="ALH24" s="593">
        <v>7902.3667679999999</v>
      </c>
      <c r="ALI24" s="701"/>
      <c r="ALJ24" s="700">
        <f>ALI24/ALG24</f>
        <v>0</v>
      </c>
      <c r="ALK24" s="593">
        <v>7747.4183999999996</v>
      </c>
      <c r="ALL24" s="593">
        <v>7902.3667679999999</v>
      </c>
      <c r="ALM24" s="701"/>
      <c r="ALN24" s="700">
        <f>ALM24/ALK24</f>
        <v>0</v>
      </c>
      <c r="ALO24" s="593">
        <v>7747.4183999999996</v>
      </c>
      <c r="ALP24" s="593">
        <v>7902.3667679999999</v>
      </c>
      <c r="ALQ24" s="701"/>
      <c r="ALR24" s="700">
        <f>ALQ24/ALO24</f>
        <v>0</v>
      </c>
      <c r="ALS24" s="593">
        <v>7747.4183999999996</v>
      </c>
      <c r="ALT24" s="593">
        <v>7902.3667679999999</v>
      </c>
      <c r="ALU24" s="701"/>
      <c r="ALV24" s="700">
        <f>ALU24/ALS24</f>
        <v>0</v>
      </c>
      <c r="ALW24" s="593">
        <v>9038.6548000000003</v>
      </c>
      <c r="ALX24" s="593">
        <v>9219.4278960000011</v>
      </c>
      <c r="ALY24" s="701"/>
      <c r="ALZ24" s="700">
        <f>ALY24/ALW24</f>
        <v>0</v>
      </c>
      <c r="AMA24" s="593">
        <v>10329.8912</v>
      </c>
      <c r="AMB24" s="593">
        <v>10536.489024</v>
      </c>
      <c r="AMC24" s="701"/>
      <c r="AMD24" s="700">
        <f>AMC24/AMA24</f>
        <v>0</v>
      </c>
      <c r="AME24" s="593">
        <v>14203.600399999999</v>
      </c>
      <c r="AMF24" s="593">
        <v>14487.672408</v>
      </c>
      <c r="AMG24" s="701"/>
      <c r="AMH24" s="700">
        <f>AMG24/AME24</f>
        <v>0</v>
      </c>
      <c r="AMI24" s="579">
        <f>ALG24+ALK24+ALO24+ALS24+ALW24+AMA24+AME24</f>
        <v>64561.819999999992</v>
      </c>
      <c r="AMJ24" s="574">
        <f>ALH24+ALL24+ALP24+ALT24+ALX24+AMB24+AMF24</f>
        <v>65853.056400000001</v>
      </c>
      <c r="AMK24" s="794">
        <f>ALI24+ALM24+ALQ24+ALU24+ALY24+AMC24+AMG24</f>
        <v>0</v>
      </c>
      <c r="AML24" s="786">
        <f>AMK24/AMI24</f>
        <v>0</v>
      </c>
      <c r="AMM24" s="593">
        <v>6830.6987999999992</v>
      </c>
      <c r="AMN24" s="593">
        <v>6967.3127759999998</v>
      </c>
      <c r="AMO24" s="701"/>
      <c r="AMP24" s="700">
        <f>AMO24/AMM24</f>
        <v>0</v>
      </c>
      <c r="AMQ24" s="593">
        <v>6830.6987999999992</v>
      </c>
      <c r="AMR24" s="593">
        <v>6967.3127759999998</v>
      </c>
      <c r="AMS24" s="701"/>
      <c r="AMT24" s="700">
        <f>AMS24/AMQ24</f>
        <v>0</v>
      </c>
      <c r="AMU24" s="593">
        <v>6830.6987999999992</v>
      </c>
      <c r="AMV24" s="593">
        <v>6967.3127759999998</v>
      </c>
      <c r="AMW24" s="701"/>
      <c r="AMX24" s="700">
        <f>AMW24/AMU24</f>
        <v>0</v>
      </c>
      <c r="AMY24" s="593">
        <v>6830.6987999999992</v>
      </c>
      <c r="AMZ24" s="593">
        <v>6967.3127759999998</v>
      </c>
      <c r="ANA24" s="701"/>
      <c r="ANB24" s="700">
        <f>ANA24/AMY24</f>
        <v>0</v>
      </c>
      <c r="ANC24" s="593">
        <v>7969.1486000000004</v>
      </c>
      <c r="AND24" s="593">
        <v>8128.5315720000008</v>
      </c>
      <c r="ANE24" s="701"/>
      <c r="ANF24" s="700">
        <f>ANE24/ANC24</f>
        <v>0</v>
      </c>
      <c r="ANG24" s="593">
        <v>9107.5984000000008</v>
      </c>
      <c r="ANH24" s="593">
        <v>9289.7503680000009</v>
      </c>
      <c r="ANI24" s="701"/>
      <c r="ANJ24" s="700">
        <f>ANI24/ANG24</f>
        <v>0</v>
      </c>
      <c r="ANK24" s="593">
        <v>12522.9478</v>
      </c>
      <c r="ANL24" s="593">
        <v>12773.406756</v>
      </c>
      <c r="ANM24" s="701"/>
      <c r="ANN24" s="700">
        <f>ANM24/ANK24</f>
        <v>0</v>
      </c>
      <c r="ANO24" s="579">
        <f>AMM24+AMQ24+AMU24+AMY24+ANC24+ANG24+ANK24</f>
        <v>56922.49</v>
      </c>
      <c r="ANP24" s="574">
        <f>AMN24+AMR24+AMV24+AMZ24+AND24+ANH24+ANL24</f>
        <v>58060.939800000007</v>
      </c>
      <c r="ANQ24" s="794">
        <f>AMO24+AMS24+AMW24+ANA24+ANE24+ANI24+ANM24</f>
        <v>0</v>
      </c>
      <c r="ANR24" s="786">
        <f>ANQ24/ANO24</f>
        <v>0</v>
      </c>
      <c r="ANS24" s="593">
        <f>'Proy 2022 vs 2019 sem'!GN23*ANV$4</f>
        <v>7982.2631999999994</v>
      </c>
      <c r="ANT24" s="593">
        <f>'Proy 2022 vs 2019 sem'!GO23*ANV$4</f>
        <v>7822.6179359999996</v>
      </c>
      <c r="ANU24" s="701"/>
      <c r="ANV24" s="700">
        <f>ANU24/ANS24</f>
        <v>0</v>
      </c>
      <c r="ANW24" s="593">
        <f>'Proy 2022 vs 2019 sem'!GN23*ANZ$4</f>
        <v>7982.2631999999994</v>
      </c>
      <c r="ANX24" s="593">
        <f>'Proy 2022 vs 2019 sem'!GO23*ANZ$4</f>
        <v>7822.6179359999996</v>
      </c>
      <c r="ANY24" s="701"/>
      <c r="ANZ24" s="700">
        <f>ANY24/ANW24</f>
        <v>0</v>
      </c>
      <c r="AOA24" s="593">
        <f>'Proy 2022 vs 2019 sem'!GN23*AOD$4</f>
        <v>7982.2631999999994</v>
      </c>
      <c r="AOB24" s="593">
        <f>'Proy 2022 vs 2019 sem'!GO23*AOD$4</f>
        <v>7822.6179359999996</v>
      </c>
      <c r="AOC24" s="701"/>
      <c r="AOD24" s="700">
        <f>AOC24/AOA24</f>
        <v>0</v>
      </c>
      <c r="AOE24" s="593">
        <f>'Proy 2022 vs 2019 sem'!GN23*AOH$4</f>
        <v>7982.2631999999994</v>
      </c>
      <c r="AOF24" s="593">
        <f>'Proy 2022 vs 2019 sem'!GO23*AOH$4</f>
        <v>7822.6179359999996</v>
      </c>
      <c r="AOG24" s="701"/>
      <c r="AOH24" s="700">
        <f>AOG24/AOE24</f>
        <v>0</v>
      </c>
      <c r="AOI24" s="593">
        <f>'Proy 2022 vs 2019 sem'!GN23*AOL$4</f>
        <v>9312.6404000000002</v>
      </c>
      <c r="AOJ24" s="593">
        <f>'Proy 2022 vs 2019 sem'!GO23*AOL$4</f>
        <v>9126.387592000001</v>
      </c>
      <c r="AOK24" s="701"/>
      <c r="AOL24" s="700">
        <f>AOK24/AOI24</f>
        <v>0</v>
      </c>
      <c r="AOM24" s="593">
        <f>'Proy 2022 vs 2019 sem'!GN23*AOP$4</f>
        <v>10643.017600000001</v>
      </c>
      <c r="AON24" s="593">
        <f>'Proy 2022 vs 2019 sem'!GO23*AOP$4</f>
        <v>10430.157248</v>
      </c>
      <c r="AOO24" s="701"/>
      <c r="AOP24" s="700">
        <f>AOO24/AOM24</f>
        <v>0</v>
      </c>
      <c r="AOQ24" s="593">
        <f>'Proy 2022 vs 2019 sem'!GN23*AOT$4</f>
        <v>14634.1492</v>
      </c>
      <c r="AOR24" s="593">
        <f>'Proy 2022 vs 2019 sem'!GO23*AOT$4</f>
        <v>14341.466215999999</v>
      </c>
      <c r="AOS24" s="701"/>
      <c r="AOT24" s="700">
        <f>AOS24/AOQ24</f>
        <v>0</v>
      </c>
      <c r="AOU24" s="579">
        <f>ANS24+ANW24+AOA24+AOE24+AOI24+AOM24+AOQ24</f>
        <v>66518.859999999986</v>
      </c>
      <c r="AOV24" s="574">
        <f>ANT24+ANX24+AOB24+AOF24+AOJ24+AON24+AOR24</f>
        <v>65188.482799999998</v>
      </c>
      <c r="AOW24" s="785">
        <f>ANU24+ANY24+AOC24+AOG24+AOK24+AOO24+AOS24</f>
        <v>0</v>
      </c>
      <c r="AOX24" s="786">
        <f>AOW24/AOU24</f>
        <v>0</v>
      </c>
      <c r="AOY24" s="593">
        <f>'Proy 2022 vs 2019 sem'!GW23*APB$4</f>
        <v>8486.8799999999992</v>
      </c>
      <c r="AOZ24" s="593">
        <f>'Proy 2022 vs 2019 sem'!GX23*APB$4</f>
        <v>8317.1424000000006</v>
      </c>
      <c r="APA24" s="736"/>
      <c r="APB24" s="700">
        <f>APA24/AOY24</f>
        <v>0</v>
      </c>
      <c r="APC24" s="593">
        <f>'Proy 2022 vs 2019 sem'!GW23*APF$4</f>
        <v>8486.8799999999992</v>
      </c>
      <c r="APD24" s="593">
        <f>'Proy 2022 vs 2019 sem'!GX23*APF$4</f>
        <v>8317.1424000000006</v>
      </c>
      <c r="APE24" s="736"/>
      <c r="APF24" s="700">
        <f>APE24/APC24</f>
        <v>0</v>
      </c>
      <c r="APG24" s="593">
        <f>'Proy 2022 vs 2019 sem'!GW23*APJ$4</f>
        <v>8486.8799999999992</v>
      </c>
      <c r="APH24" s="593">
        <f>'Proy 2022 vs 2019 sem'!GX23*APJ$4</f>
        <v>8317.1424000000006</v>
      </c>
      <c r="API24" s="736"/>
      <c r="APJ24" s="700">
        <f>API24/APG24</f>
        <v>0</v>
      </c>
      <c r="APK24" s="593">
        <f>'Proy 2022 vs 2019 sem'!GW23*APN$4</f>
        <v>8486.8799999999992</v>
      </c>
      <c r="APL24" s="593">
        <f>'Proy 2022 vs 2019 sem'!GX23*APN$4</f>
        <v>8317.1424000000006</v>
      </c>
      <c r="APM24" s="736"/>
      <c r="APN24" s="700">
        <f>APM24/APK24</f>
        <v>0</v>
      </c>
      <c r="APO24" s="593">
        <f>'Proy 2022 vs 2019 sem'!GW23*APR$4</f>
        <v>9901.36</v>
      </c>
      <c r="APP24" s="593">
        <f>'Proy 2022 vs 2019 sem'!GX23*APR$4</f>
        <v>9703.332800000002</v>
      </c>
      <c r="APQ24" s="736"/>
      <c r="APR24" s="700">
        <f>APQ24/APO24</f>
        <v>0</v>
      </c>
      <c r="APS24" s="593">
        <f>'Proy 2022 vs 2019 sem'!GW23*APV$4</f>
        <v>11315.84</v>
      </c>
      <c r="APT24" s="593">
        <f>'Proy 2022 vs 2019 sem'!GX23*APV$4</f>
        <v>11089.523200000001</v>
      </c>
      <c r="APU24" s="736"/>
      <c r="APV24" s="700">
        <f>APU24/APS24</f>
        <v>0</v>
      </c>
      <c r="APW24" s="593">
        <f>'Proy 2022 vs 2019 sem'!GW23*APZ$4</f>
        <v>15559.28</v>
      </c>
      <c r="APX24" s="593">
        <f>'Proy 2022 vs 2019 sem'!GX23*APZ$4</f>
        <v>15248.094400000002</v>
      </c>
      <c r="APY24" s="736"/>
      <c r="APZ24" s="700">
        <f>APY24/APW24</f>
        <v>0</v>
      </c>
      <c r="AQA24" s="579">
        <f>AOY24+APC24+APG24+APK24+APO24+APS24+APW24</f>
        <v>70724</v>
      </c>
      <c r="AQB24" s="574">
        <f>AOZ24+APD24+APH24+APL24+APP24+APT24+APX24</f>
        <v>69309.520000000019</v>
      </c>
      <c r="AQC24" s="729">
        <f>APA24+APE24+API24+APM24+APQ24+APU24+APY24</f>
        <v>0</v>
      </c>
      <c r="AQD24" s="711">
        <f>AQC24/AQA24</f>
        <v>0</v>
      </c>
      <c r="AQE24" s="593">
        <f>'Proy 2022 vs 2019 sem'!HB23*AQH$4</f>
        <v>8490.6995999999999</v>
      </c>
      <c r="AQF24" s="593">
        <f>'Proy 2022 vs 2019 sem'!HC23*AQH$4</f>
        <v>8490.6995999999999</v>
      </c>
      <c r="AQG24" s="701"/>
      <c r="AQH24" s="700">
        <f>AQG24/AQE24</f>
        <v>0</v>
      </c>
      <c r="AQI24" s="593">
        <f>'Proy 2022 vs 2019 sem'!HB23*AQL$4</f>
        <v>8490.6995999999999</v>
      </c>
      <c r="AQJ24" s="593">
        <f>'Proy 2022 vs 2019 sem'!HC23*AQL$4</f>
        <v>8490.6995999999999</v>
      </c>
      <c r="AQK24" s="701"/>
      <c r="AQL24" s="700">
        <f>AQK24/AQI24</f>
        <v>0</v>
      </c>
      <c r="AQM24" s="593">
        <f>'Proy 2022 vs 2019 sem'!HB23*AQP$4</f>
        <v>8490.6995999999999</v>
      </c>
      <c r="AQN24" s="593">
        <f>'Proy 2022 vs 2019 sem'!HC23*AQP$4</f>
        <v>8490.6995999999999</v>
      </c>
      <c r="AQO24" s="701"/>
      <c r="AQP24" s="700">
        <f>AQO24/AQM24</f>
        <v>0</v>
      </c>
      <c r="AQQ24" s="593">
        <f>'Proy 2022 vs 2019 sem'!HB23*AQT$4</f>
        <v>8490.6995999999999</v>
      </c>
      <c r="AQR24" s="593">
        <f>'Proy 2022 vs 2019 sem'!HC23*AQT$4</f>
        <v>8490.6995999999999</v>
      </c>
      <c r="AQS24" s="701"/>
      <c r="AQT24" s="700">
        <f>AQS24/AQQ24</f>
        <v>0</v>
      </c>
      <c r="AQU24" s="593">
        <f>'Proy 2022 vs 2019 sem'!HB23*AQX$4</f>
        <v>9905.8162000000011</v>
      </c>
      <c r="AQV24" s="593">
        <f>'Proy 2022 vs 2019 sem'!HC23*AQX$4</f>
        <v>9905.8162000000011</v>
      </c>
      <c r="AQW24" s="701"/>
      <c r="AQX24" s="700">
        <f>AQW24/AQU24</f>
        <v>0</v>
      </c>
      <c r="AQY24" s="593">
        <f>'Proy 2022 vs 2019 sem'!HB23*ARB$4</f>
        <v>11320.9328</v>
      </c>
      <c r="AQZ24" s="593">
        <f>'Proy 2022 vs 2019 sem'!HC23*ARB$4</f>
        <v>11320.9328</v>
      </c>
      <c r="ARA24" s="701"/>
      <c r="ARB24" s="700">
        <f>ARA24/AQY24</f>
        <v>0</v>
      </c>
      <c r="ARC24" s="593">
        <f>'Proy 2022 vs 2019 sem'!HB23*ARF$4</f>
        <v>15566.2826</v>
      </c>
      <c r="ARD24" s="593">
        <f>'Proy 2022 vs 2019 sem'!HC23*ARF$4</f>
        <v>15566.2826</v>
      </c>
      <c r="ARE24" s="701"/>
      <c r="ARF24" s="700">
        <f>ARE24/ARC24</f>
        <v>0</v>
      </c>
      <c r="ARG24" s="579">
        <f>AQE24+AQI24+AQM24+AQQ24+AQU24+AQY24+ARC24</f>
        <v>70755.83</v>
      </c>
      <c r="ARH24" s="574">
        <f>AQF24+AQJ24+AQN24+AQR24+AQV24+AQZ24+ARD24</f>
        <v>70755.83</v>
      </c>
      <c r="ARI24" s="730">
        <f>AQG24+AQK24+AQO24+AQS24+AQW24+ARA24+ARE24</f>
        <v>0</v>
      </c>
      <c r="ARJ24" s="711">
        <f>ARI24/ARG24</f>
        <v>0</v>
      </c>
      <c r="ARK24" s="593">
        <f>'Proy 2022 vs 2019 sem'!HG23*ARN$4</f>
        <v>7386.4391999999998</v>
      </c>
      <c r="ARL24" s="593">
        <f>'Proy 2022 vs 2019 sem'!HH23*ARN$4</f>
        <v>7017.1172399999996</v>
      </c>
      <c r="ARM24" s="701"/>
      <c r="ARN24" s="700">
        <f>ARM24/ARK24</f>
        <v>0</v>
      </c>
      <c r="ARO24" s="593">
        <f>'Proy 2022 vs 2019 sem'!HG23*ARR$4</f>
        <v>7386.4391999999998</v>
      </c>
      <c r="ARP24" s="593">
        <f>'Proy 2022 vs 2019 sem'!HH23*ARR$4</f>
        <v>7017.1172399999996</v>
      </c>
      <c r="ARQ24" s="701"/>
      <c r="ARR24" s="700">
        <f>ARQ24/ARO24</f>
        <v>0</v>
      </c>
      <c r="ARS24" s="593">
        <f>'Proy 2022 vs 2019 sem'!HG23*ARV$4</f>
        <v>7386.4391999999998</v>
      </c>
      <c r="ART24" s="593">
        <f>'Proy 2022 vs 2019 sem'!HH23*ARV$4</f>
        <v>7017.1172399999996</v>
      </c>
      <c r="ARU24" s="701"/>
      <c r="ARV24" s="700">
        <f>ARU24/ARS24</f>
        <v>0</v>
      </c>
      <c r="ARW24" s="593">
        <f>'Proy 2022 vs 2019 sem'!HG23*ARZ$4</f>
        <v>7386.4391999999998</v>
      </c>
      <c r="ARX24" s="593">
        <f>'Proy 2022 vs 2019 sem'!HH23*ARZ$4</f>
        <v>7017.1172399999996</v>
      </c>
      <c r="ARY24" s="701"/>
      <c r="ARZ24" s="700">
        <f>ARY24/ARW24</f>
        <v>0</v>
      </c>
      <c r="ASA24" s="593">
        <f>'Proy 2022 vs 2019 sem'!HG23*ASD$4</f>
        <v>8617.5124000000014</v>
      </c>
      <c r="ASB24" s="593">
        <f>'Proy 2022 vs 2019 sem'!HH23*ASD$4</f>
        <v>8186.6367800000007</v>
      </c>
      <c r="ASC24" s="701"/>
      <c r="ASD24" s="700">
        <f>ASC24/ASA24</f>
        <v>0</v>
      </c>
      <c r="ASE24" s="593">
        <f>'Proy 2022 vs 2019 sem'!HG23*ASH$4</f>
        <v>9848.5856000000003</v>
      </c>
      <c r="ASF24" s="593">
        <f>'Proy 2022 vs 2019 sem'!HH23*ASH$4</f>
        <v>9356.1563200000001</v>
      </c>
      <c r="ASG24" s="701"/>
      <c r="ASH24" s="700">
        <f>ASG24/ASE24</f>
        <v>0</v>
      </c>
      <c r="ASI24" s="593">
        <f>'Proy 2022 vs 2019 sem'!HG23*ASL$4</f>
        <v>13541.805200000001</v>
      </c>
      <c r="ASJ24" s="593">
        <f>'Proy 2022 vs 2019 sem'!HH23*ASL$4</f>
        <v>12864.71494</v>
      </c>
      <c r="ASK24" s="701"/>
      <c r="ASL24" s="700">
        <f>ASK24/ASI24</f>
        <v>0</v>
      </c>
      <c r="ASM24" s="579">
        <f>ARK24+ARO24+ARS24+ARW24+ASA24+ASE24+ASI24</f>
        <v>61553.66</v>
      </c>
      <c r="ASN24" s="574">
        <f>ARL24+ARP24+ART24+ARX24+ASB24+ASF24+ASJ24</f>
        <v>58475.976999999999</v>
      </c>
      <c r="ASO24" s="730">
        <f>ARM24+ARQ24+ARU24+ARY24+ASC24+ASG24+ASK24</f>
        <v>0</v>
      </c>
      <c r="ASP24" s="711">
        <f>ASO24/ASM24</f>
        <v>0</v>
      </c>
      <c r="ASQ24" s="593">
        <f>'Proy 2022 vs 2019 sem'!HL23*AST$4</f>
        <v>8688.2052000000003</v>
      </c>
      <c r="ASR24" s="593">
        <f>'Proy 2022 vs 2019 sem'!HM23*AST$4</f>
        <v>8427.5590439999996</v>
      </c>
      <c r="ASS24" s="701"/>
      <c r="AST24" s="700">
        <f>ASS24/ASQ24</f>
        <v>0</v>
      </c>
      <c r="ASU24" s="593">
        <f>'Proy 2022 vs 2019 sem'!HL23*ASX$4</f>
        <v>8688.2052000000003</v>
      </c>
      <c r="ASV24" s="593">
        <f>'Proy 2022 vs 2019 sem'!HM23*ASX$4</f>
        <v>8427.5590439999996</v>
      </c>
      <c r="ASW24" s="701"/>
      <c r="ASX24" s="700">
        <f>ASW24/ASU24</f>
        <v>0</v>
      </c>
      <c r="ASY24" s="593">
        <f>'Proy 2022 vs 2019 sem'!HL23*ATB$4</f>
        <v>8688.2052000000003</v>
      </c>
      <c r="ASZ24" s="593">
        <f>'Proy 2022 vs 2019 sem'!HM23*ATB$4</f>
        <v>8427.5590439999996</v>
      </c>
      <c r="ATA24" s="701"/>
      <c r="ATB24" s="700">
        <f>ATA24/ASY24</f>
        <v>0</v>
      </c>
      <c r="ATC24" s="593">
        <f>'Proy 2022 vs 2019 sem'!HL23*ATF$4</f>
        <v>8688.2052000000003</v>
      </c>
      <c r="ATD24" s="593">
        <f>'Proy 2022 vs 2019 sem'!HM23*ATF$4</f>
        <v>8427.5590439999996</v>
      </c>
      <c r="ATE24" s="701"/>
      <c r="ATF24" s="700">
        <f>ATE24/ATC24</f>
        <v>0</v>
      </c>
      <c r="ATG24" s="593">
        <f>'Proy 2022 vs 2019 sem'!HL23*ATJ$4</f>
        <v>10136.239400000002</v>
      </c>
      <c r="ATH24" s="593">
        <f>'Proy 2022 vs 2019 sem'!HM23*ATJ$4</f>
        <v>9832.1522180000011</v>
      </c>
      <c r="ATI24" s="701"/>
      <c r="ATJ24" s="700">
        <f>ATI24/ATG24</f>
        <v>0</v>
      </c>
      <c r="ATK24" s="593">
        <f>'Proy 2022 vs 2019 sem'!HL23*ATN$4</f>
        <v>11584.2736</v>
      </c>
      <c r="ATL24" s="593">
        <f>'Proy 2022 vs 2019 sem'!HM23*ATN$4</f>
        <v>11236.745392000001</v>
      </c>
      <c r="ATM24" s="701"/>
      <c r="ATN24" s="700">
        <f>ATM24/ATK24</f>
        <v>0</v>
      </c>
      <c r="ATO24" s="593">
        <f>'Proy 2022 vs 2019 sem'!HL23*ATR$4</f>
        <v>15928.376200000001</v>
      </c>
      <c r="ATP24" s="593">
        <f>'Proy 2022 vs 2019 sem'!HM23*ATR$4</f>
        <v>15450.524914</v>
      </c>
      <c r="ATQ24" s="701"/>
      <c r="ATR24" s="700">
        <f>ATQ24/ATO24</f>
        <v>0</v>
      </c>
      <c r="ATS24" s="579">
        <f>ASQ24+ASU24+ASY24+ATC24+ATG24+ATK24+ATO24</f>
        <v>72401.710000000006</v>
      </c>
      <c r="ATT24" s="574">
        <f>ASR24+ASV24+ASZ24+ATD24+ATH24+ATL24+ATP24</f>
        <v>70229.6587</v>
      </c>
      <c r="ATU24" s="710">
        <f>ASS24+ASW24+ATA24+ATE24+ATI24+ATM24+ATQ24</f>
        <v>0</v>
      </c>
      <c r="ATV24" s="711">
        <f>ATU24/ATS24</f>
        <v>0</v>
      </c>
      <c r="ATW24" s="593">
        <f>'Proy 2022 vs 2019 sem'!HQ23*ATZ$4</f>
        <v>7939.6020000000008</v>
      </c>
      <c r="ATX24" s="593">
        <f>'Proy 2022 vs 2019 sem'!HR23*ATZ$4</f>
        <v>7780.8099600000005</v>
      </c>
      <c r="ATY24" s="701"/>
      <c r="ATZ24" s="700">
        <f>ATY24/ATW24</f>
        <v>0</v>
      </c>
      <c r="AUA24" s="593">
        <f>'Proy 2022 vs 2019 sem'!HQ23*AUD$4</f>
        <v>7939.6020000000008</v>
      </c>
      <c r="AUB24" s="593">
        <f>'Proy 2022 vs 2019 sem'!HR23*AUD$4</f>
        <v>7780.8099600000005</v>
      </c>
      <c r="AUC24" s="701"/>
      <c r="AUD24" s="700">
        <f>AUC24/AUA24</f>
        <v>0</v>
      </c>
      <c r="AUE24" s="593">
        <f>'Proy 2022 vs 2019 sem'!HQ23*AUH$4</f>
        <v>7939.6020000000008</v>
      </c>
      <c r="AUF24" s="593">
        <f>'Proy 2022 vs 2019 sem'!HR23*AUH$4</f>
        <v>7780.8099600000005</v>
      </c>
      <c r="AUG24" s="701"/>
      <c r="AUH24" s="700">
        <f>AUG24/AUE24</f>
        <v>0</v>
      </c>
      <c r="AUI24" s="593">
        <f>'Proy 2022 vs 2019 sem'!HQ23*AUL$4</f>
        <v>7939.6020000000008</v>
      </c>
      <c r="AUJ24" s="593">
        <f>'Proy 2022 vs 2019 sem'!HR23*AUL$4</f>
        <v>7780.8099600000005</v>
      </c>
      <c r="AUK24" s="701"/>
      <c r="AUL24" s="700">
        <f>AUK24/AUI24</f>
        <v>0</v>
      </c>
      <c r="AUM24" s="593">
        <f>'Proy 2022 vs 2019 sem'!HQ23*AUP$4</f>
        <v>9262.8690000000024</v>
      </c>
      <c r="AUN24" s="593">
        <f>'Proy 2022 vs 2019 sem'!HR23*AUP$4</f>
        <v>9077.6116200000015</v>
      </c>
      <c r="AUO24" s="701"/>
      <c r="AUP24" s="700">
        <f>AUO24/AUM24</f>
        <v>0</v>
      </c>
      <c r="AUQ24" s="593">
        <f>'Proy 2022 vs 2019 sem'!HQ23*AUT$4</f>
        <v>10586.136</v>
      </c>
      <c r="AUR24" s="593">
        <f>'Proy 2022 vs 2019 sem'!HR23*AUT$4</f>
        <v>10374.413280000001</v>
      </c>
      <c r="AUS24" s="701"/>
      <c r="AUT24" s="700">
        <f>AUS24/AUQ24</f>
        <v>0</v>
      </c>
      <c r="AUU24" s="593">
        <f>'Proy 2022 vs 2019 sem'!HQ23*AUX$4</f>
        <v>14555.937000000002</v>
      </c>
      <c r="AUV24" s="593">
        <f>'Proy 2022 vs 2019 sem'!HR23*AUX$4</f>
        <v>14264.818260000002</v>
      </c>
      <c r="AUW24" s="701"/>
      <c r="AUX24" s="700">
        <f>AUW24/AUU24</f>
        <v>0</v>
      </c>
      <c r="AUY24" s="579">
        <f>ATW24+AUA24+AUE24+AUI24+AUM24+AUQ24+AUU24</f>
        <v>66163.350000000006</v>
      </c>
      <c r="AUZ24" s="574">
        <f>ATX24+AUB24+AUF24+AUJ24+AUN24+AUR24+AUV24</f>
        <v>64840.083000000006</v>
      </c>
      <c r="AVA24" s="710">
        <f>ATY24+AUC24+AUG24+AUK24+AUO24+AUS24+AUW24</f>
        <v>0</v>
      </c>
      <c r="AVB24" s="711">
        <f>AVA24/AUY24</f>
        <v>0</v>
      </c>
      <c r="AVC24" s="593">
        <f>'Proy 2022 vs 2019 sem'!HZ23*AVF$4</f>
        <v>7965.2424000000001</v>
      </c>
      <c r="AVD24" s="593">
        <f>'Proy 2022 vs 2019 sem'!IA23*AVF$4</f>
        <v>7726.2851279999995</v>
      </c>
      <c r="AVE24" s="736"/>
      <c r="AVF24" s="700">
        <f>AVE24/AVC24</f>
        <v>0</v>
      </c>
      <c r="AVG24" s="593">
        <f>'Proy 2022 vs 2019 sem'!HZ23*AVJ$4</f>
        <v>7965.2424000000001</v>
      </c>
      <c r="AVH24" s="593">
        <f>'Proy 2022 vs 2019 sem'!IA23*AVJ$4</f>
        <v>7726.2851279999995</v>
      </c>
      <c r="AVI24" s="701"/>
      <c r="AVJ24" s="700">
        <f>AVI24/AVG24</f>
        <v>0</v>
      </c>
      <c r="AVK24" s="593">
        <f>'Proy 2022 vs 2019 sem'!HZ23*AVN$4</f>
        <v>7965.2424000000001</v>
      </c>
      <c r="AVL24" s="593">
        <f>'Proy 2022 vs 2019 sem'!IA23*AVN$4</f>
        <v>7726.2851279999995</v>
      </c>
      <c r="AVM24" s="701"/>
      <c r="AVN24" s="700">
        <f>AVM24/AVK24</f>
        <v>0</v>
      </c>
      <c r="AVO24" s="593">
        <f>'Proy 2022 vs 2019 sem'!HZ23*AVR$4</f>
        <v>7965.2424000000001</v>
      </c>
      <c r="AVP24" s="593">
        <f>'Proy 2022 vs 2019 sem'!IA23*AVR$4</f>
        <v>7726.2851279999995</v>
      </c>
      <c r="AVQ24" s="701"/>
      <c r="AVR24" s="700">
        <f>AVQ24/AVO24</f>
        <v>0</v>
      </c>
      <c r="AVS24" s="593">
        <f>'Proy 2022 vs 2019 sem'!HZ23*AVV$4</f>
        <v>9292.7828000000009</v>
      </c>
      <c r="AVT24" s="593">
        <f>'Proy 2022 vs 2019 sem'!IA23*AVV$4</f>
        <v>9013.9993160000013</v>
      </c>
      <c r="AVU24" s="701"/>
      <c r="AVV24" s="700">
        <f>AVU24/AVS24</f>
        <v>0</v>
      </c>
      <c r="AVW24" s="593">
        <f>'Proy 2022 vs 2019 sem'!HZ23*AVZ$4</f>
        <v>10620.323200000001</v>
      </c>
      <c r="AVX24" s="593">
        <f>'Proy 2022 vs 2019 sem'!IA23*AVZ$4</f>
        <v>10301.713503999999</v>
      </c>
      <c r="AVY24" s="701"/>
      <c r="AVZ24" s="700">
        <f>AVY24/AVW24</f>
        <v>0</v>
      </c>
      <c r="AWA24" s="593">
        <f>'Proy 2022 vs 2019 sem'!HZ23*AWD$4</f>
        <v>14602.9444</v>
      </c>
      <c r="AWB24" s="593">
        <f>'Proy 2022 vs 2019 sem'!IA23*AWD$4</f>
        <v>14164.856067999999</v>
      </c>
      <c r="AWC24" s="701"/>
      <c r="AWD24" s="700">
        <f>AWC24/AWA24</f>
        <v>0</v>
      </c>
      <c r="AWE24" s="579">
        <f>AVC24+AVG24+AVK24+AVO24+AVS24+AVW24+AWA24</f>
        <v>66377.01999999999</v>
      </c>
      <c r="AWF24" s="574">
        <f>AVD24+AVH24+AVL24+AVP24+AVT24+AVX24+AWB24</f>
        <v>64385.7094</v>
      </c>
      <c r="AWG24" s="793">
        <f>AVE24+AVI24+AVM24+AVQ24+AVU24+AVY24+AWC24</f>
        <v>0</v>
      </c>
      <c r="AWH24" s="786">
        <f>AWG24/AWE24</f>
        <v>0</v>
      </c>
      <c r="AWI24" s="593">
        <f>'Proy 2022 vs 2019 sem'!IE23*AWL$4</f>
        <v>9457.74</v>
      </c>
      <c r="AWJ24" s="593">
        <f>'Proy 2022 vs 2019 sem'!IF23*AWL$4</f>
        <v>9079.4303999999993</v>
      </c>
      <c r="AWK24" s="701"/>
      <c r="AWL24" s="700">
        <f>AWK24/AWI24</f>
        <v>0</v>
      </c>
      <c r="AWM24" s="593">
        <f>'Proy 2022 vs 2019 sem'!IE23*AWP$4</f>
        <v>9457.74</v>
      </c>
      <c r="AWN24" s="593">
        <f>'Proy 2022 vs 2019 sem'!IF23*AWP$4</f>
        <v>9079.4303999999993</v>
      </c>
      <c r="AWO24" s="701"/>
      <c r="AWP24" s="700">
        <f>AWO24/AWM24</f>
        <v>0</v>
      </c>
      <c r="AWQ24" s="593">
        <f>'Proy 2022 vs 2019 sem'!IE23*AWT$4</f>
        <v>9457.74</v>
      </c>
      <c r="AWR24" s="593">
        <f>'Proy 2022 vs 2019 sem'!IF23*AWT$4</f>
        <v>9079.4303999999993</v>
      </c>
      <c r="AWS24" s="701"/>
      <c r="AWT24" s="700">
        <f>AWS24/AWQ24</f>
        <v>0</v>
      </c>
      <c r="AWU24" s="593">
        <f>'Proy 2022 vs 2019 sem'!IE23*AWX$4</f>
        <v>9457.74</v>
      </c>
      <c r="AWV24" s="593">
        <f>'Proy 2022 vs 2019 sem'!IF23*AWX$4</f>
        <v>9079.4303999999993</v>
      </c>
      <c r="AWW24" s="701"/>
      <c r="AWX24" s="700">
        <f>AWW24/AWU24</f>
        <v>0</v>
      </c>
      <c r="AWY24" s="593">
        <f>'Proy 2022 vs 2019 sem'!IE23*AXB$4</f>
        <v>11034.03</v>
      </c>
      <c r="AWZ24" s="593">
        <f>'Proy 2022 vs 2019 sem'!IF23*AXB$4</f>
        <v>10592.668800000001</v>
      </c>
      <c r="AXA24" s="701"/>
      <c r="AXB24" s="700">
        <f>AXA24/AWY24</f>
        <v>0</v>
      </c>
      <c r="AXC24" s="593">
        <f>'Proy 2022 vs 2019 sem'!IE23*AXF$4</f>
        <v>12610.32</v>
      </c>
      <c r="AXD24" s="593">
        <f>'Proy 2022 vs 2019 sem'!IF23*AXF$4</f>
        <v>12105.9072</v>
      </c>
      <c r="AXE24" s="701"/>
      <c r="AXF24" s="700">
        <f>AXE24/AXC24</f>
        <v>0</v>
      </c>
      <c r="AXG24" s="593">
        <f>'Proy 2022 vs 2019 sem'!IE23*AXJ$4</f>
        <v>17339.189999999999</v>
      </c>
      <c r="AXH24" s="593">
        <f>'Proy 2022 vs 2019 sem'!IF23*AXJ$4</f>
        <v>16645.6224</v>
      </c>
      <c r="AXI24" s="701"/>
      <c r="AXJ24" s="700">
        <f>AXI24/AXG24</f>
        <v>0</v>
      </c>
      <c r="AXK24" s="579">
        <f>AWI24+AWM24+AWQ24+AWU24+AWY24+AXC24+AXG24</f>
        <v>78814.5</v>
      </c>
      <c r="AXL24" s="574">
        <f>AWJ24+AWN24+AWR24+AWV24+AWZ24+AXD24+AXH24</f>
        <v>75661.919999999998</v>
      </c>
      <c r="AXM24" s="794">
        <f>AWK24+AWO24+AWS24+AWW24+AXA24+AXE24+AXI24</f>
        <v>0</v>
      </c>
      <c r="AXN24" s="786">
        <f>AXM24/AXK24</f>
        <v>0</v>
      </c>
      <c r="AXO24" s="593">
        <f>'Proy 2022 vs 2019 sem'!IJ23*AXR$4</f>
        <v>9829.9524000000001</v>
      </c>
      <c r="AXP24" s="593">
        <f>'Proy 2022 vs 2019 sem'!IK23*AXR$4</f>
        <v>9731.6528760000001</v>
      </c>
      <c r="AXQ24" s="701"/>
      <c r="AXR24" s="700">
        <f>AXQ24/AXO24</f>
        <v>0</v>
      </c>
      <c r="AXS24" s="593">
        <f>'Proy 2022 vs 2019 sem'!IJ23*AXV$4</f>
        <v>9829.9524000000001</v>
      </c>
      <c r="AXT24" s="593">
        <f>'Proy 2022 vs 2019 sem'!IK23*AXV$4</f>
        <v>9731.6528760000001</v>
      </c>
      <c r="AXU24" s="701"/>
      <c r="AXV24" s="700">
        <f>AXU24/AXS24</f>
        <v>0</v>
      </c>
      <c r="AXW24" s="593">
        <f>'Proy 2022 vs 2019 sem'!IJ23*AXZ$4</f>
        <v>9829.9524000000001</v>
      </c>
      <c r="AXX24" s="593">
        <f>'Proy 2022 vs 2019 sem'!IK23*AXZ$4</f>
        <v>9731.6528760000001</v>
      </c>
      <c r="AXY24" s="701"/>
      <c r="AXZ24" s="700">
        <f>AXY24/AXW24</f>
        <v>0</v>
      </c>
      <c r="AYA24" s="593">
        <f>'Proy 2022 vs 2019 sem'!IJ23*AYD$4</f>
        <v>9829.9524000000001</v>
      </c>
      <c r="AYB24" s="593">
        <f>'Proy 2022 vs 2019 sem'!IK23*AYD$4</f>
        <v>9731.6528760000001</v>
      </c>
      <c r="AYC24" s="701"/>
      <c r="AYD24" s="700">
        <f>AYC24/AYA24</f>
        <v>0</v>
      </c>
      <c r="AYE24" s="593">
        <f>'Proy 2022 vs 2019 sem'!IJ23*AYH$4</f>
        <v>11468.277800000002</v>
      </c>
      <c r="AYF24" s="593">
        <f>'Proy 2022 vs 2019 sem'!IK23*AYH$4</f>
        <v>11353.595022000001</v>
      </c>
      <c r="AYG24" s="701"/>
      <c r="AYH24" s="700">
        <f>AYG24/AYE24</f>
        <v>0</v>
      </c>
      <c r="AYI24" s="593">
        <f>'Proy 2022 vs 2019 sem'!IJ23*AYL$4</f>
        <v>13106.603200000001</v>
      </c>
      <c r="AYJ24" s="593">
        <f>'Proy 2022 vs 2019 sem'!IK23*AYL$4</f>
        <v>12975.537168000001</v>
      </c>
      <c r="AYK24" s="701"/>
      <c r="AYL24" s="700">
        <f>AYK24/AYI24</f>
        <v>0</v>
      </c>
      <c r="AYM24" s="593">
        <f>'Proy 2022 vs 2019 sem'!IJ23*AYP$4</f>
        <v>18021.579400000002</v>
      </c>
      <c r="AYN24" s="593">
        <f>'Proy 2022 vs 2019 sem'!IK23*AYP$4</f>
        <v>17841.363606000003</v>
      </c>
      <c r="AYO24" s="701"/>
      <c r="AYP24" s="700">
        <f>AYO24/AYM24</f>
        <v>0</v>
      </c>
      <c r="AYQ24" s="579">
        <f>AXO24+AXS24+AXW24+AYA24+AYE24+AYI24+AYM24</f>
        <v>81916.27</v>
      </c>
      <c r="AYR24" s="574">
        <f>AXP24+AXT24+AXX24+AYB24+AYF24+AYJ24+AYN24</f>
        <v>81097.107300000003</v>
      </c>
      <c r="AYS24" s="794">
        <f>AXQ24+AXU24+AXY24+AYC24+AYG24+AYK24+AYO24</f>
        <v>0</v>
      </c>
      <c r="AYT24" s="786">
        <f>AYS24/AYQ24</f>
        <v>0</v>
      </c>
      <c r="AYU24" s="593">
        <f>'Proy 2022 vs 2019 sem'!IO23*AYX$4</f>
        <v>13163.194799999999</v>
      </c>
      <c r="AYV24" s="593">
        <f>'Proy 2022 vs 2019 sem'!IP23*AYX$4</f>
        <v>12768.298955999999</v>
      </c>
      <c r="AYW24" s="701"/>
      <c r="AYX24" s="700">
        <f>AYW24/AYU24</f>
        <v>0</v>
      </c>
      <c r="AYY24" s="593">
        <f>'Proy 2022 vs 2019 sem'!IO23*AZB$4</f>
        <v>13163.194799999999</v>
      </c>
      <c r="AYZ24" s="593">
        <f>'Proy 2022 vs 2019 sem'!IP23*AZB$4</f>
        <v>12768.298955999999</v>
      </c>
      <c r="AZA24" s="701"/>
      <c r="AZB24" s="700">
        <f>AZA24/AYY24</f>
        <v>0</v>
      </c>
      <c r="AZC24" s="593">
        <f>'Proy 2022 vs 2019 sem'!IO23*AZF$4</f>
        <v>13163.194799999999</v>
      </c>
      <c r="AZD24" s="593">
        <f>'Proy 2022 vs 2019 sem'!IP23*AZF$4</f>
        <v>12768.298955999999</v>
      </c>
      <c r="AZE24" s="701"/>
      <c r="AZF24" s="700">
        <f>AZE24/AZC24</f>
        <v>0</v>
      </c>
      <c r="AZG24" s="593">
        <f>'Proy 2022 vs 2019 sem'!IO23*AZJ$4</f>
        <v>13163.194799999999</v>
      </c>
      <c r="AZH24" s="593">
        <f>'Proy 2022 vs 2019 sem'!IP23*AZJ$4</f>
        <v>12768.298955999999</v>
      </c>
      <c r="AZI24" s="701"/>
      <c r="AZJ24" s="700">
        <f>AZI24/AZG24</f>
        <v>0</v>
      </c>
      <c r="AZK24" s="593">
        <f>'Proy 2022 vs 2019 sem'!IO23*AZN$4</f>
        <v>15357.060600000001</v>
      </c>
      <c r="AZL24" s="593">
        <f>'Proy 2022 vs 2019 sem'!IP23*AZN$4</f>
        <v>14896.348782000001</v>
      </c>
      <c r="AZM24" s="701"/>
      <c r="AZN24" s="700">
        <f>AZM24/AZK24</f>
        <v>0</v>
      </c>
      <c r="AZO24" s="593">
        <f>'Proy 2022 vs 2019 sem'!IO23*AZR$4</f>
        <v>17550.9264</v>
      </c>
      <c r="AZP24" s="593">
        <f>'Proy 2022 vs 2019 sem'!IP23*AZR$4</f>
        <v>17024.398608</v>
      </c>
      <c r="AZQ24" s="701"/>
      <c r="AZR24" s="700">
        <f>AZQ24/AZO24</f>
        <v>0</v>
      </c>
      <c r="AZS24" s="593">
        <f>'Proy 2022 vs 2019 sem'!IO23*AZV$4</f>
        <v>24132.523799999999</v>
      </c>
      <c r="AZT24" s="593">
        <f>'Proy 2022 vs 2019 sem'!IP23*AZV$4</f>
        <v>23408.548085999999</v>
      </c>
      <c r="AZU24" s="701"/>
      <c r="AZV24" s="700">
        <f>AZU24/AZS24</f>
        <v>0</v>
      </c>
      <c r="AZW24" s="579">
        <f>AYU24+AYY24+AZC24+AZG24+AZK24+AZO24+AZS24</f>
        <v>109693.29</v>
      </c>
      <c r="AZX24" s="574">
        <f>AYV24+AYZ24+AZD24+AZH24+AZL24+AZP24+AZT24</f>
        <v>106402.49129999999</v>
      </c>
      <c r="AZY24" s="785">
        <f>AYW24+AZA24+AZE24+AZI24+AZM24+AZQ24+AZU24</f>
        <v>0</v>
      </c>
      <c r="AZZ24" s="786">
        <f>AZY24/AZW24</f>
        <v>0</v>
      </c>
      <c r="BAA24" s="593">
        <f>'Proy 2022 vs 2019 sem'!IX23*BAD$4</f>
        <v>8114.4</v>
      </c>
      <c r="BAB24" s="593">
        <f>'Proy 2022 vs 2019 sem'!IY23*BAD$4</f>
        <v>7870.9679999999989</v>
      </c>
      <c r="BAC24" s="736"/>
      <c r="BAD24" s="700">
        <f>BAC24/BAA24</f>
        <v>0</v>
      </c>
      <c r="BAE24" s="593">
        <f>'Proy 2022 vs 2019 sem'!IX23*BAH$4</f>
        <v>8114.4</v>
      </c>
      <c r="BAF24" s="593">
        <f>'Proy 2022 vs 2019 sem'!IY23*BAH$4</f>
        <v>7870.9679999999989</v>
      </c>
      <c r="BAG24" s="701"/>
      <c r="BAH24" s="700">
        <f>BAG24/BAE24</f>
        <v>0</v>
      </c>
      <c r="BAI24" s="593">
        <f>'Proy 2022 vs 2019 sem'!IX23*BAL$4</f>
        <v>8114.4</v>
      </c>
      <c r="BAJ24" s="593">
        <f>'Proy 2022 vs 2019 sem'!IY23*BAL$4</f>
        <v>7870.9679999999989</v>
      </c>
      <c r="BAK24" s="701"/>
      <c r="BAL24" s="700">
        <f>BAK24/BAI24</f>
        <v>0</v>
      </c>
      <c r="BAM24" s="593">
        <f>'Proy 2022 vs 2019 sem'!IX23*BAP$4</f>
        <v>8114.4</v>
      </c>
      <c r="BAN24" s="593">
        <f>'Proy 2022 vs 2019 sem'!IY23*BAP$4</f>
        <v>7870.9679999999989</v>
      </c>
      <c r="BAO24" s="701"/>
      <c r="BAP24" s="700">
        <f>BAO24/BAM24</f>
        <v>0</v>
      </c>
      <c r="BAQ24" s="593">
        <f>'Proy 2022 vs 2019 sem'!IX23*BAT$4</f>
        <v>9466.8000000000011</v>
      </c>
      <c r="BAR24" s="593">
        <f>'Proy 2022 vs 2019 sem'!IY23*BAT$4</f>
        <v>9182.7960000000003</v>
      </c>
      <c r="BAS24" s="701"/>
      <c r="BAT24" s="700">
        <f>BAS24/BAQ24</f>
        <v>0</v>
      </c>
      <c r="BAU24" s="593">
        <f>'Proy 2022 vs 2019 sem'!IX23*BAX$4</f>
        <v>10819.2</v>
      </c>
      <c r="BAV24" s="593">
        <f>'Proy 2022 vs 2019 sem'!IY23*BAX$4</f>
        <v>10494.624</v>
      </c>
      <c r="BAW24" s="701"/>
      <c r="BAX24" s="700">
        <f>BAW24/BAU24</f>
        <v>0</v>
      </c>
      <c r="BAY24" s="593">
        <f>'Proy 2022 vs 2019 sem'!IX23*BBB$4</f>
        <v>14876.4</v>
      </c>
      <c r="BAZ24" s="593">
        <f>'Proy 2022 vs 2019 sem'!IY23*BBB$4</f>
        <v>14430.107999999998</v>
      </c>
      <c r="BBA24" s="701"/>
      <c r="BBB24" s="700">
        <f>BBA24/BAY24</f>
        <v>0</v>
      </c>
      <c r="BBC24" s="579">
        <f>BAA24+BAE24+BAI24+BAM24+BAQ24+BAU24+BAY24</f>
        <v>67620</v>
      </c>
      <c r="BBD24" s="574">
        <f>BAB24+BAF24+BAJ24+BAN24+BAR24+BAV24+BAZ24</f>
        <v>65591.399999999994</v>
      </c>
      <c r="BBE24" s="759">
        <f>BAC24+BAG24+BAK24+BAO24+BAS24+BAW24+BBA24</f>
        <v>0</v>
      </c>
      <c r="BBF24" s="761">
        <f>BBE24/BBC24</f>
        <v>0</v>
      </c>
      <c r="BBG24" s="593">
        <f>'Proy 2022 vs 2019 sem'!JC23*BBJ$4</f>
        <v>8938.5491999999995</v>
      </c>
      <c r="BBH24" s="593">
        <f>'Proy 2022 vs 2019 sem'!JD23*BBJ$4</f>
        <v>8402.2362479999993</v>
      </c>
      <c r="BBI24" s="701"/>
      <c r="BBJ24" s="700">
        <f>BBI24/BBG24</f>
        <v>0</v>
      </c>
      <c r="BBK24" s="593">
        <f>'Proy 2022 vs 2019 sem'!JC23*BBN$4</f>
        <v>8938.5491999999995</v>
      </c>
      <c r="BBL24" s="593">
        <f>'Proy 2022 vs 2019 sem'!JD23*BBN$4</f>
        <v>8402.2362479999993</v>
      </c>
      <c r="BBM24" s="701"/>
      <c r="BBN24" s="700">
        <f>BBM24/BBK24</f>
        <v>0</v>
      </c>
      <c r="BBO24" s="593">
        <f>'Proy 2022 vs 2019 sem'!JC23*BBR$4</f>
        <v>8938.5491999999995</v>
      </c>
      <c r="BBP24" s="593">
        <f>'Proy 2022 vs 2019 sem'!JD23*BBR$4</f>
        <v>8402.2362479999993</v>
      </c>
      <c r="BBQ24" s="701"/>
      <c r="BBR24" s="700">
        <f>BBQ24/BBO24</f>
        <v>0</v>
      </c>
      <c r="BBS24" s="593">
        <f>'Proy 2022 vs 2019 sem'!JC23*BBV$4</f>
        <v>8938.5491999999995</v>
      </c>
      <c r="BBT24" s="593">
        <f>'Proy 2022 vs 2019 sem'!JD23*BBV$4</f>
        <v>8402.2362479999993</v>
      </c>
      <c r="BBU24" s="701"/>
      <c r="BBV24" s="700">
        <f>BBU24/BBS24</f>
        <v>0</v>
      </c>
      <c r="BBW24" s="593">
        <f>'Proy 2022 vs 2019 sem'!JC23*BBZ$4</f>
        <v>10428.307400000002</v>
      </c>
      <c r="BBX24" s="593">
        <f>'Proy 2022 vs 2019 sem'!JD23*BBZ$4</f>
        <v>9802.608956</v>
      </c>
      <c r="BBY24" s="701"/>
      <c r="BBZ24" s="700">
        <f>BBY24/BBW24</f>
        <v>0</v>
      </c>
      <c r="BCA24" s="593">
        <f>'Proy 2022 vs 2019 sem'!JC23*BCD$4</f>
        <v>11918.0656</v>
      </c>
      <c r="BCB24" s="593">
        <f>'Proy 2022 vs 2019 sem'!JD23*BCD$4</f>
        <v>11202.981664000001</v>
      </c>
      <c r="BCC24" s="701"/>
      <c r="BCD24" s="700">
        <f>BCC24/BCA24</f>
        <v>0</v>
      </c>
      <c r="BCE24" s="593">
        <f>'Proy 2022 vs 2019 sem'!JC23*BCH$4</f>
        <v>16387.340200000002</v>
      </c>
      <c r="BCF24" s="593">
        <f>'Proy 2022 vs 2019 sem'!JD23*BCH$4</f>
        <v>15404.099788</v>
      </c>
      <c r="BCG24" s="701"/>
      <c r="BCH24" s="700">
        <f>BCG24/BCE24</f>
        <v>0</v>
      </c>
      <c r="BCI24" s="579">
        <f>BBG24+BBK24+BBO24+BBS24+BBW24+BCA24+BCE24</f>
        <v>74487.91</v>
      </c>
      <c r="BCJ24" s="574">
        <f>BBH24+BBL24+BBP24+BBT24+BBX24+BCB24+BCF24</f>
        <v>70018.635399999999</v>
      </c>
      <c r="BCK24" s="765">
        <f>BBI24+BBM24+BBQ24+BBU24+BBY24+BCC24+BCG24</f>
        <v>0</v>
      </c>
      <c r="BCL24" s="761">
        <f>BCK24/BCI24</f>
        <v>0</v>
      </c>
      <c r="BCM24" s="593">
        <f>'Proy 2022 vs 2019 sem'!JH23*BCP$4</f>
        <v>13867.157999999999</v>
      </c>
      <c r="BCN24" s="593">
        <f>'Proy 2022 vs 2019 sem'!JI23*BCP$4</f>
        <v>13312.471679999999</v>
      </c>
      <c r="BCO24" s="701"/>
      <c r="BCP24" s="700">
        <f>BCO24/BCM24</f>
        <v>0</v>
      </c>
      <c r="BCQ24" s="593">
        <f>'Proy 2022 vs 2019 sem'!JH23*BCT$4</f>
        <v>13867.157999999999</v>
      </c>
      <c r="BCR24" s="593">
        <f>'Proy 2022 vs 2019 sem'!JI23*BCT$4</f>
        <v>13312.471679999999</v>
      </c>
      <c r="BCS24" s="701"/>
      <c r="BCT24" s="700">
        <f>BCS24/BCQ24</f>
        <v>0</v>
      </c>
      <c r="BCU24" s="593">
        <f>'Proy 2022 vs 2019 sem'!JH23*BCX$4</f>
        <v>13867.157999999999</v>
      </c>
      <c r="BCV24" s="593">
        <f>'Proy 2022 vs 2019 sem'!JI23*BCX$4</f>
        <v>13312.471679999999</v>
      </c>
      <c r="BCW24" s="701"/>
      <c r="BCX24" s="700">
        <f>BCW24/BCU24</f>
        <v>0</v>
      </c>
      <c r="BCY24" s="593">
        <f>'Proy 2022 vs 2019 sem'!JH23*BDB$4</f>
        <v>13867.157999999999</v>
      </c>
      <c r="BCZ24" s="593">
        <f>'Proy 2022 vs 2019 sem'!JI23*BDB$4</f>
        <v>13312.471679999999</v>
      </c>
      <c r="BDA24" s="701"/>
      <c r="BDB24" s="700">
        <f>BDA24/BCY24</f>
        <v>0</v>
      </c>
      <c r="BDC24" s="593">
        <f>'Proy 2022 vs 2019 sem'!JH23*BDF$4</f>
        <v>16178.351000000001</v>
      </c>
      <c r="BDD24" s="593">
        <f>'Proy 2022 vs 2019 sem'!JI23*BDF$4</f>
        <v>15531.216960000002</v>
      </c>
      <c r="BDE24" s="701"/>
      <c r="BDF24" s="700">
        <f>BDE24/BDC24</f>
        <v>0</v>
      </c>
      <c r="BDG24" s="593">
        <f>'Proy 2022 vs 2019 sem'!JH23*BDJ$4</f>
        <v>18489.543999999998</v>
      </c>
      <c r="BDH24" s="593">
        <f>'Proy 2022 vs 2019 sem'!JI23*BDJ$4</f>
        <v>17749.962240000001</v>
      </c>
      <c r="BDI24" s="701"/>
      <c r="BDJ24" s="700">
        <f>BDI24/BDG24</f>
        <v>0</v>
      </c>
      <c r="BDK24" s="593">
        <f>'Proy 2022 vs 2019 sem'!JH23*BDN$4</f>
        <v>25423.123</v>
      </c>
      <c r="BDL24" s="593">
        <f>'Proy 2022 vs 2019 sem'!JI23*BDN$4</f>
        <v>24406.198079999998</v>
      </c>
      <c r="BDM24" s="701"/>
      <c r="BDN24" s="700">
        <f>BDM24/BDK24</f>
        <v>0</v>
      </c>
      <c r="BDO24" s="579">
        <f>BCM24+BCQ24+BCU24+BCY24+BDC24+BDG24+BDK24</f>
        <v>115559.65</v>
      </c>
      <c r="BDP24" s="574">
        <f>BCN24+BCR24+BCV24+BCZ24+BDD24+BDH24+BDL24</f>
        <v>110937.264</v>
      </c>
      <c r="BDQ24" s="765">
        <f>BCO24+BCS24+BCW24+BDA24+BDE24+BDI24+BDM24</f>
        <v>0</v>
      </c>
      <c r="BDR24" s="761">
        <f>BDQ24/BDO24</f>
        <v>0</v>
      </c>
      <c r="BDS24" s="593">
        <f>'Proy 2022 vs 2019 sem'!JM23*BDV$4</f>
        <v>15514.167599999999</v>
      </c>
      <c r="BDT24" s="593">
        <f>'Proy 2022 vs 2019 sem'!JN23*BDV$4</f>
        <v>14738.459219999999</v>
      </c>
      <c r="BDU24" s="701"/>
      <c r="BDV24" s="700">
        <f>BDU24/BDS24</f>
        <v>0</v>
      </c>
      <c r="BDW24" s="593">
        <f>'Proy 2022 vs 2019 sem'!JM23*BDZ$4</f>
        <v>15514.167599999999</v>
      </c>
      <c r="BDX24" s="593">
        <f>'Proy 2022 vs 2019 sem'!JN23*BDZ$4</f>
        <v>14738.459219999999</v>
      </c>
      <c r="BDY24" s="701"/>
      <c r="BDZ24" s="700">
        <f>BDY24/BDW24</f>
        <v>0</v>
      </c>
      <c r="BEA24" s="593">
        <f>'Proy 2022 vs 2019 sem'!JM23*BED$4</f>
        <v>15514.167599999999</v>
      </c>
      <c r="BEB24" s="593">
        <f>'Proy 2022 vs 2019 sem'!JN23*BED$4</f>
        <v>14738.459219999999</v>
      </c>
      <c r="BEC24" s="701"/>
      <c r="BED24" s="700">
        <f>BEC24/BEA24</f>
        <v>0</v>
      </c>
      <c r="BEE24" s="593">
        <v>14503.990400000001</v>
      </c>
      <c r="BEF24" s="593">
        <f>'Proy 2022 vs 2019 sem'!JN23*BEH$4</f>
        <v>14738.459219999999</v>
      </c>
      <c r="BEG24" s="701"/>
      <c r="BEH24" s="700">
        <f>BEG24/BEE24</f>
        <v>0</v>
      </c>
      <c r="BEI24" s="593">
        <f>'Proy 2022 vs 2019 sem'!JM23*BEL$4</f>
        <v>18099.8622</v>
      </c>
      <c r="BEJ24" s="593">
        <f>'Proy 2022 vs 2019 sem'!JN23*BEL$4</f>
        <v>17194.86909</v>
      </c>
      <c r="BEK24" s="701"/>
      <c r="BEL24" s="700">
        <f>BEK24/BEI24</f>
        <v>0</v>
      </c>
      <c r="BEM24" s="593">
        <f>'Proy 2022 vs 2019 sem'!JM23*BEP$4</f>
        <v>20685.556799999998</v>
      </c>
      <c r="BEN24" s="593">
        <f>'Proy 2022 vs 2019 sem'!JN23*BEP$4</f>
        <v>19651.27896</v>
      </c>
      <c r="BEO24" s="701"/>
      <c r="BEP24" s="700">
        <f>BEO24/BEM24</f>
        <v>0</v>
      </c>
      <c r="BEQ24" s="593">
        <f>'Proy 2022 vs 2019 sem'!JM23*BET$4</f>
        <v>28442.640599999999</v>
      </c>
      <c r="BER24" s="593">
        <f>'Proy 2022 vs 2019 sem'!JN23*BET$4</f>
        <v>27020.508569999998</v>
      </c>
      <c r="BES24" s="701"/>
      <c r="BET24" s="700">
        <f>BES24/BEQ24</f>
        <v>0</v>
      </c>
      <c r="BEU24" s="579">
        <f>BDS24+BDW24+BEA24+BEE24+BEI24+BEM24+BEQ24</f>
        <v>128274.55279999999</v>
      </c>
      <c r="BEV24" s="574">
        <f>BDT24+BDX24+BEB24+BEF24+BEJ24+BEN24+BER24</f>
        <v>122820.49349999998</v>
      </c>
      <c r="BEW24" s="770">
        <f>BDU24+BDY24+BEC24+BEG24+BEK24+BEO24+BES24</f>
        <v>0</v>
      </c>
      <c r="BEX24" s="761">
        <f>BEW24/BEU24</f>
        <v>0</v>
      </c>
      <c r="BEY24" s="593">
        <f>'Proy 2022 vs 2019 sem'!JV23*BFB$4</f>
        <v>18111.725999999999</v>
      </c>
      <c r="BEZ24" s="593">
        <f>'Proy 2022 vs 2019 sem'!JW23*BFB$4</f>
        <v>17025.022439999997</v>
      </c>
      <c r="BFA24" s="736"/>
      <c r="BFB24" s="700">
        <f>BFA24/BEY24</f>
        <v>0</v>
      </c>
      <c r="BFC24" s="593">
        <f>'Proy 2022 vs 2019 sem'!JV23*BFF$4</f>
        <v>18111.725999999999</v>
      </c>
      <c r="BFD24" s="593">
        <f>'Proy 2022 vs 2019 sem'!JW23*BFF$4</f>
        <v>17025.022439999997</v>
      </c>
      <c r="BFE24" s="736"/>
      <c r="BFF24" s="700">
        <f>BFE24/BFC24</f>
        <v>0</v>
      </c>
      <c r="BFG24" s="593">
        <f>'Proy 2022 vs 2019 sem'!JV23*BFJ$4</f>
        <v>18111.725999999999</v>
      </c>
      <c r="BFH24" s="593">
        <f>'Proy 2022 vs 2019 sem'!JW23*BFJ$4</f>
        <v>17025.022439999997</v>
      </c>
      <c r="BFI24" s="736"/>
      <c r="BFJ24" s="700">
        <f>BFI24/BFG24</f>
        <v>0</v>
      </c>
      <c r="BFK24" s="593">
        <f>'Proy 2022 vs 2019 sem'!JV23*BFN$4</f>
        <v>18111.725999999999</v>
      </c>
      <c r="BFL24" s="593">
        <f>'Proy 2022 vs 2019 sem'!JW23*BFN$4</f>
        <v>17025.022439999997</v>
      </c>
      <c r="BFM24" s="736"/>
      <c r="BFN24" s="700">
        <f>BFM24/BFK24</f>
        <v>0</v>
      </c>
      <c r="BFO24" s="593">
        <f>'Proy 2022 vs 2019 sem'!JV23*BFR$4</f>
        <v>21130.347000000002</v>
      </c>
      <c r="BFP24" s="593">
        <f>'Proy 2022 vs 2019 sem'!JW23*BFR$4</f>
        <v>19862.526179999997</v>
      </c>
      <c r="BFQ24" s="736"/>
      <c r="BFR24" s="700">
        <f>BFQ24/BFO24</f>
        <v>0</v>
      </c>
      <c r="BFS24" s="593">
        <f>'Proy 2022 vs 2019 sem'!JV23*BFV$4</f>
        <v>24148.967999999997</v>
      </c>
      <c r="BFT24" s="593">
        <f>'Proy 2022 vs 2019 sem'!JW23*BFV$4</f>
        <v>22700.029919999997</v>
      </c>
      <c r="BFU24" s="736"/>
      <c r="BFV24" s="700">
        <f>BFU24/BFS24</f>
        <v>0</v>
      </c>
      <c r="BFW24" s="593">
        <f>'Proy 2022 vs 2019 sem'!JV23*BFZ$4</f>
        <v>33204.830999999998</v>
      </c>
      <c r="BFX24" s="593">
        <f>'Proy 2022 vs 2019 sem'!JW23*BFZ$4</f>
        <v>31212.541139999994</v>
      </c>
      <c r="BFY24" s="736"/>
      <c r="BFZ24" s="700">
        <f>BFY24/BFW24</f>
        <v>0</v>
      </c>
      <c r="BGA24" s="579">
        <f>BEY24+BFC24+BFG24+BFK24+BFO24+BFS24+BFW24</f>
        <v>150931.04999999999</v>
      </c>
      <c r="BGB24" s="574">
        <f>BEZ24+BFD24+BFH24+BFL24+BFP24+BFT24+BFX24</f>
        <v>141875.18699999998</v>
      </c>
      <c r="BGC24" s="729">
        <f>BFA24+BFE24+BFI24+BFM24+BFQ24+BFU24+BFY24</f>
        <v>0</v>
      </c>
      <c r="BGD24" s="711">
        <f>BGC24/BGA24</f>
        <v>0</v>
      </c>
      <c r="BGE24" s="593">
        <f>'Proy 2022 vs 2019 sem'!KA23*BGH$4</f>
        <v>21604.542000000001</v>
      </c>
      <c r="BGF24" s="593">
        <f>'Proy 2022 vs 2019 sem'!KB23*BGH$4</f>
        <v>20092.22406</v>
      </c>
      <c r="BGG24" s="701"/>
      <c r="BGH24" s="700">
        <f>BGG24/BGE24</f>
        <v>0</v>
      </c>
      <c r="BGI24" s="593">
        <f>'Proy 2022 vs 2019 sem'!KA23*BGL$4</f>
        <v>21604.542000000001</v>
      </c>
      <c r="BGJ24" s="593">
        <f>'Proy 2022 vs 2019 sem'!KB23*BGL$4</f>
        <v>20092.22406</v>
      </c>
      <c r="BGK24" s="701"/>
      <c r="BGL24" s="700">
        <f>BGK24/BGI24</f>
        <v>0</v>
      </c>
      <c r="BGM24" s="593">
        <f>'Proy 2022 vs 2019 sem'!KA23*BGP$4</f>
        <v>21604.542000000001</v>
      </c>
      <c r="BGN24" s="593">
        <f>'Proy 2022 vs 2019 sem'!KB23*BGP$4</f>
        <v>20092.22406</v>
      </c>
      <c r="BGO24" s="701"/>
      <c r="BGP24" s="700">
        <f>BGO24/BGM24</f>
        <v>0</v>
      </c>
      <c r="BGQ24" s="593">
        <f>'Proy 2022 vs 2019 sem'!KA23*BGT$4</f>
        <v>21604.542000000001</v>
      </c>
      <c r="BGR24" s="593">
        <f>'Proy 2022 vs 2019 sem'!KB23*BGT$4</f>
        <v>20092.22406</v>
      </c>
      <c r="BGS24" s="701"/>
      <c r="BGT24" s="700">
        <f>BGS24/BGQ24</f>
        <v>0</v>
      </c>
      <c r="BGU24" s="593">
        <f>'Proy 2022 vs 2019 sem'!KA23*BGX$4</f>
        <v>25205.299000000003</v>
      </c>
      <c r="BGV24" s="593">
        <f>'Proy 2022 vs 2019 sem'!KB23*BGX$4</f>
        <v>23440.928070000002</v>
      </c>
      <c r="BGW24" s="701"/>
      <c r="BGX24" s="700">
        <f>BGW24/BGU24</f>
        <v>0</v>
      </c>
      <c r="BGY24" s="593">
        <f>'Proy 2022 vs 2019 sem'!KA23*BHB$4</f>
        <v>28806.056</v>
      </c>
      <c r="BGZ24" s="593">
        <f>'Proy 2022 vs 2019 sem'!KB23*BHB$4</f>
        <v>26789.632080000003</v>
      </c>
      <c r="BHA24" s="701"/>
      <c r="BHB24" s="700">
        <f>BHA24/BGY24</f>
        <v>0</v>
      </c>
      <c r="BHC24" s="593">
        <f>'Proy 2022 vs 2019 sem'!KA23*BHF$4</f>
        <v>39608.327000000005</v>
      </c>
      <c r="BHD24" s="593">
        <f>'Proy 2022 vs 2019 sem'!KB23*BHF$4</f>
        <v>36835.74411</v>
      </c>
      <c r="BHE24" s="701"/>
      <c r="BHF24" s="700">
        <f>BHE24/BHC24</f>
        <v>0</v>
      </c>
      <c r="BHG24" s="579">
        <f>BGE24+BGI24+BGM24+BGQ24+BGU24+BGY24+BHC24</f>
        <v>180037.85000000003</v>
      </c>
      <c r="BHH24" s="574">
        <f>BGF24+BGJ24+BGN24+BGR24+BGV24+BGZ24+BHD24</f>
        <v>167435.20050000001</v>
      </c>
      <c r="BHI24" s="730">
        <f>BGG24+BGK24+BGO24+BGS24+BGW24+BHA24+BHE24</f>
        <v>0</v>
      </c>
      <c r="BHJ24" s="711">
        <f>BHI24/BHG24</f>
        <v>0</v>
      </c>
      <c r="BHK24" s="593">
        <f>'Proy 2022 vs 2019 sem'!KF23*BHN$4</f>
        <v>24086.0556</v>
      </c>
      <c r="BHL24" s="593">
        <f>'Proy 2022 vs 2019 sem'!KG23*BHN$4</f>
        <v>22400.031707999999</v>
      </c>
      <c r="BHM24" s="701"/>
      <c r="BHN24" s="700">
        <f>BHM24/BHK24</f>
        <v>0</v>
      </c>
      <c r="BHO24" s="593">
        <f>'Proy 2022 vs 2019 sem'!KF23*BHR$4</f>
        <v>24086.0556</v>
      </c>
      <c r="BHP24" s="593">
        <f>'Proy 2022 vs 2019 sem'!KG23*BHR$4</f>
        <v>22400.031707999999</v>
      </c>
      <c r="BHQ24" s="701"/>
      <c r="BHR24" s="700">
        <f>BHQ24/BHO24</f>
        <v>0</v>
      </c>
      <c r="BHS24" s="593">
        <f>'Proy 2022 vs 2019 sem'!KF23*BHV$4</f>
        <v>24086.0556</v>
      </c>
      <c r="BHT24" s="593">
        <f>'Proy 2022 vs 2019 sem'!KG23*BHV$4</f>
        <v>22400.031707999999</v>
      </c>
      <c r="BHU24" s="701"/>
      <c r="BHV24" s="700">
        <f>BHU24/BHS24</f>
        <v>0</v>
      </c>
      <c r="BHW24" s="593">
        <f>'Proy 2022 vs 2019 sem'!KF23*BHZ$4</f>
        <v>24086.0556</v>
      </c>
      <c r="BHX24" s="593">
        <f>'Proy 2022 vs 2019 sem'!KG23*BHZ$4</f>
        <v>22400.031707999999</v>
      </c>
      <c r="BHY24" s="701"/>
      <c r="BHZ24" s="700">
        <f>BHY24/BHW24</f>
        <v>0</v>
      </c>
      <c r="BIA24" s="593">
        <f>'Proy 2022 vs 2019 sem'!KF23*BID$4</f>
        <v>28100.398200000003</v>
      </c>
      <c r="BIB24" s="593">
        <f>'Proy 2022 vs 2019 sem'!KG23*BID$4</f>
        <v>26133.370326000004</v>
      </c>
      <c r="BIC24" s="701"/>
      <c r="BID24" s="700">
        <f>BIC24/BIA24</f>
        <v>0</v>
      </c>
      <c r="BIE24" s="593">
        <f>'Proy 2022 vs 2019 sem'!KF23*BIH$4</f>
        <v>32114.740800000003</v>
      </c>
      <c r="BIF24" s="593">
        <f>'Proy 2022 vs 2019 sem'!KG23*BIH$4</f>
        <v>29866.708944000002</v>
      </c>
      <c r="BIG24" s="701"/>
      <c r="BIH24" s="700">
        <f>BIG24/BIE24</f>
        <v>0</v>
      </c>
      <c r="BII24" s="593">
        <f>'Proy 2022 vs 2019 sem'!KF23*BIL$4</f>
        <v>44157.768600000003</v>
      </c>
      <c r="BIJ24" s="593">
        <f>'Proy 2022 vs 2019 sem'!KG23*BIL$4</f>
        <v>41066.724798000003</v>
      </c>
      <c r="BIK24" s="701"/>
      <c r="BIL24" s="700">
        <f>BIK24/BII24</f>
        <v>0</v>
      </c>
      <c r="BIM24" s="579">
        <f>BHK24+BHO24+BHS24+BHW24+BIA24+BIE24+BII24</f>
        <v>200717.13</v>
      </c>
      <c r="BIN24" s="574">
        <f>BHL24+BHP24+BHT24+BHX24+BIB24+BIF24+BIJ24</f>
        <v>186666.93090000001</v>
      </c>
      <c r="BIO24" s="730">
        <f>BHM24+BHQ24+BHU24+BHY24+BIC24+BIG24+BIK24</f>
        <v>0</v>
      </c>
      <c r="BIP24" s="711">
        <f>BIO24/BIM24</f>
        <v>0</v>
      </c>
      <c r="BIQ24" s="593">
        <f>'Proy 2022 vs 2019 sem'!KK23*BIT$4</f>
        <v>25287.7464</v>
      </c>
      <c r="BIR24" s="593">
        <f>'Proy 2022 vs 2019 sem'!KL23*BIT$4</f>
        <v>23517.604152</v>
      </c>
      <c r="BIS24" s="701"/>
      <c r="BIT24" s="700">
        <f>BIS24/BIQ24</f>
        <v>0</v>
      </c>
      <c r="BIU24" s="593">
        <f>'Proy 2022 vs 2019 sem'!KK23*BIX$4</f>
        <v>25287.7464</v>
      </c>
      <c r="BIV24" s="593">
        <f>'Proy 2022 vs 2019 sem'!KL23*BIX$4</f>
        <v>23517.604152</v>
      </c>
      <c r="BIW24" s="701"/>
      <c r="BIX24" s="700">
        <f>BIW24/BIU24</f>
        <v>0</v>
      </c>
      <c r="BIY24" s="593">
        <f>'Proy 2022 vs 2019 sem'!KK23*BJB$4</f>
        <v>25287.7464</v>
      </c>
      <c r="BIZ24" s="593">
        <f>'Proy 2022 vs 2019 sem'!KL23*BJB$4</f>
        <v>23517.604152</v>
      </c>
      <c r="BJA24" s="701"/>
      <c r="BJB24" s="700">
        <f>BJA24/BIY24</f>
        <v>0</v>
      </c>
      <c r="BJC24" s="593">
        <f>'Proy 2022 vs 2019 sem'!KK23*BJF$4</f>
        <v>25287.7464</v>
      </c>
      <c r="BJD24" s="593">
        <f>'Proy 2022 vs 2019 sem'!KL23*BJF$4</f>
        <v>23517.604152</v>
      </c>
      <c r="BJE24" s="701"/>
      <c r="BJF24" s="700">
        <f>BJE24/BJC24</f>
        <v>0</v>
      </c>
      <c r="BJG24" s="593">
        <f>'Proy 2022 vs 2019 sem'!KK23*BJJ$4</f>
        <v>29502.370800000004</v>
      </c>
      <c r="BJH24" s="593">
        <f>'Proy 2022 vs 2019 sem'!KL23*BJJ$4</f>
        <v>27437.204844000004</v>
      </c>
      <c r="BJI24" s="701"/>
      <c r="BJJ24" s="700">
        <f>BJI24/BJG24</f>
        <v>0</v>
      </c>
      <c r="BJK24" s="593">
        <f>'Proy 2022 vs 2019 sem'!KK23*BJN$4</f>
        <v>33716.995199999998</v>
      </c>
      <c r="BJL24" s="593">
        <f>'Proy 2022 vs 2019 sem'!KL23*BJN$4</f>
        <v>31356.805536000003</v>
      </c>
      <c r="BJM24" s="701"/>
      <c r="BJN24" s="700">
        <f>BJM24/BJK24</f>
        <v>0</v>
      </c>
      <c r="BJO24" s="593">
        <f>'Proy 2022 vs 2019 sem'!KK23*BJR$4</f>
        <v>46360.868399999999</v>
      </c>
      <c r="BJP24" s="593">
        <f>'Proy 2022 vs 2019 sem'!KL23*BJR$4</f>
        <v>43115.607612</v>
      </c>
      <c r="BJQ24" s="701"/>
      <c r="BJR24" s="700">
        <f>BJQ24/BJO24</f>
        <v>0</v>
      </c>
      <c r="BJS24" s="579">
        <f>BIQ24+BIU24+BIY24+BJC24+BJG24+BJK24+BJO24</f>
        <v>210731.22</v>
      </c>
      <c r="BJT24" s="574">
        <f>BIR24+BIV24+BIZ24+BJD24+BJH24+BJL24+BJP24</f>
        <v>195980.03460000001</v>
      </c>
      <c r="BJU24" s="710">
        <f>BIS24+BIW24+BJA24+BJE24+BJI24+BJM24+BJQ24</f>
        <v>0</v>
      </c>
      <c r="BJV24" s="711">
        <f>BJU24/BJS24</f>
        <v>0</v>
      </c>
      <c r="BJW24" s="593">
        <f>'Proy 2022 vs 2019 sem'!KP23*BJZ$4</f>
        <v>6858.3396000000002</v>
      </c>
      <c r="BJX24" s="593">
        <f>'Proy 2022 vs 2019 sem'!KQ23*BJZ$4</f>
        <v>6515.4226199999994</v>
      </c>
      <c r="BJY24" s="701"/>
      <c r="BJZ24" s="700">
        <f>BJY24/BJW24</f>
        <v>0</v>
      </c>
      <c r="BKA24" s="593">
        <f>'Proy 2022 vs 2019 sem'!KP23*BKD$4</f>
        <v>6858.3396000000002</v>
      </c>
      <c r="BKB24" s="593">
        <f>'Proy 2022 vs 2019 sem'!KQ23*BKD$4</f>
        <v>6515.4226199999994</v>
      </c>
      <c r="BKC24" s="701"/>
      <c r="BKD24" s="700">
        <f>BKC24/BKA24</f>
        <v>0</v>
      </c>
      <c r="BKE24" s="593">
        <f>'Proy 2022 vs 2019 sem'!KP23*BKH$4</f>
        <v>6858.3396000000002</v>
      </c>
      <c r="BKF24" s="593">
        <f>'Proy 2022 vs 2019 sem'!KQ23*BKH$4</f>
        <v>6515.4226199999994</v>
      </c>
      <c r="BKG24" s="701"/>
      <c r="BKH24" s="700">
        <f>BKG24/BKE24</f>
        <v>0</v>
      </c>
      <c r="BKI24" s="593">
        <f>'Proy 2022 vs 2019 sem'!KP23*BKL$4</f>
        <v>6858.3396000000002</v>
      </c>
      <c r="BKJ24" s="593">
        <f>'Proy 2022 vs 2019 sem'!KQ23*BKL$4</f>
        <v>6515.4226199999994</v>
      </c>
      <c r="BKK24" s="701"/>
      <c r="BKL24" s="700">
        <f>BKK24/BKI24</f>
        <v>0</v>
      </c>
      <c r="BKM24" s="593">
        <f>'Proy 2022 vs 2019 sem'!KP23*BKP$4</f>
        <v>8001.396200000001</v>
      </c>
      <c r="BKN24" s="593">
        <f>'Proy 2022 vs 2019 sem'!KQ23*BKP$4</f>
        <v>7601.3263900000002</v>
      </c>
      <c r="BKO24" s="701"/>
      <c r="BKP24" s="700">
        <f>BKO24/BKM24</f>
        <v>0</v>
      </c>
      <c r="BKQ24" s="593">
        <f>'Proy 2022 vs 2019 sem'!KP23*BKT$4</f>
        <v>9144.4528000000009</v>
      </c>
      <c r="BKR24" s="593">
        <f>'Proy 2022 vs 2019 sem'!KQ23*BKT$4</f>
        <v>8687.2301599999992</v>
      </c>
      <c r="BKS24" s="701"/>
      <c r="BKT24" s="700">
        <f>BKS24/BKQ24</f>
        <v>0</v>
      </c>
      <c r="BKU24" s="593">
        <f>'Proy 2022 vs 2019 sem'!KP23*BKX$4</f>
        <v>12573.622600000001</v>
      </c>
      <c r="BKV24" s="593">
        <f>'Proy 2022 vs 2019 sem'!KQ23*BKX$4</f>
        <v>11944.94147</v>
      </c>
      <c r="BKW24" s="701"/>
      <c r="BKX24" s="700">
        <f>BKW24/BKU24</f>
        <v>0</v>
      </c>
      <c r="BKY24" s="579">
        <f>BJW24+BKA24+BKE24+BKI24+BKM24+BKQ24+BKU24</f>
        <v>57152.83</v>
      </c>
      <c r="BKZ24" s="574">
        <f>BJX24+BKB24+BKF24+BKJ24+BKN24+BKR24+BKV24</f>
        <v>54295.188499999997</v>
      </c>
      <c r="BLA24" s="710">
        <f>BJY24+BKC24+BKG24+BKK24+BKO24+BKS24+BKW24</f>
        <v>0</v>
      </c>
      <c r="BLB24" s="711">
        <f>BLA24/BKY24</f>
        <v>0</v>
      </c>
    </row>
    <row r="25" spans="2:1666" ht="19.5" customHeight="1">
      <c r="B25" s="933" t="s">
        <v>27</v>
      </c>
      <c r="C25" s="593">
        <f>'Proy 2022 vs 2019 sem'!$C$6*$F$4</f>
        <v>9529.1268</v>
      </c>
      <c r="D25" s="593">
        <f>'Proy 2022 vs 2019 sem'!$D$6*$F$4</f>
        <v>8480.9228519999997</v>
      </c>
      <c r="E25" s="737"/>
      <c r="F25" s="703">
        <f>E25/C25</f>
        <v>0</v>
      </c>
      <c r="G25" s="1414">
        <f>'Proy 2022 vs 2019 sem'!C24*$J$4</f>
        <v>5401.7339999999995</v>
      </c>
      <c r="H25" s="593">
        <f>'Proy 2022 vs 2019 sem'!D24*$J$4</f>
        <v>9759.3635699999995</v>
      </c>
      <c r="I25" s="737"/>
      <c r="J25" s="703">
        <f>I25/G25</f>
        <v>0</v>
      </c>
      <c r="K25" s="593">
        <f>'Proy 2022 vs 2019 sem'!C24*$N$4</f>
        <v>5401.7339999999995</v>
      </c>
      <c r="L25" s="593">
        <f>'Proy 2022 vs 2019 sem'!D24*N$4</f>
        <v>9759.3635699999995</v>
      </c>
      <c r="M25" s="737"/>
      <c r="N25" s="703">
        <f>M25/K25</f>
        <v>0</v>
      </c>
      <c r="O25" s="593">
        <f>'Proy 2022 vs 2019 sem'!C24*R$4</f>
        <v>5401.7339999999995</v>
      </c>
      <c r="P25" s="593">
        <f>'Proy 2022 vs 2019 sem'!D24*$R$4</f>
        <v>9759.3635699999995</v>
      </c>
      <c r="Q25" s="737"/>
      <c r="R25" s="703">
        <f>Q25/O25</f>
        <v>0</v>
      </c>
      <c r="S25" s="593">
        <f>'Proy 2022 vs 2019 sem'!C24*V$4</f>
        <v>6302.0230000000001</v>
      </c>
      <c r="T25" s="593">
        <f>'Proy 2022 vs 2019 sem'!D24*V$4</f>
        <v>11385.924165000002</v>
      </c>
      <c r="U25" s="737"/>
      <c r="V25" s="703">
        <f>U25/S25</f>
        <v>0</v>
      </c>
      <c r="W25" s="593">
        <f>'Proy 2022 vs 2019 sem'!C24*Z$4</f>
        <v>7202.3119999999999</v>
      </c>
      <c r="X25" s="593">
        <f>'Proy 2022 vs 2019 sem'!D24*Z$4</f>
        <v>13012.484760000001</v>
      </c>
      <c r="Y25" s="737"/>
      <c r="Z25" s="703">
        <f>Y25/W25</f>
        <v>0</v>
      </c>
      <c r="AA25" s="593">
        <f>'Proy 2022 vs 2019 sem'!C24*AD$4</f>
        <v>9903.1790000000001</v>
      </c>
      <c r="AB25" s="593">
        <f>'Proy 2022 vs 2019 sem'!D24*AD$4</f>
        <v>17892.166545</v>
      </c>
      <c r="AC25" s="737"/>
      <c r="AD25" s="703">
        <f>AC25/AA25</f>
        <v>0</v>
      </c>
      <c r="AE25" s="608">
        <f>C25+G25+K25+O25+S25+W25+AA25</f>
        <v>49141.842799999999</v>
      </c>
      <c r="AF25" s="609">
        <f>D25+H25+L25+P25+T25+X25+AB25</f>
        <v>80049.589032000003</v>
      </c>
      <c r="AG25" s="729">
        <f>E25+I25+M25+Q25+U25+Y25+AC25</f>
        <v>0</v>
      </c>
      <c r="AH25" s="713">
        <f>AG25/AE25</f>
        <v>0</v>
      </c>
      <c r="AI25" s="593">
        <f>'Proy 2022 vs 2019 sem'!H24*AL$4</f>
        <v>5714.2571999999991</v>
      </c>
      <c r="AJ25" s="611">
        <f>'Proy 2022 vs 2019 sem'!I24*AL$4</f>
        <v>9180.7619399999985</v>
      </c>
      <c r="AK25" s="702"/>
      <c r="AL25" s="703">
        <f>AK25/AI25</f>
        <v>0</v>
      </c>
      <c r="AM25" s="593">
        <f>'Proy 2022 vs 2019 sem'!H24*AP$4</f>
        <v>5714.2571999999991</v>
      </c>
      <c r="AN25" s="593">
        <f>'Proy 2022 vs 2019 sem'!I24*AP$4</f>
        <v>9180.7619399999985</v>
      </c>
      <c r="AO25" s="702"/>
      <c r="AP25" s="703">
        <f>AO25/AM25</f>
        <v>0</v>
      </c>
      <c r="AQ25" s="593">
        <f>'Proy 2022 vs 2019 sem'!H24*AT$4</f>
        <v>5714.2571999999991</v>
      </c>
      <c r="AR25" s="593">
        <f>'Proy 2022 vs 2019 sem'!I24*AT$4</f>
        <v>9180.7619399999985</v>
      </c>
      <c r="AS25" s="702"/>
      <c r="AT25" s="703">
        <f>AS25/AQ25</f>
        <v>0</v>
      </c>
      <c r="AU25" s="593">
        <f>'Proy 2022 vs 2019 sem'!H24*AX$4</f>
        <v>5714.2571999999991</v>
      </c>
      <c r="AV25" s="593">
        <f>'Proy 2022 vs 2019 sem'!I24*AX$4</f>
        <v>9180.7619399999985</v>
      </c>
      <c r="AW25" s="702"/>
      <c r="AX25" s="703">
        <f>AW25/AU25</f>
        <v>0</v>
      </c>
      <c r="AY25" s="593">
        <f>'Proy 2022 vs 2019 sem'!H24*BB$4</f>
        <v>6666.6334000000006</v>
      </c>
      <c r="AZ25" s="593">
        <f>'Proy 2022 vs 2019 sem'!I24*BB$4</f>
        <v>10710.888930000001</v>
      </c>
      <c r="BA25" s="702"/>
      <c r="BB25" s="703">
        <f>BA25/AY25</f>
        <v>0</v>
      </c>
      <c r="BC25" s="593">
        <f>'Proy 2022 vs 2019 sem'!H24*BF$4</f>
        <v>7619.0095999999994</v>
      </c>
      <c r="BD25" s="593">
        <f>'Proy 2022 vs 2019 sem'!I24*BF$4</f>
        <v>12241.01592</v>
      </c>
      <c r="BE25" s="702"/>
      <c r="BF25" s="703">
        <f>BE25/BC25</f>
        <v>0</v>
      </c>
      <c r="BG25" s="593">
        <f>'Proy 2022 vs 2019 sem'!H24*BJ$4</f>
        <v>10476.138199999999</v>
      </c>
      <c r="BH25" s="593">
        <f>'Proy 2022 vs 2019 sem'!I24*BJ$4</f>
        <v>16831.39689</v>
      </c>
      <c r="BI25" s="702"/>
      <c r="BJ25" s="703">
        <f>BI25/BG25</f>
        <v>0</v>
      </c>
      <c r="BK25" s="608">
        <f>AI25+AM25+AQ25+AU25+AY25+BC25+BG25</f>
        <v>47618.81</v>
      </c>
      <c r="BL25" s="609">
        <f>AJ25+AN25+AR25+AV25+AZ25+BD25+BH25</f>
        <v>76506.349499999997</v>
      </c>
      <c r="BM25" s="731">
        <f>AK25+AO25+AS25+AW25+BA25+BE25+BI25</f>
        <v>0</v>
      </c>
      <c r="BN25" s="713">
        <f>BM25/BK25</f>
        <v>0</v>
      </c>
      <c r="BO25" s="593">
        <f>'Proy 2022 vs 2019 sem'!M24*BR$4</f>
        <v>6485.442</v>
      </c>
      <c r="BP25" s="593">
        <f>'Proy 2022 vs 2019 sem'!N24*BR$4</f>
        <v>9650.5787340000006</v>
      </c>
      <c r="BQ25" s="702"/>
      <c r="BR25" s="703">
        <f>BQ25/BO25</f>
        <v>0</v>
      </c>
      <c r="BS25" s="593">
        <f>'Proy 2022 vs 2019 sem'!M24*BV$4</f>
        <v>6485.442</v>
      </c>
      <c r="BT25" s="593">
        <f>'Proy 2022 vs 2019 sem'!N24*BV$4</f>
        <v>9650.5787340000006</v>
      </c>
      <c r="BU25" s="702"/>
      <c r="BV25" s="703">
        <f>BU25/BS25</f>
        <v>0</v>
      </c>
      <c r="BW25" s="593">
        <f>'Proy 2022 vs 2019 sem'!M24*BZ$4</f>
        <v>6485.442</v>
      </c>
      <c r="BX25" s="593">
        <f>'Proy 2022 vs 2019 sem'!N24*BZ$4</f>
        <v>9650.5787340000006</v>
      </c>
      <c r="BY25" s="702"/>
      <c r="BZ25" s="703">
        <f>BY25/BW25</f>
        <v>0</v>
      </c>
      <c r="CA25" s="593">
        <f>'Proy 2022 vs 2019 sem'!M24*CD$4</f>
        <v>6485.442</v>
      </c>
      <c r="CB25" s="593">
        <f>'Proy 2022 vs 2019 sem'!N24*CD$4</f>
        <v>9650.5787340000006</v>
      </c>
      <c r="CC25" s="702"/>
      <c r="CD25" s="703">
        <f>CC25/CA25</f>
        <v>0</v>
      </c>
      <c r="CE25" s="593">
        <f>'Proy 2022 vs 2019 sem'!M24*CH$4</f>
        <v>7566.3490000000002</v>
      </c>
      <c r="CF25" s="593">
        <f>'Proy 2022 vs 2019 sem'!N24*CH$4</f>
        <v>11259.008523000002</v>
      </c>
      <c r="CG25" s="702"/>
      <c r="CH25" s="703">
        <f>CG25/CE25</f>
        <v>0</v>
      </c>
      <c r="CI25" s="593">
        <f>'Proy 2022 vs 2019 sem'!M24*CL$4</f>
        <v>8647.2559999999994</v>
      </c>
      <c r="CJ25" s="593">
        <f>'Proy 2022 vs 2019 sem'!N24*CL$4</f>
        <v>12867.438312000002</v>
      </c>
      <c r="CK25" s="702"/>
      <c r="CL25" s="703">
        <f>CK25/CI25</f>
        <v>0</v>
      </c>
      <c r="CM25" s="593">
        <f>'Proy 2022 vs 2019 sem'!M24*CP$4</f>
        <v>11889.976999999999</v>
      </c>
      <c r="CN25" s="593">
        <f>'Proy 2022 vs 2019 sem'!N24*CP$4</f>
        <v>17692.727679000003</v>
      </c>
      <c r="CO25" s="702"/>
      <c r="CP25" s="703">
        <f>CO25/CM25</f>
        <v>0</v>
      </c>
      <c r="CQ25" s="608">
        <f>BO25+BS25+BW25+CA25+CE25+CI25+CM25</f>
        <v>54045.35</v>
      </c>
      <c r="CR25" s="609">
        <f>BP25+BT25+BX25+CB25+CF25+CJ25+CN25</f>
        <v>80421.489450000008</v>
      </c>
      <c r="CS25" s="731">
        <f>BQ25+BU25+BY25+CC25+CG25+CK25+CO25</f>
        <v>0</v>
      </c>
      <c r="CT25" s="713">
        <f>CS25/CQ25</f>
        <v>0</v>
      </c>
      <c r="CU25" s="593">
        <f>'Proy 2022 vs 2019 sem'!R24*CX$4</f>
        <v>6156.2951999999996</v>
      </c>
      <c r="CV25" s="593">
        <f>'Proy 2022 vs 2019 sem'!S24*CX$4</f>
        <v>9824.2404659999993</v>
      </c>
      <c r="CW25" s="702"/>
      <c r="CX25" s="703">
        <f>CW25/CU25</f>
        <v>0</v>
      </c>
      <c r="CY25" s="593">
        <f>'Proy 2022 vs 2019 sem'!R24*DB$4</f>
        <v>6156.2951999999996</v>
      </c>
      <c r="CZ25" s="593">
        <f>'Proy 2022 vs 2019 sem'!S24*DB$4</f>
        <v>9824.2404659999993</v>
      </c>
      <c r="DA25" s="702"/>
      <c r="DB25" s="703">
        <f>DA25/CY25</f>
        <v>0</v>
      </c>
      <c r="DC25" s="593">
        <f>'Proy 2022 vs 2019 sem'!R24*DF$4</f>
        <v>6156.2951999999996</v>
      </c>
      <c r="DD25" s="593">
        <f>'Proy 2022 vs 2019 sem'!S24*DF$4</f>
        <v>9824.2404659999993</v>
      </c>
      <c r="DE25" s="702"/>
      <c r="DF25" s="703">
        <f>DE25/DC25</f>
        <v>0</v>
      </c>
      <c r="DG25" s="593">
        <f>'Proy 2022 vs 2019 sem'!R24*DJ$4</f>
        <v>6156.2951999999996</v>
      </c>
      <c r="DH25" s="593">
        <f>'Proy 2022 vs 2019 sem'!S24*DJ$4</f>
        <v>9824.2404659999993</v>
      </c>
      <c r="DI25" s="702"/>
      <c r="DJ25" s="703">
        <f>DI25/DG25</f>
        <v>0</v>
      </c>
      <c r="DK25" s="593">
        <f>'Proy 2022 vs 2019 sem'!R24*DN$4</f>
        <v>7182.3444000000009</v>
      </c>
      <c r="DL25" s="593">
        <f>'Proy 2022 vs 2019 sem'!S24*DN$4</f>
        <v>11461.613877</v>
      </c>
      <c r="DM25" s="702"/>
      <c r="DN25" s="703">
        <f>DM25/DK25</f>
        <v>0</v>
      </c>
      <c r="DO25" s="593">
        <f>'Proy 2022 vs 2019 sem'!R24*DR$4</f>
        <v>8208.3935999999994</v>
      </c>
      <c r="DP25" s="593">
        <f>'Proy 2022 vs 2019 sem'!S24*DR$4</f>
        <v>13098.987288</v>
      </c>
      <c r="DQ25" s="702"/>
      <c r="DR25" s="703">
        <f>DQ25/DO25</f>
        <v>0</v>
      </c>
      <c r="DS25" s="593">
        <f>'Proy 2022 vs 2019 sem'!R24*DV$4</f>
        <v>11286.5412</v>
      </c>
      <c r="DT25" s="593">
        <f>'Proy 2022 vs 2019 sem'!S24*DV$4</f>
        <v>18011.107520999998</v>
      </c>
      <c r="DU25" s="702"/>
      <c r="DV25" s="703">
        <f>DU25/DS25</f>
        <v>0</v>
      </c>
      <c r="DW25" s="608">
        <f>CU25+CY25+DC25+DG25+DK25+DO25+DS25</f>
        <v>51302.46</v>
      </c>
      <c r="DX25" s="609">
        <f>CV25+CZ25+DD25+DH25+DL25+DP25+DT25</f>
        <v>81868.670549999995</v>
      </c>
      <c r="DY25" s="712">
        <f>CW25+DA25+DE25+DI25+DM25+DQ25+DU25</f>
        <v>0</v>
      </c>
      <c r="DZ25" s="713">
        <f>DY25/DW25</f>
        <v>0</v>
      </c>
      <c r="EA25" s="593">
        <f>'Proy 2022 vs 2019 sem'!AA24*ED$4</f>
        <v>5878.2155999999995</v>
      </c>
      <c r="EB25" s="593">
        <f>'Proy 2022 vs 2019 sem'!AB24*ED$4</f>
        <v>11635.059726</v>
      </c>
      <c r="EC25" s="737"/>
      <c r="ED25" s="703">
        <f>EC25/EA25</f>
        <v>0</v>
      </c>
      <c r="EE25" s="593">
        <f>'Proy 2022 vs 2019 sem'!AA24*EH$4</f>
        <v>5878.2155999999995</v>
      </c>
      <c r="EF25" s="593">
        <f>'Proy 2022 vs 2019 sem'!AB24*EH$4</f>
        <v>11635.059726</v>
      </c>
      <c r="EG25" s="702"/>
      <c r="EH25" s="703">
        <f>EG25/EE25</f>
        <v>0</v>
      </c>
      <c r="EI25" s="593">
        <f>'Proy 2022 vs 2019 sem'!AA24*EL$4</f>
        <v>5878.2155999999995</v>
      </c>
      <c r="EJ25" s="593">
        <f>'Proy 2022 vs 2019 sem'!AB24*EL$4</f>
        <v>11635.059726</v>
      </c>
      <c r="EK25" s="702"/>
      <c r="EL25" s="703">
        <f>EK25/EI25</f>
        <v>0</v>
      </c>
      <c r="EM25" s="593">
        <f>'Proy 2022 vs 2019 sem'!AA24*EP$4</f>
        <v>5878.2155999999995</v>
      </c>
      <c r="EN25" s="593">
        <f>'Proy 2022 vs 2019 sem'!AB24*EP$4</f>
        <v>11635.059726</v>
      </c>
      <c r="EO25" s="702"/>
      <c r="EP25" s="703">
        <f>EO25/EM25</f>
        <v>0</v>
      </c>
      <c r="EQ25" s="593">
        <f>'Proy 2022 vs 2019 sem'!AA24*ET$4</f>
        <v>6857.9182000000001</v>
      </c>
      <c r="ER25" s="593">
        <f>'Proy 2022 vs 2019 sem'!AB24*ET$4</f>
        <v>13574.236347</v>
      </c>
      <c r="ES25" s="702"/>
      <c r="ET25" s="703">
        <f>ES25/EQ25</f>
        <v>0</v>
      </c>
      <c r="EU25" s="593">
        <f>'Proy 2022 vs 2019 sem'!AA24*EX$4</f>
        <v>7837.6207999999997</v>
      </c>
      <c r="EV25" s="593">
        <f>'Proy 2022 vs 2019 sem'!AB24*EX$4</f>
        <v>15513.412967999999</v>
      </c>
      <c r="EW25" s="702"/>
      <c r="EX25" s="703">
        <f>EW25/EU25</f>
        <v>0</v>
      </c>
      <c r="EY25" s="593">
        <f>'Proy 2022 vs 2019 sem'!AA24*FB$4</f>
        <v>10776.7286</v>
      </c>
      <c r="EZ25" s="593">
        <f>'Proy 2022 vs 2019 sem'!AB24*FB$4</f>
        <v>21330.942831</v>
      </c>
      <c r="FA25" s="702"/>
      <c r="FB25" s="703">
        <f>FA25/EY25</f>
        <v>0</v>
      </c>
      <c r="FC25" s="608">
        <f>EA25+EE25+EI25+EM25+EQ25+EU25+EY25</f>
        <v>48985.13</v>
      </c>
      <c r="FD25" s="609">
        <f>EB25+EF25+EJ25+EN25+ER25+EV25+EZ25</f>
        <v>96958.831050000008</v>
      </c>
      <c r="FE25" s="793">
        <f>EC25+EG25+EK25+EO25+ES25+EW25+FA25</f>
        <v>0</v>
      </c>
      <c r="FF25" s="788">
        <f>FE25/FC25</f>
        <v>0</v>
      </c>
      <c r="FG25" s="593">
        <f>'Proy 2022 vs 2019 sem'!AF24*FJ$4</f>
        <v>7658.3760000000002</v>
      </c>
      <c r="FH25" s="593">
        <f>'Proy 2022 vs 2019 sem'!AG24*FJ$4</f>
        <v>15656.825069999999</v>
      </c>
      <c r="FI25" s="702"/>
      <c r="FJ25" s="703">
        <f>FI25/FG25</f>
        <v>0</v>
      </c>
      <c r="FK25" s="593">
        <f>'Proy 2022 vs 2019 sem'!AF24*FN$4</f>
        <v>7658.3760000000002</v>
      </c>
      <c r="FL25" s="593">
        <f>'Proy 2022 vs 2019 sem'!AG24*FN$4</f>
        <v>15656.825069999999</v>
      </c>
      <c r="FM25" s="702"/>
      <c r="FN25" s="703">
        <f>FM25/FK25</f>
        <v>0</v>
      </c>
      <c r="FO25" s="593">
        <f>'Proy 2022 vs 2019 sem'!AF24*FR$4</f>
        <v>7658.3760000000002</v>
      </c>
      <c r="FP25" s="593">
        <f>'Proy 2022 vs 2019 sem'!AG24*FR$4</f>
        <v>15656.825069999999</v>
      </c>
      <c r="FQ25" s="702"/>
      <c r="FR25" s="703">
        <f>FQ25/FO25</f>
        <v>0</v>
      </c>
      <c r="FS25" s="593">
        <f>'Proy 2022 vs 2019 sem'!AF24*FV$4</f>
        <v>7658.3760000000002</v>
      </c>
      <c r="FT25" s="593">
        <f>'Proy 2022 vs 2019 sem'!AG24*FV$4</f>
        <v>15656.825069999999</v>
      </c>
      <c r="FU25" s="702"/>
      <c r="FV25" s="703">
        <f>FU25/FS25</f>
        <v>0</v>
      </c>
      <c r="FW25" s="593">
        <f>'Proy 2022 vs 2019 sem'!AF24*FZ$4</f>
        <v>8934.7720000000008</v>
      </c>
      <c r="FX25" s="593">
        <f>'Proy 2022 vs 2019 sem'!AG24*FZ$4</f>
        <v>18266.295915000002</v>
      </c>
      <c r="FY25" s="702"/>
      <c r="FZ25" s="703">
        <f>FY25/FW25</f>
        <v>0</v>
      </c>
      <c r="GA25" s="593">
        <f>'Proy 2022 vs 2019 sem'!AF24*GD$4</f>
        <v>10211.168000000001</v>
      </c>
      <c r="GB25" s="593">
        <f>'Proy 2022 vs 2019 sem'!AG24*GD$4</f>
        <v>20875.766759999999</v>
      </c>
      <c r="GC25" s="702"/>
      <c r="GD25" s="703">
        <f>GC25/GA25</f>
        <v>0</v>
      </c>
      <c r="GE25" s="593">
        <f>'Proy 2022 vs 2019 sem'!AF24*GH$4</f>
        <v>14040.356000000002</v>
      </c>
      <c r="GF25" s="593">
        <f>'Proy 2022 vs 2019 sem'!AG24*GH$4</f>
        <v>28704.179294999998</v>
      </c>
      <c r="GG25" s="702"/>
      <c r="GH25" s="703">
        <f>GG25/GE25</f>
        <v>0</v>
      </c>
      <c r="GI25" s="608">
        <f>FG25+FK25+FO25+FS25+FW25+GA25+GE25</f>
        <v>63819.8</v>
      </c>
      <c r="GJ25" s="609">
        <f>FH25+FL25+FP25+FT25+FX25+GB25+GF25</f>
        <v>130473.54224999998</v>
      </c>
      <c r="GK25" s="795">
        <f>FI25+FM25+FQ25+FU25+FY25+GC25+GG25</f>
        <v>0</v>
      </c>
      <c r="GL25" s="788">
        <f>GK25/GI25</f>
        <v>0</v>
      </c>
      <c r="GM25" s="593">
        <f>'Proy 2022 vs 2019 sem'!AK24*GP$4</f>
        <v>5290.7303999999995</v>
      </c>
      <c r="GN25" s="593">
        <f>'Proy 2022 vs 2019 sem'!AL24*GP$4</f>
        <v>9499.9432469999992</v>
      </c>
      <c r="GO25" s="702"/>
      <c r="GP25" s="703">
        <f>GO25/GM25</f>
        <v>0</v>
      </c>
      <c r="GQ25" s="593">
        <f>'Proy 2022 vs 2019 sem'!AK24*GT$4</f>
        <v>5290.7303999999995</v>
      </c>
      <c r="GR25" s="593">
        <f>'Proy 2022 vs 2019 sem'!AL24*GT$4</f>
        <v>9499.9432469999992</v>
      </c>
      <c r="GS25" s="702"/>
      <c r="GT25" s="703">
        <f>GS25/GQ25</f>
        <v>0</v>
      </c>
      <c r="GU25" s="593">
        <f>'Proy 2022 vs 2019 sem'!AK24*GX$4</f>
        <v>5290.7303999999995</v>
      </c>
      <c r="GV25" s="593">
        <f>'Proy 2022 vs 2019 sem'!AL24*GX$4</f>
        <v>9499.9432469999992</v>
      </c>
      <c r="GW25" s="702"/>
      <c r="GX25" s="703">
        <f>GW25/GU25</f>
        <v>0</v>
      </c>
      <c r="GY25" s="593">
        <f>'Proy 2022 vs 2019 sem'!AK24*HB$4</f>
        <v>5290.7303999999995</v>
      </c>
      <c r="GZ25" s="593">
        <f>'Proy 2022 vs 2019 sem'!AL24*HB$4</f>
        <v>9499.9432469999992</v>
      </c>
      <c r="HA25" s="702"/>
      <c r="HB25" s="703">
        <f>HA25/GY25</f>
        <v>0</v>
      </c>
      <c r="HC25" s="593">
        <f>'Proy 2022 vs 2019 sem'!AK24*HF$4</f>
        <v>6172.5188000000007</v>
      </c>
      <c r="HD25" s="593">
        <f>'Proy 2022 vs 2019 sem'!AL24*HF$4</f>
        <v>11083.267121499999</v>
      </c>
      <c r="HE25" s="702"/>
      <c r="HF25" s="703">
        <f>HE25/HC25</f>
        <v>0</v>
      </c>
      <c r="HG25" s="593">
        <f>'Proy 2022 vs 2019 sem'!AK24*HJ$4</f>
        <v>7054.3072000000002</v>
      </c>
      <c r="HH25" s="593">
        <f>'Proy 2022 vs 2019 sem'!AL24*HJ$4</f>
        <v>12666.590995999999</v>
      </c>
      <c r="HI25" s="702"/>
      <c r="HJ25" s="703">
        <f>HI25/HG25</f>
        <v>0</v>
      </c>
      <c r="HK25" s="593">
        <f>'Proy 2022 vs 2019 sem'!AK24*HN$4</f>
        <v>9699.6723999999995</v>
      </c>
      <c r="HL25" s="593">
        <f>'Proy 2022 vs 2019 sem'!AL24*HN$4</f>
        <v>17416.562619499997</v>
      </c>
      <c r="HM25" s="702"/>
      <c r="HN25" s="703">
        <f>HM25/HK25</f>
        <v>0</v>
      </c>
      <c r="HO25" s="608">
        <f>GM25+GQ25+GU25+GY25+HC25+HG25+HK25</f>
        <v>44089.42</v>
      </c>
      <c r="HP25" s="609">
        <f>GN25+GR25+GV25+GZ25+HD25+HH25+HL25</f>
        <v>79166.19372499999</v>
      </c>
      <c r="HQ25" s="795">
        <f>GO25+GS25+GW25+HA25+HE25+HI25+HM25</f>
        <v>0</v>
      </c>
      <c r="HR25" s="788">
        <f>HQ25/HO25</f>
        <v>0</v>
      </c>
      <c r="HS25" s="593">
        <f>'Proy 2022 vs 2019 sem'!AK24*HV$4</f>
        <v>5290.7303999999995</v>
      </c>
      <c r="HT25" s="593">
        <f>'Proy 2022 vs 2019 sem'!AL24*HV$4</f>
        <v>9499.9432469999992</v>
      </c>
      <c r="HU25" s="702"/>
      <c r="HV25" s="703">
        <f>HU25/HS25</f>
        <v>0</v>
      </c>
      <c r="HW25" s="593">
        <f>'Proy 2022 vs 2019 sem'!AK24*HZ$4</f>
        <v>5290.7303999999995</v>
      </c>
      <c r="HX25" s="593">
        <f>'Proy 2022 vs 2019 sem'!AL24*HZ$4</f>
        <v>9499.9432469999992</v>
      </c>
      <c r="HY25" s="702"/>
      <c r="HZ25" s="703">
        <f>HY25/HW25</f>
        <v>0</v>
      </c>
      <c r="IA25" s="593">
        <f>'Proy 2022 vs 2019 sem'!AK24*ID$4</f>
        <v>5290.7303999999995</v>
      </c>
      <c r="IB25" s="593">
        <f>'Proy 2022 vs 2019 sem'!AL24*ID$4</f>
        <v>9499.9432469999992</v>
      </c>
      <c r="IC25" s="702"/>
      <c r="ID25" s="703">
        <f>IC25/IA25</f>
        <v>0</v>
      </c>
      <c r="IE25" s="593">
        <f>'Proy 2022 vs 2019 sem'!AK24*IH$4</f>
        <v>5290.7303999999995</v>
      </c>
      <c r="IF25" s="593">
        <f>'Proy 2022 vs 2019 sem'!AL24*IH$4</f>
        <v>9499.9432469999992</v>
      </c>
      <c r="IG25" s="702"/>
      <c r="IH25" s="703">
        <f>IG25/IE25</f>
        <v>0</v>
      </c>
      <c r="II25" s="593">
        <f>'Proy 2022 vs 2019 sem'!AK24*IL$4</f>
        <v>6172.5188000000007</v>
      </c>
      <c r="IJ25" s="593">
        <f>'Proy 2022 vs 2019 sem'!AL24*IL$4</f>
        <v>11083.267121499999</v>
      </c>
      <c r="IK25" s="702"/>
      <c r="IL25" s="703">
        <f>IK25/II25</f>
        <v>0</v>
      </c>
      <c r="IM25" s="593">
        <f>'Proy 2022 vs 2019 sem'!AK24*IP$4</f>
        <v>7054.3072000000002</v>
      </c>
      <c r="IN25" s="593">
        <f>'Proy 2022 vs 2019 sem'!AL24*IP$4</f>
        <v>12666.590995999999</v>
      </c>
      <c r="IO25" s="702"/>
      <c r="IP25" s="703">
        <f>IO25/IM25</f>
        <v>0</v>
      </c>
      <c r="IQ25" s="593">
        <f>'Proy 2022 vs 2019 sem'!AK24*IT$4</f>
        <v>9699.6723999999995</v>
      </c>
      <c r="IR25" s="593">
        <f>'Proy 2022 vs 2019 sem'!AL24*IT$4</f>
        <v>17416.562619499997</v>
      </c>
      <c r="IS25" s="702"/>
      <c r="IT25" s="703">
        <f>IS25/IQ25</f>
        <v>0</v>
      </c>
      <c r="IU25" s="608">
        <f>HS25+HW25+IA25+IE25+II25+IM25+IQ25</f>
        <v>44089.42</v>
      </c>
      <c r="IV25" s="609">
        <f>HT25+HX25+IB25+IF25+IJ25+IN25+IR25</f>
        <v>79166.19372499999</v>
      </c>
      <c r="IW25" s="787">
        <f>HU25+HY25+IC25+IG25+IK25+IO25+IS25</f>
        <v>0</v>
      </c>
      <c r="IX25" s="788">
        <f>IW25/IU25</f>
        <v>0</v>
      </c>
      <c r="IY25" s="593">
        <f>'Proy 2022 vs 2019 sem'!AY24*JB$4</f>
        <v>6360.0515999999998</v>
      </c>
      <c r="IZ25" s="593">
        <f>'Proy 2022 vs 2019 sem'!AZ24*JB$4</f>
        <v>11467.2601992</v>
      </c>
      <c r="JA25" s="737"/>
      <c r="JB25" s="703">
        <f>JA25/IY25</f>
        <v>0</v>
      </c>
      <c r="JC25" s="593">
        <f>'Proy 2022 vs 2019 sem'!AY24*JF$4</f>
        <v>6360.0515999999998</v>
      </c>
      <c r="JD25" s="593">
        <f>'Proy 2022 vs 2019 sem'!AZ24*JF$4</f>
        <v>11467.2601992</v>
      </c>
      <c r="JE25" s="737"/>
      <c r="JF25" s="703">
        <f>JE25/JC25</f>
        <v>0</v>
      </c>
      <c r="JG25" s="593">
        <f>'Proy 2022 vs 2019 sem'!AY24*JJ$4</f>
        <v>6360.0515999999998</v>
      </c>
      <c r="JH25" s="593">
        <f>'Proy 2022 vs 2019 sem'!AZ24*JJ$4</f>
        <v>11467.2601992</v>
      </c>
      <c r="JI25" s="737"/>
      <c r="JJ25" s="703">
        <f>JI25/JG25</f>
        <v>0</v>
      </c>
      <c r="JK25" s="593">
        <f>'Proy 2022 vs 2019 sem'!AY24*JN$4</f>
        <v>6360.0515999999998</v>
      </c>
      <c r="JL25" s="593">
        <f>'Proy 2022 vs 2019 sem'!AZ24*JN$4</f>
        <v>11467.2601992</v>
      </c>
      <c r="JM25" s="737"/>
      <c r="JN25" s="703">
        <f>JM25/JK25</f>
        <v>0</v>
      </c>
      <c r="JO25" s="593">
        <f>'Proy 2022 vs 2019 sem'!AY24*JR$4</f>
        <v>7420.0602000000008</v>
      </c>
      <c r="JP25" s="593">
        <f>'Proy 2022 vs 2019 sem'!AZ24*JR$4</f>
        <v>13378.470232400003</v>
      </c>
      <c r="JQ25" s="737"/>
      <c r="JR25" s="703">
        <f>JQ25/JO25</f>
        <v>0</v>
      </c>
      <c r="JS25" s="593">
        <f>'Proy 2022 vs 2019 sem'!AY24*JV$4</f>
        <v>8480.0688000000009</v>
      </c>
      <c r="JT25" s="593">
        <f>'Proy 2022 vs 2019 sem'!AZ24*JV$4</f>
        <v>15289.680265600002</v>
      </c>
      <c r="JU25" s="737"/>
      <c r="JV25" s="703">
        <f>JU25/JS25</f>
        <v>0</v>
      </c>
      <c r="JW25" s="593">
        <f>'Proy 2022 vs 2019 sem'!AY24*JZ$4</f>
        <v>11660.0946</v>
      </c>
      <c r="JX25" s="593">
        <f>'Proy 2022 vs 2019 sem'!AZ24*JZ$4</f>
        <v>21023.310365200003</v>
      </c>
      <c r="JY25" s="737"/>
      <c r="JZ25" s="703">
        <f>JY25/JW25</f>
        <v>0</v>
      </c>
      <c r="KA25" s="608">
        <f>IY25+JC25+JG25+JK25+JO25+JS25+JW25</f>
        <v>53000.430000000008</v>
      </c>
      <c r="KB25" s="609">
        <f>IZ25+JD25+JH25+JL25+JP25+JT25+JX25</f>
        <v>95560.501660000009</v>
      </c>
      <c r="KC25" s="729">
        <f>JA25+JE25+JI25+JM25+JQ25+JU25+JY25</f>
        <v>0</v>
      </c>
      <c r="KD25" s="713">
        <f>KC25/KA25</f>
        <v>0</v>
      </c>
      <c r="KE25" s="593">
        <f>'Proy 2022 vs 2019 sem'!BD24*KH$4</f>
        <v>6406.7303999999995</v>
      </c>
      <c r="KF25" s="593">
        <f>'Proy 2022 vs 2019 sem'!BE24*KH$4</f>
        <v>11956.769052</v>
      </c>
      <c r="KG25" s="702"/>
      <c r="KH25" s="703">
        <f>KG25/KE25</f>
        <v>0</v>
      </c>
      <c r="KI25" s="593">
        <f>'Proy 2022 vs 2019 sem'!BD24*KL$4</f>
        <v>6406.7303999999995</v>
      </c>
      <c r="KJ25" s="593">
        <f>'Proy 2022 vs 2019 sem'!BE24*KL$4</f>
        <v>11956.769052</v>
      </c>
      <c r="KK25" s="702"/>
      <c r="KL25" s="703">
        <f>KK25/KI25</f>
        <v>0</v>
      </c>
      <c r="KM25" s="593">
        <f>'Proy 2022 vs 2019 sem'!BD24*KP$4</f>
        <v>6406.7303999999995</v>
      </c>
      <c r="KN25" s="593">
        <f>'Proy 2022 vs 2019 sem'!BE24*KP$4</f>
        <v>11956.769052</v>
      </c>
      <c r="KO25" s="702"/>
      <c r="KP25" s="703">
        <f>KO25/KM25</f>
        <v>0</v>
      </c>
      <c r="KQ25" s="593">
        <f>'Proy 2022 vs 2019 sem'!BD24*KT$4</f>
        <v>6406.7303999999995</v>
      </c>
      <c r="KR25" s="593">
        <f>'Proy 2022 vs 2019 sem'!BE24*KT$4</f>
        <v>11956.769052</v>
      </c>
      <c r="KS25" s="702"/>
      <c r="KT25" s="703">
        <f>KS25/KQ25</f>
        <v>0</v>
      </c>
      <c r="KU25" s="593">
        <f>'Proy 2022 vs 2019 sem'!BD24*KX$4</f>
        <v>7474.5188000000007</v>
      </c>
      <c r="KV25" s="593">
        <f>'Proy 2022 vs 2019 sem'!BE24*KX$4</f>
        <v>13949.563894000003</v>
      </c>
      <c r="KW25" s="702"/>
      <c r="KX25" s="703">
        <f>KW25/KU25</f>
        <v>0</v>
      </c>
      <c r="KY25" s="593">
        <f>'Proy 2022 vs 2019 sem'!BD24*LB$4</f>
        <v>8542.3071999999993</v>
      </c>
      <c r="KZ25" s="593">
        <f>'Proy 2022 vs 2019 sem'!BE24*LB$4</f>
        <v>15942.358736</v>
      </c>
      <c r="LA25" s="702"/>
      <c r="LB25" s="703">
        <f>LA25/KY25</f>
        <v>0</v>
      </c>
      <c r="LC25" s="593">
        <f>'Proy 2022 vs 2019 sem'!BD24*LF$4</f>
        <v>11745.672399999999</v>
      </c>
      <c r="LD25" s="593">
        <f>'Proy 2022 vs 2019 sem'!BE24*LF$4</f>
        <v>21920.743262</v>
      </c>
      <c r="LE25" s="702"/>
      <c r="LF25" s="703">
        <f>LE25/LC25</f>
        <v>0</v>
      </c>
      <c r="LG25" s="608">
        <f>KE25+KI25+KM25+KQ25+KU25+KY25+LC25</f>
        <v>53389.42</v>
      </c>
      <c r="LH25" s="609">
        <f>KF25+KJ25+KN25+KR25+KV25+KZ25+LD25</f>
        <v>99639.742100000003</v>
      </c>
      <c r="LI25" s="731">
        <f>KG25+KK25+KO25+KS25+KW25+LA25+LE25</f>
        <v>0</v>
      </c>
      <c r="LJ25" s="713">
        <f>LI25/LG25</f>
        <v>0</v>
      </c>
      <c r="LK25" s="593">
        <f>'Proy 2022 vs 2019 sem'!BI24*LN$4</f>
        <v>6849.0360000000001</v>
      </c>
      <c r="LL25" s="593">
        <f>'Proy 2022 vs 2019 sem'!BJ24*LN$4</f>
        <v>13633.378303200001</v>
      </c>
      <c r="LM25" s="702"/>
      <c r="LN25" s="703">
        <f>LM25/LK25</f>
        <v>0</v>
      </c>
      <c r="LO25" s="593">
        <f>'Proy 2022 vs 2019 sem'!BI24*LR$4</f>
        <v>6849.0360000000001</v>
      </c>
      <c r="LP25" s="593">
        <f>'Proy 2022 vs 2019 sem'!BJ24*LR$4</f>
        <v>13633.378303200001</v>
      </c>
      <c r="LQ25" s="702"/>
      <c r="LR25" s="703">
        <f>LQ25/LO25</f>
        <v>0</v>
      </c>
      <c r="LS25" s="593">
        <f>'Proy 2022 vs 2019 sem'!BI24*LV$4</f>
        <v>6849.0360000000001</v>
      </c>
      <c r="LT25" s="593">
        <f>'Proy 2022 vs 2019 sem'!BJ24*LV$4</f>
        <v>13633.378303200001</v>
      </c>
      <c r="LU25" s="702"/>
      <c r="LV25" s="703">
        <f>LU25/LS25</f>
        <v>0</v>
      </c>
      <c r="LW25" s="593">
        <f>'Proy 2022 vs 2019 sem'!BI24*LZ$4</f>
        <v>6849.0360000000001</v>
      </c>
      <c r="LX25" s="593">
        <f>'Proy 2022 vs 2019 sem'!BJ24*LZ$4</f>
        <v>13633.378303200001</v>
      </c>
      <c r="LY25" s="702"/>
      <c r="LZ25" s="703">
        <f>LY25/LW25</f>
        <v>0</v>
      </c>
      <c r="MA25" s="593">
        <f>'Proy 2022 vs 2019 sem'!BI24*MD$4</f>
        <v>7990.5420000000013</v>
      </c>
      <c r="MB25" s="593">
        <f>'Proy 2022 vs 2019 sem'!BJ24*MD$4</f>
        <v>15905.608020400005</v>
      </c>
      <c r="MC25" s="702"/>
      <c r="MD25" s="703">
        <f>MC25/MA25</f>
        <v>0</v>
      </c>
      <c r="ME25" s="593">
        <f>'Proy 2022 vs 2019 sem'!BI24*MH$4</f>
        <v>9132.0480000000007</v>
      </c>
      <c r="MF25" s="593">
        <f>'Proy 2022 vs 2019 sem'!BJ24*MH$4</f>
        <v>18177.837737600003</v>
      </c>
      <c r="MG25" s="702"/>
      <c r="MH25" s="703">
        <f>MG25/ME25</f>
        <v>0</v>
      </c>
      <c r="MI25" s="593">
        <f>'Proy 2022 vs 2019 sem'!BI24*ML$4</f>
        <v>12556.566000000001</v>
      </c>
      <c r="MJ25" s="593">
        <f>'Proy 2022 vs 2019 sem'!BJ24*ML$4</f>
        <v>24994.526889200002</v>
      </c>
      <c r="MK25" s="702"/>
      <c r="ML25" s="703">
        <f>MK25/MI25</f>
        <v>0</v>
      </c>
      <c r="MM25" s="608">
        <f>LK25+LO25+LS25+LW25+MA25+ME25+MI25</f>
        <v>57075.3</v>
      </c>
      <c r="MN25" s="609">
        <f>LL25+LP25+LT25+LX25+MB25+MF25+MJ25</f>
        <v>113611.48586000002</v>
      </c>
      <c r="MO25" s="731">
        <f>LM25+LQ25+LU25+LY25+MC25+MG25+MK25</f>
        <v>0</v>
      </c>
      <c r="MP25" s="713">
        <f>MO25/MM25</f>
        <v>0</v>
      </c>
      <c r="MQ25" s="593">
        <f>'Proy 2022 vs 2019 sem'!BN24*MT$4</f>
        <v>6145.3127999999997</v>
      </c>
      <c r="MR25" s="593">
        <f>'Proy 2022 vs 2019 sem'!BO24*MT$4</f>
        <v>15152.570016</v>
      </c>
      <c r="MS25" s="702"/>
      <c r="MT25" s="703">
        <f>MS25/MQ25</f>
        <v>0</v>
      </c>
      <c r="MU25" s="593">
        <f>'Proy 2022 vs 2019 sem'!BN24*MX$4</f>
        <v>6145.3127999999997</v>
      </c>
      <c r="MV25" s="593">
        <f>'Proy 2022 vs 2019 sem'!BO24*MX$4</f>
        <v>15152.570016</v>
      </c>
      <c r="MW25" s="702"/>
      <c r="MX25" s="703">
        <f>MW25/MU25</f>
        <v>0</v>
      </c>
      <c r="MY25" s="593">
        <f>'Proy 2022 vs 2019 sem'!BN24*NB$4</f>
        <v>6145.3127999999997</v>
      </c>
      <c r="MZ25" s="593">
        <f>'Proy 2022 vs 2019 sem'!BO24*NB$4</f>
        <v>15152.570016</v>
      </c>
      <c r="NA25" s="702"/>
      <c r="NB25" s="703">
        <f>NA25/MY25</f>
        <v>0</v>
      </c>
      <c r="NC25" s="593">
        <f>'Proy 2022 vs 2019 sem'!BN24*NF$4</f>
        <v>6145.3127999999997</v>
      </c>
      <c r="ND25" s="593">
        <f>'Proy 2022 vs 2019 sem'!BO24*NF$4</f>
        <v>15152.570016</v>
      </c>
      <c r="NE25" s="702"/>
      <c r="NF25" s="703">
        <f>NE25/NC25</f>
        <v>0</v>
      </c>
      <c r="NG25" s="593">
        <f>'Proy 2022 vs 2019 sem'!BN24*NJ$4</f>
        <v>7169.5316000000012</v>
      </c>
      <c r="NH25" s="593">
        <f>'Proy 2022 vs 2019 sem'!BO24*NJ$4</f>
        <v>17677.998352000002</v>
      </c>
      <c r="NI25" s="702"/>
      <c r="NJ25" s="703">
        <f>NI25/NG25</f>
        <v>0</v>
      </c>
      <c r="NK25" s="593">
        <f>'Proy 2022 vs 2019 sem'!BN24*NN$4</f>
        <v>8193.7504000000008</v>
      </c>
      <c r="NL25" s="593">
        <f>'Proy 2022 vs 2019 sem'!BO24*NN$4</f>
        <v>20203.426688000003</v>
      </c>
      <c r="NM25" s="702"/>
      <c r="NN25" s="703">
        <f>NM25/NK25</f>
        <v>0</v>
      </c>
      <c r="NO25" s="593">
        <f>'Proy 2022 vs 2019 sem'!BN24*NR$4</f>
        <v>11266.406800000001</v>
      </c>
      <c r="NP25" s="593">
        <f>'Proy 2022 vs 2019 sem'!BO24*NR$4</f>
        <v>27779.711696000002</v>
      </c>
      <c r="NQ25" s="702"/>
      <c r="NR25" s="703">
        <f>NQ25/NO25</f>
        <v>0</v>
      </c>
      <c r="NS25" s="608">
        <f>MQ25+MU25+MY25+NC25+NG25+NK25+NO25</f>
        <v>51210.94</v>
      </c>
      <c r="NT25" s="609">
        <f>MR25+MV25+MZ25+ND25+NH25+NL25+NP25</f>
        <v>126271.41680000001</v>
      </c>
      <c r="NU25" s="712">
        <f>MS25+MW25+NA25+NE25+NI25+NM25+NQ25</f>
        <v>0</v>
      </c>
      <c r="NV25" s="713">
        <f>NU25/NS25</f>
        <v>0</v>
      </c>
      <c r="NW25" s="593">
        <f>'Proy 2022 vs 2019 sem'!BS24*NZ$4</f>
        <v>8107.2492000000002</v>
      </c>
      <c r="NX25" s="593">
        <f>'Proy 2022 vs 2019 sem'!BT24*NZ$4</f>
        <v>12368.4845448</v>
      </c>
      <c r="NY25" s="702"/>
      <c r="NZ25" s="703">
        <f>NY25/NW25</f>
        <v>0</v>
      </c>
      <c r="OA25" s="593">
        <f>'Proy 2022 vs 2019 sem'!BS24*OD$4</f>
        <v>8107.2492000000002</v>
      </c>
      <c r="OB25" s="593">
        <f>'Proy 2022 vs 2019 sem'!BT24*OD$4</f>
        <v>12368.4845448</v>
      </c>
      <c r="OC25" s="702"/>
      <c r="OD25" s="703">
        <f>OC25/OA25</f>
        <v>0</v>
      </c>
      <c r="OE25" s="593">
        <f>'Proy 2022 vs 2019 sem'!BS24*OH$4</f>
        <v>8107.2492000000002</v>
      </c>
      <c r="OF25" s="593">
        <f>'Proy 2022 vs 2019 sem'!BT24*OH$4</f>
        <v>12368.4845448</v>
      </c>
      <c r="OG25" s="702"/>
      <c r="OH25" s="703">
        <f>OG25/OE25</f>
        <v>0</v>
      </c>
      <c r="OI25" s="593">
        <f>'Proy 2022 vs 2019 sem'!BS24*OL$4</f>
        <v>8107.2492000000002</v>
      </c>
      <c r="OJ25" s="593">
        <f>'Proy 2022 vs 2019 sem'!BT24*OL$4</f>
        <v>12368.4845448</v>
      </c>
      <c r="OK25" s="702"/>
      <c r="OL25" s="703">
        <f>OK25/OI25</f>
        <v>0</v>
      </c>
      <c r="OM25" s="593">
        <f>'Proy 2022 vs 2019 sem'!BS24*OP$4</f>
        <v>9458.4574000000011</v>
      </c>
      <c r="ON25" s="593">
        <f>'Proy 2022 vs 2019 sem'!BT24*OP$4</f>
        <v>14429.898635600002</v>
      </c>
      <c r="OO25" s="702"/>
      <c r="OP25" s="703">
        <f>OO25/OM25</f>
        <v>0</v>
      </c>
      <c r="OQ25" s="593">
        <f>'Proy 2022 vs 2019 sem'!BS24*OT$4</f>
        <v>10809.6656</v>
      </c>
      <c r="OR25" s="593">
        <f>'Proy 2022 vs 2019 sem'!BT24*OT$4</f>
        <v>16491.3127264</v>
      </c>
      <c r="OS25" s="702"/>
      <c r="OT25" s="703">
        <f>OS25/OQ25</f>
        <v>0</v>
      </c>
      <c r="OU25" s="593">
        <f>'Proy 2022 vs 2019 sem'!BS24*OX$4</f>
        <v>14863.290200000001</v>
      </c>
      <c r="OV25" s="593">
        <f>'Proy 2022 vs 2019 sem'!BT24*OX$4</f>
        <v>22675.554998800002</v>
      </c>
      <c r="OW25" s="702"/>
      <c r="OX25" s="703">
        <f>OW25/OU25</f>
        <v>0</v>
      </c>
      <c r="OY25" s="608">
        <f>NW25+OA25+OE25+OI25+OM25+OQ25+OU25</f>
        <v>67560.41</v>
      </c>
      <c r="OZ25" s="609">
        <f>NX25+OB25+OF25+OJ25+ON25+OR25+OV25</f>
        <v>103070.70453999999</v>
      </c>
      <c r="PA25" s="712">
        <f>NY25+OC25+OG25+OK25+OO25+OS25+OW25</f>
        <v>0</v>
      </c>
      <c r="PB25" s="713">
        <f>PA25/OY25</f>
        <v>0</v>
      </c>
      <c r="PC25" s="593">
        <f>'Proy 2022 vs 2019 sem'!CB24*PF$4</f>
        <v>8209.4159999999993</v>
      </c>
      <c r="PD25" s="593">
        <f>'Proy 2022 vs 2019 sem'!CC24*PF$4</f>
        <v>13783.647110399999</v>
      </c>
      <c r="PE25" s="737"/>
      <c r="PF25" s="703">
        <f>PE25/PC25</f>
        <v>0</v>
      </c>
      <c r="PG25" s="593">
        <f>'Proy 2022 vs 2019 sem'!CB24*PJ$4</f>
        <v>8209.4159999999993</v>
      </c>
      <c r="PH25" s="593">
        <f>'Proy 2022 vs 2019 sem'!CC24*PJ$4</f>
        <v>13783.647110399999</v>
      </c>
      <c r="PI25" s="702"/>
      <c r="PJ25" s="703">
        <f>PI25/PG25</f>
        <v>0</v>
      </c>
      <c r="PK25" s="593">
        <f>'Proy 2022 vs 2019 sem'!CB24*PN$4</f>
        <v>8209.4159999999993</v>
      </c>
      <c r="PL25" s="593">
        <f>'Proy 2022 vs 2019 sem'!CC24*PN$4</f>
        <v>13783.647110399999</v>
      </c>
      <c r="PM25" s="702"/>
      <c r="PN25" s="703">
        <f>PM25/PK25</f>
        <v>0</v>
      </c>
      <c r="PO25" s="593">
        <f>'Proy 2022 vs 2019 sem'!CB24*PR$4</f>
        <v>8209.4159999999993</v>
      </c>
      <c r="PP25" s="593">
        <f>'Proy 2022 vs 2019 sem'!CC24*PR$4</f>
        <v>13783.647110399999</v>
      </c>
      <c r="PQ25" s="702"/>
      <c r="PR25" s="703">
        <f>PQ25/PO25</f>
        <v>0</v>
      </c>
      <c r="PS25" s="593">
        <f>'Proy 2022 vs 2019 sem'!CB24*PV$4</f>
        <v>9577.6520000000019</v>
      </c>
      <c r="PT25" s="593">
        <f>'Proy 2022 vs 2019 sem'!CC24*PV$4</f>
        <v>16080.921628800001</v>
      </c>
      <c r="PU25" s="702"/>
      <c r="PV25" s="703">
        <f>PU25/PS25</f>
        <v>0</v>
      </c>
      <c r="PW25" s="593">
        <f>'Proy 2022 vs 2019 sem'!CB24*PZ$4</f>
        <v>10945.888000000001</v>
      </c>
      <c r="PX25" s="593">
        <f>'Proy 2022 vs 2019 sem'!CC24*PZ$4</f>
        <v>18378.1961472</v>
      </c>
      <c r="PY25" s="702"/>
      <c r="PZ25" s="703">
        <f>PY25/PW25</f>
        <v>0</v>
      </c>
      <c r="QA25" s="593">
        <f>'Proy 2022 vs 2019 sem'!CB24*QD$4</f>
        <v>15050.596000000001</v>
      </c>
      <c r="QB25" s="593">
        <f>'Proy 2022 vs 2019 sem'!CC24*QD$4</f>
        <v>25270.019702400001</v>
      </c>
      <c r="QC25" s="702"/>
      <c r="QD25" s="703">
        <f>QC25/QA25</f>
        <v>0</v>
      </c>
      <c r="QE25" s="608">
        <f>PC25+PG25+PK25+PO25+PS25+PW25+QA25</f>
        <v>68411.8</v>
      </c>
      <c r="QF25" s="609">
        <f>PD25+PH25+PL25+PP25+PT25+PX25+QB25</f>
        <v>114863.72592</v>
      </c>
      <c r="QG25" s="793">
        <f>PE25+PI25+PM25+PQ25+PU25+PY25+QC25</f>
        <v>0</v>
      </c>
      <c r="QH25" s="788">
        <f>QG25/QE25</f>
        <v>0</v>
      </c>
      <c r="QI25" s="593">
        <f>'Proy 2022 vs 2019 sem'!CG24*QL$4</f>
        <v>9131.739599999999</v>
      </c>
      <c r="QJ25" s="593">
        <f>'Proy 2022 vs 2019 sem'!CH24*QL$4</f>
        <v>16394.374370999998</v>
      </c>
      <c r="QK25" s="702"/>
      <c r="QL25" s="703">
        <f>QK25/QI25</f>
        <v>0</v>
      </c>
      <c r="QM25" s="593">
        <f>'Proy 2022 vs 2019 sem'!CG24*QP$4</f>
        <v>9131.739599999999</v>
      </c>
      <c r="QN25" s="593">
        <f>'Proy 2022 vs 2019 sem'!CH24*QP$4</f>
        <v>16394.374370999998</v>
      </c>
      <c r="QO25" s="702"/>
      <c r="QP25" s="703">
        <f>QO25/QM25</f>
        <v>0</v>
      </c>
      <c r="QQ25" s="593">
        <f>'Proy 2022 vs 2019 sem'!CG24*QT$4</f>
        <v>9131.739599999999</v>
      </c>
      <c r="QR25" s="593">
        <f>'Proy 2022 vs 2019 sem'!CH24*QT$4</f>
        <v>16394.374370999998</v>
      </c>
      <c r="QS25" s="702"/>
      <c r="QT25" s="703">
        <f>QS25/QQ25</f>
        <v>0</v>
      </c>
      <c r="QU25" s="593">
        <f>'Proy 2022 vs 2019 sem'!CG24*QX$4</f>
        <v>9131.739599999999</v>
      </c>
      <c r="QV25" s="593">
        <f>'Proy 2022 vs 2019 sem'!CH24*QX$4</f>
        <v>16394.374370999998</v>
      </c>
      <c r="QW25" s="702"/>
      <c r="QX25" s="703">
        <f>QW25/QU25</f>
        <v>0</v>
      </c>
      <c r="QY25" s="593">
        <f>'Proy 2022 vs 2019 sem'!CG24*RB$4</f>
        <v>10653.696200000002</v>
      </c>
      <c r="QZ25" s="593">
        <f>'Proy 2022 vs 2019 sem'!CH24*RB$4</f>
        <v>19126.770099500001</v>
      </c>
      <c r="RA25" s="702"/>
      <c r="RB25" s="703">
        <f>RA25/QY25</f>
        <v>0</v>
      </c>
      <c r="RC25" s="593">
        <f>'Proy 2022 vs 2019 sem'!CG24*RF$4</f>
        <v>12175.6528</v>
      </c>
      <c r="RD25" s="593">
        <f>'Proy 2022 vs 2019 sem'!CH24*RF$4</f>
        <v>21859.165828000001</v>
      </c>
      <c r="RE25" s="702"/>
      <c r="RF25" s="703">
        <f>RE25/RC25</f>
        <v>0</v>
      </c>
      <c r="RG25" s="593">
        <f>'Proy 2022 vs 2019 sem'!CG24*RJ$4</f>
        <v>16741.5226</v>
      </c>
      <c r="RH25" s="593">
        <f>'Proy 2022 vs 2019 sem'!CH24*RJ$4</f>
        <v>30056.3530135</v>
      </c>
      <c r="RI25" s="702"/>
      <c r="RJ25" s="703">
        <f>RI25/RG25</f>
        <v>0</v>
      </c>
      <c r="RK25" s="608">
        <f>QI25+QM25+QQ25+QU25+QY25+RC25+RG25</f>
        <v>76097.829999999987</v>
      </c>
      <c r="RL25" s="609">
        <f>QJ25+QN25+QR25+QV25+QZ25+RD25+RH25</f>
        <v>136619.786425</v>
      </c>
      <c r="RM25" s="795">
        <f>QK25+QO25+QS25+QW25+RA25+RE25+RI25</f>
        <v>0</v>
      </c>
      <c r="RN25" s="788">
        <f>RM25/RK25</f>
        <v>0</v>
      </c>
      <c r="RO25" s="593">
        <f>'Proy 2022 vs 2019 sem'!CL24*RR$4</f>
        <v>9292.0415999999987</v>
      </c>
      <c r="RP25" s="593">
        <f>'Proy 2022 vs 2019 sem'!CM24*RR$4</f>
        <v>15716.400923999998</v>
      </c>
      <c r="RQ25" s="702"/>
      <c r="RR25" s="703">
        <f>RQ25/RO25</f>
        <v>0</v>
      </c>
      <c r="RS25" s="593">
        <f>'Proy 2022 vs 2019 sem'!CL24*RV$4</f>
        <v>9292.0415999999987</v>
      </c>
      <c r="RT25" s="593">
        <f>'Proy 2022 vs 2019 sem'!CM24*RV$4</f>
        <v>15716.400923999998</v>
      </c>
      <c r="RU25" s="702"/>
      <c r="RV25" s="703">
        <f>RU25/RS25</f>
        <v>0</v>
      </c>
      <c r="RW25" s="593">
        <f>'Proy 2022 vs 2019 sem'!CL24*RZ$4</f>
        <v>9292.0415999999987</v>
      </c>
      <c r="RX25" s="593">
        <f>'Proy 2022 vs 2019 sem'!CM24*RZ$4</f>
        <v>15716.400923999998</v>
      </c>
      <c r="RY25" s="702"/>
      <c r="RZ25" s="703">
        <f>RY25/RW25</f>
        <v>0</v>
      </c>
      <c r="SA25" s="593">
        <f>'Proy 2022 vs 2019 sem'!CL24*SD$4</f>
        <v>9292.0415999999987</v>
      </c>
      <c r="SB25" s="593">
        <f>'Proy 2022 vs 2019 sem'!CM24*SD$4</f>
        <v>15716.400923999998</v>
      </c>
      <c r="SC25" s="702"/>
      <c r="SD25" s="703">
        <f>SC25/SA25</f>
        <v>0</v>
      </c>
      <c r="SE25" s="593">
        <f>'Proy 2022 vs 2019 sem'!CL24*SH$4</f>
        <v>10840.715200000001</v>
      </c>
      <c r="SF25" s="593">
        <f>'Proy 2022 vs 2019 sem'!CM24*SH$4</f>
        <v>18335.801078</v>
      </c>
      <c r="SG25" s="702"/>
      <c r="SH25" s="703">
        <f>SG25/SE25</f>
        <v>0</v>
      </c>
      <c r="SI25" s="593">
        <f>'Proy 2022 vs 2019 sem'!CL24*SL$4</f>
        <v>12389.388799999999</v>
      </c>
      <c r="SJ25" s="593">
        <f>'Proy 2022 vs 2019 sem'!CM24*SL$4</f>
        <v>20955.201231999999</v>
      </c>
      <c r="SK25" s="702"/>
      <c r="SL25" s="703">
        <f>SK25/SI25</f>
        <v>0</v>
      </c>
      <c r="SM25" s="593">
        <f>'Proy 2022 vs 2019 sem'!CL24*SP$4</f>
        <v>17035.409599999999</v>
      </c>
      <c r="SN25" s="593">
        <f>'Proy 2022 vs 2019 sem'!CM24*SP$4</f>
        <v>28813.401693999996</v>
      </c>
      <c r="SO25" s="702"/>
      <c r="SP25" s="703">
        <f>SO25/SM25</f>
        <v>0</v>
      </c>
      <c r="SQ25" s="608">
        <f>RO25+RS25+RW25+SA25+SE25+SI25+SM25</f>
        <v>77433.679999999993</v>
      </c>
      <c r="SR25" s="609">
        <f>RP25+RT25+RX25+SB25+SF25+SJ25+SN25</f>
        <v>130970.00769999999</v>
      </c>
      <c r="SS25" s="795">
        <f>RQ25+RU25+RY25+SC25+SG25+SK25+SO25</f>
        <v>0</v>
      </c>
      <c r="ST25" s="788">
        <f>SS25/SQ25</f>
        <v>0</v>
      </c>
      <c r="SU25" s="593">
        <f>'Proy 2022 vs 2019 sem'!CQ24*SX$4</f>
        <v>11544.364799999999</v>
      </c>
      <c r="SV25" s="593">
        <f>'Proy 2022 vs 2019 sem'!CR24*SX$4</f>
        <v>21393.315524999998</v>
      </c>
      <c r="SW25" s="702"/>
      <c r="SX25" s="703">
        <f>SW25/SU25</f>
        <v>0</v>
      </c>
      <c r="SY25" s="593">
        <f>'Proy 2022 vs 2019 sem'!CQ24*TB$4</f>
        <v>11544.364799999999</v>
      </c>
      <c r="SZ25" s="593">
        <f>'Proy 2022 vs 2019 sem'!CR24*TB$4</f>
        <v>21393.315524999998</v>
      </c>
      <c r="TA25" s="702"/>
      <c r="TB25" s="703">
        <f>TA25/SY25</f>
        <v>0</v>
      </c>
      <c r="TC25" s="593">
        <f>'Proy 2022 vs 2019 sem'!CQ24*TF$4</f>
        <v>11544.364799999999</v>
      </c>
      <c r="TD25" s="593">
        <f>'Proy 2022 vs 2019 sem'!CR24*TF$4</f>
        <v>21393.315524999998</v>
      </c>
      <c r="TE25" s="702"/>
      <c r="TF25" s="703">
        <f>TE25/TC25</f>
        <v>0</v>
      </c>
      <c r="TG25" s="593">
        <f>'Proy 2022 vs 2019 sem'!CQ24*TJ$4</f>
        <v>11544.364799999999</v>
      </c>
      <c r="TH25" s="593">
        <f>'Proy 2022 vs 2019 sem'!CR24*TJ$4</f>
        <v>21393.315524999998</v>
      </c>
      <c r="TI25" s="702"/>
      <c r="TJ25" s="703">
        <f>TI25/TG25</f>
        <v>0</v>
      </c>
      <c r="TK25" s="593">
        <f>'Proy 2022 vs 2019 sem'!CQ24*TN$4</f>
        <v>13468.4256</v>
      </c>
      <c r="TL25" s="593">
        <f>'Proy 2022 vs 2019 sem'!CR24*TN$4</f>
        <v>24958.8681125</v>
      </c>
      <c r="TM25" s="702"/>
      <c r="TN25" s="703">
        <f>TM25/TK25</f>
        <v>0</v>
      </c>
      <c r="TO25" s="593">
        <f>'Proy 2022 vs 2019 sem'!CQ24*TR$4</f>
        <v>15392.4864</v>
      </c>
      <c r="TP25" s="593">
        <f>'Proy 2022 vs 2019 sem'!CR24*TR$4</f>
        <v>28524.420699999999</v>
      </c>
      <c r="TQ25" s="702"/>
      <c r="TR25" s="703">
        <f>TQ25/TO25</f>
        <v>0</v>
      </c>
      <c r="TS25" s="593">
        <f>'Proy 2022 vs 2019 sem'!CQ24*TV$4</f>
        <v>21164.668799999999</v>
      </c>
      <c r="TT25" s="593">
        <f>'Proy 2022 vs 2019 sem'!CR24*TV$4</f>
        <v>39221.078462500001</v>
      </c>
      <c r="TU25" s="702"/>
      <c r="TV25" s="703">
        <f>TU25/TS25</f>
        <v>0</v>
      </c>
      <c r="TW25" s="608">
        <f>SU25+SY25+TC25+TG25+TK25+TO25+TS25</f>
        <v>96203.04</v>
      </c>
      <c r="TX25" s="609">
        <f>SV25+SZ25+TD25+TH25+TL25+TP25+TT25</f>
        <v>178277.62937499999</v>
      </c>
      <c r="TY25" s="787">
        <f>SW25+TA25+TE25+TI25+TM25+TQ25+TU25</f>
        <v>0</v>
      </c>
      <c r="TZ25" s="788">
        <f>TY25/TW25</f>
        <v>0</v>
      </c>
      <c r="UA25" s="593">
        <f>'Proy 2022 vs 2019 sem'!CZ24*UD$4</f>
        <v>12949.690799999998</v>
      </c>
      <c r="UB25" s="593">
        <f>'Proy 2022 vs 2019 sem'!DA24*UD$4</f>
        <v>24247.846368000002</v>
      </c>
      <c r="UC25" s="737"/>
      <c r="UD25" s="703">
        <f>UC25/UA25</f>
        <v>0</v>
      </c>
      <c r="UE25" s="593">
        <f>'Proy 2022 vs 2019 sem'!CZ24*UH$4</f>
        <v>12949.690799999998</v>
      </c>
      <c r="UF25" s="593">
        <f>'Proy 2022 vs 2019 sem'!DA24*UH$4</f>
        <v>24247.846368000002</v>
      </c>
      <c r="UG25" s="702"/>
      <c r="UH25" s="703">
        <f>UG25/UE25</f>
        <v>0</v>
      </c>
      <c r="UI25" s="593">
        <f>'Proy 2022 vs 2019 sem'!CZ24*UL$4</f>
        <v>12949.690799999998</v>
      </c>
      <c r="UJ25" s="593">
        <f>'Proy 2022 vs 2019 sem'!DA24*UL$4</f>
        <v>24247.846368000002</v>
      </c>
      <c r="UK25" s="702"/>
      <c r="UL25" s="703">
        <f>UK25/UI25</f>
        <v>0</v>
      </c>
      <c r="UM25" s="593">
        <f>'Proy 2022 vs 2019 sem'!CZ24*UP$4</f>
        <v>12949.690799999998</v>
      </c>
      <c r="UN25" s="593">
        <f>'Proy 2022 vs 2019 sem'!DA24*UP$4</f>
        <v>24247.846368000002</v>
      </c>
      <c r="UO25" s="702"/>
      <c r="UP25" s="703">
        <f>UO25/UM25</f>
        <v>0</v>
      </c>
      <c r="UQ25" s="593">
        <f>'Proy 2022 vs 2019 sem'!CZ24*UT$4</f>
        <v>15107.972600000001</v>
      </c>
      <c r="UR25" s="593">
        <f>'Proy 2022 vs 2019 sem'!DA24*UT$4</f>
        <v>28289.154096000006</v>
      </c>
      <c r="US25" s="702"/>
      <c r="UT25" s="703">
        <f>US25/UQ25</f>
        <v>0</v>
      </c>
      <c r="UU25" s="593">
        <f>'Proy 2022 vs 2019 sem'!CZ24*UX$4</f>
        <v>17266.254399999998</v>
      </c>
      <c r="UV25" s="593">
        <f>'Proy 2022 vs 2019 sem'!DA24*UX$4</f>
        <v>32330.461824000002</v>
      </c>
      <c r="UW25" s="702"/>
      <c r="UX25" s="703">
        <f>UW25/UU25</f>
        <v>0</v>
      </c>
      <c r="UY25" s="593">
        <f>'Proy 2022 vs 2019 sem'!CZ24*VB$4</f>
        <v>23741.0998</v>
      </c>
      <c r="UZ25" s="593">
        <f>'Proy 2022 vs 2019 sem'!DA24*VB$4</f>
        <v>44454.385008000005</v>
      </c>
      <c r="VA25" s="702"/>
      <c r="VB25" s="703">
        <f>VA25/UY25</f>
        <v>0</v>
      </c>
      <c r="VC25" s="608">
        <f>UA25+UE25+UI25+UM25+UQ25+UU25+UY25</f>
        <v>107914.09</v>
      </c>
      <c r="VD25" s="609">
        <f>UB25+UF25+UJ25+UN25+UR25+UV25+UZ25</f>
        <v>202065.38640000002</v>
      </c>
      <c r="VE25" s="759">
        <f>UC25+UG25+UK25+UO25+US25+UW25+VA25</f>
        <v>0</v>
      </c>
      <c r="VF25" s="762">
        <f>VE25/VC25</f>
        <v>0</v>
      </c>
      <c r="VG25" s="593">
        <f>'Proy 2022 vs 2019 sem'!DE24*VJ$4</f>
        <v>8831.3328000000001</v>
      </c>
      <c r="VH25" s="593">
        <f>'Proy 2022 vs 2019 sem'!DF24*VJ$4</f>
        <v>15165.685277999997</v>
      </c>
      <c r="VI25" s="702"/>
      <c r="VJ25" s="703">
        <f>VI25/VG25</f>
        <v>0</v>
      </c>
      <c r="VK25" s="593">
        <f>'Proy 2022 vs 2019 sem'!DE24*VN$4</f>
        <v>8831.3328000000001</v>
      </c>
      <c r="VL25" s="593">
        <f>'Proy 2022 vs 2019 sem'!DF24*VN$4</f>
        <v>15165.685277999997</v>
      </c>
      <c r="VM25" s="702"/>
      <c r="VN25" s="703">
        <f>VM25/VK25</f>
        <v>0</v>
      </c>
      <c r="VO25" s="593">
        <f>'Proy 2022 vs 2019 sem'!DE24*VR$4</f>
        <v>8831.3328000000001</v>
      </c>
      <c r="VP25" s="593">
        <f>'Proy 2022 vs 2019 sem'!DF24*VR$4</f>
        <v>15165.685277999997</v>
      </c>
      <c r="VQ25" s="702"/>
      <c r="VR25" s="703">
        <f>VQ25/VO25</f>
        <v>0</v>
      </c>
      <c r="VS25" s="593">
        <f>'Proy 2022 vs 2019 sem'!DE24*VV$4</f>
        <v>8831.3328000000001</v>
      </c>
      <c r="VT25" s="593">
        <f>'Proy 2022 vs 2019 sem'!DF24*VV$4</f>
        <v>15165.685277999997</v>
      </c>
      <c r="VU25" s="702"/>
      <c r="VV25" s="703">
        <f>VU25/VS25</f>
        <v>0</v>
      </c>
      <c r="VW25" s="593">
        <f>'Proy 2022 vs 2019 sem'!DE24*VZ$4</f>
        <v>10303.221600000001</v>
      </c>
      <c r="VX25" s="593">
        <f>'Proy 2022 vs 2019 sem'!DF24*VZ$4</f>
        <v>17693.299490999998</v>
      </c>
      <c r="VY25" s="702"/>
      <c r="VZ25" s="703">
        <f>VY25/VW25</f>
        <v>0</v>
      </c>
      <c r="WA25" s="593">
        <f>'Proy 2022 vs 2019 sem'!DE24*WD$4</f>
        <v>11775.110400000001</v>
      </c>
      <c r="WB25" s="593">
        <f>'Proy 2022 vs 2019 sem'!DF24*WD$4</f>
        <v>20220.913703999999</v>
      </c>
      <c r="WC25" s="702"/>
      <c r="WD25" s="703">
        <f>WC25/WA25</f>
        <v>0</v>
      </c>
      <c r="WE25" s="593">
        <f>'Proy 2022 vs 2019 sem'!DE24*WH$4</f>
        <v>16190.776800000001</v>
      </c>
      <c r="WF25" s="593">
        <f>'Proy 2022 vs 2019 sem'!DF24*WH$4</f>
        <v>27803.756342999997</v>
      </c>
      <c r="WG25" s="702"/>
      <c r="WH25" s="703">
        <f>WG25/WE25</f>
        <v>0</v>
      </c>
      <c r="WI25" s="608">
        <f>VG25+VK25+VO25+VS25+VW25+WA25+WE25</f>
        <v>73594.440000000017</v>
      </c>
      <c r="WJ25" s="609">
        <f>VH25+VL25+VP25+VT25+VX25+WB25+WF25</f>
        <v>126380.71064999998</v>
      </c>
      <c r="WK25" s="766">
        <f>VI25+VM25+VQ25+VU25+VY25+WC25+WG25</f>
        <v>0</v>
      </c>
      <c r="WL25" s="762">
        <f>WK25/WI25</f>
        <v>0</v>
      </c>
      <c r="WM25" s="593">
        <f>'Proy 2022 vs 2019 sem'!DJ24*WP$4</f>
        <v>7631.4731999999995</v>
      </c>
      <c r="WN25" s="593">
        <f>'Proy 2022 vs 2019 sem'!DK24*WP$4</f>
        <v>16017.210756</v>
      </c>
      <c r="WO25" s="702"/>
      <c r="WP25" s="703">
        <f>WO25/WM25</f>
        <v>0</v>
      </c>
      <c r="WQ25" s="593">
        <f>'Proy 2022 vs 2019 sem'!DJ24*WT$4</f>
        <v>7631.4731999999995</v>
      </c>
      <c r="WR25" s="593">
        <f>'Proy 2022 vs 2019 sem'!DK24*WT$4</f>
        <v>16017.210756</v>
      </c>
      <c r="WS25" s="702"/>
      <c r="WT25" s="703">
        <f>WS25/WQ25</f>
        <v>0</v>
      </c>
      <c r="WU25" s="593">
        <f>'Proy 2022 vs 2019 sem'!DJ24*WX$4</f>
        <v>7631.4731999999995</v>
      </c>
      <c r="WV25" s="593">
        <f>'Proy 2022 vs 2019 sem'!DK24*WX$4</f>
        <v>16017.210756</v>
      </c>
      <c r="WW25" s="702"/>
      <c r="WX25" s="703">
        <f>WW25/WU25</f>
        <v>0</v>
      </c>
      <c r="WY25" s="593">
        <f>'Proy 2022 vs 2019 sem'!DJ24*XB$4</f>
        <v>7631.4731999999995</v>
      </c>
      <c r="WZ25" s="593">
        <f>'Proy 2022 vs 2019 sem'!DK24*XB$4</f>
        <v>16017.210756</v>
      </c>
      <c r="XA25" s="702"/>
      <c r="XB25" s="703">
        <f>XA25/WY25</f>
        <v>0</v>
      </c>
      <c r="XC25" s="593">
        <f>'Proy 2022 vs 2019 sem'!DJ24*XF$4</f>
        <v>8903.385400000001</v>
      </c>
      <c r="XD25" s="593">
        <f>'Proy 2022 vs 2019 sem'!DK24*XF$4</f>
        <v>18686.745882000003</v>
      </c>
      <c r="XE25" s="702"/>
      <c r="XF25" s="703">
        <f>XE25/XC25</f>
        <v>0</v>
      </c>
      <c r="XG25" s="593">
        <f>'Proy 2022 vs 2019 sem'!DJ24*XJ$4</f>
        <v>10175.2976</v>
      </c>
      <c r="XH25" s="593">
        <f>'Proy 2022 vs 2019 sem'!DK24*XJ$4</f>
        <v>21356.281008000002</v>
      </c>
      <c r="XI25" s="702"/>
      <c r="XJ25" s="703">
        <f>XI25/XG25</f>
        <v>0</v>
      </c>
      <c r="XK25" s="593">
        <f>'Proy 2022 vs 2019 sem'!DJ24*XN$4</f>
        <v>13991.0342</v>
      </c>
      <c r="XL25" s="593">
        <f>'Proy 2022 vs 2019 sem'!DK24*XN$4</f>
        <v>29364.886386000002</v>
      </c>
      <c r="XM25" s="702"/>
      <c r="XN25" s="703">
        <f>XM25/XK25</f>
        <v>0</v>
      </c>
      <c r="XO25" s="608">
        <f>WM25+WQ25+WU25+WY25+XC25+XG25+XK25</f>
        <v>63595.61</v>
      </c>
      <c r="XP25" s="609">
        <f>WN25+WR25+WV25+WZ25+XD25+XH25+XL25</f>
        <v>133476.75630000001</v>
      </c>
      <c r="XQ25" s="766">
        <f>WO25+WS25+WW25+XA25+XE25+XI25+XM25</f>
        <v>0</v>
      </c>
      <c r="XR25" s="762">
        <f>XQ25/XO25</f>
        <v>0</v>
      </c>
      <c r="XS25" s="593">
        <f>'Proy 2022 vs 2019 sem'!DO24*XV$4</f>
        <v>8602.5887999999995</v>
      </c>
      <c r="XT25" s="593">
        <f>'Proy 2022 vs 2019 sem'!DP24*XV$4</f>
        <v>13871.170076999997</v>
      </c>
      <c r="XU25" s="702"/>
      <c r="XV25" s="703">
        <f>XU25/XS25</f>
        <v>0</v>
      </c>
      <c r="XW25" s="593">
        <f>'Proy 2022 vs 2019 sem'!DO24*XZ$4</f>
        <v>8602.5887999999995</v>
      </c>
      <c r="XX25" s="593">
        <f>'Proy 2022 vs 2019 sem'!DP24*XZ$4</f>
        <v>13871.170076999997</v>
      </c>
      <c r="XY25" s="702"/>
      <c r="XZ25" s="703">
        <f>XY25/XW25</f>
        <v>0</v>
      </c>
      <c r="YA25" s="593">
        <f>'Proy 2022 vs 2019 sem'!DO24*YD$4</f>
        <v>8602.5887999999995</v>
      </c>
      <c r="YB25" s="593">
        <f>'Proy 2022 vs 2019 sem'!DP24*YD$4</f>
        <v>13871.170076999997</v>
      </c>
      <c r="YC25" s="702"/>
      <c r="YD25" s="703">
        <f>YC25/YA25</f>
        <v>0</v>
      </c>
      <c r="YE25" s="593">
        <f>'Proy 2022 vs 2019 sem'!DO24*YH$4</f>
        <v>8602.5887999999995</v>
      </c>
      <c r="YF25" s="593">
        <f>'Proy 2022 vs 2019 sem'!DP24*YH$4</f>
        <v>13871.170076999997</v>
      </c>
      <c r="YG25" s="702"/>
      <c r="YH25" s="703">
        <f>YG25/YE25</f>
        <v>0</v>
      </c>
      <c r="YI25" s="593">
        <f>'Proy 2022 vs 2019 sem'!DO24*YL$4</f>
        <v>10036.353600000002</v>
      </c>
      <c r="YJ25" s="593">
        <f>'Proy 2022 vs 2019 sem'!DP24*YL$4</f>
        <v>16183.031756499997</v>
      </c>
      <c r="YK25" s="702"/>
      <c r="YL25" s="703">
        <f>YK25/YI25</f>
        <v>0</v>
      </c>
      <c r="YM25" s="593">
        <f>'Proy 2022 vs 2019 sem'!DO24*YP$4</f>
        <v>11470.118400000001</v>
      </c>
      <c r="YN25" s="593">
        <f>'Proy 2022 vs 2019 sem'!DP24*YP$4</f>
        <v>18494.893435999995</v>
      </c>
      <c r="YO25" s="702"/>
      <c r="YP25" s="703">
        <f>YO25/YM25</f>
        <v>0</v>
      </c>
      <c r="YQ25" s="593">
        <f>'Proy 2022 vs 2019 sem'!DO24*YT$4</f>
        <v>15771.412800000002</v>
      </c>
      <c r="YR25" s="593">
        <f>'Proy 2022 vs 2019 sem'!DP24*YT$4</f>
        <v>25430.478474499992</v>
      </c>
      <c r="YS25" s="702"/>
      <c r="YT25" s="703">
        <f>YS25/YQ25</f>
        <v>0</v>
      </c>
      <c r="YU25" s="608">
        <f>XS25+XW25+YA25+YE25+YI25+YM25+YQ25</f>
        <v>71688.240000000005</v>
      </c>
      <c r="YV25" s="609">
        <f>XT25+XX25+YB25+YF25+YJ25+YN25+YR25</f>
        <v>115593.08397499997</v>
      </c>
      <c r="YW25" s="771">
        <f>XU25+XY25+YC25+YG25+YK25+YO25+YS25</f>
        <v>0</v>
      </c>
      <c r="YX25" s="762">
        <f>YW25/YU25</f>
        <v>0</v>
      </c>
      <c r="YY25" s="931">
        <f>'Proy 2022 vs 2019 sem'!DX24*ZB$4</f>
        <v>7825.9643999999998</v>
      </c>
      <c r="YZ25" s="931">
        <f>'Proy 2022 vs 2019 sem'!DY24*ZB$4</f>
        <v>13913.536643999998</v>
      </c>
      <c r="ZA25" s="737"/>
      <c r="ZB25" s="703">
        <f>ZA25/YY25</f>
        <v>0</v>
      </c>
      <c r="ZC25" s="593">
        <f>'Proy 2022 vs 2019 sem'!DX24*ZF$4</f>
        <v>7825.9643999999998</v>
      </c>
      <c r="ZD25" s="593">
        <f>'Proy 2022 vs 2019 sem'!DY24*ZF$4</f>
        <v>13913.536643999998</v>
      </c>
      <c r="ZE25" s="737"/>
      <c r="ZF25" s="703">
        <f>ZE25/ZC25</f>
        <v>0</v>
      </c>
      <c r="ZG25" s="593">
        <f>'Proy 2022 vs 2019 sem'!DX24*ZJ$4</f>
        <v>7825.9643999999998</v>
      </c>
      <c r="ZH25" s="593">
        <f>'Proy 2022 vs 2019 sem'!DY24*ZJ$4</f>
        <v>13913.536643999998</v>
      </c>
      <c r="ZI25" s="737"/>
      <c r="ZJ25" s="703">
        <f>ZI25/ZG25</f>
        <v>0</v>
      </c>
      <c r="ZK25" s="593">
        <f>'Proy 2022 vs 2019 sem'!DX24*ZN$4</f>
        <v>7825.9643999999998</v>
      </c>
      <c r="ZL25" s="593">
        <f>'Proy 2022 vs 2019 sem'!DY24*ZN$4</f>
        <v>13913.536643999998</v>
      </c>
      <c r="ZM25" s="737"/>
      <c r="ZN25" s="703">
        <f>ZM25/ZK25</f>
        <v>0</v>
      </c>
      <c r="ZO25" s="593">
        <f>'Proy 2022 vs 2019 sem'!DX24*ZR$4</f>
        <v>9130.2918000000009</v>
      </c>
      <c r="ZP25" s="593">
        <f>'Proy 2022 vs 2019 sem'!DY24*ZR$4</f>
        <v>16232.459417999999</v>
      </c>
      <c r="ZQ25" s="737"/>
      <c r="ZR25" s="703">
        <f>ZQ25/ZO25</f>
        <v>0</v>
      </c>
      <c r="ZS25" s="593">
        <f>'Proy 2022 vs 2019 sem'!DX24*ZV$4</f>
        <v>10434.619200000001</v>
      </c>
      <c r="ZT25" s="593">
        <f>'Proy 2022 vs 2019 sem'!DY24*ZV$4</f>
        <v>18551.382191999997</v>
      </c>
      <c r="ZU25" s="737"/>
      <c r="ZV25" s="703">
        <f>ZU25/ZS25</f>
        <v>0</v>
      </c>
      <c r="ZW25" s="593">
        <f>'Proy 2022 vs 2019 sem'!DX24*ZZ$4</f>
        <v>14347.601400000001</v>
      </c>
      <c r="ZX25" s="593">
        <f>'Proy 2022 vs 2019 sem'!DY24*ZZ$4</f>
        <v>25508.150513999997</v>
      </c>
      <c r="ZY25" s="737"/>
      <c r="ZZ25" s="703">
        <f>ZY25/ZW25</f>
        <v>0</v>
      </c>
      <c r="AAA25" s="608">
        <f>YY25+ZC25+ZG25+ZK25+ZO25+ZS25+ZW25</f>
        <v>65216.37</v>
      </c>
      <c r="AAB25" s="609">
        <f>YZ25+ZD25+ZH25+ZL25+ZP25+ZT25+ZX25</f>
        <v>115946.13869999997</v>
      </c>
      <c r="AAC25" s="729">
        <f>ZA25+ZE25+ZI25+ZM25+ZQ25+ZU25+ZY25</f>
        <v>0</v>
      </c>
      <c r="AAD25" s="713">
        <f>AAC25/AAA25</f>
        <v>0</v>
      </c>
      <c r="AAE25" s="593">
        <f>'Proy 2022 vs 2019 sem'!EC24*AAH$4</f>
        <v>9933.4079999999994</v>
      </c>
      <c r="AAF25" s="593">
        <f>'Proy 2022 vs 2019 sem'!ED24*AAH$4</f>
        <v>17392.295807999999</v>
      </c>
      <c r="AAG25" s="702"/>
      <c r="AAH25" s="703">
        <f>AAG25/AAE25</f>
        <v>0</v>
      </c>
      <c r="AAI25" s="593">
        <f>'Proy 2022 vs 2019 sem'!EC24*AAL$4</f>
        <v>9933.4079999999994</v>
      </c>
      <c r="AAJ25" s="593">
        <f>'Proy 2022 vs 2019 sem'!ED24*AAL$4</f>
        <v>17392.295807999999</v>
      </c>
      <c r="AAK25" s="702"/>
      <c r="AAL25" s="703">
        <f>AAK25/AAI25</f>
        <v>0</v>
      </c>
      <c r="AAM25" s="593">
        <f>'Proy 2022 vs 2019 sem'!EC24*AAP$4</f>
        <v>9933.4079999999994</v>
      </c>
      <c r="AAN25" s="593">
        <f>'Proy 2022 vs 2019 sem'!ED24*AAP$4</f>
        <v>17392.295807999999</v>
      </c>
      <c r="AAO25" s="702"/>
      <c r="AAP25" s="703">
        <f>AAO25/AAM25</f>
        <v>0</v>
      </c>
      <c r="AAQ25" s="593">
        <f>'Proy 2022 vs 2019 sem'!EC24*AAT$4</f>
        <v>9933.4079999999994</v>
      </c>
      <c r="AAR25" s="593">
        <f>'Proy 2022 vs 2019 sem'!ED24*AAT$4</f>
        <v>17392.295807999999</v>
      </c>
      <c r="AAS25" s="702"/>
      <c r="AAT25" s="703">
        <f>AAS25/AAQ25</f>
        <v>0</v>
      </c>
      <c r="AAU25" s="593">
        <f>'Proy 2022 vs 2019 sem'!EC24*AAX$4</f>
        <v>11588.976000000001</v>
      </c>
      <c r="AAV25" s="593">
        <f>'Proy 2022 vs 2019 sem'!ED24*AAX$4</f>
        <v>20291.011776000003</v>
      </c>
      <c r="AAW25" s="702"/>
      <c r="AAX25" s="703">
        <f>AAW25/AAU25</f>
        <v>0</v>
      </c>
      <c r="AAY25" s="593">
        <f>'Proy 2022 vs 2019 sem'!EC24*ABB$4</f>
        <v>13244.544</v>
      </c>
      <c r="AAZ25" s="593">
        <f>'Proy 2022 vs 2019 sem'!ED24*ABB$4</f>
        <v>23189.727744</v>
      </c>
      <c r="ABA25" s="702"/>
      <c r="ABB25" s="703">
        <f>ABA25/AAY25</f>
        <v>0</v>
      </c>
      <c r="ABC25" s="593">
        <f>'Proy 2022 vs 2019 sem'!EC24*ABF$4</f>
        <v>18211.248</v>
      </c>
      <c r="ABD25" s="593">
        <f>'Proy 2022 vs 2019 sem'!ED24*ABF$4</f>
        <v>31885.875648000001</v>
      </c>
      <c r="ABE25" s="702"/>
      <c r="ABF25" s="703">
        <f>ABE25/ABC25</f>
        <v>0</v>
      </c>
      <c r="ABG25" s="608">
        <f>AAE25+AAI25+AAM25+AAQ25+AAU25+AAY25+ABC25</f>
        <v>82778.399999999994</v>
      </c>
      <c r="ABH25" s="609">
        <f>AAF25+AAJ25+AAN25+AAR25+AAV25+AAZ25+ABD25</f>
        <v>144935.7984</v>
      </c>
      <c r="ABI25" s="731">
        <f>AAG25+AAK25+AAO25+AAS25+AAW25+ABA25+ABE25</f>
        <v>0</v>
      </c>
      <c r="ABJ25" s="713">
        <f>ABI25/ABG25</f>
        <v>0</v>
      </c>
      <c r="ABK25" s="593">
        <f>'Proy 2022 vs 2019 sem'!EH24*ABN$4</f>
        <v>10656.273599999999</v>
      </c>
      <c r="ABL25" s="593">
        <f>'Proy 2022 vs 2019 sem'!EI24*ABN$4</f>
        <v>18047.159369999998</v>
      </c>
      <c r="ABM25" s="702"/>
      <c r="ABN25" s="703">
        <f>ABM25/ABK25</f>
        <v>0</v>
      </c>
      <c r="ABO25" s="593">
        <f>'Proy 2022 vs 2019 sem'!EH24*ABR$4</f>
        <v>10656.273599999999</v>
      </c>
      <c r="ABP25" s="593">
        <f>'Proy 2022 vs 2019 sem'!EI24*ABR$4</f>
        <v>18047.159369999998</v>
      </c>
      <c r="ABQ25" s="702"/>
      <c r="ABR25" s="703">
        <f>ABQ25/ABO25</f>
        <v>0</v>
      </c>
      <c r="ABS25" s="593">
        <f>'Proy 2022 vs 2019 sem'!EH24*ABV$4</f>
        <v>10656.273599999999</v>
      </c>
      <c r="ABT25" s="593">
        <f>'Proy 2022 vs 2019 sem'!EI24*ABV$4</f>
        <v>18047.159369999998</v>
      </c>
      <c r="ABU25" s="702"/>
      <c r="ABV25" s="703">
        <f>ABU25/ABS25</f>
        <v>0</v>
      </c>
      <c r="ABW25" s="593">
        <f>'Proy 2022 vs 2019 sem'!EH24*ABZ$4</f>
        <v>10656.273599999999</v>
      </c>
      <c r="ABX25" s="593">
        <f>'Proy 2022 vs 2019 sem'!EI24*ABZ$4</f>
        <v>18047.159369999998</v>
      </c>
      <c r="ABY25" s="702"/>
      <c r="ABZ25" s="703">
        <f>ABY25/ABW25</f>
        <v>0</v>
      </c>
      <c r="ACA25" s="593">
        <f>'Proy 2022 vs 2019 sem'!EH24*ACD$4</f>
        <v>12432.319200000002</v>
      </c>
      <c r="ACB25" s="593">
        <f>'Proy 2022 vs 2019 sem'!EI24*ACD$4</f>
        <v>21055.019264999999</v>
      </c>
      <c r="ACC25" s="702"/>
      <c r="ACD25" s="703">
        <f>ACC25/ACA25</f>
        <v>0</v>
      </c>
      <c r="ACE25" s="593">
        <f>'Proy 2022 vs 2019 sem'!EH24*ACH$4</f>
        <v>14208.364799999999</v>
      </c>
      <c r="ACF25" s="593">
        <f>'Proy 2022 vs 2019 sem'!EI24*ACH$4</f>
        <v>24062.879159999997</v>
      </c>
      <c r="ACG25" s="702"/>
      <c r="ACH25" s="703">
        <f>ACG25/ACE25</f>
        <v>0</v>
      </c>
      <c r="ACI25" s="593">
        <f>'Proy 2022 vs 2019 sem'!EH24*ACL$4</f>
        <v>19536.5016</v>
      </c>
      <c r="ACJ25" s="593">
        <f>'Proy 2022 vs 2019 sem'!EI24*ACL$4</f>
        <v>33086.458844999994</v>
      </c>
      <c r="ACK25" s="702"/>
      <c r="ACL25" s="703">
        <f>ACK25/ACI25</f>
        <v>0</v>
      </c>
      <c r="ACM25" s="608">
        <f>ABK25+ABO25+ABS25+ABW25+ACA25+ACE25+ACI25</f>
        <v>88802.28</v>
      </c>
      <c r="ACN25" s="609">
        <f>ABL25+ABP25+ABT25+ABX25+ACB25+ACF25+ACJ25</f>
        <v>150392.99474999998</v>
      </c>
      <c r="ACO25" s="731">
        <f>ABM25+ABQ25+ABU25+ABY25+ACC25+ACG25+ACK25</f>
        <v>0</v>
      </c>
      <c r="ACP25" s="713">
        <f>ACO25/ACM25</f>
        <v>0</v>
      </c>
      <c r="ACQ25" s="593">
        <f>'Proy 2022 vs 2019 sem'!EM24*ACT$4</f>
        <v>10190.039999999999</v>
      </c>
      <c r="ACR25" s="593">
        <f>'Proy 2022 vs 2019 sem'!EN24*ACT$4</f>
        <v>18970.923083999995</v>
      </c>
      <c r="ACS25" s="702"/>
      <c r="ACT25" s="703">
        <f>ACS25/ACQ25</f>
        <v>0</v>
      </c>
      <c r="ACU25" s="593">
        <f>'Proy 2022 vs 2019 sem'!EM24*ACX$4</f>
        <v>10190.039999999999</v>
      </c>
      <c r="ACV25" s="593">
        <f>'Proy 2022 vs 2019 sem'!EN24*ACX$4</f>
        <v>18970.923083999995</v>
      </c>
      <c r="ACW25" s="702"/>
      <c r="ACX25" s="703">
        <f>ACW25/ACU25</f>
        <v>0</v>
      </c>
      <c r="ACY25" s="593">
        <f>'Proy 2022 vs 2019 sem'!EM24*ADB$4</f>
        <v>10190.039999999999</v>
      </c>
      <c r="ACZ25" s="593">
        <f>'Proy 2022 vs 2019 sem'!EN24*ADB$4</f>
        <v>18970.923083999995</v>
      </c>
      <c r="ADA25" s="702"/>
      <c r="ADB25" s="703">
        <f>ADA25/ACY25</f>
        <v>0</v>
      </c>
      <c r="ADC25" s="593">
        <f>'Proy 2022 vs 2019 sem'!EM24*ADF$4</f>
        <v>10190.039999999999</v>
      </c>
      <c r="ADD25" s="593">
        <f>'Proy 2022 vs 2019 sem'!EN24*ADF$4</f>
        <v>18970.923083999995</v>
      </c>
      <c r="ADE25" s="702"/>
      <c r="ADF25" s="703">
        <f>ADE25/ADC25</f>
        <v>0</v>
      </c>
      <c r="ADG25" s="593">
        <f>'Proy 2022 vs 2019 sem'!EM24*ADJ$4</f>
        <v>11888.380000000001</v>
      </c>
      <c r="ADH25" s="593">
        <f>'Proy 2022 vs 2019 sem'!EN24*ADJ$4</f>
        <v>22132.743597999997</v>
      </c>
      <c r="ADI25" s="702"/>
      <c r="ADJ25" s="703">
        <f>ADI25/ADG25</f>
        <v>0</v>
      </c>
      <c r="ADK25" s="593">
        <f>'Proy 2022 vs 2019 sem'!EM24*ADN$4</f>
        <v>13586.720000000001</v>
      </c>
      <c r="ADL25" s="593">
        <f>'Proy 2022 vs 2019 sem'!EN24*ADN$4</f>
        <v>25294.564111999996</v>
      </c>
      <c r="ADM25" s="702"/>
      <c r="ADN25" s="703">
        <f>ADM25/ADK25</f>
        <v>0</v>
      </c>
      <c r="ADO25" s="593">
        <f>'Proy 2022 vs 2019 sem'!EM24*ADR$4</f>
        <v>18681.740000000002</v>
      </c>
      <c r="ADP25" s="593">
        <f>'Proy 2022 vs 2019 sem'!EN24*ADR$4</f>
        <v>34780.02565399999</v>
      </c>
      <c r="ADQ25" s="702"/>
      <c r="ADR25" s="703">
        <f>ADQ25/ADO25</f>
        <v>0</v>
      </c>
      <c r="ADS25" s="608">
        <f>ACQ25+ACU25+ACY25+ADC25+ADG25+ADK25+ADO25</f>
        <v>84917</v>
      </c>
      <c r="ADT25" s="609">
        <f>ACR25+ACV25+ACZ25+ADD25+ADH25+ADL25+ADP25</f>
        <v>158091.02569999997</v>
      </c>
      <c r="ADU25" s="712">
        <f>ACS25+ACW25+ADA25+ADE25+ADI25+ADM25+ADQ25</f>
        <v>0</v>
      </c>
      <c r="ADV25" s="713">
        <f>ADU25/ADS25</f>
        <v>0</v>
      </c>
      <c r="ADW25" s="593">
        <f>'Proy 2022 vs 2019 sem'!ER24*ADZ$4</f>
        <v>9374.6711999999989</v>
      </c>
      <c r="ADX25" s="593">
        <f>'Proy 2022 vs 2019 sem'!ES24*ADZ$4</f>
        <v>19018.410163199998</v>
      </c>
      <c r="ADY25" s="702"/>
      <c r="ADZ25" s="703">
        <f>ADY25/ADW25</f>
        <v>0</v>
      </c>
      <c r="AEA25" s="593">
        <f>'Proy 2022 vs 2019 sem'!ER24*AED$4</f>
        <v>9374.6711999999989</v>
      </c>
      <c r="AEB25" s="593">
        <f>'Proy 2022 vs 2019 sem'!ES24*AED$4</f>
        <v>19018.410163199998</v>
      </c>
      <c r="AEC25" s="702"/>
      <c r="AED25" s="703">
        <f>AEC25/AEA25</f>
        <v>0</v>
      </c>
      <c r="AEE25" s="593">
        <f>'Proy 2022 vs 2019 sem'!ER24*AEH$4</f>
        <v>9374.6711999999989</v>
      </c>
      <c r="AEF25" s="593">
        <f>'Proy 2022 vs 2019 sem'!ES24*AEH$4</f>
        <v>19018.410163199998</v>
      </c>
      <c r="AEG25" s="702"/>
      <c r="AEH25" s="703">
        <f>AEG25/AEE25</f>
        <v>0</v>
      </c>
      <c r="AEI25" s="593">
        <f>'Proy 2022 vs 2019 sem'!ER24*AEL$4</f>
        <v>9374.6711999999989</v>
      </c>
      <c r="AEJ25" s="593">
        <f>'Proy 2022 vs 2019 sem'!ES24*AEL$4</f>
        <v>19018.410163199998</v>
      </c>
      <c r="AEK25" s="702"/>
      <c r="AEL25" s="703">
        <f>AEK25/AEI25</f>
        <v>0</v>
      </c>
      <c r="AEM25" s="593">
        <f>'Proy 2022 vs 2019 sem'!ER24*AEP$4</f>
        <v>10937.116400000001</v>
      </c>
      <c r="AEN25" s="593">
        <f>'Proy 2022 vs 2019 sem'!ES24*AEP$4</f>
        <v>22188.145190400002</v>
      </c>
      <c r="AEO25" s="702"/>
      <c r="AEP25" s="703">
        <f>AEO25/AEM25</f>
        <v>0</v>
      </c>
      <c r="AEQ25" s="593">
        <f>'Proy 2022 vs 2019 sem'!ER24*AET$4</f>
        <v>12499.561599999999</v>
      </c>
      <c r="AER25" s="593">
        <f>'Proy 2022 vs 2019 sem'!ES24*AET$4</f>
        <v>25357.880217599999</v>
      </c>
      <c r="AES25" s="702"/>
      <c r="AET25" s="703">
        <f>AES25/AEQ25</f>
        <v>0</v>
      </c>
      <c r="AEU25" s="593">
        <f>'Proy 2022 vs 2019 sem'!ER24*AEX$4</f>
        <v>17186.897199999999</v>
      </c>
      <c r="AEV25" s="593">
        <f>'Proy 2022 vs 2019 sem'!ES24*AEX$4</f>
        <v>34867.0852992</v>
      </c>
      <c r="AEW25" s="702"/>
      <c r="AEX25" s="703">
        <f>AEW25/AEU25</f>
        <v>0</v>
      </c>
      <c r="AEY25" s="608">
        <f>ADW25+AEA25+AEE25+AEI25+AEM25+AEQ25+AEU25</f>
        <v>78122.259999999995</v>
      </c>
      <c r="AEZ25" s="609">
        <f>ADX25+AEB25+AEF25+AEJ25+AEN25+AER25+AEV25</f>
        <v>158486.75135999999</v>
      </c>
      <c r="AFA25" s="712">
        <f>ADY25+AEC25+AEG25+AEK25+AEO25+AES25+AEW25</f>
        <v>0</v>
      </c>
      <c r="AFB25" s="713">
        <f>AFA25/AEY25</f>
        <v>0</v>
      </c>
      <c r="AFC25" s="593">
        <f>'Proy 2022 vs 2019 sem'!FA24*AFF$4</f>
        <v>8205.5352000000003</v>
      </c>
      <c r="AFD25" s="593">
        <f>'Proy 2022 vs 2019 sem'!FB24*AFF$4</f>
        <v>16879.694726400001</v>
      </c>
      <c r="AFE25" s="737"/>
      <c r="AFF25" s="703">
        <f>AFE25/AFC25</f>
        <v>0</v>
      </c>
      <c r="AFG25" s="593">
        <f>'Proy 2022 vs 2019 sem'!FA24*AFJ$4</f>
        <v>8205.5352000000003</v>
      </c>
      <c r="AFH25" s="593">
        <f>'Proy 2022 vs 2019 sem'!FB24*AFJ$4</f>
        <v>16879.694726400001</v>
      </c>
      <c r="AFI25" s="702"/>
      <c r="AFJ25" s="703">
        <f>AFI25/AFG25</f>
        <v>0</v>
      </c>
      <c r="AFK25" s="593">
        <f>'Proy 2022 vs 2019 sem'!FA24*AFN$4</f>
        <v>8205.5352000000003</v>
      </c>
      <c r="AFL25" s="593">
        <f>'Proy 2022 vs 2019 sem'!FB24*AFN$4</f>
        <v>16879.694726400001</v>
      </c>
      <c r="AFM25" s="702"/>
      <c r="AFN25" s="703">
        <f>AFM25/AFK25</f>
        <v>0</v>
      </c>
      <c r="AFO25" s="593">
        <f>'Proy 2022 vs 2019 sem'!FA24*AFR$4</f>
        <v>8205.5352000000003</v>
      </c>
      <c r="AFP25" s="593">
        <f>'Proy 2022 vs 2019 sem'!FB24*AFR$4</f>
        <v>16879.694726400001</v>
      </c>
      <c r="AFQ25" s="702"/>
      <c r="AFR25" s="703">
        <f>AFQ25/AFO25</f>
        <v>0</v>
      </c>
      <c r="AFS25" s="593">
        <f>'Proy 2022 vs 2019 sem'!FA24*AFV$4</f>
        <v>9573.1244000000024</v>
      </c>
      <c r="AFT25" s="593">
        <f>'Proy 2022 vs 2019 sem'!FB24*AFV$4</f>
        <v>19692.977180800004</v>
      </c>
      <c r="AFU25" s="702"/>
      <c r="AFV25" s="703">
        <f>AFU25/AFS25</f>
        <v>0</v>
      </c>
      <c r="AFW25" s="593">
        <f>'Proy 2022 vs 2019 sem'!FA24*AFZ$4</f>
        <v>10940.713600000001</v>
      </c>
      <c r="AFX25" s="593">
        <f>'Proy 2022 vs 2019 sem'!FB24*AFZ$4</f>
        <v>22506.259635200004</v>
      </c>
      <c r="AFY25" s="702"/>
      <c r="AFZ25" s="703">
        <f>AFY25/AFW25</f>
        <v>0</v>
      </c>
      <c r="AGA25" s="593">
        <f>'Proy 2022 vs 2019 sem'!FA24*AGD$4</f>
        <v>15043.481200000002</v>
      </c>
      <c r="AGB25" s="593">
        <f>'Proy 2022 vs 2019 sem'!FB24*AGD$4</f>
        <v>30946.106998400002</v>
      </c>
      <c r="AGC25" s="702"/>
      <c r="AGD25" s="703">
        <f>AGC25/AGA25</f>
        <v>0</v>
      </c>
      <c r="AGE25" s="608">
        <f>AFC25+AFG25+AFK25+AFO25+AFS25+AFW25+AGA25</f>
        <v>68379.460000000006</v>
      </c>
      <c r="AGF25" s="609">
        <f>AFD25+AFH25+AFL25+AFP25+AFT25+AFX25+AGB25</f>
        <v>140664.12272000001</v>
      </c>
      <c r="AGG25" s="759">
        <f>AFE25+AFI25+AFM25+AFQ25+AFU25+AFY25+AGC25</f>
        <v>0</v>
      </c>
      <c r="AGH25" s="762">
        <f>AGG25/AGE25</f>
        <v>0</v>
      </c>
      <c r="AGI25" s="593">
        <f>'Proy 2022 vs 2019 sem'!FF24*AGL$4</f>
        <v>9296.5967999999993</v>
      </c>
      <c r="AGJ25" s="593">
        <f>'Proy 2022 vs 2019 sem'!FG24*AGL$4</f>
        <v>15400.976634000001</v>
      </c>
      <c r="AGK25" s="702"/>
      <c r="AGL25" s="703">
        <f>AGK25/AGI25</f>
        <v>0</v>
      </c>
      <c r="AGM25" s="593">
        <f>'Proy 2022 vs 2019 sem'!FF24*AGP$4</f>
        <v>9296.5967999999993</v>
      </c>
      <c r="AGN25" s="593">
        <f>'Proy 2022 vs 2019 sem'!FG24*AGP$4</f>
        <v>15400.976634000001</v>
      </c>
      <c r="AGO25" s="702"/>
      <c r="AGP25" s="703">
        <f>AGO25/AGM25</f>
        <v>0</v>
      </c>
      <c r="AGQ25" s="593">
        <f>'Proy 2022 vs 2019 sem'!FF24*AGT$4</f>
        <v>9296.5967999999993</v>
      </c>
      <c r="AGR25" s="593">
        <f>'Proy 2022 vs 2019 sem'!FG24*AGT$4</f>
        <v>15400.976634000001</v>
      </c>
      <c r="AGS25" s="702"/>
      <c r="AGT25" s="703">
        <f>AGS25/AGQ25</f>
        <v>0</v>
      </c>
      <c r="AGU25" s="593">
        <f>'Proy 2022 vs 2019 sem'!FF24*AGX$4</f>
        <v>9296.5967999999993</v>
      </c>
      <c r="AGV25" s="593">
        <f>'Proy 2022 vs 2019 sem'!FG24*AGX$4</f>
        <v>15400.976634000001</v>
      </c>
      <c r="AGW25" s="702"/>
      <c r="AGX25" s="703">
        <f>AGW25/AGU25</f>
        <v>0</v>
      </c>
      <c r="AGY25" s="593">
        <f>'Proy 2022 vs 2019 sem'!FF24*AHB$4</f>
        <v>10846.029600000002</v>
      </c>
      <c r="AGZ25" s="593">
        <f>'Proy 2022 vs 2019 sem'!FG24*AHB$4</f>
        <v>17967.806073000003</v>
      </c>
      <c r="AHA25" s="702"/>
      <c r="AHB25" s="703">
        <f>AHA25/AGY25</f>
        <v>0</v>
      </c>
      <c r="AHC25" s="593">
        <f>'Proy 2022 vs 2019 sem'!FF24*AHF$4</f>
        <v>12395.4624</v>
      </c>
      <c r="AHD25" s="593">
        <f>'Proy 2022 vs 2019 sem'!FG24*AHF$4</f>
        <v>20534.635512000001</v>
      </c>
      <c r="AHE25" s="702"/>
      <c r="AHF25" s="703">
        <f>AHE25/AHC25</f>
        <v>0</v>
      </c>
      <c r="AHG25" s="593">
        <f>'Proy 2022 vs 2019 sem'!FF24*AHJ$4</f>
        <v>17043.7608</v>
      </c>
      <c r="AHH25" s="593">
        <f>'Proy 2022 vs 2019 sem'!FG24*AHJ$4</f>
        <v>28235.123829</v>
      </c>
      <c r="AHI25" s="702"/>
      <c r="AHJ25" s="703">
        <f>AHI25/AHG25</f>
        <v>0</v>
      </c>
      <c r="AHK25" s="608">
        <f>AGI25+AGM25+AGQ25+AGU25+AGY25+AHC25+AHG25</f>
        <v>77471.64</v>
      </c>
      <c r="AHL25" s="609">
        <f>AGJ25+AGN25+AGR25+AGV25+AGZ25+AHD25+AHH25</f>
        <v>128341.47195000002</v>
      </c>
      <c r="AHM25" s="766">
        <f>AGK25+AGO25+AGS25+AGW25+AHA25+AHE25+AHI25</f>
        <v>0</v>
      </c>
      <c r="AHN25" s="762">
        <f>AHM25/AHK25</f>
        <v>0</v>
      </c>
      <c r="AHO25" s="593">
        <f>'Proy 2022 vs 2019 sem'!FK24*AHR$4</f>
        <v>8676.3684000000012</v>
      </c>
      <c r="AHP25" s="593">
        <f>'Proy 2022 vs 2019 sem'!FL24*AHR$4</f>
        <v>15741.289331999998</v>
      </c>
      <c r="AHQ25" s="702"/>
      <c r="AHR25" s="703">
        <f>AHQ25/AHO25</f>
        <v>0</v>
      </c>
      <c r="AHS25" s="593">
        <f>'Proy 2022 vs 2019 sem'!FK24*AHV$4</f>
        <v>8676.3684000000012</v>
      </c>
      <c r="AHT25" s="593">
        <f>'Proy 2022 vs 2019 sem'!FL24*AHV$4</f>
        <v>15741.289331999998</v>
      </c>
      <c r="AHU25" s="702"/>
      <c r="AHV25" s="703">
        <f>AHU25/AHS25</f>
        <v>0</v>
      </c>
      <c r="AHW25" s="593">
        <f>'Proy 2022 vs 2019 sem'!FK24*AHZ$4</f>
        <v>8676.3684000000012</v>
      </c>
      <c r="AHX25" s="593">
        <f>'Proy 2022 vs 2019 sem'!FL24*AHZ$4</f>
        <v>15741.289331999998</v>
      </c>
      <c r="AHY25" s="702"/>
      <c r="AHZ25" s="703">
        <f>AHY25/AHW25</f>
        <v>0</v>
      </c>
      <c r="AIA25" s="593">
        <f>'Proy 2022 vs 2019 sem'!FK24*AID$4</f>
        <v>8676.3684000000012</v>
      </c>
      <c r="AIB25" s="593">
        <f>'Proy 2022 vs 2019 sem'!FL24*AID$4</f>
        <v>15741.289331999998</v>
      </c>
      <c r="AIC25" s="702"/>
      <c r="AID25" s="703">
        <f>AIC25/AIA25</f>
        <v>0</v>
      </c>
      <c r="AIE25" s="593">
        <f>'Proy 2022 vs 2019 sem'!FK24*AIH$4</f>
        <v>10122.429800000002</v>
      </c>
      <c r="AIF25" s="593">
        <f>'Proy 2022 vs 2019 sem'!FL24*AIH$4</f>
        <v>18364.837554000002</v>
      </c>
      <c r="AIG25" s="702"/>
      <c r="AIH25" s="703">
        <f>AIG25/AIE25</f>
        <v>0</v>
      </c>
      <c r="AII25" s="593">
        <f>'Proy 2022 vs 2019 sem'!FK24*AIL$4</f>
        <v>11568.491200000002</v>
      </c>
      <c r="AIJ25" s="593">
        <f>'Proy 2022 vs 2019 sem'!FL24*AIL$4</f>
        <v>20988.385775999999</v>
      </c>
      <c r="AIK25" s="702"/>
      <c r="AIL25" s="703">
        <f>AIK25/AII25</f>
        <v>0</v>
      </c>
      <c r="AIM25" s="593">
        <f>'Proy 2022 vs 2019 sem'!FK24*AIP$4</f>
        <v>15906.675400000002</v>
      </c>
      <c r="AIN25" s="593">
        <f>'Proy 2022 vs 2019 sem'!FL24*AIP$4</f>
        <v>28859.030441999999</v>
      </c>
      <c r="AIO25" s="702"/>
      <c r="AIP25" s="703">
        <f>AIO25/AIM25</f>
        <v>0</v>
      </c>
      <c r="AIQ25" s="608">
        <f>AHO25+AHS25+AHW25+AIA25+AIE25+AII25+AIM25</f>
        <v>72303.070000000022</v>
      </c>
      <c r="AIR25" s="609">
        <f>AHP25+AHT25+AHX25+AIB25+AIF25+AIJ25+AIN25</f>
        <v>131177.4111</v>
      </c>
      <c r="AIS25" s="766">
        <f>AHQ25+AHU25+AHY25+AIC25+AIG25+AIK25+AIO25</f>
        <v>0</v>
      </c>
      <c r="AIT25" s="762">
        <f>AIS25/AIQ25</f>
        <v>0</v>
      </c>
      <c r="AIU25" s="593">
        <f>'Proy 2022 vs 2019 sem'!FP24*AIX$4</f>
        <v>8691.8988000000008</v>
      </c>
      <c r="AIV25" s="593">
        <f>'Proy 2022 vs 2019 sem'!FQ24*AIX$4</f>
        <v>17898.273907199997</v>
      </c>
      <c r="AIW25" s="702"/>
      <c r="AIX25" s="703">
        <f>AIW25/AIU25</f>
        <v>0</v>
      </c>
      <c r="AIY25" s="593">
        <f>'Proy 2022 vs 2019 sem'!FP24*AJB$4</f>
        <v>8691.8988000000008</v>
      </c>
      <c r="AIZ25" s="593">
        <f>'Proy 2022 vs 2019 sem'!FQ24*AJB$4</f>
        <v>17898.273907199997</v>
      </c>
      <c r="AJA25" s="702"/>
      <c r="AJB25" s="703">
        <f>AJA25/AIY25</f>
        <v>0</v>
      </c>
      <c r="AJC25" s="593">
        <f>'Proy 2022 vs 2019 sem'!FP24*AJF$4</f>
        <v>8691.8988000000008</v>
      </c>
      <c r="AJD25" s="593">
        <f>'Proy 2022 vs 2019 sem'!FQ24*AJF$4</f>
        <v>17898.273907199997</v>
      </c>
      <c r="AJE25" s="702"/>
      <c r="AJF25" s="703">
        <f>AJE25/AJC25</f>
        <v>0</v>
      </c>
      <c r="AJG25" s="593">
        <f>'Proy 2022 vs 2019 sem'!FP24*AJJ$4</f>
        <v>8691.8988000000008</v>
      </c>
      <c r="AJH25" s="593">
        <f>'Proy 2022 vs 2019 sem'!FQ24*AJJ$4</f>
        <v>17898.273907199997</v>
      </c>
      <c r="AJI25" s="702"/>
      <c r="AJJ25" s="703">
        <f>AJI25/AJG25</f>
        <v>0</v>
      </c>
      <c r="AJK25" s="593">
        <f>'Proy 2022 vs 2019 sem'!FP24*AJN$4</f>
        <v>10140.548600000002</v>
      </c>
      <c r="AJL25" s="593">
        <f>'Proy 2022 vs 2019 sem'!FQ24*AJN$4</f>
        <v>20881.319558400002</v>
      </c>
      <c r="AJM25" s="702"/>
      <c r="AJN25" s="703">
        <f>AJM25/AJK25</f>
        <v>0</v>
      </c>
      <c r="AJO25" s="593">
        <f>'Proy 2022 vs 2019 sem'!FP24*AJR$4</f>
        <v>11589.198400000001</v>
      </c>
      <c r="AJP25" s="593">
        <f>'Proy 2022 vs 2019 sem'!FQ24*AJR$4</f>
        <v>23864.365209600001</v>
      </c>
      <c r="AJQ25" s="702"/>
      <c r="AJR25" s="703">
        <f>AJQ25/AJO25</f>
        <v>0</v>
      </c>
      <c r="AJS25" s="593">
        <f>'Proy 2022 vs 2019 sem'!FP24*AJV$4</f>
        <v>15935.147800000001</v>
      </c>
      <c r="AJT25" s="593">
        <f>'Proy 2022 vs 2019 sem'!FQ24*AJV$4</f>
        <v>32813.502163199999</v>
      </c>
      <c r="AJU25" s="702"/>
      <c r="AJV25" s="703">
        <f>AJU25/AJS25</f>
        <v>0</v>
      </c>
      <c r="AJW25" s="608">
        <f>AIU25+AIY25+AJC25+AJG25+AJK25+AJO25+AJS25</f>
        <v>72432.490000000005</v>
      </c>
      <c r="AJX25" s="609">
        <f>AIV25+AIZ25+AJD25+AJH25+AJL25+AJP25+AJT25</f>
        <v>149152.28255999999</v>
      </c>
      <c r="AJY25" s="771">
        <f>AIW25+AJA25+AJE25+AJI25+AJM25+AJQ25+AJU25</f>
        <v>0</v>
      </c>
      <c r="AJZ25" s="762">
        <f>AJY25/AJW25</f>
        <v>0</v>
      </c>
      <c r="AKA25" s="593"/>
      <c r="AKB25" s="593"/>
      <c r="AKC25" s="737"/>
      <c r="AKD25" s="703" t="e">
        <f>AKC25/AKA25</f>
        <v>#DIV/0!</v>
      </c>
      <c r="AKE25" s="593">
        <v>9710.2067999999999</v>
      </c>
      <c r="AKF25" s="593">
        <v>14759.514336</v>
      </c>
      <c r="AKG25" s="702"/>
      <c r="AKH25" s="703">
        <f>AKG25/AKE25</f>
        <v>0</v>
      </c>
      <c r="AKI25" s="593">
        <v>9710.2067999999999</v>
      </c>
      <c r="AKJ25" s="593">
        <v>14759.514336</v>
      </c>
      <c r="AKK25" s="702"/>
      <c r="AKL25" s="703">
        <f>AKK25/AKI25</f>
        <v>0</v>
      </c>
      <c r="AKM25" s="593">
        <v>9710.2067999999999</v>
      </c>
      <c r="AKN25" s="593">
        <v>14759.514336</v>
      </c>
      <c r="AKO25" s="702"/>
      <c r="AKP25" s="703">
        <f>AKO25/AKM25</f>
        <v>0</v>
      </c>
      <c r="AKQ25" s="593">
        <v>11328.574600000002</v>
      </c>
      <c r="AKR25" s="593">
        <v>17219.433392000003</v>
      </c>
      <c r="AKS25" s="702"/>
      <c r="AKT25" s="703">
        <f>AKS25/AKQ25</f>
        <v>0</v>
      </c>
      <c r="AKU25" s="593">
        <v>12946.9424</v>
      </c>
      <c r="AKV25" s="593">
        <v>19679.352448000001</v>
      </c>
      <c r="AKW25" s="702"/>
      <c r="AKX25" s="703">
        <f>AKW25/AKU25</f>
        <v>0</v>
      </c>
      <c r="AKY25" s="593">
        <v>17802.0458</v>
      </c>
      <c r="AKZ25" s="593">
        <v>27059.109616000002</v>
      </c>
      <c r="ALA25" s="702"/>
      <c r="ALB25" s="703">
        <f>ALA25/AKY25</f>
        <v>0</v>
      </c>
      <c r="ALC25" s="608">
        <f>AKA25+AKE25+AKI25+AKM25+AKQ25+AKU25+AKY25</f>
        <v>71208.183199999999</v>
      </c>
      <c r="ALD25" s="609">
        <f>AKB25+AKF25+AKJ25+AKN25+AKR25+AKV25+AKZ25</f>
        <v>108236.43846400001</v>
      </c>
      <c r="ALE25" s="793">
        <f>AKC25+AKG25+AKK25+AKO25+AKS25+AKW25+ALA25</f>
        <v>0</v>
      </c>
      <c r="ALF25" s="788">
        <f>ALE25/ALC25</f>
        <v>0</v>
      </c>
      <c r="ALG25" s="593">
        <v>6684.3912</v>
      </c>
      <c r="ALH25" s="593">
        <v>10160.274624000001</v>
      </c>
      <c r="ALI25" s="702"/>
      <c r="ALJ25" s="703">
        <f>ALI25/ALG25</f>
        <v>0</v>
      </c>
      <c r="ALK25" s="593">
        <v>6684.3912</v>
      </c>
      <c r="ALL25" s="593">
        <v>10160.274624000001</v>
      </c>
      <c r="ALM25" s="702"/>
      <c r="ALN25" s="703">
        <f>ALM25/ALK25</f>
        <v>0</v>
      </c>
      <c r="ALO25" s="593">
        <v>6684.3912</v>
      </c>
      <c r="ALP25" s="593">
        <v>10160.274624000001</v>
      </c>
      <c r="ALQ25" s="702"/>
      <c r="ALR25" s="703">
        <f>ALQ25/ALO25</f>
        <v>0</v>
      </c>
      <c r="ALS25" s="593">
        <v>6684.3912</v>
      </c>
      <c r="ALT25" s="593">
        <v>10160.274624000001</v>
      </c>
      <c r="ALU25" s="702"/>
      <c r="ALV25" s="703">
        <f>ALU25/ALS25</f>
        <v>0</v>
      </c>
      <c r="ALW25" s="593">
        <v>7798.4564000000009</v>
      </c>
      <c r="ALX25" s="593">
        <v>11853.653728000003</v>
      </c>
      <c r="ALY25" s="702"/>
      <c r="ALZ25" s="703">
        <f>ALY25/ALW25</f>
        <v>0</v>
      </c>
      <c r="AMA25" s="593">
        <v>8912.5216</v>
      </c>
      <c r="AMB25" s="593">
        <v>13547.032832000003</v>
      </c>
      <c r="AMC25" s="702"/>
      <c r="AMD25" s="703">
        <f>AMC25/AMA25</f>
        <v>0</v>
      </c>
      <c r="AME25" s="593">
        <v>12254.717200000001</v>
      </c>
      <c r="AMF25" s="593">
        <v>18627.170144000003</v>
      </c>
      <c r="AMG25" s="702"/>
      <c r="AMH25" s="703">
        <f>AMG25/AME25</f>
        <v>0</v>
      </c>
      <c r="AMI25" s="608">
        <f>ALG25+ALK25+ALO25+ALS25+ALW25+AMA25+AME25</f>
        <v>55703.26</v>
      </c>
      <c r="AMJ25" s="609">
        <f>ALH25+ALL25+ALP25+ALT25+ALX25+AMB25+AMF25</f>
        <v>84668.955200000011</v>
      </c>
      <c r="AMK25" s="795">
        <f>ALI25+ALM25+ALQ25+ALU25+ALY25+AMC25+AMG25</f>
        <v>0</v>
      </c>
      <c r="AML25" s="788">
        <f>AMK25/AMI25</f>
        <v>0</v>
      </c>
      <c r="AMM25" s="593">
        <v>7537.3692000000001</v>
      </c>
      <c r="AMN25" s="593">
        <v>11456.801184</v>
      </c>
      <c r="AMO25" s="702"/>
      <c r="AMP25" s="703">
        <f>AMO25/AMM25</f>
        <v>0</v>
      </c>
      <c r="AMQ25" s="593">
        <v>7537.3692000000001</v>
      </c>
      <c r="AMR25" s="593">
        <v>11456.801184</v>
      </c>
      <c r="AMS25" s="702"/>
      <c r="AMT25" s="703">
        <f>AMS25/AMQ25</f>
        <v>0</v>
      </c>
      <c r="AMU25" s="593">
        <v>7537.3692000000001</v>
      </c>
      <c r="AMV25" s="593">
        <v>11456.801184</v>
      </c>
      <c r="AMW25" s="702"/>
      <c r="AMX25" s="703">
        <f>AMW25/AMU25</f>
        <v>0</v>
      </c>
      <c r="AMY25" s="593">
        <v>7537.3692000000001</v>
      </c>
      <c r="AMZ25" s="593">
        <v>11456.801184</v>
      </c>
      <c r="ANA25" s="702"/>
      <c r="ANB25" s="703">
        <f>ANA25/AMY25</f>
        <v>0</v>
      </c>
      <c r="ANC25" s="593">
        <v>8793.5974000000006</v>
      </c>
      <c r="AND25" s="593">
        <v>13366.268048000002</v>
      </c>
      <c r="ANE25" s="702"/>
      <c r="ANF25" s="703">
        <f>ANE25/ANC25</f>
        <v>0</v>
      </c>
      <c r="ANG25" s="593">
        <v>10049.8256</v>
      </c>
      <c r="ANH25" s="593">
        <v>15275.734912</v>
      </c>
      <c r="ANI25" s="702"/>
      <c r="ANJ25" s="703">
        <f>ANI25/ANG25</f>
        <v>0</v>
      </c>
      <c r="ANK25" s="593">
        <v>13818.510200000001</v>
      </c>
      <c r="ANL25" s="593">
        <v>21004.135504000002</v>
      </c>
      <c r="ANM25" s="702"/>
      <c r="ANN25" s="703">
        <f>ANM25/ANK25</f>
        <v>0</v>
      </c>
      <c r="ANO25" s="608">
        <f>AMM25+AMQ25+AMU25+AMY25+ANC25+ANG25+ANK25</f>
        <v>62811.41</v>
      </c>
      <c r="ANP25" s="609">
        <f>AMN25+AMR25+AMV25+AMZ25+AND25+ANH25+ANL25</f>
        <v>95473.343200000003</v>
      </c>
      <c r="ANQ25" s="795">
        <f>AMO25+AMS25+AMW25+ANA25+ANE25+ANI25+ANM25</f>
        <v>0</v>
      </c>
      <c r="ANR25" s="788">
        <f>ANQ25/ANO25</f>
        <v>0</v>
      </c>
      <c r="ANS25" s="593">
        <f>'Proy 2022 vs 2019 sem'!GN24*ANV$4</f>
        <v>5873.3039999999992</v>
      </c>
      <c r="ANT25" s="593">
        <f>'Proy 2022 vs 2019 sem'!GO24*ANV$4</f>
        <v>15947.284533599997</v>
      </c>
      <c r="ANU25" s="702"/>
      <c r="ANV25" s="703">
        <f>ANU25/ANS25</f>
        <v>0</v>
      </c>
      <c r="ANW25" s="593">
        <f>'Proy 2022 vs 2019 sem'!GN24*ANZ$4</f>
        <v>5873.3039999999992</v>
      </c>
      <c r="ANX25" s="593">
        <f>'Proy 2022 vs 2019 sem'!GO24*ANZ$4</f>
        <v>15947.284533599997</v>
      </c>
      <c r="ANY25" s="702"/>
      <c r="ANZ25" s="703">
        <f>ANY25/ANW25</f>
        <v>0</v>
      </c>
      <c r="AOA25" s="593">
        <f>'Proy 2022 vs 2019 sem'!GN24*AOD$4</f>
        <v>5873.3039999999992</v>
      </c>
      <c r="AOB25" s="593">
        <f>'Proy 2022 vs 2019 sem'!GO24*AOD$4</f>
        <v>15947.284533599997</v>
      </c>
      <c r="AOC25" s="702"/>
      <c r="AOD25" s="703">
        <f>AOC25/AOA25</f>
        <v>0</v>
      </c>
      <c r="AOE25" s="593">
        <f>'Proy 2022 vs 2019 sem'!GN24*AOH$4</f>
        <v>5873.3039999999992</v>
      </c>
      <c r="AOF25" s="593">
        <f>'Proy 2022 vs 2019 sem'!GO24*AOH$4</f>
        <v>15947.284533599997</v>
      </c>
      <c r="AOG25" s="702"/>
      <c r="AOH25" s="703">
        <f>AOG25/AOE25</f>
        <v>0</v>
      </c>
      <c r="AOI25" s="593">
        <f>'Proy 2022 vs 2019 sem'!GN24*AOL$4</f>
        <v>6852.1880000000001</v>
      </c>
      <c r="AOJ25" s="593">
        <f>'Proy 2022 vs 2019 sem'!GO24*AOL$4</f>
        <v>18605.165289199998</v>
      </c>
      <c r="AOK25" s="702"/>
      <c r="AOL25" s="703">
        <f>AOK25/AOI25</f>
        <v>0</v>
      </c>
      <c r="AOM25" s="593">
        <f>'Proy 2022 vs 2019 sem'!GN24*AOP$4</f>
        <v>7831.0720000000001</v>
      </c>
      <c r="AON25" s="593">
        <f>'Proy 2022 vs 2019 sem'!GO24*AOP$4</f>
        <v>21263.046044799998</v>
      </c>
      <c r="AOO25" s="702"/>
      <c r="AOP25" s="703">
        <f>AOO25/AOM25</f>
        <v>0</v>
      </c>
      <c r="AOQ25" s="593">
        <f>'Proy 2022 vs 2019 sem'!GN24*AOT$4</f>
        <v>10767.724</v>
      </c>
      <c r="AOR25" s="593">
        <f>'Proy 2022 vs 2019 sem'!GO24*AOT$4</f>
        <v>29236.688311599995</v>
      </c>
      <c r="AOS25" s="702"/>
      <c r="AOT25" s="703">
        <f>AOS25/AOQ25</f>
        <v>0</v>
      </c>
      <c r="AOU25" s="608">
        <f>ANS25+ANW25+AOA25+AOE25+AOI25+AOM25+AOQ25</f>
        <v>48944.2</v>
      </c>
      <c r="AOV25" s="609">
        <f>ANT25+ANX25+AOB25+AOF25+AOJ25+AON25+AOR25</f>
        <v>132894.03777999996</v>
      </c>
      <c r="AOW25" s="787">
        <f>ANU25+ANY25+AOC25+AOG25+AOK25+AOO25+AOS25</f>
        <v>0</v>
      </c>
      <c r="AOX25" s="788">
        <f>AOW25/AOU25</f>
        <v>0</v>
      </c>
      <c r="AOY25" s="593">
        <f>'Proy 2022 vs 2019 sem'!GW24*APB$4</f>
        <v>7006.08</v>
      </c>
      <c r="AOZ25" s="593">
        <f>'Proy 2022 vs 2019 sem'!GX24*APB$4</f>
        <v>16200.863999999998</v>
      </c>
      <c r="APA25" s="737"/>
      <c r="APB25" s="703">
        <f>APA25/AOY25</f>
        <v>0</v>
      </c>
      <c r="APC25" s="593">
        <f>'Proy 2022 vs 2019 sem'!GW24*APF$4</f>
        <v>7006.08</v>
      </c>
      <c r="APD25" s="593">
        <f>'Proy 2022 vs 2019 sem'!GX24*APF$4</f>
        <v>16200.863999999998</v>
      </c>
      <c r="APE25" s="737"/>
      <c r="APF25" s="703">
        <f>APE25/APC25</f>
        <v>0</v>
      </c>
      <c r="APG25" s="593">
        <f>'Proy 2022 vs 2019 sem'!GW24*APJ$4</f>
        <v>7006.08</v>
      </c>
      <c r="APH25" s="593">
        <f>'Proy 2022 vs 2019 sem'!GX24*APJ$4</f>
        <v>16200.863999999998</v>
      </c>
      <c r="API25" s="737"/>
      <c r="APJ25" s="703">
        <f>API25/APG25</f>
        <v>0</v>
      </c>
      <c r="APK25" s="593">
        <f>'Proy 2022 vs 2019 sem'!GW24*APN$4</f>
        <v>7006.08</v>
      </c>
      <c r="APL25" s="593">
        <f>'Proy 2022 vs 2019 sem'!GX24*APN$4</f>
        <v>16200.863999999998</v>
      </c>
      <c r="APM25" s="737"/>
      <c r="APN25" s="703">
        <f>APM25/APK25</f>
        <v>0</v>
      </c>
      <c r="APO25" s="593">
        <f>'Proy 2022 vs 2019 sem'!GW24*APR$4</f>
        <v>8173.7600000000011</v>
      </c>
      <c r="APP25" s="593">
        <f>'Proy 2022 vs 2019 sem'!GX24*APR$4</f>
        <v>18901.007999999998</v>
      </c>
      <c r="APQ25" s="737"/>
      <c r="APR25" s="703">
        <f>APQ25/APO25</f>
        <v>0</v>
      </c>
      <c r="APS25" s="593">
        <f>'Proy 2022 vs 2019 sem'!GW24*APV$4</f>
        <v>9341.44</v>
      </c>
      <c r="APT25" s="593">
        <f>'Proy 2022 vs 2019 sem'!GX24*APV$4</f>
        <v>21601.151999999998</v>
      </c>
      <c r="APU25" s="737"/>
      <c r="APV25" s="703">
        <f>APU25/APS25</f>
        <v>0</v>
      </c>
      <c r="APW25" s="593">
        <f>'Proy 2022 vs 2019 sem'!GW24*APZ$4</f>
        <v>12844.48</v>
      </c>
      <c r="APX25" s="593">
        <f>'Proy 2022 vs 2019 sem'!GX24*APZ$4</f>
        <v>29701.583999999995</v>
      </c>
      <c r="APY25" s="737"/>
      <c r="APZ25" s="703">
        <f>APY25/APW25</f>
        <v>0</v>
      </c>
      <c r="AQA25" s="608">
        <f>AOY25+APC25+APG25+APK25+APO25+APS25+APW25</f>
        <v>58384</v>
      </c>
      <c r="AQB25" s="609">
        <f>AOZ25+APD25+APH25+APL25+APP25+APT25+APX25</f>
        <v>135007.19999999998</v>
      </c>
      <c r="AQC25" s="729">
        <f>APA25+APE25+API25+APM25+APQ25+APU25+APY25</f>
        <v>0</v>
      </c>
      <c r="AQD25" s="713">
        <f>AQC25/AQA25</f>
        <v>0</v>
      </c>
      <c r="AQE25" s="593">
        <f>'Proy 2022 vs 2019 sem'!HB24*AQH$4</f>
        <v>6158.1623999999993</v>
      </c>
      <c r="AQF25" s="593">
        <f>'Proy 2022 vs 2019 sem'!HC24*AQH$4</f>
        <v>14480.25252</v>
      </c>
      <c r="AQG25" s="702"/>
      <c r="AQH25" s="703">
        <f>AQG25/AQE25</f>
        <v>0</v>
      </c>
      <c r="AQI25" s="593">
        <f>'Proy 2022 vs 2019 sem'!HB24*AQL$4</f>
        <v>6158.1623999999993</v>
      </c>
      <c r="AQJ25" s="593">
        <f>'Proy 2022 vs 2019 sem'!HC24*AQL$4</f>
        <v>14480.25252</v>
      </c>
      <c r="AQK25" s="702"/>
      <c r="AQL25" s="703">
        <f>AQK25/AQI25</f>
        <v>0</v>
      </c>
      <c r="AQM25" s="593">
        <f>'Proy 2022 vs 2019 sem'!HB24*AQP$4</f>
        <v>6158.1623999999993</v>
      </c>
      <c r="AQN25" s="593">
        <f>'Proy 2022 vs 2019 sem'!HC24*AQP$4</f>
        <v>14480.25252</v>
      </c>
      <c r="AQO25" s="702"/>
      <c r="AQP25" s="703">
        <f>AQO25/AQM25</f>
        <v>0</v>
      </c>
      <c r="AQQ25" s="593">
        <f>'Proy 2022 vs 2019 sem'!HB24*AQT$4</f>
        <v>6158.1623999999993</v>
      </c>
      <c r="AQR25" s="593">
        <f>'Proy 2022 vs 2019 sem'!HC24*AQT$4</f>
        <v>14480.25252</v>
      </c>
      <c r="AQS25" s="702"/>
      <c r="AQT25" s="703">
        <f>AQS25/AQQ25</f>
        <v>0</v>
      </c>
      <c r="AQU25" s="593">
        <f>'Proy 2022 vs 2019 sem'!HB24*AQX$4</f>
        <v>7184.5228000000006</v>
      </c>
      <c r="AQV25" s="593">
        <f>'Proy 2022 vs 2019 sem'!HC24*AQX$4</f>
        <v>16893.627940000002</v>
      </c>
      <c r="AQW25" s="702"/>
      <c r="AQX25" s="703">
        <f>AQW25/AQU25</f>
        <v>0</v>
      </c>
      <c r="AQY25" s="593">
        <f>'Proy 2022 vs 2019 sem'!HB24*ARB$4</f>
        <v>8210.8832000000002</v>
      </c>
      <c r="AQZ25" s="593">
        <f>'Proy 2022 vs 2019 sem'!HC24*ARB$4</f>
        <v>19307.003360000002</v>
      </c>
      <c r="ARA25" s="702"/>
      <c r="ARB25" s="703">
        <f>ARA25/AQY25</f>
        <v>0</v>
      </c>
      <c r="ARC25" s="593">
        <f>'Proy 2022 vs 2019 sem'!HB24*ARF$4</f>
        <v>11289.964399999999</v>
      </c>
      <c r="ARD25" s="593">
        <f>'Proy 2022 vs 2019 sem'!HC24*ARF$4</f>
        <v>26547.129620000003</v>
      </c>
      <c r="ARE25" s="702"/>
      <c r="ARF25" s="703">
        <f>ARE25/ARC25</f>
        <v>0</v>
      </c>
      <c r="ARG25" s="608">
        <f>AQE25+AQI25+AQM25+AQQ25+AQU25+AQY25+ARC25</f>
        <v>51318.01999999999</v>
      </c>
      <c r="ARH25" s="609">
        <f>AQF25+AQJ25+AQN25+AQR25+AQV25+AQZ25+ARD25</f>
        <v>120668.77100000001</v>
      </c>
      <c r="ARI25" s="731">
        <f>AQG25+AQK25+AQO25+AQS25+AQW25+ARA25+ARE25</f>
        <v>0</v>
      </c>
      <c r="ARJ25" s="713">
        <f>ARI25/ARG25</f>
        <v>0</v>
      </c>
      <c r="ARK25" s="593">
        <f>'Proy 2022 vs 2019 sem'!HG24*ARN$4</f>
        <v>0</v>
      </c>
      <c r="ARL25" s="593">
        <f>'Proy 2022 vs 2019 sem'!HH24*ARN$4</f>
        <v>13567.769699999999</v>
      </c>
      <c r="ARM25" s="702"/>
      <c r="ARN25" s="703" t="e">
        <f>ARM25/ARK25</f>
        <v>#DIV/0!</v>
      </c>
      <c r="ARO25" s="593">
        <f>'Proy 2022 vs 2019 sem'!HG24*ARR$4</f>
        <v>0</v>
      </c>
      <c r="ARP25" s="593">
        <f>'Proy 2022 vs 2019 sem'!HH24*ARR$4</f>
        <v>13567.769699999999</v>
      </c>
      <c r="ARQ25" s="702"/>
      <c r="ARR25" s="703" t="e">
        <f>ARQ25/ARO25</f>
        <v>#DIV/0!</v>
      </c>
      <c r="ARS25" s="593">
        <f>'Proy 2022 vs 2019 sem'!HG24*ARV$4</f>
        <v>0</v>
      </c>
      <c r="ART25" s="593">
        <f>'Proy 2022 vs 2019 sem'!HH24*ARV$4</f>
        <v>13567.769699999999</v>
      </c>
      <c r="ARU25" s="702"/>
      <c r="ARV25" s="703" t="e">
        <f>ARU25/ARS25</f>
        <v>#DIV/0!</v>
      </c>
      <c r="ARW25" s="593">
        <f>'Proy 2022 vs 2019 sem'!HG24*ARZ$4</f>
        <v>0</v>
      </c>
      <c r="ARX25" s="593">
        <f>'Proy 2022 vs 2019 sem'!HH24*ARZ$4</f>
        <v>13567.769699999999</v>
      </c>
      <c r="ARY25" s="702"/>
      <c r="ARZ25" s="703" t="e">
        <f>ARY25/ARW25</f>
        <v>#DIV/0!</v>
      </c>
      <c r="ASA25" s="593">
        <f>'Proy 2022 vs 2019 sem'!HG24*ASD$4</f>
        <v>0</v>
      </c>
      <c r="ASB25" s="593">
        <f>'Proy 2022 vs 2019 sem'!HH24*ASD$4</f>
        <v>15829.064650000002</v>
      </c>
      <c r="ASC25" s="702"/>
      <c r="ASD25" s="703" t="e">
        <f>ASC25/ASA25</f>
        <v>#DIV/0!</v>
      </c>
      <c r="ASE25" s="593">
        <f>'Proy 2022 vs 2019 sem'!HG24*ASH$4</f>
        <v>0</v>
      </c>
      <c r="ASF25" s="593">
        <f>'Proy 2022 vs 2019 sem'!HH24*ASH$4</f>
        <v>18090.3596</v>
      </c>
      <c r="ASG25" s="702"/>
      <c r="ASH25" s="703" t="e">
        <f>ASG25/ASE25</f>
        <v>#DIV/0!</v>
      </c>
      <c r="ASI25" s="593">
        <f>'Proy 2022 vs 2019 sem'!HG24*ASL$4</f>
        <v>0</v>
      </c>
      <c r="ASJ25" s="593">
        <f>'Proy 2022 vs 2019 sem'!HH24*ASL$4</f>
        <v>24874.244449999998</v>
      </c>
      <c r="ASK25" s="702"/>
      <c r="ASL25" s="703" t="e">
        <f>ASK25/ASI25</f>
        <v>#DIV/0!</v>
      </c>
      <c r="ASM25" s="608">
        <f>ARK25+ARO25+ARS25+ARW25+ASA25+ASE25+ASI25</f>
        <v>0</v>
      </c>
      <c r="ASN25" s="609">
        <f>ARL25+ARP25+ART25+ARX25+ASB25+ASF25+ASJ25</f>
        <v>113064.7475</v>
      </c>
      <c r="ASO25" s="731">
        <f>ARM25+ARQ25+ARU25+ARY25+ASC25+ASG25+ASK25</f>
        <v>0</v>
      </c>
      <c r="ASP25" s="713" t="e">
        <f>ASO25/ASM25</f>
        <v>#DIV/0!</v>
      </c>
      <c r="ASQ25" s="593">
        <f>'Proy 2022 vs 2019 sem'!HL24*AST$4</f>
        <v>5543.6435999999994</v>
      </c>
      <c r="ASR25" s="593">
        <f>'Proy 2022 vs 2019 sem'!HM24*AST$4</f>
        <v>13601.845859999998</v>
      </c>
      <c r="ASS25" s="702"/>
      <c r="AST25" s="703">
        <f>ASS25/ASQ25</f>
        <v>0</v>
      </c>
      <c r="ASU25" s="593">
        <f>'Proy 2022 vs 2019 sem'!HL24*ASX$4</f>
        <v>5543.6435999999994</v>
      </c>
      <c r="ASV25" s="593">
        <f>'Proy 2022 vs 2019 sem'!HM24*ASX$4</f>
        <v>13601.845859999998</v>
      </c>
      <c r="ASW25" s="702"/>
      <c r="ASX25" s="703">
        <f>ASW25/ASU25</f>
        <v>0</v>
      </c>
      <c r="ASY25" s="593">
        <f>'Proy 2022 vs 2019 sem'!HL24*ATB$4</f>
        <v>5543.6435999999994</v>
      </c>
      <c r="ASZ25" s="593">
        <f>'Proy 2022 vs 2019 sem'!HM24*ATB$4</f>
        <v>13601.845859999998</v>
      </c>
      <c r="ATA25" s="702"/>
      <c r="ATB25" s="703">
        <f>ATA25/ASY25</f>
        <v>0</v>
      </c>
      <c r="ATC25" s="593">
        <f>'Proy 2022 vs 2019 sem'!HL24*ATF$4</f>
        <v>5543.6435999999994</v>
      </c>
      <c r="ATD25" s="593">
        <f>'Proy 2022 vs 2019 sem'!HM24*ATF$4</f>
        <v>13601.845859999998</v>
      </c>
      <c r="ATE25" s="702"/>
      <c r="ATF25" s="703">
        <f>ATE25/ATC25</f>
        <v>0</v>
      </c>
      <c r="ATG25" s="593">
        <f>'Proy 2022 vs 2019 sem'!HL24*ATJ$4</f>
        <v>6467.5842000000002</v>
      </c>
      <c r="ATH25" s="593">
        <f>'Proy 2022 vs 2019 sem'!HM24*ATJ$4</f>
        <v>15868.820170000001</v>
      </c>
      <c r="ATI25" s="702"/>
      <c r="ATJ25" s="703">
        <f>ATI25/ATG25</f>
        <v>0</v>
      </c>
      <c r="ATK25" s="593">
        <f>'Proy 2022 vs 2019 sem'!HL24*ATN$4</f>
        <v>7391.5248000000001</v>
      </c>
      <c r="ATL25" s="593">
        <f>'Proy 2022 vs 2019 sem'!HM24*ATN$4</f>
        <v>18135.79448</v>
      </c>
      <c r="ATM25" s="702"/>
      <c r="ATN25" s="703">
        <f>ATM25/ATK25</f>
        <v>0</v>
      </c>
      <c r="ATO25" s="593">
        <f>'Proy 2022 vs 2019 sem'!HL24*ATR$4</f>
        <v>10163.346599999999</v>
      </c>
      <c r="ATP25" s="593">
        <f>'Proy 2022 vs 2019 sem'!HM24*ATR$4</f>
        <v>24936.717409999997</v>
      </c>
      <c r="ATQ25" s="702"/>
      <c r="ATR25" s="703">
        <f>ATQ25/ATO25</f>
        <v>0</v>
      </c>
      <c r="ATS25" s="608">
        <f>ASQ25+ASU25+ASY25+ATC25+ATG25+ATK25+ATO25</f>
        <v>46197.03</v>
      </c>
      <c r="ATT25" s="609">
        <f>ASR25+ASV25+ASZ25+ATD25+ATH25+ATL25+ATP25</f>
        <v>113348.71549999999</v>
      </c>
      <c r="ATU25" s="712">
        <f>ASS25+ASW25+ATA25+ATE25+ATI25+ATM25+ATQ25</f>
        <v>0</v>
      </c>
      <c r="ATV25" s="713">
        <f>ATU25/ATS25</f>
        <v>0</v>
      </c>
      <c r="ATW25" s="593">
        <f>'Proy 2022 vs 2019 sem'!HQ24*ATZ$4</f>
        <v>5825.7864</v>
      </c>
      <c r="ATX25" s="593">
        <f>'Proy 2022 vs 2019 sem'!HR24*ATZ$4</f>
        <v>15223.938599999998</v>
      </c>
      <c r="ATY25" s="702"/>
      <c r="ATZ25" s="703">
        <f>ATY25/ATW25</f>
        <v>0</v>
      </c>
      <c r="AUA25" s="593">
        <f>'Proy 2022 vs 2019 sem'!HQ24*AUD$4</f>
        <v>5825.7864</v>
      </c>
      <c r="AUB25" s="593">
        <f>'Proy 2022 vs 2019 sem'!HR24*AUD$4</f>
        <v>15223.938599999998</v>
      </c>
      <c r="AUC25" s="702"/>
      <c r="AUD25" s="703">
        <f>AUC25/AUA25</f>
        <v>0</v>
      </c>
      <c r="AUE25" s="593">
        <f>'Proy 2022 vs 2019 sem'!HQ24*AUH$4</f>
        <v>5825.7864</v>
      </c>
      <c r="AUF25" s="593">
        <f>'Proy 2022 vs 2019 sem'!HR24*AUH$4</f>
        <v>15223.938599999998</v>
      </c>
      <c r="AUG25" s="702"/>
      <c r="AUH25" s="703">
        <f>AUG25/AUE25</f>
        <v>0</v>
      </c>
      <c r="AUI25" s="593">
        <f>'Proy 2022 vs 2019 sem'!HQ24*AUL$4</f>
        <v>5825.7864</v>
      </c>
      <c r="AUJ25" s="593">
        <f>'Proy 2022 vs 2019 sem'!HR24*AUL$4</f>
        <v>15223.938599999998</v>
      </c>
      <c r="AUK25" s="702"/>
      <c r="AUL25" s="703">
        <f>AUK25/AUI25</f>
        <v>0</v>
      </c>
      <c r="AUM25" s="593">
        <f>'Proy 2022 vs 2019 sem'!HQ24*AUP$4</f>
        <v>6796.7508000000007</v>
      </c>
      <c r="AUN25" s="593">
        <f>'Proy 2022 vs 2019 sem'!HR24*AUP$4</f>
        <v>17761.261699999999</v>
      </c>
      <c r="AUO25" s="702"/>
      <c r="AUP25" s="703">
        <f>AUO25/AUM25</f>
        <v>0</v>
      </c>
      <c r="AUQ25" s="593">
        <f>'Proy 2022 vs 2019 sem'!HQ24*AUT$4</f>
        <v>7767.7152000000006</v>
      </c>
      <c r="AUR25" s="593">
        <f>'Proy 2022 vs 2019 sem'!HR24*AUT$4</f>
        <v>20298.584799999997</v>
      </c>
      <c r="AUS25" s="702"/>
      <c r="AUT25" s="703">
        <f>AUS25/AUQ25</f>
        <v>0</v>
      </c>
      <c r="AUU25" s="593">
        <f>'Proy 2022 vs 2019 sem'!HQ24*AUX$4</f>
        <v>10680.608400000001</v>
      </c>
      <c r="AUV25" s="593">
        <f>'Proy 2022 vs 2019 sem'!HR24*AUX$4</f>
        <v>27910.554099999998</v>
      </c>
      <c r="AUW25" s="702"/>
      <c r="AUX25" s="703">
        <f>AUW25/AUU25</f>
        <v>0</v>
      </c>
      <c r="AUY25" s="608">
        <f>ATW25+AUA25+AUE25+AUI25+AUM25+AUQ25+AUU25</f>
        <v>48548.22</v>
      </c>
      <c r="AUZ25" s="609">
        <f>ATX25+AUB25+AUF25+AUJ25+AUN25+AUR25+AUV25</f>
        <v>126866.15499999998</v>
      </c>
      <c r="AVA25" s="712">
        <f>ATY25+AUC25+AUG25+AUK25+AUO25+AUS25+AUW25</f>
        <v>0</v>
      </c>
      <c r="AVB25" s="713">
        <f>AVA25/AUY25</f>
        <v>0</v>
      </c>
      <c r="AVC25" s="593">
        <f>'Proy 2022 vs 2019 sem'!HZ24*AVF$4</f>
        <v>5543.775599999999</v>
      </c>
      <c r="AVD25" s="593">
        <f>'Proy 2022 vs 2019 sem'!IA24*AVF$4</f>
        <v>13839.925079999999</v>
      </c>
      <c r="AVE25" s="737"/>
      <c r="AVF25" s="703">
        <f>AVE25/AVC25</f>
        <v>0</v>
      </c>
      <c r="AVG25" s="593">
        <f>'Proy 2022 vs 2019 sem'!HZ24*AVJ$4</f>
        <v>5543.775599999999</v>
      </c>
      <c r="AVH25" s="593">
        <f>'Proy 2022 vs 2019 sem'!IA24*AVJ$4</f>
        <v>13839.925079999999</v>
      </c>
      <c r="AVI25" s="702"/>
      <c r="AVJ25" s="703">
        <f>AVI25/AVG25</f>
        <v>0</v>
      </c>
      <c r="AVK25" s="593">
        <f>'Proy 2022 vs 2019 sem'!HZ24*AVN$4</f>
        <v>5543.775599999999</v>
      </c>
      <c r="AVL25" s="593">
        <f>'Proy 2022 vs 2019 sem'!IA24*AVN$4</f>
        <v>13839.925079999999</v>
      </c>
      <c r="AVM25" s="702"/>
      <c r="AVN25" s="703">
        <f>AVM25/AVK25</f>
        <v>0</v>
      </c>
      <c r="AVO25" s="593">
        <f>'Proy 2022 vs 2019 sem'!HZ24*AVR$4</f>
        <v>5543.775599999999</v>
      </c>
      <c r="AVP25" s="593">
        <f>'Proy 2022 vs 2019 sem'!IA24*AVR$4</f>
        <v>13839.925079999999</v>
      </c>
      <c r="AVQ25" s="702"/>
      <c r="AVR25" s="703">
        <f>AVQ25/AVO25</f>
        <v>0</v>
      </c>
      <c r="AVS25" s="593">
        <f>'Proy 2022 vs 2019 sem'!HZ24*AVV$4</f>
        <v>6467.7382000000007</v>
      </c>
      <c r="AVT25" s="593">
        <f>'Proy 2022 vs 2019 sem'!IA24*AVV$4</f>
        <v>16146.579260000002</v>
      </c>
      <c r="AVU25" s="702"/>
      <c r="AVV25" s="703">
        <f>AVU25/AVS25</f>
        <v>0</v>
      </c>
      <c r="AVW25" s="593">
        <f>'Proy 2022 vs 2019 sem'!HZ24*AVZ$4</f>
        <v>7391.7007999999996</v>
      </c>
      <c r="AVX25" s="593">
        <f>'Proy 2022 vs 2019 sem'!IA24*AVZ$4</f>
        <v>18453.23344</v>
      </c>
      <c r="AVY25" s="702"/>
      <c r="AVZ25" s="703">
        <f>AVY25/AVW25</f>
        <v>0</v>
      </c>
      <c r="AWA25" s="593">
        <f>'Proy 2022 vs 2019 sem'!HZ24*AWD$4</f>
        <v>10163.588599999999</v>
      </c>
      <c r="AWB25" s="593">
        <f>'Proy 2022 vs 2019 sem'!IA24*AWD$4</f>
        <v>25373.19598</v>
      </c>
      <c r="AWC25" s="702"/>
      <c r="AWD25" s="703">
        <f>AWC25/AWA25</f>
        <v>0</v>
      </c>
      <c r="AWE25" s="608">
        <f>AVC25+AVG25+AVK25+AVO25+AVS25+AVW25+AWA25</f>
        <v>46198.12999999999</v>
      </c>
      <c r="AWF25" s="609">
        <f>AVD25+AVH25+AVL25+AVP25+AVT25+AVX25+AWB25</f>
        <v>115332.709</v>
      </c>
      <c r="AWG25" s="793">
        <f>AVE25+AVI25+AVM25+AVQ25+AVU25+AVY25+AWC25</f>
        <v>0</v>
      </c>
      <c r="AWH25" s="788">
        <f>AWG25/AWE25</f>
        <v>0</v>
      </c>
      <c r="AWI25" s="593">
        <f>'Proy 2022 vs 2019 sem'!IE24*AWL$4</f>
        <v>6114.6264000000001</v>
      </c>
      <c r="AWJ25" s="593">
        <f>'Proy 2022 vs 2019 sem'!IF24*AWL$4</f>
        <v>15811.0420524</v>
      </c>
      <c r="AWK25" s="702"/>
      <c r="AWL25" s="703">
        <f>AWK25/AWI25</f>
        <v>0</v>
      </c>
      <c r="AWM25" s="593">
        <f>'Proy 2022 vs 2019 sem'!IE24*AWP$4</f>
        <v>6114.6264000000001</v>
      </c>
      <c r="AWN25" s="593">
        <f>'Proy 2022 vs 2019 sem'!IF24*AWP$4</f>
        <v>15811.0420524</v>
      </c>
      <c r="AWO25" s="702"/>
      <c r="AWP25" s="703">
        <f>AWO25/AWM25</f>
        <v>0</v>
      </c>
      <c r="AWQ25" s="593">
        <f>'Proy 2022 vs 2019 sem'!IE24*AWT$4</f>
        <v>6114.6264000000001</v>
      </c>
      <c r="AWR25" s="593">
        <f>'Proy 2022 vs 2019 sem'!IF24*AWT$4</f>
        <v>15811.0420524</v>
      </c>
      <c r="AWS25" s="702"/>
      <c r="AWT25" s="703">
        <f>AWS25/AWQ25</f>
        <v>0</v>
      </c>
      <c r="AWU25" s="593">
        <f>'Proy 2022 vs 2019 sem'!IE24*AWX$4</f>
        <v>6114.6264000000001</v>
      </c>
      <c r="AWV25" s="593">
        <f>'Proy 2022 vs 2019 sem'!IF24*AWX$4</f>
        <v>15811.0420524</v>
      </c>
      <c r="AWW25" s="702"/>
      <c r="AWX25" s="703">
        <f>AWW25/AWU25</f>
        <v>0</v>
      </c>
      <c r="AWY25" s="593">
        <f>'Proy 2022 vs 2019 sem'!IE24*AXB$4</f>
        <v>7133.7308000000012</v>
      </c>
      <c r="AWZ25" s="593">
        <f>'Proy 2022 vs 2019 sem'!IF24*AXB$4</f>
        <v>18446.215727800001</v>
      </c>
      <c r="AXA25" s="702"/>
      <c r="AXB25" s="703">
        <f>AXA25/AWY25</f>
        <v>0</v>
      </c>
      <c r="AXC25" s="593">
        <f>'Proy 2022 vs 2019 sem'!IE24*AXF$4</f>
        <v>8152.8352000000004</v>
      </c>
      <c r="AXD25" s="593">
        <f>'Proy 2022 vs 2019 sem'!IF24*AXF$4</f>
        <v>21081.389403200003</v>
      </c>
      <c r="AXE25" s="702"/>
      <c r="AXF25" s="703">
        <f>AXE25/AXC25</f>
        <v>0</v>
      </c>
      <c r="AXG25" s="593">
        <f>'Proy 2022 vs 2019 sem'!IE24*AXJ$4</f>
        <v>11210.1484</v>
      </c>
      <c r="AXH25" s="593">
        <f>'Proy 2022 vs 2019 sem'!IF24*AXJ$4</f>
        <v>28986.910429400003</v>
      </c>
      <c r="AXI25" s="702"/>
      <c r="AXJ25" s="703">
        <f>AXI25/AXG25</f>
        <v>0</v>
      </c>
      <c r="AXK25" s="608">
        <f>AWI25+AWM25+AWQ25+AWU25+AWY25+AXC25+AXG25</f>
        <v>50955.22</v>
      </c>
      <c r="AXL25" s="609">
        <f>AWJ25+AWN25+AWR25+AWV25+AWZ25+AXD25+AXH25</f>
        <v>131758.68377000003</v>
      </c>
      <c r="AXM25" s="795">
        <f>AWK25+AWO25+AWS25+AWW25+AXA25+AXE25+AXI25</f>
        <v>0</v>
      </c>
      <c r="AXN25" s="788">
        <f>AXM25/AXK25</f>
        <v>0</v>
      </c>
      <c r="AXO25" s="593">
        <f>'Proy 2022 vs 2019 sem'!IJ24*AXR$4</f>
        <v>6866.9376000000002</v>
      </c>
      <c r="AXP25" s="593">
        <f>'Proy 2022 vs 2019 sem'!IK24*AXR$4</f>
        <v>16129.047840000001</v>
      </c>
      <c r="AXQ25" s="702"/>
      <c r="AXR25" s="703">
        <f>AXQ25/AXO25</f>
        <v>0</v>
      </c>
      <c r="AXS25" s="593">
        <f>'Proy 2022 vs 2019 sem'!IJ24*AXV$4</f>
        <v>6866.9376000000002</v>
      </c>
      <c r="AXT25" s="593">
        <f>'Proy 2022 vs 2019 sem'!IK24*AXV$4</f>
        <v>16129.047840000001</v>
      </c>
      <c r="AXU25" s="702"/>
      <c r="AXV25" s="703">
        <f>AXU25/AXS25</f>
        <v>0</v>
      </c>
      <c r="AXW25" s="593">
        <f>'Proy 2022 vs 2019 sem'!IJ24*AXZ$4</f>
        <v>6866.9376000000002</v>
      </c>
      <c r="AXX25" s="593">
        <f>'Proy 2022 vs 2019 sem'!IK24*AXZ$4</f>
        <v>16129.047840000001</v>
      </c>
      <c r="AXY25" s="702"/>
      <c r="AXZ25" s="703">
        <f>AXY25/AXW25</f>
        <v>0</v>
      </c>
      <c r="AYA25" s="593">
        <f>'Proy 2022 vs 2019 sem'!IJ24*AYD$4</f>
        <v>6866.9376000000002</v>
      </c>
      <c r="AYB25" s="593">
        <f>'Proy 2022 vs 2019 sem'!IK24*AYD$4</f>
        <v>16129.047840000001</v>
      </c>
      <c r="AYC25" s="702"/>
      <c r="AYD25" s="703">
        <f>AYC25/AYA25</f>
        <v>0</v>
      </c>
      <c r="AYE25" s="593">
        <f>'Proy 2022 vs 2019 sem'!IJ24*AYH$4</f>
        <v>8011.427200000001</v>
      </c>
      <c r="AYF25" s="593">
        <f>'Proy 2022 vs 2019 sem'!IK24*AYH$4</f>
        <v>18817.222480000004</v>
      </c>
      <c r="AYG25" s="702"/>
      <c r="AYH25" s="703">
        <f>AYG25/AYE25</f>
        <v>0</v>
      </c>
      <c r="AYI25" s="593">
        <f>'Proy 2022 vs 2019 sem'!IJ24*AYL$4</f>
        <v>9155.9168000000009</v>
      </c>
      <c r="AYJ25" s="593">
        <f>'Proy 2022 vs 2019 sem'!IK24*AYL$4</f>
        <v>21505.397120000005</v>
      </c>
      <c r="AYK25" s="702"/>
      <c r="AYL25" s="703">
        <f>AYK25/AYI25</f>
        <v>0</v>
      </c>
      <c r="AYM25" s="593">
        <f>'Proy 2022 vs 2019 sem'!IJ24*AYP$4</f>
        <v>12589.385600000001</v>
      </c>
      <c r="AYN25" s="593">
        <f>'Proy 2022 vs 2019 sem'!IK24*AYP$4</f>
        <v>29569.921040000005</v>
      </c>
      <c r="AYO25" s="702"/>
      <c r="AYP25" s="703">
        <f>AYO25/AYM25</f>
        <v>0</v>
      </c>
      <c r="AYQ25" s="608">
        <f>AXO25+AXS25+AXW25+AYA25+AYE25+AYI25+AYM25</f>
        <v>57224.480000000003</v>
      </c>
      <c r="AYR25" s="609">
        <f>AXP25+AXT25+AXX25+AYB25+AYF25+AYJ25+AYN25</f>
        <v>134408.73200000002</v>
      </c>
      <c r="AYS25" s="795">
        <f>AXQ25+AXU25+AXY25+AYC25+AYG25+AYK25+AYO25</f>
        <v>0</v>
      </c>
      <c r="AYT25" s="788">
        <f>AYS25/AYQ25</f>
        <v>0</v>
      </c>
      <c r="AYU25" s="593">
        <f>'Proy 2022 vs 2019 sem'!IO24*AYX$4</f>
        <v>7697.7828</v>
      </c>
      <c r="AYV25" s="593">
        <f>'Proy 2022 vs 2019 sem'!IP24*AYX$4</f>
        <v>20768.90238</v>
      </c>
      <c r="AYW25" s="702"/>
      <c r="AYX25" s="703">
        <f>AYW25/AYU25</f>
        <v>0</v>
      </c>
      <c r="AYY25" s="593">
        <f>'Proy 2022 vs 2019 sem'!IO24*AZB$4</f>
        <v>7697.7828</v>
      </c>
      <c r="AYZ25" s="593">
        <f>'Proy 2022 vs 2019 sem'!IP24*AZB$4</f>
        <v>20768.90238</v>
      </c>
      <c r="AZA25" s="702"/>
      <c r="AZB25" s="703">
        <f>AZA25/AYY25</f>
        <v>0</v>
      </c>
      <c r="AZC25" s="593">
        <f>'Proy 2022 vs 2019 sem'!IO24*AZF$4</f>
        <v>7697.7828</v>
      </c>
      <c r="AZD25" s="593">
        <f>'Proy 2022 vs 2019 sem'!IP24*AZF$4</f>
        <v>20768.90238</v>
      </c>
      <c r="AZE25" s="702"/>
      <c r="AZF25" s="703">
        <f>AZE25/AZC25</f>
        <v>0</v>
      </c>
      <c r="AZG25" s="593">
        <f>'Proy 2022 vs 2019 sem'!IO24*AZJ$4</f>
        <v>7697.7828</v>
      </c>
      <c r="AZH25" s="593">
        <f>'Proy 2022 vs 2019 sem'!IP24*AZJ$4</f>
        <v>20768.90238</v>
      </c>
      <c r="AZI25" s="702"/>
      <c r="AZJ25" s="703">
        <f>AZI25/AZG25</f>
        <v>0</v>
      </c>
      <c r="AZK25" s="593">
        <f>'Proy 2022 vs 2019 sem'!IO24*AZN$4</f>
        <v>8980.7466000000004</v>
      </c>
      <c r="AZL25" s="593">
        <f>'Proy 2022 vs 2019 sem'!IP24*AZN$4</f>
        <v>24230.386110000003</v>
      </c>
      <c r="AZM25" s="702"/>
      <c r="AZN25" s="703">
        <f>AZM25/AZK25</f>
        <v>0</v>
      </c>
      <c r="AZO25" s="593">
        <f>'Proy 2022 vs 2019 sem'!IO24*AZR$4</f>
        <v>10263.7104</v>
      </c>
      <c r="AZP25" s="593">
        <f>'Proy 2022 vs 2019 sem'!IP24*AZR$4</f>
        <v>27691.869840000003</v>
      </c>
      <c r="AZQ25" s="702"/>
      <c r="AZR25" s="703">
        <f>AZQ25/AZO25</f>
        <v>0</v>
      </c>
      <c r="AZS25" s="593">
        <f>'Proy 2022 vs 2019 sem'!IO24*AZV$4</f>
        <v>14112.6018</v>
      </c>
      <c r="AZT25" s="593">
        <f>'Proy 2022 vs 2019 sem'!IP24*AZV$4</f>
        <v>38076.321029999999</v>
      </c>
      <c r="AZU25" s="702"/>
      <c r="AZV25" s="703">
        <f>AZU25/AZS25</f>
        <v>0</v>
      </c>
      <c r="AZW25" s="608">
        <f>AYU25+AYY25+AZC25+AZG25+AZK25+AZO25+AZS25</f>
        <v>64148.19</v>
      </c>
      <c r="AZX25" s="609">
        <f>AYV25+AYZ25+AZD25+AZH25+AZL25+AZP25+AZT25</f>
        <v>173074.18650000001</v>
      </c>
      <c r="AZY25" s="787">
        <f>AYW25+AZA25+AZE25+AZI25+AZM25+AZQ25+AZU25</f>
        <v>0</v>
      </c>
      <c r="AZZ25" s="788">
        <f>AZY25/AZW25</f>
        <v>0</v>
      </c>
      <c r="BAA25" s="593">
        <f>'Proy 2022 vs 2019 sem'!IX24*BAD$4</f>
        <v>5163.6743999999999</v>
      </c>
      <c r="BAB25" s="593">
        <f>'Proy 2022 vs 2019 sem'!IY24*BAD$4</f>
        <v>13522.761179999998</v>
      </c>
      <c r="BAC25" s="737"/>
      <c r="BAD25" s="703">
        <f>BAC25/BAA25</f>
        <v>0</v>
      </c>
      <c r="BAE25" s="593">
        <f>'Proy 2022 vs 2019 sem'!IX24*BAH$4</f>
        <v>5163.6743999999999</v>
      </c>
      <c r="BAF25" s="593">
        <f>'Proy 2022 vs 2019 sem'!IY24*BAH$4</f>
        <v>13522.761179999998</v>
      </c>
      <c r="BAG25" s="702"/>
      <c r="BAH25" s="703">
        <f>BAG25/BAE25</f>
        <v>0</v>
      </c>
      <c r="BAI25" s="593">
        <f>'Proy 2022 vs 2019 sem'!IX24*BAL$4</f>
        <v>5163.6743999999999</v>
      </c>
      <c r="BAJ25" s="593">
        <f>'Proy 2022 vs 2019 sem'!IY24*BAL$4</f>
        <v>13522.761179999998</v>
      </c>
      <c r="BAK25" s="702"/>
      <c r="BAL25" s="703">
        <f>BAK25/BAI25</f>
        <v>0</v>
      </c>
      <c r="BAM25" s="593">
        <f>'Proy 2022 vs 2019 sem'!IX24*BAP$4</f>
        <v>5163.6743999999999</v>
      </c>
      <c r="BAN25" s="593">
        <f>'Proy 2022 vs 2019 sem'!IY24*BAP$4</f>
        <v>13522.761179999998</v>
      </c>
      <c r="BAO25" s="702"/>
      <c r="BAP25" s="703">
        <f>BAO25/BAM25</f>
        <v>0</v>
      </c>
      <c r="BAQ25" s="593">
        <f>'Proy 2022 vs 2019 sem'!IX24*BAT$4</f>
        <v>6024.2868000000008</v>
      </c>
      <c r="BAR25" s="593">
        <f>'Proy 2022 vs 2019 sem'!IY24*BAT$4</f>
        <v>15776.55471</v>
      </c>
      <c r="BAS25" s="702"/>
      <c r="BAT25" s="703">
        <f>BAS25/BAQ25</f>
        <v>0</v>
      </c>
      <c r="BAU25" s="593">
        <f>'Proy 2022 vs 2019 sem'!IX24*BAX$4</f>
        <v>6884.8992000000007</v>
      </c>
      <c r="BAV25" s="593">
        <f>'Proy 2022 vs 2019 sem'!IY24*BAX$4</f>
        <v>18030.348239999999</v>
      </c>
      <c r="BAW25" s="702"/>
      <c r="BAX25" s="703">
        <f>BAW25/BAU25</f>
        <v>0</v>
      </c>
      <c r="BAY25" s="593">
        <f>'Proy 2022 vs 2019 sem'!IX24*BBB$4</f>
        <v>9466.7363999999998</v>
      </c>
      <c r="BAZ25" s="593">
        <f>'Proy 2022 vs 2019 sem'!IY24*BBB$4</f>
        <v>24791.728829999996</v>
      </c>
      <c r="BBA25" s="702"/>
      <c r="BBB25" s="703">
        <f>BBA25/BAY25</f>
        <v>0</v>
      </c>
      <c r="BBC25" s="608">
        <f>BAA25+BAE25+BAI25+BAM25+BAQ25+BAU25+BAY25</f>
        <v>43030.62</v>
      </c>
      <c r="BBD25" s="609">
        <f>BAB25+BAF25+BAJ25+BAN25+BAR25+BAV25+BAZ25</f>
        <v>112689.67649999999</v>
      </c>
      <c r="BBE25" s="759">
        <f>BAC25+BAG25+BAK25+BAO25+BAS25+BAW25+BBA25</f>
        <v>0</v>
      </c>
      <c r="BBF25" s="762">
        <f>BBE25/BBC25</f>
        <v>0</v>
      </c>
      <c r="BBG25" s="593">
        <f>'Proy 2022 vs 2019 sem'!JC24*BBJ$4</f>
        <v>0</v>
      </c>
      <c r="BBH25" s="593">
        <f>'Proy 2022 vs 2019 sem'!JD24*BBJ$4</f>
        <v>18911.4590016</v>
      </c>
      <c r="BBI25" s="702"/>
      <c r="BBJ25" s="703" t="e">
        <f>BBI25/BBG25</f>
        <v>#DIV/0!</v>
      </c>
      <c r="BBK25" s="593">
        <f>'Proy 2022 vs 2019 sem'!JC24*BBN$4</f>
        <v>0</v>
      </c>
      <c r="BBL25" s="593">
        <f>'Proy 2022 vs 2019 sem'!JD24*BBN$4</f>
        <v>18911.4590016</v>
      </c>
      <c r="BBM25" s="702"/>
      <c r="BBN25" s="703" t="e">
        <f>BBM25/BBK25</f>
        <v>#DIV/0!</v>
      </c>
      <c r="BBO25" s="593">
        <f>'Proy 2022 vs 2019 sem'!JC24*BBR$4</f>
        <v>0</v>
      </c>
      <c r="BBP25" s="593">
        <f>'Proy 2022 vs 2019 sem'!JD24*BBR$4</f>
        <v>18911.4590016</v>
      </c>
      <c r="BBQ25" s="702"/>
      <c r="BBR25" s="703" t="e">
        <f>BBQ25/BBO25</f>
        <v>#DIV/0!</v>
      </c>
      <c r="BBS25" s="593">
        <f>'Proy 2022 vs 2019 sem'!JC24*BBV$4</f>
        <v>0</v>
      </c>
      <c r="BBT25" s="593">
        <f>'Proy 2022 vs 2019 sem'!JD24*BBV$4</f>
        <v>18911.4590016</v>
      </c>
      <c r="BBU25" s="702"/>
      <c r="BBV25" s="703" t="e">
        <f>BBU25/BBS25</f>
        <v>#DIV/0!</v>
      </c>
      <c r="BBW25" s="593">
        <f>'Proy 2022 vs 2019 sem'!JC24*BBZ$4</f>
        <v>0</v>
      </c>
      <c r="BBX25" s="593">
        <f>'Proy 2022 vs 2019 sem'!JD24*BBZ$4</f>
        <v>22063.368835200003</v>
      </c>
      <c r="BBY25" s="702"/>
      <c r="BBZ25" s="703" t="e">
        <f>BBY25/BBW25</f>
        <v>#DIV/0!</v>
      </c>
      <c r="BCA25" s="593">
        <f>'Proy 2022 vs 2019 sem'!JC24*BCD$4</f>
        <v>0</v>
      </c>
      <c r="BCB25" s="593">
        <f>'Proy 2022 vs 2019 sem'!JD24*BCD$4</f>
        <v>25215.278668800001</v>
      </c>
      <c r="BCC25" s="702"/>
      <c r="BCD25" s="703" t="e">
        <f>BCC25/BCA25</f>
        <v>#DIV/0!</v>
      </c>
      <c r="BCE25" s="593">
        <f>'Proy 2022 vs 2019 sem'!JC24*BCH$4</f>
        <v>0</v>
      </c>
      <c r="BCF25" s="593">
        <f>'Proy 2022 vs 2019 sem'!JD24*BCH$4</f>
        <v>34671.008169600005</v>
      </c>
      <c r="BCG25" s="702"/>
      <c r="BCH25" s="703" t="e">
        <f>BCG25/BCE25</f>
        <v>#DIV/0!</v>
      </c>
      <c r="BCI25" s="608">
        <f>BBG25+BBK25+BBO25+BBS25+BBW25+BCA25+BCE25</f>
        <v>0</v>
      </c>
      <c r="BCJ25" s="609">
        <f>BBH25+BBL25+BBP25+BBT25+BBX25+BCB25+BCF25</f>
        <v>157595.49168000001</v>
      </c>
      <c r="BCK25" s="766">
        <f>BBI25+BBM25+BBQ25+BBU25+BBY25+BCC25+BCG25</f>
        <v>0</v>
      </c>
      <c r="BCL25" s="762" t="e">
        <f>BCK25/BCI25</f>
        <v>#DIV/0!</v>
      </c>
      <c r="BCM25" s="593">
        <f>'Proy 2022 vs 2019 sem'!JH24*BCP$4</f>
        <v>7998.0479999999989</v>
      </c>
      <c r="BCN25" s="593">
        <f>'Proy 2022 vs 2019 sem'!JI24*BCP$4</f>
        <v>23560.552007999995</v>
      </c>
      <c r="BCO25" s="702"/>
      <c r="BCP25" s="703">
        <f>BCO25/BCM25</f>
        <v>0</v>
      </c>
      <c r="BCQ25" s="593">
        <f>'Proy 2022 vs 2019 sem'!JH24*BCT$4</f>
        <v>7998.0479999999989</v>
      </c>
      <c r="BCR25" s="593">
        <f>'Proy 2022 vs 2019 sem'!JI24*BCT$4</f>
        <v>23560.552007999995</v>
      </c>
      <c r="BCS25" s="702"/>
      <c r="BCT25" s="703">
        <f>BCS25/BCQ25</f>
        <v>0</v>
      </c>
      <c r="BCU25" s="593">
        <f>'Proy 2022 vs 2019 sem'!JH24*BCX$4</f>
        <v>7998.0479999999989</v>
      </c>
      <c r="BCV25" s="593">
        <f>'Proy 2022 vs 2019 sem'!JI24*BCX$4</f>
        <v>23560.552007999995</v>
      </c>
      <c r="BCW25" s="702"/>
      <c r="BCX25" s="703">
        <f>BCW25/BCU25</f>
        <v>0</v>
      </c>
      <c r="BCY25" s="593">
        <f>'Proy 2022 vs 2019 sem'!JH24*BDB$4</f>
        <v>7998.0479999999989</v>
      </c>
      <c r="BCZ25" s="593">
        <f>'Proy 2022 vs 2019 sem'!JI24*BDB$4</f>
        <v>23560.552007999995</v>
      </c>
      <c r="BDA25" s="702"/>
      <c r="BDB25" s="703">
        <f>BDA25/BCY25</f>
        <v>0</v>
      </c>
      <c r="BDC25" s="593">
        <f>'Proy 2022 vs 2019 sem'!JH24*BDF$4</f>
        <v>9331.0560000000005</v>
      </c>
      <c r="BDD25" s="593">
        <f>'Proy 2022 vs 2019 sem'!JI24*BDF$4</f>
        <v>27487.310676000001</v>
      </c>
      <c r="BDE25" s="702"/>
      <c r="BDF25" s="703">
        <f>BDE25/BDC25</f>
        <v>0</v>
      </c>
      <c r="BDG25" s="593">
        <f>'Proy 2022 vs 2019 sem'!JH24*BDJ$4</f>
        <v>10664.063999999998</v>
      </c>
      <c r="BDH25" s="593">
        <f>'Proy 2022 vs 2019 sem'!JI24*BDJ$4</f>
        <v>31414.069343999996</v>
      </c>
      <c r="BDI25" s="702"/>
      <c r="BDJ25" s="703">
        <f>BDI25/BDG25</f>
        <v>0</v>
      </c>
      <c r="BDK25" s="593">
        <f>'Proy 2022 vs 2019 sem'!JH24*BDN$4</f>
        <v>14663.087999999998</v>
      </c>
      <c r="BDL25" s="593">
        <f>'Proy 2022 vs 2019 sem'!JI24*BDN$4</f>
        <v>43194.345347999995</v>
      </c>
      <c r="BDM25" s="702"/>
      <c r="BDN25" s="703">
        <f>BDM25/BDK25</f>
        <v>0</v>
      </c>
      <c r="BDO25" s="608">
        <f>BCM25+BCQ25+BCU25+BCY25+BDC25+BDG25+BDK25</f>
        <v>66650.399999999994</v>
      </c>
      <c r="BDP25" s="609">
        <f>BCN25+BCR25+BCV25+BCZ25+BDD25+BDH25+BDL25</f>
        <v>196337.93339999998</v>
      </c>
      <c r="BDQ25" s="766">
        <f>BCO25+BCS25+BCW25+BDA25+BDE25+BDI25+BDM25</f>
        <v>0</v>
      </c>
      <c r="BDR25" s="762">
        <f>BDQ25/BDO25</f>
        <v>0</v>
      </c>
      <c r="BDS25" s="593">
        <f>'Proy 2022 vs 2019 sem'!JM24*BDV$4</f>
        <v>8215.7207999999991</v>
      </c>
      <c r="BDT25" s="593">
        <f>'Proy 2022 vs 2019 sem'!JN24*BDV$4</f>
        <v>27312.666479999996</v>
      </c>
      <c r="BDU25" s="702"/>
      <c r="BDV25" s="703">
        <f>BDU25/BDS25</f>
        <v>0</v>
      </c>
      <c r="BDW25" s="593">
        <f>'Proy 2022 vs 2019 sem'!JM24*BDZ$4</f>
        <v>8215.7207999999991</v>
      </c>
      <c r="BDX25" s="593">
        <f>'Proy 2022 vs 2019 sem'!JN24*BDZ$4</f>
        <v>27312.666479999996</v>
      </c>
      <c r="BDY25" s="702"/>
      <c r="BDZ25" s="703">
        <f>BDY25/BDW25</f>
        <v>0</v>
      </c>
      <c r="BEA25" s="593">
        <f>'Proy 2022 vs 2019 sem'!JM24*BED$4</f>
        <v>8215.7207999999991</v>
      </c>
      <c r="BEB25" s="593">
        <f>'Proy 2022 vs 2019 sem'!JN24*BED$4</f>
        <v>27312.666479999996</v>
      </c>
      <c r="BEC25" s="702"/>
      <c r="BED25" s="703">
        <f>BEC25/BEA25</f>
        <v>0</v>
      </c>
      <c r="BEE25" s="593">
        <v>14504.990400000001</v>
      </c>
      <c r="BEF25" s="593">
        <f>'Proy 2022 vs 2019 sem'!JN24*BEH$4</f>
        <v>27312.666479999996</v>
      </c>
      <c r="BEG25" s="702"/>
      <c r="BEH25" s="703">
        <f>BEG25/BEE25</f>
        <v>0</v>
      </c>
      <c r="BEI25" s="593">
        <f>'Proy 2022 vs 2019 sem'!JM24*BEL$4</f>
        <v>9585.0076000000008</v>
      </c>
      <c r="BEJ25" s="593">
        <f>'Proy 2022 vs 2019 sem'!JN24*BEL$4</f>
        <v>31864.777559999999</v>
      </c>
      <c r="BEK25" s="702"/>
      <c r="BEL25" s="703">
        <f>BEK25/BEI25</f>
        <v>0</v>
      </c>
      <c r="BEM25" s="593">
        <f>'Proy 2022 vs 2019 sem'!JM24*BEP$4</f>
        <v>10954.294399999999</v>
      </c>
      <c r="BEN25" s="593">
        <f>'Proy 2022 vs 2019 sem'!JN24*BEP$4</f>
        <v>36416.888639999997</v>
      </c>
      <c r="BEO25" s="702"/>
      <c r="BEP25" s="703">
        <f>BEO25/BEM25</f>
        <v>0</v>
      </c>
      <c r="BEQ25" s="593">
        <f>'Proy 2022 vs 2019 sem'!JM24*BET$4</f>
        <v>15062.154799999998</v>
      </c>
      <c r="BER25" s="593">
        <f>'Proy 2022 vs 2019 sem'!JN24*BET$4</f>
        <v>50073.221879999997</v>
      </c>
      <c r="BES25" s="702"/>
      <c r="BET25" s="703">
        <f>BES25/BEQ25</f>
        <v>0</v>
      </c>
      <c r="BEU25" s="608">
        <f>BDS25+BDW25+BEA25+BEE25+BEI25+BEM25+BEQ25</f>
        <v>74753.609599999996</v>
      </c>
      <c r="BEV25" s="609">
        <f>BDT25+BDX25+BEB25+BEF25+BEJ25+BEN25+BER25</f>
        <v>227605.55399999997</v>
      </c>
      <c r="BEW25" s="771">
        <f>BDU25+BDY25+BEC25+BEG25+BEK25+BEO25+BES25</f>
        <v>0</v>
      </c>
      <c r="BEX25" s="762">
        <f>BEW25/BEU25</f>
        <v>0</v>
      </c>
      <c r="BEY25" s="593">
        <f>'Proy 2022 vs 2019 sem'!JV24*BFB$4</f>
        <v>12789.253199999999</v>
      </c>
      <c r="BEZ25" s="593">
        <f>'Proy 2022 vs 2019 sem'!JW24*BFB$4</f>
        <v>39699.041131199992</v>
      </c>
      <c r="BFA25" s="737"/>
      <c r="BFB25" s="703">
        <f>BFA25/BEY25</f>
        <v>0</v>
      </c>
      <c r="BFC25" s="593">
        <f>'Proy 2022 vs 2019 sem'!JV24*BFF$4</f>
        <v>12789.253199999999</v>
      </c>
      <c r="BFD25" s="593">
        <f>'Proy 2022 vs 2019 sem'!JW24*BFF$4</f>
        <v>39699.041131199992</v>
      </c>
      <c r="BFE25" s="737"/>
      <c r="BFF25" s="703">
        <f>BFE25/BFC25</f>
        <v>0</v>
      </c>
      <c r="BFG25" s="593">
        <f>'Proy 2022 vs 2019 sem'!JV24*BFJ$4</f>
        <v>12789.253199999999</v>
      </c>
      <c r="BFH25" s="593">
        <f>'Proy 2022 vs 2019 sem'!JW24*BFJ$4</f>
        <v>39699.041131199992</v>
      </c>
      <c r="BFI25" s="737"/>
      <c r="BFJ25" s="703">
        <f>BFI25/BFG25</f>
        <v>0</v>
      </c>
      <c r="BFK25" s="593">
        <f>'Proy 2022 vs 2019 sem'!JV24*BFN$4</f>
        <v>12789.253199999999</v>
      </c>
      <c r="BFL25" s="593">
        <f>'Proy 2022 vs 2019 sem'!JW24*BFN$4</f>
        <v>39699.041131199992</v>
      </c>
      <c r="BFM25" s="737"/>
      <c r="BFN25" s="703">
        <f>BFM25/BFK25</f>
        <v>0</v>
      </c>
      <c r="BFO25" s="593">
        <f>'Proy 2022 vs 2019 sem'!JV24*BFR$4</f>
        <v>14920.795400000001</v>
      </c>
      <c r="BFP25" s="593">
        <f>'Proy 2022 vs 2019 sem'!JW24*BFR$4</f>
        <v>46315.547986400001</v>
      </c>
      <c r="BFQ25" s="737"/>
      <c r="BFR25" s="703">
        <f>BFQ25/BFO25</f>
        <v>0</v>
      </c>
      <c r="BFS25" s="593">
        <f>'Proy 2022 vs 2019 sem'!JV24*BFV$4</f>
        <v>17052.337599999999</v>
      </c>
      <c r="BFT25" s="593">
        <f>'Proy 2022 vs 2019 sem'!JW24*BFV$4</f>
        <v>52932.054841599995</v>
      </c>
      <c r="BFU25" s="737"/>
      <c r="BFV25" s="703">
        <f>BFU25/BFS25</f>
        <v>0</v>
      </c>
      <c r="BFW25" s="593">
        <f>'Proy 2022 vs 2019 sem'!JV24*BFZ$4</f>
        <v>23446.964199999999</v>
      </c>
      <c r="BFX25" s="593">
        <f>'Proy 2022 vs 2019 sem'!JW24*BFZ$4</f>
        <v>72781.575407199998</v>
      </c>
      <c r="BFY25" s="737"/>
      <c r="BFZ25" s="703">
        <f>BFY25/BFW25</f>
        <v>0</v>
      </c>
      <c r="BGA25" s="608">
        <f>BEY25+BFC25+BFG25+BFK25+BFO25+BFS25+BFW25</f>
        <v>106577.11</v>
      </c>
      <c r="BGB25" s="609">
        <f>BEZ25+BFD25+BFH25+BFL25+BFP25+BFT25+BFX25</f>
        <v>330825.34275999991</v>
      </c>
      <c r="BGC25" s="729">
        <f>BFA25+BFE25+BFI25+BFM25+BFQ25+BFU25+BFY25</f>
        <v>0</v>
      </c>
      <c r="BGD25" s="713">
        <f>BGC25/BGA25</f>
        <v>0</v>
      </c>
      <c r="BGE25" s="593">
        <f>'Proy 2022 vs 2019 sem'!KA24*BGH$4</f>
        <v>14079.8568</v>
      </c>
      <c r="BGF25" s="593">
        <f>'Proy 2022 vs 2019 sem'!KB24*BGH$4</f>
        <v>51831.147326400001</v>
      </c>
      <c r="BGG25" s="702"/>
      <c r="BGH25" s="703">
        <f>BGG25/BGE25</f>
        <v>0</v>
      </c>
      <c r="BGI25" s="593">
        <f>'Proy 2022 vs 2019 sem'!KA24*BGL$4</f>
        <v>14079.8568</v>
      </c>
      <c r="BGJ25" s="593">
        <f>'Proy 2022 vs 2019 sem'!KB24*BGL$4</f>
        <v>51831.147326400001</v>
      </c>
      <c r="BGK25" s="702"/>
      <c r="BGL25" s="703">
        <f>BGK25/BGI25</f>
        <v>0</v>
      </c>
      <c r="BGM25" s="593">
        <f>'Proy 2022 vs 2019 sem'!KA24*BGP$4</f>
        <v>14079.8568</v>
      </c>
      <c r="BGN25" s="593">
        <f>'Proy 2022 vs 2019 sem'!KB24*BGP$4</f>
        <v>51831.147326400001</v>
      </c>
      <c r="BGO25" s="702"/>
      <c r="BGP25" s="703">
        <f>BGO25/BGM25</f>
        <v>0</v>
      </c>
      <c r="BGQ25" s="593">
        <f>'Proy 2022 vs 2019 sem'!KA24*BGT$4</f>
        <v>14079.8568</v>
      </c>
      <c r="BGR25" s="593">
        <f>'Proy 2022 vs 2019 sem'!KB24*BGT$4</f>
        <v>51831.147326400001</v>
      </c>
      <c r="BGS25" s="702"/>
      <c r="BGT25" s="703">
        <f>BGS25/BGQ25</f>
        <v>0</v>
      </c>
      <c r="BGU25" s="593">
        <f>'Proy 2022 vs 2019 sem'!KA24*BGX$4</f>
        <v>16426.499600000003</v>
      </c>
      <c r="BGV25" s="593">
        <f>'Proy 2022 vs 2019 sem'!KB24*BGX$4</f>
        <v>60469.671880800008</v>
      </c>
      <c r="BGW25" s="702"/>
      <c r="BGX25" s="703">
        <f>BGW25/BGU25</f>
        <v>0</v>
      </c>
      <c r="BGY25" s="593">
        <f>'Proy 2022 vs 2019 sem'!KA24*BHB$4</f>
        <v>18773.142400000001</v>
      </c>
      <c r="BGZ25" s="593">
        <f>'Proy 2022 vs 2019 sem'!KB24*BHB$4</f>
        <v>69108.196435200007</v>
      </c>
      <c r="BHA25" s="702"/>
      <c r="BHB25" s="703">
        <f>BHA25/BGY25</f>
        <v>0</v>
      </c>
      <c r="BHC25" s="593">
        <f>'Proy 2022 vs 2019 sem'!KA24*BHF$4</f>
        <v>25813.070800000001</v>
      </c>
      <c r="BHD25" s="593">
        <f>'Proy 2022 vs 2019 sem'!KB24*BHF$4</f>
        <v>95023.770098400011</v>
      </c>
      <c r="BHE25" s="702"/>
      <c r="BHF25" s="703">
        <f>BHE25/BHC25</f>
        <v>0</v>
      </c>
      <c r="BHG25" s="608">
        <f>BGE25+BGI25+BGM25+BGQ25+BGU25+BGY25+BHC25</f>
        <v>117332.14</v>
      </c>
      <c r="BHH25" s="609">
        <f>BGF25+BGJ25+BGN25+BGR25+BGV25+BGZ25+BHD25</f>
        <v>431926.22772000002</v>
      </c>
      <c r="BHI25" s="731">
        <f>BGG25+BGK25+BGO25+BGS25+BGW25+BHA25+BHE25</f>
        <v>0</v>
      </c>
      <c r="BHJ25" s="713">
        <f>BHI25/BHG25</f>
        <v>0</v>
      </c>
      <c r="BHK25" s="593">
        <f>'Proy 2022 vs 2019 sem'!KF24*BHN$4</f>
        <v>24331.024799999999</v>
      </c>
      <c r="BHL25" s="593">
        <f>'Proy 2022 vs 2019 sem'!KG24*BHN$4</f>
        <v>68597.481914999982</v>
      </c>
      <c r="BHM25" s="702"/>
      <c r="BHN25" s="703">
        <f>BHM25/BHK25</f>
        <v>0</v>
      </c>
      <c r="BHO25" s="593">
        <f>'Proy 2022 vs 2019 sem'!KF24*BHR$4</f>
        <v>24331.024799999999</v>
      </c>
      <c r="BHP25" s="593">
        <f>'Proy 2022 vs 2019 sem'!KG24*BHR$4</f>
        <v>68597.481914999982</v>
      </c>
      <c r="BHQ25" s="702"/>
      <c r="BHR25" s="703">
        <f>BHQ25/BHO25</f>
        <v>0</v>
      </c>
      <c r="BHS25" s="593">
        <f>'Proy 2022 vs 2019 sem'!KF24*BHV$4</f>
        <v>24331.024799999999</v>
      </c>
      <c r="BHT25" s="593">
        <f>'Proy 2022 vs 2019 sem'!KG24*BHV$4</f>
        <v>68597.481914999982</v>
      </c>
      <c r="BHU25" s="702"/>
      <c r="BHV25" s="703">
        <f>BHU25/BHS25</f>
        <v>0</v>
      </c>
      <c r="BHW25" s="593">
        <f>'Proy 2022 vs 2019 sem'!KF24*BHZ$4</f>
        <v>24331.024799999999</v>
      </c>
      <c r="BHX25" s="593">
        <f>'Proy 2022 vs 2019 sem'!KG24*BHZ$4</f>
        <v>68597.481914999982</v>
      </c>
      <c r="BHY25" s="702"/>
      <c r="BHZ25" s="703">
        <f>BHY25/BHW25</f>
        <v>0</v>
      </c>
      <c r="BIA25" s="593">
        <f>'Proy 2022 vs 2019 sem'!KF24*BID$4</f>
        <v>28386.195600000003</v>
      </c>
      <c r="BIB25" s="593">
        <f>'Proy 2022 vs 2019 sem'!KG24*BID$4</f>
        <v>80030.395567499989</v>
      </c>
      <c r="BIC25" s="702"/>
      <c r="BID25" s="703">
        <f>BIC25/BIA25</f>
        <v>0</v>
      </c>
      <c r="BIE25" s="593">
        <f>'Proy 2022 vs 2019 sem'!KF24*BIH$4</f>
        <v>32441.366400000003</v>
      </c>
      <c r="BIF25" s="593">
        <f>'Proy 2022 vs 2019 sem'!KG24*BIH$4</f>
        <v>91463.309219999981</v>
      </c>
      <c r="BIG25" s="702"/>
      <c r="BIH25" s="703">
        <f>BIG25/BIE25</f>
        <v>0</v>
      </c>
      <c r="BII25" s="593">
        <f>'Proy 2022 vs 2019 sem'!KF24*BIL$4</f>
        <v>44606.878799999999</v>
      </c>
      <c r="BIJ25" s="593">
        <f>'Proy 2022 vs 2019 sem'!KG24*BIL$4</f>
        <v>125762.05017749997</v>
      </c>
      <c r="BIK25" s="702"/>
      <c r="BIL25" s="703">
        <f>BIK25/BII25</f>
        <v>0</v>
      </c>
      <c r="BIM25" s="608">
        <f>BHK25+BHO25+BHS25+BHW25+BIA25+BIE25+BII25</f>
        <v>202758.54</v>
      </c>
      <c r="BIN25" s="609">
        <f>BHL25+BHP25+BHT25+BHX25+BIB25+BIF25+BIJ25</f>
        <v>571645.6826249999</v>
      </c>
      <c r="BIO25" s="731">
        <f>BHM25+BHQ25+BHU25+BHY25+BIC25+BIG25+BIK25</f>
        <v>0</v>
      </c>
      <c r="BIP25" s="713">
        <f>BIO25/BIM25</f>
        <v>0</v>
      </c>
      <c r="BIQ25" s="593">
        <f>'Proy 2022 vs 2019 sem'!KK24*BIT$4</f>
        <v>20104.105199999998</v>
      </c>
      <c r="BIR25" s="593">
        <f>'Proy 2022 vs 2019 sem'!KL24*BIT$4</f>
        <v>53007.495761999991</v>
      </c>
      <c r="BIS25" s="702"/>
      <c r="BIT25" s="703">
        <f>BIS25/BIQ25</f>
        <v>0</v>
      </c>
      <c r="BIU25" s="593">
        <f>'Proy 2022 vs 2019 sem'!KK24*BIX$4</f>
        <v>20104.105199999998</v>
      </c>
      <c r="BIV25" s="593">
        <f>'Proy 2022 vs 2019 sem'!KL24*BIX$4</f>
        <v>53007.495761999991</v>
      </c>
      <c r="BIW25" s="702"/>
      <c r="BIX25" s="703">
        <f>BIW25/BIU25</f>
        <v>0</v>
      </c>
      <c r="BIY25" s="593">
        <f>'Proy 2022 vs 2019 sem'!KK24*BJB$4</f>
        <v>20104.105199999998</v>
      </c>
      <c r="BIZ25" s="593">
        <f>'Proy 2022 vs 2019 sem'!KL24*BJB$4</f>
        <v>53007.495761999991</v>
      </c>
      <c r="BJA25" s="702"/>
      <c r="BJB25" s="703">
        <f>BJA25/BIY25</f>
        <v>0</v>
      </c>
      <c r="BJC25" s="593">
        <f>'Proy 2022 vs 2019 sem'!KK24*BJF$4</f>
        <v>20104.105199999998</v>
      </c>
      <c r="BJD25" s="593">
        <f>'Proy 2022 vs 2019 sem'!KL24*BJF$4</f>
        <v>53007.495761999991</v>
      </c>
      <c r="BJE25" s="702"/>
      <c r="BJF25" s="703">
        <f>BJE25/BJC25</f>
        <v>0</v>
      </c>
      <c r="BJG25" s="593">
        <f>'Proy 2022 vs 2019 sem'!KK24*BJJ$4</f>
        <v>23454.789400000001</v>
      </c>
      <c r="BJH25" s="593">
        <f>'Proy 2022 vs 2019 sem'!KL24*BJJ$4</f>
        <v>61842.078388999995</v>
      </c>
      <c r="BJI25" s="702"/>
      <c r="BJJ25" s="703">
        <f>BJI25/BJG25</f>
        <v>0</v>
      </c>
      <c r="BJK25" s="593">
        <f>'Proy 2022 vs 2019 sem'!KK24*BJN$4</f>
        <v>26805.473599999998</v>
      </c>
      <c r="BJL25" s="593">
        <f>'Proy 2022 vs 2019 sem'!KL24*BJN$4</f>
        <v>70676.661015999984</v>
      </c>
      <c r="BJM25" s="702"/>
      <c r="BJN25" s="703">
        <f>BJM25/BJK25</f>
        <v>0</v>
      </c>
      <c r="BJO25" s="593">
        <f>'Proy 2022 vs 2019 sem'!KK24*BJR$4</f>
        <v>36857.5262</v>
      </c>
      <c r="BJP25" s="593">
        <f>'Proy 2022 vs 2019 sem'!KL24*BJR$4</f>
        <v>97180.408896999987</v>
      </c>
      <c r="BJQ25" s="702"/>
      <c r="BJR25" s="703">
        <f>BJQ25/BJO25</f>
        <v>0</v>
      </c>
      <c r="BJS25" s="608">
        <f>BIQ25+BIU25+BIY25+BJC25+BJG25+BJK25+BJO25</f>
        <v>167534.21</v>
      </c>
      <c r="BJT25" s="609">
        <f>BIR25+BIV25+BIZ25+BJD25+BJH25+BJL25+BJP25</f>
        <v>441729.13134999992</v>
      </c>
      <c r="BJU25" s="712">
        <f>BIS25+BIW25+BJA25+BJE25+BJI25+BJM25+BJQ25</f>
        <v>0</v>
      </c>
      <c r="BJV25" s="713">
        <f>BJU25/BJS25</f>
        <v>0</v>
      </c>
      <c r="BJW25" s="593">
        <f>'Proy 2022 vs 2019 sem'!KP24*BJZ$4</f>
        <v>6120.0419999999995</v>
      </c>
      <c r="BJX25" s="593">
        <f>'Proy 2022 vs 2019 sem'!KQ24*BJZ$4</f>
        <v>13654.305092400002</v>
      </c>
      <c r="BJY25" s="702"/>
      <c r="BJZ25" s="703">
        <f>BJY25/BJW25</f>
        <v>0</v>
      </c>
      <c r="BKA25" s="593">
        <f>'Proy 2022 vs 2019 sem'!KP24*BKD$4</f>
        <v>6120.0419999999995</v>
      </c>
      <c r="BKB25" s="593">
        <f>'Proy 2022 vs 2019 sem'!KQ24*BKD$4</f>
        <v>13654.305092400002</v>
      </c>
      <c r="BKC25" s="702"/>
      <c r="BKD25" s="703">
        <f>BKC25/BKA25</f>
        <v>0</v>
      </c>
      <c r="BKE25" s="593">
        <f>'Proy 2022 vs 2019 sem'!KP24*BKH$4</f>
        <v>6120.0419999999995</v>
      </c>
      <c r="BKF25" s="593">
        <f>'Proy 2022 vs 2019 sem'!KQ24*BKH$4</f>
        <v>13654.305092400002</v>
      </c>
      <c r="BKG25" s="702"/>
      <c r="BKH25" s="703">
        <f>BKG25/BKE25</f>
        <v>0</v>
      </c>
      <c r="BKI25" s="593">
        <f>'Proy 2022 vs 2019 sem'!KP24*BKL$4</f>
        <v>6120.0419999999995</v>
      </c>
      <c r="BKJ25" s="593">
        <f>'Proy 2022 vs 2019 sem'!KQ24*BKL$4</f>
        <v>13654.305092400002</v>
      </c>
      <c r="BKK25" s="702"/>
      <c r="BKL25" s="703">
        <f>BKK25/BKI25</f>
        <v>0</v>
      </c>
      <c r="BKM25" s="593">
        <f>'Proy 2022 vs 2019 sem'!KP24*BKP$4</f>
        <v>7140.0490000000009</v>
      </c>
      <c r="BKN25" s="593">
        <f>'Proy 2022 vs 2019 sem'!KQ24*BKP$4</f>
        <v>15930.022607800003</v>
      </c>
      <c r="BKO25" s="702"/>
      <c r="BKP25" s="703">
        <f>BKO25/BKM25</f>
        <v>0</v>
      </c>
      <c r="BKQ25" s="593">
        <f>'Proy 2022 vs 2019 sem'!KP24*BKT$4</f>
        <v>8160.0559999999996</v>
      </c>
      <c r="BKR25" s="593">
        <f>'Proy 2022 vs 2019 sem'!KQ24*BKT$4</f>
        <v>18205.740123200001</v>
      </c>
      <c r="BKS25" s="702"/>
      <c r="BKT25" s="703">
        <f>BKS25/BKQ25</f>
        <v>0</v>
      </c>
      <c r="BKU25" s="593">
        <f>'Proy 2022 vs 2019 sem'!KP24*BKX$4</f>
        <v>11220.076999999999</v>
      </c>
      <c r="BKV25" s="593">
        <f>'Proy 2022 vs 2019 sem'!KQ24*BKX$4</f>
        <v>25032.892669400004</v>
      </c>
      <c r="BKW25" s="702"/>
      <c r="BKX25" s="703">
        <f>BKW25/BKU25</f>
        <v>0</v>
      </c>
      <c r="BKY25" s="608">
        <f>BJW25+BKA25+BKE25+BKI25+BKM25+BKQ25+BKU25</f>
        <v>51000.349999999991</v>
      </c>
      <c r="BKZ25" s="609">
        <f>BJX25+BKB25+BKF25+BKJ25+BKN25+BKR25+BKV25</f>
        <v>113785.87577000001</v>
      </c>
      <c r="BLA25" s="712">
        <f>BJY25+BKC25+BKG25+BKK25+BKO25+BKS25+BKW25</f>
        <v>0</v>
      </c>
      <c r="BLB25" s="713">
        <f>BLA25/BKY25</f>
        <v>0</v>
      </c>
    </row>
    <row r="26" spans="2:1666" ht="19.5" customHeight="1">
      <c r="B26" s="932" t="s">
        <v>477</v>
      </c>
      <c r="C26" s="593">
        <f>'Proy 2022 vs 2019 sem'!$C$6*$F$4</f>
        <v>9529.1268</v>
      </c>
      <c r="D26" s="593">
        <f>'Proy 2022 vs 2019 sem'!$D$6*$F$4</f>
        <v>8480.9228519999997</v>
      </c>
      <c r="E26" s="734"/>
      <c r="F26" s="698">
        <f>E26/C26</f>
        <v>0</v>
      </c>
      <c r="G26" s="1414">
        <f>'Proy 2022 vs 2019 sem'!C25*$J$4</f>
        <v>14532.471599999999</v>
      </c>
      <c r="H26" s="593">
        <f>'Proy 2022 vs 2019 sem'!D25*$J$4</f>
        <v>12933.899723999999</v>
      </c>
      <c r="I26" s="734"/>
      <c r="J26" s="698">
        <f>I26/G26</f>
        <v>0</v>
      </c>
      <c r="K26" s="593">
        <f>'Proy 2022 vs 2019 sem'!C25*$N$4</f>
        <v>14532.471599999999</v>
      </c>
      <c r="L26" s="593">
        <f>'Proy 2022 vs 2019 sem'!D25*N$4</f>
        <v>12933.899723999999</v>
      </c>
      <c r="M26" s="734"/>
      <c r="N26" s="698">
        <f>M26/K26</f>
        <v>0</v>
      </c>
      <c r="O26" s="593">
        <f>'Proy 2022 vs 2019 sem'!C25*R$4</f>
        <v>14532.471599999999</v>
      </c>
      <c r="P26" s="593">
        <f>'Proy 2022 vs 2019 sem'!D25*$R$4</f>
        <v>12933.899723999999</v>
      </c>
      <c r="Q26" s="734"/>
      <c r="R26" s="698">
        <f>Q26/O26</f>
        <v>0</v>
      </c>
      <c r="S26" s="593">
        <f>'Proy 2022 vs 2019 sem'!C25*V$4</f>
        <v>16954.550200000001</v>
      </c>
      <c r="T26" s="593">
        <f>'Proy 2022 vs 2019 sem'!D25*V$4</f>
        <v>15089.549678000001</v>
      </c>
      <c r="U26" s="734"/>
      <c r="V26" s="698">
        <f>U26/S26</f>
        <v>0</v>
      </c>
      <c r="W26" s="593">
        <f>'Proy 2022 vs 2019 sem'!C25*Z$4</f>
        <v>19376.628799999999</v>
      </c>
      <c r="X26" s="593">
        <f>'Proy 2022 vs 2019 sem'!D25*Z$4</f>
        <v>17245.199632</v>
      </c>
      <c r="Y26" s="734"/>
      <c r="Z26" s="698">
        <f>Y26/W26</f>
        <v>0</v>
      </c>
      <c r="AA26" s="593">
        <f>'Proy 2022 vs 2019 sem'!C25*AD$4</f>
        <v>26642.864599999997</v>
      </c>
      <c r="AB26" s="593">
        <f>'Proy 2022 vs 2019 sem'!D25*AD$4</f>
        <v>23712.149493999998</v>
      </c>
      <c r="AC26" s="734"/>
      <c r="AD26" s="698">
        <f>AC26/AA26</f>
        <v>0</v>
      </c>
      <c r="AE26" s="577">
        <f>C26+G26+K26+O26+S26+W26+AA26</f>
        <v>116100.5852</v>
      </c>
      <c r="AF26" s="578">
        <f>D26+H26+L26+P26+T26+X26+AB26</f>
        <v>103329.52082799999</v>
      </c>
      <c r="AG26" s="729">
        <f>E26+I26+M26+Q26+U26+Y26+AC26</f>
        <v>0</v>
      </c>
      <c r="AH26" s="715">
        <f>AG26/AE26</f>
        <v>0</v>
      </c>
      <c r="AI26" s="593">
        <f>'Proy 2022 vs 2019 sem'!H25*AL$4</f>
        <v>14625.745199999999</v>
      </c>
      <c r="AJ26" s="611">
        <f>'Proy 2022 vs 2019 sem'!I25*AL$4</f>
        <v>13455.685584000001</v>
      </c>
      <c r="AK26" s="697"/>
      <c r="AL26" s="698">
        <f>AK26/AI26</f>
        <v>0</v>
      </c>
      <c r="AM26" s="593">
        <f>'Proy 2022 vs 2019 sem'!H25*AP$4</f>
        <v>14625.745199999999</v>
      </c>
      <c r="AN26" s="593">
        <f>'Proy 2022 vs 2019 sem'!I25*AP$4</f>
        <v>13455.685584000001</v>
      </c>
      <c r="AO26" s="697"/>
      <c r="AP26" s="698">
        <f>AO26/AM26</f>
        <v>0</v>
      </c>
      <c r="AQ26" s="593">
        <f>'Proy 2022 vs 2019 sem'!H25*AT$4</f>
        <v>14625.745199999999</v>
      </c>
      <c r="AR26" s="593">
        <f>'Proy 2022 vs 2019 sem'!I25*AT$4</f>
        <v>13455.685584000001</v>
      </c>
      <c r="AS26" s="697"/>
      <c r="AT26" s="698">
        <f>AS26/AQ26</f>
        <v>0</v>
      </c>
      <c r="AU26" s="593">
        <f>'Proy 2022 vs 2019 sem'!H25*AX$4</f>
        <v>14625.745199999999</v>
      </c>
      <c r="AV26" s="593">
        <f>'Proy 2022 vs 2019 sem'!I25*AX$4</f>
        <v>13455.685584000001</v>
      </c>
      <c r="AW26" s="697"/>
      <c r="AX26" s="698">
        <f>AW26/AU26</f>
        <v>0</v>
      </c>
      <c r="AY26" s="593">
        <f>'Proy 2022 vs 2019 sem'!H25*BB$4</f>
        <v>17063.369400000003</v>
      </c>
      <c r="AZ26" s="593">
        <f>'Proy 2022 vs 2019 sem'!I25*BB$4</f>
        <v>15698.299848000004</v>
      </c>
      <c r="BA26" s="697"/>
      <c r="BB26" s="698">
        <f>BA26/AY26</f>
        <v>0</v>
      </c>
      <c r="BC26" s="593">
        <f>'Proy 2022 vs 2019 sem'!H25*BF$4</f>
        <v>19500.993600000002</v>
      </c>
      <c r="BD26" s="593">
        <f>'Proy 2022 vs 2019 sem'!I25*BF$4</f>
        <v>17940.914112000002</v>
      </c>
      <c r="BE26" s="697"/>
      <c r="BF26" s="698">
        <f>BE26/BC26</f>
        <v>0</v>
      </c>
      <c r="BG26" s="593">
        <f>'Proy 2022 vs 2019 sem'!H25*BJ$4</f>
        <v>26813.8662</v>
      </c>
      <c r="BH26" s="593">
        <f>'Proy 2022 vs 2019 sem'!I25*BJ$4</f>
        <v>24668.756904000002</v>
      </c>
      <c r="BI26" s="697"/>
      <c r="BJ26" s="698">
        <f>BI26/BG26</f>
        <v>0</v>
      </c>
      <c r="BK26" s="577">
        <f>AI26+AM26+AQ26+AU26+AY26+BC26+BG26</f>
        <v>121881.21</v>
      </c>
      <c r="BL26" s="578">
        <f>AJ26+AN26+AR26+AV26+AZ26+BD26+BH26</f>
        <v>112130.7132</v>
      </c>
      <c r="BM26" s="732">
        <f>AK26+AO26+AS26+AW26+BA26+BE26+BI26</f>
        <v>0</v>
      </c>
      <c r="BN26" s="715">
        <f>BM26/BK26</f>
        <v>0</v>
      </c>
      <c r="BO26" s="593">
        <f>'Proy 2022 vs 2019 sem'!M25*BR$4</f>
        <v>16484.2284</v>
      </c>
      <c r="BP26" s="593">
        <f>'Proy 2022 vs 2019 sem'!N25*BR$4</f>
        <v>15165.490127999999</v>
      </c>
      <c r="BQ26" s="697"/>
      <c r="BR26" s="698">
        <f>BQ26/BO26</f>
        <v>0</v>
      </c>
      <c r="BS26" s="593">
        <f>'Proy 2022 vs 2019 sem'!M25*BV$4</f>
        <v>16484.2284</v>
      </c>
      <c r="BT26" s="593">
        <f>'Proy 2022 vs 2019 sem'!N25*BV$4</f>
        <v>15165.490127999999</v>
      </c>
      <c r="BU26" s="697"/>
      <c r="BV26" s="698">
        <f>BU26/BS26</f>
        <v>0</v>
      </c>
      <c r="BW26" s="593">
        <f>'Proy 2022 vs 2019 sem'!M25*BZ$4</f>
        <v>16484.2284</v>
      </c>
      <c r="BX26" s="593">
        <f>'Proy 2022 vs 2019 sem'!N25*BZ$4</f>
        <v>15165.490127999999</v>
      </c>
      <c r="BY26" s="697"/>
      <c r="BZ26" s="698">
        <f>BY26/BW26</f>
        <v>0</v>
      </c>
      <c r="CA26" s="593">
        <f>'Proy 2022 vs 2019 sem'!M25*CD$4</f>
        <v>16484.2284</v>
      </c>
      <c r="CB26" s="593">
        <f>'Proy 2022 vs 2019 sem'!N25*CD$4</f>
        <v>15165.490127999999</v>
      </c>
      <c r="CC26" s="697"/>
      <c r="CD26" s="698">
        <f>CC26/CA26</f>
        <v>0</v>
      </c>
      <c r="CE26" s="593">
        <f>'Proy 2022 vs 2019 sem'!M25*CH$4</f>
        <v>19231.599800000004</v>
      </c>
      <c r="CF26" s="593">
        <f>'Proy 2022 vs 2019 sem'!N25*CH$4</f>
        <v>17693.071816000003</v>
      </c>
      <c r="CG26" s="697"/>
      <c r="CH26" s="698">
        <f>CG26/CE26</f>
        <v>0</v>
      </c>
      <c r="CI26" s="593">
        <f>'Proy 2022 vs 2019 sem'!M25*CL$4</f>
        <v>21978.9712</v>
      </c>
      <c r="CJ26" s="593">
        <f>'Proy 2022 vs 2019 sem'!N25*CL$4</f>
        <v>20220.653504000002</v>
      </c>
      <c r="CK26" s="697"/>
      <c r="CL26" s="698">
        <f>CK26/CI26</f>
        <v>0</v>
      </c>
      <c r="CM26" s="593">
        <f>'Proy 2022 vs 2019 sem'!M25*CP$4</f>
        <v>30221.0854</v>
      </c>
      <c r="CN26" s="593">
        <f>'Proy 2022 vs 2019 sem'!N25*CP$4</f>
        <v>27803.398568000001</v>
      </c>
      <c r="CO26" s="697"/>
      <c r="CP26" s="698">
        <f>CO26/CM26</f>
        <v>0</v>
      </c>
      <c r="CQ26" s="577">
        <f>BO26+BS26+BW26+CA26+CE26+CI26+CM26</f>
        <v>137368.57</v>
      </c>
      <c r="CR26" s="578">
        <f>BP26+BT26+BX26+CB26+CF26+CJ26+CN26</f>
        <v>126379.08440000001</v>
      </c>
      <c r="CS26" s="732">
        <f>BQ26+BU26+BY26+CC26+CG26+CK26+CO26</f>
        <v>0</v>
      </c>
      <c r="CT26" s="715">
        <f>CS26/CQ26</f>
        <v>0</v>
      </c>
      <c r="CU26" s="593">
        <f>'Proy 2022 vs 2019 sem'!R25*CX$4</f>
        <v>15544.5756</v>
      </c>
      <c r="CV26" s="593">
        <f>'Proy 2022 vs 2019 sem'!S25*CX$4</f>
        <v>14301.009552000001</v>
      </c>
      <c r="CW26" s="697"/>
      <c r="CX26" s="698">
        <f>CW26/CU26</f>
        <v>0</v>
      </c>
      <c r="CY26" s="593">
        <f>'Proy 2022 vs 2019 sem'!R25*DB$4</f>
        <v>15544.5756</v>
      </c>
      <c r="CZ26" s="593">
        <f>'Proy 2022 vs 2019 sem'!S25*DB$4</f>
        <v>14301.009552000001</v>
      </c>
      <c r="DA26" s="697"/>
      <c r="DB26" s="698">
        <f>DA26/CY26</f>
        <v>0</v>
      </c>
      <c r="DC26" s="593">
        <f>'Proy 2022 vs 2019 sem'!R25*DF$4</f>
        <v>15544.5756</v>
      </c>
      <c r="DD26" s="593">
        <f>'Proy 2022 vs 2019 sem'!S25*DF$4</f>
        <v>14301.009552000001</v>
      </c>
      <c r="DE26" s="697"/>
      <c r="DF26" s="698">
        <f>DE26/DC26</f>
        <v>0</v>
      </c>
      <c r="DG26" s="593">
        <f>'Proy 2022 vs 2019 sem'!R25*DJ$4</f>
        <v>15544.5756</v>
      </c>
      <c r="DH26" s="593">
        <f>'Proy 2022 vs 2019 sem'!S25*DJ$4</f>
        <v>14301.009552000001</v>
      </c>
      <c r="DI26" s="697"/>
      <c r="DJ26" s="698">
        <f>DI26/DG26</f>
        <v>0</v>
      </c>
      <c r="DK26" s="593">
        <f>'Proy 2022 vs 2019 sem'!R25*DN$4</f>
        <v>18135.338200000002</v>
      </c>
      <c r="DL26" s="593">
        <f>'Proy 2022 vs 2019 sem'!S25*DN$4</f>
        <v>16684.511144000004</v>
      </c>
      <c r="DM26" s="697"/>
      <c r="DN26" s="698">
        <f>DM26/DK26</f>
        <v>0</v>
      </c>
      <c r="DO26" s="593">
        <f>'Proy 2022 vs 2019 sem'!R25*DR$4</f>
        <v>20726.1008</v>
      </c>
      <c r="DP26" s="593">
        <f>'Proy 2022 vs 2019 sem'!S25*DR$4</f>
        <v>19068.012736000001</v>
      </c>
      <c r="DQ26" s="697"/>
      <c r="DR26" s="698">
        <f>DQ26/DO26</f>
        <v>0</v>
      </c>
      <c r="DS26" s="593">
        <f>'Proy 2022 vs 2019 sem'!R25*DV$4</f>
        <v>28498.388600000002</v>
      </c>
      <c r="DT26" s="593">
        <f>'Proy 2022 vs 2019 sem'!S25*DV$4</f>
        <v>26218.517512000002</v>
      </c>
      <c r="DU26" s="697"/>
      <c r="DV26" s="698">
        <f>DU26/DS26</f>
        <v>0</v>
      </c>
      <c r="DW26" s="577">
        <f>CU26+CY26+DC26+DG26+DK26+DO26+DS26</f>
        <v>129538.13</v>
      </c>
      <c r="DX26" s="578">
        <f>CV26+CZ26+DD26+DH26+DL26+DP26+DT26</f>
        <v>119175.07960000001</v>
      </c>
      <c r="DY26" s="714">
        <f>CW26+DA26+DE26+DI26+DM26+DQ26+DU26</f>
        <v>0</v>
      </c>
      <c r="DZ26" s="715">
        <f>DY26/DW26</f>
        <v>0</v>
      </c>
      <c r="EA26" s="593">
        <f>'Proy 2022 vs 2019 sem'!AA25*ED$4</f>
        <v>15479.103599999999</v>
      </c>
      <c r="EB26" s="593">
        <f>'Proy 2022 vs 2019 sem'!AB25*ED$4</f>
        <v>14240.775312</v>
      </c>
      <c r="EC26" s="734"/>
      <c r="ED26" s="698">
        <f>EC26/EA26</f>
        <v>0</v>
      </c>
      <c r="EE26" s="593">
        <f>'Proy 2022 vs 2019 sem'!AA25*EH$4</f>
        <v>15479.103599999999</v>
      </c>
      <c r="EF26" s="593">
        <f>'Proy 2022 vs 2019 sem'!AB25*EH$4</f>
        <v>14240.775312</v>
      </c>
      <c r="EG26" s="697"/>
      <c r="EH26" s="698">
        <f>EG26/EE26</f>
        <v>0</v>
      </c>
      <c r="EI26" s="593">
        <f>'Proy 2022 vs 2019 sem'!AA25*EL$4</f>
        <v>15479.103599999999</v>
      </c>
      <c r="EJ26" s="593">
        <f>'Proy 2022 vs 2019 sem'!AB25*EL$4</f>
        <v>14240.775312</v>
      </c>
      <c r="EK26" s="697"/>
      <c r="EL26" s="698">
        <f>EK26/EI26</f>
        <v>0</v>
      </c>
      <c r="EM26" s="593">
        <f>'Proy 2022 vs 2019 sem'!AA25*EP$4</f>
        <v>15479.103599999999</v>
      </c>
      <c r="EN26" s="593">
        <f>'Proy 2022 vs 2019 sem'!AB25*EP$4</f>
        <v>14240.775312</v>
      </c>
      <c r="EO26" s="697"/>
      <c r="EP26" s="698">
        <f>EO26/EM26</f>
        <v>0</v>
      </c>
      <c r="EQ26" s="593">
        <f>'Proy 2022 vs 2019 sem'!AA25*ET$4</f>
        <v>18058.9542</v>
      </c>
      <c r="ER26" s="593">
        <f>'Proy 2022 vs 2019 sem'!AB25*ET$4</f>
        <v>16614.237864000002</v>
      </c>
      <c r="ES26" s="697"/>
      <c r="ET26" s="698">
        <f>ES26/EQ26</f>
        <v>0</v>
      </c>
      <c r="EU26" s="593">
        <f>'Proy 2022 vs 2019 sem'!AA25*EX$4</f>
        <v>20638.804800000002</v>
      </c>
      <c r="EV26" s="593">
        <f>'Proy 2022 vs 2019 sem'!AB25*EX$4</f>
        <v>18987.700416000003</v>
      </c>
      <c r="EW26" s="697"/>
      <c r="EX26" s="698">
        <f>EW26/EU26</f>
        <v>0</v>
      </c>
      <c r="EY26" s="593">
        <f>'Proy 2022 vs 2019 sem'!AA25*FB$4</f>
        <v>28378.356599999999</v>
      </c>
      <c r="EZ26" s="593">
        <f>'Proy 2022 vs 2019 sem'!AB25*FB$4</f>
        <v>26108.088072000002</v>
      </c>
      <c r="FA26" s="697"/>
      <c r="FB26" s="698">
        <f>FA26/EY26</f>
        <v>0</v>
      </c>
      <c r="FC26" s="577">
        <f>EA26+EE26+EI26+EM26+EQ26+EU26+EY26</f>
        <v>128992.52999999998</v>
      </c>
      <c r="FD26" s="578">
        <f>EB26+EF26+EJ26+EN26+ER26+EV26+EZ26</f>
        <v>118673.12760000001</v>
      </c>
      <c r="FE26" s="793">
        <f>EC26+EG26+EK26+EO26+ES26+EW26+FA26</f>
        <v>0</v>
      </c>
      <c r="FF26" s="790">
        <f>FE26/FC26</f>
        <v>0</v>
      </c>
      <c r="FG26" s="593">
        <f>'Proy 2022 vs 2019 sem'!AF25*FJ$4</f>
        <v>19400.595600000001</v>
      </c>
      <c r="FH26" s="593">
        <f>'Proy 2022 vs 2019 sem'!AG25*FJ$4</f>
        <v>17266.530083999998</v>
      </c>
      <c r="FI26" s="697"/>
      <c r="FJ26" s="698">
        <f>FI26/FG26</f>
        <v>0</v>
      </c>
      <c r="FK26" s="593">
        <f>'Proy 2022 vs 2019 sem'!AF25*FN$4</f>
        <v>19400.595600000001</v>
      </c>
      <c r="FL26" s="593">
        <f>'Proy 2022 vs 2019 sem'!AG25*FN$4</f>
        <v>17266.530083999998</v>
      </c>
      <c r="FM26" s="697"/>
      <c r="FN26" s="698">
        <f>FM26/FK26</f>
        <v>0</v>
      </c>
      <c r="FO26" s="593">
        <f>'Proy 2022 vs 2019 sem'!AF25*FR$4</f>
        <v>19400.595600000001</v>
      </c>
      <c r="FP26" s="593">
        <f>'Proy 2022 vs 2019 sem'!AG25*FR$4</f>
        <v>17266.530083999998</v>
      </c>
      <c r="FQ26" s="697"/>
      <c r="FR26" s="698">
        <f>FQ26/FO26</f>
        <v>0</v>
      </c>
      <c r="FS26" s="593">
        <f>'Proy 2022 vs 2019 sem'!AF25*FV$4</f>
        <v>19400.595600000001</v>
      </c>
      <c r="FT26" s="593">
        <f>'Proy 2022 vs 2019 sem'!AG25*FV$4</f>
        <v>17266.530083999998</v>
      </c>
      <c r="FU26" s="697"/>
      <c r="FV26" s="698">
        <f>FU26/FS26</f>
        <v>0</v>
      </c>
      <c r="FW26" s="593">
        <f>'Proy 2022 vs 2019 sem'!AF25*FZ$4</f>
        <v>22634.028200000004</v>
      </c>
      <c r="FX26" s="593">
        <f>'Proy 2022 vs 2019 sem'!AG25*FZ$4</f>
        <v>20144.285098000004</v>
      </c>
      <c r="FY26" s="697"/>
      <c r="FZ26" s="698">
        <f>FY26/FW26</f>
        <v>0</v>
      </c>
      <c r="GA26" s="593">
        <f>'Proy 2022 vs 2019 sem'!AF25*GD$4</f>
        <v>25867.460800000001</v>
      </c>
      <c r="GB26" s="593">
        <f>'Proy 2022 vs 2019 sem'!AG25*GD$4</f>
        <v>23022.040112000002</v>
      </c>
      <c r="GC26" s="697"/>
      <c r="GD26" s="698">
        <f>GC26/GA26</f>
        <v>0</v>
      </c>
      <c r="GE26" s="593">
        <f>'Proy 2022 vs 2019 sem'!AF25*GH$4</f>
        <v>35567.758600000001</v>
      </c>
      <c r="GF26" s="593">
        <f>'Proy 2022 vs 2019 sem'!AG25*GH$4</f>
        <v>31655.305154000001</v>
      </c>
      <c r="GG26" s="697"/>
      <c r="GH26" s="698">
        <f>GG26/GE26</f>
        <v>0</v>
      </c>
      <c r="GI26" s="577">
        <f>FG26+FK26+FO26+FS26+FW26+GA26+GE26</f>
        <v>161671.63</v>
      </c>
      <c r="GJ26" s="578">
        <f>FH26+FL26+FP26+FT26+FX26+GB26+GF26</f>
        <v>143887.7507</v>
      </c>
      <c r="GK26" s="796">
        <f>FI26+FM26+FQ26+FU26+FY26+GC26+GG26</f>
        <v>0</v>
      </c>
      <c r="GL26" s="790">
        <f>GK26/GI26</f>
        <v>0</v>
      </c>
      <c r="GM26" s="593">
        <f>'Proy 2022 vs 2019 sem'!AK25*GP$4</f>
        <v>13998.0864</v>
      </c>
      <c r="GN26" s="593">
        <f>'Proy 2022 vs 2019 sem'!AL25*GP$4</f>
        <v>13298.182079999999</v>
      </c>
      <c r="GO26" s="697"/>
      <c r="GP26" s="698">
        <f>GO26/GM26</f>
        <v>0</v>
      </c>
      <c r="GQ26" s="593">
        <f>'Proy 2022 vs 2019 sem'!AK25*GT$4</f>
        <v>13998.0864</v>
      </c>
      <c r="GR26" s="593">
        <f>'Proy 2022 vs 2019 sem'!AL25*GT$4</f>
        <v>13298.182079999999</v>
      </c>
      <c r="GS26" s="697"/>
      <c r="GT26" s="698">
        <f>GS26/GQ26</f>
        <v>0</v>
      </c>
      <c r="GU26" s="593">
        <f>'Proy 2022 vs 2019 sem'!AK25*GX$4</f>
        <v>13998.0864</v>
      </c>
      <c r="GV26" s="593">
        <f>'Proy 2022 vs 2019 sem'!AL25*GX$4</f>
        <v>13298.182079999999</v>
      </c>
      <c r="GW26" s="697"/>
      <c r="GX26" s="698">
        <f>GW26/GU26</f>
        <v>0</v>
      </c>
      <c r="GY26" s="593">
        <f>'Proy 2022 vs 2019 sem'!AK25*HB$4</f>
        <v>13998.0864</v>
      </c>
      <c r="GZ26" s="593">
        <f>'Proy 2022 vs 2019 sem'!AL25*HB$4</f>
        <v>13298.182079999999</v>
      </c>
      <c r="HA26" s="697"/>
      <c r="HB26" s="698">
        <f>HA26/GY26</f>
        <v>0</v>
      </c>
      <c r="HC26" s="593">
        <f>'Proy 2022 vs 2019 sem'!AK25*HF$4</f>
        <v>16331.100800000002</v>
      </c>
      <c r="HD26" s="593">
        <f>'Proy 2022 vs 2019 sem'!AL25*HF$4</f>
        <v>15514.545760000001</v>
      </c>
      <c r="HE26" s="697"/>
      <c r="HF26" s="698">
        <f>HE26/HC26</f>
        <v>0</v>
      </c>
      <c r="HG26" s="593">
        <f>'Proy 2022 vs 2019 sem'!AK25*HJ$4</f>
        <v>18664.1152</v>
      </c>
      <c r="HH26" s="593">
        <f>'Proy 2022 vs 2019 sem'!AL25*HJ$4</f>
        <v>17730.909439999999</v>
      </c>
      <c r="HI26" s="697"/>
      <c r="HJ26" s="698">
        <f>HI26/HG26</f>
        <v>0</v>
      </c>
      <c r="HK26" s="593">
        <f>'Proy 2022 vs 2019 sem'!AK25*HN$4</f>
        <v>25663.1584</v>
      </c>
      <c r="HL26" s="593">
        <f>'Proy 2022 vs 2019 sem'!AL25*HN$4</f>
        <v>24380.000479999999</v>
      </c>
      <c r="HM26" s="697"/>
      <c r="HN26" s="698">
        <f>HM26/HK26</f>
        <v>0</v>
      </c>
      <c r="HO26" s="577">
        <f>GM26+GQ26+GU26+GY26+HC26+HG26+HK26</f>
        <v>116650.72</v>
      </c>
      <c r="HP26" s="578">
        <f>GN26+GR26+GV26+GZ26+HD26+HH26+HL26</f>
        <v>110818.18400000001</v>
      </c>
      <c r="HQ26" s="796">
        <f>GO26+GS26+GW26+HA26+HE26+HI26+HM26</f>
        <v>0</v>
      </c>
      <c r="HR26" s="790">
        <f>HQ26/HO26</f>
        <v>0</v>
      </c>
      <c r="HS26" s="593">
        <f>'Proy 2022 vs 2019 sem'!AK25*HV$4</f>
        <v>13998.0864</v>
      </c>
      <c r="HT26" s="593">
        <f>'Proy 2022 vs 2019 sem'!AL25*HV$4</f>
        <v>13298.182079999999</v>
      </c>
      <c r="HU26" s="697"/>
      <c r="HV26" s="698">
        <f>HU26/HS26</f>
        <v>0</v>
      </c>
      <c r="HW26" s="593">
        <f>'Proy 2022 vs 2019 sem'!AK25*HZ$4</f>
        <v>13998.0864</v>
      </c>
      <c r="HX26" s="593">
        <f>'Proy 2022 vs 2019 sem'!AL25*HZ$4</f>
        <v>13298.182079999999</v>
      </c>
      <c r="HY26" s="697"/>
      <c r="HZ26" s="698">
        <f>HY26/HW26</f>
        <v>0</v>
      </c>
      <c r="IA26" s="593">
        <f>'Proy 2022 vs 2019 sem'!AK25*ID$4</f>
        <v>13998.0864</v>
      </c>
      <c r="IB26" s="593">
        <f>'Proy 2022 vs 2019 sem'!AL25*ID$4</f>
        <v>13298.182079999999</v>
      </c>
      <c r="IC26" s="697"/>
      <c r="ID26" s="698">
        <f>IC26/IA26</f>
        <v>0</v>
      </c>
      <c r="IE26" s="593">
        <f>'Proy 2022 vs 2019 sem'!AK25*IH$4</f>
        <v>13998.0864</v>
      </c>
      <c r="IF26" s="593">
        <f>'Proy 2022 vs 2019 sem'!AL25*IH$4</f>
        <v>13298.182079999999</v>
      </c>
      <c r="IG26" s="697"/>
      <c r="IH26" s="698">
        <f>IG26/IE26</f>
        <v>0</v>
      </c>
      <c r="II26" s="593">
        <f>'Proy 2022 vs 2019 sem'!AK25*IL$4</f>
        <v>16331.100800000002</v>
      </c>
      <c r="IJ26" s="593">
        <f>'Proy 2022 vs 2019 sem'!AL25*IL$4</f>
        <v>15514.545760000001</v>
      </c>
      <c r="IK26" s="697"/>
      <c r="IL26" s="698">
        <f>IK26/II26</f>
        <v>0</v>
      </c>
      <c r="IM26" s="593">
        <f>'Proy 2022 vs 2019 sem'!AK25*IP$4</f>
        <v>18664.1152</v>
      </c>
      <c r="IN26" s="593">
        <f>'Proy 2022 vs 2019 sem'!AL25*IP$4</f>
        <v>17730.909439999999</v>
      </c>
      <c r="IO26" s="697"/>
      <c r="IP26" s="698">
        <f>IO26/IM26</f>
        <v>0</v>
      </c>
      <c r="IQ26" s="593">
        <f>'Proy 2022 vs 2019 sem'!AK25*IT$4</f>
        <v>25663.1584</v>
      </c>
      <c r="IR26" s="593">
        <f>'Proy 2022 vs 2019 sem'!AL25*IT$4</f>
        <v>24380.000479999999</v>
      </c>
      <c r="IS26" s="697"/>
      <c r="IT26" s="698">
        <f>IS26/IQ26</f>
        <v>0</v>
      </c>
      <c r="IU26" s="577">
        <f>HS26+HW26+IA26+IE26+II26+IM26+IQ26</f>
        <v>116650.72</v>
      </c>
      <c r="IV26" s="578">
        <f>HT26+HX26+IB26+IF26+IJ26+IN26+IR26</f>
        <v>110818.18400000001</v>
      </c>
      <c r="IW26" s="789">
        <f>HU26+HY26+IC26+IG26+IK26+IO26+IS26</f>
        <v>0</v>
      </c>
      <c r="IX26" s="790">
        <f>IW26/IU26</f>
        <v>0</v>
      </c>
      <c r="IY26" s="593">
        <f>'Proy 2022 vs 2019 sem'!AY25*JB$4</f>
        <v>15655.773599999999</v>
      </c>
      <c r="IZ26" s="593">
        <f>'Proy 2022 vs 2019 sem'!AZ25*JB$4</f>
        <v>14403.311712000001</v>
      </c>
      <c r="JA26" s="734"/>
      <c r="JB26" s="698">
        <f>JA26/IY26</f>
        <v>0</v>
      </c>
      <c r="JC26" s="593">
        <f>'Proy 2022 vs 2019 sem'!AY25*JF$4</f>
        <v>15655.773599999999</v>
      </c>
      <c r="JD26" s="593">
        <f>'Proy 2022 vs 2019 sem'!AZ25*JF$4</f>
        <v>14403.311712000001</v>
      </c>
      <c r="JE26" s="734"/>
      <c r="JF26" s="698">
        <f>JE26/JC26</f>
        <v>0</v>
      </c>
      <c r="JG26" s="593">
        <f>'Proy 2022 vs 2019 sem'!AY25*JJ$4</f>
        <v>15655.773599999999</v>
      </c>
      <c r="JH26" s="593">
        <f>'Proy 2022 vs 2019 sem'!AZ25*JJ$4</f>
        <v>14403.311712000001</v>
      </c>
      <c r="JI26" s="734"/>
      <c r="JJ26" s="698">
        <f>JI26/JG26</f>
        <v>0</v>
      </c>
      <c r="JK26" s="593">
        <f>'Proy 2022 vs 2019 sem'!AY25*JN$4</f>
        <v>15655.773599999999</v>
      </c>
      <c r="JL26" s="593">
        <f>'Proy 2022 vs 2019 sem'!AZ25*JN$4</f>
        <v>14403.311712000001</v>
      </c>
      <c r="JM26" s="734"/>
      <c r="JN26" s="698">
        <f>JM26/JK26</f>
        <v>0</v>
      </c>
      <c r="JO26" s="593">
        <f>'Proy 2022 vs 2019 sem'!AY25*JR$4</f>
        <v>18265.069200000002</v>
      </c>
      <c r="JP26" s="593">
        <f>'Proy 2022 vs 2019 sem'!AZ25*JR$4</f>
        <v>16803.863664000004</v>
      </c>
      <c r="JQ26" s="734"/>
      <c r="JR26" s="698">
        <f>JQ26/JO26</f>
        <v>0</v>
      </c>
      <c r="JS26" s="593">
        <f>'Proy 2022 vs 2019 sem'!AY25*JV$4</f>
        <v>20874.364799999999</v>
      </c>
      <c r="JT26" s="593">
        <f>'Proy 2022 vs 2019 sem'!AZ25*JV$4</f>
        <v>19204.415616000002</v>
      </c>
      <c r="JU26" s="734"/>
      <c r="JV26" s="698">
        <f>JU26/JS26</f>
        <v>0</v>
      </c>
      <c r="JW26" s="593">
        <f>'Proy 2022 vs 2019 sem'!AY25*JZ$4</f>
        <v>28702.2516</v>
      </c>
      <c r="JX26" s="593">
        <f>'Proy 2022 vs 2019 sem'!AZ25*JZ$4</f>
        <v>26406.071472000003</v>
      </c>
      <c r="JY26" s="734"/>
      <c r="JZ26" s="698">
        <f>JY26/JW26</f>
        <v>0</v>
      </c>
      <c r="KA26" s="577">
        <f>IY26+JC26+JG26+JK26+JO26+JS26+JW26</f>
        <v>130464.78</v>
      </c>
      <c r="KB26" s="578">
        <f>IZ26+JD26+JH26+JL26+JP26+JT26+JX26</f>
        <v>120027.59760000001</v>
      </c>
      <c r="KC26" s="729">
        <f>JA26+JE26+JI26+JM26+JQ26+JU26+JY26</f>
        <v>0</v>
      </c>
      <c r="KD26" s="715">
        <f>KC26/KA26</f>
        <v>0</v>
      </c>
      <c r="KE26" s="593">
        <f>'Proy 2022 vs 2019 sem'!BD25*KH$4</f>
        <v>18415.039199999999</v>
      </c>
      <c r="KF26" s="593">
        <f>'Proy 2022 vs 2019 sem'!BE25*KH$4</f>
        <v>16941.836064000003</v>
      </c>
      <c r="KG26" s="697"/>
      <c r="KH26" s="698">
        <f>KG26/KE26</f>
        <v>0</v>
      </c>
      <c r="KI26" s="593">
        <f>'Proy 2022 vs 2019 sem'!BD25*KL$4</f>
        <v>18415.039199999999</v>
      </c>
      <c r="KJ26" s="593">
        <f>'Proy 2022 vs 2019 sem'!BE25*KL$4</f>
        <v>16941.836064000003</v>
      </c>
      <c r="KK26" s="697"/>
      <c r="KL26" s="698">
        <f>KK26/KI26</f>
        <v>0</v>
      </c>
      <c r="KM26" s="593">
        <f>'Proy 2022 vs 2019 sem'!BD25*KP$4</f>
        <v>18415.039199999999</v>
      </c>
      <c r="KN26" s="593">
        <f>'Proy 2022 vs 2019 sem'!BE25*KP$4</f>
        <v>16941.836064000003</v>
      </c>
      <c r="KO26" s="697"/>
      <c r="KP26" s="698">
        <f>KO26/KM26</f>
        <v>0</v>
      </c>
      <c r="KQ26" s="593">
        <f>'Proy 2022 vs 2019 sem'!BD25*KT$4</f>
        <v>18415.039199999999</v>
      </c>
      <c r="KR26" s="593">
        <f>'Proy 2022 vs 2019 sem'!BE25*KT$4</f>
        <v>16941.836064000003</v>
      </c>
      <c r="KS26" s="697"/>
      <c r="KT26" s="698">
        <f>KS26/KQ26</f>
        <v>0</v>
      </c>
      <c r="KU26" s="593">
        <f>'Proy 2022 vs 2019 sem'!BD25*KX$4</f>
        <v>21484.212400000004</v>
      </c>
      <c r="KV26" s="593">
        <f>'Proy 2022 vs 2019 sem'!BE25*KX$4</f>
        <v>19765.475408000002</v>
      </c>
      <c r="KW26" s="697"/>
      <c r="KX26" s="698">
        <f>KW26/KU26</f>
        <v>0</v>
      </c>
      <c r="KY26" s="593">
        <f>'Proy 2022 vs 2019 sem'!BD25*LB$4</f>
        <v>24553.385600000001</v>
      </c>
      <c r="KZ26" s="593">
        <f>'Proy 2022 vs 2019 sem'!BE25*LB$4</f>
        <v>22589.114752000001</v>
      </c>
      <c r="LA26" s="697"/>
      <c r="LB26" s="698">
        <f>LA26/KY26</f>
        <v>0</v>
      </c>
      <c r="LC26" s="593">
        <f>'Proy 2022 vs 2019 sem'!BD25*LF$4</f>
        <v>33760.905200000001</v>
      </c>
      <c r="LD26" s="593">
        <f>'Proy 2022 vs 2019 sem'!BE25*LF$4</f>
        <v>31060.032784000003</v>
      </c>
      <c r="LE26" s="697"/>
      <c r="LF26" s="698">
        <f>LE26/LC26</f>
        <v>0</v>
      </c>
      <c r="LG26" s="577">
        <f>KE26+KI26+KM26+KQ26+KU26+KY26+LC26</f>
        <v>153458.66</v>
      </c>
      <c r="LH26" s="578">
        <f>KF26+KJ26+KN26+KR26+KV26+KZ26+LD26</f>
        <v>141181.96720000001</v>
      </c>
      <c r="LI26" s="732">
        <f>KG26+KK26+KO26+KS26+KW26+LA26+LE26</f>
        <v>0</v>
      </c>
      <c r="LJ26" s="715">
        <f>LI26/LG26</f>
        <v>0</v>
      </c>
      <c r="LK26" s="593">
        <f>'Proy 2022 vs 2019 sem'!BI25*LN$4</f>
        <v>20107.673999999999</v>
      </c>
      <c r="LL26" s="593">
        <f>'Proy 2022 vs 2019 sem'!BJ25*LN$4</f>
        <v>18499.060080000003</v>
      </c>
      <c r="LM26" s="697"/>
      <c r="LN26" s="698">
        <f>LM26/LK26</f>
        <v>0</v>
      </c>
      <c r="LO26" s="593">
        <f>'Proy 2022 vs 2019 sem'!BI25*LR$4</f>
        <v>20107.673999999999</v>
      </c>
      <c r="LP26" s="593">
        <f>'Proy 2022 vs 2019 sem'!BJ25*LR$4</f>
        <v>18499.060080000003</v>
      </c>
      <c r="LQ26" s="697"/>
      <c r="LR26" s="698">
        <f>LQ26/LO26</f>
        <v>0</v>
      </c>
      <c r="LS26" s="593">
        <f>'Proy 2022 vs 2019 sem'!BI25*LV$4</f>
        <v>20107.673999999999</v>
      </c>
      <c r="LT26" s="593">
        <f>'Proy 2022 vs 2019 sem'!BJ25*LV$4</f>
        <v>18499.060080000003</v>
      </c>
      <c r="LU26" s="697"/>
      <c r="LV26" s="698">
        <f>LU26/LS26</f>
        <v>0</v>
      </c>
      <c r="LW26" s="593">
        <f>'Proy 2022 vs 2019 sem'!BI25*LZ$4</f>
        <v>20107.673999999999</v>
      </c>
      <c r="LX26" s="593">
        <f>'Proy 2022 vs 2019 sem'!BJ25*LZ$4</f>
        <v>18499.060080000003</v>
      </c>
      <c r="LY26" s="697"/>
      <c r="LZ26" s="698">
        <f>LY26/LW26</f>
        <v>0</v>
      </c>
      <c r="MA26" s="593">
        <f>'Proy 2022 vs 2019 sem'!BI25*MD$4</f>
        <v>23458.953000000005</v>
      </c>
      <c r="MB26" s="593">
        <f>'Proy 2022 vs 2019 sem'!BJ25*MD$4</f>
        <v>21582.236760000007</v>
      </c>
      <c r="MC26" s="697"/>
      <c r="MD26" s="698">
        <f>MC26/MA26</f>
        <v>0</v>
      </c>
      <c r="ME26" s="593">
        <f>'Proy 2022 vs 2019 sem'!BI25*MH$4</f>
        <v>26810.232000000004</v>
      </c>
      <c r="MF26" s="593">
        <f>'Proy 2022 vs 2019 sem'!BJ25*MH$4</f>
        <v>24665.413440000004</v>
      </c>
      <c r="MG26" s="697"/>
      <c r="MH26" s="698">
        <f>MG26/ME26</f>
        <v>0</v>
      </c>
      <c r="MI26" s="593">
        <f>'Proy 2022 vs 2019 sem'!BI25*ML$4</f>
        <v>36864.069000000003</v>
      </c>
      <c r="MJ26" s="593">
        <f>'Proy 2022 vs 2019 sem'!BJ25*ML$4</f>
        <v>33914.943480000009</v>
      </c>
      <c r="MK26" s="697"/>
      <c r="ML26" s="698">
        <f>MK26/MI26</f>
        <v>0</v>
      </c>
      <c r="MM26" s="577">
        <f>LK26+LO26+LS26+LW26+MA26+ME26+MI26</f>
        <v>167563.95000000001</v>
      </c>
      <c r="MN26" s="578">
        <f>LL26+LP26+LT26+LX26+MB26+MF26+MJ26</f>
        <v>154158.83400000003</v>
      </c>
      <c r="MO26" s="732">
        <f>LM26+LQ26+LU26+LY26+MC26+MG26+MK26</f>
        <v>0</v>
      </c>
      <c r="MP26" s="715">
        <f>MO26/MM26</f>
        <v>0</v>
      </c>
      <c r="MQ26" s="593">
        <f>'Proy 2022 vs 2019 sem'!BN25*MT$4</f>
        <v>17745.784800000001</v>
      </c>
      <c r="MR26" s="593">
        <f>'Proy 2022 vs 2019 sem'!BO25*MT$4</f>
        <v>16326.122016000001</v>
      </c>
      <c r="MS26" s="697"/>
      <c r="MT26" s="698">
        <f>MS26/MQ26</f>
        <v>0</v>
      </c>
      <c r="MU26" s="593">
        <f>'Proy 2022 vs 2019 sem'!BN25*MX$4</f>
        <v>17745.784800000001</v>
      </c>
      <c r="MV26" s="593">
        <f>'Proy 2022 vs 2019 sem'!BO25*MX$4</f>
        <v>16326.122016000001</v>
      </c>
      <c r="MW26" s="697"/>
      <c r="MX26" s="698">
        <f>MW26/MU26</f>
        <v>0</v>
      </c>
      <c r="MY26" s="593">
        <f>'Proy 2022 vs 2019 sem'!BN25*NB$4</f>
        <v>17745.784800000001</v>
      </c>
      <c r="MZ26" s="593">
        <f>'Proy 2022 vs 2019 sem'!BO25*NB$4</f>
        <v>16326.122016000001</v>
      </c>
      <c r="NA26" s="697"/>
      <c r="NB26" s="698">
        <f>NA26/MY26</f>
        <v>0</v>
      </c>
      <c r="NC26" s="593">
        <f>'Proy 2022 vs 2019 sem'!BN25*NF$4</f>
        <v>17745.784800000001</v>
      </c>
      <c r="ND26" s="593">
        <f>'Proy 2022 vs 2019 sem'!BO25*NF$4</f>
        <v>16326.122016000001</v>
      </c>
      <c r="NE26" s="697"/>
      <c r="NF26" s="698">
        <f>NE26/NC26</f>
        <v>0</v>
      </c>
      <c r="NG26" s="593">
        <f>'Proy 2022 vs 2019 sem'!BN25*NJ$4</f>
        <v>20703.415600000004</v>
      </c>
      <c r="NH26" s="593">
        <f>'Proy 2022 vs 2019 sem'!BO25*NJ$4</f>
        <v>19047.142352000003</v>
      </c>
      <c r="NI26" s="697"/>
      <c r="NJ26" s="698">
        <f>NI26/NG26</f>
        <v>0</v>
      </c>
      <c r="NK26" s="593">
        <f>'Proy 2022 vs 2019 sem'!BN25*NN$4</f>
        <v>23661.046400000003</v>
      </c>
      <c r="NL26" s="593">
        <f>'Proy 2022 vs 2019 sem'!BO25*NN$4</f>
        <v>21768.162688000004</v>
      </c>
      <c r="NM26" s="697"/>
      <c r="NN26" s="698">
        <f>NM26/NK26</f>
        <v>0</v>
      </c>
      <c r="NO26" s="593">
        <f>'Proy 2022 vs 2019 sem'!BN25*NR$4</f>
        <v>32533.938800000004</v>
      </c>
      <c r="NP26" s="593">
        <f>'Proy 2022 vs 2019 sem'!BO25*NR$4</f>
        <v>29931.223696000005</v>
      </c>
      <c r="NQ26" s="697"/>
      <c r="NR26" s="698">
        <f>NQ26/NO26</f>
        <v>0</v>
      </c>
      <c r="NS26" s="577">
        <f>MQ26+MU26+MY26+NC26+NG26+NK26+NO26</f>
        <v>147881.54000000004</v>
      </c>
      <c r="NT26" s="578">
        <f>MR26+MV26+MZ26+ND26+NH26+NL26+NP26</f>
        <v>136051.01680000001</v>
      </c>
      <c r="NU26" s="714">
        <f>MS26+MW26+NA26+NE26+NI26+NM26+NQ26</f>
        <v>0</v>
      </c>
      <c r="NV26" s="715">
        <f>NU26/NS26</f>
        <v>0</v>
      </c>
      <c r="NW26" s="593">
        <f>'Proy 2022 vs 2019 sem'!BS25*NZ$4</f>
        <v>18362.045999999998</v>
      </c>
      <c r="NX26" s="593">
        <f>'Proy 2022 vs 2019 sem'!BT25*NZ$4</f>
        <v>16893.082319999998</v>
      </c>
      <c r="NY26" s="697"/>
      <c r="NZ26" s="698">
        <f>NY26/NW26</f>
        <v>0</v>
      </c>
      <c r="OA26" s="593">
        <f>'Proy 2022 vs 2019 sem'!BS25*OD$4</f>
        <v>18362.045999999998</v>
      </c>
      <c r="OB26" s="593">
        <f>'Proy 2022 vs 2019 sem'!BT25*OD$4</f>
        <v>16893.082319999998</v>
      </c>
      <c r="OC26" s="697"/>
      <c r="OD26" s="698">
        <f>OC26/OA26</f>
        <v>0</v>
      </c>
      <c r="OE26" s="593">
        <f>'Proy 2022 vs 2019 sem'!BS25*OH$4</f>
        <v>18362.045999999998</v>
      </c>
      <c r="OF26" s="593">
        <f>'Proy 2022 vs 2019 sem'!BT25*OH$4</f>
        <v>16893.082319999998</v>
      </c>
      <c r="OG26" s="697"/>
      <c r="OH26" s="698">
        <f>OG26/OE26</f>
        <v>0</v>
      </c>
      <c r="OI26" s="593">
        <f>'Proy 2022 vs 2019 sem'!BS25*OL$4</f>
        <v>18362.045999999998</v>
      </c>
      <c r="OJ26" s="593">
        <f>'Proy 2022 vs 2019 sem'!BT25*OL$4</f>
        <v>16893.082319999998</v>
      </c>
      <c r="OK26" s="697"/>
      <c r="OL26" s="698">
        <f>OK26/OI26</f>
        <v>0</v>
      </c>
      <c r="OM26" s="593">
        <f>'Proy 2022 vs 2019 sem'!BS25*OP$4</f>
        <v>21422.386999999999</v>
      </c>
      <c r="ON26" s="593">
        <f>'Proy 2022 vs 2019 sem'!BT25*OP$4</f>
        <v>19708.59604</v>
      </c>
      <c r="OO26" s="697"/>
      <c r="OP26" s="698">
        <f>OO26/OM26</f>
        <v>0</v>
      </c>
      <c r="OQ26" s="593">
        <f>'Proy 2022 vs 2019 sem'!BS25*OT$4</f>
        <v>24482.727999999999</v>
      </c>
      <c r="OR26" s="593">
        <f>'Proy 2022 vs 2019 sem'!BT25*OT$4</f>
        <v>22524.109759999999</v>
      </c>
      <c r="OS26" s="697"/>
      <c r="OT26" s="698">
        <f>OS26/OQ26</f>
        <v>0</v>
      </c>
      <c r="OU26" s="593">
        <f>'Proy 2022 vs 2019 sem'!BS25*OX$4</f>
        <v>33663.750999999997</v>
      </c>
      <c r="OV26" s="593">
        <f>'Proy 2022 vs 2019 sem'!BT25*OX$4</f>
        <v>30970.650919999996</v>
      </c>
      <c r="OW26" s="697"/>
      <c r="OX26" s="698">
        <f>OW26/OU26</f>
        <v>0</v>
      </c>
      <c r="OY26" s="577">
        <f>NW26+OA26+OE26+OI26+OM26+OQ26+OU26</f>
        <v>153017.04999999999</v>
      </c>
      <c r="OZ26" s="578">
        <f>NX26+OB26+OF26+OJ26+ON26+OR26+OV26</f>
        <v>140775.68599999999</v>
      </c>
      <c r="PA26" s="714">
        <f>NY26+OC26+OG26+OK26+OO26+OS26+OW26</f>
        <v>0</v>
      </c>
      <c r="PB26" s="715">
        <f>PA26/OY26</f>
        <v>0</v>
      </c>
      <c r="PC26" s="593">
        <f>'Proy 2022 vs 2019 sem'!CB25*PF$4</f>
        <v>20731.7844</v>
      </c>
      <c r="PD26" s="593">
        <f>'Proy 2022 vs 2019 sem'!CC25*PF$4</f>
        <v>19073.241647999999</v>
      </c>
      <c r="PE26" s="734"/>
      <c r="PF26" s="698">
        <f>PE26/PC26</f>
        <v>0</v>
      </c>
      <c r="PG26" s="593">
        <f>'Proy 2022 vs 2019 sem'!CB25*PJ$4</f>
        <v>20731.7844</v>
      </c>
      <c r="PH26" s="593">
        <f>'Proy 2022 vs 2019 sem'!CC25*PJ$4</f>
        <v>19073.241647999999</v>
      </c>
      <c r="PI26" s="697"/>
      <c r="PJ26" s="698">
        <f>PI26/PG26</f>
        <v>0</v>
      </c>
      <c r="PK26" s="593">
        <f>'Proy 2022 vs 2019 sem'!CB25*PN$4</f>
        <v>20731.7844</v>
      </c>
      <c r="PL26" s="593">
        <f>'Proy 2022 vs 2019 sem'!CC25*PN$4</f>
        <v>19073.241647999999</v>
      </c>
      <c r="PM26" s="697"/>
      <c r="PN26" s="698">
        <f>PM26/PK26</f>
        <v>0</v>
      </c>
      <c r="PO26" s="593">
        <f>'Proy 2022 vs 2019 sem'!CB25*PR$4</f>
        <v>20731.7844</v>
      </c>
      <c r="PP26" s="593">
        <f>'Proy 2022 vs 2019 sem'!CC25*PR$4</f>
        <v>19073.241647999999</v>
      </c>
      <c r="PQ26" s="697"/>
      <c r="PR26" s="698">
        <f>PQ26/PO26</f>
        <v>0</v>
      </c>
      <c r="PS26" s="593">
        <f>'Proy 2022 vs 2019 sem'!CB25*PV$4</f>
        <v>24187.0818</v>
      </c>
      <c r="PT26" s="593">
        <f>'Proy 2022 vs 2019 sem'!CC25*PV$4</f>
        <v>22252.115256000005</v>
      </c>
      <c r="PU26" s="697"/>
      <c r="PV26" s="698">
        <f>PU26/PS26</f>
        <v>0</v>
      </c>
      <c r="PW26" s="593">
        <f>'Proy 2022 vs 2019 sem'!CB25*PZ$4</f>
        <v>27642.379199999999</v>
      </c>
      <c r="PX26" s="593">
        <f>'Proy 2022 vs 2019 sem'!CC25*PZ$4</f>
        <v>25430.988864000003</v>
      </c>
      <c r="PY26" s="697"/>
      <c r="PZ26" s="698">
        <f>PY26/PW26</f>
        <v>0</v>
      </c>
      <c r="QA26" s="593">
        <f>'Proy 2022 vs 2019 sem'!CB25*QD$4</f>
        <v>38008.271399999998</v>
      </c>
      <c r="QB26" s="593">
        <f>'Proy 2022 vs 2019 sem'!CC25*QD$4</f>
        <v>34967.609688000004</v>
      </c>
      <c r="QC26" s="697"/>
      <c r="QD26" s="698">
        <f>QC26/QA26</f>
        <v>0</v>
      </c>
      <c r="QE26" s="577">
        <f>PC26+PG26+PK26+PO26+PS26+PW26+QA26</f>
        <v>172764.87</v>
      </c>
      <c r="QF26" s="578">
        <f>PD26+PH26+PL26+PP26+PT26+PX26+QB26</f>
        <v>158943.68040000001</v>
      </c>
      <c r="QG26" s="793">
        <f>PE26+PI26+PM26+PQ26+PU26+PY26+QC26</f>
        <v>0</v>
      </c>
      <c r="QH26" s="790">
        <f>QG26/QE26</f>
        <v>0</v>
      </c>
      <c r="QI26" s="593">
        <f>'Proy 2022 vs 2019 sem'!CG25*QL$4</f>
        <v>20777.555999999997</v>
      </c>
      <c r="QJ26" s="593">
        <f>'Proy 2022 vs 2019 sem'!CH25*QL$4</f>
        <v>19115.351519999997</v>
      </c>
      <c r="QK26" s="697"/>
      <c r="QL26" s="698">
        <f>QK26/QI26</f>
        <v>0</v>
      </c>
      <c r="QM26" s="593">
        <f>'Proy 2022 vs 2019 sem'!CG25*QP$4</f>
        <v>20777.555999999997</v>
      </c>
      <c r="QN26" s="593">
        <f>'Proy 2022 vs 2019 sem'!CH25*QP$4</f>
        <v>19115.351519999997</v>
      </c>
      <c r="QO26" s="697"/>
      <c r="QP26" s="698">
        <f>QO26/QM26</f>
        <v>0</v>
      </c>
      <c r="QQ26" s="593">
        <f>'Proy 2022 vs 2019 sem'!CG25*QT$4</f>
        <v>20777.555999999997</v>
      </c>
      <c r="QR26" s="593">
        <f>'Proy 2022 vs 2019 sem'!CH25*QT$4</f>
        <v>19115.351519999997</v>
      </c>
      <c r="QS26" s="697"/>
      <c r="QT26" s="698">
        <f>QS26/QQ26</f>
        <v>0</v>
      </c>
      <c r="QU26" s="593">
        <f>'Proy 2022 vs 2019 sem'!CG25*QX$4</f>
        <v>20777.555999999997</v>
      </c>
      <c r="QV26" s="593">
        <f>'Proy 2022 vs 2019 sem'!CH25*QX$4</f>
        <v>19115.351519999997</v>
      </c>
      <c r="QW26" s="697"/>
      <c r="QX26" s="698">
        <f>QW26/QU26</f>
        <v>0</v>
      </c>
      <c r="QY26" s="593">
        <f>'Proy 2022 vs 2019 sem'!CG25*RB$4</f>
        <v>24240.482</v>
      </c>
      <c r="QZ26" s="593">
        <f>'Proy 2022 vs 2019 sem'!CH25*RB$4</f>
        <v>22301.243440000002</v>
      </c>
      <c r="RA26" s="697"/>
      <c r="RB26" s="698">
        <f>RA26/QY26</f>
        <v>0</v>
      </c>
      <c r="RC26" s="593">
        <f>'Proy 2022 vs 2019 sem'!CG25*RF$4</f>
        <v>27703.407999999999</v>
      </c>
      <c r="RD26" s="593">
        <f>'Proy 2022 vs 2019 sem'!CH25*RF$4</f>
        <v>25487.13536</v>
      </c>
      <c r="RE26" s="697"/>
      <c r="RF26" s="698">
        <f>RE26/RC26</f>
        <v>0</v>
      </c>
      <c r="RG26" s="593">
        <f>'Proy 2022 vs 2019 sem'!CG25*RJ$4</f>
        <v>38092.185999999994</v>
      </c>
      <c r="RH26" s="593">
        <f>'Proy 2022 vs 2019 sem'!CH25*RJ$4</f>
        <v>35044.811119999998</v>
      </c>
      <c r="RI26" s="697"/>
      <c r="RJ26" s="698">
        <f>RI26/RG26</f>
        <v>0</v>
      </c>
      <c r="RK26" s="577">
        <f>QI26+QM26+QQ26+QU26+QY26+RC26+RG26</f>
        <v>173146.3</v>
      </c>
      <c r="RL26" s="578">
        <f>QJ26+QN26+QR26+QV26+QZ26+RD26+RH26</f>
        <v>159294.59599999999</v>
      </c>
      <c r="RM26" s="796">
        <f>QK26+QO26+QS26+QW26+RA26+RE26+RI26</f>
        <v>0</v>
      </c>
      <c r="RN26" s="790">
        <f>RM26/RK26</f>
        <v>0</v>
      </c>
      <c r="RO26" s="593">
        <f>'Proy 2022 vs 2019 sem'!CL25*RR$4</f>
        <v>21039.69</v>
      </c>
      <c r="RP26" s="593">
        <f>'Proy 2022 vs 2019 sem'!CM25*RR$4</f>
        <v>19356.514800000001</v>
      </c>
      <c r="RQ26" s="697"/>
      <c r="RR26" s="698">
        <f>RQ26/RO26</f>
        <v>0</v>
      </c>
      <c r="RS26" s="593">
        <f>'Proy 2022 vs 2019 sem'!CL25*RV$4</f>
        <v>21039.69</v>
      </c>
      <c r="RT26" s="593">
        <f>'Proy 2022 vs 2019 sem'!CM25*RV$4</f>
        <v>19356.514800000001</v>
      </c>
      <c r="RU26" s="697"/>
      <c r="RV26" s="698">
        <f>RU26/RS26</f>
        <v>0</v>
      </c>
      <c r="RW26" s="593">
        <f>'Proy 2022 vs 2019 sem'!CL25*RZ$4</f>
        <v>21039.69</v>
      </c>
      <c r="RX26" s="593">
        <f>'Proy 2022 vs 2019 sem'!CM25*RZ$4</f>
        <v>19356.514800000001</v>
      </c>
      <c r="RY26" s="697"/>
      <c r="RZ26" s="698">
        <f>RY26/RW26</f>
        <v>0</v>
      </c>
      <c r="SA26" s="593">
        <f>'Proy 2022 vs 2019 sem'!CL25*SD$4</f>
        <v>21039.69</v>
      </c>
      <c r="SB26" s="593">
        <f>'Proy 2022 vs 2019 sem'!CM25*SD$4</f>
        <v>19356.514800000001</v>
      </c>
      <c r="SC26" s="697"/>
      <c r="SD26" s="698">
        <f>SC26/SA26</f>
        <v>0</v>
      </c>
      <c r="SE26" s="593">
        <f>'Proy 2022 vs 2019 sem'!CL25*SH$4</f>
        <v>24546.305000000004</v>
      </c>
      <c r="SF26" s="593">
        <f>'Proy 2022 vs 2019 sem'!CM25*SH$4</f>
        <v>22582.600600000002</v>
      </c>
      <c r="SG26" s="697"/>
      <c r="SH26" s="698">
        <f>SG26/SE26</f>
        <v>0</v>
      </c>
      <c r="SI26" s="593">
        <f>'Proy 2022 vs 2019 sem'!CL25*SL$4</f>
        <v>28052.920000000002</v>
      </c>
      <c r="SJ26" s="593">
        <f>'Proy 2022 vs 2019 sem'!CM25*SL$4</f>
        <v>25808.686400000002</v>
      </c>
      <c r="SK26" s="697"/>
      <c r="SL26" s="698">
        <f>SK26/SI26</f>
        <v>0</v>
      </c>
      <c r="SM26" s="593">
        <f>'Proy 2022 vs 2019 sem'!CL25*SP$4</f>
        <v>38572.764999999999</v>
      </c>
      <c r="SN26" s="593">
        <f>'Proy 2022 vs 2019 sem'!CM25*SP$4</f>
        <v>35486.943800000001</v>
      </c>
      <c r="SO26" s="697"/>
      <c r="SP26" s="698">
        <f>SO26/SM26</f>
        <v>0</v>
      </c>
      <c r="SQ26" s="577">
        <f>RO26+RS26+RW26+SA26+SE26+SI26+SM26</f>
        <v>175330.75</v>
      </c>
      <c r="SR26" s="578">
        <f>RP26+RT26+RX26+SB26+SF26+SJ26+SN26</f>
        <v>161304.29</v>
      </c>
      <c r="SS26" s="796">
        <f>RQ26+RU26+RY26+SC26+SG26+SK26+SO26</f>
        <v>0</v>
      </c>
      <c r="ST26" s="790">
        <f>SS26/SQ26</f>
        <v>0</v>
      </c>
      <c r="SU26" s="593">
        <f>'Proy 2022 vs 2019 sem'!CQ25*SX$4</f>
        <v>20311.789199999999</v>
      </c>
      <c r="SV26" s="593">
        <f>'Proy 2022 vs 2019 sem'!CR25*SX$4</f>
        <v>19296.199739999996</v>
      </c>
      <c r="SW26" s="697"/>
      <c r="SX26" s="698">
        <f>SW26/SU26</f>
        <v>0</v>
      </c>
      <c r="SY26" s="593">
        <f>'Proy 2022 vs 2019 sem'!CQ25*TB$4</f>
        <v>20311.789199999999</v>
      </c>
      <c r="SZ26" s="593">
        <f>'Proy 2022 vs 2019 sem'!CR25*TB$4</f>
        <v>19296.199739999996</v>
      </c>
      <c r="TA26" s="697"/>
      <c r="TB26" s="698">
        <f>TA26/SY26</f>
        <v>0</v>
      </c>
      <c r="TC26" s="593">
        <f>'Proy 2022 vs 2019 sem'!CQ25*TF$4</f>
        <v>20311.789199999999</v>
      </c>
      <c r="TD26" s="593">
        <f>'Proy 2022 vs 2019 sem'!CR25*TF$4</f>
        <v>19296.199739999996</v>
      </c>
      <c r="TE26" s="697"/>
      <c r="TF26" s="698">
        <f>TE26/TC26</f>
        <v>0</v>
      </c>
      <c r="TG26" s="593">
        <f>'Proy 2022 vs 2019 sem'!CQ25*TJ$4</f>
        <v>20311.789199999999</v>
      </c>
      <c r="TH26" s="593">
        <f>'Proy 2022 vs 2019 sem'!CR25*TJ$4</f>
        <v>19296.199739999996</v>
      </c>
      <c r="TI26" s="697"/>
      <c r="TJ26" s="698">
        <f>TI26/TG26</f>
        <v>0</v>
      </c>
      <c r="TK26" s="593">
        <f>'Proy 2022 vs 2019 sem'!CQ25*TN$4</f>
        <v>23697.087400000004</v>
      </c>
      <c r="TL26" s="593">
        <f>'Proy 2022 vs 2019 sem'!CR25*TN$4</f>
        <v>22512.233029999999</v>
      </c>
      <c r="TM26" s="697"/>
      <c r="TN26" s="698">
        <f>TM26/TK26</f>
        <v>0</v>
      </c>
      <c r="TO26" s="593">
        <f>'Proy 2022 vs 2019 sem'!CQ25*TR$4</f>
        <v>27082.385600000001</v>
      </c>
      <c r="TP26" s="593">
        <f>'Proy 2022 vs 2019 sem'!CR25*TR$4</f>
        <v>25728.266319999999</v>
      </c>
      <c r="TQ26" s="697"/>
      <c r="TR26" s="698">
        <f>TQ26/TO26</f>
        <v>0</v>
      </c>
      <c r="TS26" s="593">
        <f>'Proy 2022 vs 2019 sem'!CQ25*TV$4</f>
        <v>37238.280200000001</v>
      </c>
      <c r="TT26" s="593">
        <f>'Proy 2022 vs 2019 sem'!CR25*TV$4</f>
        <v>35376.366189999993</v>
      </c>
      <c r="TU26" s="697"/>
      <c r="TV26" s="698">
        <f>TU26/TS26</f>
        <v>0</v>
      </c>
      <c r="TW26" s="577">
        <f>SU26+SY26+TC26+TG26+TK26+TO26+TS26</f>
        <v>169264.91</v>
      </c>
      <c r="TX26" s="578">
        <f>SV26+SZ26+TD26+TH26+TL26+TP26+TT26</f>
        <v>160801.66449999998</v>
      </c>
      <c r="TY26" s="789">
        <f>SW26+TA26+TE26+TI26+TM26+TQ26+TU26</f>
        <v>0</v>
      </c>
      <c r="TZ26" s="790">
        <f>TY26/TW26</f>
        <v>0</v>
      </c>
      <c r="UA26" s="593">
        <f>'Proy 2022 vs 2019 sem'!CZ25*UD$4</f>
        <v>32570.405999999999</v>
      </c>
      <c r="UB26" s="593">
        <f>'Proy 2022 vs 2019 sem'!DA25*UD$4</f>
        <v>29313.365399999999</v>
      </c>
      <c r="UC26" s="734"/>
      <c r="UD26" s="698">
        <f>UC26/UA26</f>
        <v>0</v>
      </c>
      <c r="UE26" s="593">
        <f>'Proy 2022 vs 2019 sem'!CZ25*UH$4</f>
        <v>32570.405999999999</v>
      </c>
      <c r="UF26" s="593">
        <f>'Proy 2022 vs 2019 sem'!DA25*UH$4</f>
        <v>29313.365399999999</v>
      </c>
      <c r="UG26" s="697"/>
      <c r="UH26" s="698">
        <f>UG26/UE26</f>
        <v>0</v>
      </c>
      <c r="UI26" s="593">
        <f>'Proy 2022 vs 2019 sem'!CZ25*UL$4</f>
        <v>32570.405999999999</v>
      </c>
      <c r="UJ26" s="593">
        <f>'Proy 2022 vs 2019 sem'!DA25*UL$4</f>
        <v>29313.365399999999</v>
      </c>
      <c r="UK26" s="697"/>
      <c r="UL26" s="698">
        <f>UK26/UI26</f>
        <v>0</v>
      </c>
      <c r="UM26" s="593">
        <f>'Proy 2022 vs 2019 sem'!CZ25*UP$4</f>
        <v>32570.405999999999</v>
      </c>
      <c r="UN26" s="593">
        <f>'Proy 2022 vs 2019 sem'!DA25*UP$4</f>
        <v>29313.365399999999</v>
      </c>
      <c r="UO26" s="697"/>
      <c r="UP26" s="698">
        <f>UO26/UM26</f>
        <v>0</v>
      </c>
      <c r="UQ26" s="593">
        <f>'Proy 2022 vs 2019 sem'!CZ25*UT$4</f>
        <v>37998.807000000001</v>
      </c>
      <c r="UR26" s="593">
        <f>'Proy 2022 vs 2019 sem'!DA25*UT$4</f>
        <v>34198.926299999999</v>
      </c>
      <c r="US26" s="697"/>
      <c r="UT26" s="698">
        <f>US26/UQ26</f>
        <v>0</v>
      </c>
      <c r="UU26" s="593">
        <f>'Proy 2022 vs 2019 sem'!CZ25*UX$4</f>
        <v>43427.207999999999</v>
      </c>
      <c r="UV26" s="593">
        <f>'Proy 2022 vs 2019 sem'!DA25*UX$4</f>
        <v>39084.487199999996</v>
      </c>
      <c r="UW26" s="697"/>
      <c r="UX26" s="698">
        <f>UW26/UU26</f>
        <v>0</v>
      </c>
      <c r="UY26" s="593">
        <f>'Proy 2022 vs 2019 sem'!CZ25*VB$4</f>
        <v>59712.411</v>
      </c>
      <c r="UZ26" s="593">
        <f>'Proy 2022 vs 2019 sem'!DA25*VB$4</f>
        <v>53741.169899999994</v>
      </c>
      <c r="VA26" s="697"/>
      <c r="VB26" s="698">
        <f>VA26/UY26</f>
        <v>0</v>
      </c>
      <c r="VC26" s="577">
        <f>UA26+UE26+UI26+UM26+UQ26+UU26+UY26</f>
        <v>271420.05</v>
      </c>
      <c r="VD26" s="578">
        <f>UB26+UF26+UJ26+UN26+UR26+UV26+UZ26</f>
        <v>244278.04499999998</v>
      </c>
      <c r="VE26" s="759">
        <f>UC26+UG26+UK26+UO26+US26+UW26+VA26</f>
        <v>0</v>
      </c>
      <c r="VF26" s="763">
        <f>VE26/VC26</f>
        <v>0</v>
      </c>
      <c r="VG26" s="593">
        <f>'Proy 2022 vs 2019 sem'!DE25*VJ$4</f>
        <v>20864.811599999997</v>
      </c>
      <c r="VH26" s="593">
        <f>'Proy 2022 vs 2019 sem'!DF25*VJ$4</f>
        <v>19821.571019999999</v>
      </c>
      <c r="VI26" s="697"/>
      <c r="VJ26" s="698">
        <f>VI26/VG26</f>
        <v>0</v>
      </c>
      <c r="VK26" s="593">
        <f>'Proy 2022 vs 2019 sem'!DE25*VN$4</f>
        <v>20864.811599999997</v>
      </c>
      <c r="VL26" s="593">
        <f>'Proy 2022 vs 2019 sem'!DF25*VN$4</f>
        <v>19821.571019999999</v>
      </c>
      <c r="VM26" s="697"/>
      <c r="VN26" s="698">
        <f>VM26/VK26</f>
        <v>0</v>
      </c>
      <c r="VO26" s="593">
        <f>'Proy 2022 vs 2019 sem'!DE25*VR$4</f>
        <v>20864.811599999997</v>
      </c>
      <c r="VP26" s="593">
        <f>'Proy 2022 vs 2019 sem'!DF25*VR$4</f>
        <v>19821.571019999999</v>
      </c>
      <c r="VQ26" s="697"/>
      <c r="VR26" s="698">
        <f>VQ26/VO26</f>
        <v>0</v>
      </c>
      <c r="VS26" s="593">
        <f>'Proy 2022 vs 2019 sem'!DE25*VV$4</f>
        <v>20864.811599999997</v>
      </c>
      <c r="VT26" s="593">
        <f>'Proy 2022 vs 2019 sem'!DF25*VV$4</f>
        <v>19821.571019999999</v>
      </c>
      <c r="VU26" s="697"/>
      <c r="VV26" s="698">
        <f>VU26/VS26</f>
        <v>0</v>
      </c>
      <c r="VW26" s="593">
        <f>'Proy 2022 vs 2019 sem'!DE25*VZ$4</f>
        <v>24342.280200000001</v>
      </c>
      <c r="VX26" s="593">
        <f>'Proy 2022 vs 2019 sem'!DF25*VZ$4</f>
        <v>23125.16619</v>
      </c>
      <c r="VY26" s="697"/>
      <c r="VZ26" s="698">
        <f>VY26/VW26</f>
        <v>0</v>
      </c>
      <c r="WA26" s="593">
        <f>'Proy 2022 vs 2019 sem'!DE25*WD$4</f>
        <v>27819.748800000001</v>
      </c>
      <c r="WB26" s="593">
        <f>'Proy 2022 vs 2019 sem'!DF25*WD$4</f>
        <v>26428.76136</v>
      </c>
      <c r="WC26" s="697"/>
      <c r="WD26" s="698">
        <f>WC26/WA26</f>
        <v>0</v>
      </c>
      <c r="WE26" s="593">
        <f>'Proy 2022 vs 2019 sem'!DE25*WH$4</f>
        <v>38252.154600000002</v>
      </c>
      <c r="WF26" s="593">
        <f>'Proy 2022 vs 2019 sem'!DF25*WH$4</f>
        <v>36339.546869999998</v>
      </c>
      <c r="WG26" s="697"/>
      <c r="WH26" s="698">
        <f>WG26/WE26</f>
        <v>0</v>
      </c>
      <c r="WI26" s="577">
        <f>VG26+VK26+VO26+VS26+VW26+WA26+WE26</f>
        <v>173873.43</v>
      </c>
      <c r="WJ26" s="578">
        <f>VH26+VL26+VP26+VT26+VX26+WB26+WF26</f>
        <v>165179.7585</v>
      </c>
      <c r="WK26" s="767">
        <f>VI26+VM26+VQ26+VU26+VY26+WC26+WG26</f>
        <v>0</v>
      </c>
      <c r="WL26" s="763">
        <f>WK26/WI26</f>
        <v>0</v>
      </c>
      <c r="WM26" s="593">
        <f>'Proy 2022 vs 2019 sem'!DJ25*WP$4</f>
        <v>18337.563599999998</v>
      </c>
      <c r="WN26" s="593">
        <f>'Proy 2022 vs 2019 sem'!DK25*WP$4</f>
        <v>16503.807240000002</v>
      </c>
      <c r="WO26" s="697"/>
      <c r="WP26" s="698">
        <f>WO26/WM26</f>
        <v>0</v>
      </c>
      <c r="WQ26" s="593">
        <f>'Proy 2022 vs 2019 sem'!DJ25*WT$4</f>
        <v>18337.563599999998</v>
      </c>
      <c r="WR26" s="593">
        <f>'Proy 2022 vs 2019 sem'!DK25*WT$4</f>
        <v>16503.807240000002</v>
      </c>
      <c r="WS26" s="697"/>
      <c r="WT26" s="698">
        <f>WS26/WQ26</f>
        <v>0</v>
      </c>
      <c r="WU26" s="593">
        <f>'Proy 2022 vs 2019 sem'!DJ25*WX$4</f>
        <v>18337.563599999998</v>
      </c>
      <c r="WV26" s="593">
        <f>'Proy 2022 vs 2019 sem'!DK25*WX$4</f>
        <v>16503.807240000002</v>
      </c>
      <c r="WW26" s="697"/>
      <c r="WX26" s="698">
        <f>WW26/WU26</f>
        <v>0</v>
      </c>
      <c r="WY26" s="593">
        <f>'Proy 2022 vs 2019 sem'!DJ25*XB$4</f>
        <v>18337.563599999998</v>
      </c>
      <c r="WZ26" s="593">
        <f>'Proy 2022 vs 2019 sem'!DK25*XB$4</f>
        <v>16503.807240000002</v>
      </c>
      <c r="XA26" s="697"/>
      <c r="XB26" s="698">
        <f>XA26/WY26</f>
        <v>0</v>
      </c>
      <c r="XC26" s="593">
        <f>'Proy 2022 vs 2019 sem'!DJ25*XF$4</f>
        <v>21393.824200000003</v>
      </c>
      <c r="XD26" s="593">
        <f>'Proy 2022 vs 2019 sem'!DK25*XF$4</f>
        <v>19254.441780000005</v>
      </c>
      <c r="XE26" s="697"/>
      <c r="XF26" s="698">
        <f>XE26/XC26</f>
        <v>0</v>
      </c>
      <c r="XG26" s="593">
        <f>'Proy 2022 vs 2019 sem'!DJ25*XJ$4</f>
        <v>24450.084800000001</v>
      </c>
      <c r="XH26" s="593">
        <f>'Proy 2022 vs 2019 sem'!DK25*XJ$4</f>
        <v>22005.076320000004</v>
      </c>
      <c r="XI26" s="697"/>
      <c r="XJ26" s="698">
        <f>XI26/XG26</f>
        <v>0</v>
      </c>
      <c r="XK26" s="593">
        <f>'Proy 2022 vs 2019 sem'!DJ25*XN$4</f>
        <v>33618.866600000001</v>
      </c>
      <c r="XL26" s="593">
        <f>'Proy 2022 vs 2019 sem'!DK25*XN$4</f>
        <v>30256.979940000005</v>
      </c>
      <c r="XM26" s="697"/>
      <c r="XN26" s="698">
        <f>XM26/XK26</f>
        <v>0</v>
      </c>
      <c r="XO26" s="577">
        <f>WM26+WQ26+WU26+WY26+XC26+XG26+XK26</f>
        <v>152813.03</v>
      </c>
      <c r="XP26" s="578">
        <f>WN26+WR26+WV26+WZ26+XD26+XH26+XL26</f>
        <v>137531.72700000001</v>
      </c>
      <c r="XQ26" s="767">
        <f>WO26+WS26+WW26+XA26+XE26+XI26+XM26</f>
        <v>0</v>
      </c>
      <c r="XR26" s="763">
        <f>XQ26/XO26</f>
        <v>0</v>
      </c>
      <c r="XS26" s="593">
        <f>'Proy 2022 vs 2019 sem'!DO25*XV$4</f>
        <v>17983.266</v>
      </c>
      <c r="XT26" s="593">
        <f>'Proy 2022 vs 2019 sem'!DP25*XV$4</f>
        <v>17084.102699999999</v>
      </c>
      <c r="XU26" s="697"/>
      <c r="XV26" s="698">
        <f>XU26/XS26</f>
        <v>0</v>
      </c>
      <c r="XW26" s="593">
        <f>'Proy 2022 vs 2019 sem'!DO25*XZ$4</f>
        <v>17983.266</v>
      </c>
      <c r="XX26" s="593">
        <f>'Proy 2022 vs 2019 sem'!DP25*XZ$4</f>
        <v>17084.102699999999</v>
      </c>
      <c r="XY26" s="697"/>
      <c r="XZ26" s="698">
        <f>XY26/XW26</f>
        <v>0</v>
      </c>
      <c r="YA26" s="593">
        <f>'Proy 2022 vs 2019 sem'!DO25*YD$4</f>
        <v>17983.266</v>
      </c>
      <c r="YB26" s="593">
        <f>'Proy 2022 vs 2019 sem'!DP25*YD$4</f>
        <v>17084.102699999999</v>
      </c>
      <c r="YC26" s="697"/>
      <c r="YD26" s="698">
        <f>YC26/YA26</f>
        <v>0</v>
      </c>
      <c r="YE26" s="593">
        <f>'Proy 2022 vs 2019 sem'!DO25*YH$4</f>
        <v>17983.266</v>
      </c>
      <c r="YF26" s="593">
        <f>'Proy 2022 vs 2019 sem'!DP25*YH$4</f>
        <v>17084.102699999999</v>
      </c>
      <c r="YG26" s="697"/>
      <c r="YH26" s="698">
        <f>YG26/YE26</f>
        <v>0</v>
      </c>
      <c r="YI26" s="593">
        <f>'Proy 2022 vs 2019 sem'!DO25*YL$4</f>
        <v>20980.476999999999</v>
      </c>
      <c r="YJ26" s="593">
        <f>'Proy 2022 vs 2019 sem'!DP25*YL$4</f>
        <v>19931.453150000001</v>
      </c>
      <c r="YK26" s="697"/>
      <c r="YL26" s="698">
        <f>YK26/YI26</f>
        <v>0</v>
      </c>
      <c r="YM26" s="593">
        <f>'Proy 2022 vs 2019 sem'!DO25*YP$4</f>
        <v>23977.687999999998</v>
      </c>
      <c r="YN26" s="593">
        <f>'Proy 2022 vs 2019 sem'!DP25*YP$4</f>
        <v>22778.803599999999</v>
      </c>
      <c r="YO26" s="697"/>
      <c r="YP26" s="698">
        <f>YO26/YM26</f>
        <v>0</v>
      </c>
      <c r="YQ26" s="593">
        <f>'Proy 2022 vs 2019 sem'!DO25*YT$4</f>
        <v>32969.320999999996</v>
      </c>
      <c r="YR26" s="593">
        <f>'Proy 2022 vs 2019 sem'!DP25*YT$4</f>
        <v>31320.854949999997</v>
      </c>
      <c r="YS26" s="697"/>
      <c r="YT26" s="698">
        <f>YS26/YQ26</f>
        <v>0</v>
      </c>
      <c r="YU26" s="577">
        <f>XS26+XW26+YA26+YE26+YI26+YM26+YQ26</f>
        <v>149860.54999999999</v>
      </c>
      <c r="YV26" s="578">
        <f>XT26+XX26+YB26+YF26+YJ26+YN26+YR26</f>
        <v>142367.52249999999</v>
      </c>
      <c r="YW26" s="772">
        <f>XU26+XY26+YC26+YG26+YK26+YO26+YS26</f>
        <v>0</v>
      </c>
      <c r="YX26" s="763">
        <f>YW26/YU26</f>
        <v>0</v>
      </c>
      <c r="YY26" s="931">
        <f>'Proy 2022 vs 2019 sem'!DX25*ZB$4</f>
        <v>20934.6888</v>
      </c>
      <c r="YZ26" s="931">
        <f>'Proy 2022 vs 2019 sem'!DY25*ZB$4</f>
        <v>18841.21992</v>
      </c>
      <c r="ZA26" s="734"/>
      <c r="ZB26" s="698">
        <f>ZA26/YY26</f>
        <v>0</v>
      </c>
      <c r="ZC26" s="593">
        <f>'Proy 2022 vs 2019 sem'!DX25*ZF$4</f>
        <v>20934.6888</v>
      </c>
      <c r="ZD26" s="593">
        <f>'Proy 2022 vs 2019 sem'!DY25*ZF$4</f>
        <v>18841.21992</v>
      </c>
      <c r="ZE26" s="734"/>
      <c r="ZF26" s="698">
        <f>ZE26/ZC26</f>
        <v>0</v>
      </c>
      <c r="ZG26" s="593">
        <f>'Proy 2022 vs 2019 sem'!DX25*ZJ$4</f>
        <v>20934.6888</v>
      </c>
      <c r="ZH26" s="593">
        <f>'Proy 2022 vs 2019 sem'!DY25*ZJ$4</f>
        <v>18841.21992</v>
      </c>
      <c r="ZI26" s="734"/>
      <c r="ZJ26" s="698">
        <f>ZI26/ZG26</f>
        <v>0</v>
      </c>
      <c r="ZK26" s="593">
        <f>'Proy 2022 vs 2019 sem'!DX25*ZN$4</f>
        <v>20934.6888</v>
      </c>
      <c r="ZL26" s="593">
        <f>'Proy 2022 vs 2019 sem'!DY25*ZN$4</f>
        <v>18841.21992</v>
      </c>
      <c r="ZM26" s="734"/>
      <c r="ZN26" s="698">
        <f>ZM26/ZK26</f>
        <v>0</v>
      </c>
      <c r="ZO26" s="593">
        <f>'Proy 2022 vs 2019 sem'!DX25*ZR$4</f>
        <v>24423.803599999999</v>
      </c>
      <c r="ZP26" s="593">
        <f>'Proy 2022 vs 2019 sem'!DY25*ZR$4</f>
        <v>21981.42324</v>
      </c>
      <c r="ZQ26" s="734"/>
      <c r="ZR26" s="698">
        <f>ZQ26/ZO26</f>
        <v>0</v>
      </c>
      <c r="ZS26" s="593">
        <f>'Proy 2022 vs 2019 sem'!DX25*ZV$4</f>
        <v>27912.918399999999</v>
      </c>
      <c r="ZT26" s="593">
        <f>'Proy 2022 vs 2019 sem'!DY25*ZV$4</f>
        <v>25121.626560000001</v>
      </c>
      <c r="ZU26" s="734"/>
      <c r="ZV26" s="698">
        <f>ZU26/ZS26</f>
        <v>0</v>
      </c>
      <c r="ZW26" s="593">
        <f>'Proy 2022 vs 2019 sem'!DX25*ZZ$4</f>
        <v>38380.262799999997</v>
      </c>
      <c r="ZX26" s="593">
        <f>'Proy 2022 vs 2019 sem'!DY25*ZZ$4</f>
        <v>34542.236519999999</v>
      </c>
      <c r="ZY26" s="734"/>
      <c r="ZZ26" s="698">
        <f>ZY26/ZW26</f>
        <v>0</v>
      </c>
      <c r="AAA26" s="577">
        <f>YY26+ZC26+ZG26+ZK26+ZO26+ZS26+ZW26</f>
        <v>174455.74</v>
      </c>
      <c r="AAB26" s="578">
        <f>YZ26+ZD26+ZH26+ZL26+ZP26+ZT26+ZX26</f>
        <v>157010.166</v>
      </c>
      <c r="AAC26" s="729">
        <f>ZA26+ZE26+ZI26+ZM26+ZQ26+ZU26+ZY26</f>
        <v>0</v>
      </c>
      <c r="AAD26" s="715">
        <f>AAC26/AAA26</f>
        <v>0</v>
      </c>
      <c r="AAE26" s="593">
        <f>'Proy 2022 vs 2019 sem'!EC25*AAH$4</f>
        <v>28017.880799999999</v>
      </c>
      <c r="AAF26" s="593">
        <f>'Proy 2022 vs 2019 sem'!ED25*AAH$4</f>
        <v>25216.092720000001</v>
      </c>
      <c r="AAG26" s="697"/>
      <c r="AAH26" s="698">
        <f>AAG26/AAE26</f>
        <v>0</v>
      </c>
      <c r="AAI26" s="593">
        <f>'Proy 2022 vs 2019 sem'!EC25*AAL$4</f>
        <v>28017.880799999999</v>
      </c>
      <c r="AAJ26" s="593">
        <f>'Proy 2022 vs 2019 sem'!ED25*AAL$4</f>
        <v>25216.092720000001</v>
      </c>
      <c r="AAK26" s="697"/>
      <c r="AAL26" s="698">
        <f>AAK26/AAI26</f>
        <v>0</v>
      </c>
      <c r="AAM26" s="593">
        <f>'Proy 2022 vs 2019 sem'!EC25*AAP$4</f>
        <v>28017.880799999999</v>
      </c>
      <c r="AAN26" s="593">
        <f>'Proy 2022 vs 2019 sem'!ED25*AAP$4</f>
        <v>25216.092720000001</v>
      </c>
      <c r="AAO26" s="697"/>
      <c r="AAP26" s="698">
        <f>AAO26/AAM26</f>
        <v>0</v>
      </c>
      <c r="AAQ26" s="593">
        <f>'Proy 2022 vs 2019 sem'!EC25*AAT$4</f>
        <v>28017.880799999999</v>
      </c>
      <c r="AAR26" s="593">
        <f>'Proy 2022 vs 2019 sem'!ED25*AAT$4</f>
        <v>25216.092720000001</v>
      </c>
      <c r="AAS26" s="697"/>
      <c r="AAT26" s="698">
        <f>AAS26/AAQ26</f>
        <v>0</v>
      </c>
      <c r="AAU26" s="593">
        <f>'Proy 2022 vs 2019 sem'!EC25*AAX$4</f>
        <v>32687.527600000001</v>
      </c>
      <c r="AAV26" s="593">
        <f>'Proy 2022 vs 2019 sem'!ED25*AAX$4</f>
        <v>29418.774840000002</v>
      </c>
      <c r="AAW26" s="697"/>
      <c r="AAX26" s="698">
        <f>AAW26/AAU26</f>
        <v>0</v>
      </c>
      <c r="AAY26" s="593">
        <f>'Proy 2022 vs 2019 sem'!EC25*ABB$4</f>
        <v>37357.174400000004</v>
      </c>
      <c r="AAZ26" s="593">
        <f>'Proy 2022 vs 2019 sem'!ED25*ABB$4</f>
        <v>33621.456960000003</v>
      </c>
      <c r="ABA26" s="697"/>
      <c r="ABB26" s="698">
        <f>ABA26/AAY26</f>
        <v>0</v>
      </c>
      <c r="ABC26" s="593">
        <f>'Proy 2022 vs 2019 sem'!EC25*ABF$4</f>
        <v>51366.114800000003</v>
      </c>
      <c r="ABD26" s="593">
        <f>'Proy 2022 vs 2019 sem'!ED25*ABF$4</f>
        <v>46229.503320000003</v>
      </c>
      <c r="ABE26" s="697"/>
      <c r="ABF26" s="698">
        <f>ABE26/ABC26</f>
        <v>0</v>
      </c>
      <c r="ABG26" s="577">
        <f>AAE26+AAI26+AAM26+AAQ26+AAU26+AAY26+ABC26</f>
        <v>233482.34</v>
      </c>
      <c r="ABH26" s="578">
        <f>AAF26+AAJ26+AAN26+AAR26+AAV26+AAZ26+ABD26</f>
        <v>210134.10600000003</v>
      </c>
      <c r="ABI26" s="732">
        <f>AAG26+AAK26+AAO26+AAS26+AAW26+ABA26+ABE26</f>
        <v>0</v>
      </c>
      <c r="ABJ26" s="715">
        <f>ABI26/ABG26</f>
        <v>0</v>
      </c>
      <c r="ABK26" s="593">
        <f>'Proy 2022 vs 2019 sem'!EH25*ABN$4</f>
        <v>27398.557199999999</v>
      </c>
      <c r="ABL26" s="593">
        <f>'Proy 2022 vs 2019 sem'!EI25*ABN$4</f>
        <v>24658.70148</v>
      </c>
      <c r="ABM26" s="697"/>
      <c r="ABN26" s="698">
        <f>ABM26/ABK26</f>
        <v>0</v>
      </c>
      <c r="ABO26" s="593">
        <f>'Proy 2022 vs 2019 sem'!EH25*ABR$4</f>
        <v>27398.557199999999</v>
      </c>
      <c r="ABP26" s="593">
        <f>'Proy 2022 vs 2019 sem'!EI25*ABR$4</f>
        <v>24658.70148</v>
      </c>
      <c r="ABQ26" s="697"/>
      <c r="ABR26" s="698">
        <f>ABQ26/ABO26</f>
        <v>0</v>
      </c>
      <c r="ABS26" s="593">
        <f>'Proy 2022 vs 2019 sem'!EH25*ABV$4</f>
        <v>27398.557199999999</v>
      </c>
      <c r="ABT26" s="593">
        <f>'Proy 2022 vs 2019 sem'!EI25*ABV$4</f>
        <v>24658.70148</v>
      </c>
      <c r="ABU26" s="697"/>
      <c r="ABV26" s="698">
        <f>ABU26/ABS26</f>
        <v>0</v>
      </c>
      <c r="ABW26" s="593">
        <f>'Proy 2022 vs 2019 sem'!EH25*ABZ$4</f>
        <v>27398.557199999999</v>
      </c>
      <c r="ABX26" s="593">
        <f>'Proy 2022 vs 2019 sem'!EI25*ABZ$4</f>
        <v>24658.70148</v>
      </c>
      <c r="ABY26" s="697"/>
      <c r="ABZ26" s="698">
        <f>ABY26/ABW26</f>
        <v>0</v>
      </c>
      <c r="ACA26" s="593">
        <f>'Proy 2022 vs 2019 sem'!EH25*ACD$4</f>
        <v>31964.983400000001</v>
      </c>
      <c r="ACB26" s="593">
        <f>'Proy 2022 vs 2019 sem'!EI25*ACD$4</f>
        <v>28768.485060000003</v>
      </c>
      <c r="ACC26" s="697"/>
      <c r="ACD26" s="698">
        <f>ACC26/ACA26</f>
        <v>0</v>
      </c>
      <c r="ACE26" s="593">
        <f>'Proy 2022 vs 2019 sem'!EH25*ACH$4</f>
        <v>36531.409599999999</v>
      </c>
      <c r="ACF26" s="593">
        <f>'Proy 2022 vs 2019 sem'!EI25*ACH$4</f>
        <v>32878.268640000002</v>
      </c>
      <c r="ACG26" s="697"/>
      <c r="ACH26" s="698">
        <f>ACG26/ACE26</f>
        <v>0</v>
      </c>
      <c r="ACI26" s="593">
        <f>'Proy 2022 vs 2019 sem'!EH25*ACL$4</f>
        <v>50230.688199999997</v>
      </c>
      <c r="ACJ26" s="593">
        <f>'Proy 2022 vs 2019 sem'!EI25*ACL$4</f>
        <v>45207.619380000004</v>
      </c>
      <c r="ACK26" s="697"/>
      <c r="ACL26" s="698">
        <f>ACK26/ACI26</f>
        <v>0</v>
      </c>
      <c r="ACM26" s="577">
        <f>ABK26+ABO26+ABS26+ABW26+ACA26+ACE26+ACI26</f>
        <v>228321.31000000003</v>
      </c>
      <c r="ACN26" s="578">
        <f>ABL26+ABP26+ABT26+ABX26+ACB26+ACF26+ACJ26</f>
        <v>205489.179</v>
      </c>
      <c r="ACO26" s="732">
        <f>ABM26+ABQ26+ABU26+ABY26+ACC26+ACG26+ACK26</f>
        <v>0</v>
      </c>
      <c r="ACP26" s="715">
        <f>ACO26/ACM26</f>
        <v>0</v>
      </c>
      <c r="ACQ26" s="593">
        <f>'Proy 2022 vs 2019 sem'!EM25*ACT$4</f>
        <v>30759.261599999998</v>
      </c>
      <c r="ACR26" s="593">
        <f>'Proy 2022 vs 2019 sem'!EN25*ACT$4</f>
        <v>29221.29852</v>
      </c>
      <c r="ACS26" s="697"/>
      <c r="ACT26" s="698">
        <f>ACS26/ACQ26</f>
        <v>0</v>
      </c>
      <c r="ACU26" s="593">
        <f>'Proy 2022 vs 2019 sem'!EM25*ACX$4</f>
        <v>30759.261599999998</v>
      </c>
      <c r="ACV26" s="593">
        <f>'Proy 2022 vs 2019 sem'!EN25*ACX$4</f>
        <v>29221.29852</v>
      </c>
      <c r="ACW26" s="697"/>
      <c r="ACX26" s="698">
        <f>ACW26/ACU26</f>
        <v>0</v>
      </c>
      <c r="ACY26" s="593">
        <f>'Proy 2022 vs 2019 sem'!EM25*ADB$4</f>
        <v>30759.261599999998</v>
      </c>
      <c r="ACZ26" s="593">
        <f>'Proy 2022 vs 2019 sem'!EN25*ADB$4</f>
        <v>29221.29852</v>
      </c>
      <c r="ADA26" s="697"/>
      <c r="ADB26" s="698">
        <f>ADA26/ACY26</f>
        <v>0</v>
      </c>
      <c r="ADC26" s="593">
        <f>'Proy 2022 vs 2019 sem'!EM25*ADF$4</f>
        <v>30759.261599999998</v>
      </c>
      <c r="ADD26" s="593">
        <f>'Proy 2022 vs 2019 sem'!EN25*ADF$4</f>
        <v>29221.29852</v>
      </c>
      <c r="ADE26" s="697"/>
      <c r="ADF26" s="698">
        <f>ADE26/ADC26</f>
        <v>0</v>
      </c>
      <c r="ADG26" s="593">
        <f>'Proy 2022 vs 2019 sem'!EM25*ADJ$4</f>
        <v>35885.805200000003</v>
      </c>
      <c r="ADH26" s="593">
        <f>'Proy 2022 vs 2019 sem'!EN25*ADJ$4</f>
        <v>34091.514940000001</v>
      </c>
      <c r="ADI26" s="697"/>
      <c r="ADJ26" s="698">
        <f>ADI26/ADG26</f>
        <v>0</v>
      </c>
      <c r="ADK26" s="593">
        <f>'Proy 2022 vs 2019 sem'!EM25*ADN$4</f>
        <v>41012.3488</v>
      </c>
      <c r="ADL26" s="593">
        <f>'Proy 2022 vs 2019 sem'!EN25*ADN$4</f>
        <v>38961.731359999998</v>
      </c>
      <c r="ADM26" s="697"/>
      <c r="ADN26" s="698">
        <f>ADM26/ADK26</f>
        <v>0</v>
      </c>
      <c r="ADO26" s="593">
        <f>'Proy 2022 vs 2019 sem'!EM25*ADR$4</f>
        <v>56391.979599999999</v>
      </c>
      <c r="ADP26" s="593">
        <f>'Proy 2022 vs 2019 sem'!EN25*ADR$4</f>
        <v>53572.380619999996</v>
      </c>
      <c r="ADQ26" s="697"/>
      <c r="ADR26" s="698">
        <f>ADQ26/ADO26</f>
        <v>0</v>
      </c>
      <c r="ADS26" s="577">
        <f>ACQ26+ACU26+ACY26+ADC26+ADG26+ADK26+ADO26</f>
        <v>256327.18</v>
      </c>
      <c r="ADT26" s="578">
        <f>ACR26+ACV26+ACZ26+ADD26+ADH26+ADL26+ADP26</f>
        <v>243510.821</v>
      </c>
      <c r="ADU26" s="714">
        <f>ACS26+ACW26+ADA26+ADE26+ADI26+ADM26+ADQ26</f>
        <v>0</v>
      </c>
      <c r="ADV26" s="715">
        <f>ADU26/ADS26</f>
        <v>0</v>
      </c>
      <c r="ADW26" s="593">
        <f>'Proy 2022 vs 2019 sem'!ER25*ADZ$4</f>
        <v>28593.0072</v>
      </c>
      <c r="ADX26" s="593">
        <f>'Proy 2022 vs 2019 sem'!ES25*ADZ$4</f>
        <v>27449.286912</v>
      </c>
      <c r="ADY26" s="697"/>
      <c r="ADZ26" s="698">
        <f>ADY26/ADW26</f>
        <v>0</v>
      </c>
      <c r="AEA26" s="593">
        <f>'Proy 2022 vs 2019 sem'!ER25*AED$4</f>
        <v>28593.0072</v>
      </c>
      <c r="AEB26" s="593">
        <f>'Proy 2022 vs 2019 sem'!ES25*AED$4</f>
        <v>27449.286912</v>
      </c>
      <c r="AEC26" s="697"/>
      <c r="AED26" s="698">
        <f>AEC26/AEA26</f>
        <v>0</v>
      </c>
      <c r="AEE26" s="593">
        <f>'Proy 2022 vs 2019 sem'!ER25*AEH$4</f>
        <v>28593.0072</v>
      </c>
      <c r="AEF26" s="593">
        <f>'Proy 2022 vs 2019 sem'!ES25*AEH$4</f>
        <v>27449.286912</v>
      </c>
      <c r="AEG26" s="697"/>
      <c r="AEH26" s="698">
        <f>AEG26/AEE26</f>
        <v>0</v>
      </c>
      <c r="AEI26" s="593">
        <f>'Proy 2022 vs 2019 sem'!ER25*AEL$4</f>
        <v>28593.0072</v>
      </c>
      <c r="AEJ26" s="593">
        <f>'Proy 2022 vs 2019 sem'!ES25*AEL$4</f>
        <v>27449.286912</v>
      </c>
      <c r="AEK26" s="697"/>
      <c r="AEL26" s="698">
        <f>AEK26/AEI26</f>
        <v>0</v>
      </c>
      <c r="AEM26" s="593">
        <f>'Proy 2022 vs 2019 sem'!ER25*AEP$4</f>
        <v>33358.508400000006</v>
      </c>
      <c r="AEN26" s="593">
        <f>'Proy 2022 vs 2019 sem'!ES25*AEP$4</f>
        <v>32024.168064000001</v>
      </c>
      <c r="AEO26" s="697"/>
      <c r="AEP26" s="698">
        <f>AEO26/AEM26</f>
        <v>0</v>
      </c>
      <c r="AEQ26" s="593">
        <f>'Proy 2022 vs 2019 sem'!ER25*AET$4</f>
        <v>38124.009599999998</v>
      </c>
      <c r="AER26" s="593">
        <f>'Proy 2022 vs 2019 sem'!ES25*AET$4</f>
        <v>36599.049215999999</v>
      </c>
      <c r="AES26" s="697"/>
      <c r="AET26" s="698">
        <f>AES26/AEQ26</f>
        <v>0</v>
      </c>
      <c r="AEU26" s="593">
        <f>'Proy 2022 vs 2019 sem'!ER25*AEX$4</f>
        <v>52420.513200000001</v>
      </c>
      <c r="AEV26" s="593">
        <f>'Proy 2022 vs 2019 sem'!ES25*AEX$4</f>
        <v>50323.692671999997</v>
      </c>
      <c r="AEW26" s="697"/>
      <c r="AEX26" s="698">
        <f>AEW26/AEU26</f>
        <v>0</v>
      </c>
      <c r="AEY26" s="577">
        <f>ADW26+AEA26+AEE26+AEI26+AEM26+AEQ26+AEU26</f>
        <v>238275.06</v>
      </c>
      <c r="AEZ26" s="578">
        <f>ADX26+AEB26+AEF26+AEJ26+AEN26+AER26+AEV26</f>
        <v>228744.05760000003</v>
      </c>
      <c r="AFA26" s="714">
        <f>ADY26+AEC26+AEG26+AEK26+AEO26+AES26+AEW26</f>
        <v>0</v>
      </c>
      <c r="AFB26" s="715">
        <f>AFA26/AEY26</f>
        <v>0</v>
      </c>
      <c r="AFC26" s="593">
        <f>'Proy 2022 vs 2019 sem'!FA25*AFF$4</f>
        <v>24762.326399999998</v>
      </c>
      <c r="AFD26" s="593">
        <f>'Proy 2022 vs 2019 sem'!FB25*AFF$4</f>
        <v>21790.847232</v>
      </c>
      <c r="AFE26" s="734"/>
      <c r="AFF26" s="698">
        <f>AFE26/AFC26</f>
        <v>0</v>
      </c>
      <c r="AFG26" s="593">
        <f>'Proy 2022 vs 2019 sem'!FA25*AFJ$4</f>
        <v>24762.326399999998</v>
      </c>
      <c r="AFH26" s="593">
        <f>'Proy 2022 vs 2019 sem'!FB25*AFJ$4</f>
        <v>21790.847232</v>
      </c>
      <c r="AFI26" s="697"/>
      <c r="AFJ26" s="698">
        <f>AFI26/AFG26</f>
        <v>0</v>
      </c>
      <c r="AFK26" s="593">
        <f>'Proy 2022 vs 2019 sem'!FA25*AFN$4</f>
        <v>24762.326399999998</v>
      </c>
      <c r="AFL26" s="593">
        <f>'Proy 2022 vs 2019 sem'!FB25*AFN$4</f>
        <v>21790.847232</v>
      </c>
      <c r="AFM26" s="697"/>
      <c r="AFN26" s="698">
        <f>AFM26/AFK26</f>
        <v>0</v>
      </c>
      <c r="AFO26" s="593">
        <f>'Proy 2022 vs 2019 sem'!FA25*AFR$4</f>
        <v>24762.326399999998</v>
      </c>
      <c r="AFP26" s="593">
        <f>'Proy 2022 vs 2019 sem'!FB25*AFR$4</f>
        <v>21790.847232</v>
      </c>
      <c r="AFQ26" s="697"/>
      <c r="AFR26" s="698">
        <f>AFQ26/AFO26</f>
        <v>0</v>
      </c>
      <c r="AFS26" s="593">
        <f>'Proy 2022 vs 2019 sem'!FA25*AFV$4</f>
        <v>28889.380800000003</v>
      </c>
      <c r="AFT26" s="593">
        <f>'Proy 2022 vs 2019 sem'!FB25*AFV$4</f>
        <v>25422.655104000005</v>
      </c>
      <c r="AFU26" s="697"/>
      <c r="AFV26" s="698">
        <f>AFU26/AFS26</f>
        <v>0</v>
      </c>
      <c r="AFW26" s="593">
        <f>'Proy 2022 vs 2019 sem'!FA25*AFZ$4</f>
        <v>33016.4352</v>
      </c>
      <c r="AFX26" s="593">
        <f>'Proy 2022 vs 2019 sem'!FB25*AFZ$4</f>
        <v>29054.462976000003</v>
      </c>
      <c r="AFY26" s="697"/>
      <c r="AFZ26" s="698">
        <f>AFY26/AFW26</f>
        <v>0</v>
      </c>
      <c r="AGA26" s="593">
        <f>'Proy 2022 vs 2019 sem'!FA25*AGD$4</f>
        <v>45397.598400000003</v>
      </c>
      <c r="AGB26" s="593">
        <f>'Proy 2022 vs 2019 sem'!FB25*AGD$4</f>
        <v>39949.886592000003</v>
      </c>
      <c r="AGC26" s="697"/>
      <c r="AGD26" s="698">
        <f>AGC26/AGA26</f>
        <v>0</v>
      </c>
      <c r="AGE26" s="577">
        <f>AFC26+AFG26+AFK26+AFO26+AFS26+AFW26+AGA26</f>
        <v>206352.71999999997</v>
      </c>
      <c r="AGF26" s="578">
        <f>AFD26+AFH26+AFL26+AFP26+AFT26+AFX26+AGB26</f>
        <v>181590.39360000001</v>
      </c>
      <c r="AGG26" s="759">
        <f>AFE26+AFI26+AFM26+AFQ26+AFU26+AFY26+AGC26</f>
        <v>0</v>
      </c>
      <c r="AGH26" s="763">
        <f>AGG26/AGE26</f>
        <v>0</v>
      </c>
      <c r="AGI26" s="593">
        <f>'Proy 2022 vs 2019 sem'!FF25*AGL$4</f>
        <v>24748.853999999999</v>
      </c>
      <c r="AGJ26" s="593">
        <f>'Proy 2022 vs 2019 sem'!FG25*AGL$4</f>
        <v>21778.991520000003</v>
      </c>
      <c r="AGK26" s="697"/>
      <c r="AGL26" s="698">
        <f>AGK26/AGI26</f>
        <v>0</v>
      </c>
      <c r="AGM26" s="593">
        <f>'Proy 2022 vs 2019 sem'!FF25*AGP$4</f>
        <v>24748.853999999999</v>
      </c>
      <c r="AGN26" s="593">
        <f>'Proy 2022 vs 2019 sem'!FG25*AGP$4</f>
        <v>21778.991520000003</v>
      </c>
      <c r="AGO26" s="697"/>
      <c r="AGP26" s="698">
        <f>AGO26/AGM26</f>
        <v>0</v>
      </c>
      <c r="AGQ26" s="593">
        <f>'Proy 2022 vs 2019 sem'!FF25*AGT$4</f>
        <v>24748.853999999999</v>
      </c>
      <c r="AGR26" s="593">
        <f>'Proy 2022 vs 2019 sem'!FG25*AGT$4</f>
        <v>21778.991520000003</v>
      </c>
      <c r="AGS26" s="697"/>
      <c r="AGT26" s="698">
        <f>AGS26/AGQ26</f>
        <v>0</v>
      </c>
      <c r="AGU26" s="593">
        <f>'Proy 2022 vs 2019 sem'!FF25*AGX$4</f>
        <v>24748.853999999999</v>
      </c>
      <c r="AGV26" s="593">
        <f>'Proy 2022 vs 2019 sem'!FG25*AGX$4</f>
        <v>21778.991520000003</v>
      </c>
      <c r="AGW26" s="697"/>
      <c r="AGX26" s="698">
        <f>AGW26/AGU26</f>
        <v>0</v>
      </c>
      <c r="AGY26" s="593">
        <f>'Proy 2022 vs 2019 sem'!FF25*AHB$4</f>
        <v>28873.663000000004</v>
      </c>
      <c r="AGZ26" s="593">
        <f>'Proy 2022 vs 2019 sem'!FG25*AHB$4</f>
        <v>25408.823440000004</v>
      </c>
      <c r="AHA26" s="697"/>
      <c r="AHB26" s="698">
        <f>AHA26/AGY26</f>
        <v>0</v>
      </c>
      <c r="AHC26" s="593">
        <f>'Proy 2022 vs 2019 sem'!FF25*AHF$4</f>
        <v>32998.472000000002</v>
      </c>
      <c r="AHD26" s="593">
        <f>'Proy 2022 vs 2019 sem'!FG25*AHF$4</f>
        <v>29038.655360000004</v>
      </c>
      <c r="AHE26" s="697"/>
      <c r="AHF26" s="698">
        <f>AHE26/AHC26</f>
        <v>0</v>
      </c>
      <c r="AHG26" s="593">
        <f>'Proy 2022 vs 2019 sem'!FF25*AHJ$4</f>
        <v>45372.899000000005</v>
      </c>
      <c r="AHH26" s="593">
        <f>'Proy 2022 vs 2019 sem'!FG25*AHJ$4</f>
        <v>39928.151120000002</v>
      </c>
      <c r="AHI26" s="697"/>
      <c r="AHJ26" s="698">
        <f>AHI26/AHG26</f>
        <v>0</v>
      </c>
      <c r="AHK26" s="577">
        <f>AGI26+AGM26+AGQ26+AGU26+AGY26+AHC26+AHG26</f>
        <v>206240.45</v>
      </c>
      <c r="AHL26" s="578">
        <f>AGJ26+AGN26+AGR26+AGV26+AGZ26+AHD26+AHH26</f>
        <v>181491.59600000002</v>
      </c>
      <c r="AHM26" s="767">
        <f>AGK26+AGO26+AGS26+AGW26+AHA26+AHE26+AHI26</f>
        <v>0</v>
      </c>
      <c r="AHN26" s="763">
        <f>AHM26/AHK26</f>
        <v>0</v>
      </c>
      <c r="AHO26" s="593">
        <f>'Proy 2022 vs 2019 sem'!FK25*AHR$4</f>
        <v>23437.286400000001</v>
      </c>
      <c r="AHP26" s="593">
        <f>'Proy 2022 vs 2019 sem'!FL25*AHR$4</f>
        <v>21093.55776</v>
      </c>
      <c r="AHQ26" s="697"/>
      <c r="AHR26" s="698">
        <f>AHQ26/AHO26</f>
        <v>0</v>
      </c>
      <c r="AHS26" s="593">
        <f>'Proy 2022 vs 2019 sem'!FK25*AHV$4</f>
        <v>23437.286400000001</v>
      </c>
      <c r="AHT26" s="593">
        <f>'Proy 2022 vs 2019 sem'!FL25*AHV$4</f>
        <v>21093.55776</v>
      </c>
      <c r="AHU26" s="697"/>
      <c r="AHV26" s="698">
        <f>AHU26/AHS26</f>
        <v>0</v>
      </c>
      <c r="AHW26" s="593">
        <f>'Proy 2022 vs 2019 sem'!FK25*AHZ$4</f>
        <v>23437.286400000001</v>
      </c>
      <c r="AHX26" s="593">
        <f>'Proy 2022 vs 2019 sem'!FL25*AHZ$4</f>
        <v>21093.55776</v>
      </c>
      <c r="AHY26" s="697"/>
      <c r="AHZ26" s="698">
        <f>AHY26/AHW26</f>
        <v>0</v>
      </c>
      <c r="AIA26" s="593">
        <f>'Proy 2022 vs 2019 sem'!FK25*AID$4</f>
        <v>23437.286400000001</v>
      </c>
      <c r="AIB26" s="593">
        <f>'Proy 2022 vs 2019 sem'!FL25*AID$4</f>
        <v>21093.55776</v>
      </c>
      <c r="AIC26" s="697"/>
      <c r="AID26" s="698">
        <f>AIC26/AIA26</f>
        <v>0</v>
      </c>
      <c r="AIE26" s="593">
        <f>'Proy 2022 vs 2019 sem'!FK25*AIH$4</f>
        <v>27343.500800000002</v>
      </c>
      <c r="AIF26" s="593">
        <f>'Proy 2022 vs 2019 sem'!FL25*AIH$4</f>
        <v>24609.150720000005</v>
      </c>
      <c r="AIG26" s="697"/>
      <c r="AIH26" s="698">
        <f>AIG26/AIE26</f>
        <v>0</v>
      </c>
      <c r="AII26" s="593">
        <f>'Proy 2022 vs 2019 sem'!FK25*AIL$4</f>
        <v>31249.715200000002</v>
      </c>
      <c r="AIJ26" s="593">
        <f>'Proy 2022 vs 2019 sem'!FL25*AIL$4</f>
        <v>28124.743680000003</v>
      </c>
      <c r="AIK26" s="697"/>
      <c r="AIL26" s="698">
        <f>AIK26/AII26</f>
        <v>0</v>
      </c>
      <c r="AIM26" s="593">
        <f>'Proy 2022 vs 2019 sem'!FK25*AIP$4</f>
        <v>42968.358399999997</v>
      </c>
      <c r="AIN26" s="593">
        <f>'Proy 2022 vs 2019 sem'!FL25*AIP$4</f>
        <v>38671.522560000005</v>
      </c>
      <c r="AIO26" s="697"/>
      <c r="AIP26" s="698">
        <f>AIO26/AIM26</f>
        <v>0</v>
      </c>
      <c r="AIQ26" s="577">
        <f>AHO26+AHS26+AHW26+AIA26+AIE26+AII26+AIM26</f>
        <v>195310.72</v>
      </c>
      <c r="AIR26" s="578">
        <f>AHP26+AHT26+AHX26+AIB26+AIF26+AIJ26+AIN26</f>
        <v>175779.64800000002</v>
      </c>
      <c r="AIS26" s="767">
        <f>AHQ26+AHU26+AHY26+AIC26+AIG26+AIK26+AIO26</f>
        <v>0</v>
      </c>
      <c r="AIT26" s="763">
        <f>AIS26/AIQ26</f>
        <v>0</v>
      </c>
      <c r="AIU26" s="593">
        <f>'Proy 2022 vs 2019 sem'!FP25*AIX$4</f>
        <v>21740.972399999999</v>
      </c>
      <c r="AIV26" s="593">
        <f>'Proy 2022 vs 2019 sem'!FQ25*AIX$4</f>
        <v>20871.333503999998</v>
      </c>
      <c r="AIW26" s="697"/>
      <c r="AIX26" s="698">
        <f>AIW26/AIU26</f>
        <v>0</v>
      </c>
      <c r="AIY26" s="593">
        <f>'Proy 2022 vs 2019 sem'!FP25*AJB$4</f>
        <v>21740.972399999999</v>
      </c>
      <c r="AIZ26" s="593">
        <f>'Proy 2022 vs 2019 sem'!FQ25*AJB$4</f>
        <v>20871.333503999998</v>
      </c>
      <c r="AJA26" s="697"/>
      <c r="AJB26" s="698">
        <f>AJA26/AIY26</f>
        <v>0</v>
      </c>
      <c r="AJC26" s="593">
        <f>'Proy 2022 vs 2019 sem'!FP25*AJF$4</f>
        <v>21740.972399999999</v>
      </c>
      <c r="AJD26" s="593">
        <f>'Proy 2022 vs 2019 sem'!FQ25*AJF$4</f>
        <v>20871.333503999998</v>
      </c>
      <c r="AJE26" s="697"/>
      <c r="AJF26" s="698">
        <f>AJE26/AJC26</f>
        <v>0</v>
      </c>
      <c r="AJG26" s="593">
        <f>'Proy 2022 vs 2019 sem'!FP25*AJJ$4</f>
        <v>21740.972399999999</v>
      </c>
      <c r="AJH26" s="593">
        <f>'Proy 2022 vs 2019 sem'!FQ25*AJJ$4</f>
        <v>20871.333503999998</v>
      </c>
      <c r="AJI26" s="697"/>
      <c r="AJJ26" s="698">
        <f>AJI26/AJG26</f>
        <v>0</v>
      </c>
      <c r="AJK26" s="593">
        <f>'Proy 2022 vs 2019 sem'!FP25*AJN$4</f>
        <v>25364.467800000002</v>
      </c>
      <c r="AJL26" s="593">
        <f>'Proy 2022 vs 2019 sem'!FQ25*AJN$4</f>
        <v>24349.889088</v>
      </c>
      <c r="AJM26" s="697"/>
      <c r="AJN26" s="698">
        <f>AJM26/AJK26</f>
        <v>0</v>
      </c>
      <c r="AJO26" s="593">
        <f>'Proy 2022 vs 2019 sem'!FP25*AJR$4</f>
        <v>28987.963199999998</v>
      </c>
      <c r="AJP26" s="593">
        <f>'Proy 2022 vs 2019 sem'!FQ25*AJR$4</f>
        <v>27828.444671999998</v>
      </c>
      <c r="AJQ26" s="697"/>
      <c r="AJR26" s="698">
        <f>AJQ26/AJO26</f>
        <v>0</v>
      </c>
      <c r="AJS26" s="593">
        <f>'Proy 2022 vs 2019 sem'!FP25*AJV$4</f>
        <v>39858.449399999998</v>
      </c>
      <c r="AJT26" s="593">
        <f>'Proy 2022 vs 2019 sem'!FQ25*AJV$4</f>
        <v>38264.111423999995</v>
      </c>
      <c r="AJU26" s="697"/>
      <c r="AJV26" s="698">
        <f>AJU26/AJS26</f>
        <v>0</v>
      </c>
      <c r="AJW26" s="577">
        <f>AIU26+AIY26+AJC26+AJG26+AJK26+AJO26+AJS26</f>
        <v>181174.76999999996</v>
      </c>
      <c r="AJX26" s="578">
        <f>AIV26+AIZ26+AJD26+AJH26+AJL26+AJP26+AJT26</f>
        <v>173927.77919999999</v>
      </c>
      <c r="AJY26" s="772">
        <f>AIW26+AJA26+AJE26+AJI26+AJM26+AJQ26+AJU26</f>
        <v>0</v>
      </c>
      <c r="AJZ26" s="763">
        <f>AJY26/AJW26</f>
        <v>0</v>
      </c>
      <c r="AKA26" s="593"/>
      <c r="AKB26" s="593"/>
      <c r="AKC26" s="734"/>
      <c r="AKD26" s="698" t="e">
        <f>AKC26/AKA26</f>
        <v>#DIV/0!</v>
      </c>
      <c r="AKE26" s="593">
        <v>19189.783199999998</v>
      </c>
      <c r="AKF26" s="593">
        <v>19573.578863999999</v>
      </c>
      <c r="AKG26" s="697"/>
      <c r="AKH26" s="698">
        <f>AKG26/AKE26</f>
        <v>0</v>
      </c>
      <c r="AKI26" s="593">
        <v>19189.783199999998</v>
      </c>
      <c r="AKJ26" s="593">
        <v>19573.578863999999</v>
      </c>
      <c r="AKK26" s="697"/>
      <c r="AKL26" s="698">
        <f>AKK26/AKI26</f>
        <v>0</v>
      </c>
      <c r="AKM26" s="593">
        <v>19189.783199999998</v>
      </c>
      <c r="AKN26" s="593">
        <v>19573.578863999999</v>
      </c>
      <c r="AKO26" s="697"/>
      <c r="AKP26" s="698">
        <f>AKO26/AKM26</f>
        <v>0</v>
      </c>
      <c r="AKQ26" s="593">
        <v>22388.080399999999</v>
      </c>
      <c r="AKR26" s="593">
        <v>22835.842008</v>
      </c>
      <c r="AKS26" s="697"/>
      <c r="AKT26" s="698">
        <f>AKS26/AKQ26</f>
        <v>0</v>
      </c>
      <c r="AKU26" s="593">
        <v>25586.3776</v>
      </c>
      <c r="AKV26" s="593">
        <v>26098.105152</v>
      </c>
      <c r="AKW26" s="697"/>
      <c r="AKX26" s="698">
        <f>AKW26/AKU26</f>
        <v>0</v>
      </c>
      <c r="AKY26" s="593">
        <v>35181.269199999995</v>
      </c>
      <c r="AKZ26" s="593">
        <v>35884.894583999994</v>
      </c>
      <c r="ALA26" s="697"/>
      <c r="ALB26" s="698">
        <f>ALA26/AKY26</f>
        <v>0</v>
      </c>
      <c r="ALC26" s="577">
        <f>AKA26+AKE26+AKI26+AKM26+AKQ26+AKU26+AKY26</f>
        <v>140725.07679999998</v>
      </c>
      <c r="ALD26" s="578">
        <f>AKB26+AKF26+AKJ26+AKN26+AKR26+AKV26+AKZ26</f>
        <v>143539.57833600001</v>
      </c>
      <c r="ALE26" s="793">
        <f>AKC26+AKG26+AKK26+AKO26+AKS26+AKW26+ALA26</f>
        <v>0</v>
      </c>
      <c r="ALF26" s="790">
        <f>ALE26/ALC26</f>
        <v>0</v>
      </c>
      <c r="ALG26" s="593">
        <v>19068.871200000001</v>
      </c>
      <c r="ALH26" s="593">
        <v>19450.248624</v>
      </c>
      <c r="ALI26" s="697"/>
      <c r="ALJ26" s="698">
        <f>ALI26/ALG26</f>
        <v>0</v>
      </c>
      <c r="ALK26" s="593">
        <v>19068.871200000001</v>
      </c>
      <c r="ALL26" s="593">
        <v>19450.248624</v>
      </c>
      <c r="ALM26" s="697"/>
      <c r="ALN26" s="698">
        <f>ALM26/ALK26</f>
        <v>0</v>
      </c>
      <c r="ALO26" s="593">
        <v>19068.871200000001</v>
      </c>
      <c r="ALP26" s="593">
        <v>19450.248624</v>
      </c>
      <c r="ALQ26" s="697"/>
      <c r="ALR26" s="698">
        <f>ALQ26/ALO26</f>
        <v>0</v>
      </c>
      <c r="ALS26" s="593">
        <v>19068.871200000001</v>
      </c>
      <c r="ALT26" s="593">
        <v>19450.248624</v>
      </c>
      <c r="ALU26" s="697"/>
      <c r="ALV26" s="698">
        <f>ALU26/ALS26</f>
        <v>0</v>
      </c>
      <c r="ALW26" s="593">
        <v>22247.016400000004</v>
      </c>
      <c r="ALX26" s="593">
        <v>22691.956728000005</v>
      </c>
      <c r="ALY26" s="697"/>
      <c r="ALZ26" s="698">
        <f>ALY26/ALW26</f>
        <v>0</v>
      </c>
      <c r="AMA26" s="593">
        <v>25425.161600000003</v>
      </c>
      <c r="AMB26" s="593">
        <v>25933.664832000002</v>
      </c>
      <c r="AMC26" s="697"/>
      <c r="AMD26" s="698">
        <f>AMC26/AMA26</f>
        <v>0</v>
      </c>
      <c r="AME26" s="593">
        <v>34959.597200000004</v>
      </c>
      <c r="AMF26" s="593">
        <v>35658.789144000002</v>
      </c>
      <c r="AMG26" s="697"/>
      <c r="AMH26" s="698">
        <f>AMG26/AME26</f>
        <v>0</v>
      </c>
      <c r="AMI26" s="577">
        <f>ALG26+ALK26+ALO26+ALS26+ALW26+AMA26+AME26</f>
        <v>158907.26</v>
      </c>
      <c r="AMJ26" s="578">
        <f>ALH26+ALL26+ALP26+ALT26+ALX26+AMB26+AMF26</f>
        <v>162085.40520000001</v>
      </c>
      <c r="AMK26" s="796">
        <f>ALI26+ALM26+ALQ26+ALU26+ALY26+AMC26+AMG26</f>
        <v>0</v>
      </c>
      <c r="AML26" s="790">
        <f>AMK26/AMI26</f>
        <v>0</v>
      </c>
      <c r="AMM26" s="593">
        <v>19493.045999999998</v>
      </c>
      <c r="AMN26" s="593">
        <v>19882.906920000001</v>
      </c>
      <c r="AMO26" s="697"/>
      <c r="AMP26" s="698">
        <f>AMO26/AMM26</f>
        <v>0</v>
      </c>
      <c r="AMQ26" s="593">
        <v>19493.045999999998</v>
      </c>
      <c r="AMR26" s="593">
        <v>19882.906920000001</v>
      </c>
      <c r="AMS26" s="697"/>
      <c r="AMT26" s="698">
        <f>AMS26/AMQ26</f>
        <v>0</v>
      </c>
      <c r="AMU26" s="593">
        <v>19493.045999999998</v>
      </c>
      <c r="AMV26" s="593">
        <v>19882.906920000001</v>
      </c>
      <c r="AMW26" s="697"/>
      <c r="AMX26" s="698">
        <f>AMW26/AMU26</f>
        <v>0</v>
      </c>
      <c r="AMY26" s="593">
        <v>19493.045999999998</v>
      </c>
      <c r="AMZ26" s="593">
        <v>19882.906920000001</v>
      </c>
      <c r="ANA26" s="697"/>
      <c r="ANB26" s="698">
        <f>ANA26/AMY26</f>
        <v>0</v>
      </c>
      <c r="ANC26" s="593">
        <v>22741.886999999999</v>
      </c>
      <c r="AND26" s="593">
        <v>23196.724740000001</v>
      </c>
      <c r="ANE26" s="697"/>
      <c r="ANF26" s="698">
        <f>ANE26/ANC26</f>
        <v>0</v>
      </c>
      <c r="ANG26" s="593">
        <v>25990.727999999999</v>
      </c>
      <c r="ANH26" s="593">
        <v>26510.542560000002</v>
      </c>
      <c r="ANI26" s="697"/>
      <c r="ANJ26" s="698">
        <f>ANI26/ANG26</f>
        <v>0</v>
      </c>
      <c r="ANK26" s="593">
        <v>35737.250999999997</v>
      </c>
      <c r="ANL26" s="593">
        <v>36451.996019999999</v>
      </c>
      <c r="ANM26" s="697"/>
      <c r="ANN26" s="698">
        <f>ANM26/ANK26</f>
        <v>0</v>
      </c>
      <c r="ANO26" s="577">
        <f>AMM26+AMQ26+AMU26+AMY26+ANC26+ANG26+ANK26</f>
        <v>162442.04999999999</v>
      </c>
      <c r="ANP26" s="578">
        <f>AMN26+AMR26+AMV26+AMZ26+AND26+ANH26+ANL26</f>
        <v>165690.891</v>
      </c>
      <c r="ANQ26" s="796">
        <f>AMO26+AMS26+AMW26+ANA26+ANE26+ANI26+ANM26</f>
        <v>0</v>
      </c>
      <c r="ANR26" s="790">
        <f>ANQ26/ANO26</f>
        <v>0</v>
      </c>
      <c r="ANS26" s="593">
        <f>'Proy 2022 vs 2019 sem'!GN25*ANV$4</f>
        <v>18804.932399999998</v>
      </c>
      <c r="ANT26" s="593">
        <f>'Proy 2022 vs 2019 sem'!GO25*ANV$4</f>
        <v>18428.833751999999</v>
      </c>
      <c r="ANU26" s="697"/>
      <c r="ANV26" s="698">
        <f>ANU26/ANS26</f>
        <v>0</v>
      </c>
      <c r="ANW26" s="593">
        <f>'Proy 2022 vs 2019 sem'!GN25*ANZ$4</f>
        <v>18804.932399999998</v>
      </c>
      <c r="ANX26" s="593">
        <f>'Proy 2022 vs 2019 sem'!GO25*ANZ$4</f>
        <v>18428.833751999999</v>
      </c>
      <c r="ANY26" s="697"/>
      <c r="ANZ26" s="698">
        <f>ANY26/ANW26</f>
        <v>0</v>
      </c>
      <c r="AOA26" s="593">
        <f>'Proy 2022 vs 2019 sem'!GN25*AOD$4</f>
        <v>18804.932399999998</v>
      </c>
      <c r="AOB26" s="593">
        <f>'Proy 2022 vs 2019 sem'!GO25*AOD$4</f>
        <v>18428.833751999999</v>
      </c>
      <c r="AOC26" s="697"/>
      <c r="AOD26" s="698">
        <f>AOC26/AOA26</f>
        <v>0</v>
      </c>
      <c r="AOE26" s="593">
        <f>'Proy 2022 vs 2019 sem'!GN25*AOH$4</f>
        <v>18804.932399999998</v>
      </c>
      <c r="AOF26" s="593">
        <f>'Proy 2022 vs 2019 sem'!GO25*AOH$4</f>
        <v>18428.833751999999</v>
      </c>
      <c r="AOG26" s="697"/>
      <c r="AOH26" s="698">
        <f>AOG26/AOE26</f>
        <v>0</v>
      </c>
      <c r="AOI26" s="593">
        <f>'Proy 2022 vs 2019 sem'!GN25*AOL$4</f>
        <v>21939.087800000001</v>
      </c>
      <c r="AOJ26" s="593">
        <f>'Proy 2022 vs 2019 sem'!GO25*AOL$4</f>
        <v>21500.306044000001</v>
      </c>
      <c r="AOK26" s="697"/>
      <c r="AOL26" s="698">
        <f>AOK26/AOI26</f>
        <v>0</v>
      </c>
      <c r="AOM26" s="593">
        <f>'Proy 2022 vs 2019 sem'!GN25*AOP$4</f>
        <v>25073.243199999997</v>
      </c>
      <c r="AON26" s="593">
        <f>'Proy 2022 vs 2019 sem'!GO25*AOP$4</f>
        <v>24571.778335999999</v>
      </c>
      <c r="AOO26" s="697"/>
      <c r="AOP26" s="698">
        <f>AOO26/AOM26</f>
        <v>0</v>
      </c>
      <c r="AOQ26" s="593">
        <f>'Proy 2022 vs 2019 sem'!GN25*AOT$4</f>
        <v>34475.7094</v>
      </c>
      <c r="AOR26" s="593">
        <f>'Proy 2022 vs 2019 sem'!GO25*AOT$4</f>
        <v>33786.195211999999</v>
      </c>
      <c r="AOS26" s="697"/>
      <c r="AOT26" s="698">
        <f>AOS26/AOQ26</f>
        <v>0</v>
      </c>
      <c r="AOU26" s="577">
        <f>ANS26+ANW26+AOA26+AOE26+AOI26+AOM26+AOQ26</f>
        <v>156707.76999999999</v>
      </c>
      <c r="AOV26" s="578">
        <f>ANT26+ANX26+AOB26+AOF26+AOJ26+AON26+AOR26</f>
        <v>153573.6146</v>
      </c>
      <c r="AOW26" s="789">
        <f>ANU26+ANY26+AOC26+AOG26+AOK26+AOO26+AOS26</f>
        <v>0</v>
      </c>
      <c r="AOX26" s="790">
        <f>AOW26/AOU26</f>
        <v>0</v>
      </c>
      <c r="AOY26" s="593">
        <f>'Proy 2022 vs 2019 sem'!GW25*APB$4</f>
        <v>20052.239999999998</v>
      </c>
      <c r="AOZ26" s="593">
        <f>'Proy 2022 vs 2019 sem'!GX25*APB$4</f>
        <v>20052.239999999998</v>
      </c>
      <c r="APA26" s="734"/>
      <c r="APB26" s="698">
        <f>APA26/AOY26</f>
        <v>0</v>
      </c>
      <c r="APC26" s="593">
        <f>'Proy 2022 vs 2019 sem'!GW25*APF$4</f>
        <v>20052.239999999998</v>
      </c>
      <c r="APD26" s="593">
        <f>'Proy 2022 vs 2019 sem'!GX25*APF$4</f>
        <v>20052.239999999998</v>
      </c>
      <c r="APE26" s="734"/>
      <c r="APF26" s="698">
        <f>APE26/APC26</f>
        <v>0</v>
      </c>
      <c r="APG26" s="593">
        <f>'Proy 2022 vs 2019 sem'!GW25*APJ$4</f>
        <v>20052.239999999998</v>
      </c>
      <c r="APH26" s="593">
        <f>'Proy 2022 vs 2019 sem'!GX25*APJ$4</f>
        <v>20052.239999999998</v>
      </c>
      <c r="API26" s="734"/>
      <c r="APJ26" s="698">
        <f>API26/APG26</f>
        <v>0</v>
      </c>
      <c r="APK26" s="593">
        <f>'Proy 2022 vs 2019 sem'!GW25*APN$4</f>
        <v>20052.239999999998</v>
      </c>
      <c r="APL26" s="593">
        <f>'Proy 2022 vs 2019 sem'!GX25*APN$4</f>
        <v>20052.239999999998</v>
      </c>
      <c r="APM26" s="734"/>
      <c r="APN26" s="698">
        <f>APM26/APK26</f>
        <v>0</v>
      </c>
      <c r="APO26" s="593">
        <f>'Proy 2022 vs 2019 sem'!GW25*APR$4</f>
        <v>23394.280000000002</v>
      </c>
      <c r="APP26" s="593">
        <f>'Proy 2022 vs 2019 sem'!GX25*APR$4</f>
        <v>23394.280000000002</v>
      </c>
      <c r="APQ26" s="734"/>
      <c r="APR26" s="698">
        <f>APQ26/APO26</f>
        <v>0</v>
      </c>
      <c r="APS26" s="593">
        <f>'Proy 2022 vs 2019 sem'!GW25*APV$4</f>
        <v>26736.32</v>
      </c>
      <c r="APT26" s="593">
        <f>'Proy 2022 vs 2019 sem'!GX25*APV$4</f>
        <v>26736.32</v>
      </c>
      <c r="APU26" s="734"/>
      <c r="APV26" s="698">
        <f>APU26/APS26</f>
        <v>0</v>
      </c>
      <c r="APW26" s="593">
        <f>'Proy 2022 vs 2019 sem'!GW25*APZ$4</f>
        <v>36762.44</v>
      </c>
      <c r="APX26" s="593">
        <f>'Proy 2022 vs 2019 sem'!GX25*APZ$4</f>
        <v>36762.44</v>
      </c>
      <c r="APY26" s="734"/>
      <c r="APZ26" s="698">
        <f>APY26/APW26</f>
        <v>0</v>
      </c>
      <c r="AQA26" s="577">
        <f>AOY26+APC26+APG26+APK26+APO26+APS26+APW26</f>
        <v>167102</v>
      </c>
      <c r="AQB26" s="578">
        <f>AOZ26+APD26+APH26+APL26+APP26+APT26+APX26</f>
        <v>167102</v>
      </c>
      <c r="AQC26" s="729">
        <f>APA26+APE26+API26+APM26+APQ26+APU26+APY26</f>
        <v>0</v>
      </c>
      <c r="AQD26" s="715">
        <f>AQC26/AQA26</f>
        <v>0</v>
      </c>
      <c r="AQE26" s="593">
        <f>'Proy 2022 vs 2019 sem'!HB25*AQH$4</f>
        <v>17168.860799999999</v>
      </c>
      <c r="AQF26" s="593">
        <f>'Proy 2022 vs 2019 sem'!HC25*AQH$4</f>
        <v>17168.860799999999</v>
      </c>
      <c r="AQG26" s="697"/>
      <c r="AQH26" s="698">
        <f>AQG26/AQE26</f>
        <v>0</v>
      </c>
      <c r="AQI26" s="593">
        <f>'Proy 2022 vs 2019 sem'!HB25*AQL$4</f>
        <v>17168.860799999999</v>
      </c>
      <c r="AQJ26" s="593">
        <f>'Proy 2022 vs 2019 sem'!HC25*AQL$4</f>
        <v>17168.860799999999</v>
      </c>
      <c r="AQK26" s="697"/>
      <c r="AQL26" s="698">
        <f>AQK26/AQI26</f>
        <v>0</v>
      </c>
      <c r="AQM26" s="593">
        <f>'Proy 2022 vs 2019 sem'!HB25*AQP$4</f>
        <v>17168.860799999999</v>
      </c>
      <c r="AQN26" s="593">
        <f>'Proy 2022 vs 2019 sem'!HC25*AQP$4</f>
        <v>17168.860799999999</v>
      </c>
      <c r="AQO26" s="697"/>
      <c r="AQP26" s="698">
        <f>AQO26/AQM26</f>
        <v>0</v>
      </c>
      <c r="AQQ26" s="593">
        <f>'Proy 2022 vs 2019 sem'!HB25*AQT$4</f>
        <v>17168.860799999999</v>
      </c>
      <c r="AQR26" s="593">
        <f>'Proy 2022 vs 2019 sem'!HC25*AQT$4</f>
        <v>17168.860799999999</v>
      </c>
      <c r="AQS26" s="697"/>
      <c r="AQT26" s="698">
        <f>AQS26/AQQ26</f>
        <v>0</v>
      </c>
      <c r="AQU26" s="593">
        <f>'Proy 2022 vs 2019 sem'!HB25*AQX$4</f>
        <v>20030.337600000003</v>
      </c>
      <c r="AQV26" s="593">
        <f>'Proy 2022 vs 2019 sem'!HC25*AQX$4</f>
        <v>20030.337600000003</v>
      </c>
      <c r="AQW26" s="697"/>
      <c r="AQX26" s="698">
        <f>AQW26/AQU26</f>
        <v>0</v>
      </c>
      <c r="AQY26" s="593">
        <f>'Proy 2022 vs 2019 sem'!HB25*ARB$4</f>
        <v>22891.814399999999</v>
      </c>
      <c r="AQZ26" s="593">
        <f>'Proy 2022 vs 2019 sem'!HC25*ARB$4</f>
        <v>22891.814399999999</v>
      </c>
      <c r="ARA26" s="697"/>
      <c r="ARB26" s="698">
        <f>ARA26/AQY26</f>
        <v>0</v>
      </c>
      <c r="ARC26" s="593">
        <f>'Proy 2022 vs 2019 sem'!HB25*ARF$4</f>
        <v>31476.2448</v>
      </c>
      <c r="ARD26" s="593">
        <f>'Proy 2022 vs 2019 sem'!HC25*ARF$4</f>
        <v>31476.2448</v>
      </c>
      <c r="ARE26" s="697"/>
      <c r="ARF26" s="698">
        <f>ARE26/ARC26</f>
        <v>0</v>
      </c>
      <c r="ARG26" s="577">
        <f>AQE26+AQI26+AQM26+AQQ26+AQU26+AQY26+ARC26</f>
        <v>143073.84</v>
      </c>
      <c r="ARH26" s="578">
        <f>AQF26+AQJ26+AQN26+AQR26+AQV26+AQZ26+ARD26</f>
        <v>143073.84</v>
      </c>
      <c r="ARI26" s="732">
        <f>AQG26+AQK26+AQO26+AQS26+AQW26+ARA26+ARE26</f>
        <v>0</v>
      </c>
      <c r="ARJ26" s="715">
        <f>ARI26/ARG26</f>
        <v>0</v>
      </c>
      <c r="ARK26" s="593">
        <f>'Proy 2022 vs 2019 sem'!HG25*ARN$4</f>
        <v>18244.559999999998</v>
      </c>
      <c r="ARL26" s="593">
        <f>'Proy 2022 vs 2019 sem'!HH25*ARN$4</f>
        <v>18244.559999999998</v>
      </c>
      <c r="ARM26" s="697"/>
      <c r="ARN26" s="698">
        <f>ARM26/ARK26</f>
        <v>0</v>
      </c>
      <c r="ARO26" s="593">
        <f>'Proy 2022 vs 2019 sem'!HG25*ARR$4</f>
        <v>18244.559999999998</v>
      </c>
      <c r="ARP26" s="593">
        <f>'Proy 2022 vs 2019 sem'!HH25*ARR$4</f>
        <v>18244.559999999998</v>
      </c>
      <c r="ARQ26" s="697"/>
      <c r="ARR26" s="698">
        <f>ARQ26/ARO26</f>
        <v>0</v>
      </c>
      <c r="ARS26" s="593">
        <f>'Proy 2022 vs 2019 sem'!HG25*ARV$4</f>
        <v>18244.559999999998</v>
      </c>
      <c r="ART26" s="593">
        <f>'Proy 2022 vs 2019 sem'!HH25*ARV$4</f>
        <v>18244.559999999998</v>
      </c>
      <c r="ARU26" s="697"/>
      <c r="ARV26" s="698">
        <f>ARU26/ARS26</f>
        <v>0</v>
      </c>
      <c r="ARW26" s="593">
        <f>'Proy 2022 vs 2019 sem'!HG25*ARZ$4</f>
        <v>18244.559999999998</v>
      </c>
      <c r="ARX26" s="593">
        <f>'Proy 2022 vs 2019 sem'!HH25*ARZ$4</f>
        <v>18244.559999999998</v>
      </c>
      <c r="ARY26" s="697"/>
      <c r="ARZ26" s="698">
        <f>ARY26/ARW26</f>
        <v>0</v>
      </c>
      <c r="ASA26" s="593">
        <f>'Proy 2022 vs 2019 sem'!HG25*ASD$4</f>
        <v>21285.320000000003</v>
      </c>
      <c r="ASB26" s="593">
        <f>'Proy 2022 vs 2019 sem'!HH25*ASD$4</f>
        <v>21285.320000000003</v>
      </c>
      <c r="ASC26" s="697"/>
      <c r="ASD26" s="698">
        <f>ASC26/ASA26</f>
        <v>0</v>
      </c>
      <c r="ASE26" s="593">
        <f>'Proy 2022 vs 2019 sem'!HG25*ASH$4</f>
        <v>24326.080000000002</v>
      </c>
      <c r="ASF26" s="593">
        <f>'Proy 2022 vs 2019 sem'!HH25*ASH$4</f>
        <v>24326.080000000002</v>
      </c>
      <c r="ASG26" s="697"/>
      <c r="ASH26" s="698">
        <f>ASG26/ASE26</f>
        <v>0</v>
      </c>
      <c r="ASI26" s="593">
        <f>'Proy 2022 vs 2019 sem'!HG25*ASL$4</f>
        <v>33448.36</v>
      </c>
      <c r="ASJ26" s="593">
        <f>'Proy 2022 vs 2019 sem'!HH25*ASL$4</f>
        <v>33448.36</v>
      </c>
      <c r="ASK26" s="697"/>
      <c r="ASL26" s="698">
        <f>ASK26/ASI26</f>
        <v>0</v>
      </c>
      <c r="ASM26" s="577">
        <f>ARK26+ARO26+ARS26+ARW26+ASA26+ASE26+ASI26</f>
        <v>152038</v>
      </c>
      <c r="ASN26" s="578">
        <f>ARL26+ARP26+ART26+ARX26+ASB26+ASF26+ASJ26</f>
        <v>152038</v>
      </c>
      <c r="ASO26" s="732">
        <f>ARM26+ARQ26+ARU26+ARY26+ASC26+ASG26+ASK26</f>
        <v>0</v>
      </c>
      <c r="ASP26" s="715">
        <f>ASO26/ASM26</f>
        <v>0</v>
      </c>
      <c r="ASQ26" s="593">
        <f>'Proy 2022 vs 2019 sem'!HL25*AST$4</f>
        <v>18784.856400000001</v>
      </c>
      <c r="ASR26" s="593">
        <f>'Proy 2022 vs 2019 sem'!HM25*AST$4</f>
        <v>18784.856400000001</v>
      </c>
      <c r="ASS26" s="697"/>
      <c r="AST26" s="698">
        <f>ASS26/ASQ26</f>
        <v>0</v>
      </c>
      <c r="ASU26" s="593">
        <f>'Proy 2022 vs 2019 sem'!HL25*ASX$4</f>
        <v>18784.856400000001</v>
      </c>
      <c r="ASV26" s="593">
        <f>'Proy 2022 vs 2019 sem'!HM25*ASX$4</f>
        <v>18784.856400000001</v>
      </c>
      <c r="ASW26" s="697"/>
      <c r="ASX26" s="698">
        <f>ASW26/ASU26</f>
        <v>0</v>
      </c>
      <c r="ASY26" s="593">
        <f>'Proy 2022 vs 2019 sem'!HL25*ATB$4</f>
        <v>18784.856400000001</v>
      </c>
      <c r="ASZ26" s="593">
        <f>'Proy 2022 vs 2019 sem'!HM25*ATB$4</f>
        <v>18784.856400000001</v>
      </c>
      <c r="ATA26" s="697"/>
      <c r="ATB26" s="698">
        <f>ATA26/ASY26</f>
        <v>0</v>
      </c>
      <c r="ATC26" s="593">
        <f>'Proy 2022 vs 2019 sem'!HL25*ATF$4</f>
        <v>18784.856400000001</v>
      </c>
      <c r="ATD26" s="593">
        <f>'Proy 2022 vs 2019 sem'!HM25*ATF$4</f>
        <v>18784.856400000001</v>
      </c>
      <c r="ATE26" s="697"/>
      <c r="ATF26" s="698">
        <f>ATE26/ATC26</f>
        <v>0</v>
      </c>
      <c r="ATG26" s="593">
        <f>'Proy 2022 vs 2019 sem'!HL25*ATJ$4</f>
        <v>21915.665800000002</v>
      </c>
      <c r="ATH26" s="593">
        <f>'Proy 2022 vs 2019 sem'!HM25*ATJ$4</f>
        <v>21915.665800000002</v>
      </c>
      <c r="ATI26" s="697"/>
      <c r="ATJ26" s="698">
        <f>ATI26/ATG26</f>
        <v>0</v>
      </c>
      <c r="ATK26" s="593">
        <f>'Proy 2022 vs 2019 sem'!HL25*ATN$4</f>
        <v>25046.475200000001</v>
      </c>
      <c r="ATL26" s="593">
        <f>'Proy 2022 vs 2019 sem'!HM25*ATN$4</f>
        <v>25046.475200000001</v>
      </c>
      <c r="ATM26" s="697"/>
      <c r="ATN26" s="698">
        <f>ATM26/ATK26</f>
        <v>0</v>
      </c>
      <c r="ATO26" s="593">
        <f>'Proy 2022 vs 2019 sem'!HL25*ATR$4</f>
        <v>34438.903400000003</v>
      </c>
      <c r="ATP26" s="593">
        <f>'Proy 2022 vs 2019 sem'!HM25*ATR$4</f>
        <v>34438.903400000003</v>
      </c>
      <c r="ATQ26" s="697"/>
      <c r="ATR26" s="698">
        <f>ATQ26/ATO26</f>
        <v>0</v>
      </c>
      <c r="ATS26" s="577">
        <f>ASQ26+ASU26+ASY26+ATC26+ATG26+ATK26+ATO26</f>
        <v>156540.47</v>
      </c>
      <c r="ATT26" s="578">
        <f>ASR26+ASV26+ASZ26+ATD26+ATH26+ATL26+ATP26</f>
        <v>156540.47</v>
      </c>
      <c r="ATU26" s="714">
        <f>ASS26+ASW26+ATA26+ATE26+ATI26+ATM26+ATQ26</f>
        <v>0</v>
      </c>
      <c r="ATV26" s="715">
        <f>ATU26/ATS26</f>
        <v>0</v>
      </c>
      <c r="ATW26" s="593">
        <f>'Proy 2022 vs 2019 sem'!HQ25*ATZ$4</f>
        <v>17470.595999999998</v>
      </c>
      <c r="ATX26" s="593">
        <f>'Proy 2022 vs 2019 sem'!HR25*ATZ$4</f>
        <v>17470.595999999998</v>
      </c>
      <c r="ATY26" s="697"/>
      <c r="ATZ26" s="698">
        <f>ATY26/ATW26</f>
        <v>0</v>
      </c>
      <c r="AUA26" s="593">
        <f>'Proy 2022 vs 2019 sem'!HQ25*AUD$4</f>
        <v>17470.595999999998</v>
      </c>
      <c r="AUB26" s="593">
        <f>'Proy 2022 vs 2019 sem'!HR25*AUD$4</f>
        <v>17470.595999999998</v>
      </c>
      <c r="AUC26" s="697"/>
      <c r="AUD26" s="698">
        <f>AUC26/AUA26</f>
        <v>0</v>
      </c>
      <c r="AUE26" s="593">
        <f>'Proy 2022 vs 2019 sem'!HQ25*AUH$4</f>
        <v>17470.595999999998</v>
      </c>
      <c r="AUF26" s="593">
        <f>'Proy 2022 vs 2019 sem'!HR25*AUH$4</f>
        <v>17470.595999999998</v>
      </c>
      <c r="AUG26" s="697"/>
      <c r="AUH26" s="698">
        <f>AUG26/AUE26</f>
        <v>0</v>
      </c>
      <c r="AUI26" s="593">
        <f>'Proy 2022 vs 2019 sem'!HQ25*AUL$4</f>
        <v>17470.595999999998</v>
      </c>
      <c r="AUJ26" s="593">
        <f>'Proy 2022 vs 2019 sem'!HR25*AUL$4</f>
        <v>17470.595999999998</v>
      </c>
      <c r="AUK26" s="697"/>
      <c r="AUL26" s="698">
        <f>AUK26/AUI26</f>
        <v>0</v>
      </c>
      <c r="AUM26" s="593">
        <f>'Proy 2022 vs 2019 sem'!HQ25*AUP$4</f>
        <v>20382.362000000001</v>
      </c>
      <c r="AUN26" s="593">
        <f>'Proy 2022 vs 2019 sem'!HR25*AUP$4</f>
        <v>20382.362000000001</v>
      </c>
      <c r="AUO26" s="697"/>
      <c r="AUP26" s="698">
        <f>AUO26/AUM26</f>
        <v>0</v>
      </c>
      <c r="AUQ26" s="593">
        <f>'Proy 2022 vs 2019 sem'!HQ25*AUT$4</f>
        <v>23294.127999999997</v>
      </c>
      <c r="AUR26" s="593">
        <f>'Proy 2022 vs 2019 sem'!HR25*AUT$4</f>
        <v>23294.127999999997</v>
      </c>
      <c r="AUS26" s="697"/>
      <c r="AUT26" s="698">
        <f>AUS26/AUQ26</f>
        <v>0</v>
      </c>
      <c r="AUU26" s="593">
        <f>'Proy 2022 vs 2019 sem'!HQ25*AUX$4</f>
        <v>32029.425999999996</v>
      </c>
      <c r="AUV26" s="593">
        <f>'Proy 2022 vs 2019 sem'!HR25*AUX$4</f>
        <v>32029.425999999996</v>
      </c>
      <c r="AUW26" s="697"/>
      <c r="AUX26" s="698">
        <f>AUW26/AUU26</f>
        <v>0</v>
      </c>
      <c r="AUY26" s="577">
        <f>ATW26+AUA26+AUE26+AUI26+AUM26+AUQ26+AUU26</f>
        <v>145588.29999999999</v>
      </c>
      <c r="AUZ26" s="578">
        <f>ATX26+AUB26+AUF26+AUJ26+AUN26+AUR26+AUV26</f>
        <v>145588.29999999999</v>
      </c>
      <c r="AVA26" s="714">
        <f>ATY26+AUC26+AUG26+AUK26+AUO26+AUS26+AUW26</f>
        <v>0</v>
      </c>
      <c r="AVB26" s="715">
        <f>AVA26/AUY26</f>
        <v>0</v>
      </c>
      <c r="AVC26" s="593">
        <f>'Proy 2022 vs 2019 sem'!HZ25*AVF$4</f>
        <v>17361.357599999999</v>
      </c>
      <c r="AVD26" s="593">
        <f>'Proy 2022 vs 2019 sem'!IA25*AVF$4</f>
        <v>17361.357599999999</v>
      </c>
      <c r="AVE26" s="734"/>
      <c r="AVF26" s="698">
        <f>AVE26/AVC26</f>
        <v>0</v>
      </c>
      <c r="AVG26" s="593">
        <f>'Proy 2022 vs 2019 sem'!HZ25*AVJ$4</f>
        <v>17361.357599999999</v>
      </c>
      <c r="AVH26" s="593">
        <f>'Proy 2022 vs 2019 sem'!IA25*AVJ$4</f>
        <v>17361.357599999999</v>
      </c>
      <c r="AVI26" s="697"/>
      <c r="AVJ26" s="698">
        <f>AVI26/AVG26</f>
        <v>0</v>
      </c>
      <c r="AVK26" s="593">
        <f>'Proy 2022 vs 2019 sem'!HZ25*AVN$4</f>
        <v>17361.357599999999</v>
      </c>
      <c r="AVL26" s="593">
        <f>'Proy 2022 vs 2019 sem'!IA25*AVN$4</f>
        <v>17361.357599999999</v>
      </c>
      <c r="AVM26" s="697"/>
      <c r="AVN26" s="698">
        <f>AVM26/AVK26</f>
        <v>0</v>
      </c>
      <c r="AVO26" s="593">
        <f>'Proy 2022 vs 2019 sem'!HZ25*AVR$4</f>
        <v>17361.357599999999</v>
      </c>
      <c r="AVP26" s="593">
        <f>'Proy 2022 vs 2019 sem'!IA25*AVR$4</f>
        <v>17361.357599999999</v>
      </c>
      <c r="AVQ26" s="697"/>
      <c r="AVR26" s="698">
        <f>AVQ26/AVO26</f>
        <v>0</v>
      </c>
      <c r="AVS26" s="593">
        <f>'Proy 2022 vs 2019 sem'!HZ25*AVV$4</f>
        <v>20254.917200000004</v>
      </c>
      <c r="AVT26" s="593">
        <f>'Proy 2022 vs 2019 sem'!IA25*AVV$4</f>
        <v>20254.917200000004</v>
      </c>
      <c r="AVU26" s="697"/>
      <c r="AVV26" s="698">
        <f>AVU26/AVS26</f>
        <v>0</v>
      </c>
      <c r="AVW26" s="593">
        <f>'Proy 2022 vs 2019 sem'!HZ25*AVZ$4</f>
        <v>23148.4768</v>
      </c>
      <c r="AVX26" s="593">
        <f>'Proy 2022 vs 2019 sem'!IA25*AVZ$4</f>
        <v>23148.4768</v>
      </c>
      <c r="AVY26" s="697"/>
      <c r="AVZ26" s="698">
        <f>AVY26/AVW26</f>
        <v>0</v>
      </c>
      <c r="AWA26" s="593">
        <f>'Proy 2022 vs 2019 sem'!HZ25*AWD$4</f>
        <v>31829.155600000002</v>
      </c>
      <c r="AWB26" s="593">
        <f>'Proy 2022 vs 2019 sem'!IA25*AWD$4</f>
        <v>31829.155600000002</v>
      </c>
      <c r="AWC26" s="697"/>
      <c r="AWD26" s="698">
        <f>AWC26/AWA26</f>
        <v>0</v>
      </c>
      <c r="AWE26" s="577">
        <f>AVC26+AVG26+AVK26+AVO26+AVS26+AVW26+AWA26</f>
        <v>144677.98000000001</v>
      </c>
      <c r="AWF26" s="578">
        <f>AVD26+AVH26+AVL26+AVP26+AVT26+AVX26+AWB26</f>
        <v>144677.98000000001</v>
      </c>
      <c r="AWG26" s="793">
        <f>AVE26+AVI26+AVM26+AVQ26+AVU26+AVY26+AWC26</f>
        <v>0</v>
      </c>
      <c r="AWH26" s="790">
        <f>AWG26/AWE26</f>
        <v>0</v>
      </c>
      <c r="AWI26" s="593">
        <f>'Proy 2022 vs 2019 sem'!IE25*AWL$4</f>
        <v>20114.929199999999</v>
      </c>
      <c r="AWJ26" s="593">
        <f>'Proy 2022 vs 2019 sem'!IF25*AWL$4</f>
        <v>19712.630616000002</v>
      </c>
      <c r="AWK26" s="697"/>
      <c r="AWL26" s="698">
        <f>AWK26/AWI26</f>
        <v>0</v>
      </c>
      <c r="AWM26" s="593">
        <f>'Proy 2022 vs 2019 sem'!IE25*AWP$4</f>
        <v>20114.929199999999</v>
      </c>
      <c r="AWN26" s="593">
        <f>'Proy 2022 vs 2019 sem'!IF25*AWP$4</f>
        <v>19712.630616000002</v>
      </c>
      <c r="AWO26" s="697"/>
      <c r="AWP26" s="698">
        <f>AWO26/AWM26</f>
        <v>0</v>
      </c>
      <c r="AWQ26" s="593">
        <f>'Proy 2022 vs 2019 sem'!IE25*AWT$4</f>
        <v>20114.929199999999</v>
      </c>
      <c r="AWR26" s="593">
        <f>'Proy 2022 vs 2019 sem'!IF25*AWT$4</f>
        <v>19712.630616000002</v>
      </c>
      <c r="AWS26" s="697"/>
      <c r="AWT26" s="698">
        <f>AWS26/AWQ26</f>
        <v>0</v>
      </c>
      <c r="AWU26" s="593">
        <f>'Proy 2022 vs 2019 sem'!IE25*AWX$4</f>
        <v>20114.929199999999</v>
      </c>
      <c r="AWV26" s="593">
        <f>'Proy 2022 vs 2019 sem'!IF25*AWX$4</f>
        <v>19712.630616000002</v>
      </c>
      <c r="AWW26" s="697"/>
      <c r="AWX26" s="698">
        <f>AWW26/AWU26</f>
        <v>0</v>
      </c>
      <c r="AWY26" s="593">
        <f>'Proy 2022 vs 2019 sem'!IE25*AXB$4</f>
        <v>23467.417400000002</v>
      </c>
      <c r="AWZ26" s="593">
        <f>'Proy 2022 vs 2019 sem'!IF25*AXB$4</f>
        <v>22998.069052000003</v>
      </c>
      <c r="AXA26" s="697"/>
      <c r="AXB26" s="698">
        <f>AXA26/AWY26</f>
        <v>0</v>
      </c>
      <c r="AXC26" s="593">
        <f>'Proy 2022 vs 2019 sem'!IE25*AXF$4</f>
        <v>26819.905600000002</v>
      </c>
      <c r="AXD26" s="593">
        <f>'Proy 2022 vs 2019 sem'!IF25*AXF$4</f>
        <v>26283.507488000003</v>
      </c>
      <c r="AXE26" s="697"/>
      <c r="AXF26" s="698">
        <f>AXE26/AXC26</f>
        <v>0</v>
      </c>
      <c r="AXG26" s="593">
        <f>'Proy 2022 vs 2019 sem'!IE25*AXJ$4</f>
        <v>36877.370199999998</v>
      </c>
      <c r="AXH26" s="593">
        <f>'Proy 2022 vs 2019 sem'!IF25*AXJ$4</f>
        <v>36139.822796</v>
      </c>
      <c r="AXI26" s="697"/>
      <c r="AXJ26" s="698">
        <f>AXI26/AXG26</f>
        <v>0</v>
      </c>
      <c r="AXK26" s="577">
        <f>AWI26+AWM26+AWQ26+AWU26+AWY26+AXC26+AXG26</f>
        <v>167624.41</v>
      </c>
      <c r="AXL26" s="578">
        <f>AWJ26+AWN26+AWR26+AWV26+AWZ26+AXD26+AXH26</f>
        <v>164271.92180000001</v>
      </c>
      <c r="AXM26" s="796">
        <f>AWK26+AWO26+AWS26+AWW26+AXA26+AXE26+AXI26</f>
        <v>0</v>
      </c>
      <c r="AXN26" s="790">
        <f>AXM26/AXK26</f>
        <v>0</v>
      </c>
      <c r="AXO26" s="593">
        <f>'Proy 2022 vs 2019 sem'!IJ25*AXR$4</f>
        <v>18188.517599999999</v>
      </c>
      <c r="AXP26" s="593">
        <f>'Proy 2022 vs 2019 sem'!IK25*AXR$4</f>
        <v>18188.517599999999</v>
      </c>
      <c r="AXQ26" s="697"/>
      <c r="AXR26" s="698">
        <f>AXQ26/AXO26</f>
        <v>0</v>
      </c>
      <c r="AXS26" s="593">
        <f>'Proy 2022 vs 2019 sem'!IJ25*AXV$4</f>
        <v>18188.517599999999</v>
      </c>
      <c r="AXT26" s="593">
        <f>'Proy 2022 vs 2019 sem'!IK25*AXV$4</f>
        <v>18188.517599999999</v>
      </c>
      <c r="AXU26" s="697"/>
      <c r="AXV26" s="698">
        <f>AXU26/AXS26</f>
        <v>0</v>
      </c>
      <c r="AXW26" s="593">
        <f>'Proy 2022 vs 2019 sem'!IJ25*AXZ$4</f>
        <v>18188.517599999999</v>
      </c>
      <c r="AXX26" s="593">
        <f>'Proy 2022 vs 2019 sem'!IK25*AXZ$4</f>
        <v>18188.517599999999</v>
      </c>
      <c r="AXY26" s="697"/>
      <c r="AXZ26" s="698">
        <f>AXY26/AXW26</f>
        <v>0</v>
      </c>
      <c r="AYA26" s="593">
        <f>'Proy 2022 vs 2019 sem'!IJ25*AYD$4</f>
        <v>18188.517599999999</v>
      </c>
      <c r="AYB26" s="593">
        <f>'Proy 2022 vs 2019 sem'!IK25*AYD$4</f>
        <v>18188.517599999999</v>
      </c>
      <c r="AYC26" s="697"/>
      <c r="AYD26" s="698">
        <f>AYC26/AYA26</f>
        <v>0</v>
      </c>
      <c r="AYE26" s="593">
        <f>'Proy 2022 vs 2019 sem'!IJ25*AYH$4</f>
        <v>21219.937200000004</v>
      </c>
      <c r="AYF26" s="593">
        <f>'Proy 2022 vs 2019 sem'!IK25*AYH$4</f>
        <v>21219.937200000004</v>
      </c>
      <c r="AYG26" s="697"/>
      <c r="AYH26" s="698">
        <f>AYG26/AYE26</f>
        <v>0</v>
      </c>
      <c r="AYI26" s="593">
        <f>'Proy 2022 vs 2019 sem'!IJ25*AYL$4</f>
        <v>24251.356800000001</v>
      </c>
      <c r="AYJ26" s="593">
        <f>'Proy 2022 vs 2019 sem'!IK25*AYL$4</f>
        <v>24251.356800000001</v>
      </c>
      <c r="AYK26" s="697"/>
      <c r="AYL26" s="698">
        <f>AYK26/AYI26</f>
        <v>0</v>
      </c>
      <c r="AYM26" s="593">
        <f>'Proy 2022 vs 2019 sem'!IJ25*AYP$4</f>
        <v>33345.615600000005</v>
      </c>
      <c r="AYN26" s="593">
        <f>'Proy 2022 vs 2019 sem'!IK25*AYP$4</f>
        <v>33345.615600000005</v>
      </c>
      <c r="AYO26" s="697"/>
      <c r="AYP26" s="698">
        <f>AYO26/AYM26</f>
        <v>0</v>
      </c>
      <c r="AYQ26" s="577">
        <f>AXO26+AXS26+AXW26+AYA26+AYE26+AYI26+AYM26</f>
        <v>151570.97999999998</v>
      </c>
      <c r="AYR26" s="578">
        <f>AXP26+AXT26+AXX26+AYB26+AYF26+AYJ26+AYN26</f>
        <v>151570.97999999998</v>
      </c>
      <c r="AYS26" s="796">
        <f>AXQ26+AXU26+AXY26+AYC26+AYG26+AYK26+AYO26</f>
        <v>0</v>
      </c>
      <c r="AYT26" s="790">
        <f>AYS26/AYQ26</f>
        <v>0</v>
      </c>
      <c r="AYU26" s="593">
        <f>'Proy 2022 vs 2019 sem'!IO25*AYX$4</f>
        <v>19334.385600000001</v>
      </c>
      <c r="AYV26" s="593">
        <f>'Proy 2022 vs 2019 sem'!IP25*AYX$4</f>
        <v>19334.385600000001</v>
      </c>
      <c r="AYW26" s="697"/>
      <c r="AYX26" s="698">
        <f>AYW26/AYU26</f>
        <v>0</v>
      </c>
      <c r="AYY26" s="593">
        <f>'Proy 2022 vs 2019 sem'!IO25*AZB$4</f>
        <v>19334.385600000001</v>
      </c>
      <c r="AYZ26" s="593">
        <f>'Proy 2022 vs 2019 sem'!IP25*AZB$4</f>
        <v>19334.385600000001</v>
      </c>
      <c r="AZA26" s="697"/>
      <c r="AZB26" s="698">
        <f>AZA26/AYY26</f>
        <v>0</v>
      </c>
      <c r="AZC26" s="593">
        <f>'Proy 2022 vs 2019 sem'!IO25*AZF$4</f>
        <v>19334.385600000001</v>
      </c>
      <c r="AZD26" s="593">
        <f>'Proy 2022 vs 2019 sem'!IP25*AZF$4</f>
        <v>19334.385600000001</v>
      </c>
      <c r="AZE26" s="697"/>
      <c r="AZF26" s="698">
        <f>AZE26/AZC26</f>
        <v>0</v>
      </c>
      <c r="AZG26" s="593">
        <f>'Proy 2022 vs 2019 sem'!IO25*AZJ$4</f>
        <v>19334.385600000001</v>
      </c>
      <c r="AZH26" s="593">
        <f>'Proy 2022 vs 2019 sem'!IP25*AZJ$4</f>
        <v>19334.385600000001</v>
      </c>
      <c r="AZI26" s="697"/>
      <c r="AZJ26" s="698">
        <f>AZI26/AZG26</f>
        <v>0</v>
      </c>
      <c r="AZK26" s="593">
        <f>'Proy 2022 vs 2019 sem'!IO25*AZN$4</f>
        <v>22556.783200000002</v>
      </c>
      <c r="AZL26" s="593">
        <f>'Proy 2022 vs 2019 sem'!IP25*AZN$4</f>
        <v>22556.783200000002</v>
      </c>
      <c r="AZM26" s="697"/>
      <c r="AZN26" s="698">
        <f>AZM26/AZK26</f>
        <v>0</v>
      </c>
      <c r="AZO26" s="593">
        <f>'Proy 2022 vs 2019 sem'!IO25*AZR$4</f>
        <v>25779.180800000002</v>
      </c>
      <c r="AZP26" s="593">
        <f>'Proy 2022 vs 2019 sem'!IP25*AZR$4</f>
        <v>25779.180800000002</v>
      </c>
      <c r="AZQ26" s="697"/>
      <c r="AZR26" s="698">
        <f>AZQ26/AZO26</f>
        <v>0</v>
      </c>
      <c r="AZS26" s="593">
        <f>'Proy 2022 vs 2019 sem'!IO25*AZV$4</f>
        <v>35446.373599999999</v>
      </c>
      <c r="AZT26" s="593">
        <f>'Proy 2022 vs 2019 sem'!IP25*AZV$4</f>
        <v>35446.373599999999</v>
      </c>
      <c r="AZU26" s="697"/>
      <c r="AZV26" s="698">
        <f>AZU26/AZS26</f>
        <v>0</v>
      </c>
      <c r="AZW26" s="577">
        <f>AYU26+AYY26+AZC26+AZG26+AZK26+AZO26+AZS26</f>
        <v>161119.88</v>
      </c>
      <c r="AZX26" s="578">
        <f>AYV26+AYZ26+AZD26+AZH26+AZL26+AZP26+AZT26</f>
        <v>161119.88</v>
      </c>
      <c r="AZY26" s="789">
        <f>AYW26+AZA26+AZE26+AZI26+AZM26+AZQ26+AZU26</f>
        <v>0</v>
      </c>
      <c r="AZZ26" s="790">
        <f>AZY26/AZW26</f>
        <v>0</v>
      </c>
      <c r="BAA26" s="593">
        <f>'Proy 2022 vs 2019 sem'!IX25*BAD$4</f>
        <v>15472.207199999999</v>
      </c>
      <c r="BAB26" s="593">
        <f>'Proy 2022 vs 2019 sem'!IY25*BAD$4</f>
        <v>15472.207199999999</v>
      </c>
      <c r="BAC26" s="734"/>
      <c r="BAD26" s="698">
        <f>BAC26/BAA26</f>
        <v>0</v>
      </c>
      <c r="BAE26" s="593">
        <f>'Proy 2022 vs 2019 sem'!IX25*BAH$4</f>
        <v>15472.207199999999</v>
      </c>
      <c r="BAF26" s="593">
        <f>'Proy 2022 vs 2019 sem'!IY25*BAH$4</f>
        <v>15472.207199999999</v>
      </c>
      <c r="BAG26" s="697"/>
      <c r="BAH26" s="698">
        <f>BAG26/BAE26</f>
        <v>0</v>
      </c>
      <c r="BAI26" s="593">
        <f>'Proy 2022 vs 2019 sem'!IX25*BAL$4</f>
        <v>15472.207199999999</v>
      </c>
      <c r="BAJ26" s="593">
        <f>'Proy 2022 vs 2019 sem'!IY25*BAL$4</f>
        <v>15472.207199999999</v>
      </c>
      <c r="BAK26" s="697"/>
      <c r="BAL26" s="698">
        <f>BAK26/BAI26</f>
        <v>0</v>
      </c>
      <c r="BAM26" s="593">
        <f>'Proy 2022 vs 2019 sem'!IX25*BAP$4</f>
        <v>15472.207199999999</v>
      </c>
      <c r="BAN26" s="593">
        <f>'Proy 2022 vs 2019 sem'!IY25*BAP$4</f>
        <v>15472.207199999999</v>
      </c>
      <c r="BAO26" s="697"/>
      <c r="BAP26" s="698">
        <f>BAO26/BAM26</f>
        <v>0</v>
      </c>
      <c r="BAQ26" s="593">
        <f>'Proy 2022 vs 2019 sem'!IX25*BAT$4</f>
        <v>18050.9084</v>
      </c>
      <c r="BAR26" s="593">
        <f>'Proy 2022 vs 2019 sem'!IY25*BAT$4</f>
        <v>18050.9084</v>
      </c>
      <c r="BAS26" s="697"/>
      <c r="BAT26" s="698">
        <f>BAS26/BAQ26</f>
        <v>0</v>
      </c>
      <c r="BAU26" s="593">
        <f>'Proy 2022 vs 2019 sem'!IX25*BAX$4</f>
        <v>20629.6096</v>
      </c>
      <c r="BAV26" s="593">
        <f>'Proy 2022 vs 2019 sem'!IY25*BAX$4</f>
        <v>20629.6096</v>
      </c>
      <c r="BAW26" s="697"/>
      <c r="BAX26" s="698">
        <f>BAW26/BAU26</f>
        <v>0</v>
      </c>
      <c r="BAY26" s="593">
        <f>'Proy 2022 vs 2019 sem'!IX25*BBB$4</f>
        <v>28365.713199999998</v>
      </c>
      <c r="BAZ26" s="593">
        <f>'Proy 2022 vs 2019 sem'!IY25*BBB$4</f>
        <v>28365.713199999998</v>
      </c>
      <c r="BBA26" s="697"/>
      <c r="BBB26" s="698">
        <f>BBA26/BAY26</f>
        <v>0</v>
      </c>
      <c r="BBC26" s="577">
        <f>BAA26+BAE26+BAI26+BAM26+BAQ26+BAU26+BAY26</f>
        <v>128935.06</v>
      </c>
      <c r="BBD26" s="578">
        <f>BAB26+BAF26+BAJ26+BAN26+BAR26+BAV26+BAZ26</f>
        <v>128935.06</v>
      </c>
      <c r="BBE26" s="759">
        <f>BAC26+BAG26+BAK26+BAO26+BAS26+BAW26+BBA26</f>
        <v>0</v>
      </c>
      <c r="BBF26" s="763">
        <f>BBE26/BBC26</f>
        <v>0</v>
      </c>
      <c r="BBG26" s="593">
        <f>'Proy 2022 vs 2019 sem'!JC25*BBJ$4</f>
        <v>21560.983199999999</v>
      </c>
      <c r="BBH26" s="593">
        <f>'Proy 2022 vs 2019 sem'!JD25*BBJ$4</f>
        <v>20698.543871999998</v>
      </c>
      <c r="BBI26" s="697"/>
      <c r="BBJ26" s="698">
        <f>BBI26/BBG26</f>
        <v>0</v>
      </c>
      <c r="BBK26" s="593">
        <f>'Proy 2022 vs 2019 sem'!JC25*BBN$4</f>
        <v>21560.983199999999</v>
      </c>
      <c r="BBL26" s="593">
        <f>'Proy 2022 vs 2019 sem'!JD25*BBN$4</f>
        <v>20698.543871999998</v>
      </c>
      <c r="BBM26" s="697"/>
      <c r="BBN26" s="698">
        <f>BBM26/BBK26</f>
        <v>0</v>
      </c>
      <c r="BBO26" s="593">
        <f>'Proy 2022 vs 2019 sem'!JC25*BBR$4</f>
        <v>21560.983199999999</v>
      </c>
      <c r="BBP26" s="593">
        <f>'Proy 2022 vs 2019 sem'!JD25*BBR$4</f>
        <v>20698.543871999998</v>
      </c>
      <c r="BBQ26" s="697"/>
      <c r="BBR26" s="698">
        <f>BBQ26/BBO26</f>
        <v>0</v>
      </c>
      <c r="BBS26" s="593">
        <f>'Proy 2022 vs 2019 sem'!JC25*BBV$4</f>
        <v>21560.983199999999</v>
      </c>
      <c r="BBT26" s="593">
        <f>'Proy 2022 vs 2019 sem'!JD25*BBV$4</f>
        <v>20698.543871999998</v>
      </c>
      <c r="BBU26" s="697"/>
      <c r="BBV26" s="698">
        <f>BBU26/BBS26</f>
        <v>0</v>
      </c>
      <c r="BBW26" s="593">
        <f>'Proy 2022 vs 2019 sem'!JC25*BBZ$4</f>
        <v>25154.4804</v>
      </c>
      <c r="BBX26" s="593">
        <f>'Proy 2022 vs 2019 sem'!JD25*BBZ$4</f>
        <v>24148.301184</v>
      </c>
      <c r="BBY26" s="697"/>
      <c r="BBZ26" s="698">
        <f>BBY26/BBW26</f>
        <v>0</v>
      </c>
      <c r="BCA26" s="593">
        <f>'Proy 2022 vs 2019 sem'!JC25*BCD$4</f>
        <v>28747.977599999998</v>
      </c>
      <c r="BCB26" s="593">
        <f>'Proy 2022 vs 2019 sem'!JD25*BCD$4</f>
        <v>27598.058495999998</v>
      </c>
      <c r="BCC26" s="697"/>
      <c r="BCD26" s="698">
        <f>BCC26/BCA26</f>
        <v>0</v>
      </c>
      <c r="BCE26" s="593">
        <f>'Proy 2022 vs 2019 sem'!JC25*BCH$4</f>
        <v>39528.4692</v>
      </c>
      <c r="BCF26" s="593">
        <f>'Proy 2022 vs 2019 sem'!JD25*BCH$4</f>
        <v>37947.330431999995</v>
      </c>
      <c r="BCG26" s="697"/>
      <c r="BCH26" s="698">
        <f>BCG26/BCE26</f>
        <v>0</v>
      </c>
      <c r="BCI26" s="577">
        <f>BBG26+BBK26+BBO26+BBS26+BBW26+BCA26+BCE26</f>
        <v>179674.86</v>
      </c>
      <c r="BCJ26" s="578">
        <f>BBH26+BBL26+BBP26+BBT26+BBX26+BCB26+BCF26</f>
        <v>172487.86559999996</v>
      </c>
      <c r="BCK26" s="767">
        <f>BBI26+BBM26+BBQ26+BBU26+BBY26+BCC26+BCG26</f>
        <v>0</v>
      </c>
      <c r="BCL26" s="763">
        <f>BCK26/BCI26</f>
        <v>0</v>
      </c>
      <c r="BCM26" s="593">
        <f>'Proy 2022 vs 2019 sem'!JH25*BCP$4</f>
        <v>26932.118399999999</v>
      </c>
      <c r="BCN26" s="593">
        <f>'Proy 2022 vs 2019 sem'!JI25*BCP$4</f>
        <v>26393.476031999999</v>
      </c>
      <c r="BCO26" s="697"/>
      <c r="BCP26" s="698">
        <f>BCO26/BCM26</f>
        <v>0</v>
      </c>
      <c r="BCQ26" s="593">
        <f>'Proy 2022 vs 2019 sem'!JH25*BCT$4</f>
        <v>26932.118399999999</v>
      </c>
      <c r="BCR26" s="593">
        <f>'Proy 2022 vs 2019 sem'!JI25*BCT$4</f>
        <v>26393.476031999999</v>
      </c>
      <c r="BCS26" s="697"/>
      <c r="BCT26" s="698">
        <f>BCS26/BCQ26</f>
        <v>0</v>
      </c>
      <c r="BCU26" s="593">
        <f>'Proy 2022 vs 2019 sem'!JH25*BCX$4</f>
        <v>26932.118399999999</v>
      </c>
      <c r="BCV26" s="593">
        <f>'Proy 2022 vs 2019 sem'!JI25*BCX$4</f>
        <v>26393.476031999999</v>
      </c>
      <c r="BCW26" s="697"/>
      <c r="BCX26" s="698">
        <f>BCW26/BCU26</f>
        <v>0</v>
      </c>
      <c r="BCY26" s="593">
        <f>'Proy 2022 vs 2019 sem'!JH25*BDB$4</f>
        <v>26932.118399999999</v>
      </c>
      <c r="BCZ26" s="593">
        <f>'Proy 2022 vs 2019 sem'!JI25*BDB$4</f>
        <v>26393.476031999999</v>
      </c>
      <c r="BDA26" s="697"/>
      <c r="BDB26" s="698">
        <f>BDA26/BCY26</f>
        <v>0</v>
      </c>
      <c r="BDC26" s="593">
        <f>'Proy 2022 vs 2019 sem'!JH25*BDF$4</f>
        <v>31420.804800000005</v>
      </c>
      <c r="BDD26" s="593">
        <f>'Proy 2022 vs 2019 sem'!JI25*BDF$4</f>
        <v>30792.388704000005</v>
      </c>
      <c r="BDE26" s="697"/>
      <c r="BDF26" s="698">
        <f>BDE26/BDC26</f>
        <v>0</v>
      </c>
      <c r="BDG26" s="593">
        <f>'Proy 2022 vs 2019 sem'!JH25*BDJ$4</f>
        <v>35909.491200000004</v>
      </c>
      <c r="BDH26" s="593">
        <f>'Proy 2022 vs 2019 sem'!JI25*BDJ$4</f>
        <v>35191.301376000003</v>
      </c>
      <c r="BDI26" s="697"/>
      <c r="BDJ26" s="698">
        <f>BDI26/BDG26</f>
        <v>0</v>
      </c>
      <c r="BDK26" s="593">
        <f>'Proy 2022 vs 2019 sem'!JH25*BDN$4</f>
        <v>49375.5504</v>
      </c>
      <c r="BDL26" s="593">
        <f>'Proy 2022 vs 2019 sem'!JI25*BDN$4</f>
        <v>48388.039391999999</v>
      </c>
      <c r="BDM26" s="697"/>
      <c r="BDN26" s="698">
        <f>BDM26/BDK26</f>
        <v>0</v>
      </c>
      <c r="BDO26" s="577">
        <f>BCM26+BCQ26+BCU26+BCY26+BDC26+BDG26+BDK26</f>
        <v>224434.32</v>
      </c>
      <c r="BDP26" s="578">
        <f>BCN26+BCR26+BCV26+BCZ26+BDD26+BDH26+BDL26</f>
        <v>219945.6336</v>
      </c>
      <c r="BDQ26" s="767">
        <f>BCO26+BCS26+BCW26+BDA26+BDE26+BDI26+BDM26</f>
        <v>0</v>
      </c>
      <c r="BDR26" s="763">
        <f>BDQ26/BDO26</f>
        <v>0</v>
      </c>
      <c r="BDS26" s="593">
        <f>'Proy 2022 vs 2019 sem'!JM25*BDV$4</f>
        <v>29340.142799999998</v>
      </c>
      <c r="BDT26" s="593">
        <f>'Proy 2022 vs 2019 sem'!JN25*BDV$4</f>
        <v>29340.142799999998</v>
      </c>
      <c r="BDU26" s="697"/>
      <c r="BDV26" s="698">
        <f>BDU26/BDS26</f>
        <v>0</v>
      </c>
      <c r="BDW26" s="593">
        <f>'Proy 2022 vs 2019 sem'!JM25*BDZ$4</f>
        <v>29340.142799999998</v>
      </c>
      <c r="BDX26" s="593">
        <f>'Proy 2022 vs 2019 sem'!JN25*BDZ$4</f>
        <v>29340.142799999998</v>
      </c>
      <c r="BDY26" s="697"/>
      <c r="BDZ26" s="698">
        <f>BDY26/BDW26</f>
        <v>0</v>
      </c>
      <c r="BEA26" s="593">
        <f>'Proy 2022 vs 2019 sem'!JM25*BED$4</f>
        <v>29340.142799999998</v>
      </c>
      <c r="BEB26" s="593">
        <f>'Proy 2022 vs 2019 sem'!JN25*BED$4</f>
        <v>29340.142799999998</v>
      </c>
      <c r="BEC26" s="697"/>
      <c r="BED26" s="698">
        <f>BEC26/BEA26</f>
        <v>0</v>
      </c>
      <c r="BEE26" s="593">
        <v>14505.990400000001</v>
      </c>
      <c r="BEF26" s="593">
        <f>'Proy 2022 vs 2019 sem'!JN25*BEH$4</f>
        <v>29340.142799999998</v>
      </c>
      <c r="BEG26" s="697"/>
      <c r="BEH26" s="698">
        <f>BEG26/BEE26</f>
        <v>0</v>
      </c>
      <c r="BEI26" s="593">
        <f>'Proy 2022 vs 2019 sem'!JM25*BEL$4</f>
        <v>34230.166600000004</v>
      </c>
      <c r="BEJ26" s="593">
        <f>'Proy 2022 vs 2019 sem'!JN25*BEL$4</f>
        <v>34230.166600000004</v>
      </c>
      <c r="BEK26" s="697"/>
      <c r="BEL26" s="698">
        <f>BEK26/BEI26</f>
        <v>0</v>
      </c>
      <c r="BEM26" s="593">
        <f>'Proy 2022 vs 2019 sem'!JM25*BEP$4</f>
        <v>39120.190399999999</v>
      </c>
      <c r="BEN26" s="593">
        <f>'Proy 2022 vs 2019 sem'!JN25*BEP$4</f>
        <v>39120.190399999999</v>
      </c>
      <c r="BEO26" s="697"/>
      <c r="BEP26" s="698">
        <f>BEO26/BEM26</f>
        <v>0</v>
      </c>
      <c r="BEQ26" s="593">
        <f>'Proy 2022 vs 2019 sem'!JM25*BET$4</f>
        <v>53790.2618</v>
      </c>
      <c r="BER26" s="593">
        <f>'Proy 2022 vs 2019 sem'!JN25*BET$4</f>
        <v>53790.2618</v>
      </c>
      <c r="BES26" s="697"/>
      <c r="BET26" s="698">
        <f>BES26/BEQ26</f>
        <v>0</v>
      </c>
      <c r="BEU26" s="577">
        <f>BDS26+BDW26+BEA26+BEE26+BEI26+BEM26+BEQ26</f>
        <v>229667.03759999998</v>
      </c>
      <c r="BEV26" s="578">
        <f>BDT26+BDX26+BEB26+BEF26+BEJ26+BEN26+BER26</f>
        <v>244501.19</v>
      </c>
      <c r="BEW26" s="772">
        <f>BDU26+BDY26+BEC26+BEG26+BEK26+BEO26+BES26</f>
        <v>0</v>
      </c>
      <c r="BEX26" s="763">
        <f>BEW26/BEU26</f>
        <v>0</v>
      </c>
      <c r="BEY26" s="593">
        <f>'Proy 2022 vs 2019 sem'!JV25*BFB$4</f>
        <v>40431.285599999996</v>
      </c>
      <c r="BEZ26" s="593">
        <f>'Proy 2022 vs 2019 sem'!JW25*BFB$4</f>
        <v>38005.408463999993</v>
      </c>
      <c r="BFA26" s="734"/>
      <c r="BFB26" s="698">
        <f>BFA26/BEY26</f>
        <v>0</v>
      </c>
      <c r="BFC26" s="593">
        <f>'Proy 2022 vs 2019 sem'!JV25*BFF$4</f>
        <v>40431.285599999996</v>
      </c>
      <c r="BFD26" s="593">
        <f>'Proy 2022 vs 2019 sem'!JW25*BFF$4</f>
        <v>38005.408463999993</v>
      </c>
      <c r="BFE26" s="734"/>
      <c r="BFF26" s="698">
        <f>BFE26/BFC26</f>
        <v>0</v>
      </c>
      <c r="BFG26" s="593">
        <f>'Proy 2022 vs 2019 sem'!JV25*BFJ$4</f>
        <v>40431.285599999996</v>
      </c>
      <c r="BFH26" s="593">
        <f>'Proy 2022 vs 2019 sem'!JW25*BFJ$4</f>
        <v>38005.408463999993</v>
      </c>
      <c r="BFI26" s="734"/>
      <c r="BFJ26" s="698">
        <f>BFI26/BFG26</f>
        <v>0</v>
      </c>
      <c r="BFK26" s="593">
        <f>'Proy 2022 vs 2019 sem'!JV25*BFN$4</f>
        <v>40431.285599999996</v>
      </c>
      <c r="BFL26" s="593">
        <f>'Proy 2022 vs 2019 sem'!JW25*BFN$4</f>
        <v>38005.408463999993</v>
      </c>
      <c r="BFM26" s="734"/>
      <c r="BFN26" s="698">
        <f>BFM26/BFK26</f>
        <v>0</v>
      </c>
      <c r="BFO26" s="593">
        <f>'Proy 2022 vs 2019 sem'!JV25*BFR$4</f>
        <v>47169.833200000008</v>
      </c>
      <c r="BFP26" s="593">
        <f>'Proy 2022 vs 2019 sem'!JW25*BFR$4</f>
        <v>44339.643208000001</v>
      </c>
      <c r="BFQ26" s="734"/>
      <c r="BFR26" s="698">
        <f>BFQ26/BFO26</f>
        <v>0</v>
      </c>
      <c r="BFS26" s="593">
        <f>'Proy 2022 vs 2019 sem'!JV25*BFV$4</f>
        <v>53908.380799999999</v>
      </c>
      <c r="BFT26" s="593">
        <f>'Proy 2022 vs 2019 sem'!JW25*BFV$4</f>
        <v>50673.877951999995</v>
      </c>
      <c r="BFU26" s="734"/>
      <c r="BFV26" s="698">
        <f>BFU26/BFS26</f>
        <v>0</v>
      </c>
      <c r="BFW26" s="593">
        <f>'Proy 2022 vs 2019 sem'!JV25*BFZ$4</f>
        <v>74124.0236</v>
      </c>
      <c r="BFX26" s="593">
        <f>'Proy 2022 vs 2019 sem'!JW25*BFZ$4</f>
        <v>69676.582183999999</v>
      </c>
      <c r="BFY26" s="734"/>
      <c r="BFZ26" s="698">
        <f>BFY26/BFW26</f>
        <v>0</v>
      </c>
      <c r="BGA26" s="577">
        <f>BEY26+BFC26+BFG26+BFK26+BFO26+BFS26+BFW26</f>
        <v>336927.38</v>
      </c>
      <c r="BGB26" s="578">
        <f>BEZ26+BFD26+BFH26+BFL26+BFP26+BFT26+BFX26</f>
        <v>316711.73719999997</v>
      </c>
      <c r="BGC26" s="729">
        <f>BFA26+BFE26+BFI26+BFM26+BFQ26+BFU26+BFY26</f>
        <v>0</v>
      </c>
      <c r="BGD26" s="715">
        <f>BGC26/BGA26</f>
        <v>0</v>
      </c>
      <c r="BGE26" s="593">
        <f>'Proy 2022 vs 2019 sem'!KA25*BGH$4</f>
        <v>39662.512799999997</v>
      </c>
      <c r="BGF26" s="593">
        <f>'Proy 2022 vs 2019 sem'!KB25*BGH$4</f>
        <v>36886.136903999999</v>
      </c>
      <c r="BGG26" s="697"/>
      <c r="BGH26" s="698">
        <f>BGG26/BGE26</f>
        <v>0</v>
      </c>
      <c r="BGI26" s="593">
        <f>'Proy 2022 vs 2019 sem'!KA25*BGL$4</f>
        <v>39662.512799999997</v>
      </c>
      <c r="BGJ26" s="593">
        <f>'Proy 2022 vs 2019 sem'!KB25*BGL$4</f>
        <v>36886.136903999999</v>
      </c>
      <c r="BGK26" s="697"/>
      <c r="BGL26" s="698">
        <f>BGK26/BGI26</f>
        <v>0</v>
      </c>
      <c r="BGM26" s="593">
        <f>'Proy 2022 vs 2019 sem'!KA25*BGP$4</f>
        <v>39662.512799999997</v>
      </c>
      <c r="BGN26" s="593">
        <f>'Proy 2022 vs 2019 sem'!KB25*BGP$4</f>
        <v>36886.136903999999</v>
      </c>
      <c r="BGO26" s="697"/>
      <c r="BGP26" s="698">
        <f>BGO26/BGM26</f>
        <v>0</v>
      </c>
      <c r="BGQ26" s="593">
        <f>'Proy 2022 vs 2019 sem'!KA25*BGT$4</f>
        <v>39662.512799999997</v>
      </c>
      <c r="BGR26" s="593">
        <f>'Proy 2022 vs 2019 sem'!KB25*BGT$4</f>
        <v>36886.136903999999</v>
      </c>
      <c r="BGS26" s="697"/>
      <c r="BGT26" s="698">
        <f>BGS26/BGQ26</f>
        <v>0</v>
      </c>
      <c r="BGU26" s="593">
        <f>'Proy 2022 vs 2019 sem'!KA25*BGX$4</f>
        <v>46272.931600000004</v>
      </c>
      <c r="BGV26" s="593">
        <f>'Proy 2022 vs 2019 sem'!KB25*BGX$4</f>
        <v>43033.826388000001</v>
      </c>
      <c r="BGW26" s="697"/>
      <c r="BGX26" s="698">
        <f>BGW26/BGU26</f>
        <v>0</v>
      </c>
      <c r="BGY26" s="593">
        <f>'Proy 2022 vs 2019 sem'!KA25*BHB$4</f>
        <v>52883.350400000003</v>
      </c>
      <c r="BGZ26" s="593">
        <f>'Proy 2022 vs 2019 sem'!KB25*BHB$4</f>
        <v>49181.515872000004</v>
      </c>
      <c r="BHA26" s="697"/>
      <c r="BHB26" s="698">
        <f>BHA26/BGY26</f>
        <v>0</v>
      </c>
      <c r="BHC26" s="593">
        <f>'Proy 2022 vs 2019 sem'!KA25*BHF$4</f>
        <v>72714.606799999994</v>
      </c>
      <c r="BHD26" s="593">
        <f>'Proy 2022 vs 2019 sem'!KB25*BHF$4</f>
        <v>67624.584323999996</v>
      </c>
      <c r="BHE26" s="697"/>
      <c r="BHF26" s="698">
        <f>BHE26/BHC26</f>
        <v>0</v>
      </c>
      <c r="BHG26" s="577">
        <f>BGE26+BGI26+BGM26+BGQ26+BGU26+BGY26+BHC26</f>
        <v>330520.94</v>
      </c>
      <c r="BHH26" s="578">
        <f>BGF26+BGJ26+BGN26+BGR26+BGV26+BGZ26+BHD26</f>
        <v>307384.4742</v>
      </c>
      <c r="BHI26" s="732">
        <f>BGG26+BGK26+BGO26+BGS26+BGW26+BHA26+BHE26</f>
        <v>0</v>
      </c>
      <c r="BHJ26" s="715">
        <f>BHI26/BHG26</f>
        <v>0</v>
      </c>
      <c r="BHK26" s="593">
        <f>'Proy 2022 vs 2019 sem'!KF25*BHN$4</f>
        <v>50076.376799999998</v>
      </c>
      <c r="BHL26" s="593">
        <f>'Proy 2022 vs 2019 sem'!KG25*BHN$4</f>
        <v>47572.557959999998</v>
      </c>
      <c r="BHM26" s="697"/>
      <c r="BHN26" s="698">
        <f>BHM26/BHK26</f>
        <v>0</v>
      </c>
      <c r="BHO26" s="593">
        <f>'Proy 2022 vs 2019 sem'!KF25*BHR$4</f>
        <v>50076.376799999998</v>
      </c>
      <c r="BHP26" s="593">
        <f>'Proy 2022 vs 2019 sem'!KG25*BHR$4</f>
        <v>47572.557959999998</v>
      </c>
      <c r="BHQ26" s="697"/>
      <c r="BHR26" s="698">
        <f>BHQ26/BHO26</f>
        <v>0</v>
      </c>
      <c r="BHS26" s="593">
        <f>'Proy 2022 vs 2019 sem'!KF25*BHV$4</f>
        <v>50076.376799999998</v>
      </c>
      <c r="BHT26" s="593">
        <f>'Proy 2022 vs 2019 sem'!KG25*BHV$4</f>
        <v>47572.557959999998</v>
      </c>
      <c r="BHU26" s="697"/>
      <c r="BHV26" s="698">
        <f>BHU26/BHS26</f>
        <v>0</v>
      </c>
      <c r="BHW26" s="593">
        <f>'Proy 2022 vs 2019 sem'!KF25*BHZ$4</f>
        <v>50076.376799999998</v>
      </c>
      <c r="BHX26" s="593">
        <f>'Proy 2022 vs 2019 sem'!KG25*BHZ$4</f>
        <v>47572.557959999998</v>
      </c>
      <c r="BHY26" s="697"/>
      <c r="BHZ26" s="698">
        <f>BHY26/BHW26</f>
        <v>0</v>
      </c>
      <c r="BIA26" s="593">
        <f>'Proy 2022 vs 2019 sem'!KF25*BID$4</f>
        <v>58422.439600000005</v>
      </c>
      <c r="BIB26" s="593">
        <f>'Proy 2022 vs 2019 sem'!KG25*BID$4</f>
        <v>55501.317620000009</v>
      </c>
      <c r="BIC26" s="697"/>
      <c r="BID26" s="698">
        <f>BIC26/BIA26</f>
        <v>0</v>
      </c>
      <c r="BIE26" s="593">
        <f>'Proy 2022 vs 2019 sem'!KF25*BIH$4</f>
        <v>66768.502399999998</v>
      </c>
      <c r="BIF26" s="593">
        <f>'Proy 2022 vs 2019 sem'!KG25*BIH$4</f>
        <v>63430.077280000005</v>
      </c>
      <c r="BIG26" s="697"/>
      <c r="BIH26" s="698">
        <f>BIG26/BIE26</f>
        <v>0</v>
      </c>
      <c r="BII26" s="593">
        <f>'Proy 2022 vs 2019 sem'!KF25*BIL$4</f>
        <v>91806.690799999997</v>
      </c>
      <c r="BIJ26" s="593">
        <f>'Proy 2022 vs 2019 sem'!KG25*BIL$4</f>
        <v>87216.35626</v>
      </c>
      <c r="BIK26" s="697"/>
      <c r="BIL26" s="698">
        <f>BIK26/BII26</f>
        <v>0</v>
      </c>
      <c r="BIM26" s="577">
        <f>BHK26+BHO26+BHS26+BHW26+BIA26+BIE26+BII26</f>
        <v>417303.14</v>
      </c>
      <c r="BIN26" s="578">
        <f>BHL26+BHP26+BHT26+BHX26+BIB26+BIF26+BIJ26</f>
        <v>396437.98300000001</v>
      </c>
      <c r="BIO26" s="732">
        <f>BHM26+BHQ26+BHU26+BHY26+BIC26+BIG26+BIK26</f>
        <v>0</v>
      </c>
      <c r="BIP26" s="715">
        <f>BIO26/BIM26</f>
        <v>0</v>
      </c>
      <c r="BIQ26" s="593">
        <f>'Proy 2022 vs 2019 sem'!KK25*BIT$4</f>
        <v>48681.464399999997</v>
      </c>
      <c r="BIR26" s="593">
        <f>'Proy 2022 vs 2019 sem'!KL25*BIT$4</f>
        <v>46247.391179999999</v>
      </c>
      <c r="BIS26" s="697"/>
      <c r="BIT26" s="698">
        <f>BIS26/BIQ26</f>
        <v>0</v>
      </c>
      <c r="BIU26" s="593">
        <f>'Proy 2022 vs 2019 sem'!KK25*BIX$4</f>
        <v>48681.464399999997</v>
      </c>
      <c r="BIV26" s="593">
        <f>'Proy 2022 vs 2019 sem'!KL25*BIX$4</f>
        <v>46247.391179999999</v>
      </c>
      <c r="BIW26" s="697"/>
      <c r="BIX26" s="698">
        <f>BIW26/BIU26</f>
        <v>0</v>
      </c>
      <c r="BIY26" s="593">
        <f>'Proy 2022 vs 2019 sem'!KK25*BJB$4</f>
        <v>48681.464399999997</v>
      </c>
      <c r="BIZ26" s="593">
        <f>'Proy 2022 vs 2019 sem'!KL25*BJB$4</f>
        <v>46247.391179999999</v>
      </c>
      <c r="BJA26" s="697"/>
      <c r="BJB26" s="698">
        <f>BJA26/BIY26</f>
        <v>0</v>
      </c>
      <c r="BJC26" s="593">
        <f>'Proy 2022 vs 2019 sem'!KK25*BJF$4</f>
        <v>48681.464399999997</v>
      </c>
      <c r="BJD26" s="593">
        <f>'Proy 2022 vs 2019 sem'!KL25*BJF$4</f>
        <v>46247.391179999999</v>
      </c>
      <c r="BJE26" s="697"/>
      <c r="BJF26" s="698">
        <f>BJE26/BJC26</f>
        <v>0</v>
      </c>
      <c r="BJG26" s="593">
        <f>'Proy 2022 vs 2019 sem'!KK25*BJJ$4</f>
        <v>56795.041800000006</v>
      </c>
      <c r="BJH26" s="593">
        <f>'Proy 2022 vs 2019 sem'!KL25*BJJ$4</f>
        <v>53955.289710000005</v>
      </c>
      <c r="BJI26" s="697"/>
      <c r="BJJ26" s="698">
        <f>BJI26/BJG26</f>
        <v>0</v>
      </c>
      <c r="BJK26" s="593">
        <f>'Proy 2022 vs 2019 sem'!KK25*BJN$4</f>
        <v>64908.619200000001</v>
      </c>
      <c r="BJL26" s="593">
        <f>'Proy 2022 vs 2019 sem'!KL25*BJN$4</f>
        <v>61663.188240000003</v>
      </c>
      <c r="BJM26" s="697"/>
      <c r="BJN26" s="698">
        <f>BJM26/BJK26</f>
        <v>0</v>
      </c>
      <c r="BJO26" s="593">
        <f>'Proy 2022 vs 2019 sem'!KK25*BJR$4</f>
        <v>89249.3514</v>
      </c>
      <c r="BJP26" s="593">
        <f>'Proy 2022 vs 2019 sem'!KL25*BJR$4</f>
        <v>84786.883830000006</v>
      </c>
      <c r="BJQ26" s="697"/>
      <c r="BJR26" s="698">
        <f>BJQ26/BJO26</f>
        <v>0</v>
      </c>
      <c r="BJS26" s="577">
        <f>BIQ26+BIU26+BIY26+BJC26+BJG26+BJK26+BJO26</f>
        <v>405678.87</v>
      </c>
      <c r="BJT26" s="578">
        <f>BIR26+BIV26+BIZ26+BJD26+BJH26+BJL26+BJP26</f>
        <v>385394.9265</v>
      </c>
      <c r="BJU26" s="714">
        <f>BIS26+BIW26+BJA26+BJE26+BJI26+BJM26+BJQ26</f>
        <v>0</v>
      </c>
      <c r="BJV26" s="715">
        <f>BJU26/BJS26</f>
        <v>0</v>
      </c>
      <c r="BJW26" s="593">
        <f>'Proy 2022 vs 2019 sem'!KP25*BJZ$4</f>
        <v>20311.025999999998</v>
      </c>
      <c r="BJX26" s="593">
        <f>'Proy 2022 vs 2019 sem'!KQ25*BJZ$4</f>
        <v>19904.805479999999</v>
      </c>
      <c r="BJY26" s="697"/>
      <c r="BJZ26" s="698">
        <f>BJY26/BJW26</f>
        <v>0</v>
      </c>
      <c r="BKA26" s="593">
        <f>'Proy 2022 vs 2019 sem'!KP25*BKD$4</f>
        <v>20311.025999999998</v>
      </c>
      <c r="BKB26" s="593">
        <f>'Proy 2022 vs 2019 sem'!KQ25*BKD$4</f>
        <v>19904.805479999999</v>
      </c>
      <c r="BKC26" s="697"/>
      <c r="BKD26" s="698">
        <f>BKC26/BKA26</f>
        <v>0</v>
      </c>
      <c r="BKE26" s="593">
        <f>'Proy 2022 vs 2019 sem'!KP25*BKH$4</f>
        <v>20311.025999999998</v>
      </c>
      <c r="BKF26" s="593">
        <f>'Proy 2022 vs 2019 sem'!KQ25*BKH$4</f>
        <v>19904.805479999999</v>
      </c>
      <c r="BKG26" s="697"/>
      <c r="BKH26" s="698">
        <f>BKG26/BKE26</f>
        <v>0</v>
      </c>
      <c r="BKI26" s="593">
        <f>'Proy 2022 vs 2019 sem'!KP25*BKL$4</f>
        <v>20311.025999999998</v>
      </c>
      <c r="BKJ26" s="593">
        <f>'Proy 2022 vs 2019 sem'!KQ25*BKL$4</f>
        <v>19904.805479999999</v>
      </c>
      <c r="BKK26" s="697"/>
      <c r="BKL26" s="698">
        <f>BKK26/BKI26</f>
        <v>0</v>
      </c>
      <c r="BKM26" s="593">
        <f>'Proy 2022 vs 2019 sem'!KP25*BKP$4</f>
        <v>23696.197</v>
      </c>
      <c r="BKN26" s="593">
        <f>'Proy 2022 vs 2019 sem'!KQ25*BKP$4</f>
        <v>23222.27306</v>
      </c>
      <c r="BKO26" s="697"/>
      <c r="BKP26" s="698">
        <f>BKO26/BKM26</f>
        <v>0</v>
      </c>
      <c r="BKQ26" s="593">
        <f>'Proy 2022 vs 2019 sem'!KP25*BKT$4</f>
        <v>27081.367999999999</v>
      </c>
      <c r="BKR26" s="593">
        <f>'Proy 2022 vs 2019 sem'!KQ25*BKT$4</f>
        <v>26539.74064</v>
      </c>
      <c r="BKS26" s="697"/>
      <c r="BKT26" s="698">
        <f>BKS26/BKQ26</f>
        <v>0</v>
      </c>
      <c r="BKU26" s="593">
        <f>'Proy 2022 vs 2019 sem'!KP25*BKX$4</f>
        <v>37236.881000000001</v>
      </c>
      <c r="BKV26" s="593">
        <f>'Proy 2022 vs 2019 sem'!KQ25*BKX$4</f>
        <v>36492.143379999994</v>
      </c>
      <c r="BKW26" s="697"/>
      <c r="BKX26" s="698">
        <f>BKW26/BKU26</f>
        <v>0</v>
      </c>
      <c r="BKY26" s="577">
        <f>BJW26+BKA26+BKE26+BKI26+BKM26+BKQ26+BKU26</f>
        <v>169258.55</v>
      </c>
      <c r="BKZ26" s="578">
        <f>BJX26+BKB26+BKF26+BKJ26+BKN26+BKR26+BKV26</f>
        <v>165873.37899999999</v>
      </c>
      <c r="BLA26" s="714">
        <f>BJY26+BKC26+BKG26+BKK26+BKO26+BKS26+BKW26</f>
        <v>0</v>
      </c>
      <c r="BLB26" s="715">
        <f>BLA26/BKY26</f>
        <v>0</v>
      </c>
    </row>
    <row r="27" spans="2:1666" ht="15.75" customHeight="1">
      <c r="B27" s="930" t="s">
        <v>478</v>
      </c>
      <c r="C27" s="593">
        <f>'Proy 2022 vs 2019 sem'!$C$6*$F$4</f>
        <v>9529.1268</v>
      </c>
      <c r="D27" s="593">
        <f>'Proy 2022 vs 2019 sem'!$D$6*$F$4</f>
        <v>8480.9228519999997</v>
      </c>
      <c r="E27" s="735"/>
      <c r="F27" s="700">
        <f>E27/C27</f>
        <v>0</v>
      </c>
      <c r="G27" s="1414">
        <f>'Proy 2022 vs 2019 sem'!C26*$J$4</f>
        <v>14303.265600000001</v>
      </c>
      <c r="H27" s="593">
        <f>'Proy 2022 vs 2019 sem'!D26*$J$4</f>
        <v>19104.804791999999</v>
      </c>
      <c r="I27" s="735"/>
      <c r="J27" s="700">
        <f>I27/G27</f>
        <v>0</v>
      </c>
      <c r="K27" s="593">
        <f>'Proy 2022 vs 2019 sem'!C26*$N$4</f>
        <v>14303.265600000001</v>
      </c>
      <c r="L27" s="593">
        <f>'Proy 2022 vs 2019 sem'!D26*N$4</f>
        <v>19104.804791999999</v>
      </c>
      <c r="M27" s="735"/>
      <c r="N27" s="700">
        <f>M27/K27</f>
        <v>0</v>
      </c>
      <c r="O27" s="593">
        <f>'Proy 2022 vs 2019 sem'!C26*R$4</f>
        <v>14303.265600000001</v>
      </c>
      <c r="P27" s="593">
        <f>'Proy 2022 vs 2019 sem'!D26*$R$4</f>
        <v>19104.804791999999</v>
      </c>
      <c r="Q27" s="735"/>
      <c r="R27" s="700">
        <f>Q27/O27</f>
        <v>0</v>
      </c>
      <c r="S27" s="593">
        <f>'Proy 2022 vs 2019 sem'!C26*V$4</f>
        <v>16687.143200000002</v>
      </c>
      <c r="T27" s="593">
        <f>'Proy 2022 vs 2019 sem'!D26*V$4</f>
        <v>22288.938924000002</v>
      </c>
      <c r="U27" s="735"/>
      <c r="V27" s="700">
        <f>U27/S27</f>
        <v>0</v>
      </c>
      <c r="W27" s="593">
        <f>'Proy 2022 vs 2019 sem'!C26*Z$4</f>
        <v>19071.020800000002</v>
      </c>
      <c r="X27" s="593">
        <f>'Proy 2022 vs 2019 sem'!D26*Z$4</f>
        <v>25473.073056000001</v>
      </c>
      <c r="Y27" s="735"/>
      <c r="Z27" s="700">
        <f>Y27/W27</f>
        <v>0</v>
      </c>
      <c r="AA27" s="593">
        <f>'Proy 2022 vs 2019 sem'!C26*AD$4</f>
        <v>26222.653600000001</v>
      </c>
      <c r="AB27" s="593">
        <f>'Proy 2022 vs 2019 sem'!D26*AD$4</f>
        <v>35025.475451999999</v>
      </c>
      <c r="AC27" s="735"/>
      <c r="AD27" s="700">
        <f>AC27/AA27</f>
        <v>0</v>
      </c>
      <c r="AE27" s="579">
        <f>C27+G27+K27+O27+S27+W27+AA27</f>
        <v>114419.7412</v>
      </c>
      <c r="AF27" s="574">
        <f>D27+H27+L27+P27+T27+X27+AB27</f>
        <v>148582.82465999998</v>
      </c>
      <c r="AG27" s="729">
        <f>E27+I27+M27+Q27+U27+Y27+AC27</f>
        <v>0</v>
      </c>
      <c r="AH27" s="711">
        <f>AG27/AE27</f>
        <v>0</v>
      </c>
      <c r="AI27" s="593">
        <f>'Proy 2022 vs 2019 sem'!H26*AL$4</f>
        <v>15295.371599999999</v>
      </c>
      <c r="AJ27" s="611">
        <f>'Proy 2022 vs 2019 sem'!I26*AL$4</f>
        <v>22014.847403999996</v>
      </c>
      <c r="AK27" s="699"/>
      <c r="AL27" s="700">
        <f>AK27/AI27</f>
        <v>0</v>
      </c>
      <c r="AM27" s="593">
        <f>'Proy 2022 vs 2019 sem'!H26*AP$4</f>
        <v>15295.371599999999</v>
      </c>
      <c r="AN27" s="593">
        <f>'Proy 2022 vs 2019 sem'!I26*AP$4</f>
        <v>22014.847403999996</v>
      </c>
      <c r="AO27" s="699"/>
      <c r="AP27" s="700">
        <f>AO27/AM27</f>
        <v>0</v>
      </c>
      <c r="AQ27" s="593">
        <f>'Proy 2022 vs 2019 sem'!H26*AT$4</f>
        <v>15295.371599999999</v>
      </c>
      <c r="AR27" s="593">
        <f>'Proy 2022 vs 2019 sem'!I26*AT$4</f>
        <v>22014.847403999996</v>
      </c>
      <c r="AS27" s="699"/>
      <c r="AT27" s="700">
        <f>AS27/AQ27</f>
        <v>0</v>
      </c>
      <c r="AU27" s="593">
        <f>'Proy 2022 vs 2019 sem'!H26*AX$4</f>
        <v>15295.371599999999</v>
      </c>
      <c r="AV27" s="593">
        <f>'Proy 2022 vs 2019 sem'!I26*AX$4</f>
        <v>22014.847403999996</v>
      </c>
      <c r="AW27" s="699"/>
      <c r="AX27" s="700">
        <f>AW27/AU27</f>
        <v>0</v>
      </c>
      <c r="AY27" s="593">
        <f>'Proy 2022 vs 2019 sem'!H26*BB$4</f>
        <v>17844.600200000001</v>
      </c>
      <c r="AZ27" s="593">
        <f>'Proy 2022 vs 2019 sem'!I26*BB$4</f>
        <v>25683.988638000003</v>
      </c>
      <c r="BA27" s="699"/>
      <c r="BB27" s="700">
        <f>BA27/AY27</f>
        <v>0</v>
      </c>
      <c r="BC27" s="593">
        <f>'Proy 2022 vs 2019 sem'!H26*BF$4</f>
        <v>20393.828799999999</v>
      </c>
      <c r="BD27" s="593">
        <f>'Proy 2022 vs 2019 sem'!I26*BF$4</f>
        <v>29353.129871999998</v>
      </c>
      <c r="BE27" s="699"/>
      <c r="BF27" s="700">
        <f>BE27/BC27</f>
        <v>0</v>
      </c>
      <c r="BG27" s="593">
        <f>'Proy 2022 vs 2019 sem'!H26*BJ$4</f>
        <v>28041.514599999999</v>
      </c>
      <c r="BH27" s="593">
        <f>'Proy 2022 vs 2019 sem'!I26*BJ$4</f>
        <v>40360.553573999998</v>
      </c>
      <c r="BI27" s="699"/>
      <c r="BJ27" s="700">
        <f>BI27/BG27</f>
        <v>0</v>
      </c>
      <c r="BK27" s="579">
        <f>AI27+AM27+AQ27+AU27+AY27+BC27+BG27</f>
        <v>127461.43</v>
      </c>
      <c r="BL27" s="574">
        <f>AJ27+AN27+AR27+AV27+AZ27+BD27+BH27</f>
        <v>183457.06169999996</v>
      </c>
      <c r="BM27" s="730">
        <f>AK27+AO27+AS27+AW27+BA27+BE27+BI27</f>
        <v>0</v>
      </c>
      <c r="BN27" s="711">
        <f>BM27/BK27</f>
        <v>0</v>
      </c>
      <c r="BO27" s="593">
        <f>'Proy 2022 vs 2019 sem'!M26*BR$4</f>
        <v>15774.0708</v>
      </c>
      <c r="BP27" s="593">
        <f>'Proy 2022 vs 2019 sem'!N26*BR$4</f>
        <v>20105.09316</v>
      </c>
      <c r="BQ27" s="699"/>
      <c r="BR27" s="700">
        <f>BQ27/BO27</f>
        <v>0</v>
      </c>
      <c r="BS27" s="593">
        <f>'Proy 2022 vs 2019 sem'!M26*BV$4</f>
        <v>15774.0708</v>
      </c>
      <c r="BT27" s="593">
        <f>'Proy 2022 vs 2019 sem'!N26*BV$4</f>
        <v>20105.09316</v>
      </c>
      <c r="BU27" s="699"/>
      <c r="BV27" s="700">
        <f>BU27/BS27</f>
        <v>0</v>
      </c>
      <c r="BW27" s="593">
        <f>'Proy 2022 vs 2019 sem'!M26*BZ$4</f>
        <v>15774.0708</v>
      </c>
      <c r="BX27" s="593">
        <f>'Proy 2022 vs 2019 sem'!N26*BZ$4</f>
        <v>20105.09316</v>
      </c>
      <c r="BY27" s="699"/>
      <c r="BZ27" s="700">
        <f>BY27/BW27</f>
        <v>0</v>
      </c>
      <c r="CA27" s="593">
        <f>'Proy 2022 vs 2019 sem'!M26*CD$4</f>
        <v>15774.0708</v>
      </c>
      <c r="CB27" s="593">
        <f>'Proy 2022 vs 2019 sem'!N26*CD$4</f>
        <v>20105.09316</v>
      </c>
      <c r="CC27" s="699"/>
      <c r="CD27" s="700">
        <f>CC27/CA27</f>
        <v>0</v>
      </c>
      <c r="CE27" s="593">
        <f>'Proy 2022 vs 2019 sem'!M26*CH$4</f>
        <v>18403.082600000002</v>
      </c>
      <c r="CF27" s="593">
        <f>'Proy 2022 vs 2019 sem'!N26*CH$4</f>
        <v>23455.942020000002</v>
      </c>
      <c r="CG27" s="699"/>
      <c r="CH27" s="700">
        <f>CG27/CE27</f>
        <v>0</v>
      </c>
      <c r="CI27" s="593">
        <f>'Proy 2022 vs 2019 sem'!M26*CL$4</f>
        <v>21032.094399999998</v>
      </c>
      <c r="CJ27" s="593">
        <f>'Proy 2022 vs 2019 sem'!N26*CL$4</f>
        <v>26806.79088</v>
      </c>
      <c r="CK27" s="699"/>
      <c r="CL27" s="700">
        <f>CK27/CI27</f>
        <v>0</v>
      </c>
      <c r="CM27" s="593">
        <f>'Proy 2022 vs 2019 sem'!M26*CP$4</f>
        <v>28919.129799999999</v>
      </c>
      <c r="CN27" s="593">
        <f>'Proy 2022 vs 2019 sem'!N26*CP$4</f>
        <v>36859.337460000002</v>
      </c>
      <c r="CO27" s="699"/>
      <c r="CP27" s="700">
        <f>CO27/CM27</f>
        <v>0</v>
      </c>
      <c r="CQ27" s="579">
        <f>BO27+BS27+BW27+CA27+CE27+CI27+CM27</f>
        <v>131450.59</v>
      </c>
      <c r="CR27" s="574">
        <f>BP27+BT27+BX27+CB27+CF27+CJ27+CN27</f>
        <v>167542.443</v>
      </c>
      <c r="CS27" s="730">
        <f>BQ27+BU27+BY27+CC27+CG27+CK27+CO27</f>
        <v>0</v>
      </c>
      <c r="CT27" s="711">
        <f>CS27/CQ27</f>
        <v>0</v>
      </c>
      <c r="CU27" s="593">
        <f>'Proy 2022 vs 2019 sem'!R26*CX$4</f>
        <v>15046.741199999999</v>
      </c>
      <c r="CV27" s="593">
        <f>'Proy 2022 vs 2019 sem'!S26*CX$4</f>
        <v>19400.515199999998</v>
      </c>
      <c r="CW27" s="699"/>
      <c r="CX27" s="700">
        <f>CW27/CU27</f>
        <v>0</v>
      </c>
      <c r="CY27" s="593">
        <f>'Proy 2022 vs 2019 sem'!R26*DB$4</f>
        <v>15046.741199999999</v>
      </c>
      <c r="CZ27" s="593">
        <f>'Proy 2022 vs 2019 sem'!S26*DB$4</f>
        <v>19400.515199999998</v>
      </c>
      <c r="DA27" s="699"/>
      <c r="DB27" s="700">
        <f>DA27/CY27</f>
        <v>0</v>
      </c>
      <c r="DC27" s="593">
        <f>'Proy 2022 vs 2019 sem'!R26*DF$4</f>
        <v>15046.741199999999</v>
      </c>
      <c r="DD27" s="593">
        <f>'Proy 2022 vs 2019 sem'!S26*DF$4</f>
        <v>19400.515199999998</v>
      </c>
      <c r="DE27" s="699"/>
      <c r="DF27" s="700">
        <f>DE27/DC27</f>
        <v>0</v>
      </c>
      <c r="DG27" s="593">
        <f>'Proy 2022 vs 2019 sem'!R26*DJ$4</f>
        <v>15046.741199999999</v>
      </c>
      <c r="DH27" s="593">
        <f>'Proy 2022 vs 2019 sem'!S26*DJ$4</f>
        <v>19400.515199999998</v>
      </c>
      <c r="DI27" s="699"/>
      <c r="DJ27" s="700">
        <f>DI27/DG27</f>
        <v>0</v>
      </c>
      <c r="DK27" s="593">
        <f>'Proy 2022 vs 2019 sem'!R26*DN$4</f>
        <v>17554.5314</v>
      </c>
      <c r="DL27" s="593">
        <f>'Proy 2022 vs 2019 sem'!S26*DN$4</f>
        <v>22633.934400000002</v>
      </c>
      <c r="DM27" s="699"/>
      <c r="DN27" s="700">
        <f>DM27/DK27</f>
        <v>0</v>
      </c>
      <c r="DO27" s="593">
        <f>'Proy 2022 vs 2019 sem'!R26*DR$4</f>
        <v>20062.321599999999</v>
      </c>
      <c r="DP27" s="593">
        <f>'Proy 2022 vs 2019 sem'!S26*DR$4</f>
        <v>25867.353599999999</v>
      </c>
      <c r="DQ27" s="699"/>
      <c r="DR27" s="700">
        <f>DQ27/DO27</f>
        <v>0</v>
      </c>
      <c r="DS27" s="593">
        <f>'Proy 2022 vs 2019 sem'!R26*DV$4</f>
        <v>27585.692199999998</v>
      </c>
      <c r="DT27" s="593">
        <f>'Proy 2022 vs 2019 sem'!S26*DV$4</f>
        <v>35567.611199999999</v>
      </c>
      <c r="DU27" s="699"/>
      <c r="DV27" s="700">
        <f>DU27/DS27</f>
        <v>0</v>
      </c>
      <c r="DW27" s="579">
        <f>CU27+CY27+DC27+DG27+DK27+DO27+DS27</f>
        <v>125389.50999999998</v>
      </c>
      <c r="DX27" s="574">
        <f>CV27+CZ27+DD27+DH27+DL27+DP27+DT27</f>
        <v>161670.96</v>
      </c>
      <c r="DY27" s="710">
        <f>CW27+DA27+DE27+DI27+DM27+DQ27+DU27</f>
        <v>0</v>
      </c>
      <c r="DZ27" s="711">
        <f>DY27/DW27</f>
        <v>0</v>
      </c>
      <c r="EA27" s="593">
        <f>'Proy 2022 vs 2019 sem'!AA26*ED$4</f>
        <v>15925.9836</v>
      </c>
      <c r="EB27" s="593">
        <f>'Proy 2022 vs 2019 sem'!AB26*ED$4</f>
        <v>19953.070199999998</v>
      </c>
      <c r="EC27" s="735"/>
      <c r="ED27" s="700">
        <f>EC27/EA27</f>
        <v>0</v>
      </c>
      <c r="EE27" s="593">
        <f>'Proy 2022 vs 2019 sem'!AA26*EH$4</f>
        <v>15925.9836</v>
      </c>
      <c r="EF27" s="593">
        <f>'Proy 2022 vs 2019 sem'!AB26*EH$4</f>
        <v>19953.070199999998</v>
      </c>
      <c r="EG27" s="699"/>
      <c r="EH27" s="700">
        <f>EG27/EE27</f>
        <v>0</v>
      </c>
      <c r="EI27" s="593">
        <f>'Proy 2022 vs 2019 sem'!AA26*EL$4</f>
        <v>15925.9836</v>
      </c>
      <c r="EJ27" s="593">
        <f>'Proy 2022 vs 2019 sem'!AB26*EL$4</f>
        <v>19953.070199999998</v>
      </c>
      <c r="EK27" s="699"/>
      <c r="EL27" s="700">
        <f>EK27/EI27</f>
        <v>0</v>
      </c>
      <c r="EM27" s="593">
        <f>'Proy 2022 vs 2019 sem'!AA26*EP$4</f>
        <v>15925.9836</v>
      </c>
      <c r="EN27" s="593">
        <f>'Proy 2022 vs 2019 sem'!AB26*EP$4</f>
        <v>19953.070199999998</v>
      </c>
      <c r="EO27" s="699"/>
      <c r="EP27" s="700">
        <f>EO27/EM27</f>
        <v>0</v>
      </c>
      <c r="EQ27" s="593">
        <f>'Proy 2022 vs 2019 sem'!AA26*ET$4</f>
        <v>18580.314200000001</v>
      </c>
      <c r="ER27" s="593">
        <f>'Proy 2022 vs 2019 sem'!AB26*ET$4</f>
        <v>23278.581900000001</v>
      </c>
      <c r="ES27" s="699"/>
      <c r="ET27" s="700">
        <f>ES27/EQ27</f>
        <v>0</v>
      </c>
      <c r="EU27" s="593">
        <f>'Proy 2022 vs 2019 sem'!AA26*EX$4</f>
        <v>21234.644800000002</v>
      </c>
      <c r="EV27" s="593">
        <f>'Proy 2022 vs 2019 sem'!AB26*EX$4</f>
        <v>26604.0936</v>
      </c>
      <c r="EW27" s="699"/>
      <c r="EX27" s="700">
        <f>EW27/EU27</f>
        <v>0</v>
      </c>
      <c r="EY27" s="593">
        <f>'Proy 2022 vs 2019 sem'!AA26*FB$4</f>
        <v>29197.636600000002</v>
      </c>
      <c r="EZ27" s="593">
        <f>'Proy 2022 vs 2019 sem'!AB26*FB$4</f>
        <v>36580.628700000001</v>
      </c>
      <c r="FA27" s="699"/>
      <c r="FB27" s="700">
        <f>FA27/EY27</f>
        <v>0</v>
      </c>
      <c r="FC27" s="579">
        <f>EA27+EE27+EI27+EM27+EQ27+EU27+EY27</f>
        <v>132716.53</v>
      </c>
      <c r="FD27" s="574">
        <f>EB27+EF27+EJ27+EN27+ER27+EV27+EZ27</f>
        <v>166275.58499999999</v>
      </c>
      <c r="FE27" s="793">
        <f>EC27+EG27+EK27+EO27+ES27+EW27+FA27</f>
        <v>0</v>
      </c>
      <c r="FF27" s="786">
        <f>FE27/FC27</f>
        <v>0</v>
      </c>
      <c r="FG27" s="593">
        <f>'Proy 2022 vs 2019 sem'!AF26*FJ$4</f>
        <v>16908.106800000001</v>
      </c>
      <c r="FH27" s="593">
        <f>'Proy 2022 vs 2019 sem'!AG26*FJ$4</f>
        <v>25689.312084000001</v>
      </c>
      <c r="FI27" s="699"/>
      <c r="FJ27" s="700">
        <f>FI27/FG27</f>
        <v>0</v>
      </c>
      <c r="FK27" s="593">
        <f>'Proy 2022 vs 2019 sem'!AF26*FN$4</f>
        <v>16908.106800000001</v>
      </c>
      <c r="FL27" s="593">
        <f>'Proy 2022 vs 2019 sem'!AG26*FN$4</f>
        <v>25689.312084000001</v>
      </c>
      <c r="FM27" s="699"/>
      <c r="FN27" s="700">
        <f>FM27/FK27</f>
        <v>0</v>
      </c>
      <c r="FO27" s="593">
        <f>'Proy 2022 vs 2019 sem'!AF26*FR$4</f>
        <v>16908.106800000001</v>
      </c>
      <c r="FP27" s="593">
        <f>'Proy 2022 vs 2019 sem'!AG26*FR$4</f>
        <v>25689.312084000001</v>
      </c>
      <c r="FQ27" s="699"/>
      <c r="FR27" s="700">
        <f>FQ27/FO27</f>
        <v>0</v>
      </c>
      <c r="FS27" s="593">
        <f>'Proy 2022 vs 2019 sem'!AF26*FV$4</f>
        <v>16908.106800000001</v>
      </c>
      <c r="FT27" s="593">
        <f>'Proy 2022 vs 2019 sem'!AG26*FV$4</f>
        <v>25689.312084000001</v>
      </c>
      <c r="FU27" s="699"/>
      <c r="FV27" s="700">
        <f>FU27/FS27</f>
        <v>0</v>
      </c>
      <c r="FW27" s="593">
        <f>'Proy 2022 vs 2019 sem'!AF26*FZ$4</f>
        <v>19726.124600000003</v>
      </c>
      <c r="FX27" s="593">
        <f>'Proy 2022 vs 2019 sem'!AG26*FZ$4</f>
        <v>29970.864098000005</v>
      </c>
      <c r="FY27" s="699"/>
      <c r="FZ27" s="700">
        <f>FY27/FW27</f>
        <v>0</v>
      </c>
      <c r="GA27" s="593">
        <f>'Proy 2022 vs 2019 sem'!AF26*GD$4</f>
        <v>22544.142400000004</v>
      </c>
      <c r="GB27" s="593">
        <f>'Proy 2022 vs 2019 sem'!AG26*GD$4</f>
        <v>34252.416111999999</v>
      </c>
      <c r="GC27" s="699"/>
      <c r="GD27" s="700">
        <f>GC27/GA27</f>
        <v>0</v>
      </c>
      <c r="GE27" s="593">
        <f>'Proy 2022 vs 2019 sem'!AF26*GH$4</f>
        <v>30998.195800000005</v>
      </c>
      <c r="GF27" s="593">
        <f>'Proy 2022 vs 2019 sem'!AG26*GH$4</f>
        <v>47097.072154000001</v>
      </c>
      <c r="GG27" s="699"/>
      <c r="GH27" s="700">
        <f>GG27/GE27</f>
        <v>0</v>
      </c>
      <c r="GI27" s="579">
        <f>FG27+FK27+FO27+FS27+FW27+GA27+GE27</f>
        <v>140900.89000000004</v>
      </c>
      <c r="GJ27" s="574">
        <f>FH27+FL27+FP27+FT27+FX27+GB27+GF27</f>
        <v>214077.60070000001</v>
      </c>
      <c r="GK27" s="794">
        <f>FI27+FM27+FQ27+FU27+FY27+GC27+GG27</f>
        <v>0</v>
      </c>
      <c r="GL27" s="786">
        <f>GK27/GI27</f>
        <v>0</v>
      </c>
      <c r="GM27" s="593">
        <f>'Proy 2022 vs 2019 sem'!AK26*GP$4</f>
        <v>14818.753199999999</v>
      </c>
      <c r="GN27" s="593">
        <f>'Proy 2022 vs 2019 sem'!AL26*GP$4</f>
        <v>15883.437960000001</v>
      </c>
      <c r="GO27" s="699"/>
      <c r="GP27" s="700">
        <f>GO27/GM27</f>
        <v>0</v>
      </c>
      <c r="GQ27" s="593">
        <f>'Proy 2022 vs 2019 sem'!AK26*GT$4</f>
        <v>14818.753199999999</v>
      </c>
      <c r="GR27" s="593">
        <f>'Proy 2022 vs 2019 sem'!AL26*GT$4</f>
        <v>15883.437960000001</v>
      </c>
      <c r="GS27" s="699"/>
      <c r="GT27" s="700">
        <f>GS27/GQ27</f>
        <v>0</v>
      </c>
      <c r="GU27" s="593">
        <f>'Proy 2022 vs 2019 sem'!AK26*GX$4</f>
        <v>14818.753199999999</v>
      </c>
      <c r="GV27" s="593">
        <f>'Proy 2022 vs 2019 sem'!AL26*GX$4</f>
        <v>15883.437960000001</v>
      </c>
      <c r="GW27" s="699"/>
      <c r="GX27" s="700">
        <f>GW27/GU27</f>
        <v>0</v>
      </c>
      <c r="GY27" s="593">
        <f>'Proy 2022 vs 2019 sem'!AK26*HB$4</f>
        <v>14818.753199999999</v>
      </c>
      <c r="GZ27" s="593">
        <f>'Proy 2022 vs 2019 sem'!AL26*HB$4</f>
        <v>15883.437960000001</v>
      </c>
      <c r="HA27" s="699"/>
      <c r="HB27" s="700">
        <f>HA27/GY27</f>
        <v>0</v>
      </c>
      <c r="HC27" s="593">
        <f>'Proy 2022 vs 2019 sem'!AK26*HF$4</f>
        <v>17288.545400000003</v>
      </c>
      <c r="HD27" s="593">
        <f>'Proy 2022 vs 2019 sem'!AL26*HF$4</f>
        <v>18530.677620000002</v>
      </c>
      <c r="HE27" s="699"/>
      <c r="HF27" s="700">
        <f>HE27/HC27</f>
        <v>0</v>
      </c>
      <c r="HG27" s="593">
        <f>'Proy 2022 vs 2019 sem'!AK26*HJ$4</f>
        <v>19758.337599999999</v>
      </c>
      <c r="HH27" s="593">
        <f>'Proy 2022 vs 2019 sem'!AL26*HJ$4</f>
        <v>21177.917280000001</v>
      </c>
      <c r="HI27" s="699"/>
      <c r="HJ27" s="700">
        <f>HI27/HG27</f>
        <v>0</v>
      </c>
      <c r="HK27" s="593">
        <f>'Proy 2022 vs 2019 sem'!AK26*HN$4</f>
        <v>27167.714199999999</v>
      </c>
      <c r="HL27" s="593">
        <f>'Proy 2022 vs 2019 sem'!AL26*HN$4</f>
        <v>29119.636260000003</v>
      </c>
      <c r="HM27" s="699"/>
      <c r="HN27" s="700">
        <f>HM27/HK27</f>
        <v>0</v>
      </c>
      <c r="HO27" s="579">
        <f>GM27+GQ27+GU27+GY27+HC27+HG27+HK27</f>
        <v>123489.61</v>
      </c>
      <c r="HP27" s="574">
        <f>GN27+GR27+GV27+GZ27+HD27+HH27+HL27</f>
        <v>132361.98300000001</v>
      </c>
      <c r="HQ27" s="794">
        <f>GO27+GS27+GW27+HA27+HE27+HI27+HM27</f>
        <v>0</v>
      </c>
      <c r="HR27" s="786">
        <f>HQ27/HO27</f>
        <v>0</v>
      </c>
      <c r="HS27" s="593">
        <f>'Proy 2022 vs 2019 sem'!AK26*HV$4</f>
        <v>14818.753199999999</v>
      </c>
      <c r="HT27" s="593">
        <f>'Proy 2022 vs 2019 sem'!AL26*HV$4</f>
        <v>15883.437960000001</v>
      </c>
      <c r="HU27" s="699"/>
      <c r="HV27" s="700">
        <f>HU27/HS27</f>
        <v>0</v>
      </c>
      <c r="HW27" s="593">
        <f>'Proy 2022 vs 2019 sem'!AK26*HZ$4</f>
        <v>14818.753199999999</v>
      </c>
      <c r="HX27" s="593">
        <f>'Proy 2022 vs 2019 sem'!AL26*HZ$4</f>
        <v>15883.437960000001</v>
      </c>
      <c r="HY27" s="699"/>
      <c r="HZ27" s="700">
        <f>HY27/HW27</f>
        <v>0</v>
      </c>
      <c r="IA27" s="593">
        <f>'Proy 2022 vs 2019 sem'!AK26*ID$4</f>
        <v>14818.753199999999</v>
      </c>
      <c r="IB27" s="593">
        <f>'Proy 2022 vs 2019 sem'!AL26*ID$4</f>
        <v>15883.437960000001</v>
      </c>
      <c r="IC27" s="699"/>
      <c r="ID27" s="700">
        <f>IC27/IA27</f>
        <v>0</v>
      </c>
      <c r="IE27" s="593">
        <f>'Proy 2022 vs 2019 sem'!AK26*IH$4</f>
        <v>14818.753199999999</v>
      </c>
      <c r="IF27" s="593">
        <f>'Proy 2022 vs 2019 sem'!AL26*IH$4</f>
        <v>15883.437960000001</v>
      </c>
      <c r="IG27" s="699"/>
      <c r="IH27" s="700">
        <f>IG27/IE27</f>
        <v>0</v>
      </c>
      <c r="II27" s="593">
        <f>'Proy 2022 vs 2019 sem'!AK26*IL$4</f>
        <v>17288.545400000003</v>
      </c>
      <c r="IJ27" s="593">
        <f>'Proy 2022 vs 2019 sem'!AL26*IL$4</f>
        <v>18530.677620000002</v>
      </c>
      <c r="IK27" s="699"/>
      <c r="IL27" s="700">
        <f>IK27/II27</f>
        <v>0</v>
      </c>
      <c r="IM27" s="593">
        <f>'Proy 2022 vs 2019 sem'!AK26*IP$4</f>
        <v>19758.337599999999</v>
      </c>
      <c r="IN27" s="593">
        <f>'Proy 2022 vs 2019 sem'!AL26*IP$4</f>
        <v>21177.917280000001</v>
      </c>
      <c r="IO27" s="699"/>
      <c r="IP27" s="700">
        <f>IO27/IM27</f>
        <v>0</v>
      </c>
      <c r="IQ27" s="593">
        <f>'Proy 2022 vs 2019 sem'!AK26*IT$4</f>
        <v>27167.714199999999</v>
      </c>
      <c r="IR27" s="593">
        <f>'Proy 2022 vs 2019 sem'!AL26*IT$4</f>
        <v>29119.636260000003</v>
      </c>
      <c r="IS27" s="699"/>
      <c r="IT27" s="700">
        <f>IS27/IQ27</f>
        <v>0</v>
      </c>
      <c r="IU27" s="579">
        <f>HS27+HW27+IA27+IE27+II27+IM27+IQ27</f>
        <v>123489.61</v>
      </c>
      <c r="IV27" s="574">
        <f>HT27+HX27+IB27+IF27+IJ27+IN27+IR27</f>
        <v>132361.98300000001</v>
      </c>
      <c r="IW27" s="785">
        <f>HU27+HY27+IC27+IG27+IK27+IO27+IS27</f>
        <v>0</v>
      </c>
      <c r="IX27" s="786">
        <f>IW27/IU27</f>
        <v>0</v>
      </c>
      <c r="IY27" s="593">
        <f>'Proy 2022 vs 2019 sem'!AY26*JB$4</f>
        <v>15450.704399999999</v>
      </c>
      <c r="IZ27" s="593">
        <f>'Proy 2022 vs 2019 sem'!AZ26*JB$4</f>
        <v>19414.805759999999</v>
      </c>
      <c r="JA27" s="735"/>
      <c r="JB27" s="700">
        <f>JA27/IY27</f>
        <v>0</v>
      </c>
      <c r="JC27" s="593">
        <f>'Proy 2022 vs 2019 sem'!AY26*JF$4</f>
        <v>15450.704399999999</v>
      </c>
      <c r="JD27" s="593">
        <f>'Proy 2022 vs 2019 sem'!AZ26*JF$4</f>
        <v>19414.805759999999</v>
      </c>
      <c r="JE27" s="735"/>
      <c r="JF27" s="700">
        <f>JE27/JC27</f>
        <v>0</v>
      </c>
      <c r="JG27" s="593">
        <f>'Proy 2022 vs 2019 sem'!AY26*JJ$4</f>
        <v>15450.704399999999</v>
      </c>
      <c r="JH27" s="593">
        <f>'Proy 2022 vs 2019 sem'!AZ26*JJ$4</f>
        <v>19414.805759999999</v>
      </c>
      <c r="JI27" s="735"/>
      <c r="JJ27" s="700">
        <f>JI27/JG27</f>
        <v>0</v>
      </c>
      <c r="JK27" s="593">
        <f>'Proy 2022 vs 2019 sem'!AY26*JN$4</f>
        <v>15450.704399999999</v>
      </c>
      <c r="JL27" s="593">
        <f>'Proy 2022 vs 2019 sem'!AZ26*JN$4</f>
        <v>19414.805759999999</v>
      </c>
      <c r="JM27" s="735"/>
      <c r="JN27" s="700">
        <f>JM27/JK27</f>
        <v>0</v>
      </c>
      <c r="JO27" s="593">
        <f>'Proy 2022 vs 2019 sem'!AY26*JR$4</f>
        <v>18025.821800000002</v>
      </c>
      <c r="JP27" s="593">
        <f>'Proy 2022 vs 2019 sem'!AZ26*JR$4</f>
        <v>22650.606720000003</v>
      </c>
      <c r="JQ27" s="735"/>
      <c r="JR27" s="700">
        <f>JQ27/JO27</f>
        <v>0</v>
      </c>
      <c r="JS27" s="593">
        <f>'Proy 2022 vs 2019 sem'!AY26*JV$4</f>
        <v>20600.939200000001</v>
      </c>
      <c r="JT27" s="593">
        <f>'Proy 2022 vs 2019 sem'!AZ26*JV$4</f>
        <v>25886.407680000004</v>
      </c>
      <c r="JU27" s="735"/>
      <c r="JV27" s="700">
        <f>JU27/JS27</f>
        <v>0</v>
      </c>
      <c r="JW27" s="593">
        <f>'Proy 2022 vs 2019 sem'!AY26*JZ$4</f>
        <v>28326.291399999998</v>
      </c>
      <c r="JX27" s="593">
        <f>'Proy 2022 vs 2019 sem'!AZ26*JZ$4</f>
        <v>35593.810560000005</v>
      </c>
      <c r="JY27" s="735"/>
      <c r="JZ27" s="700">
        <f>JY27/JW27</f>
        <v>0</v>
      </c>
      <c r="KA27" s="579">
        <f>IY27+JC27+JG27+JK27+JO27+JS27+JW27</f>
        <v>128755.87000000001</v>
      </c>
      <c r="KB27" s="574">
        <f>IZ27+JD27+JH27+JL27+JP27+JT27+JX27</f>
        <v>161790.04800000001</v>
      </c>
      <c r="KC27" s="729">
        <f>JA27+JE27+JI27+JM27+JQ27+JU27+JY27</f>
        <v>0</v>
      </c>
      <c r="KD27" s="711">
        <f>KC27/KA27</f>
        <v>0</v>
      </c>
      <c r="KE27" s="593">
        <f>'Proy 2022 vs 2019 sem'!BD26*KH$4</f>
        <v>17235.305999999997</v>
      </c>
      <c r="KF27" s="593">
        <f>'Proy 2022 vs 2019 sem'!BE26*KH$4</f>
        <v>22700.510279999999</v>
      </c>
      <c r="KG27" s="699"/>
      <c r="KH27" s="700">
        <f>KG27/KE27</f>
        <v>0</v>
      </c>
      <c r="KI27" s="593">
        <f>'Proy 2022 vs 2019 sem'!BD26*KL$4</f>
        <v>17235.305999999997</v>
      </c>
      <c r="KJ27" s="593">
        <f>'Proy 2022 vs 2019 sem'!BE26*KL$4</f>
        <v>22700.510279999999</v>
      </c>
      <c r="KK27" s="699"/>
      <c r="KL27" s="700">
        <f>KK27/KI27</f>
        <v>0</v>
      </c>
      <c r="KM27" s="593">
        <f>'Proy 2022 vs 2019 sem'!BD26*KP$4</f>
        <v>17235.305999999997</v>
      </c>
      <c r="KN27" s="593">
        <f>'Proy 2022 vs 2019 sem'!BE26*KP$4</f>
        <v>22700.510279999999</v>
      </c>
      <c r="KO27" s="699"/>
      <c r="KP27" s="700">
        <f>KO27/KM27</f>
        <v>0</v>
      </c>
      <c r="KQ27" s="593">
        <f>'Proy 2022 vs 2019 sem'!BD26*KT$4</f>
        <v>17235.305999999997</v>
      </c>
      <c r="KR27" s="593">
        <f>'Proy 2022 vs 2019 sem'!BE26*KT$4</f>
        <v>22700.510279999999</v>
      </c>
      <c r="KS27" s="699"/>
      <c r="KT27" s="700">
        <f>KS27/KQ27</f>
        <v>0</v>
      </c>
      <c r="KU27" s="593">
        <f>'Proy 2022 vs 2019 sem'!BD26*KX$4</f>
        <v>20107.857</v>
      </c>
      <c r="KV27" s="593">
        <f>'Proy 2022 vs 2019 sem'!BE26*KX$4</f>
        <v>26483.928660000001</v>
      </c>
      <c r="KW27" s="699"/>
      <c r="KX27" s="700">
        <f>KW27/KU27</f>
        <v>0</v>
      </c>
      <c r="KY27" s="593">
        <f>'Proy 2022 vs 2019 sem'!BD26*LB$4</f>
        <v>22980.407999999999</v>
      </c>
      <c r="KZ27" s="593">
        <f>'Proy 2022 vs 2019 sem'!BE26*LB$4</f>
        <v>30267.347040000001</v>
      </c>
      <c r="LA27" s="699"/>
      <c r="LB27" s="700">
        <f>LA27/KY27</f>
        <v>0</v>
      </c>
      <c r="LC27" s="593">
        <f>'Proy 2022 vs 2019 sem'!BD26*LF$4</f>
        <v>31598.060999999998</v>
      </c>
      <c r="LD27" s="593">
        <f>'Proy 2022 vs 2019 sem'!BE26*LF$4</f>
        <v>41617.602180000002</v>
      </c>
      <c r="LE27" s="699"/>
      <c r="LF27" s="700">
        <f>LE27/LC27</f>
        <v>0</v>
      </c>
      <c r="LG27" s="579">
        <f>KE27+KI27+KM27+KQ27+KU27+KY27+LC27</f>
        <v>143627.54999999999</v>
      </c>
      <c r="LH27" s="574">
        <f>KF27+KJ27+KN27+KR27+KV27+KZ27+LD27</f>
        <v>189170.91899999999</v>
      </c>
      <c r="LI27" s="730">
        <f>KG27+KK27+KO27+KS27+KW27+LA27+LE27</f>
        <v>0</v>
      </c>
      <c r="LJ27" s="711">
        <f>LI27/LG27</f>
        <v>0</v>
      </c>
      <c r="LK27" s="593">
        <f>'Proy 2022 vs 2019 sem'!BI26*LN$4</f>
        <v>18512.470799999999</v>
      </c>
      <c r="LL27" s="593">
        <f>'Proy 2022 vs 2019 sem'!BJ26*LN$4</f>
        <v>26267.558256</v>
      </c>
      <c r="LM27" s="699"/>
      <c r="LN27" s="700">
        <f>LM27/LK27</f>
        <v>0</v>
      </c>
      <c r="LO27" s="593">
        <f>'Proy 2022 vs 2019 sem'!BI26*LR$4</f>
        <v>18512.470799999999</v>
      </c>
      <c r="LP27" s="593">
        <f>'Proy 2022 vs 2019 sem'!BJ26*LR$4</f>
        <v>26267.558256</v>
      </c>
      <c r="LQ27" s="699"/>
      <c r="LR27" s="700">
        <f>LQ27/LO27</f>
        <v>0</v>
      </c>
      <c r="LS27" s="593">
        <f>'Proy 2022 vs 2019 sem'!BI26*LV$4</f>
        <v>18512.470799999999</v>
      </c>
      <c r="LT27" s="593">
        <f>'Proy 2022 vs 2019 sem'!BJ26*LV$4</f>
        <v>26267.558256</v>
      </c>
      <c r="LU27" s="699"/>
      <c r="LV27" s="700">
        <f>LU27/LS27</f>
        <v>0</v>
      </c>
      <c r="LW27" s="593">
        <f>'Proy 2022 vs 2019 sem'!BI26*LZ$4</f>
        <v>18512.470799999999</v>
      </c>
      <c r="LX27" s="593">
        <f>'Proy 2022 vs 2019 sem'!BJ26*LZ$4</f>
        <v>26267.558256</v>
      </c>
      <c r="LY27" s="699"/>
      <c r="LZ27" s="700">
        <f>LY27/LW27</f>
        <v>0</v>
      </c>
      <c r="MA27" s="593">
        <f>'Proy 2022 vs 2019 sem'!BI26*MD$4</f>
        <v>21597.882600000001</v>
      </c>
      <c r="MB27" s="593">
        <f>'Proy 2022 vs 2019 sem'!BJ26*MD$4</f>
        <v>30645.484632000003</v>
      </c>
      <c r="MC27" s="699"/>
      <c r="MD27" s="700">
        <f>MC27/MA27</f>
        <v>0</v>
      </c>
      <c r="ME27" s="593">
        <f>'Proy 2022 vs 2019 sem'!BI26*MH$4</f>
        <v>24683.294399999999</v>
      </c>
      <c r="MF27" s="593">
        <f>'Proy 2022 vs 2019 sem'!BJ26*MH$4</f>
        <v>35023.411008000003</v>
      </c>
      <c r="MG27" s="699"/>
      <c r="MH27" s="700">
        <f>MG27/ME27</f>
        <v>0</v>
      </c>
      <c r="MI27" s="593">
        <f>'Proy 2022 vs 2019 sem'!BI26*ML$4</f>
        <v>33939.529799999997</v>
      </c>
      <c r="MJ27" s="593">
        <f>'Proy 2022 vs 2019 sem'!BJ26*ML$4</f>
        <v>48157.190136000005</v>
      </c>
      <c r="MK27" s="699"/>
      <c r="ML27" s="700">
        <f>MK27/MI27</f>
        <v>0</v>
      </c>
      <c r="MM27" s="579">
        <f>LK27+LO27+LS27+LW27+MA27+ME27+MI27</f>
        <v>154270.59</v>
      </c>
      <c r="MN27" s="574">
        <f>LL27+LP27+LT27+LX27+MB27+MF27+MJ27</f>
        <v>218896.31880000001</v>
      </c>
      <c r="MO27" s="730">
        <f>LM27+LQ27+LU27+LY27+MC27+MG27+MK27</f>
        <v>0</v>
      </c>
      <c r="MP27" s="711">
        <f>MO27/MM27</f>
        <v>0</v>
      </c>
      <c r="MQ27" s="593">
        <f>'Proy 2022 vs 2019 sem'!BN26*MT$4</f>
        <v>16693.4388</v>
      </c>
      <c r="MR27" s="593">
        <f>'Proy 2022 vs 2019 sem'!BO26*MT$4</f>
        <v>22425.122087999996</v>
      </c>
      <c r="MS27" s="699"/>
      <c r="MT27" s="700">
        <f>MS27/MQ27</f>
        <v>0</v>
      </c>
      <c r="MU27" s="593">
        <f>'Proy 2022 vs 2019 sem'!BN26*MX$4</f>
        <v>16693.4388</v>
      </c>
      <c r="MV27" s="593">
        <f>'Proy 2022 vs 2019 sem'!BO26*MX$4</f>
        <v>22425.122087999996</v>
      </c>
      <c r="MW27" s="699"/>
      <c r="MX27" s="700">
        <f>MW27/MU27</f>
        <v>0</v>
      </c>
      <c r="MY27" s="593">
        <f>'Proy 2022 vs 2019 sem'!BN26*NB$4</f>
        <v>16693.4388</v>
      </c>
      <c r="MZ27" s="593">
        <f>'Proy 2022 vs 2019 sem'!BO26*NB$4</f>
        <v>22425.122087999996</v>
      </c>
      <c r="NA27" s="699"/>
      <c r="NB27" s="700">
        <f>NA27/MY27</f>
        <v>0</v>
      </c>
      <c r="NC27" s="593">
        <f>'Proy 2022 vs 2019 sem'!BN26*NF$4</f>
        <v>16693.4388</v>
      </c>
      <c r="ND27" s="593">
        <f>'Proy 2022 vs 2019 sem'!BO26*NF$4</f>
        <v>22425.122087999996</v>
      </c>
      <c r="NE27" s="699"/>
      <c r="NF27" s="700">
        <f>NE27/NC27</f>
        <v>0</v>
      </c>
      <c r="NG27" s="593">
        <f>'Proy 2022 vs 2019 sem'!BN26*NJ$4</f>
        <v>19475.678599999999</v>
      </c>
      <c r="NH27" s="593">
        <f>'Proy 2022 vs 2019 sem'!BO26*NJ$4</f>
        <v>26162.642435999998</v>
      </c>
      <c r="NI27" s="699"/>
      <c r="NJ27" s="700">
        <f>NI27/NG27</f>
        <v>0</v>
      </c>
      <c r="NK27" s="593">
        <f>'Proy 2022 vs 2019 sem'!BN26*NN$4</f>
        <v>22257.918399999999</v>
      </c>
      <c r="NL27" s="593">
        <f>'Proy 2022 vs 2019 sem'!BO26*NN$4</f>
        <v>29900.162783999996</v>
      </c>
      <c r="NM27" s="699"/>
      <c r="NN27" s="700">
        <f>NM27/NK27</f>
        <v>0</v>
      </c>
      <c r="NO27" s="593">
        <f>'Proy 2022 vs 2019 sem'!BN26*NR$4</f>
        <v>30604.637799999997</v>
      </c>
      <c r="NP27" s="593">
        <f>'Proy 2022 vs 2019 sem'!BO26*NR$4</f>
        <v>41112.723827999995</v>
      </c>
      <c r="NQ27" s="699"/>
      <c r="NR27" s="700">
        <f>NQ27/NO27</f>
        <v>0</v>
      </c>
      <c r="NS27" s="579">
        <f>MQ27+MU27+MY27+NC27+NG27+NK27+NO27</f>
        <v>139111.99</v>
      </c>
      <c r="NT27" s="574">
        <f>MR27+MV27+MZ27+ND27+NH27+NL27+NP27</f>
        <v>186876.01739999995</v>
      </c>
      <c r="NU27" s="710">
        <f>MS27+MW27+NA27+NE27+NI27+NM27+NQ27</f>
        <v>0</v>
      </c>
      <c r="NV27" s="711">
        <f>NU27/NS27</f>
        <v>0</v>
      </c>
      <c r="NW27" s="593">
        <f>'Proy 2022 vs 2019 sem'!BS26*NZ$4</f>
        <v>17769.368399999999</v>
      </c>
      <c r="NX27" s="593">
        <f>'Proy 2022 vs 2019 sem'!BT26*NZ$4</f>
        <v>25689.977447999998</v>
      </c>
      <c r="NY27" s="699"/>
      <c r="NZ27" s="700">
        <f>NY27/NW27</f>
        <v>0</v>
      </c>
      <c r="OA27" s="593">
        <f>'Proy 2022 vs 2019 sem'!BS26*OD$4</f>
        <v>17769.368399999999</v>
      </c>
      <c r="OB27" s="593">
        <f>'Proy 2022 vs 2019 sem'!BT26*OD$4</f>
        <v>25689.977447999998</v>
      </c>
      <c r="OC27" s="699"/>
      <c r="OD27" s="700">
        <f>OC27/OA27</f>
        <v>0</v>
      </c>
      <c r="OE27" s="593">
        <f>'Proy 2022 vs 2019 sem'!BS26*OH$4</f>
        <v>17769.368399999999</v>
      </c>
      <c r="OF27" s="593">
        <f>'Proy 2022 vs 2019 sem'!BT26*OH$4</f>
        <v>25689.977447999998</v>
      </c>
      <c r="OG27" s="699"/>
      <c r="OH27" s="700">
        <f>OG27/OE27</f>
        <v>0</v>
      </c>
      <c r="OI27" s="593">
        <f>'Proy 2022 vs 2019 sem'!BS26*OL$4</f>
        <v>17769.368399999999</v>
      </c>
      <c r="OJ27" s="593">
        <f>'Proy 2022 vs 2019 sem'!BT26*OL$4</f>
        <v>25689.977447999998</v>
      </c>
      <c r="OK27" s="699"/>
      <c r="OL27" s="700">
        <f>OK27/OI27</f>
        <v>0</v>
      </c>
      <c r="OM27" s="593">
        <f>'Proy 2022 vs 2019 sem'!BS26*OP$4</f>
        <v>20730.929800000002</v>
      </c>
      <c r="ON27" s="593">
        <f>'Proy 2022 vs 2019 sem'!BT26*OP$4</f>
        <v>29971.640356</v>
      </c>
      <c r="OO27" s="699"/>
      <c r="OP27" s="700">
        <f>OO27/OM27</f>
        <v>0</v>
      </c>
      <c r="OQ27" s="593">
        <f>'Proy 2022 vs 2019 sem'!BS26*OT$4</f>
        <v>23692.4912</v>
      </c>
      <c r="OR27" s="593">
        <f>'Proy 2022 vs 2019 sem'!BT26*OT$4</f>
        <v>34253.303263999995</v>
      </c>
      <c r="OS27" s="699"/>
      <c r="OT27" s="700">
        <f>OS27/OQ27</f>
        <v>0</v>
      </c>
      <c r="OU27" s="593">
        <f>'Proy 2022 vs 2019 sem'!BS26*OX$4</f>
        <v>32577.1754</v>
      </c>
      <c r="OV27" s="593">
        <f>'Proy 2022 vs 2019 sem'!BT26*OX$4</f>
        <v>47098.291987999997</v>
      </c>
      <c r="OW27" s="699"/>
      <c r="OX27" s="700">
        <f>OW27/OU27</f>
        <v>0</v>
      </c>
      <c r="OY27" s="579">
        <f>NW27+OA27+OE27+OI27+OM27+OQ27+OU27</f>
        <v>148078.07</v>
      </c>
      <c r="OZ27" s="574">
        <f>NX27+OB27+OF27+OJ27+ON27+OR27+OV27</f>
        <v>214083.14539999998</v>
      </c>
      <c r="PA27" s="710">
        <f>NY27+OC27+OG27+OK27+OO27+OS27+OW27</f>
        <v>0</v>
      </c>
      <c r="PB27" s="711">
        <f>PA27/OY27</f>
        <v>0</v>
      </c>
      <c r="PC27" s="593">
        <f>'Proy 2022 vs 2019 sem'!CB26*PF$4</f>
        <v>17883.0972</v>
      </c>
      <c r="PD27" s="593">
        <f>'Proy 2022 vs 2019 sem'!CC26*PF$4</f>
        <v>26093.981555999999</v>
      </c>
      <c r="PE27" s="735"/>
      <c r="PF27" s="700">
        <f>PE27/PC27</f>
        <v>0</v>
      </c>
      <c r="PG27" s="593">
        <f>'Proy 2022 vs 2019 sem'!CB26*PJ$4</f>
        <v>17883.0972</v>
      </c>
      <c r="PH27" s="593">
        <f>'Proy 2022 vs 2019 sem'!CC26*PJ$4</f>
        <v>26093.981555999999</v>
      </c>
      <c r="PI27" s="699"/>
      <c r="PJ27" s="700">
        <f>PI27/PG27</f>
        <v>0</v>
      </c>
      <c r="PK27" s="593">
        <f>'Proy 2022 vs 2019 sem'!CB26*PN$4</f>
        <v>17883.0972</v>
      </c>
      <c r="PL27" s="593">
        <f>'Proy 2022 vs 2019 sem'!CC26*PN$4</f>
        <v>26093.981555999999</v>
      </c>
      <c r="PM27" s="699"/>
      <c r="PN27" s="700">
        <f>PM27/PK27</f>
        <v>0</v>
      </c>
      <c r="PO27" s="593">
        <f>'Proy 2022 vs 2019 sem'!CB26*PR$4</f>
        <v>17883.0972</v>
      </c>
      <c r="PP27" s="593">
        <f>'Proy 2022 vs 2019 sem'!CC26*PR$4</f>
        <v>26093.981555999999</v>
      </c>
      <c r="PQ27" s="699"/>
      <c r="PR27" s="700">
        <f>PQ27/PO27</f>
        <v>0</v>
      </c>
      <c r="PS27" s="593">
        <f>'Proy 2022 vs 2019 sem'!CB26*PV$4</f>
        <v>20863.613400000002</v>
      </c>
      <c r="PT27" s="593">
        <f>'Proy 2022 vs 2019 sem'!CC26*PV$4</f>
        <v>30442.978482000002</v>
      </c>
      <c r="PU27" s="699"/>
      <c r="PV27" s="700">
        <f>PU27/PS27</f>
        <v>0</v>
      </c>
      <c r="PW27" s="593">
        <f>'Proy 2022 vs 2019 sem'!CB26*PZ$4</f>
        <v>23844.1296</v>
      </c>
      <c r="PX27" s="593">
        <f>'Proy 2022 vs 2019 sem'!CC26*PZ$4</f>
        <v>34791.975407999998</v>
      </c>
      <c r="PY27" s="699"/>
      <c r="PZ27" s="700">
        <f>PY27/PW27</f>
        <v>0</v>
      </c>
      <c r="QA27" s="593">
        <f>'Proy 2022 vs 2019 sem'!CB26*QD$4</f>
        <v>32785.678200000002</v>
      </c>
      <c r="QB27" s="593">
        <f>'Proy 2022 vs 2019 sem'!CC26*QD$4</f>
        <v>47838.966185999998</v>
      </c>
      <c r="QC27" s="699"/>
      <c r="QD27" s="700">
        <f>QC27/QA27</f>
        <v>0</v>
      </c>
      <c r="QE27" s="579">
        <f>PC27+PG27+PK27+PO27+PS27+PW27+QA27</f>
        <v>149025.81</v>
      </c>
      <c r="QF27" s="574">
        <f>PD27+PH27+PL27+PP27+PT27+PX27+QB27</f>
        <v>217449.8463</v>
      </c>
      <c r="QG27" s="793">
        <f>PE27+PI27+PM27+PQ27+PU27+PY27+QC27</f>
        <v>0</v>
      </c>
      <c r="QH27" s="786">
        <f>QG27/QE27</f>
        <v>0</v>
      </c>
      <c r="QI27" s="593">
        <f>'Proy 2022 vs 2019 sem'!CG26*QL$4</f>
        <v>23568.675599999999</v>
      </c>
      <c r="QJ27" s="593">
        <f>'Proy 2022 vs 2019 sem'!CH26*QL$4</f>
        <v>26900.567639999997</v>
      </c>
      <c r="QK27" s="699"/>
      <c r="QL27" s="700">
        <f>QK27/QI27</f>
        <v>0</v>
      </c>
      <c r="QM27" s="593">
        <f>'Proy 2022 vs 2019 sem'!CG26*QP$4</f>
        <v>23568.675599999999</v>
      </c>
      <c r="QN27" s="593">
        <f>'Proy 2022 vs 2019 sem'!CH26*QP$4</f>
        <v>26900.567639999997</v>
      </c>
      <c r="QO27" s="699"/>
      <c r="QP27" s="700">
        <f>QO27/QM27</f>
        <v>0</v>
      </c>
      <c r="QQ27" s="593">
        <f>'Proy 2022 vs 2019 sem'!CG26*QT$4</f>
        <v>23568.675599999999</v>
      </c>
      <c r="QR27" s="593">
        <f>'Proy 2022 vs 2019 sem'!CH26*QT$4</f>
        <v>26900.567639999997</v>
      </c>
      <c r="QS27" s="699"/>
      <c r="QT27" s="700">
        <f>QS27/QQ27</f>
        <v>0</v>
      </c>
      <c r="QU27" s="593">
        <f>'Proy 2022 vs 2019 sem'!CG26*QX$4</f>
        <v>23568.675599999999</v>
      </c>
      <c r="QV27" s="593">
        <f>'Proy 2022 vs 2019 sem'!CH26*QX$4</f>
        <v>26900.567639999997</v>
      </c>
      <c r="QW27" s="699"/>
      <c r="QX27" s="700">
        <f>QW27/QU27</f>
        <v>0</v>
      </c>
      <c r="QY27" s="593">
        <f>'Proy 2022 vs 2019 sem'!CG26*RB$4</f>
        <v>27496.788200000003</v>
      </c>
      <c r="QZ27" s="593">
        <f>'Proy 2022 vs 2019 sem'!CH26*RB$4</f>
        <v>31383.995580000003</v>
      </c>
      <c r="RA27" s="699"/>
      <c r="RB27" s="700">
        <f>RA27/QY27</f>
        <v>0</v>
      </c>
      <c r="RC27" s="593">
        <f>'Proy 2022 vs 2019 sem'!CG26*RF$4</f>
        <v>31424.900800000003</v>
      </c>
      <c r="RD27" s="593">
        <f>'Proy 2022 vs 2019 sem'!CH26*RF$4</f>
        <v>35867.423520000004</v>
      </c>
      <c r="RE27" s="699"/>
      <c r="RF27" s="700">
        <f>RE27/RC27</f>
        <v>0</v>
      </c>
      <c r="RG27" s="593">
        <f>'Proy 2022 vs 2019 sem'!CG26*RJ$4</f>
        <v>43209.238600000004</v>
      </c>
      <c r="RH27" s="593">
        <f>'Proy 2022 vs 2019 sem'!CH26*RJ$4</f>
        <v>49317.707340000001</v>
      </c>
      <c r="RI27" s="699"/>
      <c r="RJ27" s="700">
        <f>RI27/RG27</f>
        <v>0</v>
      </c>
      <c r="RK27" s="579">
        <f>QI27+QM27+QQ27+QU27+QY27+RC27+RG27</f>
        <v>196405.63</v>
      </c>
      <c r="RL27" s="574">
        <f>QJ27+QN27+QR27+QV27+QZ27+RD27+RH27</f>
        <v>224171.397</v>
      </c>
      <c r="RM27" s="794">
        <f>QK27+QO27+QS27+QW27+RA27+RE27+RI27</f>
        <v>0</v>
      </c>
      <c r="RN27" s="786">
        <f>RM27/RK27</f>
        <v>0</v>
      </c>
      <c r="RO27" s="593">
        <f>'Proy 2022 vs 2019 sem'!CL26*RR$4</f>
        <v>17819.125199999999</v>
      </c>
      <c r="RP27" s="593">
        <f>'Proy 2022 vs 2019 sem'!CM26*RR$4</f>
        <v>24982.174439999999</v>
      </c>
      <c r="RQ27" s="699"/>
      <c r="RR27" s="700">
        <f>RQ27/RO27</f>
        <v>0</v>
      </c>
      <c r="RS27" s="593">
        <f>'Proy 2022 vs 2019 sem'!CL26*RV$4</f>
        <v>17819.125199999999</v>
      </c>
      <c r="RT27" s="593">
        <f>'Proy 2022 vs 2019 sem'!CM26*RV$4</f>
        <v>24982.174439999999</v>
      </c>
      <c r="RU27" s="699"/>
      <c r="RV27" s="700">
        <f>RU27/RS27</f>
        <v>0</v>
      </c>
      <c r="RW27" s="593">
        <f>'Proy 2022 vs 2019 sem'!CL26*RZ$4</f>
        <v>17819.125199999999</v>
      </c>
      <c r="RX27" s="593">
        <f>'Proy 2022 vs 2019 sem'!CM26*RZ$4</f>
        <v>24982.174439999999</v>
      </c>
      <c r="RY27" s="699"/>
      <c r="RZ27" s="700">
        <f>RY27/RW27</f>
        <v>0</v>
      </c>
      <c r="SA27" s="593">
        <f>'Proy 2022 vs 2019 sem'!CL26*SD$4</f>
        <v>17819.125199999999</v>
      </c>
      <c r="SB27" s="593">
        <f>'Proy 2022 vs 2019 sem'!CM26*SD$4</f>
        <v>24982.174439999999</v>
      </c>
      <c r="SC27" s="699"/>
      <c r="SD27" s="700">
        <f>SC27/SA27</f>
        <v>0</v>
      </c>
      <c r="SE27" s="593">
        <f>'Proy 2022 vs 2019 sem'!CL26*SH$4</f>
        <v>20788.9794</v>
      </c>
      <c r="SF27" s="593">
        <f>'Proy 2022 vs 2019 sem'!CM26*SH$4</f>
        <v>29145.870180000005</v>
      </c>
      <c r="SG27" s="699"/>
      <c r="SH27" s="700">
        <f>SG27/SE27</f>
        <v>0</v>
      </c>
      <c r="SI27" s="593">
        <f>'Proy 2022 vs 2019 sem'!CL26*SL$4</f>
        <v>23758.833599999998</v>
      </c>
      <c r="SJ27" s="593">
        <f>'Proy 2022 vs 2019 sem'!CM26*SL$4</f>
        <v>33309.565920000001</v>
      </c>
      <c r="SK27" s="699"/>
      <c r="SL27" s="700">
        <f>SK27/SI27</f>
        <v>0</v>
      </c>
      <c r="SM27" s="593">
        <f>'Proy 2022 vs 2019 sem'!CL26*SP$4</f>
        <v>32668.396199999999</v>
      </c>
      <c r="SN27" s="593">
        <f>'Proy 2022 vs 2019 sem'!CM26*SP$4</f>
        <v>45800.653140000002</v>
      </c>
      <c r="SO27" s="699"/>
      <c r="SP27" s="700">
        <f>SO27/SM27</f>
        <v>0</v>
      </c>
      <c r="SQ27" s="579">
        <f>RO27+RS27+RW27+SA27+SE27+SI27+SM27</f>
        <v>148492.71</v>
      </c>
      <c r="SR27" s="574">
        <f>RP27+RT27+RX27+SB27+SF27+SJ27+SN27</f>
        <v>208184.78700000001</v>
      </c>
      <c r="SS27" s="794">
        <f>RQ27+RU27+RY27+SC27+SG27+SK27+SO27</f>
        <v>0</v>
      </c>
      <c r="ST27" s="786">
        <f>SS27/SQ27</f>
        <v>0</v>
      </c>
      <c r="SU27" s="593">
        <f>'Proy 2022 vs 2019 sem'!CQ26*SX$4</f>
        <v>17983.930799999998</v>
      </c>
      <c r="SV27" s="593">
        <f>'Proy 2022 vs 2019 sem'!CR26*SX$4</f>
        <v>24958.466988000004</v>
      </c>
      <c r="SW27" s="699"/>
      <c r="SX27" s="700">
        <f>SW27/SU27</f>
        <v>0</v>
      </c>
      <c r="SY27" s="593">
        <f>'Proy 2022 vs 2019 sem'!CQ26*TB$4</f>
        <v>17983.930799999998</v>
      </c>
      <c r="SZ27" s="593">
        <f>'Proy 2022 vs 2019 sem'!CR26*TB$4</f>
        <v>24958.466988000004</v>
      </c>
      <c r="TA27" s="699"/>
      <c r="TB27" s="700">
        <f>TA27/SY27</f>
        <v>0</v>
      </c>
      <c r="TC27" s="593">
        <f>'Proy 2022 vs 2019 sem'!CQ26*TF$4</f>
        <v>17983.930799999998</v>
      </c>
      <c r="TD27" s="593">
        <f>'Proy 2022 vs 2019 sem'!CR26*TF$4</f>
        <v>24958.466988000004</v>
      </c>
      <c r="TE27" s="699"/>
      <c r="TF27" s="700">
        <f>TE27/TC27</f>
        <v>0</v>
      </c>
      <c r="TG27" s="593">
        <f>'Proy 2022 vs 2019 sem'!CQ26*TJ$4</f>
        <v>17983.930799999998</v>
      </c>
      <c r="TH27" s="593">
        <f>'Proy 2022 vs 2019 sem'!CR26*TJ$4</f>
        <v>24958.466988000004</v>
      </c>
      <c r="TI27" s="699"/>
      <c r="TJ27" s="700">
        <f>TI27/TG27</f>
        <v>0</v>
      </c>
      <c r="TK27" s="593">
        <f>'Proy 2022 vs 2019 sem'!CQ26*TN$4</f>
        <v>20981.2526</v>
      </c>
      <c r="TL27" s="593">
        <f>'Proy 2022 vs 2019 sem'!CR26*TN$4</f>
        <v>29118.211486000007</v>
      </c>
      <c r="TM27" s="699"/>
      <c r="TN27" s="700">
        <f>TM27/TK27</f>
        <v>0</v>
      </c>
      <c r="TO27" s="593">
        <f>'Proy 2022 vs 2019 sem'!CQ26*TR$4</f>
        <v>23978.574400000001</v>
      </c>
      <c r="TP27" s="593">
        <f>'Proy 2022 vs 2019 sem'!CR26*TR$4</f>
        <v>33277.955984000007</v>
      </c>
      <c r="TQ27" s="699"/>
      <c r="TR27" s="700">
        <f>TQ27/TO27</f>
        <v>0</v>
      </c>
      <c r="TS27" s="593">
        <f>'Proy 2022 vs 2019 sem'!CQ26*TV$4</f>
        <v>32970.539799999999</v>
      </c>
      <c r="TT27" s="593">
        <f>'Proy 2022 vs 2019 sem'!CR26*TV$4</f>
        <v>45757.189478000008</v>
      </c>
      <c r="TU27" s="699"/>
      <c r="TV27" s="700">
        <f>TU27/TS27</f>
        <v>0</v>
      </c>
      <c r="TW27" s="579">
        <f>SU27+SY27+TC27+TG27+TK27+TO27+TS27</f>
        <v>149866.08999999997</v>
      </c>
      <c r="TX27" s="574">
        <f>SV27+SZ27+TD27+TH27+TL27+TP27+TT27</f>
        <v>207987.22490000003</v>
      </c>
      <c r="TY27" s="785">
        <f>SW27+TA27+TE27+TI27+TM27+TQ27+TU27</f>
        <v>0</v>
      </c>
      <c r="TZ27" s="786">
        <f>TY27/TW27</f>
        <v>0</v>
      </c>
      <c r="UA27" s="593">
        <f>'Proy 2022 vs 2019 sem'!CZ26*UD$4</f>
        <v>22676.0628</v>
      </c>
      <c r="UB27" s="593">
        <f>'Proy 2022 vs 2019 sem'!DA26*UD$4</f>
        <v>36445.480199999998</v>
      </c>
      <c r="UC27" s="735"/>
      <c r="UD27" s="700">
        <f>UC27/UA27</f>
        <v>0</v>
      </c>
      <c r="UE27" s="593">
        <f>'Proy 2022 vs 2019 sem'!CZ26*UH$4</f>
        <v>22676.0628</v>
      </c>
      <c r="UF27" s="593">
        <f>'Proy 2022 vs 2019 sem'!DA26*UH$4</f>
        <v>36445.480199999998</v>
      </c>
      <c r="UG27" s="699"/>
      <c r="UH27" s="700">
        <f>UG27/UE27</f>
        <v>0</v>
      </c>
      <c r="UI27" s="593">
        <f>'Proy 2022 vs 2019 sem'!CZ26*UL$4</f>
        <v>22676.0628</v>
      </c>
      <c r="UJ27" s="593">
        <f>'Proy 2022 vs 2019 sem'!DA26*UL$4</f>
        <v>36445.480199999998</v>
      </c>
      <c r="UK27" s="699"/>
      <c r="UL27" s="700">
        <f>UK27/UI27</f>
        <v>0</v>
      </c>
      <c r="UM27" s="593">
        <f>'Proy 2022 vs 2019 sem'!CZ26*UP$4</f>
        <v>22676.0628</v>
      </c>
      <c r="UN27" s="593">
        <f>'Proy 2022 vs 2019 sem'!DA26*UP$4</f>
        <v>36445.480199999998</v>
      </c>
      <c r="UO27" s="699"/>
      <c r="UP27" s="700">
        <f>UO27/UM27</f>
        <v>0</v>
      </c>
      <c r="UQ27" s="593">
        <f>'Proy 2022 vs 2019 sem'!CZ26*UT$4</f>
        <v>26455.406600000002</v>
      </c>
      <c r="UR27" s="593">
        <f>'Proy 2022 vs 2019 sem'!DA26*UT$4</f>
        <v>42519.726900000009</v>
      </c>
      <c r="US27" s="699"/>
      <c r="UT27" s="700">
        <f>US27/UQ27</f>
        <v>0</v>
      </c>
      <c r="UU27" s="593">
        <f>'Proy 2022 vs 2019 sem'!CZ26*UX$4</f>
        <v>30234.750400000001</v>
      </c>
      <c r="UV27" s="593">
        <f>'Proy 2022 vs 2019 sem'!DA26*UX$4</f>
        <v>48593.973600000005</v>
      </c>
      <c r="UW27" s="699"/>
      <c r="UX27" s="700">
        <f>UW27/UU27</f>
        <v>0</v>
      </c>
      <c r="UY27" s="593">
        <f>'Proy 2022 vs 2019 sem'!CZ26*VB$4</f>
        <v>41572.781800000004</v>
      </c>
      <c r="UZ27" s="593">
        <f>'Proy 2022 vs 2019 sem'!DA26*VB$4</f>
        <v>66816.713700000008</v>
      </c>
      <c r="VA27" s="699"/>
      <c r="VB27" s="700">
        <f>VA27/UY27</f>
        <v>0</v>
      </c>
      <c r="VC27" s="579">
        <f>UA27+UE27+UI27+UM27+UQ27+UU27+UY27</f>
        <v>188967.19</v>
      </c>
      <c r="VD27" s="574">
        <f>UB27+UF27+UJ27+UN27+UR27+UV27+UZ27</f>
        <v>303712.33500000002</v>
      </c>
      <c r="VE27" s="759">
        <f>UC27+UG27+UK27+UO27+US27+UW27+VA27</f>
        <v>0</v>
      </c>
      <c r="VF27" s="761">
        <f>VE27/VC27</f>
        <v>0</v>
      </c>
      <c r="VG27" s="593">
        <f>'Proy 2022 vs 2019 sem'!DE26*VJ$4</f>
        <v>15979.7556</v>
      </c>
      <c r="VH27" s="593">
        <f>'Proy 2022 vs 2019 sem'!DF26*VJ$4</f>
        <v>26803.795320000001</v>
      </c>
      <c r="VI27" s="699"/>
      <c r="VJ27" s="700">
        <f>VI27/VG27</f>
        <v>0</v>
      </c>
      <c r="VK27" s="593">
        <f>'Proy 2022 vs 2019 sem'!DE26*VN$4</f>
        <v>15979.7556</v>
      </c>
      <c r="VL27" s="593">
        <f>'Proy 2022 vs 2019 sem'!DF26*VN$4</f>
        <v>26803.795320000001</v>
      </c>
      <c r="VM27" s="699"/>
      <c r="VN27" s="700">
        <f>VM27/VK27</f>
        <v>0</v>
      </c>
      <c r="VO27" s="593">
        <f>'Proy 2022 vs 2019 sem'!DE26*VR$4</f>
        <v>15979.7556</v>
      </c>
      <c r="VP27" s="593">
        <f>'Proy 2022 vs 2019 sem'!DF26*VR$4</f>
        <v>26803.795320000001</v>
      </c>
      <c r="VQ27" s="699"/>
      <c r="VR27" s="700">
        <f>VQ27/VO27</f>
        <v>0</v>
      </c>
      <c r="VS27" s="593">
        <f>'Proy 2022 vs 2019 sem'!DE26*VV$4</f>
        <v>15979.7556</v>
      </c>
      <c r="VT27" s="593">
        <f>'Proy 2022 vs 2019 sem'!DF26*VV$4</f>
        <v>26803.795320000001</v>
      </c>
      <c r="VU27" s="699"/>
      <c r="VV27" s="700">
        <f>VU27/VS27</f>
        <v>0</v>
      </c>
      <c r="VW27" s="593">
        <f>'Proy 2022 vs 2019 sem'!DE26*VZ$4</f>
        <v>18643.048200000001</v>
      </c>
      <c r="VX27" s="593">
        <f>'Proy 2022 vs 2019 sem'!DF26*VZ$4</f>
        <v>31271.094540000006</v>
      </c>
      <c r="VY27" s="699"/>
      <c r="VZ27" s="700">
        <f>VY27/VW27</f>
        <v>0</v>
      </c>
      <c r="WA27" s="593">
        <f>'Proy 2022 vs 2019 sem'!DE26*WD$4</f>
        <v>21306.340800000002</v>
      </c>
      <c r="WB27" s="593">
        <f>'Proy 2022 vs 2019 sem'!DF26*WD$4</f>
        <v>35738.393759999999</v>
      </c>
      <c r="WC27" s="699"/>
      <c r="WD27" s="700">
        <f>WC27/WA27</f>
        <v>0</v>
      </c>
      <c r="WE27" s="593">
        <f>'Proy 2022 vs 2019 sem'!DE26*WH$4</f>
        <v>29296.2186</v>
      </c>
      <c r="WF27" s="593">
        <f>'Proy 2022 vs 2019 sem'!DF26*WH$4</f>
        <v>49140.291420000001</v>
      </c>
      <c r="WG27" s="699"/>
      <c r="WH27" s="700">
        <f>WG27/WE27</f>
        <v>0</v>
      </c>
      <c r="WI27" s="579">
        <f>VG27+VK27+VO27+VS27+VW27+WA27+WE27</f>
        <v>133164.63</v>
      </c>
      <c r="WJ27" s="574">
        <f>VH27+VL27+VP27+VT27+VX27+WB27+WF27</f>
        <v>223364.96100000001</v>
      </c>
      <c r="WK27" s="765">
        <f>VI27+VM27+VQ27+VU27+VY27+WC27+WG27</f>
        <v>0</v>
      </c>
      <c r="WL27" s="761">
        <f>WK27/WI27</f>
        <v>0</v>
      </c>
      <c r="WM27" s="593">
        <f>'Proy 2022 vs 2019 sem'!DJ26*WP$4</f>
        <v>15436.9236</v>
      </c>
      <c r="WN27" s="593">
        <f>'Proy 2022 vs 2019 sem'!DK26*WP$4</f>
        <v>21876.928199999998</v>
      </c>
      <c r="WO27" s="699"/>
      <c r="WP27" s="700">
        <f>WO27/WM27</f>
        <v>0</v>
      </c>
      <c r="WQ27" s="593">
        <f>'Proy 2022 vs 2019 sem'!DJ26*WT$4</f>
        <v>15436.9236</v>
      </c>
      <c r="WR27" s="593">
        <f>'Proy 2022 vs 2019 sem'!DK26*WT$4</f>
        <v>21876.928199999998</v>
      </c>
      <c r="WS27" s="699"/>
      <c r="WT27" s="700">
        <f>WS27/WQ27</f>
        <v>0</v>
      </c>
      <c r="WU27" s="593">
        <f>'Proy 2022 vs 2019 sem'!DJ26*WX$4</f>
        <v>15436.9236</v>
      </c>
      <c r="WV27" s="593">
        <f>'Proy 2022 vs 2019 sem'!DK26*WX$4</f>
        <v>21876.928199999998</v>
      </c>
      <c r="WW27" s="699"/>
      <c r="WX27" s="700">
        <f>WW27/WU27</f>
        <v>0</v>
      </c>
      <c r="WY27" s="593">
        <f>'Proy 2022 vs 2019 sem'!DJ26*XB$4</f>
        <v>15436.9236</v>
      </c>
      <c r="WZ27" s="593">
        <f>'Proy 2022 vs 2019 sem'!DK26*XB$4</f>
        <v>21876.928199999998</v>
      </c>
      <c r="XA27" s="699"/>
      <c r="XB27" s="700">
        <f>XA27/WY27</f>
        <v>0</v>
      </c>
      <c r="XC27" s="593">
        <f>'Proy 2022 vs 2019 sem'!DJ26*XF$4</f>
        <v>18009.744200000001</v>
      </c>
      <c r="XD27" s="593">
        <f>'Proy 2022 vs 2019 sem'!DK26*XF$4</f>
        <v>25523.082900000001</v>
      </c>
      <c r="XE27" s="699"/>
      <c r="XF27" s="700">
        <f>XE27/XC27</f>
        <v>0</v>
      </c>
      <c r="XG27" s="593">
        <f>'Proy 2022 vs 2019 sem'!DJ26*XJ$4</f>
        <v>20582.5648</v>
      </c>
      <c r="XH27" s="593">
        <f>'Proy 2022 vs 2019 sem'!DK26*XJ$4</f>
        <v>29169.237599999997</v>
      </c>
      <c r="XI27" s="699"/>
      <c r="XJ27" s="700">
        <f>XI27/XG27</f>
        <v>0</v>
      </c>
      <c r="XK27" s="593">
        <f>'Proy 2022 vs 2019 sem'!DJ26*XN$4</f>
        <v>28301.026600000001</v>
      </c>
      <c r="XL27" s="593">
        <f>'Proy 2022 vs 2019 sem'!DK26*XN$4</f>
        <v>40107.701699999998</v>
      </c>
      <c r="XM27" s="699"/>
      <c r="XN27" s="700">
        <f>XM27/XK27</f>
        <v>0</v>
      </c>
      <c r="XO27" s="579">
        <f>WM27+WQ27+WU27+WY27+XC27+XG27+XK27</f>
        <v>128641.02999999998</v>
      </c>
      <c r="XP27" s="574">
        <f>WN27+WR27+WV27+WZ27+XD27+XH27+XL27</f>
        <v>182307.73499999999</v>
      </c>
      <c r="XQ27" s="765">
        <f>WO27+WS27+WW27+XA27+XE27+XI27+XM27</f>
        <v>0</v>
      </c>
      <c r="XR27" s="761">
        <f>XQ27/XO27</f>
        <v>0</v>
      </c>
      <c r="XS27" s="593">
        <f>'Proy 2022 vs 2019 sem'!DO26*XV$4</f>
        <v>16402.929599999999</v>
      </c>
      <c r="XT27" s="593">
        <f>'Proy 2022 vs 2019 sem'!DP26*XV$4</f>
        <v>22749.343560000001</v>
      </c>
      <c r="XU27" s="699"/>
      <c r="XV27" s="700">
        <f>XU27/XS27</f>
        <v>0</v>
      </c>
      <c r="XW27" s="593">
        <f>'Proy 2022 vs 2019 sem'!DO26*XZ$4</f>
        <v>16402.929599999999</v>
      </c>
      <c r="XX27" s="593">
        <f>'Proy 2022 vs 2019 sem'!DP26*XZ$4</f>
        <v>22749.343560000001</v>
      </c>
      <c r="XY27" s="699"/>
      <c r="XZ27" s="700">
        <f>XY27/XW27</f>
        <v>0</v>
      </c>
      <c r="YA27" s="593">
        <f>'Proy 2022 vs 2019 sem'!DO26*YD$4</f>
        <v>16402.929599999999</v>
      </c>
      <c r="YB27" s="593">
        <f>'Proy 2022 vs 2019 sem'!DP26*YD$4</f>
        <v>22749.343560000001</v>
      </c>
      <c r="YC27" s="699"/>
      <c r="YD27" s="700">
        <f>YC27/YA27</f>
        <v>0</v>
      </c>
      <c r="YE27" s="593">
        <f>'Proy 2022 vs 2019 sem'!DO26*YH$4</f>
        <v>16402.929599999999</v>
      </c>
      <c r="YF27" s="593">
        <f>'Proy 2022 vs 2019 sem'!DP26*YH$4</f>
        <v>22749.343560000001</v>
      </c>
      <c r="YG27" s="699"/>
      <c r="YH27" s="700">
        <f>YG27/YE27</f>
        <v>0</v>
      </c>
      <c r="YI27" s="593">
        <f>'Proy 2022 vs 2019 sem'!DO26*YL$4</f>
        <v>19136.751199999999</v>
      </c>
      <c r="YJ27" s="593">
        <f>'Proy 2022 vs 2019 sem'!DP26*YL$4</f>
        <v>26540.900820000003</v>
      </c>
      <c r="YK27" s="699"/>
      <c r="YL27" s="700">
        <f>YK27/YI27</f>
        <v>0</v>
      </c>
      <c r="YM27" s="593">
        <f>'Proy 2022 vs 2019 sem'!DO26*YP$4</f>
        <v>21870.572799999998</v>
      </c>
      <c r="YN27" s="593">
        <f>'Proy 2022 vs 2019 sem'!DP26*YP$4</f>
        <v>30332.458080000004</v>
      </c>
      <c r="YO27" s="699"/>
      <c r="YP27" s="700">
        <f>YO27/YM27</f>
        <v>0</v>
      </c>
      <c r="YQ27" s="593">
        <f>'Proy 2022 vs 2019 sem'!DO26*YT$4</f>
        <v>30072.037599999996</v>
      </c>
      <c r="YR27" s="593">
        <f>'Proy 2022 vs 2019 sem'!DP26*YT$4</f>
        <v>41707.129860000001</v>
      </c>
      <c r="YS27" s="699"/>
      <c r="YT27" s="700">
        <f>YS27/YQ27</f>
        <v>0</v>
      </c>
      <c r="YU27" s="579">
        <f>XS27+XW27+YA27+YE27+YI27+YM27+YQ27</f>
        <v>136691.07999999999</v>
      </c>
      <c r="YV27" s="574">
        <f>XT27+XX27+YB27+YF27+YJ27+YN27+YR27</f>
        <v>189577.86300000001</v>
      </c>
      <c r="YW27" s="770">
        <f>XU27+XY27+YC27+YG27+YK27+YO27+YS27</f>
        <v>0</v>
      </c>
      <c r="YX27" s="761">
        <f>YW27/YU27</f>
        <v>0</v>
      </c>
      <c r="YY27" s="931">
        <f>'Proy 2022 vs 2019 sem'!DX26*ZB$4</f>
        <v>17474.618399999999</v>
      </c>
      <c r="YZ27" s="931">
        <f>'Proy 2022 vs 2019 sem'!DY26*ZB$4</f>
        <v>23273.594999999998</v>
      </c>
      <c r="ZA27" s="735"/>
      <c r="ZB27" s="700">
        <f>ZA27/YY27</f>
        <v>0</v>
      </c>
      <c r="ZC27" s="593">
        <f>'Proy 2022 vs 2019 sem'!DX26*ZF$4</f>
        <v>17474.618399999999</v>
      </c>
      <c r="ZD27" s="593">
        <f>'Proy 2022 vs 2019 sem'!DY26*ZF$4</f>
        <v>23273.594999999998</v>
      </c>
      <c r="ZE27" s="735"/>
      <c r="ZF27" s="700">
        <f>ZE27/ZC27</f>
        <v>0</v>
      </c>
      <c r="ZG27" s="593">
        <f>'Proy 2022 vs 2019 sem'!DX26*ZJ$4</f>
        <v>17474.618399999999</v>
      </c>
      <c r="ZH27" s="593">
        <f>'Proy 2022 vs 2019 sem'!DY26*ZJ$4</f>
        <v>23273.594999999998</v>
      </c>
      <c r="ZI27" s="735"/>
      <c r="ZJ27" s="700">
        <f>ZI27/ZG27</f>
        <v>0</v>
      </c>
      <c r="ZK27" s="593">
        <f>'Proy 2022 vs 2019 sem'!DX26*ZN$4</f>
        <v>17474.618399999999</v>
      </c>
      <c r="ZL27" s="593">
        <f>'Proy 2022 vs 2019 sem'!DY26*ZN$4</f>
        <v>23273.594999999998</v>
      </c>
      <c r="ZM27" s="735"/>
      <c r="ZN27" s="700">
        <f>ZM27/ZK27</f>
        <v>0</v>
      </c>
      <c r="ZO27" s="593">
        <f>'Proy 2022 vs 2019 sem'!DX26*ZR$4</f>
        <v>20387.054800000002</v>
      </c>
      <c r="ZP27" s="593">
        <f>'Proy 2022 vs 2019 sem'!DY26*ZR$4</f>
        <v>27152.527500000004</v>
      </c>
      <c r="ZQ27" s="735"/>
      <c r="ZR27" s="700">
        <f>ZQ27/ZO27</f>
        <v>0</v>
      </c>
      <c r="ZS27" s="593">
        <f>'Proy 2022 vs 2019 sem'!DX26*ZV$4</f>
        <v>23299.4912</v>
      </c>
      <c r="ZT27" s="593">
        <f>'Proy 2022 vs 2019 sem'!DY26*ZV$4</f>
        <v>31031.46</v>
      </c>
      <c r="ZU27" s="735"/>
      <c r="ZV27" s="700">
        <f>ZU27/ZS27</f>
        <v>0</v>
      </c>
      <c r="ZW27" s="593">
        <f>'Proy 2022 vs 2019 sem'!DX26*ZZ$4</f>
        <v>32036.8004</v>
      </c>
      <c r="ZX27" s="593">
        <f>'Proy 2022 vs 2019 sem'!DY26*ZZ$4</f>
        <v>42668.2575</v>
      </c>
      <c r="ZY27" s="735"/>
      <c r="ZZ27" s="700">
        <f>ZY27/ZW27</f>
        <v>0</v>
      </c>
      <c r="AAA27" s="579">
        <f>YY27+ZC27+ZG27+ZK27+ZO27+ZS27+ZW27</f>
        <v>145621.82</v>
      </c>
      <c r="AAB27" s="574">
        <f>YZ27+ZD27+ZH27+ZL27+ZP27+ZT27+ZX27</f>
        <v>193946.625</v>
      </c>
      <c r="AAC27" s="729">
        <f>ZA27+ZE27+ZI27+ZM27+ZQ27+ZU27+ZY27</f>
        <v>0</v>
      </c>
      <c r="AAD27" s="711">
        <f>AAC27/AAA27</f>
        <v>0</v>
      </c>
      <c r="AAE27" s="593">
        <f>'Proy 2022 vs 2019 sem'!EC26*AAH$4</f>
        <v>18915.96</v>
      </c>
      <c r="AAF27" s="593">
        <f>'Proy 2022 vs 2019 sem'!ED26*AAH$4</f>
        <v>29442.809087999998</v>
      </c>
      <c r="AAG27" s="699"/>
      <c r="AAH27" s="700">
        <f>AAG27/AAE27</f>
        <v>0</v>
      </c>
      <c r="AAI27" s="593">
        <f>'Proy 2022 vs 2019 sem'!EC26*AAL$4</f>
        <v>18915.96</v>
      </c>
      <c r="AAJ27" s="593">
        <f>'Proy 2022 vs 2019 sem'!ED26*AAL$4</f>
        <v>29442.809087999998</v>
      </c>
      <c r="AAK27" s="699"/>
      <c r="AAL27" s="700">
        <f>AAK27/AAI27</f>
        <v>0</v>
      </c>
      <c r="AAM27" s="593">
        <f>'Proy 2022 vs 2019 sem'!EC26*AAP$4</f>
        <v>18915.96</v>
      </c>
      <c r="AAN27" s="593">
        <f>'Proy 2022 vs 2019 sem'!ED26*AAP$4</f>
        <v>29442.809087999998</v>
      </c>
      <c r="AAO27" s="699"/>
      <c r="AAP27" s="700">
        <f>AAO27/AAM27</f>
        <v>0</v>
      </c>
      <c r="AAQ27" s="593">
        <f>'Proy 2022 vs 2019 sem'!EC26*AAT$4</f>
        <v>18915.96</v>
      </c>
      <c r="AAR27" s="593">
        <f>'Proy 2022 vs 2019 sem'!ED26*AAT$4</f>
        <v>29442.809087999998</v>
      </c>
      <c r="AAS27" s="699"/>
      <c r="AAT27" s="700">
        <f>AAS27/AAQ27</f>
        <v>0</v>
      </c>
      <c r="AAU27" s="593">
        <f>'Proy 2022 vs 2019 sem'!EC26*AAX$4</f>
        <v>22068.620000000003</v>
      </c>
      <c r="AAV27" s="593">
        <f>'Proy 2022 vs 2019 sem'!ED26*AAX$4</f>
        <v>34349.943936000003</v>
      </c>
      <c r="AAW27" s="699"/>
      <c r="AAX27" s="700">
        <f>AAW27/AAU27</f>
        <v>0</v>
      </c>
      <c r="AAY27" s="593">
        <f>'Proy 2022 vs 2019 sem'!EC26*ABB$4</f>
        <v>25221.279999999999</v>
      </c>
      <c r="AAZ27" s="593">
        <f>'Proy 2022 vs 2019 sem'!ED26*ABB$4</f>
        <v>39257.078783999998</v>
      </c>
      <c r="ABA27" s="699"/>
      <c r="ABB27" s="700">
        <f>ABA27/AAY27</f>
        <v>0</v>
      </c>
      <c r="ABC27" s="593">
        <f>'Proy 2022 vs 2019 sem'!EC26*ABF$4</f>
        <v>34679.26</v>
      </c>
      <c r="ABD27" s="593">
        <f>'Proy 2022 vs 2019 sem'!ED26*ABF$4</f>
        <v>53978.483327999995</v>
      </c>
      <c r="ABE27" s="699"/>
      <c r="ABF27" s="700">
        <f>ABE27/ABC27</f>
        <v>0</v>
      </c>
      <c r="ABG27" s="579">
        <f>AAE27+AAI27+AAM27+AAQ27+AAU27+AAY27+ABC27</f>
        <v>157633</v>
      </c>
      <c r="ABH27" s="574">
        <f>AAF27+AAJ27+AAN27+AAR27+AAV27+AAZ27+ABD27</f>
        <v>245356.74239999999</v>
      </c>
      <c r="ABI27" s="730">
        <f>AAG27+AAK27+AAO27+AAS27+AAW27+ABA27+ABE27</f>
        <v>0</v>
      </c>
      <c r="ABJ27" s="711">
        <f>ABI27/ABG27</f>
        <v>0</v>
      </c>
      <c r="ABK27" s="593">
        <f>'Proy 2022 vs 2019 sem'!EH26*ABN$4</f>
        <v>18875.883599999997</v>
      </c>
      <c r="ABL27" s="593">
        <f>'Proy 2022 vs 2019 sem'!EI26*ABN$4</f>
        <v>26042.900184000002</v>
      </c>
      <c r="ABM27" s="699"/>
      <c r="ABN27" s="700">
        <f>ABM27/ABK27</f>
        <v>0</v>
      </c>
      <c r="ABO27" s="593">
        <f>'Proy 2022 vs 2019 sem'!EH26*ABR$4</f>
        <v>18875.883599999997</v>
      </c>
      <c r="ABP27" s="593">
        <f>'Proy 2022 vs 2019 sem'!EI26*ABR$4</f>
        <v>26042.900184000002</v>
      </c>
      <c r="ABQ27" s="699"/>
      <c r="ABR27" s="700">
        <f>ABQ27/ABO27</f>
        <v>0</v>
      </c>
      <c r="ABS27" s="593">
        <f>'Proy 2022 vs 2019 sem'!EH26*ABV$4</f>
        <v>18875.883599999997</v>
      </c>
      <c r="ABT27" s="593">
        <f>'Proy 2022 vs 2019 sem'!EI26*ABV$4</f>
        <v>26042.900184000002</v>
      </c>
      <c r="ABU27" s="699"/>
      <c r="ABV27" s="700">
        <f>ABU27/ABS27</f>
        <v>0</v>
      </c>
      <c r="ABW27" s="593">
        <f>'Proy 2022 vs 2019 sem'!EH26*ABZ$4</f>
        <v>18875.883599999997</v>
      </c>
      <c r="ABX27" s="593">
        <f>'Proy 2022 vs 2019 sem'!EI26*ABZ$4</f>
        <v>26042.900184000002</v>
      </c>
      <c r="ABY27" s="699"/>
      <c r="ABZ27" s="700">
        <f>ABY27/ABW27</f>
        <v>0</v>
      </c>
      <c r="ACA27" s="593">
        <f>'Proy 2022 vs 2019 sem'!EH26*ACD$4</f>
        <v>22021.864200000004</v>
      </c>
      <c r="ACB27" s="593">
        <f>'Proy 2022 vs 2019 sem'!EI26*ACD$4</f>
        <v>30383.383548000005</v>
      </c>
      <c r="ACC27" s="699"/>
      <c r="ACD27" s="700">
        <f>ACC27/ACA27</f>
        <v>0</v>
      </c>
      <c r="ACE27" s="593">
        <f>'Proy 2022 vs 2019 sem'!EH26*ACH$4</f>
        <v>25167.844799999999</v>
      </c>
      <c r="ACF27" s="593">
        <f>'Proy 2022 vs 2019 sem'!EI26*ACH$4</f>
        <v>34723.866912000005</v>
      </c>
      <c r="ACG27" s="699"/>
      <c r="ACH27" s="700">
        <f>ACG27/ACE27</f>
        <v>0</v>
      </c>
      <c r="ACI27" s="593">
        <f>'Proy 2022 vs 2019 sem'!EH26*ACL$4</f>
        <v>34605.786599999999</v>
      </c>
      <c r="ACJ27" s="593">
        <f>'Proy 2022 vs 2019 sem'!EI26*ACL$4</f>
        <v>47745.317004000004</v>
      </c>
      <c r="ACK27" s="699"/>
      <c r="ACL27" s="700">
        <f>ACK27/ACI27</f>
        <v>0</v>
      </c>
      <c r="ACM27" s="579">
        <f>ABK27+ABO27+ABS27+ABW27+ACA27+ACE27+ACI27</f>
        <v>157299.02999999997</v>
      </c>
      <c r="ACN27" s="574">
        <f>ABL27+ABP27+ABT27+ABX27+ACB27+ACF27+ACJ27</f>
        <v>217024.16820000001</v>
      </c>
      <c r="ACO27" s="730">
        <f>ABM27+ABQ27+ABU27+ABY27+ACC27+ACG27+ACK27</f>
        <v>0</v>
      </c>
      <c r="ACP27" s="711">
        <f>ACO27/ACM27</f>
        <v>0</v>
      </c>
      <c r="ACQ27" s="593">
        <f>'Proy 2022 vs 2019 sem'!EM26*ACT$4</f>
        <v>20092.9764</v>
      </c>
      <c r="ACR27" s="593">
        <f>'Proy 2022 vs 2019 sem'!EN26*ACT$4</f>
        <v>31004.438579999998</v>
      </c>
      <c r="ACS27" s="699"/>
      <c r="ACT27" s="700">
        <f>ACS27/ACQ27</f>
        <v>0</v>
      </c>
      <c r="ACU27" s="593">
        <f>'Proy 2022 vs 2019 sem'!EM26*ACX$4</f>
        <v>20092.9764</v>
      </c>
      <c r="ACV27" s="593">
        <f>'Proy 2022 vs 2019 sem'!EN26*ACX$4</f>
        <v>31004.438579999998</v>
      </c>
      <c r="ACW27" s="699"/>
      <c r="ACX27" s="700">
        <f>ACW27/ACU27</f>
        <v>0</v>
      </c>
      <c r="ACY27" s="593">
        <f>'Proy 2022 vs 2019 sem'!EM26*ADB$4</f>
        <v>20092.9764</v>
      </c>
      <c r="ACZ27" s="593">
        <f>'Proy 2022 vs 2019 sem'!EN26*ADB$4</f>
        <v>31004.438579999998</v>
      </c>
      <c r="ADA27" s="699"/>
      <c r="ADB27" s="700">
        <f>ADA27/ACY27</f>
        <v>0</v>
      </c>
      <c r="ADC27" s="593">
        <f>'Proy 2022 vs 2019 sem'!EM26*ADF$4</f>
        <v>20092.9764</v>
      </c>
      <c r="ADD27" s="593">
        <f>'Proy 2022 vs 2019 sem'!EN26*ADF$4</f>
        <v>31004.438579999998</v>
      </c>
      <c r="ADE27" s="699"/>
      <c r="ADF27" s="700">
        <f>ADE27/ADC27</f>
        <v>0</v>
      </c>
      <c r="ADG27" s="593">
        <f>'Proy 2022 vs 2019 sem'!EM26*ADJ$4</f>
        <v>23441.805800000002</v>
      </c>
      <c r="ADH27" s="593">
        <f>'Proy 2022 vs 2019 sem'!EN26*ADJ$4</f>
        <v>36171.845010000005</v>
      </c>
      <c r="ADI27" s="699"/>
      <c r="ADJ27" s="700">
        <f>ADI27/ADG27</f>
        <v>0</v>
      </c>
      <c r="ADK27" s="593">
        <f>'Proy 2022 vs 2019 sem'!EM26*ADN$4</f>
        <v>26790.635200000001</v>
      </c>
      <c r="ADL27" s="593">
        <f>'Proy 2022 vs 2019 sem'!EN26*ADN$4</f>
        <v>41339.25144</v>
      </c>
      <c r="ADM27" s="699"/>
      <c r="ADN27" s="700">
        <f>ADM27/ADK27</f>
        <v>0</v>
      </c>
      <c r="ADO27" s="593">
        <f>'Proy 2022 vs 2019 sem'!EM26*ADR$4</f>
        <v>36837.123400000004</v>
      </c>
      <c r="ADP27" s="593">
        <f>'Proy 2022 vs 2019 sem'!EN26*ADR$4</f>
        <v>56841.470730000001</v>
      </c>
      <c r="ADQ27" s="699"/>
      <c r="ADR27" s="700">
        <f>ADQ27/ADO27</f>
        <v>0</v>
      </c>
      <c r="ADS27" s="579">
        <f>ACQ27+ACU27+ACY27+ADC27+ADG27+ADK27+ADO27</f>
        <v>167441.47</v>
      </c>
      <c r="ADT27" s="574">
        <f>ACR27+ACV27+ACZ27+ADD27+ADH27+ADL27+ADP27</f>
        <v>258370.32149999999</v>
      </c>
      <c r="ADU27" s="710">
        <f>ACS27+ACW27+ADA27+ADE27+ADI27+ADM27+ADQ27</f>
        <v>0</v>
      </c>
      <c r="ADV27" s="711">
        <f>ADU27/ADS27</f>
        <v>0</v>
      </c>
      <c r="ADW27" s="593">
        <f>'Proy 2022 vs 2019 sem'!ER26*ADZ$4</f>
        <v>19794.730799999998</v>
      </c>
      <c r="ADX27" s="593">
        <f>'Proy 2022 vs 2019 sem'!ES26*ADZ$4</f>
        <v>27720.454572000002</v>
      </c>
      <c r="ADY27" s="699"/>
      <c r="ADZ27" s="700">
        <f>ADY27/ADW27</f>
        <v>0</v>
      </c>
      <c r="AEA27" s="593">
        <f>'Proy 2022 vs 2019 sem'!ER26*AED$4</f>
        <v>19794.730799999998</v>
      </c>
      <c r="AEB27" s="593">
        <f>'Proy 2022 vs 2019 sem'!ES26*AED$4</f>
        <v>27720.454572000002</v>
      </c>
      <c r="AEC27" s="699"/>
      <c r="AED27" s="700">
        <f>AEC27/AEA27</f>
        <v>0</v>
      </c>
      <c r="AEE27" s="593">
        <f>'Proy 2022 vs 2019 sem'!ER26*AEH$4</f>
        <v>19794.730799999998</v>
      </c>
      <c r="AEF27" s="593">
        <f>'Proy 2022 vs 2019 sem'!ES26*AEH$4</f>
        <v>27720.454572000002</v>
      </c>
      <c r="AEG27" s="699"/>
      <c r="AEH27" s="700">
        <f>AEG27/AEE27</f>
        <v>0</v>
      </c>
      <c r="AEI27" s="593">
        <f>'Proy 2022 vs 2019 sem'!ER26*AEL$4</f>
        <v>19794.730799999998</v>
      </c>
      <c r="AEJ27" s="593">
        <f>'Proy 2022 vs 2019 sem'!ES26*AEL$4</f>
        <v>27720.454572000002</v>
      </c>
      <c r="AEK27" s="699"/>
      <c r="AEL27" s="700">
        <f>AEK27/AEI27</f>
        <v>0</v>
      </c>
      <c r="AEM27" s="593">
        <f>'Proy 2022 vs 2019 sem'!ER26*AEP$4</f>
        <v>23093.852600000002</v>
      </c>
      <c r="AEN27" s="593">
        <f>'Proy 2022 vs 2019 sem'!ES26*AEP$4</f>
        <v>32340.530334000006</v>
      </c>
      <c r="AEO27" s="699"/>
      <c r="AEP27" s="700">
        <f>AEO27/AEM27</f>
        <v>0</v>
      </c>
      <c r="AEQ27" s="593">
        <f>'Proy 2022 vs 2019 sem'!ER26*AET$4</f>
        <v>26392.974399999999</v>
      </c>
      <c r="AER27" s="593">
        <f>'Proy 2022 vs 2019 sem'!ES26*AET$4</f>
        <v>36960.606096000003</v>
      </c>
      <c r="AES27" s="699"/>
      <c r="AET27" s="700">
        <f>AES27/AEQ27</f>
        <v>0</v>
      </c>
      <c r="AEU27" s="593">
        <f>'Proy 2022 vs 2019 sem'!ER26*AEX$4</f>
        <v>36290.339800000002</v>
      </c>
      <c r="AEV27" s="593">
        <f>'Proy 2022 vs 2019 sem'!ES26*AEX$4</f>
        <v>50820.833382000004</v>
      </c>
      <c r="AEW27" s="699"/>
      <c r="AEX27" s="700">
        <f>AEW27/AEU27</f>
        <v>0</v>
      </c>
      <c r="AEY27" s="579">
        <f>ADW27+AEA27+AEE27+AEI27+AEM27+AEQ27+AEU27</f>
        <v>164956.08999999997</v>
      </c>
      <c r="AEZ27" s="574">
        <f>ADX27+AEB27+AEF27+AEJ27+AEN27+AER27+AEV27</f>
        <v>231003.78810000003</v>
      </c>
      <c r="AFA27" s="710">
        <f>ADY27+AEC27+AEG27+AEK27+AEO27+AES27+AEW27</f>
        <v>0</v>
      </c>
      <c r="AFB27" s="711">
        <f>AFA27/AEY27</f>
        <v>0</v>
      </c>
      <c r="AFC27" s="593">
        <f>'Proy 2022 vs 2019 sem'!FA26*AFF$4</f>
        <v>19487.293199999996</v>
      </c>
      <c r="AFD27" s="593">
        <f>'Proy 2022 vs 2019 sem'!FB26*AFF$4</f>
        <v>26960.110847999997</v>
      </c>
      <c r="AFE27" s="735"/>
      <c r="AFF27" s="700">
        <f>AFE27/AFC27</f>
        <v>0</v>
      </c>
      <c r="AFG27" s="593">
        <f>'Proy 2022 vs 2019 sem'!FA26*AFJ$4</f>
        <v>19487.293199999996</v>
      </c>
      <c r="AFH27" s="593">
        <f>'Proy 2022 vs 2019 sem'!FB26*AFJ$4</f>
        <v>26960.110847999997</v>
      </c>
      <c r="AFI27" s="699"/>
      <c r="AFJ27" s="700">
        <f>AFI27/AFG27</f>
        <v>0</v>
      </c>
      <c r="AFK27" s="593">
        <f>'Proy 2022 vs 2019 sem'!FA26*AFN$4</f>
        <v>19487.293199999996</v>
      </c>
      <c r="AFL27" s="593">
        <f>'Proy 2022 vs 2019 sem'!FB26*AFN$4</f>
        <v>26960.110847999997</v>
      </c>
      <c r="AFM27" s="699"/>
      <c r="AFN27" s="700">
        <f>AFM27/AFK27</f>
        <v>0</v>
      </c>
      <c r="AFO27" s="593">
        <f>'Proy 2022 vs 2019 sem'!FA26*AFR$4</f>
        <v>19487.293199999996</v>
      </c>
      <c r="AFP27" s="593">
        <f>'Proy 2022 vs 2019 sem'!FB26*AFR$4</f>
        <v>26960.110847999997</v>
      </c>
      <c r="AFQ27" s="699"/>
      <c r="AFR27" s="700">
        <f>AFQ27/AFO27</f>
        <v>0</v>
      </c>
      <c r="AFS27" s="593">
        <f>'Proy 2022 vs 2019 sem'!FA26*AFV$4</f>
        <v>22735.1754</v>
      </c>
      <c r="AFT27" s="593">
        <f>'Proy 2022 vs 2019 sem'!FB26*AFV$4</f>
        <v>31453.462656</v>
      </c>
      <c r="AFU27" s="699"/>
      <c r="AFV27" s="700">
        <f>AFU27/AFS27</f>
        <v>0</v>
      </c>
      <c r="AFW27" s="593">
        <f>'Proy 2022 vs 2019 sem'!FA26*AFZ$4</f>
        <v>25983.0576</v>
      </c>
      <c r="AFX27" s="593">
        <f>'Proy 2022 vs 2019 sem'!FB26*AFZ$4</f>
        <v>35946.814463999995</v>
      </c>
      <c r="AFY27" s="699"/>
      <c r="AFZ27" s="700">
        <f>AFY27/AFW27</f>
        <v>0</v>
      </c>
      <c r="AGA27" s="593">
        <f>'Proy 2022 vs 2019 sem'!FA26*AGD$4</f>
        <v>35726.7042</v>
      </c>
      <c r="AGB27" s="593">
        <f>'Proy 2022 vs 2019 sem'!FB26*AGD$4</f>
        <v>49426.869887999994</v>
      </c>
      <c r="AGC27" s="699"/>
      <c r="AGD27" s="700">
        <f>AGC27/AGA27</f>
        <v>0</v>
      </c>
      <c r="AGE27" s="579">
        <f>AFC27+AFG27+AFK27+AFO27+AFS27+AFW27+AGA27</f>
        <v>162394.10999999999</v>
      </c>
      <c r="AGF27" s="574">
        <f>AFD27+AFH27+AFL27+AFP27+AFT27+AFX27+AGB27</f>
        <v>224667.59039999996</v>
      </c>
      <c r="AGG27" s="759">
        <f>AFE27+AFI27+AFM27+AFQ27+AFU27+AFY27+AGC27</f>
        <v>0</v>
      </c>
      <c r="AGH27" s="761">
        <f>AGG27/AGE27</f>
        <v>0</v>
      </c>
      <c r="AGI27" s="593">
        <f>'Proy 2022 vs 2019 sem'!FF26*AGL$4</f>
        <v>18337.212</v>
      </c>
      <c r="AGJ27" s="593">
        <f>'Proy 2022 vs 2019 sem'!FG26*AGL$4</f>
        <v>28986.028895999996</v>
      </c>
      <c r="AGK27" s="699"/>
      <c r="AGL27" s="700">
        <f>AGK27/AGI27</f>
        <v>0</v>
      </c>
      <c r="AGM27" s="593">
        <f>'Proy 2022 vs 2019 sem'!FF26*AGP$4</f>
        <v>18337.212</v>
      </c>
      <c r="AGN27" s="593">
        <f>'Proy 2022 vs 2019 sem'!FG26*AGP$4</f>
        <v>28986.028895999996</v>
      </c>
      <c r="AGO27" s="699"/>
      <c r="AGP27" s="700">
        <f>AGO27/AGM27</f>
        <v>0</v>
      </c>
      <c r="AGQ27" s="593">
        <f>'Proy 2022 vs 2019 sem'!FF26*AGT$4</f>
        <v>18337.212</v>
      </c>
      <c r="AGR27" s="593">
        <f>'Proy 2022 vs 2019 sem'!FG26*AGT$4</f>
        <v>28986.028895999996</v>
      </c>
      <c r="AGS27" s="699"/>
      <c r="AGT27" s="700">
        <f>AGS27/AGQ27</f>
        <v>0</v>
      </c>
      <c r="AGU27" s="593">
        <f>'Proy 2022 vs 2019 sem'!FF26*AGX$4</f>
        <v>18337.212</v>
      </c>
      <c r="AGV27" s="593">
        <f>'Proy 2022 vs 2019 sem'!FG26*AGX$4</f>
        <v>28986.028895999996</v>
      </c>
      <c r="AGW27" s="699"/>
      <c r="AGX27" s="700">
        <f>AGW27/AGU27</f>
        <v>0</v>
      </c>
      <c r="AGY27" s="593">
        <f>'Proy 2022 vs 2019 sem'!FF26*AHB$4</f>
        <v>21393.414000000004</v>
      </c>
      <c r="AGZ27" s="593">
        <f>'Proy 2022 vs 2019 sem'!FG26*AHB$4</f>
        <v>33817.033711999997</v>
      </c>
      <c r="AHA27" s="699"/>
      <c r="AHB27" s="700">
        <f>AHA27/AGY27</f>
        <v>0</v>
      </c>
      <c r="AHC27" s="593">
        <f>'Proy 2022 vs 2019 sem'!FF26*AHF$4</f>
        <v>24449.616000000002</v>
      </c>
      <c r="AHD27" s="593">
        <f>'Proy 2022 vs 2019 sem'!FG26*AHF$4</f>
        <v>38648.038527999997</v>
      </c>
      <c r="AHE27" s="699"/>
      <c r="AHF27" s="700">
        <f>AHE27/AHC27</f>
        <v>0</v>
      </c>
      <c r="AHG27" s="593">
        <f>'Proy 2022 vs 2019 sem'!FF26*AHJ$4</f>
        <v>33618.222000000002</v>
      </c>
      <c r="AHH27" s="593">
        <f>'Proy 2022 vs 2019 sem'!FG26*AHJ$4</f>
        <v>53141.052975999992</v>
      </c>
      <c r="AHI27" s="699"/>
      <c r="AHJ27" s="700">
        <f>AHI27/AHG27</f>
        <v>0</v>
      </c>
      <c r="AHK27" s="579">
        <f>AGI27+AGM27+AGQ27+AGU27+AGY27+AHC27+AHG27</f>
        <v>152810.1</v>
      </c>
      <c r="AHL27" s="574">
        <f>AGJ27+AGN27+AGR27+AGV27+AGZ27+AHD27+AHH27</f>
        <v>241550.24079999997</v>
      </c>
      <c r="AHM27" s="765">
        <f>AGK27+AGO27+AGS27+AGW27+AHA27+AHE27+AHI27</f>
        <v>0</v>
      </c>
      <c r="AHN27" s="761">
        <f>AHM27/AHK27</f>
        <v>0</v>
      </c>
      <c r="AHO27" s="593">
        <f>'Proy 2022 vs 2019 sem'!FK26*AHR$4</f>
        <v>20881.552800000001</v>
      </c>
      <c r="AHP27" s="593">
        <f>'Proy 2022 vs 2019 sem'!FL26*AHR$4</f>
        <v>25366.708439999999</v>
      </c>
      <c r="AHQ27" s="699"/>
      <c r="AHR27" s="700">
        <f>AHQ27/AHO27</f>
        <v>0</v>
      </c>
      <c r="AHS27" s="593">
        <f>'Proy 2022 vs 2019 sem'!FK26*AHV$4</f>
        <v>20881.552800000001</v>
      </c>
      <c r="AHT27" s="593">
        <f>'Proy 2022 vs 2019 sem'!FL26*AHV$4</f>
        <v>25366.708439999999</v>
      </c>
      <c r="AHU27" s="699"/>
      <c r="AHV27" s="700">
        <f>AHU27/AHS27</f>
        <v>0</v>
      </c>
      <c r="AHW27" s="593">
        <f>'Proy 2022 vs 2019 sem'!FK26*AHZ$4</f>
        <v>20881.552800000001</v>
      </c>
      <c r="AHX27" s="593">
        <f>'Proy 2022 vs 2019 sem'!FL26*AHZ$4</f>
        <v>25366.708439999999</v>
      </c>
      <c r="AHY27" s="699"/>
      <c r="AHZ27" s="700">
        <f>AHY27/AHW27</f>
        <v>0</v>
      </c>
      <c r="AIA27" s="593">
        <f>'Proy 2022 vs 2019 sem'!FK26*AID$4</f>
        <v>20881.552800000001</v>
      </c>
      <c r="AIB27" s="593">
        <f>'Proy 2022 vs 2019 sem'!FL26*AID$4</f>
        <v>25366.708439999999</v>
      </c>
      <c r="AIC27" s="699"/>
      <c r="AID27" s="700">
        <f>AIC27/AIA27</f>
        <v>0</v>
      </c>
      <c r="AIE27" s="593">
        <f>'Proy 2022 vs 2019 sem'!FK26*AIH$4</f>
        <v>24361.811600000001</v>
      </c>
      <c r="AIF27" s="593">
        <f>'Proy 2022 vs 2019 sem'!FL26*AIH$4</f>
        <v>29594.493180000001</v>
      </c>
      <c r="AIG27" s="699"/>
      <c r="AIH27" s="700">
        <f>AIG27/AIE27</f>
        <v>0</v>
      </c>
      <c r="AII27" s="593">
        <f>'Proy 2022 vs 2019 sem'!FK26*AIL$4</f>
        <v>27842.070400000001</v>
      </c>
      <c r="AIJ27" s="593">
        <f>'Proy 2022 vs 2019 sem'!FL26*AIL$4</f>
        <v>33822.27792</v>
      </c>
      <c r="AIK27" s="699"/>
      <c r="AIL27" s="700">
        <f>AIK27/AII27</f>
        <v>0</v>
      </c>
      <c r="AIM27" s="593">
        <f>'Proy 2022 vs 2019 sem'!FK26*AIP$4</f>
        <v>38282.846799999999</v>
      </c>
      <c r="AIN27" s="593">
        <f>'Proy 2022 vs 2019 sem'!FL26*AIP$4</f>
        <v>46505.632140000002</v>
      </c>
      <c r="AIO27" s="699"/>
      <c r="AIP27" s="700">
        <f>AIO27/AIM27</f>
        <v>0</v>
      </c>
      <c r="AIQ27" s="579">
        <f>AHO27+AHS27+AHW27+AIA27+AIE27+AII27+AIM27</f>
        <v>174012.94</v>
      </c>
      <c r="AIR27" s="574">
        <f>AHP27+AHT27+AHX27+AIB27+AIF27+AIJ27+AIN27</f>
        <v>211389.23699999999</v>
      </c>
      <c r="AIS27" s="765">
        <f>AHQ27+AHU27+AHY27+AIC27+AIG27+AIK27+AIO27</f>
        <v>0</v>
      </c>
      <c r="AIT27" s="761">
        <f>AIS27/AIQ27</f>
        <v>0</v>
      </c>
      <c r="AIU27" s="593">
        <f>'Proy 2022 vs 2019 sem'!FP26*AIX$4</f>
        <v>18305.0844</v>
      </c>
      <c r="AIV27" s="593">
        <f>'Proy 2022 vs 2019 sem'!FQ26*AIX$4</f>
        <v>28324.574388000001</v>
      </c>
      <c r="AIW27" s="699"/>
      <c r="AIX27" s="700">
        <f>AIW27/AIU27</f>
        <v>0</v>
      </c>
      <c r="AIY27" s="593">
        <f>'Proy 2022 vs 2019 sem'!FP26*AJB$4</f>
        <v>18305.0844</v>
      </c>
      <c r="AIZ27" s="593">
        <f>'Proy 2022 vs 2019 sem'!FQ26*AJB$4</f>
        <v>28324.574388000001</v>
      </c>
      <c r="AJA27" s="699"/>
      <c r="AJB27" s="700">
        <f>AJA27/AIY27</f>
        <v>0</v>
      </c>
      <c r="AJC27" s="593">
        <f>'Proy 2022 vs 2019 sem'!FP26*AJF$4</f>
        <v>18305.0844</v>
      </c>
      <c r="AJD27" s="593">
        <f>'Proy 2022 vs 2019 sem'!FQ26*AJF$4</f>
        <v>28324.574388000001</v>
      </c>
      <c r="AJE27" s="699"/>
      <c r="AJF27" s="700">
        <f>AJE27/AJC27</f>
        <v>0</v>
      </c>
      <c r="AJG27" s="593">
        <f>'Proy 2022 vs 2019 sem'!FP26*AJJ$4</f>
        <v>18305.0844</v>
      </c>
      <c r="AJH27" s="593">
        <f>'Proy 2022 vs 2019 sem'!FQ26*AJJ$4</f>
        <v>28324.574388000001</v>
      </c>
      <c r="AJI27" s="699"/>
      <c r="AJJ27" s="700">
        <f>AJI27/AJG27</f>
        <v>0</v>
      </c>
      <c r="AJK27" s="593">
        <f>'Proy 2022 vs 2019 sem'!FP26*AJN$4</f>
        <v>21355.931800000002</v>
      </c>
      <c r="AJL27" s="593">
        <f>'Proy 2022 vs 2019 sem'!FQ26*AJN$4</f>
        <v>33045.336786000007</v>
      </c>
      <c r="AJM27" s="699"/>
      <c r="AJN27" s="700">
        <f>AJM27/AJK27</f>
        <v>0</v>
      </c>
      <c r="AJO27" s="593">
        <f>'Proy 2022 vs 2019 sem'!FP26*AJR$4</f>
        <v>24406.779200000001</v>
      </c>
      <c r="AJP27" s="593">
        <f>'Proy 2022 vs 2019 sem'!FQ26*AJR$4</f>
        <v>37766.099184000006</v>
      </c>
      <c r="AJQ27" s="699"/>
      <c r="AJR27" s="700">
        <f>AJQ27/AJO27</f>
        <v>0</v>
      </c>
      <c r="AJS27" s="593">
        <f>'Proy 2022 vs 2019 sem'!FP26*AJV$4</f>
        <v>33559.321400000001</v>
      </c>
      <c r="AJT27" s="593">
        <f>'Proy 2022 vs 2019 sem'!FQ26*AJV$4</f>
        <v>51928.386378000003</v>
      </c>
      <c r="AJU27" s="699"/>
      <c r="AJV27" s="700">
        <f>AJU27/AJS27</f>
        <v>0</v>
      </c>
      <c r="AJW27" s="579">
        <f>AIU27+AIY27+AJC27+AJG27+AJK27+AJO27+AJS27</f>
        <v>152542.37</v>
      </c>
      <c r="AJX27" s="574">
        <f>AIV27+AIZ27+AJD27+AJH27+AJL27+AJP27+AJT27</f>
        <v>236038.11990000002</v>
      </c>
      <c r="AJY27" s="770">
        <f>AIW27+AJA27+AJE27+AJI27+AJM27+AJQ27+AJU27</f>
        <v>0</v>
      </c>
      <c r="AJZ27" s="761">
        <f>AJY27/AJW27</f>
        <v>0</v>
      </c>
      <c r="AKA27" s="593"/>
      <c r="AKB27" s="593"/>
      <c r="AKC27" s="735"/>
      <c r="AKD27" s="700" t="e">
        <f>AKC27/AKA27</f>
        <v>#DIV/0!</v>
      </c>
      <c r="AKE27" s="593">
        <v>18314.9604</v>
      </c>
      <c r="AKF27" s="593">
        <v>32966.928720000004</v>
      </c>
      <c r="AKG27" s="699"/>
      <c r="AKH27" s="700">
        <f>AKG27/AKE27</f>
        <v>0</v>
      </c>
      <c r="AKI27" s="593">
        <v>18314.9604</v>
      </c>
      <c r="AKJ27" s="593">
        <v>32966.928720000004</v>
      </c>
      <c r="AKK27" s="699"/>
      <c r="AKL27" s="700">
        <f>AKK27/AKI27</f>
        <v>0</v>
      </c>
      <c r="AKM27" s="593">
        <v>18314.9604</v>
      </c>
      <c r="AKN27" s="593">
        <v>32966.928720000004</v>
      </c>
      <c r="AKO27" s="699"/>
      <c r="AKP27" s="700">
        <f>AKO27/AKM27</f>
        <v>0</v>
      </c>
      <c r="AKQ27" s="593">
        <v>21367.453800000003</v>
      </c>
      <c r="AKR27" s="593">
        <v>38461.416840000005</v>
      </c>
      <c r="AKS27" s="699"/>
      <c r="AKT27" s="700">
        <f>AKS27/AKQ27</f>
        <v>0</v>
      </c>
      <c r="AKU27" s="593">
        <v>24419.947200000002</v>
      </c>
      <c r="AKV27" s="593">
        <v>43955.904960000007</v>
      </c>
      <c r="AKW27" s="699"/>
      <c r="AKX27" s="700">
        <f>AKW27/AKU27</f>
        <v>0</v>
      </c>
      <c r="AKY27" s="593">
        <v>33577.4274</v>
      </c>
      <c r="AKZ27" s="593">
        <v>60439.369320000005</v>
      </c>
      <c r="ALA27" s="699"/>
      <c r="ALB27" s="700">
        <f>ALA27/AKY27</f>
        <v>0</v>
      </c>
      <c r="ALC27" s="579">
        <f>AKA27+AKE27+AKI27+AKM27+AKQ27+AKU27+AKY27</f>
        <v>134309.7096</v>
      </c>
      <c r="ALD27" s="574">
        <f>AKB27+AKF27+AKJ27+AKN27+AKR27+AKV27+AKZ27</f>
        <v>241757.47728000005</v>
      </c>
      <c r="ALE27" s="793">
        <f>AKC27+AKG27+AKK27+AKO27+AKS27+AKW27+ALA27</f>
        <v>0</v>
      </c>
      <c r="ALF27" s="786">
        <f>ALE27/ALC27</f>
        <v>0</v>
      </c>
      <c r="ALG27" s="593">
        <v>19730.25</v>
      </c>
      <c r="ALH27" s="593">
        <v>35514.449999999997</v>
      </c>
      <c r="ALI27" s="699"/>
      <c r="ALJ27" s="700">
        <f>ALI27/ALG27</f>
        <v>0</v>
      </c>
      <c r="ALK27" s="593">
        <v>19730.25</v>
      </c>
      <c r="ALL27" s="593">
        <v>35514.449999999997</v>
      </c>
      <c r="ALM27" s="699"/>
      <c r="ALN27" s="700">
        <f>ALM27/ALK27</f>
        <v>0</v>
      </c>
      <c r="ALO27" s="593">
        <v>19730.25</v>
      </c>
      <c r="ALP27" s="593">
        <v>35514.449999999997</v>
      </c>
      <c r="ALQ27" s="699"/>
      <c r="ALR27" s="700">
        <f>ALQ27/ALO27</f>
        <v>0</v>
      </c>
      <c r="ALS27" s="593">
        <v>19730.25</v>
      </c>
      <c r="ALT27" s="593">
        <v>35514.449999999997</v>
      </c>
      <c r="ALU27" s="699"/>
      <c r="ALV27" s="700">
        <f>ALU27/ALS27</f>
        <v>0</v>
      </c>
      <c r="ALW27" s="593">
        <v>23018.625000000004</v>
      </c>
      <c r="ALX27" s="593">
        <v>41433.525000000001</v>
      </c>
      <c r="ALY27" s="699"/>
      <c r="ALZ27" s="700">
        <f>ALY27/ALW27</f>
        <v>0</v>
      </c>
      <c r="AMA27" s="593">
        <v>26307</v>
      </c>
      <c r="AMB27" s="593">
        <v>47352.6</v>
      </c>
      <c r="AMC27" s="699"/>
      <c r="AMD27" s="700">
        <f>AMC27/AMA27</f>
        <v>0</v>
      </c>
      <c r="AME27" s="593">
        <v>36172.125</v>
      </c>
      <c r="AMF27" s="593">
        <v>65109.824999999997</v>
      </c>
      <c r="AMG27" s="699"/>
      <c r="AMH27" s="700">
        <f>AMG27/AME27</f>
        <v>0</v>
      </c>
      <c r="AMI27" s="579">
        <f>ALG27+ALK27+ALO27+ALS27+ALW27+AMA27+AME27</f>
        <v>164418.75</v>
      </c>
      <c r="AMJ27" s="574">
        <f>ALH27+ALL27+ALP27+ALT27+ALX27+AMB27+AMF27</f>
        <v>295953.75</v>
      </c>
      <c r="AMK27" s="794">
        <f>ALI27+ALM27+ALQ27+ALU27+ALY27+AMC27+AMG27</f>
        <v>0</v>
      </c>
      <c r="AML27" s="786">
        <f>AMK27/AMI27</f>
        <v>0</v>
      </c>
      <c r="AMM27" s="593">
        <v>17768.793600000001</v>
      </c>
      <c r="AMN27" s="593">
        <v>31983.828479999996</v>
      </c>
      <c r="AMO27" s="699"/>
      <c r="AMP27" s="700">
        <f>AMO27/AMM27</f>
        <v>0</v>
      </c>
      <c r="AMQ27" s="593">
        <v>17768.793600000001</v>
      </c>
      <c r="AMR27" s="593">
        <v>31983.828479999996</v>
      </c>
      <c r="AMS27" s="699"/>
      <c r="AMT27" s="700">
        <f>AMS27/AMQ27</f>
        <v>0</v>
      </c>
      <c r="AMU27" s="593">
        <v>17768.793600000001</v>
      </c>
      <c r="AMV27" s="593">
        <v>31983.828479999996</v>
      </c>
      <c r="AMW27" s="699"/>
      <c r="AMX27" s="700">
        <f>AMW27/AMU27</f>
        <v>0</v>
      </c>
      <c r="AMY27" s="593">
        <v>17768.793600000001</v>
      </c>
      <c r="AMZ27" s="593">
        <v>31983.828479999996</v>
      </c>
      <c r="ANA27" s="699"/>
      <c r="ANB27" s="700">
        <f>ANA27/AMY27</f>
        <v>0</v>
      </c>
      <c r="ANC27" s="593">
        <v>20730.2592</v>
      </c>
      <c r="AND27" s="593">
        <v>37314.466560000001</v>
      </c>
      <c r="ANE27" s="699"/>
      <c r="ANF27" s="700">
        <f>ANE27/ANC27</f>
        <v>0</v>
      </c>
      <c r="ANG27" s="593">
        <v>23691.7248</v>
      </c>
      <c r="ANH27" s="593">
        <v>42645.104639999998</v>
      </c>
      <c r="ANI27" s="699"/>
      <c r="ANJ27" s="700">
        <f>ANI27/ANG27</f>
        <v>0</v>
      </c>
      <c r="ANK27" s="593">
        <v>32576.121599999999</v>
      </c>
      <c r="ANL27" s="593">
        <v>58637.018879999996</v>
      </c>
      <c r="ANM27" s="699"/>
      <c r="ANN27" s="700">
        <f>ANM27/ANK27</f>
        <v>0</v>
      </c>
      <c r="ANO27" s="579">
        <f>AMM27+AMQ27+AMU27+AMY27+ANC27+ANG27+ANK27</f>
        <v>148073.28</v>
      </c>
      <c r="ANP27" s="574">
        <f>AMN27+AMR27+AMV27+AMZ27+AND27+ANH27+ANL27</f>
        <v>266531.90399999998</v>
      </c>
      <c r="ANQ27" s="794">
        <f>AMO27+AMS27+AMW27+ANA27+ANE27+ANI27+ANM27</f>
        <v>0</v>
      </c>
      <c r="ANR27" s="786">
        <f>ANQ27/ANO27</f>
        <v>0</v>
      </c>
      <c r="ANS27" s="593">
        <f>'Proy 2022 vs 2019 sem'!GN26*ANV$4</f>
        <v>18161.083199999997</v>
      </c>
      <c r="ANT27" s="593">
        <f>'Proy 2022 vs 2019 sem'!GO26*ANV$4</f>
        <v>25199.299776</v>
      </c>
      <c r="ANU27" s="699"/>
      <c r="ANV27" s="700">
        <f>ANU27/ANS27</f>
        <v>0</v>
      </c>
      <c r="ANW27" s="593">
        <f>'Proy 2022 vs 2019 sem'!GN26*ANZ$4</f>
        <v>18161.083199999997</v>
      </c>
      <c r="ANX27" s="593">
        <f>'Proy 2022 vs 2019 sem'!GO26*ANZ$4</f>
        <v>25199.299776</v>
      </c>
      <c r="ANY27" s="699"/>
      <c r="ANZ27" s="700">
        <f>ANY27/ANW27</f>
        <v>0</v>
      </c>
      <c r="AOA27" s="593">
        <f>'Proy 2022 vs 2019 sem'!GN26*AOD$4</f>
        <v>18161.083199999997</v>
      </c>
      <c r="AOB27" s="593">
        <f>'Proy 2022 vs 2019 sem'!GO26*AOD$4</f>
        <v>25199.299776</v>
      </c>
      <c r="AOC27" s="699"/>
      <c r="AOD27" s="700">
        <f>AOC27/AOA27</f>
        <v>0</v>
      </c>
      <c r="AOE27" s="593">
        <f>'Proy 2022 vs 2019 sem'!GN26*AOH$4</f>
        <v>18161.083199999997</v>
      </c>
      <c r="AOF27" s="593">
        <f>'Proy 2022 vs 2019 sem'!GO26*AOH$4</f>
        <v>25199.299776</v>
      </c>
      <c r="AOG27" s="699"/>
      <c r="AOH27" s="700">
        <f>AOG27/AOE27</f>
        <v>0</v>
      </c>
      <c r="AOI27" s="593">
        <f>'Proy 2022 vs 2019 sem'!GN26*AOL$4</f>
        <v>21187.930400000001</v>
      </c>
      <c r="AOJ27" s="593">
        <f>'Proy 2022 vs 2019 sem'!GO26*AOL$4</f>
        <v>29399.183072000003</v>
      </c>
      <c r="AOK27" s="699"/>
      <c r="AOL27" s="700">
        <f>AOK27/AOI27</f>
        <v>0</v>
      </c>
      <c r="AOM27" s="593">
        <f>'Proy 2022 vs 2019 sem'!GN26*AOP$4</f>
        <v>24214.777599999998</v>
      </c>
      <c r="AON27" s="593">
        <f>'Proy 2022 vs 2019 sem'!GO26*AOP$4</f>
        <v>33599.066368</v>
      </c>
      <c r="AOO27" s="699"/>
      <c r="AOP27" s="700">
        <f>AOO27/AOM27</f>
        <v>0</v>
      </c>
      <c r="AOQ27" s="593">
        <f>'Proy 2022 vs 2019 sem'!GN26*AOT$4</f>
        <v>33295.319199999998</v>
      </c>
      <c r="AOR27" s="593">
        <f>'Proy 2022 vs 2019 sem'!GO26*AOT$4</f>
        <v>46198.716256</v>
      </c>
      <c r="AOS27" s="699"/>
      <c r="AOT27" s="700">
        <f>AOS27/AOQ27</f>
        <v>0</v>
      </c>
      <c r="AOU27" s="579">
        <f>ANS27+ANW27+AOA27+AOE27+AOI27+AOM27+AOQ27</f>
        <v>151342.35999999999</v>
      </c>
      <c r="AOV27" s="574">
        <f>ANT27+ANX27+AOB27+AOF27+AOJ27+AON27+AOR27</f>
        <v>209994.16479999997</v>
      </c>
      <c r="AOW27" s="785">
        <f>ANU27+ANY27+AOC27+AOG27+AOK27+AOO27+AOS27</f>
        <v>0</v>
      </c>
      <c r="AOX27" s="786">
        <f>AOW27/AOU27</f>
        <v>0</v>
      </c>
      <c r="AOY27" s="593">
        <f>'Proy 2022 vs 2019 sem'!GW26*APB$4</f>
        <v>19543.2</v>
      </c>
      <c r="AOZ27" s="593">
        <f>'Proy 2022 vs 2019 sem'!GX26*APB$4</f>
        <v>24939</v>
      </c>
      <c r="APA27" s="735"/>
      <c r="APB27" s="700">
        <f>APA27/AOY27</f>
        <v>0</v>
      </c>
      <c r="APC27" s="593">
        <f>'Proy 2022 vs 2019 sem'!GW26*APF$4</f>
        <v>19543.2</v>
      </c>
      <c r="APD27" s="593">
        <f>'Proy 2022 vs 2019 sem'!GX26*APF$4</f>
        <v>24939</v>
      </c>
      <c r="APE27" s="735"/>
      <c r="APF27" s="700">
        <f>APE27/APC27</f>
        <v>0</v>
      </c>
      <c r="APG27" s="593">
        <f>'Proy 2022 vs 2019 sem'!GW26*APJ$4</f>
        <v>19543.2</v>
      </c>
      <c r="APH27" s="593">
        <f>'Proy 2022 vs 2019 sem'!GX26*APJ$4</f>
        <v>24939</v>
      </c>
      <c r="API27" s="735"/>
      <c r="APJ27" s="700">
        <f>API27/APG27</f>
        <v>0</v>
      </c>
      <c r="APK27" s="593">
        <f>'Proy 2022 vs 2019 sem'!GW26*APN$4</f>
        <v>19543.2</v>
      </c>
      <c r="APL27" s="593">
        <f>'Proy 2022 vs 2019 sem'!GX26*APN$4</f>
        <v>24939</v>
      </c>
      <c r="APM27" s="735"/>
      <c r="APN27" s="700">
        <f>APM27/APK27</f>
        <v>0</v>
      </c>
      <c r="APO27" s="593">
        <f>'Proy 2022 vs 2019 sem'!GW26*APR$4</f>
        <v>22800.400000000001</v>
      </c>
      <c r="APP27" s="593">
        <f>'Proy 2022 vs 2019 sem'!GX26*APR$4</f>
        <v>29095.500000000004</v>
      </c>
      <c r="APQ27" s="735"/>
      <c r="APR27" s="700">
        <f>APQ27/APO27</f>
        <v>0</v>
      </c>
      <c r="APS27" s="593">
        <f>'Proy 2022 vs 2019 sem'!GW26*APV$4</f>
        <v>26057.600000000002</v>
      </c>
      <c r="APT27" s="593">
        <f>'Proy 2022 vs 2019 sem'!GX26*APV$4</f>
        <v>33252</v>
      </c>
      <c r="APU27" s="735"/>
      <c r="APV27" s="700">
        <f>APU27/APS27</f>
        <v>0</v>
      </c>
      <c r="APW27" s="593">
        <f>'Proy 2022 vs 2019 sem'!GW26*APZ$4</f>
        <v>35829.199999999997</v>
      </c>
      <c r="APX27" s="593">
        <f>'Proy 2022 vs 2019 sem'!GX26*APZ$4</f>
        <v>45721.5</v>
      </c>
      <c r="APY27" s="735"/>
      <c r="APZ27" s="700">
        <f>APY27/APW27</f>
        <v>0</v>
      </c>
      <c r="AQA27" s="579">
        <f>AOY27+APC27+APG27+APK27+APO27+APS27+APW27</f>
        <v>162860</v>
      </c>
      <c r="AQB27" s="574">
        <f>AOZ27+APD27+APH27+APL27+APP27+APT27+APX27</f>
        <v>207825</v>
      </c>
      <c r="AQC27" s="729">
        <f>APA27+APE27+API27+APM27+APQ27+APU27+APY27</f>
        <v>0</v>
      </c>
      <c r="AQD27" s="711">
        <f>AQC27/AQA27</f>
        <v>0</v>
      </c>
      <c r="AQE27" s="593">
        <f>'Proy 2022 vs 2019 sem'!HB26*AQH$4</f>
        <v>18380.034</v>
      </c>
      <c r="AQF27" s="593">
        <f>'Proy 2022 vs 2019 sem'!HC26*AQH$4</f>
        <v>25536.4872</v>
      </c>
      <c r="AQG27" s="699"/>
      <c r="AQH27" s="700">
        <f>AQG27/AQE27</f>
        <v>0</v>
      </c>
      <c r="AQI27" s="593">
        <f>'Proy 2022 vs 2019 sem'!HB26*AQL$4</f>
        <v>18380.034</v>
      </c>
      <c r="AQJ27" s="593">
        <f>'Proy 2022 vs 2019 sem'!HC26*AQL$4</f>
        <v>25536.4872</v>
      </c>
      <c r="AQK27" s="699"/>
      <c r="AQL27" s="700">
        <f>AQK27/AQI27</f>
        <v>0</v>
      </c>
      <c r="AQM27" s="593">
        <f>'Proy 2022 vs 2019 sem'!HB26*AQP$4</f>
        <v>18380.034</v>
      </c>
      <c r="AQN27" s="593">
        <f>'Proy 2022 vs 2019 sem'!HC26*AQP$4</f>
        <v>25536.4872</v>
      </c>
      <c r="AQO27" s="699"/>
      <c r="AQP27" s="700">
        <f>AQO27/AQM27</f>
        <v>0</v>
      </c>
      <c r="AQQ27" s="593">
        <f>'Proy 2022 vs 2019 sem'!HB26*AQT$4</f>
        <v>18380.034</v>
      </c>
      <c r="AQR27" s="593">
        <f>'Proy 2022 vs 2019 sem'!HC26*AQT$4</f>
        <v>25536.4872</v>
      </c>
      <c r="AQS27" s="699"/>
      <c r="AQT27" s="700">
        <f>AQS27/AQQ27</f>
        <v>0</v>
      </c>
      <c r="AQU27" s="593">
        <f>'Proy 2022 vs 2019 sem'!HB26*AQX$4</f>
        <v>21443.373000000003</v>
      </c>
      <c r="AQV27" s="593">
        <f>'Proy 2022 vs 2019 sem'!HC26*AQX$4</f>
        <v>29792.568400000004</v>
      </c>
      <c r="AQW27" s="699"/>
      <c r="AQX27" s="700">
        <f>AQW27/AQU27</f>
        <v>0</v>
      </c>
      <c r="AQY27" s="593">
        <f>'Proy 2022 vs 2019 sem'!HB26*ARB$4</f>
        <v>24506.712000000003</v>
      </c>
      <c r="AQZ27" s="593">
        <f>'Proy 2022 vs 2019 sem'!HC26*ARB$4</f>
        <v>34048.649599999997</v>
      </c>
      <c r="ARA27" s="699"/>
      <c r="ARB27" s="700">
        <f>ARA27/AQY27</f>
        <v>0</v>
      </c>
      <c r="ARC27" s="593">
        <f>'Proy 2022 vs 2019 sem'!HB26*ARF$4</f>
        <v>33696.728999999999</v>
      </c>
      <c r="ARD27" s="593">
        <f>'Proy 2022 vs 2019 sem'!HC26*ARF$4</f>
        <v>46816.893199999999</v>
      </c>
      <c r="ARE27" s="699"/>
      <c r="ARF27" s="700">
        <f>ARE27/ARC27</f>
        <v>0</v>
      </c>
      <c r="ARG27" s="579">
        <f>AQE27+AQI27+AQM27+AQQ27+AQU27+AQY27+ARC27</f>
        <v>153166.95000000001</v>
      </c>
      <c r="ARH27" s="574">
        <f>AQF27+AQJ27+AQN27+AQR27+AQV27+AQZ27+ARD27</f>
        <v>212804.06</v>
      </c>
      <c r="ARI27" s="730">
        <f>AQG27+AQK27+AQO27+AQS27+AQW27+ARA27+ARE27</f>
        <v>0</v>
      </c>
      <c r="ARJ27" s="711">
        <f>ARI27/ARG27</f>
        <v>0</v>
      </c>
      <c r="ARK27" s="593">
        <f>'Proy 2022 vs 2019 sem'!HG26*ARN$4</f>
        <v>17830.241999999998</v>
      </c>
      <c r="ARL27" s="593">
        <f>'Proy 2022 vs 2019 sem'!HH26*ARN$4</f>
        <v>24738.768767999998</v>
      </c>
      <c r="ARM27" s="699"/>
      <c r="ARN27" s="700">
        <f>ARM27/ARK27</f>
        <v>0</v>
      </c>
      <c r="ARO27" s="593">
        <f>'Proy 2022 vs 2019 sem'!HG26*ARR$4</f>
        <v>17830.241999999998</v>
      </c>
      <c r="ARP27" s="593">
        <f>'Proy 2022 vs 2019 sem'!HH26*ARR$4</f>
        <v>24738.768767999998</v>
      </c>
      <c r="ARQ27" s="699"/>
      <c r="ARR27" s="700">
        <f>ARQ27/ARO27</f>
        <v>0</v>
      </c>
      <c r="ARS27" s="593">
        <f>'Proy 2022 vs 2019 sem'!HG26*ARV$4</f>
        <v>17830.241999999998</v>
      </c>
      <c r="ART27" s="593">
        <f>'Proy 2022 vs 2019 sem'!HH26*ARV$4</f>
        <v>24738.768767999998</v>
      </c>
      <c r="ARU27" s="699"/>
      <c r="ARV27" s="700">
        <f>ARU27/ARS27</f>
        <v>0</v>
      </c>
      <c r="ARW27" s="593">
        <f>'Proy 2022 vs 2019 sem'!HG26*ARZ$4</f>
        <v>17830.241999999998</v>
      </c>
      <c r="ARX27" s="593">
        <f>'Proy 2022 vs 2019 sem'!HH26*ARZ$4</f>
        <v>24738.768767999998</v>
      </c>
      <c r="ARY27" s="699"/>
      <c r="ARZ27" s="700">
        <f>ARY27/ARW27</f>
        <v>0</v>
      </c>
      <c r="ASA27" s="593">
        <f>'Proy 2022 vs 2019 sem'!HG26*ASD$4</f>
        <v>20801.949000000004</v>
      </c>
      <c r="ASB27" s="593">
        <f>'Proy 2022 vs 2019 sem'!HH26*ASD$4</f>
        <v>28861.896895999998</v>
      </c>
      <c r="ASC27" s="699"/>
      <c r="ASD27" s="700">
        <f>ASC27/ASA27</f>
        <v>0</v>
      </c>
      <c r="ASE27" s="593">
        <f>'Proy 2022 vs 2019 sem'!HG26*ASH$4</f>
        <v>23773.656000000003</v>
      </c>
      <c r="ASF27" s="593">
        <f>'Proy 2022 vs 2019 sem'!HH26*ASH$4</f>
        <v>32985.025023999995</v>
      </c>
      <c r="ASG27" s="699"/>
      <c r="ASH27" s="700">
        <f>ASG27/ASE27</f>
        <v>0</v>
      </c>
      <c r="ASI27" s="593">
        <f>'Proy 2022 vs 2019 sem'!HG26*ASL$4</f>
        <v>32688.777000000002</v>
      </c>
      <c r="ASJ27" s="593">
        <f>'Proy 2022 vs 2019 sem'!HH26*ASL$4</f>
        <v>45354.409407999992</v>
      </c>
      <c r="ASK27" s="699"/>
      <c r="ASL27" s="700">
        <f>ASK27/ASI27</f>
        <v>0</v>
      </c>
      <c r="ASM27" s="579">
        <f>ARK27+ARO27+ARS27+ARW27+ASA27+ASE27+ASI27</f>
        <v>148585.35</v>
      </c>
      <c r="ASN27" s="574">
        <f>ARL27+ARP27+ART27+ARX27+ASB27+ASF27+ASJ27</f>
        <v>206156.40639999998</v>
      </c>
      <c r="ASO27" s="730">
        <f>ARM27+ARQ27+ARU27+ARY27+ASC27+ASG27+ASK27</f>
        <v>0</v>
      </c>
      <c r="ASP27" s="711">
        <f>ASO27/ASM27</f>
        <v>0</v>
      </c>
      <c r="ASQ27" s="593">
        <f>'Proy 2022 vs 2019 sem'!HL26*AST$4</f>
        <v>17182.810799999999</v>
      </c>
      <c r="ASR27" s="593">
        <f>'Proy 2022 vs 2019 sem'!HM26*AST$4</f>
        <v>26790.286655999997</v>
      </c>
      <c r="ASS27" s="699"/>
      <c r="AST27" s="700">
        <f>ASS27/ASQ27</f>
        <v>0</v>
      </c>
      <c r="ASU27" s="593">
        <f>'Proy 2022 vs 2019 sem'!HL26*ASX$4</f>
        <v>17182.810799999999</v>
      </c>
      <c r="ASV27" s="593">
        <f>'Proy 2022 vs 2019 sem'!HM26*ASX$4</f>
        <v>26790.286655999997</v>
      </c>
      <c r="ASW27" s="699"/>
      <c r="ASX27" s="700">
        <f>ASW27/ASU27</f>
        <v>0</v>
      </c>
      <c r="ASY27" s="593">
        <f>'Proy 2022 vs 2019 sem'!HL26*ATB$4</f>
        <v>17182.810799999999</v>
      </c>
      <c r="ASZ27" s="593">
        <f>'Proy 2022 vs 2019 sem'!HM26*ATB$4</f>
        <v>26790.286655999997</v>
      </c>
      <c r="ATA27" s="699"/>
      <c r="ATB27" s="700">
        <f>ATA27/ASY27</f>
        <v>0</v>
      </c>
      <c r="ATC27" s="593">
        <f>'Proy 2022 vs 2019 sem'!HL26*ATF$4</f>
        <v>17182.810799999999</v>
      </c>
      <c r="ATD27" s="593">
        <f>'Proy 2022 vs 2019 sem'!HM26*ATF$4</f>
        <v>26790.286655999997</v>
      </c>
      <c r="ATE27" s="699"/>
      <c r="ATF27" s="700">
        <f>ATE27/ATC27</f>
        <v>0</v>
      </c>
      <c r="ATG27" s="593">
        <f>'Proy 2022 vs 2019 sem'!HL26*ATJ$4</f>
        <v>20046.6126</v>
      </c>
      <c r="ATH27" s="593">
        <f>'Proy 2022 vs 2019 sem'!HM26*ATJ$4</f>
        <v>31255.334432</v>
      </c>
      <c r="ATI27" s="699"/>
      <c r="ATJ27" s="700">
        <f>ATI27/ATG27</f>
        <v>0</v>
      </c>
      <c r="ATK27" s="593">
        <f>'Proy 2022 vs 2019 sem'!HL26*ATN$4</f>
        <v>22910.414400000001</v>
      </c>
      <c r="ATL27" s="593">
        <f>'Proy 2022 vs 2019 sem'!HM26*ATN$4</f>
        <v>35720.382207999995</v>
      </c>
      <c r="ATM27" s="699"/>
      <c r="ATN27" s="700">
        <f>ATM27/ATK27</f>
        <v>0</v>
      </c>
      <c r="ATO27" s="593">
        <f>'Proy 2022 vs 2019 sem'!HL26*ATR$4</f>
        <v>31501.819800000001</v>
      </c>
      <c r="ATP27" s="593">
        <f>'Proy 2022 vs 2019 sem'!HM26*ATR$4</f>
        <v>49115.525535999994</v>
      </c>
      <c r="ATQ27" s="699"/>
      <c r="ATR27" s="700">
        <f>ATQ27/ATO27</f>
        <v>0</v>
      </c>
      <c r="ATS27" s="579">
        <f>ASQ27+ASU27+ASY27+ATC27+ATG27+ATK27+ATO27</f>
        <v>143190.09</v>
      </c>
      <c r="ATT27" s="574">
        <f>ASR27+ASV27+ASZ27+ATD27+ATH27+ATL27+ATP27</f>
        <v>223252.38879999999</v>
      </c>
      <c r="ATU27" s="710">
        <f>ASS27+ASW27+ATA27+ATE27+ATI27+ATM27+ATQ27</f>
        <v>0</v>
      </c>
      <c r="ATV27" s="711">
        <f>ATU27/ATS27</f>
        <v>0</v>
      </c>
      <c r="ATW27" s="593">
        <f>'Proy 2022 vs 2019 sem'!HQ26*ATZ$4</f>
        <v>18993.327600000001</v>
      </c>
      <c r="ATX27" s="593">
        <f>'Proy 2022 vs 2019 sem'!HR26*ATZ$4</f>
        <v>27021.501192</v>
      </c>
      <c r="ATY27" s="699"/>
      <c r="ATZ27" s="700">
        <f>ATY27/ATW27</f>
        <v>0</v>
      </c>
      <c r="AUA27" s="593">
        <f>'Proy 2022 vs 2019 sem'!HQ26*AUD$4</f>
        <v>18993.327600000001</v>
      </c>
      <c r="AUB27" s="593">
        <f>'Proy 2022 vs 2019 sem'!HR26*AUD$4</f>
        <v>27021.501192</v>
      </c>
      <c r="AUC27" s="699"/>
      <c r="AUD27" s="700">
        <f>AUC27/AUA27</f>
        <v>0</v>
      </c>
      <c r="AUE27" s="593">
        <f>'Proy 2022 vs 2019 sem'!HQ26*AUH$4</f>
        <v>18993.327600000001</v>
      </c>
      <c r="AUF27" s="593">
        <f>'Proy 2022 vs 2019 sem'!HR26*AUH$4</f>
        <v>27021.501192</v>
      </c>
      <c r="AUG27" s="699"/>
      <c r="AUH27" s="700">
        <f>AUG27/AUE27</f>
        <v>0</v>
      </c>
      <c r="AUI27" s="593">
        <f>'Proy 2022 vs 2019 sem'!HQ26*AUL$4</f>
        <v>18993.327600000001</v>
      </c>
      <c r="AUJ27" s="593">
        <f>'Proy 2022 vs 2019 sem'!HR26*AUL$4</f>
        <v>27021.501192</v>
      </c>
      <c r="AUK27" s="699"/>
      <c r="AUL27" s="700">
        <f>AUK27/AUI27</f>
        <v>0</v>
      </c>
      <c r="AUM27" s="593">
        <f>'Proy 2022 vs 2019 sem'!HQ26*AUP$4</f>
        <v>22158.882200000004</v>
      </c>
      <c r="AUN27" s="593">
        <f>'Proy 2022 vs 2019 sem'!HR26*AUP$4</f>
        <v>31525.084724000004</v>
      </c>
      <c r="AUO27" s="699"/>
      <c r="AUP27" s="700">
        <f>AUO27/AUM27</f>
        <v>0</v>
      </c>
      <c r="AUQ27" s="593">
        <f>'Proy 2022 vs 2019 sem'!HQ26*AUT$4</f>
        <v>25324.436800000003</v>
      </c>
      <c r="AUR27" s="593">
        <f>'Proy 2022 vs 2019 sem'!HR26*AUT$4</f>
        <v>36028.668256000004</v>
      </c>
      <c r="AUS27" s="699"/>
      <c r="AUT27" s="700">
        <f>AUS27/AUQ27</f>
        <v>0</v>
      </c>
      <c r="AUU27" s="593">
        <f>'Proy 2022 vs 2019 sem'!HQ26*AUX$4</f>
        <v>34821.100600000005</v>
      </c>
      <c r="AUV27" s="593">
        <f>'Proy 2022 vs 2019 sem'!HR26*AUX$4</f>
        <v>49539.418852000003</v>
      </c>
      <c r="AUW27" s="699"/>
      <c r="AUX27" s="700">
        <f>AUW27/AUU27</f>
        <v>0</v>
      </c>
      <c r="AUY27" s="579">
        <f>ATW27+AUA27+AUE27+AUI27+AUM27+AUQ27+AUU27</f>
        <v>158277.73000000001</v>
      </c>
      <c r="AUZ27" s="574">
        <f>ATX27+AUB27+AUF27+AUJ27+AUN27+AUR27+AUV27</f>
        <v>225179.17660000001</v>
      </c>
      <c r="AVA27" s="710">
        <f>ATY27+AUC27+AUG27+AUK27+AUO27+AUS27+AUW27</f>
        <v>0</v>
      </c>
      <c r="AVB27" s="711">
        <f>AVA27/AUY27</f>
        <v>0</v>
      </c>
      <c r="AVC27" s="593">
        <f>'Proy 2022 vs 2019 sem'!HZ26*AVF$4</f>
        <v>17255.1852</v>
      </c>
      <c r="AVD27" s="593">
        <f>'Proy 2022 vs 2019 sem'!IA26*AVF$4</f>
        <v>25066.908048000001</v>
      </c>
      <c r="AVE27" s="735"/>
      <c r="AVF27" s="700">
        <f>AVE27/AVC27</f>
        <v>0</v>
      </c>
      <c r="AVG27" s="593">
        <f>'Proy 2022 vs 2019 sem'!HZ26*AVJ$4</f>
        <v>17255.1852</v>
      </c>
      <c r="AVH27" s="593">
        <f>'Proy 2022 vs 2019 sem'!IA26*AVJ$4</f>
        <v>25066.908048000001</v>
      </c>
      <c r="AVI27" s="699"/>
      <c r="AVJ27" s="700">
        <f>AVI27/AVG27</f>
        <v>0</v>
      </c>
      <c r="AVK27" s="593">
        <f>'Proy 2022 vs 2019 sem'!HZ26*AVN$4</f>
        <v>17255.1852</v>
      </c>
      <c r="AVL27" s="593">
        <f>'Proy 2022 vs 2019 sem'!IA26*AVN$4</f>
        <v>25066.908048000001</v>
      </c>
      <c r="AVM27" s="699"/>
      <c r="AVN27" s="700">
        <f>AVM27/AVK27</f>
        <v>0</v>
      </c>
      <c r="AVO27" s="593">
        <f>'Proy 2022 vs 2019 sem'!HZ26*AVR$4</f>
        <v>17255.1852</v>
      </c>
      <c r="AVP27" s="593">
        <f>'Proy 2022 vs 2019 sem'!IA26*AVR$4</f>
        <v>25066.908048000001</v>
      </c>
      <c r="AVQ27" s="699"/>
      <c r="AVR27" s="700">
        <f>AVQ27/AVO27</f>
        <v>0</v>
      </c>
      <c r="AVS27" s="593">
        <f>'Proy 2022 vs 2019 sem'!HZ26*AVV$4</f>
        <v>20131.0494</v>
      </c>
      <c r="AVT27" s="593">
        <f>'Proy 2022 vs 2019 sem'!IA26*AVV$4</f>
        <v>29244.726056000003</v>
      </c>
      <c r="AVU27" s="699"/>
      <c r="AVV27" s="700">
        <f>AVU27/AVS27</f>
        <v>0</v>
      </c>
      <c r="AVW27" s="593">
        <f>'Proy 2022 vs 2019 sem'!HZ26*AVZ$4</f>
        <v>23006.9136</v>
      </c>
      <c r="AVX27" s="593">
        <f>'Proy 2022 vs 2019 sem'!IA26*AVZ$4</f>
        <v>33422.544064000002</v>
      </c>
      <c r="AVY27" s="699"/>
      <c r="AVZ27" s="700">
        <f>AVY27/AVW27</f>
        <v>0</v>
      </c>
      <c r="AWA27" s="593">
        <f>'Proy 2022 vs 2019 sem'!HZ26*AWD$4</f>
        <v>31634.5062</v>
      </c>
      <c r="AWB27" s="593">
        <f>'Proy 2022 vs 2019 sem'!IA26*AWD$4</f>
        <v>45955.998088</v>
      </c>
      <c r="AWC27" s="699"/>
      <c r="AWD27" s="700">
        <f>AWC27/AWA27</f>
        <v>0</v>
      </c>
      <c r="AWE27" s="579">
        <f>AVC27+AVG27+AVK27+AVO27+AVS27+AVW27+AWA27</f>
        <v>143793.21</v>
      </c>
      <c r="AWF27" s="574">
        <f>AVD27+AVH27+AVL27+AVP27+AVT27+AVX27+AWB27</f>
        <v>208890.90039999998</v>
      </c>
      <c r="AWG27" s="793">
        <f>AVE27+AVI27+AVM27+AVQ27+AVU27+AVY27+AWC27</f>
        <v>0</v>
      </c>
      <c r="AWH27" s="786">
        <f>AWG27/AWE27</f>
        <v>0</v>
      </c>
      <c r="AWI27" s="593">
        <f>'Proy 2022 vs 2019 sem'!IE26*AWL$4</f>
        <v>15579.306</v>
      </c>
      <c r="AWJ27" s="593">
        <f>'Proy 2022 vs 2019 sem'!IF26*AWL$4</f>
        <v>25837.392383999999</v>
      </c>
      <c r="AWK27" s="699"/>
      <c r="AWL27" s="700">
        <f>AWK27/AWI27</f>
        <v>0</v>
      </c>
      <c r="AWM27" s="593">
        <f>'Proy 2022 vs 2019 sem'!IE26*AWP$4</f>
        <v>15579.306</v>
      </c>
      <c r="AWN27" s="593">
        <f>'Proy 2022 vs 2019 sem'!IF26*AWP$4</f>
        <v>25837.392383999999</v>
      </c>
      <c r="AWO27" s="699"/>
      <c r="AWP27" s="700">
        <f>AWO27/AWM27</f>
        <v>0</v>
      </c>
      <c r="AWQ27" s="593">
        <f>'Proy 2022 vs 2019 sem'!IE26*AWT$4</f>
        <v>15579.306</v>
      </c>
      <c r="AWR27" s="593">
        <f>'Proy 2022 vs 2019 sem'!IF26*AWT$4</f>
        <v>25837.392383999999</v>
      </c>
      <c r="AWS27" s="699"/>
      <c r="AWT27" s="700">
        <f>AWS27/AWQ27</f>
        <v>0</v>
      </c>
      <c r="AWU27" s="593">
        <f>'Proy 2022 vs 2019 sem'!IE26*AWX$4</f>
        <v>15579.306</v>
      </c>
      <c r="AWV27" s="593">
        <f>'Proy 2022 vs 2019 sem'!IF26*AWX$4</f>
        <v>25837.392383999999</v>
      </c>
      <c r="AWW27" s="699"/>
      <c r="AWX27" s="700">
        <f>AWW27/AWU27</f>
        <v>0</v>
      </c>
      <c r="AWY27" s="593">
        <f>'Proy 2022 vs 2019 sem'!IE26*AXB$4</f>
        <v>18175.857000000004</v>
      </c>
      <c r="AWZ27" s="593">
        <f>'Proy 2022 vs 2019 sem'!IF26*AXB$4</f>
        <v>30143.624448000006</v>
      </c>
      <c r="AXA27" s="699"/>
      <c r="AXB27" s="700">
        <f>AXA27/AWY27</f>
        <v>0</v>
      </c>
      <c r="AXC27" s="593">
        <f>'Proy 2022 vs 2019 sem'!IE26*AXF$4</f>
        <v>20772.407999999999</v>
      </c>
      <c r="AXD27" s="593">
        <f>'Proy 2022 vs 2019 sem'!IF26*AXF$4</f>
        <v>34449.856512000006</v>
      </c>
      <c r="AXE27" s="699"/>
      <c r="AXF27" s="700">
        <f>AXE27/AXC27</f>
        <v>0</v>
      </c>
      <c r="AXG27" s="593">
        <f>'Proy 2022 vs 2019 sem'!IE26*AXJ$4</f>
        <v>28562.061000000002</v>
      </c>
      <c r="AXH27" s="593">
        <f>'Proy 2022 vs 2019 sem'!IF26*AXJ$4</f>
        <v>47368.552704000002</v>
      </c>
      <c r="AXI27" s="699"/>
      <c r="AXJ27" s="700">
        <f>AXI27/AXG27</f>
        <v>0</v>
      </c>
      <c r="AXK27" s="579">
        <f>AWI27+AWM27+AWQ27+AWU27+AWY27+AXC27+AXG27</f>
        <v>129827.55</v>
      </c>
      <c r="AXL27" s="574">
        <f>AWJ27+AWN27+AWR27+AWV27+AWZ27+AXD27+AXH27</f>
        <v>215311.60320000001</v>
      </c>
      <c r="AXM27" s="794">
        <f>AWK27+AWO27+AWS27+AWW27+AXA27+AXE27+AXI27</f>
        <v>0</v>
      </c>
      <c r="AXN27" s="786">
        <f>AXM27/AXK27</f>
        <v>0</v>
      </c>
      <c r="AXO27" s="593">
        <f>'Proy 2022 vs 2019 sem'!IJ26*AXR$4</f>
        <v>17976.315599999998</v>
      </c>
      <c r="AXP27" s="593">
        <f>'Proy 2022 vs 2019 sem'!IK26*AXR$4</f>
        <v>23530.480775999997</v>
      </c>
      <c r="AXQ27" s="699"/>
      <c r="AXR27" s="700">
        <f>AXQ27/AXO27</f>
        <v>0</v>
      </c>
      <c r="AXS27" s="593">
        <f>'Proy 2022 vs 2019 sem'!IJ26*AXV$4</f>
        <v>17976.315599999998</v>
      </c>
      <c r="AXT27" s="593">
        <f>'Proy 2022 vs 2019 sem'!IK26*AXV$4</f>
        <v>23530.480775999997</v>
      </c>
      <c r="AXU27" s="699"/>
      <c r="AXV27" s="700">
        <f>AXU27/AXS27</f>
        <v>0</v>
      </c>
      <c r="AXW27" s="593">
        <f>'Proy 2022 vs 2019 sem'!IJ26*AXZ$4</f>
        <v>17976.315599999998</v>
      </c>
      <c r="AXX27" s="593">
        <f>'Proy 2022 vs 2019 sem'!IK26*AXZ$4</f>
        <v>23530.480775999997</v>
      </c>
      <c r="AXY27" s="699"/>
      <c r="AXZ27" s="700">
        <f>AXY27/AXW27</f>
        <v>0</v>
      </c>
      <c r="AYA27" s="593">
        <f>'Proy 2022 vs 2019 sem'!IJ26*AYD$4</f>
        <v>17976.315599999998</v>
      </c>
      <c r="AYB27" s="593">
        <f>'Proy 2022 vs 2019 sem'!IK26*AYD$4</f>
        <v>23530.480775999997</v>
      </c>
      <c r="AYC27" s="699"/>
      <c r="AYD27" s="700">
        <f>AYC27/AYA27</f>
        <v>0</v>
      </c>
      <c r="AYE27" s="593">
        <f>'Proy 2022 vs 2019 sem'!IJ26*AYH$4</f>
        <v>20972.368200000004</v>
      </c>
      <c r="AYF27" s="593">
        <f>'Proy 2022 vs 2019 sem'!IK26*AYH$4</f>
        <v>27452.227572</v>
      </c>
      <c r="AYG27" s="699"/>
      <c r="AYH27" s="700">
        <f>AYG27/AYE27</f>
        <v>0</v>
      </c>
      <c r="AYI27" s="593">
        <f>'Proy 2022 vs 2019 sem'!IJ26*AYL$4</f>
        <v>23968.4208</v>
      </c>
      <c r="AYJ27" s="593">
        <f>'Proy 2022 vs 2019 sem'!IK26*AYL$4</f>
        <v>31373.974367999999</v>
      </c>
      <c r="AYK27" s="699"/>
      <c r="AYL27" s="700">
        <f>AYK27/AYI27</f>
        <v>0</v>
      </c>
      <c r="AYM27" s="593">
        <f>'Proy 2022 vs 2019 sem'!IJ26*AYP$4</f>
        <v>32956.578600000001</v>
      </c>
      <c r="AYN27" s="593">
        <f>'Proy 2022 vs 2019 sem'!IK26*AYP$4</f>
        <v>43139.214755999994</v>
      </c>
      <c r="AYO27" s="699"/>
      <c r="AYP27" s="700">
        <f>AYO27/AYM27</f>
        <v>0</v>
      </c>
      <c r="AYQ27" s="579">
        <f>AXO27+AXS27+AXW27+AYA27+AYE27+AYI27+AYM27</f>
        <v>149802.63</v>
      </c>
      <c r="AYR27" s="574">
        <f>AXP27+AXT27+AXX27+AYB27+AYF27+AYJ27+AYN27</f>
        <v>196087.33979999999</v>
      </c>
      <c r="AYS27" s="794">
        <f>AXQ27+AXU27+AXY27+AYC27+AYG27+AYK27+AYO27</f>
        <v>0</v>
      </c>
      <c r="AYT27" s="786">
        <f>AYS27/AYQ27</f>
        <v>0</v>
      </c>
      <c r="AYU27" s="593">
        <f>'Proy 2022 vs 2019 sem'!IO26*AYX$4</f>
        <v>17460.350399999999</v>
      </c>
      <c r="AYV27" s="593">
        <f>'Proy 2022 vs 2019 sem'!IP26*AYX$4</f>
        <v>25251.644891999997</v>
      </c>
      <c r="AYW27" s="699"/>
      <c r="AYX27" s="700">
        <f>AYW27/AYU27</f>
        <v>0</v>
      </c>
      <c r="AYY27" s="593">
        <f>'Proy 2022 vs 2019 sem'!IO26*AZB$4</f>
        <v>17460.350399999999</v>
      </c>
      <c r="AYZ27" s="593">
        <f>'Proy 2022 vs 2019 sem'!IP26*AZB$4</f>
        <v>25251.644891999997</v>
      </c>
      <c r="AZA27" s="699"/>
      <c r="AZB27" s="700">
        <f>AZA27/AYY27</f>
        <v>0</v>
      </c>
      <c r="AZC27" s="593">
        <f>'Proy 2022 vs 2019 sem'!IO26*AZF$4</f>
        <v>17460.350399999999</v>
      </c>
      <c r="AZD27" s="593">
        <f>'Proy 2022 vs 2019 sem'!IP26*AZF$4</f>
        <v>25251.644891999997</v>
      </c>
      <c r="AZE27" s="699"/>
      <c r="AZF27" s="700">
        <f>AZE27/AZC27</f>
        <v>0</v>
      </c>
      <c r="AZG27" s="593">
        <f>'Proy 2022 vs 2019 sem'!IO26*AZJ$4</f>
        <v>17460.350399999999</v>
      </c>
      <c r="AZH27" s="593">
        <f>'Proy 2022 vs 2019 sem'!IP26*AZJ$4</f>
        <v>25251.644891999997</v>
      </c>
      <c r="AZI27" s="699"/>
      <c r="AZJ27" s="700">
        <f>AZI27/AZG27</f>
        <v>0</v>
      </c>
      <c r="AZK27" s="593">
        <f>'Proy 2022 vs 2019 sem'!IO26*AZN$4</f>
        <v>20370.408800000005</v>
      </c>
      <c r="AZL27" s="593">
        <f>'Proy 2022 vs 2019 sem'!IP26*AZN$4</f>
        <v>29460.252374</v>
      </c>
      <c r="AZM27" s="699"/>
      <c r="AZN27" s="700">
        <f>AZM27/AZK27</f>
        <v>0</v>
      </c>
      <c r="AZO27" s="593">
        <f>'Proy 2022 vs 2019 sem'!IO26*AZR$4</f>
        <v>23280.467200000003</v>
      </c>
      <c r="AZP27" s="593">
        <f>'Proy 2022 vs 2019 sem'!IP26*AZR$4</f>
        <v>33668.859855999995</v>
      </c>
      <c r="AZQ27" s="699"/>
      <c r="AZR27" s="700">
        <f>AZQ27/AZO27</f>
        <v>0</v>
      </c>
      <c r="AZS27" s="593">
        <f>'Proy 2022 vs 2019 sem'!IO26*AZV$4</f>
        <v>32010.642400000004</v>
      </c>
      <c r="AZT27" s="593">
        <f>'Proy 2022 vs 2019 sem'!IP26*AZV$4</f>
        <v>46294.682301999994</v>
      </c>
      <c r="AZU27" s="699"/>
      <c r="AZV27" s="700">
        <f>AZU27/AZS27</f>
        <v>0</v>
      </c>
      <c r="AZW27" s="579">
        <f>AYU27+AYY27+AZC27+AZG27+AZK27+AZO27+AZS27</f>
        <v>145502.92000000001</v>
      </c>
      <c r="AZX27" s="574">
        <f>AYV27+AYZ27+AZD27+AZH27+AZL27+AZP27+AZT27</f>
        <v>210430.37409999999</v>
      </c>
      <c r="AZY27" s="785">
        <f>AYW27+AZA27+AZE27+AZI27+AZM27+AZQ27+AZU27</f>
        <v>0</v>
      </c>
      <c r="AZZ27" s="786">
        <f>AZY27/AZW27</f>
        <v>0</v>
      </c>
      <c r="BAA27" s="593">
        <f>'Proy 2022 vs 2019 sem'!IX26*BAD$4</f>
        <v>14057.632799999999</v>
      </c>
      <c r="BAB27" s="593">
        <f>'Proy 2022 vs 2019 sem'!IY26*BAD$4</f>
        <v>21272.431739999996</v>
      </c>
      <c r="BAC27" s="735"/>
      <c r="BAD27" s="700">
        <f>BAC27/BAA27</f>
        <v>0</v>
      </c>
      <c r="BAE27" s="593">
        <f>'Proy 2022 vs 2019 sem'!IX26*BAH$4</f>
        <v>14057.632799999999</v>
      </c>
      <c r="BAF27" s="593">
        <f>'Proy 2022 vs 2019 sem'!IY26*BAH$4</f>
        <v>21272.431739999996</v>
      </c>
      <c r="BAG27" s="699"/>
      <c r="BAH27" s="700">
        <f>BAG27/BAE27</f>
        <v>0</v>
      </c>
      <c r="BAI27" s="593">
        <f>'Proy 2022 vs 2019 sem'!IX26*BAL$4</f>
        <v>14057.632799999999</v>
      </c>
      <c r="BAJ27" s="593">
        <f>'Proy 2022 vs 2019 sem'!IY26*BAL$4</f>
        <v>21272.431739999996</v>
      </c>
      <c r="BAK27" s="699"/>
      <c r="BAL27" s="700">
        <f>BAK27/BAI27</f>
        <v>0</v>
      </c>
      <c r="BAM27" s="593">
        <f>'Proy 2022 vs 2019 sem'!IX26*BAP$4</f>
        <v>14057.632799999999</v>
      </c>
      <c r="BAN27" s="593">
        <f>'Proy 2022 vs 2019 sem'!IY26*BAP$4</f>
        <v>21272.431739999996</v>
      </c>
      <c r="BAO27" s="699"/>
      <c r="BAP27" s="700">
        <f>BAO27/BAM27</f>
        <v>0</v>
      </c>
      <c r="BAQ27" s="593">
        <f>'Proy 2022 vs 2019 sem'!IX26*BAT$4</f>
        <v>16400.571600000003</v>
      </c>
      <c r="BAR27" s="593">
        <f>'Proy 2022 vs 2019 sem'!IY26*BAT$4</f>
        <v>24817.837030000002</v>
      </c>
      <c r="BAS27" s="699"/>
      <c r="BAT27" s="700">
        <f>BAS27/BAQ27</f>
        <v>0</v>
      </c>
      <c r="BAU27" s="593">
        <f>'Proy 2022 vs 2019 sem'!IX26*BAX$4</f>
        <v>18743.510399999999</v>
      </c>
      <c r="BAV27" s="593">
        <f>'Proy 2022 vs 2019 sem'!IY26*BAX$4</f>
        <v>28363.242319999998</v>
      </c>
      <c r="BAW27" s="699"/>
      <c r="BAX27" s="700">
        <f>BAW27/BAU27</f>
        <v>0</v>
      </c>
      <c r="BAY27" s="593">
        <f>'Proy 2022 vs 2019 sem'!IX26*BBB$4</f>
        <v>25772.326799999999</v>
      </c>
      <c r="BAZ27" s="593">
        <f>'Proy 2022 vs 2019 sem'!IY26*BBB$4</f>
        <v>38999.458189999998</v>
      </c>
      <c r="BBA27" s="699"/>
      <c r="BBB27" s="700">
        <f>BBA27/BAY27</f>
        <v>0</v>
      </c>
      <c r="BBC27" s="579">
        <f>BAA27+BAE27+BAI27+BAM27+BAQ27+BAU27+BAY27</f>
        <v>117146.93999999999</v>
      </c>
      <c r="BBD27" s="574">
        <f>BAB27+BAF27+BAJ27+BAN27+BAR27+BAV27+BAZ27</f>
        <v>177270.26449999999</v>
      </c>
      <c r="BBE27" s="759">
        <f>BAC27+BAG27+BAK27+BAO27+BAS27+BAW27+BBA27</f>
        <v>0</v>
      </c>
      <c r="BBF27" s="761">
        <f>BBE27/BBC27</f>
        <v>0</v>
      </c>
      <c r="BBG27" s="593">
        <f>'Proy 2022 vs 2019 sem'!JC26*BBJ$4</f>
        <v>20441.3616</v>
      </c>
      <c r="BBH27" s="593">
        <f>'Proy 2022 vs 2019 sem'!JD26*BBJ$4</f>
        <v>28357.478951999998</v>
      </c>
      <c r="BBI27" s="699"/>
      <c r="BBJ27" s="700">
        <f>BBI27/BBG27</f>
        <v>0</v>
      </c>
      <c r="BBK27" s="593">
        <f>'Proy 2022 vs 2019 sem'!JC26*BBN$4</f>
        <v>20441.3616</v>
      </c>
      <c r="BBL27" s="593">
        <f>'Proy 2022 vs 2019 sem'!JD26*BBN$4</f>
        <v>28357.478951999998</v>
      </c>
      <c r="BBM27" s="699"/>
      <c r="BBN27" s="700">
        <f>BBM27/BBK27</f>
        <v>0</v>
      </c>
      <c r="BBO27" s="593">
        <f>'Proy 2022 vs 2019 sem'!JC26*BBR$4</f>
        <v>20441.3616</v>
      </c>
      <c r="BBP27" s="593">
        <f>'Proy 2022 vs 2019 sem'!JD26*BBR$4</f>
        <v>28357.478951999998</v>
      </c>
      <c r="BBQ27" s="699"/>
      <c r="BBR27" s="700">
        <f>BBQ27/BBO27</f>
        <v>0</v>
      </c>
      <c r="BBS27" s="593">
        <f>'Proy 2022 vs 2019 sem'!JC26*BBV$4</f>
        <v>20441.3616</v>
      </c>
      <c r="BBT27" s="593">
        <f>'Proy 2022 vs 2019 sem'!JD26*BBV$4</f>
        <v>28357.478951999998</v>
      </c>
      <c r="BBU27" s="699"/>
      <c r="BBV27" s="700">
        <f>BBU27/BBS27</f>
        <v>0</v>
      </c>
      <c r="BBW27" s="593">
        <f>'Proy 2022 vs 2019 sem'!JC26*BBZ$4</f>
        <v>23848.2552</v>
      </c>
      <c r="BBX27" s="593">
        <f>'Proy 2022 vs 2019 sem'!JD26*BBZ$4</f>
        <v>33083.725444000003</v>
      </c>
      <c r="BBY27" s="699"/>
      <c r="BBZ27" s="700">
        <f>BBY27/BBW27</f>
        <v>0</v>
      </c>
      <c r="BCA27" s="593">
        <f>'Proy 2022 vs 2019 sem'!JC26*BCD$4</f>
        <v>27255.148799999999</v>
      </c>
      <c r="BCB27" s="593">
        <f>'Proy 2022 vs 2019 sem'!JD26*BCD$4</f>
        <v>37809.971936000002</v>
      </c>
      <c r="BCC27" s="699"/>
      <c r="BCD27" s="700">
        <f>BCC27/BCA27</f>
        <v>0</v>
      </c>
      <c r="BCE27" s="593">
        <f>'Proy 2022 vs 2019 sem'!JC26*BCH$4</f>
        <v>37475.829599999997</v>
      </c>
      <c r="BCF27" s="593">
        <f>'Proy 2022 vs 2019 sem'!JD26*BCH$4</f>
        <v>51988.711411999997</v>
      </c>
      <c r="BCG27" s="699"/>
      <c r="BCH27" s="700">
        <f>BCG27/BCE27</f>
        <v>0</v>
      </c>
      <c r="BCI27" s="579">
        <f>BBG27+BBK27+BBO27+BBS27+BBW27+BCA27+BCE27</f>
        <v>170344.68</v>
      </c>
      <c r="BCJ27" s="574">
        <f>BBH27+BBL27+BBP27+BBT27+BBX27+BCB27+BCF27</f>
        <v>236312.32459999999</v>
      </c>
      <c r="BCK27" s="765">
        <f>BBI27+BBM27+BBQ27+BBU27+BBY27+BCC27+BCG27</f>
        <v>0</v>
      </c>
      <c r="BCL27" s="761">
        <f>BCK27/BCI27</f>
        <v>0</v>
      </c>
      <c r="BCM27" s="593">
        <f>'Proy 2022 vs 2019 sem'!JH26*BCP$4</f>
        <v>21558.824399999998</v>
      </c>
      <c r="BCN27" s="593">
        <f>'Proy 2022 vs 2019 sem'!JI26*BCP$4</f>
        <v>34534.464768000005</v>
      </c>
      <c r="BCO27" s="699"/>
      <c r="BCP27" s="700">
        <f>BCO27/BCM27</f>
        <v>0</v>
      </c>
      <c r="BCQ27" s="593">
        <f>'Proy 2022 vs 2019 sem'!JH26*BCT$4</f>
        <v>21558.824399999998</v>
      </c>
      <c r="BCR27" s="593">
        <f>'Proy 2022 vs 2019 sem'!JI26*BCT$4</f>
        <v>34534.464768000005</v>
      </c>
      <c r="BCS27" s="699"/>
      <c r="BCT27" s="700">
        <f>BCS27/BCQ27</f>
        <v>0</v>
      </c>
      <c r="BCU27" s="593">
        <f>'Proy 2022 vs 2019 sem'!JH26*BCX$4</f>
        <v>21558.824399999998</v>
      </c>
      <c r="BCV27" s="593">
        <f>'Proy 2022 vs 2019 sem'!JI26*BCX$4</f>
        <v>34534.464768000005</v>
      </c>
      <c r="BCW27" s="699"/>
      <c r="BCX27" s="700">
        <f>BCW27/BCU27</f>
        <v>0</v>
      </c>
      <c r="BCY27" s="593">
        <f>'Proy 2022 vs 2019 sem'!JH26*BDB$4</f>
        <v>21558.824399999998</v>
      </c>
      <c r="BCZ27" s="593">
        <f>'Proy 2022 vs 2019 sem'!JI26*BDB$4</f>
        <v>34534.464768000005</v>
      </c>
      <c r="BDA27" s="699"/>
      <c r="BDB27" s="700">
        <f>BDA27/BCY27</f>
        <v>0</v>
      </c>
      <c r="BDC27" s="593">
        <f>'Proy 2022 vs 2019 sem'!JH26*BDF$4</f>
        <v>25151.961800000001</v>
      </c>
      <c r="BDD27" s="593">
        <f>'Proy 2022 vs 2019 sem'!JI26*BDF$4</f>
        <v>40290.208896000004</v>
      </c>
      <c r="BDE27" s="699"/>
      <c r="BDF27" s="700">
        <f>BDE27/BDC27</f>
        <v>0</v>
      </c>
      <c r="BDG27" s="593">
        <f>'Proy 2022 vs 2019 sem'!JH26*BDJ$4</f>
        <v>28745.099200000001</v>
      </c>
      <c r="BDH27" s="593">
        <f>'Proy 2022 vs 2019 sem'!JI26*BDJ$4</f>
        <v>46045.953024000002</v>
      </c>
      <c r="BDI27" s="699"/>
      <c r="BDJ27" s="700">
        <f>BDI27/BDG27</f>
        <v>0</v>
      </c>
      <c r="BDK27" s="593">
        <f>'Proy 2022 vs 2019 sem'!JH26*BDN$4</f>
        <v>39524.511399999996</v>
      </c>
      <c r="BDL27" s="593">
        <f>'Proy 2022 vs 2019 sem'!JI26*BDN$4</f>
        <v>63313.185408000005</v>
      </c>
      <c r="BDM27" s="699"/>
      <c r="BDN27" s="700">
        <f>BDM27/BDK27</f>
        <v>0</v>
      </c>
      <c r="BDO27" s="579">
        <f>BCM27+BCQ27+BCU27+BCY27+BDC27+BDG27+BDK27</f>
        <v>179656.87</v>
      </c>
      <c r="BDP27" s="574">
        <f>BCN27+BCR27+BCV27+BCZ27+BDD27+BDH27+BDL27</f>
        <v>287787.20640000002</v>
      </c>
      <c r="BDQ27" s="765">
        <f>BCO27+BCS27+BCW27+BDA27+BDE27+BDI27+BDM27</f>
        <v>0</v>
      </c>
      <c r="BDR27" s="761">
        <f>BDQ27/BDO27</f>
        <v>0</v>
      </c>
      <c r="BDS27" s="593">
        <f>'Proy 2022 vs 2019 sem'!JM26*BDV$4</f>
        <v>20057.162399999997</v>
      </c>
      <c r="BDT27" s="593">
        <f>'Proy 2022 vs 2019 sem'!JN26*BDV$4</f>
        <v>30132.489119999998</v>
      </c>
      <c r="BDU27" s="699"/>
      <c r="BDV27" s="700">
        <f>BDU27/BDS27</f>
        <v>0</v>
      </c>
      <c r="BDW27" s="593">
        <f>'Proy 2022 vs 2019 sem'!JM26*BDZ$4</f>
        <v>20057.162399999997</v>
      </c>
      <c r="BDX27" s="593">
        <f>'Proy 2022 vs 2019 sem'!JN26*BDZ$4</f>
        <v>30132.489119999998</v>
      </c>
      <c r="BDY27" s="699"/>
      <c r="BDZ27" s="700">
        <f>BDY27/BDW27</f>
        <v>0</v>
      </c>
      <c r="BEA27" s="593">
        <f>'Proy 2022 vs 2019 sem'!JM26*BED$4</f>
        <v>20057.162399999997</v>
      </c>
      <c r="BEB27" s="593">
        <f>'Proy 2022 vs 2019 sem'!JN26*BED$4</f>
        <v>30132.489119999998</v>
      </c>
      <c r="BEC27" s="699"/>
      <c r="BED27" s="700">
        <f>BEC27/BEA27</f>
        <v>0</v>
      </c>
      <c r="BEE27" s="593">
        <v>14506.990400000001</v>
      </c>
      <c r="BEF27" s="593">
        <f>'Proy 2022 vs 2019 sem'!JN26*BEH$4</f>
        <v>30132.489119999998</v>
      </c>
      <c r="BEG27" s="699"/>
      <c r="BEH27" s="700">
        <f>BEG27/BEE27</f>
        <v>0</v>
      </c>
      <c r="BEI27" s="593">
        <f>'Proy 2022 vs 2019 sem'!JM26*BEL$4</f>
        <v>23400.022800000002</v>
      </c>
      <c r="BEJ27" s="593">
        <f>'Proy 2022 vs 2019 sem'!JN26*BEL$4</f>
        <v>35154.570640000005</v>
      </c>
      <c r="BEK27" s="699"/>
      <c r="BEL27" s="700">
        <f>BEK27/BEI27</f>
        <v>0</v>
      </c>
      <c r="BEM27" s="593">
        <f>'Proy 2022 vs 2019 sem'!JM26*BEP$4</f>
        <v>26742.8832</v>
      </c>
      <c r="BEN27" s="593">
        <f>'Proy 2022 vs 2019 sem'!JN26*BEP$4</f>
        <v>40176.652159999998</v>
      </c>
      <c r="BEO27" s="699"/>
      <c r="BEP27" s="700">
        <f>BEO27/BEM27</f>
        <v>0</v>
      </c>
      <c r="BEQ27" s="593">
        <f>'Proy 2022 vs 2019 sem'!JM26*BET$4</f>
        <v>36771.464399999997</v>
      </c>
      <c r="BER27" s="593">
        <f>'Proy 2022 vs 2019 sem'!JN26*BET$4</f>
        <v>55242.896719999997</v>
      </c>
      <c r="BES27" s="699"/>
      <c r="BET27" s="700">
        <f>BES27/BEQ27</f>
        <v>0</v>
      </c>
      <c r="BEU27" s="579">
        <f>BDS27+BDW27+BEA27+BEE27+BEI27+BEM27+BEQ27</f>
        <v>161592.848</v>
      </c>
      <c r="BEV27" s="574">
        <f>BDT27+BDX27+BEB27+BEF27+BEJ27+BEN27+BER27</f>
        <v>251104.07599999997</v>
      </c>
      <c r="BEW27" s="770">
        <f>BDU27+BDY27+BEC27+BEG27+BEK27+BEO27+BES27</f>
        <v>0</v>
      </c>
      <c r="BEX27" s="761">
        <f>BEW27/BEU27</f>
        <v>0</v>
      </c>
      <c r="BEY27" s="593">
        <f>'Proy 2022 vs 2019 sem'!JV26*BFB$4</f>
        <v>24942.043199999996</v>
      </c>
      <c r="BEZ27" s="593">
        <f>'Proy 2022 vs 2019 sem'!JW26*BFB$4</f>
        <v>43884.486935999994</v>
      </c>
      <c r="BFA27" s="735"/>
      <c r="BFB27" s="700">
        <f>BFA27/BEY27</f>
        <v>0</v>
      </c>
      <c r="BFC27" s="593">
        <f>'Proy 2022 vs 2019 sem'!JV26*BFF$4</f>
        <v>24942.043199999996</v>
      </c>
      <c r="BFD27" s="593">
        <f>'Proy 2022 vs 2019 sem'!JW26*BFF$4</f>
        <v>43884.486935999994</v>
      </c>
      <c r="BFE27" s="735"/>
      <c r="BFF27" s="700">
        <f>BFE27/BFC27</f>
        <v>0</v>
      </c>
      <c r="BFG27" s="593">
        <f>'Proy 2022 vs 2019 sem'!JV26*BFJ$4</f>
        <v>24942.043199999996</v>
      </c>
      <c r="BFH27" s="593">
        <f>'Proy 2022 vs 2019 sem'!JW26*BFJ$4</f>
        <v>43884.486935999994</v>
      </c>
      <c r="BFI27" s="735"/>
      <c r="BFJ27" s="700">
        <f>BFI27/BFG27</f>
        <v>0</v>
      </c>
      <c r="BFK27" s="593">
        <f>'Proy 2022 vs 2019 sem'!JV26*BFN$4</f>
        <v>24942.043199999996</v>
      </c>
      <c r="BFL27" s="593">
        <f>'Proy 2022 vs 2019 sem'!JW26*BFN$4</f>
        <v>43884.486935999994</v>
      </c>
      <c r="BFM27" s="735"/>
      <c r="BFN27" s="700">
        <f>BFM27/BFK27</f>
        <v>0</v>
      </c>
      <c r="BFO27" s="593">
        <f>'Proy 2022 vs 2019 sem'!JV26*BFR$4</f>
        <v>29099.0504</v>
      </c>
      <c r="BFP27" s="593">
        <f>'Proy 2022 vs 2019 sem'!JW26*BFR$4</f>
        <v>51198.568092000001</v>
      </c>
      <c r="BFQ27" s="735"/>
      <c r="BFR27" s="700">
        <f>BFQ27/BFO27</f>
        <v>0</v>
      </c>
      <c r="BFS27" s="593">
        <f>'Proy 2022 vs 2019 sem'!JV26*BFV$4</f>
        <v>33256.0576</v>
      </c>
      <c r="BFT27" s="593">
        <f>'Proy 2022 vs 2019 sem'!JW26*BFV$4</f>
        <v>58512.649247999994</v>
      </c>
      <c r="BFU27" s="735"/>
      <c r="BFV27" s="700">
        <f>BFU27/BFS27</f>
        <v>0</v>
      </c>
      <c r="BFW27" s="593">
        <f>'Proy 2022 vs 2019 sem'!JV26*BFZ$4</f>
        <v>45727.0792</v>
      </c>
      <c r="BFX27" s="593">
        <f>'Proy 2022 vs 2019 sem'!JW26*BFZ$4</f>
        <v>80454.892715999988</v>
      </c>
      <c r="BFY27" s="735"/>
      <c r="BFZ27" s="700">
        <f>BFY27/BFW27</f>
        <v>0</v>
      </c>
      <c r="BGA27" s="579">
        <f>BEY27+BFC27+BFG27+BFK27+BFO27+BFS27+BFW27</f>
        <v>207850.36</v>
      </c>
      <c r="BGB27" s="574">
        <f>BEZ27+BFD27+BFH27+BFL27+BFP27+BFT27+BFX27</f>
        <v>365704.05779999995</v>
      </c>
      <c r="BGC27" s="729">
        <f>BFA27+BFE27+BFI27+BFM27+BFQ27+BFU27+BFY27</f>
        <v>0</v>
      </c>
      <c r="BGD27" s="711">
        <f>BGC27/BGA27</f>
        <v>0</v>
      </c>
      <c r="BGE27" s="593">
        <f>'Proy 2022 vs 2019 sem'!KA26*BGH$4</f>
        <v>35349.654000000002</v>
      </c>
      <c r="BGF27" s="593">
        <f>'Proy 2022 vs 2019 sem'!KB26*BGH$4</f>
        <v>59199.524603999991</v>
      </c>
      <c r="BGG27" s="699"/>
      <c r="BGH27" s="700">
        <f>BGG27/BGE27</f>
        <v>0</v>
      </c>
      <c r="BGI27" s="593">
        <f>'Proy 2022 vs 2019 sem'!KA26*BGL$4</f>
        <v>35349.654000000002</v>
      </c>
      <c r="BGJ27" s="593">
        <f>'Proy 2022 vs 2019 sem'!KB26*BGL$4</f>
        <v>59199.524603999991</v>
      </c>
      <c r="BGK27" s="699"/>
      <c r="BGL27" s="700">
        <f>BGK27/BGI27</f>
        <v>0</v>
      </c>
      <c r="BGM27" s="593">
        <f>'Proy 2022 vs 2019 sem'!KA26*BGP$4</f>
        <v>35349.654000000002</v>
      </c>
      <c r="BGN27" s="593">
        <f>'Proy 2022 vs 2019 sem'!KB26*BGP$4</f>
        <v>59199.524603999991</v>
      </c>
      <c r="BGO27" s="699"/>
      <c r="BGP27" s="700">
        <f>BGO27/BGM27</f>
        <v>0</v>
      </c>
      <c r="BGQ27" s="593">
        <f>'Proy 2022 vs 2019 sem'!KA26*BGT$4</f>
        <v>35349.654000000002</v>
      </c>
      <c r="BGR27" s="593">
        <f>'Proy 2022 vs 2019 sem'!KB26*BGT$4</f>
        <v>59199.524603999991</v>
      </c>
      <c r="BGS27" s="699"/>
      <c r="BGT27" s="700">
        <f>BGS27/BGQ27</f>
        <v>0</v>
      </c>
      <c r="BGU27" s="593">
        <f>'Proy 2022 vs 2019 sem'!KA26*BGX$4</f>
        <v>41241.263000000006</v>
      </c>
      <c r="BGV27" s="593">
        <f>'Proy 2022 vs 2019 sem'!KB26*BGX$4</f>
        <v>69066.112038000007</v>
      </c>
      <c r="BGW27" s="699"/>
      <c r="BGX27" s="700">
        <f>BGW27/BGU27</f>
        <v>0</v>
      </c>
      <c r="BGY27" s="593">
        <f>'Proy 2022 vs 2019 sem'!KA26*BHB$4</f>
        <v>47132.872000000003</v>
      </c>
      <c r="BGZ27" s="593">
        <f>'Proy 2022 vs 2019 sem'!KB26*BHB$4</f>
        <v>78932.699471999993</v>
      </c>
      <c r="BHA27" s="699"/>
      <c r="BHB27" s="700">
        <f>BHA27/BGY27</f>
        <v>0</v>
      </c>
      <c r="BHC27" s="593">
        <f>'Proy 2022 vs 2019 sem'!KA26*BHF$4</f>
        <v>64807.699000000001</v>
      </c>
      <c r="BHD27" s="593">
        <f>'Proy 2022 vs 2019 sem'!KB26*BHF$4</f>
        <v>108532.461774</v>
      </c>
      <c r="BHE27" s="699"/>
      <c r="BHF27" s="700">
        <f>BHE27/BHC27</f>
        <v>0</v>
      </c>
      <c r="BHG27" s="579">
        <f>BGE27+BGI27+BGM27+BGQ27+BGU27+BGY27+BHC27</f>
        <v>294580.45</v>
      </c>
      <c r="BHH27" s="574">
        <f>BGF27+BGJ27+BGN27+BGR27+BGV27+BGZ27+BHD27</f>
        <v>493329.37170000002</v>
      </c>
      <c r="BHI27" s="730">
        <f>BGG27+BGK27+BGO27+BGS27+BGW27+BHA27+BHE27</f>
        <v>0</v>
      </c>
      <c r="BHJ27" s="711">
        <f>BHI27/BHG27</f>
        <v>0</v>
      </c>
      <c r="BHK27" s="593">
        <f>'Proy 2022 vs 2019 sem'!KF26*BHN$4</f>
        <v>47030.891999999993</v>
      </c>
      <c r="BHL27" s="593">
        <f>'Proy 2022 vs 2019 sem'!KG26*BHN$4</f>
        <v>71882.785367999997</v>
      </c>
      <c r="BHM27" s="699"/>
      <c r="BHN27" s="700">
        <f>BHM27/BHK27</f>
        <v>0</v>
      </c>
      <c r="BHO27" s="593">
        <f>'Proy 2022 vs 2019 sem'!KF26*BHR$4</f>
        <v>47030.891999999993</v>
      </c>
      <c r="BHP27" s="593">
        <f>'Proy 2022 vs 2019 sem'!KG26*BHR$4</f>
        <v>71882.785367999997</v>
      </c>
      <c r="BHQ27" s="699"/>
      <c r="BHR27" s="700">
        <f>BHQ27/BHO27</f>
        <v>0</v>
      </c>
      <c r="BHS27" s="593">
        <f>'Proy 2022 vs 2019 sem'!KF26*BHV$4</f>
        <v>47030.891999999993</v>
      </c>
      <c r="BHT27" s="593">
        <f>'Proy 2022 vs 2019 sem'!KG26*BHV$4</f>
        <v>71882.785367999997</v>
      </c>
      <c r="BHU27" s="699"/>
      <c r="BHV27" s="700">
        <f>BHU27/BHS27</f>
        <v>0</v>
      </c>
      <c r="BHW27" s="593">
        <f>'Proy 2022 vs 2019 sem'!KF26*BHZ$4</f>
        <v>47030.891999999993</v>
      </c>
      <c r="BHX27" s="593">
        <f>'Proy 2022 vs 2019 sem'!KG26*BHZ$4</f>
        <v>71882.785367999997</v>
      </c>
      <c r="BHY27" s="699"/>
      <c r="BHZ27" s="700">
        <f>BHY27/BHW27</f>
        <v>0</v>
      </c>
      <c r="BIA27" s="593">
        <f>'Proy 2022 vs 2019 sem'!KF26*BID$4</f>
        <v>54869.374000000003</v>
      </c>
      <c r="BIB27" s="593">
        <f>'Proy 2022 vs 2019 sem'!KG26*BID$4</f>
        <v>83863.249596000009</v>
      </c>
      <c r="BIC27" s="699"/>
      <c r="BID27" s="700">
        <f>BIC27/BIA27</f>
        <v>0</v>
      </c>
      <c r="BIE27" s="593">
        <f>'Proy 2022 vs 2019 sem'!KF26*BIH$4</f>
        <v>62707.856</v>
      </c>
      <c r="BIF27" s="593">
        <f>'Proy 2022 vs 2019 sem'!KG26*BIH$4</f>
        <v>95843.713824000006</v>
      </c>
      <c r="BIG27" s="699"/>
      <c r="BIH27" s="700">
        <f>BIG27/BIE27</f>
        <v>0</v>
      </c>
      <c r="BII27" s="593">
        <f>'Proy 2022 vs 2019 sem'!KF26*BIL$4</f>
        <v>86223.301999999996</v>
      </c>
      <c r="BIJ27" s="593">
        <f>'Proy 2022 vs 2019 sem'!KG26*BIL$4</f>
        <v>131785.106508</v>
      </c>
      <c r="BIK27" s="699"/>
      <c r="BIL27" s="700">
        <f>BIK27/BII27</f>
        <v>0</v>
      </c>
      <c r="BIM27" s="579">
        <f>BHK27+BHO27+BHS27+BHW27+BIA27+BIE27+BII27</f>
        <v>391924.1</v>
      </c>
      <c r="BIN27" s="574">
        <f>BHL27+BHP27+BHT27+BHX27+BIB27+BIF27+BIJ27</f>
        <v>599023.21139999991</v>
      </c>
      <c r="BIO27" s="730">
        <f>BHM27+BHQ27+BHU27+BHY27+BIC27+BIG27+BIK27</f>
        <v>0</v>
      </c>
      <c r="BIP27" s="711">
        <f>BIO27/BIM27</f>
        <v>0</v>
      </c>
      <c r="BIQ27" s="593">
        <f>'Proy 2022 vs 2019 sem'!KK26*BIT$4</f>
        <v>41987.0772</v>
      </c>
      <c r="BIR27" s="593">
        <f>'Proy 2022 vs 2019 sem'!KL26*BIT$4</f>
        <v>63385.598196000006</v>
      </c>
      <c r="BIS27" s="699"/>
      <c r="BIT27" s="700">
        <f>BIS27/BIQ27</f>
        <v>0</v>
      </c>
      <c r="BIU27" s="593">
        <f>'Proy 2022 vs 2019 sem'!KK26*BIX$4</f>
        <v>41987.0772</v>
      </c>
      <c r="BIV27" s="593">
        <f>'Proy 2022 vs 2019 sem'!KL26*BIX$4</f>
        <v>63385.598196000006</v>
      </c>
      <c r="BIW27" s="699"/>
      <c r="BIX27" s="700">
        <f>BIW27/BIU27</f>
        <v>0</v>
      </c>
      <c r="BIY27" s="593">
        <f>'Proy 2022 vs 2019 sem'!KK26*BJB$4</f>
        <v>41987.0772</v>
      </c>
      <c r="BIZ27" s="593">
        <f>'Proy 2022 vs 2019 sem'!KL26*BJB$4</f>
        <v>63385.598196000006</v>
      </c>
      <c r="BJA27" s="699"/>
      <c r="BJB27" s="700">
        <f>BJA27/BIY27</f>
        <v>0</v>
      </c>
      <c r="BJC27" s="593">
        <f>'Proy 2022 vs 2019 sem'!KK26*BJF$4</f>
        <v>41987.0772</v>
      </c>
      <c r="BJD27" s="593">
        <f>'Proy 2022 vs 2019 sem'!KL26*BJF$4</f>
        <v>63385.598196000006</v>
      </c>
      <c r="BJE27" s="699"/>
      <c r="BJF27" s="700">
        <f>BJE27/BJC27</f>
        <v>0</v>
      </c>
      <c r="BJG27" s="593">
        <f>'Proy 2022 vs 2019 sem'!KK26*BJJ$4</f>
        <v>48984.923400000007</v>
      </c>
      <c r="BJH27" s="593">
        <f>'Proy 2022 vs 2019 sem'!KL26*BJJ$4</f>
        <v>73949.864562000017</v>
      </c>
      <c r="BJI27" s="699"/>
      <c r="BJJ27" s="700">
        <f>BJI27/BJG27</f>
        <v>0</v>
      </c>
      <c r="BJK27" s="593">
        <f>'Proy 2022 vs 2019 sem'!KK26*BJN$4</f>
        <v>55982.7696</v>
      </c>
      <c r="BJL27" s="593">
        <f>'Proy 2022 vs 2019 sem'!KL26*BJN$4</f>
        <v>84514.130928000013</v>
      </c>
      <c r="BJM27" s="699"/>
      <c r="BJN27" s="700">
        <f>BJM27/BJK27</f>
        <v>0</v>
      </c>
      <c r="BJO27" s="593">
        <f>'Proy 2022 vs 2019 sem'!KK26*BJR$4</f>
        <v>76976.308199999999</v>
      </c>
      <c r="BJP27" s="593">
        <f>'Proy 2022 vs 2019 sem'!KL26*BJR$4</f>
        <v>116206.93002600002</v>
      </c>
      <c r="BJQ27" s="699"/>
      <c r="BJR27" s="700">
        <f>BJQ27/BJO27</f>
        <v>0</v>
      </c>
      <c r="BJS27" s="579">
        <f>BIQ27+BIU27+BIY27+BJC27+BJG27+BJK27+BJO27</f>
        <v>349892.30999999994</v>
      </c>
      <c r="BJT27" s="574">
        <f>BIR27+BIV27+BIZ27+BJD27+BJH27+BJL27+BJP27</f>
        <v>528213.31830000016</v>
      </c>
      <c r="BJU27" s="710">
        <f>BIS27+BIW27+BJA27+BJE27+BJI27+BJM27+BJQ27</f>
        <v>0</v>
      </c>
      <c r="BJV27" s="711">
        <f>BJU27/BJS27</f>
        <v>0</v>
      </c>
      <c r="BJW27" s="593">
        <f>'Proy 2022 vs 2019 sem'!KP26*BJZ$4</f>
        <v>19909.858799999998</v>
      </c>
      <c r="BJX27" s="593">
        <f>'Proy 2022 vs 2019 sem'!KQ26*BJZ$4</f>
        <v>29293.490160000001</v>
      </c>
      <c r="BJY27" s="699"/>
      <c r="BJZ27" s="700">
        <f>BJY27/BJW27</f>
        <v>0</v>
      </c>
      <c r="BKA27" s="593">
        <f>'Proy 2022 vs 2019 sem'!KP26*BKD$4</f>
        <v>19909.858799999998</v>
      </c>
      <c r="BKB27" s="593">
        <f>'Proy 2022 vs 2019 sem'!KQ26*BKD$4</f>
        <v>29293.490160000001</v>
      </c>
      <c r="BKC27" s="699"/>
      <c r="BKD27" s="700">
        <f>BKC27/BKA27</f>
        <v>0</v>
      </c>
      <c r="BKE27" s="593">
        <f>'Proy 2022 vs 2019 sem'!KP26*BKH$4</f>
        <v>19909.858799999998</v>
      </c>
      <c r="BKF27" s="593">
        <f>'Proy 2022 vs 2019 sem'!KQ26*BKH$4</f>
        <v>29293.490160000001</v>
      </c>
      <c r="BKG27" s="699"/>
      <c r="BKH27" s="700">
        <f>BKG27/BKE27</f>
        <v>0</v>
      </c>
      <c r="BKI27" s="593">
        <f>'Proy 2022 vs 2019 sem'!KP26*BKL$4</f>
        <v>19909.858799999998</v>
      </c>
      <c r="BKJ27" s="593">
        <f>'Proy 2022 vs 2019 sem'!KQ26*BKL$4</f>
        <v>29293.490160000001</v>
      </c>
      <c r="BKK27" s="699"/>
      <c r="BKL27" s="700">
        <f>BKK27/BKI27</f>
        <v>0</v>
      </c>
      <c r="BKM27" s="593">
        <f>'Proy 2022 vs 2019 sem'!KP26*BKP$4</f>
        <v>23228.168600000001</v>
      </c>
      <c r="BKN27" s="593">
        <f>'Proy 2022 vs 2019 sem'!KQ26*BKP$4</f>
        <v>34175.738520000006</v>
      </c>
      <c r="BKO27" s="699"/>
      <c r="BKP27" s="700">
        <f>BKO27/BKM27</f>
        <v>0</v>
      </c>
      <c r="BKQ27" s="593">
        <f>'Proy 2022 vs 2019 sem'!KP26*BKT$4</f>
        <v>26546.4784</v>
      </c>
      <c r="BKR27" s="593">
        <f>'Proy 2022 vs 2019 sem'!KQ26*BKT$4</f>
        <v>39057.986880000004</v>
      </c>
      <c r="BKS27" s="699"/>
      <c r="BKT27" s="700">
        <f>BKS27/BKQ27</f>
        <v>0</v>
      </c>
      <c r="BKU27" s="593">
        <f>'Proy 2022 vs 2019 sem'!KP26*BKX$4</f>
        <v>36501.407800000001</v>
      </c>
      <c r="BKV27" s="593">
        <f>'Proy 2022 vs 2019 sem'!KQ26*BKX$4</f>
        <v>53704.731960000005</v>
      </c>
      <c r="BKW27" s="699"/>
      <c r="BKX27" s="700">
        <f>BKW27/BKU27</f>
        <v>0</v>
      </c>
      <c r="BKY27" s="579">
        <f>BJW27+BKA27+BKE27+BKI27+BKM27+BKQ27+BKU27</f>
        <v>165915.49</v>
      </c>
      <c r="BKZ27" s="574">
        <f>BJX27+BKB27+BKF27+BKJ27+BKN27+BKR27+BKV27</f>
        <v>244112.41800000003</v>
      </c>
      <c r="BLA27" s="710">
        <f>BJY27+BKC27+BKG27+BKK27+BKO27+BKS27+BKW27</f>
        <v>0</v>
      </c>
      <c r="BLB27" s="711">
        <f>BLA27/BKY27</f>
        <v>0</v>
      </c>
    </row>
    <row r="28" spans="2:1666" ht="15.75" customHeight="1">
      <c r="B28" s="930" t="s">
        <v>479</v>
      </c>
      <c r="C28" s="593">
        <f>'Proy 2022 vs 2019 sem'!$C$6*$F$4</f>
        <v>9529.1268</v>
      </c>
      <c r="D28" s="593">
        <f>'Proy 2022 vs 2019 sem'!$D$6*$F$4</f>
        <v>8480.9228519999997</v>
      </c>
      <c r="E28" s="735"/>
      <c r="F28" s="700">
        <f>E28/C28</f>
        <v>0</v>
      </c>
      <c r="G28" s="1414">
        <f>'Proy 2022 vs 2019 sem'!C27*$J$4</f>
        <v>10263.6852</v>
      </c>
      <c r="H28" s="593">
        <f>'Proy 2022 vs 2019 sem'!D27*$J$4</f>
        <v>9134.6798280000003</v>
      </c>
      <c r="I28" s="735"/>
      <c r="J28" s="700">
        <f>I28/G28</f>
        <v>0</v>
      </c>
      <c r="K28" s="593">
        <f>'Proy 2022 vs 2019 sem'!C27*$N$4</f>
        <v>10263.6852</v>
      </c>
      <c r="L28" s="593">
        <f>'Proy 2022 vs 2019 sem'!D27*N$4</f>
        <v>9134.6798280000003</v>
      </c>
      <c r="M28" s="735"/>
      <c r="N28" s="700">
        <f>M28/K28</f>
        <v>0</v>
      </c>
      <c r="O28" s="593">
        <f>'Proy 2022 vs 2019 sem'!C27*R$4</f>
        <v>10263.6852</v>
      </c>
      <c r="P28" s="593">
        <f>'Proy 2022 vs 2019 sem'!D27*$R$4</f>
        <v>9134.6798280000003</v>
      </c>
      <c r="Q28" s="735"/>
      <c r="R28" s="700">
        <f>Q28/O28</f>
        <v>0</v>
      </c>
      <c r="S28" s="593">
        <f>'Proy 2022 vs 2019 sem'!C27*V$4</f>
        <v>11974.299400000002</v>
      </c>
      <c r="T28" s="593">
        <f>'Proy 2022 vs 2019 sem'!D27*V$4</f>
        <v>10657.126466000002</v>
      </c>
      <c r="U28" s="735"/>
      <c r="V28" s="700">
        <f>U28/S28</f>
        <v>0</v>
      </c>
      <c r="W28" s="593">
        <f>'Proy 2022 vs 2019 sem'!C27*Z$4</f>
        <v>13684.913600000002</v>
      </c>
      <c r="X28" s="593">
        <f>'Proy 2022 vs 2019 sem'!D27*Z$4</f>
        <v>12179.573104000001</v>
      </c>
      <c r="Y28" s="735"/>
      <c r="Z28" s="700">
        <f>Y28/W28</f>
        <v>0</v>
      </c>
      <c r="AA28" s="593">
        <f>'Proy 2022 vs 2019 sem'!C27*AD$4</f>
        <v>18816.7562</v>
      </c>
      <c r="AB28" s="593">
        <f>'Proy 2022 vs 2019 sem'!D27*AD$4</f>
        <v>16746.913018000003</v>
      </c>
      <c r="AC28" s="735"/>
      <c r="AD28" s="700">
        <f>AC28/AA28</f>
        <v>0</v>
      </c>
      <c r="AE28" s="579">
        <f>C28+G28+K28+O28+S28+W28+AA28</f>
        <v>84796.151600000012</v>
      </c>
      <c r="AF28" s="574">
        <f>D28+H28+L28+P28+T28+X28+AB28</f>
        <v>75468.574924</v>
      </c>
      <c r="AG28" s="729">
        <f>E28+I28+M28+Q28+U28+Y28+AC28</f>
        <v>0</v>
      </c>
      <c r="AH28" s="711">
        <f>AG28/AE28</f>
        <v>0</v>
      </c>
      <c r="AI28" s="593">
        <f>'Proy 2022 vs 2019 sem'!H27*AL$4</f>
        <v>11320.8696</v>
      </c>
      <c r="AJ28" s="611">
        <f>'Proy 2022 vs 2019 sem'!I27*AL$4</f>
        <v>10075.573944</v>
      </c>
      <c r="AK28" s="699"/>
      <c r="AL28" s="700">
        <f>AK28/AI28</f>
        <v>0</v>
      </c>
      <c r="AM28" s="593">
        <f>'Proy 2022 vs 2019 sem'!H27*AP$4</f>
        <v>11320.8696</v>
      </c>
      <c r="AN28" s="593">
        <f>'Proy 2022 vs 2019 sem'!I27*AP$4</f>
        <v>10075.573944</v>
      </c>
      <c r="AO28" s="699"/>
      <c r="AP28" s="700">
        <f>AO28/AM28</f>
        <v>0</v>
      </c>
      <c r="AQ28" s="593">
        <f>'Proy 2022 vs 2019 sem'!H27*AT$4</f>
        <v>11320.8696</v>
      </c>
      <c r="AR28" s="593">
        <f>'Proy 2022 vs 2019 sem'!I27*AT$4</f>
        <v>10075.573944</v>
      </c>
      <c r="AS28" s="699"/>
      <c r="AT28" s="700">
        <f>AS28/AQ28</f>
        <v>0</v>
      </c>
      <c r="AU28" s="593">
        <f>'Proy 2022 vs 2019 sem'!H27*AX$4</f>
        <v>11320.8696</v>
      </c>
      <c r="AV28" s="593">
        <f>'Proy 2022 vs 2019 sem'!I27*AX$4</f>
        <v>10075.573944</v>
      </c>
      <c r="AW28" s="699"/>
      <c r="AX28" s="700">
        <f>AW28/AU28</f>
        <v>0</v>
      </c>
      <c r="AY28" s="593">
        <f>'Proy 2022 vs 2019 sem'!H27*BB$4</f>
        <v>13207.681200000001</v>
      </c>
      <c r="AZ28" s="593">
        <f>'Proy 2022 vs 2019 sem'!I27*BB$4</f>
        <v>11754.836268000001</v>
      </c>
      <c r="BA28" s="699"/>
      <c r="BB28" s="700">
        <f>BA28/AY28</f>
        <v>0</v>
      </c>
      <c r="BC28" s="593">
        <f>'Proy 2022 vs 2019 sem'!H27*BF$4</f>
        <v>15094.4928</v>
      </c>
      <c r="BD28" s="593">
        <f>'Proy 2022 vs 2019 sem'!I27*BF$4</f>
        <v>13434.098592</v>
      </c>
      <c r="BE28" s="699"/>
      <c r="BF28" s="700">
        <f>BE28/BC28</f>
        <v>0</v>
      </c>
      <c r="BG28" s="593">
        <f>'Proy 2022 vs 2019 sem'!H27*BJ$4</f>
        <v>20754.927599999999</v>
      </c>
      <c r="BH28" s="593">
        <f>'Proy 2022 vs 2019 sem'!I27*BJ$4</f>
        <v>18471.885564</v>
      </c>
      <c r="BI28" s="699"/>
      <c r="BJ28" s="700">
        <f>BI28/BG28</f>
        <v>0</v>
      </c>
      <c r="BK28" s="579">
        <f>AI28+AM28+AQ28+AU28+AY28+BC28+BG28</f>
        <v>94340.579999999987</v>
      </c>
      <c r="BL28" s="574">
        <f>AJ28+AN28+AR28+AV28+AZ28+BD28+BH28</f>
        <v>83963.116200000004</v>
      </c>
      <c r="BM28" s="730">
        <f>AK28+AO28+AS28+AW28+BA28+BE28+BI28</f>
        <v>0</v>
      </c>
      <c r="BN28" s="711">
        <f>BM28/BK28</f>
        <v>0</v>
      </c>
      <c r="BO28" s="593">
        <f>'Proy 2022 vs 2019 sem'!M27*BR$4</f>
        <v>12146.0664</v>
      </c>
      <c r="BP28" s="593">
        <f>'Proy 2022 vs 2019 sem'!N27*BR$4</f>
        <v>10931.45976</v>
      </c>
      <c r="BQ28" s="699"/>
      <c r="BR28" s="700">
        <f>BQ28/BO28</f>
        <v>0</v>
      </c>
      <c r="BS28" s="593">
        <f>'Proy 2022 vs 2019 sem'!M27*BV$4</f>
        <v>12146.0664</v>
      </c>
      <c r="BT28" s="593">
        <f>'Proy 2022 vs 2019 sem'!N27*BV$4</f>
        <v>10931.45976</v>
      </c>
      <c r="BU28" s="699"/>
      <c r="BV28" s="700">
        <f>BU28/BS28</f>
        <v>0</v>
      </c>
      <c r="BW28" s="593">
        <f>'Proy 2022 vs 2019 sem'!M27*BZ$4</f>
        <v>12146.0664</v>
      </c>
      <c r="BX28" s="593">
        <f>'Proy 2022 vs 2019 sem'!N27*BZ$4</f>
        <v>10931.45976</v>
      </c>
      <c r="BY28" s="699"/>
      <c r="BZ28" s="700">
        <f>BY28/BW28</f>
        <v>0</v>
      </c>
      <c r="CA28" s="593">
        <f>'Proy 2022 vs 2019 sem'!M27*CD$4</f>
        <v>12146.0664</v>
      </c>
      <c r="CB28" s="593">
        <f>'Proy 2022 vs 2019 sem'!N27*CD$4</f>
        <v>10931.45976</v>
      </c>
      <c r="CC28" s="699"/>
      <c r="CD28" s="700">
        <f>CC28/CA28</f>
        <v>0</v>
      </c>
      <c r="CE28" s="593">
        <f>'Proy 2022 vs 2019 sem'!M27*CH$4</f>
        <v>14170.410800000001</v>
      </c>
      <c r="CF28" s="593">
        <f>'Proy 2022 vs 2019 sem'!N27*CH$4</f>
        <v>12753.369720000002</v>
      </c>
      <c r="CG28" s="699"/>
      <c r="CH28" s="700">
        <f>CG28/CE28</f>
        <v>0</v>
      </c>
      <c r="CI28" s="593">
        <f>'Proy 2022 vs 2019 sem'!M27*CL$4</f>
        <v>16194.755200000001</v>
      </c>
      <c r="CJ28" s="593">
        <f>'Proy 2022 vs 2019 sem'!N27*CL$4</f>
        <v>14575.279680000001</v>
      </c>
      <c r="CK28" s="699"/>
      <c r="CL28" s="700">
        <f>CK28/CI28</f>
        <v>0</v>
      </c>
      <c r="CM28" s="593">
        <f>'Proy 2022 vs 2019 sem'!M27*CP$4</f>
        <v>22267.788400000001</v>
      </c>
      <c r="CN28" s="593">
        <f>'Proy 2022 vs 2019 sem'!N27*CP$4</f>
        <v>20041.009560000002</v>
      </c>
      <c r="CO28" s="699"/>
      <c r="CP28" s="700">
        <f>CO28/CM28</f>
        <v>0</v>
      </c>
      <c r="CQ28" s="579">
        <f>BO28+BS28+BW28+CA28+CE28+CI28+CM28</f>
        <v>101217.22</v>
      </c>
      <c r="CR28" s="574">
        <f>BP28+BT28+BX28+CB28+CF28+CJ28+CN28</f>
        <v>91095.498000000007</v>
      </c>
      <c r="CS28" s="730">
        <f>BQ28+BU28+BY28+CC28+CG28+CK28+CO28</f>
        <v>0</v>
      </c>
      <c r="CT28" s="711">
        <f>CS28/CQ28</f>
        <v>0</v>
      </c>
      <c r="CU28" s="593">
        <f>'Proy 2022 vs 2019 sem'!R27*CX$4</f>
        <v>11621.786399999999</v>
      </c>
      <c r="CV28" s="593">
        <f>'Proy 2022 vs 2019 sem'!S27*CX$4</f>
        <v>10459.607759999999</v>
      </c>
      <c r="CW28" s="699"/>
      <c r="CX28" s="700">
        <f>CW28/CU28</f>
        <v>0</v>
      </c>
      <c r="CY28" s="593">
        <f>'Proy 2022 vs 2019 sem'!R27*DB$4</f>
        <v>11621.786399999999</v>
      </c>
      <c r="CZ28" s="593">
        <f>'Proy 2022 vs 2019 sem'!S27*DB$4</f>
        <v>10459.607759999999</v>
      </c>
      <c r="DA28" s="699"/>
      <c r="DB28" s="700">
        <f>DA28/CY28</f>
        <v>0</v>
      </c>
      <c r="DC28" s="593">
        <f>'Proy 2022 vs 2019 sem'!R27*DF$4</f>
        <v>11621.786399999999</v>
      </c>
      <c r="DD28" s="593">
        <f>'Proy 2022 vs 2019 sem'!S27*DF$4</f>
        <v>10459.607759999999</v>
      </c>
      <c r="DE28" s="699"/>
      <c r="DF28" s="700">
        <f>DE28/DC28</f>
        <v>0</v>
      </c>
      <c r="DG28" s="593">
        <f>'Proy 2022 vs 2019 sem'!R27*DJ$4</f>
        <v>11621.786399999999</v>
      </c>
      <c r="DH28" s="593">
        <f>'Proy 2022 vs 2019 sem'!S27*DJ$4</f>
        <v>10459.607759999999</v>
      </c>
      <c r="DI28" s="699"/>
      <c r="DJ28" s="700">
        <f>DI28/DG28</f>
        <v>0</v>
      </c>
      <c r="DK28" s="593">
        <f>'Proy 2022 vs 2019 sem'!R27*DN$4</f>
        <v>13558.750800000002</v>
      </c>
      <c r="DL28" s="593">
        <f>'Proy 2022 vs 2019 sem'!S27*DN$4</f>
        <v>12202.875720000002</v>
      </c>
      <c r="DM28" s="699"/>
      <c r="DN28" s="700">
        <f>DM28/DK28</f>
        <v>0</v>
      </c>
      <c r="DO28" s="593">
        <f>'Proy 2022 vs 2019 sem'!R27*DR$4</f>
        <v>15495.715200000001</v>
      </c>
      <c r="DP28" s="593">
        <f>'Proy 2022 vs 2019 sem'!S27*DR$4</f>
        <v>13946.143680000001</v>
      </c>
      <c r="DQ28" s="699"/>
      <c r="DR28" s="700">
        <f>DQ28/DO28</f>
        <v>0</v>
      </c>
      <c r="DS28" s="593">
        <f>'Proy 2022 vs 2019 sem'!R27*DV$4</f>
        <v>21306.608400000001</v>
      </c>
      <c r="DT28" s="593">
        <f>'Proy 2022 vs 2019 sem'!S27*DV$4</f>
        <v>19175.947560000001</v>
      </c>
      <c r="DU28" s="699"/>
      <c r="DV28" s="700">
        <f>DU28/DS28</f>
        <v>0</v>
      </c>
      <c r="DW28" s="579">
        <f>CU28+CY28+DC28+DG28+DK28+DO28+DS28</f>
        <v>96848.22</v>
      </c>
      <c r="DX28" s="574">
        <f>CV28+CZ28+DD28+DH28+DL28+DP28+DT28</f>
        <v>87163.398000000001</v>
      </c>
      <c r="DY28" s="710">
        <f>CW28+DA28+DE28+DI28+DM28+DQ28+DU28</f>
        <v>0</v>
      </c>
      <c r="DZ28" s="711">
        <f>DY28/DW28</f>
        <v>0</v>
      </c>
      <c r="EA28" s="593">
        <f>'Proy 2022 vs 2019 sem'!AA27*ED$4</f>
        <v>10895.237999999999</v>
      </c>
      <c r="EB28" s="593">
        <f>'Proy 2022 vs 2019 sem'!AB27*ED$4</f>
        <v>9805.7142000000003</v>
      </c>
      <c r="EC28" s="735"/>
      <c r="ED28" s="700">
        <f>EC28/EA28</f>
        <v>0</v>
      </c>
      <c r="EE28" s="593">
        <f>'Proy 2022 vs 2019 sem'!AA27*EH$4</f>
        <v>10895.237999999999</v>
      </c>
      <c r="EF28" s="593">
        <f>'Proy 2022 vs 2019 sem'!AB27*EH$4</f>
        <v>9805.7142000000003</v>
      </c>
      <c r="EG28" s="699"/>
      <c r="EH28" s="700">
        <f>EG28/EE28</f>
        <v>0</v>
      </c>
      <c r="EI28" s="593">
        <f>'Proy 2022 vs 2019 sem'!AA27*EL$4</f>
        <v>10895.237999999999</v>
      </c>
      <c r="EJ28" s="593">
        <f>'Proy 2022 vs 2019 sem'!AB27*EL$4</f>
        <v>9805.7142000000003</v>
      </c>
      <c r="EK28" s="699"/>
      <c r="EL28" s="700">
        <f>EK28/EI28</f>
        <v>0</v>
      </c>
      <c r="EM28" s="593">
        <f>'Proy 2022 vs 2019 sem'!AA27*EP$4</f>
        <v>10895.237999999999</v>
      </c>
      <c r="EN28" s="593">
        <f>'Proy 2022 vs 2019 sem'!AB27*EP$4</f>
        <v>9805.7142000000003</v>
      </c>
      <c r="EO28" s="699"/>
      <c r="EP28" s="700">
        <f>EO28/EM28</f>
        <v>0</v>
      </c>
      <c r="EQ28" s="593">
        <f>'Proy 2022 vs 2019 sem'!AA27*ET$4</f>
        <v>12711.111000000001</v>
      </c>
      <c r="ER28" s="593">
        <f>'Proy 2022 vs 2019 sem'!AB27*ET$4</f>
        <v>11439.999900000001</v>
      </c>
      <c r="ES28" s="699"/>
      <c r="ET28" s="700">
        <f>ES28/EQ28</f>
        <v>0</v>
      </c>
      <c r="EU28" s="593">
        <f>'Proy 2022 vs 2019 sem'!AA27*EX$4</f>
        <v>14526.983999999999</v>
      </c>
      <c r="EV28" s="593">
        <f>'Proy 2022 vs 2019 sem'!AB27*EX$4</f>
        <v>13074.285600000001</v>
      </c>
      <c r="EW28" s="699"/>
      <c r="EX28" s="700">
        <f>EW28/EU28</f>
        <v>0</v>
      </c>
      <c r="EY28" s="593">
        <f>'Proy 2022 vs 2019 sem'!AA27*FB$4</f>
        <v>19974.602999999999</v>
      </c>
      <c r="EZ28" s="593">
        <f>'Proy 2022 vs 2019 sem'!AB27*FB$4</f>
        <v>17977.1427</v>
      </c>
      <c r="FA28" s="699"/>
      <c r="FB28" s="700">
        <f>FA28/EY28</f>
        <v>0</v>
      </c>
      <c r="FC28" s="579">
        <f>EA28+EE28+EI28+EM28+EQ28+EU28+EY28</f>
        <v>90793.65</v>
      </c>
      <c r="FD28" s="574">
        <f>EB28+EF28+EJ28+EN28+ER28+EV28+EZ28</f>
        <v>81714.285000000003</v>
      </c>
      <c r="FE28" s="793">
        <f>EC28+EG28+EK28+EO28+ES28+EW28+FA28</f>
        <v>0</v>
      </c>
      <c r="FF28" s="786">
        <f>FE28/FC28</f>
        <v>0</v>
      </c>
      <c r="FG28" s="593">
        <f>'Proy 2022 vs 2019 sem'!AF27*FJ$4</f>
        <v>15644.4864</v>
      </c>
      <c r="FH28" s="593">
        <f>'Proy 2022 vs 2019 sem'!AG27*FJ$4</f>
        <v>13923.592895999998</v>
      </c>
      <c r="FI28" s="699"/>
      <c r="FJ28" s="700">
        <f>FI28/FG28</f>
        <v>0</v>
      </c>
      <c r="FK28" s="593">
        <f>'Proy 2022 vs 2019 sem'!AF27*FN$4</f>
        <v>15644.4864</v>
      </c>
      <c r="FL28" s="593">
        <f>'Proy 2022 vs 2019 sem'!AG27*FN$4</f>
        <v>13923.592895999998</v>
      </c>
      <c r="FM28" s="699"/>
      <c r="FN28" s="700">
        <f>FM28/FK28</f>
        <v>0</v>
      </c>
      <c r="FO28" s="593">
        <f>'Proy 2022 vs 2019 sem'!AF27*FR$4</f>
        <v>15644.4864</v>
      </c>
      <c r="FP28" s="593">
        <f>'Proy 2022 vs 2019 sem'!AG27*FR$4</f>
        <v>13923.592895999998</v>
      </c>
      <c r="FQ28" s="699"/>
      <c r="FR28" s="700">
        <f>FQ28/FO28</f>
        <v>0</v>
      </c>
      <c r="FS28" s="593">
        <f>'Proy 2022 vs 2019 sem'!AF27*FV$4</f>
        <v>15644.4864</v>
      </c>
      <c r="FT28" s="593">
        <f>'Proy 2022 vs 2019 sem'!AG27*FV$4</f>
        <v>13923.592895999998</v>
      </c>
      <c r="FU28" s="699"/>
      <c r="FV28" s="700">
        <f>FU28/FS28</f>
        <v>0</v>
      </c>
      <c r="FW28" s="593">
        <f>'Proy 2022 vs 2019 sem'!AF27*FZ$4</f>
        <v>18251.900800000003</v>
      </c>
      <c r="FX28" s="593">
        <f>'Proy 2022 vs 2019 sem'!AG27*FZ$4</f>
        <v>16244.191712000002</v>
      </c>
      <c r="FY28" s="699"/>
      <c r="FZ28" s="700">
        <f>FY28/FW28</f>
        <v>0</v>
      </c>
      <c r="GA28" s="593">
        <f>'Proy 2022 vs 2019 sem'!AF27*GD$4</f>
        <v>20859.315200000001</v>
      </c>
      <c r="GB28" s="593">
        <f>'Proy 2022 vs 2019 sem'!AG27*GD$4</f>
        <v>18564.790528000001</v>
      </c>
      <c r="GC28" s="699"/>
      <c r="GD28" s="700">
        <f>GC28/GA28</f>
        <v>0</v>
      </c>
      <c r="GE28" s="593">
        <f>'Proy 2022 vs 2019 sem'!AF27*GH$4</f>
        <v>28681.558400000002</v>
      </c>
      <c r="GF28" s="593">
        <f>'Proy 2022 vs 2019 sem'!AG27*GH$4</f>
        <v>25526.586975999999</v>
      </c>
      <c r="GG28" s="699"/>
      <c r="GH28" s="700">
        <f>GG28/GE28</f>
        <v>0</v>
      </c>
      <c r="GI28" s="579">
        <f>FG28+FK28+FO28+FS28+FW28+GA28+GE28</f>
        <v>130370.72</v>
      </c>
      <c r="GJ28" s="574">
        <f>FH28+FL28+FP28+FT28+FX28+GB28+GF28</f>
        <v>116029.94079999998</v>
      </c>
      <c r="GK28" s="794">
        <f>FI28+FM28+FQ28+FU28+FY28+GC28+GG28</f>
        <v>0</v>
      </c>
      <c r="GL28" s="786">
        <f>GK28/GI28</f>
        <v>0</v>
      </c>
      <c r="GM28" s="593">
        <f>'Proy 2022 vs 2019 sem'!AK27*GP$4</f>
        <v>10519.322400000001</v>
      </c>
      <c r="GN28" s="593">
        <f>'Proy 2022 vs 2019 sem'!AL27*GP$4</f>
        <v>9467.3901600000008</v>
      </c>
      <c r="GO28" s="699"/>
      <c r="GP28" s="700">
        <f>GO28/GM28</f>
        <v>0</v>
      </c>
      <c r="GQ28" s="593">
        <f>'Proy 2022 vs 2019 sem'!AK27*GT$4</f>
        <v>10519.322400000001</v>
      </c>
      <c r="GR28" s="593">
        <f>'Proy 2022 vs 2019 sem'!AL27*GT$4</f>
        <v>9467.3901600000008</v>
      </c>
      <c r="GS28" s="699"/>
      <c r="GT28" s="700">
        <f>GS28/GQ28</f>
        <v>0</v>
      </c>
      <c r="GU28" s="593">
        <f>'Proy 2022 vs 2019 sem'!AK27*GX$4</f>
        <v>10519.322400000001</v>
      </c>
      <c r="GV28" s="593">
        <f>'Proy 2022 vs 2019 sem'!AL27*GX$4</f>
        <v>9467.3901600000008</v>
      </c>
      <c r="GW28" s="699"/>
      <c r="GX28" s="700">
        <f>GW28/GU28</f>
        <v>0</v>
      </c>
      <c r="GY28" s="593">
        <f>'Proy 2022 vs 2019 sem'!AK27*HB$4</f>
        <v>10519.322400000001</v>
      </c>
      <c r="GZ28" s="593">
        <f>'Proy 2022 vs 2019 sem'!AL27*HB$4</f>
        <v>9467.3901600000008</v>
      </c>
      <c r="HA28" s="699"/>
      <c r="HB28" s="700">
        <f>HA28/GY28</f>
        <v>0</v>
      </c>
      <c r="HC28" s="593">
        <f>'Proy 2022 vs 2019 sem'!AK27*HF$4</f>
        <v>12272.542800000001</v>
      </c>
      <c r="HD28" s="593">
        <f>'Proy 2022 vs 2019 sem'!AL27*HF$4</f>
        <v>11045.288520000002</v>
      </c>
      <c r="HE28" s="699"/>
      <c r="HF28" s="700">
        <f>HE28/HC28</f>
        <v>0</v>
      </c>
      <c r="HG28" s="593">
        <f>'Proy 2022 vs 2019 sem'!AK27*HJ$4</f>
        <v>14025.763200000001</v>
      </c>
      <c r="HH28" s="593">
        <f>'Proy 2022 vs 2019 sem'!AL27*HJ$4</f>
        <v>12623.186880000001</v>
      </c>
      <c r="HI28" s="699"/>
      <c r="HJ28" s="700">
        <f>HI28/HG28</f>
        <v>0</v>
      </c>
      <c r="HK28" s="593">
        <f>'Proy 2022 vs 2019 sem'!AK27*HN$4</f>
        <v>19285.4244</v>
      </c>
      <c r="HL28" s="593">
        <f>'Proy 2022 vs 2019 sem'!AL27*HN$4</f>
        <v>17356.881960000002</v>
      </c>
      <c r="HM28" s="699"/>
      <c r="HN28" s="700">
        <f>HM28/HK28</f>
        <v>0</v>
      </c>
      <c r="HO28" s="579">
        <f>GM28+GQ28+GU28+GY28+HC28+HG28+HK28</f>
        <v>87661.02</v>
      </c>
      <c r="HP28" s="574">
        <f>GN28+GR28+GV28+GZ28+HD28+HH28+HL28</f>
        <v>78894.918000000005</v>
      </c>
      <c r="HQ28" s="794">
        <f>GO28+GS28+GW28+HA28+HE28+HI28+HM28</f>
        <v>0</v>
      </c>
      <c r="HR28" s="786">
        <f>HQ28/HO28</f>
        <v>0</v>
      </c>
      <c r="HS28" s="593">
        <f>'Proy 2022 vs 2019 sem'!AK27*HV$4</f>
        <v>10519.322400000001</v>
      </c>
      <c r="HT28" s="593">
        <f>'Proy 2022 vs 2019 sem'!AL27*HV$4</f>
        <v>9467.3901600000008</v>
      </c>
      <c r="HU28" s="699"/>
      <c r="HV28" s="700">
        <f>HU28/HS28</f>
        <v>0</v>
      </c>
      <c r="HW28" s="593">
        <f>'Proy 2022 vs 2019 sem'!AK27*HZ$4</f>
        <v>10519.322400000001</v>
      </c>
      <c r="HX28" s="593">
        <f>'Proy 2022 vs 2019 sem'!AL27*HZ$4</f>
        <v>9467.3901600000008</v>
      </c>
      <c r="HY28" s="699"/>
      <c r="HZ28" s="700">
        <f>HY28/HW28</f>
        <v>0</v>
      </c>
      <c r="IA28" s="593">
        <f>'Proy 2022 vs 2019 sem'!AK27*ID$4</f>
        <v>10519.322400000001</v>
      </c>
      <c r="IB28" s="593">
        <f>'Proy 2022 vs 2019 sem'!AL27*ID$4</f>
        <v>9467.3901600000008</v>
      </c>
      <c r="IC28" s="699"/>
      <c r="ID28" s="700">
        <f>IC28/IA28</f>
        <v>0</v>
      </c>
      <c r="IE28" s="593">
        <f>'Proy 2022 vs 2019 sem'!AK27*IH$4</f>
        <v>10519.322400000001</v>
      </c>
      <c r="IF28" s="593">
        <f>'Proy 2022 vs 2019 sem'!AL27*IH$4</f>
        <v>9467.3901600000008</v>
      </c>
      <c r="IG28" s="699"/>
      <c r="IH28" s="700">
        <f>IG28/IE28</f>
        <v>0</v>
      </c>
      <c r="II28" s="593">
        <f>'Proy 2022 vs 2019 sem'!AK27*IL$4</f>
        <v>12272.542800000001</v>
      </c>
      <c r="IJ28" s="593">
        <f>'Proy 2022 vs 2019 sem'!AL27*IL$4</f>
        <v>11045.288520000002</v>
      </c>
      <c r="IK28" s="699"/>
      <c r="IL28" s="700">
        <f>IK28/II28</f>
        <v>0</v>
      </c>
      <c r="IM28" s="593">
        <f>'Proy 2022 vs 2019 sem'!AK27*IP$4</f>
        <v>14025.763200000001</v>
      </c>
      <c r="IN28" s="593">
        <f>'Proy 2022 vs 2019 sem'!AL27*IP$4</f>
        <v>12623.186880000001</v>
      </c>
      <c r="IO28" s="699"/>
      <c r="IP28" s="700">
        <f>IO28/IM28</f>
        <v>0</v>
      </c>
      <c r="IQ28" s="593">
        <f>'Proy 2022 vs 2019 sem'!AK27*IT$4</f>
        <v>19285.4244</v>
      </c>
      <c r="IR28" s="593">
        <f>'Proy 2022 vs 2019 sem'!AL27*IT$4</f>
        <v>17356.881960000002</v>
      </c>
      <c r="IS28" s="699"/>
      <c r="IT28" s="700">
        <f>IS28/IQ28</f>
        <v>0</v>
      </c>
      <c r="IU28" s="579">
        <f>HS28+HW28+IA28+IE28+II28+IM28+IQ28</f>
        <v>87661.02</v>
      </c>
      <c r="IV28" s="574">
        <f>HT28+HX28+IB28+IF28+IJ28+IN28+IR28</f>
        <v>78894.918000000005</v>
      </c>
      <c r="IW28" s="785">
        <f>HU28+HY28+IC28+IG28+IK28+IO28+IS28</f>
        <v>0</v>
      </c>
      <c r="IX28" s="786">
        <f>IW28/IU28</f>
        <v>0</v>
      </c>
      <c r="IY28" s="593">
        <f>'Proy 2022 vs 2019 sem'!AY27*JB$4</f>
        <v>11111.5044</v>
      </c>
      <c r="IZ28" s="593">
        <f>'Proy 2022 vs 2019 sem'!AZ27*JB$4</f>
        <v>10000.353959999999</v>
      </c>
      <c r="JA28" s="735"/>
      <c r="JB28" s="700">
        <f>JA28/IY28</f>
        <v>0</v>
      </c>
      <c r="JC28" s="593">
        <f>'Proy 2022 vs 2019 sem'!AY27*JF$4</f>
        <v>11111.5044</v>
      </c>
      <c r="JD28" s="593">
        <f>'Proy 2022 vs 2019 sem'!AZ27*JF$4</f>
        <v>10000.353959999999</v>
      </c>
      <c r="JE28" s="735"/>
      <c r="JF28" s="700">
        <f>JE28/JC28</f>
        <v>0</v>
      </c>
      <c r="JG28" s="593">
        <f>'Proy 2022 vs 2019 sem'!AY27*JJ$4</f>
        <v>11111.5044</v>
      </c>
      <c r="JH28" s="593">
        <f>'Proy 2022 vs 2019 sem'!AZ27*JJ$4</f>
        <v>10000.353959999999</v>
      </c>
      <c r="JI28" s="735"/>
      <c r="JJ28" s="700">
        <f>JI28/JG28</f>
        <v>0</v>
      </c>
      <c r="JK28" s="593">
        <f>'Proy 2022 vs 2019 sem'!AY27*JN$4</f>
        <v>11111.5044</v>
      </c>
      <c r="JL28" s="593">
        <f>'Proy 2022 vs 2019 sem'!AZ27*JN$4</f>
        <v>10000.353959999999</v>
      </c>
      <c r="JM28" s="735"/>
      <c r="JN28" s="700">
        <f>JM28/JK28</f>
        <v>0</v>
      </c>
      <c r="JO28" s="593">
        <f>'Proy 2022 vs 2019 sem'!AY27*JR$4</f>
        <v>12963.4218</v>
      </c>
      <c r="JP28" s="593">
        <f>'Proy 2022 vs 2019 sem'!AZ27*JR$4</f>
        <v>11667.07962</v>
      </c>
      <c r="JQ28" s="735"/>
      <c r="JR28" s="700">
        <f>JQ28/JO28</f>
        <v>0</v>
      </c>
      <c r="JS28" s="593">
        <f>'Proy 2022 vs 2019 sem'!AY27*JV$4</f>
        <v>14815.3392</v>
      </c>
      <c r="JT28" s="593">
        <f>'Proy 2022 vs 2019 sem'!AZ27*JV$4</f>
        <v>13333.80528</v>
      </c>
      <c r="JU28" s="735"/>
      <c r="JV28" s="700">
        <f>JU28/JS28</f>
        <v>0</v>
      </c>
      <c r="JW28" s="593">
        <f>'Proy 2022 vs 2019 sem'!AY27*JZ$4</f>
        <v>20371.091399999998</v>
      </c>
      <c r="JX28" s="593">
        <f>'Proy 2022 vs 2019 sem'!AZ27*JZ$4</f>
        <v>18333.982260000001</v>
      </c>
      <c r="JY28" s="735"/>
      <c r="JZ28" s="700">
        <f>JY28/JW28</f>
        <v>0</v>
      </c>
      <c r="KA28" s="579">
        <f>IY28+JC28+JG28+JK28+JO28+JS28+JW28</f>
        <v>92595.87</v>
      </c>
      <c r="KB28" s="574">
        <f>IZ28+JD28+JH28+JL28+JP28+JT28+JX28</f>
        <v>83336.282999999996</v>
      </c>
      <c r="KC28" s="729">
        <f>JA28+JE28+JI28+JM28+JQ28+JU28+JY28</f>
        <v>0</v>
      </c>
      <c r="KD28" s="711">
        <f>KC28/KA28</f>
        <v>0</v>
      </c>
      <c r="KE28" s="593">
        <f>'Proy 2022 vs 2019 sem'!BD27*KH$4</f>
        <v>11343.3408</v>
      </c>
      <c r="KF28" s="593">
        <f>'Proy 2022 vs 2019 sem'!BE27*KH$4</f>
        <v>10209.006719999999</v>
      </c>
      <c r="KG28" s="699"/>
      <c r="KH28" s="700">
        <f>KG28/KE28</f>
        <v>0</v>
      </c>
      <c r="KI28" s="593">
        <f>'Proy 2022 vs 2019 sem'!BD27*KL$4</f>
        <v>11343.3408</v>
      </c>
      <c r="KJ28" s="593">
        <f>'Proy 2022 vs 2019 sem'!BE27*KL$4</f>
        <v>10209.006719999999</v>
      </c>
      <c r="KK28" s="699"/>
      <c r="KL28" s="700">
        <f>KK28/KI28</f>
        <v>0</v>
      </c>
      <c r="KM28" s="593">
        <f>'Proy 2022 vs 2019 sem'!BD27*KP$4</f>
        <v>11343.3408</v>
      </c>
      <c r="KN28" s="593">
        <f>'Proy 2022 vs 2019 sem'!BE27*KP$4</f>
        <v>10209.006719999999</v>
      </c>
      <c r="KO28" s="699"/>
      <c r="KP28" s="700">
        <f>KO28/KM28</f>
        <v>0</v>
      </c>
      <c r="KQ28" s="593">
        <f>'Proy 2022 vs 2019 sem'!BD27*KT$4</f>
        <v>11343.3408</v>
      </c>
      <c r="KR28" s="593">
        <f>'Proy 2022 vs 2019 sem'!BE27*KT$4</f>
        <v>10209.006719999999</v>
      </c>
      <c r="KS28" s="699"/>
      <c r="KT28" s="700">
        <f>KS28/KQ28</f>
        <v>0</v>
      </c>
      <c r="KU28" s="593">
        <f>'Proy 2022 vs 2019 sem'!BD27*KX$4</f>
        <v>13233.8976</v>
      </c>
      <c r="KV28" s="593">
        <f>'Proy 2022 vs 2019 sem'!BE27*KX$4</f>
        <v>11910.50784</v>
      </c>
      <c r="KW28" s="699"/>
      <c r="KX28" s="700">
        <f>KW28/KU28</f>
        <v>0</v>
      </c>
      <c r="KY28" s="593">
        <f>'Proy 2022 vs 2019 sem'!BD27*LB$4</f>
        <v>15124.454400000001</v>
      </c>
      <c r="KZ28" s="593">
        <f>'Proy 2022 vs 2019 sem'!BE27*LB$4</f>
        <v>13612.008959999999</v>
      </c>
      <c r="LA28" s="699"/>
      <c r="LB28" s="700">
        <f>LA28/KY28</f>
        <v>0</v>
      </c>
      <c r="LC28" s="593">
        <f>'Proy 2022 vs 2019 sem'!BD27*LF$4</f>
        <v>20796.124799999998</v>
      </c>
      <c r="LD28" s="593">
        <f>'Proy 2022 vs 2019 sem'!BE27*LF$4</f>
        <v>18716.512319999998</v>
      </c>
      <c r="LE28" s="699"/>
      <c r="LF28" s="700">
        <f>LE28/LC28</f>
        <v>0</v>
      </c>
      <c r="LG28" s="579">
        <f>KE28+KI28+KM28+KQ28+KU28+KY28+LC28</f>
        <v>94527.84</v>
      </c>
      <c r="LH28" s="574">
        <f>KF28+KJ28+KN28+KR28+KV28+KZ28+LD28</f>
        <v>85075.055999999997</v>
      </c>
      <c r="LI28" s="730">
        <f>KG28+KK28+KO28+KS28+KW28+LA28+LE28</f>
        <v>0</v>
      </c>
      <c r="LJ28" s="711">
        <f>LI28/LG28</f>
        <v>0</v>
      </c>
      <c r="LK28" s="593">
        <f>'Proy 2022 vs 2019 sem'!BI27*LN$4</f>
        <v>13759.317599999998</v>
      </c>
      <c r="LL28" s="593">
        <f>'Proy 2022 vs 2019 sem'!BJ27*LN$4</f>
        <v>12245.792663999999</v>
      </c>
      <c r="LM28" s="699"/>
      <c r="LN28" s="700">
        <f>LM28/LK28</f>
        <v>0</v>
      </c>
      <c r="LO28" s="593">
        <f>'Proy 2022 vs 2019 sem'!BI27*LR$4</f>
        <v>13759.317599999998</v>
      </c>
      <c r="LP28" s="593">
        <f>'Proy 2022 vs 2019 sem'!BJ27*LR$4</f>
        <v>12245.792663999999</v>
      </c>
      <c r="LQ28" s="699"/>
      <c r="LR28" s="700">
        <f>LQ28/LO28</f>
        <v>0</v>
      </c>
      <c r="LS28" s="593">
        <f>'Proy 2022 vs 2019 sem'!BI27*LV$4</f>
        <v>13759.317599999998</v>
      </c>
      <c r="LT28" s="593">
        <f>'Proy 2022 vs 2019 sem'!BJ27*LV$4</f>
        <v>12245.792663999999</v>
      </c>
      <c r="LU28" s="699"/>
      <c r="LV28" s="700">
        <f>LU28/LS28</f>
        <v>0</v>
      </c>
      <c r="LW28" s="593">
        <f>'Proy 2022 vs 2019 sem'!BI27*LZ$4</f>
        <v>13759.317599999998</v>
      </c>
      <c r="LX28" s="593">
        <f>'Proy 2022 vs 2019 sem'!BJ27*LZ$4</f>
        <v>12245.792663999999</v>
      </c>
      <c r="LY28" s="699"/>
      <c r="LZ28" s="700">
        <f>LY28/LW28</f>
        <v>0</v>
      </c>
      <c r="MA28" s="593">
        <f>'Proy 2022 vs 2019 sem'!BI27*MD$4</f>
        <v>16052.537200000001</v>
      </c>
      <c r="MB28" s="593">
        <f>'Proy 2022 vs 2019 sem'!BJ27*MD$4</f>
        <v>14286.758108</v>
      </c>
      <c r="MC28" s="699"/>
      <c r="MD28" s="700">
        <f>MC28/MA28</f>
        <v>0</v>
      </c>
      <c r="ME28" s="593">
        <f>'Proy 2022 vs 2019 sem'!BI27*MH$4</f>
        <v>18345.756799999999</v>
      </c>
      <c r="MF28" s="593">
        <f>'Proy 2022 vs 2019 sem'!BJ27*MH$4</f>
        <v>16327.723551999999</v>
      </c>
      <c r="MG28" s="699"/>
      <c r="MH28" s="700">
        <f>MG28/ME28</f>
        <v>0</v>
      </c>
      <c r="MI28" s="593">
        <f>'Proy 2022 vs 2019 sem'!BI27*ML$4</f>
        <v>25225.4156</v>
      </c>
      <c r="MJ28" s="593">
        <f>'Proy 2022 vs 2019 sem'!BJ27*ML$4</f>
        <v>22450.619884</v>
      </c>
      <c r="MK28" s="699"/>
      <c r="ML28" s="700">
        <f>MK28/MI28</f>
        <v>0</v>
      </c>
      <c r="MM28" s="579">
        <f>LK28+LO28+LS28+LW28+MA28+ME28+MI28</f>
        <v>114660.98000000001</v>
      </c>
      <c r="MN28" s="574">
        <f>LL28+LP28+LT28+LX28+MB28+MF28+MJ28</f>
        <v>102048.27219999999</v>
      </c>
      <c r="MO28" s="730">
        <f>LM28+LQ28+LU28+LY28+MC28+MG28+MK28</f>
        <v>0</v>
      </c>
      <c r="MP28" s="711">
        <f>MO28/MM28</f>
        <v>0</v>
      </c>
      <c r="MQ28" s="593">
        <f>'Proy 2022 vs 2019 sem'!BN27*MT$4</f>
        <v>11915.3928</v>
      </c>
      <c r="MR28" s="593">
        <f>'Proy 2022 vs 2019 sem'!BO27*MT$4</f>
        <v>10366.391736</v>
      </c>
      <c r="MS28" s="699"/>
      <c r="MT28" s="700">
        <f>MS28/MQ28</f>
        <v>0</v>
      </c>
      <c r="MU28" s="593">
        <f>'Proy 2022 vs 2019 sem'!BN27*MX$4</f>
        <v>11915.3928</v>
      </c>
      <c r="MV28" s="593">
        <f>'Proy 2022 vs 2019 sem'!BO27*MX$4</f>
        <v>10366.391736</v>
      </c>
      <c r="MW28" s="699"/>
      <c r="MX28" s="700">
        <f>MW28/MU28</f>
        <v>0</v>
      </c>
      <c r="MY28" s="593">
        <f>'Proy 2022 vs 2019 sem'!BN27*NB$4</f>
        <v>11915.3928</v>
      </c>
      <c r="MZ28" s="593">
        <f>'Proy 2022 vs 2019 sem'!BO27*NB$4</f>
        <v>10366.391736</v>
      </c>
      <c r="NA28" s="699"/>
      <c r="NB28" s="700">
        <f>NA28/MY28</f>
        <v>0</v>
      </c>
      <c r="NC28" s="593">
        <f>'Proy 2022 vs 2019 sem'!BN27*NF$4</f>
        <v>11915.3928</v>
      </c>
      <c r="ND28" s="593">
        <f>'Proy 2022 vs 2019 sem'!BO27*NF$4</f>
        <v>10366.391736</v>
      </c>
      <c r="NE28" s="699"/>
      <c r="NF28" s="700">
        <f>NE28/NC28</f>
        <v>0</v>
      </c>
      <c r="NG28" s="593">
        <f>'Proy 2022 vs 2019 sem'!BN27*NJ$4</f>
        <v>13901.291600000002</v>
      </c>
      <c r="NH28" s="593">
        <f>'Proy 2022 vs 2019 sem'!BO27*NJ$4</f>
        <v>12094.123692000001</v>
      </c>
      <c r="NI28" s="699"/>
      <c r="NJ28" s="700">
        <f>NI28/NG28</f>
        <v>0</v>
      </c>
      <c r="NK28" s="593">
        <f>'Proy 2022 vs 2019 sem'!BN27*NN$4</f>
        <v>15887.190400000001</v>
      </c>
      <c r="NL28" s="593">
        <f>'Proy 2022 vs 2019 sem'!BO27*NN$4</f>
        <v>13821.855648000001</v>
      </c>
      <c r="NM28" s="699"/>
      <c r="NN28" s="700">
        <f>NM28/NK28</f>
        <v>0</v>
      </c>
      <c r="NO28" s="593">
        <f>'Proy 2022 vs 2019 sem'!BN27*NR$4</f>
        <v>21844.8868</v>
      </c>
      <c r="NP28" s="593">
        <f>'Proy 2022 vs 2019 sem'!BO27*NR$4</f>
        <v>19005.051516</v>
      </c>
      <c r="NQ28" s="699"/>
      <c r="NR28" s="700">
        <f>NQ28/NO28</f>
        <v>0</v>
      </c>
      <c r="NS28" s="579">
        <f>MQ28+MU28+MY28+NC28+NG28+NK28+NO28</f>
        <v>99294.94</v>
      </c>
      <c r="NT28" s="574">
        <f>MR28+MV28+MZ28+ND28+NH28+NL28+NP28</f>
        <v>86386.597799999989</v>
      </c>
      <c r="NU28" s="710">
        <f>MS28+MW28+NA28+NE28+NI28+NM28+NQ28</f>
        <v>0</v>
      </c>
      <c r="NV28" s="711">
        <f>NU28/NS28</f>
        <v>0</v>
      </c>
      <c r="NW28" s="593">
        <f>'Proy 2022 vs 2019 sem'!BS27*NZ$4</f>
        <v>13117.0764</v>
      </c>
      <c r="NX28" s="593">
        <f>'Proy 2022 vs 2019 sem'!BT27*NZ$4</f>
        <v>11674.197996000001</v>
      </c>
      <c r="NY28" s="699"/>
      <c r="NZ28" s="700">
        <f>NY28/NW28</f>
        <v>0</v>
      </c>
      <c r="OA28" s="593">
        <f>'Proy 2022 vs 2019 sem'!BS27*OD$4</f>
        <v>13117.0764</v>
      </c>
      <c r="OB28" s="593">
        <f>'Proy 2022 vs 2019 sem'!BT27*OD$4</f>
        <v>11674.197996000001</v>
      </c>
      <c r="OC28" s="699"/>
      <c r="OD28" s="700">
        <f>OC28/OA28</f>
        <v>0</v>
      </c>
      <c r="OE28" s="593">
        <f>'Proy 2022 vs 2019 sem'!BS27*OH$4</f>
        <v>13117.0764</v>
      </c>
      <c r="OF28" s="593">
        <f>'Proy 2022 vs 2019 sem'!BT27*OH$4</f>
        <v>11674.197996000001</v>
      </c>
      <c r="OG28" s="699"/>
      <c r="OH28" s="700">
        <f>OG28/OE28</f>
        <v>0</v>
      </c>
      <c r="OI28" s="593">
        <f>'Proy 2022 vs 2019 sem'!BS27*OL$4</f>
        <v>13117.0764</v>
      </c>
      <c r="OJ28" s="593">
        <f>'Proy 2022 vs 2019 sem'!BT27*OL$4</f>
        <v>11674.197996000001</v>
      </c>
      <c r="OK28" s="699"/>
      <c r="OL28" s="700">
        <f>OK28/OI28</f>
        <v>0</v>
      </c>
      <c r="OM28" s="593">
        <f>'Proy 2022 vs 2019 sem'!BS27*OP$4</f>
        <v>15303.255800000001</v>
      </c>
      <c r="ON28" s="593">
        <f>'Proy 2022 vs 2019 sem'!BT27*OP$4</f>
        <v>13619.897662000003</v>
      </c>
      <c r="OO28" s="699"/>
      <c r="OP28" s="700">
        <f>OO28/OM28</f>
        <v>0</v>
      </c>
      <c r="OQ28" s="593">
        <f>'Proy 2022 vs 2019 sem'!BS27*OT$4</f>
        <v>17489.4352</v>
      </c>
      <c r="OR28" s="593">
        <f>'Proy 2022 vs 2019 sem'!BT27*OT$4</f>
        <v>15565.597328000002</v>
      </c>
      <c r="OS28" s="699"/>
      <c r="OT28" s="700">
        <f>OS28/OQ28</f>
        <v>0</v>
      </c>
      <c r="OU28" s="593">
        <f>'Proy 2022 vs 2019 sem'!BS27*OX$4</f>
        <v>24047.973399999999</v>
      </c>
      <c r="OV28" s="593">
        <f>'Proy 2022 vs 2019 sem'!BT27*OX$4</f>
        <v>21402.696326000001</v>
      </c>
      <c r="OW28" s="699"/>
      <c r="OX28" s="700">
        <f>OW28/OU28</f>
        <v>0</v>
      </c>
      <c r="OY28" s="579">
        <f>NW28+OA28+OE28+OI28+OM28+OQ28+OU28</f>
        <v>109308.97000000002</v>
      </c>
      <c r="OZ28" s="574">
        <f>NX28+OB28+OF28+OJ28+ON28+OR28+OV28</f>
        <v>97284.983300000007</v>
      </c>
      <c r="PA28" s="710">
        <f>NY28+OC28+OG28+OK28+OO28+OS28+OW28</f>
        <v>0</v>
      </c>
      <c r="PB28" s="711">
        <f>PA28/OY28</f>
        <v>0</v>
      </c>
      <c r="PC28" s="593">
        <f>'Proy 2022 vs 2019 sem'!CB27*PF$4</f>
        <v>17248.646399999998</v>
      </c>
      <c r="PD28" s="593">
        <f>'Proy 2022 vs 2019 sem'!CC27*PF$4</f>
        <v>15351.295296</v>
      </c>
      <c r="PE28" s="735"/>
      <c r="PF28" s="700">
        <f>PE28/PC28</f>
        <v>0</v>
      </c>
      <c r="PG28" s="593">
        <f>'Proy 2022 vs 2019 sem'!CB27*PJ$4</f>
        <v>17248.646399999998</v>
      </c>
      <c r="PH28" s="593">
        <f>'Proy 2022 vs 2019 sem'!CC27*PJ$4</f>
        <v>15351.295296</v>
      </c>
      <c r="PI28" s="699"/>
      <c r="PJ28" s="700">
        <f>PI28/PG28</f>
        <v>0</v>
      </c>
      <c r="PK28" s="593">
        <f>'Proy 2022 vs 2019 sem'!CB27*PN$4</f>
        <v>17248.646399999998</v>
      </c>
      <c r="PL28" s="593">
        <f>'Proy 2022 vs 2019 sem'!CC27*PN$4</f>
        <v>15351.295296</v>
      </c>
      <c r="PM28" s="699"/>
      <c r="PN28" s="700">
        <f>PM28/PK28</f>
        <v>0</v>
      </c>
      <c r="PO28" s="593">
        <f>'Proy 2022 vs 2019 sem'!CB27*PR$4</f>
        <v>17248.646399999998</v>
      </c>
      <c r="PP28" s="593">
        <f>'Proy 2022 vs 2019 sem'!CC27*PR$4</f>
        <v>15351.295296</v>
      </c>
      <c r="PQ28" s="699"/>
      <c r="PR28" s="700">
        <f>PQ28/PO28</f>
        <v>0</v>
      </c>
      <c r="PS28" s="593">
        <f>'Proy 2022 vs 2019 sem'!CB27*PV$4</f>
        <v>20123.420800000004</v>
      </c>
      <c r="PT28" s="593">
        <f>'Proy 2022 vs 2019 sem'!CC27*PV$4</f>
        <v>17909.844512000003</v>
      </c>
      <c r="PU28" s="699"/>
      <c r="PV28" s="700">
        <f>PU28/PS28</f>
        <v>0</v>
      </c>
      <c r="PW28" s="593">
        <f>'Proy 2022 vs 2019 sem'!CB27*PZ$4</f>
        <v>22998.195200000002</v>
      </c>
      <c r="PX28" s="593">
        <f>'Proy 2022 vs 2019 sem'!CC27*PZ$4</f>
        <v>20468.393727999999</v>
      </c>
      <c r="PY28" s="699"/>
      <c r="PZ28" s="700">
        <f>PY28/PW28</f>
        <v>0</v>
      </c>
      <c r="QA28" s="593">
        <f>'Proy 2022 vs 2019 sem'!CB27*QD$4</f>
        <v>31622.518400000001</v>
      </c>
      <c r="QB28" s="593">
        <f>'Proy 2022 vs 2019 sem'!CC27*QD$4</f>
        <v>28144.041376000001</v>
      </c>
      <c r="QC28" s="699"/>
      <c r="QD28" s="700">
        <f>QC28/QA28</f>
        <v>0</v>
      </c>
      <c r="QE28" s="579">
        <f>PC28+PG28+PK28+PO28+PS28+PW28+QA28</f>
        <v>143738.72</v>
      </c>
      <c r="QF28" s="574">
        <f>PD28+PH28+PL28+PP28+PT28+PX28+QB28</f>
        <v>127927.4608</v>
      </c>
      <c r="QG28" s="793">
        <f>PE28+PI28+PM28+PQ28+PU28+PY28+QC28</f>
        <v>0</v>
      </c>
      <c r="QH28" s="786">
        <f>QG28/QE28</f>
        <v>0</v>
      </c>
      <c r="QI28" s="593">
        <f>'Proy 2022 vs 2019 sem'!CG27*QL$4</f>
        <v>16992.513599999998</v>
      </c>
      <c r="QJ28" s="593">
        <f>'Proy 2022 vs 2019 sem'!CH27*QL$4</f>
        <v>15293.26224</v>
      </c>
      <c r="QK28" s="699"/>
      <c r="QL28" s="700">
        <f>QK28/QI28</f>
        <v>0</v>
      </c>
      <c r="QM28" s="593">
        <f>'Proy 2022 vs 2019 sem'!CG27*QP$4</f>
        <v>16992.513599999998</v>
      </c>
      <c r="QN28" s="593">
        <f>'Proy 2022 vs 2019 sem'!CH27*QP$4</f>
        <v>15293.26224</v>
      </c>
      <c r="QO28" s="699"/>
      <c r="QP28" s="700">
        <f>QO28/QM28</f>
        <v>0</v>
      </c>
      <c r="QQ28" s="593">
        <f>'Proy 2022 vs 2019 sem'!CG27*QT$4</f>
        <v>16992.513599999998</v>
      </c>
      <c r="QR28" s="593">
        <f>'Proy 2022 vs 2019 sem'!CH27*QT$4</f>
        <v>15293.26224</v>
      </c>
      <c r="QS28" s="699"/>
      <c r="QT28" s="700">
        <f>QS28/QQ28</f>
        <v>0</v>
      </c>
      <c r="QU28" s="593">
        <f>'Proy 2022 vs 2019 sem'!CG27*QX$4</f>
        <v>16992.513599999998</v>
      </c>
      <c r="QV28" s="593">
        <f>'Proy 2022 vs 2019 sem'!CH27*QX$4</f>
        <v>15293.26224</v>
      </c>
      <c r="QW28" s="699"/>
      <c r="QX28" s="700">
        <f>QW28/QU28</f>
        <v>0</v>
      </c>
      <c r="QY28" s="593">
        <f>'Proy 2022 vs 2019 sem'!CG27*RB$4</f>
        <v>19824.599200000001</v>
      </c>
      <c r="QZ28" s="593">
        <f>'Proy 2022 vs 2019 sem'!CH27*RB$4</f>
        <v>17842.139280000003</v>
      </c>
      <c r="RA28" s="699"/>
      <c r="RB28" s="700">
        <f>RA28/QY28</f>
        <v>0</v>
      </c>
      <c r="RC28" s="593">
        <f>'Proy 2022 vs 2019 sem'!CG27*RF$4</f>
        <v>22656.684799999999</v>
      </c>
      <c r="RD28" s="593">
        <f>'Proy 2022 vs 2019 sem'!CH27*RF$4</f>
        <v>20391.016319999999</v>
      </c>
      <c r="RE28" s="699"/>
      <c r="RF28" s="700">
        <f>RE28/RC28</f>
        <v>0</v>
      </c>
      <c r="RG28" s="593">
        <f>'Proy 2022 vs 2019 sem'!CG27*RJ$4</f>
        <v>31152.941599999998</v>
      </c>
      <c r="RH28" s="593">
        <f>'Proy 2022 vs 2019 sem'!CH27*RJ$4</f>
        <v>28037.647440000001</v>
      </c>
      <c r="RI28" s="699"/>
      <c r="RJ28" s="700">
        <f>RI28/RG28</f>
        <v>0</v>
      </c>
      <c r="RK28" s="579">
        <f>QI28+QM28+QQ28+QU28+QY28+RC28+RG28</f>
        <v>141604.28</v>
      </c>
      <c r="RL28" s="574">
        <f>QJ28+QN28+QR28+QV28+QZ28+RD28+RH28</f>
        <v>127443.852</v>
      </c>
      <c r="RM28" s="794">
        <f>QK28+QO28+QS28+QW28+RA28+RE28+RI28</f>
        <v>0</v>
      </c>
      <c r="RN28" s="786">
        <f>RM28/RK28</f>
        <v>0</v>
      </c>
      <c r="RO28" s="593">
        <f>'Proy 2022 vs 2019 sem'!CL27*RR$4</f>
        <v>18932.539199999999</v>
      </c>
      <c r="RP28" s="593">
        <f>'Proy 2022 vs 2019 sem'!CM27*RR$4</f>
        <v>17039.28528</v>
      </c>
      <c r="RQ28" s="699"/>
      <c r="RR28" s="700">
        <f>RQ28/RO28</f>
        <v>0</v>
      </c>
      <c r="RS28" s="593">
        <f>'Proy 2022 vs 2019 sem'!CL27*RV$4</f>
        <v>18932.539199999999</v>
      </c>
      <c r="RT28" s="593">
        <f>'Proy 2022 vs 2019 sem'!CM27*RV$4</f>
        <v>17039.28528</v>
      </c>
      <c r="RU28" s="699"/>
      <c r="RV28" s="700">
        <f>RU28/RS28</f>
        <v>0</v>
      </c>
      <c r="RW28" s="593">
        <f>'Proy 2022 vs 2019 sem'!CL27*RZ$4</f>
        <v>18932.539199999999</v>
      </c>
      <c r="RX28" s="593">
        <f>'Proy 2022 vs 2019 sem'!CM27*RZ$4</f>
        <v>17039.28528</v>
      </c>
      <c r="RY28" s="699"/>
      <c r="RZ28" s="700">
        <f>RY28/RW28</f>
        <v>0</v>
      </c>
      <c r="SA28" s="593">
        <f>'Proy 2022 vs 2019 sem'!CL27*SD$4</f>
        <v>18932.539199999999</v>
      </c>
      <c r="SB28" s="593">
        <f>'Proy 2022 vs 2019 sem'!CM27*SD$4</f>
        <v>17039.28528</v>
      </c>
      <c r="SC28" s="699"/>
      <c r="SD28" s="700">
        <f>SC28/SA28</f>
        <v>0</v>
      </c>
      <c r="SE28" s="593">
        <f>'Proy 2022 vs 2019 sem'!CL27*SH$4</f>
        <v>22087.962400000004</v>
      </c>
      <c r="SF28" s="593">
        <f>'Proy 2022 vs 2019 sem'!CM27*SH$4</f>
        <v>19879.166160000001</v>
      </c>
      <c r="SG28" s="699"/>
      <c r="SH28" s="700">
        <f>SG28/SE28</f>
        <v>0</v>
      </c>
      <c r="SI28" s="593">
        <f>'Proy 2022 vs 2019 sem'!CL27*SL$4</f>
        <v>25243.385600000001</v>
      </c>
      <c r="SJ28" s="593">
        <f>'Proy 2022 vs 2019 sem'!CM27*SL$4</f>
        <v>22719.047040000001</v>
      </c>
      <c r="SK28" s="699"/>
      <c r="SL28" s="700">
        <f>SK28/SI28</f>
        <v>0</v>
      </c>
      <c r="SM28" s="593">
        <f>'Proy 2022 vs 2019 sem'!CL27*SP$4</f>
        <v>34709.655200000001</v>
      </c>
      <c r="SN28" s="593">
        <f>'Proy 2022 vs 2019 sem'!CM27*SP$4</f>
        <v>31238.689679999999</v>
      </c>
      <c r="SO28" s="699"/>
      <c r="SP28" s="700">
        <f>SO28/SM28</f>
        <v>0</v>
      </c>
      <c r="SQ28" s="579">
        <f>RO28+RS28+RW28+SA28+SE28+SI28+SM28</f>
        <v>157771.16</v>
      </c>
      <c r="SR28" s="574">
        <f>RP28+RT28+RX28+SB28+SF28+SJ28+SN28</f>
        <v>141994.04400000002</v>
      </c>
      <c r="SS28" s="794">
        <f>RQ28+RU28+RY28+SC28+SG28+SK28+SO28</f>
        <v>0</v>
      </c>
      <c r="ST28" s="786">
        <f>SS28/SQ28</f>
        <v>0</v>
      </c>
      <c r="SU28" s="593">
        <f>'Proy 2022 vs 2019 sem'!CQ27*SX$4</f>
        <v>17328.7968</v>
      </c>
      <c r="SV28" s="593">
        <f>'Proy 2022 vs 2019 sem'!CR27*SX$4</f>
        <v>15769.205088000001</v>
      </c>
      <c r="SW28" s="699"/>
      <c r="SX28" s="700">
        <f>SW28/SU28</f>
        <v>0</v>
      </c>
      <c r="SY28" s="593">
        <f>'Proy 2022 vs 2019 sem'!CQ27*TB$4</f>
        <v>17328.7968</v>
      </c>
      <c r="SZ28" s="593">
        <f>'Proy 2022 vs 2019 sem'!CR27*TB$4</f>
        <v>15769.205088000001</v>
      </c>
      <c r="TA28" s="699"/>
      <c r="TB28" s="700">
        <f>TA28/SY28</f>
        <v>0</v>
      </c>
      <c r="TC28" s="593">
        <f>'Proy 2022 vs 2019 sem'!CQ27*TF$4</f>
        <v>17328.7968</v>
      </c>
      <c r="TD28" s="593">
        <f>'Proy 2022 vs 2019 sem'!CR27*TF$4</f>
        <v>15769.205088000001</v>
      </c>
      <c r="TE28" s="699"/>
      <c r="TF28" s="700">
        <f>TE28/TC28</f>
        <v>0</v>
      </c>
      <c r="TG28" s="593">
        <f>'Proy 2022 vs 2019 sem'!CQ27*TJ$4</f>
        <v>17328.7968</v>
      </c>
      <c r="TH28" s="593">
        <f>'Proy 2022 vs 2019 sem'!CR27*TJ$4</f>
        <v>15769.205088000001</v>
      </c>
      <c r="TI28" s="699"/>
      <c r="TJ28" s="700">
        <f>TI28/TG28</f>
        <v>0</v>
      </c>
      <c r="TK28" s="593">
        <f>'Proy 2022 vs 2019 sem'!CQ27*TN$4</f>
        <v>20216.929600000003</v>
      </c>
      <c r="TL28" s="593">
        <f>'Proy 2022 vs 2019 sem'!CR27*TN$4</f>
        <v>18397.405936000003</v>
      </c>
      <c r="TM28" s="699"/>
      <c r="TN28" s="700">
        <f>TM28/TK28</f>
        <v>0</v>
      </c>
      <c r="TO28" s="593">
        <f>'Proy 2022 vs 2019 sem'!CQ27*TR$4</f>
        <v>23105.062400000003</v>
      </c>
      <c r="TP28" s="593">
        <f>'Proy 2022 vs 2019 sem'!CR27*TR$4</f>
        <v>21025.606784</v>
      </c>
      <c r="TQ28" s="699"/>
      <c r="TR28" s="700">
        <f>TQ28/TO28</f>
        <v>0</v>
      </c>
      <c r="TS28" s="593">
        <f>'Proy 2022 vs 2019 sem'!CQ27*TV$4</f>
        <v>31769.460800000004</v>
      </c>
      <c r="TT28" s="593">
        <f>'Proy 2022 vs 2019 sem'!CR27*TV$4</f>
        <v>28910.209328000001</v>
      </c>
      <c r="TU28" s="699"/>
      <c r="TV28" s="700">
        <f>TU28/TS28</f>
        <v>0</v>
      </c>
      <c r="TW28" s="579">
        <f>SU28+SY28+TC28+TG28+TK28+TO28+TS28</f>
        <v>144406.64000000001</v>
      </c>
      <c r="TX28" s="574">
        <f>SV28+SZ28+TD28+TH28+TL28+TP28+TT28</f>
        <v>131410.04240000001</v>
      </c>
      <c r="TY28" s="785">
        <f>SW28+TA28+TE28+TI28+TM28+TQ28+TU28</f>
        <v>0</v>
      </c>
      <c r="TZ28" s="786">
        <f>TY28/TW28</f>
        <v>0</v>
      </c>
      <c r="UA28" s="593">
        <f>'Proy 2022 vs 2019 sem'!CZ27*UD$4</f>
        <v>28144.798799999997</v>
      </c>
      <c r="UB28" s="593">
        <f>'Proy 2022 vs 2019 sem'!DA27*UD$4</f>
        <v>25330.318920000002</v>
      </c>
      <c r="UC28" s="735"/>
      <c r="UD28" s="700">
        <f>UC28/UA28</f>
        <v>0</v>
      </c>
      <c r="UE28" s="593">
        <f>'Proy 2022 vs 2019 sem'!CZ27*UH$4</f>
        <v>28144.798799999997</v>
      </c>
      <c r="UF28" s="593">
        <f>'Proy 2022 vs 2019 sem'!DA27*UH$4</f>
        <v>25330.318920000002</v>
      </c>
      <c r="UG28" s="699"/>
      <c r="UH28" s="700">
        <f>UG28/UE28</f>
        <v>0</v>
      </c>
      <c r="UI28" s="593">
        <f>'Proy 2022 vs 2019 sem'!CZ27*UL$4</f>
        <v>28144.798799999997</v>
      </c>
      <c r="UJ28" s="593">
        <f>'Proy 2022 vs 2019 sem'!DA27*UL$4</f>
        <v>25330.318920000002</v>
      </c>
      <c r="UK28" s="699"/>
      <c r="UL28" s="700">
        <f>UK28/UI28</f>
        <v>0</v>
      </c>
      <c r="UM28" s="593">
        <f>'Proy 2022 vs 2019 sem'!CZ27*UP$4</f>
        <v>28144.798799999997</v>
      </c>
      <c r="UN28" s="593">
        <f>'Proy 2022 vs 2019 sem'!DA27*UP$4</f>
        <v>25330.318920000002</v>
      </c>
      <c r="UO28" s="699"/>
      <c r="UP28" s="700">
        <f>UO28/UM28</f>
        <v>0</v>
      </c>
      <c r="UQ28" s="593">
        <f>'Proy 2022 vs 2019 sem'!CZ27*UT$4</f>
        <v>32835.598600000005</v>
      </c>
      <c r="UR28" s="593">
        <f>'Proy 2022 vs 2019 sem'!DA27*UT$4</f>
        <v>29552.038740000004</v>
      </c>
      <c r="US28" s="699"/>
      <c r="UT28" s="700">
        <f>US28/UQ28</f>
        <v>0</v>
      </c>
      <c r="UU28" s="593">
        <f>'Proy 2022 vs 2019 sem'!CZ27*UX$4</f>
        <v>37526.398399999998</v>
      </c>
      <c r="UV28" s="593">
        <f>'Proy 2022 vs 2019 sem'!DA27*UX$4</f>
        <v>33773.758560000002</v>
      </c>
      <c r="UW28" s="699"/>
      <c r="UX28" s="700">
        <f>UW28/UU28</f>
        <v>0</v>
      </c>
      <c r="UY28" s="593">
        <f>'Proy 2022 vs 2019 sem'!CZ27*VB$4</f>
        <v>51598.7978</v>
      </c>
      <c r="UZ28" s="593">
        <f>'Proy 2022 vs 2019 sem'!DA27*VB$4</f>
        <v>46438.918020000005</v>
      </c>
      <c r="VA28" s="699"/>
      <c r="VB28" s="700">
        <f>VA28/UY28</f>
        <v>0</v>
      </c>
      <c r="VC28" s="579">
        <f>UA28+UE28+UI28+UM28+UQ28+UU28+UY28</f>
        <v>234539.99</v>
      </c>
      <c r="VD28" s="574">
        <f>UB28+UF28+UJ28+UN28+UR28+UV28+UZ28</f>
        <v>211085.99100000001</v>
      </c>
      <c r="VE28" s="759">
        <f>UC28+UG28+UK28+UO28+US28+UW28+VA28</f>
        <v>0</v>
      </c>
      <c r="VF28" s="761">
        <f>VE28/VC28</f>
        <v>0</v>
      </c>
      <c r="VG28" s="593">
        <f>'Proy 2022 vs 2019 sem'!DE27*VJ$4</f>
        <v>18014.932799999999</v>
      </c>
      <c r="VH28" s="593">
        <f>'Proy 2022 vs 2019 sem'!DF27*VJ$4</f>
        <v>16213.439520000002</v>
      </c>
      <c r="VI28" s="699"/>
      <c r="VJ28" s="700">
        <f>VI28/VG28</f>
        <v>0</v>
      </c>
      <c r="VK28" s="593">
        <f>'Proy 2022 vs 2019 sem'!DE27*VN$4</f>
        <v>18014.932799999999</v>
      </c>
      <c r="VL28" s="593">
        <f>'Proy 2022 vs 2019 sem'!DF27*VN$4</f>
        <v>16213.439520000002</v>
      </c>
      <c r="VM28" s="699"/>
      <c r="VN28" s="700">
        <f>VM28/VK28</f>
        <v>0</v>
      </c>
      <c r="VO28" s="593">
        <f>'Proy 2022 vs 2019 sem'!DE27*VR$4</f>
        <v>18014.932799999999</v>
      </c>
      <c r="VP28" s="593">
        <f>'Proy 2022 vs 2019 sem'!DF27*VR$4</f>
        <v>16213.439520000002</v>
      </c>
      <c r="VQ28" s="699"/>
      <c r="VR28" s="700">
        <f>VQ28/VO28</f>
        <v>0</v>
      </c>
      <c r="VS28" s="593">
        <f>'Proy 2022 vs 2019 sem'!DE27*VV$4</f>
        <v>18014.932799999999</v>
      </c>
      <c r="VT28" s="593">
        <f>'Proy 2022 vs 2019 sem'!DF27*VV$4</f>
        <v>16213.439520000002</v>
      </c>
      <c r="VU28" s="699"/>
      <c r="VV28" s="700">
        <f>VU28/VS28</f>
        <v>0</v>
      </c>
      <c r="VW28" s="593">
        <f>'Proy 2022 vs 2019 sem'!DE27*VZ$4</f>
        <v>21017.421600000001</v>
      </c>
      <c r="VX28" s="593">
        <f>'Proy 2022 vs 2019 sem'!DF27*VZ$4</f>
        <v>18915.679440000004</v>
      </c>
      <c r="VY28" s="699"/>
      <c r="VZ28" s="700">
        <f>VY28/VW28</f>
        <v>0</v>
      </c>
      <c r="WA28" s="593">
        <f>'Proy 2022 vs 2019 sem'!DE27*WD$4</f>
        <v>24019.910400000001</v>
      </c>
      <c r="WB28" s="593">
        <f>'Proy 2022 vs 2019 sem'!DF27*WD$4</f>
        <v>21617.919360000004</v>
      </c>
      <c r="WC28" s="699"/>
      <c r="WD28" s="700">
        <f>WC28/WA28</f>
        <v>0</v>
      </c>
      <c r="WE28" s="593">
        <f>'Proy 2022 vs 2019 sem'!DE27*WH$4</f>
        <v>33027.376799999998</v>
      </c>
      <c r="WF28" s="593">
        <f>'Proy 2022 vs 2019 sem'!DF27*WH$4</f>
        <v>29724.639120000003</v>
      </c>
      <c r="WG28" s="699"/>
      <c r="WH28" s="700">
        <f>WG28/WE28</f>
        <v>0</v>
      </c>
      <c r="WI28" s="579">
        <f>VG28+VK28+VO28+VS28+VW28+WA28+WE28</f>
        <v>150124.44</v>
      </c>
      <c r="WJ28" s="574">
        <f>VH28+VL28+VP28+VT28+VX28+WB28+WF28</f>
        <v>135111.99600000001</v>
      </c>
      <c r="WK28" s="765">
        <f>VI28+VM28+VQ28+VU28+VY28+WC28+WG28</f>
        <v>0</v>
      </c>
      <c r="WL28" s="761">
        <f>WK28/WI28</f>
        <v>0</v>
      </c>
      <c r="WM28" s="593">
        <f>'Proy 2022 vs 2019 sem'!DJ27*WP$4</f>
        <v>14810.691599999998</v>
      </c>
      <c r="WN28" s="593">
        <f>'Proy 2022 vs 2019 sem'!DK27*WP$4</f>
        <v>13329.622439999999</v>
      </c>
      <c r="WO28" s="699"/>
      <c r="WP28" s="700">
        <f>WO28/WM28</f>
        <v>0</v>
      </c>
      <c r="WQ28" s="593">
        <f>'Proy 2022 vs 2019 sem'!DJ27*WT$4</f>
        <v>14810.691599999998</v>
      </c>
      <c r="WR28" s="593">
        <f>'Proy 2022 vs 2019 sem'!DK27*WT$4</f>
        <v>13329.622439999999</v>
      </c>
      <c r="WS28" s="699"/>
      <c r="WT28" s="700">
        <f>WS28/WQ28</f>
        <v>0</v>
      </c>
      <c r="WU28" s="593">
        <f>'Proy 2022 vs 2019 sem'!DJ27*WX$4</f>
        <v>14810.691599999998</v>
      </c>
      <c r="WV28" s="593">
        <f>'Proy 2022 vs 2019 sem'!DK27*WX$4</f>
        <v>13329.622439999999</v>
      </c>
      <c r="WW28" s="699"/>
      <c r="WX28" s="700">
        <f>WW28/WU28</f>
        <v>0</v>
      </c>
      <c r="WY28" s="593">
        <f>'Proy 2022 vs 2019 sem'!DJ27*XB$4</f>
        <v>14810.691599999998</v>
      </c>
      <c r="WZ28" s="593">
        <f>'Proy 2022 vs 2019 sem'!DK27*XB$4</f>
        <v>13329.622439999999</v>
      </c>
      <c r="XA28" s="699"/>
      <c r="XB28" s="700">
        <f>XA28/WY28</f>
        <v>0</v>
      </c>
      <c r="XC28" s="593">
        <f>'Proy 2022 vs 2019 sem'!DJ27*XF$4</f>
        <v>17279.140200000002</v>
      </c>
      <c r="XD28" s="593">
        <f>'Proy 2022 vs 2019 sem'!DK27*XF$4</f>
        <v>15551.22618</v>
      </c>
      <c r="XE28" s="699"/>
      <c r="XF28" s="700">
        <f>XE28/XC28</f>
        <v>0</v>
      </c>
      <c r="XG28" s="593">
        <f>'Proy 2022 vs 2019 sem'!DJ27*XJ$4</f>
        <v>19747.588799999998</v>
      </c>
      <c r="XH28" s="593">
        <f>'Proy 2022 vs 2019 sem'!DK27*XJ$4</f>
        <v>17772.82992</v>
      </c>
      <c r="XI28" s="699"/>
      <c r="XJ28" s="700">
        <f>XI28/XG28</f>
        <v>0</v>
      </c>
      <c r="XK28" s="593">
        <f>'Proy 2022 vs 2019 sem'!DJ27*XN$4</f>
        <v>27152.934599999997</v>
      </c>
      <c r="XL28" s="593">
        <f>'Proy 2022 vs 2019 sem'!DK27*XN$4</f>
        <v>24437.64114</v>
      </c>
      <c r="XM28" s="699"/>
      <c r="XN28" s="700">
        <f>XM28/XK28</f>
        <v>0</v>
      </c>
      <c r="XO28" s="579">
        <f>WM28+WQ28+WU28+WY28+XC28+XG28+XK28</f>
        <v>123422.42999999998</v>
      </c>
      <c r="XP28" s="574">
        <f>WN28+WR28+WV28+WZ28+XD28+XH28+XL28</f>
        <v>111080.18700000001</v>
      </c>
      <c r="XQ28" s="765">
        <f>WO28+WS28+WW28+XA28+XE28+XI28+XM28</f>
        <v>0</v>
      </c>
      <c r="XR28" s="761">
        <f>XQ28/XO28</f>
        <v>0</v>
      </c>
      <c r="XS28" s="593">
        <f>'Proy 2022 vs 2019 sem'!DO27*XV$4</f>
        <v>14461.035599999999</v>
      </c>
      <c r="XT28" s="593">
        <f>'Proy 2022 vs 2019 sem'!DP27*XV$4</f>
        <v>13014.93204</v>
      </c>
      <c r="XU28" s="699"/>
      <c r="XV28" s="700">
        <f>XU28/XS28</f>
        <v>0</v>
      </c>
      <c r="XW28" s="593">
        <f>'Proy 2022 vs 2019 sem'!DO27*XZ$4</f>
        <v>14461.035599999999</v>
      </c>
      <c r="XX28" s="593">
        <f>'Proy 2022 vs 2019 sem'!DP27*XZ$4</f>
        <v>13014.93204</v>
      </c>
      <c r="XY28" s="699"/>
      <c r="XZ28" s="700">
        <f>XY28/XW28</f>
        <v>0</v>
      </c>
      <c r="YA28" s="593">
        <f>'Proy 2022 vs 2019 sem'!DO27*YD$4</f>
        <v>14461.035599999999</v>
      </c>
      <c r="YB28" s="593">
        <f>'Proy 2022 vs 2019 sem'!DP27*YD$4</f>
        <v>13014.93204</v>
      </c>
      <c r="YC28" s="699"/>
      <c r="YD28" s="700">
        <f>YC28/YA28</f>
        <v>0</v>
      </c>
      <c r="YE28" s="593">
        <f>'Proy 2022 vs 2019 sem'!DO27*YH$4</f>
        <v>14461.035599999999</v>
      </c>
      <c r="YF28" s="593">
        <f>'Proy 2022 vs 2019 sem'!DP27*YH$4</f>
        <v>13014.93204</v>
      </c>
      <c r="YG28" s="699"/>
      <c r="YH28" s="700">
        <f>YG28/YE28</f>
        <v>0</v>
      </c>
      <c r="YI28" s="593">
        <f>'Proy 2022 vs 2019 sem'!DO27*YL$4</f>
        <v>16871.208200000001</v>
      </c>
      <c r="YJ28" s="593">
        <f>'Proy 2022 vs 2019 sem'!DP27*YL$4</f>
        <v>15184.087380000003</v>
      </c>
      <c r="YK28" s="699"/>
      <c r="YL28" s="700">
        <f>YK28/YI28</f>
        <v>0</v>
      </c>
      <c r="YM28" s="593">
        <f>'Proy 2022 vs 2019 sem'!DO27*YP$4</f>
        <v>19281.380800000003</v>
      </c>
      <c r="YN28" s="593">
        <f>'Proy 2022 vs 2019 sem'!DP27*YP$4</f>
        <v>17353.242720000002</v>
      </c>
      <c r="YO28" s="699"/>
      <c r="YP28" s="700">
        <f>YO28/YM28</f>
        <v>0</v>
      </c>
      <c r="YQ28" s="593">
        <f>'Proy 2022 vs 2019 sem'!DO27*YT$4</f>
        <v>26511.8986</v>
      </c>
      <c r="YR28" s="593">
        <f>'Proy 2022 vs 2019 sem'!DP27*YT$4</f>
        <v>23860.708740000002</v>
      </c>
      <c r="YS28" s="699"/>
      <c r="YT28" s="700">
        <f>YS28/YQ28</f>
        <v>0</v>
      </c>
      <c r="YU28" s="579">
        <f>XS28+XW28+YA28+YE28+YI28+YM28+YQ28</f>
        <v>120508.63</v>
      </c>
      <c r="YV28" s="574">
        <f>XT28+XX28+YB28+YF28+YJ28+YN28+YR28</f>
        <v>108457.76699999999</v>
      </c>
      <c r="YW28" s="770">
        <f>XU28+XY28+YC28+YG28+YK28+YO28+YS28</f>
        <v>0</v>
      </c>
      <c r="YX28" s="761">
        <f>YW28/YU28</f>
        <v>0</v>
      </c>
      <c r="YY28" s="931">
        <f>'Proy 2022 vs 2019 sem'!DX27*ZB$4</f>
        <v>16578.676800000001</v>
      </c>
      <c r="YZ28" s="931">
        <f>'Proy 2022 vs 2019 sem'!DY27*ZB$4</f>
        <v>14920.809120000002</v>
      </c>
      <c r="ZA28" s="735"/>
      <c r="ZB28" s="700">
        <f>ZA28/YY28</f>
        <v>0</v>
      </c>
      <c r="ZC28" s="593">
        <f>'Proy 2022 vs 2019 sem'!DX27*ZF$4</f>
        <v>16578.676800000001</v>
      </c>
      <c r="ZD28" s="593">
        <f>'Proy 2022 vs 2019 sem'!DY27*ZF$4</f>
        <v>14920.809120000002</v>
      </c>
      <c r="ZE28" s="735"/>
      <c r="ZF28" s="700">
        <f>ZE28/ZC28</f>
        <v>0</v>
      </c>
      <c r="ZG28" s="593">
        <f>'Proy 2022 vs 2019 sem'!DX27*ZJ$4</f>
        <v>16578.676800000001</v>
      </c>
      <c r="ZH28" s="593">
        <f>'Proy 2022 vs 2019 sem'!DY27*ZJ$4</f>
        <v>14920.809120000002</v>
      </c>
      <c r="ZI28" s="735"/>
      <c r="ZJ28" s="700">
        <f>ZI28/ZG28</f>
        <v>0</v>
      </c>
      <c r="ZK28" s="593">
        <f>'Proy 2022 vs 2019 sem'!DX27*ZN$4</f>
        <v>16578.676800000001</v>
      </c>
      <c r="ZL28" s="593">
        <f>'Proy 2022 vs 2019 sem'!DY27*ZN$4</f>
        <v>14920.809120000002</v>
      </c>
      <c r="ZM28" s="735"/>
      <c r="ZN28" s="700">
        <f>ZM28/ZK28</f>
        <v>0</v>
      </c>
      <c r="ZO28" s="593">
        <f>'Proy 2022 vs 2019 sem'!DX27*ZR$4</f>
        <v>19341.789600000004</v>
      </c>
      <c r="ZP28" s="593">
        <f>'Proy 2022 vs 2019 sem'!DY27*ZR$4</f>
        <v>17407.610640000003</v>
      </c>
      <c r="ZQ28" s="735"/>
      <c r="ZR28" s="700">
        <f>ZQ28/ZO28</f>
        <v>0</v>
      </c>
      <c r="ZS28" s="593">
        <f>'Proy 2022 vs 2019 sem'!DX27*ZV$4</f>
        <v>22104.902400000003</v>
      </c>
      <c r="ZT28" s="593">
        <f>'Proy 2022 vs 2019 sem'!DY27*ZV$4</f>
        <v>19894.412160000003</v>
      </c>
      <c r="ZU28" s="735"/>
      <c r="ZV28" s="700">
        <f>ZU28/ZS28</f>
        <v>0</v>
      </c>
      <c r="ZW28" s="593">
        <f>'Proy 2022 vs 2019 sem'!DX27*ZZ$4</f>
        <v>30394.240800000003</v>
      </c>
      <c r="ZX28" s="593">
        <f>'Proy 2022 vs 2019 sem'!DY27*ZZ$4</f>
        <v>27354.816720000003</v>
      </c>
      <c r="ZY28" s="735"/>
      <c r="ZZ28" s="700">
        <f>ZY28/ZW28</f>
        <v>0</v>
      </c>
      <c r="AAA28" s="579">
        <f>YY28+ZC28+ZG28+ZK28+ZO28+ZS28+ZW28</f>
        <v>138155.64000000001</v>
      </c>
      <c r="AAB28" s="574">
        <f>YZ28+ZD28+ZH28+ZL28+ZP28+ZT28+ZX28</f>
        <v>124340.07600000002</v>
      </c>
      <c r="AAC28" s="729">
        <f>ZA28+ZE28+ZI28+ZM28+ZQ28+ZU28+ZY28</f>
        <v>0</v>
      </c>
      <c r="AAD28" s="711">
        <f>AAC28/AAA28</f>
        <v>0</v>
      </c>
      <c r="AAE28" s="593">
        <f>'Proy 2022 vs 2019 sem'!EC27*AAH$4</f>
        <v>20690.572799999998</v>
      </c>
      <c r="AAF28" s="593">
        <f>'Proy 2022 vs 2019 sem'!ED27*AAH$4</f>
        <v>18207.704064000001</v>
      </c>
      <c r="AAG28" s="699"/>
      <c r="AAH28" s="700">
        <f>AAG28/AAE28</f>
        <v>0</v>
      </c>
      <c r="AAI28" s="593">
        <f>'Proy 2022 vs 2019 sem'!EC27*AAL$4</f>
        <v>20690.572799999998</v>
      </c>
      <c r="AAJ28" s="593">
        <f>'Proy 2022 vs 2019 sem'!ED27*AAL$4</f>
        <v>18207.704064000001</v>
      </c>
      <c r="AAK28" s="699"/>
      <c r="AAL28" s="700">
        <f>AAK28/AAI28</f>
        <v>0</v>
      </c>
      <c r="AAM28" s="593">
        <f>'Proy 2022 vs 2019 sem'!EC27*AAP$4</f>
        <v>20690.572799999998</v>
      </c>
      <c r="AAN28" s="593">
        <f>'Proy 2022 vs 2019 sem'!ED27*AAP$4</f>
        <v>18207.704064000001</v>
      </c>
      <c r="AAO28" s="699"/>
      <c r="AAP28" s="700">
        <f>AAO28/AAM28</f>
        <v>0</v>
      </c>
      <c r="AAQ28" s="593">
        <f>'Proy 2022 vs 2019 sem'!EC27*AAT$4</f>
        <v>20690.572799999998</v>
      </c>
      <c r="AAR28" s="593">
        <f>'Proy 2022 vs 2019 sem'!ED27*AAT$4</f>
        <v>18207.704064000001</v>
      </c>
      <c r="AAS28" s="699"/>
      <c r="AAT28" s="700">
        <f>AAS28/AAQ28</f>
        <v>0</v>
      </c>
      <c r="AAU28" s="593">
        <f>'Proy 2022 vs 2019 sem'!EC27*AAX$4</f>
        <v>24139.001600000003</v>
      </c>
      <c r="AAV28" s="593">
        <f>'Proy 2022 vs 2019 sem'!ED27*AAX$4</f>
        <v>21242.321408000003</v>
      </c>
      <c r="AAW28" s="699"/>
      <c r="AAX28" s="700">
        <f>AAW28/AAU28</f>
        <v>0</v>
      </c>
      <c r="AAY28" s="593">
        <f>'Proy 2022 vs 2019 sem'!EC27*ABB$4</f>
        <v>27587.430400000001</v>
      </c>
      <c r="AAZ28" s="593">
        <f>'Proy 2022 vs 2019 sem'!ED27*ABB$4</f>
        <v>24276.938752000002</v>
      </c>
      <c r="ABA28" s="699"/>
      <c r="ABB28" s="700">
        <f>ABA28/AAY28</f>
        <v>0</v>
      </c>
      <c r="ABC28" s="593">
        <f>'Proy 2022 vs 2019 sem'!EC27*ABF$4</f>
        <v>37932.716800000002</v>
      </c>
      <c r="ABD28" s="593">
        <f>'Proy 2022 vs 2019 sem'!ED27*ABF$4</f>
        <v>33380.790784000004</v>
      </c>
      <c r="ABE28" s="699"/>
      <c r="ABF28" s="700">
        <f>ABE28/ABC28</f>
        <v>0</v>
      </c>
      <c r="ABG28" s="579">
        <f>AAE28+AAI28+AAM28+AAQ28+AAU28+AAY28+ABC28</f>
        <v>172421.44</v>
      </c>
      <c r="ABH28" s="574">
        <f>AAF28+AAJ28+AAN28+AAR28+AAV28+AAZ28+ABD28</f>
        <v>151730.86720000001</v>
      </c>
      <c r="ABI28" s="730">
        <f>AAG28+AAK28+AAO28+AAS28+AAW28+ABA28+ABE28</f>
        <v>0</v>
      </c>
      <c r="ABJ28" s="711">
        <f>ABI28/ABG28</f>
        <v>0</v>
      </c>
      <c r="ABK28" s="593">
        <f>'Proy 2022 vs 2019 sem'!EH27*ABN$4</f>
        <v>17564.603999999999</v>
      </c>
      <c r="ABL28" s="593">
        <f>'Proy 2022 vs 2019 sem'!EI27*ABN$4</f>
        <v>15808.143600000003</v>
      </c>
      <c r="ABM28" s="699"/>
      <c r="ABN28" s="700">
        <f>ABM28/ABK28</f>
        <v>0</v>
      </c>
      <c r="ABO28" s="593">
        <f>'Proy 2022 vs 2019 sem'!EH27*ABR$4</f>
        <v>17564.603999999999</v>
      </c>
      <c r="ABP28" s="593">
        <f>'Proy 2022 vs 2019 sem'!EI27*ABR$4</f>
        <v>15808.143600000003</v>
      </c>
      <c r="ABQ28" s="699"/>
      <c r="ABR28" s="700">
        <f>ABQ28/ABO28</f>
        <v>0</v>
      </c>
      <c r="ABS28" s="593">
        <f>'Proy 2022 vs 2019 sem'!EH27*ABV$4</f>
        <v>17564.603999999999</v>
      </c>
      <c r="ABT28" s="593">
        <f>'Proy 2022 vs 2019 sem'!EI27*ABV$4</f>
        <v>15808.143600000003</v>
      </c>
      <c r="ABU28" s="699"/>
      <c r="ABV28" s="700">
        <f>ABU28/ABS28</f>
        <v>0</v>
      </c>
      <c r="ABW28" s="593">
        <f>'Proy 2022 vs 2019 sem'!EH27*ABZ$4</f>
        <v>17564.603999999999</v>
      </c>
      <c r="ABX28" s="593">
        <f>'Proy 2022 vs 2019 sem'!EI27*ABZ$4</f>
        <v>15808.143600000003</v>
      </c>
      <c r="ABY28" s="699"/>
      <c r="ABZ28" s="700">
        <f>ABY28/ABW28</f>
        <v>0</v>
      </c>
      <c r="ACA28" s="593">
        <f>'Proy 2022 vs 2019 sem'!EH27*ACD$4</f>
        <v>20492.038000000004</v>
      </c>
      <c r="ACB28" s="593">
        <f>'Proy 2022 vs 2019 sem'!EI27*ACD$4</f>
        <v>18442.834200000005</v>
      </c>
      <c r="ACC28" s="699"/>
      <c r="ACD28" s="700">
        <f>ACC28/ACA28</f>
        <v>0</v>
      </c>
      <c r="ACE28" s="593">
        <f>'Proy 2022 vs 2019 sem'!EH27*ACH$4</f>
        <v>23419.472000000002</v>
      </c>
      <c r="ACF28" s="593">
        <f>'Proy 2022 vs 2019 sem'!EI27*ACH$4</f>
        <v>21077.524800000007</v>
      </c>
      <c r="ACG28" s="699"/>
      <c r="ACH28" s="700">
        <f>ACG28/ACE28</f>
        <v>0</v>
      </c>
      <c r="ACI28" s="593">
        <f>'Proy 2022 vs 2019 sem'!EH27*ACL$4</f>
        <v>32201.774000000001</v>
      </c>
      <c r="ACJ28" s="593">
        <f>'Proy 2022 vs 2019 sem'!EI27*ACL$4</f>
        <v>28981.596600000008</v>
      </c>
      <c r="ACK28" s="699"/>
      <c r="ACL28" s="700">
        <f>ACK28/ACI28</f>
        <v>0</v>
      </c>
      <c r="ACM28" s="579">
        <f>ABK28+ABO28+ABS28+ABW28+ACA28+ACE28+ACI28</f>
        <v>146371.70000000001</v>
      </c>
      <c r="ACN28" s="574">
        <f>ABL28+ABP28+ABT28+ABX28+ACB28+ACF28+ACJ28</f>
        <v>131734.53000000006</v>
      </c>
      <c r="ACO28" s="730">
        <f>ABM28+ABQ28+ABU28+ABY28+ACC28+ACG28+ACK28</f>
        <v>0</v>
      </c>
      <c r="ACP28" s="711">
        <f>ACO28/ACM28</f>
        <v>0</v>
      </c>
      <c r="ACQ28" s="593">
        <f>'Proy 2022 vs 2019 sem'!EM27*ACT$4</f>
        <v>20292.201599999997</v>
      </c>
      <c r="ACR28" s="593">
        <f>'Proy 2022 vs 2019 sem'!EN27*ACT$4</f>
        <v>18871.747487999997</v>
      </c>
      <c r="ACS28" s="699"/>
      <c r="ACT28" s="700">
        <f>ACS28/ACQ28</f>
        <v>0</v>
      </c>
      <c r="ACU28" s="593">
        <f>'Proy 2022 vs 2019 sem'!EM27*ACX$4</f>
        <v>20292.201599999997</v>
      </c>
      <c r="ACV28" s="593">
        <f>'Proy 2022 vs 2019 sem'!EN27*ACX$4</f>
        <v>18871.747487999997</v>
      </c>
      <c r="ACW28" s="699"/>
      <c r="ACX28" s="700">
        <f>ACW28/ACU28</f>
        <v>0</v>
      </c>
      <c r="ACY28" s="593">
        <f>'Proy 2022 vs 2019 sem'!EM27*ADB$4</f>
        <v>20292.201599999997</v>
      </c>
      <c r="ACZ28" s="593">
        <f>'Proy 2022 vs 2019 sem'!EN27*ADB$4</f>
        <v>18871.747487999997</v>
      </c>
      <c r="ADA28" s="699"/>
      <c r="ADB28" s="700">
        <f>ADA28/ACY28</f>
        <v>0</v>
      </c>
      <c r="ADC28" s="593">
        <f>'Proy 2022 vs 2019 sem'!EM27*ADF$4</f>
        <v>20292.201599999997</v>
      </c>
      <c r="ADD28" s="593">
        <f>'Proy 2022 vs 2019 sem'!EN27*ADF$4</f>
        <v>18871.747487999997</v>
      </c>
      <c r="ADE28" s="699"/>
      <c r="ADF28" s="700">
        <f>ADE28/ADC28</f>
        <v>0</v>
      </c>
      <c r="ADG28" s="593">
        <f>'Proy 2022 vs 2019 sem'!EM27*ADJ$4</f>
        <v>23674.235200000003</v>
      </c>
      <c r="ADH28" s="593">
        <f>'Proy 2022 vs 2019 sem'!EN27*ADJ$4</f>
        <v>22017.038736000002</v>
      </c>
      <c r="ADI28" s="699"/>
      <c r="ADJ28" s="700">
        <f>ADI28/ADG28</f>
        <v>0</v>
      </c>
      <c r="ADK28" s="593">
        <f>'Proy 2022 vs 2019 sem'!EM27*ADN$4</f>
        <v>27056.268799999998</v>
      </c>
      <c r="ADL28" s="593">
        <f>'Proy 2022 vs 2019 sem'!EN27*ADN$4</f>
        <v>25162.329984</v>
      </c>
      <c r="ADM28" s="699"/>
      <c r="ADN28" s="700">
        <f>ADM28/ADK28</f>
        <v>0</v>
      </c>
      <c r="ADO28" s="593">
        <f>'Proy 2022 vs 2019 sem'!EM27*ADR$4</f>
        <v>37202.369599999998</v>
      </c>
      <c r="ADP28" s="593">
        <f>'Proy 2022 vs 2019 sem'!EN27*ADR$4</f>
        <v>34598.203728</v>
      </c>
      <c r="ADQ28" s="699"/>
      <c r="ADR28" s="700">
        <f>ADQ28/ADO28</f>
        <v>0</v>
      </c>
      <c r="ADS28" s="579">
        <f>ACQ28+ACU28+ACY28+ADC28+ADG28+ADK28+ADO28</f>
        <v>169101.68</v>
      </c>
      <c r="ADT28" s="574">
        <f>ACR28+ACV28+ACZ28+ADD28+ADH28+ADL28+ADP28</f>
        <v>157264.5624</v>
      </c>
      <c r="ADU28" s="710">
        <f>ACS28+ACW28+ADA28+ADE28+ADI28+ADM28+ADQ28</f>
        <v>0</v>
      </c>
      <c r="ADV28" s="711">
        <f>ADU28/ADS28</f>
        <v>0</v>
      </c>
      <c r="ADW28" s="593">
        <f>'Proy 2022 vs 2019 sem'!ER27*ADZ$4</f>
        <v>17202.789599999996</v>
      </c>
      <c r="ADX28" s="593">
        <f>'Proy 2022 vs 2019 sem'!ES27*ADZ$4</f>
        <v>15998.594327999999</v>
      </c>
      <c r="ADY28" s="699"/>
      <c r="ADZ28" s="700">
        <f>ADY28/ADW28</f>
        <v>0</v>
      </c>
      <c r="AEA28" s="593">
        <f>'Proy 2022 vs 2019 sem'!ER27*AED$4</f>
        <v>17202.789599999996</v>
      </c>
      <c r="AEB28" s="593">
        <f>'Proy 2022 vs 2019 sem'!ES27*AED$4</f>
        <v>15998.594327999999</v>
      </c>
      <c r="AEC28" s="699"/>
      <c r="AED28" s="700">
        <f>AEC28/AEA28</f>
        <v>0</v>
      </c>
      <c r="AEE28" s="593">
        <f>'Proy 2022 vs 2019 sem'!ER27*AEH$4</f>
        <v>17202.789599999996</v>
      </c>
      <c r="AEF28" s="593">
        <f>'Proy 2022 vs 2019 sem'!ES27*AEH$4</f>
        <v>15998.594327999999</v>
      </c>
      <c r="AEG28" s="699"/>
      <c r="AEH28" s="700">
        <f>AEG28/AEE28</f>
        <v>0</v>
      </c>
      <c r="AEI28" s="593">
        <f>'Proy 2022 vs 2019 sem'!ER27*AEL$4</f>
        <v>17202.789599999996</v>
      </c>
      <c r="AEJ28" s="593">
        <f>'Proy 2022 vs 2019 sem'!ES27*AEL$4</f>
        <v>15998.594327999999</v>
      </c>
      <c r="AEK28" s="699"/>
      <c r="AEL28" s="700">
        <f>AEK28/AEI28</f>
        <v>0</v>
      </c>
      <c r="AEM28" s="593">
        <f>'Proy 2022 vs 2019 sem'!ER27*AEP$4</f>
        <v>20069.921200000001</v>
      </c>
      <c r="AEN28" s="593">
        <f>'Proy 2022 vs 2019 sem'!ES27*AEP$4</f>
        <v>18665.026716</v>
      </c>
      <c r="AEO28" s="699"/>
      <c r="AEP28" s="700">
        <f>AEO28/AEM28</f>
        <v>0</v>
      </c>
      <c r="AEQ28" s="593">
        <f>'Proy 2022 vs 2019 sem'!ER27*AET$4</f>
        <v>22937.052799999998</v>
      </c>
      <c r="AER28" s="593">
        <f>'Proy 2022 vs 2019 sem'!ES27*AET$4</f>
        <v>21331.459104000001</v>
      </c>
      <c r="AES28" s="699"/>
      <c r="AET28" s="700">
        <f>AES28/AEQ28</f>
        <v>0</v>
      </c>
      <c r="AEU28" s="593">
        <f>'Proy 2022 vs 2019 sem'!ER27*AEX$4</f>
        <v>31538.447599999996</v>
      </c>
      <c r="AEV28" s="593">
        <f>'Proy 2022 vs 2019 sem'!ES27*AEX$4</f>
        <v>29330.756268000001</v>
      </c>
      <c r="AEW28" s="699"/>
      <c r="AEX28" s="700">
        <f>AEW28/AEU28</f>
        <v>0</v>
      </c>
      <c r="AEY28" s="579">
        <f>ADW28+AEA28+AEE28+AEI28+AEM28+AEQ28+AEU28</f>
        <v>143356.57999999996</v>
      </c>
      <c r="AEZ28" s="574">
        <f>ADX28+AEB28+AEF28+AEJ28+AEN28+AER28+AEV28</f>
        <v>133321.6194</v>
      </c>
      <c r="AFA28" s="710">
        <f>ADY28+AEC28+AEG28+AEK28+AEO28+AES28+AEW28</f>
        <v>0</v>
      </c>
      <c r="AFB28" s="711">
        <f>AFA28/AEY28</f>
        <v>0</v>
      </c>
      <c r="AFC28" s="593">
        <f>'Proy 2022 vs 2019 sem'!FA27*AFF$4</f>
        <v>19626.6672</v>
      </c>
      <c r="AFD28" s="593">
        <f>'Proy 2022 vs 2019 sem'!FB27*AFF$4</f>
        <v>17271.467135999999</v>
      </c>
      <c r="AFE28" s="735"/>
      <c r="AFF28" s="700">
        <f>AFE28/AFC28</f>
        <v>0</v>
      </c>
      <c r="AFG28" s="593">
        <f>'Proy 2022 vs 2019 sem'!FA27*AFJ$4</f>
        <v>19626.6672</v>
      </c>
      <c r="AFH28" s="593">
        <f>'Proy 2022 vs 2019 sem'!FB27*AFJ$4</f>
        <v>17271.467135999999</v>
      </c>
      <c r="AFI28" s="699"/>
      <c r="AFJ28" s="700">
        <f>AFI28/AFG28</f>
        <v>0</v>
      </c>
      <c r="AFK28" s="593">
        <f>'Proy 2022 vs 2019 sem'!FA27*AFN$4</f>
        <v>19626.6672</v>
      </c>
      <c r="AFL28" s="593">
        <f>'Proy 2022 vs 2019 sem'!FB27*AFN$4</f>
        <v>17271.467135999999</v>
      </c>
      <c r="AFM28" s="699"/>
      <c r="AFN28" s="700">
        <f>AFM28/AFK28</f>
        <v>0</v>
      </c>
      <c r="AFO28" s="593">
        <f>'Proy 2022 vs 2019 sem'!FA27*AFR$4</f>
        <v>19626.6672</v>
      </c>
      <c r="AFP28" s="593">
        <f>'Proy 2022 vs 2019 sem'!FB27*AFR$4</f>
        <v>17271.467135999999</v>
      </c>
      <c r="AFQ28" s="699"/>
      <c r="AFR28" s="700">
        <f>AFQ28/AFO28</f>
        <v>0</v>
      </c>
      <c r="AFS28" s="593">
        <f>'Proy 2022 vs 2019 sem'!FA27*AFV$4</f>
        <v>22897.778400000003</v>
      </c>
      <c r="AFT28" s="593">
        <f>'Proy 2022 vs 2019 sem'!FB27*AFV$4</f>
        <v>20150.044992000003</v>
      </c>
      <c r="AFU28" s="699"/>
      <c r="AFV28" s="700">
        <f>AFU28/AFS28</f>
        <v>0</v>
      </c>
      <c r="AFW28" s="593">
        <f>'Proy 2022 vs 2019 sem'!FA27*AFZ$4</f>
        <v>26168.889599999999</v>
      </c>
      <c r="AFX28" s="593">
        <f>'Proy 2022 vs 2019 sem'!FB27*AFZ$4</f>
        <v>23028.622847999999</v>
      </c>
      <c r="AFY28" s="699"/>
      <c r="AFZ28" s="700">
        <f>AFY28/AFW28</f>
        <v>0</v>
      </c>
      <c r="AGA28" s="593">
        <f>'Proy 2022 vs 2019 sem'!FA27*AGD$4</f>
        <v>35982.2232</v>
      </c>
      <c r="AGB28" s="593">
        <f>'Proy 2022 vs 2019 sem'!FB27*AGD$4</f>
        <v>31664.356415999999</v>
      </c>
      <c r="AGC28" s="699"/>
      <c r="AGD28" s="700">
        <f>AGC28/AGA28</f>
        <v>0</v>
      </c>
      <c r="AGE28" s="579">
        <f>AFC28+AFG28+AFK28+AFO28+AFS28+AFW28+AGA28</f>
        <v>163555.56</v>
      </c>
      <c r="AGF28" s="574">
        <f>AFD28+AFH28+AFL28+AFP28+AFT28+AFX28+AGB28</f>
        <v>143928.8928</v>
      </c>
      <c r="AGG28" s="759">
        <f>AFE28+AFI28+AFM28+AFQ28+AFU28+AFY28+AGC28</f>
        <v>0</v>
      </c>
      <c r="AGH28" s="761">
        <f>AGG28/AGE28</f>
        <v>0</v>
      </c>
      <c r="AGI28" s="593">
        <f>'Proy 2022 vs 2019 sem'!FF27*AGL$4</f>
        <v>21120.034800000001</v>
      </c>
      <c r="AGJ28" s="593">
        <f>'Proy 2022 vs 2019 sem'!FG27*AGL$4</f>
        <v>18585.630624000001</v>
      </c>
      <c r="AGK28" s="699"/>
      <c r="AGL28" s="700">
        <f>AGK28/AGI28</f>
        <v>0</v>
      </c>
      <c r="AGM28" s="593">
        <f>'Proy 2022 vs 2019 sem'!FF27*AGP$4</f>
        <v>21120.034800000001</v>
      </c>
      <c r="AGN28" s="593">
        <f>'Proy 2022 vs 2019 sem'!FG27*AGP$4</f>
        <v>18585.630624000001</v>
      </c>
      <c r="AGO28" s="699"/>
      <c r="AGP28" s="700">
        <f>AGO28/AGM28</f>
        <v>0</v>
      </c>
      <c r="AGQ28" s="593">
        <f>'Proy 2022 vs 2019 sem'!FF27*AGT$4</f>
        <v>21120.034800000001</v>
      </c>
      <c r="AGR28" s="593">
        <f>'Proy 2022 vs 2019 sem'!FG27*AGT$4</f>
        <v>18585.630624000001</v>
      </c>
      <c r="AGS28" s="699"/>
      <c r="AGT28" s="700">
        <f>AGS28/AGQ28</f>
        <v>0</v>
      </c>
      <c r="AGU28" s="593">
        <f>'Proy 2022 vs 2019 sem'!FF27*AGX$4</f>
        <v>21120.034800000001</v>
      </c>
      <c r="AGV28" s="593">
        <f>'Proy 2022 vs 2019 sem'!FG27*AGX$4</f>
        <v>18585.630624000001</v>
      </c>
      <c r="AGW28" s="699"/>
      <c r="AGX28" s="700">
        <f>AGW28/AGU28</f>
        <v>0</v>
      </c>
      <c r="AGY28" s="593">
        <f>'Proy 2022 vs 2019 sem'!FF27*AHB$4</f>
        <v>24640.040600000004</v>
      </c>
      <c r="AGZ28" s="593">
        <f>'Proy 2022 vs 2019 sem'!FG27*AHB$4</f>
        <v>21683.235728000003</v>
      </c>
      <c r="AHA28" s="699"/>
      <c r="AHB28" s="700">
        <f>AHA28/AGY28</f>
        <v>0</v>
      </c>
      <c r="AHC28" s="593">
        <f>'Proy 2022 vs 2019 sem'!FF27*AHF$4</f>
        <v>28160.046400000003</v>
      </c>
      <c r="AHD28" s="593">
        <f>'Proy 2022 vs 2019 sem'!FG27*AHF$4</f>
        <v>24780.840832000002</v>
      </c>
      <c r="AHE28" s="699"/>
      <c r="AHF28" s="700">
        <f>AHE28/AHC28</f>
        <v>0</v>
      </c>
      <c r="AHG28" s="593">
        <f>'Proy 2022 vs 2019 sem'!FF27*AHJ$4</f>
        <v>38720.063800000004</v>
      </c>
      <c r="AHH28" s="593">
        <f>'Proy 2022 vs 2019 sem'!FG27*AHJ$4</f>
        <v>34073.656144</v>
      </c>
      <c r="AHI28" s="699"/>
      <c r="AHJ28" s="700">
        <f>AHI28/AHG28</f>
        <v>0</v>
      </c>
      <c r="AHK28" s="579">
        <f>AGI28+AGM28+AGQ28+AGU28+AGY28+AHC28+AHG28</f>
        <v>176000.29</v>
      </c>
      <c r="AHL28" s="574">
        <f>AGJ28+AGN28+AGR28+AGV28+AGZ28+AHD28+AHH28</f>
        <v>154880.25520000001</v>
      </c>
      <c r="AHM28" s="765">
        <f>AGK28+AGO28+AGS28+AGW28+AHA28+AHE28+AHI28</f>
        <v>0</v>
      </c>
      <c r="AHN28" s="761">
        <f>AHM28/AHK28</f>
        <v>0</v>
      </c>
      <c r="AHO28" s="593">
        <f>'Proy 2022 vs 2019 sem'!FK27*AHR$4</f>
        <v>20836.075199999999</v>
      </c>
      <c r="AHP28" s="593">
        <f>'Proy 2022 vs 2019 sem'!FL27*AHR$4</f>
        <v>18752.467679999998</v>
      </c>
      <c r="AHQ28" s="699"/>
      <c r="AHR28" s="700">
        <f>AHQ28/AHO28</f>
        <v>0</v>
      </c>
      <c r="AHS28" s="593">
        <f>'Proy 2022 vs 2019 sem'!FK27*AHV$4</f>
        <v>20836.075199999999</v>
      </c>
      <c r="AHT28" s="593">
        <f>'Proy 2022 vs 2019 sem'!FL27*AHV$4</f>
        <v>18752.467679999998</v>
      </c>
      <c r="AHU28" s="699"/>
      <c r="AHV28" s="700">
        <f>AHU28/AHS28</f>
        <v>0</v>
      </c>
      <c r="AHW28" s="593">
        <f>'Proy 2022 vs 2019 sem'!FK27*AHZ$4</f>
        <v>20836.075199999999</v>
      </c>
      <c r="AHX28" s="593">
        <f>'Proy 2022 vs 2019 sem'!FL27*AHZ$4</f>
        <v>18752.467679999998</v>
      </c>
      <c r="AHY28" s="699"/>
      <c r="AHZ28" s="700">
        <f>AHY28/AHW28</f>
        <v>0</v>
      </c>
      <c r="AIA28" s="593">
        <f>'Proy 2022 vs 2019 sem'!FK27*AID$4</f>
        <v>20836.075199999999</v>
      </c>
      <c r="AIB28" s="593">
        <f>'Proy 2022 vs 2019 sem'!FL27*AID$4</f>
        <v>18752.467679999998</v>
      </c>
      <c r="AIC28" s="699"/>
      <c r="AID28" s="700">
        <f>AIC28/AIA28</f>
        <v>0</v>
      </c>
      <c r="AIE28" s="593">
        <f>'Proy 2022 vs 2019 sem'!FK27*AIH$4</f>
        <v>24308.754400000002</v>
      </c>
      <c r="AIF28" s="593">
        <f>'Proy 2022 vs 2019 sem'!FL27*AIH$4</f>
        <v>21877.878959999998</v>
      </c>
      <c r="AIG28" s="699"/>
      <c r="AIH28" s="700">
        <f>AIG28/AIE28</f>
        <v>0</v>
      </c>
      <c r="AII28" s="593">
        <f>'Proy 2022 vs 2019 sem'!FK27*AIL$4</f>
        <v>27781.4336</v>
      </c>
      <c r="AIJ28" s="593">
        <f>'Proy 2022 vs 2019 sem'!FL27*AIL$4</f>
        <v>25003.290239999998</v>
      </c>
      <c r="AIK28" s="699"/>
      <c r="AIL28" s="700">
        <f>AIK28/AII28</f>
        <v>0</v>
      </c>
      <c r="AIM28" s="593">
        <f>'Proy 2022 vs 2019 sem'!FK27*AIP$4</f>
        <v>38199.4712</v>
      </c>
      <c r="AIN28" s="593">
        <f>'Proy 2022 vs 2019 sem'!FL27*AIP$4</f>
        <v>34379.524079999996</v>
      </c>
      <c r="AIO28" s="699"/>
      <c r="AIP28" s="700">
        <f>AIO28/AIM28</f>
        <v>0</v>
      </c>
      <c r="AIQ28" s="579">
        <f>AHO28+AHS28+AHW28+AIA28+AIE28+AII28+AIM28</f>
        <v>173633.96</v>
      </c>
      <c r="AIR28" s="574">
        <f>AHP28+AHT28+AHX28+AIB28+AIF28+AIJ28+AIN28</f>
        <v>156270.56399999998</v>
      </c>
      <c r="AIS28" s="765">
        <f>AHQ28+AHU28+AHY28+AIC28+AIG28+AIK28+AIO28</f>
        <v>0</v>
      </c>
      <c r="AIT28" s="761">
        <f>AIS28/AIQ28</f>
        <v>0</v>
      </c>
      <c r="AIU28" s="593">
        <f>'Proy 2022 vs 2019 sem'!FP27*AIX$4</f>
        <v>19166.854800000001</v>
      </c>
      <c r="AIV28" s="593">
        <f>'Proy 2022 vs 2019 sem'!FQ27*AIX$4</f>
        <v>17825.174964000002</v>
      </c>
      <c r="AIW28" s="699"/>
      <c r="AIX28" s="700">
        <f>AIW28/AIU28</f>
        <v>0</v>
      </c>
      <c r="AIY28" s="593">
        <f>'Proy 2022 vs 2019 sem'!FP27*AJB$4</f>
        <v>19166.854800000001</v>
      </c>
      <c r="AIZ28" s="593">
        <f>'Proy 2022 vs 2019 sem'!FQ27*AJB$4</f>
        <v>17825.174964000002</v>
      </c>
      <c r="AJA28" s="699"/>
      <c r="AJB28" s="700">
        <f>AJA28/AIY28</f>
        <v>0</v>
      </c>
      <c r="AJC28" s="593">
        <f>'Proy 2022 vs 2019 sem'!FP27*AJF$4</f>
        <v>19166.854800000001</v>
      </c>
      <c r="AJD28" s="593">
        <f>'Proy 2022 vs 2019 sem'!FQ27*AJF$4</f>
        <v>17825.174964000002</v>
      </c>
      <c r="AJE28" s="699"/>
      <c r="AJF28" s="700">
        <f>AJE28/AJC28</f>
        <v>0</v>
      </c>
      <c r="AJG28" s="593">
        <f>'Proy 2022 vs 2019 sem'!FP27*AJJ$4</f>
        <v>19166.854800000001</v>
      </c>
      <c r="AJH28" s="593">
        <f>'Proy 2022 vs 2019 sem'!FQ27*AJJ$4</f>
        <v>17825.174964000002</v>
      </c>
      <c r="AJI28" s="699"/>
      <c r="AJJ28" s="700">
        <f>AJI28/AJG28</f>
        <v>0</v>
      </c>
      <c r="AJK28" s="593">
        <f>'Proy 2022 vs 2019 sem'!FP27*AJN$4</f>
        <v>22361.330600000005</v>
      </c>
      <c r="AJL28" s="593">
        <f>'Proy 2022 vs 2019 sem'!FQ27*AJN$4</f>
        <v>20796.037458000003</v>
      </c>
      <c r="AJM28" s="699"/>
      <c r="AJN28" s="700">
        <f>AJM28/AJK28</f>
        <v>0</v>
      </c>
      <c r="AJO28" s="593">
        <f>'Proy 2022 vs 2019 sem'!FP27*AJR$4</f>
        <v>25555.806400000001</v>
      </c>
      <c r="AJP28" s="593">
        <f>'Proy 2022 vs 2019 sem'!FQ27*AJR$4</f>
        <v>23766.899952000003</v>
      </c>
      <c r="AJQ28" s="699"/>
      <c r="AJR28" s="700">
        <f>AJQ28/AJO28</f>
        <v>0</v>
      </c>
      <c r="AJS28" s="593">
        <f>'Proy 2022 vs 2019 sem'!FP27*AJV$4</f>
        <v>35139.233800000002</v>
      </c>
      <c r="AJT28" s="593">
        <f>'Proy 2022 vs 2019 sem'!FQ27*AJV$4</f>
        <v>32679.487434000002</v>
      </c>
      <c r="AJU28" s="699"/>
      <c r="AJV28" s="700">
        <f>AJU28/AJS28</f>
        <v>0</v>
      </c>
      <c r="AJW28" s="579">
        <f>AIU28+AIY28+AJC28+AJG28+AJK28+AJO28+AJS28</f>
        <v>159723.79</v>
      </c>
      <c r="AJX28" s="574">
        <f>AIV28+AIZ28+AJD28+AJH28+AJL28+AJP28+AJT28</f>
        <v>148543.12470000001</v>
      </c>
      <c r="AJY28" s="770">
        <f>AIW28+AJA28+AJE28+AJI28+AJM28+AJQ28+AJU28</f>
        <v>0</v>
      </c>
      <c r="AJZ28" s="761">
        <f>AJY28/AJW28</f>
        <v>0</v>
      </c>
      <c r="AKA28" s="593"/>
      <c r="AKB28" s="593"/>
      <c r="AKC28" s="735"/>
      <c r="AKD28" s="700" t="e">
        <f>AKC28/AKA28</f>
        <v>#DIV/0!</v>
      </c>
      <c r="AKE28" s="593">
        <v>15615.736799999999</v>
      </c>
      <c r="AKF28" s="593">
        <v>15928.051535999999</v>
      </c>
      <c r="AKG28" s="699"/>
      <c r="AKH28" s="700">
        <f>AKG28/AKE28</f>
        <v>0</v>
      </c>
      <c r="AKI28" s="593">
        <v>15615.736799999999</v>
      </c>
      <c r="AKJ28" s="593">
        <v>15928.051535999999</v>
      </c>
      <c r="AKK28" s="699"/>
      <c r="AKL28" s="700">
        <f>AKK28/AKI28</f>
        <v>0</v>
      </c>
      <c r="AKM28" s="593">
        <v>15615.736799999999</v>
      </c>
      <c r="AKN28" s="593">
        <v>15928.051535999999</v>
      </c>
      <c r="AKO28" s="699"/>
      <c r="AKP28" s="700">
        <f>AKO28/AKM28</f>
        <v>0</v>
      </c>
      <c r="AKQ28" s="593">
        <v>18218.359600000003</v>
      </c>
      <c r="AKR28" s="593">
        <v>18582.726792000001</v>
      </c>
      <c r="AKS28" s="699"/>
      <c r="AKT28" s="700">
        <f>AKS28/AKQ28</f>
        <v>0</v>
      </c>
      <c r="AKU28" s="593">
        <v>20820.982400000001</v>
      </c>
      <c r="AKV28" s="593">
        <v>21237.402048</v>
      </c>
      <c r="AKW28" s="699"/>
      <c r="AKX28" s="700">
        <f>AKW28/AKU28</f>
        <v>0</v>
      </c>
      <c r="AKY28" s="593">
        <v>28628.8508</v>
      </c>
      <c r="AKZ28" s="593">
        <v>29201.427815999999</v>
      </c>
      <c r="ALA28" s="699"/>
      <c r="ALB28" s="700">
        <f>ALA28/AKY28</f>
        <v>0</v>
      </c>
      <c r="ALC28" s="579">
        <f>AKA28+AKE28+AKI28+AKM28+AKQ28+AKU28+AKY28</f>
        <v>114515.4032</v>
      </c>
      <c r="ALD28" s="574">
        <f>AKB28+AKF28+AKJ28+AKN28+AKR28+AKV28+AKZ28</f>
        <v>116805.711264</v>
      </c>
      <c r="ALE28" s="793">
        <f>AKC28+AKG28+AKK28+AKO28+AKS28+AKW28+ALA28</f>
        <v>0</v>
      </c>
      <c r="ALF28" s="786">
        <f>ALE28/ALC28</f>
        <v>0</v>
      </c>
      <c r="ALG28" s="593">
        <v>14896.461599999999</v>
      </c>
      <c r="ALH28" s="593">
        <v>15194.390831999999</v>
      </c>
      <c r="ALI28" s="699"/>
      <c r="ALJ28" s="700">
        <f>ALI28/ALG28</f>
        <v>0</v>
      </c>
      <c r="ALK28" s="593">
        <v>14896.461599999999</v>
      </c>
      <c r="ALL28" s="593">
        <v>15194.390831999999</v>
      </c>
      <c r="ALM28" s="699"/>
      <c r="ALN28" s="700">
        <f>ALM28/ALK28</f>
        <v>0</v>
      </c>
      <c r="ALO28" s="593">
        <v>14896.461599999999</v>
      </c>
      <c r="ALP28" s="593">
        <v>15194.390831999999</v>
      </c>
      <c r="ALQ28" s="699"/>
      <c r="ALR28" s="700">
        <f>ALQ28/ALO28</f>
        <v>0</v>
      </c>
      <c r="ALS28" s="593">
        <v>14896.461599999999</v>
      </c>
      <c r="ALT28" s="593">
        <v>15194.390831999999</v>
      </c>
      <c r="ALU28" s="699"/>
      <c r="ALV28" s="700">
        <f>ALU28/ALS28</f>
        <v>0</v>
      </c>
      <c r="ALW28" s="593">
        <v>17379.2052</v>
      </c>
      <c r="ALX28" s="593">
        <v>17726.789304000002</v>
      </c>
      <c r="ALY28" s="699"/>
      <c r="ALZ28" s="700">
        <f>ALY28/ALW28</f>
        <v>0</v>
      </c>
      <c r="AMA28" s="593">
        <v>19861.948799999998</v>
      </c>
      <c r="AMB28" s="593">
        <v>20259.187775999999</v>
      </c>
      <c r="AMC28" s="699"/>
      <c r="AMD28" s="700">
        <f>AMC28/AMA28</f>
        <v>0</v>
      </c>
      <c r="AME28" s="593">
        <v>27310.179599999999</v>
      </c>
      <c r="AMF28" s="593">
        <v>27856.383191999998</v>
      </c>
      <c r="AMG28" s="699"/>
      <c r="AMH28" s="700">
        <f>AMG28/AME28</f>
        <v>0</v>
      </c>
      <c r="AMI28" s="579">
        <f>ALG28+ALK28+ALO28+ALS28+ALW28+AMA28+AME28</f>
        <v>124137.18</v>
      </c>
      <c r="AMJ28" s="574">
        <f>ALH28+ALL28+ALP28+ALT28+ALX28+AMB28+AMF28</f>
        <v>126619.92359999999</v>
      </c>
      <c r="AMK28" s="794">
        <f>ALI28+ALM28+ALQ28+ALU28+ALY28+AMC28+AMG28</f>
        <v>0</v>
      </c>
      <c r="AML28" s="786">
        <f>AMK28/AMI28</f>
        <v>0</v>
      </c>
      <c r="AMM28" s="593">
        <v>15562.0128</v>
      </c>
      <c r="AMN28" s="593">
        <v>15873.253056000001</v>
      </c>
      <c r="AMO28" s="699"/>
      <c r="AMP28" s="700">
        <f>AMO28/AMM28</f>
        <v>0</v>
      </c>
      <c r="AMQ28" s="593">
        <v>15562.0128</v>
      </c>
      <c r="AMR28" s="593">
        <v>15873.253056000001</v>
      </c>
      <c r="AMS28" s="699"/>
      <c r="AMT28" s="700">
        <f>AMS28/AMQ28</f>
        <v>0</v>
      </c>
      <c r="AMU28" s="593">
        <v>15562.0128</v>
      </c>
      <c r="AMV28" s="593">
        <v>15873.253056000001</v>
      </c>
      <c r="AMW28" s="699"/>
      <c r="AMX28" s="700">
        <f>AMW28/AMU28</f>
        <v>0</v>
      </c>
      <c r="AMY28" s="593">
        <v>15562.0128</v>
      </c>
      <c r="AMZ28" s="593">
        <v>15873.253056000001</v>
      </c>
      <c r="ANA28" s="699"/>
      <c r="ANB28" s="700">
        <f>ANA28/AMY28</f>
        <v>0</v>
      </c>
      <c r="ANC28" s="593">
        <v>18155.681600000004</v>
      </c>
      <c r="AND28" s="593">
        <v>18518.795232000004</v>
      </c>
      <c r="ANE28" s="699"/>
      <c r="ANF28" s="700">
        <f>ANE28/ANC28</f>
        <v>0</v>
      </c>
      <c r="ANG28" s="593">
        <v>20749.350399999999</v>
      </c>
      <c r="ANH28" s="593">
        <v>21164.337408000003</v>
      </c>
      <c r="ANI28" s="699"/>
      <c r="ANJ28" s="700">
        <f>ANI28/ANG28</f>
        <v>0</v>
      </c>
      <c r="ANK28" s="593">
        <v>28530.356800000001</v>
      </c>
      <c r="ANL28" s="593">
        <v>29100.963936000004</v>
      </c>
      <c r="ANM28" s="699"/>
      <c r="ANN28" s="700">
        <f>ANM28/ANK28</f>
        <v>0</v>
      </c>
      <c r="ANO28" s="579">
        <f>AMM28+AMQ28+AMU28+AMY28+ANC28+ANG28+ANK28</f>
        <v>129683.44</v>
      </c>
      <c r="ANP28" s="574">
        <f>AMN28+AMR28+AMV28+AMZ28+AND28+ANH28+ANL28</f>
        <v>132277.10880000002</v>
      </c>
      <c r="ANQ28" s="794">
        <f>AMO28+AMS28+AMW28+ANA28+ANE28+ANI28+ANM28</f>
        <v>0</v>
      </c>
      <c r="ANR28" s="786">
        <f>ANQ28/ANO28</f>
        <v>0</v>
      </c>
      <c r="ANS28" s="593">
        <f>'Proy 2022 vs 2019 sem'!GN27*ANV$4</f>
        <v>12464.987999999999</v>
      </c>
      <c r="ANT28" s="593">
        <f>'Proy 2022 vs 2019 sem'!GO27*ANV$4</f>
        <v>12215.688239999998</v>
      </c>
      <c r="ANU28" s="699"/>
      <c r="ANV28" s="700">
        <f>ANU28/ANS28</f>
        <v>0</v>
      </c>
      <c r="ANW28" s="593">
        <f>'Proy 2022 vs 2019 sem'!GN27*ANZ$4</f>
        <v>12464.987999999999</v>
      </c>
      <c r="ANX28" s="593">
        <f>'Proy 2022 vs 2019 sem'!GO27*ANZ$4</f>
        <v>12215.688239999998</v>
      </c>
      <c r="ANY28" s="699"/>
      <c r="ANZ28" s="700">
        <f>ANY28/ANW28</f>
        <v>0</v>
      </c>
      <c r="AOA28" s="593">
        <f>'Proy 2022 vs 2019 sem'!GN27*AOD$4</f>
        <v>12464.987999999999</v>
      </c>
      <c r="AOB28" s="593">
        <f>'Proy 2022 vs 2019 sem'!GO27*AOD$4</f>
        <v>12215.688239999998</v>
      </c>
      <c r="AOC28" s="699"/>
      <c r="AOD28" s="700">
        <f>AOC28/AOA28</f>
        <v>0</v>
      </c>
      <c r="AOE28" s="593">
        <f>'Proy 2022 vs 2019 sem'!GN27*AOH$4</f>
        <v>12464.987999999999</v>
      </c>
      <c r="AOF28" s="593">
        <f>'Proy 2022 vs 2019 sem'!GO27*AOH$4</f>
        <v>12215.688239999998</v>
      </c>
      <c r="AOG28" s="699"/>
      <c r="AOH28" s="700">
        <f>AOG28/AOE28</f>
        <v>0</v>
      </c>
      <c r="AOI28" s="593">
        <f>'Proy 2022 vs 2019 sem'!GN27*AOL$4</f>
        <v>14542.486000000001</v>
      </c>
      <c r="AOJ28" s="593">
        <f>'Proy 2022 vs 2019 sem'!GO27*AOL$4</f>
        <v>14251.636279999999</v>
      </c>
      <c r="AOK28" s="699"/>
      <c r="AOL28" s="700">
        <f>AOK28/AOI28</f>
        <v>0</v>
      </c>
      <c r="AOM28" s="593">
        <f>'Proy 2022 vs 2019 sem'!GN27*AOP$4</f>
        <v>16619.984</v>
      </c>
      <c r="AON28" s="593">
        <f>'Proy 2022 vs 2019 sem'!GO27*AOP$4</f>
        <v>16287.584319999998</v>
      </c>
      <c r="AOO28" s="699"/>
      <c r="AOP28" s="700">
        <f>AOO28/AOM28</f>
        <v>0</v>
      </c>
      <c r="AOQ28" s="593">
        <f>'Proy 2022 vs 2019 sem'!GN27*AOT$4</f>
        <v>22852.477999999999</v>
      </c>
      <c r="AOR28" s="593">
        <f>'Proy 2022 vs 2019 sem'!GO27*AOT$4</f>
        <v>22395.428439999996</v>
      </c>
      <c r="AOS28" s="699"/>
      <c r="AOT28" s="700">
        <f>AOS28/AOQ28</f>
        <v>0</v>
      </c>
      <c r="AOU28" s="579">
        <f>ANS28+ANW28+AOA28+AOE28+AOI28+AOM28+AOQ28</f>
        <v>103874.9</v>
      </c>
      <c r="AOV28" s="574">
        <f>ANT28+ANX28+AOB28+AOF28+AOJ28+AON28+AOR28</f>
        <v>101797.40199999997</v>
      </c>
      <c r="AOW28" s="785">
        <f>ANU28+ANY28+AOC28+AOG28+AOK28+AOO28+AOS28</f>
        <v>0</v>
      </c>
      <c r="AOX28" s="786">
        <f>AOW28/AOU28</f>
        <v>0</v>
      </c>
      <c r="AOY28" s="593">
        <f>'Proy 2022 vs 2019 sem'!GW27*APB$4</f>
        <v>13815.119999999999</v>
      </c>
      <c r="AOZ28" s="593">
        <f>'Proy 2022 vs 2019 sem'!GX27*APB$4</f>
        <v>13815.119999999999</v>
      </c>
      <c r="APA28" s="735"/>
      <c r="APB28" s="700">
        <f>APA28/AOY28</f>
        <v>0</v>
      </c>
      <c r="APC28" s="593">
        <f>'Proy 2022 vs 2019 sem'!GW27*APF$4</f>
        <v>13815.119999999999</v>
      </c>
      <c r="APD28" s="593">
        <f>'Proy 2022 vs 2019 sem'!GX27*APF$4</f>
        <v>13815.119999999999</v>
      </c>
      <c r="APE28" s="735"/>
      <c r="APF28" s="700">
        <f>APE28/APC28</f>
        <v>0</v>
      </c>
      <c r="APG28" s="593">
        <f>'Proy 2022 vs 2019 sem'!GW27*APJ$4</f>
        <v>13815.119999999999</v>
      </c>
      <c r="APH28" s="593">
        <f>'Proy 2022 vs 2019 sem'!GX27*APJ$4</f>
        <v>13815.119999999999</v>
      </c>
      <c r="API28" s="735"/>
      <c r="APJ28" s="700">
        <f>API28/APG28</f>
        <v>0</v>
      </c>
      <c r="APK28" s="593">
        <f>'Proy 2022 vs 2019 sem'!GW27*APN$4</f>
        <v>13815.119999999999</v>
      </c>
      <c r="APL28" s="593">
        <f>'Proy 2022 vs 2019 sem'!GX27*APN$4</f>
        <v>13815.119999999999</v>
      </c>
      <c r="APM28" s="735"/>
      <c r="APN28" s="700">
        <f>APM28/APK28</f>
        <v>0</v>
      </c>
      <c r="APO28" s="593">
        <f>'Proy 2022 vs 2019 sem'!GW27*APR$4</f>
        <v>16117.640000000001</v>
      </c>
      <c r="APP28" s="593">
        <f>'Proy 2022 vs 2019 sem'!GX27*APR$4</f>
        <v>16117.640000000001</v>
      </c>
      <c r="APQ28" s="735"/>
      <c r="APR28" s="700">
        <f>APQ28/APO28</f>
        <v>0</v>
      </c>
      <c r="APS28" s="593">
        <f>'Proy 2022 vs 2019 sem'!GW27*APV$4</f>
        <v>18420.16</v>
      </c>
      <c r="APT28" s="593">
        <f>'Proy 2022 vs 2019 sem'!GX27*APV$4</f>
        <v>18420.16</v>
      </c>
      <c r="APU28" s="735"/>
      <c r="APV28" s="700">
        <f>APU28/APS28</f>
        <v>0</v>
      </c>
      <c r="APW28" s="593">
        <f>'Proy 2022 vs 2019 sem'!GW27*APZ$4</f>
        <v>25327.72</v>
      </c>
      <c r="APX28" s="593">
        <f>'Proy 2022 vs 2019 sem'!GX27*APZ$4</f>
        <v>25327.72</v>
      </c>
      <c r="APY28" s="735"/>
      <c r="APZ28" s="700">
        <f>APY28/APW28</f>
        <v>0</v>
      </c>
      <c r="AQA28" s="579">
        <f>AOY28+APC28+APG28+APK28+APO28+APS28+APW28</f>
        <v>115126</v>
      </c>
      <c r="AQB28" s="574">
        <f>AOZ28+APD28+APH28+APL28+APP28+APT28+APX28</f>
        <v>115126</v>
      </c>
      <c r="AQC28" s="729">
        <f>APA28+APE28+API28+APM28+APQ28+APU28+APY28</f>
        <v>0</v>
      </c>
      <c r="AQD28" s="711">
        <f>AQC28/AQA28</f>
        <v>0</v>
      </c>
      <c r="AQE28" s="593">
        <f>'Proy 2022 vs 2019 sem'!HB27*AQH$4</f>
        <v>12284.9028</v>
      </c>
      <c r="AQF28" s="593">
        <f>'Proy 2022 vs 2019 sem'!HC27*AQH$4</f>
        <v>12284.9028</v>
      </c>
      <c r="AQG28" s="699"/>
      <c r="AQH28" s="700">
        <f>AQG28/AQE28</f>
        <v>0</v>
      </c>
      <c r="AQI28" s="593">
        <f>'Proy 2022 vs 2019 sem'!HB27*AQL$4</f>
        <v>12284.9028</v>
      </c>
      <c r="AQJ28" s="593">
        <f>'Proy 2022 vs 2019 sem'!HC27*AQL$4</f>
        <v>12284.9028</v>
      </c>
      <c r="AQK28" s="699"/>
      <c r="AQL28" s="700">
        <f>AQK28/AQI28</f>
        <v>0</v>
      </c>
      <c r="AQM28" s="593">
        <f>'Proy 2022 vs 2019 sem'!HB27*AQP$4</f>
        <v>12284.9028</v>
      </c>
      <c r="AQN28" s="593">
        <f>'Proy 2022 vs 2019 sem'!HC27*AQP$4</f>
        <v>12284.9028</v>
      </c>
      <c r="AQO28" s="699"/>
      <c r="AQP28" s="700">
        <f>AQO28/AQM28</f>
        <v>0</v>
      </c>
      <c r="AQQ28" s="593">
        <f>'Proy 2022 vs 2019 sem'!HB27*AQT$4</f>
        <v>12284.9028</v>
      </c>
      <c r="AQR28" s="593">
        <f>'Proy 2022 vs 2019 sem'!HC27*AQT$4</f>
        <v>12284.9028</v>
      </c>
      <c r="AQS28" s="699"/>
      <c r="AQT28" s="700">
        <f>AQS28/AQQ28</f>
        <v>0</v>
      </c>
      <c r="AQU28" s="593">
        <f>'Proy 2022 vs 2019 sem'!HB27*AQX$4</f>
        <v>14332.386600000002</v>
      </c>
      <c r="AQV28" s="593">
        <f>'Proy 2022 vs 2019 sem'!HC27*AQX$4</f>
        <v>14332.386600000002</v>
      </c>
      <c r="AQW28" s="699"/>
      <c r="AQX28" s="700">
        <f>AQW28/AQU28</f>
        <v>0</v>
      </c>
      <c r="AQY28" s="593">
        <f>'Proy 2022 vs 2019 sem'!HB27*ARB$4</f>
        <v>16379.870400000002</v>
      </c>
      <c r="AQZ28" s="593">
        <f>'Proy 2022 vs 2019 sem'!HC27*ARB$4</f>
        <v>16379.870400000002</v>
      </c>
      <c r="ARA28" s="699"/>
      <c r="ARB28" s="700">
        <f>ARA28/AQY28</f>
        <v>0</v>
      </c>
      <c r="ARC28" s="593">
        <f>'Proy 2022 vs 2019 sem'!HB27*ARF$4</f>
        <v>22522.321800000002</v>
      </c>
      <c r="ARD28" s="593">
        <f>'Proy 2022 vs 2019 sem'!HC27*ARF$4</f>
        <v>22522.321800000002</v>
      </c>
      <c r="ARE28" s="699"/>
      <c r="ARF28" s="700">
        <f>ARE28/ARC28</f>
        <v>0</v>
      </c>
      <c r="ARG28" s="579">
        <f>AQE28+AQI28+AQM28+AQQ28+AQU28+AQY28+ARC28</f>
        <v>102374.19</v>
      </c>
      <c r="ARH28" s="574">
        <f>AQF28+AQJ28+AQN28+AQR28+AQV28+AQZ28+ARD28</f>
        <v>102374.19</v>
      </c>
      <c r="ARI28" s="730">
        <f>AQG28+AQK28+AQO28+AQS28+AQW28+ARA28+ARE28</f>
        <v>0</v>
      </c>
      <c r="ARJ28" s="711">
        <f>ARI28/ARG28</f>
        <v>0</v>
      </c>
      <c r="ARK28" s="593">
        <f>'Proy 2022 vs 2019 sem'!HG27*ARN$4</f>
        <v>14616.252</v>
      </c>
      <c r="ARL28" s="593">
        <f>'Proy 2022 vs 2019 sem'!HH27*ARN$4</f>
        <v>14323.926960000001</v>
      </c>
      <c r="ARM28" s="699"/>
      <c r="ARN28" s="700">
        <f>ARM28/ARK28</f>
        <v>0</v>
      </c>
      <c r="ARO28" s="593">
        <f>'Proy 2022 vs 2019 sem'!HG27*ARR$4</f>
        <v>14616.252</v>
      </c>
      <c r="ARP28" s="593">
        <f>'Proy 2022 vs 2019 sem'!HH27*ARR$4</f>
        <v>14323.926960000001</v>
      </c>
      <c r="ARQ28" s="699"/>
      <c r="ARR28" s="700">
        <f>ARQ28/ARO28</f>
        <v>0</v>
      </c>
      <c r="ARS28" s="593">
        <f>'Proy 2022 vs 2019 sem'!HG27*ARV$4</f>
        <v>14616.252</v>
      </c>
      <c r="ART28" s="593">
        <f>'Proy 2022 vs 2019 sem'!HH27*ARV$4</f>
        <v>14323.926960000001</v>
      </c>
      <c r="ARU28" s="699"/>
      <c r="ARV28" s="700">
        <f>ARU28/ARS28</f>
        <v>0</v>
      </c>
      <c r="ARW28" s="593">
        <f>'Proy 2022 vs 2019 sem'!HG27*ARZ$4</f>
        <v>14616.252</v>
      </c>
      <c r="ARX28" s="593">
        <f>'Proy 2022 vs 2019 sem'!HH27*ARZ$4</f>
        <v>14323.926960000001</v>
      </c>
      <c r="ARY28" s="699"/>
      <c r="ARZ28" s="700">
        <f>ARY28/ARW28</f>
        <v>0</v>
      </c>
      <c r="ASA28" s="593">
        <f>'Proy 2022 vs 2019 sem'!HG27*ASD$4</f>
        <v>17052.294000000002</v>
      </c>
      <c r="ASB28" s="593">
        <f>'Proy 2022 vs 2019 sem'!HH27*ASD$4</f>
        <v>16711.248120000004</v>
      </c>
      <c r="ASC28" s="699"/>
      <c r="ASD28" s="700">
        <f>ASC28/ASA28</f>
        <v>0</v>
      </c>
      <c r="ASE28" s="593">
        <f>'Proy 2022 vs 2019 sem'!HG27*ASH$4</f>
        <v>19488.336000000003</v>
      </c>
      <c r="ASF28" s="593">
        <f>'Proy 2022 vs 2019 sem'!HH27*ASH$4</f>
        <v>19098.56928</v>
      </c>
      <c r="ASG28" s="699"/>
      <c r="ASH28" s="700">
        <f>ASG28/ASE28</f>
        <v>0</v>
      </c>
      <c r="ASI28" s="593">
        <f>'Proy 2022 vs 2019 sem'!HG27*ASL$4</f>
        <v>26796.462000000003</v>
      </c>
      <c r="ASJ28" s="593">
        <f>'Proy 2022 vs 2019 sem'!HH27*ASL$4</f>
        <v>26260.532760000002</v>
      </c>
      <c r="ASK28" s="699"/>
      <c r="ASL28" s="700">
        <f>ASK28/ASI28</f>
        <v>0</v>
      </c>
      <c r="ASM28" s="579">
        <f>ARK28+ARO28+ARS28+ARW28+ASA28+ASE28+ASI28</f>
        <v>121802.1</v>
      </c>
      <c r="ASN28" s="574">
        <f>ARL28+ARP28+ART28+ARX28+ASB28+ASF28+ASJ28</f>
        <v>119366.058</v>
      </c>
      <c r="ASO28" s="730">
        <f>ARM28+ARQ28+ARU28+ARY28+ASC28+ASG28+ASK28</f>
        <v>0</v>
      </c>
      <c r="ASP28" s="711">
        <f>ASO28/ASM28</f>
        <v>0</v>
      </c>
      <c r="ASQ28" s="593">
        <f>'Proy 2022 vs 2019 sem'!HL27*AST$4</f>
        <v>13612.2168</v>
      </c>
      <c r="ASR28" s="593">
        <f>'Proy 2022 vs 2019 sem'!HM27*AST$4</f>
        <v>13339.972464</v>
      </c>
      <c r="ASS28" s="699"/>
      <c r="AST28" s="700">
        <f>ASS28/ASQ28</f>
        <v>0</v>
      </c>
      <c r="ASU28" s="593">
        <f>'Proy 2022 vs 2019 sem'!HL27*ASX$4</f>
        <v>13612.2168</v>
      </c>
      <c r="ASV28" s="593">
        <f>'Proy 2022 vs 2019 sem'!HM27*ASX$4</f>
        <v>13339.972464</v>
      </c>
      <c r="ASW28" s="699"/>
      <c r="ASX28" s="700">
        <f>ASW28/ASU28</f>
        <v>0</v>
      </c>
      <c r="ASY28" s="593">
        <f>'Proy 2022 vs 2019 sem'!HL27*ATB$4</f>
        <v>13612.2168</v>
      </c>
      <c r="ASZ28" s="593">
        <f>'Proy 2022 vs 2019 sem'!HM27*ATB$4</f>
        <v>13339.972464</v>
      </c>
      <c r="ATA28" s="699"/>
      <c r="ATB28" s="700">
        <f>ATA28/ASY28</f>
        <v>0</v>
      </c>
      <c r="ATC28" s="593">
        <f>'Proy 2022 vs 2019 sem'!HL27*ATF$4</f>
        <v>13612.2168</v>
      </c>
      <c r="ATD28" s="593">
        <f>'Proy 2022 vs 2019 sem'!HM27*ATF$4</f>
        <v>13339.972464</v>
      </c>
      <c r="ATE28" s="699"/>
      <c r="ATF28" s="700">
        <f>ATE28/ATC28</f>
        <v>0</v>
      </c>
      <c r="ATG28" s="593">
        <f>'Proy 2022 vs 2019 sem'!HL27*ATJ$4</f>
        <v>15880.919600000001</v>
      </c>
      <c r="ATH28" s="593">
        <f>'Proy 2022 vs 2019 sem'!HM27*ATJ$4</f>
        <v>15563.301208000001</v>
      </c>
      <c r="ATI28" s="699"/>
      <c r="ATJ28" s="700">
        <f>ATI28/ATG28</f>
        <v>0</v>
      </c>
      <c r="ATK28" s="593">
        <f>'Proy 2022 vs 2019 sem'!HL27*ATN$4</f>
        <v>18149.6224</v>
      </c>
      <c r="ATL28" s="593">
        <f>'Proy 2022 vs 2019 sem'!HM27*ATN$4</f>
        <v>17786.629951999999</v>
      </c>
      <c r="ATM28" s="699"/>
      <c r="ATN28" s="700">
        <f>ATM28/ATK28</f>
        <v>0</v>
      </c>
      <c r="ATO28" s="593">
        <f>'Proy 2022 vs 2019 sem'!HL27*ATR$4</f>
        <v>24955.730800000001</v>
      </c>
      <c r="ATP28" s="593">
        <f>'Proy 2022 vs 2019 sem'!HM27*ATR$4</f>
        <v>24456.616183999999</v>
      </c>
      <c r="ATQ28" s="699"/>
      <c r="ATR28" s="700">
        <f>ATQ28/ATO28</f>
        <v>0</v>
      </c>
      <c r="ATS28" s="579">
        <f>ASQ28+ASU28+ASY28+ATC28+ATG28+ATK28+ATO28</f>
        <v>113435.14</v>
      </c>
      <c r="ATT28" s="574">
        <f>ASR28+ASV28+ASZ28+ATD28+ATH28+ATL28+ATP28</f>
        <v>111166.4372</v>
      </c>
      <c r="ATU28" s="710">
        <f>ASS28+ASW28+ATA28+ATE28+ATI28+ATM28+ATQ28</f>
        <v>0</v>
      </c>
      <c r="ATV28" s="711">
        <f>ATU28/ATS28</f>
        <v>0</v>
      </c>
      <c r="ATW28" s="593">
        <f>'Proy 2022 vs 2019 sem'!HQ27*ATZ$4</f>
        <v>15480.400799999999</v>
      </c>
      <c r="ATX28" s="593">
        <f>'Proy 2022 vs 2019 sem'!HR27*ATZ$4</f>
        <v>15170.792783999999</v>
      </c>
      <c r="ATY28" s="699"/>
      <c r="ATZ28" s="700">
        <f>ATY28/ATW28</f>
        <v>0</v>
      </c>
      <c r="AUA28" s="593">
        <f>'Proy 2022 vs 2019 sem'!HQ27*AUD$4</f>
        <v>15480.400799999999</v>
      </c>
      <c r="AUB28" s="593">
        <f>'Proy 2022 vs 2019 sem'!HR27*AUD$4</f>
        <v>15170.792783999999</v>
      </c>
      <c r="AUC28" s="699"/>
      <c r="AUD28" s="700">
        <f>AUC28/AUA28</f>
        <v>0</v>
      </c>
      <c r="AUE28" s="593">
        <f>'Proy 2022 vs 2019 sem'!HQ27*AUH$4</f>
        <v>15480.400799999999</v>
      </c>
      <c r="AUF28" s="593">
        <f>'Proy 2022 vs 2019 sem'!HR27*AUH$4</f>
        <v>15170.792783999999</v>
      </c>
      <c r="AUG28" s="699"/>
      <c r="AUH28" s="700">
        <f>AUG28/AUE28</f>
        <v>0</v>
      </c>
      <c r="AUI28" s="593">
        <f>'Proy 2022 vs 2019 sem'!HQ27*AUL$4</f>
        <v>15480.400799999999</v>
      </c>
      <c r="AUJ28" s="593">
        <f>'Proy 2022 vs 2019 sem'!HR27*AUL$4</f>
        <v>15170.792783999999</v>
      </c>
      <c r="AUK28" s="699"/>
      <c r="AUL28" s="700">
        <f>AUK28/AUI28</f>
        <v>0</v>
      </c>
      <c r="AUM28" s="593">
        <f>'Proy 2022 vs 2019 sem'!HQ27*AUP$4</f>
        <v>18060.4676</v>
      </c>
      <c r="AUN28" s="593">
        <f>'Proy 2022 vs 2019 sem'!HR27*AUP$4</f>
        <v>17699.258248000002</v>
      </c>
      <c r="AUO28" s="699"/>
      <c r="AUP28" s="700">
        <f>AUO28/AUM28</f>
        <v>0</v>
      </c>
      <c r="AUQ28" s="593">
        <f>'Proy 2022 vs 2019 sem'!HQ27*AUT$4</f>
        <v>20640.5344</v>
      </c>
      <c r="AUR28" s="593">
        <f>'Proy 2022 vs 2019 sem'!HR27*AUT$4</f>
        <v>20227.723711999999</v>
      </c>
      <c r="AUS28" s="699"/>
      <c r="AUT28" s="700">
        <f>AUS28/AUQ28</f>
        <v>0</v>
      </c>
      <c r="AUU28" s="593">
        <f>'Proy 2022 vs 2019 sem'!HQ27*AUX$4</f>
        <v>28380.734799999998</v>
      </c>
      <c r="AUV28" s="593">
        <f>'Proy 2022 vs 2019 sem'!HR27*AUX$4</f>
        <v>27813.120103999998</v>
      </c>
      <c r="AUW28" s="699"/>
      <c r="AUX28" s="700">
        <f>AUW28/AUU28</f>
        <v>0</v>
      </c>
      <c r="AUY28" s="579">
        <f>ATW28+AUA28+AUE28+AUI28+AUM28+AUQ28+AUU28</f>
        <v>129003.34</v>
      </c>
      <c r="AUZ28" s="574">
        <f>ATX28+AUB28+AUF28+AUJ28+AUN28+AUR28+AUV28</f>
        <v>126423.2732</v>
      </c>
      <c r="AVA28" s="710">
        <f>ATY28+AUC28+AUG28+AUK28+AUO28+AUS28+AUW28</f>
        <v>0</v>
      </c>
      <c r="AVB28" s="711">
        <f>AVA28/AUY28</f>
        <v>0</v>
      </c>
      <c r="AVC28" s="593">
        <f>'Proy 2022 vs 2019 sem'!HZ27*AVF$4</f>
        <v>13180.640399999998</v>
      </c>
      <c r="AVD28" s="593">
        <f>'Proy 2022 vs 2019 sem'!IA27*AVF$4</f>
        <v>12917.027591999999</v>
      </c>
      <c r="AVE28" s="735"/>
      <c r="AVF28" s="700">
        <f>AVE28/AVC28</f>
        <v>0</v>
      </c>
      <c r="AVG28" s="593">
        <f>'Proy 2022 vs 2019 sem'!HZ27*AVJ$4</f>
        <v>13180.640399999998</v>
      </c>
      <c r="AVH28" s="593">
        <f>'Proy 2022 vs 2019 sem'!IA27*AVJ$4</f>
        <v>12917.027591999999</v>
      </c>
      <c r="AVI28" s="699"/>
      <c r="AVJ28" s="700">
        <f>AVI28/AVG28</f>
        <v>0</v>
      </c>
      <c r="AVK28" s="593">
        <f>'Proy 2022 vs 2019 sem'!HZ27*AVN$4</f>
        <v>13180.640399999998</v>
      </c>
      <c r="AVL28" s="593">
        <f>'Proy 2022 vs 2019 sem'!IA27*AVN$4</f>
        <v>12917.027591999999</v>
      </c>
      <c r="AVM28" s="699"/>
      <c r="AVN28" s="700">
        <f>AVM28/AVK28</f>
        <v>0</v>
      </c>
      <c r="AVO28" s="593">
        <f>'Proy 2022 vs 2019 sem'!HZ27*AVR$4</f>
        <v>13180.640399999998</v>
      </c>
      <c r="AVP28" s="593">
        <f>'Proy 2022 vs 2019 sem'!IA27*AVR$4</f>
        <v>12917.027591999999</v>
      </c>
      <c r="AVQ28" s="699"/>
      <c r="AVR28" s="700">
        <f>AVQ28/AVO28</f>
        <v>0</v>
      </c>
      <c r="AVS28" s="593">
        <f>'Proy 2022 vs 2019 sem'!HZ27*AVV$4</f>
        <v>15377.413800000002</v>
      </c>
      <c r="AVT28" s="593">
        <f>'Proy 2022 vs 2019 sem'!IA27*AVV$4</f>
        <v>15069.865524000001</v>
      </c>
      <c r="AVU28" s="699"/>
      <c r="AVV28" s="700">
        <f>AVU28/AVS28</f>
        <v>0</v>
      </c>
      <c r="AVW28" s="593">
        <f>'Proy 2022 vs 2019 sem'!HZ27*AVZ$4</f>
        <v>17574.1872</v>
      </c>
      <c r="AVX28" s="593">
        <f>'Proy 2022 vs 2019 sem'!IA27*AVZ$4</f>
        <v>17222.703455999999</v>
      </c>
      <c r="AVY28" s="699"/>
      <c r="AVZ28" s="700">
        <f>AVY28/AVW28</f>
        <v>0</v>
      </c>
      <c r="AWA28" s="593">
        <f>'Proy 2022 vs 2019 sem'!HZ27*AWD$4</f>
        <v>24164.507399999999</v>
      </c>
      <c r="AWB28" s="593">
        <f>'Proy 2022 vs 2019 sem'!IA27*AWD$4</f>
        <v>23681.217251999999</v>
      </c>
      <c r="AWC28" s="699"/>
      <c r="AWD28" s="700">
        <f>AWC28/AWA28</f>
        <v>0</v>
      </c>
      <c r="AWE28" s="579">
        <f>AVC28+AVG28+AVK28+AVO28+AVS28+AVW28+AWA28</f>
        <v>109838.67</v>
      </c>
      <c r="AWF28" s="574">
        <f>AVD28+AVH28+AVL28+AVP28+AVT28+AVX28+AWB28</f>
        <v>107641.89659999999</v>
      </c>
      <c r="AWG28" s="793">
        <f>AVE28+AVI28+AVM28+AVQ28+AVU28+AVY28+AWC28</f>
        <v>0</v>
      </c>
      <c r="AWH28" s="786">
        <f>AWG28/AWE28</f>
        <v>0</v>
      </c>
      <c r="AWI28" s="593">
        <f>'Proy 2022 vs 2019 sem'!IE27*AWL$4</f>
        <v>14800.321199999998</v>
      </c>
      <c r="AWJ28" s="593">
        <f>'Proy 2022 vs 2019 sem'!IF27*AWL$4</f>
        <v>14208.308351999998</v>
      </c>
      <c r="AWK28" s="699"/>
      <c r="AWL28" s="700">
        <f>AWK28/AWI28</f>
        <v>0</v>
      </c>
      <c r="AWM28" s="593">
        <f>'Proy 2022 vs 2019 sem'!IE27*AWP$4</f>
        <v>14800.321199999998</v>
      </c>
      <c r="AWN28" s="593">
        <f>'Proy 2022 vs 2019 sem'!IF27*AWP$4</f>
        <v>14208.308351999998</v>
      </c>
      <c r="AWO28" s="699"/>
      <c r="AWP28" s="700">
        <f>AWO28/AWM28</f>
        <v>0</v>
      </c>
      <c r="AWQ28" s="593">
        <f>'Proy 2022 vs 2019 sem'!IE27*AWT$4</f>
        <v>14800.321199999998</v>
      </c>
      <c r="AWR28" s="593">
        <f>'Proy 2022 vs 2019 sem'!IF27*AWT$4</f>
        <v>14208.308351999998</v>
      </c>
      <c r="AWS28" s="699"/>
      <c r="AWT28" s="700">
        <f>AWS28/AWQ28</f>
        <v>0</v>
      </c>
      <c r="AWU28" s="593">
        <f>'Proy 2022 vs 2019 sem'!IE27*AWX$4</f>
        <v>14800.321199999998</v>
      </c>
      <c r="AWV28" s="593">
        <f>'Proy 2022 vs 2019 sem'!IF27*AWX$4</f>
        <v>14208.308351999998</v>
      </c>
      <c r="AWW28" s="699"/>
      <c r="AWX28" s="700">
        <f>AWW28/AWU28</f>
        <v>0</v>
      </c>
      <c r="AWY28" s="593">
        <f>'Proy 2022 vs 2019 sem'!IE27*AXB$4</f>
        <v>17267.041400000002</v>
      </c>
      <c r="AWZ28" s="593">
        <f>'Proy 2022 vs 2019 sem'!IF27*AXB$4</f>
        <v>16576.359744000001</v>
      </c>
      <c r="AXA28" s="699"/>
      <c r="AXB28" s="700">
        <f>AXA28/AWY28</f>
        <v>0</v>
      </c>
      <c r="AXC28" s="593">
        <f>'Proy 2022 vs 2019 sem'!IE27*AXF$4</f>
        <v>19733.761599999998</v>
      </c>
      <c r="AXD28" s="593">
        <f>'Proy 2022 vs 2019 sem'!IF27*AXF$4</f>
        <v>18944.411135999999</v>
      </c>
      <c r="AXE28" s="699"/>
      <c r="AXF28" s="700">
        <f>AXE28/AXC28</f>
        <v>0</v>
      </c>
      <c r="AXG28" s="593">
        <f>'Proy 2022 vs 2019 sem'!IE27*AXJ$4</f>
        <v>27133.922199999997</v>
      </c>
      <c r="AXH28" s="593">
        <f>'Proy 2022 vs 2019 sem'!IF27*AXJ$4</f>
        <v>26048.565311999999</v>
      </c>
      <c r="AXI28" s="699"/>
      <c r="AXJ28" s="700">
        <f>AXI28/AXG28</f>
        <v>0</v>
      </c>
      <c r="AXK28" s="579">
        <f>AWI28+AWM28+AWQ28+AWU28+AWY28+AXC28+AXG28</f>
        <v>123336.01</v>
      </c>
      <c r="AXL28" s="574">
        <f>AWJ28+AWN28+AWR28+AWV28+AWZ28+AXD28+AXH28</f>
        <v>118402.56959999999</v>
      </c>
      <c r="AXM28" s="794">
        <f>AWK28+AWO28+AWS28+AWW28+AXA28+AXE28+AXI28</f>
        <v>0</v>
      </c>
      <c r="AXN28" s="786">
        <f>AXM28/AXK28</f>
        <v>0</v>
      </c>
      <c r="AXO28" s="593">
        <f>'Proy 2022 vs 2019 sem'!IJ27*AXR$4</f>
        <v>14153.58</v>
      </c>
      <c r="AXP28" s="593">
        <f>'Proy 2022 vs 2019 sem'!IK27*AXR$4</f>
        <v>14012.0442</v>
      </c>
      <c r="AXQ28" s="699"/>
      <c r="AXR28" s="700">
        <f>AXQ28/AXO28</f>
        <v>0</v>
      </c>
      <c r="AXS28" s="593">
        <f>'Proy 2022 vs 2019 sem'!IJ27*AXV$4</f>
        <v>14153.58</v>
      </c>
      <c r="AXT28" s="593">
        <f>'Proy 2022 vs 2019 sem'!IK27*AXV$4</f>
        <v>14012.0442</v>
      </c>
      <c r="AXU28" s="699"/>
      <c r="AXV28" s="700">
        <f>AXU28/AXS28</f>
        <v>0</v>
      </c>
      <c r="AXW28" s="593">
        <f>'Proy 2022 vs 2019 sem'!IJ27*AXZ$4</f>
        <v>14153.58</v>
      </c>
      <c r="AXX28" s="593">
        <f>'Proy 2022 vs 2019 sem'!IK27*AXZ$4</f>
        <v>14012.0442</v>
      </c>
      <c r="AXY28" s="699"/>
      <c r="AXZ28" s="700">
        <f>AXY28/AXW28</f>
        <v>0</v>
      </c>
      <c r="AYA28" s="593">
        <f>'Proy 2022 vs 2019 sem'!IJ27*AYD$4</f>
        <v>14153.58</v>
      </c>
      <c r="AYB28" s="593">
        <f>'Proy 2022 vs 2019 sem'!IK27*AYD$4</f>
        <v>14012.0442</v>
      </c>
      <c r="AYC28" s="699"/>
      <c r="AYD28" s="700">
        <f>AYC28/AYA28</f>
        <v>0</v>
      </c>
      <c r="AYE28" s="593">
        <f>'Proy 2022 vs 2019 sem'!IJ27*AYH$4</f>
        <v>16512.510000000002</v>
      </c>
      <c r="AYF28" s="593">
        <f>'Proy 2022 vs 2019 sem'!IK27*AYH$4</f>
        <v>16347.384900000003</v>
      </c>
      <c r="AYG28" s="699"/>
      <c r="AYH28" s="700">
        <f>AYG28/AYE28</f>
        <v>0</v>
      </c>
      <c r="AYI28" s="593">
        <f>'Proy 2022 vs 2019 sem'!IJ27*AYL$4</f>
        <v>18871.439999999999</v>
      </c>
      <c r="AYJ28" s="593">
        <f>'Proy 2022 vs 2019 sem'!IK27*AYL$4</f>
        <v>18682.725600000002</v>
      </c>
      <c r="AYK28" s="699"/>
      <c r="AYL28" s="700">
        <f>AYK28/AYI28</f>
        <v>0</v>
      </c>
      <c r="AYM28" s="593">
        <f>'Proy 2022 vs 2019 sem'!IJ27*AYP$4</f>
        <v>25948.23</v>
      </c>
      <c r="AYN28" s="593">
        <f>'Proy 2022 vs 2019 sem'!IK27*AYP$4</f>
        <v>25688.7477</v>
      </c>
      <c r="AYO28" s="699"/>
      <c r="AYP28" s="700">
        <f>AYO28/AYM28</f>
        <v>0</v>
      </c>
      <c r="AYQ28" s="579">
        <f>AXO28+AXS28+AXW28+AYA28+AYE28+AYI28+AYM28</f>
        <v>117946.5</v>
      </c>
      <c r="AYR28" s="574">
        <f>AXP28+AXT28+AXX28+AYB28+AYF28+AYJ28+AYN28</f>
        <v>116767.035</v>
      </c>
      <c r="AYS28" s="794">
        <f>AXQ28+AXU28+AXY28+AYC28+AYG28+AYK28+AYO28</f>
        <v>0</v>
      </c>
      <c r="AYT28" s="786">
        <f>AYS28/AYQ28</f>
        <v>0</v>
      </c>
      <c r="AYU28" s="593">
        <f>'Proy 2022 vs 2019 sem'!IO27*AYX$4</f>
        <v>16279.08</v>
      </c>
      <c r="AYV28" s="593">
        <f>'Proy 2022 vs 2019 sem'!IP27*AYX$4</f>
        <v>15790.707600000002</v>
      </c>
      <c r="AYW28" s="699"/>
      <c r="AYX28" s="700">
        <f>AYW28/AYU28</f>
        <v>0</v>
      </c>
      <c r="AYY28" s="593">
        <f>'Proy 2022 vs 2019 sem'!IO27*AZB$4</f>
        <v>16279.08</v>
      </c>
      <c r="AYZ28" s="593">
        <f>'Proy 2022 vs 2019 sem'!IP27*AZB$4</f>
        <v>15790.707600000002</v>
      </c>
      <c r="AZA28" s="699"/>
      <c r="AZB28" s="700">
        <f>AZA28/AYY28</f>
        <v>0</v>
      </c>
      <c r="AZC28" s="593">
        <f>'Proy 2022 vs 2019 sem'!IO27*AZF$4</f>
        <v>16279.08</v>
      </c>
      <c r="AZD28" s="593">
        <f>'Proy 2022 vs 2019 sem'!IP27*AZF$4</f>
        <v>15790.707600000002</v>
      </c>
      <c r="AZE28" s="699"/>
      <c r="AZF28" s="700">
        <f>AZE28/AZC28</f>
        <v>0</v>
      </c>
      <c r="AZG28" s="593">
        <f>'Proy 2022 vs 2019 sem'!IO27*AZJ$4</f>
        <v>16279.08</v>
      </c>
      <c r="AZH28" s="593">
        <f>'Proy 2022 vs 2019 sem'!IP27*AZJ$4</f>
        <v>15790.707600000002</v>
      </c>
      <c r="AZI28" s="699"/>
      <c r="AZJ28" s="700">
        <f>AZI28/AZG28</f>
        <v>0</v>
      </c>
      <c r="AZK28" s="593">
        <f>'Proy 2022 vs 2019 sem'!IO27*AZN$4</f>
        <v>18992.260000000002</v>
      </c>
      <c r="AZL28" s="593">
        <f>'Proy 2022 vs 2019 sem'!IP27*AZN$4</f>
        <v>18422.492200000004</v>
      </c>
      <c r="AZM28" s="699"/>
      <c r="AZN28" s="700">
        <f>AZM28/AZK28</f>
        <v>0</v>
      </c>
      <c r="AZO28" s="593">
        <f>'Proy 2022 vs 2019 sem'!IO27*AZR$4</f>
        <v>21705.439999999999</v>
      </c>
      <c r="AZP28" s="593">
        <f>'Proy 2022 vs 2019 sem'!IP27*AZR$4</f>
        <v>21054.276800000003</v>
      </c>
      <c r="AZQ28" s="699"/>
      <c r="AZR28" s="700">
        <f>AZQ28/AZO28</f>
        <v>0</v>
      </c>
      <c r="AZS28" s="593">
        <f>'Proy 2022 vs 2019 sem'!IO27*AZV$4</f>
        <v>29844.98</v>
      </c>
      <c r="AZT28" s="593">
        <f>'Proy 2022 vs 2019 sem'!IP27*AZV$4</f>
        <v>28949.630600000004</v>
      </c>
      <c r="AZU28" s="699"/>
      <c r="AZV28" s="700">
        <f>AZU28/AZS28</f>
        <v>0</v>
      </c>
      <c r="AZW28" s="579">
        <f>AYU28+AYY28+AZC28+AZG28+AZK28+AZO28+AZS28</f>
        <v>135659</v>
      </c>
      <c r="AZX28" s="574">
        <f>AYV28+AYZ28+AZD28+AZH28+AZL28+AZP28+AZT28</f>
        <v>131589.23000000004</v>
      </c>
      <c r="AZY28" s="785">
        <f>AYW28+AZA28+AZE28+AZI28+AZM28+AZQ28+AZU28</f>
        <v>0</v>
      </c>
      <c r="AZZ28" s="786">
        <f>AZY28/AZW28</f>
        <v>0</v>
      </c>
      <c r="BAA28" s="593">
        <f>'Proy 2022 vs 2019 sem'!IX27*BAD$4</f>
        <v>12991.332</v>
      </c>
      <c r="BAB28" s="593">
        <f>'Proy 2022 vs 2019 sem'!IY27*BAD$4</f>
        <v>12601.59204</v>
      </c>
      <c r="BAC28" s="735"/>
      <c r="BAD28" s="700">
        <f>BAC28/BAA28</f>
        <v>0</v>
      </c>
      <c r="BAE28" s="593">
        <f>'Proy 2022 vs 2019 sem'!IX27*BAH$4</f>
        <v>12991.332</v>
      </c>
      <c r="BAF28" s="593">
        <f>'Proy 2022 vs 2019 sem'!IY27*BAH$4</f>
        <v>12601.59204</v>
      </c>
      <c r="BAG28" s="699"/>
      <c r="BAH28" s="700">
        <f>BAG28/BAE28</f>
        <v>0</v>
      </c>
      <c r="BAI28" s="593">
        <f>'Proy 2022 vs 2019 sem'!IX27*BAL$4</f>
        <v>12991.332</v>
      </c>
      <c r="BAJ28" s="593">
        <f>'Proy 2022 vs 2019 sem'!IY27*BAL$4</f>
        <v>12601.59204</v>
      </c>
      <c r="BAK28" s="699"/>
      <c r="BAL28" s="700">
        <f>BAK28/BAI28</f>
        <v>0</v>
      </c>
      <c r="BAM28" s="593">
        <f>'Proy 2022 vs 2019 sem'!IX27*BAP$4</f>
        <v>12991.332</v>
      </c>
      <c r="BAN28" s="593">
        <f>'Proy 2022 vs 2019 sem'!IY27*BAP$4</f>
        <v>12601.59204</v>
      </c>
      <c r="BAO28" s="699"/>
      <c r="BAP28" s="700">
        <f>BAO28/BAM28</f>
        <v>0</v>
      </c>
      <c r="BAQ28" s="593">
        <f>'Proy 2022 vs 2019 sem'!IX27*BAT$4</f>
        <v>15156.554000000002</v>
      </c>
      <c r="BAR28" s="593">
        <f>'Proy 2022 vs 2019 sem'!IY27*BAT$4</f>
        <v>14701.857380000003</v>
      </c>
      <c r="BAS28" s="699"/>
      <c r="BAT28" s="700">
        <f>BAS28/BAQ28</f>
        <v>0</v>
      </c>
      <c r="BAU28" s="593">
        <f>'Proy 2022 vs 2019 sem'!IX27*BAX$4</f>
        <v>17321.776000000002</v>
      </c>
      <c r="BAV28" s="593">
        <f>'Proy 2022 vs 2019 sem'!IY27*BAX$4</f>
        <v>16802.122720000003</v>
      </c>
      <c r="BAW28" s="699"/>
      <c r="BAX28" s="700">
        <f>BAW28/BAU28</f>
        <v>0</v>
      </c>
      <c r="BAY28" s="593">
        <f>'Proy 2022 vs 2019 sem'!IX27*BBB$4</f>
        <v>23817.442000000003</v>
      </c>
      <c r="BAZ28" s="593">
        <f>'Proy 2022 vs 2019 sem'!IY27*BBB$4</f>
        <v>23102.918740000001</v>
      </c>
      <c r="BBA28" s="699"/>
      <c r="BBB28" s="700">
        <f>BBA28/BAY28</f>
        <v>0</v>
      </c>
      <c r="BBC28" s="579">
        <f>BAA28+BAE28+BAI28+BAM28+BAQ28+BAU28+BAY28</f>
        <v>108261.1</v>
      </c>
      <c r="BBD28" s="574">
        <f>BAB28+BAF28+BAJ28+BAN28+BAR28+BAV28+BAZ28</f>
        <v>105013.26699999999</v>
      </c>
      <c r="BBE28" s="759">
        <f>BAC28+BAG28+BAK28+BAO28+BAS28+BAW28+BBA28</f>
        <v>0</v>
      </c>
      <c r="BBF28" s="761">
        <f>BBE28/BBC28</f>
        <v>0</v>
      </c>
      <c r="BBG28" s="593">
        <f>'Proy 2022 vs 2019 sem'!JC27*BBJ$4</f>
        <v>15683.103599999999</v>
      </c>
      <c r="BBH28" s="593">
        <f>'Proy 2022 vs 2019 sem'!JD27*BBJ$4</f>
        <v>14742.117383999999</v>
      </c>
      <c r="BBI28" s="699"/>
      <c r="BBJ28" s="700">
        <f>BBI28/BBG28</f>
        <v>0</v>
      </c>
      <c r="BBK28" s="593">
        <f>'Proy 2022 vs 2019 sem'!JC27*BBN$4</f>
        <v>15683.103599999999</v>
      </c>
      <c r="BBL28" s="593">
        <f>'Proy 2022 vs 2019 sem'!JD27*BBN$4</f>
        <v>14742.117383999999</v>
      </c>
      <c r="BBM28" s="699"/>
      <c r="BBN28" s="700">
        <f>BBM28/BBK28</f>
        <v>0</v>
      </c>
      <c r="BBO28" s="593">
        <f>'Proy 2022 vs 2019 sem'!JC27*BBR$4</f>
        <v>15683.103599999999</v>
      </c>
      <c r="BBP28" s="593">
        <f>'Proy 2022 vs 2019 sem'!JD27*BBR$4</f>
        <v>14742.117383999999</v>
      </c>
      <c r="BBQ28" s="699"/>
      <c r="BBR28" s="700">
        <f>BBQ28/BBO28</f>
        <v>0</v>
      </c>
      <c r="BBS28" s="593">
        <f>'Proy 2022 vs 2019 sem'!JC27*BBV$4</f>
        <v>15683.103599999999</v>
      </c>
      <c r="BBT28" s="593">
        <f>'Proy 2022 vs 2019 sem'!JD27*BBV$4</f>
        <v>14742.117383999999</v>
      </c>
      <c r="BBU28" s="699"/>
      <c r="BBV28" s="700">
        <f>BBU28/BBS28</f>
        <v>0</v>
      </c>
      <c r="BBW28" s="593">
        <f>'Proy 2022 vs 2019 sem'!JC27*BBZ$4</f>
        <v>18296.9542</v>
      </c>
      <c r="BBX28" s="593">
        <f>'Proy 2022 vs 2019 sem'!JD27*BBZ$4</f>
        <v>17199.136948000003</v>
      </c>
      <c r="BBY28" s="699"/>
      <c r="BBZ28" s="700">
        <f>BBY28/BBW28</f>
        <v>0</v>
      </c>
      <c r="BCA28" s="593">
        <f>'Proy 2022 vs 2019 sem'!JC27*BCD$4</f>
        <v>20910.804800000002</v>
      </c>
      <c r="BCB28" s="593">
        <f>'Proy 2022 vs 2019 sem'!JD27*BCD$4</f>
        <v>19656.156512000001</v>
      </c>
      <c r="BCC28" s="699"/>
      <c r="BCD28" s="700">
        <f>BCC28/BCA28</f>
        <v>0</v>
      </c>
      <c r="BCE28" s="593">
        <f>'Proy 2022 vs 2019 sem'!JC27*BCH$4</f>
        <v>28752.356599999999</v>
      </c>
      <c r="BCF28" s="593">
        <f>'Proy 2022 vs 2019 sem'!JD27*BCH$4</f>
        <v>27027.215204</v>
      </c>
      <c r="BCG28" s="699"/>
      <c r="BCH28" s="700">
        <f>BCG28/BCE28</f>
        <v>0</v>
      </c>
      <c r="BCI28" s="579">
        <f>BBG28+BBK28+BBO28+BBS28+BBW28+BCA28+BCE28</f>
        <v>130692.52999999998</v>
      </c>
      <c r="BCJ28" s="574">
        <f>BBH28+BBL28+BBP28+BBT28+BBX28+BCB28+BCF28</f>
        <v>122850.97820000001</v>
      </c>
      <c r="BCK28" s="765">
        <f>BBI28+BBM28+BBQ28+BBU28+BBY28+BCC28+BCG28</f>
        <v>0</v>
      </c>
      <c r="BCL28" s="761">
        <f>BCK28/BCI28</f>
        <v>0</v>
      </c>
      <c r="BCM28" s="593">
        <f>'Proy 2022 vs 2019 sem'!JH27*BCP$4</f>
        <v>17260.207200000001</v>
      </c>
      <c r="BCN28" s="593">
        <f>'Proy 2022 vs 2019 sem'!JI27*BCP$4</f>
        <v>16569.798911999998</v>
      </c>
      <c r="BCO28" s="699"/>
      <c r="BCP28" s="700">
        <f>BCO28/BCM28</f>
        <v>0</v>
      </c>
      <c r="BCQ28" s="593">
        <f>'Proy 2022 vs 2019 sem'!JH27*BCT$4</f>
        <v>17260.207200000001</v>
      </c>
      <c r="BCR28" s="593">
        <f>'Proy 2022 vs 2019 sem'!JI27*BCT$4</f>
        <v>16569.798911999998</v>
      </c>
      <c r="BCS28" s="699"/>
      <c r="BCT28" s="700">
        <f>BCS28/BCQ28</f>
        <v>0</v>
      </c>
      <c r="BCU28" s="593">
        <f>'Proy 2022 vs 2019 sem'!JH27*BCX$4</f>
        <v>17260.207200000001</v>
      </c>
      <c r="BCV28" s="593">
        <f>'Proy 2022 vs 2019 sem'!JI27*BCX$4</f>
        <v>16569.798911999998</v>
      </c>
      <c r="BCW28" s="699"/>
      <c r="BCX28" s="700">
        <f>BCW28/BCU28</f>
        <v>0</v>
      </c>
      <c r="BCY28" s="593">
        <f>'Proy 2022 vs 2019 sem'!JH27*BDB$4</f>
        <v>17260.207200000001</v>
      </c>
      <c r="BCZ28" s="593">
        <f>'Proy 2022 vs 2019 sem'!JI27*BDB$4</f>
        <v>16569.798911999998</v>
      </c>
      <c r="BDA28" s="699"/>
      <c r="BDB28" s="700">
        <f>BDA28/BCY28</f>
        <v>0</v>
      </c>
      <c r="BDC28" s="593">
        <f>'Proy 2022 vs 2019 sem'!JH27*BDF$4</f>
        <v>20136.9084</v>
      </c>
      <c r="BDD28" s="593">
        <f>'Proy 2022 vs 2019 sem'!JI27*BDF$4</f>
        <v>19331.432064000004</v>
      </c>
      <c r="BDE28" s="699"/>
      <c r="BDF28" s="700">
        <f>BDE28/BDC28</f>
        <v>0</v>
      </c>
      <c r="BDG28" s="593">
        <f>'Proy 2022 vs 2019 sem'!JH27*BDJ$4</f>
        <v>23013.6096</v>
      </c>
      <c r="BDH28" s="593">
        <f>'Proy 2022 vs 2019 sem'!JI27*BDJ$4</f>
        <v>22093.065216000003</v>
      </c>
      <c r="BDI28" s="699"/>
      <c r="BDJ28" s="700">
        <f>BDI28/BDG28</f>
        <v>0</v>
      </c>
      <c r="BDK28" s="593">
        <f>'Proy 2022 vs 2019 sem'!JH27*BDN$4</f>
        <v>31643.713199999998</v>
      </c>
      <c r="BDL28" s="593">
        <f>'Proy 2022 vs 2019 sem'!JI27*BDN$4</f>
        <v>30377.964672000002</v>
      </c>
      <c r="BDM28" s="699"/>
      <c r="BDN28" s="700">
        <f>BDM28/BDK28</f>
        <v>0</v>
      </c>
      <c r="BDO28" s="579">
        <f>BCM28+BCQ28+BCU28+BCY28+BDC28+BDG28+BDK28</f>
        <v>143835.06</v>
      </c>
      <c r="BDP28" s="574">
        <f>BCN28+BCR28+BCV28+BCZ28+BDD28+BDH28+BDL28</f>
        <v>138081.65760000001</v>
      </c>
      <c r="BDQ28" s="765">
        <f>BCO28+BCS28+BCW28+BDA28+BDE28+BDI28+BDM28</f>
        <v>0</v>
      </c>
      <c r="BDR28" s="761">
        <f>BDQ28/BDO28</f>
        <v>0</v>
      </c>
      <c r="BDS28" s="593">
        <f>'Proy 2022 vs 2019 sem'!JM27*BDV$4</f>
        <v>16945.293600000001</v>
      </c>
      <c r="BDT28" s="593">
        <f>'Proy 2022 vs 2019 sem'!JN27*BDV$4</f>
        <v>16098.028919999997</v>
      </c>
      <c r="BDU28" s="699"/>
      <c r="BDV28" s="700">
        <f>BDU28/BDS28</f>
        <v>0</v>
      </c>
      <c r="BDW28" s="593">
        <f>'Proy 2022 vs 2019 sem'!JM27*BDZ$4</f>
        <v>16945.293600000001</v>
      </c>
      <c r="BDX28" s="593">
        <f>'Proy 2022 vs 2019 sem'!JN27*BDZ$4</f>
        <v>16098.028919999997</v>
      </c>
      <c r="BDY28" s="699"/>
      <c r="BDZ28" s="700">
        <f>BDY28/BDW28</f>
        <v>0</v>
      </c>
      <c r="BEA28" s="593">
        <f>'Proy 2022 vs 2019 sem'!JM27*BED$4</f>
        <v>16945.293600000001</v>
      </c>
      <c r="BEB28" s="593">
        <f>'Proy 2022 vs 2019 sem'!JN27*BED$4</f>
        <v>16098.028919999997</v>
      </c>
      <c r="BEC28" s="699"/>
      <c r="BED28" s="700">
        <f>BEC28/BEA28</f>
        <v>0</v>
      </c>
      <c r="BEE28" s="593">
        <v>14507.990400000001</v>
      </c>
      <c r="BEF28" s="593">
        <f>'Proy 2022 vs 2019 sem'!JN27*BEH$4</f>
        <v>16098.028919999997</v>
      </c>
      <c r="BEG28" s="699"/>
      <c r="BEH28" s="700">
        <f>BEG28/BEE28</f>
        <v>0</v>
      </c>
      <c r="BEI28" s="593">
        <f>'Proy 2022 vs 2019 sem'!JM27*BEL$4</f>
        <v>19769.5092</v>
      </c>
      <c r="BEJ28" s="593">
        <f>'Proy 2022 vs 2019 sem'!JN27*BEL$4</f>
        <v>18781.033739999999</v>
      </c>
      <c r="BEK28" s="699"/>
      <c r="BEL28" s="700">
        <f>BEK28/BEI28</f>
        <v>0</v>
      </c>
      <c r="BEM28" s="593">
        <f>'Proy 2022 vs 2019 sem'!JM27*BEP$4</f>
        <v>22593.7248</v>
      </c>
      <c r="BEN28" s="593">
        <f>'Proy 2022 vs 2019 sem'!JN27*BEP$4</f>
        <v>21464.038559999997</v>
      </c>
      <c r="BEO28" s="699"/>
      <c r="BEP28" s="700">
        <f>BEO28/BEM28</f>
        <v>0</v>
      </c>
      <c r="BEQ28" s="593">
        <f>'Proy 2022 vs 2019 sem'!JM27*BET$4</f>
        <v>31066.371599999999</v>
      </c>
      <c r="BER28" s="593">
        <f>'Proy 2022 vs 2019 sem'!JN27*BET$4</f>
        <v>29513.053019999996</v>
      </c>
      <c r="BES28" s="699"/>
      <c r="BET28" s="700">
        <f>BES28/BEQ28</f>
        <v>0</v>
      </c>
      <c r="BEU28" s="579">
        <f>BDS28+BDW28+BEA28+BEE28+BEI28+BEM28+BEQ28</f>
        <v>138773.4768</v>
      </c>
      <c r="BEV28" s="574">
        <f>BDT28+BDX28+BEB28+BEF28+BEJ28+BEN28+BER28</f>
        <v>134150.24099999998</v>
      </c>
      <c r="BEW28" s="770">
        <f>BDU28+BDY28+BEC28+BEG28+BEK28+BEO28+BES28</f>
        <v>0</v>
      </c>
      <c r="BEX28" s="761">
        <f>BEW28/BEU28</f>
        <v>0</v>
      </c>
      <c r="BEY28" s="593">
        <f>'Proy 2022 vs 2019 sem'!JV27*BFB$4</f>
        <v>23160.339599999999</v>
      </c>
      <c r="BEZ28" s="593">
        <f>'Proy 2022 vs 2019 sem'!JW27*BFB$4</f>
        <v>21770.719223999997</v>
      </c>
      <c r="BFA28" s="735"/>
      <c r="BFB28" s="700">
        <f>BFA28/BEY28</f>
        <v>0</v>
      </c>
      <c r="BFC28" s="593">
        <f>'Proy 2022 vs 2019 sem'!JV27*BFF$4</f>
        <v>23160.339599999999</v>
      </c>
      <c r="BFD28" s="593">
        <f>'Proy 2022 vs 2019 sem'!JW27*BFF$4</f>
        <v>21770.719223999997</v>
      </c>
      <c r="BFE28" s="735"/>
      <c r="BFF28" s="700">
        <f>BFE28/BFC28</f>
        <v>0</v>
      </c>
      <c r="BFG28" s="593">
        <f>'Proy 2022 vs 2019 sem'!JV27*BFJ$4</f>
        <v>23160.339599999999</v>
      </c>
      <c r="BFH28" s="593">
        <f>'Proy 2022 vs 2019 sem'!JW27*BFJ$4</f>
        <v>21770.719223999997</v>
      </c>
      <c r="BFI28" s="735"/>
      <c r="BFJ28" s="700">
        <f>BFI28/BFG28</f>
        <v>0</v>
      </c>
      <c r="BFK28" s="593">
        <f>'Proy 2022 vs 2019 sem'!JV27*BFN$4</f>
        <v>23160.339599999999</v>
      </c>
      <c r="BFL28" s="593">
        <f>'Proy 2022 vs 2019 sem'!JW27*BFN$4</f>
        <v>21770.719223999997</v>
      </c>
      <c r="BFM28" s="735"/>
      <c r="BFN28" s="700">
        <f>BFM28/BFK28</f>
        <v>0</v>
      </c>
      <c r="BFO28" s="593">
        <f>'Proy 2022 vs 2019 sem'!JV27*BFR$4</f>
        <v>27020.396199999999</v>
      </c>
      <c r="BFP28" s="593">
        <f>'Proy 2022 vs 2019 sem'!JW27*BFR$4</f>
        <v>25399.172428000002</v>
      </c>
      <c r="BFQ28" s="735"/>
      <c r="BFR28" s="700">
        <f>BFQ28/BFO28</f>
        <v>0</v>
      </c>
      <c r="BFS28" s="593">
        <f>'Proy 2022 vs 2019 sem'!JV27*BFV$4</f>
        <v>30880.452799999999</v>
      </c>
      <c r="BFT28" s="593">
        <f>'Proy 2022 vs 2019 sem'!JW27*BFV$4</f>
        <v>29027.625631999999</v>
      </c>
      <c r="BFU28" s="735"/>
      <c r="BFV28" s="700">
        <f>BFU28/BFS28</f>
        <v>0</v>
      </c>
      <c r="BFW28" s="593">
        <f>'Proy 2022 vs 2019 sem'!JV27*BFZ$4</f>
        <v>42460.622599999995</v>
      </c>
      <c r="BFX28" s="593">
        <f>'Proy 2022 vs 2019 sem'!JW27*BFZ$4</f>
        <v>39912.985243999996</v>
      </c>
      <c r="BFY28" s="735"/>
      <c r="BFZ28" s="700">
        <f>BFY28/BFW28</f>
        <v>0</v>
      </c>
      <c r="BGA28" s="579">
        <f>BEY28+BFC28+BFG28+BFK28+BFO28+BFS28+BFW28</f>
        <v>193002.83000000002</v>
      </c>
      <c r="BGB28" s="574">
        <f>BEZ28+BFD28+BFH28+BFL28+BFP28+BFT28+BFX28</f>
        <v>181422.66019999998</v>
      </c>
      <c r="BGC28" s="729">
        <f>BFA28+BFE28+BFI28+BFM28+BFQ28+BFU28+BFY28</f>
        <v>0</v>
      </c>
      <c r="BGD28" s="711">
        <f>BGC28/BGA28</f>
        <v>0</v>
      </c>
      <c r="BGE28" s="593">
        <f>'Proy 2022 vs 2019 sem'!KA27*BGH$4</f>
        <v>27328.565999999999</v>
      </c>
      <c r="BGF28" s="593">
        <f>'Proy 2022 vs 2019 sem'!KB27*BGH$4</f>
        <v>25415.566379999997</v>
      </c>
      <c r="BGG28" s="699"/>
      <c r="BGH28" s="700">
        <f>BGG28/BGE28</f>
        <v>0</v>
      </c>
      <c r="BGI28" s="593">
        <f>'Proy 2022 vs 2019 sem'!KA27*BGL$4</f>
        <v>27328.565999999999</v>
      </c>
      <c r="BGJ28" s="593">
        <f>'Proy 2022 vs 2019 sem'!KB27*BGL$4</f>
        <v>25415.566379999997</v>
      </c>
      <c r="BGK28" s="699"/>
      <c r="BGL28" s="700">
        <f>BGK28/BGI28</f>
        <v>0</v>
      </c>
      <c r="BGM28" s="593">
        <f>'Proy 2022 vs 2019 sem'!KA27*BGP$4</f>
        <v>27328.565999999999</v>
      </c>
      <c r="BGN28" s="593">
        <f>'Proy 2022 vs 2019 sem'!KB27*BGP$4</f>
        <v>25415.566379999997</v>
      </c>
      <c r="BGO28" s="699"/>
      <c r="BGP28" s="700">
        <f>BGO28/BGM28</f>
        <v>0</v>
      </c>
      <c r="BGQ28" s="593">
        <f>'Proy 2022 vs 2019 sem'!KA27*BGT$4</f>
        <v>27328.565999999999</v>
      </c>
      <c r="BGR28" s="593">
        <f>'Proy 2022 vs 2019 sem'!KB27*BGT$4</f>
        <v>25415.566379999997</v>
      </c>
      <c r="BGS28" s="699"/>
      <c r="BGT28" s="700">
        <f>BGS28/BGQ28</f>
        <v>0</v>
      </c>
      <c r="BGU28" s="593">
        <f>'Proy 2022 vs 2019 sem'!KA27*BGX$4</f>
        <v>31883.327000000001</v>
      </c>
      <c r="BGV28" s="593">
        <f>'Proy 2022 vs 2019 sem'!KB27*BGX$4</f>
        <v>29651.494110000003</v>
      </c>
      <c r="BGW28" s="699"/>
      <c r="BGX28" s="700">
        <f>BGW28/BGU28</f>
        <v>0</v>
      </c>
      <c r="BGY28" s="593">
        <f>'Proy 2022 vs 2019 sem'!KA27*BHB$4</f>
        <v>36438.087999999996</v>
      </c>
      <c r="BGZ28" s="593">
        <f>'Proy 2022 vs 2019 sem'!KB27*BHB$4</f>
        <v>33887.421840000003</v>
      </c>
      <c r="BHA28" s="699"/>
      <c r="BHB28" s="700">
        <f>BHA28/BGY28</f>
        <v>0</v>
      </c>
      <c r="BHC28" s="593">
        <f>'Proy 2022 vs 2019 sem'!KA27*BHF$4</f>
        <v>50102.370999999999</v>
      </c>
      <c r="BHD28" s="593">
        <f>'Proy 2022 vs 2019 sem'!KB27*BHF$4</f>
        <v>46595.205029999997</v>
      </c>
      <c r="BHE28" s="699"/>
      <c r="BHF28" s="700">
        <f>BHE28/BHC28</f>
        <v>0</v>
      </c>
      <c r="BHG28" s="579">
        <f>BGE28+BGI28+BGM28+BGQ28+BGU28+BGY28+BHC28</f>
        <v>227738.05</v>
      </c>
      <c r="BHH28" s="574">
        <f>BGF28+BGJ28+BGN28+BGR28+BGV28+BGZ28+BHD28</f>
        <v>211796.38649999996</v>
      </c>
      <c r="BHI28" s="730">
        <f>BGG28+BGK28+BGO28+BGS28+BGW28+BHA28+BHE28</f>
        <v>0</v>
      </c>
      <c r="BHJ28" s="711">
        <f>BHI28/BHG28</f>
        <v>0</v>
      </c>
      <c r="BHK28" s="593">
        <f>'Proy 2022 vs 2019 sem'!KF27*BHN$4</f>
        <v>33505.257599999997</v>
      </c>
      <c r="BHL28" s="593">
        <f>'Proy 2022 vs 2019 sem'!KG27*BHN$4</f>
        <v>31159.889567999999</v>
      </c>
      <c r="BHM28" s="699"/>
      <c r="BHN28" s="700">
        <f>BHM28/BHK28</f>
        <v>0</v>
      </c>
      <c r="BHO28" s="593">
        <f>'Proy 2022 vs 2019 sem'!KF27*BHR$4</f>
        <v>33505.257599999997</v>
      </c>
      <c r="BHP28" s="593">
        <f>'Proy 2022 vs 2019 sem'!KG27*BHR$4</f>
        <v>31159.889567999999</v>
      </c>
      <c r="BHQ28" s="699"/>
      <c r="BHR28" s="700">
        <f>BHQ28/BHO28</f>
        <v>0</v>
      </c>
      <c r="BHS28" s="593">
        <f>'Proy 2022 vs 2019 sem'!KF27*BHV$4</f>
        <v>33505.257599999997</v>
      </c>
      <c r="BHT28" s="593">
        <f>'Proy 2022 vs 2019 sem'!KG27*BHV$4</f>
        <v>31159.889567999999</v>
      </c>
      <c r="BHU28" s="699"/>
      <c r="BHV28" s="700">
        <f>BHU28/BHS28</f>
        <v>0</v>
      </c>
      <c r="BHW28" s="593">
        <f>'Proy 2022 vs 2019 sem'!KF27*BHZ$4</f>
        <v>33505.257599999997</v>
      </c>
      <c r="BHX28" s="593">
        <f>'Proy 2022 vs 2019 sem'!KG27*BHZ$4</f>
        <v>31159.889567999999</v>
      </c>
      <c r="BHY28" s="699"/>
      <c r="BHZ28" s="700">
        <f>BHY28/BHW28</f>
        <v>0</v>
      </c>
      <c r="BIA28" s="593">
        <f>'Proy 2022 vs 2019 sem'!KF27*BID$4</f>
        <v>39089.467199999999</v>
      </c>
      <c r="BIB28" s="593">
        <f>'Proy 2022 vs 2019 sem'!KG27*BID$4</f>
        <v>36353.204496000006</v>
      </c>
      <c r="BIC28" s="699"/>
      <c r="BID28" s="700">
        <f>BIC28/BIA28</f>
        <v>0</v>
      </c>
      <c r="BIE28" s="593">
        <f>'Proy 2022 vs 2019 sem'!KF27*BIH$4</f>
        <v>44673.676800000001</v>
      </c>
      <c r="BIF28" s="593">
        <f>'Proy 2022 vs 2019 sem'!KG27*BIH$4</f>
        <v>41546.519423999998</v>
      </c>
      <c r="BIG28" s="699"/>
      <c r="BIH28" s="700">
        <f>BIG28/BIE28</f>
        <v>0</v>
      </c>
      <c r="BII28" s="593">
        <f>'Proy 2022 vs 2019 sem'!KF27*BIL$4</f>
        <v>61426.3056</v>
      </c>
      <c r="BIJ28" s="593">
        <f>'Proy 2022 vs 2019 sem'!KG27*BIL$4</f>
        <v>57126.464207999998</v>
      </c>
      <c r="BIK28" s="699"/>
      <c r="BIL28" s="700">
        <f>BIK28/BII28</f>
        <v>0</v>
      </c>
      <c r="BIM28" s="579">
        <f>BHK28+BHO28+BHS28+BHW28+BIA28+BIE28+BII28</f>
        <v>279210.48000000004</v>
      </c>
      <c r="BIN28" s="574">
        <f>BHL28+BHP28+BHT28+BHX28+BIB28+BIF28+BIJ28</f>
        <v>259665.7464</v>
      </c>
      <c r="BIO28" s="730">
        <f>BHM28+BHQ28+BHU28+BHY28+BIC28+BIG28+BIK28</f>
        <v>0</v>
      </c>
      <c r="BIP28" s="711">
        <f>BIO28/BIM28</f>
        <v>0</v>
      </c>
      <c r="BIQ28" s="593">
        <f>'Proy 2022 vs 2019 sem'!KK27*BIT$4</f>
        <v>33037.7232</v>
      </c>
      <c r="BIR28" s="593">
        <f>'Proy 2022 vs 2019 sem'!KL27*BIT$4</f>
        <v>30725.082576000001</v>
      </c>
      <c r="BIS28" s="699"/>
      <c r="BIT28" s="700">
        <f>BIS28/BIQ28</f>
        <v>0</v>
      </c>
      <c r="BIU28" s="593">
        <f>'Proy 2022 vs 2019 sem'!KK27*BIX$4</f>
        <v>33037.7232</v>
      </c>
      <c r="BIV28" s="593">
        <f>'Proy 2022 vs 2019 sem'!KL27*BIX$4</f>
        <v>30725.082576000001</v>
      </c>
      <c r="BIW28" s="699"/>
      <c r="BIX28" s="700">
        <f>BIW28/BIU28</f>
        <v>0</v>
      </c>
      <c r="BIY28" s="593">
        <f>'Proy 2022 vs 2019 sem'!KK27*BJB$4</f>
        <v>33037.7232</v>
      </c>
      <c r="BIZ28" s="593">
        <f>'Proy 2022 vs 2019 sem'!KL27*BJB$4</f>
        <v>30725.082576000001</v>
      </c>
      <c r="BJA28" s="699"/>
      <c r="BJB28" s="700">
        <f>BJA28/BIY28</f>
        <v>0</v>
      </c>
      <c r="BJC28" s="593">
        <f>'Proy 2022 vs 2019 sem'!KK27*BJF$4</f>
        <v>33037.7232</v>
      </c>
      <c r="BJD28" s="593">
        <f>'Proy 2022 vs 2019 sem'!KL27*BJF$4</f>
        <v>30725.082576000001</v>
      </c>
      <c r="BJE28" s="699"/>
      <c r="BJF28" s="700">
        <f>BJE28/BJC28</f>
        <v>0</v>
      </c>
      <c r="BJG28" s="593">
        <f>'Proy 2022 vs 2019 sem'!KK27*BJJ$4</f>
        <v>38544.010399999999</v>
      </c>
      <c r="BJH28" s="593">
        <f>'Proy 2022 vs 2019 sem'!KL27*BJJ$4</f>
        <v>35845.929672000006</v>
      </c>
      <c r="BJI28" s="699"/>
      <c r="BJJ28" s="700">
        <f>BJI28/BJG28</f>
        <v>0</v>
      </c>
      <c r="BJK28" s="593">
        <f>'Proy 2022 vs 2019 sem'!KK27*BJN$4</f>
        <v>44050.297599999998</v>
      </c>
      <c r="BJL28" s="593">
        <f>'Proy 2022 vs 2019 sem'!KL27*BJN$4</f>
        <v>40966.776768000003</v>
      </c>
      <c r="BJM28" s="699"/>
      <c r="BJN28" s="700">
        <f>BJM28/BJK28</f>
        <v>0</v>
      </c>
      <c r="BJO28" s="593">
        <f>'Proy 2022 vs 2019 sem'!KK27*BJR$4</f>
        <v>60569.159199999995</v>
      </c>
      <c r="BJP28" s="593">
        <f>'Proy 2022 vs 2019 sem'!KL27*BJR$4</f>
        <v>56329.318056000004</v>
      </c>
      <c r="BJQ28" s="699"/>
      <c r="BJR28" s="700">
        <f>BJQ28/BJO28</f>
        <v>0</v>
      </c>
      <c r="BJS28" s="579">
        <f>BIQ28+BIU28+BIY28+BJC28+BJG28+BJK28+BJO28</f>
        <v>275314.36</v>
      </c>
      <c r="BJT28" s="574">
        <f>BIR28+BIV28+BIZ28+BJD28+BJH28+BJL28+BJP28</f>
        <v>256042.35480000003</v>
      </c>
      <c r="BJU28" s="710">
        <f>BIS28+BIW28+BJA28+BJE28+BJI28+BJM28+BJQ28</f>
        <v>0</v>
      </c>
      <c r="BJV28" s="711">
        <f>BJU28/BJS28</f>
        <v>0</v>
      </c>
      <c r="BJW28" s="593">
        <f>'Proy 2022 vs 2019 sem'!KP27*BJZ$4</f>
        <v>18146.986800000002</v>
      </c>
      <c r="BJX28" s="593">
        <f>'Proy 2022 vs 2019 sem'!KQ27*BJZ$4</f>
        <v>17239.637460000002</v>
      </c>
      <c r="BJY28" s="699"/>
      <c r="BJZ28" s="700">
        <f>BJY28/BJW28</f>
        <v>0</v>
      </c>
      <c r="BKA28" s="593">
        <f>'Proy 2022 vs 2019 sem'!KP27*BKD$4</f>
        <v>18146.986800000002</v>
      </c>
      <c r="BKB28" s="593">
        <f>'Proy 2022 vs 2019 sem'!KQ27*BKD$4</f>
        <v>17239.637460000002</v>
      </c>
      <c r="BKC28" s="699"/>
      <c r="BKD28" s="700">
        <f>BKC28/BKA28</f>
        <v>0</v>
      </c>
      <c r="BKE28" s="593">
        <f>'Proy 2022 vs 2019 sem'!KP27*BKH$4</f>
        <v>18146.986800000002</v>
      </c>
      <c r="BKF28" s="593">
        <f>'Proy 2022 vs 2019 sem'!KQ27*BKH$4</f>
        <v>17239.637460000002</v>
      </c>
      <c r="BKG28" s="699"/>
      <c r="BKH28" s="700">
        <f>BKG28/BKE28</f>
        <v>0</v>
      </c>
      <c r="BKI28" s="593">
        <f>'Proy 2022 vs 2019 sem'!KP27*BKL$4</f>
        <v>18146.986800000002</v>
      </c>
      <c r="BKJ28" s="593">
        <f>'Proy 2022 vs 2019 sem'!KQ27*BKL$4</f>
        <v>17239.637460000002</v>
      </c>
      <c r="BKK28" s="699"/>
      <c r="BKL28" s="700">
        <f>BKK28/BKI28</f>
        <v>0</v>
      </c>
      <c r="BKM28" s="593">
        <f>'Proy 2022 vs 2019 sem'!KP27*BKP$4</f>
        <v>21171.484600000003</v>
      </c>
      <c r="BKN28" s="593">
        <f>'Proy 2022 vs 2019 sem'!KQ27*BKP$4</f>
        <v>20112.910370000005</v>
      </c>
      <c r="BKO28" s="699"/>
      <c r="BKP28" s="700">
        <f>BKO28/BKM28</f>
        <v>0</v>
      </c>
      <c r="BKQ28" s="593">
        <f>'Proy 2022 vs 2019 sem'!KP27*BKT$4</f>
        <v>24195.982400000004</v>
      </c>
      <c r="BKR28" s="593">
        <f>'Proy 2022 vs 2019 sem'!KQ27*BKT$4</f>
        <v>22986.183280000001</v>
      </c>
      <c r="BKS28" s="699"/>
      <c r="BKT28" s="700">
        <f>BKS28/BKQ28</f>
        <v>0</v>
      </c>
      <c r="BKU28" s="593">
        <f>'Proy 2022 vs 2019 sem'!KP27*BKX$4</f>
        <v>33269.4758</v>
      </c>
      <c r="BKV28" s="593">
        <f>'Proy 2022 vs 2019 sem'!KQ27*BKX$4</f>
        <v>31606.002010000004</v>
      </c>
      <c r="BKW28" s="699"/>
      <c r="BKX28" s="700">
        <f>BKW28/BKU28</f>
        <v>0</v>
      </c>
      <c r="BKY28" s="579">
        <f>BJW28+BKA28+BKE28+BKI28+BKM28+BKQ28+BKU28</f>
        <v>151224.89000000001</v>
      </c>
      <c r="BKZ28" s="574">
        <f>BJX28+BKB28+BKF28+BKJ28+BKN28+BKR28+BKV28</f>
        <v>143663.64550000001</v>
      </c>
      <c r="BLA28" s="710">
        <f>BJY28+BKC28+BKG28+BKK28+BKO28+BKS28+BKW28</f>
        <v>0</v>
      </c>
      <c r="BLB28" s="711">
        <f>BLA28/BKY28</f>
        <v>0</v>
      </c>
    </row>
    <row r="29" spans="2:1666" ht="19.5" customHeight="1">
      <c r="B29" s="930" t="s">
        <v>228</v>
      </c>
      <c r="C29" s="593">
        <f>'Proy 2022 vs 2019 sem'!$C$6*$F$4</f>
        <v>9529.1268</v>
      </c>
      <c r="D29" s="593">
        <f>'Proy 2022 vs 2019 sem'!$D$6*$F$4</f>
        <v>8480.9228519999997</v>
      </c>
      <c r="E29" s="735"/>
      <c r="F29" s="700">
        <f>E29/C29</f>
        <v>0</v>
      </c>
      <c r="G29" s="1414">
        <f>'Proy 2022 vs 2019 sem'!C28*$J$4</f>
        <v>16815.297600000002</v>
      </c>
      <c r="H29" s="593">
        <f>'Proy 2022 vs 2019 sem'!D28*$J$4</f>
        <v>14965.614863999999</v>
      </c>
      <c r="I29" s="735"/>
      <c r="J29" s="700">
        <f>I29/G29</f>
        <v>0</v>
      </c>
      <c r="K29" s="593">
        <f>'Proy 2022 vs 2019 sem'!C28*$N$4</f>
        <v>16815.297600000002</v>
      </c>
      <c r="L29" s="593">
        <f>'Proy 2022 vs 2019 sem'!D28*N$4</f>
        <v>14965.614863999999</v>
      </c>
      <c r="M29" s="735"/>
      <c r="N29" s="700">
        <f>M29/K29</f>
        <v>0</v>
      </c>
      <c r="O29" s="593">
        <f>'Proy 2022 vs 2019 sem'!C28*R$4</f>
        <v>16815.297600000002</v>
      </c>
      <c r="P29" s="593">
        <f>'Proy 2022 vs 2019 sem'!D28*$R$4</f>
        <v>14965.614863999999</v>
      </c>
      <c r="Q29" s="735"/>
      <c r="R29" s="700">
        <f>Q29/O29</f>
        <v>0</v>
      </c>
      <c r="S29" s="593">
        <f>'Proy 2022 vs 2019 sem'!C28*V$4</f>
        <v>19617.847200000004</v>
      </c>
      <c r="T29" s="593">
        <f>'Proy 2022 vs 2019 sem'!D28*V$4</f>
        <v>17459.884008000001</v>
      </c>
      <c r="U29" s="735"/>
      <c r="V29" s="700">
        <f>U29/S29</f>
        <v>0</v>
      </c>
      <c r="W29" s="593">
        <f>'Proy 2022 vs 2019 sem'!C28*Z$4</f>
        <v>22420.396800000002</v>
      </c>
      <c r="X29" s="593">
        <f>'Proy 2022 vs 2019 sem'!D28*Z$4</f>
        <v>19954.153152000003</v>
      </c>
      <c r="Y29" s="735"/>
      <c r="Z29" s="700">
        <f>Y29/W29</f>
        <v>0</v>
      </c>
      <c r="AA29" s="593">
        <f>'Proy 2022 vs 2019 sem'!C28*AD$4</f>
        <v>30828.045600000001</v>
      </c>
      <c r="AB29" s="593">
        <f>'Proy 2022 vs 2019 sem'!D28*AD$4</f>
        <v>27436.960584</v>
      </c>
      <c r="AC29" s="735"/>
      <c r="AD29" s="700">
        <f>AC29/AA29</f>
        <v>0</v>
      </c>
      <c r="AE29" s="579">
        <f>C29+G29+K29+O29+S29+W29+AA29</f>
        <v>132841.30920000002</v>
      </c>
      <c r="AF29" s="574">
        <f>D29+H29+L29+P29+T29+X29+AB29</f>
        <v>118228.76518799999</v>
      </c>
      <c r="AG29" s="729">
        <f>E29+I29+M29+Q29+U29+Y29+AC29</f>
        <v>0</v>
      </c>
      <c r="AH29" s="711">
        <f>AG29/AE29</f>
        <v>0</v>
      </c>
      <c r="AI29" s="593">
        <f>'Proy 2022 vs 2019 sem'!H28*AL$4</f>
        <v>20414.0448</v>
      </c>
      <c r="AJ29" s="611">
        <f>'Proy 2022 vs 2019 sem'!I28*AL$4</f>
        <v>18372.640320000002</v>
      </c>
      <c r="AK29" s="699"/>
      <c r="AL29" s="700">
        <f>AK29/AI29</f>
        <v>0</v>
      </c>
      <c r="AM29" s="593">
        <f>'Proy 2022 vs 2019 sem'!H28*AP$4</f>
        <v>20414.0448</v>
      </c>
      <c r="AN29" s="593">
        <f>'Proy 2022 vs 2019 sem'!I28*AP$4</f>
        <v>18372.640320000002</v>
      </c>
      <c r="AO29" s="699"/>
      <c r="AP29" s="700">
        <f>AO29/AM29</f>
        <v>0</v>
      </c>
      <c r="AQ29" s="593">
        <f>'Proy 2022 vs 2019 sem'!H28*AT$4</f>
        <v>20414.0448</v>
      </c>
      <c r="AR29" s="593">
        <f>'Proy 2022 vs 2019 sem'!I28*AT$4</f>
        <v>18372.640320000002</v>
      </c>
      <c r="AS29" s="699"/>
      <c r="AT29" s="700">
        <f>AS29/AQ29</f>
        <v>0</v>
      </c>
      <c r="AU29" s="593">
        <f>'Proy 2022 vs 2019 sem'!H28*AX$4</f>
        <v>20414.0448</v>
      </c>
      <c r="AV29" s="593">
        <f>'Proy 2022 vs 2019 sem'!I28*AX$4</f>
        <v>18372.640320000002</v>
      </c>
      <c r="AW29" s="699"/>
      <c r="AX29" s="700">
        <f>AW29/AU29</f>
        <v>0</v>
      </c>
      <c r="AY29" s="593">
        <f>'Proy 2022 vs 2019 sem'!H28*BB$4</f>
        <v>23816.385600000005</v>
      </c>
      <c r="AZ29" s="593">
        <f>'Proy 2022 vs 2019 sem'!I28*BB$4</f>
        <v>21434.747040000002</v>
      </c>
      <c r="BA29" s="699"/>
      <c r="BB29" s="700">
        <f>BA29/AY29</f>
        <v>0</v>
      </c>
      <c r="BC29" s="593">
        <f>'Proy 2022 vs 2019 sem'!H28*BF$4</f>
        <v>27218.726400000003</v>
      </c>
      <c r="BD29" s="593">
        <f>'Proy 2022 vs 2019 sem'!I28*BF$4</f>
        <v>24496.853760000002</v>
      </c>
      <c r="BE29" s="699"/>
      <c r="BF29" s="700">
        <f>BE29/BC29</f>
        <v>0</v>
      </c>
      <c r="BG29" s="593">
        <f>'Proy 2022 vs 2019 sem'!H28*BJ$4</f>
        <v>37425.748800000001</v>
      </c>
      <c r="BH29" s="593">
        <f>'Proy 2022 vs 2019 sem'!I28*BJ$4</f>
        <v>33683.173920000001</v>
      </c>
      <c r="BI29" s="699"/>
      <c r="BJ29" s="700">
        <f>BI29/BG29</f>
        <v>0</v>
      </c>
      <c r="BK29" s="579">
        <f>AI29+AM29+AQ29+AU29+AY29+BC29+BG29</f>
        <v>170117.04</v>
      </c>
      <c r="BL29" s="574">
        <f>AJ29+AN29+AR29+AV29+AZ29+BD29+BH29</f>
        <v>153105.33600000001</v>
      </c>
      <c r="BM29" s="730">
        <f>AK29+AO29+AS29+AW29+BA29+BE29+BI29</f>
        <v>0</v>
      </c>
      <c r="BN29" s="711">
        <f>BM29/BK29</f>
        <v>0</v>
      </c>
      <c r="BO29" s="593">
        <f>'Proy 2022 vs 2019 sem'!M28*BR$4</f>
        <v>18508.5108</v>
      </c>
      <c r="BP29" s="593">
        <f>'Proy 2022 vs 2019 sem'!N28*BR$4</f>
        <v>16657.65972</v>
      </c>
      <c r="BQ29" s="699"/>
      <c r="BR29" s="700">
        <f>BQ29/BO29</f>
        <v>0</v>
      </c>
      <c r="BS29" s="593">
        <f>'Proy 2022 vs 2019 sem'!M28*BV$4</f>
        <v>18508.5108</v>
      </c>
      <c r="BT29" s="593">
        <f>'Proy 2022 vs 2019 sem'!N28*BV$4</f>
        <v>16657.65972</v>
      </c>
      <c r="BU29" s="699"/>
      <c r="BV29" s="700">
        <f>BU29/BS29</f>
        <v>0</v>
      </c>
      <c r="BW29" s="593">
        <f>'Proy 2022 vs 2019 sem'!M28*BZ$4</f>
        <v>18508.5108</v>
      </c>
      <c r="BX29" s="593">
        <f>'Proy 2022 vs 2019 sem'!N28*BZ$4</f>
        <v>16657.65972</v>
      </c>
      <c r="BY29" s="699"/>
      <c r="BZ29" s="700">
        <f>BY29/BW29</f>
        <v>0</v>
      </c>
      <c r="CA29" s="593">
        <f>'Proy 2022 vs 2019 sem'!M28*CD$4</f>
        <v>18508.5108</v>
      </c>
      <c r="CB29" s="593">
        <f>'Proy 2022 vs 2019 sem'!N28*CD$4</f>
        <v>16657.65972</v>
      </c>
      <c r="CC29" s="699"/>
      <c r="CD29" s="700">
        <f>CC29/CA29</f>
        <v>0</v>
      </c>
      <c r="CE29" s="593">
        <f>'Proy 2022 vs 2019 sem'!M28*CH$4</f>
        <v>21593.262600000002</v>
      </c>
      <c r="CF29" s="593">
        <f>'Proy 2022 vs 2019 sem'!N28*CH$4</f>
        <v>19433.936340000004</v>
      </c>
      <c r="CG29" s="699"/>
      <c r="CH29" s="700">
        <f>CG29/CE29</f>
        <v>0</v>
      </c>
      <c r="CI29" s="593">
        <f>'Proy 2022 vs 2019 sem'!M28*CL$4</f>
        <v>24678.0144</v>
      </c>
      <c r="CJ29" s="593">
        <f>'Proy 2022 vs 2019 sem'!N28*CL$4</f>
        <v>22210.212960000001</v>
      </c>
      <c r="CK29" s="699"/>
      <c r="CL29" s="700">
        <f>CK29/CI29</f>
        <v>0</v>
      </c>
      <c r="CM29" s="593">
        <f>'Proy 2022 vs 2019 sem'!M28*CP$4</f>
        <v>33932.269800000002</v>
      </c>
      <c r="CN29" s="593">
        <f>'Proy 2022 vs 2019 sem'!N28*CP$4</f>
        <v>30539.042820000002</v>
      </c>
      <c r="CO29" s="699"/>
      <c r="CP29" s="700">
        <f>CO29/CM29</f>
        <v>0</v>
      </c>
      <c r="CQ29" s="579">
        <f>BO29+BS29+BW29+CA29+CE29+CI29+CM29</f>
        <v>154237.59</v>
      </c>
      <c r="CR29" s="574">
        <f>BP29+BT29+BX29+CB29+CF29+CJ29+CN29</f>
        <v>138813.83100000001</v>
      </c>
      <c r="CS29" s="730">
        <f>BQ29+BU29+BY29+CC29+CG29+CK29+CO29</f>
        <v>0</v>
      </c>
      <c r="CT29" s="711">
        <f>CS29/CQ29</f>
        <v>0</v>
      </c>
      <c r="CU29" s="593">
        <f>'Proy 2022 vs 2019 sem'!R28*CX$4</f>
        <v>17393.661599999999</v>
      </c>
      <c r="CV29" s="593">
        <f>'Proy 2022 vs 2019 sem'!S28*CX$4</f>
        <v>15654.29544</v>
      </c>
      <c r="CW29" s="699"/>
      <c r="CX29" s="700">
        <f>CW29/CU29</f>
        <v>0</v>
      </c>
      <c r="CY29" s="593">
        <f>'Proy 2022 vs 2019 sem'!R28*DB$4</f>
        <v>17393.661599999999</v>
      </c>
      <c r="CZ29" s="593">
        <f>'Proy 2022 vs 2019 sem'!S28*DB$4</f>
        <v>15654.29544</v>
      </c>
      <c r="DA29" s="699"/>
      <c r="DB29" s="700">
        <f>DA29/CY29</f>
        <v>0</v>
      </c>
      <c r="DC29" s="593">
        <f>'Proy 2022 vs 2019 sem'!R28*DF$4</f>
        <v>17393.661599999999</v>
      </c>
      <c r="DD29" s="593">
        <f>'Proy 2022 vs 2019 sem'!S28*DF$4</f>
        <v>15654.29544</v>
      </c>
      <c r="DE29" s="699"/>
      <c r="DF29" s="700">
        <f>DE29/DC29</f>
        <v>0</v>
      </c>
      <c r="DG29" s="593">
        <f>'Proy 2022 vs 2019 sem'!R28*DJ$4</f>
        <v>17393.661599999999</v>
      </c>
      <c r="DH29" s="593">
        <f>'Proy 2022 vs 2019 sem'!S28*DJ$4</f>
        <v>15654.29544</v>
      </c>
      <c r="DI29" s="699"/>
      <c r="DJ29" s="700">
        <f>DI29/DG29</f>
        <v>0</v>
      </c>
      <c r="DK29" s="593">
        <f>'Proy 2022 vs 2019 sem'!R28*DN$4</f>
        <v>20292.605200000002</v>
      </c>
      <c r="DL29" s="593">
        <f>'Proy 2022 vs 2019 sem'!S28*DN$4</f>
        <v>18263.344680000002</v>
      </c>
      <c r="DM29" s="699"/>
      <c r="DN29" s="700">
        <f>DM29/DK29</f>
        <v>0</v>
      </c>
      <c r="DO29" s="593">
        <f>'Proy 2022 vs 2019 sem'!R28*DR$4</f>
        <v>23191.5488</v>
      </c>
      <c r="DP29" s="593">
        <f>'Proy 2022 vs 2019 sem'!S28*DR$4</f>
        <v>20872.393919999999</v>
      </c>
      <c r="DQ29" s="699"/>
      <c r="DR29" s="700">
        <f>DQ29/DO29</f>
        <v>0</v>
      </c>
      <c r="DS29" s="593">
        <f>'Proy 2022 vs 2019 sem'!R28*DV$4</f>
        <v>31888.3796</v>
      </c>
      <c r="DT29" s="593">
        <f>'Proy 2022 vs 2019 sem'!S28*DV$4</f>
        <v>28699.541639999999</v>
      </c>
      <c r="DU29" s="699"/>
      <c r="DV29" s="700">
        <f>DU29/DS29</f>
        <v>0</v>
      </c>
      <c r="DW29" s="579">
        <f>CU29+CY29+DC29+DG29+DK29+DO29+DS29</f>
        <v>144947.18</v>
      </c>
      <c r="DX29" s="574">
        <f>CV29+CZ29+DD29+DH29+DL29+DP29+DT29</f>
        <v>130452.462</v>
      </c>
      <c r="DY29" s="710">
        <f>CW29+DA29+DE29+DI29+DM29+DQ29+DU29</f>
        <v>0</v>
      </c>
      <c r="DZ29" s="711">
        <f>DY29/DW29</f>
        <v>0</v>
      </c>
      <c r="EA29" s="593">
        <f>'Proy 2022 vs 2019 sem'!AA28*ED$4</f>
        <v>16959.327600000001</v>
      </c>
      <c r="EB29" s="593">
        <f>'Proy 2022 vs 2019 sem'!AB28*ED$4</f>
        <v>15093.801564000001</v>
      </c>
      <c r="EC29" s="735"/>
      <c r="ED29" s="700">
        <f>EC29/EA29</f>
        <v>0</v>
      </c>
      <c r="EE29" s="593">
        <f>'Proy 2022 vs 2019 sem'!AA28*EH$4</f>
        <v>16959.327600000001</v>
      </c>
      <c r="EF29" s="593">
        <f>'Proy 2022 vs 2019 sem'!AB28*EH$4</f>
        <v>15093.801564000001</v>
      </c>
      <c r="EG29" s="699"/>
      <c r="EH29" s="700">
        <f>EG29/EE29</f>
        <v>0</v>
      </c>
      <c r="EI29" s="593">
        <f>'Proy 2022 vs 2019 sem'!AA28*EL$4</f>
        <v>16959.327600000001</v>
      </c>
      <c r="EJ29" s="593">
        <f>'Proy 2022 vs 2019 sem'!AB28*EL$4</f>
        <v>15093.801564000001</v>
      </c>
      <c r="EK29" s="699"/>
      <c r="EL29" s="700">
        <f>EK29/EI29</f>
        <v>0</v>
      </c>
      <c r="EM29" s="593">
        <f>'Proy 2022 vs 2019 sem'!AA28*EP$4</f>
        <v>16959.327600000001</v>
      </c>
      <c r="EN29" s="593">
        <f>'Proy 2022 vs 2019 sem'!AB28*EP$4</f>
        <v>15093.801564000001</v>
      </c>
      <c r="EO29" s="699"/>
      <c r="EP29" s="700">
        <f>EO29/EM29</f>
        <v>0</v>
      </c>
      <c r="EQ29" s="593">
        <f>'Proy 2022 vs 2019 sem'!AA28*ET$4</f>
        <v>19785.882200000004</v>
      </c>
      <c r="ER29" s="593">
        <f>'Proy 2022 vs 2019 sem'!AB28*ET$4</f>
        <v>17609.435158000004</v>
      </c>
      <c r="ES29" s="699"/>
      <c r="ET29" s="700">
        <f>ES29/EQ29</f>
        <v>0</v>
      </c>
      <c r="EU29" s="593">
        <f>'Proy 2022 vs 2019 sem'!AA28*EX$4</f>
        <v>22612.436800000003</v>
      </c>
      <c r="EV29" s="593">
        <f>'Proy 2022 vs 2019 sem'!AB28*EX$4</f>
        <v>20125.068752000003</v>
      </c>
      <c r="EW29" s="699"/>
      <c r="EX29" s="700">
        <f>EW29/EU29</f>
        <v>0</v>
      </c>
      <c r="EY29" s="593">
        <f>'Proy 2022 vs 2019 sem'!AA28*FB$4</f>
        <v>31092.100600000002</v>
      </c>
      <c r="EZ29" s="593">
        <f>'Proy 2022 vs 2019 sem'!AB28*FB$4</f>
        <v>27671.969534000003</v>
      </c>
      <c r="FA29" s="699"/>
      <c r="FB29" s="700">
        <f>FA29/EY29</f>
        <v>0</v>
      </c>
      <c r="FC29" s="579">
        <f>EA29+EE29+EI29+EM29+EQ29+EU29+EY29</f>
        <v>141327.73000000001</v>
      </c>
      <c r="FD29" s="574">
        <f>EB29+EF29+EJ29+EN29+ER29+EV29+EZ29</f>
        <v>125781.67970000002</v>
      </c>
      <c r="FE29" s="793">
        <f>EC29+EG29+EK29+EO29+ES29+EW29+FA29</f>
        <v>0</v>
      </c>
      <c r="FF29" s="786">
        <f>FE29/FC29</f>
        <v>0</v>
      </c>
      <c r="FG29" s="593">
        <f>'Proy 2022 vs 2019 sem'!AF28*FJ$4</f>
        <v>23479.706399999999</v>
      </c>
      <c r="FH29" s="593">
        <f>'Proy 2022 vs 2019 sem'!AG28*FJ$4</f>
        <v>20896.938696000001</v>
      </c>
      <c r="FI29" s="699"/>
      <c r="FJ29" s="700">
        <f>FI29/FG29</f>
        <v>0</v>
      </c>
      <c r="FK29" s="593">
        <f>'Proy 2022 vs 2019 sem'!AF28*FN$4</f>
        <v>23479.706399999999</v>
      </c>
      <c r="FL29" s="593">
        <f>'Proy 2022 vs 2019 sem'!AG28*FN$4</f>
        <v>20896.938696000001</v>
      </c>
      <c r="FM29" s="699"/>
      <c r="FN29" s="700">
        <f>FM29/FK29</f>
        <v>0</v>
      </c>
      <c r="FO29" s="593">
        <f>'Proy 2022 vs 2019 sem'!AF28*FR$4</f>
        <v>23479.706399999999</v>
      </c>
      <c r="FP29" s="593">
        <f>'Proy 2022 vs 2019 sem'!AG28*FR$4</f>
        <v>20896.938696000001</v>
      </c>
      <c r="FQ29" s="699"/>
      <c r="FR29" s="700">
        <f>FQ29/FO29</f>
        <v>0</v>
      </c>
      <c r="FS29" s="593">
        <f>'Proy 2022 vs 2019 sem'!AF28*FV$4</f>
        <v>23479.706399999999</v>
      </c>
      <c r="FT29" s="593">
        <f>'Proy 2022 vs 2019 sem'!AG28*FV$4</f>
        <v>20896.938696000001</v>
      </c>
      <c r="FU29" s="699"/>
      <c r="FV29" s="700">
        <f>FU29/FS29</f>
        <v>0</v>
      </c>
      <c r="FW29" s="593">
        <f>'Proy 2022 vs 2019 sem'!AF28*FZ$4</f>
        <v>27392.990800000003</v>
      </c>
      <c r="FX29" s="593">
        <f>'Proy 2022 vs 2019 sem'!AG28*FZ$4</f>
        <v>24379.761812000004</v>
      </c>
      <c r="FY29" s="699"/>
      <c r="FZ29" s="700">
        <f>FY29/FW29</f>
        <v>0</v>
      </c>
      <c r="GA29" s="593">
        <f>'Proy 2022 vs 2019 sem'!AF28*GD$4</f>
        <v>31306.2752</v>
      </c>
      <c r="GB29" s="593">
        <f>'Proy 2022 vs 2019 sem'!AG28*GD$4</f>
        <v>27862.584928</v>
      </c>
      <c r="GC29" s="699"/>
      <c r="GD29" s="700">
        <f>GC29/GA29</f>
        <v>0</v>
      </c>
      <c r="GE29" s="593">
        <f>'Proy 2022 vs 2019 sem'!AF28*GH$4</f>
        <v>43046.128400000001</v>
      </c>
      <c r="GF29" s="593">
        <f>'Proy 2022 vs 2019 sem'!AG28*GH$4</f>
        <v>38311.054276000003</v>
      </c>
      <c r="GG29" s="699"/>
      <c r="GH29" s="700">
        <f>GG29/GE29</f>
        <v>0</v>
      </c>
      <c r="GI29" s="579">
        <f>FG29+FK29+FO29+FS29+FW29+GA29+GE29</f>
        <v>195664.21999999997</v>
      </c>
      <c r="GJ29" s="574">
        <f>FH29+FL29+FP29+FT29+FX29+GB29+GF29</f>
        <v>174141.15580000001</v>
      </c>
      <c r="GK29" s="794">
        <f>FI29+FM29+FQ29+FU29+FY29+GC29+GG29</f>
        <v>0</v>
      </c>
      <c r="GL29" s="786">
        <f>GK29/GI29</f>
        <v>0</v>
      </c>
      <c r="GM29" s="593">
        <f>'Proy 2022 vs 2019 sem'!AK28*GP$4</f>
        <v>17836.125599999999</v>
      </c>
      <c r="GN29" s="593">
        <f>'Proy 2022 vs 2019 sem'!AL28*GP$4</f>
        <v>16052.51304</v>
      </c>
      <c r="GO29" s="699"/>
      <c r="GP29" s="700">
        <f>GO29/GM29</f>
        <v>0</v>
      </c>
      <c r="GQ29" s="593">
        <f>'Proy 2022 vs 2019 sem'!AK28*GT$4</f>
        <v>17836.125599999999</v>
      </c>
      <c r="GR29" s="593">
        <f>'Proy 2022 vs 2019 sem'!AL28*GT$4</f>
        <v>16052.51304</v>
      </c>
      <c r="GS29" s="699"/>
      <c r="GT29" s="700">
        <f>GS29/GQ29</f>
        <v>0</v>
      </c>
      <c r="GU29" s="593">
        <f>'Proy 2022 vs 2019 sem'!AK28*GX$4</f>
        <v>17836.125599999999</v>
      </c>
      <c r="GV29" s="593">
        <f>'Proy 2022 vs 2019 sem'!AL28*GX$4</f>
        <v>16052.51304</v>
      </c>
      <c r="GW29" s="699"/>
      <c r="GX29" s="700">
        <f>GW29/GU29</f>
        <v>0</v>
      </c>
      <c r="GY29" s="593">
        <f>'Proy 2022 vs 2019 sem'!AK28*HB$4</f>
        <v>17836.125599999999</v>
      </c>
      <c r="GZ29" s="593">
        <f>'Proy 2022 vs 2019 sem'!AL28*HB$4</f>
        <v>16052.51304</v>
      </c>
      <c r="HA29" s="699"/>
      <c r="HB29" s="700">
        <f>HA29/GY29</f>
        <v>0</v>
      </c>
      <c r="HC29" s="593">
        <f>'Proy 2022 vs 2019 sem'!AK28*HF$4</f>
        <v>20808.813200000004</v>
      </c>
      <c r="HD29" s="593">
        <f>'Proy 2022 vs 2019 sem'!AL28*HF$4</f>
        <v>18727.931880000004</v>
      </c>
      <c r="HE29" s="699"/>
      <c r="HF29" s="700">
        <f>HE29/HC29</f>
        <v>0</v>
      </c>
      <c r="HG29" s="593">
        <f>'Proy 2022 vs 2019 sem'!AK28*HJ$4</f>
        <v>23781.500800000002</v>
      </c>
      <c r="HH29" s="593">
        <f>'Proy 2022 vs 2019 sem'!AL28*HJ$4</f>
        <v>21403.350720000002</v>
      </c>
      <c r="HI29" s="699"/>
      <c r="HJ29" s="700">
        <f>HI29/HG29</f>
        <v>0</v>
      </c>
      <c r="HK29" s="593">
        <f>'Proy 2022 vs 2019 sem'!AK28*HN$4</f>
        <v>32699.563600000001</v>
      </c>
      <c r="HL29" s="593">
        <f>'Proy 2022 vs 2019 sem'!AL28*HN$4</f>
        <v>29429.607240000001</v>
      </c>
      <c r="HM29" s="699"/>
      <c r="HN29" s="700">
        <f>HM29/HK29</f>
        <v>0</v>
      </c>
      <c r="HO29" s="579">
        <f>GM29+GQ29+GU29+GY29+HC29+HG29+HK29</f>
        <v>148634.38</v>
      </c>
      <c r="HP29" s="574">
        <f>GN29+GR29+GV29+GZ29+HD29+HH29+HL29</f>
        <v>133770.94200000001</v>
      </c>
      <c r="HQ29" s="794">
        <f>GO29+GS29+GW29+HA29+HE29+HI29+HM29</f>
        <v>0</v>
      </c>
      <c r="HR29" s="786">
        <f>HQ29/HO29</f>
        <v>0</v>
      </c>
      <c r="HS29" s="593">
        <f>'Proy 2022 vs 2019 sem'!AK28*HV$4</f>
        <v>17836.125599999999</v>
      </c>
      <c r="HT29" s="593">
        <f>'Proy 2022 vs 2019 sem'!AL28*HV$4</f>
        <v>16052.51304</v>
      </c>
      <c r="HU29" s="699"/>
      <c r="HV29" s="700">
        <f>HU29/HS29</f>
        <v>0</v>
      </c>
      <c r="HW29" s="593">
        <f>'Proy 2022 vs 2019 sem'!AK28*HZ$4</f>
        <v>17836.125599999999</v>
      </c>
      <c r="HX29" s="593">
        <f>'Proy 2022 vs 2019 sem'!AL28*HZ$4</f>
        <v>16052.51304</v>
      </c>
      <c r="HY29" s="699"/>
      <c r="HZ29" s="700">
        <f>HY29/HW29</f>
        <v>0</v>
      </c>
      <c r="IA29" s="593">
        <f>'Proy 2022 vs 2019 sem'!AK28*ID$4</f>
        <v>17836.125599999999</v>
      </c>
      <c r="IB29" s="593">
        <f>'Proy 2022 vs 2019 sem'!AL28*ID$4</f>
        <v>16052.51304</v>
      </c>
      <c r="IC29" s="699"/>
      <c r="ID29" s="700">
        <f>IC29/IA29</f>
        <v>0</v>
      </c>
      <c r="IE29" s="593">
        <f>'Proy 2022 vs 2019 sem'!AK28*IH$4</f>
        <v>17836.125599999999</v>
      </c>
      <c r="IF29" s="593">
        <f>'Proy 2022 vs 2019 sem'!AL28*IH$4</f>
        <v>16052.51304</v>
      </c>
      <c r="IG29" s="699"/>
      <c r="IH29" s="700">
        <f>IG29/IE29</f>
        <v>0</v>
      </c>
      <c r="II29" s="593">
        <f>'Proy 2022 vs 2019 sem'!AK28*IL$4</f>
        <v>20808.813200000004</v>
      </c>
      <c r="IJ29" s="593">
        <f>'Proy 2022 vs 2019 sem'!AL28*IL$4</f>
        <v>18727.931880000004</v>
      </c>
      <c r="IK29" s="699"/>
      <c r="IL29" s="700">
        <f>IK29/II29</f>
        <v>0</v>
      </c>
      <c r="IM29" s="593">
        <f>'Proy 2022 vs 2019 sem'!AK28*IP$4</f>
        <v>23781.500800000002</v>
      </c>
      <c r="IN29" s="593">
        <f>'Proy 2022 vs 2019 sem'!AL28*IP$4</f>
        <v>21403.350720000002</v>
      </c>
      <c r="IO29" s="699"/>
      <c r="IP29" s="700">
        <f>IO29/IM29</f>
        <v>0</v>
      </c>
      <c r="IQ29" s="593">
        <f>'Proy 2022 vs 2019 sem'!AK28*IT$4</f>
        <v>32699.563600000001</v>
      </c>
      <c r="IR29" s="593">
        <f>'Proy 2022 vs 2019 sem'!AL28*IT$4</f>
        <v>29429.607240000001</v>
      </c>
      <c r="IS29" s="699"/>
      <c r="IT29" s="700">
        <f>IS29/IQ29</f>
        <v>0</v>
      </c>
      <c r="IU29" s="579">
        <f>HS29+HW29+IA29+IE29+II29+IM29+IQ29</f>
        <v>148634.38</v>
      </c>
      <c r="IV29" s="574">
        <f>HT29+HX29+IB29+IF29+IJ29+IN29+IR29</f>
        <v>133770.94200000001</v>
      </c>
      <c r="IW29" s="785">
        <f>HU29+HY29+IC29+IG29+IK29+IO29+IS29</f>
        <v>0</v>
      </c>
      <c r="IX29" s="786">
        <f>IW29/IU29</f>
        <v>0</v>
      </c>
      <c r="IY29" s="593">
        <f>'Proy 2022 vs 2019 sem'!AY28*JB$4</f>
        <v>17660.536800000002</v>
      </c>
      <c r="IZ29" s="593">
        <f>'Proy 2022 vs 2019 sem'!AZ28*JB$4</f>
        <v>15894.483120000001</v>
      </c>
      <c r="JA29" s="735"/>
      <c r="JB29" s="700">
        <f>JA29/IY29</f>
        <v>0</v>
      </c>
      <c r="JC29" s="593">
        <f>'Proy 2022 vs 2019 sem'!AY28*JF$4</f>
        <v>17660.536800000002</v>
      </c>
      <c r="JD29" s="593">
        <f>'Proy 2022 vs 2019 sem'!AZ28*JF$4</f>
        <v>15894.483120000001</v>
      </c>
      <c r="JE29" s="735"/>
      <c r="JF29" s="700">
        <f>JE29/JC29</f>
        <v>0</v>
      </c>
      <c r="JG29" s="593">
        <f>'Proy 2022 vs 2019 sem'!AY28*JJ$4</f>
        <v>17660.536800000002</v>
      </c>
      <c r="JH29" s="593">
        <f>'Proy 2022 vs 2019 sem'!AZ28*JJ$4</f>
        <v>15894.483120000001</v>
      </c>
      <c r="JI29" s="735"/>
      <c r="JJ29" s="700">
        <f>JI29/JG29</f>
        <v>0</v>
      </c>
      <c r="JK29" s="593">
        <f>'Proy 2022 vs 2019 sem'!AY28*JN$4</f>
        <v>17660.536800000002</v>
      </c>
      <c r="JL29" s="593">
        <f>'Proy 2022 vs 2019 sem'!AZ28*JN$4</f>
        <v>15894.483120000001</v>
      </c>
      <c r="JM29" s="735"/>
      <c r="JN29" s="700">
        <f>JM29/JK29</f>
        <v>0</v>
      </c>
      <c r="JO29" s="593">
        <f>'Proy 2022 vs 2019 sem'!AY28*JR$4</f>
        <v>20603.959600000006</v>
      </c>
      <c r="JP29" s="593">
        <f>'Proy 2022 vs 2019 sem'!AZ28*JR$4</f>
        <v>18543.563640000004</v>
      </c>
      <c r="JQ29" s="735"/>
      <c r="JR29" s="700">
        <f>JQ29/JO29</f>
        <v>0</v>
      </c>
      <c r="JS29" s="593">
        <f>'Proy 2022 vs 2019 sem'!AY28*JV$4</f>
        <v>23547.382400000002</v>
      </c>
      <c r="JT29" s="593">
        <f>'Proy 2022 vs 2019 sem'!AZ28*JV$4</f>
        <v>21192.644160000003</v>
      </c>
      <c r="JU29" s="735"/>
      <c r="JV29" s="700">
        <f>JU29/JS29</f>
        <v>0</v>
      </c>
      <c r="JW29" s="593">
        <f>'Proy 2022 vs 2019 sem'!AY28*JZ$4</f>
        <v>32377.650800000003</v>
      </c>
      <c r="JX29" s="593">
        <f>'Proy 2022 vs 2019 sem'!AZ28*JZ$4</f>
        <v>29139.885720000002</v>
      </c>
      <c r="JY29" s="735"/>
      <c r="JZ29" s="700">
        <f>JY29/JW29</f>
        <v>0</v>
      </c>
      <c r="KA29" s="579">
        <f>IY29+JC29+JG29+JK29+JO29+JS29+JW29</f>
        <v>147171.14000000001</v>
      </c>
      <c r="KB29" s="574">
        <f>IZ29+JD29+JH29+JL29+JP29+JT29+JX29</f>
        <v>132454.02600000001</v>
      </c>
      <c r="KC29" s="729">
        <f>JA29+JE29+JI29+JM29+JQ29+JU29+JY29</f>
        <v>0</v>
      </c>
      <c r="KD29" s="711">
        <f>KC29/KA29</f>
        <v>0</v>
      </c>
      <c r="KE29" s="593">
        <f>'Proy 2022 vs 2019 sem'!BD28*KH$4</f>
        <v>19706.297999999999</v>
      </c>
      <c r="KF29" s="593">
        <f>'Proy 2022 vs 2019 sem'!BE28*KH$4</f>
        <v>17735.668199999996</v>
      </c>
      <c r="KG29" s="699"/>
      <c r="KH29" s="700">
        <f>KG29/KE29</f>
        <v>0</v>
      </c>
      <c r="KI29" s="593">
        <f>'Proy 2022 vs 2019 sem'!BD28*KL$4</f>
        <v>19706.297999999999</v>
      </c>
      <c r="KJ29" s="593">
        <f>'Proy 2022 vs 2019 sem'!BE28*KL$4</f>
        <v>17735.668199999996</v>
      </c>
      <c r="KK29" s="699"/>
      <c r="KL29" s="700">
        <f>KK29/KI29</f>
        <v>0</v>
      </c>
      <c r="KM29" s="593">
        <f>'Proy 2022 vs 2019 sem'!BD28*KP$4</f>
        <v>19706.297999999999</v>
      </c>
      <c r="KN29" s="593">
        <f>'Proy 2022 vs 2019 sem'!BE28*KP$4</f>
        <v>17735.668199999996</v>
      </c>
      <c r="KO29" s="699"/>
      <c r="KP29" s="700">
        <f>KO29/KM29</f>
        <v>0</v>
      </c>
      <c r="KQ29" s="593">
        <f>'Proy 2022 vs 2019 sem'!BD28*KT$4</f>
        <v>19706.297999999999</v>
      </c>
      <c r="KR29" s="593">
        <f>'Proy 2022 vs 2019 sem'!BE28*KT$4</f>
        <v>17735.668199999996</v>
      </c>
      <c r="KS29" s="699"/>
      <c r="KT29" s="700">
        <f>KS29/KQ29</f>
        <v>0</v>
      </c>
      <c r="KU29" s="593">
        <f>'Proy 2022 vs 2019 sem'!BD28*KX$4</f>
        <v>22990.681</v>
      </c>
      <c r="KV29" s="593">
        <f>'Proy 2022 vs 2019 sem'!BE28*KX$4</f>
        <v>20691.6129</v>
      </c>
      <c r="KW29" s="699"/>
      <c r="KX29" s="700">
        <f>KW29/KU29</f>
        <v>0</v>
      </c>
      <c r="KY29" s="593">
        <f>'Proy 2022 vs 2019 sem'!BD28*LB$4</f>
        <v>26275.063999999998</v>
      </c>
      <c r="KZ29" s="593">
        <f>'Proy 2022 vs 2019 sem'!BE28*LB$4</f>
        <v>23647.557599999996</v>
      </c>
      <c r="LA29" s="699"/>
      <c r="LB29" s="700">
        <f>LA29/KY29</f>
        <v>0</v>
      </c>
      <c r="LC29" s="593">
        <f>'Proy 2022 vs 2019 sem'!BD28*LF$4</f>
        <v>36128.212999999996</v>
      </c>
      <c r="LD29" s="593">
        <f>'Proy 2022 vs 2019 sem'!BE28*LF$4</f>
        <v>32515.391699999996</v>
      </c>
      <c r="LE29" s="699"/>
      <c r="LF29" s="700">
        <f>LE29/LC29</f>
        <v>0</v>
      </c>
      <c r="LG29" s="579">
        <f>KE29+KI29+KM29+KQ29+KU29+KY29+LC29</f>
        <v>164219.15</v>
      </c>
      <c r="LH29" s="574">
        <f>KF29+KJ29+KN29+KR29+KV29+KZ29+LD29</f>
        <v>147797.23499999999</v>
      </c>
      <c r="LI29" s="730">
        <f>KG29+KK29+KO29+KS29+KW29+LA29+LE29</f>
        <v>0</v>
      </c>
      <c r="LJ29" s="711">
        <f>LI29/LG29</f>
        <v>0</v>
      </c>
      <c r="LK29" s="593">
        <f>'Proy 2022 vs 2019 sem'!BI28*LN$4</f>
        <v>23600.518799999998</v>
      </c>
      <c r="LL29" s="593">
        <f>'Proy 2022 vs 2019 sem'!BJ28*LN$4</f>
        <v>21004.461731999996</v>
      </c>
      <c r="LM29" s="699"/>
      <c r="LN29" s="700">
        <f>LM29/LK29</f>
        <v>0</v>
      </c>
      <c r="LO29" s="593">
        <f>'Proy 2022 vs 2019 sem'!BI28*LR$4</f>
        <v>23600.518799999998</v>
      </c>
      <c r="LP29" s="593">
        <f>'Proy 2022 vs 2019 sem'!BJ28*LR$4</f>
        <v>21004.461731999996</v>
      </c>
      <c r="LQ29" s="699"/>
      <c r="LR29" s="700">
        <f>LQ29/LO29</f>
        <v>0</v>
      </c>
      <c r="LS29" s="593">
        <f>'Proy 2022 vs 2019 sem'!BI28*LV$4</f>
        <v>23600.518799999998</v>
      </c>
      <c r="LT29" s="593">
        <f>'Proy 2022 vs 2019 sem'!BJ28*LV$4</f>
        <v>21004.461731999996</v>
      </c>
      <c r="LU29" s="699"/>
      <c r="LV29" s="700">
        <f>LU29/LS29</f>
        <v>0</v>
      </c>
      <c r="LW29" s="593">
        <f>'Proy 2022 vs 2019 sem'!BI28*LZ$4</f>
        <v>23600.518799999998</v>
      </c>
      <c r="LX29" s="593">
        <f>'Proy 2022 vs 2019 sem'!BJ28*LZ$4</f>
        <v>21004.461731999996</v>
      </c>
      <c r="LY29" s="699"/>
      <c r="LZ29" s="700">
        <f>LY29/LW29</f>
        <v>0</v>
      </c>
      <c r="MA29" s="593">
        <f>'Proy 2022 vs 2019 sem'!BI28*MD$4</f>
        <v>27533.938600000001</v>
      </c>
      <c r="MB29" s="593">
        <f>'Proy 2022 vs 2019 sem'!BJ28*MD$4</f>
        <v>24505.205354000002</v>
      </c>
      <c r="MC29" s="699"/>
      <c r="MD29" s="700">
        <f>MC29/MA29</f>
        <v>0</v>
      </c>
      <c r="ME29" s="593">
        <f>'Proy 2022 vs 2019 sem'!BI28*MH$4</f>
        <v>31467.358399999997</v>
      </c>
      <c r="MF29" s="593">
        <f>'Proy 2022 vs 2019 sem'!BJ28*MH$4</f>
        <v>28005.948976</v>
      </c>
      <c r="MG29" s="699"/>
      <c r="MH29" s="700">
        <f>MG29/ME29</f>
        <v>0</v>
      </c>
      <c r="MI29" s="593">
        <f>'Proy 2022 vs 2019 sem'!BI28*ML$4</f>
        <v>43267.6178</v>
      </c>
      <c r="MJ29" s="593">
        <f>'Proy 2022 vs 2019 sem'!BJ28*ML$4</f>
        <v>38508.179841999998</v>
      </c>
      <c r="MK29" s="699"/>
      <c r="ML29" s="700">
        <f>MK29/MI29</f>
        <v>0</v>
      </c>
      <c r="MM29" s="579">
        <f>LK29+LO29+LS29+LW29+MA29+ME29+MI29</f>
        <v>196670.99</v>
      </c>
      <c r="MN29" s="574">
        <f>LL29+LP29+LT29+LX29+MB29+MF29+MJ29</f>
        <v>175037.18109999999</v>
      </c>
      <c r="MO29" s="730">
        <f>LM29+LQ29+LU29+LY29+MC29+MG29+MK29</f>
        <v>0</v>
      </c>
      <c r="MP29" s="711">
        <f>MO29/MM29</f>
        <v>0</v>
      </c>
      <c r="MQ29" s="593">
        <f>'Proy 2022 vs 2019 sem'!BN28*MT$4</f>
        <v>19634.441999999999</v>
      </c>
      <c r="MR29" s="593">
        <f>'Proy 2022 vs 2019 sem'!BO28*MT$4</f>
        <v>17081.964539999997</v>
      </c>
      <c r="MS29" s="699"/>
      <c r="MT29" s="700">
        <f>MS29/MQ29</f>
        <v>0</v>
      </c>
      <c r="MU29" s="593">
        <f>'Proy 2022 vs 2019 sem'!BN28*MX$4</f>
        <v>19634.441999999999</v>
      </c>
      <c r="MV29" s="593">
        <f>'Proy 2022 vs 2019 sem'!BO28*MX$4</f>
        <v>17081.964539999997</v>
      </c>
      <c r="MW29" s="699"/>
      <c r="MX29" s="700">
        <f>MW29/MU29</f>
        <v>0</v>
      </c>
      <c r="MY29" s="593">
        <f>'Proy 2022 vs 2019 sem'!BN28*NB$4</f>
        <v>19634.441999999999</v>
      </c>
      <c r="MZ29" s="593">
        <f>'Proy 2022 vs 2019 sem'!BO28*NB$4</f>
        <v>17081.964539999997</v>
      </c>
      <c r="NA29" s="699"/>
      <c r="NB29" s="700">
        <f>NA29/MY29</f>
        <v>0</v>
      </c>
      <c r="NC29" s="593">
        <f>'Proy 2022 vs 2019 sem'!BN28*NF$4</f>
        <v>19634.441999999999</v>
      </c>
      <c r="ND29" s="593">
        <f>'Proy 2022 vs 2019 sem'!BO28*NF$4</f>
        <v>17081.964539999997</v>
      </c>
      <c r="NE29" s="699"/>
      <c r="NF29" s="700">
        <f>NE29/NC29</f>
        <v>0</v>
      </c>
      <c r="NG29" s="593">
        <f>'Proy 2022 vs 2019 sem'!BN28*NJ$4</f>
        <v>22906.849000000002</v>
      </c>
      <c r="NH29" s="593">
        <f>'Proy 2022 vs 2019 sem'!BO28*NJ$4</f>
        <v>19928.958630000001</v>
      </c>
      <c r="NI29" s="699"/>
      <c r="NJ29" s="700">
        <f>NI29/NG29</f>
        <v>0</v>
      </c>
      <c r="NK29" s="593">
        <f>'Proy 2022 vs 2019 sem'!BN28*NN$4</f>
        <v>26179.256000000001</v>
      </c>
      <c r="NL29" s="593">
        <f>'Proy 2022 vs 2019 sem'!BO28*NN$4</f>
        <v>22775.952719999997</v>
      </c>
      <c r="NM29" s="699"/>
      <c r="NN29" s="700">
        <f>NM29/NK29</f>
        <v>0</v>
      </c>
      <c r="NO29" s="593">
        <f>'Proy 2022 vs 2019 sem'!BN28*NR$4</f>
        <v>35996.476999999999</v>
      </c>
      <c r="NP29" s="593">
        <f>'Proy 2022 vs 2019 sem'!BO28*NR$4</f>
        <v>31316.934989999998</v>
      </c>
      <c r="NQ29" s="699"/>
      <c r="NR29" s="700">
        <f>NQ29/NO29</f>
        <v>0</v>
      </c>
      <c r="NS29" s="579">
        <f>MQ29+MU29+MY29+NC29+NG29+NK29+NO29</f>
        <v>163620.34999999998</v>
      </c>
      <c r="NT29" s="574">
        <f>MR29+MV29+MZ29+ND29+NH29+NL29+NP29</f>
        <v>142349.70449999999</v>
      </c>
      <c r="NU29" s="710">
        <f>MS29+MW29+NA29+NE29+NI29+NM29+NQ29</f>
        <v>0</v>
      </c>
      <c r="NV29" s="711">
        <f>NU29/NS29</f>
        <v>0</v>
      </c>
      <c r="NW29" s="593">
        <f>'Proy 2022 vs 2019 sem'!BS28*NZ$4</f>
        <v>19997.119200000001</v>
      </c>
      <c r="NX29" s="593">
        <f>'Proy 2022 vs 2019 sem'!BT28*NZ$4</f>
        <v>17797.436087999999</v>
      </c>
      <c r="NY29" s="699"/>
      <c r="NZ29" s="700">
        <f>NY29/NW29</f>
        <v>0</v>
      </c>
      <c r="OA29" s="593">
        <f>'Proy 2022 vs 2019 sem'!BS28*OD$4</f>
        <v>19997.119200000001</v>
      </c>
      <c r="OB29" s="593">
        <f>'Proy 2022 vs 2019 sem'!BT28*OD$4</f>
        <v>17797.436087999999</v>
      </c>
      <c r="OC29" s="699"/>
      <c r="OD29" s="700">
        <f>OC29/OA29</f>
        <v>0</v>
      </c>
      <c r="OE29" s="593">
        <f>'Proy 2022 vs 2019 sem'!BS28*OH$4</f>
        <v>19997.119200000001</v>
      </c>
      <c r="OF29" s="593">
        <f>'Proy 2022 vs 2019 sem'!BT28*OH$4</f>
        <v>17797.436087999999</v>
      </c>
      <c r="OG29" s="699"/>
      <c r="OH29" s="700">
        <f>OG29/OE29</f>
        <v>0</v>
      </c>
      <c r="OI29" s="593">
        <f>'Proy 2022 vs 2019 sem'!BS28*OL$4</f>
        <v>19997.119200000001</v>
      </c>
      <c r="OJ29" s="593">
        <f>'Proy 2022 vs 2019 sem'!BT28*OL$4</f>
        <v>17797.436087999999</v>
      </c>
      <c r="OK29" s="699"/>
      <c r="OL29" s="700">
        <f>OK29/OI29</f>
        <v>0</v>
      </c>
      <c r="OM29" s="593">
        <f>'Proy 2022 vs 2019 sem'!BS28*OP$4</f>
        <v>23329.972400000002</v>
      </c>
      <c r="ON29" s="593">
        <f>'Proy 2022 vs 2019 sem'!BT28*OP$4</f>
        <v>20763.675436000001</v>
      </c>
      <c r="OO29" s="699"/>
      <c r="OP29" s="700">
        <f>OO29/OM29</f>
        <v>0</v>
      </c>
      <c r="OQ29" s="593">
        <f>'Proy 2022 vs 2019 sem'!BS28*OT$4</f>
        <v>26662.8256</v>
      </c>
      <c r="OR29" s="593">
        <f>'Proy 2022 vs 2019 sem'!BT28*OT$4</f>
        <v>23729.914784000001</v>
      </c>
      <c r="OS29" s="699"/>
      <c r="OT29" s="700">
        <f>OS29/OQ29</f>
        <v>0</v>
      </c>
      <c r="OU29" s="593">
        <f>'Proy 2022 vs 2019 sem'!BS28*OX$4</f>
        <v>36661.385200000004</v>
      </c>
      <c r="OV29" s="593">
        <f>'Proy 2022 vs 2019 sem'!BT28*OX$4</f>
        <v>32628.632827999998</v>
      </c>
      <c r="OW29" s="699"/>
      <c r="OX29" s="700">
        <f>OW29/OU29</f>
        <v>0</v>
      </c>
      <c r="OY29" s="579">
        <f>NW29+OA29+OE29+OI29+OM29+OQ29+OU29</f>
        <v>166642.66</v>
      </c>
      <c r="OZ29" s="574">
        <f>NX29+OB29+OF29+OJ29+ON29+OR29+OV29</f>
        <v>148311.96739999999</v>
      </c>
      <c r="PA29" s="710">
        <f>NY29+OC29+OG29+OK29+OO29+OS29+OW29</f>
        <v>0</v>
      </c>
      <c r="PB29" s="711">
        <f>PA29/OY29</f>
        <v>0</v>
      </c>
      <c r="PC29" s="593">
        <f>'Proy 2022 vs 2019 sem'!CB28*PF$4</f>
        <v>22275.705600000001</v>
      </c>
      <c r="PD29" s="593">
        <f>'Proy 2022 vs 2019 sem'!CC28*PF$4</f>
        <v>19825.377984000002</v>
      </c>
      <c r="PE29" s="735"/>
      <c r="PF29" s="700">
        <f>PE29/PC29</f>
        <v>0</v>
      </c>
      <c r="PG29" s="593">
        <f>'Proy 2022 vs 2019 sem'!CB28*PJ$4</f>
        <v>22275.705600000001</v>
      </c>
      <c r="PH29" s="593">
        <f>'Proy 2022 vs 2019 sem'!CC28*PJ$4</f>
        <v>19825.377984000002</v>
      </c>
      <c r="PI29" s="699"/>
      <c r="PJ29" s="700">
        <f>PI29/PG29</f>
        <v>0</v>
      </c>
      <c r="PK29" s="593">
        <f>'Proy 2022 vs 2019 sem'!CB28*PN$4</f>
        <v>22275.705600000001</v>
      </c>
      <c r="PL29" s="593">
        <f>'Proy 2022 vs 2019 sem'!CC28*PN$4</f>
        <v>19825.377984000002</v>
      </c>
      <c r="PM29" s="699"/>
      <c r="PN29" s="700">
        <f>PM29/PK29</f>
        <v>0</v>
      </c>
      <c r="PO29" s="593">
        <f>'Proy 2022 vs 2019 sem'!CB28*PR$4</f>
        <v>22275.705600000001</v>
      </c>
      <c r="PP29" s="593">
        <f>'Proy 2022 vs 2019 sem'!CC28*PR$4</f>
        <v>19825.377984000002</v>
      </c>
      <c r="PQ29" s="699"/>
      <c r="PR29" s="700">
        <f>PQ29/PO29</f>
        <v>0</v>
      </c>
      <c r="PS29" s="593">
        <f>'Proy 2022 vs 2019 sem'!CB28*PV$4</f>
        <v>25988.323200000003</v>
      </c>
      <c r="PT29" s="593">
        <f>'Proy 2022 vs 2019 sem'!CC28*PV$4</f>
        <v>23129.607648000005</v>
      </c>
      <c r="PU29" s="699"/>
      <c r="PV29" s="700">
        <f>PU29/PS29</f>
        <v>0</v>
      </c>
      <c r="PW29" s="593">
        <f>'Proy 2022 vs 2019 sem'!CB28*PZ$4</f>
        <v>29700.9408</v>
      </c>
      <c r="PX29" s="593">
        <f>'Proy 2022 vs 2019 sem'!CC28*PZ$4</f>
        <v>26433.837312000003</v>
      </c>
      <c r="PY29" s="699"/>
      <c r="PZ29" s="700">
        <f>PY29/PW29</f>
        <v>0</v>
      </c>
      <c r="QA29" s="593">
        <f>'Proy 2022 vs 2019 sem'!CB28*QD$4</f>
        <v>40838.793600000005</v>
      </c>
      <c r="QB29" s="593">
        <f>'Proy 2022 vs 2019 sem'!CC28*QD$4</f>
        <v>36346.526304000006</v>
      </c>
      <c r="QC29" s="699"/>
      <c r="QD29" s="700">
        <f>QC29/QA29</f>
        <v>0</v>
      </c>
      <c r="QE29" s="579">
        <f>PC29+PG29+PK29+PO29+PS29+PW29+QA29</f>
        <v>185630.88</v>
      </c>
      <c r="QF29" s="574">
        <f>PD29+PH29+PL29+PP29+PT29+PX29+QB29</f>
        <v>165211.48320000002</v>
      </c>
      <c r="QG29" s="793">
        <f>PE29+PI29+PM29+PQ29+PU29+PY29+QC29</f>
        <v>0</v>
      </c>
      <c r="QH29" s="786">
        <f>QG29/QE29</f>
        <v>0</v>
      </c>
      <c r="QI29" s="593">
        <f>'Proy 2022 vs 2019 sem'!CG28*QL$4</f>
        <v>25124.304</v>
      </c>
      <c r="QJ29" s="593">
        <f>'Proy 2022 vs 2019 sem'!CH28*QL$4</f>
        <v>22611.873600000003</v>
      </c>
      <c r="QK29" s="699"/>
      <c r="QL29" s="700">
        <f>QK29/QI29</f>
        <v>0</v>
      </c>
      <c r="QM29" s="593">
        <f>'Proy 2022 vs 2019 sem'!CG28*QP$4</f>
        <v>25124.304</v>
      </c>
      <c r="QN29" s="593">
        <f>'Proy 2022 vs 2019 sem'!CH28*QP$4</f>
        <v>22611.873600000003</v>
      </c>
      <c r="QO29" s="699"/>
      <c r="QP29" s="700">
        <f>QO29/QM29</f>
        <v>0</v>
      </c>
      <c r="QQ29" s="593">
        <f>'Proy 2022 vs 2019 sem'!CG28*QT$4</f>
        <v>25124.304</v>
      </c>
      <c r="QR29" s="593">
        <f>'Proy 2022 vs 2019 sem'!CH28*QT$4</f>
        <v>22611.873600000003</v>
      </c>
      <c r="QS29" s="699"/>
      <c r="QT29" s="700">
        <f>QS29/QQ29</f>
        <v>0</v>
      </c>
      <c r="QU29" s="593">
        <f>'Proy 2022 vs 2019 sem'!CG28*QX$4</f>
        <v>25124.304</v>
      </c>
      <c r="QV29" s="593">
        <f>'Proy 2022 vs 2019 sem'!CH28*QX$4</f>
        <v>22611.873600000003</v>
      </c>
      <c r="QW29" s="699"/>
      <c r="QX29" s="700">
        <f>QW29/QU29</f>
        <v>0</v>
      </c>
      <c r="QY29" s="593">
        <f>'Proy 2022 vs 2019 sem'!CG28*RB$4</f>
        <v>29311.688000000006</v>
      </c>
      <c r="QZ29" s="593">
        <f>'Proy 2022 vs 2019 sem'!CH28*RB$4</f>
        <v>26380.519200000006</v>
      </c>
      <c r="RA29" s="699"/>
      <c r="RB29" s="700">
        <f>RA29/QY29</f>
        <v>0</v>
      </c>
      <c r="RC29" s="593">
        <f>'Proy 2022 vs 2019 sem'!CG28*RF$4</f>
        <v>33499.072</v>
      </c>
      <c r="RD29" s="593">
        <f>'Proy 2022 vs 2019 sem'!CH28*RF$4</f>
        <v>30149.164800000006</v>
      </c>
      <c r="RE29" s="699"/>
      <c r="RF29" s="700">
        <f>RE29/RC29</f>
        <v>0</v>
      </c>
      <c r="RG29" s="593">
        <f>'Proy 2022 vs 2019 sem'!CG28*RJ$4</f>
        <v>46061.224000000002</v>
      </c>
      <c r="RH29" s="593">
        <f>'Proy 2022 vs 2019 sem'!CH28*RJ$4</f>
        <v>41455.101600000009</v>
      </c>
      <c r="RI29" s="699"/>
      <c r="RJ29" s="700">
        <f>RI29/RG29</f>
        <v>0</v>
      </c>
      <c r="RK29" s="579">
        <f>QI29+QM29+QQ29+QU29+QY29+RC29+RG29</f>
        <v>209369.2</v>
      </c>
      <c r="RL29" s="574">
        <f>QJ29+QN29+QR29+QV29+QZ29+RD29+RH29</f>
        <v>188432.28000000003</v>
      </c>
      <c r="RM29" s="794">
        <f>QK29+QO29+QS29+QW29+RA29+RE29+RI29</f>
        <v>0</v>
      </c>
      <c r="RN29" s="786">
        <f>RM29/RK29</f>
        <v>0</v>
      </c>
      <c r="RO29" s="593">
        <f>'Proy 2022 vs 2019 sem'!CL28*RR$4</f>
        <v>22881.448799999998</v>
      </c>
      <c r="RP29" s="593">
        <f>'Proy 2022 vs 2019 sem'!CM28*RR$4</f>
        <v>20593.303920000002</v>
      </c>
      <c r="RQ29" s="699"/>
      <c r="RR29" s="700">
        <f>RQ29/RO29</f>
        <v>0</v>
      </c>
      <c r="RS29" s="593">
        <f>'Proy 2022 vs 2019 sem'!CL28*RV$4</f>
        <v>22881.448799999998</v>
      </c>
      <c r="RT29" s="593">
        <f>'Proy 2022 vs 2019 sem'!CM28*RV$4</f>
        <v>20593.303920000002</v>
      </c>
      <c r="RU29" s="699"/>
      <c r="RV29" s="700">
        <f>RU29/RS29</f>
        <v>0</v>
      </c>
      <c r="RW29" s="593">
        <f>'Proy 2022 vs 2019 sem'!CL28*RZ$4</f>
        <v>22881.448799999998</v>
      </c>
      <c r="RX29" s="593">
        <f>'Proy 2022 vs 2019 sem'!CM28*RZ$4</f>
        <v>20593.303920000002</v>
      </c>
      <c r="RY29" s="699"/>
      <c r="RZ29" s="700">
        <f>RY29/RW29</f>
        <v>0</v>
      </c>
      <c r="SA29" s="593">
        <f>'Proy 2022 vs 2019 sem'!CL28*SD$4</f>
        <v>22881.448799999998</v>
      </c>
      <c r="SB29" s="593">
        <f>'Proy 2022 vs 2019 sem'!CM28*SD$4</f>
        <v>20593.303920000002</v>
      </c>
      <c r="SC29" s="699"/>
      <c r="SD29" s="700">
        <f>SC29/SA29</f>
        <v>0</v>
      </c>
      <c r="SE29" s="593">
        <f>'Proy 2022 vs 2019 sem'!CL28*SH$4</f>
        <v>26695.0236</v>
      </c>
      <c r="SF29" s="593">
        <f>'Proy 2022 vs 2019 sem'!CM28*SH$4</f>
        <v>24025.521240000002</v>
      </c>
      <c r="SG29" s="699"/>
      <c r="SH29" s="700">
        <f>SG29/SE29</f>
        <v>0</v>
      </c>
      <c r="SI29" s="593">
        <f>'Proy 2022 vs 2019 sem'!CL28*SL$4</f>
        <v>30508.598399999999</v>
      </c>
      <c r="SJ29" s="593">
        <f>'Proy 2022 vs 2019 sem'!CM28*SL$4</f>
        <v>27457.738560000002</v>
      </c>
      <c r="SK29" s="699"/>
      <c r="SL29" s="700">
        <f>SK29/SI29</f>
        <v>0</v>
      </c>
      <c r="SM29" s="593">
        <f>'Proy 2022 vs 2019 sem'!CL28*SP$4</f>
        <v>41949.322800000002</v>
      </c>
      <c r="SN29" s="593">
        <f>'Proy 2022 vs 2019 sem'!CM28*SP$4</f>
        <v>37754.390520000001</v>
      </c>
      <c r="SO29" s="699"/>
      <c r="SP29" s="700">
        <f>SO29/SM29</f>
        <v>0</v>
      </c>
      <c r="SQ29" s="579">
        <f>RO29+RS29+RW29+SA29+SE29+SI29+SM29</f>
        <v>190678.74</v>
      </c>
      <c r="SR29" s="574">
        <f>RP29+RT29+RX29+SB29+SF29+SJ29+SN29</f>
        <v>171610.86600000004</v>
      </c>
      <c r="SS29" s="794">
        <f>RQ29+RU29+RY29+SC29+SG29+SK29+SO29</f>
        <v>0</v>
      </c>
      <c r="ST29" s="786">
        <f>SS29/SQ29</f>
        <v>0</v>
      </c>
      <c r="SU29" s="593">
        <f>'Proy 2022 vs 2019 sem'!CQ28*SX$4</f>
        <v>24479.4948</v>
      </c>
      <c r="SV29" s="593">
        <f>'Proy 2022 vs 2019 sem'!CR28*SX$4</f>
        <v>22276.340268</v>
      </c>
      <c r="SW29" s="699"/>
      <c r="SX29" s="700">
        <f>SW29/SU29</f>
        <v>0</v>
      </c>
      <c r="SY29" s="593">
        <f>'Proy 2022 vs 2019 sem'!CQ28*TB$4</f>
        <v>24479.4948</v>
      </c>
      <c r="SZ29" s="593">
        <f>'Proy 2022 vs 2019 sem'!CR28*TB$4</f>
        <v>22276.340268</v>
      </c>
      <c r="TA29" s="699"/>
      <c r="TB29" s="700">
        <f>TA29/SY29</f>
        <v>0</v>
      </c>
      <c r="TC29" s="593">
        <f>'Proy 2022 vs 2019 sem'!CQ28*TF$4</f>
        <v>24479.4948</v>
      </c>
      <c r="TD29" s="593">
        <f>'Proy 2022 vs 2019 sem'!CR28*TF$4</f>
        <v>22276.340268</v>
      </c>
      <c r="TE29" s="699"/>
      <c r="TF29" s="700">
        <f>TE29/TC29</f>
        <v>0</v>
      </c>
      <c r="TG29" s="593">
        <f>'Proy 2022 vs 2019 sem'!CQ28*TJ$4</f>
        <v>24479.4948</v>
      </c>
      <c r="TH29" s="593">
        <f>'Proy 2022 vs 2019 sem'!CR28*TJ$4</f>
        <v>22276.340268</v>
      </c>
      <c r="TI29" s="699"/>
      <c r="TJ29" s="700">
        <f>TI29/TG29</f>
        <v>0</v>
      </c>
      <c r="TK29" s="593">
        <f>'Proy 2022 vs 2019 sem'!CQ28*TN$4</f>
        <v>28559.410600000003</v>
      </c>
      <c r="TL29" s="593">
        <f>'Proy 2022 vs 2019 sem'!CR28*TN$4</f>
        <v>25989.063646000006</v>
      </c>
      <c r="TM29" s="699"/>
      <c r="TN29" s="700">
        <f>TM29/TK29</f>
        <v>0</v>
      </c>
      <c r="TO29" s="593">
        <f>'Proy 2022 vs 2019 sem'!CQ28*TR$4</f>
        <v>32639.326400000002</v>
      </c>
      <c r="TP29" s="593">
        <f>'Proy 2022 vs 2019 sem'!CR28*TR$4</f>
        <v>29701.787024000005</v>
      </c>
      <c r="TQ29" s="699"/>
      <c r="TR29" s="700">
        <f>TQ29/TO29</f>
        <v>0</v>
      </c>
      <c r="TS29" s="593">
        <f>'Proy 2022 vs 2019 sem'!CQ28*TV$4</f>
        <v>44879.073800000006</v>
      </c>
      <c r="TT29" s="593">
        <f>'Proy 2022 vs 2019 sem'!CR28*TV$4</f>
        <v>40839.957158000005</v>
      </c>
      <c r="TU29" s="699"/>
      <c r="TV29" s="700">
        <f>TU29/TS29</f>
        <v>0</v>
      </c>
      <c r="TW29" s="579">
        <f>SU29+SY29+TC29+TG29+TK29+TO29+TS29</f>
        <v>203995.79</v>
      </c>
      <c r="TX29" s="574">
        <f>SV29+SZ29+TD29+TH29+TL29+TP29+TT29</f>
        <v>185636.16890000002</v>
      </c>
      <c r="TY29" s="785">
        <f>SW29+TA29+TE29+TI29+TM29+TQ29+TU29</f>
        <v>0</v>
      </c>
      <c r="TZ29" s="786">
        <f>TY29/TW29</f>
        <v>0</v>
      </c>
      <c r="UA29" s="593">
        <f>'Proy 2022 vs 2019 sem'!CZ28*UD$4</f>
        <v>35927.360399999998</v>
      </c>
      <c r="UB29" s="593">
        <f>'Proy 2022 vs 2019 sem'!DA28*UD$4</f>
        <v>32334.624359999998</v>
      </c>
      <c r="UC29" s="735"/>
      <c r="UD29" s="700">
        <f>UC29/UA29</f>
        <v>0</v>
      </c>
      <c r="UE29" s="593">
        <f>'Proy 2022 vs 2019 sem'!CZ28*UH$4</f>
        <v>35927.360399999998</v>
      </c>
      <c r="UF29" s="593">
        <f>'Proy 2022 vs 2019 sem'!DA28*UH$4</f>
        <v>32334.624359999998</v>
      </c>
      <c r="UG29" s="699"/>
      <c r="UH29" s="700">
        <f>UG29/UE29</f>
        <v>0</v>
      </c>
      <c r="UI29" s="593">
        <f>'Proy 2022 vs 2019 sem'!CZ28*UL$4</f>
        <v>35927.360399999998</v>
      </c>
      <c r="UJ29" s="593">
        <f>'Proy 2022 vs 2019 sem'!DA28*UL$4</f>
        <v>32334.624359999998</v>
      </c>
      <c r="UK29" s="699"/>
      <c r="UL29" s="700">
        <f>UK29/UI29</f>
        <v>0</v>
      </c>
      <c r="UM29" s="593">
        <f>'Proy 2022 vs 2019 sem'!CZ28*UP$4</f>
        <v>35927.360399999998</v>
      </c>
      <c r="UN29" s="593">
        <f>'Proy 2022 vs 2019 sem'!DA28*UP$4</f>
        <v>32334.624359999998</v>
      </c>
      <c r="UO29" s="699"/>
      <c r="UP29" s="700">
        <f>UO29/UM29</f>
        <v>0</v>
      </c>
      <c r="UQ29" s="593">
        <f>'Proy 2022 vs 2019 sem'!CZ28*UT$4</f>
        <v>41915.253799999999</v>
      </c>
      <c r="UR29" s="593">
        <f>'Proy 2022 vs 2019 sem'!DA28*UT$4</f>
        <v>37723.728419999999</v>
      </c>
      <c r="US29" s="699"/>
      <c r="UT29" s="700">
        <f>US29/UQ29</f>
        <v>0</v>
      </c>
      <c r="UU29" s="593">
        <f>'Proy 2022 vs 2019 sem'!CZ28*UX$4</f>
        <v>47903.147199999999</v>
      </c>
      <c r="UV29" s="593">
        <f>'Proy 2022 vs 2019 sem'!DA28*UX$4</f>
        <v>43112.832479999997</v>
      </c>
      <c r="UW29" s="699"/>
      <c r="UX29" s="700">
        <f>UW29/UU29</f>
        <v>0</v>
      </c>
      <c r="UY29" s="593">
        <f>'Proy 2022 vs 2019 sem'!CZ28*VB$4</f>
        <v>65866.827399999995</v>
      </c>
      <c r="UZ29" s="593">
        <f>'Proy 2022 vs 2019 sem'!DA28*VB$4</f>
        <v>59280.144659999998</v>
      </c>
      <c r="VA29" s="699"/>
      <c r="VB29" s="700">
        <f>VA29/UY29</f>
        <v>0</v>
      </c>
      <c r="VC29" s="579">
        <f>UA29+UE29+UI29+UM29+UQ29+UU29+UY29</f>
        <v>299394.67</v>
      </c>
      <c r="VD29" s="574">
        <f>UB29+UF29+UJ29+UN29+UR29+UV29+UZ29</f>
        <v>269455.20299999998</v>
      </c>
      <c r="VE29" s="759">
        <f>UC29+UG29+UK29+UO29+US29+UW29+VA29</f>
        <v>0</v>
      </c>
      <c r="VF29" s="761">
        <f>VE29/VC29</f>
        <v>0</v>
      </c>
      <c r="VG29" s="593">
        <f>'Proy 2022 vs 2019 sem'!DE28*VJ$4</f>
        <v>23917.321199999998</v>
      </c>
      <c r="VH29" s="593">
        <f>'Proy 2022 vs 2019 sem'!DF28*VJ$4</f>
        <v>21525.589080000002</v>
      </c>
      <c r="VI29" s="699"/>
      <c r="VJ29" s="700">
        <f>VI29/VG29</f>
        <v>0</v>
      </c>
      <c r="VK29" s="593">
        <f>'Proy 2022 vs 2019 sem'!DE28*VN$4</f>
        <v>23917.321199999998</v>
      </c>
      <c r="VL29" s="593">
        <f>'Proy 2022 vs 2019 sem'!DF28*VN$4</f>
        <v>21525.589080000002</v>
      </c>
      <c r="VM29" s="699"/>
      <c r="VN29" s="700">
        <f>VM29/VK29</f>
        <v>0</v>
      </c>
      <c r="VO29" s="593">
        <f>'Proy 2022 vs 2019 sem'!DE28*VR$4</f>
        <v>23917.321199999998</v>
      </c>
      <c r="VP29" s="593">
        <f>'Proy 2022 vs 2019 sem'!DF28*VR$4</f>
        <v>21525.589080000002</v>
      </c>
      <c r="VQ29" s="699"/>
      <c r="VR29" s="700">
        <f>VQ29/VO29</f>
        <v>0</v>
      </c>
      <c r="VS29" s="593">
        <f>'Proy 2022 vs 2019 sem'!DE28*VV$4</f>
        <v>23917.321199999998</v>
      </c>
      <c r="VT29" s="593">
        <f>'Proy 2022 vs 2019 sem'!DF28*VV$4</f>
        <v>21525.589080000002</v>
      </c>
      <c r="VU29" s="699"/>
      <c r="VV29" s="700">
        <f>VU29/VS29</f>
        <v>0</v>
      </c>
      <c r="VW29" s="593">
        <f>'Proy 2022 vs 2019 sem'!DE28*VZ$4</f>
        <v>27903.541400000006</v>
      </c>
      <c r="VX29" s="593">
        <f>'Proy 2022 vs 2019 sem'!DF28*VZ$4</f>
        <v>25113.187260000006</v>
      </c>
      <c r="VY29" s="699"/>
      <c r="VZ29" s="700">
        <f>VY29/VW29</f>
        <v>0</v>
      </c>
      <c r="WA29" s="593">
        <f>'Proy 2022 vs 2019 sem'!DE28*WD$4</f>
        <v>31889.761600000002</v>
      </c>
      <c r="WB29" s="593">
        <f>'Proy 2022 vs 2019 sem'!DF28*WD$4</f>
        <v>28700.785440000003</v>
      </c>
      <c r="WC29" s="699"/>
      <c r="WD29" s="700">
        <f>WC29/WA29</f>
        <v>0</v>
      </c>
      <c r="WE29" s="593">
        <f>'Proy 2022 vs 2019 sem'!DE28*WH$4</f>
        <v>43848.422200000001</v>
      </c>
      <c r="WF29" s="593">
        <f>'Proy 2022 vs 2019 sem'!DF28*WH$4</f>
        <v>39463.579980000002</v>
      </c>
      <c r="WG29" s="699"/>
      <c r="WH29" s="700">
        <f>WG29/WE29</f>
        <v>0</v>
      </c>
      <c r="WI29" s="579">
        <f>VG29+VK29+VO29+VS29+VW29+WA29+WE29</f>
        <v>199311.01</v>
      </c>
      <c r="WJ29" s="574">
        <f>VH29+VL29+VP29+VT29+VX29+WB29+WF29</f>
        <v>179379.90900000001</v>
      </c>
      <c r="WK29" s="765">
        <f>VI29+VM29+VQ29+VU29+VY29+WC29+WG29</f>
        <v>0</v>
      </c>
      <c r="WL29" s="761">
        <f>WK29/WI29</f>
        <v>0</v>
      </c>
      <c r="WM29" s="593">
        <f>'Proy 2022 vs 2019 sem'!DJ28*WP$4</f>
        <v>20382.96</v>
      </c>
      <c r="WN29" s="593">
        <f>'Proy 2022 vs 2019 sem'!DK28*WP$4</f>
        <v>18344.664000000001</v>
      </c>
      <c r="WO29" s="699"/>
      <c r="WP29" s="700">
        <f>WO29/WM29</f>
        <v>0</v>
      </c>
      <c r="WQ29" s="593">
        <f>'Proy 2022 vs 2019 sem'!DJ28*WT$4</f>
        <v>20382.96</v>
      </c>
      <c r="WR29" s="593">
        <f>'Proy 2022 vs 2019 sem'!DK28*WT$4</f>
        <v>18344.664000000001</v>
      </c>
      <c r="WS29" s="699"/>
      <c r="WT29" s="700">
        <f>WS29/WQ29</f>
        <v>0</v>
      </c>
      <c r="WU29" s="593">
        <f>'Proy 2022 vs 2019 sem'!DJ28*WX$4</f>
        <v>20382.96</v>
      </c>
      <c r="WV29" s="593">
        <f>'Proy 2022 vs 2019 sem'!DK28*WX$4</f>
        <v>18344.664000000001</v>
      </c>
      <c r="WW29" s="699"/>
      <c r="WX29" s="700">
        <f>WW29/WU29</f>
        <v>0</v>
      </c>
      <c r="WY29" s="593">
        <f>'Proy 2022 vs 2019 sem'!DJ28*XB$4</f>
        <v>20382.96</v>
      </c>
      <c r="WZ29" s="593">
        <f>'Proy 2022 vs 2019 sem'!DK28*XB$4</f>
        <v>18344.664000000001</v>
      </c>
      <c r="XA29" s="699"/>
      <c r="XB29" s="700">
        <f>XA29/WY29</f>
        <v>0</v>
      </c>
      <c r="XC29" s="593">
        <f>'Proy 2022 vs 2019 sem'!DJ28*XF$4</f>
        <v>23780.120000000003</v>
      </c>
      <c r="XD29" s="593">
        <f>'Proy 2022 vs 2019 sem'!DK28*XF$4</f>
        <v>21402.108000000004</v>
      </c>
      <c r="XE29" s="699"/>
      <c r="XF29" s="700">
        <f>XE29/XC29</f>
        <v>0</v>
      </c>
      <c r="XG29" s="593">
        <f>'Proy 2022 vs 2019 sem'!DJ28*XJ$4</f>
        <v>27177.279999999999</v>
      </c>
      <c r="XH29" s="593">
        <f>'Proy 2022 vs 2019 sem'!DK28*XJ$4</f>
        <v>24459.552000000003</v>
      </c>
      <c r="XI29" s="699"/>
      <c r="XJ29" s="700">
        <f>XI29/XG29</f>
        <v>0</v>
      </c>
      <c r="XK29" s="593">
        <f>'Proy 2022 vs 2019 sem'!DJ28*XN$4</f>
        <v>37368.76</v>
      </c>
      <c r="XL29" s="593">
        <f>'Proy 2022 vs 2019 sem'!DK28*XN$4</f>
        <v>33631.884000000005</v>
      </c>
      <c r="XM29" s="699"/>
      <c r="XN29" s="700">
        <f>XM29/XK29</f>
        <v>0</v>
      </c>
      <c r="XO29" s="579">
        <f>WM29+WQ29+WU29+WY29+XC29+XG29+XK29</f>
        <v>169858</v>
      </c>
      <c r="XP29" s="574">
        <f>WN29+WR29+WV29+WZ29+XD29+XH29+XL29</f>
        <v>152872.20000000001</v>
      </c>
      <c r="XQ29" s="765">
        <f>WO29+WS29+WW29+XA29+XE29+XI29+XM29</f>
        <v>0</v>
      </c>
      <c r="XR29" s="761">
        <f>XQ29/XO29</f>
        <v>0</v>
      </c>
      <c r="XS29" s="593">
        <f>'Proy 2022 vs 2019 sem'!DO28*XV$4</f>
        <v>20882.3184</v>
      </c>
      <c r="XT29" s="593">
        <f>'Proy 2022 vs 2019 sem'!DP28*XV$4</f>
        <v>18794.08656</v>
      </c>
      <c r="XU29" s="699"/>
      <c r="XV29" s="700">
        <f>XU29/XS29</f>
        <v>0</v>
      </c>
      <c r="XW29" s="593">
        <f>'Proy 2022 vs 2019 sem'!DO28*XZ$4</f>
        <v>20882.3184</v>
      </c>
      <c r="XX29" s="593">
        <f>'Proy 2022 vs 2019 sem'!DP28*XZ$4</f>
        <v>18794.08656</v>
      </c>
      <c r="XY29" s="699"/>
      <c r="XZ29" s="700">
        <f>XY29/XW29</f>
        <v>0</v>
      </c>
      <c r="YA29" s="593">
        <f>'Proy 2022 vs 2019 sem'!DO28*YD$4</f>
        <v>20882.3184</v>
      </c>
      <c r="YB29" s="593">
        <f>'Proy 2022 vs 2019 sem'!DP28*YD$4</f>
        <v>18794.08656</v>
      </c>
      <c r="YC29" s="699"/>
      <c r="YD29" s="700">
        <f>YC29/YA29</f>
        <v>0</v>
      </c>
      <c r="YE29" s="593">
        <f>'Proy 2022 vs 2019 sem'!DO28*YH$4</f>
        <v>20882.3184</v>
      </c>
      <c r="YF29" s="593">
        <f>'Proy 2022 vs 2019 sem'!DP28*YH$4</f>
        <v>18794.08656</v>
      </c>
      <c r="YG29" s="699"/>
      <c r="YH29" s="700">
        <f>YG29/YE29</f>
        <v>0</v>
      </c>
      <c r="YI29" s="593">
        <f>'Proy 2022 vs 2019 sem'!DO28*YL$4</f>
        <v>24362.704800000003</v>
      </c>
      <c r="YJ29" s="593">
        <f>'Proy 2022 vs 2019 sem'!DP28*YL$4</f>
        <v>21926.434320000004</v>
      </c>
      <c r="YK29" s="699"/>
      <c r="YL29" s="700">
        <f>YK29/YI29</f>
        <v>0</v>
      </c>
      <c r="YM29" s="593">
        <f>'Proy 2022 vs 2019 sem'!DO28*YP$4</f>
        <v>27843.091200000003</v>
      </c>
      <c r="YN29" s="593">
        <f>'Proy 2022 vs 2019 sem'!DP28*YP$4</f>
        <v>25058.782080000001</v>
      </c>
      <c r="YO29" s="699"/>
      <c r="YP29" s="700">
        <f>YO29/YM29</f>
        <v>0</v>
      </c>
      <c r="YQ29" s="593">
        <f>'Proy 2022 vs 2019 sem'!DO28*YT$4</f>
        <v>38284.250400000004</v>
      </c>
      <c r="YR29" s="593">
        <f>'Proy 2022 vs 2019 sem'!DP28*YT$4</f>
        <v>34455.825360000003</v>
      </c>
      <c r="YS29" s="699"/>
      <c r="YT29" s="700">
        <f>YS29/YQ29</f>
        <v>0</v>
      </c>
      <c r="YU29" s="579">
        <f>XS29+XW29+YA29+YE29+YI29+YM29+YQ29</f>
        <v>174019.32</v>
      </c>
      <c r="YV29" s="574">
        <f>XT29+XX29+YB29+YF29+YJ29+YN29+YR29</f>
        <v>156617.38800000001</v>
      </c>
      <c r="YW29" s="770">
        <f>XU29+XY29+YC29+YG29+YK29+YO29+YS29</f>
        <v>0</v>
      </c>
      <c r="YX29" s="761">
        <f>YW29/YU29</f>
        <v>0</v>
      </c>
      <c r="YY29" s="931">
        <f>'Proy 2022 vs 2019 sem'!DX28*ZB$4</f>
        <v>20939.023199999996</v>
      </c>
      <c r="YZ29" s="931">
        <f>'Proy 2022 vs 2019 sem'!DY28*ZB$4</f>
        <v>18845.120879999999</v>
      </c>
      <c r="ZA29" s="735"/>
      <c r="ZB29" s="700">
        <f>ZA29/YY29</f>
        <v>0</v>
      </c>
      <c r="ZC29" s="593">
        <f>'Proy 2022 vs 2019 sem'!DX28*ZF$4</f>
        <v>20939.023199999996</v>
      </c>
      <c r="ZD29" s="593">
        <f>'Proy 2022 vs 2019 sem'!DY28*ZF$4</f>
        <v>18845.120879999999</v>
      </c>
      <c r="ZE29" s="735"/>
      <c r="ZF29" s="700">
        <f>ZE29/ZC29</f>
        <v>0</v>
      </c>
      <c r="ZG29" s="593">
        <f>'Proy 2022 vs 2019 sem'!DX28*ZJ$4</f>
        <v>20939.023199999996</v>
      </c>
      <c r="ZH29" s="593">
        <f>'Proy 2022 vs 2019 sem'!DY28*ZJ$4</f>
        <v>18845.120879999999</v>
      </c>
      <c r="ZI29" s="735"/>
      <c r="ZJ29" s="700">
        <f>ZI29/ZG29</f>
        <v>0</v>
      </c>
      <c r="ZK29" s="593">
        <f>'Proy 2022 vs 2019 sem'!DX28*ZN$4</f>
        <v>20939.023199999996</v>
      </c>
      <c r="ZL29" s="593">
        <f>'Proy 2022 vs 2019 sem'!DY28*ZN$4</f>
        <v>18845.120879999999</v>
      </c>
      <c r="ZM29" s="735"/>
      <c r="ZN29" s="700">
        <f>ZM29/ZK29</f>
        <v>0</v>
      </c>
      <c r="ZO29" s="593">
        <f>'Proy 2022 vs 2019 sem'!DX28*ZR$4</f>
        <v>24428.860400000001</v>
      </c>
      <c r="ZP29" s="593">
        <f>'Proy 2022 vs 2019 sem'!DY28*ZR$4</f>
        <v>21985.97436</v>
      </c>
      <c r="ZQ29" s="735"/>
      <c r="ZR29" s="700">
        <f>ZQ29/ZO29</f>
        <v>0</v>
      </c>
      <c r="ZS29" s="593">
        <f>'Proy 2022 vs 2019 sem'!DX28*ZV$4</f>
        <v>27918.6976</v>
      </c>
      <c r="ZT29" s="593">
        <f>'Proy 2022 vs 2019 sem'!DY28*ZV$4</f>
        <v>25126.827840000002</v>
      </c>
      <c r="ZU29" s="735"/>
      <c r="ZV29" s="700">
        <f>ZU29/ZS29</f>
        <v>0</v>
      </c>
      <c r="ZW29" s="593">
        <f>'Proy 2022 vs 2019 sem'!DX28*ZZ$4</f>
        <v>38388.209199999998</v>
      </c>
      <c r="ZX29" s="593">
        <f>'Proy 2022 vs 2019 sem'!DY28*ZZ$4</f>
        <v>34549.388279999999</v>
      </c>
      <c r="ZY29" s="735"/>
      <c r="ZZ29" s="700">
        <f>ZY29/ZW29</f>
        <v>0</v>
      </c>
      <c r="AAA29" s="579">
        <f>YY29+ZC29+ZG29+ZK29+ZO29+ZS29+ZW29</f>
        <v>174491.86</v>
      </c>
      <c r="AAB29" s="574">
        <f>YZ29+ZD29+ZH29+ZL29+ZP29+ZT29+ZX29</f>
        <v>157042.674</v>
      </c>
      <c r="AAC29" s="729">
        <f>ZA29+ZE29+ZI29+ZM29+ZQ29+ZU29+ZY29</f>
        <v>0</v>
      </c>
      <c r="AAD29" s="711">
        <f>AAC29/AAA29</f>
        <v>0</v>
      </c>
      <c r="AAE29" s="593">
        <f>'Proy 2022 vs 2019 sem'!EC28*AAH$4</f>
        <v>23545.288799999998</v>
      </c>
      <c r="AAF29" s="593">
        <f>'Proy 2022 vs 2019 sem'!ED28*AAH$4</f>
        <v>20719.854143999997</v>
      </c>
      <c r="AAG29" s="699"/>
      <c r="AAH29" s="700">
        <f>AAG29/AAE29</f>
        <v>0</v>
      </c>
      <c r="AAI29" s="593">
        <f>'Proy 2022 vs 2019 sem'!EC28*AAL$4</f>
        <v>23545.288799999998</v>
      </c>
      <c r="AAJ29" s="593">
        <f>'Proy 2022 vs 2019 sem'!ED28*AAL$4</f>
        <v>20719.854143999997</v>
      </c>
      <c r="AAK29" s="699"/>
      <c r="AAL29" s="700">
        <f>AAK29/AAI29</f>
        <v>0</v>
      </c>
      <c r="AAM29" s="593">
        <f>'Proy 2022 vs 2019 sem'!EC28*AAP$4</f>
        <v>23545.288799999998</v>
      </c>
      <c r="AAN29" s="593">
        <f>'Proy 2022 vs 2019 sem'!ED28*AAP$4</f>
        <v>20719.854143999997</v>
      </c>
      <c r="AAO29" s="699"/>
      <c r="AAP29" s="700">
        <f>AAO29/AAM29</f>
        <v>0</v>
      </c>
      <c r="AAQ29" s="593">
        <f>'Proy 2022 vs 2019 sem'!EC28*AAT$4</f>
        <v>23545.288799999998</v>
      </c>
      <c r="AAR29" s="593">
        <f>'Proy 2022 vs 2019 sem'!ED28*AAT$4</f>
        <v>20719.854143999997</v>
      </c>
      <c r="AAS29" s="699"/>
      <c r="AAT29" s="700">
        <f>AAS29/AAQ29</f>
        <v>0</v>
      </c>
      <c r="AAU29" s="593">
        <f>'Proy 2022 vs 2019 sem'!EC28*AAX$4</f>
        <v>27469.5036</v>
      </c>
      <c r="AAV29" s="593">
        <f>'Proy 2022 vs 2019 sem'!ED28*AAX$4</f>
        <v>24173.163167999999</v>
      </c>
      <c r="AAW29" s="699"/>
      <c r="AAX29" s="700">
        <f>AAW29/AAU29</f>
        <v>0</v>
      </c>
      <c r="AAY29" s="593">
        <f>'Proy 2022 vs 2019 sem'!EC28*ABB$4</f>
        <v>31393.718399999998</v>
      </c>
      <c r="AAZ29" s="593">
        <f>'Proy 2022 vs 2019 sem'!ED28*ABB$4</f>
        <v>27626.472191999997</v>
      </c>
      <c r="ABA29" s="699"/>
      <c r="ABB29" s="700">
        <f>ABA29/AAY29</f>
        <v>0</v>
      </c>
      <c r="ABC29" s="593">
        <f>'Proy 2022 vs 2019 sem'!EC28*ABF$4</f>
        <v>43166.362799999995</v>
      </c>
      <c r="ABD29" s="593">
        <f>'Proy 2022 vs 2019 sem'!ED28*ABF$4</f>
        <v>37986.399264</v>
      </c>
      <c r="ABE29" s="699"/>
      <c r="ABF29" s="700">
        <f>ABE29/ABC29</f>
        <v>0</v>
      </c>
      <c r="ABG29" s="579">
        <f>AAE29+AAI29+AAM29+AAQ29+AAU29+AAY29+ABC29</f>
        <v>196210.74</v>
      </c>
      <c r="ABH29" s="574">
        <f>AAF29+AAJ29+AAN29+AAR29+AAV29+AAZ29+ABD29</f>
        <v>172665.45119999998</v>
      </c>
      <c r="ABI29" s="730">
        <f>AAG29+AAK29+AAO29+AAS29+AAW29+ABA29+ABE29</f>
        <v>0</v>
      </c>
      <c r="ABJ29" s="711">
        <f>ABI29/ABG29</f>
        <v>0</v>
      </c>
      <c r="ABK29" s="593">
        <f>'Proy 2022 vs 2019 sem'!EH28*ABN$4</f>
        <v>23484.499199999998</v>
      </c>
      <c r="ABL29" s="593">
        <f>'Proy 2022 vs 2019 sem'!EI28*ABN$4</f>
        <v>20901.204288000001</v>
      </c>
      <c r="ABM29" s="699"/>
      <c r="ABN29" s="700">
        <f>ABM29/ABK29</f>
        <v>0</v>
      </c>
      <c r="ABO29" s="593">
        <f>'Proy 2022 vs 2019 sem'!EH28*ABR$4</f>
        <v>23484.499199999998</v>
      </c>
      <c r="ABP29" s="593">
        <f>'Proy 2022 vs 2019 sem'!EI28*ABR$4</f>
        <v>20901.204288000001</v>
      </c>
      <c r="ABQ29" s="699"/>
      <c r="ABR29" s="700">
        <f>ABQ29/ABO29</f>
        <v>0</v>
      </c>
      <c r="ABS29" s="593">
        <f>'Proy 2022 vs 2019 sem'!EH28*ABV$4</f>
        <v>23484.499199999998</v>
      </c>
      <c r="ABT29" s="593">
        <f>'Proy 2022 vs 2019 sem'!EI28*ABV$4</f>
        <v>20901.204288000001</v>
      </c>
      <c r="ABU29" s="699"/>
      <c r="ABV29" s="700">
        <f>ABU29/ABS29</f>
        <v>0</v>
      </c>
      <c r="ABW29" s="593">
        <f>'Proy 2022 vs 2019 sem'!EH28*ABZ$4</f>
        <v>23484.499199999998</v>
      </c>
      <c r="ABX29" s="593">
        <f>'Proy 2022 vs 2019 sem'!EI28*ABZ$4</f>
        <v>20901.204288000001</v>
      </c>
      <c r="ABY29" s="699"/>
      <c r="ABZ29" s="700">
        <f>ABY29/ABW29</f>
        <v>0</v>
      </c>
      <c r="ACA29" s="593">
        <f>'Proy 2022 vs 2019 sem'!EH28*ACD$4</f>
        <v>27398.582400000003</v>
      </c>
      <c r="ACB29" s="593">
        <f>'Proy 2022 vs 2019 sem'!EI28*ACD$4</f>
        <v>24384.738336000002</v>
      </c>
      <c r="ACC29" s="699"/>
      <c r="ACD29" s="700">
        <f>ACC29/ACA29</f>
        <v>0</v>
      </c>
      <c r="ACE29" s="593">
        <f>'Proy 2022 vs 2019 sem'!EH28*ACH$4</f>
        <v>31312.6656</v>
      </c>
      <c r="ACF29" s="593">
        <f>'Proy 2022 vs 2019 sem'!EI28*ACH$4</f>
        <v>27868.272384000004</v>
      </c>
      <c r="ACG29" s="699"/>
      <c r="ACH29" s="700">
        <f>ACG29/ACE29</f>
        <v>0</v>
      </c>
      <c r="ACI29" s="593">
        <f>'Proy 2022 vs 2019 sem'!EH28*ACL$4</f>
        <v>43054.915200000003</v>
      </c>
      <c r="ACJ29" s="593">
        <f>'Proy 2022 vs 2019 sem'!EI28*ACL$4</f>
        <v>38318.874528</v>
      </c>
      <c r="ACK29" s="699"/>
      <c r="ACL29" s="700">
        <f>ACK29/ACI29</f>
        <v>0</v>
      </c>
      <c r="ACM29" s="579">
        <f>ABK29+ABO29+ABS29+ABW29+ACA29+ACE29+ACI29</f>
        <v>195704.15999999997</v>
      </c>
      <c r="ACN29" s="574">
        <f>ABL29+ABP29+ABT29+ABX29+ACB29+ACF29+ACJ29</f>
        <v>174176.70240000001</v>
      </c>
      <c r="ACO29" s="730">
        <f>ABM29+ABQ29+ABU29+ABY29+ACC29+ACG29+ACK29</f>
        <v>0</v>
      </c>
      <c r="ACP29" s="711">
        <f>ACO29/ACM29</f>
        <v>0</v>
      </c>
      <c r="ACQ29" s="593">
        <f>'Proy 2022 vs 2019 sem'!EM28*ACT$4</f>
        <v>27572.202000000001</v>
      </c>
      <c r="ACR29" s="593">
        <f>'Proy 2022 vs 2019 sem'!EN28*ACT$4</f>
        <v>25642.147860000001</v>
      </c>
      <c r="ACS29" s="699"/>
      <c r="ACT29" s="700">
        <f>ACS29/ACQ29</f>
        <v>0</v>
      </c>
      <c r="ACU29" s="593">
        <f>'Proy 2022 vs 2019 sem'!EM28*ACX$4</f>
        <v>27572.202000000001</v>
      </c>
      <c r="ACV29" s="593">
        <f>'Proy 2022 vs 2019 sem'!EN28*ACX$4</f>
        <v>25642.147860000001</v>
      </c>
      <c r="ACW29" s="699"/>
      <c r="ACX29" s="700">
        <f>ACW29/ACU29</f>
        <v>0</v>
      </c>
      <c r="ACY29" s="593">
        <f>'Proy 2022 vs 2019 sem'!EM28*ADB$4</f>
        <v>27572.202000000001</v>
      </c>
      <c r="ACZ29" s="593">
        <f>'Proy 2022 vs 2019 sem'!EN28*ADB$4</f>
        <v>25642.147860000001</v>
      </c>
      <c r="ADA29" s="699"/>
      <c r="ADB29" s="700">
        <f>ADA29/ACY29</f>
        <v>0</v>
      </c>
      <c r="ADC29" s="593">
        <f>'Proy 2022 vs 2019 sem'!EM28*ADF$4</f>
        <v>27572.202000000001</v>
      </c>
      <c r="ADD29" s="593">
        <f>'Proy 2022 vs 2019 sem'!EN28*ADF$4</f>
        <v>25642.147860000001</v>
      </c>
      <c r="ADE29" s="699"/>
      <c r="ADF29" s="700">
        <f>ADE29/ADC29</f>
        <v>0</v>
      </c>
      <c r="ADG29" s="593">
        <f>'Proy 2022 vs 2019 sem'!EM28*ADJ$4</f>
        <v>32167.569000000003</v>
      </c>
      <c r="ADH29" s="593">
        <f>'Proy 2022 vs 2019 sem'!EN28*ADJ$4</f>
        <v>29915.839170000007</v>
      </c>
      <c r="ADI29" s="699"/>
      <c r="ADJ29" s="700">
        <f>ADI29/ADG29</f>
        <v>0</v>
      </c>
      <c r="ADK29" s="593">
        <f>'Proy 2022 vs 2019 sem'!EM28*ADN$4</f>
        <v>36762.936000000002</v>
      </c>
      <c r="ADL29" s="593">
        <f>'Proy 2022 vs 2019 sem'!EN28*ADN$4</f>
        <v>34189.530480000001</v>
      </c>
      <c r="ADM29" s="699"/>
      <c r="ADN29" s="700">
        <f>ADM29/ADK29</f>
        <v>0</v>
      </c>
      <c r="ADO29" s="593">
        <f>'Proy 2022 vs 2019 sem'!EM28*ADR$4</f>
        <v>50549.037000000004</v>
      </c>
      <c r="ADP29" s="593">
        <f>'Proy 2022 vs 2019 sem'!EN28*ADR$4</f>
        <v>47010.604410000007</v>
      </c>
      <c r="ADQ29" s="699"/>
      <c r="ADR29" s="700">
        <f>ADQ29/ADO29</f>
        <v>0</v>
      </c>
      <c r="ADS29" s="579">
        <f>ACQ29+ACU29+ACY29+ADC29+ADG29+ADK29+ADO29</f>
        <v>229768.35000000003</v>
      </c>
      <c r="ADT29" s="574">
        <f>ACR29+ACV29+ACZ29+ADD29+ADH29+ADL29+ADP29</f>
        <v>213684.5655</v>
      </c>
      <c r="ADU29" s="710">
        <f>ACS29+ACW29+ADA29+ADE29+ADI29+ADM29+ADQ29</f>
        <v>0</v>
      </c>
      <c r="ADV29" s="711">
        <f>ADU29/ADS29</f>
        <v>0</v>
      </c>
      <c r="ADW29" s="593">
        <f>'Proy 2022 vs 2019 sem'!ER28*ADZ$4</f>
        <v>24631.977600000002</v>
      </c>
      <c r="ADX29" s="593">
        <f>'Proy 2022 vs 2019 sem'!ES28*ADZ$4</f>
        <v>22907.739168</v>
      </c>
      <c r="ADY29" s="699"/>
      <c r="ADZ29" s="700">
        <f>ADY29/ADW29</f>
        <v>0</v>
      </c>
      <c r="AEA29" s="593">
        <f>'Proy 2022 vs 2019 sem'!ER28*AED$4</f>
        <v>24631.977600000002</v>
      </c>
      <c r="AEB29" s="593">
        <f>'Proy 2022 vs 2019 sem'!ES28*AED$4</f>
        <v>22907.739168</v>
      </c>
      <c r="AEC29" s="699"/>
      <c r="AED29" s="700">
        <f>AEC29/AEA29</f>
        <v>0</v>
      </c>
      <c r="AEE29" s="593">
        <f>'Proy 2022 vs 2019 sem'!ER28*AEH$4</f>
        <v>24631.977600000002</v>
      </c>
      <c r="AEF29" s="593">
        <f>'Proy 2022 vs 2019 sem'!ES28*AEH$4</f>
        <v>22907.739168</v>
      </c>
      <c r="AEG29" s="699"/>
      <c r="AEH29" s="700">
        <f>AEG29/AEE29</f>
        <v>0</v>
      </c>
      <c r="AEI29" s="593">
        <f>'Proy 2022 vs 2019 sem'!ER28*AEL$4</f>
        <v>24631.977600000002</v>
      </c>
      <c r="AEJ29" s="593">
        <f>'Proy 2022 vs 2019 sem'!ES28*AEL$4</f>
        <v>22907.739168</v>
      </c>
      <c r="AEK29" s="699"/>
      <c r="AEL29" s="700">
        <f>AEK29/AEI29</f>
        <v>0</v>
      </c>
      <c r="AEM29" s="593">
        <f>'Proy 2022 vs 2019 sem'!ER28*AEP$4</f>
        <v>28737.307200000003</v>
      </c>
      <c r="AEN29" s="593">
        <f>'Proy 2022 vs 2019 sem'!ES28*AEP$4</f>
        <v>26725.695696000006</v>
      </c>
      <c r="AEO29" s="699"/>
      <c r="AEP29" s="700">
        <f>AEO29/AEM29</f>
        <v>0</v>
      </c>
      <c r="AEQ29" s="593">
        <f>'Proy 2022 vs 2019 sem'!ER28*AET$4</f>
        <v>32842.6368</v>
      </c>
      <c r="AER29" s="593">
        <f>'Proy 2022 vs 2019 sem'!ES28*AET$4</f>
        <v>30543.652224000005</v>
      </c>
      <c r="AES29" s="699"/>
      <c r="AET29" s="700">
        <f>AES29/AEQ29</f>
        <v>0</v>
      </c>
      <c r="AEU29" s="593">
        <f>'Proy 2022 vs 2019 sem'!ER28*AEX$4</f>
        <v>45158.625599999999</v>
      </c>
      <c r="AEV29" s="593">
        <f>'Proy 2022 vs 2019 sem'!ES28*AEX$4</f>
        <v>41997.521808000005</v>
      </c>
      <c r="AEW29" s="699"/>
      <c r="AEX29" s="700">
        <f>AEW29/AEU29</f>
        <v>0</v>
      </c>
      <c r="AEY29" s="579">
        <f>ADW29+AEA29+AEE29+AEI29+AEM29+AEQ29+AEU29</f>
        <v>205266.48</v>
      </c>
      <c r="AEZ29" s="574">
        <f>ADX29+AEB29+AEF29+AEJ29+AEN29+AER29+AEV29</f>
        <v>190897.82640000002</v>
      </c>
      <c r="AFA29" s="710">
        <f>ADY29+AEC29+AEG29+AEK29+AEO29+AES29+AEW29</f>
        <v>0</v>
      </c>
      <c r="AFB29" s="711">
        <f>AFA29/AEY29</f>
        <v>0</v>
      </c>
      <c r="AFC29" s="593">
        <f>'Proy 2022 vs 2019 sem'!FA28*AFF$4</f>
        <v>22924.6692</v>
      </c>
      <c r="AFD29" s="593">
        <f>'Proy 2022 vs 2019 sem'!FB28*AFF$4</f>
        <v>20173.708896</v>
      </c>
      <c r="AFE29" s="735"/>
      <c r="AFF29" s="700">
        <f>AFE29/AFC29</f>
        <v>0</v>
      </c>
      <c r="AFG29" s="593">
        <f>'Proy 2022 vs 2019 sem'!FA28*AFJ$4</f>
        <v>22924.6692</v>
      </c>
      <c r="AFH29" s="593">
        <f>'Proy 2022 vs 2019 sem'!FB28*AFJ$4</f>
        <v>20173.708896</v>
      </c>
      <c r="AFI29" s="699"/>
      <c r="AFJ29" s="700">
        <f>AFI29/AFG29</f>
        <v>0</v>
      </c>
      <c r="AFK29" s="593">
        <f>'Proy 2022 vs 2019 sem'!FA28*AFN$4</f>
        <v>22924.6692</v>
      </c>
      <c r="AFL29" s="593">
        <f>'Proy 2022 vs 2019 sem'!FB28*AFN$4</f>
        <v>20173.708896</v>
      </c>
      <c r="AFM29" s="699"/>
      <c r="AFN29" s="700">
        <f>AFM29/AFK29</f>
        <v>0</v>
      </c>
      <c r="AFO29" s="593">
        <f>'Proy 2022 vs 2019 sem'!FA28*AFR$4</f>
        <v>22924.6692</v>
      </c>
      <c r="AFP29" s="593">
        <f>'Proy 2022 vs 2019 sem'!FB28*AFR$4</f>
        <v>20173.708896</v>
      </c>
      <c r="AFQ29" s="699"/>
      <c r="AFR29" s="700">
        <f>AFQ29/AFO29</f>
        <v>0</v>
      </c>
      <c r="AFS29" s="593">
        <f>'Proy 2022 vs 2019 sem'!FA28*AFV$4</f>
        <v>26745.447400000005</v>
      </c>
      <c r="AFT29" s="593">
        <f>'Proy 2022 vs 2019 sem'!FB28*AFV$4</f>
        <v>23535.993712000003</v>
      </c>
      <c r="AFU29" s="699"/>
      <c r="AFV29" s="700">
        <f>AFU29/AFS29</f>
        <v>0</v>
      </c>
      <c r="AFW29" s="593">
        <f>'Proy 2022 vs 2019 sem'!FA28*AFZ$4</f>
        <v>30566.225600000002</v>
      </c>
      <c r="AFX29" s="593">
        <f>'Proy 2022 vs 2019 sem'!FB28*AFZ$4</f>
        <v>26898.278527999999</v>
      </c>
      <c r="AFY29" s="699"/>
      <c r="AFZ29" s="700">
        <f>AFY29/AFW29</f>
        <v>0</v>
      </c>
      <c r="AGA29" s="593">
        <f>'Proy 2022 vs 2019 sem'!FA28*AGD$4</f>
        <v>42028.5602</v>
      </c>
      <c r="AGB29" s="593">
        <f>'Proy 2022 vs 2019 sem'!FB28*AGD$4</f>
        <v>36985.132976000001</v>
      </c>
      <c r="AGC29" s="699"/>
      <c r="AGD29" s="700">
        <f>AGC29/AGA29</f>
        <v>0</v>
      </c>
      <c r="AGE29" s="579">
        <f>AFC29+AFG29+AFK29+AFO29+AFS29+AFW29+AGA29</f>
        <v>191038.91</v>
      </c>
      <c r="AGF29" s="574">
        <f>AFD29+AFH29+AFL29+AFP29+AFT29+AFX29+AGB29</f>
        <v>168114.2408</v>
      </c>
      <c r="AGG29" s="759">
        <f>AFE29+AFI29+AFM29+AFQ29+AFU29+AFY29+AGC29</f>
        <v>0</v>
      </c>
      <c r="AGH29" s="761">
        <f>AGG29/AGE29</f>
        <v>0</v>
      </c>
      <c r="AGI29" s="593">
        <f>'Proy 2022 vs 2019 sem'!FF28*AGL$4</f>
        <v>25059.607199999999</v>
      </c>
      <c r="AGJ29" s="593">
        <f>'Proy 2022 vs 2019 sem'!FG28*AGL$4</f>
        <v>22052.454335999999</v>
      </c>
      <c r="AGK29" s="699"/>
      <c r="AGL29" s="700">
        <f>AGK29/AGI29</f>
        <v>0</v>
      </c>
      <c r="AGM29" s="593">
        <f>'Proy 2022 vs 2019 sem'!FF28*AGP$4</f>
        <v>25059.607199999999</v>
      </c>
      <c r="AGN29" s="593">
        <f>'Proy 2022 vs 2019 sem'!FG28*AGP$4</f>
        <v>22052.454335999999</v>
      </c>
      <c r="AGO29" s="699"/>
      <c r="AGP29" s="700">
        <f>AGO29/AGM29</f>
        <v>0</v>
      </c>
      <c r="AGQ29" s="593">
        <f>'Proy 2022 vs 2019 sem'!FF28*AGT$4</f>
        <v>25059.607199999999</v>
      </c>
      <c r="AGR29" s="593">
        <f>'Proy 2022 vs 2019 sem'!FG28*AGT$4</f>
        <v>22052.454335999999</v>
      </c>
      <c r="AGS29" s="699"/>
      <c r="AGT29" s="700">
        <f>AGS29/AGQ29</f>
        <v>0</v>
      </c>
      <c r="AGU29" s="593">
        <f>'Proy 2022 vs 2019 sem'!FF28*AGX$4</f>
        <v>25059.607199999999</v>
      </c>
      <c r="AGV29" s="593">
        <f>'Proy 2022 vs 2019 sem'!FG28*AGX$4</f>
        <v>22052.454335999999</v>
      </c>
      <c r="AGW29" s="699"/>
      <c r="AGX29" s="700">
        <f>AGW29/AGU29</f>
        <v>0</v>
      </c>
      <c r="AGY29" s="593">
        <f>'Proy 2022 vs 2019 sem'!FF28*AHB$4</f>
        <v>29236.208400000003</v>
      </c>
      <c r="AGZ29" s="593">
        <f>'Proy 2022 vs 2019 sem'!FG28*AHB$4</f>
        <v>25727.863392000003</v>
      </c>
      <c r="AHA29" s="699"/>
      <c r="AHB29" s="700">
        <f>AHA29/AGY29</f>
        <v>0</v>
      </c>
      <c r="AHC29" s="593">
        <f>'Proy 2022 vs 2019 sem'!FF28*AHF$4</f>
        <v>33412.809600000001</v>
      </c>
      <c r="AHD29" s="593">
        <f>'Proy 2022 vs 2019 sem'!FG28*AHF$4</f>
        <v>29403.272448</v>
      </c>
      <c r="AHE29" s="699"/>
      <c r="AHF29" s="700">
        <f>AHE29/AHC29</f>
        <v>0</v>
      </c>
      <c r="AHG29" s="593">
        <f>'Proy 2022 vs 2019 sem'!FF28*AHJ$4</f>
        <v>45942.6132</v>
      </c>
      <c r="AHH29" s="593">
        <f>'Proy 2022 vs 2019 sem'!FG28*AHJ$4</f>
        <v>40429.499616000001</v>
      </c>
      <c r="AHI29" s="699"/>
      <c r="AHJ29" s="700">
        <f>AHI29/AHG29</f>
        <v>0</v>
      </c>
      <c r="AHK29" s="579">
        <f>AGI29+AGM29+AGQ29+AGU29+AGY29+AHC29+AHG29</f>
        <v>208830.06</v>
      </c>
      <c r="AHL29" s="574">
        <f>AGJ29+AGN29+AGR29+AGV29+AGZ29+AHD29+AHH29</f>
        <v>183770.45279999997</v>
      </c>
      <c r="AHM29" s="765">
        <f>AGK29+AGO29+AGS29+AGW29+AHA29+AHE29+AHI29</f>
        <v>0</v>
      </c>
      <c r="AHN29" s="761">
        <f>AHM29/AHK29</f>
        <v>0</v>
      </c>
      <c r="AHO29" s="593">
        <f>'Proy 2022 vs 2019 sem'!FK28*AHR$4</f>
        <v>21988.3992</v>
      </c>
      <c r="AHP29" s="593">
        <f>'Proy 2022 vs 2019 sem'!FL28*AHR$4</f>
        <v>19789.559280000001</v>
      </c>
      <c r="AHQ29" s="699"/>
      <c r="AHR29" s="700">
        <f>AHQ29/AHO29</f>
        <v>0</v>
      </c>
      <c r="AHS29" s="593">
        <f>'Proy 2022 vs 2019 sem'!FK28*AHV$4</f>
        <v>21988.3992</v>
      </c>
      <c r="AHT29" s="593">
        <f>'Proy 2022 vs 2019 sem'!FL28*AHV$4</f>
        <v>19789.559280000001</v>
      </c>
      <c r="AHU29" s="699"/>
      <c r="AHV29" s="700">
        <f>AHU29/AHS29</f>
        <v>0</v>
      </c>
      <c r="AHW29" s="593">
        <f>'Proy 2022 vs 2019 sem'!FK28*AHZ$4</f>
        <v>21988.3992</v>
      </c>
      <c r="AHX29" s="593">
        <f>'Proy 2022 vs 2019 sem'!FL28*AHZ$4</f>
        <v>19789.559280000001</v>
      </c>
      <c r="AHY29" s="699"/>
      <c r="AHZ29" s="700">
        <f>AHY29/AHW29</f>
        <v>0</v>
      </c>
      <c r="AIA29" s="593">
        <f>'Proy 2022 vs 2019 sem'!FK28*AID$4</f>
        <v>21988.3992</v>
      </c>
      <c r="AIB29" s="593">
        <f>'Proy 2022 vs 2019 sem'!FL28*AID$4</f>
        <v>19789.559280000001</v>
      </c>
      <c r="AIC29" s="699"/>
      <c r="AID29" s="700">
        <f>AIC29/AIA29</f>
        <v>0</v>
      </c>
      <c r="AIE29" s="593">
        <f>'Proy 2022 vs 2019 sem'!FK28*AIH$4</f>
        <v>25653.132400000002</v>
      </c>
      <c r="AIF29" s="593">
        <f>'Proy 2022 vs 2019 sem'!FL28*AIH$4</f>
        <v>23087.819160000003</v>
      </c>
      <c r="AIG29" s="699"/>
      <c r="AIH29" s="700">
        <f>AIG29/AIE29</f>
        <v>0</v>
      </c>
      <c r="AII29" s="593">
        <f>'Proy 2022 vs 2019 sem'!FK28*AIL$4</f>
        <v>29317.865600000001</v>
      </c>
      <c r="AIJ29" s="593">
        <f>'Proy 2022 vs 2019 sem'!FL28*AIL$4</f>
        <v>26386.079040000001</v>
      </c>
      <c r="AIK29" s="699"/>
      <c r="AIL29" s="700">
        <f>AIK29/AII29</f>
        <v>0</v>
      </c>
      <c r="AIM29" s="593">
        <f>'Proy 2022 vs 2019 sem'!FK28*AIP$4</f>
        <v>40312.065200000005</v>
      </c>
      <c r="AIN29" s="593">
        <f>'Proy 2022 vs 2019 sem'!FL28*AIP$4</f>
        <v>36280.858680000005</v>
      </c>
      <c r="AIO29" s="699"/>
      <c r="AIP29" s="700">
        <f>AIO29/AIM29</f>
        <v>0</v>
      </c>
      <c r="AIQ29" s="579">
        <f>AHO29+AHS29+AHW29+AIA29+AIE29+AII29+AIM29</f>
        <v>183236.66</v>
      </c>
      <c r="AIR29" s="574">
        <f>AHP29+AHT29+AHX29+AIB29+AIF29+AIJ29+AIN29</f>
        <v>164912.99400000001</v>
      </c>
      <c r="AIS29" s="765">
        <f>AHQ29+AHU29+AHY29+AIC29+AIG29+AIK29+AIO29</f>
        <v>0</v>
      </c>
      <c r="AIT29" s="761">
        <f>AIS29/AIQ29</f>
        <v>0</v>
      </c>
      <c r="AIU29" s="593">
        <f>'Proy 2022 vs 2019 sem'!FP28*AIX$4</f>
        <v>22240.5144</v>
      </c>
      <c r="AIV29" s="593">
        <f>'Proy 2022 vs 2019 sem'!FQ28*AIX$4</f>
        <v>20683.678391999998</v>
      </c>
      <c r="AIW29" s="699"/>
      <c r="AIX29" s="700">
        <f>AIW29/AIU29</f>
        <v>0</v>
      </c>
      <c r="AIY29" s="593">
        <f>'Proy 2022 vs 2019 sem'!FP28*AJB$4</f>
        <v>22240.5144</v>
      </c>
      <c r="AIZ29" s="593">
        <f>'Proy 2022 vs 2019 sem'!FQ28*AJB$4</f>
        <v>20683.678391999998</v>
      </c>
      <c r="AJA29" s="699"/>
      <c r="AJB29" s="700">
        <f>AJA29/AIY29</f>
        <v>0</v>
      </c>
      <c r="AJC29" s="593">
        <f>'Proy 2022 vs 2019 sem'!FP28*AJF$4</f>
        <v>22240.5144</v>
      </c>
      <c r="AJD29" s="593">
        <f>'Proy 2022 vs 2019 sem'!FQ28*AJF$4</f>
        <v>20683.678391999998</v>
      </c>
      <c r="AJE29" s="699"/>
      <c r="AJF29" s="700">
        <f>AJE29/AJC29</f>
        <v>0</v>
      </c>
      <c r="AJG29" s="593">
        <f>'Proy 2022 vs 2019 sem'!FP28*AJJ$4</f>
        <v>22240.5144</v>
      </c>
      <c r="AJH29" s="593">
        <f>'Proy 2022 vs 2019 sem'!FQ28*AJJ$4</f>
        <v>20683.678391999998</v>
      </c>
      <c r="AJI29" s="699"/>
      <c r="AJJ29" s="700">
        <f>AJI29/AJG29</f>
        <v>0</v>
      </c>
      <c r="AJK29" s="593">
        <f>'Proy 2022 vs 2019 sem'!FP28*AJN$4</f>
        <v>25947.266800000001</v>
      </c>
      <c r="AJL29" s="593">
        <f>'Proy 2022 vs 2019 sem'!FQ28*AJN$4</f>
        <v>24130.958124000004</v>
      </c>
      <c r="AJM29" s="699"/>
      <c r="AJN29" s="700">
        <f>AJM29/AJK29</f>
        <v>0</v>
      </c>
      <c r="AJO29" s="593">
        <f>'Proy 2022 vs 2019 sem'!FP28*AJR$4</f>
        <v>29654.019199999999</v>
      </c>
      <c r="AJP29" s="593">
        <f>'Proy 2022 vs 2019 sem'!FQ28*AJR$4</f>
        <v>27578.237856</v>
      </c>
      <c r="AJQ29" s="699"/>
      <c r="AJR29" s="700">
        <f>AJQ29/AJO29</f>
        <v>0</v>
      </c>
      <c r="AJS29" s="593">
        <f>'Proy 2022 vs 2019 sem'!FP28*AJV$4</f>
        <v>40774.276400000002</v>
      </c>
      <c r="AJT29" s="593">
        <f>'Proy 2022 vs 2019 sem'!FQ28*AJV$4</f>
        <v>37920.077052000001</v>
      </c>
      <c r="AJU29" s="699"/>
      <c r="AJV29" s="700">
        <f>AJU29/AJS29</f>
        <v>0</v>
      </c>
      <c r="AJW29" s="579">
        <f>AIU29+AIY29+AJC29+AJG29+AJK29+AJO29+AJS29</f>
        <v>185337.62</v>
      </c>
      <c r="AJX29" s="574">
        <f>AIV29+AIZ29+AJD29+AJH29+AJL29+AJP29+AJT29</f>
        <v>172363.9866</v>
      </c>
      <c r="AJY29" s="770">
        <f>AIW29+AJA29+AJE29+AJI29+AJM29+AJQ29+AJU29</f>
        <v>0</v>
      </c>
      <c r="AJZ29" s="761">
        <f>AJY29/AJW29</f>
        <v>0</v>
      </c>
      <c r="AKA29" s="593"/>
      <c r="AKB29" s="593"/>
      <c r="AKC29" s="735"/>
      <c r="AKD29" s="700" t="e">
        <f>AKC29/AKA29</f>
        <v>#DIV/0!</v>
      </c>
      <c r="AKE29" s="593">
        <v>21328.948799999998</v>
      </c>
      <c r="AKF29" s="593">
        <v>21755.527775999999</v>
      </c>
      <c r="AKG29" s="699"/>
      <c r="AKH29" s="700">
        <f>AKG29/AKE29</f>
        <v>0</v>
      </c>
      <c r="AKI29" s="593">
        <v>21328.948799999998</v>
      </c>
      <c r="AKJ29" s="593">
        <v>21755.527775999999</v>
      </c>
      <c r="AKK29" s="699"/>
      <c r="AKL29" s="700">
        <f>AKK29/AKI29</f>
        <v>0</v>
      </c>
      <c r="AKM29" s="593">
        <v>21328.948799999998</v>
      </c>
      <c r="AKN29" s="593">
        <v>21755.527775999999</v>
      </c>
      <c r="AKO29" s="699"/>
      <c r="AKP29" s="700">
        <f>AKO29/AKM29</f>
        <v>0</v>
      </c>
      <c r="AKQ29" s="593">
        <v>24883.7736</v>
      </c>
      <c r="AKR29" s="593">
        <v>25381.449072000003</v>
      </c>
      <c r="AKS29" s="699"/>
      <c r="AKT29" s="700">
        <f>AKS29/AKQ29</f>
        <v>0</v>
      </c>
      <c r="AKU29" s="593">
        <v>28438.598399999999</v>
      </c>
      <c r="AKV29" s="593">
        <v>29007.370368</v>
      </c>
      <c r="AKW29" s="699"/>
      <c r="AKX29" s="700">
        <f>AKW29/AKU29</f>
        <v>0</v>
      </c>
      <c r="AKY29" s="593">
        <v>39103.072800000002</v>
      </c>
      <c r="AKZ29" s="593">
        <v>39885.134255999998</v>
      </c>
      <c r="ALA29" s="699"/>
      <c r="ALB29" s="700">
        <f>ALA29/AKY29</f>
        <v>0</v>
      </c>
      <c r="ALC29" s="579">
        <f>AKA29+AKE29+AKI29+AKM29+AKQ29+AKU29+AKY29</f>
        <v>156412.29120000001</v>
      </c>
      <c r="ALD29" s="574">
        <f>AKB29+AKF29+AKJ29+AKN29+AKR29+AKV29+AKZ29</f>
        <v>159540.53702399999</v>
      </c>
      <c r="ALE29" s="793">
        <f>AKC29+AKG29+AKK29+AKO29+AKS29+AKW29+ALA29</f>
        <v>0</v>
      </c>
      <c r="ALF29" s="786">
        <f>ALE29/ALC29</f>
        <v>0</v>
      </c>
      <c r="ALG29" s="593">
        <v>21878.587199999998</v>
      </c>
      <c r="ALH29" s="593">
        <v>22316.158943999999</v>
      </c>
      <c r="ALI29" s="699"/>
      <c r="ALJ29" s="700">
        <f>ALI29/ALG29</f>
        <v>0</v>
      </c>
      <c r="ALK29" s="593">
        <v>21878.587199999998</v>
      </c>
      <c r="ALL29" s="593">
        <v>22316.158943999999</v>
      </c>
      <c r="ALM29" s="699"/>
      <c r="ALN29" s="700">
        <f>ALM29/ALK29</f>
        <v>0</v>
      </c>
      <c r="ALO29" s="593">
        <v>21878.587199999998</v>
      </c>
      <c r="ALP29" s="593">
        <v>22316.158943999999</v>
      </c>
      <c r="ALQ29" s="699"/>
      <c r="ALR29" s="700">
        <f>ALQ29/ALO29</f>
        <v>0</v>
      </c>
      <c r="ALS29" s="593">
        <v>21878.587199999998</v>
      </c>
      <c r="ALT29" s="593">
        <v>22316.158943999999</v>
      </c>
      <c r="ALU29" s="699"/>
      <c r="ALV29" s="700">
        <f>ALU29/ALS29</f>
        <v>0</v>
      </c>
      <c r="ALW29" s="593">
        <v>25525.018400000001</v>
      </c>
      <c r="ALX29" s="593">
        <v>26035.518768000002</v>
      </c>
      <c r="ALY29" s="699"/>
      <c r="ALZ29" s="700">
        <f>ALY29/ALW29</f>
        <v>0</v>
      </c>
      <c r="AMA29" s="593">
        <v>29171.4496</v>
      </c>
      <c r="AMB29" s="593">
        <v>29754.878591999997</v>
      </c>
      <c r="AMC29" s="699"/>
      <c r="AMD29" s="700">
        <f>AMC29/AMA29</f>
        <v>0</v>
      </c>
      <c r="AME29" s="593">
        <v>40110.743199999997</v>
      </c>
      <c r="AMF29" s="593">
        <v>40912.958063999999</v>
      </c>
      <c r="AMG29" s="699"/>
      <c r="AMH29" s="700">
        <f>AMG29/AME29</f>
        <v>0</v>
      </c>
      <c r="AMI29" s="579">
        <f>ALG29+ALK29+ALO29+ALS29+ALW29+AMA29+AME29</f>
        <v>182321.56</v>
      </c>
      <c r="AMJ29" s="574">
        <f>ALH29+ALL29+ALP29+ALT29+ALX29+AMB29+AMF29</f>
        <v>185967.99119999999</v>
      </c>
      <c r="AMK29" s="794">
        <f>ALI29+ALM29+ALQ29+ALU29+ALY29+AMC29+AMG29</f>
        <v>0</v>
      </c>
      <c r="AML29" s="786">
        <f>AMK29/AMI29</f>
        <v>0</v>
      </c>
      <c r="AMM29" s="593">
        <v>19566.189599999998</v>
      </c>
      <c r="AMN29" s="593">
        <v>19957.513392000001</v>
      </c>
      <c r="AMO29" s="699"/>
      <c r="AMP29" s="700">
        <f>AMO29/AMM29</f>
        <v>0</v>
      </c>
      <c r="AMQ29" s="593">
        <v>19566.189599999998</v>
      </c>
      <c r="AMR29" s="593">
        <v>19957.513392000001</v>
      </c>
      <c r="AMS29" s="699"/>
      <c r="AMT29" s="700">
        <f>AMS29/AMQ29</f>
        <v>0</v>
      </c>
      <c r="AMU29" s="593">
        <v>19566.189599999998</v>
      </c>
      <c r="AMV29" s="593">
        <v>19957.513392000001</v>
      </c>
      <c r="AMW29" s="699"/>
      <c r="AMX29" s="700">
        <f>AMW29/AMU29</f>
        <v>0</v>
      </c>
      <c r="AMY29" s="593">
        <v>19566.189599999998</v>
      </c>
      <c r="AMZ29" s="593">
        <v>19957.513392000001</v>
      </c>
      <c r="ANA29" s="699"/>
      <c r="ANB29" s="700">
        <f>ANA29/AMY29</f>
        <v>0</v>
      </c>
      <c r="ANC29" s="593">
        <v>22827.2212</v>
      </c>
      <c r="AND29" s="593">
        <v>23283.765624000003</v>
      </c>
      <c r="ANE29" s="699"/>
      <c r="ANF29" s="700">
        <f>ANE29/ANC29</f>
        <v>0</v>
      </c>
      <c r="ANG29" s="593">
        <v>26088.252799999998</v>
      </c>
      <c r="ANH29" s="593">
        <v>26610.017856000002</v>
      </c>
      <c r="ANI29" s="699"/>
      <c r="ANJ29" s="700">
        <f>ANI29/ANG29</f>
        <v>0</v>
      </c>
      <c r="ANK29" s="593">
        <v>35871.347600000001</v>
      </c>
      <c r="ANL29" s="593">
        <v>36588.774552000003</v>
      </c>
      <c r="ANM29" s="699"/>
      <c r="ANN29" s="700">
        <f>ANM29/ANK29</f>
        <v>0</v>
      </c>
      <c r="ANO29" s="579">
        <f>AMM29+AMQ29+AMU29+AMY29+ANC29+ANG29+ANK29</f>
        <v>163051.57999999999</v>
      </c>
      <c r="ANP29" s="574">
        <f>AMN29+AMR29+AMV29+AMZ29+AND29+ANH29+ANL29</f>
        <v>166312.6116</v>
      </c>
      <c r="ANQ29" s="794">
        <f>AMO29+AMS29+AMW29+ANA29+ANE29+ANI29+ANM29</f>
        <v>0</v>
      </c>
      <c r="ANR29" s="786">
        <f>ANQ29/ANO29</f>
        <v>0</v>
      </c>
      <c r="ANS29" s="593">
        <f>'Proy 2022 vs 2019 sem'!GN28*ANV$4</f>
        <v>20587.297199999997</v>
      </c>
      <c r="ANT29" s="593">
        <f>'Proy 2022 vs 2019 sem'!GO28*ANV$4</f>
        <v>20175.551255999999</v>
      </c>
      <c r="ANU29" s="699"/>
      <c r="ANV29" s="700">
        <f>ANU29/ANS29</f>
        <v>0</v>
      </c>
      <c r="ANW29" s="593">
        <f>'Proy 2022 vs 2019 sem'!GN28*ANZ$4</f>
        <v>20587.297199999997</v>
      </c>
      <c r="ANX29" s="593">
        <f>'Proy 2022 vs 2019 sem'!GO28*ANZ$4</f>
        <v>20175.551255999999</v>
      </c>
      <c r="ANY29" s="699"/>
      <c r="ANZ29" s="700">
        <f>ANY29/ANW29</f>
        <v>0</v>
      </c>
      <c r="AOA29" s="593">
        <f>'Proy 2022 vs 2019 sem'!GN28*AOD$4</f>
        <v>20587.297199999997</v>
      </c>
      <c r="AOB29" s="593">
        <f>'Proy 2022 vs 2019 sem'!GO28*AOD$4</f>
        <v>20175.551255999999</v>
      </c>
      <c r="AOC29" s="699"/>
      <c r="AOD29" s="700">
        <f>AOC29/AOA29</f>
        <v>0</v>
      </c>
      <c r="AOE29" s="593">
        <f>'Proy 2022 vs 2019 sem'!GN28*AOH$4</f>
        <v>20587.297199999997</v>
      </c>
      <c r="AOF29" s="593">
        <f>'Proy 2022 vs 2019 sem'!GO28*AOH$4</f>
        <v>20175.551255999999</v>
      </c>
      <c r="AOG29" s="699"/>
      <c r="AOH29" s="700">
        <f>AOG29/AOE29</f>
        <v>0</v>
      </c>
      <c r="AOI29" s="593">
        <f>'Proy 2022 vs 2019 sem'!GN28*AOL$4</f>
        <v>24018.513400000003</v>
      </c>
      <c r="AOJ29" s="593">
        <f>'Proy 2022 vs 2019 sem'!GO28*AOL$4</f>
        <v>23538.143132000001</v>
      </c>
      <c r="AOK29" s="699"/>
      <c r="AOL29" s="700">
        <f>AOK29/AOI29</f>
        <v>0</v>
      </c>
      <c r="AOM29" s="593">
        <f>'Proy 2022 vs 2019 sem'!GN28*AOP$4</f>
        <v>27449.729599999999</v>
      </c>
      <c r="AON29" s="593">
        <f>'Proy 2022 vs 2019 sem'!GO28*AOP$4</f>
        <v>26900.735008</v>
      </c>
      <c r="AOO29" s="699"/>
      <c r="AOP29" s="700">
        <f>AOO29/AOM29</f>
        <v>0</v>
      </c>
      <c r="AOQ29" s="593">
        <f>'Proy 2022 vs 2019 sem'!GN28*AOT$4</f>
        <v>37743.378199999999</v>
      </c>
      <c r="AOR29" s="593">
        <f>'Proy 2022 vs 2019 sem'!GO28*AOT$4</f>
        <v>36988.510635999999</v>
      </c>
      <c r="AOS29" s="699"/>
      <c r="AOT29" s="700">
        <f>AOS29/AOQ29</f>
        <v>0</v>
      </c>
      <c r="AOU29" s="579">
        <f>ANS29+ANW29+AOA29+AOE29+AOI29+AOM29+AOQ29</f>
        <v>171560.81</v>
      </c>
      <c r="AOV29" s="574">
        <f>ANT29+ANX29+AOB29+AOF29+AOJ29+AON29+AOR29</f>
        <v>168129.59379999997</v>
      </c>
      <c r="AOW29" s="785">
        <f>ANU29+ANY29+AOC29+AOG29+AOK29+AOO29+AOS29</f>
        <v>0</v>
      </c>
      <c r="AOX29" s="786">
        <f>AOW29/AOU29</f>
        <v>0</v>
      </c>
      <c r="AOY29" s="593">
        <f>'Proy 2022 vs 2019 sem'!GW28*APB$4</f>
        <v>20421.719999999998</v>
      </c>
      <c r="AOZ29" s="593">
        <f>'Proy 2022 vs 2019 sem'!GX28*APB$4</f>
        <v>20421.719999999998</v>
      </c>
      <c r="APA29" s="735"/>
      <c r="APB29" s="700">
        <f>APA29/AOY29</f>
        <v>0</v>
      </c>
      <c r="APC29" s="593">
        <f>'Proy 2022 vs 2019 sem'!GW28*APF$4</f>
        <v>20421.719999999998</v>
      </c>
      <c r="APD29" s="593">
        <f>'Proy 2022 vs 2019 sem'!GX28*APF$4</f>
        <v>20421.719999999998</v>
      </c>
      <c r="APE29" s="735"/>
      <c r="APF29" s="700">
        <f>APE29/APC29</f>
        <v>0</v>
      </c>
      <c r="APG29" s="593">
        <f>'Proy 2022 vs 2019 sem'!GW28*APJ$4</f>
        <v>20421.719999999998</v>
      </c>
      <c r="APH29" s="593">
        <f>'Proy 2022 vs 2019 sem'!GX28*APJ$4</f>
        <v>20421.719999999998</v>
      </c>
      <c r="API29" s="735"/>
      <c r="APJ29" s="700">
        <f>API29/APG29</f>
        <v>0</v>
      </c>
      <c r="APK29" s="593">
        <f>'Proy 2022 vs 2019 sem'!GW28*APN$4</f>
        <v>20421.719999999998</v>
      </c>
      <c r="APL29" s="593">
        <f>'Proy 2022 vs 2019 sem'!GX28*APN$4</f>
        <v>20421.719999999998</v>
      </c>
      <c r="APM29" s="735"/>
      <c r="APN29" s="700">
        <f>APM29/APK29</f>
        <v>0</v>
      </c>
      <c r="APO29" s="593">
        <f>'Proy 2022 vs 2019 sem'!GW28*APR$4</f>
        <v>23825.340000000004</v>
      </c>
      <c r="APP29" s="593">
        <f>'Proy 2022 vs 2019 sem'!GX28*APR$4</f>
        <v>23825.340000000004</v>
      </c>
      <c r="APQ29" s="735"/>
      <c r="APR29" s="700">
        <f>APQ29/APO29</f>
        <v>0</v>
      </c>
      <c r="APS29" s="593">
        <f>'Proy 2022 vs 2019 sem'!GW28*APV$4</f>
        <v>27228.959999999999</v>
      </c>
      <c r="APT29" s="593">
        <f>'Proy 2022 vs 2019 sem'!GX28*APV$4</f>
        <v>27228.959999999999</v>
      </c>
      <c r="APU29" s="735"/>
      <c r="APV29" s="700">
        <f>APU29/APS29</f>
        <v>0</v>
      </c>
      <c r="APW29" s="593">
        <f>'Proy 2022 vs 2019 sem'!GW28*APZ$4</f>
        <v>37439.82</v>
      </c>
      <c r="APX29" s="593">
        <f>'Proy 2022 vs 2019 sem'!GX28*APZ$4</f>
        <v>37439.82</v>
      </c>
      <c r="APY29" s="735"/>
      <c r="APZ29" s="700">
        <f>APY29/APW29</f>
        <v>0</v>
      </c>
      <c r="AQA29" s="579">
        <f>AOY29+APC29+APG29+APK29+APO29+APS29+APW29</f>
        <v>170181</v>
      </c>
      <c r="AQB29" s="574">
        <f>AOZ29+APD29+APH29+APL29+APP29+APT29+APX29</f>
        <v>170181</v>
      </c>
      <c r="AQC29" s="729">
        <f>APA29+APE29+API29+APM29+APQ29+APU29+APY29</f>
        <v>0</v>
      </c>
      <c r="AQD29" s="711">
        <f>AQC29/AQA29</f>
        <v>0</v>
      </c>
      <c r="AQE29" s="593">
        <f>'Proy 2022 vs 2019 sem'!HB28*AQH$4</f>
        <v>19859.274000000001</v>
      </c>
      <c r="AQF29" s="593">
        <f>'Proy 2022 vs 2019 sem'!HC28*AQH$4</f>
        <v>19859.274000000001</v>
      </c>
      <c r="AQG29" s="699"/>
      <c r="AQH29" s="700">
        <f>AQG29/AQE29</f>
        <v>0</v>
      </c>
      <c r="AQI29" s="593">
        <f>'Proy 2022 vs 2019 sem'!HB28*AQL$4</f>
        <v>19859.274000000001</v>
      </c>
      <c r="AQJ29" s="593">
        <f>'Proy 2022 vs 2019 sem'!HC28*AQL$4</f>
        <v>19859.274000000001</v>
      </c>
      <c r="AQK29" s="699"/>
      <c r="AQL29" s="700">
        <f>AQK29/AQI29</f>
        <v>0</v>
      </c>
      <c r="AQM29" s="593">
        <f>'Proy 2022 vs 2019 sem'!HB28*AQP$4</f>
        <v>19859.274000000001</v>
      </c>
      <c r="AQN29" s="593">
        <f>'Proy 2022 vs 2019 sem'!HC28*AQP$4</f>
        <v>19859.274000000001</v>
      </c>
      <c r="AQO29" s="699"/>
      <c r="AQP29" s="700">
        <f>AQO29/AQM29</f>
        <v>0</v>
      </c>
      <c r="AQQ29" s="593">
        <f>'Proy 2022 vs 2019 sem'!HB28*AQT$4</f>
        <v>19859.274000000001</v>
      </c>
      <c r="AQR29" s="593">
        <f>'Proy 2022 vs 2019 sem'!HC28*AQT$4</f>
        <v>19859.274000000001</v>
      </c>
      <c r="AQS29" s="699"/>
      <c r="AQT29" s="700">
        <f>AQS29/AQQ29</f>
        <v>0</v>
      </c>
      <c r="AQU29" s="593">
        <f>'Proy 2022 vs 2019 sem'!HB28*AQX$4</f>
        <v>23169.153000000002</v>
      </c>
      <c r="AQV29" s="593">
        <f>'Proy 2022 vs 2019 sem'!HC28*AQX$4</f>
        <v>23169.153000000002</v>
      </c>
      <c r="AQW29" s="699"/>
      <c r="AQX29" s="700">
        <f>AQW29/AQU29</f>
        <v>0</v>
      </c>
      <c r="AQY29" s="593">
        <f>'Proy 2022 vs 2019 sem'!HB28*ARB$4</f>
        <v>26479.032000000003</v>
      </c>
      <c r="AQZ29" s="593">
        <f>'Proy 2022 vs 2019 sem'!HC28*ARB$4</f>
        <v>26479.032000000003</v>
      </c>
      <c r="ARA29" s="699"/>
      <c r="ARB29" s="700">
        <f>ARA29/AQY29</f>
        <v>0</v>
      </c>
      <c r="ARC29" s="593">
        <f>'Proy 2022 vs 2019 sem'!HB28*ARF$4</f>
        <v>36408.669000000002</v>
      </c>
      <c r="ARD29" s="593">
        <f>'Proy 2022 vs 2019 sem'!HC28*ARF$4</f>
        <v>36408.669000000002</v>
      </c>
      <c r="ARE29" s="699"/>
      <c r="ARF29" s="700">
        <f>ARE29/ARC29</f>
        <v>0</v>
      </c>
      <c r="ARG29" s="579">
        <f>AQE29+AQI29+AQM29+AQQ29+AQU29+AQY29+ARC29</f>
        <v>165493.95000000001</v>
      </c>
      <c r="ARH29" s="574">
        <f>AQF29+AQJ29+AQN29+AQR29+AQV29+AQZ29+ARD29</f>
        <v>165493.95000000001</v>
      </c>
      <c r="ARI29" s="730">
        <f>AQG29+AQK29+AQO29+AQS29+AQW29+ARA29+ARE29</f>
        <v>0</v>
      </c>
      <c r="ARJ29" s="711">
        <f>ARI29/ARG29</f>
        <v>0</v>
      </c>
      <c r="ARK29" s="593">
        <f>'Proy 2022 vs 2019 sem'!HG28*ARN$4</f>
        <v>18858.763199999998</v>
      </c>
      <c r="ARL29" s="593">
        <f>'Proy 2022 vs 2019 sem'!HH28*ARN$4</f>
        <v>18481.587936</v>
      </c>
      <c r="ARM29" s="699"/>
      <c r="ARN29" s="700">
        <f>ARM29/ARK29</f>
        <v>0</v>
      </c>
      <c r="ARO29" s="593">
        <f>'Proy 2022 vs 2019 sem'!HG28*ARR$4</f>
        <v>18858.763199999998</v>
      </c>
      <c r="ARP29" s="593">
        <f>'Proy 2022 vs 2019 sem'!HH28*ARR$4</f>
        <v>18481.587936</v>
      </c>
      <c r="ARQ29" s="699"/>
      <c r="ARR29" s="700">
        <f>ARQ29/ARO29</f>
        <v>0</v>
      </c>
      <c r="ARS29" s="593">
        <f>'Proy 2022 vs 2019 sem'!HG28*ARV$4</f>
        <v>18858.763199999998</v>
      </c>
      <c r="ART29" s="593">
        <f>'Proy 2022 vs 2019 sem'!HH28*ARV$4</f>
        <v>18481.587936</v>
      </c>
      <c r="ARU29" s="699"/>
      <c r="ARV29" s="700">
        <f>ARU29/ARS29</f>
        <v>0</v>
      </c>
      <c r="ARW29" s="593">
        <f>'Proy 2022 vs 2019 sem'!HG28*ARZ$4</f>
        <v>18858.763199999998</v>
      </c>
      <c r="ARX29" s="593">
        <f>'Proy 2022 vs 2019 sem'!HH28*ARZ$4</f>
        <v>18481.587936</v>
      </c>
      <c r="ARY29" s="699"/>
      <c r="ARZ29" s="700">
        <f>ARY29/ARW29</f>
        <v>0</v>
      </c>
      <c r="ASA29" s="593">
        <f>'Proy 2022 vs 2019 sem'!HG28*ASD$4</f>
        <v>22001.8904</v>
      </c>
      <c r="ASB29" s="593">
        <f>'Proy 2022 vs 2019 sem'!HH28*ASD$4</f>
        <v>21561.852592000003</v>
      </c>
      <c r="ASC29" s="699"/>
      <c r="ASD29" s="700">
        <f>ASC29/ASA29</f>
        <v>0</v>
      </c>
      <c r="ASE29" s="593">
        <f>'Proy 2022 vs 2019 sem'!HG28*ASH$4</f>
        <v>25145.017599999999</v>
      </c>
      <c r="ASF29" s="593">
        <f>'Proy 2022 vs 2019 sem'!HH28*ASH$4</f>
        <v>24642.117247999999</v>
      </c>
      <c r="ASG29" s="699"/>
      <c r="ASH29" s="700">
        <f>ASG29/ASE29</f>
        <v>0</v>
      </c>
      <c r="ASI29" s="593">
        <f>'Proy 2022 vs 2019 sem'!HG28*ASL$4</f>
        <v>34574.3992</v>
      </c>
      <c r="ASJ29" s="593">
        <f>'Proy 2022 vs 2019 sem'!HH28*ASL$4</f>
        <v>33882.911216</v>
      </c>
      <c r="ASK29" s="699"/>
      <c r="ASL29" s="700">
        <f>ASK29/ASI29</f>
        <v>0</v>
      </c>
      <c r="ASM29" s="579">
        <f>ARK29+ARO29+ARS29+ARW29+ASA29+ASE29+ASI29</f>
        <v>157156.35999999999</v>
      </c>
      <c r="ASN29" s="574">
        <f>ARL29+ARP29+ART29+ARX29+ASB29+ASF29+ASJ29</f>
        <v>154013.2328</v>
      </c>
      <c r="ASO29" s="730">
        <f>ARM29+ARQ29+ARU29+ARY29+ASC29+ASG29+ASK29</f>
        <v>0</v>
      </c>
      <c r="ASP29" s="711">
        <f>ASO29/ASM29</f>
        <v>0</v>
      </c>
      <c r="ASQ29" s="593">
        <f>'Proy 2022 vs 2019 sem'!HL28*AST$4</f>
        <v>18295.087199999998</v>
      </c>
      <c r="ASR29" s="593">
        <f>'Proy 2022 vs 2019 sem'!HM28*AST$4</f>
        <v>17929.185455999999</v>
      </c>
      <c r="ASS29" s="699"/>
      <c r="AST29" s="700">
        <f>ASS29/ASQ29</f>
        <v>0</v>
      </c>
      <c r="ASU29" s="593">
        <f>'Proy 2022 vs 2019 sem'!HL28*ASX$4</f>
        <v>18295.087199999998</v>
      </c>
      <c r="ASV29" s="593">
        <f>'Proy 2022 vs 2019 sem'!HM28*ASX$4</f>
        <v>17929.185455999999</v>
      </c>
      <c r="ASW29" s="699"/>
      <c r="ASX29" s="700">
        <f>ASW29/ASU29</f>
        <v>0</v>
      </c>
      <c r="ASY29" s="593">
        <f>'Proy 2022 vs 2019 sem'!HL28*ATB$4</f>
        <v>18295.087199999998</v>
      </c>
      <c r="ASZ29" s="593">
        <f>'Proy 2022 vs 2019 sem'!HM28*ATB$4</f>
        <v>17929.185455999999</v>
      </c>
      <c r="ATA29" s="699"/>
      <c r="ATB29" s="700">
        <f>ATA29/ASY29</f>
        <v>0</v>
      </c>
      <c r="ATC29" s="593">
        <f>'Proy 2022 vs 2019 sem'!HL28*ATF$4</f>
        <v>18295.087199999998</v>
      </c>
      <c r="ATD29" s="593">
        <f>'Proy 2022 vs 2019 sem'!HM28*ATF$4</f>
        <v>17929.185455999999</v>
      </c>
      <c r="ATE29" s="699"/>
      <c r="ATF29" s="700">
        <f>ATE29/ATC29</f>
        <v>0</v>
      </c>
      <c r="ATG29" s="593">
        <f>'Proy 2022 vs 2019 sem'!HL28*ATJ$4</f>
        <v>21344.268400000001</v>
      </c>
      <c r="ATH29" s="593">
        <f>'Proy 2022 vs 2019 sem'!HM28*ATJ$4</f>
        <v>20917.383032000002</v>
      </c>
      <c r="ATI29" s="699"/>
      <c r="ATJ29" s="700">
        <f>ATI29/ATG29</f>
        <v>0</v>
      </c>
      <c r="ATK29" s="593">
        <f>'Proy 2022 vs 2019 sem'!HL28*ATN$4</f>
        <v>24393.4496</v>
      </c>
      <c r="ATL29" s="593">
        <f>'Proy 2022 vs 2019 sem'!HM28*ATN$4</f>
        <v>23905.580608</v>
      </c>
      <c r="ATM29" s="699"/>
      <c r="ATN29" s="700">
        <f>ATM29/ATK29</f>
        <v>0</v>
      </c>
      <c r="ATO29" s="593">
        <f>'Proy 2022 vs 2019 sem'!HL28*ATR$4</f>
        <v>33540.993199999997</v>
      </c>
      <c r="ATP29" s="593">
        <f>'Proy 2022 vs 2019 sem'!HM28*ATR$4</f>
        <v>32870.173336</v>
      </c>
      <c r="ATQ29" s="699"/>
      <c r="ATR29" s="700">
        <f>ATQ29/ATO29</f>
        <v>0</v>
      </c>
      <c r="ATS29" s="579">
        <f>ASQ29+ASU29+ASY29+ATC29+ATG29+ATK29+ATO29</f>
        <v>152459.06</v>
      </c>
      <c r="ATT29" s="574">
        <f>ASR29+ASV29+ASZ29+ATD29+ATH29+ATL29+ATP29</f>
        <v>149409.87880000001</v>
      </c>
      <c r="ATU29" s="710">
        <f>ASS29+ASW29+ATA29+ATE29+ATI29+ATM29+ATQ29</f>
        <v>0</v>
      </c>
      <c r="ATV29" s="711">
        <f>ATU29/ATS29</f>
        <v>0</v>
      </c>
      <c r="ATW29" s="593">
        <f>'Proy 2022 vs 2019 sem'!HQ28*ATZ$4</f>
        <v>19038.148799999999</v>
      </c>
      <c r="ATX29" s="593">
        <f>'Proy 2022 vs 2019 sem'!HR28*ATZ$4</f>
        <v>18657.385823999997</v>
      </c>
      <c r="ATY29" s="699"/>
      <c r="ATZ29" s="700">
        <f>ATY29/ATW29</f>
        <v>0</v>
      </c>
      <c r="AUA29" s="593">
        <f>'Proy 2022 vs 2019 sem'!HQ28*AUD$4</f>
        <v>19038.148799999999</v>
      </c>
      <c r="AUB29" s="593">
        <f>'Proy 2022 vs 2019 sem'!HR28*AUD$4</f>
        <v>18657.385823999997</v>
      </c>
      <c r="AUC29" s="699"/>
      <c r="AUD29" s="700">
        <f>AUC29/AUA29</f>
        <v>0</v>
      </c>
      <c r="AUE29" s="593">
        <f>'Proy 2022 vs 2019 sem'!HQ28*AUH$4</f>
        <v>19038.148799999999</v>
      </c>
      <c r="AUF29" s="593">
        <f>'Proy 2022 vs 2019 sem'!HR28*AUH$4</f>
        <v>18657.385823999997</v>
      </c>
      <c r="AUG29" s="699"/>
      <c r="AUH29" s="700">
        <f>AUG29/AUE29</f>
        <v>0</v>
      </c>
      <c r="AUI29" s="593">
        <f>'Proy 2022 vs 2019 sem'!HQ28*AUL$4</f>
        <v>19038.148799999999</v>
      </c>
      <c r="AUJ29" s="593">
        <f>'Proy 2022 vs 2019 sem'!HR28*AUL$4</f>
        <v>18657.385823999997</v>
      </c>
      <c r="AUK29" s="699"/>
      <c r="AUL29" s="700">
        <f>AUK29/AUI29</f>
        <v>0</v>
      </c>
      <c r="AUM29" s="593">
        <f>'Proy 2022 vs 2019 sem'!HQ28*AUP$4</f>
        <v>22211.173600000002</v>
      </c>
      <c r="AUN29" s="593">
        <f>'Proy 2022 vs 2019 sem'!HR28*AUP$4</f>
        <v>21766.950128</v>
      </c>
      <c r="AUO29" s="699"/>
      <c r="AUP29" s="700">
        <f>AUO29/AUM29</f>
        <v>0</v>
      </c>
      <c r="AUQ29" s="593">
        <f>'Proy 2022 vs 2019 sem'!HQ28*AUT$4</f>
        <v>25384.198399999997</v>
      </c>
      <c r="AUR29" s="593">
        <f>'Proy 2022 vs 2019 sem'!HR28*AUT$4</f>
        <v>24876.514431999996</v>
      </c>
      <c r="AUS29" s="699"/>
      <c r="AUT29" s="700">
        <f>AUS29/AUQ29</f>
        <v>0</v>
      </c>
      <c r="AUU29" s="593">
        <f>'Proy 2022 vs 2019 sem'!HQ28*AUX$4</f>
        <v>34903.272799999999</v>
      </c>
      <c r="AUV29" s="593">
        <f>'Proy 2022 vs 2019 sem'!HR28*AUX$4</f>
        <v>34205.207343999995</v>
      </c>
      <c r="AUW29" s="699"/>
      <c r="AUX29" s="700">
        <f>AUW29/AUU29</f>
        <v>0</v>
      </c>
      <c r="AUY29" s="579">
        <f>ATW29+AUA29+AUE29+AUI29+AUM29+AUQ29+AUU29</f>
        <v>158651.24</v>
      </c>
      <c r="AUZ29" s="574">
        <f>ATX29+AUB29+AUF29+AUJ29+AUN29+AUR29+AUV29</f>
        <v>155478.21519999998</v>
      </c>
      <c r="AVA29" s="710">
        <f>ATY29+AUC29+AUG29+AUK29+AUO29+AUS29+AUW29</f>
        <v>0</v>
      </c>
      <c r="AVB29" s="711">
        <f>AVA29/AUY29</f>
        <v>0</v>
      </c>
      <c r="AVC29" s="593">
        <f>'Proy 2022 vs 2019 sem'!HZ28*AVF$4</f>
        <v>17888.872800000001</v>
      </c>
      <c r="AVD29" s="593">
        <f>'Proy 2022 vs 2019 sem'!IA28*AVF$4</f>
        <v>17531.095343999998</v>
      </c>
      <c r="AVE29" s="735"/>
      <c r="AVF29" s="700">
        <f>AVE29/AVC29</f>
        <v>0</v>
      </c>
      <c r="AVG29" s="593">
        <f>'Proy 2022 vs 2019 sem'!HZ28*AVJ$4</f>
        <v>17888.872800000001</v>
      </c>
      <c r="AVH29" s="593">
        <f>'Proy 2022 vs 2019 sem'!IA28*AVJ$4</f>
        <v>17531.095343999998</v>
      </c>
      <c r="AVI29" s="699"/>
      <c r="AVJ29" s="700">
        <f>AVI29/AVG29</f>
        <v>0</v>
      </c>
      <c r="AVK29" s="593">
        <f>'Proy 2022 vs 2019 sem'!HZ28*AVN$4</f>
        <v>17888.872800000001</v>
      </c>
      <c r="AVL29" s="593">
        <f>'Proy 2022 vs 2019 sem'!IA28*AVN$4</f>
        <v>17531.095343999998</v>
      </c>
      <c r="AVM29" s="699"/>
      <c r="AVN29" s="700">
        <f>AVM29/AVK29</f>
        <v>0</v>
      </c>
      <c r="AVO29" s="593">
        <f>'Proy 2022 vs 2019 sem'!HZ28*AVR$4</f>
        <v>17888.872800000001</v>
      </c>
      <c r="AVP29" s="593">
        <f>'Proy 2022 vs 2019 sem'!IA28*AVR$4</f>
        <v>17531.095343999998</v>
      </c>
      <c r="AVQ29" s="699"/>
      <c r="AVR29" s="700">
        <f>AVQ29/AVO29</f>
        <v>0</v>
      </c>
      <c r="AVS29" s="593">
        <f>'Proy 2022 vs 2019 sem'!HZ28*AVV$4</f>
        <v>20870.351600000002</v>
      </c>
      <c r="AVT29" s="593">
        <f>'Proy 2022 vs 2019 sem'!IA28*AVV$4</f>
        <v>20452.944567999999</v>
      </c>
      <c r="AVU29" s="699"/>
      <c r="AVV29" s="700">
        <f>AVU29/AVS29</f>
        <v>0</v>
      </c>
      <c r="AVW29" s="593">
        <f>'Proy 2022 vs 2019 sem'!HZ28*AVZ$4</f>
        <v>23851.830400000003</v>
      </c>
      <c r="AVX29" s="593">
        <f>'Proy 2022 vs 2019 sem'!IA28*AVZ$4</f>
        <v>23374.793792</v>
      </c>
      <c r="AVY29" s="699"/>
      <c r="AVZ29" s="700">
        <f>AVY29/AVW29</f>
        <v>0</v>
      </c>
      <c r="AWA29" s="593">
        <f>'Proy 2022 vs 2019 sem'!HZ28*AWD$4</f>
        <v>32796.266799999998</v>
      </c>
      <c r="AWB29" s="593">
        <f>'Proy 2022 vs 2019 sem'!IA28*AWD$4</f>
        <v>32140.341463999997</v>
      </c>
      <c r="AWC29" s="699"/>
      <c r="AWD29" s="700">
        <f>AWC29/AWA29</f>
        <v>0</v>
      </c>
      <c r="AWE29" s="579">
        <f>AVC29+AVG29+AVK29+AVO29+AVS29+AVW29+AWA29</f>
        <v>149073.94</v>
      </c>
      <c r="AWF29" s="574">
        <f>AVD29+AVH29+AVL29+AVP29+AVT29+AVX29+AWB29</f>
        <v>146092.46119999996</v>
      </c>
      <c r="AWG29" s="793">
        <f>AVE29+AVI29+AVM29+AVQ29+AVU29+AVY29+AWC29</f>
        <v>0</v>
      </c>
      <c r="AWH29" s="786">
        <f>AWG29/AWE29</f>
        <v>0</v>
      </c>
      <c r="AWI29" s="593">
        <f>'Proy 2022 vs 2019 sem'!IE28*AWL$4</f>
        <v>19267.264800000001</v>
      </c>
      <c r="AWJ29" s="593">
        <f>'Proy 2022 vs 2019 sem'!IF28*AWL$4</f>
        <v>18496.574208000002</v>
      </c>
      <c r="AWK29" s="699"/>
      <c r="AWL29" s="700">
        <f>AWK29/AWI29</f>
        <v>0</v>
      </c>
      <c r="AWM29" s="593">
        <f>'Proy 2022 vs 2019 sem'!IE28*AWP$4</f>
        <v>19267.264800000001</v>
      </c>
      <c r="AWN29" s="593">
        <f>'Proy 2022 vs 2019 sem'!IF28*AWP$4</f>
        <v>18496.574208000002</v>
      </c>
      <c r="AWO29" s="699"/>
      <c r="AWP29" s="700">
        <f>AWO29/AWM29</f>
        <v>0</v>
      </c>
      <c r="AWQ29" s="593">
        <f>'Proy 2022 vs 2019 sem'!IE28*AWT$4</f>
        <v>19267.264800000001</v>
      </c>
      <c r="AWR29" s="593">
        <f>'Proy 2022 vs 2019 sem'!IF28*AWT$4</f>
        <v>18496.574208000002</v>
      </c>
      <c r="AWS29" s="699"/>
      <c r="AWT29" s="700">
        <f>AWS29/AWQ29</f>
        <v>0</v>
      </c>
      <c r="AWU29" s="593">
        <f>'Proy 2022 vs 2019 sem'!IE28*AWX$4</f>
        <v>19267.264800000001</v>
      </c>
      <c r="AWV29" s="593">
        <f>'Proy 2022 vs 2019 sem'!IF28*AWX$4</f>
        <v>18496.574208000002</v>
      </c>
      <c r="AWW29" s="699"/>
      <c r="AWX29" s="700">
        <f>AWW29/AWU29</f>
        <v>0</v>
      </c>
      <c r="AWY29" s="593">
        <f>'Proy 2022 vs 2019 sem'!IE28*AXB$4</f>
        <v>22478.475600000002</v>
      </c>
      <c r="AWZ29" s="593">
        <f>'Proy 2022 vs 2019 sem'!IF28*AXB$4</f>
        <v>21579.336576000002</v>
      </c>
      <c r="AXA29" s="699"/>
      <c r="AXB29" s="700">
        <f>AXA29/AWY29</f>
        <v>0</v>
      </c>
      <c r="AXC29" s="593">
        <f>'Proy 2022 vs 2019 sem'!IE28*AXF$4</f>
        <v>25689.686400000002</v>
      </c>
      <c r="AXD29" s="593">
        <f>'Proy 2022 vs 2019 sem'!IF28*AXF$4</f>
        <v>24662.098944000001</v>
      </c>
      <c r="AXE29" s="699"/>
      <c r="AXF29" s="700">
        <f>AXE29/AXC29</f>
        <v>0</v>
      </c>
      <c r="AXG29" s="593">
        <f>'Proy 2022 vs 2019 sem'!IE28*AXJ$4</f>
        <v>35323.318800000001</v>
      </c>
      <c r="AXH29" s="593">
        <f>'Proy 2022 vs 2019 sem'!IF28*AXJ$4</f>
        <v>33910.386048</v>
      </c>
      <c r="AXI29" s="699"/>
      <c r="AXJ29" s="700">
        <f>AXI29/AXG29</f>
        <v>0</v>
      </c>
      <c r="AXK29" s="579">
        <f>AWI29+AWM29+AWQ29+AWU29+AWY29+AXC29+AXG29</f>
        <v>160560.54</v>
      </c>
      <c r="AXL29" s="574">
        <f>AWJ29+AWN29+AWR29+AWV29+AWZ29+AXD29+AXH29</f>
        <v>154138.11840000001</v>
      </c>
      <c r="AXM29" s="794">
        <f>AWK29+AWO29+AWS29+AWW29+AXA29+AXE29+AXI29</f>
        <v>0</v>
      </c>
      <c r="AXN29" s="786">
        <f>AXM29/AXK29</f>
        <v>0</v>
      </c>
      <c r="AXO29" s="593">
        <f>'Proy 2022 vs 2019 sem'!IJ28*AXR$4</f>
        <v>19122.7464</v>
      </c>
      <c r="AXP29" s="593">
        <f>'Proy 2022 vs 2019 sem'!IK28*AXR$4</f>
        <v>18931.518935999997</v>
      </c>
      <c r="AXQ29" s="699"/>
      <c r="AXR29" s="700">
        <f>AXQ29/AXO29</f>
        <v>0</v>
      </c>
      <c r="AXS29" s="593">
        <f>'Proy 2022 vs 2019 sem'!IJ28*AXV$4</f>
        <v>19122.7464</v>
      </c>
      <c r="AXT29" s="593">
        <f>'Proy 2022 vs 2019 sem'!IK28*AXV$4</f>
        <v>18931.518935999997</v>
      </c>
      <c r="AXU29" s="699"/>
      <c r="AXV29" s="700">
        <f>AXU29/AXS29</f>
        <v>0</v>
      </c>
      <c r="AXW29" s="593">
        <f>'Proy 2022 vs 2019 sem'!IJ28*AXZ$4</f>
        <v>19122.7464</v>
      </c>
      <c r="AXX29" s="593">
        <f>'Proy 2022 vs 2019 sem'!IK28*AXZ$4</f>
        <v>18931.518935999997</v>
      </c>
      <c r="AXY29" s="699"/>
      <c r="AXZ29" s="700">
        <f>AXY29/AXW29</f>
        <v>0</v>
      </c>
      <c r="AYA29" s="593">
        <f>'Proy 2022 vs 2019 sem'!IJ28*AYD$4</f>
        <v>19122.7464</v>
      </c>
      <c r="AYB29" s="593">
        <f>'Proy 2022 vs 2019 sem'!IK28*AYD$4</f>
        <v>18931.518935999997</v>
      </c>
      <c r="AYC29" s="699"/>
      <c r="AYD29" s="700">
        <f>AYC29/AYA29</f>
        <v>0</v>
      </c>
      <c r="AYE29" s="593">
        <f>'Proy 2022 vs 2019 sem'!IJ28*AYH$4</f>
        <v>22309.870800000001</v>
      </c>
      <c r="AYF29" s="593">
        <f>'Proy 2022 vs 2019 sem'!IK28*AYH$4</f>
        <v>22086.772091999999</v>
      </c>
      <c r="AYG29" s="699"/>
      <c r="AYH29" s="700">
        <f>AYG29/AYE29</f>
        <v>0</v>
      </c>
      <c r="AYI29" s="593">
        <f>'Proy 2022 vs 2019 sem'!IJ28*AYL$4</f>
        <v>25496.995200000001</v>
      </c>
      <c r="AYJ29" s="593">
        <f>'Proy 2022 vs 2019 sem'!IK28*AYL$4</f>
        <v>25242.025247999998</v>
      </c>
      <c r="AYK29" s="699"/>
      <c r="AYL29" s="700">
        <f>AYK29/AYI29</f>
        <v>0</v>
      </c>
      <c r="AYM29" s="593">
        <f>'Proy 2022 vs 2019 sem'!IJ28*AYP$4</f>
        <v>35058.368399999999</v>
      </c>
      <c r="AYN29" s="593">
        <f>'Proy 2022 vs 2019 sem'!IK28*AYP$4</f>
        <v>34707.784715999995</v>
      </c>
      <c r="AYO29" s="699"/>
      <c r="AYP29" s="700">
        <f>AYO29/AYM29</f>
        <v>0</v>
      </c>
      <c r="AYQ29" s="579">
        <f>AXO29+AXS29+AXW29+AYA29+AYE29+AYI29+AYM29</f>
        <v>159356.22</v>
      </c>
      <c r="AYR29" s="574">
        <f>AXP29+AXT29+AXX29+AYB29+AYF29+AYJ29+AYN29</f>
        <v>157762.65779999999</v>
      </c>
      <c r="AYS29" s="794">
        <f>AXQ29+AXU29+AXY29+AYC29+AYG29+AYK29+AYO29</f>
        <v>0</v>
      </c>
      <c r="AYT29" s="786">
        <f>AYS29/AYQ29</f>
        <v>0</v>
      </c>
      <c r="AYU29" s="593">
        <f>'Proy 2022 vs 2019 sem'!IO28*AYX$4</f>
        <v>19955.724000000002</v>
      </c>
      <c r="AYV29" s="593">
        <f>'Proy 2022 vs 2019 sem'!IP28*AYX$4</f>
        <v>19357.05228</v>
      </c>
      <c r="AYW29" s="699"/>
      <c r="AYX29" s="700">
        <f>AYW29/AYU29</f>
        <v>0</v>
      </c>
      <c r="AYY29" s="593">
        <f>'Proy 2022 vs 2019 sem'!IO28*AZB$4</f>
        <v>19955.724000000002</v>
      </c>
      <c r="AYZ29" s="593">
        <f>'Proy 2022 vs 2019 sem'!IP28*AZB$4</f>
        <v>19357.05228</v>
      </c>
      <c r="AZA29" s="699"/>
      <c r="AZB29" s="700">
        <f>AZA29/AYY29</f>
        <v>0</v>
      </c>
      <c r="AZC29" s="593">
        <f>'Proy 2022 vs 2019 sem'!IO28*AZF$4</f>
        <v>19955.724000000002</v>
      </c>
      <c r="AZD29" s="593">
        <f>'Proy 2022 vs 2019 sem'!IP28*AZF$4</f>
        <v>19357.05228</v>
      </c>
      <c r="AZE29" s="699"/>
      <c r="AZF29" s="700">
        <f>AZE29/AZC29</f>
        <v>0</v>
      </c>
      <c r="AZG29" s="593">
        <f>'Proy 2022 vs 2019 sem'!IO28*AZJ$4</f>
        <v>19955.724000000002</v>
      </c>
      <c r="AZH29" s="593">
        <f>'Proy 2022 vs 2019 sem'!IP28*AZJ$4</f>
        <v>19357.05228</v>
      </c>
      <c r="AZI29" s="699"/>
      <c r="AZJ29" s="700">
        <f>AZI29/AZG29</f>
        <v>0</v>
      </c>
      <c r="AZK29" s="593">
        <f>'Proy 2022 vs 2019 sem'!IO28*AZN$4</f>
        <v>23281.678000000004</v>
      </c>
      <c r="AZL29" s="593">
        <f>'Proy 2022 vs 2019 sem'!IP28*AZN$4</f>
        <v>22583.22766</v>
      </c>
      <c r="AZM29" s="699"/>
      <c r="AZN29" s="700">
        <f>AZM29/AZK29</f>
        <v>0</v>
      </c>
      <c r="AZO29" s="593">
        <f>'Proy 2022 vs 2019 sem'!IO28*AZR$4</f>
        <v>26607.632000000001</v>
      </c>
      <c r="AZP29" s="593">
        <f>'Proy 2022 vs 2019 sem'!IP28*AZR$4</f>
        <v>25809.403040000001</v>
      </c>
      <c r="AZQ29" s="699"/>
      <c r="AZR29" s="700">
        <f>AZQ29/AZO29</f>
        <v>0</v>
      </c>
      <c r="AZS29" s="593">
        <f>'Proy 2022 vs 2019 sem'!IO28*AZV$4</f>
        <v>36585.494000000006</v>
      </c>
      <c r="AZT29" s="593">
        <f>'Proy 2022 vs 2019 sem'!IP28*AZV$4</f>
        <v>35487.929179999999</v>
      </c>
      <c r="AZU29" s="699"/>
      <c r="AZV29" s="700">
        <f>AZU29/AZS29</f>
        <v>0</v>
      </c>
      <c r="AZW29" s="579">
        <f>AYU29+AYY29+AZC29+AZG29+AZK29+AZO29+AZS29</f>
        <v>166297.70000000001</v>
      </c>
      <c r="AZX29" s="574">
        <f>AYV29+AYZ29+AZD29+AZH29+AZL29+AZP29+AZT29</f>
        <v>161308.769</v>
      </c>
      <c r="AZY29" s="785">
        <f>AYW29+AZA29+AZE29+AZI29+AZM29+AZQ29+AZU29</f>
        <v>0</v>
      </c>
      <c r="AZZ29" s="786">
        <f>AZY29/AZW29</f>
        <v>0</v>
      </c>
      <c r="BAA29" s="593">
        <f>'Proy 2022 vs 2019 sem'!IX28*BAD$4</f>
        <v>16264.187999999998</v>
      </c>
      <c r="BAB29" s="593">
        <f>'Proy 2022 vs 2019 sem'!IY28*BAD$4</f>
        <v>15776.262360000001</v>
      </c>
      <c r="BAC29" s="735"/>
      <c r="BAD29" s="700">
        <f>BAC29/BAA29</f>
        <v>0</v>
      </c>
      <c r="BAE29" s="593">
        <f>'Proy 2022 vs 2019 sem'!IX28*BAH$4</f>
        <v>16264.187999999998</v>
      </c>
      <c r="BAF29" s="593">
        <f>'Proy 2022 vs 2019 sem'!IY28*BAH$4</f>
        <v>15776.262360000001</v>
      </c>
      <c r="BAG29" s="699"/>
      <c r="BAH29" s="700">
        <f>BAG29/BAE29</f>
        <v>0</v>
      </c>
      <c r="BAI29" s="593">
        <f>'Proy 2022 vs 2019 sem'!IX28*BAL$4</f>
        <v>16264.187999999998</v>
      </c>
      <c r="BAJ29" s="593">
        <f>'Proy 2022 vs 2019 sem'!IY28*BAL$4</f>
        <v>15776.262360000001</v>
      </c>
      <c r="BAK29" s="699"/>
      <c r="BAL29" s="700">
        <f>BAK29/BAI29</f>
        <v>0</v>
      </c>
      <c r="BAM29" s="593">
        <f>'Proy 2022 vs 2019 sem'!IX28*BAP$4</f>
        <v>16264.187999999998</v>
      </c>
      <c r="BAN29" s="593">
        <f>'Proy 2022 vs 2019 sem'!IY28*BAP$4</f>
        <v>15776.262360000001</v>
      </c>
      <c r="BAO29" s="699"/>
      <c r="BAP29" s="700">
        <f>BAO29/BAM29</f>
        <v>0</v>
      </c>
      <c r="BAQ29" s="593">
        <f>'Proy 2022 vs 2019 sem'!IX28*BAT$4</f>
        <v>18974.886000000002</v>
      </c>
      <c r="BAR29" s="593">
        <f>'Proy 2022 vs 2019 sem'!IY28*BAT$4</f>
        <v>18405.639420000003</v>
      </c>
      <c r="BAS29" s="699"/>
      <c r="BAT29" s="700">
        <f>BAS29/BAQ29</f>
        <v>0</v>
      </c>
      <c r="BAU29" s="593">
        <f>'Proy 2022 vs 2019 sem'!IX28*BAX$4</f>
        <v>21685.583999999999</v>
      </c>
      <c r="BAV29" s="593">
        <f>'Proy 2022 vs 2019 sem'!IY28*BAX$4</f>
        <v>21035.016480000002</v>
      </c>
      <c r="BAW29" s="699"/>
      <c r="BAX29" s="700">
        <f>BAW29/BAU29</f>
        <v>0</v>
      </c>
      <c r="BAY29" s="593">
        <f>'Proy 2022 vs 2019 sem'!IX28*BBB$4</f>
        <v>29817.678</v>
      </c>
      <c r="BAZ29" s="593">
        <f>'Proy 2022 vs 2019 sem'!IY28*BBB$4</f>
        <v>28923.147660000002</v>
      </c>
      <c r="BBA29" s="699"/>
      <c r="BBB29" s="700">
        <f>BBA29/BAY29</f>
        <v>0</v>
      </c>
      <c r="BBC29" s="579">
        <f>BAA29+BAE29+BAI29+BAM29+BAQ29+BAU29+BAY29</f>
        <v>135534.9</v>
      </c>
      <c r="BBD29" s="574">
        <f>BAB29+BAF29+BAJ29+BAN29+BAR29+BAV29+BAZ29</f>
        <v>131468.853</v>
      </c>
      <c r="BBE29" s="759">
        <f>BAC29+BAG29+BAK29+BAO29+BAS29+BAW29+BBA29</f>
        <v>0</v>
      </c>
      <c r="BBF29" s="761">
        <f>BBE29/BBC29</f>
        <v>0</v>
      </c>
      <c r="BBG29" s="593">
        <f>'Proy 2022 vs 2019 sem'!JC28*BBJ$4</f>
        <v>26044.3848</v>
      </c>
      <c r="BBH29" s="593">
        <f>'Proy 2022 vs 2019 sem'!JD28*BBJ$4</f>
        <v>24481.721711999999</v>
      </c>
      <c r="BBI29" s="699"/>
      <c r="BBJ29" s="700">
        <f>BBI29/BBG29</f>
        <v>0</v>
      </c>
      <c r="BBK29" s="593">
        <f>'Proy 2022 vs 2019 sem'!JC28*BBN$4</f>
        <v>26044.3848</v>
      </c>
      <c r="BBL29" s="593">
        <f>'Proy 2022 vs 2019 sem'!JD28*BBN$4</f>
        <v>24481.721711999999</v>
      </c>
      <c r="BBM29" s="699"/>
      <c r="BBN29" s="700">
        <f>BBM29/BBK29</f>
        <v>0</v>
      </c>
      <c r="BBO29" s="593">
        <f>'Proy 2022 vs 2019 sem'!JC28*BBR$4</f>
        <v>26044.3848</v>
      </c>
      <c r="BBP29" s="593">
        <f>'Proy 2022 vs 2019 sem'!JD28*BBR$4</f>
        <v>24481.721711999999</v>
      </c>
      <c r="BBQ29" s="699"/>
      <c r="BBR29" s="700">
        <f>BBQ29/BBO29</f>
        <v>0</v>
      </c>
      <c r="BBS29" s="593">
        <f>'Proy 2022 vs 2019 sem'!JC28*BBV$4</f>
        <v>26044.3848</v>
      </c>
      <c r="BBT29" s="593">
        <f>'Proy 2022 vs 2019 sem'!JD28*BBV$4</f>
        <v>24481.721711999999</v>
      </c>
      <c r="BBU29" s="699"/>
      <c r="BBV29" s="700">
        <f>BBU29/BBS29</f>
        <v>0</v>
      </c>
      <c r="BBW29" s="593">
        <f>'Proy 2022 vs 2019 sem'!JC28*BBZ$4</f>
        <v>30385.115600000005</v>
      </c>
      <c r="BBX29" s="593">
        <f>'Proy 2022 vs 2019 sem'!JD28*BBZ$4</f>
        <v>28562.008664000005</v>
      </c>
      <c r="BBY29" s="699"/>
      <c r="BBZ29" s="700">
        <f>BBY29/BBW29</f>
        <v>0</v>
      </c>
      <c r="BCA29" s="593">
        <f>'Proy 2022 vs 2019 sem'!JC28*BCD$4</f>
        <v>34725.846400000002</v>
      </c>
      <c r="BCB29" s="593">
        <f>'Proy 2022 vs 2019 sem'!JD28*BCD$4</f>
        <v>32642.295616000003</v>
      </c>
      <c r="BCC29" s="699"/>
      <c r="BCD29" s="700">
        <f>BCC29/BCA29</f>
        <v>0</v>
      </c>
      <c r="BCE29" s="593">
        <f>'Proy 2022 vs 2019 sem'!JC28*BCH$4</f>
        <v>47748.038800000002</v>
      </c>
      <c r="BCF29" s="593">
        <f>'Proy 2022 vs 2019 sem'!JD28*BCH$4</f>
        <v>44883.156472000002</v>
      </c>
      <c r="BCG29" s="699"/>
      <c r="BCH29" s="700">
        <f>BCG29/BCE29</f>
        <v>0</v>
      </c>
      <c r="BCI29" s="579">
        <f>BBG29+BBK29+BBO29+BBS29+BBW29+BCA29+BCE29</f>
        <v>217036.54000000004</v>
      </c>
      <c r="BCJ29" s="574">
        <f>BBH29+BBL29+BBP29+BBT29+BBX29+BCB29+BCF29</f>
        <v>204014.34760000001</v>
      </c>
      <c r="BCK29" s="765">
        <f>BBI29+BBM29+BBQ29+BBU29+BBY29+BCC29+BCG29</f>
        <v>0</v>
      </c>
      <c r="BCL29" s="761">
        <f>BCK29/BCI29</f>
        <v>0</v>
      </c>
      <c r="BCM29" s="593">
        <f>'Proy 2022 vs 2019 sem'!JH28*BCP$4</f>
        <v>25697.536800000002</v>
      </c>
      <c r="BCN29" s="593">
        <f>'Proy 2022 vs 2019 sem'!JI28*BCP$4</f>
        <v>24669.635328</v>
      </c>
      <c r="BCO29" s="699"/>
      <c r="BCP29" s="700">
        <f>BCO29/BCM29</f>
        <v>0</v>
      </c>
      <c r="BCQ29" s="593">
        <f>'Proy 2022 vs 2019 sem'!JH28*BCT$4</f>
        <v>25697.536800000002</v>
      </c>
      <c r="BCR29" s="593">
        <f>'Proy 2022 vs 2019 sem'!JI28*BCT$4</f>
        <v>24669.635328</v>
      </c>
      <c r="BCS29" s="699"/>
      <c r="BCT29" s="700">
        <f>BCS29/BCQ29</f>
        <v>0</v>
      </c>
      <c r="BCU29" s="593">
        <f>'Proy 2022 vs 2019 sem'!JH28*BCX$4</f>
        <v>25697.536800000002</v>
      </c>
      <c r="BCV29" s="593">
        <f>'Proy 2022 vs 2019 sem'!JI28*BCX$4</f>
        <v>24669.635328</v>
      </c>
      <c r="BCW29" s="699"/>
      <c r="BCX29" s="700">
        <f>BCW29/BCU29</f>
        <v>0</v>
      </c>
      <c r="BCY29" s="593">
        <f>'Proy 2022 vs 2019 sem'!JH28*BDB$4</f>
        <v>25697.536800000002</v>
      </c>
      <c r="BCZ29" s="593">
        <f>'Proy 2022 vs 2019 sem'!JI28*BDB$4</f>
        <v>24669.635328</v>
      </c>
      <c r="BDA29" s="699"/>
      <c r="BDB29" s="700">
        <f>BDA29/BCY29</f>
        <v>0</v>
      </c>
      <c r="BDC29" s="593">
        <f>'Proy 2022 vs 2019 sem'!JH28*BDF$4</f>
        <v>29980.459600000006</v>
      </c>
      <c r="BDD29" s="593">
        <f>'Proy 2022 vs 2019 sem'!JI28*BDF$4</f>
        <v>28781.241216000006</v>
      </c>
      <c r="BDE29" s="699"/>
      <c r="BDF29" s="700">
        <f>BDE29/BDC29</f>
        <v>0</v>
      </c>
      <c r="BDG29" s="593">
        <f>'Proy 2022 vs 2019 sem'!JH28*BDJ$4</f>
        <v>34263.382400000002</v>
      </c>
      <c r="BDH29" s="593">
        <f>'Proy 2022 vs 2019 sem'!JI28*BDJ$4</f>
        <v>32892.847104</v>
      </c>
      <c r="BDI29" s="699"/>
      <c r="BDJ29" s="700">
        <f>BDI29/BDG29</f>
        <v>0</v>
      </c>
      <c r="BDK29" s="593">
        <f>'Proy 2022 vs 2019 sem'!JH28*BDN$4</f>
        <v>47112.150800000003</v>
      </c>
      <c r="BDL29" s="593">
        <f>'Proy 2022 vs 2019 sem'!JI28*BDN$4</f>
        <v>45227.664768000002</v>
      </c>
      <c r="BDM29" s="699"/>
      <c r="BDN29" s="700">
        <f>BDM29/BDK29</f>
        <v>0</v>
      </c>
      <c r="BDO29" s="579">
        <f>BCM29+BCQ29+BCU29+BCY29+BDC29+BDG29+BDK29</f>
        <v>214146.14</v>
      </c>
      <c r="BDP29" s="574">
        <f>BCN29+BCR29+BCV29+BCZ29+BDD29+BDH29+BDL29</f>
        <v>205580.29440000001</v>
      </c>
      <c r="BDQ29" s="765">
        <f>BCO29+BCS29+BCW29+BDA29+BDE29+BDI29+BDM29</f>
        <v>0</v>
      </c>
      <c r="BDR29" s="761">
        <f>BDQ29/BDO29</f>
        <v>0</v>
      </c>
      <c r="BDS29" s="593">
        <f>'Proy 2022 vs 2019 sem'!JM28*BDV$4</f>
        <v>25740.200400000002</v>
      </c>
      <c r="BDT29" s="593">
        <f>'Proy 2022 vs 2019 sem'!JN28*BDV$4</f>
        <v>24453.19038</v>
      </c>
      <c r="BDU29" s="699"/>
      <c r="BDV29" s="700">
        <f>BDU29/BDS29</f>
        <v>0</v>
      </c>
      <c r="BDW29" s="593">
        <f>'Proy 2022 vs 2019 sem'!JM28*BDZ$4</f>
        <v>25740.200400000002</v>
      </c>
      <c r="BDX29" s="593">
        <f>'Proy 2022 vs 2019 sem'!JN28*BDZ$4</f>
        <v>24453.19038</v>
      </c>
      <c r="BDY29" s="699"/>
      <c r="BDZ29" s="700">
        <f>BDY29/BDW29</f>
        <v>0</v>
      </c>
      <c r="BEA29" s="593">
        <f>'Proy 2022 vs 2019 sem'!JM28*BED$4</f>
        <v>25740.200400000002</v>
      </c>
      <c r="BEB29" s="593">
        <f>'Proy 2022 vs 2019 sem'!JN28*BED$4</f>
        <v>24453.19038</v>
      </c>
      <c r="BEC29" s="699"/>
      <c r="BED29" s="700">
        <f>BEC29/BEA29</f>
        <v>0</v>
      </c>
      <c r="BEE29" s="593">
        <v>14508.990400000001</v>
      </c>
      <c r="BEF29" s="593">
        <f>'Proy 2022 vs 2019 sem'!JN28*BEH$4</f>
        <v>24453.19038</v>
      </c>
      <c r="BEG29" s="699"/>
      <c r="BEH29" s="700">
        <f>BEG29/BEE29</f>
        <v>0</v>
      </c>
      <c r="BEI29" s="593">
        <f>'Proy 2022 vs 2019 sem'!JM28*BEL$4</f>
        <v>30030.233800000005</v>
      </c>
      <c r="BEJ29" s="593">
        <f>'Proy 2022 vs 2019 sem'!JN28*BEL$4</f>
        <v>28528.722110000002</v>
      </c>
      <c r="BEK29" s="699"/>
      <c r="BEL29" s="700">
        <f>BEK29/BEI29</f>
        <v>0</v>
      </c>
      <c r="BEM29" s="593">
        <f>'Proy 2022 vs 2019 sem'!JM28*BEP$4</f>
        <v>34320.267200000002</v>
      </c>
      <c r="BEN29" s="593">
        <f>'Proy 2022 vs 2019 sem'!JN28*BEP$4</f>
        <v>32604.253840000001</v>
      </c>
      <c r="BEO29" s="699"/>
      <c r="BEP29" s="700">
        <f>BEO29/BEM29</f>
        <v>0</v>
      </c>
      <c r="BEQ29" s="593">
        <f>'Proy 2022 vs 2019 sem'!JM28*BET$4</f>
        <v>47190.367400000003</v>
      </c>
      <c r="BER29" s="593">
        <f>'Proy 2022 vs 2019 sem'!JN28*BET$4</f>
        <v>44830.849030000005</v>
      </c>
      <c r="BES29" s="699"/>
      <c r="BET29" s="700">
        <f>BES29/BEQ29</f>
        <v>0</v>
      </c>
      <c r="BEU29" s="579">
        <f>BDS29+BDW29+BEA29+BEE29+BEI29+BEM29+BEQ29</f>
        <v>203270.46000000002</v>
      </c>
      <c r="BEV29" s="574">
        <f>BDT29+BDX29+BEB29+BEF29+BEJ29+BEN29+BER29</f>
        <v>203776.5865</v>
      </c>
      <c r="BEW29" s="770">
        <f>BDU29+BDY29+BEC29+BEG29+BEK29+BEO29+BES29</f>
        <v>0</v>
      </c>
      <c r="BEX29" s="761">
        <f>BEW29/BEU29</f>
        <v>0</v>
      </c>
      <c r="BEY29" s="593">
        <f>'Proy 2022 vs 2019 sem'!JV28*BFB$4</f>
        <v>30900.397199999999</v>
      </c>
      <c r="BEZ29" s="593">
        <f>'Proy 2022 vs 2019 sem'!JW28*BFB$4</f>
        <v>29046.373367999997</v>
      </c>
      <c r="BFA29" s="735"/>
      <c r="BFB29" s="700">
        <f>BFA29/BEY29</f>
        <v>0</v>
      </c>
      <c r="BFC29" s="593">
        <f>'Proy 2022 vs 2019 sem'!JV28*BFF$4</f>
        <v>30900.397199999999</v>
      </c>
      <c r="BFD29" s="593">
        <f>'Proy 2022 vs 2019 sem'!JW28*BFF$4</f>
        <v>29046.373367999997</v>
      </c>
      <c r="BFE29" s="735"/>
      <c r="BFF29" s="700">
        <f>BFE29/BFC29</f>
        <v>0</v>
      </c>
      <c r="BFG29" s="593">
        <f>'Proy 2022 vs 2019 sem'!JV28*BFJ$4</f>
        <v>30900.397199999999</v>
      </c>
      <c r="BFH29" s="593">
        <f>'Proy 2022 vs 2019 sem'!JW28*BFJ$4</f>
        <v>29046.373367999997</v>
      </c>
      <c r="BFI29" s="735"/>
      <c r="BFJ29" s="700">
        <f>BFI29/BFG29</f>
        <v>0</v>
      </c>
      <c r="BFK29" s="593">
        <f>'Proy 2022 vs 2019 sem'!JV28*BFN$4</f>
        <v>30900.397199999999</v>
      </c>
      <c r="BFL29" s="593">
        <f>'Proy 2022 vs 2019 sem'!JW28*BFN$4</f>
        <v>29046.373367999997</v>
      </c>
      <c r="BFM29" s="735"/>
      <c r="BFN29" s="700">
        <f>BFM29/BFK29</f>
        <v>0</v>
      </c>
      <c r="BFO29" s="593">
        <f>'Proy 2022 vs 2019 sem'!JV28*BFR$4</f>
        <v>36050.463400000001</v>
      </c>
      <c r="BFP29" s="593">
        <f>'Proy 2022 vs 2019 sem'!JW28*BFR$4</f>
        <v>33887.435596000003</v>
      </c>
      <c r="BFQ29" s="735"/>
      <c r="BFR29" s="700">
        <f>BFQ29/BFO29</f>
        <v>0</v>
      </c>
      <c r="BFS29" s="593">
        <f>'Proy 2022 vs 2019 sem'!JV28*BFV$4</f>
        <v>41200.529600000002</v>
      </c>
      <c r="BFT29" s="593">
        <f>'Proy 2022 vs 2019 sem'!JW28*BFV$4</f>
        <v>38728.497823999998</v>
      </c>
      <c r="BFU29" s="735"/>
      <c r="BFV29" s="700">
        <f>BFU29/BFS29</f>
        <v>0</v>
      </c>
      <c r="BFW29" s="593">
        <f>'Proy 2022 vs 2019 sem'!JV28*BFZ$4</f>
        <v>56650.728199999998</v>
      </c>
      <c r="BFX29" s="593">
        <f>'Proy 2022 vs 2019 sem'!JW28*BFZ$4</f>
        <v>53251.684507999998</v>
      </c>
      <c r="BFY29" s="735"/>
      <c r="BFZ29" s="700">
        <f>BFY29/BFW29</f>
        <v>0</v>
      </c>
      <c r="BGA29" s="579">
        <f>BEY29+BFC29+BFG29+BFK29+BFO29+BFS29+BFW29</f>
        <v>257503.31</v>
      </c>
      <c r="BGB29" s="574">
        <f>BEZ29+BFD29+BFH29+BFL29+BFP29+BFT29+BFX29</f>
        <v>242053.11139999999</v>
      </c>
      <c r="BGC29" s="729">
        <f>BFA29+BFE29+BFI29+BFM29+BFQ29+BFU29+BFY29</f>
        <v>0</v>
      </c>
      <c r="BGD29" s="711">
        <f>BGC29/BGA29</f>
        <v>0</v>
      </c>
      <c r="BGE29" s="593">
        <f>'Proy 2022 vs 2019 sem'!KA28*BGH$4</f>
        <v>42895.058400000002</v>
      </c>
      <c r="BGF29" s="593">
        <f>'Proy 2022 vs 2019 sem'!KB28*BGH$4</f>
        <v>39892.404311999999</v>
      </c>
      <c r="BGG29" s="699"/>
      <c r="BGH29" s="700">
        <f>BGG29/BGE29</f>
        <v>0</v>
      </c>
      <c r="BGI29" s="593">
        <f>'Proy 2022 vs 2019 sem'!KA28*BGL$4</f>
        <v>42895.058400000002</v>
      </c>
      <c r="BGJ29" s="593">
        <f>'Proy 2022 vs 2019 sem'!KB28*BGL$4</f>
        <v>39892.404311999999</v>
      </c>
      <c r="BGK29" s="699"/>
      <c r="BGL29" s="700">
        <f>BGK29/BGI29</f>
        <v>0</v>
      </c>
      <c r="BGM29" s="593">
        <f>'Proy 2022 vs 2019 sem'!KA28*BGP$4</f>
        <v>42895.058400000002</v>
      </c>
      <c r="BGN29" s="593">
        <f>'Proy 2022 vs 2019 sem'!KB28*BGP$4</f>
        <v>39892.404311999999</v>
      </c>
      <c r="BGO29" s="699"/>
      <c r="BGP29" s="700">
        <f>BGO29/BGM29</f>
        <v>0</v>
      </c>
      <c r="BGQ29" s="593">
        <f>'Proy 2022 vs 2019 sem'!KA28*BGT$4</f>
        <v>42895.058400000002</v>
      </c>
      <c r="BGR29" s="593">
        <f>'Proy 2022 vs 2019 sem'!KB28*BGT$4</f>
        <v>39892.404311999999</v>
      </c>
      <c r="BGS29" s="699"/>
      <c r="BGT29" s="700">
        <f>BGS29/BGQ29</f>
        <v>0</v>
      </c>
      <c r="BGU29" s="593">
        <f>'Proy 2022 vs 2019 sem'!KA28*BGX$4</f>
        <v>50044.234800000006</v>
      </c>
      <c r="BGV29" s="593">
        <f>'Proy 2022 vs 2019 sem'!KB28*BGX$4</f>
        <v>46541.138364000006</v>
      </c>
      <c r="BGW29" s="699"/>
      <c r="BGX29" s="700">
        <f>BGW29/BGU29</f>
        <v>0</v>
      </c>
      <c r="BGY29" s="593">
        <f>'Proy 2022 vs 2019 sem'!KA28*BHB$4</f>
        <v>57193.411200000002</v>
      </c>
      <c r="BGZ29" s="593">
        <f>'Proy 2022 vs 2019 sem'!KB28*BHB$4</f>
        <v>53189.872416000006</v>
      </c>
      <c r="BHA29" s="699"/>
      <c r="BHB29" s="700">
        <f>BHA29/BGY29</f>
        <v>0</v>
      </c>
      <c r="BHC29" s="593">
        <f>'Proy 2022 vs 2019 sem'!KA28*BHF$4</f>
        <v>78640.940400000007</v>
      </c>
      <c r="BHD29" s="593">
        <f>'Proy 2022 vs 2019 sem'!KB28*BHF$4</f>
        <v>73136.074571999998</v>
      </c>
      <c r="BHE29" s="699"/>
      <c r="BHF29" s="700">
        <f>BHE29/BHC29</f>
        <v>0</v>
      </c>
      <c r="BHG29" s="579">
        <f>BGE29+BGI29+BGM29+BGQ29+BGU29+BGY29+BHC29</f>
        <v>357458.82</v>
      </c>
      <c r="BHH29" s="574">
        <f>BGF29+BGJ29+BGN29+BGR29+BGV29+BGZ29+BHD29</f>
        <v>332436.70260000002</v>
      </c>
      <c r="BHI29" s="730">
        <f>BGG29+BGK29+BGO29+BGS29+BGW29+BHA29+BHE29</f>
        <v>0</v>
      </c>
      <c r="BHJ29" s="711">
        <f>BHI29/BHG29</f>
        <v>0</v>
      </c>
      <c r="BHK29" s="593">
        <f>'Proy 2022 vs 2019 sem'!KF28*BHN$4</f>
        <v>51221.784</v>
      </c>
      <c r="BHL29" s="593">
        <f>'Proy 2022 vs 2019 sem'!KG28*BHN$4</f>
        <v>47636.259120000002</v>
      </c>
      <c r="BHM29" s="699"/>
      <c r="BHN29" s="700">
        <f>BHM29/BHK29</f>
        <v>0</v>
      </c>
      <c r="BHO29" s="593">
        <f>'Proy 2022 vs 2019 sem'!KF28*BHR$4</f>
        <v>51221.784</v>
      </c>
      <c r="BHP29" s="593">
        <f>'Proy 2022 vs 2019 sem'!KG28*BHR$4</f>
        <v>47636.259120000002</v>
      </c>
      <c r="BHQ29" s="699"/>
      <c r="BHR29" s="700">
        <f>BHQ29/BHO29</f>
        <v>0</v>
      </c>
      <c r="BHS29" s="593">
        <f>'Proy 2022 vs 2019 sem'!KF28*BHV$4</f>
        <v>51221.784</v>
      </c>
      <c r="BHT29" s="593">
        <f>'Proy 2022 vs 2019 sem'!KG28*BHV$4</f>
        <v>47636.259120000002</v>
      </c>
      <c r="BHU29" s="699"/>
      <c r="BHV29" s="700">
        <f>BHU29/BHS29</f>
        <v>0</v>
      </c>
      <c r="BHW29" s="593">
        <f>'Proy 2022 vs 2019 sem'!KF28*BHZ$4</f>
        <v>51221.784</v>
      </c>
      <c r="BHX29" s="593">
        <f>'Proy 2022 vs 2019 sem'!KG28*BHZ$4</f>
        <v>47636.259120000002</v>
      </c>
      <c r="BHY29" s="699"/>
      <c r="BHZ29" s="700">
        <f>BHY29/BHW29</f>
        <v>0</v>
      </c>
      <c r="BIA29" s="593">
        <f>'Proy 2022 vs 2019 sem'!KF28*BID$4</f>
        <v>59758.748000000007</v>
      </c>
      <c r="BIB29" s="593">
        <f>'Proy 2022 vs 2019 sem'!KG28*BID$4</f>
        <v>55575.635640000015</v>
      </c>
      <c r="BIC29" s="699"/>
      <c r="BID29" s="700">
        <f>BIC29/BIA29</f>
        <v>0</v>
      </c>
      <c r="BIE29" s="593">
        <f>'Proy 2022 vs 2019 sem'!KF28*BIH$4</f>
        <v>68295.712</v>
      </c>
      <c r="BIF29" s="593">
        <f>'Proy 2022 vs 2019 sem'!KG28*BIH$4</f>
        <v>63515.012160000013</v>
      </c>
      <c r="BIG29" s="699"/>
      <c r="BIH29" s="700">
        <f>BIG29/BIE29</f>
        <v>0</v>
      </c>
      <c r="BII29" s="593">
        <f>'Proy 2022 vs 2019 sem'!KF28*BIL$4</f>
        <v>93906.604000000007</v>
      </c>
      <c r="BIJ29" s="593">
        <f>'Proy 2022 vs 2019 sem'!KG28*BIL$4</f>
        <v>87333.141720000014</v>
      </c>
      <c r="BIK29" s="699"/>
      <c r="BIL29" s="700">
        <f>BIK29/BII29</f>
        <v>0</v>
      </c>
      <c r="BIM29" s="579">
        <f>BHK29+BHO29+BHS29+BHW29+BIA29+BIE29+BII29</f>
        <v>426848.2</v>
      </c>
      <c r="BIN29" s="574">
        <f>BHL29+BHP29+BHT29+BHX29+BIB29+BIF29+BIJ29</f>
        <v>396968.82600000006</v>
      </c>
      <c r="BIO29" s="730">
        <f>BHM29+BHQ29+BHU29+BHY29+BIC29+BIG29+BIK29</f>
        <v>0</v>
      </c>
      <c r="BIP29" s="711">
        <f>BIO29/BIM29</f>
        <v>0</v>
      </c>
      <c r="BIQ29" s="593">
        <f>'Proy 2022 vs 2019 sem'!KK28*BIT$4</f>
        <v>56103.356399999997</v>
      </c>
      <c r="BIR29" s="593">
        <f>'Proy 2022 vs 2019 sem'!KL28*BIT$4</f>
        <v>52176.121451999999</v>
      </c>
      <c r="BIS29" s="699"/>
      <c r="BIT29" s="700">
        <f>BIS29/BIQ29</f>
        <v>0</v>
      </c>
      <c r="BIU29" s="593">
        <f>'Proy 2022 vs 2019 sem'!KK28*BIX$4</f>
        <v>56103.356399999997</v>
      </c>
      <c r="BIV29" s="593">
        <f>'Proy 2022 vs 2019 sem'!KL28*BIX$4</f>
        <v>52176.121451999999</v>
      </c>
      <c r="BIW29" s="699"/>
      <c r="BIX29" s="700">
        <f>BIW29/BIU29</f>
        <v>0</v>
      </c>
      <c r="BIY29" s="593">
        <f>'Proy 2022 vs 2019 sem'!KK28*BJB$4</f>
        <v>56103.356399999997</v>
      </c>
      <c r="BIZ29" s="593">
        <f>'Proy 2022 vs 2019 sem'!KL28*BJB$4</f>
        <v>52176.121451999999</v>
      </c>
      <c r="BJA29" s="699"/>
      <c r="BJB29" s="700">
        <f>BJA29/BIY29</f>
        <v>0</v>
      </c>
      <c r="BJC29" s="593">
        <f>'Proy 2022 vs 2019 sem'!KK28*BJF$4</f>
        <v>56103.356399999997</v>
      </c>
      <c r="BJD29" s="593">
        <f>'Proy 2022 vs 2019 sem'!KL28*BJF$4</f>
        <v>52176.121451999999</v>
      </c>
      <c r="BJE29" s="699"/>
      <c r="BJF29" s="700">
        <f>BJE29/BJC29</f>
        <v>0</v>
      </c>
      <c r="BJG29" s="593">
        <f>'Proy 2022 vs 2019 sem'!KK28*BJJ$4</f>
        <v>65453.915800000002</v>
      </c>
      <c r="BJH29" s="593">
        <f>'Proy 2022 vs 2019 sem'!KL28*BJJ$4</f>
        <v>60872.141694000005</v>
      </c>
      <c r="BJI29" s="699"/>
      <c r="BJJ29" s="700">
        <f>BJI29/BJG29</f>
        <v>0</v>
      </c>
      <c r="BJK29" s="593">
        <f>'Proy 2022 vs 2019 sem'!KK28*BJN$4</f>
        <v>74804.475200000001</v>
      </c>
      <c r="BJL29" s="593">
        <f>'Proy 2022 vs 2019 sem'!KL28*BJN$4</f>
        <v>69568.161936000004</v>
      </c>
      <c r="BJM29" s="699"/>
      <c r="BJN29" s="700">
        <f>BJM29/BJK29</f>
        <v>0</v>
      </c>
      <c r="BJO29" s="593">
        <f>'Proy 2022 vs 2019 sem'!KK28*BJR$4</f>
        <v>102856.1534</v>
      </c>
      <c r="BJP29" s="593">
        <f>'Proy 2022 vs 2019 sem'!KL28*BJR$4</f>
        <v>95656.222662</v>
      </c>
      <c r="BJQ29" s="699"/>
      <c r="BJR29" s="700">
        <f>BJQ29/BJO29</f>
        <v>0</v>
      </c>
      <c r="BJS29" s="579">
        <f>BIQ29+BIU29+BIY29+BJC29+BJG29+BJK29+BJO29</f>
        <v>467527.97</v>
      </c>
      <c r="BJT29" s="574">
        <f>BIR29+BIV29+BIZ29+BJD29+BJH29+BJL29+BJP29</f>
        <v>434801.01209999999</v>
      </c>
      <c r="BJU29" s="710">
        <f>BIS29+BIW29+BJA29+BJE29+BJI29+BJM29+BJQ29</f>
        <v>0</v>
      </c>
      <c r="BJV29" s="711">
        <f>BJU29/BJS29</f>
        <v>0</v>
      </c>
      <c r="BJW29" s="593">
        <f>'Proy 2022 vs 2019 sem'!KP28*BJZ$4</f>
        <v>24027.153599999998</v>
      </c>
      <c r="BJX29" s="593">
        <f>'Proy 2022 vs 2019 sem'!KQ28*BJZ$4</f>
        <v>22825.795919999997</v>
      </c>
      <c r="BJY29" s="699"/>
      <c r="BJZ29" s="700">
        <f>BJY29/BJW29</f>
        <v>0</v>
      </c>
      <c r="BKA29" s="593">
        <f>'Proy 2022 vs 2019 sem'!KP28*BKD$4</f>
        <v>24027.153599999998</v>
      </c>
      <c r="BKB29" s="593">
        <f>'Proy 2022 vs 2019 sem'!KQ28*BKD$4</f>
        <v>22825.795919999997</v>
      </c>
      <c r="BKC29" s="699"/>
      <c r="BKD29" s="700">
        <f>BKC29/BKA29</f>
        <v>0</v>
      </c>
      <c r="BKE29" s="593">
        <f>'Proy 2022 vs 2019 sem'!KP28*BKH$4</f>
        <v>24027.153599999998</v>
      </c>
      <c r="BKF29" s="593">
        <f>'Proy 2022 vs 2019 sem'!KQ28*BKH$4</f>
        <v>22825.795919999997</v>
      </c>
      <c r="BKG29" s="699"/>
      <c r="BKH29" s="700">
        <f>BKG29/BKE29</f>
        <v>0</v>
      </c>
      <c r="BKI29" s="593">
        <f>'Proy 2022 vs 2019 sem'!KP28*BKL$4</f>
        <v>24027.153599999998</v>
      </c>
      <c r="BKJ29" s="593">
        <f>'Proy 2022 vs 2019 sem'!KQ28*BKL$4</f>
        <v>22825.795919999997</v>
      </c>
      <c r="BKK29" s="699"/>
      <c r="BKL29" s="700">
        <f>BKK29/BKI29</f>
        <v>0</v>
      </c>
      <c r="BKM29" s="593">
        <f>'Proy 2022 vs 2019 sem'!KP28*BKP$4</f>
        <v>28031.679200000002</v>
      </c>
      <c r="BKN29" s="593">
        <f>'Proy 2022 vs 2019 sem'!KQ28*BKP$4</f>
        <v>26630.095239999999</v>
      </c>
      <c r="BKO29" s="699"/>
      <c r="BKP29" s="700">
        <f>BKO29/BKM29</f>
        <v>0</v>
      </c>
      <c r="BKQ29" s="593">
        <f>'Proy 2022 vs 2019 sem'!KP28*BKT$4</f>
        <v>32036.2048</v>
      </c>
      <c r="BKR29" s="593">
        <f>'Proy 2022 vs 2019 sem'!KQ28*BKT$4</f>
        <v>30434.394559999997</v>
      </c>
      <c r="BKS29" s="699"/>
      <c r="BKT29" s="700">
        <f>BKS29/BKQ29</f>
        <v>0</v>
      </c>
      <c r="BKU29" s="593">
        <f>'Proy 2022 vs 2019 sem'!KP28*BKX$4</f>
        <v>44049.781600000002</v>
      </c>
      <c r="BKV29" s="593">
        <f>'Proy 2022 vs 2019 sem'!KQ28*BKX$4</f>
        <v>41847.292519999995</v>
      </c>
      <c r="BKW29" s="699"/>
      <c r="BKX29" s="700">
        <f>BKW29/BKU29</f>
        <v>0</v>
      </c>
      <c r="BKY29" s="579">
        <f>BJW29+BKA29+BKE29+BKI29+BKM29+BKQ29+BKU29</f>
        <v>200226.27999999997</v>
      </c>
      <c r="BKZ29" s="574">
        <f>BJX29+BKB29+BKF29+BKJ29+BKN29+BKR29+BKV29</f>
        <v>190214.96599999996</v>
      </c>
      <c r="BLA29" s="710">
        <f>BJY29+BKC29+BKG29+BKK29+BKO29+BKS29+BKW29</f>
        <v>0</v>
      </c>
      <c r="BLB29" s="711">
        <f>BLA29/BKY29</f>
        <v>0</v>
      </c>
    </row>
    <row r="30" spans="2:1666" ht="19.5" customHeight="1">
      <c r="B30" s="930" t="s">
        <v>229</v>
      </c>
      <c r="C30" s="593">
        <f>'Proy 2022 vs 2019 sem'!$C$6*$F$4</f>
        <v>9529.1268</v>
      </c>
      <c r="D30" s="593">
        <f>'Proy 2022 vs 2019 sem'!$D$6*$F$4</f>
        <v>8480.9228519999997</v>
      </c>
      <c r="E30" s="735"/>
      <c r="F30" s="700">
        <f>E30/C30</f>
        <v>0</v>
      </c>
      <c r="G30" s="1414">
        <f>'Proy 2022 vs 2019 sem'!C29*$J$4</f>
        <v>21466.072799999998</v>
      </c>
      <c r="H30" s="593">
        <f>'Proy 2022 vs 2019 sem'!D29*$J$4</f>
        <v>19104.804791999999</v>
      </c>
      <c r="I30" s="735"/>
      <c r="J30" s="700">
        <f>I30/G30</f>
        <v>0</v>
      </c>
      <c r="K30" s="593">
        <f>'Proy 2022 vs 2019 sem'!C29*$N$4</f>
        <v>21466.072799999998</v>
      </c>
      <c r="L30" s="593">
        <f>'Proy 2022 vs 2019 sem'!D29*N$4</f>
        <v>19104.804791999999</v>
      </c>
      <c r="M30" s="735"/>
      <c r="N30" s="700">
        <f>M30/K30</f>
        <v>0</v>
      </c>
      <c r="O30" s="593">
        <f>'Proy 2022 vs 2019 sem'!C29*R$4</f>
        <v>21466.072799999998</v>
      </c>
      <c r="P30" s="593">
        <f>'Proy 2022 vs 2019 sem'!D29*$R$4</f>
        <v>19104.804791999999</v>
      </c>
      <c r="Q30" s="735"/>
      <c r="R30" s="700">
        <f>Q30/O30</f>
        <v>0</v>
      </c>
      <c r="S30" s="593">
        <f>'Proy 2022 vs 2019 sem'!C29*V$4</f>
        <v>25043.751600000003</v>
      </c>
      <c r="T30" s="593">
        <f>'Proy 2022 vs 2019 sem'!D29*V$4</f>
        <v>22288.938924000002</v>
      </c>
      <c r="U30" s="735"/>
      <c r="V30" s="700">
        <f>U30/S30</f>
        <v>0</v>
      </c>
      <c r="W30" s="593">
        <f>'Proy 2022 vs 2019 sem'!C29*Z$4</f>
        <v>28621.430400000001</v>
      </c>
      <c r="X30" s="593">
        <f>'Proy 2022 vs 2019 sem'!D29*Z$4</f>
        <v>25473.073056000001</v>
      </c>
      <c r="Y30" s="735"/>
      <c r="Z30" s="700">
        <f>Y30/W30</f>
        <v>0</v>
      </c>
      <c r="AA30" s="593">
        <f>'Proy 2022 vs 2019 sem'!C29*AD$4</f>
        <v>39354.466800000002</v>
      </c>
      <c r="AB30" s="593">
        <f>'Proy 2022 vs 2019 sem'!D29*AD$4</f>
        <v>35025.475451999999</v>
      </c>
      <c r="AC30" s="735"/>
      <c r="AD30" s="700">
        <f>AC30/AA30</f>
        <v>0</v>
      </c>
      <c r="AE30" s="579">
        <f>C30+G30+K30+O30+S30+W30+AA30</f>
        <v>166946.99400000001</v>
      </c>
      <c r="AF30" s="574">
        <f>D30+H30+L30+P30+T30+X30+AB30</f>
        <v>148582.82465999998</v>
      </c>
      <c r="AG30" s="729">
        <f>E30+I30+M30+Q30+U30+Y30+AC30</f>
        <v>0</v>
      </c>
      <c r="AH30" s="711">
        <f>AG30/AE30</f>
        <v>0</v>
      </c>
      <c r="AI30" s="593">
        <f>'Proy 2022 vs 2019 sem'!H29*AL$4</f>
        <v>24735.783599999999</v>
      </c>
      <c r="AJ30" s="611">
        <f>'Proy 2022 vs 2019 sem'!I29*AL$4</f>
        <v>22014.847403999996</v>
      </c>
      <c r="AK30" s="699"/>
      <c r="AL30" s="700">
        <f>AK30/AI30</f>
        <v>0</v>
      </c>
      <c r="AM30" s="593">
        <f>'Proy 2022 vs 2019 sem'!H29*AP$4</f>
        <v>24735.783599999999</v>
      </c>
      <c r="AN30" s="593">
        <f>'Proy 2022 vs 2019 sem'!I29*AP$4</f>
        <v>22014.847403999996</v>
      </c>
      <c r="AO30" s="699"/>
      <c r="AP30" s="700">
        <f>AO30/AM30</f>
        <v>0</v>
      </c>
      <c r="AQ30" s="593">
        <f>'Proy 2022 vs 2019 sem'!H29*AT$4</f>
        <v>24735.783599999999</v>
      </c>
      <c r="AR30" s="593">
        <f>'Proy 2022 vs 2019 sem'!I29*AT$4</f>
        <v>22014.847403999996</v>
      </c>
      <c r="AS30" s="699"/>
      <c r="AT30" s="700">
        <f>AS30/AQ30</f>
        <v>0</v>
      </c>
      <c r="AU30" s="593">
        <f>'Proy 2022 vs 2019 sem'!H29*AX$4</f>
        <v>24735.783599999999</v>
      </c>
      <c r="AV30" s="593">
        <f>'Proy 2022 vs 2019 sem'!I29*AX$4</f>
        <v>22014.847403999996</v>
      </c>
      <c r="AW30" s="699"/>
      <c r="AX30" s="700">
        <f>AW30/AU30</f>
        <v>0</v>
      </c>
      <c r="AY30" s="593">
        <f>'Proy 2022 vs 2019 sem'!H29*BB$4</f>
        <v>28858.414200000003</v>
      </c>
      <c r="AZ30" s="593">
        <f>'Proy 2022 vs 2019 sem'!I29*BB$4</f>
        <v>25683.988638000003</v>
      </c>
      <c r="BA30" s="699"/>
      <c r="BB30" s="700">
        <f>BA30/AY30</f>
        <v>0</v>
      </c>
      <c r="BC30" s="593">
        <f>'Proy 2022 vs 2019 sem'!H29*BF$4</f>
        <v>32981.044800000003</v>
      </c>
      <c r="BD30" s="593">
        <f>'Proy 2022 vs 2019 sem'!I29*BF$4</f>
        <v>29353.129871999998</v>
      </c>
      <c r="BE30" s="699"/>
      <c r="BF30" s="700">
        <f>BE30/BC30</f>
        <v>0</v>
      </c>
      <c r="BG30" s="593">
        <f>'Proy 2022 vs 2019 sem'!H29*BJ$4</f>
        <v>45348.936600000001</v>
      </c>
      <c r="BH30" s="593">
        <f>'Proy 2022 vs 2019 sem'!I29*BJ$4</f>
        <v>40360.553573999998</v>
      </c>
      <c r="BI30" s="699"/>
      <c r="BJ30" s="700">
        <f>BI30/BG30</f>
        <v>0</v>
      </c>
      <c r="BK30" s="579">
        <f>AI30+AM30+AQ30+AU30+AY30+BC30+BG30</f>
        <v>206131.53000000003</v>
      </c>
      <c r="BL30" s="574">
        <f>AJ30+AN30+AR30+AV30+AZ30+BD30+BH30</f>
        <v>183457.06169999996</v>
      </c>
      <c r="BM30" s="730">
        <f>AK30+AO30+AS30+AW30+BA30+BE30+BI30</f>
        <v>0</v>
      </c>
      <c r="BN30" s="711">
        <f>BM30/BK30</f>
        <v>0</v>
      </c>
      <c r="BO30" s="593">
        <f>'Proy 2022 vs 2019 sem'!M29*BR$4</f>
        <v>22338.992399999999</v>
      </c>
      <c r="BP30" s="593">
        <f>'Proy 2022 vs 2019 sem'!N29*BR$4</f>
        <v>20105.09316</v>
      </c>
      <c r="BQ30" s="699"/>
      <c r="BR30" s="700">
        <f>BQ30/BO30</f>
        <v>0</v>
      </c>
      <c r="BS30" s="593">
        <f>'Proy 2022 vs 2019 sem'!M29*BV$4</f>
        <v>22338.992399999999</v>
      </c>
      <c r="BT30" s="593">
        <f>'Proy 2022 vs 2019 sem'!N29*BV$4</f>
        <v>20105.09316</v>
      </c>
      <c r="BU30" s="699"/>
      <c r="BV30" s="700">
        <f>BU30/BS30</f>
        <v>0</v>
      </c>
      <c r="BW30" s="593">
        <f>'Proy 2022 vs 2019 sem'!M29*BZ$4</f>
        <v>22338.992399999999</v>
      </c>
      <c r="BX30" s="593">
        <f>'Proy 2022 vs 2019 sem'!N29*BZ$4</f>
        <v>20105.09316</v>
      </c>
      <c r="BY30" s="699"/>
      <c r="BZ30" s="700">
        <f>BY30/BW30</f>
        <v>0</v>
      </c>
      <c r="CA30" s="593">
        <f>'Proy 2022 vs 2019 sem'!M29*CD$4</f>
        <v>22338.992399999999</v>
      </c>
      <c r="CB30" s="593">
        <f>'Proy 2022 vs 2019 sem'!N29*CD$4</f>
        <v>20105.09316</v>
      </c>
      <c r="CC30" s="699"/>
      <c r="CD30" s="700">
        <f>CC30/CA30</f>
        <v>0</v>
      </c>
      <c r="CE30" s="593">
        <f>'Proy 2022 vs 2019 sem'!M29*CH$4</f>
        <v>26062.157800000001</v>
      </c>
      <c r="CF30" s="593">
        <f>'Proy 2022 vs 2019 sem'!N29*CH$4</f>
        <v>23455.942020000002</v>
      </c>
      <c r="CG30" s="699"/>
      <c r="CH30" s="700">
        <f>CG30/CE30</f>
        <v>0</v>
      </c>
      <c r="CI30" s="593">
        <f>'Proy 2022 vs 2019 sem'!M29*CL$4</f>
        <v>29785.323199999999</v>
      </c>
      <c r="CJ30" s="593">
        <f>'Proy 2022 vs 2019 sem'!N29*CL$4</f>
        <v>26806.79088</v>
      </c>
      <c r="CK30" s="699"/>
      <c r="CL30" s="700">
        <f>CK30/CI30</f>
        <v>0</v>
      </c>
      <c r="CM30" s="593">
        <f>'Proy 2022 vs 2019 sem'!M29*CP$4</f>
        <v>40954.8194</v>
      </c>
      <c r="CN30" s="593">
        <f>'Proy 2022 vs 2019 sem'!N29*CP$4</f>
        <v>36859.337460000002</v>
      </c>
      <c r="CO30" s="699"/>
      <c r="CP30" s="700">
        <f>CO30/CM30</f>
        <v>0</v>
      </c>
      <c r="CQ30" s="579">
        <f>BO30+BS30+BW30+CA30+CE30+CI30+CM30</f>
        <v>186158.27</v>
      </c>
      <c r="CR30" s="574">
        <f>BP30+BT30+BX30+CB30+CF30+CJ30+CN30</f>
        <v>167542.443</v>
      </c>
      <c r="CS30" s="730">
        <f>BQ30+BU30+BY30+CC30+CG30+CK30+CO30</f>
        <v>0</v>
      </c>
      <c r="CT30" s="711">
        <f>CS30/CQ30</f>
        <v>0</v>
      </c>
      <c r="CU30" s="593">
        <f>'Proy 2022 vs 2019 sem'!R29*CX$4</f>
        <v>21556.127999999997</v>
      </c>
      <c r="CV30" s="593">
        <f>'Proy 2022 vs 2019 sem'!S29*CX$4</f>
        <v>19400.515199999998</v>
      </c>
      <c r="CW30" s="699"/>
      <c r="CX30" s="700">
        <f>CW30/CU30</f>
        <v>0</v>
      </c>
      <c r="CY30" s="593">
        <f>'Proy 2022 vs 2019 sem'!R29*DB$4</f>
        <v>21556.127999999997</v>
      </c>
      <c r="CZ30" s="593">
        <f>'Proy 2022 vs 2019 sem'!S29*DB$4</f>
        <v>19400.515199999998</v>
      </c>
      <c r="DA30" s="699"/>
      <c r="DB30" s="700">
        <f>DA30/CY30</f>
        <v>0</v>
      </c>
      <c r="DC30" s="593">
        <f>'Proy 2022 vs 2019 sem'!R29*DF$4</f>
        <v>21556.127999999997</v>
      </c>
      <c r="DD30" s="593">
        <f>'Proy 2022 vs 2019 sem'!S29*DF$4</f>
        <v>19400.515199999998</v>
      </c>
      <c r="DE30" s="699"/>
      <c r="DF30" s="700">
        <f>DE30/DC30</f>
        <v>0</v>
      </c>
      <c r="DG30" s="593">
        <f>'Proy 2022 vs 2019 sem'!R29*DJ$4</f>
        <v>21556.127999999997</v>
      </c>
      <c r="DH30" s="593">
        <f>'Proy 2022 vs 2019 sem'!S29*DJ$4</f>
        <v>19400.515199999998</v>
      </c>
      <c r="DI30" s="699"/>
      <c r="DJ30" s="700">
        <f>DI30/DG30</f>
        <v>0</v>
      </c>
      <c r="DK30" s="593">
        <f>'Proy 2022 vs 2019 sem'!R29*DN$4</f>
        <v>25148.816000000003</v>
      </c>
      <c r="DL30" s="593">
        <f>'Proy 2022 vs 2019 sem'!S29*DN$4</f>
        <v>22633.934400000002</v>
      </c>
      <c r="DM30" s="699"/>
      <c r="DN30" s="700">
        <f>DM30/DK30</f>
        <v>0</v>
      </c>
      <c r="DO30" s="593">
        <f>'Proy 2022 vs 2019 sem'!R29*DR$4</f>
        <v>28741.504000000001</v>
      </c>
      <c r="DP30" s="593">
        <f>'Proy 2022 vs 2019 sem'!S29*DR$4</f>
        <v>25867.353599999999</v>
      </c>
      <c r="DQ30" s="699"/>
      <c r="DR30" s="700">
        <f>DQ30/DO30</f>
        <v>0</v>
      </c>
      <c r="DS30" s="593">
        <f>'Proy 2022 vs 2019 sem'!R29*DV$4</f>
        <v>39519.567999999999</v>
      </c>
      <c r="DT30" s="593">
        <f>'Proy 2022 vs 2019 sem'!S29*DV$4</f>
        <v>35567.611199999999</v>
      </c>
      <c r="DU30" s="699"/>
      <c r="DV30" s="700">
        <f>DU30/DS30</f>
        <v>0</v>
      </c>
      <c r="DW30" s="579">
        <f>CU30+CY30+DC30+DG30+DK30+DO30+DS30</f>
        <v>179634.4</v>
      </c>
      <c r="DX30" s="574">
        <f>CV30+CZ30+DD30+DH30+DL30+DP30+DT30</f>
        <v>161670.96</v>
      </c>
      <c r="DY30" s="710">
        <f>CW30+DA30+DE30+DI30+DM30+DQ30+DU30</f>
        <v>0</v>
      </c>
      <c r="DZ30" s="711">
        <f>DY30/DW30</f>
        <v>0</v>
      </c>
      <c r="EA30" s="593">
        <f>'Proy 2022 vs 2019 sem'!AA29*ED$4</f>
        <v>22419.18</v>
      </c>
      <c r="EB30" s="593">
        <f>'Proy 2022 vs 2019 sem'!AB29*ED$4</f>
        <v>19953.070199999998</v>
      </c>
      <c r="EC30" s="735"/>
      <c r="ED30" s="700">
        <f>EC30/EA30</f>
        <v>0</v>
      </c>
      <c r="EE30" s="593">
        <f>'Proy 2022 vs 2019 sem'!AA29*EH$4</f>
        <v>22419.18</v>
      </c>
      <c r="EF30" s="593">
        <f>'Proy 2022 vs 2019 sem'!AB29*EH$4</f>
        <v>19953.070199999998</v>
      </c>
      <c r="EG30" s="699"/>
      <c r="EH30" s="700">
        <f>EG30/EE30</f>
        <v>0</v>
      </c>
      <c r="EI30" s="593">
        <f>'Proy 2022 vs 2019 sem'!AA29*EL$4</f>
        <v>22419.18</v>
      </c>
      <c r="EJ30" s="593">
        <f>'Proy 2022 vs 2019 sem'!AB29*EL$4</f>
        <v>19953.070199999998</v>
      </c>
      <c r="EK30" s="699"/>
      <c r="EL30" s="700">
        <f>EK30/EI30</f>
        <v>0</v>
      </c>
      <c r="EM30" s="593">
        <f>'Proy 2022 vs 2019 sem'!AA29*EP$4</f>
        <v>22419.18</v>
      </c>
      <c r="EN30" s="593">
        <f>'Proy 2022 vs 2019 sem'!AB29*EP$4</f>
        <v>19953.070199999998</v>
      </c>
      <c r="EO30" s="699"/>
      <c r="EP30" s="700">
        <f>EO30/EM30</f>
        <v>0</v>
      </c>
      <c r="EQ30" s="593">
        <f>'Proy 2022 vs 2019 sem'!AA29*ET$4</f>
        <v>26155.710000000003</v>
      </c>
      <c r="ER30" s="593">
        <f>'Proy 2022 vs 2019 sem'!AB29*ET$4</f>
        <v>23278.581900000001</v>
      </c>
      <c r="ES30" s="699"/>
      <c r="ET30" s="700">
        <f>ES30/EQ30</f>
        <v>0</v>
      </c>
      <c r="EU30" s="593">
        <f>'Proy 2022 vs 2019 sem'!AA29*EX$4</f>
        <v>29892.240000000002</v>
      </c>
      <c r="EV30" s="593">
        <f>'Proy 2022 vs 2019 sem'!AB29*EX$4</f>
        <v>26604.0936</v>
      </c>
      <c r="EW30" s="699"/>
      <c r="EX30" s="700">
        <f>EW30/EU30</f>
        <v>0</v>
      </c>
      <c r="EY30" s="593">
        <f>'Proy 2022 vs 2019 sem'!AA29*FB$4</f>
        <v>41101.83</v>
      </c>
      <c r="EZ30" s="593">
        <f>'Proy 2022 vs 2019 sem'!AB29*FB$4</f>
        <v>36580.628700000001</v>
      </c>
      <c r="FA30" s="699"/>
      <c r="FB30" s="700">
        <f>FA30/EY30</f>
        <v>0</v>
      </c>
      <c r="FC30" s="579">
        <f>EA30+EE30+EI30+EM30+EQ30+EU30+EY30</f>
        <v>186826.5</v>
      </c>
      <c r="FD30" s="574">
        <f>EB30+EF30+EJ30+EN30+ER30+EV30+EZ30</f>
        <v>166275.58499999999</v>
      </c>
      <c r="FE30" s="793">
        <f>EC30+EG30+EK30+EO30+ES30+EW30+FA30</f>
        <v>0</v>
      </c>
      <c r="FF30" s="786">
        <f>FE30/FC30</f>
        <v>0</v>
      </c>
      <c r="FG30" s="593">
        <f>'Proy 2022 vs 2019 sem'!AF29*FJ$4</f>
        <v>28864.3956</v>
      </c>
      <c r="FH30" s="593">
        <f>'Proy 2022 vs 2019 sem'!AG29*FJ$4</f>
        <v>25689.312084000001</v>
      </c>
      <c r="FI30" s="699"/>
      <c r="FJ30" s="700">
        <f>FI30/FG30</f>
        <v>0</v>
      </c>
      <c r="FK30" s="593">
        <f>'Proy 2022 vs 2019 sem'!AF29*FN$4</f>
        <v>28864.3956</v>
      </c>
      <c r="FL30" s="593">
        <f>'Proy 2022 vs 2019 sem'!AG29*FN$4</f>
        <v>25689.312084000001</v>
      </c>
      <c r="FM30" s="699"/>
      <c r="FN30" s="700">
        <f>FM30/FK30</f>
        <v>0</v>
      </c>
      <c r="FO30" s="593">
        <f>'Proy 2022 vs 2019 sem'!AF29*FR$4</f>
        <v>28864.3956</v>
      </c>
      <c r="FP30" s="593">
        <f>'Proy 2022 vs 2019 sem'!AG29*FR$4</f>
        <v>25689.312084000001</v>
      </c>
      <c r="FQ30" s="699"/>
      <c r="FR30" s="700">
        <f>FQ30/FO30</f>
        <v>0</v>
      </c>
      <c r="FS30" s="593">
        <f>'Proy 2022 vs 2019 sem'!AF29*FV$4</f>
        <v>28864.3956</v>
      </c>
      <c r="FT30" s="593">
        <f>'Proy 2022 vs 2019 sem'!AG29*FV$4</f>
        <v>25689.312084000001</v>
      </c>
      <c r="FU30" s="699"/>
      <c r="FV30" s="700">
        <f>FU30/FS30</f>
        <v>0</v>
      </c>
      <c r="FW30" s="593">
        <f>'Proy 2022 vs 2019 sem'!AF29*FZ$4</f>
        <v>33675.128200000006</v>
      </c>
      <c r="FX30" s="593">
        <f>'Proy 2022 vs 2019 sem'!AG29*FZ$4</f>
        <v>29970.864098000005</v>
      </c>
      <c r="FY30" s="699"/>
      <c r="FZ30" s="700">
        <f>FY30/FW30</f>
        <v>0</v>
      </c>
      <c r="GA30" s="593">
        <f>'Proy 2022 vs 2019 sem'!AF29*GD$4</f>
        <v>38485.860800000002</v>
      </c>
      <c r="GB30" s="593">
        <f>'Proy 2022 vs 2019 sem'!AG29*GD$4</f>
        <v>34252.416111999999</v>
      </c>
      <c r="GC30" s="699"/>
      <c r="GD30" s="700">
        <f>GC30/GA30</f>
        <v>0</v>
      </c>
      <c r="GE30" s="593">
        <f>'Proy 2022 vs 2019 sem'!AF29*GH$4</f>
        <v>52918.058600000004</v>
      </c>
      <c r="GF30" s="593">
        <f>'Proy 2022 vs 2019 sem'!AG29*GH$4</f>
        <v>47097.072154000001</v>
      </c>
      <c r="GG30" s="699"/>
      <c r="GH30" s="700">
        <f>GG30/GE30</f>
        <v>0</v>
      </c>
      <c r="GI30" s="579">
        <f>FG30+FK30+FO30+FS30+FW30+GA30+GE30</f>
        <v>240536.63</v>
      </c>
      <c r="GJ30" s="574">
        <f>FH30+FL30+FP30+FT30+FX30+GB30+GF30</f>
        <v>214077.60070000001</v>
      </c>
      <c r="GK30" s="794">
        <f>FI30+FM30+FQ30+FU30+FY30+GC30+GG30</f>
        <v>0</v>
      </c>
      <c r="GL30" s="786">
        <f>GK30/GI30</f>
        <v>0</v>
      </c>
      <c r="GM30" s="593">
        <f>'Proy 2022 vs 2019 sem'!AK29*GP$4</f>
        <v>17648.2644</v>
      </c>
      <c r="GN30" s="593">
        <f>'Proy 2022 vs 2019 sem'!AL29*GP$4</f>
        <v>15883.437960000001</v>
      </c>
      <c r="GO30" s="699"/>
      <c r="GP30" s="700">
        <f>GO30/GM30</f>
        <v>0</v>
      </c>
      <c r="GQ30" s="593">
        <f>'Proy 2022 vs 2019 sem'!AK29*GT$4</f>
        <v>17648.2644</v>
      </c>
      <c r="GR30" s="593">
        <f>'Proy 2022 vs 2019 sem'!AL29*GT$4</f>
        <v>15883.437960000001</v>
      </c>
      <c r="GS30" s="699"/>
      <c r="GT30" s="700">
        <f>GS30/GQ30</f>
        <v>0</v>
      </c>
      <c r="GU30" s="593">
        <f>'Proy 2022 vs 2019 sem'!AK29*GX$4</f>
        <v>17648.2644</v>
      </c>
      <c r="GV30" s="593">
        <f>'Proy 2022 vs 2019 sem'!AL29*GX$4</f>
        <v>15883.437960000001</v>
      </c>
      <c r="GW30" s="699"/>
      <c r="GX30" s="700">
        <f>GW30/GU30</f>
        <v>0</v>
      </c>
      <c r="GY30" s="593">
        <f>'Proy 2022 vs 2019 sem'!AK29*HB$4</f>
        <v>17648.2644</v>
      </c>
      <c r="GZ30" s="593">
        <f>'Proy 2022 vs 2019 sem'!AL29*HB$4</f>
        <v>15883.437960000001</v>
      </c>
      <c r="HA30" s="699"/>
      <c r="HB30" s="700">
        <f>HA30/GY30</f>
        <v>0</v>
      </c>
      <c r="HC30" s="593">
        <f>'Proy 2022 vs 2019 sem'!AK29*HF$4</f>
        <v>20589.641800000001</v>
      </c>
      <c r="HD30" s="593">
        <f>'Proy 2022 vs 2019 sem'!AL29*HF$4</f>
        <v>18530.677620000002</v>
      </c>
      <c r="HE30" s="699"/>
      <c r="HF30" s="700">
        <f>HE30/HC30</f>
        <v>0</v>
      </c>
      <c r="HG30" s="593">
        <f>'Proy 2022 vs 2019 sem'!AK29*HJ$4</f>
        <v>23531.019199999999</v>
      </c>
      <c r="HH30" s="593">
        <f>'Proy 2022 vs 2019 sem'!AL29*HJ$4</f>
        <v>21177.917280000001</v>
      </c>
      <c r="HI30" s="699"/>
      <c r="HJ30" s="700">
        <f>HI30/HG30</f>
        <v>0</v>
      </c>
      <c r="HK30" s="593">
        <f>'Proy 2022 vs 2019 sem'!AK29*HN$4</f>
        <v>32355.151399999999</v>
      </c>
      <c r="HL30" s="593">
        <f>'Proy 2022 vs 2019 sem'!AL29*HN$4</f>
        <v>29119.636260000003</v>
      </c>
      <c r="HM30" s="699"/>
      <c r="HN30" s="700">
        <f>HM30/HK30</f>
        <v>0</v>
      </c>
      <c r="HO30" s="579">
        <f>GM30+GQ30+GU30+GY30+HC30+HG30+HK30</f>
        <v>147068.87</v>
      </c>
      <c r="HP30" s="574">
        <f>GN30+GR30+GV30+GZ30+HD30+HH30+HL30</f>
        <v>132361.98300000001</v>
      </c>
      <c r="HQ30" s="794">
        <f>GO30+GS30+GW30+HA30+HE30+HI30+HM30</f>
        <v>0</v>
      </c>
      <c r="HR30" s="786">
        <f>HQ30/HO30</f>
        <v>0</v>
      </c>
      <c r="HS30" s="593">
        <f>'Proy 2022 vs 2019 sem'!AK29*HV$4</f>
        <v>17648.2644</v>
      </c>
      <c r="HT30" s="593">
        <f>'Proy 2022 vs 2019 sem'!AL29*HV$4</f>
        <v>15883.437960000001</v>
      </c>
      <c r="HU30" s="699"/>
      <c r="HV30" s="700">
        <f>HU30/HS30</f>
        <v>0</v>
      </c>
      <c r="HW30" s="593">
        <f>'Proy 2022 vs 2019 sem'!AK29*HZ$4</f>
        <v>17648.2644</v>
      </c>
      <c r="HX30" s="593">
        <f>'Proy 2022 vs 2019 sem'!AL29*HZ$4</f>
        <v>15883.437960000001</v>
      </c>
      <c r="HY30" s="699"/>
      <c r="HZ30" s="700">
        <f>HY30/HW30</f>
        <v>0</v>
      </c>
      <c r="IA30" s="593">
        <f>'Proy 2022 vs 2019 sem'!AK29*ID$4</f>
        <v>17648.2644</v>
      </c>
      <c r="IB30" s="593">
        <f>'Proy 2022 vs 2019 sem'!AL29*ID$4</f>
        <v>15883.437960000001</v>
      </c>
      <c r="IC30" s="699"/>
      <c r="ID30" s="700">
        <f>IC30/IA30</f>
        <v>0</v>
      </c>
      <c r="IE30" s="593">
        <f>'Proy 2022 vs 2019 sem'!AK29*IH$4</f>
        <v>17648.2644</v>
      </c>
      <c r="IF30" s="593">
        <f>'Proy 2022 vs 2019 sem'!AL29*IH$4</f>
        <v>15883.437960000001</v>
      </c>
      <c r="IG30" s="699"/>
      <c r="IH30" s="700">
        <f>IG30/IE30</f>
        <v>0</v>
      </c>
      <c r="II30" s="593">
        <f>'Proy 2022 vs 2019 sem'!AK29*IL$4</f>
        <v>20589.641800000001</v>
      </c>
      <c r="IJ30" s="593">
        <f>'Proy 2022 vs 2019 sem'!AL29*IL$4</f>
        <v>18530.677620000002</v>
      </c>
      <c r="IK30" s="699"/>
      <c r="IL30" s="700">
        <f>IK30/II30</f>
        <v>0</v>
      </c>
      <c r="IM30" s="593">
        <f>'Proy 2022 vs 2019 sem'!AK29*IP$4</f>
        <v>23531.019199999999</v>
      </c>
      <c r="IN30" s="593">
        <f>'Proy 2022 vs 2019 sem'!AL29*IP$4</f>
        <v>21177.917280000001</v>
      </c>
      <c r="IO30" s="699"/>
      <c r="IP30" s="700">
        <f>IO30/IM30</f>
        <v>0</v>
      </c>
      <c r="IQ30" s="593">
        <f>'Proy 2022 vs 2019 sem'!AK29*IT$4</f>
        <v>32355.151399999999</v>
      </c>
      <c r="IR30" s="593">
        <f>'Proy 2022 vs 2019 sem'!AL29*IT$4</f>
        <v>29119.636260000003</v>
      </c>
      <c r="IS30" s="699"/>
      <c r="IT30" s="700">
        <f>IS30/IQ30</f>
        <v>0</v>
      </c>
      <c r="IU30" s="579">
        <f>HS30+HW30+IA30+IE30+II30+IM30+IQ30</f>
        <v>147068.87</v>
      </c>
      <c r="IV30" s="574">
        <f>HT30+HX30+IB30+IF30+IJ30+IN30+IR30</f>
        <v>132361.98300000001</v>
      </c>
      <c r="IW30" s="785">
        <f>HU30+HY30+IC30+IG30+IK30+IO30+IS30</f>
        <v>0</v>
      </c>
      <c r="IX30" s="786">
        <f>IW30/IU30</f>
        <v>0</v>
      </c>
      <c r="IY30" s="593">
        <f>'Proy 2022 vs 2019 sem'!AY29*JB$4</f>
        <v>21572.006399999998</v>
      </c>
      <c r="IZ30" s="593">
        <f>'Proy 2022 vs 2019 sem'!AZ29*JB$4</f>
        <v>19414.805759999999</v>
      </c>
      <c r="JA30" s="735"/>
      <c r="JB30" s="700">
        <f>JA30/IY30</f>
        <v>0</v>
      </c>
      <c r="JC30" s="593">
        <f>'Proy 2022 vs 2019 sem'!AY29*JF$4</f>
        <v>21572.006399999998</v>
      </c>
      <c r="JD30" s="593">
        <f>'Proy 2022 vs 2019 sem'!AZ29*JF$4</f>
        <v>19414.805759999999</v>
      </c>
      <c r="JE30" s="735"/>
      <c r="JF30" s="700">
        <f>JE30/JC30</f>
        <v>0</v>
      </c>
      <c r="JG30" s="593">
        <f>'Proy 2022 vs 2019 sem'!AY29*JJ$4</f>
        <v>21572.006399999998</v>
      </c>
      <c r="JH30" s="593">
        <f>'Proy 2022 vs 2019 sem'!AZ29*JJ$4</f>
        <v>19414.805759999999</v>
      </c>
      <c r="JI30" s="735"/>
      <c r="JJ30" s="700">
        <f>JI30/JG30</f>
        <v>0</v>
      </c>
      <c r="JK30" s="593">
        <f>'Proy 2022 vs 2019 sem'!AY29*JN$4</f>
        <v>21572.006399999998</v>
      </c>
      <c r="JL30" s="593">
        <f>'Proy 2022 vs 2019 sem'!AZ29*JN$4</f>
        <v>19414.805759999999</v>
      </c>
      <c r="JM30" s="735"/>
      <c r="JN30" s="700">
        <f>JM30/JK30</f>
        <v>0</v>
      </c>
      <c r="JO30" s="593">
        <f>'Proy 2022 vs 2019 sem'!AY29*JR$4</f>
        <v>25167.340800000002</v>
      </c>
      <c r="JP30" s="593">
        <f>'Proy 2022 vs 2019 sem'!AZ29*JR$4</f>
        <v>22650.606720000003</v>
      </c>
      <c r="JQ30" s="735"/>
      <c r="JR30" s="700">
        <f>JQ30/JO30</f>
        <v>0</v>
      </c>
      <c r="JS30" s="593">
        <f>'Proy 2022 vs 2019 sem'!AY29*JV$4</f>
        <v>28762.675200000001</v>
      </c>
      <c r="JT30" s="593">
        <f>'Proy 2022 vs 2019 sem'!AZ29*JV$4</f>
        <v>25886.407680000004</v>
      </c>
      <c r="JU30" s="735"/>
      <c r="JV30" s="700">
        <f>JU30/JS30</f>
        <v>0</v>
      </c>
      <c r="JW30" s="593">
        <f>'Proy 2022 vs 2019 sem'!AY29*JZ$4</f>
        <v>39548.678399999997</v>
      </c>
      <c r="JX30" s="593">
        <f>'Proy 2022 vs 2019 sem'!AZ29*JZ$4</f>
        <v>35593.810560000005</v>
      </c>
      <c r="JY30" s="735"/>
      <c r="JZ30" s="700">
        <f>JY30/JW30</f>
        <v>0</v>
      </c>
      <c r="KA30" s="579">
        <f>IY30+JC30+JG30+JK30+JO30+JS30+JW30</f>
        <v>179766.72</v>
      </c>
      <c r="KB30" s="574">
        <f>IZ30+JD30+JH30+JL30+JP30+JT30+JX30</f>
        <v>161790.04800000001</v>
      </c>
      <c r="KC30" s="729">
        <f>JA30+JE30+JI30+JM30+JQ30+JU30+JY30</f>
        <v>0</v>
      </c>
      <c r="KD30" s="711">
        <f>KC30/KA30</f>
        <v>0</v>
      </c>
      <c r="KE30" s="593">
        <f>'Proy 2022 vs 2019 sem'!BD29*KH$4</f>
        <v>25222.789199999999</v>
      </c>
      <c r="KF30" s="593">
        <f>'Proy 2022 vs 2019 sem'!BE29*KH$4</f>
        <v>22700.510279999999</v>
      </c>
      <c r="KG30" s="699"/>
      <c r="KH30" s="700">
        <f>KG30/KE30</f>
        <v>0</v>
      </c>
      <c r="KI30" s="593">
        <f>'Proy 2022 vs 2019 sem'!BD29*KL$4</f>
        <v>25222.789199999999</v>
      </c>
      <c r="KJ30" s="593">
        <f>'Proy 2022 vs 2019 sem'!BE29*KL$4</f>
        <v>22700.510279999999</v>
      </c>
      <c r="KK30" s="699"/>
      <c r="KL30" s="700">
        <f>KK30/KI30</f>
        <v>0</v>
      </c>
      <c r="KM30" s="593">
        <f>'Proy 2022 vs 2019 sem'!BD29*KP$4</f>
        <v>25222.789199999999</v>
      </c>
      <c r="KN30" s="593">
        <f>'Proy 2022 vs 2019 sem'!BE29*KP$4</f>
        <v>22700.510279999999</v>
      </c>
      <c r="KO30" s="699"/>
      <c r="KP30" s="700">
        <f>KO30/KM30</f>
        <v>0</v>
      </c>
      <c r="KQ30" s="593">
        <f>'Proy 2022 vs 2019 sem'!BD29*KT$4</f>
        <v>25222.789199999999</v>
      </c>
      <c r="KR30" s="593">
        <f>'Proy 2022 vs 2019 sem'!BE29*KT$4</f>
        <v>22700.510279999999</v>
      </c>
      <c r="KS30" s="699"/>
      <c r="KT30" s="700">
        <f>KS30/KQ30</f>
        <v>0</v>
      </c>
      <c r="KU30" s="593">
        <f>'Proy 2022 vs 2019 sem'!BD29*KX$4</f>
        <v>29426.587400000004</v>
      </c>
      <c r="KV30" s="593">
        <f>'Proy 2022 vs 2019 sem'!BE29*KX$4</f>
        <v>26483.928660000001</v>
      </c>
      <c r="KW30" s="699"/>
      <c r="KX30" s="700">
        <f>KW30/KU30</f>
        <v>0</v>
      </c>
      <c r="KY30" s="593">
        <f>'Proy 2022 vs 2019 sem'!BD29*LB$4</f>
        <v>33630.385600000001</v>
      </c>
      <c r="KZ30" s="593">
        <f>'Proy 2022 vs 2019 sem'!BE29*LB$4</f>
        <v>30267.347040000001</v>
      </c>
      <c r="LA30" s="699"/>
      <c r="LB30" s="700">
        <f>LA30/KY30</f>
        <v>0</v>
      </c>
      <c r="LC30" s="593">
        <f>'Proy 2022 vs 2019 sem'!BD29*LF$4</f>
        <v>46241.780200000001</v>
      </c>
      <c r="LD30" s="593">
        <f>'Proy 2022 vs 2019 sem'!BE29*LF$4</f>
        <v>41617.602180000002</v>
      </c>
      <c r="LE30" s="699"/>
      <c r="LF30" s="700">
        <f>LE30/LC30</f>
        <v>0</v>
      </c>
      <c r="LG30" s="579">
        <f>KE30+KI30+KM30+KQ30+KU30+KY30+LC30</f>
        <v>210189.91</v>
      </c>
      <c r="LH30" s="574">
        <f>KF30+KJ30+KN30+KR30+KV30+KZ30+LD30</f>
        <v>189170.91899999999</v>
      </c>
      <c r="LI30" s="730">
        <f>KG30+KK30+KO30+KS30+KW30+LA30+LE30</f>
        <v>0</v>
      </c>
      <c r="LJ30" s="711">
        <f>LI30/LG30</f>
        <v>0</v>
      </c>
      <c r="LK30" s="593">
        <f>'Proy 2022 vs 2019 sem'!BI29*LN$4</f>
        <v>29514.110400000001</v>
      </c>
      <c r="LL30" s="593">
        <f>'Proy 2022 vs 2019 sem'!BJ29*LN$4</f>
        <v>26267.558256</v>
      </c>
      <c r="LM30" s="699"/>
      <c r="LN30" s="700">
        <f>LM30/LK30</f>
        <v>0</v>
      </c>
      <c r="LO30" s="593">
        <f>'Proy 2022 vs 2019 sem'!BI29*LR$4</f>
        <v>29514.110400000001</v>
      </c>
      <c r="LP30" s="593">
        <f>'Proy 2022 vs 2019 sem'!BJ29*LR$4</f>
        <v>26267.558256</v>
      </c>
      <c r="LQ30" s="699"/>
      <c r="LR30" s="700">
        <f>LQ30/LO30</f>
        <v>0</v>
      </c>
      <c r="LS30" s="593">
        <f>'Proy 2022 vs 2019 sem'!BI29*LV$4</f>
        <v>29514.110400000001</v>
      </c>
      <c r="LT30" s="593">
        <f>'Proy 2022 vs 2019 sem'!BJ29*LV$4</f>
        <v>26267.558256</v>
      </c>
      <c r="LU30" s="699"/>
      <c r="LV30" s="700">
        <f>LU30/LS30</f>
        <v>0</v>
      </c>
      <c r="LW30" s="593">
        <f>'Proy 2022 vs 2019 sem'!BI29*LZ$4</f>
        <v>29514.110400000001</v>
      </c>
      <c r="LX30" s="593">
        <f>'Proy 2022 vs 2019 sem'!BJ29*LZ$4</f>
        <v>26267.558256</v>
      </c>
      <c r="LY30" s="699"/>
      <c r="LZ30" s="700">
        <f>LY30/LW30</f>
        <v>0</v>
      </c>
      <c r="MA30" s="593">
        <f>'Proy 2022 vs 2019 sem'!BI29*MD$4</f>
        <v>34433.128800000006</v>
      </c>
      <c r="MB30" s="593">
        <f>'Proy 2022 vs 2019 sem'!BJ29*MD$4</f>
        <v>30645.484632000003</v>
      </c>
      <c r="MC30" s="699"/>
      <c r="MD30" s="700">
        <f>MC30/MA30</f>
        <v>0</v>
      </c>
      <c r="ME30" s="593">
        <f>'Proy 2022 vs 2019 sem'!BI29*MH$4</f>
        <v>39352.147199999999</v>
      </c>
      <c r="MF30" s="593">
        <f>'Proy 2022 vs 2019 sem'!BJ29*MH$4</f>
        <v>35023.411008000003</v>
      </c>
      <c r="MG30" s="699"/>
      <c r="MH30" s="700">
        <f>MG30/ME30</f>
        <v>0</v>
      </c>
      <c r="MI30" s="593">
        <f>'Proy 2022 vs 2019 sem'!BI29*ML$4</f>
        <v>54109.202400000002</v>
      </c>
      <c r="MJ30" s="593">
        <f>'Proy 2022 vs 2019 sem'!BJ29*ML$4</f>
        <v>48157.190136000005</v>
      </c>
      <c r="MK30" s="699"/>
      <c r="ML30" s="700">
        <f>MK30/MI30</f>
        <v>0</v>
      </c>
      <c r="MM30" s="579">
        <f>LK30+LO30+LS30+LW30+MA30+ME30+MI30</f>
        <v>245950.92000000004</v>
      </c>
      <c r="MN30" s="574">
        <f>LL30+LP30+LT30+LX30+MB30+MF30+MJ30</f>
        <v>218896.31880000001</v>
      </c>
      <c r="MO30" s="730">
        <f>LM30+LQ30+LU30+LY30+MC30+MG30+MK30</f>
        <v>0</v>
      </c>
      <c r="MP30" s="711">
        <f>MO30/MM30</f>
        <v>0</v>
      </c>
      <c r="MQ30" s="593">
        <f>'Proy 2022 vs 2019 sem'!BN29*MT$4</f>
        <v>25776.002399999998</v>
      </c>
      <c r="MR30" s="593">
        <f>'Proy 2022 vs 2019 sem'!BO29*MT$4</f>
        <v>22425.122087999996</v>
      </c>
      <c r="MS30" s="699"/>
      <c r="MT30" s="700">
        <f>MS30/MQ30</f>
        <v>0</v>
      </c>
      <c r="MU30" s="593">
        <f>'Proy 2022 vs 2019 sem'!BN29*MX$4</f>
        <v>25776.002399999998</v>
      </c>
      <c r="MV30" s="593">
        <f>'Proy 2022 vs 2019 sem'!BO29*MX$4</f>
        <v>22425.122087999996</v>
      </c>
      <c r="MW30" s="699"/>
      <c r="MX30" s="700">
        <f>MW30/MU30</f>
        <v>0</v>
      </c>
      <c r="MY30" s="593">
        <f>'Proy 2022 vs 2019 sem'!BN29*NB$4</f>
        <v>25776.002399999998</v>
      </c>
      <c r="MZ30" s="593">
        <f>'Proy 2022 vs 2019 sem'!BO29*NB$4</f>
        <v>22425.122087999996</v>
      </c>
      <c r="NA30" s="699"/>
      <c r="NB30" s="700">
        <f>NA30/MY30</f>
        <v>0</v>
      </c>
      <c r="NC30" s="593">
        <f>'Proy 2022 vs 2019 sem'!BN29*NF$4</f>
        <v>25776.002399999998</v>
      </c>
      <c r="ND30" s="593">
        <f>'Proy 2022 vs 2019 sem'!BO29*NF$4</f>
        <v>22425.122087999996</v>
      </c>
      <c r="NE30" s="699"/>
      <c r="NF30" s="700">
        <f>NE30/NC30</f>
        <v>0</v>
      </c>
      <c r="NG30" s="593">
        <f>'Proy 2022 vs 2019 sem'!BN29*NJ$4</f>
        <v>30072.002800000002</v>
      </c>
      <c r="NH30" s="593">
        <f>'Proy 2022 vs 2019 sem'!BO29*NJ$4</f>
        <v>26162.642435999998</v>
      </c>
      <c r="NI30" s="699"/>
      <c r="NJ30" s="700">
        <f>NI30/NG30</f>
        <v>0</v>
      </c>
      <c r="NK30" s="593">
        <f>'Proy 2022 vs 2019 sem'!BN29*NN$4</f>
        <v>34368.003199999999</v>
      </c>
      <c r="NL30" s="593">
        <f>'Proy 2022 vs 2019 sem'!BO29*NN$4</f>
        <v>29900.162783999996</v>
      </c>
      <c r="NM30" s="699"/>
      <c r="NN30" s="700">
        <f>NM30/NK30</f>
        <v>0</v>
      </c>
      <c r="NO30" s="593">
        <f>'Proy 2022 vs 2019 sem'!BN29*NR$4</f>
        <v>47256.004399999998</v>
      </c>
      <c r="NP30" s="593">
        <f>'Proy 2022 vs 2019 sem'!BO29*NR$4</f>
        <v>41112.723827999995</v>
      </c>
      <c r="NQ30" s="699"/>
      <c r="NR30" s="700">
        <f>NQ30/NO30</f>
        <v>0</v>
      </c>
      <c r="NS30" s="579">
        <f>MQ30+MU30+MY30+NC30+NG30+NK30+NO30</f>
        <v>214800.02000000002</v>
      </c>
      <c r="NT30" s="574">
        <f>MR30+MV30+MZ30+ND30+NH30+NL30+NP30</f>
        <v>186876.01739999995</v>
      </c>
      <c r="NU30" s="710">
        <f>MS30+MW30+NA30+NE30+NI30+NM30+NQ30</f>
        <v>0</v>
      </c>
      <c r="NV30" s="711">
        <f>NU30/NS30</f>
        <v>0</v>
      </c>
      <c r="NW30" s="593">
        <f>'Proy 2022 vs 2019 sem'!BS29*NZ$4</f>
        <v>28865.143199999999</v>
      </c>
      <c r="NX30" s="593">
        <f>'Proy 2022 vs 2019 sem'!BT29*NZ$4</f>
        <v>25689.977447999998</v>
      </c>
      <c r="NY30" s="699"/>
      <c r="NZ30" s="700">
        <f>NY30/NW30</f>
        <v>0</v>
      </c>
      <c r="OA30" s="593">
        <f>'Proy 2022 vs 2019 sem'!BS29*OD$4</f>
        <v>28865.143199999999</v>
      </c>
      <c r="OB30" s="593">
        <f>'Proy 2022 vs 2019 sem'!BT29*OD$4</f>
        <v>25689.977447999998</v>
      </c>
      <c r="OC30" s="699"/>
      <c r="OD30" s="700">
        <f>OC30/OA30</f>
        <v>0</v>
      </c>
      <c r="OE30" s="593">
        <f>'Proy 2022 vs 2019 sem'!BS29*OH$4</f>
        <v>28865.143199999999</v>
      </c>
      <c r="OF30" s="593">
        <f>'Proy 2022 vs 2019 sem'!BT29*OH$4</f>
        <v>25689.977447999998</v>
      </c>
      <c r="OG30" s="699"/>
      <c r="OH30" s="700">
        <f>OG30/OE30</f>
        <v>0</v>
      </c>
      <c r="OI30" s="593">
        <f>'Proy 2022 vs 2019 sem'!BS29*OL$4</f>
        <v>28865.143199999999</v>
      </c>
      <c r="OJ30" s="593">
        <f>'Proy 2022 vs 2019 sem'!BT29*OL$4</f>
        <v>25689.977447999998</v>
      </c>
      <c r="OK30" s="699"/>
      <c r="OL30" s="700">
        <f>OK30/OI30</f>
        <v>0</v>
      </c>
      <c r="OM30" s="593">
        <f>'Proy 2022 vs 2019 sem'!BS29*OP$4</f>
        <v>33676.000400000004</v>
      </c>
      <c r="ON30" s="593">
        <f>'Proy 2022 vs 2019 sem'!BT29*OP$4</f>
        <v>29971.640356</v>
      </c>
      <c r="OO30" s="699"/>
      <c r="OP30" s="700">
        <f>OO30/OM30</f>
        <v>0</v>
      </c>
      <c r="OQ30" s="593">
        <f>'Proy 2022 vs 2019 sem'!BS29*OT$4</f>
        <v>38486.857599999996</v>
      </c>
      <c r="OR30" s="593">
        <f>'Proy 2022 vs 2019 sem'!BT29*OT$4</f>
        <v>34253.303263999995</v>
      </c>
      <c r="OS30" s="699"/>
      <c r="OT30" s="700">
        <f>OS30/OQ30</f>
        <v>0</v>
      </c>
      <c r="OU30" s="593">
        <f>'Proy 2022 vs 2019 sem'!BS29*OX$4</f>
        <v>52919.429199999999</v>
      </c>
      <c r="OV30" s="593">
        <f>'Proy 2022 vs 2019 sem'!BT29*OX$4</f>
        <v>47098.291987999997</v>
      </c>
      <c r="OW30" s="699"/>
      <c r="OX30" s="700">
        <f>OW30/OU30</f>
        <v>0</v>
      </c>
      <c r="OY30" s="579">
        <f>NW30+OA30+OE30+OI30+OM30+OQ30+OU30</f>
        <v>240542.86</v>
      </c>
      <c r="OZ30" s="574">
        <f>NX30+OB30+OF30+OJ30+ON30+OR30+OV30</f>
        <v>214083.14539999998</v>
      </c>
      <c r="PA30" s="710">
        <f>NY30+OC30+OG30+OK30+OO30+OS30+OW30</f>
        <v>0</v>
      </c>
      <c r="PB30" s="711">
        <f>PA30/OY30</f>
        <v>0</v>
      </c>
      <c r="PC30" s="593">
        <f>'Proy 2022 vs 2019 sem'!CB29*PF$4</f>
        <v>29319.080399999999</v>
      </c>
      <c r="PD30" s="593">
        <f>'Proy 2022 vs 2019 sem'!CC29*PF$4</f>
        <v>26093.981555999999</v>
      </c>
      <c r="PE30" s="735"/>
      <c r="PF30" s="700">
        <f>PE30/PC30</f>
        <v>0</v>
      </c>
      <c r="PG30" s="593">
        <f>'Proy 2022 vs 2019 sem'!CB29*PJ$4</f>
        <v>29319.080399999999</v>
      </c>
      <c r="PH30" s="593">
        <f>'Proy 2022 vs 2019 sem'!CC29*PJ$4</f>
        <v>26093.981555999999</v>
      </c>
      <c r="PI30" s="699"/>
      <c r="PJ30" s="700">
        <f>PI30/PG30</f>
        <v>0</v>
      </c>
      <c r="PK30" s="593">
        <f>'Proy 2022 vs 2019 sem'!CB29*PN$4</f>
        <v>29319.080399999999</v>
      </c>
      <c r="PL30" s="593">
        <f>'Proy 2022 vs 2019 sem'!CC29*PN$4</f>
        <v>26093.981555999999</v>
      </c>
      <c r="PM30" s="699"/>
      <c r="PN30" s="700">
        <f>PM30/PK30</f>
        <v>0</v>
      </c>
      <c r="PO30" s="593">
        <f>'Proy 2022 vs 2019 sem'!CB29*PR$4</f>
        <v>29319.080399999999</v>
      </c>
      <c r="PP30" s="593">
        <f>'Proy 2022 vs 2019 sem'!CC29*PR$4</f>
        <v>26093.981555999999</v>
      </c>
      <c r="PQ30" s="699"/>
      <c r="PR30" s="700">
        <f>PQ30/PO30</f>
        <v>0</v>
      </c>
      <c r="PS30" s="593">
        <f>'Proy 2022 vs 2019 sem'!CB29*PV$4</f>
        <v>34205.593800000002</v>
      </c>
      <c r="PT30" s="593">
        <f>'Proy 2022 vs 2019 sem'!CC29*PV$4</f>
        <v>30442.978482000002</v>
      </c>
      <c r="PU30" s="699"/>
      <c r="PV30" s="700">
        <f>PU30/PS30</f>
        <v>0</v>
      </c>
      <c r="PW30" s="593">
        <f>'Proy 2022 vs 2019 sem'!CB29*PZ$4</f>
        <v>39092.107200000006</v>
      </c>
      <c r="PX30" s="593">
        <f>'Proy 2022 vs 2019 sem'!CC29*PZ$4</f>
        <v>34791.975407999998</v>
      </c>
      <c r="PY30" s="699"/>
      <c r="PZ30" s="700">
        <f>PY30/PW30</f>
        <v>0</v>
      </c>
      <c r="QA30" s="593">
        <f>'Proy 2022 vs 2019 sem'!CB29*QD$4</f>
        <v>53751.647400000002</v>
      </c>
      <c r="QB30" s="593">
        <f>'Proy 2022 vs 2019 sem'!CC29*QD$4</f>
        <v>47838.966185999998</v>
      </c>
      <c r="QC30" s="699"/>
      <c r="QD30" s="700">
        <f>QC30/QA30</f>
        <v>0</v>
      </c>
      <c r="QE30" s="579">
        <f>PC30+PG30+PK30+PO30+PS30+PW30+QA30</f>
        <v>244325.66999999998</v>
      </c>
      <c r="QF30" s="574">
        <f>PD30+PH30+PL30+PP30+PT30+PX30+QB30</f>
        <v>217449.8463</v>
      </c>
      <c r="QG30" s="793">
        <f>PE30+PI30+PM30+PQ30+PU30+PY30+QC30</f>
        <v>0</v>
      </c>
      <c r="QH30" s="786">
        <f>QG30/QE30</f>
        <v>0</v>
      </c>
      <c r="QI30" s="593">
        <f>'Proy 2022 vs 2019 sem'!CG29*QL$4</f>
        <v>29889.519599999996</v>
      </c>
      <c r="QJ30" s="593">
        <f>'Proy 2022 vs 2019 sem'!CH29*QL$4</f>
        <v>26900.567639999997</v>
      </c>
      <c r="QK30" s="699"/>
      <c r="QL30" s="700">
        <f>QK30/QI30</f>
        <v>0</v>
      </c>
      <c r="QM30" s="593">
        <f>'Proy 2022 vs 2019 sem'!CG29*QP$4</f>
        <v>29889.519599999996</v>
      </c>
      <c r="QN30" s="593">
        <f>'Proy 2022 vs 2019 sem'!CH29*QP$4</f>
        <v>26900.567639999997</v>
      </c>
      <c r="QO30" s="699"/>
      <c r="QP30" s="700">
        <f>QO30/QM30</f>
        <v>0</v>
      </c>
      <c r="QQ30" s="593">
        <f>'Proy 2022 vs 2019 sem'!CG29*QT$4</f>
        <v>29889.519599999996</v>
      </c>
      <c r="QR30" s="593">
        <f>'Proy 2022 vs 2019 sem'!CH29*QT$4</f>
        <v>26900.567639999997</v>
      </c>
      <c r="QS30" s="699"/>
      <c r="QT30" s="700">
        <f>QS30/QQ30</f>
        <v>0</v>
      </c>
      <c r="QU30" s="593">
        <f>'Proy 2022 vs 2019 sem'!CG29*QX$4</f>
        <v>29889.519599999996</v>
      </c>
      <c r="QV30" s="593">
        <f>'Proy 2022 vs 2019 sem'!CH29*QX$4</f>
        <v>26900.567639999997</v>
      </c>
      <c r="QW30" s="699"/>
      <c r="QX30" s="700">
        <f>QW30/QU30</f>
        <v>0</v>
      </c>
      <c r="QY30" s="593">
        <f>'Proy 2022 vs 2019 sem'!CG29*RB$4</f>
        <v>34871.106200000002</v>
      </c>
      <c r="QZ30" s="593">
        <f>'Proy 2022 vs 2019 sem'!CH29*RB$4</f>
        <v>31383.995580000003</v>
      </c>
      <c r="RA30" s="699"/>
      <c r="RB30" s="700">
        <f>RA30/QY30</f>
        <v>0</v>
      </c>
      <c r="RC30" s="593">
        <f>'Proy 2022 vs 2019 sem'!CG29*RF$4</f>
        <v>39852.692799999997</v>
      </c>
      <c r="RD30" s="593">
        <f>'Proy 2022 vs 2019 sem'!CH29*RF$4</f>
        <v>35867.423520000004</v>
      </c>
      <c r="RE30" s="699"/>
      <c r="RF30" s="700">
        <f>RE30/RC30</f>
        <v>0</v>
      </c>
      <c r="RG30" s="593">
        <f>'Proy 2022 vs 2019 sem'!CG29*RJ$4</f>
        <v>54797.452599999997</v>
      </c>
      <c r="RH30" s="593">
        <f>'Proy 2022 vs 2019 sem'!CH29*RJ$4</f>
        <v>49317.707340000001</v>
      </c>
      <c r="RI30" s="699"/>
      <c r="RJ30" s="700">
        <f>RI30/RG30</f>
        <v>0</v>
      </c>
      <c r="RK30" s="579">
        <f>QI30+QM30+QQ30+QU30+QY30+RC30+RG30</f>
        <v>249079.32999999996</v>
      </c>
      <c r="RL30" s="574">
        <f>QJ30+QN30+QR30+QV30+QZ30+RD30+RH30</f>
        <v>224171.397</v>
      </c>
      <c r="RM30" s="794">
        <f>QK30+QO30+QS30+QW30+RA30+RE30+RI30</f>
        <v>0</v>
      </c>
      <c r="RN30" s="786">
        <f>RM30/RK30</f>
        <v>0</v>
      </c>
      <c r="RO30" s="593">
        <f>'Proy 2022 vs 2019 sem'!CL29*RR$4</f>
        <v>27757.971599999997</v>
      </c>
      <c r="RP30" s="593">
        <f>'Proy 2022 vs 2019 sem'!CM29*RR$4</f>
        <v>24982.174439999999</v>
      </c>
      <c r="RQ30" s="699"/>
      <c r="RR30" s="700">
        <f>RQ30/RO30</f>
        <v>0</v>
      </c>
      <c r="RS30" s="593">
        <f>'Proy 2022 vs 2019 sem'!CL29*RV$4</f>
        <v>27757.971599999997</v>
      </c>
      <c r="RT30" s="593">
        <f>'Proy 2022 vs 2019 sem'!CM29*RV$4</f>
        <v>24982.174439999999</v>
      </c>
      <c r="RU30" s="699"/>
      <c r="RV30" s="700">
        <f>RU30/RS30</f>
        <v>0</v>
      </c>
      <c r="RW30" s="593">
        <f>'Proy 2022 vs 2019 sem'!CL29*RZ$4</f>
        <v>27757.971599999997</v>
      </c>
      <c r="RX30" s="593">
        <f>'Proy 2022 vs 2019 sem'!CM29*RZ$4</f>
        <v>24982.174439999999</v>
      </c>
      <c r="RY30" s="699"/>
      <c r="RZ30" s="700">
        <f>RY30/RW30</f>
        <v>0</v>
      </c>
      <c r="SA30" s="593">
        <f>'Proy 2022 vs 2019 sem'!CL29*SD$4</f>
        <v>27757.971599999997</v>
      </c>
      <c r="SB30" s="593">
        <f>'Proy 2022 vs 2019 sem'!CM29*SD$4</f>
        <v>24982.174439999999</v>
      </c>
      <c r="SC30" s="699"/>
      <c r="SD30" s="700">
        <f>SC30/SA30</f>
        <v>0</v>
      </c>
      <c r="SE30" s="593">
        <f>'Proy 2022 vs 2019 sem'!CL29*SH$4</f>
        <v>32384.300200000001</v>
      </c>
      <c r="SF30" s="593">
        <f>'Proy 2022 vs 2019 sem'!CM29*SH$4</f>
        <v>29145.870180000005</v>
      </c>
      <c r="SG30" s="699"/>
      <c r="SH30" s="700">
        <f>SG30/SE30</f>
        <v>0</v>
      </c>
      <c r="SI30" s="593">
        <f>'Proy 2022 vs 2019 sem'!CL29*SL$4</f>
        <v>37010.628799999999</v>
      </c>
      <c r="SJ30" s="593">
        <f>'Proy 2022 vs 2019 sem'!CM29*SL$4</f>
        <v>33309.565920000001</v>
      </c>
      <c r="SK30" s="699"/>
      <c r="SL30" s="700">
        <f>SK30/SI30</f>
        <v>0</v>
      </c>
      <c r="SM30" s="593">
        <f>'Proy 2022 vs 2019 sem'!CL29*SP$4</f>
        <v>50889.614600000001</v>
      </c>
      <c r="SN30" s="593">
        <f>'Proy 2022 vs 2019 sem'!CM29*SP$4</f>
        <v>45800.653140000002</v>
      </c>
      <c r="SO30" s="699"/>
      <c r="SP30" s="700">
        <f>SO30/SM30</f>
        <v>0</v>
      </c>
      <c r="SQ30" s="579">
        <f>RO30+RS30+RW30+SA30+SE30+SI30+SM30</f>
        <v>231316.43</v>
      </c>
      <c r="SR30" s="574">
        <f>RP30+RT30+RX30+SB30+SF30+SJ30+SN30</f>
        <v>208184.78700000001</v>
      </c>
      <c r="SS30" s="794">
        <f>RQ30+RU30+RY30+SC30+SG30+SK30+SO30</f>
        <v>0</v>
      </c>
      <c r="ST30" s="786">
        <f>SS30/SQ30</f>
        <v>0</v>
      </c>
      <c r="SU30" s="593">
        <f>'Proy 2022 vs 2019 sem'!CQ29*SX$4</f>
        <v>27426.8868</v>
      </c>
      <c r="SV30" s="593">
        <f>'Proy 2022 vs 2019 sem'!CR29*SX$4</f>
        <v>24958.466988000004</v>
      </c>
      <c r="SW30" s="699"/>
      <c r="SX30" s="700">
        <f>SW30/SU30</f>
        <v>0</v>
      </c>
      <c r="SY30" s="593">
        <f>'Proy 2022 vs 2019 sem'!CQ29*TB$4</f>
        <v>27426.8868</v>
      </c>
      <c r="SZ30" s="593">
        <f>'Proy 2022 vs 2019 sem'!CR29*TB$4</f>
        <v>24958.466988000004</v>
      </c>
      <c r="TA30" s="699"/>
      <c r="TB30" s="700">
        <f>TA30/SY30</f>
        <v>0</v>
      </c>
      <c r="TC30" s="593">
        <f>'Proy 2022 vs 2019 sem'!CQ29*TF$4</f>
        <v>27426.8868</v>
      </c>
      <c r="TD30" s="593">
        <f>'Proy 2022 vs 2019 sem'!CR29*TF$4</f>
        <v>24958.466988000004</v>
      </c>
      <c r="TE30" s="699"/>
      <c r="TF30" s="700">
        <f>TE30/TC30</f>
        <v>0</v>
      </c>
      <c r="TG30" s="593">
        <f>'Proy 2022 vs 2019 sem'!CQ29*TJ$4</f>
        <v>27426.8868</v>
      </c>
      <c r="TH30" s="593">
        <f>'Proy 2022 vs 2019 sem'!CR29*TJ$4</f>
        <v>24958.466988000004</v>
      </c>
      <c r="TI30" s="699"/>
      <c r="TJ30" s="700">
        <f>TI30/TG30</f>
        <v>0</v>
      </c>
      <c r="TK30" s="593">
        <f>'Proy 2022 vs 2019 sem'!CQ29*TN$4</f>
        <v>31998.034600000006</v>
      </c>
      <c r="TL30" s="593">
        <f>'Proy 2022 vs 2019 sem'!CR29*TN$4</f>
        <v>29118.211486000007</v>
      </c>
      <c r="TM30" s="699"/>
      <c r="TN30" s="700">
        <f>TM30/TK30</f>
        <v>0</v>
      </c>
      <c r="TO30" s="593">
        <f>'Proy 2022 vs 2019 sem'!CQ29*TR$4</f>
        <v>36569.182400000005</v>
      </c>
      <c r="TP30" s="593">
        <f>'Proy 2022 vs 2019 sem'!CR29*TR$4</f>
        <v>33277.955984000007</v>
      </c>
      <c r="TQ30" s="699"/>
      <c r="TR30" s="700">
        <f>TQ30/TO30</f>
        <v>0</v>
      </c>
      <c r="TS30" s="593">
        <f>'Proy 2022 vs 2019 sem'!CQ29*TV$4</f>
        <v>50282.625800000002</v>
      </c>
      <c r="TT30" s="593">
        <f>'Proy 2022 vs 2019 sem'!CR29*TV$4</f>
        <v>45757.189478000008</v>
      </c>
      <c r="TU30" s="699"/>
      <c r="TV30" s="700">
        <f>TU30/TS30</f>
        <v>0</v>
      </c>
      <c r="TW30" s="579">
        <f>SU30+SY30+TC30+TG30+TK30+TO30+TS30</f>
        <v>228557.39000000004</v>
      </c>
      <c r="TX30" s="574">
        <f>SV30+SZ30+TD30+TH30+TL30+TP30+TT30</f>
        <v>207987.22490000003</v>
      </c>
      <c r="TY30" s="785">
        <f>SW30+TA30+TE30+TI30+TM30+TQ30+TU30</f>
        <v>0</v>
      </c>
      <c r="TZ30" s="786">
        <f>TY30/TW30</f>
        <v>0</v>
      </c>
      <c r="UA30" s="593">
        <f>'Proy 2022 vs 2019 sem'!CZ29*UD$4</f>
        <v>40494.978000000003</v>
      </c>
      <c r="UB30" s="593">
        <f>'Proy 2022 vs 2019 sem'!DA29*UD$4</f>
        <v>36445.480199999998</v>
      </c>
      <c r="UC30" s="735"/>
      <c r="UD30" s="700">
        <f>UC30/UA30</f>
        <v>0</v>
      </c>
      <c r="UE30" s="593">
        <f>'Proy 2022 vs 2019 sem'!CZ29*UH$4</f>
        <v>40494.978000000003</v>
      </c>
      <c r="UF30" s="593">
        <f>'Proy 2022 vs 2019 sem'!DA29*UH$4</f>
        <v>36445.480199999998</v>
      </c>
      <c r="UG30" s="699"/>
      <c r="UH30" s="700">
        <f>UG30/UE30</f>
        <v>0</v>
      </c>
      <c r="UI30" s="593">
        <f>'Proy 2022 vs 2019 sem'!CZ29*UL$4</f>
        <v>40494.978000000003</v>
      </c>
      <c r="UJ30" s="593">
        <f>'Proy 2022 vs 2019 sem'!DA29*UL$4</f>
        <v>36445.480199999998</v>
      </c>
      <c r="UK30" s="699"/>
      <c r="UL30" s="700">
        <f>UK30/UI30</f>
        <v>0</v>
      </c>
      <c r="UM30" s="593">
        <f>'Proy 2022 vs 2019 sem'!CZ29*UP$4</f>
        <v>40494.978000000003</v>
      </c>
      <c r="UN30" s="593">
        <f>'Proy 2022 vs 2019 sem'!DA29*UP$4</f>
        <v>36445.480199999998</v>
      </c>
      <c r="UO30" s="699"/>
      <c r="UP30" s="700">
        <f>UO30/UM30</f>
        <v>0</v>
      </c>
      <c r="UQ30" s="593">
        <f>'Proy 2022 vs 2019 sem'!CZ29*UT$4</f>
        <v>47244.141000000011</v>
      </c>
      <c r="UR30" s="593">
        <f>'Proy 2022 vs 2019 sem'!DA29*UT$4</f>
        <v>42519.726900000009</v>
      </c>
      <c r="US30" s="699"/>
      <c r="UT30" s="700">
        <f>US30/UQ30</f>
        <v>0</v>
      </c>
      <c r="UU30" s="593">
        <f>'Proy 2022 vs 2019 sem'!CZ29*UX$4</f>
        <v>53993.304000000004</v>
      </c>
      <c r="UV30" s="593">
        <f>'Proy 2022 vs 2019 sem'!DA29*UX$4</f>
        <v>48593.973600000005</v>
      </c>
      <c r="UW30" s="699"/>
      <c r="UX30" s="700">
        <f>UW30/UU30</f>
        <v>0</v>
      </c>
      <c r="UY30" s="593">
        <f>'Proy 2022 vs 2019 sem'!CZ29*VB$4</f>
        <v>74240.793000000005</v>
      </c>
      <c r="UZ30" s="593">
        <f>'Proy 2022 vs 2019 sem'!DA29*VB$4</f>
        <v>66816.713700000008</v>
      </c>
      <c r="VA30" s="699"/>
      <c r="VB30" s="700">
        <f>VA30/UY30</f>
        <v>0</v>
      </c>
      <c r="VC30" s="579">
        <f>UA30+UE30+UI30+UM30+UQ30+UU30+UY30</f>
        <v>337458.15</v>
      </c>
      <c r="VD30" s="574">
        <f>UB30+UF30+UJ30+UN30+UR30+UV30+UZ30</f>
        <v>303712.33500000002</v>
      </c>
      <c r="VE30" s="759">
        <f>UC30+UG30+UK30+UO30+US30+UW30+VA30</f>
        <v>0</v>
      </c>
      <c r="VF30" s="761">
        <f>VE30/VC30</f>
        <v>0</v>
      </c>
      <c r="VG30" s="593">
        <f>'Proy 2022 vs 2019 sem'!DE29*VJ$4</f>
        <v>29781.9948</v>
      </c>
      <c r="VH30" s="593">
        <f>'Proy 2022 vs 2019 sem'!DF29*VJ$4</f>
        <v>26803.795320000001</v>
      </c>
      <c r="VI30" s="699"/>
      <c r="VJ30" s="700">
        <f>VI30/VG30</f>
        <v>0</v>
      </c>
      <c r="VK30" s="593">
        <f>'Proy 2022 vs 2019 sem'!DE29*VN$4</f>
        <v>29781.9948</v>
      </c>
      <c r="VL30" s="593">
        <f>'Proy 2022 vs 2019 sem'!DF29*VN$4</f>
        <v>26803.795320000001</v>
      </c>
      <c r="VM30" s="699"/>
      <c r="VN30" s="700">
        <f>VM30/VK30</f>
        <v>0</v>
      </c>
      <c r="VO30" s="593">
        <f>'Proy 2022 vs 2019 sem'!DE29*VR$4</f>
        <v>29781.9948</v>
      </c>
      <c r="VP30" s="593">
        <f>'Proy 2022 vs 2019 sem'!DF29*VR$4</f>
        <v>26803.795320000001</v>
      </c>
      <c r="VQ30" s="699"/>
      <c r="VR30" s="700">
        <f>VQ30/VO30</f>
        <v>0</v>
      </c>
      <c r="VS30" s="593">
        <f>'Proy 2022 vs 2019 sem'!DE29*VV$4</f>
        <v>29781.9948</v>
      </c>
      <c r="VT30" s="593">
        <f>'Proy 2022 vs 2019 sem'!DF29*VV$4</f>
        <v>26803.795320000001</v>
      </c>
      <c r="VU30" s="699"/>
      <c r="VV30" s="700">
        <f>VU30/VS30</f>
        <v>0</v>
      </c>
      <c r="VW30" s="593">
        <f>'Proy 2022 vs 2019 sem'!DE29*VZ$4</f>
        <v>34745.660600000003</v>
      </c>
      <c r="VX30" s="593">
        <f>'Proy 2022 vs 2019 sem'!DF29*VZ$4</f>
        <v>31271.094540000006</v>
      </c>
      <c r="VY30" s="699"/>
      <c r="VZ30" s="700">
        <f>VY30/VW30</f>
        <v>0</v>
      </c>
      <c r="WA30" s="593">
        <f>'Proy 2022 vs 2019 sem'!DE29*WD$4</f>
        <v>39709.326400000005</v>
      </c>
      <c r="WB30" s="593">
        <f>'Proy 2022 vs 2019 sem'!DF29*WD$4</f>
        <v>35738.393759999999</v>
      </c>
      <c r="WC30" s="699"/>
      <c r="WD30" s="700">
        <f>WC30/WA30</f>
        <v>0</v>
      </c>
      <c r="WE30" s="593">
        <f>'Proy 2022 vs 2019 sem'!DE29*WH$4</f>
        <v>54600.323800000006</v>
      </c>
      <c r="WF30" s="593">
        <f>'Proy 2022 vs 2019 sem'!DF29*WH$4</f>
        <v>49140.291420000001</v>
      </c>
      <c r="WG30" s="699"/>
      <c r="WH30" s="700">
        <f>WG30/WE30</f>
        <v>0</v>
      </c>
      <c r="WI30" s="579">
        <f>VG30+VK30+VO30+VS30+VW30+WA30+WE30</f>
        <v>248183.29000000004</v>
      </c>
      <c r="WJ30" s="574">
        <f>VH30+VL30+VP30+VT30+VX30+WB30+WF30</f>
        <v>223364.96100000001</v>
      </c>
      <c r="WK30" s="765">
        <f>VI30+VM30+VQ30+VU30+VY30+WC30+WG30</f>
        <v>0</v>
      </c>
      <c r="WL30" s="761">
        <f>WK30/WI30</f>
        <v>0</v>
      </c>
      <c r="WM30" s="593">
        <f>'Proy 2022 vs 2019 sem'!DJ29*WP$4</f>
        <v>24307.697999999997</v>
      </c>
      <c r="WN30" s="593">
        <f>'Proy 2022 vs 2019 sem'!DK29*WP$4</f>
        <v>21876.928199999998</v>
      </c>
      <c r="WO30" s="699"/>
      <c r="WP30" s="700">
        <f>WO30/WM30</f>
        <v>0</v>
      </c>
      <c r="WQ30" s="593">
        <f>'Proy 2022 vs 2019 sem'!DJ29*WT$4</f>
        <v>24307.697999999997</v>
      </c>
      <c r="WR30" s="593">
        <f>'Proy 2022 vs 2019 sem'!DK29*WT$4</f>
        <v>21876.928199999998</v>
      </c>
      <c r="WS30" s="699"/>
      <c r="WT30" s="700">
        <f>WS30/WQ30</f>
        <v>0</v>
      </c>
      <c r="WU30" s="593">
        <f>'Proy 2022 vs 2019 sem'!DJ29*WX$4</f>
        <v>24307.697999999997</v>
      </c>
      <c r="WV30" s="593">
        <f>'Proy 2022 vs 2019 sem'!DK29*WX$4</f>
        <v>21876.928199999998</v>
      </c>
      <c r="WW30" s="699"/>
      <c r="WX30" s="700">
        <f>WW30/WU30</f>
        <v>0</v>
      </c>
      <c r="WY30" s="593">
        <f>'Proy 2022 vs 2019 sem'!DJ29*XB$4</f>
        <v>24307.697999999997</v>
      </c>
      <c r="WZ30" s="593">
        <f>'Proy 2022 vs 2019 sem'!DK29*XB$4</f>
        <v>21876.928199999998</v>
      </c>
      <c r="XA30" s="699"/>
      <c r="XB30" s="700">
        <f>XA30/WY30</f>
        <v>0</v>
      </c>
      <c r="XC30" s="593">
        <f>'Proy 2022 vs 2019 sem'!DJ29*XF$4</f>
        <v>28358.981000000003</v>
      </c>
      <c r="XD30" s="593">
        <f>'Proy 2022 vs 2019 sem'!DK29*XF$4</f>
        <v>25523.082900000001</v>
      </c>
      <c r="XE30" s="699"/>
      <c r="XF30" s="700">
        <f>XE30/XC30</f>
        <v>0</v>
      </c>
      <c r="XG30" s="593">
        <f>'Proy 2022 vs 2019 sem'!DJ29*XJ$4</f>
        <v>32410.263999999999</v>
      </c>
      <c r="XH30" s="593">
        <f>'Proy 2022 vs 2019 sem'!DK29*XJ$4</f>
        <v>29169.237599999997</v>
      </c>
      <c r="XI30" s="699"/>
      <c r="XJ30" s="700">
        <f>XI30/XG30</f>
        <v>0</v>
      </c>
      <c r="XK30" s="593">
        <f>'Proy 2022 vs 2019 sem'!DJ29*XN$4</f>
        <v>44564.112999999998</v>
      </c>
      <c r="XL30" s="593">
        <f>'Proy 2022 vs 2019 sem'!DK29*XN$4</f>
        <v>40107.701699999998</v>
      </c>
      <c r="XM30" s="699"/>
      <c r="XN30" s="700">
        <f>XM30/XK30</f>
        <v>0</v>
      </c>
      <c r="XO30" s="579">
        <f>WM30+WQ30+WU30+WY30+XC30+XG30+XK30</f>
        <v>202564.14999999997</v>
      </c>
      <c r="XP30" s="574">
        <f>WN30+WR30+WV30+WZ30+XD30+XH30+XL30</f>
        <v>182307.73499999999</v>
      </c>
      <c r="XQ30" s="765">
        <f>WO30+WS30+WW30+XA30+XE30+XI30+XM30</f>
        <v>0</v>
      </c>
      <c r="XR30" s="761">
        <f>XQ30/XO30</f>
        <v>0</v>
      </c>
      <c r="XS30" s="593">
        <f>'Proy 2022 vs 2019 sem'!DO29*XV$4</f>
        <v>25277.0484</v>
      </c>
      <c r="XT30" s="593">
        <f>'Proy 2022 vs 2019 sem'!DP29*XV$4</f>
        <v>22749.343560000001</v>
      </c>
      <c r="XU30" s="699"/>
      <c r="XV30" s="700">
        <f>XU30/XS30</f>
        <v>0</v>
      </c>
      <c r="XW30" s="593">
        <f>'Proy 2022 vs 2019 sem'!DO29*XZ$4</f>
        <v>25277.0484</v>
      </c>
      <c r="XX30" s="593">
        <f>'Proy 2022 vs 2019 sem'!DP29*XZ$4</f>
        <v>22749.343560000001</v>
      </c>
      <c r="XY30" s="699"/>
      <c r="XZ30" s="700">
        <f>XY30/XW30</f>
        <v>0</v>
      </c>
      <c r="YA30" s="593">
        <f>'Proy 2022 vs 2019 sem'!DO29*YD$4</f>
        <v>25277.0484</v>
      </c>
      <c r="YB30" s="593">
        <f>'Proy 2022 vs 2019 sem'!DP29*YD$4</f>
        <v>22749.343560000001</v>
      </c>
      <c r="YC30" s="699"/>
      <c r="YD30" s="700">
        <f>YC30/YA30</f>
        <v>0</v>
      </c>
      <c r="YE30" s="593">
        <f>'Proy 2022 vs 2019 sem'!DO29*YH$4</f>
        <v>25277.0484</v>
      </c>
      <c r="YF30" s="593">
        <f>'Proy 2022 vs 2019 sem'!DP29*YH$4</f>
        <v>22749.343560000001</v>
      </c>
      <c r="YG30" s="699"/>
      <c r="YH30" s="700">
        <f>YG30/YE30</f>
        <v>0</v>
      </c>
      <c r="YI30" s="593">
        <f>'Proy 2022 vs 2019 sem'!DO29*YL$4</f>
        <v>29489.889800000004</v>
      </c>
      <c r="YJ30" s="593">
        <f>'Proy 2022 vs 2019 sem'!DP29*YL$4</f>
        <v>26540.900820000003</v>
      </c>
      <c r="YK30" s="699"/>
      <c r="YL30" s="700">
        <f>YK30/YI30</f>
        <v>0</v>
      </c>
      <c r="YM30" s="593">
        <f>'Proy 2022 vs 2019 sem'!DO29*YP$4</f>
        <v>33702.731200000002</v>
      </c>
      <c r="YN30" s="593">
        <f>'Proy 2022 vs 2019 sem'!DP29*YP$4</f>
        <v>30332.458080000004</v>
      </c>
      <c r="YO30" s="699"/>
      <c r="YP30" s="700">
        <f>YO30/YM30</f>
        <v>0</v>
      </c>
      <c r="YQ30" s="593">
        <f>'Proy 2022 vs 2019 sem'!DO29*YT$4</f>
        <v>46341.255400000002</v>
      </c>
      <c r="YR30" s="593">
        <f>'Proy 2022 vs 2019 sem'!DP29*YT$4</f>
        <v>41707.129860000001</v>
      </c>
      <c r="YS30" s="699"/>
      <c r="YT30" s="700">
        <f>YS30/YQ30</f>
        <v>0</v>
      </c>
      <c r="YU30" s="579">
        <f>XS30+XW30+YA30+YE30+YI30+YM30+YQ30</f>
        <v>210642.07</v>
      </c>
      <c r="YV30" s="574">
        <f>XT30+XX30+YB30+YF30+YJ30+YN30+YR30</f>
        <v>189577.86300000001</v>
      </c>
      <c r="YW30" s="770">
        <f>XU30+XY30+YC30+YG30+YK30+YO30+YS30</f>
        <v>0</v>
      </c>
      <c r="YX30" s="761">
        <f>YW30/YU30</f>
        <v>0</v>
      </c>
      <c r="YY30" s="931">
        <f>'Proy 2022 vs 2019 sem'!DX29*ZB$4</f>
        <v>25859.55</v>
      </c>
      <c r="YZ30" s="931">
        <f>'Proy 2022 vs 2019 sem'!DY29*ZB$4</f>
        <v>23273.594999999998</v>
      </c>
      <c r="ZA30" s="735"/>
      <c r="ZB30" s="700">
        <f>ZA30/YY30</f>
        <v>0</v>
      </c>
      <c r="ZC30" s="593">
        <f>'Proy 2022 vs 2019 sem'!DX29*ZF$4</f>
        <v>25859.55</v>
      </c>
      <c r="ZD30" s="593">
        <f>'Proy 2022 vs 2019 sem'!DY29*ZF$4</f>
        <v>23273.594999999998</v>
      </c>
      <c r="ZE30" s="735"/>
      <c r="ZF30" s="700">
        <f>ZE30/ZC30</f>
        <v>0</v>
      </c>
      <c r="ZG30" s="593">
        <f>'Proy 2022 vs 2019 sem'!DX29*ZJ$4</f>
        <v>25859.55</v>
      </c>
      <c r="ZH30" s="593">
        <f>'Proy 2022 vs 2019 sem'!DY29*ZJ$4</f>
        <v>23273.594999999998</v>
      </c>
      <c r="ZI30" s="735"/>
      <c r="ZJ30" s="700">
        <f>ZI30/ZG30</f>
        <v>0</v>
      </c>
      <c r="ZK30" s="593">
        <f>'Proy 2022 vs 2019 sem'!DX29*ZN$4</f>
        <v>25859.55</v>
      </c>
      <c r="ZL30" s="593">
        <f>'Proy 2022 vs 2019 sem'!DY29*ZN$4</f>
        <v>23273.594999999998</v>
      </c>
      <c r="ZM30" s="735"/>
      <c r="ZN30" s="700">
        <f>ZM30/ZK30</f>
        <v>0</v>
      </c>
      <c r="ZO30" s="593">
        <f>'Proy 2022 vs 2019 sem'!DX29*ZR$4</f>
        <v>30169.475000000002</v>
      </c>
      <c r="ZP30" s="593">
        <f>'Proy 2022 vs 2019 sem'!DY29*ZR$4</f>
        <v>27152.527500000004</v>
      </c>
      <c r="ZQ30" s="735"/>
      <c r="ZR30" s="700">
        <f>ZQ30/ZO30</f>
        <v>0</v>
      </c>
      <c r="ZS30" s="593">
        <f>'Proy 2022 vs 2019 sem'!DX29*ZV$4</f>
        <v>34479.4</v>
      </c>
      <c r="ZT30" s="593">
        <f>'Proy 2022 vs 2019 sem'!DY29*ZV$4</f>
        <v>31031.46</v>
      </c>
      <c r="ZU30" s="735"/>
      <c r="ZV30" s="700">
        <f>ZU30/ZS30</f>
        <v>0</v>
      </c>
      <c r="ZW30" s="593">
        <f>'Proy 2022 vs 2019 sem'!DX29*ZZ$4</f>
        <v>47409.175000000003</v>
      </c>
      <c r="ZX30" s="593">
        <f>'Proy 2022 vs 2019 sem'!DY29*ZZ$4</f>
        <v>42668.2575</v>
      </c>
      <c r="ZY30" s="735"/>
      <c r="ZZ30" s="700">
        <f>ZY30/ZW30</f>
        <v>0</v>
      </c>
      <c r="AAA30" s="579">
        <f>YY30+ZC30+ZG30+ZK30+ZO30+ZS30+ZW30</f>
        <v>215496.25</v>
      </c>
      <c r="AAB30" s="574">
        <f>YZ30+ZD30+ZH30+ZL30+ZP30+ZT30+ZX30</f>
        <v>193946.625</v>
      </c>
      <c r="AAC30" s="729">
        <f>ZA30+ZE30+ZI30+ZM30+ZQ30+ZU30+ZY30</f>
        <v>0</v>
      </c>
      <c r="AAD30" s="711">
        <f>AAC30/AAA30</f>
        <v>0</v>
      </c>
      <c r="AAE30" s="593">
        <f>'Proy 2022 vs 2019 sem'!EC29*AAH$4</f>
        <v>33457.737599999993</v>
      </c>
      <c r="AAF30" s="593">
        <f>'Proy 2022 vs 2019 sem'!ED29*AAH$4</f>
        <v>29442.809087999998</v>
      </c>
      <c r="AAG30" s="699"/>
      <c r="AAH30" s="700">
        <f>AAG30/AAE30</f>
        <v>0</v>
      </c>
      <c r="AAI30" s="593">
        <f>'Proy 2022 vs 2019 sem'!EC29*AAL$4</f>
        <v>33457.737599999993</v>
      </c>
      <c r="AAJ30" s="593">
        <f>'Proy 2022 vs 2019 sem'!ED29*AAL$4</f>
        <v>29442.809087999998</v>
      </c>
      <c r="AAK30" s="699"/>
      <c r="AAL30" s="700">
        <f>AAK30/AAI30</f>
        <v>0</v>
      </c>
      <c r="AAM30" s="593">
        <f>'Proy 2022 vs 2019 sem'!EC29*AAP$4</f>
        <v>33457.737599999993</v>
      </c>
      <c r="AAN30" s="593">
        <f>'Proy 2022 vs 2019 sem'!ED29*AAP$4</f>
        <v>29442.809087999998</v>
      </c>
      <c r="AAO30" s="699"/>
      <c r="AAP30" s="700">
        <f>AAO30/AAM30</f>
        <v>0</v>
      </c>
      <c r="AAQ30" s="593">
        <f>'Proy 2022 vs 2019 sem'!EC29*AAT$4</f>
        <v>33457.737599999993</v>
      </c>
      <c r="AAR30" s="593">
        <f>'Proy 2022 vs 2019 sem'!ED29*AAT$4</f>
        <v>29442.809087999998</v>
      </c>
      <c r="AAS30" s="699"/>
      <c r="AAT30" s="700">
        <f>AAS30/AAQ30</f>
        <v>0</v>
      </c>
      <c r="AAU30" s="593">
        <f>'Proy 2022 vs 2019 sem'!EC29*AAX$4</f>
        <v>39034.027200000004</v>
      </c>
      <c r="AAV30" s="593">
        <f>'Proy 2022 vs 2019 sem'!ED29*AAX$4</f>
        <v>34349.943936000003</v>
      </c>
      <c r="AAW30" s="699"/>
      <c r="AAX30" s="700">
        <f>AAW30/AAU30</f>
        <v>0</v>
      </c>
      <c r="AAY30" s="593">
        <f>'Proy 2022 vs 2019 sem'!EC29*ABB$4</f>
        <v>44610.316800000001</v>
      </c>
      <c r="AAZ30" s="593">
        <f>'Proy 2022 vs 2019 sem'!ED29*ABB$4</f>
        <v>39257.078783999998</v>
      </c>
      <c r="ABA30" s="699"/>
      <c r="ABB30" s="700">
        <f>ABA30/AAY30</f>
        <v>0</v>
      </c>
      <c r="ABC30" s="593">
        <f>'Proy 2022 vs 2019 sem'!EC29*ABF$4</f>
        <v>61339.185599999997</v>
      </c>
      <c r="ABD30" s="593">
        <f>'Proy 2022 vs 2019 sem'!ED29*ABF$4</f>
        <v>53978.483327999995</v>
      </c>
      <c r="ABE30" s="699"/>
      <c r="ABF30" s="700">
        <f>ABE30/ABC30</f>
        <v>0</v>
      </c>
      <c r="ABG30" s="579">
        <f>AAE30+AAI30+AAM30+AAQ30+AAU30+AAY30+ABC30</f>
        <v>278814.48</v>
      </c>
      <c r="ABH30" s="574">
        <f>AAF30+AAJ30+AAN30+AAR30+AAV30+AAZ30+ABD30</f>
        <v>245356.74239999999</v>
      </c>
      <c r="ABI30" s="730">
        <f>AAG30+AAK30+AAO30+AAS30+AAW30+ABA30+ABE30</f>
        <v>0</v>
      </c>
      <c r="ABJ30" s="711">
        <f>ABI30/ABG30</f>
        <v>0</v>
      </c>
      <c r="ABK30" s="593">
        <f>'Proy 2022 vs 2019 sem'!EH29*ABN$4</f>
        <v>29261.685600000001</v>
      </c>
      <c r="ABL30" s="593">
        <f>'Proy 2022 vs 2019 sem'!EI29*ABN$4</f>
        <v>26042.900184000002</v>
      </c>
      <c r="ABM30" s="699"/>
      <c r="ABN30" s="700">
        <f>ABM30/ABK30</f>
        <v>0</v>
      </c>
      <c r="ABO30" s="593">
        <f>'Proy 2022 vs 2019 sem'!EH29*ABR$4</f>
        <v>29261.685600000001</v>
      </c>
      <c r="ABP30" s="593">
        <f>'Proy 2022 vs 2019 sem'!EI29*ABR$4</f>
        <v>26042.900184000002</v>
      </c>
      <c r="ABQ30" s="699"/>
      <c r="ABR30" s="700">
        <f>ABQ30/ABO30</f>
        <v>0</v>
      </c>
      <c r="ABS30" s="593">
        <f>'Proy 2022 vs 2019 sem'!EH29*ABV$4</f>
        <v>29261.685600000001</v>
      </c>
      <c r="ABT30" s="593">
        <f>'Proy 2022 vs 2019 sem'!EI29*ABV$4</f>
        <v>26042.900184000002</v>
      </c>
      <c r="ABU30" s="699"/>
      <c r="ABV30" s="700">
        <f>ABU30/ABS30</f>
        <v>0</v>
      </c>
      <c r="ABW30" s="593">
        <f>'Proy 2022 vs 2019 sem'!EH29*ABZ$4</f>
        <v>29261.685600000001</v>
      </c>
      <c r="ABX30" s="593">
        <f>'Proy 2022 vs 2019 sem'!EI29*ABZ$4</f>
        <v>26042.900184000002</v>
      </c>
      <c r="ABY30" s="699"/>
      <c r="ABZ30" s="700">
        <f>ABY30/ABW30</f>
        <v>0</v>
      </c>
      <c r="ACA30" s="593">
        <f>'Proy 2022 vs 2019 sem'!EH29*ACD$4</f>
        <v>34138.633200000004</v>
      </c>
      <c r="ACB30" s="593">
        <f>'Proy 2022 vs 2019 sem'!EI29*ACD$4</f>
        <v>30383.383548000005</v>
      </c>
      <c r="ACC30" s="699"/>
      <c r="ACD30" s="700">
        <f>ACC30/ACA30</f>
        <v>0</v>
      </c>
      <c r="ACE30" s="593">
        <f>'Proy 2022 vs 2019 sem'!EH29*ACH$4</f>
        <v>39015.580800000003</v>
      </c>
      <c r="ACF30" s="593">
        <f>'Proy 2022 vs 2019 sem'!EI29*ACH$4</f>
        <v>34723.866912000005</v>
      </c>
      <c r="ACG30" s="699"/>
      <c r="ACH30" s="700">
        <f>ACG30/ACE30</f>
        <v>0</v>
      </c>
      <c r="ACI30" s="593">
        <f>'Proy 2022 vs 2019 sem'!EH29*ACL$4</f>
        <v>53646.423600000002</v>
      </c>
      <c r="ACJ30" s="593">
        <f>'Proy 2022 vs 2019 sem'!EI29*ACL$4</f>
        <v>47745.317004000004</v>
      </c>
      <c r="ACK30" s="699"/>
      <c r="ACL30" s="700">
        <f>ACK30/ACI30</f>
        <v>0</v>
      </c>
      <c r="ACM30" s="579">
        <f>ABK30+ABO30+ABS30+ABW30+ACA30+ACE30+ACI30</f>
        <v>243847.38</v>
      </c>
      <c r="ACN30" s="574">
        <f>ABL30+ABP30+ABT30+ABX30+ACB30+ACF30+ACJ30</f>
        <v>217024.16820000001</v>
      </c>
      <c r="ACO30" s="730">
        <f>ABM30+ABQ30+ABU30+ABY30+ACC30+ACG30+ACK30</f>
        <v>0</v>
      </c>
      <c r="ACP30" s="711">
        <f>ACO30/ACM30</f>
        <v>0</v>
      </c>
      <c r="ACQ30" s="593">
        <f>'Proy 2022 vs 2019 sem'!EM29*ACT$4</f>
        <v>33338.106</v>
      </c>
      <c r="ACR30" s="593">
        <f>'Proy 2022 vs 2019 sem'!EN29*ACT$4</f>
        <v>31004.438579999998</v>
      </c>
      <c r="ACS30" s="699"/>
      <c r="ACT30" s="700">
        <f>ACS30/ACQ30</f>
        <v>0</v>
      </c>
      <c r="ACU30" s="593">
        <f>'Proy 2022 vs 2019 sem'!EM29*ACX$4</f>
        <v>33338.106</v>
      </c>
      <c r="ACV30" s="593">
        <f>'Proy 2022 vs 2019 sem'!EN29*ACX$4</f>
        <v>31004.438579999998</v>
      </c>
      <c r="ACW30" s="699"/>
      <c r="ACX30" s="700">
        <f>ACW30/ACU30</f>
        <v>0</v>
      </c>
      <c r="ACY30" s="593">
        <f>'Proy 2022 vs 2019 sem'!EM29*ADB$4</f>
        <v>33338.106</v>
      </c>
      <c r="ACZ30" s="593">
        <f>'Proy 2022 vs 2019 sem'!EN29*ADB$4</f>
        <v>31004.438579999998</v>
      </c>
      <c r="ADA30" s="699"/>
      <c r="ADB30" s="700">
        <f>ADA30/ACY30</f>
        <v>0</v>
      </c>
      <c r="ADC30" s="593">
        <f>'Proy 2022 vs 2019 sem'!EM29*ADF$4</f>
        <v>33338.106</v>
      </c>
      <c r="ADD30" s="593">
        <f>'Proy 2022 vs 2019 sem'!EN29*ADF$4</f>
        <v>31004.438579999998</v>
      </c>
      <c r="ADE30" s="699"/>
      <c r="ADF30" s="700">
        <f>ADE30/ADC30</f>
        <v>0</v>
      </c>
      <c r="ADG30" s="593">
        <f>'Proy 2022 vs 2019 sem'!EM29*ADJ$4</f>
        <v>38894.457000000002</v>
      </c>
      <c r="ADH30" s="593">
        <f>'Proy 2022 vs 2019 sem'!EN29*ADJ$4</f>
        <v>36171.845010000005</v>
      </c>
      <c r="ADI30" s="699"/>
      <c r="ADJ30" s="700">
        <f>ADI30/ADG30</f>
        <v>0</v>
      </c>
      <c r="ADK30" s="593">
        <f>'Proy 2022 vs 2019 sem'!EM29*ADN$4</f>
        <v>44450.807999999997</v>
      </c>
      <c r="ADL30" s="593">
        <f>'Proy 2022 vs 2019 sem'!EN29*ADN$4</f>
        <v>41339.25144</v>
      </c>
      <c r="ADM30" s="699"/>
      <c r="ADN30" s="700">
        <f>ADM30/ADK30</f>
        <v>0</v>
      </c>
      <c r="ADO30" s="593">
        <f>'Proy 2022 vs 2019 sem'!EM29*ADR$4</f>
        <v>61119.860999999997</v>
      </c>
      <c r="ADP30" s="593">
        <f>'Proy 2022 vs 2019 sem'!EN29*ADR$4</f>
        <v>56841.470730000001</v>
      </c>
      <c r="ADQ30" s="699"/>
      <c r="ADR30" s="700">
        <f>ADQ30/ADO30</f>
        <v>0</v>
      </c>
      <c r="ADS30" s="579">
        <f>ACQ30+ACU30+ACY30+ADC30+ADG30+ADK30+ADO30</f>
        <v>277817.55</v>
      </c>
      <c r="ADT30" s="574">
        <f>ACR30+ACV30+ACZ30+ADD30+ADH30+ADL30+ADP30</f>
        <v>258370.32149999999</v>
      </c>
      <c r="ADU30" s="710">
        <f>ACS30+ACW30+ADA30+ADE30+ADI30+ADM30+ADQ30</f>
        <v>0</v>
      </c>
      <c r="ADV30" s="711">
        <f>ADU30/ADS30</f>
        <v>0</v>
      </c>
      <c r="ADW30" s="593">
        <f>'Proy 2022 vs 2019 sem'!ER29*ADZ$4</f>
        <v>29806.940399999999</v>
      </c>
      <c r="ADX30" s="593">
        <f>'Proy 2022 vs 2019 sem'!ES29*ADZ$4</f>
        <v>27720.454572000002</v>
      </c>
      <c r="ADY30" s="699"/>
      <c r="ADZ30" s="700">
        <f>ADY30/ADW30</f>
        <v>0</v>
      </c>
      <c r="AEA30" s="593">
        <f>'Proy 2022 vs 2019 sem'!ER29*AED$4</f>
        <v>29806.940399999999</v>
      </c>
      <c r="AEB30" s="593">
        <f>'Proy 2022 vs 2019 sem'!ES29*AED$4</f>
        <v>27720.454572000002</v>
      </c>
      <c r="AEC30" s="699"/>
      <c r="AED30" s="700">
        <f>AEC30/AEA30</f>
        <v>0</v>
      </c>
      <c r="AEE30" s="593">
        <f>'Proy 2022 vs 2019 sem'!ER29*AEH$4</f>
        <v>29806.940399999999</v>
      </c>
      <c r="AEF30" s="593">
        <f>'Proy 2022 vs 2019 sem'!ES29*AEH$4</f>
        <v>27720.454572000002</v>
      </c>
      <c r="AEG30" s="699"/>
      <c r="AEH30" s="700">
        <f>AEG30/AEE30</f>
        <v>0</v>
      </c>
      <c r="AEI30" s="593">
        <f>'Proy 2022 vs 2019 sem'!ER29*AEL$4</f>
        <v>29806.940399999999</v>
      </c>
      <c r="AEJ30" s="593">
        <f>'Proy 2022 vs 2019 sem'!ES29*AEL$4</f>
        <v>27720.454572000002</v>
      </c>
      <c r="AEK30" s="699"/>
      <c r="AEL30" s="700">
        <f>AEK30/AEI30</f>
        <v>0</v>
      </c>
      <c r="AEM30" s="593">
        <f>'Proy 2022 vs 2019 sem'!ER29*AEP$4</f>
        <v>34774.763800000008</v>
      </c>
      <c r="AEN30" s="593">
        <f>'Proy 2022 vs 2019 sem'!ES29*AEP$4</f>
        <v>32340.530334000006</v>
      </c>
      <c r="AEO30" s="699"/>
      <c r="AEP30" s="700">
        <f>AEO30/AEM30</f>
        <v>0</v>
      </c>
      <c r="AEQ30" s="593">
        <f>'Proy 2022 vs 2019 sem'!ER29*AET$4</f>
        <v>39742.587200000002</v>
      </c>
      <c r="AER30" s="593">
        <f>'Proy 2022 vs 2019 sem'!ES29*AET$4</f>
        <v>36960.606096000003</v>
      </c>
      <c r="AES30" s="699"/>
      <c r="AET30" s="700">
        <f>AES30/AEQ30</f>
        <v>0</v>
      </c>
      <c r="AEU30" s="593">
        <f>'Proy 2022 vs 2019 sem'!ER29*AEX$4</f>
        <v>54646.057400000005</v>
      </c>
      <c r="AEV30" s="593">
        <f>'Proy 2022 vs 2019 sem'!ES29*AEX$4</f>
        <v>50820.833382000004</v>
      </c>
      <c r="AEW30" s="699"/>
      <c r="AEX30" s="700">
        <f>AEW30/AEU30</f>
        <v>0</v>
      </c>
      <c r="AEY30" s="579">
        <f>ADW30+AEA30+AEE30+AEI30+AEM30+AEQ30+AEU30</f>
        <v>248391.17000000004</v>
      </c>
      <c r="AEZ30" s="574">
        <f>ADX30+AEB30+AEF30+AEJ30+AEN30+AER30+AEV30</f>
        <v>231003.78810000003</v>
      </c>
      <c r="AFA30" s="710">
        <f>ADY30+AEC30+AEG30+AEK30+AEO30+AES30+AEW30</f>
        <v>0</v>
      </c>
      <c r="AFB30" s="711">
        <f>AFA30/AEY30</f>
        <v>0</v>
      </c>
      <c r="AFC30" s="593">
        <f>'Proy 2022 vs 2019 sem'!FA29*AFF$4</f>
        <v>30636.489599999997</v>
      </c>
      <c r="AFD30" s="593">
        <f>'Proy 2022 vs 2019 sem'!FB29*AFF$4</f>
        <v>26960.110847999997</v>
      </c>
      <c r="AFE30" s="735"/>
      <c r="AFF30" s="700">
        <f>AFE30/AFC30</f>
        <v>0</v>
      </c>
      <c r="AFG30" s="593">
        <f>'Proy 2022 vs 2019 sem'!FA29*AFJ$4</f>
        <v>30636.489599999997</v>
      </c>
      <c r="AFH30" s="593">
        <f>'Proy 2022 vs 2019 sem'!FB29*AFJ$4</f>
        <v>26960.110847999997</v>
      </c>
      <c r="AFI30" s="699"/>
      <c r="AFJ30" s="700">
        <f>AFI30/AFG30</f>
        <v>0</v>
      </c>
      <c r="AFK30" s="593">
        <f>'Proy 2022 vs 2019 sem'!FA29*AFN$4</f>
        <v>30636.489599999997</v>
      </c>
      <c r="AFL30" s="593">
        <f>'Proy 2022 vs 2019 sem'!FB29*AFN$4</f>
        <v>26960.110847999997</v>
      </c>
      <c r="AFM30" s="699"/>
      <c r="AFN30" s="700">
        <f>AFM30/AFK30</f>
        <v>0</v>
      </c>
      <c r="AFO30" s="593">
        <f>'Proy 2022 vs 2019 sem'!FA29*AFR$4</f>
        <v>30636.489599999997</v>
      </c>
      <c r="AFP30" s="593">
        <f>'Proy 2022 vs 2019 sem'!FB29*AFR$4</f>
        <v>26960.110847999997</v>
      </c>
      <c r="AFQ30" s="699"/>
      <c r="AFR30" s="700">
        <f>AFQ30/AFO30</f>
        <v>0</v>
      </c>
      <c r="AFS30" s="593">
        <f>'Proy 2022 vs 2019 sem'!FA29*AFV$4</f>
        <v>35742.571199999998</v>
      </c>
      <c r="AFT30" s="593">
        <f>'Proy 2022 vs 2019 sem'!FB29*AFV$4</f>
        <v>31453.462656</v>
      </c>
      <c r="AFU30" s="699"/>
      <c r="AFV30" s="700">
        <f>AFU30/AFS30</f>
        <v>0</v>
      </c>
      <c r="AFW30" s="593">
        <f>'Proy 2022 vs 2019 sem'!FA29*AFZ$4</f>
        <v>40848.652799999996</v>
      </c>
      <c r="AFX30" s="593">
        <f>'Proy 2022 vs 2019 sem'!FB29*AFZ$4</f>
        <v>35946.814463999995</v>
      </c>
      <c r="AFY30" s="699"/>
      <c r="AFZ30" s="700">
        <f>AFY30/AFW30</f>
        <v>0</v>
      </c>
      <c r="AGA30" s="593">
        <f>'Proy 2022 vs 2019 sem'!FA29*AGD$4</f>
        <v>56166.897599999997</v>
      </c>
      <c r="AGB30" s="593">
        <f>'Proy 2022 vs 2019 sem'!FB29*AGD$4</f>
        <v>49426.869887999994</v>
      </c>
      <c r="AGC30" s="699"/>
      <c r="AGD30" s="700">
        <f>AGC30/AGA30</f>
        <v>0</v>
      </c>
      <c r="AGE30" s="579">
        <f>AFC30+AFG30+AFK30+AFO30+AFS30+AFW30+AGA30</f>
        <v>255304.08</v>
      </c>
      <c r="AGF30" s="574">
        <f>AFD30+AFH30+AFL30+AFP30+AFT30+AFX30+AGB30</f>
        <v>224667.59039999996</v>
      </c>
      <c r="AGG30" s="759">
        <f>AFE30+AFI30+AFM30+AFQ30+AFU30+AFY30+AGC30</f>
        <v>0</v>
      </c>
      <c r="AGH30" s="761">
        <f>AGG30/AGE30</f>
        <v>0</v>
      </c>
      <c r="AGI30" s="593">
        <f>'Proy 2022 vs 2019 sem'!FF29*AGL$4</f>
        <v>32938.669199999997</v>
      </c>
      <c r="AGJ30" s="593">
        <f>'Proy 2022 vs 2019 sem'!FG29*AGL$4</f>
        <v>28986.028895999996</v>
      </c>
      <c r="AGK30" s="699"/>
      <c r="AGL30" s="700">
        <f>AGK30/AGI30</f>
        <v>0</v>
      </c>
      <c r="AGM30" s="593">
        <f>'Proy 2022 vs 2019 sem'!FF29*AGP$4</f>
        <v>32938.669199999997</v>
      </c>
      <c r="AGN30" s="593">
        <f>'Proy 2022 vs 2019 sem'!FG29*AGP$4</f>
        <v>28986.028895999996</v>
      </c>
      <c r="AGO30" s="699"/>
      <c r="AGP30" s="700">
        <f>AGO30/AGM30</f>
        <v>0</v>
      </c>
      <c r="AGQ30" s="593">
        <f>'Proy 2022 vs 2019 sem'!FF29*AGT$4</f>
        <v>32938.669199999997</v>
      </c>
      <c r="AGR30" s="593">
        <f>'Proy 2022 vs 2019 sem'!FG29*AGT$4</f>
        <v>28986.028895999996</v>
      </c>
      <c r="AGS30" s="699"/>
      <c r="AGT30" s="700">
        <f>AGS30/AGQ30</f>
        <v>0</v>
      </c>
      <c r="AGU30" s="593">
        <f>'Proy 2022 vs 2019 sem'!FF29*AGX$4</f>
        <v>32938.669199999997</v>
      </c>
      <c r="AGV30" s="593">
        <f>'Proy 2022 vs 2019 sem'!FG29*AGX$4</f>
        <v>28986.028895999996</v>
      </c>
      <c r="AGW30" s="699"/>
      <c r="AGX30" s="700">
        <f>AGW30/AGU30</f>
        <v>0</v>
      </c>
      <c r="AGY30" s="593">
        <f>'Proy 2022 vs 2019 sem'!FF29*AHB$4</f>
        <v>38428.447399999997</v>
      </c>
      <c r="AGZ30" s="593">
        <f>'Proy 2022 vs 2019 sem'!FG29*AHB$4</f>
        <v>33817.033711999997</v>
      </c>
      <c r="AHA30" s="699"/>
      <c r="AHB30" s="700">
        <f>AHA30/AGY30</f>
        <v>0</v>
      </c>
      <c r="AHC30" s="593">
        <f>'Proy 2022 vs 2019 sem'!FF29*AHF$4</f>
        <v>43918.225599999998</v>
      </c>
      <c r="AHD30" s="593">
        <f>'Proy 2022 vs 2019 sem'!FG29*AHF$4</f>
        <v>38648.038527999997</v>
      </c>
      <c r="AHE30" s="699"/>
      <c r="AHF30" s="700">
        <f>AHE30/AHC30</f>
        <v>0</v>
      </c>
      <c r="AHG30" s="593">
        <f>'Proy 2022 vs 2019 sem'!FF29*AHJ$4</f>
        <v>60387.560199999993</v>
      </c>
      <c r="AHH30" s="593">
        <f>'Proy 2022 vs 2019 sem'!FG29*AHJ$4</f>
        <v>53141.052975999992</v>
      </c>
      <c r="AHI30" s="699"/>
      <c r="AHJ30" s="700">
        <f>AHI30/AHG30</f>
        <v>0</v>
      </c>
      <c r="AHK30" s="579">
        <f>AGI30+AGM30+AGQ30+AGU30+AGY30+AHC30+AHG30</f>
        <v>274488.90999999997</v>
      </c>
      <c r="AHL30" s="574">
        <f>AGJ30+AGN30+AGR30+AGV30+AGZ30+AHD30+AHH30</f>
        <v>241550.24079999997</v>
      </c>
      <c r="AHM30" s="765">
        <f>AGK30+AGO30+AGS30+AGW30+AHA30+AHE30+AHI30</f>
        <v>0</v>
      </c>
      <c r="AHN30" s="761">
        <f>AHM30/AHK30</f>
        <v>0</v>
      </c>
      <c r="AHO30" s="593">
        <f>'Proy 2022 vs 2019 sem'!FK29*AHR$4</f>
        <v>28185.231599999999</v>
      </c>
      <c r="AHP30" s="593">
        <f>'Proy 2022 vs 2019 sem'!FL29*AHR$4</f>
        <v>25366.708439999999</v>
      </c>
      <c r="AHQ30" s="699"/>
      <c r="AHR30" s="700">
        <f>AHQ30/AHO30</f>
        <v>0</v>
      </c>
      <c r="AHS30" s="593">
        <f>'Proy 2022 vs 2019 sem'!FK29*AHV$4</f>
        <v>28185.231599999999</v>
      </c>
      <c r="AHT30" s="593">
        <f>'Proy 2022 vs 2019 sem'!FL29*AHV$4</f>
        <v>25366.708439999999</v>
      </c>
      <c r="AHU30" s="699"/>
      <c r="AHV30" s="700">
        <f>AHU30/AHS30</f>
        <v>0</v>
      </c>
      <c r="AHW30" s="593">
        <f>'Proy 2022 vs 2019 sem'!FK29*AHZ$4</f>
        <v>28185.231599999999</v>
      </c>
      <c r="AHX30" s="593">
        <f>'Proy 2022 vs 2019 sem'!FL29*AHZ$4</f>
        <v>25366.708439999999</v>
      </c>
      <c r="AHY30" s="699"/>
      <c r="AHZ30" s="700">
        <f>AHY30/AHW30</f>
        <v>0</v>
      </c>
      <c r="AIA30" s="593">
        <f>'Proy 2022 vs 2019 sem'!FK29*AID$4</f>
        <v>28185.231599999999</v>
      </c>
      <c r="AIB30" s="593">
        <f>'Proy 2022 vs 2019 sem'!FL29*AID$4</f>
        <v>25366.708439999999</v>
      </c>
      <c r="AIC30" s="699"/>
      <c r="AID30" s="700">
        <f>AIC30/AIA30</f>
        <v>0</v>
      </c>
      <c r="AIE30" s="593">
        <f>'Proy 2022 vs 2019 sem'!FK29*AIH$4</f>
        <v>32882.770199999999</v>
      </c>
      <c r="AIF30" s="593">
        <f>'Proy 2022 vs 2019 sem'!FL29*AIH$4</f>
        <v>29594.493180000001</v>
      </c>
      <c r="AIG30" s="699"/>
      <c r="AIH30" s="700">
        <f>AIG30/AIE30</f>
        <v>0</v>
      </c>
      <c r="AII30" s="593">
        <f>'Proy 2022 vs 2019 sem'!FK29*AIL$4</f>
        <v>37580.308799999999</v>
      </c>
      <c r="AIJ30" s="593">
        <f>'Proy 2022 vs 2019 sem'!FL29*AIL$4</f>
        <v>33822.27792</v>
      </c>
      <c r="AIK30" s="699"/>
      <c r="AIL30" s="700">
        <f>AIK30/AII30</f>
        <v>0</v>
      </c>
      <c r="AIM30" s="593">
        <f>'Proy 2022 vs 2019 sem'!FK29*AIP$4</f>
        <v>51672.924599999998</v>
      </c>
      <c r="AIN30" s="593">
        <f>'Proy 2022 vs 2019 sem'!FL29*AIP$4</f>
        <v>46505.632140000002</v>
      </c>
      <c r="AIO30" s="699"/>
      <c r="AIP30" s="700">
        <f>AIO30/AIM30</f>
        <v>0</v>
      </c>
      <c r="AIQ30" s="579">
        <f>AHO30+AHS30+AHW30+AIA30+AIE30+AII30+AIM30</f>
        <v>234876.93</v>
      </c>
      <c r="AIR30" s="574">
        <f>AHP30+AHT30+AHX30+AIB30+AIF30+AIJ30+AIN30</f>
        <v>211389.23699999999</v>
      </c>
      <c r="AIS30" s="765">
        <f>AHQ30+AHU30+AHY30+AIC30+AIG30+AIK30+AIO30</f>
        <v>0</v>
      </c>
      <c r="AIT30" s="761">
        <f>AIS30/AIQ30</f>
        <v>0</v>
      </c>
      <c r="AIU30" s="593">
        <f>'Proy 2022 vs 2019 sem'!FP29*AIX$4</f>
        <v>30456.531599999998</v>
      </c>
      <c r="AIV30" s="593">
        <f>'Proy 2022 vs 2019 sem'!FQ29*AIX$4</f>
        <v>28324.574388000001</v>
      </c>
      <c r="AIW30" s="699"/>
      <c r="AIX30" s="700">
        <f>AIW30/AIU30</f>
        <v>0</v>
      </c>
      <c r="AIY30" s="593">
        <f>'Proy 2022 vs 2019 sem'!FP29*AJB$4</f>
        <v>30456.531599999998</v>
      </c>
      <c r="AIZ30" s="593">
        <f>'Proy 2022 vs 2019 sem'!FQ29*AJB$4</f>
        <v>28324.574388000001</v>
      </c>
      <c r="AJA30" s="699"/>
      <c r="AJB30" s="700">
        <f>AJA30/AIY30</f>
        <v>0</v>
      </c>
      <c r="AJC30" s="593">
        <f>'Proy 2022 vs 2019 sem'!FP29*AJF$4</f>
        <v>30456.531599999998</v>
      </c>
      <c r="AJD30" s="593">
        <f>'Proy 2022 vs 2019 sem'!FQ29*AJF$4</f>
        <v>28324.574388000001</v>
      </c>
      <c r="AJE30" s="699"/>
      <c r="AJF30" s="700">
        <f>AJE30/AJC30</f>
        <v>0</v>
      </c>
      <c r="AJG30" s="593">
        <f>'Proy 2022 vs 2019 sem'!FP29*AJJ$4</f>
        <v>30456.531599999998</v>
      </c>
      <c r="AJH30" s="593">
        <f>'Proy 2022 vs 2019 sem'!FQ29*AJJ$4</f>
        <v>28324.574388000001</v>
      </c>
      <c r="AJI30" s="699"/>
      <c r="AJJ30" s="700">
        <f>AJI30/AJG30</f>
        <v>0</v>
      </c>
      <c r="AJK30" s="593">
        <f>'Proy 2022 vs 2019 sem'!FP29*AJN$4</f>
        <v>35532.620200000005</v>
      </c>
      <c r="AJL30" s="593">
        <f>'Proy 2022 vs 2019 sem'!FQ29*AJN$4</f>
        <v>33045.336786000007</v>
      </c>
      <c r="AJM30" s="699"/>
      <c r="AJN30" s="700">
        <f>AJM30/AJK30</f>
        <v>0</v>
      </c>
      <c r="AJO30" s="593">
        <f>'Proy 2022 vs 2019 sem'!FP29*AJR$4</f>
        <v>40608.7088</v>
      </c>
      <c r="AJP30" s="593">
        <f>'Proy 2022 vs 2019 sem'!FQ29*AJR$4</f>
        <v>37766.099184000006</v>
      </c>
      <c r="AJQ30" s="699"/>
      <c r="AJR30" s="700">
        <f>AJQ30/AJO30</f>
        <v>0</v>
      </c>
      <c r="AJS30" s="593">
        <f>'Proy 2022 vs 2019 sem'!FP29*AJV$4</f>
        <v>55836.974600000001</v>
      </c>
      <c r="AJT30" s="593">
        <f>'Proy 2022 vs 2019 sem'!FQ29*AJV$4</f>
        <v>51928.386378000003</v>
      </c>
      <c r="AJU30" s="699"/>
      <c r="AJV30" s="700">
        <f>AJU30/AJS30</f>
        <v>0</v>
      </c>
      <c r="AJW30" s="579">
        <f>AIU30+AIY30+AJC30+AJG30+AJK30+AJO30+AJS30</f>
        <v>253804.43</v>
      </c>
      <c r="AJX30" s="574">
        <f>AIV30+AIZ30+AJD30+AJH30+AJL30+AJP30+AJT30</f>
        <v>236038.11990000002</v>
      </c>
      <c r="AJY30" s="770">
        <f>AIW30+AJA30+AJE30+AJI30+AJM30+AJQ30+AJU30</f>
        <v>0</v>
      </c>
      <c r="AJZ30" s="761">
        <f>AJY30/AJW30</f>
        <v>0</v>
      </c>
      <c r="AKA30" s="593"/>
      <c r="AKB30" s="593"/>
      <c r="AKC30" s="735"/>
      <c r="AKD30" s="700" t="e">
        <f>AKC30/AKA30</f>
        <v>#DIV/0!</v>
      </c>
      <c r="AKE30" s="593">
        <v>30599.979599999999</v>
      </c>
      <c r="AKF30" s="593">
        <v>31211.979191999999</v>
      </c>
      <c r="AKG30" s="699"/>
      <c r="AKH30" s="700">
        <f>AKG30/AKE30</f>
        <v>0</v>
      </c>
      <c r="AKI30" s="593">
        <v>30599.979599999999</v>
      </c>
      <c r="AKJ30" s="593">
        <v>31211.979191999999</v>
      </c>
      <c r="AKK30" s="699"/>
      <c r="AKL30" s="700">
        <f>AKK30/AKI30</f>
        <v>0</v>
      </c>
      <c r="AKM30" s="593">
        <v>30599.979599999999</v>
      </c>
      <c r="AKN30" s="593">
        <v>31211.979191999999</v>
      </c>
      <c r="AKO30" s="699"/>
      <c r="AKP30" s="700">
        <f>AKO30/AKM30</f>
        <v>0</v>
      </c>
      <c r="AKQ30" s="593">
        <v>35699.976200000005</v>
      </c>
      <c r="AKR30" s="593">
        <v>36413.975724000004</v>
      </c>
      <c r="AKS30" s="699"/>
      <c r="AKT30" s="700">
        <f>AKS30/AKQ30</f>
        <v>0</v>
      </c>
      <c r="AKU30" s="593">
        <v>40799.972799999996</v>
      </c>
      <c r="AKV30" s="593">
        <v>41615.972256000001</v>
      </c>
      <c r="AKW30" s="699"/>
      <c r="AKX30" s="700">
        <f>AKW30/AKU30</f>
        <v>0</v>
      </c>
      <c r="AKY30" s="593">
        <v>56099.962599999999</v>
      </c>
      <c r="AKZ30" s="593">
        <v>57221.961852</v>
      </c>
      <c r="ALA30" s="699"/>
      <c r="ALB30" s="700">
        <f>ALA30/AKY30</f>
        <v>0</v>
      </c>
      <c r="ALC30" s="579">
        <f>AKA30+AKE30+AKI30+AKM30+AKQ30+AKU30+AKY30</f>
        <v>224399.8504</v>
      </c>
      <c r="ALD30" s="574">
        <f>AKB30+AKF30+AKJ30+AKN30+AKR30+AKV30+AKZ30</f>
        <v>228887.847408</v>
      </c>
      <c r="ALE30" s="793">
        <f>AKC30+AKG30+AKK30+AKO30+AKS30+AKW30+ALA30</f>
        <v>0</v>
      </c>
      <c r="ALF30" s="786">
        <f>ALE30/ALC30</f>
        <v>0</v>
      </c>
      <c r="ALG30" s="593">
        <v>31550.566800000001</v>
      </c>
      <c r="ALH30" s="593">
        <v>32181.578136</v>
      </c>
      <c r="ALI30" s="699"/>
      <c r="ALJ30" s="700">
        <f>ALI30/ALG30</f>
        <v>0</v>
      </c>
      <c r="ALK30" s="593">
        <v>31550.566800000001</v>
      </c>
      <c r="ALL30" s="593">
        <v>32181.578136</v>
      </c>
      <c r="ALM30" s="699"/>
      <c r="ALN30" s="700">
        <f>ALM30/ALK30</f>
        <v>0</v>
      </c>
      <c r="ALO30" s="593">
        <v>31550.566800000001</v>
      </c>
      <c r="ALP30" s="593">
        <v>32181.578136</v>
      </c>
      <c r="ALQ30" s="699"/>
      <c r="ALR30" s="700">
        <f>ALQ30/ALO30</f>
        <v>0</v>
      </c>
      <c r="ALS30" s="593">
        <v>31550.566800000001</v>
      </c>
      <c r="ALT30" s="593">
        <v>32181.578136</v>
      </c>
      <c r="ALU30" s="699"/>
      <c r="ALV30" s="700">
        <f>ALU30/ALS30</f>
        <v>0</v>
      </c>
      <c r="ALW30" s="593">
        <v>36808.994600000005</v>
      </c>
      <c r="ALX30" s="593">
        <v>37545.174492000006</v>
      </c>
      <c r="ALY30" s="699"/>
      <c r="ALZ30" s="700">
        <f>ALY30/ALW30</f>
        <v>0</v>
      </c>
      <c r="AMA30" s="593">
        <v>42067.422400000003</v>
      </c>
      <c r="AMB30" s="593">
        <v>42908.770848000007</v>
      </c>
      <c r="AMC30" s="699"/>
      <c r="AMD30" s="700">
        <f>AMC30/AMA30</f>
        <v>0</v>
      </c>
      <c r="AME30" s="593">
        <v>57842.705800000003</v>
      </c>
      <c r="AMF30" s="593">
        <v>58999.559916000006</v>
      </c>
      <c r="AMG30" s="699"/>
      <c r="AMH30" s="700">
        <f>AMG30/AME30</f>
        <v>0</v>
      </c>
      <c r="AMI30" s="579">
        <f>ALG30+ALK30+ALO30+ALS30+ALW30+AMA30+AME30</f>
        <v>262921.39</v>
      </c>
      <c r="AMJ30" s="574">
        <f>ALH30+ALL30+ALP30+ALT30+ALX30+AMB30+AMF30</f>
        <v>268179.81780000002</v>
      </c>
      <c r="AMK30" s="794">
        <f>ALI30+ALM30+ALQ30+ALU30+ALY30+AMC30+AMG30</f>
        <v>0</v>
      </c>
      <c r="AML30" s="786">
        <f>AMK30/AMI30</f>
        <v>0</v>
      </c>
      <c r="AMM30" s="593">
        <v>27880.9548</v>
      </c>
      <c r="AMN30" s="593">
        <v>28438.573895999998</v>
      </c>
      <c r="AMO30" s="699"/>
      <c r="AMP30" s="700">
        <f>AMO30/AMM30</f>
        <v>0</v>
      </c>
      <c r="AMQ30" s="593">
        <v>27880.9548</v>
      </c>
      <c r="AMR30" s="593">
        <v>28438.573895999998</v>
      </c>
      <c r="AMS30" s="699"/>
      <c r="AMT30" s="700">
        <f>AMS30/AMQ30</f>
        <v>0</v>
      </c>
      <c r="AMU30" s="593">
        <v>27880.9548</v>
      </c>
      <c r="AMV30" s="593">
        <v>28438.573895999998</v>
      </c>
      <c r="AMW30" s="699"/>
      <c r="AMX30" s="700">
        <f>AMW30/AMU30</f>
        <v>0</v>
      </c>
      <c r="AMY30" s="593">
        <v>27880.9548</v>
      </c>
      <c r="AMZ30" s="593">
        <v>28438.573895999998</v>
      </c>
      <c r="ANA30" s="699"/>
      <c r="ANB30" s="700">
        <f>ANA30/AMY30</f>
        <v>0</v>
      </c>
      <c r="ANC30" s="593">
        <v>32527.780600000006</v>
      </c>
      <c r="AND30" s="593">
        <v>33178.336212000002</v>
      </c>
      <c r="ANE30" s="699"/>
      <c r="ANF30" s="700">
        <f>ANE30/ANC30</f>
        <v>0</v>
      </c>
      <c r="ANG30" s="593">
        <v>37174.606400000004</v>
      </c>
      <c r="ANH30" s="593">
        <v>37918.098528000002</v>
      </c>
      <c r="ANI30" s="699"/>
      <c r="ANJ30" s="700">
        <f>ANI30/ANG30</f>
        <v>0</v>
      </c>
      <c r="ANK30" s="593">
        <v>51115.0838</v>
      </c>
      <c r="ANL30" s="593">
        <v>52137.385476000003</v>
      </c>
      <c r="ANM30" s="699"/>
      <c r="ANN30" s="700">
        <f>ANM30/ANK30</f>
        <v>0</v>
      </c>
      <c r="ANO30" s="579">
        <f>AMM30+AMQ30+AMU30+AMY30+ANC30+ANG30+ANK30</f>
        <v>232341.29</v>
      </c>
      <c r="ANP30" s="574">
        <f>AMN30+AMR30+AMV30+AMZ30+AND30+ANH30+ANL30</f>
        <v>236988.1158</v>
      </c>
      <c r="ANQ30" s="794">
        <f>AMO30+AMS30+AMW30+ANA30+ANE30+ANI30+ANM30</f>
        <v>0</v>
      </c>
      <c r="ANR30" s="786">
        <f>ANQ30/ANO30</f>
        <v>0</v>
      </c>
      <c r="ANS30" s="593">
        <f>'Proy 2022 vs 2019 sem'!GN29*ANV$4</f>
        <v>25713.571199999998</v>
      </c>
      <c r="ANT30" s="593">
        <f>'Proy 2022 vs 2019 sem'!GO29*ANV$4</f>
        <v>25199.299776</v>
      </c>
      <c r="ANU30" s="699"/>
      <c r="ANV30" s="700">
        <f>ANU30/ANS30</f>
        <v>0</v>
      </c>
      <c r="ANW30" s="593">
        <f>'Proy 2022 vs 2019 sem'!GN29*ANZ$4</f>
        <v>25713.571199999998</v>
      </c>
      <c r="ANX30" s="593">
        <f>'Proy 2022 vs 2019 sem'!GO29*ANZ$4</f>
        <v>25199.299776</v>
      </c>
      <c r="ANY30" s="699"/>
      <c r="ANZ30" s="700">
        <f>ANY30/ANW30</f>
        <v>0</v>
      </c>
      <c r="AOA30" s="593">
        <f>'Proy 2022 vs 2019 sem'!GN29*AOD$4</f>
        <v>25713.571199999998</v>
      </c>
      <c r="AOB30" s="593">
        <f>'Proy 2022 vs 2019 sem'!GO29*AOD$4</f>
        <v>25199.299776</v>
      </c>
      <c r="AOC30" s="699"/>
      <c r="AOD30" s="700">
        <f>AOC30/AOA30</f>
        <v>0</v>
      </c>
      <c r="AOE30" s="593">
        <f>'Proy 2022 vs 2019 sem'!GN29*AOH$4</f>
        <v>25713.571199999998</v>
      </c>
      <c r="AOF30" s="593">
        <f>'Proy 2022 vs 2019 sem'!GO29*AOH$4</f>
        <v>25199.299776</v>
      </c>
      <c r="AOG30" s="699"/>
      <c r="AOH30" s="700">
        <f>AOG30/AOE30</f>
        <v>0</v>
      </c>
      <c r="AOI30" s="593">
        <f>'Proy 2022 vs 2019 sem'!GN29*AOL$4</f>
        <v>29999.166400000006</v>
      </c>
      <c r="AOJ30" s="593">
        <f>'Proy 2022 vs 2019 sem'!GO29*AOL$4</f>
        <v>29399.183072000003</v>
      </c>
      <c r="AOK30" s="699"/>
      <c r="AOL30" s="700">
        <f>AOK30/AOI30</f>
        <v>0</v>
      </c>
      <c r="AOM30" s="593">
        <f>'Proy 2022 vs 2019 sem'!GN29*AOP$4</f>
        <v>34284.761600000005</v>
      </c>
      <c r="AON30" s="593">
        <f>'Proy 2022 vs 2019 sem'!GO29*AOP$4</f>
        <v>33599.066368</v>
      </c>
      <c r="AOO30" s="699"/>
      <c r="AOP30" s="700">
        <f>AOO30/AOM30</f>
        <v>0</v>
      </c>
      <c r="AOQ30" s="593">
        <f>'Proy 2022 vs 2019 sem'!GN29*AOT$4</f>
        <v>47141.547200000001</v>
      </c>
      <c r="AOR30" s="593">
        <f>'Proy 2022 vs 2019 sem'!GO29*AOT$4</f>
        <v>46198.716256</v>
      </c>
      <c r="AOS30" s="699"/>
      <c r="AOT30" s="700">
        <f>AOS30/AOQ30</f>
        <v>0</v>
      </c>
      <c r="AOU30" s="579">
        <f>ANS30+ANW30+AOA30+AOE30+AOI30+AOM30+AOQ30</f>
        <v>214279.76</v>
      </c>
      <c r="AOV30" s="574">
        <f>ANT30+ANX30+AOB30+AOF30+AOJ30+AON30+AOR30</f>
        <v>209994.16479999997</v>
      </c>
      <c r="AOW30" s="785">
        <f>ANU30+ANY30+AOC30+AOG30+AOK30+AOO30+AOS30</f>
        <v>0</v>
      </c>
      <c r="AOX30" s="786">
        <f>AOW30/AOU30</f>
        <v>0</v>
      </c>
      <c r="AOY30" s="593">
        <f>'Proy 2022 vs 2019 sem'!GW29*APB$4</f>
        <v>24939</v>
      </c>
      <c r="AOZ30" s="593">
        <f>'Proy 2022 vs 2019 sem'!GX29*APB$4</f>
        <v>24939</v>
      </c>
      <c r="APA30" s="735"/>
      <c r="APB30" s="700">
        <f>APA30/AOY30</f>
        <v>0</v>
      </c>
      <c r="APC30" s="593">
        <f>'Proy 2022 vs 2019 sem'!GW29*APF$4</f>
        <v>24939</v>
      </c>
      <c r="APD30" s="593">
        <f>'Proy 2022 vs 2019 sem'!GX29*APF$4</f>
        <v>24939</v>
      </c>
      <c r="APE30" s="735"/>
      <c r="APF30" s="700">
        <f>APE30/APC30</f>
        <v>0</v>
      </c>
      <c r="APG30" s="593">
        <f>'Proy 2022 vs 2019 sem'!GW29*APJ$4</f>
        <v>24939</v>
      </c>
      <c r="APH30" s="593">
        <f>'Proy 2022 vs 2019 sem'!GX29*APJ$4</f>
        <v>24939</v>
      </c>
      <c r="API30" s="735"/>
      <c r="APJ30" s="700">
        <f>API30/APG30</f>
        <v>0</v>
      </c>
      <c r="APK30" s="593">
        <f>'Proy 2022 vs 2019 sem'!GW29*APN$4</f>
        <v>24939</v>
      </c>
      <c r="APL30" s="593">
        <f>'Proy 2022 vs 2019 sem'!GX29*APN$4</f>
        <v>24939</v>
      </c>
      <c r="APM30" s="735"/>
      <c r="APN30" s="700">
        <f>APM30/APK30</f>
        <v>0</v>
      </c>
      <c r="APO30" s="593">
        <f>'Proy 2022 vs 2019 sem'!GW29*APR$4</f>
        <v>29095.500000000004</v>
      </c>
      <c r="APP30" s="593">
        <f>'Proy 2022 vs 2019 sem'!GX29*APR$4</f>
        <v>29095.500000000004</v>
      </c>
      <c r="APQ30" s="735"/>
      <c r="APR30" s="700">
        <f>APQ30/APO30</f>
        <v>0</v>
      </c>
      <c r="APS30" s="593">
        <f>'Proy 2022 vs 2019 sem'!GW29*APV$4</f>
        <v>33252</v>
      </c>
      <c r="APT30" s="593">
        <f>'Proy 2022 vs 2019 sem'!GX29*APV$4</f>
        <v>33252</v>
      </c>
      <c r="APU30" s="735"/>
      <c r="APV30" s="700">
        <f>APU30/APS30</f>
        <v>0</v>
      </c>
      <c r="APW30" s="593">
        <f>'Proy 2022 vs 2019 sem'!GW29*APZ$4</f>
        <v>45721.5</v>
      </c>
      <c r="APX30" s="593">
        <f>'Proy 2022 vs 2019 sem'!GX29*APZ$4</f>
        <v>45721.5</v>
      </c>
      <c r="APY30" s="735"/>
      <c r="APZ30" s="700">
        <f>APY30/APW30</f>
        <v>0</v>
      </c>
      <c r="AQA30" s="579">
        <f>AOY30+APC30+APG30+APK30+APO30+APS30+APW30</f>
        <v>207825</v>
      </c>
      <c r="AQB30" s="574">
        <f>AOZ30+APD30+APH30+APL30+APP30+APT30+APX30</f>
        <v>207825</v>
      </c>
      <c r="AQC30" s="729">
        <f>APA30+APE30+API30+APM30+APQ30+APU30+APY30</f>
        <v>0</v>
      </c>
      <c r="AQD30" s="711">
        <f>AQC30/AQA30</f>
        <v>0</v>
      </c>
      <c r="AQE30" s="593">
        <f>'Proy 2022 vs 2019 sem'!HB29*AQH$4</f>
        <v>25536.4872</v>
      </c>
      <c r="AQF30" s="593">
        <f>'Proy 2022 vs 2019 sem'!HC29*AQH$4</f>
        <v>25536.4872</v>
      </c>
      <c r="AQG30" s="699"/>
      <c r="AQH30" s="700">
        <f>AQG30/AQE30</f>
        <v>0</v>
      </c>
      <c r="AQI30" s="593">
        <f>'Proy 2022 vs 2019 sem'!HB29*AQL$4</f>
        <v>25536.4872</v>
      </c>
      <c r="AQJ30" s="593">
        <f>'Proy 2022 vs 2019 sem'!HC29*AQL$4</f>
        <v>25536.4872</v>
      </c>
      <c r="AQK30" s="699"/>
      <c r="AQL30" s="700">
        <f>AQK30/AQI30</f>
        <v>0</v>
      </c>
      <c r="AQM30" s="593">
        <f>'Proy 2022 vs 2019 sem'!HB29*AQP$4</f>
        <v>25536.4872</v>
      </c>
      <c r="AQN30" s="593">
        <f>'Proy 2022 vs 2019 sem'!HC29*AQP$4</f>
        <v>25536.4872</v>
      </c>
      <c r="AQO30" s="699"/>
      <c r="AQP30" s="700">
        <f>AQO30/AQM30</f>
        <v>0</v>
      </c>
      <c r="AQQ30" s="593">
        <f>'Proy 2022 vs 2019 sem'!HB29*AQT$4</f>
        <v>25536.4872</v>
      </c>
      <c r="AQR30" s="593">
        <f>'Proy 2022 vs 2019 sem'!HC29*AQT$4</f>
        <v>25536.4872</v>
      </c>
      <c r="AQS30" s="699"/>
      <c r="AQT30" s="700">
        <f>AQS30/AQQ30</f>
        <v>0</v>
      </c>
      <c r="AQU30" s="593">
        <f>'Proy 2022 vs 2019 sem'!HB29*AQX$4</f>
        <v>29792.568400000004</v>
      </c>
      <c r="AQV30" s="593">
        <f>'Proy 2022 vs 2019 sem'!HC29*AQX$4</f>
        <v>29792.568400000004</v>
      </c>
      <c r="AQW30" s="699"/>
      <c r="AQX30" s="700">
        <f>AQW30/AQU30</f>
        <v>0</v>
      </c>
      <c r="AQY30" s="593">
        <f>'Proy 2022 vs 2019 sem'!HB29*ARB$4</f>
        <v>34048.649599999997</v>
      </c>
      <c r="AQZ30" s="593">
        <f>'Proy 2022 vs 2019 sem'!HC29*ARB$4</f>
        <v>34048.649599999997</v>
      </c>
      <c r="ARA30" s="699"/>
      <c r="ARB30" s="700">
        <f>ARA30/AQY30</f>
        <v>0</v>
      </c>
      <c r="ARC30" s="593">
        <f>'Proy 2022 vs 2019 sem'!HB29*ARF$4</f>
        <v>46816.893199999999</v>
      </c>
      <c r="ARD30" s="593">
        <f>'Proy 2022 vs 2019 sem'!HC29*ARF$4</f>
        <v>46816.893199999999</v>
      </c>
      <c r="ARE30" s="699"/>
      <c r="ARF30" s="700">
        <f>ARE30/ARC30</f>
        <v>0</v>
      </c>
      <c r="ARG30" s="579">
        <f>AQE30+AQI30+AQM30+AQQ30+AQU30+AQY30+ARC30</f>
        <v>212804.06</v>
      </c>
      <c r="ARH30" s="574">
        <f>AQF30+AQJ30+AQN30+AQR30+AQV30+AQZ30+ARD30</f>
        <v>212804.06</v>
      </c>
      <c r="ARI30" s="730">
        <f>AQG30+AQK30+AQO30+AQS30+AQW30+ARA30+ARE30</f>
        <v>0</v>
      </c>
      <c r="ARJ30" s="711">
        <f>ARI30/ARG30</f>
        <v>0</v>
      </c>
      <c r="ARK30" s="593">
        <f>'Proy 2022 vs 2019 sem'!HG29*ARN$4</f>
        <v>25243.641599999999</v>
      </c>
      <c r="ARL30" s="593">
        <f>'Proy 2022 vs 2019 sem'!HH29*ARN$4</f>
        <v>24738.768767999998</v>
      </c>
      <c r="ARM30" s="699"/>
      <c r="ARN30" s="700">
        <f>ARM30/ARK30</f>
        <v>0</v>
      </c>
      <c r="ARO30" s="593">
        <f>'Proy 2022 vs 2019 sem'!HG29*ARR$4</f>
        <v>25243.641599999999</v>
      </c>
      <c r="ARP30" s="593">
        <f>'Proy 2022 vs 2019 sem'!HH29*ARR$4</f>
        <v>24738.768767999998</v>
      </c>
      <c r="ARQ30" s="699"/>
      <c r="ARR30" s="700">
        <f>ARQ30/ARO30</f>
        <v>0</v>
      </c>
      <c r="ARS30" s="593">
        <f>'Proy 2022 vs 2019 sem'!HG29*ARV$4</f>
        <v>25243.641599999999</v>
      </c>
      <c r="ART30" s="593">
        <f>'Proy 2022 vs 2019 sem'!HH29*ARV$4</f>
        <v>24738.768767999998</v>
      </c>
      <c r="ARU30" s="699"/>
      <c r="ARV30" s="700">
        <f>ARU30/ARS30</f>
        <v>0</v>
      </c>
      <c r="ARW30" s="593">
        <f>'Proy 2022 vs 2019 sem'!HG29*ARZ$4</f>
        <v>25243.641599999999</v>
      </c>
      <c r="ARX30" s="593">
        <f>'Proy 2022 vs 2019 sem'!HH29*ARZ$4</f>
        <v>24738.768767999998</v>
      </c>
      <c r="ARY30" s="699"/>
      <c r="ARZ30" s="700">
        <f>ARY30/ARW30</f>
        <v>0</v>
      </c>
      <c r="ASA30" s="593">
        <f>'Proy 2022 vs 2019 sem'!HG29*ASD$4</f>
        <v>29450.915200000003</v>
      </c>
      <c r="ASB30" s="593">
        <f>'Proy 2022 vs 2019 sem'!HH29*ASD$4</f>
        <v>28861.896895999998</v>
      </c>
      <c r="ASC30" s="699"/>
      <c r="ASD30" s="700">
        <f>ASC30/ASA30</f>
        <v>0</v>
      </c>
      <c r="ASE30" s="593">
        <f>'Proy 2022 vs 2019 sem'!HG29*ASH$4</f>
        <v>33658.188799999996</v>
      </c>
      <c r="ASF30" s="593">
        <f>'Proy 2022 vs 2019 sem'!HH29*ASH$4</f>
        <v>32985.025023999995</v>
      </c>
      <c r="ASG30" s="699"/>
      <c r="ASH30" s="700">
        <f>ASG30/ASE30</f>
        <v>0</v>
      </c>
      <c r="ASI30" s="593">
        <f>'Proy 2022 vs 2019 sem'!HG29*ASL$4</f>
        <v>46280.009599999998</v>
      </c>
      <c r="ASJ30" s="593">
        <f>'Proy 2022 vs 2019 sem'!HH29*ASL$4</f>
        <v>45354.409407999992</v>
      </c>
      <c r="ASK30" s="699"/>
      <c r="ASL30" s="700">
        <f>ASK30/ASI30</f>
        <v>0</v>
      </c>
      <c r="ASM30" s="579">
        <f>ARK30+ARO30+ARS30+ARW30+ASA30+ASE30+ASI30</f>
        <v>210363.68</v>
      </c>
      <c r="ASN30" s="574">
        <f>ARL30+ARP30+ART30+ARX30+ASB30+ASF30+ASJ30</f>
        <v>206156.40639999998</v>
      </c>
      <c r="ASO30" s="730">
        <f>ARM30+ARQ30+ARU30+ARY30+ASC30+ASG30+ASK30</f>
        <v>0</v>
      </c>
      <c r="ASP30" s="711">
        <f>ASO30/ASM30</f>
        <v>0</v>
      </c>
      <c r="ASQ30" s="593">
        <f>'Proy 2022 vs 2019 sem'!HL29*AST$4</f>
        <v>27337.0272</v>
      </c>
      <c r="ASR30" s="593">
        <f>'Proy 2022 vs 2019 sem'!HM29*AST$4</f>
        <v>26790.286655999997</v>
      </c>
      <c r="ASS30" s="699"/>
      <c r="AST30" s="700">
        <f>ASS30/ASQ30</f>
        <v>0</v>
      </c>
      <c r="ASU30" s="593">
        <f>'Proy 2022 vs 2019 sem'!HL29*ASX$4</f>
        <v>27337.0272</v>
      </c>
      <c r="ASV30" s="593">
        <f>'Proy 2022 vs 2019 sem'!HM29*ASX$4</f>
        <v>26790.286655999997</v>
      </c>
      <c r="ASW30" s="699"/>
      <c r="ASX30" s="700">
        <f>ASW30/ASU30</f>
        <v>0</v>
      </c>
      <c r="ASY30" s="593">
        <f>'Proy 2022 vs 2019 sem'!HL29*ATB$4</f>
        <v>27337.0272</v>
      </c>
      <c r="ASZ30" s="593">
        <f>'Proy 2022 vs 2019 sem'!HM29*ATB$4</f>
        <v>26790.286655999997</v>
      </c>
      <c r="ATA30" s="699"/>
      <c r="ATB30" s="700">
        <f>ATA30/ASY30</f>
        <v>0</v>
      </c>
      <c r="ATC30" s="593">
        <f>'Proy 2022 vs 2019 sem'!HL29*ATF$4</f>
        <v>27337.0272</v>
      </c>
      <c r="ATD30" s="593">
        <f>'Proy 2022 vs 2019 sem'!HM29*ATF$4</f>
        <v>26790.286655999997</v>
      </c>
      <c r="ATE30" s="699"/>
      <c r="ATF30" s="700">
        <f>ATE30/ATC30</f>
        <v>0</v>
      </c>
      <c r="ATG30" s="593">
        <f>'Proy 2022 vs 2019 sem'!HL29*ATJ$4</f>
        <v>31893.198400000001</v>
      </c>
      <c r="ATH30" s="593">
        <f>'Proy 2022 vs 2019 sem'!HM29*ATJ$4</f>
        <v>31255.334432</v>
      </c>
      <c r="ATI30" s="699"/>
      <c r="ATJ30" s="700">
        <f>ATI30/ATG30</f>
        <v>0</v>
      </c>
      <c r="ATK30" s="593">
        <f>'Proy 2022 vs 2019 sem'!HL29*ATN$4</f>
        <v>36449.369599999998</v>
      </c>
      <c r="ATL30" s="593">
        <f>'Proy 2022 vs 2019 sem'!HM29*ATN$4</f>
        <v>35720.382207999995</v>
      </c>
      <c r="ATM30" s="699"/>
      <c r="ATN30" s="700">
        <f>ATM30/ATK30</f>
        <v>0</v>
      </c>
      <c r="ATO30" s="593">
        <f>'Proy 2022 vs 2019 sem'!HL29*ATR$4</f>
        <v>50117.883199999997</v>
      </c>
      <c r="ATP30" s="593">
        <f>'Proy 2022 vs 2019 sem'!HM29*ATR$4</f>
        <v>49115.525535999994</v>
      </c>
      <c r="ATQ30" s="699"/>
      <c r="ATR30" s="700">
        <f>ATQ30/ATO30</f>
        <v>0</v>
      </c>
      <c r="ATS30" s="579">
        <f>ASQ30+ASU30+ASY30+ATC30+ATG30+ATK30+ATO30</f>
        <v>227808.56</v>
      </c>
      <c r="ATT30" s="574">
        <f>ASR30+ASV30+ASZ30+ATD30+ATH30+ATL30+ATP30</f>
        <v>223252.38879999999</v>
      </c>
      <c r="ATU30" s="710">
        <f>ASS30+ASW30+ATA30+ATE30+ATI30+ATM30+ATQ30</f>
        <v>0</v>
      </c>
      <c r="ATV30" s="711">
        <f>ATU30/ATS30</f>
        <v>0</v>
      </c>
      <c r="ATW30" s="593">
        <f>'Proy 2022 vs 2019 sem'!HQ29*ATZ$4</f>
        <v>27572.9604</v>
      </c>
      <c r="ATX30" s="593">
        <f>'Proy 2022 vs 2019 sem'!HR29*ATZ$4</f>
        <v>27021.501192</v>
      </c>
      <c r="ATY30" s="699"/>
      <c r="ATZ30" s="700">
        <f>ATY30/ATW30</f>
        <v>0</v>
      </c>
      <c r="AUA30" s="593">
        <f>'Proy 2022 vs 2019 sem'!HQ29*AUD$4</f>
        <v>27572.9604</v>
      </c>
      <c r="AUB30" s="593">
        <f>'Proy 2022 vs 2019 sem'!HR29*AUD$4</f>
        <v>27021.501192</v>
      </c>
      <c r="AUC30" s="699"/>
      <c r="AUD30" s="700">
        <f>AUC30/AUA30</f>
        <v>0</v>
      </c>
      <c r="AUE30" s="593">
        <f>'Proy 2022 vs 2019 sem'!HQ29*AUH$4</f>
        <v>27572.9604</v>
      </c>
      <c r="AUF30" s="593">
        <f>'Proy 2022 vs 2019 sem'!HR29*AUH$4</f>
        <v>27021.501192</v>
      </c>
      <c r="AUG30" s="699"/>
      <c r="AUH30" s="700">
        <f>AUG30/AUE30</f>
        <v>0</v>
      </c>
      <c r="AUI30" s="593">
        <f>'Proy 2022 vs 2019 sem'!HQ29*AUL$4</f>
        <v>27572.9604</v>
      </c>
      <c r="AUJ30" s="593">
        <f>'Proy 2022 vs 2019 sem'!HR29*AUL$4</f>
        <v>27021.501192</v>
      </c>
      <c r="AUK30" s="699"/>
      <c r="AUL30" s="700">
        <f>AUK30/AUI30</f>
        <v>0</v>
      </c>
      <c r="AUM30" s="593">
        <f>'Proy 2022 vs 2019 sem'!HQ29*AUP$4</f>
        <v>32168.453800000007</v>
      </c>
      <c r="AUN30" s="593">
        <f>'Proy 2022 vs 2019 sem'!HR29*AUP$4</f>
        <v>31525.084724000004</v>
      </c>
      <c r="AUO30" s="699"/>
      <c r="AUP30" s="700">
        <f>AUO30/AUM30</f>
        <v>0</v>
      </c>
      <c r="AUQ30" s="593">
        <f>'Proy 2022 vs 2019 sem'!HQ29*AUT$4</f>
        <v>36763.947200000002</v>
      </c>
      <c r="AUR30" s="593">
        <f>'Proy 2022 vs 2019 sem'!HR29*AUT$4</f>
        <v>36028.668256000004</v>
      </c>
      <c r="AUS30" s="699"/>
      <c r="AUT30" s="700">
        <f>AUS30/AUQ30</f>
        <v>0</v>
      </c>
      <c r="AUU30" s="593">
        <f>'Proy 2022 vs 2019 sem'!HQ29*AUX$4</f>
        <v>50550.4274</v>
      </c>
      <c r="AUV30" s="593">
        <f>'Proy 2022 vs 2019 sem'!HR29*AUX$4</f>
        <v>49539.418852000003</v>
      </c>
      <c r="AUW30" s="699"/>
      <c r="AUX30" s="700">
        <f>AUW30/AUU30</f>
        <v>0</v>
      </c>
      <c r="AUY30" s="579">
        <f>ATW30+AUA30+AUE30+AUI30+AUM30+AUQ30+AUU30</f>
        <v>229774.66999999998</v>
      </c>
      <c r="AUZ30" s="574">
        <f>ATX30+AUB30+AUF30+AUJ30+AUN30+AUR30+AUV30</f>
        <v>225179.17660000001</v>
      </c>
      <c r="AVA30" s="710">
        <f>ATY30+AUC30+AUG30+AUK30+AUO30+AUS30+AUW30</f>
        <v>0</v>
      </c>
      <c r="AVB30" s="711">
        <f>AVA30/AUY30</f>
        <v>0</v>
      </c>
      <c r="AVC30" s="593">
        <f>'Proy 2022 vs 2019 sem'!HZ29*AVF$4</f>
        <v>25578.477600000002</v>
      </c>
      <c r="AVD30" s="593">
        <f>'Proy 2022 vs 2019 sem'!IA29*AVF$4</f>
        <v>25066.908048000001</v>
      </c>
      <c r="AVE30" s="735"/>
      <c r="AVF30" s="700">
        <f>AVE30/AVC30</f>
        <v>0</v>
      </c>
      <c r="AVG30" s="593">
        <f>'Proy 2022 vs 2019 sem'!HZ29*AVJ$4</f>
        <v>25578.477600000002</v>
      </c>
      <c r="AVH30" s="593">
        <f>'Proy 2022 vs 2019 sem'!IA29*AVJ$4</f>
        <v>25066.908048000001</v>
      </c>
      <c r="AVI30" s="699"/>
      <c r="AVJ30" s="700">
        <f>AVI30/AVG30</f>
        <v>0</v>
      </c>
      <c r="AVK30" s="593">
        <f>'Proy 2022 vs 2019 sem'!HZ29*AVN$4</f>
        <v>25578.477600000002</v>
      </c>
      <c r="AVL30" s="593">
        <f>'Proy 2022 vs 2019 sem'!IA29*AVN$4</f>
        <v>25066.908048000001</v>
      </c>
      <c r="AVM30" s="699"/>
      <c r="AVN30" s="700">
        <f>AVM30/AVK30</f>
        <v>0</v>
      </c>
      <c r="AVO30" s="593">
        <f>'Proy 2022 vs 2019 sem'!HZ29*AVR$4</f>
        <v>25578.477600000002</v>
      </c>
      <c r="AVP30" s="593">
        <f>'Proy 2022 vs 2019 sem'!IA29*AVR$4</f>
        <v>25066.908048000001</v>
      </c>
      <c r="AVQ30" s="699"/>
      <c r="AVR30" s="700">
        <f>AVQ30/AVO30</f>
        <v>0</v>
      </c>
      <c r="AVS30" s="593">
        <f>'Proy 2022 vs 2019 sem'!HZ29*AVV$4</f>
        <v>29841.557200000003</v>
      </c>
      <c r="AVT30" s="593">
        <f>'Proy 2022 vs 2019 sem'!IA29*AVV$4</f>
        <v>29244.726056000003</v>
      </c>
      <c r="AVU30" s="699"/>
      <c r="AVV30" s="700">
        <f>AVU30/AVS30</f>
        <v>0</v>
      </c>
      <c r="AVW30" s="593">
        <f>'Proy 2022 vs 2019 sem'!HZ29*AVZ$4</f>
        <v>34104.6368</v>
      </c>
      <c r="AVX30" s="593">
        <f>'Proy 2022 vs 2019 sem'!IA29*AVZ$4</f>
        <v>33422.544064000002</v>
      </c>
      <c r="AVY30" s="699"/>
      <c r="AVZ30" s="700">
        <f>AVY30/AVW30</f>
        <v>0</v>
      </c>
      <c r="AWA30" s="593">
        <f>'Proy 2022 vs 2019 sem'!HZ29*AWD$4</f>
        <v>46893.875599999999</v>
      </c>
      <c r="AWB30" s="593">
        <f>'Proy 2022 vs 2019 sem'!IA29*AWD$4</f>
        <v>45955.998088</v>
      </c>
      <c r="AWC30" s="699"/>
      <c r="AWD30" s="700">
        <f>AWC30/AWA30</f>
        <v>0</v>
      </c>
      <c r="AWE30" s="579">
        <f>AVC30+AVG30+AVK30+AVO30+AVS30+AVW30+AWA30</f>
        <v>213153.98</v>
      </c>
      <c r="AWF30" s="574">
        <f>AVD30+AVH30+AVL30+AVP30+AVT30+AVX30+AWB30</f>
        <v>208890.90039999998</v>
      </c>
      <c r="AWG30" s="793">
        <f>AVE30+AVI30+AVM30+AVQ30+AVU30+AVY30+AWC30</f>
        <v>0</v>
      </c>
      <c r="AWH30" s="786">
        <f>AWG30/AWE30</f>
        <v>0</v>
      </c>
      <c r="AWI30" s="593">
        <f>'Proy 2022 vs 2019 sem'!IE29*AWL$4</f>
        <v>26913.950400000002</v>
      </c>
      <c r="AWJ30" s="593">
        <f>'Proy 2022 vs 2019 sem'!IF29*AWL$4</f>
        <v>25837.392383999999</v>
      </c>
      <c r="AWK30" s="699"/>
      <c r="AWL30" s="700">
        <f>AWK30/AWI30</f>
        <v>0</v>
      </c>
      <c r="AWM30" s="593">
        <f>'Proy 2022 vs 2019 sem'!IE29*AWP$4</f>
        <v>26913.950400000002</v>
      </c>
      <c r="AWN30" s="593">
        <f>'Proy 2022 vs 2019 sem'!IF29*AWP$4</f>
        <v>25837.392383999999</v>
      </c>
      <c r="AWO30" s="699"/>
      <c r="AWP30" s="700">
        <f>AWO30/AWM30</f>
        <v>0</v>
      </c>
      <c r="AWQ30" s="593">
        <f>'Proy 2022 vs 2019 sem'!IE29*AWT$4</f>
        <v>26913.950400000002</v>
      </c>
      <c r="AWR30" s="593">
        <f>'Proy 2022 vs 2019 sem'!IF29*AWT$4</f>
        <v>25837.392383999999</v>
      </c>
      <c r="AWS30" s="699"/>
      <c r="AWT30" s="700">
        <f>AWS30/AWQ30</f>
        <v>0</v>
      </c>
      <c r="AWU30" s="593">
        <f>'Proy 2022 vs 2019 sem'!IE29*AWX$4</f>
        <v>26913.950400000002</v>
      </c>
      <c r="AWV30" s="593">
        <f>'Proy 2022 vs 2019 sem'!IF29*AWX$4</f>
        <v>25837.392383999999</v>
      </c>
      <c r="AWW30" s="699"/>
      <c r="AWX30" s="700">
        <f>AWW30/AWU30</f>
        <v>0</v>
      </c>
      <c r="AWY30" s="593">
        <f>'Proy 2022 vs 2019 sem'!IE29*AXB$4</f>
        <v>31399.608800000005</v>
      </c>
      <c r="AWZ30" s="593">
        <f>'Proy 2022 vs 2019 sem'!IF29*AXB$4</f>
        <v>30143.624448000006</v>
      </c>
      <c r="AXA30" s="699"/>
      <c r="AXB30" s="700">
        <f>AXA30/AWY30</f>
        <v>0</v>
      </c>
      <c r="AXC30" s="593">
        <f>'Proy 2022 vs 2019 sem'!IE29*AXF$4</f>
        <v>35885.267200000002</v>
      </c>
      <c r="AXD30" s="593">
        <f>'Proy 2022 vs 2019 sem'!IF29*AXF$4</f>
        <v>34449.856512000006</v>
      </c>
      <c r="AXE30" s="699"/>
      <c r="AXF30" s="700">
        <f>AXE30/AXC30</f>
        <v>0</v>
      </c>
      <c r="AXG30" s="593">
        <f>'Proy 2022 vs 2019 sem'!IE29*AXJ$4</f>
        <v>49342.242400000003</v>
      </c>
      <c r="AXH30" s="593">
        <f>'Proy 2022 vs 2019 sem'!IF29*AXJ$4</f>
        <v>47368.552704000002</v>
      </c>
      <c r="AXI30" s="699"/>
      <c r="AXJ30" s="700">
        <f>AXI30/AXG30</f>
        <v>0</v>
      </c>
      <c r="AXK30" s="579">
        <f>AWI30+AWM30+AWQ30+AWU30+AWY30+AXC30+AXG30</f>
        <v>224282.92000000004</v>
      </c>
      <c r="AXL30" s="574">
        <f>AWJ30+AWN30+AWR30+AWV30+AWZ30+AXD30+AXH30</f>
        <v>215311.60320000001</v>
      </c>
      <c r="AXM30" s="794">
        <f>AWK30+AWO30+AWS30+AWW30+AXA30+AXE30+AXI30</f>
        <v>0</v>
      </c>
      <c r="AXN30" s="786">
        <f>AXM30/AXK30</f>
        <v>0</v>
      </c>
      <c r="AXO30" s="593">
        <f>'Proy 2022 vs 2019 sem'!IJ29*AXR$4</f>
        <v>23768.162399999997</v>
      </c>
      <c r="AXP30" s="593">
        <f>'Proy 2022 vs 2019 sem'!IK29*AXR$4</f>
        <v>23530.480775999997</v>
      </c>
      <c r="AXQ30" s="699"/>
      <c r="AXR30" s="700">
        <f>AXQ30/AXO30</f>
        <v>0</v>
      </c>
      <c r="AXS30" s="593">
        <f>'Proy 2022 vs 2019 sem'!IJ29*AXV$4</f>
        <v>23768.162399999997</v>
      </c>
      <c r="AXT30" s="593">
        <f>'Proy 2022 vs 2019 sem'!IK29*AXV$4</f>
        <v>23530.480775999997</v>
      </c>
      <c r="AXU30" s="699"/>
      <c r="AXV30" s="700">
        <f>AXU30/AXS30</f>
        <v>0</v>
      </c>
      <c r="AXW30" s="593">
        <f>'Proy 2022 vs 2019 sem'!IJ29*AXZ$4</f>
        <v>23768.162399999997</v>
      </c>
      <c r="AXX30" s="593">
        <f>'Proy 2022 vs 2019 sem'!IK29*AXZ$4</f>
        <v>23530.480775999997</v>
      </c>
      <c r="AXY30" s="699"/>
      <c r="AXZ30" s="700">
        <f>AXY30/AXW30</f>
        <v>0</v>
      </c>
      <c r="AYA30" s="593">
        <f>'Proy 2022 vs 2019 sem'!IJ29*AYD$4</f>
        <v>23768.162399999997</v>
      </c>
      <c r="AYB30" s="593">
        <f>'Proy 2022 vs 2019 sem'!IK29*AYD$4</f>
        <v>23530.480775999997</v>
      </c>
      <c r="AYC30" s="699"/>
      <c r="AYD30" s="700">
        <f>AYC30/AYA30</f>
        <v>0</v>
      </c>
      <c r="AYE30" s="593">
        <f>'Proy 2022 vs 2019 sem'!IJ29*AYH$4</f>
        <v>27729.522800000002</v>
      </c>
      <c r="AYF30" s="593">
        <f>'Proy 2022 vs 2019 sem'!IK29*AYH$4</f>
        <v>27452.227572</v>
      </c>
      <c r="AYG30" s="699"/>
      <c r="AYH30" s="700">
        <f>AYG30/AYE30</f>
        <v>0</v>
      </c>
      <c r="AYI30" s="593">
        <f>'Proy 2022 vs 2019 sem'!IJ29*AYL$4</f>
        <v>31690.8832</v>
      </c>
      <c r="AYJ30" s="593">
        <f>'Proy 2022 vs 2019 sem'!IK29*AYL$4</f>
        <v>31373.974367999999</v>
      </c>
      <c r="AYK30" s="699"/>
      <c r="AYL30" s="700">
        <f>AYK30/AYI30</f>
        <v>0</v>
      </c>
      <c r="AYM30" s="593">
        <f>'Proy 2022 vs 2019 sem'!IJ29*AYP$4</f>
        <v>43574.964399999997</v>
      </c>
      <c r="AYN30" s="593">
        <f>'Proy 2022 vs 2019 sem'!IK29*AYP$4</f>
        <v>43139.214755999994</v>
      </c>
      <c r="AYO30" s="699"/>
      <c r="AYP30" s="700">
        <f>AYO30/AYM30</f>
        <v>0</v>
      </c>
      <c r="AYQ30" s="579">
        <f>AXO30+AXS30+AXW30+AYA30+AYE30+AYI30+AYM30</f>
        <v>198068.02</v>
      </c>
      <c r="AYR30" s="574">
        <f>AXP30+AXT30+AXX30+AYB30+AYF30+AYJ30+AYN30</f>
        <v>196087.33979999999</v>
      </c>
      <c r="AYS30" s="794">
        <f>AXQ30+AXU30+AXY30+AYC30+AYG30+AYK30+AYO30</f>
        <v>0</v>
      </c>
      <c r="AYT30" s="786">
        <f>AYS30/AYQ30</f>
        <v>0</v>
      </c>
      <c r="AYU30" s="593">
        <f>'Proy 2022 vs 2019 sem'!IO29*AYX$4</f>
        <v>26032.623599999999</v>
      </c>
      <c r="AYV30" s="593">
        <f>'Proy 2022 vs 2019 sem'!IP29*AYX$4</f>
        <v>25251.644891999997</v>
      </c>
      <c r="AYW30" s="699"/>
      <c r="AYX30" s="700">
        <f>AYW30/AYU30</f>
        <v>0</v>
      </c>
      <c r="AYY30" s="593">
        <f>'Proy 2022 vs 2019 sem'!IO29*AZB$4</f>
        <v>26032.623599999999</v>
      </c>
      <c r="AYZ30" s="593">
        <f>'Proy 2022 vs 2019 sem'!IP29*AZB$4</f>
        <v>25251.644891999997</v>
      </c>
      <c r="AZA30" s="699"/>
      <c r="AZB30" s="700">
        <f>AZA30/AYY30</f>
        <v>0</v>
      </c>
      <c r="AZC30" s="593">
        <f>'Proy 2022 vs 2019 sem'!IO29*AZF$4</f>
        <v>26032.623599999999</v>
      </c>
      <c r="AZD30" s="593">
        <f>'Proy 2022 vs 2019 sem'!IP29*AZF$4</f>
        <v>25251.644891999997</v>
      </c>
      <c r="AZE30" s="699"/>
      <c r="AZF30" s="700">
        <f>AZE30/AZC30</f>
        <v>0</v>
      </c>
      <c r="AZG30" s="593">
        <f>'Proy 2022 vs 2019 sem'!IO29*AZJ$4</f>
        <v>26032.623599999999</v>
      </c>
      <c r="AZH30" s="593">
        <f>'Proy 2022 vs 2019 sem'!IP29*AZJ$4</f>
        <v>25251.644891999997</v>
      </c>
      <c r="AZI30" s="699"/>
      <c r="AZJ30" s="700">
        <f>AZI30/AZG30</f>
        <v>0</v>
      </c>
      <c r="AZK30" s="593">
        <f>'Proy 2022 vs 2019 sem'!IO29*AZN$4</f>
        <v>30371.394200000002</v>
      </c>
      <c r="AZL30" s="593">
        <f>'Proy 2022 vs 2019 sem'!IP29*AZN$4</f>
        <v>29460.252374</v>
      </c>
      <c r="AZM30" s="699"/>
      <c r="AZN30" s="700">
        <f>AZM30/AZK30</f>
        <v>0</v>
      </c>
      <c r="AZO30" s="593">
        <f>'Proy 2022 vs 2019 sem'!IO29*AZR$4</f>
        <v>34710.164799999999</v>
      </c>
      <c r="AZP30" s="593">
        <f>'Proy 2022 vs 2019 sem'!IP29*AZR$4</f>
        <v>33668.859855999995</v>
      </c>
      <c r="AZQ30" s="699"/>
      <c r="AZR30" s="700">
        <f>AZQ30/AZO30</f>
        <v>0</v>
      </c>
      <c r="AZS30" s="593">
        <f>'Proy 2022 vs 2019 sem'!IO29*AZV$4</f>
        <v>47726.476600000002</v>
      </c>
      <c r="AZT30" s="593">
        <f>'Proy 2022 vs 2019 sem'!IP29*AZV$4</f>
        <v>46294.682301999994</v>
      </c>
      <c r="AZU30" s="699"/>
      <c r="AZV30" s="700">
        <f>AZU30/AZS30</f>
        <v>0</v>
      </c>
      <c r="AZW30" s="579">
        <f>AYU30+AYY30+AZC30+AZG30+AZK30+AZO30+AZS30</f>
        <v>216938.53</v>
      </c>
      <c r="AZX30" s="574">
        <f>AYV30+AYZ30+AZD30+AZH30+AZL30+AZP30+AZT30</f>
        <v>210430.37409999999</v>
      </c>
      <c r="AZY30" s="785">
        <f>AYW30+AZA30+AZE30+AZI30+AZM30+AZQ30+AZU30</f>
        <v>0</v>
      </c>
      <c r="AZZ30" s="786">
        <f>AZY30/AZW30</f>
        <v>0</v>
      </c>
      <c r="BAA30" s="593">
        <f>'Proy 2022 vs 2019 sem'!IX29*BAD$4</f>
        <v>21930.342000000001</v>
      </c>
      <c r="BAB30" s="593">
        <f>'Proy 2022 vs 2019 sem'!IY29*BAD$4</f>
        <v>21272.431739999996</v>
      </c>
      <c r="BAC30" s="735"/>
      <c r="BAD30" s="700">
        <f>BAC30/BAA30</f>
        <v>0</v>
      </c>
      <c r="BAE30" s="593">
        <f>'Proy 2022 vs 2019 sem'!IX29*BAH$4</f>
        <v>21930.342000000001</v>
      </c>
      <c r="BAF30" s="593">
        <f>'Proy 2022 vs 2019 sem'!IY29*BAH$4</f>
        <v>21272.431739999996</v>
      </c>
      <c r="BAG30" s="699"/>
      <c r="BAH30" s="700">
        <f>BAG30/BAE30</f>
        <v>0</v>
      </c>
      <c r="BAI30" s="593">
        <f>'Proy 2022 vs 2019 sem'!IX29*BAL$4</f>
        <v>21930.342000000001</v>
      </c>
      <c r="BAJ30" s="593">
        <f>'Proy 2022 vs 2019 sem'!IY29*BAL$4</f>
        <v>21272.431739999996</v>
      </c>
      <c r="BAK30" s="699"/>
      <c r="BAL30" s="700">
        <f>BAK30/BAI30</f>
        <v>0</v>
      </c>
      <c r="BAM30" s="593">
        <f>'Proy 2022 vs 2019 sem'!IX29*BAP$4</f>
        <v>21930.342000000001</v>
      </c>
      <c r="BAN30" s="593">
        <f>'Proy 2022 vs 2019 sem'!IY29*BAP$4</f>
        <v>21272.431739999996</v>
      </c>
      <c r="BAO30" s="699"/>
      <c r="BAP30" s="700">
        <f>BAO30/BAM30</f>
        <v>0</v>
      </c>
      <c r="BAQ30" s="593">
        <f>'Proy 2022 vs 2019 sem'!IX29*BAT$4</f>
        <v>25585.399000000005</v>
      </c>
      <c r="BAR30" s="593">
        <f>'Proy 2022 vs 2019 sem'!IY29*BAT$4</f>
        <v>24817.837030000002</v>
      </c>
      <c r="BAS30" s="699"/>
      <c r="BAT30" s="700">
        <f>BAS30/BAQ30</f>
        <v>0</v>
      </c>
      <c r="BAU30" s="593">
        <f>'Proy 2022 vs 2019 sem'!IX29*BAX$4</f>
        <v>29240.456000000002</v>
      </c>
      <c r="BAV30" s="593">
        <f>'Proy 2022 vs 2019 sem'!IY29*BAX$4</f>
        <v>28363.242319999998</v>
      </c>
      <c r="BAW30" s="699"/>
      <c r="BAX30" s="700">
        <f>BAW30/BAU30</f>
        <v>0</v>
      </c>
      <c r="BAY30" s="593">
        <f>'Proy 2022 vs 2019 sem'!IX29*BBB$4</f>
        <v>40205.627</v>
      </c>
      <c r="BAZ30" s="593">
        <f>'Proy 2022 vs 2019 sem'!IY29*BBB$4</f>
        <v>38999.458189999998</v>
      </c>
      <c r="BBA30" s="699"/>
      <c r="BBB30" s="700">
        <f>BBA30/BAY30</f>
        <v>0</v>
      </c>
      <c r="BBC30" s="579">
        <f>BAA30+BAE30+BAI30+BAM30+BAQ30+BAU30+BAY30</f>
        <v>182752.85</v>
      </c>
      <c r="BBD30" s="574">
        <f>BAB30+BAF30+BAJ30+BAN30+BAR30+BAV30+BAZ30</f>
        <v>177270.26449999999</v>
      </c>
      <c r="BBE30" s="759">
        <f>BAC30+BAG30+BAK30+BAO30+BAS30+BAW30+BBA30</f>
        <v>0</v>
      </c>
      <c r="BBF30" s="761">
        <f>BBE30/BBC30</f>
        <v>0</v>
      </c>
      <c r="BBG30" s="593">
        <f>'Proy 2022 vs 2019 sem'!JC29*BBJ$4</f>
        <v>30167.530799999997</v>
      </c>
      <c r="BBH30" s="593">
        <f>'Proy 2022 vs 2019 sem'!JD29*BBJ$4</f>
        <v>28357.478951999998</v>
      </c>
      <c r="BBI30" s="699"/>
      <c r="BBJ30" s="700">
        <f>BBI30/BBG30</f>
        <v>0</v>
      </c>
      <c r="BBK30" s="593">
        <f>'Proy 2022 vs 2019 sem'!JC29*BBN$4</f>
        <v>30167.530799999997</v>
      </c>
      <c r="BBL30" s="593">
        <f>'Proy 2022 vs 2019 sem'!JD29*BBN$4</f>
        <v>28357.478951999998</v>
      </c>
      <c r="BBM30" s="699"/>
      <c r="BBN30" s="700">
        <f>BBM30/BBK30</f>
        <v>0</v>
      </c>
      <c r="BBO30" s="593">
        <f>'Proy 2022 vs 2019 sem'!JC29*BBR$4</f>
        <v>30167.530799999997</v>
      </c>
      <c r="BBP30" s="593">
        <f>'Proy 2022 vs 2019 sem'!JD29*BBR$4</f>
        <v>28357.478951999998</v>
      </c>
      <c r="BBQ30" s="699"/>
      <c r="BBR30" s="700">
        <f>BBQ30/BBO30</f>
        <v>0</v>
      </c>
      <c r="BBS30" s="593">
        <f>'Proy 2022 vs 2019 sem'!JC29*BBV$4</f>
        <v>30167.530799999997</v>
      </c>
      <c r="BBT30" s="593">
        <f>'Proy 2022 vs 2019 sem'!JD29*BBV$4</f>
        <v>28357.478951999998</v>
      </c>
      <c r="BBU30" s="699"/>
      <c r="BBV30" s="700">
        <f>BBU30/BBS30</f>
        <v>0</v>
      </c>
      <c r="BBW30" s="593">
        <f>'Proy 2022 vs 2019 sem'!JC29*BBZ$4</f>
        <v>35195.452600000004</v>
      </c>
      <c r="BBX30" s="593">
        <f>'Proy 2022 vs 2019 sem'!JD29*BBZ$4</f>
        <v>33083.725444000003</v>
      </c>
      <c r="BBY30" s="699"/>
      <c r="BBZ30" s="700">
        <f>BBY30/BBW30</f>
        <v>0</v>
      </c>
      <c r="BCA30" s="593">
        <f>'Proy 2022 vs 2019 sem'!JC29*BCD$4</f>
        <v>40223.374400000001</v>
      </c>
      <c r="BCB30" s="593">
        <f>'Proy 2022 vs 2019 sem'!JD29*BCD$4</f>
        <v>37809.971936000002</v>
      </c>
      <c r="BCC30" s="699"/>
      <c r="BCD30" s="700">
        <f>BCC30/BCA30</f>
        <v>0</v>
      </c>
      <c r="BCE30" s="593">
        <f>'Proy 2022 vs 2019 sem'!JC29*BCH$4</f>
        <v>55307.139799999997</v>
      </c>
      <c r="BCF30" s="593">
        <f>'Proy 2022 vs 2019 sem'!JD29*BCH$4</f>
        <v>51988.711411999997</v>
      </c>
      <c r="BCG30" s="699"/>
      <c r="BCH30" s="700">
        <f>BCG30/BCE30</f>
        <v>0</v>
      </c>
      <c r="BCI30" s="579">
        <f>BBG30+BBK30+BBO30+BBS30+BBW30+BCA30+BCE30</f>
        <v>251396.09</v>
      </c>
      <c r="BCJ30" s="574">
        <f>BBH30+BBL30+BBP30+BBT30+BBX30+BCB30+BCF30</f>
        <v>236312.32459999999</v>
      </c>
      <c r="BCK30" s="765">
        <f>BBI30+BBM30+BBQ30+BBU30+BBY30+BCC30+BCG30</f>
        <v>0</v>
      </c>
      <c r="BCL30" s="761">
        <f>BCK30/BCI30</f>
        <v>0</v>
      </c>
      <c r="BCM30" s="593">
        <f>'Proy 2022 vs 2019 sem'!JH29*BCP$4</f>
        <v>35973.400800000003</v>
      </c>
      <c r="BCN30" s="593">
        <f>'Proy 2022 vs 2019 sem'!JI29*BCP$4</f>
        <v>34534.464768000005</v>
      </c>
      <c r="BCO30" s="699"/>
      <c r="BCP30" s="700">
        <f>BCO30/BCM30</f>
        <v>0</v>
      </c>
      <c r="BCQ30" s="593">
        <f>'Proy 2022 vs 2019 sem'!JH29*BCT$4</f>
        <v>35973.400800000003</v>
      </c>
      <c r="BCR30" s="593">
        <f>'Proy 2022 vs 2019 sem'!JI29*BCT$4</f>
        <v>34534.464768000005</v>
      </c>
      <c r="BCS30" s="699"/>
      <c r="BCT30" s="700">
        <f>BCS30/BCQ30</f>
        <v>0</v>
      </c>
      <c r="BCU30" s="593">
        <f>'Proy 2022 vs 2019 sem'!JH29*BCX$4</f>
        <v>35973.400800000003</v>
      </c>
      <c r="BCV30" s="593">
        <f>'Proy 2022 vs 2019 sem'!JI29*BCX$4</f>
        <v>34534.464768000005</v>
      </c>
      <c r="BCW30" s="699"/>
      <c r="BCX30" s="700">
        <f>BCW30/BCU30</f>
        <v>0</v>
      </c>
      <c r="BCY30" s="593">
        <f>'Proy 2022 vs 2019 sem'!JH29*BDB$4</f>
        <v>35973.400800000003</v>
      </c>
      <c r="BCZ30" s="593">
        <f>'Proy 2022 vs 2019 sem'!JI29*BDB$4</f>
        <v>34534.464768000005</v>
      </c>
      <c r="BDA30" s="699"/>
      <c r="BDB30" s="700">
        <f>BDA30/BCY30</f>
        <v>0</v>
      </c>
      <c r="BDC30" s="593">
        <f>'Proy 2022 vs 2019 sem'!JH29*BDF$4</f>
        <v>41968.967600000011</v>
      </c>
      <c r="BDD30" s="593">
        <f>'Proy 2022 vs 2019 sem'!JI29*BDF$4</f>
        <v>40290.208896000004</v>
      </c>
      <c r="BDE30" s="699"/>
      <c r="BDF30" s="700">
        <f>BDE30/BDC30</f>
        <v>0</v>
      </c>
      <c r="BDG30" s="593">
        <f>'Proy 2022 vs 2019 sem'!JH29*BDJ$4</f>
        <v>47964.534400000004</v>
      </c>
      <c r="BDH30" s="593">
        <f>'Proy 2022 vs 2019 sem'!JI29*BDJ$4</f>
        <v>46045.953024000002</v>
      </c>
      <c r="BDI30" s="699"/>
      <c r="BDJ30" s="700">
        <f>BDI30/BDG30</f>
        <v>0</v>
      </c>
      <c r="BDK30" s="593">
        <f>'Proy 2022 vs 2019 sem'!JH29*BDN$4</f>
        <v>65951.234800000006</v>
      </c>
      <c r="BDL30" s="593">
        <f>'Proy 2022 vs 2019 sem'!JI29*BDN$4</f>
        <v>63313.185408000005</v>
      </c>
      <c r="BDM30" s="699"/>
      <c r="BDN30" s="700">
        <f>BDM30/BDK30</f>
        <v>0</v>
      </c>
      <c r="BDO30" s="579">
        <f>BCM30+BCQ30+BCU30+BCY30+BDC30+BDG30+BDK30</f>
        <v>299778.34000000003</v>
      </c>
      <c r="BDP30" s="574">
        <f>BCN30+BCR30+BCV30+BCZ30+BDD30+BDH30+BDL30</f>
        <v>287787.20640000002</v>
      </c>
      <c r="BDQ30" s="765">
        <f>BCO30+BCS30+BCW30+BDA30+BDE30+BDI30+BDM30</f>
        <v>0</v>
      </c>
      <c r="BDR30" s="761">
        <f>BDQ30/BDO30</f>
        <v>0</v>
      </c>
      <c r="BDS30" s="593">
        <f>'Proy 2022 vs 2019 sem'!JM29*BDV$4</f>
        <v>31718.409599999999</v>
      </c>
      <c r="BDT30" s="593">
        <f>'Proy 2022 vs 2019 sem'!JN29*BDV$4</f>
        <v>30132.489119999998</v>
      </c>
      <c r="BDU30" s="699"/>
      <c r="BDV30" s="700">
        <f>BDU30/BDS30</f>
        <v>0</v>
      </c>
      <c r="BDW30" s="593">
        <f>'Proy 2022 vs 2019 sem'!JM29*BDZ$4</f>
        <v>31718.409599999999</v>
      </c>
      <c r="BDX30" s="593">
        <f>'Proy 2022 vs 2019 sem'!JN29*BDZ$4</f>
        <v>30132.489119999998</v>
      </c>
      <c r="BDY30" s="699"/>
      <c r="BDZ30" s="700">
        <f>BDY30/BDW30</f>
        <v>0</v>
      </c>
      <c r="BEA30" s="593">
        <f>'Proy 2022 vs 2019 sem'!JM29*BED$4</f>
        <v>31718.409599999999</v>
      </c>
      <c r="BEB30" s="593">
        <f>'Proy 2022 vs 2019 sem'!JN29*BED$4</f>
        <v>30132.489119999998</v>
      </c>
      <c r="BEC30" s="699"/>
      <c r="BED30" s="700">
        <f>BEC30/BEA30</f>
        <v>0</v>
      </c>
      <c r="BEE30" s="593">
        <v>14509.990400000001</v>
      </c>
      <c r="BEF30" s="593">
        <f>'Proy 2022 vs 2019 sem'!JN29*BEH$4</f>
        <v>30132.489119999998</v>
      </c>
      <c r="BEG30" s="699"/>
      <c r="BEH30" s="700">
        <f>BEG30/BEE30</f>
        <v>0</v>
      </c>
      <c r="BEI30" s="593">
        <f>'Proy 2022 vs 2019 sem'!JM29*BEL$4</f>
        <v>37004.811200000004</v>
      </c>
      <c r="BEJ30" s="593">
        <f>'Proy 2022 vs 2019 sem'!JN29*BEL$4</f>
        <v>35154.570640000005</v>
      </c>
      <c r="BEK30" s="699"/>
      <c r="BEL30" s="700">
        <f>BEK30/BEI30</f>
        <v>0</v>
      </c>
      <c r="BEM30" s="593">
        <f>'Proy 2022 vs 2019 sem'!JM29*BEP$4</f>
        <v>42291.212800000001</v>
      </c>
      <c r="BEN30" s="593">
        <f>'Proy 2022 vs 2019 sem'!JN29*BEP$4</f>
        <v>40176.652159999998</v>
      </c>
      <c r="BEO30" s="699"/>
      <c r="BEP30" s="700">
        <f>BEO30/BEM30</f>
        <v>0</v>
      </c>
      <c r="BEQ30" s="593">
        <f>'Proy 2022 vs 2019 sem'!JM29*BET$4</f>
        <v>58150.417600000001</v>
      </c>
      <c r="BER30" s="593">
        <f>'Proy 2022 vs 2019 sem'!JN29*BET$4</f>
        <v>55242.896719999997</v>
      </c>
      <c r="BES30" s="699"/>
      <c r="BET30" s="700">
        <f>BES30/BEQ30</f>
        <v>0</v>
      </c>
      <c r="BEU30" s="579">
        <f>BDS30+BDW30+BEA30+BEE30+BEI30+BEM30+BEQ30</f>
        <v>247111.66080000001</v>
      </c>
      <c r="BEV30" s="574">
        <f>BDT30+BDX30+BEB30+BEF30+BEJ30+BEN30+BER30</f>
        <v>251104.07599999997</v>
      </c>
      <c r="BEW30" s="770">
        <f>BDU30+BDY30+BEC30+BEG30+BEK30+BEO30+BES30</f>
        <v>0</v>
      </c>
      <c r="BEX30" s="761">
        <f>BEW30/BEU30</f>
        <v>0</v>
      </c>
      <c r="BEY30" s="593">
        <f>'Proy 2022 vs 2019 sem'!JV29*BFB$4</f>
        <v>46685.624400000001</v>
      </c>
      <c r="BEZ30" s="593">
        <f>'Proy 2022 vs 2019 sem'!JW29*BFB$4</f>
        <v>43884.486935999994</v>
      </c>
      <c r="BFA30" s="735"/>
      <c r="BFB30" s="700">
        <f>BFA30/BEY30</f>
        <v>0</v>
      </c>
      <c r="BFC30" s="593">
        <f>'Proy 2022 vs 2019 sem'!JV29*BFF$4</f>
        <v>46685.624400000001</v>
      </c>
      <c r="BFD30" s="593">
        <f>'Proy 2022 vs 2019 sem'!JW29*BFF$4</f>
        <v>43884.486935999994</v>
      </c>
      <c r="BFE30" s="735"/>
      <c r="BFF30" s="700">
        <f>BFE30/BFC30</f>
        <v>0</v>
      </c>
      <c r="BFG30" s="593">
        <f>'Proy 2022 vs 2019 sem'!JV29*BFJ$4</f>
        <v>46685.624400000001</v>
      </c>
      <c r="BFH30" s="593">
        <f>'Proy 2022 vs 2019 sem'!JW29*BFJ$4</f>
        <v>43884.486935999994</v>
      </c>
      <c r="BFI30" s="735"/>
      <c r="BFJ30" s="700">
        <f>BFI30/BFG30</f>
        <v>0</v>
      </c>
      <c r="BFK30" s="593">
        <f>'Proy 2022 vs 2019 sem'!JV29*BFN$4</f>
        <v>46685.624400000001</v>
      </c>
      <c r="BFL30" s="593">
        <f>'Proy 2022 vs 2019 sem'!JW29*BFN$4</f>
        <v>43884.486935999994</v>
      </c>
      <c r="BFM30" s="735"/>
      <c r="BFN30" s="700">
        <f>BFM30/BFK30</f>
        <v>0</v>
      </c>
      <c r="BFO30" s="593">
        <f>'Proy 2022 vs 2019 sem'!JV29*BFR$4</f>
        <v>54466.561800000003</v>
      </c>
      <c r="BFP30" s="593">
        <f>'Proy 2022 vs 2019 sem'!JW29*BFR$4</f>
        <v>51198.568092000001</v>
      </c>
      <c r="BFQ30" s="735"/>
      <c r="BFR30" s="700">
        <f>BFQ30/BFO30</f>
        <v>0</v>
      </c>
      <c r="BFS30" s="593">
        <f>'Proy 2022 vs 2019 sem'!JV29*BFV$4</f>
        <v>62247.499199999998</v>
      </c>
      <c r="BFT30" s="593">
        <f>'Proy 2022 vs 2019 sem'!JW29*BFV$4</f>
        <v>58512.649247999994</v>
      </c>
      <c r="BFU30" s="735"/>
      <c r="BFV30" s="700">
        <f>BFU30/BFS30</f>
        <v>0</v>
      </c>
      <c r="BFW30" s="593">
        <f>'Proy 2022 vs 2019 sem'!JV29*BFZ$4</f>
        <v>85590.311400000006</v>
      </c>
      <c r="BFX30" s="593">
        <f>'Proy 2022 vs 2019 sem'!JW29*BFZ$4</f>
        <v>80454.892715999988</v>
      </c>
      <c r="BFY30" s="735"/>
      <c r="BFZ30" s="700">
        <f>BFY30/BFW30</f>
        <v>0</v>
      </c>
      <c r="BGA30" s="579">
        <f>BEY30+BFC30+BFG30+BFK30+BFO30+BFS30+BFW30</f>
        <v>389046.87</v>
      </c>
      <c r="BGB30" s="574">
        <f>BEZ30+BFD30+BFH30+BFL30+BFP30+BFT30+BFX30</f>
        <v>365704.05779999995</v>
      </c>
      <c r="BGC30" s="729">
        <f>BFA30+BFE30+BFI30+BFM30+BFQ30+BFU30+BFY30</f>
        <v>0</v>
      </c>
      <c r="BGD30" s="711">
        <f>BGC30/BGA30</f>
        <v>0</v>
      </c>
      <c r="BGE30" s="593">
        <f>'Proy 2022 vs 2019 sem'!KA29*BGH$4</f>
        <v>63655.402799999989</v>
      </c>
      <c r="BGF30" s="593">
        <f>'Proy 2022 vs 2019 sem'!KB29*BGH$4</f>
        <v>59199.524603999991</v>
      </c>
      <c r="BGG30" s="699"/>
      <c r="BGH30" s="700">
        <f>BGG30/BGE30</f>
        <v>0</v>
      </c>
      <c r="BGI30" s="593">
        <f>'Proy 2022 vs 2019 sem'!KA29*BGL$4</f>
        <v>63655.402799999989</v>
      </c>
      <c r="BGJ30" s="593">
        <f>'Proy 2022 vs 2019 sem'!KB29*BGL$4</f>
        <v>59199.524603999991</v>
      </c>
      <c r="BGK30" s="699"/>
      <c r="BGL30" s="700">
        <f>BGK30/BGI30</f>
        <v>0</v>
      </c>
      <c r="BGM30" s="593">
        <f>'Proy 2022 vs 2019 sem'!KA29*BGP$4</f>
        <v>63655.402799999989</v>
      </c>
      <c r="BGN30" s="593">
        <f>'Proy 2022 vs 2019 sem'!KB29*BGP$4</f>
        <v>59199.524603999991</v>
      </c>
      <c r="BGO30" s="699"/>
      <c r="BGP30" s="700">
        <f>BGO30/BGM30</f>
        <v>0</v>
      </c>
      <c r="BGQ30" s="593">
        <f>'Proy 2022 vs 2019 sem'!KA29*BGT$4</f>
        <v>63655.402799999989</v>
      </c>
      <c r="BGR30" s="593">
        <f>'Proy 2022 vs 2019 sem'!KB29*BGT$4</f>
        <v>59199.524603999991</v>
      </c>
      <c r="BGS30" s="699"/>
      <c r="BGT30" s="700">
        <f>BGS30/BGQ30</f>
        <v>0</v>
      </c>
      <c r="BGU30" s="593">
        <f>'Proy 2022 vs 2019 sem'!KA29*BGX$4</f>
        <v>74264.636599999998</v>
      </c>
      <c r="BGV30" s="593">
        <f>'Proy 2022 vs 2019 sem'!KB29*BGX$4</f>
        <v>69066.112038000007</v>
      </c>
      <c r="BGW30" s="699"/>
      <c r="BGX30" s="700">
        <f>BGW30/BGU30</f>
        <v>0</v>
      </c>
      <c r="BGY30" s="593">
        <f>'Proy 2022 vs 2019 sem'!KA29*BHB$4</f>
        <v>84873.8704</v>
      </c>
      <c r="BGZ30" s="593">
        <f>'Proy 2022 vs 2019 sem'!KB29*BHB$4</f>
        <v>78932.699471999993</v>
      </c>
      <c r="BHA30" s="699"/>
      <c r="BHB30" s="700">
        <f>BHA30/BGY30</f>
        <v>0</v>
      </c>
      <c r="BHC30" s="593">
        <f>'Proy 2022 vs 2019 sem'!KA29*BHF$4</f>
        <v>116701.57179999999</v>
      </c>
      <c r="BHD30" s="593">
        <f>'Proy 2022 vs 2019 sem'!KB29*BHF$4</f>
        <v>108532.461774</v>
      </c>
      <c r="BHE30" s="699"/>
      <c r="BHF30" s="700">
        <f>BHE30/BHC30</f>
        <v>0</v>
      </c>
      <c r="BHG30" s="579">
        <f>BGE30+BGI30+BGM30+BGQ30+BGU30+BGY30+BHC30</f>
        <v>530461.68999999994</v>
      </c>
      <c r="BHH30" s="574">
        <f>BGF30+BGJ30+BGN30+BGR30+BGV30+BGZ30+BHD30</f>
        <v>493329.37170000002</v>
      </c>
      <c r="BHI30" s="730">
        <f>BGG30+BGK30+BGO30+BGS30+BGW30+BHA30+BHE30</f>
        <v>0</v>
      </c>
      <c r="BHJ30" s="711">
        <f>BHI30/BHG30</f>
        <v>0</v>
      </c>
      <c r="BHK30" s="593">
        <f>'Proy 2022 vs 2019 sem'!KF29*BHN$4</f>
        <v>77293.317599999995</v>
      </c>
      <c r="BHL30" s="593">
        <f>'Proy 2022 vs 2019 sem'!KG29*BHN$4</f>
        <v>71882.785367999997</v>
      </c>
      <c r="BHM30" s="699"/>
      <c r="BHN30" s="700">
        <f>BHM30/BHK30</f>
        <v>0</v>
      </c>
      <c r="BHO30" s="593">
        <f>'Proy 2022 vs 2019 sem'!KF29*BHR$4</f>
        <v>77293.317599999995</v>
      </c>
      <c r="BHP30" s="593">
        <f>'Proy 2022 vs 2019 sem'!KG29*BHR$4</f>
        <v>71882.785367999997</v>
      </c>
      <c r="BHQ30" s="699"/>
      <c r="BHR30" s="700">
        <f>BHQ30/BHO30</f>
        <v>0</v>
      </c>
      <c r="BHS30" s="593">
        <f>'Proy 2022 vs 2019 sem'!KF29*BHV$4</f>
        <v>77293.317599999995</v>
      </c>
      <c r="BHT30" s="593">
        <f>'Proy 2022 vs 2019 sem'!KG29*BHV$4</f>
        <v>71882.785367999997</v>
      </c>
      <c r="BHU30" s="699"/>
      <c r="BHV30" s="700">
        <f>BHU30/BHS30</f>
        <v>0</v>
      </c>
      <c r="BHW30" s="593">
        <f>'Proy 2022 vs 2019 sem'!KF29*BHZ$4</f>
        <v>77293.317599999995</v>
      </c>
      <c r="BHX30" s="593">
        <f>'Proy 2022 vs 2019 sem'!KG29*BHZ$4</f>
        <v>71882.785367999997</v>
      </c>
      <c r="BHY30" s="699"/>
      <c r="BHZ30" s="700">
        <f>BHY30/BHW30</f>
        <v>0</v>
      </c>
      <c r="BIA30" s="593">
        <f>'Proy 2022 vs 2019 sem'!KF29*BID$4</f>
        <v>90175.537200000006</v>
      </c>
      <c r="BIB30" s="593">
        <f>'Proy 2022 vs 2019 sem'!KG29*BID$4</f>
        <v>83863.249596000009</v>
      </c>
      <c r="BIC30" s="699"/>
      <c r="BID30" s="700">
        <f>BIC30/BIA30</f>
        <v>0</v>
      </c>
      <c r="BIE30" s="593">
        <f>'Proy 2022 vs 2019 sem'!KF29*BIH$4</f>
        <v>103057.7568</v>
      </c>
      <c r="BIF30" s="593">
        <f>'Proy 2022 vs 2019 sem'!KG29*BIH$4</f>
        <v>95843.713824000006</v>
      </c>
      <c r="BIG30" s="699"/>
      <c r="BIH30" s="700">
        <f>BIG30/BIE30</f>
        <v>0</v>
      </c>
      <c r="BII30" s="593">
        <f>'Proy 2022 vs 2019 sem'!KF29*BIL$4</f>
        <v>141704.41560000001</v>
      </c>
      <c r="BIJ30" s="593">
        <f>'Proy 2022 vs 2019 sem'!KG29*BIL$4</f>
        <v>131785.106508</v>
      </c>
      <c r="BIK30" s="699"/>
      <c r="BIL30" s="700">
        <f>BIK30/BII30</f>
        <v>0</v>
      </c>
      <c r="BIM30" s="579">
        <f>BHK30+BHO30+BHS30+BHW30+BIA30+BIE30+BII30</f>
        <v>644110.98</v>
      </c>
      <c r="BIN30" s="574">
        <f>BHL30+BHP30+BHT30+BHX30+BIB30+BIF30+BIJ30</f>
        <v>599023.21139999991</v>
      </c>
      <c r="BIO30" s="730">
        <f>BHM30+BHQ30+BHU30+BHY30+BIC30+BIG30+BIK30</f>
        <v>0</v>
      </c>
      <c r="BIP30" s="711">
        <f>BIO30/BIM30</f>
        <v>0</v>
      </c>
      <c r="BIQ30" s="593">
        <f>'Proy 2022 vs 2019 sem'!KK29*BIT$4</f>
        <v>68156.55720000001</v>
      </c>
      <c r="BIR30" s="593">
        <f>'Proy 2022 vs 2019 sem'!KL29*BIT$4</f>
        <v>63385.598196000006</v>
      </c>
      <c r="BIS30" s="699"/>
      <c r="BIT30" s="700">
        <f>BIS30/BIQ30</f>
        <v>0</v>
      </c>
      <c r="BIU30" s="593">
        <f>'Proy 2022 vs 2019 sem'!KK29*BIX$4</f>
        <v>68156.55720000001</v>
      </c>
      <c r="BIV30" s="593">
        <f>'Proy 2022 vs 2019 sem'!KL29*BIX$4</f>
        <v>63385.598196000006</v>
      </c>
      <c r="BIW30" s="699"/>
      <c r="BIX30" s="700">
        <f>BIW30/BIU30</f>
        <v>0</v>
      </c>
      <c r="BIY30" s="593">
        <f>'Proy 2022 vs 2019 sem'!KK29*BJB$4</f>
        <v>68156.55720000001</v>
      </c>
      <c r="BIZ30" s="593">
        <f>'Proy 2022 vs 2019 sem'!KL29*BJB$4</f>
        <v>63385.598196000006</v>
      </c>
      <c r="BJA30" s="699"/>
      <c r="BJB30" s="700">
        <f>BJA30/BIY30</f>
        <v>0</v>
      </c>
      <c r="BJC30" s="593">
        <f>'Proy 2022 vs 2019 sem'!KK29*BJF$4</f>
        <v>68156.55720000001</v>
      </c>
      <c r="BJD30" s="593">
        <f>'Proy 2022 vs 2019 sem'!KL29*BJF$4</f>
        <v>63385.598196000006</v>
      </c>
      <c r="BJE30" s="699"/>
      <c r="BJF30" s="700">
        <f>BJE30/BJC30</f>
        <v>0</v>
      </c>
      <c r="BJG30" s="593">
        <f>'Proy 2022 vs 2019 sem'!KK29*BJJ$4</f>
        <v>79515.983400000012</v>
      </c>
      <c r="BJH30" s="593">
        <f>'Proy 2022 vs 2019 sem'!KL29*BJJ$4</f>
        <v>73949.864562000017</v>
      </c>
      <c r="BJI30" s="699"/>
      <c r="BJJ30" s="700">
        <f>BJI30/BJG30</f>
        <v>0</v>
      </c>
      <c r="BJK30" s="593">
        <f>'Proy 2022 vs 2019 sem'!KK29*BJN$4</f>
        <v>90875.409600000014</v>
      </c>
      <c r="BJL30" s="593">
        <f>'Proy 2022 vs 2019 sem'!KL29*BJN$4</f>
        <v>84514.130928000013</v>
      </c>
      <c r="BJM30" s="699"/>
      <c r="BJN30" s="700">
        <f>BJM30/BJK30</f>
        <v>0</v>
      </c>
      <c r="BJO30" s="593">
        <f>'Proy 2022 vs 2019 sem'!KK29*BJR$4</f>
        <v>124953.68820000002</v>
      </c>
      <c r="BJP30" s="593">
        <f>'Proy 2022 vs 2019 sem'!KL29*BJR$4</f>
        <v>116206.93002600002</v>
      </c>
      <c r="BJQ30" s="699"/>
      <c r="BJR30" s="700">
        <f>BJQ30/BJO30</f>
        <v>0</v>
      </c>
      <c r="BJS30" s="579">
        <f>BIQ30+BIU30+BIY30+BJC30+BJG30+BJK30+BJO30</f>
        <v>567971.31000000006</v>
      </c>
      <c r="BJT30" s="574">
        <f>BIR30+BIV30+BIZ30+BJD30+BJH30+BJL30+BJP30</f>
        <v>528213.31830000016</v>
      </c>
      <c r="BJU30" s="710">
        <f>BIS30+BIW30+BJA30+BJE30+BJI30+BJM30+BJQ30</f>
        <v>0</v>
      </c>
      <c r="BJV30" s="711">
        <f>BJU30/BJS30</f>
        <v>0</v>
      </c>
      <c r="BJW30" s="593">
        <f>'Proy 2022 vs 2019 sem'!KP29*BJZ$4</f>
        <v>30835.252799999998</v>
      </c>
      <c r="BJX30" s="593">
        <f>'Proy 2022 vs 2019 sem'!KQ29*BJZ$4</f>
        <v>29293.490160000001</v>
      </c>
      <c r="BJY30" s="699"/>
      <c r="BJZ30" s="700">
        <f>BJY30/BJW30</f>
        <v>0</v>
      </c>
      <c r="BKA30" s="593">
        <f>'Proy 2022 vs 2019 sem'!KP29*BKD$4</f>
        <v>30835.252799999998</v>
      </c>
      <c r="BKB30" s="593">
        <f>'Proy 2022 vs 2019 sem'!KQ29*BKD$4</f>
        <v>29293.490160000001</v>
      </c>
      <c r="BKC30" s="699"/>
      <c r="BKD30" s="700">
        <f>BKC30/BKA30</f>
        <v>0</v>
      </c>
      <c r="BKE30" s="593">
        <f>'Proy 2022 vs 2019 sem'!KP29*BKH$4</f>
        <v>30835.252799999998</v>
      </c>
      <c r="BKF30" s="593">
        <f>'Proy 2022 vs 2019 sem'!KQ29*BKH$4</f>
        <v>29293.490160000001</v>
      </c>
      <c r="BKG30" s="699"/>
      <c r="BKH30" s="700">
        <f>BKG30/BKE30</f>
        <v>0</v>
      </c>
      <c r="BKI30" s="593">
        <f>'Proy 2022 vs 2019 sem'!KP29*BKL$4</f>
        <v>30835.252799999998</v>
      </c>
      <c r="BKJ30" s="593">
        <f>'Proy 2022 vs 2019 sem'!KQ29*BKL$4</f>
        <v>29293.490160000001</v>
      </c>
      <c r="BKK30" s="699"/>
      <c r="BKL30" s="700">
        <f>BKK30/BKI30</f>
        <v>0</v>
      </c>
      <c r="BKM30" s="593">
        <f>'Proy 2022 vs 2019 sem'!KP29*BKP$4</f>
        <v>35974.461600000002</v>
      </c>
      <c r="BKN30" s="593">
        <f>'Proy 2022 vs 2019 sem'!KQ29*BKP$4</f>
        <v>34175.738520000006</v>
      </c>
      <c r="BKO30" s="699"/>
      <c r="BKP30" s="700">
        <f>BKO30/BKM30</f>
        <v>0</v>
      </c>
      <c r="BKQ30" s="593">
        <f>'Proy 2022 vs 2019 sem'!KP29*BKT$4</f>
        <v>41113.670400000003</v>
      </c>
      <c r="BKR30" s="593">
        <f>'Proy 2022 vs 2019 sem'!KQ29*BKT$4</f>
        <v>39057.986880000004</v>
      </c>
      <c r="BKS30" s="699"/>
      <c r="BKT30" s="700">
        <f>BKS30/BKQ30</f>
        <v>0</v>
      </c>
      <c r="BKU30" s="593">
        <f>'Proy 2022 vs 2019 sem'!KP29*BKX$4</f>
        <v>56531.296800000004</v>
      </c>
      <c r="BKV30" s="593">
        <f>'Proy 2022 vs 2019 sem'!KQ29*BKX$4</f>
        <v>53704.731960000005</v>
      </c>
      <c r="BKW30" s="699"/>
      <c r="BKX30" s="700">
        <f>BKW30/BKU30</f>
        <v>0</v>
      </c>
      <c r="BKY30" s="579">
        <f>BJW30+BKA30+BKE30+BKI30+BKM30+BKQ30+BKU30</f>
        <v>256960.44</v>
      </c>
      <c r="BKZ30" s="574">
        <f>BJX30+BKB30+BKF30+BKJ30+BKN30+BKR30+BKV30</f>
        <v>244112.41800000003</v>
      </c>
      <c r="BLA30" s="710">
        <f>BJY30+BKC30+BKG30+BKK30+BKO30+BKS30+BKW30</f>
        <v>0</v>
      </c>
      <c r="BLB30" s="711">
        <f>BLA30/BKY30</f>
        <v>0</v>
      </c>
    </row>
    <row r="31" spans="2:1666" ht="19.5" customHeight="1">
      <c r="B31" s="930" t="s">
        <v>230</v>
      </c>
      <c r="C31" s="593">
        <f>'Proy 2022 vs 2019 sem'!$C$6*$F$4</f>
        <v>9529.1268</v>
      </c>
      <c r="D31" s="593">
        <f>'Proy 2022 vs 2019 sem'!$D$6*$F$4</f>
        <v>8480.9228519999997</v>
      </c>
      <c r="E31" s="735"/>
      <c r="F31" s="700">
        <f>E31/C31</f>
        <v>0</v>
      </c>
      <c r="G31" s="1414">
        <f>'Proy 2022 vs 2019 sem'!C30*$J$4</f>
        <v>10076.534399999999</v>
      </c>
      <c r="H31" s="593">
        <f>'Proy 2022 vs 2019 sem'!D30*$J$4</f>
        <v>8968.1156159999991</v>
      </c>
      <c r="I31" s="735"/>
      <c r="J31" s="700">
        <f>I31/G31</f>
        <v>0</v>
      </c>
      <c r="K31" s="593">
        <f>'Proy 2022 vs 2019 sem'!C30*$N$4</f>
        <v>10076.534399999999</v>
      </c>
      <c r="L31" s="593">
        <f>'Proy 2022 vs 2019 sem'!D30*N$4</f>
        <v>8968.1156159999991</v>
      </c>
      <c r="M31" s="735"/>
      <c r="N31" s="700">
        <f>M31/K31</f>
        <v>0</v>
      </c>
      <c r="O31" s="593">
        <f>'Proy 2022 vs 2019 sem'!C30*R$4</f>
        <v>10076.534399999999</v>
      </c>
      <c r="P31" s="593">
        <f>'Proy 2022 vs 2019 sem'!D30*$R$4</f>
        <v>8968.1156159999991</v>
      </c>
      <c r="Q31" s="735"/>
      <c r="R31" s="700">
        <f>Q31/O31</f>
        <v>0</v>
      </c>
      <c r="S31" s="593">
        <f>'Proy 2022 vs 2019 sem'!C30*V$4</f>
        <v>11755.9568</v>
      </c>
      <c r="T31" s="593">
        <f>'Proy 2022 vs 2019 sem'!D30*V$4</f>
        <v>10462.801552000001</v>
      </c>
      <c r="U31" s="735"/>
      <c r="V31" s="700">
        <f>U31/S31</f>
        <v>0</v>
      </c>
      <c r="W31" s="593">
        <f>'Proy 2022 vs 2019 sem'!C30*Z$4</f>
        <v>13435.379199999999</v>
      </c>
      <c r="X31" s="593">
        <f>'Proy 2022 vs 2019 sem'!D30*Z$4</f>
        <v>11957.487487999999</v>
      </c>
      <c r="Y31" s="735"/>
      <c r="Z31" s="700">
        <f>Y31/W31</f>
        <v>0</v>
      </c>
      <c r="AA31" s="593">
        <f>'Proy 2022 vs 2019 sem'!C30*AD$4</f>
        <v>18473.646399999998</v>
      </c>
      <c r="AB31" s="593">
        <f>'Proy 2022 vs 2019 sem'!D30*AD$4</f>
        <v>16441.545296</v>
      </c>
      <c r="AC31" s="735"/>
      <c r="AD31" s="700">
        <f>AC31/AA31</f>
        <v>0</v>
      </c>
      <c r="AE31" s="579">
        <f>C31+G31+K31+O31+S31+W31+AA31</f>
        <v>83423.712399999989</v>
      </c>
      <c r="AF31" s="574">
        <f>D31+H31+L31+P31+T31+X31+AB31</f>
        <v>74247.10403599999</v>
      </c>
      <c r="AG31" s="729">
        <f>E31+I31+M31+Q31+U31+Y31+AC31</f>
        <v>0</v>
      </c>
      <c r="AH31" s="711">
        <f>AG31/AE31</f>
        <v>0</v>
      </c>
      <c r="AI31" s="593">
        <f>'Proy 2022 vs 2019 sem'!H30*AL$4</f>
        <v>10072.127999999999</v>
      </c>
      <c r="AJ31" s="611">
        <f>'Proy 2022 vs 2019 sem'!I30*AL$4</f>
        <v>8964.1939199999997</v>
      </c>
      <c r="AK31" s="699"/>
      <c r="AL31" s="700">
        <f>AK31/AI31</f>
        <v>0</v>
      </c>
      <c r="AM31" s="593">
        <f>'Proy 2022 vs 2019 sem'!H30*AP$4</f>
        <v>10072.127999999999</v>
      </c>
      <c r="AN31" s="593">
        <f>'Proy 2022 vs 2019 sem'!I30*AP$4</f>
        <v>8964.1939199999997</v>
      </c>
      <c r="AO31" s="699"/>
      <c r="AP31" s="700">
        <f>AO31/AM31</f>
        <v>0</v>
      </c>
      <c r="AQ31" s="593">
        <f>'Proy 2022 vs 2019 sem'!H30*AT$4</f>
        <v>10072.127999999999</v>
      </c>
      <c r="AR31" s="593">
        <f>'Proy 2022 vs 2019 sem'!I30*AT$4</f>
        <v>8964.1939199999997</v>
      </c>
      <c r="AS31" s="699"/>
      <c r="AT31" s="700">
        <f>AS31/AQ31</f>
        <v>0</v>
      </c>
      <c r="AU31" s="593">
        <f>'Proy 2022 vs 2019 sem'!H30*AX$4</f>
        <v>10072.127999999999</v>
      </c>
      <c r="AV31" s="593">
        <f>'Proy 2022 vs 2019 sem'!I30*AX$4</f>
        <v>8964.1939199999997</v>
      </c>
      <c r="AW31" s="699"/>
      <c r="AX31" s="700">
        <f>AW31/AU31</f>
        <v>0</v>
      </c>
      <c r="AY31" s="593">
        <f>'Proy 2022 vs 2019 sem'!H30*BB$4</f>
        <v>11750.816000000001</v>
      </c>
      <c r="AZ31" s="593">
        <f>'Proy 2022 vs 2019 sem'!I30*BB$4</f>
        <v>10458.22624</v>
      </c>
      <c r="BA31" s="699"/>
      <c r="BB31" s="700">
        <f>BA31/AY31</f>
        <v>0</v>
      </c>
      <c r="BC31" s="593">
        <f>'Proy 2022 vs 2019 sem'!H30*BF$4</f>
        <v>13429.503999999999</v>
      </c>
      <c r="BD31" s="593">
        <f>'Proy 2022 vs 2019 sem'!I30*BF$4</f>
        <v>11952.25856</v>
      </c>
      <c r="BE31" s="699"/>
      <c r="BF31" s="700">
        <f>BE31/BC31</f>
        <v>0</v>
      </c>
      <c r="BG31" s="593">
        <f>'Proy 2022 vs 2019 sem'!H30*BJ$4</f>
        <v>18465.567999999999</v>
      </c>
      <c r="BH31" s="593">
        <f>'Proy 2022 vs 2019 sem'!I30*BJ$4</f>
        <v>16434.355519999997</v>
      </c>
      <c r="BI31" s="699"/>
      <c r="BJ31" s="700">
        <f>BI31/BG31</f>
        <v>0</v>
      </c>
      <c r="BK31" s="579">
        <f>AI31+AM31+AQ31+AU31+AY31+BC31+BG31</f>
        <v>83934.399999999994</v>
      </c>
      <c r="BL31" s="574">
        <f>AJ31+AN31+AR31+AV31+AZ31+BD31+BH31</f>
        <v>74701.615999999995</v>
      </c>
      <c r="BM31" s="730">
        <f>AK31+AO31+AS31+AW31+BA31+BE31+BI31</f>
        <v>0</v>
      </c>
      <c r="BN31" s="711">
        <f>BM31/BK31</f>
        <v>0</v>
      </c>
      <c r="BO31" s="593">
        <f>'Proy 2022 vs 2019 sem'!M30*BR$4</f>
        <v>9914.743199999999</v>
      </c>
      <c r="BP31" s="593">
        <f>'Proy 2022 vs 2019 sem'!N30*BR$4</f>
        <v>8923.2688800000014</v>
      </c>
      <c r="BQ31" s="699"/>
      <c r="BR31" s="700">
        <f>BQ31/BO31</f>
        <v>0</v>
      </c>
      <c r="BS31" s="593">
        <f>'Proy 2022 vs 2019 sem'!M30*BV$4</f>
        <v>9914.743199999999</v>
      </c>
      <c r="BT31" s="593">
        <f>'Proy 2022 vs 2019 sem'!N30*BV$4</f>
        <v>8923.2688800000014</v>
      </c>
      <c r="BU31" s="699"/>
      <c r="BV31" s="700">
        <f>BU31/BS31</f>
        <v>0</v>
      </c>
      <c r="BW31" s="593">
        <f>'Proy 2022 vs 2019 sem'!M30*BZ$4</f>
        <v>9914.743199999999</v>
      </c>
      <c r="BX31" s="593">
        <f>'Proy 2022 vs 2019 sem'!N30*BZ$4</f>
        <v>8923.2688800000014</v>
      </c>
      <c r="BY31" s="699"/>
      <c r="BZ31" s="700">
        <f>BY31/BW31</f>
        <v>0</v>
      </c>
      <c r="CA31" s="593">
        <f>'Proy 2022 vs 2019 sem'!M30*CD$4</f>
        <v>9914.743199999999</v>
      </c>
      <c r="CB31" s="593">
        <f>'Proy 2022 vs 2019 sem'!N30*CD$4</f>
        <v>8923.2688800000014</v>
      </c>
      <c r="CC31" s="699"/>
      <c r="CD31" s="700">
        <f>CC31/CA31</f>
        <v>0</v>
      </c>
      <c r="CE31" s="593">
        <f>'Proy 2022 vs 2019 sem'!M30*CH$4</f>
        <v>11567.200400000002</v>
      </c>
      <c r="CF31" s="593">
        <f>'Proy 2022 vs 2019 sem'!N30*CH$4</f>
        <v>10410.480360000001</v>
      </c>
      <c r="CG31" s="699"/>
      <c r="CH31" s="700">
        <f>CG31/CE31</f>
        <v>0</v>
      </c>
      <c r="CI31" s="593">
        <f>'Proy 2022 vs 2019 sem'!M30*CL$4</f>
        <v>13219.6576</v>
      </c>
      <c r="CJ31" s="593">
        <f>'Proy 2022 vs 2019 sem'!N30*CL$4</f>
        <v>11897.691840000001</v>
      </c>
      <c r="CK31" s="699"/>
      <c r="CL31" s="700">
        <f>CK31/CI31</f>
        <v>0</v>
      </c>
      <c r="CM31" s="593">
        <f>'Proy 2022 vs 2019 sem'!M30*CP$4</f>
        <v>18177.029200000001</v>
      </c>
      <c r="CN31" s="593">
        <f>'Proy 2022 vs 2019 sem'!N30*CP$4</f>
        <v>16359.326280000001</v>
      </c>
      <c r="CO31" s="699"/>
      <c r="CP31" s="700">
        <f>CO31/CM31</f>
        <v>0</v>
      </c>
      <c r="CQ31" s="579">
        <f>BO31+BS31+BW31+CA31+CE31+CI31+CM31</f>
        <v>82622.86</v>
      </c>
      <c r="CR31" s="574">
        <f>BP31+BT31+BX31+CB31+CF31+CJ31+CN31</f>
        <v>74360.574000000008</v>
      </c>
      <c r="CS31" s="730">
        <f>BQ31+BU31+BY31+CC31+CG31+CK31+CO31</f>
        <v>0</v>
      </c>
      <c r="CT31" s="711">
        <f>CS31/CQ31</f>
        <v>0</v>
      </c>
      <c r="CU31" s="593">
        <f>'Proy 2022 vs 2019 sem'!R30*CX$4</f>
        <v>9975.0335999999988</v>
      </c>
      <c r="CV31" s="593">
        <f>'Proy 2022 vs 2019 sem'!S30*CX$4</f>
        <v>8977.53024</v>
      </c>
      <c r="CW31" s="699"/>
      <c r="CX31" s="700">
        <f>CW31/CU31</f>
        <v>0</v>
      </c>
      <c r="CY31" s="593">
        <f>'Proy 2022 vs 2019 sem'!R30*DB$4</f>
        <v>9975.0335999999988</v>
      </c>
      <c r="CZ31" s="593">
        <f>'Proy 2022 vs 2019 sem'!S30*DB$4</f>
        <v>8977.53024</v>
      </c>
      <c r="DA31" s="699"/>
      <c r="DB31" s="700">
        <f>DA31/CY31</f>
        <v>0</v>
      </c>
      <c r="DC31" s="593">
        <f>'Proy 2022 vs 2019 sem'!R30*DF$4</f>
        <v>9975.0335999999988</v>
      </c>
      <c r="DD31" s="593">
        <f>'Proy 2022 vs 2019 sem'!S30*DF$4</f>
        <v>8977.53024</v>
      </c>
      <c r="DE31" s="699"/>
      <c r="DF31" s="700">
        <f>DE31/DC31</f>
        <v>0</v>
      </c>
      <c r="DG31" s="593">
        <f>'Proy 2022 vs 2019 sem'!R30*DJ$4</f>
        <v>9975.0335999999988</v>
      </c>
      <c r="DH31" s="593">
        <f>'Proy 2022 vs 2019 sem'!S30*DJ$4</f>
        <v>8977.53024</v>
      </c>
      <c r="DI31" s="699"/>
      <c r="DJ31" s="700">
        <f>DI31/DG31</f>
        <v>0</v>
      </c>
      <c r="DK31" s="593">
        <f>'Proy 2022 vs 2019 sem'!R30*DN$4</f>
        <v>11637.539200000001</v>
      </c>
      <c r="DL31" s="593">
        <f>'Proy 2022 vs 2019 sem'!S30*DN$4</f>
        <v>10473.785280000002</v>
      </c>
      <c r="DM31" s="699"/>
      <c r="DN31" s="700">
        <f>DM31/DK31</f>
        <v>0</v>
      </c>
      <c r="DO31" s="593">
        <f>'Proy 2022 vs 2019 sem'!R30*DR$4</f>
        <v>13300.0448</v>
      </c>
      <c r="DP31" s="593">
        <f>'Proy 2022 vs 2019 sem'!S30*DR$4</f>
        <v>11970.040320000002</v>
      </c>
      <c r="DQ31" s="699"/>
      <c r="DR31" s="700">
        <f>DQ31/DO31</f>
        <v>0</v>
      </c>
      <c r="DS31" s="593">
        <f>'Proy 2022 vs 2019 sem'!R30*DV$4</f>
        <v>18287.561600000001</v>
      </c>
      <c r="DT31" s="593">
        <f>'Proy 2022 vs 2019 sem'!S30*DV$4</f>
        <v>16458.80544</v>
      </c>
      <c r="DU31" s="699"/>
      <c r="DV31" s="700">
        <f>DU31/DS31</f>
        <v>0</v>
      </c>
      <c r="DW31" s="579">
        <f>CU31+CY31+DC31+DG31+DK31+DO31+DS31</f>
        <v>83125.279999999999</v>
      </c>
      <c r="DX31" s="574">
        <f>CV31+CZ31+DD31+DH31+DL31+DP31+DT31</f>
        <v>74812.752000000008</v>
      </c>
      <c r="DY31" s="710">
        <f>CW31+DA31+DE31+DI31+DM31+DQ31+DU31</f>
        <v>0</v>
      </c>
      <c r="DZ31" s="711">
        <f>DY31/DW31</f>
        <v>0</v>
      </c>
      <c r="EA31" s="593">
        <f>'Proy 2022 vs 2019 sem'!AA30*ED$4</f>
        <v>9328.3607999999986</v>
      </c>
      <c r="EB31" s="593">
        <f>'Proy 2022 vs 2019 sem'!AB30*ED$4</f>
        <v>8302.2411119999997</v>
      </c>
      <c r="EC31" s="735"/>
      <c r="ED31" s="700">
        <f>EC31/EA31</f>
        <v>0</v>
      </c>
      <c r="EE31" s="593">
        <f>'Proy 2022 vs 2019 sem'!AA30*EH$4</f>
        <v>9328.3607999999986</v>
      </c>
      <c r="EF31" s="593">
        <f>'Proy 2022 vs 2019 sem'!AB30*EH$4</f>
        <v>8302.2411119999997</v>
      </c>
      <c r="EG31" s="699"/>
      <c r="EH31" s="700">
        <f>EG31/EE31</f>
        <v>0</v>
      </c>
      <c r="EI31" s="593">
        <f>'Proy 2022 vs 2019 sem'!AA30*EL$4</f>
        <v>9328.3607999999986</v>
      </c>
      <c r="EJ31" s="593">
        <f>'Proy 2022 vs 2019 sem'!AB30*EL$4</f>
        <v>8302.2411119999997</v>
      </c>
      <c r="EK31" s="699"/>
      <c r="EL31" s="700">
        <f>EK31/EI31</f>
        <v>0</v>
      </c>
      <c r="EM31" s="593">
        <f>'Proy 2022 vs 2019 sem'!AA30*EP$4</f>
        <v>9328.3607999999986</v>
      </c>
      <c r="EN31" s="593">
        <f>'Proy 2022 vs 2019 sem'!AB30*EP$4</f>
        <v>8302.2411119999997</v>
      </c>
      <c r="EO31" s="699"/>
      <c r="EP31" s="700">
        <f>EO31/EM31</f>
        <v>0</v>
      </c>
      <c r="EQ31" s="593">
        <f>'Proy 2022 vs 2019 sem'!AA30*ET$4</f>
        <v>10883.087600000001</v>
      </c>
      <c r="ER31" s="593">
        <f>'Proy 2022 vs 2019 sem'!AB30*ET$4</f>
        <v>9685.9479640000009</v>
      </c>
      <c r="ES31" s="699"/>
      <c r="ET31" s="700">
        <f>ES31/EQ31</f>
        <v>0</v>
      </c>
      <c r="EU31" s="593">
        <f>'Proy 2022 vs 2019 sem'!AA30*EX$4</f>
        <v>12437.814399999999</v>
      </c>
      <c r="EV31" s="593">
        <f>'Proy 2022 vs 2019 sem'!AB30*EX$4</f>
        <v>11069.654816</v>
      </c>
      <c r="EW31" s="699"/>
      <c r="EX31" s="700">
        <f>EW31/EU31</f>
        <v>0</v>
      </c>
      <c r="EY31" s="593">
        <f>'Proy 2022 vs 2019 sem'!AA30*FB$4</f>
        <v>17101.9948</v>
      </c>
      <c r="EZ31" s="593">
        <f>'Proy 2022 vs 2019 sem'!AB30*FB$4</f>
        <v>15220.775372</v>
      </c>
      <c r="FA31" s="699"/>
      <c r="FB31" s="700">
        <f>FA31/EY31</f>
        <v>0</v>
      </c>
      <c r="FC31" s="579">
        <f>EA31+EE31+EI31+EM31+EQ31+EU31+EY31</f>
        <v>77736.34</v>
      </c>
      <c r="FD31" s="574">
        <f>EB31+EF31+EJ31+EN31+ER31+EV31+EZ31</f>
        <v>69185.342600000004</v>
      </c>
      <c r="FE31" s="793">
        <f>EC31+EG31+EK31+EO31+ES31+EW31+FA31</f>
        <v>0</v>
      </c>
      <c r="FF31" s="786">
        <f>FE31/FC31</f>
        <v>0</v>
      </c>
      <c r="FG31" s="593">
        <f>'Proy 2022 vs 2019 sem'!AF30*FJ$4</f>
        <v>10929.017999999998</v>
      </c>
      <c r="FH31" s="593">
        <f>'Proy 2022 vs 2019 sem'!AG30*FJ$4</f>
        <v>9726.8260199999986</v>
      </c>
      <c r="FI31" s="699"/>
      <c r="FJ31" s="700">
        <f>FI31/FG31</f>
        <v>0</v>
      </c>
      <c r="FK31" s="593">
        <f>'Proy 2022 vs 2019 sem'!AF30*FN$4</f>
        <v>10929.017999999998</v>
      </c>
      <c r="FL31" s="593">
        <f>'Proy 2022 vs 2019 sem'!AG30*FN$4</f>
        <v>9726.8260199999986</v>
      </c>
      <c r="FM31" s="699"/>
      <c r="FN31" s="700">
        <f>FM31/FK31</f>
        <v>0</v>
      </c>
      <c r="FO31" s="593">
        <f>'Proy 2022 vs 2019 sem'!AF30*FR$4</f>
        <v>10929.017999999998</v>
      </c>
      <c r="FP31" s="593">
        <f>'Proy 2022 vs 2019 sem'!AG30*FR$4</f>
        <v>9726.8260199999986</v>
      </c>
      <c r="FQ31" s="699"/>
      <c r="FR31" s="700">
        <f>FQ31/FO31</f>
        <v>0</v>
      </c>
      <c r="FS31" s="593">
        <f>'Proy 2022 vs 2019 sem'!AF30*FV$4</f>
        <v>10929.017999999998</v>
      </c>
      <c r="FT31" s="593">
        <f>'Proy 2022 vs 2019 sem'!AG30*FV$4</f>
        <v>9726.8260199999986</v>
      </c>
      <c r="FU31" s="699"/>
      <c r="FV31" s="700">
        <f>FU31/FS31</f>
        <v>0</v>
      </c>
      <c r="FW31" s="593">
        <f>'Proy 2022 vs 2019 sem'!AF30*FZ$4</f>
        <v>12750.521000000001</v>
      </c>
      <c r="FX31" s="593">
        <f>'Proy 2022 vs 2019 sem'!AG30*FZ$4</f>
        <v>11347.96369</v>
      </c>
      <c r="FY31" s="699"/>
      <c r="FZ31" s="700">
        <f>FY31/FW31</f>
        <v>0</v>
      </c>
      <c r="GA31" s="593">
        <f>'Proy 2022 vs 2019 sem'!AF30*GD$4</f>
        <v>14572.023999999999</v>
      </c>
      <c r="GB31" s="593">
        <f>'Proy 2022 vs 2019 sem'!AG30*GD$4</f>
        <v>12969.101360000001</v>
      </c>
      <c r="GC31" s="699"/>
      <c r="GD31" s="700">
        <f>GC31/GA31</f>
        <v>0</v>
      </c>
      <c r="GE31" s="593">
        <f>'Proy 2022 vs 2019 sem'!AF30*GH$4</f>
        <v>20036.532999999999</v>
      </c>
      <c r="GF31" s="593">
        <f>'Proy 2022 vs 2019 sem'!AG30*GH$4</f>
        <v>17832.514370000001</v>
      </c>
      <c r="GG31" s="699"/>
      <c r="GH31" s="700">
        <f>GG31/GE31</f>
        <v>0</v>
      </c>
      <c r="GI31" s="579">
        <f>FG31+FK31+FO31+FS31+FW31+GA31+GE31</f>
        <v>91075.15</v>
      </c>
      <c r="GJ31" s="574">
        <f>FH31+FL31+FP31+FT31+FX31+GB31+GF31</f>
        <v>81056.883499999996</v>
      </c>
      <c r="GK31" s="794">
        <f>FI31+FM31+FQ31+FU31+FY31+GC31+GG31</f>
        <v>0</v>
      </c>
      <c r="GL31" s="786">
        <f>GK31/GI31</f>
        <v>0</v>
      </c>
      <c r="GM31" s="593">
        <f>'Proy 2022 vs 2019 sem'!AK30*GP$4</f>
        <v>9239.8607999999986</v>
      </c>
      <c r="GN31" s="593">
        <f>'Proy 2022 vs 2019 sem'!AL30*GP$4</f>
        <v>8315.8747199999998</v>
      </c>
      <c r="GO31" s="699"/>
      <c r="GP31" s="700">
        <f>GO31/GM31</f>
        <v>0</v>
      </c>
      <c r="GQ31" s="593">
        <f>'Proy 2022 vs 2019 sem'!AK30*GT$4</f>
        <v>9239.8607999999986</v>
      </c>
      <c r="GR31" s="593">
        <f>'Proy 2022 vs 2019 sem'!AL30*GT$4</f>
        <v>8315.8747199999998</v>
      </c>
      <c r="GS31" s="699"/>
      <c r="GT31" s="700">
        <f>GS31/GQ31</f>
        <v>0</v>
      </c>
      <c r="GU31" s="593">
        <f>'Proy 2022 vs 2019 sem'!AK30*GX$4</f>
        <v>9239.8607999999986</v>
      </c>
      <c r="GV31" s="593">
        <f>'Proy 2022 vs 2019 sem'!AL30*GX$4</f>
        <v>8315.8747199999998</v>
      </c>
      <c r="GW31" s="699"/>
      <c r="GX31" s="700">
        <f>GW31/GU31</f>
        <v>0</v>
      </c>
      <c r="GY31" s="593">
        <f>'Proy 2022 vs 2019 sem'!AK30*HB$4</f>
        <v>9239.8607999999986</v>
      </c>
      <c r="GZ31" s="593">
        <f>'Proy 2022 vs 2019 sem'!AL30*HB$4</f>
        <v>8315.8747199999998</v>
      </c>
      <c r="HA31" s="699"/>
      <c r="HB31" s="700">
        <f>HA31/GY31</f>
        <v>0</v>
      </c>
      <c r="HC31" s="593">
        <f>'Proy 2022 vs 2019 sem'!AK30*HF$4</f>
        <v>10779.837600000001</v>
      </c>
      <c r="HD31" s="593">
        <f>'Proy 2022 vs 2019 sem'!AL30*HF$4</f>
        <v>9701.8538400000016</v>
      </c>
      <c r="HE31" s="699"/>
      <c r="HF31" s="700">
        <f>HE31/HC31</f>
        <v>0</v>
      </c>
      <c r="HG31" s="593">
        <f>'Proy 2022 vs 2019 sem'!AK30*HJ$4</f>
        <v>12319.814399999999</v>
      </c>
      <c r="HH31" s="593">
        <f>'Proy 2022 vs 2019 sem'!AL30*HJ$4</f>
        <v>11087.832960000002</v>
      </c>
      <c r="HI31" s="699"/>
      <c r="HJ31" s="700">
        <f>HI31/HG31</f>
        <v>0</v>
      </c>
      <c r="HK31" s="593">
        <f>'Proy 2022 vs 2019 sem'!AK30*HN$4</f>
        <v>16939.7448</v>
      </c>
      <c r="HL31" s="593">
        <f>'Proy 2022 vs 2019 sem'!AL30*HN$4</f>
        <v>15245.770320000001</v>
      </c>
      <c r="HM31" s="699"/>
      <c r="HN31" s="700">
        <f>HM31/HK31</f>
        <v>0</v>
      </c>
      <c r="HO31" s="579">
        <f>GM31+GQ31+GU31+GY31+HC31+HG31+HK31</f>
        <v>76998.84</v>
      </c>
      <c r="HP31" s="574">
        <f>GN31+GR31+GV31+GZ31+HD31+HH31+HL31</f>
        <v>69298.956000000006</v>
      </c>
      <c r="HQ31" s="794">
        <f>GO31+GS31+GW31+HA31+HE31+HI31+HM31</f>
        <v>0</v>
      </c>
      <c r="HR31" s="786">
        <f>HQ31/HO31</f>
        <v>0</v>
      </c>
      <c r="HS31" s="593">
        <f>'Proy 2022 vs 2019 sem'!AK30*HV$4</f>
        <v>9239.8607999999986</v>
      </c>
      <c r="HT31" s="593">
        <f>'Proy 2022 vs 2019 sem'!AL30*HV$4</f>
        <v>8315.8747199999998</v>
      </c>
      <c r="HU31" s="699"/>
      <c r="HV31" s="700">
        <f>HU31/HS31</f>
        <v>0</v>
      </c>
      <c r="HW31" s="593">
        <f>'Proy 2022 vs 2019 sem'!AK30*HZ$4</f>
        <v>9239.8607999999986</v>
      </c>
      <c r="HX31" s="593">
        <f>'Proy 2022 vs 2019 sem'!AL30*HZ$4</f>
        <v>8315.8747199999998</v>
      </c>
      <c r="HY31" s="699"/>
      <c r="HZ31" s="700">
        <f>HY31/HW31</f>
        <v>0</v>
      </c>
      <c r="IA31" s="593">
        <f>'Proy 2022 vs 2019 sem'!AK30*ID$4</f>
        <v>9239.8607999999986</v>
      </c>
      <c r="IB31" s="593">
        <f>'Proy 2022 vs 2019 sem'!AL30*ID$4</f>
        <v>8315.8747199999998</v>
      </c>
      <c r="IC31" s="699"/>
      <c r="ID31" s="700">
        <f>IC31/IA31</f>
        <v>0</v>
      </c>
      <c r="IE31" s="593">
        <f>'Proy 2022 vs 2019 sem'!AK30*IH$4</f>
        <v>9239.8607999999986</v>
      </c>
      <c r="IF31" s="593">
        <f>'Proy 2022 vs 2019 sem'!AL30*IH$4</f>
        <v>8315.8747199999998</v>
      </c>
      <c r="IG31" s="699"/>
      <c r="IH31" s="700">
        <f>IG31/IE31</f>
        <v>0</v>
      </c>
      <c r="II31" s="593">
        <f>'Proy 2022 vs 2019 sem'!AK30*IL$4</f>
        <v>10779.837600000001</v>
      </c>
      <c r="IJ31" s="593">
        <f>'Proy 2022 vs 2019 sem'!AL30*IL$4</f>
        <v>9701.8538400000016</v>
      </c>
      <c r="IK31" s="699"/>
      <c r="IL31" s="700">
        <f>IK31/II31</f>
        <v>0</v>
      </c>
      <c r="IM31" s="593">
        <f>'Proy 2022 vs 2019 sem'!AK30*IP$4</f>
        <v>12319.814399999999</v>
      </c>
      <c r="IN31" s="593">
        <f>'Proy 2022 vs 2019 sem'!AL30*IP$4</f>
        <v>11087.832960000002</v>
      </c>
      <c r="IO31" s="699"/>
      <c r="IP31" s="700">
        <f>IO31/IM31</f>
        <v>0</v>
      </c>
      <c r="IQ31" s="593">
        <f>'Proy 2022 vs 2019 sem'!AK30*IT$4</f>
        <v>16939.7448</v>
      </c>
      <c r="IR31" s="593">
        <f>'Proy 2022 vs 2019 sem'!AL30*IT$4</f>
        <v>15245.770320000001</v>
      </c>
      <c r="IS31" s="699"/>
      <c r="IT31" s="700">
        <f>IS31/IQ31</f>
        <v>0</v>
      </c>
      <c r="IU31" s="579">
        <f>HS31+HW31+IA31+IE31+II31+IM31+IQ31</f>
        <v>76998.84</v>
      </c>
      <c r="IV31" s="574">
        <f>HT31+HX31+IB31+IF31+IJ31+IN31+IR31</f>
        <v>69298.956000000006</v>
      </c>
      <c r="IW31" s="785">
        <f>HU31+HY31+IC31+IG31+IK31+IO31+IS31</f>
        <v>0</v>
      </c>
      <c r="IX31" s="786">
        <f>IW31/IU31</f>
        <v>0</v>
      </c>
      <c r="IY31" s="593">
        <f>'Proy 2022 vs 2019 sem'!AY30*JB$4</f>
        <v>9834.3960000000006</v>
      </c>
      <c r="IZ31" s="593">
        <f>'Proy 2022 vs 2019 sem'!AZ30*JB$4</f>
        <v>8850.9563999999991</v>
      </c>
      <c r="JA31" s="735"/>
      <c r="JB31" s="700">
        <f>JA31/IY31</f>
        <v>0</v>
      </c>
      <c r="JC31" s="593">
        <f>'Proy 2022 vs 2019 sem'!AY30*JF$4</f>
        <v>9834.3960000000006</v>
      </c>
      <c r="JD31" s="593">
        <f>'Proy 2022 vs 2019 sem'!AZ30*JF$4</f>
        <v>8850.9563999999991</v>
      </c>
      <c r="JE31" s="735"/>
      <c r="JF31" s="700">
        <f>JE31/JC31</f>
        <v>0</v>
      </c>
      <c r="JG31" s="593">
        <f>'Proy 2022 vs 2019 sem'!AY30*JJ$4</f>
        <v>9834.3960000000006</v>
      </c>
      <c r="JH31" s="593">
        <f>'Proy 2022 vs 2019 sem'!AZ30*JJ$4</f>
        <v>8850.9563999999991</v>
      </c>
      <c r="JI31" s="735"/>
      <c r="JJ31" s="700">
        <f>JI31/JG31</f>
        <v>0</v>
      </c>
      <c r="JK31" s="593">
        <f>'Proy 2022 vs 2019 sem'!AY30*JN$4</f>
        <v>9834.3960000000006</v>
      </c>
      <c r="JL31" s="593">
        <f>'Proy 2022 vs 2019 sem'!AZ30*JN$4</f>
        <v>8850.9563999999991</v>
      </c>
      <c r="JM31" s="735"/>
      <c r="JN31" s="700">
        <f>JM31/JK31</f>
        <v>0</v>
      </c>
      <c r="JO31" s="593">
        <f>'Proy 2022 vs 2019 sem'!AY30*JR$4</f>
        <v>11473.462000000001</v>
      </c>
      <c r="JP31" s="593">
        <f>'Proy 2022 vs 2019 sem'!AZ30*JR$4</f>
        <v>10326.115800000001</v>
      </c>
      <c r="JQ31" s="735"/>
      <c r="JR31" s="700">
        <f>JQ31/JO31</f>
        <v>0</v>
      </c>
      <c r="JS31" s="593">
        <f>'Proy 2022 vs 2019 sem'!AY30*JV$4</f>
        <v>13112.528</v>
      </c>
      <c r="JT31" s="593">
        <f>'Proy 2022 vs 2019 sem'!AZ30*JV$4</f>
        <v>11801.2752</v>
      </c>
      <c r="JU31" s="735"/>
      <c r="JV31" s="700">
        <f>JU31/JS31</f>
        <v>0</v>
      </c>
      <c r="JW31" s="593">
        <f>'Proy 2022 vs 2019 sem'!AY30*JZ$4</f>
        <v>18029.726000000002</v>
      </c>
      <c r="JX31" s="593">
        <f>'Proy 2022 vs 2019 sem'!AZ30*JZ$4</f>
        <v>16226.7534</v>
      </c>
      <c r="JY31" s="735"/>
      <c r="JZ31" s="700">
        <f>JY31/JW31</f>
        <v>0</v>
      </c>
      <c r="KA31" s="579">
        <f>IY31+JC31+JG31+JK31+JO31+JS31+JW31</f>
        <v>81953.3</v>
      </c>
      <c r="KB31" s="574">
        <f>IZ31+JD31+JH31+JL31+JP31+JT31+JX31</f>
        <v>73757.97</v>
      </c>
      <c r="KC31" s="729">
        <f>JA31+JE31+JI31+JM31+JQ31+JU31+JY31</f>
        <v>0</v>
      </c>
      <c r="KD31" s="711">
        <f>KC31/KA31</f>
        <v>0</v>
      </c>
      <c r="KE31" s="593">
        <f>'Proy 2022 vs 2019 sem'!BD30*KH$4</f>
        <v>11272.9452</v>
      </c>
      <c r="KF31" s="593">
        <f>'Proy 2022 vs 2019 sem'!BE30*KH$4</f>
        <v>10145.650680000001</v>
      </c>
      <c r="KG31" s="699"/>
      <c r="KH31" s="700">
        <f>KG31/KE31</f>
        <v>0</v>
      </c>
      <c r="KI31" s="593">
        <f>'Proy 2022 vs 2019 sem'!BD30*KL$4</f>
        <v>11272.9452</v>
      </c>
      <c r="KJ31" s="593">
        <f>'Proy 2022 vs 2019 sem'!BE30*KL$4</f>
        <v>10145.650680000001</v>
      </c>
      <c r="KK31" s="699"/>
      <c r="KL31" s="700">
        <f>KK31/KI31</f>
        <v>0</v>
      </c>
      <c r="KM31" s="593">
        <f>'Proy 2022 vs 2019 sem'!BD30*KP$4</f>
        <v>11272.9452</v>
      </c>
      <c r="KN31" s="593">
        <f>'Proy 2022 vs 2019 sem'!BE30*KP$4</f>
        <v>10145.650680000001</v>
      </c>
      <c r="KO31" s="699"/>
      <c r="KP31" s="700">
        <f>KO31/KM31</f>
        <v>0</v>
      </c>
      <c r="KQ31" s="593">
        <f>'Proy 2022 vs 2019 sem'!BD30*KT$4</f>
        <v>11272.9452</v>
      </c>
      <c r="KR31" s="593">
        <f>'Proy 2022 vs 2019 sem'!BE30*KT$4</f>
        <v>10145.650680000001</v>
      </c>
      <c r="KS31" s="699"/>
      <c r="KT31" s="700">
        <f>KS31/KQ31</f>
        <v>0</v>
      </c>
      <c r="KU31" s="593">
        <f>'Proy 2022 vs 2019 sem'!BD30*KX$4</f>
        <v>13151.769400000003</v>
      </c>
      <c r="KV31" s="593">
        <f>'Proy 2022 vs 2019 sem'!BE30*KX$4</f>
        <v>11836.592460000002</v>
      </c>
      <c r="KW31" s="699"/>
      <c r="KX31" s="700">
        <f>KW31/KU31</f>
        <v>0</v>
      </c>
      <c r="KY31" s="593">
        <f>'Proy 2022 vs 2019 sem'!BD30*LB$4</f>
        <v>15030.593600000002</v>
      </c>
      <c r="KZ31" s="593">
        <f>'Proy 2022 vs 2019 sem'!BE30*LB$4</f>
        <v>13527.534240000001</v>
      </c>
      <c r="LA31" s="699"/>
      <c r="LB31" s="700">
        <f>LA31/KY31</f>
        <v>0</v>
      </c>
      <c r="LC31" s="593">
        <f>'Proy 2022 vs 2019 sem'!BD30*LF$4</f>
        <v>20667.066200000001</v>
      </c>
      <c r="LD31" s="593">
        <f>'Proy 2022 vs 2019 sem'!BE30*LF$4</f>
        <v>18600.35958</v>
      </c>
      <c r="LE31" s="699"/>
      <c r="LF31" s="700">
        <f>LE31/LC31</f>
        <v>0</v>
      </c>
      <c r="LG31" s="579">
        <f>KE31+KI31+KM31+KQ31+KU31+KY31+LC31</f>
        <v>93941.21</v>
      </c>
      <c r="LH31" s="574">
        <f>KF31+KJ31+KN31+KR31+KV31+KZ31+LD31</f>
        <v>84547.089000000007</v>
      </c>
      <c r="LI31" s="730">
        <f>KG31+KK31+KO31+KS31+KW31+LA31+LE31</f>
        <v>0</v>
      </c>
      <c r="LJ31" s="711">
        <f>LI31/LG31</f>
        <v>0</v>
      </c>
      <c r="LK31" s="593">
        <f>'Proy 2022 vs 2019 sem'!BI30*LN$4</f>
        <v>11809.9512</v>
      </c>
      <c r="LL31" s="593">
        <f>'Proy 2022 vs 2019 sem'!BJ30*LN$4</f>
        <v>10510.856567999999</v>
      </c>
      <c r="LM31" s="699"/>
      <c r="LN31" s="700">
        <f>LM31/LK31</f>
        <v>0</v>
      </c>
      <c r="LO31" s="593">
        <f>'Proy 2022 vs 2019 sem'!BI30*LR$4</f>
        <v>11809.9512</v>
      </c>
      <c r="LP31" s="593">
        <f>'Proy 2022 vs 2019 sem'!BJ30*LR$4</f>
        <v>10510.856567999999</v>
      </c>
      <c r="LQ31" s="699"/>
      <c r="LR31" s="700">
        <f>LQ31/LO31</f>
        <v>0</v>
      </c>
      <c r="LS31" s="593">
        <f>'Proy 2022 vs 2019 sem'!BI30*LV$4</f>
        <v>11809.9512</v>
      </c>
      <c r="LT31" s="593">
        <f>'Proy 2022 vs 2019 sem'!BJ30*LV$4</f>
        <v>10510.856567999999</v>
      </c>
      <c r="LU31" s="699"/>
      <c r="LV31" s="700">
        <f>LU31/LS31</f>
        <v>0</v>
      </c>
      <c r="LW31" s="593">
        <f>'Proy 2022 vs 2019 sem'!BI30*LZ$4</f>
        <v>11809.9512</v>
      </c>
      <c r="LX31" s="593">
        <f>'Proy 2022 vs 2019 sem'!BJ30*LZ$4</f>
        <v>10510.856567999999</v>
      </c>
      <c r="LY31" s="699"/>
      <c r="LZ31" s="700">
        <f>LY31/LW31</f>
        <v>0</v>
      </c>
      <c r="MA31" s="593">
        <f>'Proy 2022 vs 2019 sem'!BI30*MD$4</f>
        <v>13778.276400000001</v>
      </c>
      <c r="MB31" s="593">
        <f>'Proy 2022 vs 2019 sem'!BJ30*MD$4</f>
        <v>12262.665996</v>
      </c>
      <c r="MC31" s="699"/>
      <c r="MD31" s="700">
        <f>MC31/MA31</f>
        <v>0</v>
      </c>
      <c r="ME31" s="593">
        <f>'Proy 2022 vs 2019 sem'!BI30*MH$4</f>
        <v>15746.6016</v>
      </c>
      <c r="MF31" s="593">
        <f>'Proy 2022 vs 2019 sem'!BJ30*MH$4</f>
        <v>14014.475424</v>
      </c>
      <c r="MG31" s="699"/>
      <c r="MH31" s="700">
        <f>MG31/ME31</f>
        <v>0</v>
      </c>
      <c r="MI31" s="593">
        <f>'Proy 2022 vs 2019 sem'!BI30*ML$4</f>
        <v>21651.5772</v>
      </c>
      <c r="MJ31" s="593">
        <f>'Proy 2022 vs 2019 sem'!BJ30*ML$4</f>
        <v>19269.903707999998</v>
      </c>
      <c r="MK31" s="699"/>
      <c r="ML31" s="700">
        <f>MK31/MI31</f>
        <v>0</v>
      </c>
      <c r="MM31" s="579">
        <f>LK31+LO31+LS31+LW31+MA31+ME31+MI31</f>
        <v>98416.26</v>
      </c>
      <c r="MN31" s="574">
        <f>LL31+LP31+LT31+LX31+MB31+MF31+MJ31</f>
        <v>87590.471399999995</v>
      </c>
      <c r="MO31" s="730">
        <f>LM31+LQ31+LU31+LY31+MC31+MG31+MK31</f>
        <v>0</v>
      </c>
      <c r="MP31" s="711">
        <f>MO31/MM31</f>
        <v>0</v>
      </c>
      <c r="MQ31" s="593">
        <f>'Proy 2022 vs 2019 sem'!BN30*MT$4</f>
        <v>13217.824799999999</v>
      </c>
      <c r="MR31" s="593">
        <f>'Proy 2022 vs 2019 sem'!BO30*MT$4</f>
        <v>11499.507576</v>
      </c>
      <c r="MS31" s="699"/>
      <c r="MT31" s="700">
        <f>MS31/MQ31</f>
        <v>0</v>
      </c>
      <c r="MU31" s="593">
        <f>'Proy 2022 vs 2019 sem'!BN30*MX$4</f>
        <v>13217.824799999999</v>
      </c>
      <c r="MV31" s="593">
        <f>'Proy 2022 vs 2019 sem'!BO30*MX$4</f>
        <v>11499.507576</v>
      </c>
      <c r="MW31" s="699"/>
      <c r="MX31" s="700">
        <f>MW31/MU31</f>
        <v>0</v>
      </c>
      <c r="MY31" s="593">
        <f>'Proy 2022 vs 2019 sem'!BN30*NB$4</f>
        <v>13217.824799999999</v>
      </c>
      <c r="MZ31" s="593">
        <f>'Proy 2022 vs 2019 sem'!BO30*NB$4</f>
        <v>11499.507576</v>
      </c>
      <c r="NA31" s="699"/>
      <c r="NB31" s="700">
        <f>NA31/MY31</f>
        <v>0</v>
      </c>
      <c r="NC31" s="593">
        <f>'Proy 2022 vs 2019 sem'!BN30*NF$4</f>
        <v>13217.824799999999</v>
      </c>
      <c r="ND31" s="593">
        <f>'Proy 2022 vs 2019 sem'!BO30*NF$4</f>
        <v>11499.507576</v>
      </c>
      <c r="NE31" s="699"/>
      <c r="NF31" s="700">
        <f>NE31/NC31</f>
        <v>0</v>
      </c>
      <c r="NG31" s="593">
        <f>'Proy 2022 vs 2019 sem'!BN30*NJ$4</f>
        <v>15420.795600000001</v>
      </c>
      <c r="NH31" s="593">
        <f>'Proy 2022 vs 2019 sem'!BO30*NJ$4</f>
        <v>13416.092172000001</v>
      </c>
      <c r="NI31" s="699"/>
      <c r="NJ31" s="700">
        <f>NI31/NG31</f>
        <v>0</v>
      </c>
      <c r="NK31" s="593">
        <f>'Proy 2022 vs 2019 sem'!BN30*NN$4</f>
        <v>17623.7664</v>
      </c>
      <c r="NL31" s="593">
        <f>'Proy 2022 vs 2019 sem'!BO30*NN$4</f>
        <v>15332.676768000001</v>
      </c>
      <c r="NM31" s="699"/>
      <c r="NN31" s="700">
        <f>NM31/NK31</f>
        <v>0</v>
      </c>
      <c r="NO31" s="593">
        <f>'Proy 2022 vs 2019 sem'!BN30*NR$4</f>
        <v>24232.678799999998</v>
      </c>
      <c r="NP31" s="593">
        <f>'Proy 2022 vs 2019 sem'!BO30*NR$4</f>
        <v>21082.430555999999</v>
      </c>
      <c r="NQ31" s="699"/>
      <c r="NR31" s="700">
        <f>NQ31/NO31</f>
        <v>0</v>
      </c>
      <c r="NS31" s="579">
        <f>MQ31+MU31+MY31+NC31+NG31+NK31+NO31</f>
        <v>110148.53999999998</v>
      </c>
      <c r="NT31" s="574">
        <f>MR31+MV31+MZ31+ND31+NH31+NL31+NP31</f>
        <v>95829.229800000001</v>
      </c>
      <c r="NU31" s="710">
        <f>MS31+MW31+NA31+NE31+NI31+NM31+NQ31</f>
        <v>0</v>
      </c>
      <c r="NV31" s="711">
        <f>NU31/NS31</f>
        <v>0</v>
      </c>
      <c r="NW31" s="593">
        <f>'Proy 2022 vs 2019 sem'!BS30*NZ$4</f>
        <v>14820.3084</v>
      </c>
      <c r="NX31" s="593">
        <f>'Proy 2022 vs 2019 sem'!BT30*NZ$4</f>
        <v>13190.074476000002</v>
      </c>
      <c r="NY31" s="699"/>
      <c r="NZ31" s="700">
        <f>NY31/NW31</f>
        <v>0</v>
      </c>
      <c r="OA31" s="593">
        <f>'Proy 2022 vs 2019 sem'!BS30*OD$4</f>
        <v>14820.3084</v>
      </c>
      <c r="OB31" s="593">
        <f>'Proy 2022 vs 2019 sem'!BT30*OD$4</f>
        <v>13190.074476000002</v>
      </c>
      <c r="OC31" s="699"/>
      <c r="OD31" s="700">
        <f>OC31/OA31</f>
        <v>0</v>
      </c>
      <c r="OE31" s="593">
        <f>'Proy 2022 vs 2019 sem'!BS30*OH$4</f>
        <v>14820.3084</v>
      </c>
      <c r="OF31" s="593">
        <f>'Proy 2022 vs 2019 sem'!BT30*OH$4</f>
        <v>13190.074476000002</v>
      </c>
      <c r="OG31" s="699"/>
      <c r="OH31" s="700">
        <f>OG31/OE31</f>
        <v>0</v>
      </c>
      <c r="OI31" s="593">
        <f>'Proy 2022 vs 2019 sem'!BS30*OL$4</f>
        <v>14820.3084</v>
      </c>
      <c r="OJ31" s="593">
        <f>'Proy 2022 vs 2019 sem'!BT30*OL$4</f>
        <v>13190.074476000002</v>
      </c>
      <c r="OK31" s="699"/>
      <c r="OL31" s="700">
        <f>OK31/OI31</f>
        <v>0</v>
      </c>
      <c r="OM31" s="593">
        <f>'Proy 2022 vs 2019 sem'!BS30*OP$4</f>
        <v>17290.359800000002</v>
      </c>
      <c r="ON31" s="593">
        <f>'Proy 2022 vs 2019 sem'!BT30*OP$4</f>
        <v>15388.420222000002</v>
      </c>
      <c r="OO31" s="699"/>
      <c r="OP31" s="700">
        <f>OO31/OM31</f>
        <v>0</v>
      </c>
      <c r="OQ31" s="593">
        <f>'Proy 2022 vs 2019 sem'!BS30*OT$4</f>
        <v>19760.411200000002</v>
      </c>
      <c r="OR31" s="593">
        <f>'Proy 2022 vs 2019 sem'!BT30*OT$4</f>
        <v>17586.765968000003</v>
      </c>
      <c r="OS31" s="699"/>
      <c r="OT31" s="700">
        <f>OS31/OQ31</f>
        <v>0</v>
      </c>
      <c r="OU31" s="593">
        <f>'Proy 2022 vs 2019 sem'!BS30*OX$4</f>
        <v>27170.565400000003</v>
      </c>
      <c r="OV31" s="593">
        <f>'Proy 2022 vs 2019 sem'!BT30*OX$4</f>
        <v>24181.803206000004</v>
      </c>
      <c r="OW31" s="699"/>
      <c r="OX31" s="700">
        <f>OW31/OU31</f>
        <v>0</v>
      </c>
      <c r="OY31" s="579">
        <f>NW31+OA31+OE31+OI31+OM31+OQ31+OU31</f>
        <v>123502.57</v>
      </c>
      <c r="OZ31" s="574">
        <f>NX31+OB31+OF31+OJ31+ON31+OR31+OV31</f>
        <v>109917.28730000003</v>
      </c>
      <c r="PA31" s="710">
        <f>NY31+OC31+OG31+OK31+OO31+OS31+OW31</f>
        <v>0</v>
      </c>
      <c r="PB31" s="711">
        <f>PA31/OY31</f>
        <v>0</v>
      </c>
      <c r="PC31" s="593">
        <f>'Proy 2022 vs 2019 sem'!CB30*PF$4</f>
        <v>13375.993199999999</v>
      </c>
      <c r="PD31" s="593">
        <f>'Proy 2022 vs 2019 sem'!CC30*PF$4</f>
        <v>11904.633948000001</v>
      </c>
      <c r="PE31" s="735"/>
      <c r="PF31" s="700">
        <f>PE31/PC31</f>
        <v>0</v>
      </c>
      <c r="PG31" s="593">
        <f>'Proy 2022 vs 2019 sem'!CB30*PJ$4</f>
        <v>13375.993199999999</v>
      </c>
      <c r="PH31" s="593">
        <f>'Proy 2022 vs 2019 sem'!CC30*PJ$4</f>
        <v>11904.633948000001</v>
      </c>
      <c r="PI31" s="699"/>
      <c r="PJ31" s="700">
        <f>PI31/PG31</f>
        <v>0</v>
      </c>
      <c r="PK31" s="593">
        <f>'Proy 2022 vs 2019 sem'!CB30*PN$4</f>
        <v>13375.993199999999</v>
      </c>
      <c r="PL31" s="593">
        <f>'Proy 2022 vs 2019 sem'!CC30*PN$4</f>
        <v>11904.633948000001</v>
      </c>
      <c r="PM31" s="699"/>
      <c r="PN31" s="700">
        <f>PM31/PK31</f>
        <v>0</v>
      </c>
      <c r="PO31" s="593">
        <f>'Proy 2022 vs 2019 sem'!CB30*PR$4</f>
        <v>13375.993199999999</v>
      </c>
      <c r="PP31" s="593">
        <f>'Proy 2022 vs 2019 sem'!CC30*PR$4</f>
        <v>11904.633948000001</v>
      </c>
      <c r="PQ31" s="699"/>
      <c r="PR31" s="700">
        <f>PQ31/PO31</f>
        <v>0</v>
      </c>
      <c r="PS31" s="593">
        <f>'Proy 2022 vs 2019 sem'!CB30*PV$4</f>
        <v>15605.325400000002</v>
      </c>
      <c r="PT31" s="593">
        <f>'Proy 2022 vs 2019 sem'!CC30*PV$4</f>
        <v>13888.739606000003</v>
      </c>
      <c r="PU31" s="699"/>
      <c r="PV31" s="700">
        <f>PU31/PS31</f>
        <v>0</v>
      </c>
      <c r="PW31" s="593">
        <f>'Proy 2022 vs 2019 sem'!CB30*PZ$4</f>
        <v>17834.657600000002</v>
      </c>
      <c r="PX31" s="593">
        <f>'Proy 2022 vs 2019 sem'!CC30*PZ$4</f>
        <v>15872.845264000001</v>
      </c>
      <c r="PY31" s="699"/>
      <c r="PZ31" s="700">
        <f>PY31/PW31</f>
        <v>0</v>
      </c>
      <c r="QA31" s="593">
        <f>'Proy 2022 vs 2019 sem'!CB30*QD$4</f>
        <v>24522.654200000001</v>
      </c>
      <c r="QB31" s="593">
        <f>'Proy 2022 vs 2019 sem'!CC30*QD$4</f>
        <v>21825.162238000001</v>
      </c>
      <c r="QC31" s="699"/>
      <c r="QD31" s="700">
        <f>QC31/QA31</f>
        <v>0</v>
      </c>
      <c r="QE31" s="579">
        <f>PC31+PG31+PK31+PO31+PS31+PW31+QA31</f>
        <v>111466.61</v>
      </c>
      <c r="QF31" s="574">
        <f>PD31+PH31+PL31+PP31+PT31+PX31+QB31</f>
        <v>99205.282900000006</v>
      </c>
      <c r="QG31" s="793">
        <f>PE31+PI31+PM31+PQ31+PU31+PY31+QC31</f>
        <v>0</v>
      </c>
      <c r="QH31" s="786">
        <f>QG31/QE31</f>
        <v>0</v>
      </c>
      <c r="QI31" s="593">
        <f>'Proy 2022 vs 2019 sem'!CG30*QL$4</f>
        <v>12622.602000000001</v>
      </c>
      <c r="QJ31" s="593">
        <f>'Proy 2022 vs 2019 sem'!CH30*QL$4</f>
        <v>11360.341800000002</v>
      </c>
      <c r="QK31" s="699"/>
      <c r="QL31" s="700">
        <f>QK31/QI31</f>
        <v>0</v>
      </c>
      <c r="QM31" s="593">
        <f>'Proy 2022 vs 2019 sem'!CG30*QP$4</f>
        <v>12622.602000000001</v>
      </c>
      <c r="QN31" s="593">
        <f>'Proy 2022 vs 2019 sem'!CH30*QP$4</f>
        <v>11360.341800000002</v>
      </c>
      <c r="QO31" s="699"/>
      <c r="QP31" s="700">
        <f>QO31/QM31</f>
        <v>0</v>
      </c>
      <c r="QQ31" s="593">
        <f>'Proy 2022 vs 2019 sem'!CG30*QT$4</f>
        <v>12622.602000000001</v>
      </c>
      <c r="QR31" s="593">
        <f>'Proy 2022 vs 2019 sem'!CH30*QT$4</f>
        <v>11360.341800000002</v>
      </c>
      <c r="QS31" s="699"/>
      <c r="QT31" s="700">
        <f>QS31/QQ31</f>
        <v>0</v>
      </c>
      <c r="QU31" s="593">
        <f>'Proy 2022 vs 2019 sem'!CG30*QX$4</f>
        <v>12622.602000000001</v>
      </c>
      <c r="QV31" s="593">
        <f>'Proy 2022 vs 2019 sem'!CH30*QX$4</f>
        <v>11360.341800000002</v>
      </c>
      <c r="QW31" s="699"/>
      <c r="QX31" s="700">
        <f>QW31/QU31</f>
        <v>0</v>
      </c>
      <c r="QY31" s="593">
        <f>'Proy 2022 vs 2019 sem'!CG30*RB$4</f>
        <v>14726.369000000002</v>
      </c>
      <c r="QZ31" s="593">
        <f>'Proy 2022 vs 2019 sem'!CH30*RB$4</f>
        <v>13253.732100000003</v>
      </c>
      <c r="RA31" s="699"/>
      <c r="RB31" s="700">
        <f>RA31/QY31</f>
        <v>0</v>
      </c>
      <c r="RC31" s="593">
        <f>'Proy 2022 vs 2019 sem'!CG30*RF$4</f>
        <v>16830.136000000002</v>
      </c>
      <c r="RD31" s="593">
        <f>'Proy 2022 vs 2019 sem'!CH30*RF$4</f>
        <v>15147.122400000002</v>
      </c>
      <c r="RE31" s="699"/>
      <c r="RF31" s="700">
        <f>RE31/RC31</f>
        <v>0</v>
      </c>
      <c r="RG31" s="593">
        <f>'Proy 2022 vs 2019 sem'!CG30*RJ$4</f>
        <v>23141.437000000002</v>
      </c>
      <c r="RH31" s="593">
        <f>'Proy 2022 vs 2019 sem'!CH30*RJ$4</f>
        <v>20827.293300000005</v>
      </c>
      <c r="RI31" s="699"/>
      <c r="RJ31" s="700">
        <f>RI31/RG31</f>
        <v>0</v>
      </c>
      <c r="RK31" s="579">
        <f>QI31+QM31+QQ31+QU31+QY31+RC31+RG31</f>
        <v>105188.35</v>
      </c>
      <c r="RL31" s="574">
        <f>QJ31+QN31+QR31+QV31+QZ31+RD31+RH31</f>
        <v>94669.515000000014</v>
      </c>
      <c r="RM31" s="794">
        <f>QK31+QO31+QS31+QW31+RA31+RE31+RI31</f>
        <v>0</v>
      </c>
      <c r="RN31" s="786">
        <f>RM31/RK31</f>
        <v>0</v>
      </c>
      <c r="RO31" s="593">
        <f>'Proy 2022 vs 2019 sem'!CL30*RR$4</f>
        <v>10921.281599999998</v>
      </c>
      <c r="RP31" s="593">
        <f>'Proy 2022 vs 2019 sem'!CM30*RR$4</f>
        <v>9829.1534399999982</v>
      </c>
      <c r="RQ31" s="699"/>
      <c r="RR31" s="700">
        <f>RQ31/RO31</f>
        <v>0</v>
      </c>
      <c r="RS31" s="593">
        <f>'Proy 2022 vs 2019 sem'!CL30*RV$4</f>
        <v>10921.281599999998</v>
      </c>
      <c r="RT31" s="593">
        <f>'Proy 2022 vs 2019 sem'!CM30*RV$4</f>
        <v>9829.1534399999982</v>
      </c>
      <c r="RU31" s="699"/>
      <c r="RV31" s="700">
        <f>RU31/RS31</f>
        <v>0</v>
      </c>
      <c r="RW31" s="593">
        <f>'Proy 2022 vs 2019 sem'!CL30*RZ$4</f>
        <v>10921.281599999998</v>
      </c>
      <c r="RX31" s="593">
        <f>'Proy 2022 vs 2019 sem'!CM30*RZ$4</f>
        <v>9829.1534399999982</v>
      </c>
      <c r="RY31" s="699"/>
      <c r="RZ31" s="700">
        <f>RY31/RW31</f>
        <v>0</v>
      </c>
      <c r="SA31" s="593">
        <f>'Proy 2022 vs 2019 sem'!CL30*SD$4</f>
        <v>10921.281599999998</v>
      </c>
      <c r="SB31" s="593">
        <f>'Proy 2022 vs 2019 sem'!CM30*SD$4</f>
        <v>9829.1534399999982</v>
      </c>
      <c r="SC31" s="699"/>
      <c r="SD31" s="700">
        <f>SC31/SA31</f>
        <v>0</v>
      </c>
      <c r="SE31" s="593">
        <f>'Proy 2022 vs 2019 sem'!CL30*SH$4</f>
        <v>12741.495199999999</v>
      </c>
      <c r="SF31" s="593">
        <f>'Proy 2022 vs 2019 sem'!CM30*SH$4</f>
        <v>11467.34568</v>
      </c>
      <c r="SG31" s="699"/>
      <c r="SH31" s="700">
        <f>SG31/SE31</f>
        <v>0</v>
      </c>
      <c r="SI31" s="593">
        <f>'Proy 2022 vs 2019 sem'!CL30*SL$4</f>
        <v>14561.708799999999</v>
      </c>
      <c r="SJ31" s="593">
        <f>'Proy 2022 vs 2019 sem'!CM30*SL$4</f>
        <v>13105.537919999999</v>
      </c>
      <c r="SK31" s="699"/>
      <c r="SL31" s="700">
        <f>SK31/SI31</f>
        <v>0</v>
      </c>
      <c r="SM31" s="593">
        <f>'Proy 2022 vs 2019 sem'!CL30*SP$4</f>
        <v>20022.349599999998</v>
      </c>
      <c r="SN31" s="593">
        <f>'Proy 2022 vs 2019 sem'!CM30*SP$4</f>
        <v>18020.11464</v>
      </c>
      <c r="SO31" s="699"/>
      <c r="SP31" s="700">
        <f>SO31/SM31</f>
        <v>0</v>
      </c>
      <c r="SQ31" s="579">
        <f>RO31+RS31+RW31+SA31+SE31+SI31+SM31</f>
        <v>91010.68</v>
      </c>
      <c r="SR31" s="574">
        <f>RP31+RT31+RX31+SB31+SF31+SJ31+SN31</f>
        <v>81909.611999999994</v>
      </c>
      <c r="SS31" s="794">
        <f>RQ31+RU31+RY31+SC31+SG31+SK31+SO31</f>
        <v>0</v>
      </c>
      <c r="ST31" s="786">
        <f>SS31/SQ31</f>
        <v>0</v>
      </c>
      <c r="SU31" s="593">
        <f>'Proy 2022 vs 2019 sem'!CQ30*SX$4</f>
        <v>11142.008400000001</v>
      </c>
      <c r="SV31" s="593">
        <f>'Proy 2022 vs 2019 sem'!CR30*SX$4</f>
        <v>10139.227644000001</v>
      </c>
      <c r="SW31" s="699"/>
      <c r="SX31" s="700">
        <f>SW31/SU31</f>
        <v>0</v>
      </c>
      <c r="SY31" s="593">
        <f>'Proy 2022 vs 2019 sem'!CQ30*TB$4</f>
        <v>11142.008400000001</v>
      </c>
      <c r="SZ31" s="593">
        <f>'Proy 2022 vs 2019 sem'!CR30*TB$4</f>
        <v>10139.227644000001</v>
      </c>
      <c r="TA31" s="699"/>
      <c r="TB31" s="700">
        <f>TA31/SY31</f>
        <v>0</v>
      </c>
      <c r="TC31" s="593">
        <f>'Proy 2022 vs 2019 sem'!CQ30*TF$4</f>
        <v>11142.008400000001</v>
      </c>
      <c r="TD31" s="593">
        <f>'Proy 2022 vs 2019 sem'!CR30*TF$4</f>
        <v>10139.227644000001</v>
      </c>
      <c r="TE31" s="699"/>
      <c r="TF31" s="700">
        <f>TE31/TC31</f>
        <v>0</v>
      </c>
      <c r="TG31" s="593">
        <f>'Proy 2022 vs 2019 sem'!CQ30*TJ$4</f>
        <v>11142.008400000001</v>
      </c>
      <c r="TH31" s="593">
        <f>'Proy 2022 vs 2019 sem'!CR30*TJ$4</f>
        <v>10139.227644000001</v>
      </c>
      <c r="TI31" s="699"/>
      <c r="TJ31" s="700">
        <f>TI31/TG31</f>
        <v>0</v>
      </c>
      <c r="TK31" s="593">
        <f>'Proy 2022 vs 2019 sem'!CQ30*TN$4</f>
        <v>12999.009800000002</v>
      </c>
      <c r="TL31" s="593">
        <f>'Proy 2022 vs 2019 sem'!CR30*TN$4</f>
        <v>11829.098918000003</v>
      </c>
      <c r="TM31" s="699"/>
      <c r="TN31" s="700">
        <f>TM31/TK31</f>
        <v>0</v>
      </c>
      <c r="TO31" s="593">
        <f>'Proy 2022 vs 2019 sem'!CQ30*TR$4</f>
        <v>14856.011200000001</v>
      </c>
      <c r="TP31" s="593">
        <f>'Proy 2022 vs 2019 sem'!CR30*TR$4</f>
        <v>13518.970192000002</v>
      </c>
      <c r="TQ31" s="699"/>
      <c r="TR31" s="700">
        <f>TQ31/TO31</f>
        <v>0</v>
      </c>
      <c r="TS31" s="593">
        <f>'Proy 2022 vs 2019 sem'!CQ30*TV$4</f>
        <v>20427.0154</v>
      </c>
      <c r="TT31" s="593">
        <f>'Proy 2022 vs 2019 sem'!CR30*TV$4</f>
        <v>18588.584014000004</v>
      </c>
      <c r="TU31" s="699"/>
      <c r="TV31" s="700">
        <f>TU31/TS31</f>
        <v>0</v>
      </c>
      <c r="TW31" s="579">
        <f>SU31+SY31+TC31+TG31+TK31+TO31+TS31</f>
        <v>92850.07</v>
      </c>
      <c r="TX31" s="574">
        <f>SV31+SZ31+TD31+TH31+TL31+TP31+TT31</f>
        <v>84493.563700000013</v>
      </c>
      <c r="TY31" s="785">
        <f>SW31+TA31+TE31+TI31+TM31+TQ31+TU31</f>
        <v>0</v>
      </c>
      <c r="TZ31" s="786">
        <f>TY31/TW31</f>
        <v>0</v>
      </c>
      <c r="UA31" s="593">
        <f>'Proy 2022 vs 2019 sem'!CZ30*UD$4</f>
        <v>16285.765199999998</v>
      </c>
      <c r="UB31" s="593">
        <f>'Proy 2022 vs 2019 sem'!DA30*UD$4</f>
        <v>14657.188679999999</v>
      </c>
      <c r="UC31" s="735"/>
      <c r="UD31" s="700">
        <f>UC31/UA31</f>
        <v>0</v>
      </c>
      <c r="UE31" s="593">
        <f>'Proy 2022 vs 2019 sem'!CZ30*UH$4</f>
        <v>16285.765199999998</v>
      </c>
      <c r="UF31" s="593">
        <f>'Proy 2022 vs 2019 sem'!DA30*UH$4</f>
        <v>14657.188679999999</v>
      </c>
      <c r="UG31" s="699"/>
      <c r="UH31" s="700">
        <f>UG31/UE31</f>
        <v>0</v>
      </c>
      <c r="UI31" s="593">
        <f>'Proy 2022 vs 2019 sem'!CZ30*UL$4</f>
        <v>16285.765199999998</v>
      </c>
      <c r="UJ31" s="593">
        <f>'Proy 2022 vs 2019 sem'!DA30*UL$4</f>
        <v>14657.188679999999</v>
      </c>
      <c r="UK31" s="699"/>
      <c r="UL31" s="700">
        <f>UK31/UI31</f>
        <v>0</v>
      </c>
      <c r="UM31" s="593">
        <f>'Proy 2022 vs 2019 sem'!CZ30*UP$4</f>
        <v>16285.765199999998</v>
      </c>
      <c r="UN31" s="593">
        <f>'Proy 2022 vs 2019 sem'!DA30*UP$4</f>
        <v>14657.188679999999</v>
      </c>
      <c r="UO31" s="699"/>
      <c r="UP31" s="700">
        <f>UO31/UM31</f>
        <v>0</v>
      </c>
      <c r="UQ31" s="593">
        <f>'Proy 2022 vs 2019 sem'!CZ30*UT$4</f>
        <v>19000.059400000002</v>
      </c>
      <c r="UR31" s="593">
        <f>'Proy 2022 vs 2019 sem'!DA30*UT$4</f>
        <v>17100.053460000003</v>
      </c>
      <c r="US31" s="699"/>
      <c r="UT31" s="700">
        <f>US31/UQ31</f>
        <v>0</v>
      </c>
      <c r="UU31" s="593">
        <f>'Proy 2022 vs 2019 sem'!CZ30*UX$4</f>
        <v>21714.353599999999</v>
      </c>
      <c r="UV31" s="593">
        <f>'Proy 2022 vs 2019 sem'!DA30*UX$4</f>
        <v>19542.918239999999</v>
      </c>
      <c r="UW31" s="699"/>
      <c r="UX31" s="700">
        <f>UW31/UU31</f>
        <v>0</v>
      </c>
      <c r="UY31" s="593">
        <f>'Proy 2022 vs 2019 sem'!CZ30*VB$4</f>
        <v>29857.236199999999</v>
      </c>
      <c r="UZ31" s="593">
        <f>'Proy 2022 vs 2019 sem'!DA30*VB$4</f>
        <v>26871.512579999999</v>
      </c>
      <c r="VA31" s="699"/>
      <c r="VB31" s="700">
        <f>VA31/UY31</f>
        <v>0</v>
      </c>
      <c r="VC31" s="579">
        <f>UA31+UE31+UI31+UM31+UQ31+UU31+UY31</f>
        <v>135714.71</v>
      </c>
      <c r="VD31" s="574">
        <f>UB31+UF31+UJ31+UN31+UR31+UV31+UZ31</f>
        <v>122143.23899999999</v>
      </c>
      <c r="VE31" s="759">
        <f>UC31+UG31+UK31+UO31+US31+UW31+VA31</f>
        <v>0</v>
      </c>
      <c r="VF31" s="761">
        <f>VE31/VC31</f>
        <v>0</v>
      </c>
      <c r="VG31" s="593">
        <f>'Proy 2022 vs 2019 sem'!DE30*VJ$4</f>
        <v>11671.307999999999</v>
      </c>
      <c r="VH31" s="593">
        <f>'Proy 2022 vs 2019 sem'!DF30*VJ$4</f>
        <v>10504.1772</v>
      </c>
      <c r="VI31" s="699"/>
      <c r="VJ31" s="700">
        <f>VI31/VG31</f>
        <v>0</v>
      </c>
      <c r="VK31" s="593">
        <f>'Proy 2022 vs 2019 sem'!DE30*VN$4</f>
        <v>11671.307999999999</v>
      </c>
      <c r="VL31" s="593">
        <f>'Proy 2022 vs 2019 sem'!DF30*VN$4</f>
        <v>10504.1772</v>
      </c>
      <c r="VM31" s="699"/>
      <c r="VN31" s="700">
        <f>VM31/VK31</f>
        <v>0</v>
      </c>
      <c r="VO31" s="593">
        <f>'Proy 2022 vs 2019 sem'!DE30*VR$4</f>
        <v>11671.307999999999</v>
      </c>
      <c r="VP31" s="593">
        <f>'Proy 2022 vs 2019 sem'!DF30*VR$4</f>
        <v>10504.1772</v>
      </c>
      <c r="VQ31" s="699"/>
      <c r="VR31" s="700">
        <f>VQ31/VO31</f>
        <v>0</v>
      </c>
      <c r="VS31" s="593">
        <f>'Proy 2022 vs 2019 sem'!DE30*VV$4</f>
        <v>11671.307999999999</v>
      </c>
      <c r="VT31" s="593">
        <f>'Proy 2022 vs 2019 sem'!DF30*VV$4</f>
        <v>10504.1772</v>
      </c>
      <c r="VU31" s="699"/>
      <c r="VV31" s="700">
        <f>VU31/VS31</f>
        <v>0</v>
      </c>
      <c r="VW31" s="593">
        <f>'Proy 2022 vs 2019 sem'!DE30*VZ$4</f>
        <v>13616.526</v>
      </c>
      <c r="VX31" s="593">
        <f>'Proy 2022 vs 2019 sem'!DF30*VZ$4</f>
        <v>12254.8734</v>
      </c>
      <c r="VY31" s="699"/>
      <c r="VZ31" s="700">
        <f>VY31/VW31</f>
        <v>0</v>
      </c>
      <c r="WA31" s="593">
        <f>'Proy 2022 vs 2019 sem'!DE30*WD$4</f>
        <v>15561.743999999999</v>
      </c>
      <c r="WB31" s="593">
        <f>'Proy 2022 vs 2019 sem'!DF30*WD$4</f>
        <v>14005.569600000001</v>
      </c>
      <c r="WC31" s="699"/>
      <c r="WD31" s="700">
        <f>WC31/WA31</f>
        <v>0</v>
      </c>
      <c r="WE31" s="593">
        <f>'Proy 2022 vs 2019 sem'!DE30*WH$4</f>
        <v>21397.397999999997</v>
      </c>
      <c r="WF31" s="593">
        <f>'Proy 2022 vs 2019 sem'!DF30*WH$4</f>
        <v>19257.658199999998</v>
      </c>
      <c r="WG31" s="699"/>
      <c r="WH31" s="700">
        <f>WG31/WE31</f>
        <v>0</v>
      </c>
      <c r="WI31" s="579">
        <f>VG31+VK31+VO31+VS31+VW31+WA31+WE31</f>
        <v>97260.9</v>
      </c>
      <c r="WJ31" s="574">
        <f>VH31+VL31+VP31+VT31+VX31+WB31+WF31</f>
        <v>87534.81</v>
      </c>
      <c r="WK31" s="765">
        <f>VI31+VM31+VQ31+VU31+VY31+WC31+WG31</f>
        <v>0</v>
      </c>
      <c r="WL31" s="761">
        <f>WK31/WI31</f>
        <v>0</v>
      </c>
      <c r="WM31" s="593">
        <f>'Proy 2022 vs 2019 sem'!DJ30*WP$4</f>
        <v>10655.4084</v>
      </c>
      <c r="WN31" s="593">
        <f>'Proy 2022 vs 2019 sem'!DK30*WP$4</f>
        <v>9589.8675600000006</v>
      </c>
      <c r="WO31" s="699"/>
      <c r="WP31" s="700">
        <f>WO31/WM31</f>
        <v>0</v>
      </c>
      <c r="WQ31" s="593">
        <f>'Proy 2022 vs 2019 sem'!DJ30*WT$4</f>
        <v>10655.4084</v>
      </c>
      <c r="WR31" s="593">
        <f>'Proy 2022 vs 2019 sem'!DK30*WT$4</f>
        <v>9589.8675600000006</v>
      </c>
      <c r="WS31" s="699"/>
      <c r="WT31" s="700">
        <f>WS31/WQ31</f>
        <v>0</v>
      </c>
      <c r="WU31" s="593">
        <f>'Proy 2022 vs 2019 sem'!DJ30*WX$4</f>
        <v>10655.4084</v>
      </c>
      <c r="WV31" s="593">
        <f>'Proy 2022 vs 2019 sem'!DK30*WX$4</f>
        <v>9589.8675600000006</v>
      </c>
      <c r="WW31" s="699"/>
      <c r="WX31" s="700">
        <f>WW31/WU31</f>
        <v>0</v>
      </c>
      <c r="WY31" s="593">
        <f>'Proy 2022 vs 2019 sem'!DJ30*XB$4</f>
        <v>10655.4084</v>
      </c>
      <c r="WZ31" s="593">
        <f>'Proy 2022 vs 2019 sem'!DK30*XB$4</f>
        <v>9589.8675600000006</v>
      </c>
      <c r="XA31" s="699"/>
      <c r="XB31" s="700">
        <f>XA31/WY31</f>
        <v>0</v>
      </c>
      <c r="XC31" s="593">
        <f>'Proy 2022 vs 2019 sem'!DJ30*XF$4</f>
        <v>12431.309800000003</v>
      </c>
      <c r="XD31" s="593">
        <f>'Proy 2022 vs 2019 sem'!DK30*XF$4</f>
        <v>11188.178820000003</v>
      </c>
      <c r="XE31" s="699"/>
      <c r="XF31" s="700">
        <f>XE31/XC31</f>
        <v>0</v>
      </c>
      <c r="XG31" s="593">
        <f>'Proy 2022 vs 2019 sem'!DJ30*XJ$4</f>
        <v>14207.211200000002</v>
      </c>
      <c r="XH31" s="593">
        <f>'Proy 2022 vs 2019 sem'!DK30*XJ$4</f>
        <v>12786.490080000001</v>
      </c>
      <c r="XI31" s="699"/>
      <c r="XJ31" s="700">
        <f>XI31/XG31</f>
        <v>0</v>
      </c>
      <c r="XK31" s="593">
        <f>'Proy 2022 vs 2019 sem'!DJ30*XN$4</f>
        <v>19534.915400000002</v>
      </c>
      <c r="XL31" s="593">
        <f>'Proy 2022 vs 2019 sem'!DK30*XN$4</f>
        <v>17581.423860000003</v>
      </c>
      <c r="XM31" s="699"/>
      <c r="XN31" s="700">
        <f>XM31/XK31</f>
        <v>0</v>
      </c>
      <c r="XO31" s="579">
        <f>WM31+WQ31+WU31+WY31+XC31+XG31+XK31</f>
        <v>88795.07</v>
      </c>
      <c r="XP31" s="574">
        <f>WN31+WR31+WV31+WZ31+XD31+XH31+XL31</f>
        <v>79915.563000000009</v>
      </c>
      <c r="XQ31" s="765">
        <f>WO31+WS31+WW31+XA31+XE31+XI31+XM31</f>
        <v>0</v>
      </c>
      <c r="XR31" s="761">
        <f>XQ31/XO31</f>
        <v>0</v>
      </c>
      <c r="XS31" s="593">
        <f>'Proy 2022 vs 2019 sem'!DO30*XV$4</f>
        <v>10669.9236</v>
      </c>
      <c r="XT31" s="593">
        <f>'Proy 2022 vs 2019 sem'!DP30*XV$4</f>
        <v>9602.9312399999999</v>
      </c>
      <c r="XU31" s="699"/>
      <c r="XV31" s="700">
        <f>XU31/XS31</f>
        <v>0</v>
      </c>
      <c r="XW31" s="593">
        <f>'Proy 2022 vs 2019 sem'!DO30*XZ$4</f>
        <v>10669.9236</v>
      </c>
      <c r="XX31" s="593">
        <f>'Proy 2022 vs 2019 sem'!DP30*XZ$4</f>
        <v>9602.9312399999999</v>
      </c>
      <c r="XY31" s="699"/>
      <c r="XZ31" s="700">
        <f>XY31/XW31</f>
        <v>0</v>
      </c>
      <c r="YA31" s="593">
        <f>'Proy 2022 vs 2019 sem'!DO30*YD$4</f>
        <v>10669.9236</v>
      </c>
      <c r="YB31" s="593">
        <f>'Proy 2022 vs 2019 sem'!DP30*YD$4</f>
        <v>9602.9312399999999</v>
      </c>
      <c r="YC31" s="699"/>
      <c r="YD31" s="700">
        <f>YC31/YA31</f>
        <v>0</v>
      </c>
      <c r="YE31" s="593">
        <f>'Proy 2022 vs 2019 sem'!DO30*YH$4</f>
        <v>10669.9236</v>
      </c>
      <c r="YF31" s="593">
        <f>'Proy 2022 vs 2019 sem'!DP30*YH$4</f>
        <v>9602.9312399999999</v>
      </c>
      <c r="YG31" s="699"/>
      <c r="YH31" s="700">
        <f>YG31/YE31</f>
        <v>0</v>
      </c>
      <c r="YI31" s="593">
        <f>'Proy 2022 vs 2019 sem'!DO30*YL$4</f>
        <v>12448.244200000001</v>
      </c>
      <c r="YJ31" s="593">
        <f>'Proy 2022 vs 2019 sem'!DP30*YL$4</f>
        <v>11203.41978</v>
      </c>
      <c r="YK31" s="699"/>
      <c r="YL31" s="700">
        <f>YK31/YI31</f>
        <v>0</v>
      </c>
      <c r="YM31" s="593">
        <f>'Proy 2022 vs 2019 sem'!DO30*YP$4</f>
        <v>14226.5648</v>
      </c>
      <c r="YN31" s="593">
        <f>'Proy 2022 vs 2019 sem'!DP30*YP$4</f>
        <v>12803.90832</v>
      </c>
      <c r="YO31" s="699"/>
      <c r="YP31" s="700">
        <f>YO31/YM31</f>
        <v>0</v>
      </c>
      <c r="YQ31" s="593">
        <f>'Proy 2022 vs 2019 sem'!DO30*YT$4</f>
        <v>19561.526600000001</v>
      </c>
      <c r="YR31" s="593">
        <f>'Proy 2022 vs 2019 sem'!DP30*YT$4</f>
        <v>17605.373939999998</v>
      </c>
      <c r="YS31" s="699"/>
      <c r="YT31" s="700">
        <f>YS31/YQ31</f>
        <v>0</v>
      </c>
      <c r="YU31" s="579">
        <f>XS31+XW31+YA31+YE31+YI31+YM31+YQ31</f>
        <v>88916.03</v>
      </c>
      <c r="YV31" s="574">
        <f>XT31+XX31+YB31+YF31+YJ31+YN31+YR31</f>
        <v>80024.426999999996</v>
      </c>
      <c r="YW31" s="770">
        <f>XU31+XY31+YC31+YG31+YK31+YO31+YS31</f>
        <v>0</v>
      </c>
      <c r="YX31" s="761">
        <f>YW31/YU31</f>
        <v>0</v>
      </c>
      <c r="YY31" s="931">
        <f>'Proy 2022 vs 2019 sem'!DX30*ZB$4</f>
        <v>12514.6536</v>
      </c>
      <c r="YZ31" s="931">
        <f>'Proy 2022 vs 2019 sem'!DY30*ZB$4</f>
        <v>11263.188239999999</v>
      </c>
      <c r="ZA31" s="735"/>
      <c r="ZB31" s="700">
        <f>ZA31/YY31</f>
        <v>0</v>
      </c>
      <c r="ZC31" s="593">
        <f>'Proy 2022 vs 2019 sem'!DX30*ZF$4</f>
        <v>12514.6536</v>
      </c>
      <c r="ZD31" s="593">
        <f>'Proy 2022 vs 2019 sem'!DY30*ZF$4</f>
        <v>11263.188239999999</v>
      </c>
      <c r="ZE31" s="735"/>
      <c r="ZF31" s="700">
        <f>ZE31/ZC31</f>
        <v>0</v>
      </c>
      <c r="ZG31" s="593">
        <f>'Proy 2022 vs 2019 sem'!DX30*ZJ$4</f>
        <v>12514.6536</v>
      </c>
      <c r="ZH31" s="593">
        <f>'Proy 2022 vs 2019 sem'!DY30*ZJ$4</f>
        <v>11263.188239999999</v>
      </c>
      <c r="ZI31" s="735"/>
      <c r="ZJ31" s="700">
        <f>ZI31/ZG31</f>
        <v>0</v>
      </c>
      <c r="ZK31" s="593">
        <f>'Proy 2022 vs 2019 sem'!DX30*ZN$4</f>
        <v>12514.6536</v>
      </c>
      <c r="ZL31" s="593">
        <f>'Proy 2022 vs 2019 sem'!DY30*ZN$4</f>
        <v>11263.188239999999</v>
      </c>
      <c r="ZM31" s="735"/>
      <c r="ZN31" s="700">
        <f>ZM31/ZK31</f>
        <v>0</v>
      </c>
      <c r="ZO31" s="593">
        <f>'Proy 2022 vs 2019 sem'!DX30*ZR$4</f>
        <v>14600.4292</v>
      </c>
      <c r="ZP31" s="593">
        <f>'Proy 2022 vs 2019 sem'!DY30*ZR$4</f>
        <v>13140.386280000001</v>
      </c>
      <c r="ZQ31" s="735"/>
      <c r="ZR31" s="700">
        <f>ZQ31/ZO31</f>
        <v>0</v>
      </c>
      <c r="ZS31" s="593">
        <f>'Proy 2022 vs 2019 sem'!DX30*ZV$4</f>
        <v>16686.2048</v>
      </c>
      <c r="ZT31" s="593">
        <f>'Proy 2022 vs 2019 sem'!DY30*ZV$4</f>
        <v>15017.58432</v>
      </c>
      <c r="ZU31" s="735"/>
      <c r="ZV31" s="700">
        <f>ZU31/ZS31</f>
        <v>0</v>
      </c>
      <c r="ZW31" s="593">
        <f>'Proy 2022 vs 2019 sem'!DX30*ZZ$4</f>
        <v>22943.531599999998</v>
      </c>
      <c r="ZX31" s="593">
        <f>'Proy 2022 vs 2019 sem'!DY30*ZZ$4</f>
        <v>20649.17844</v>
      </c>
      <c r="ZY31" s="735"/>
      <c r="ZZ31" s="700">
        <f>ZY31/ZW31</f>
        <v>0</v>
      </c>
      <c r="AAA31" s="579">
        <f>YY31+ZC31+ZG31+ZK31+ZO31+ZS31+ZW31</f>
        <v>104288.78</v>
      </c>
      <c r="AAB31" s="574">
        <f>YZ31+ZD31+ZH31+ZL31+ZP31+ZT31+ZX31</f>
        <v>93859.902000000002</v>
      </c>
      <c r="AAC31" s="729">
        <f>ZA31+ZE31+ZI31+ZM31+ZQ31+ZU31+ZY31</f>
        <v>0</v>
      </c>
      <c r="AAD31" s="711">
        <f>AAC31/AAA31</f>
        <v>0</v>
      </c>
      <c r="AAE31" s="593">
        <f>'Proy 2022 vs 2019 sem'!EC30*AAH$4</f>
        <v>15134.346</v>
      </c>
      <c r="AAF31" s="593">
        <f>'Proy 2022 vs 2019 sem'!ED30*AAH$4</f>
        <v>13318.224479999999</v>
      </c>
      <c r="AAG31" s="699"/>
      <c r="AAH31" s="700">
        <f>AAG31/AAE31</f>
        <v>0</v>
      </c>
      <c r="AAI31" s="593">
        <f>'Proy 2022 vs 2019 sem'!EC30*AAL$4</f>
        <v>15134.346</v>
      </c>
      <c r="AAJ31" s="593">
        <f>'Proy 2022 vs 2019 sem'!ED30*AAL$4</f>
        <v>13318.224479999999</v>
      </c>
      <c r="AAK31" s="699"/>
      <c r="AAL31" s="700">
        <f>AAK31/AAI31</f>
        <v>0</v>
      </c>
      <c r="AAM31" s="593">
        <f>'Proy 2022 vs 2019 sem'!EC30*AAP$4</f>
        <v>15134.346</v>
      </c>
      <c r="AAN31" s="593">
        <f>'Proy 2022 vs 2019 sem'!ED30*AAP$4</f>
        <v>13318.224479999999</v>
      </c>
      <c r="AAO31" s="699"/>
      <c r="AAP31" s="700">
        <f>AAO31/AAM31</f>
        <v>0</v>
      </c>
      <c r="AAQ31" s="593">
        <f>'Proy 2022 vs 2019 sem'!EC30*AAT$4</f>
        <v>15134.346</v>
      </c>
      <c r="AAR31" s="593">
        <f>'Proy 2022 vs 2019 sem'!ED30*AAT$4</f>
        <v>13318.224479999999</v>
      </c>
      <c r="AAS31" s="699"/>
      <c r="AAT31" s="700">
        <f>AAS31/AAQ31</f>
        <v>0</v>
      </c>
      <c r="AAU31" s="593">
        <f>'Proy 2022 vs 2019 sem'!EC30*AAX$4</f>
        <v>17656.737000000001</v>
      </c>
      <c r="AAV31" s="593">
        <f>'Proy 2022 vs 2019 sem'!ED30*AAX$4</f>
        <v>15537.92856</v>
      </c>
      <c r="AAW31" s="699"/>
      <c r="AAX31" s="700">
        <f>AAW31/AAU31</f>
        <v>0</v>
      </c>
      <c r="AAY31" s="593">
        <f>'Proy 2022 vs 2019 sem'!EC30*ABB$4</f>
        <v>20179.128000000001</v>
      </c>
      <c r="AAZ31" s="593">
        <f>'Proy 2022 vs 2019 sem'!ED30*ABB$4</f>
        <v>17757.63264</v>
      </c>
      <c r="ABA31" s="699"/>
      <c r="ABB31" s="700">
        <f>ABA31/AAY31</f>
        <v>0</v>
      </c>
      <c r="ABC31" s="593">
        <f>'Proy 2022 vs 2019 sem'!EC30*ABF$4</f>
        <v>27746.300999999999</v>
      </c>
      <c r="ABD31" s="593">
        <f>'Proy 2022 vs 2019 sem'!ED30*ABF$4</f>
        <v>24416.744879999998</v>
      </c>
      <c r="ABE31" s="699"/>
      <c r="ABF31" s="700">
        <f>ABE31/ABC31</f>
        <v>0</v>
      </c>
      <c r="ABG31" s="579">
        <f>AAE31+AAI31+AAM31+AAQ31+AAU31+AAY31+ABC31</f>
        <v>126119.54999999999</v>
      </c>
      <c r="ABH31" s="574">
        <f>AAF31+AAJ31+AAN31+AAR31+AAV31+AAZ31+ABD31</f>
        <v>110985.20399999998</v>
      </c>
      <c r="ABI31" s="730">
        <f>AAG31+AAK31+AAO31+AAS31+AAW31+ABA31+ABE31</f>
        <v>0</v>
      </c>
      <c r="ABJ31" s="711">
        <f>ABI31/ABG31</f>
        <v>0</v>
      </c>
      <c r="ABK31" s="593">
        <f>'Proy 2022 vs 2019 sem'!EH30*ABN$4</f>
        <v>14359.520399999999</v>
      </c>
      <c r="ABL31" s="593">
        <f>'Proy 2022 vs 2019 sem'!EI30*ABN$4</f>
        <v>12779.973156</v>
      </c>
      <c r="ABM31" s="699"/>
      <c r="ABN31" s="700">
        <f>ABM31/ABK31</f>
        <v>0</v>
      </c>
      <c r="ABO31" s="593">
        <f>'Proy 2022 vs 2019 sem'!EH30*ABR$4</f>
        <v>14359.520399999999</v>
      </c>
      <c r="ABP31" s="593">
        <f>'Proy 2022 vs 2019 sem'!EI30*ABR$4</f>
        <v>12779.973156</v>
      </c>
      <c r="ABQ31" s="699"/>
      <c r="ABR31" s="700">
        <f>ABQ31/ABO31</f>
        <v>0</v>
      </c>
      <c r="ABS31" s="593">
        <f>'Proy 2022 vs 2019 sem'!EH30*ABV$4</f>
        <v>14359.520399999999</v>
      </c>
      <c r="ABT31" s="593">
        <f>'Proy 2022 vs 2019 sem'!EI30*ABV$4</f>
        <v>12779.973156</v>
      </c>
      <c r="ABU31" s="699"/>
      <c r="ABV31" s="700">
        <f>ABU31/ABS31</f>
        <v>0</v>
      </c>
      <c r="ABW31" s="593">
        <f>'Proy 2022 vs 2019 sem'!EH30*ABZ$4</f>
        <v>14359.520399999999</v>
      </c>
      <c r="ABX31" s="593">
        <f>'Proy 2022 vs 2019 sem'!EI30*ABZ$4</f>
        <v>12779.973156</v>
      </c>
      <c r="ABY31" s="699"/>
      <c r="ABZ31" s="700">
        <f>ABY31/ABW31</f>
        <v>0</v>
      </c>
      <c r="ACA31" s="593">
        <f>'Proy 2022 vs 2019 sem'!EH30*ACD$4</f>
        <v>16752.773800000003</v>
      </c>
      <c r="ACB31" s="593">
        <f>'Proy 2022 vs 2019 sem'!EI30*ACD$4</f>
        <v>14909.968682000001</v>
      </c>
      <c r="ACC31" s="699"/>
      <c r="ACD31" s="700">
        <f>ACC31/ACA31</f>
        <v>0</v>
      </c>
      <c r="ACE31" s="593">
        <f>'Proy 2022 vs 2019 sem'!EH30*ACH$4</f>
        <v>19146.0272</v>
      </c>
      <c r="ACF31" s="593">
        <f>'Proy 2022 vs 2019 sem'!EI30*ACH$4</f>
        <v>17039.964208000001</v>
      </c>
      <c r="ACG31" s="699"/>
      <c r="ACH31" s="700">
        <f>ACG31/ACE31</f>
        <v>0</v>
      </c>
      <c r="ACI31" s="593">
        <f>'Proy 2022 vs 2019 sem'!EH30*ACL$4</f>
        <v>26325.787400000001</v>
      </c>
      <c r="ACJ31" s="593">
        <f>'Proy 2022 vs 2019 sem'!EI30*ACL$4</f>
        <v>23429.950786000001</v>
      </c>
      <c r="ACK31" s="699"/>
      <c r="ACL31" s="700">
        <f>ACK31/ACI31</f>
        <v>0</v>
      </c>
      <c r="ACM31" s="579">
        <f>ABK31+ABO31+ABS31+ABW31+ACA31+ACE31+ACI31</f>
        <v>119662.67</v>
      </c>
      <c r="ACN31" s="574">
        <f>ABL31+ABP31+ABT31+ABX31+ACB31+ACF31+ACJ31</f>
        <v>106499.77630000001</v>
      </c>
      <c r="ACO31" s="730">
        <f>ABM31+ABQ31+ABU31+ABY31+ACC31+ACG31+ACK31</f>
        <v>0</v>
      </c>
      <c r="ACP31" s="711">
        <f>ACO31/ACM31</f>
        <v>0</v>
      </c>
      <c r="ACQ31" s="593">
        <f>'Proy 2022 vs 2019 sem'!EM30*ACT$4</f>
        <v>14562.2232</v>
      </c>
      <c r="ACR31" s="593">
        <f>'Proy 2022 vs 2019 sem'!EN30*ACT$4</f>
        <v>13542.867575999999</v>
      </c>
      <c r="ACS31" s="699"/>
      <c r="ACT31" s="700">
        <f>ACS31/ACQ31</f>
        <v>0</v>
      </c>
      <c r="ACU31" s="593">
        <f>'Proy 2022 vs 2019 sem'!EM30*ACX$4</f>
        <v>14562.2232</v>
      </c>
      <c r="ACV31" s="593">
        <f>'Proy 2022 vs 2019 sem'!EN30*ACX$4</f>
        <v>13542.867575999999</v>
      </c>
      <c r="ACW31" s="699"/>
      <c r="ACX31" s="700">
        <f>ACW31/ACU31</f>
        <v>0</v>
      </c>
      <c r="ACY31" s="593">
        <f>'Proy 2022 vs 2019 sem'!EM30*ADB$4</f>
        <v>14562.2232</v>
      </c>
      <c r="ACZ31" s="593">
        <f>'Proy 2022 vs 2019 sem'!EN30*ADB$4</f>
        <v>13542.867575999999</v>
      </c>
      <c r="ADA31" s="699"/>
      <c r="ADB31" s="700">
        <f>ADA31/ACY31</f>
        <v>0</v>
      </c>
      <c r="ADC31" s="593">
        <f>'Proy 2022 vs 2019 sem'!EM30*ADF$4</f>
        <v>14562.2232</v>
      </c>
      <c r="ADD31" s="593">
        <f>'Proy 2022 vs 2019 sem'!EN30*ADF$4</f>
        <v>13542.867575999999</v>
      </c>
      <c r="ADE31" s="699"/>
      <c r="ADF31" s="700">
        <f>ADE31/ADC31</f>
        <v>0</v>
      </c>
      <c r="ADG31" s="593">
        <f>'Proy 2022 vs 2019 sem'!EM30*ADJ$4</f>
        <v>16989.260400000003</v>
      </c>
      <c r="ADH31" s="593">
        <f>'Proy 2022 vs 2019 sem'!EN30*ADJ$4</f>
        <v>15800.012172000002</v>
      </c>
      <c r="ADI31" s="699"/>
      <c r="ADJ31" s="700">
        <f>ADI31/ADG31</f>
        <v>0</v>
      </c>
      <c r="ADK31" s="593">
        <f>'Proy 2022 vs 2019 sem'!EM30*ADN$4</f>
        <v>19416.297600000002</v>
      </c>
      <c r="ADL31" s="593">
        <f>'Proy 2022 vs 2019 sem'!EN30*ADN$4</f>
        <v>18057.156768000001</v>
      </c>
      <c r="ADM31" s="699"/>
      <c r="ADN31" s="700">
        <f>ADM31/ADK31</f>
        <v>0</v>
      </c>
      <c r="ADO31" s="593">
        <f>'Proy 2022 vs 2019 sem'!EM30*ADR$4</f>
        <v>26697.409200000002</v>
      </c>
      <c r="ADP31" s="593">
        <f>'Proy 2022 vs 2019 sem'!EN30*ADR$4</f>
        <v>24828.590555999999</v>
      </c>
      <c r="ADQ31" s="699"/>
      <c r="ADR31" s="700">
        <f>ADQ31/ADO31</f>
        <v>0</v>
      </c>
      <c r="ADS31" s="579">
        <f>ACQ31+ACU31+ACY31+ADC31+ADG31+ADK31+ADO31</f>
        <v>121351.86000000002</v>
      </c>
      <c r="ADT31" s="574">
        <f>ACR31+ACV31+ACZ31+ADD31+ADH31+ADL31+ADP31</f>
        <v>112857.2298</v>
      </c>
      <c r="ADU31" s="710">
        <f>ACS31+ACW31+ADA31+ADE31+ADI31+ADM31+ADQ31</f>
        <v>0</v>
      </c>
      <c r="ADV31" s="711">
        <f>ADU31/ADS31</f>
        <v>0</v>
      </c>
      <c r="ADW31" s="593">
        <f>'Proy 2022 vs 2019 sem'!ER30*ADZ$4</f>
        <v>14534.766</v>
      </c>
      <c r="ADX31" s="593">
        <f>'Proy 2022 vs 2019 sem'!ES30*ADZ$4</f>
        <v>13517.332380000002</v>
      </c>
      <c r="ADY31" s="699"/>
      <c r="ADZ31" s="700">
        <f>ADY31/ADW31</f>
        <v>0</v>
      </c>
      <c r="AEA31" s="593">
        <f>'Proy 2022 vs 2019 sem'!ER30*AED$4</f>
        <v>14534.766</v>
      </c>
      <c r="AEB31" s="593">
        <f>'Proy 2022 vs 2019 sem'!ES30*AED$4</f>
        <v>13517.332380000002</v>
      </c>
      <c r="AEC31" s="699"/>
      <c r="AED31" s="700">
        <f>AEC31/AEA31</f>
        <v>0</v>
      </c>
      <c r="AEE31" s="593">
        <f>'Proy 2022 vs 2019 sem'!ER30*AEH$4</f>
        <v>14534.766</v>
      </c>
      <c r="AEF31" s="593">
        <f>'Proy 2022 vs 2019 sem'!ES30*AEH$4</f>
        <v>13517.332380000002</v>
      </c>
      <c r="AEG31" s="699"/>
      <c r="AEH31" s="700">
        <f>AEG31/AEE31</f>
        <v>0</v>
      </c>
      <c r="AEI31" s="593">
        <f>'Proy 2022 vs 2019 sem'!ER30*AEL$4</f>
        <v>14534.766</v>
      </c>
      <c r="AEJ31" s="593">
        <f>'Proy 2022 vs 2019 sem'!ES30*AEL$4</f>
        <v>13517.332380000002</v>
      </c>
      <c r="AEK31" s="699"/>
      <c r="AEL31" s="700">
        <f>AEK31/AEI31</f>
        <v>0</v>
      </c>
      <c r="AEM31" s="593">
        <f>'Proy 2022 vs 2019 sem'!ER30*AEP$4</f>
        <v>16957.227000000003</v>
      </c>
      <c r="AEN31" s="593">
        <f>'Proy 2022 vs 2019 sem'!ES30*AEP$4</f>
        <v>15770.221110000002</v>
      </c>
      <c r="AEO31" s="699"/>
      <c r="AEP31" s="700">
        <f>AEO31/AEM31</f>
        <v>0</v>
      </c>
      <c r="AEQ31" s="593">
        <f>'Proy 2022 vs 2019 sem'!ER30*AET$4</f>
        <v>19379.688000000002</v>
      </c>
      <c r="AER31" s="593">
        <f>'Proy 2022 vs 2019 sem'!ES30*AET$4</f>
        <v>18023.109840000001</v>
      </c>
      <c r="AES31" s="699"/>
      <c r="AET31" s="700">
        <f>AES31/AEQ31</f>
        <v>0</v>
      </c>
      <c r="AEU31" s="593">
        <f>'Proy 2022 vs 2019 sem'!ER30*AEX$4</f>
        <v>26647.071</v>
      </c>
      <c r="AEV31" s="593">
        <f>'Proy 2022 vs 2019 sem'!ES30*AEX$4</f>
        <v>24781.776030000001</v>
      </c>
      <c r="AEW31" s="699"/>
      <c r="AEX31" s="700">
        <f>AEW31/AEU31</f>
        <v>0</v>
      </c>
      <c r="AEY31" s="579">
        <f>ADW31+AEA31+AEE31+AEI31+AEM31+AEQ31+AEU31</f>
        <v>121123.04999999999</v>
      </c>
      <c r="AEZ31" s="574">
        <f>ADX31+AEB31+AEF31+AEJ31+AEN31+AER31+AEV31</f>
        <v>112644.43650000001</v>
      </c>
      <c r="AFA31" s="710">
        <f>ADY31+AEC31+AEG31+AEK31+AEO31+AES31+AEW31</f>
        <v>0</v>
      </c>
      <c r="AFB31" s="711">
        <f>AFA31/AEY31</f>
        <v>0</v>
      </c>
      <c r="AFC31" s="593">
        <f>'Proy 2022 vs 2019 sem'!FA30*AFF$4</f>
        <v>13925.174399999998</v>
      </c>
      <c r="AFD31" s="593">
        <f>'Proy 2022 vs 2019 sem'!FB30*AFF$4</f>
        <v>12254.153471999998</v>
      </c>
      <c r="AFE31" s="735"/>
      <c r="AFF31" s="700">
        <f>AFE31/AFC31</f>
        <v>0</v>
      </c>
      <c r="AFG31" s="593">
        <f>'Proy 2022 vs 2019 sem'!FA30*AFJ$4</f>
        <v>13925.174399999998</v>
      </c>
      <c r="AFH31" s="593">
        <f>'Proy 2022 vs 2019 sem'!FB30*AFJ$4</f>
        <v>12254.153471999998</v>
      </c>
      <c r="AFI31" s="699"/>
      <c r="AFJ31" s="700">
        <f>AFI31/AFG31</f>
        <v>0</v>
      </c>
      <c r="AFK31" s="593">
        <f>'Proy 2022 vs 2019 sem'!FA30*AFN$4</f>
        <v>13925.174399999998</v>
      </c>
      <c r="AFL31" s="593">
        <f>'Proy 2022 vs 2019 sem'!FB30*AFN$4</f>
        <v>12254.153471999998</v>
      </c>
      <c r="AFM31" s="699"/>
      <c r="AFN31" s="700">
        <f>AFM31/AFK31</f>
        <v>0</v>
      </c>
      <c r="AFO31" s="593">
        <f>'Proy 2022 vs 2019 sem'!FA30*AFR$4</f>
        <v>13925.174399999998</v>
      </c>
      <c r="AFP31" s="593">
        <f>'Proy 2022 vs 2019 sem'!FB30*AFR$4</f>
        <v>12254.153471999998</v>
      </c>
      <c r="AFQ31" s="699"/>
      <c r="AFR31" s="700">
        <f>AFQ31/AFO31</f>
        <v>0</v>
      </c>
      <c r="AFS31" s="593">
        <f>'Proy 2022 vs 2019 sem'!FA30*AFV$4</f>
        <v>16246.036800000002</v>
      </c>
      <c r="AFT31" s="593">
        <f>'Proy 2022 vs 2019 sem'!FB30*AFV$4</f>
        <v>14296.512384</v>
      </c>
      <c r="AFU31" s="699"/>
      <c r="AFV31" s="700">
        <f>AFU31/AFS31</f>
        <v>0</v>
      </c>
      <c r="AFW31" s="593">
        <f>'Proy 2022 vs 2019 sem'!FA30*AFZ$4</f>
        <v>18566.8992</v>
      </c>
      <c r="AFX31" s="593">
        <f>'Proy 2022 vs 2019 sem'!FB30*AFZ$4</f>
        <v>16338.871295999999</v>
      </c>
      <c r="AFY31" s="699"/>
      <c r="AFZ31" s="700">
        <f>AFY31/AFW31</f>
        <v>0</v>
      </c>
      <c r="AGA31" s="593">
        <f>'Proy 2022 vs 2019 sem'!FA30*AGD$4</f>
        <v>25529.486399999998</v>
      </c>
      <c r="AGB31" s="593">
        <f>'Proy 2022 vs 2019 sem'!FB30*AGD$4</f>
        <v>22465.948031999997</v>
      </c>
      <c r="AGC31" s="699"/>
      <c r="AGD31" s="700">
        <f>AGC31/AGA31</f>
        <v>0</v>
      </c>
      <c r="AGE31" s="579">
        <f>AFC31+AFG31+AFK31+AFO31+AFS31+AFW31+AGA31</f>
        <v>116043.11999999998</v>
      </c>
      <c r="AGF31" s="574">
        <f>AFD31+AFH31+AFL31+AFP31+AFT31+AFX31+AGB31</f>
        <v>102117.94559999999</v>
      </c>
      <c r="AGG31" s="759">
        <f>AFE31+AFI31+AFM31+AFQ31+AFU31+AFY31+AGC31</f>
        <v>0</v>
      </c>
      <c r="AGH31" s="761">
        <f>AGG31/AGE31</f>
        <v>0</v>
      </c>
      <c r="AGI31" s="593">
        <f>'Proy 2022 vs 2019 sem'!FF30*AGL$4</f>
        <v>14284.131599999999</v>
      </c>
      <c r="AGJ31" s="593">
        <f>'Proy 2022 vs 2019 sem'!FG30*AGL$4</f>
        <v>12570.035807999999</v>
      </c>
      <c r="AGK31" s="699"/>
      <c r="AGL31" s="700">
        <f>AGK31/AGI31</f>
        <v>0</v>
      </c>
      <c r="AGM31" s="593">
        <f>'Proy 2022 vs 2019 sem'!FF30*AGP$4</f>
        <v>14284.131599999999</v>
      </c>
      <c r="AGN31" s="593">
        <f>'Proy 2022 vs 2019 sem'!FG30*AGP$4</f>
        <v>12570.035807999999</v>
      </c>
      <c r="AGO31" s="699"/>
      <c r="AGP31" s="700">
        <f>AGO31/AGM31</f>
        <v>0</v>
      </c>
      <c r="AGQ31" s="593">
        <f>'Proy 2022 vs 2019 sem'!FF30*AGT$4</f>
        <v>14284.131599999999</v>
      </c>
      <c r="AGR31" s="593">
        <f>'Proy 2022 vs 2019 sem'!FG30*AGT$4</f>
        <v>12570.035807999999</v>
      </c>
      <c r="AGS31" s="699"/>
      <c r="AGT31" s="700">
        <f>AGS31/AGQ31</f>
        <v>0</v>
      </c>
      <c r="AGU31" s="593">
        <f>'Proy 2022 vs 2019 sem'!FF30*AGX$4</f>
        <v>14284.131599999999</v>
      </c>
      <c r="AGV31" s="593">
        <f>'Proy 2022 vs 2019 sem'!FG30*AGX$4</f>
        <v>12570.035807999999</v>
      </c>
      <c r="AGW31" s="699"/>
      <c r="AGX31" s="700">
        <f>AGW31/AGU31</f>
        <v>0</v>
      </c>
      <c r="AGY31" s="593">
        <f>'Proy 2022 vs 2019 sem'!FF30*AHB$4</f>
        <v>16664.820200000002</v>
      </c>
      <c r="AGZ31" s="593">
        <f>'Proy 2022 vs 2019 sem'!FG30*AHB$4</f>
        <v>14665.041776000002</v>
      </c>
      <c r="AHA31" s="699"/>
      <c r="AHB31" s="700">
        <f>AHA31/AGY31</f>
        <v>0</v>
      </c>
      <c r="AHC31" s="593">
        <f>'Proy 2022 vs 2019 sem'!FF30*AHF$4</f>
        <v>19045.5088</v>
      </c>
      <c r="AHD31" s="593">
        <f>'Proy 2022 vs 2019 sem'!FG30*AHF$4</f>
        <v>16760.047744</v>
      </c>
      <c r="AHE31" s="699"/>
      <c r="AHF31" s="700">
        <f>AHE31/AHC31</f>
        <v>0</v>
      </c>
      <c r="AHG31" s="593">
        <f>'Proy 2022 vs 2019 sem'!FF30*AHJ$4</f>
        <v>26187.5746</v>
      </c>
      <c r="AHH31" s="593">
        <f>'Proy 2022 vs 2019 sem'!FG30*AHJ$4</f>
        <v>23045.065648</v>
      </c>
      <c r="AHI31" s="699"/>
      <c r="AHJ31" s="700">
        <f>AHI31/AHG31</f>
        <v>0</v>
      </c>
      <c r="AHK31" s="579">
        <f>AGI31+AGM31+AGQ31+AGU31+AGY31+AHC31+AHG31</f>
        <v>119034.43</v>
      </c>
      <c r="AHL31" s="574">
        <f>AGJ31+AGN31+AGR31+AGV31+AGZ31+AHD31+AHH31</f>
        <v>104750.2984</v>
      </c>
      <c r="AHM31" s="765">
        <f>AGK31+AGO31+AGS31+AGW31+AHA31+AHE31+AHI31</f>
        <v>0</v>
      </c>
      <c r="AHN31" s="761">
        <f>AHM31/AHK31</f>
        <v>0</v>
      </c>
      <c r="AHO31" s="593">
        <f>'Proy 2022 vs 2019 sem'!FK30*AHR$4</f>
        <v>11592.24</v>
      </c>
      <c r="AHP31" s="593">
        <f>'Proy 2022 vs 2019 sem'!FL30*AHR$4</f>
        <v>10433.016</v>
      </c>
      <c r="AHQ31" s="699"/>
      <c r="AHR31" s="700">
        <f>AHQ31/AHO31</f>
        <v>0</v>
      </c>
      <c r="AHS31" s="593">
        <f>'Proy 2022 vs 2019 sem'!FK30*AHV$4</f>
        <v>11592.24</v>
      </c>
      <c r="AHT31" s="593">
        <f>'Proy 2022 vs 2019 sem'!FL30*AHV$4</f>
        <v>10433.016</v>
      </c>
      <c r="AHU31" s="699"/>
      <c r="AHV31" s="700">
        <f>AHU31/AHS31</f>
        <v>0</v>
      </c>
      <c r="AHW31" s="593">
        <f>'Proy 2022 vs 2019 sem'!FK30*AHZ$4</f>
        <v>11592.24</v>
      </c>
      <c r="AHX31" s="593">
        <f>'Proy 2022 vs 2019 sem'!FL30*AHZ$4</f>
        <v>10433.016</v>
      </c>
      <c r="AHY31" s="699"/>
      <c r="AHZ31" s="700">
        <f>AHY31/AHW31</f>
        <v>0</v>
      </c>
      <c r="AIA31" s="593">
        <f>'Proy 2022 vs 2019 sem'!FK30*AID$4</f>
        <v>11592.24</v>
      </c>
      <c r="AIB31" s="593">
        <f>'Proy 2022 vs 2019 sem'!FL30*AID$4</f>
        <v>10433.016</v>
      </c>
      <c r="AIC31" s="699"/>
      <c r="AID31" s="700">
        <f>AIC31/AIA31</f>
        <v>0</v>
      </c>
      <c r="AIE31" s="593">
        <f>'Proy 2022 vs 2019 sem'!FK30*AIH$4</f>
        <v>13524.28</v>
      </c>
      <c r="AIF31" s="593">
        <f>'Proy 2022 vs 2019 sem'!FL30*AIH$4</f>
        <v>12171.852000000001</v>
      </c>
      <c r="AIG31" s="699"/>
      <c r="AIH31" s="700">
        <f>AIG31/AIE31</f>
        <v>0</v>
      </c>
      <c r="AII31" s="593">
        <f>'Proy 2022 vs 2019 sem'!FK30*AIL$4</f>
        <v>15456.32</v>
      </c>
      <c r="AIJ31" s="593">
        <f>'Proy 2022 vs 2019 sem'!FL30*AIL$4</f>
        <v>13910.688</v>
      </c>
      <c r="AIK31" s="699"/>
      <c r="AIL31" s="700">
        <f>AIK31/AII31</f>
        <v>0</v>
      </c>
      <c r="AIM31" s="593">
        <f>'Proy 2022 vs 2019 sem'!FK30*AIP$4</f>
        <v>21252.44</v>
      </c>
      <c r="AIN31" s="593">
        <f>'Proy 2022 vs 2019 sem'!FL30*AIP$4</f>
        <v>19127.196</v>
      </c>
      <c r="AIO31" s="699"/>
      <c r="AIP31" s="700">
        <f>AIO31/AIM31</f>
        <v>0</v>
      </c>
      <c r="AIQ31" s="579">
        <f>AHO31+AHS31+AHW31+AIA31+AIE31+AII31+AIM31</f>
        <v>96602</v>
      </c>
      <c r="AIR31" s="574">
        <f>AHP31+AHT31+AHX31+AIB31+AIF31+AIJ31+AIN31</f>
        <v>86941.799999999988</v>
      </c>
      <c r="AIS31" s="765">
        <f>AHQ31+AHU31+AHY31+AIC31+AIG31+AIK31+AIO31</f>
        <v>0</v>
      </c>
      <c r="AIT31" s="761">
        <f>AIS31/AIQ31</f>
        <v>0</v>
      </c>
      <c r="AIU31" s="593">
        <f>'Proy 2022 vs 2019 sem'!FP30*AIX$4</f>
        <v>12288.415199999999</v>
      </c>
      <c r="AIV31" s="593">
        <f>'Proy 2022 vs 2019 sem'!FQ30*AIX$4</f>
        <v>11428.226136000001</v>
      </c>
      <c r="AIW31" s="699"/>
      <c r="AIX31" s="700">
        <f>AIW31/AIU31</f>
        <v>0</v>
      </c>
      <c r="AIY31" s="593">
        <f>'Proy 2022 vs 2019 sem'!FP30*AJB$4</f>
        <v>12288.415199999999</v>
      </c>
      <c r="AIZ31" s="593">
        <f>'Proy 2022 vs 2019 sem'!FQ30*AJB$4</f>
        <v>11428.226136000001</v>
      </c>
      <c r="AJA31" s="699"/>
      <c r="AJB31" s="700">
        <f>AJA31/AIY31</f>
        <v>0</v>
      </c>
      <c r="AJC31" s="593">
        <f>'Proy 2022 vs 2019 sem'!FP30*AJF$4</f>
        <v>12288.415199999999</v>
      </c>
      <c r="AJD31" s="593">
        <f>'Proy 2022 vs 2019 sem'!FQ30*AJF$4</f>
        <v>11428.226136000001</v>
      </c>
      <c r="AJE31" s="699"/>
      <c r="AJF31" s="700">
        <f>AJE31/AJC31</f>
        <v>0</v>
      </c>
      <c r="AJG31" s="593">
        <f>'Proy 2022 vs 2019 sem'!FP30*AJJ$4</f>
        <v>12288.415199999999</v>
      </c>
      <c r="AJH31" s="593">
        <f>'Proy 2022 vs 2019 sem'!FQ30*AJJ$4</f>
        <v>11428.226136000001</v>
      </c>
      <c r="AJI31" s="699"/>
      <c r="AJJ31" s="700">
        <f>AJI31/AJG31</f>
        <v>0</v>
      </c>
      <c r="AJK31" s="593">
        <f>'Proy 2022 vs 2019 sem'!FP30*AJN$4</f>
        <v>14336.484400000003</v>
      </c>
      <c r="AJL31" s="593">
        <f>'Proy 2022 vs 2019 sem'!FQ30*AJN$4</f>
        <v>13332.930492000003</v>
      </c>
      <c r="AJM31" s="699"/>
      <c r="AJN31" s="700">
        <f>AJM31/AJK31</f>
        <v>0</v>
      </c>
      <c r="AJO31" s="593">
        <f>'Proy 2022 vs 2019 sem'!FP30*AJR$4</f>
        <v>16384.553600000003</v>
      </c>
      <c r="AJP31" s="593">
        <f>'Proy 2022 vs 2019 sem'!FQ30*AJR$4</f>
        <v>15237.634848000002</v>
      </c>
      <c r="AJQ31" s="699"/>
      <c r="AJR31" s="700">
        <f>AJQ31/AJO31</f>
        <v>0</v>
      </c>
      <c r="AJS31" s="593">
        <f>'Proy 2022 vs 2019 sem'!FP30*AJV$4</f>
        <v>22528.761200000001</v>
      </c>
      <c r="AJT31" s="593">
        <f>'Proy 2022 vs 2019 sem'!FQ30*AJV$4</f>
        <v>20951.747916000004</v>
      </c>
      <c r="AJU31" s="699"/>
      <c r="AJV31" s="700">
        <f>AJU31/AJS31</f>
        <v>0</v>
      </c>
      <c r="AJW31" s="579">
        <f>AIU31+AIY31+AJC31+AJG31+AJK31+AJO31+AJS31</f>
        <v>102403.45999999999</v>
      </c>
      <c r="AJX31" s="574">
        <f>AIV31+AIZ31+AJD31+AJH31+AJL31+AJP31+AJT31</f>
        <v>95235.217800000013</v>
      </c>
      <c r="AJY31" s="770">
        <f>AIW31+AJA31+AJE31+AJI31+AJM31+AJQ31+AJU31</f>
        <v>0</v>
      </c>
      <c r="AJZ31" s="761">
        <f>AJY31/AJW31</f>
        <v>0</v>
      </c>
      <c r="AKA31" s="593"/>
      <c r="AKB31" s="593"/>
      <c r="AKC31" s="735"/>
      <c r="AKD31" s="700" t="e">
        <f>AKC31/AKA31</f>
        <v>#DIV/0!</v>
      </c>
      <c r="AKE31" s="593">
        <v>10912.097999999998</v>
      </c>
      <c r="AKF31" s="593">
        <v>11130.339959999999</v>
      </c>
      <c r="AKG31" s="699"/>
      <c r="AKH31" s="700">
        <f>AKG31/AKE31</f>
        <v>0</v>
      </c>
      <c r="AKI31" s="593">
        <v>10912.097999999998</v>
      </c>
      <c r="AKJ31" s="593">
        <v>11130.339959999999</v>
      </c>
      <c r="AKK31" s="699"/>
      <c r="AKL31" s="700">
        <f>AKK31/AKI31</f>
        <v>0</v>
      </c>
      <c r="AKM31" s="593">
        <v>10912.097999999998</v>
      </c>
      <c r="AKN31" s="593">
        <v>11130.339959999999</v>
      </c>
      <c r="AKO31" s="699"/>
      <c r="AKP31" s="700">
        <f>AKO31/AKM31</f>
        <v>0</v>
      </c>
      <c r="AKQ31" s="593">
        <v>12730.781000000001</v>
      </c>
      <c r="AKR31" s="593">
        <v>12985.396620000001</v>
      </c>
      <c r="AKS31" s="699"/>
      <c r="AKT31" s="700">
        <f>AKS31/AKQ31</f>
        <v>0</v>
      </c>
      <c r="AKU31" s="593">
        <v>14549.464</v>
      </c>
      <c r="AKV31" s="593">
        <v>14840.45328</v>
      </c>
      <c r="AKW31" s="699"/>
      <c r="AKX31" s="700">
        <f>AKW31/AKU31</f>
        <v>0</v>
      </c>
      <c r="AKY31" s="593">
        <v>20005.512999999999</v>
      </c>
      <c r="AKZ31" s="593">
        <v>20405.62326</v>
      </c>
      <c r="ALA31" s="699"/>
      <c r="ALB31" s="700">
        <f>ALA31/AKY31</f>
        <v>0</v>
      </c>
      <c r="ALC31" s="579">
        <f>AKA31+AKE31+AKI31+AKM31+AKQ31+AKU31+AKY31</f>
        <v>80022.051999999996</v>
      </c>
      <c r="ALD31" s="574">
        <f>AKB31+AKF31+AKJ31+AKN31+AKR31+AKV31+AKZ31</f>
        <v>81622.493040000001</v>
      </c>
      <c r="ALE31" s="793">
        <f>AKC31+AKG31+AKK31+AKO31+AKS31+AKW31+ALA31</f>
        <v>0</v>
      </c>
      <c r="ALF31" s="786">
        <f>ALE31/ALC31</f>
        <v>0</v>
      </c>
      <c r="ALG31" s="593">
        <v>13158.141599999999</v>
      </c>
      <c r="ALH31" s="593">
        <v>13421.304431999999</v>
      </c>
      <c r="ALI31" s="699"/>
      <c r="ALJ31" s="700">
        <f>ALI31/ALG31</f>
        <v>0</v>
      </c>
      <c r="ALK31" s="593">
        <v>13158.141599999999</v>
      </c>
      <c r="ALL31" s="593">
        <v>13421.304431999999</v>
      </c>
      <c r="ALM31" s="699"/>
      <c r="ALN31" s="700">
        <f>ALM31/ALK31</f>
        <v>0</v>
      </c>
      <c r="ALO31" s="593">
        <v>13158.141599999999</v>
      </c>
      <c r="ALP31" s="593">
        <v>13421.304431999999</v>
      </c>
      <c r="ALQ31" s="699"/>
      <c r="ALR31" s="700">
        <f>ALQ31/ALO31</f>
        <v>0</v>
      </c>
      <c r="ALS31" s="593">
        <v>13158.141599999999</v>
      </c>
      <c r="ALT31" s="593">
        <v>13421.304431999999</v>
      </c>
      <c r="ALU31" s="699"/>
      <c r="ALV31" s="700">
        <f>ALU31/ALS31</f>
        <v>0</v>
      </c>
      <c r="ALW31" s="593">
        <v>15351.165200000001</v>
      </c>
      <c r="ALX31" s="593">
        <v>15658.188504</v>
      </c>
      <c r="ALY31" s="699"/>
      <c r="ALZ31" s="700">
        <f>ALY31/ALW31</f>
        <v>0</v>
      </c>
      <c r="AMA31" s="593">
        <v>17544.1888</v>
      </c>
      <c r="AMB31" s="593">
        <v>17895.072575999999</v>
      </c>
      <c r="AMC31" s="699"/>
      <c r="AMD31" s="700">
        <f>AMC31/AMA31</f>
        <v>0</v>
      </c>
      <c r="AME31" s="593">
        <v>24123.259599999998</v>
      </c>
      <c r="AMF31" s="593">
        <v>24605.724791999997</v>
      </c>
      <c r="AMG31" s="699"/>
      <c r="AMH31" s="700">
        <f>AMG31/AME31</f>
        <v>0</v>
      </c>
      <c r="AMI31" s="579">
        <f>ALG31+ALK31+ALO31+ALS31+ALW31+AMA31+AME31</f>
        <v>109651.18</v>
      </c>
      <c r="AMJ31" s="574">
        <f>ALH31+ALL31+ALP31+ALT31+ALX31+AMB31+AMF31</f>
        <v>111844.20359999998</v>
      </c>
      <c r="AMK31" s="794">
        <f>ALI31+ALM31+ALQ31+ALU31+ALY31+AMC31+AMG31</f>
        <v>0</v>
      </c>
      <c r="AML31" s="786">
        <f>AMK31/AMI31</f>
        <v>0</v>
      </c>
      <c r="AMM31" s="593">
        <v>11792.923199999999</v>
      </c>
      <c r="AMN31" s="593">
        <v>12028.781664</v>
      </c>
      <c r="AMO31" s="699"/>
      <c r="AMP31" s="700">
        <f>AMO31/AMM31</f>
        <v>0</v>
      </c>
      <c r="AMQ31" s="593">
        <v>11792.923199999999</v>
      </c>
      <c r="AMR31" s="593">
        <v>12028.781664</v>
      </c>
      <c r="AMS31" s="699"/>
      <c r="AMT31" s="700">
        <f>AMS31/AMQ31</f>
        <v>0</v>
      </c>
      <c r="AMU31" s="593">
        <v>11792.923199999999</v>
      </c>
      <c r="AMV31" s="593">
        <v>12028.781664</v>
      </c>
      <c r="AMW31" s="699"/>
      <c r="AMX31" s="700">
        <f>AMW31/AMU31</f>
        <v>0</v>
      </c>
      <c r="AMY31" s="593">
        <v>11792.923199999999</v>
      </c>
      <c r="AMZ31" s="593">
        <v>12028.781664</v>
      </c>
      <c r="ANA31" s="699"/>
      <c r="ANB31" s="700">
        <f>ANA31/AMY31</f>
        <v>0</v>
      </c>
      <c r="ANC31" s="593">
        <v>13758.410400000001</v>
      </c>
      <c r="AND31" s="593">
        <v>14033.578608000002</v>
      </c>
      <c r="ANE31" s="699"/>
      <c r="ANF31" s="700">
        <f>ANE31/ANC31</f>
        <v>0</v>
      </c>
      <c r="ANG31" s="593">
        <v>15723.8976</v>
      </c>
      <c r="ANH31" s="593">
        <v>16038.375552000001</v>
      </c>
      <c r="ANI31" s="699"/>
      <c r="ANJ31" s="700">
        <f>ANI31/ANG31</f>
        <v>0</v>
      </c>
      <c r="ANK31" s="593">
        <v>21620.359199999999</v>
      </c>
      <c r="ANL31" s="593">
        <v>22052.766384000002</v>
      </c>
      <c r="ANM31" s="699"/>
      <c r="ANN31" s="700">
        <f>ANM31/ANK31</f>
        <v>0</v>
      </c>
      <c r="ANO31" s="579">
        <f>AMM31+AMQ31+AMU31+AMY31+ANC31+ANG31+ANK31</f>
        <v>98274.359999999986</v>
      </c>
      <c r="ANP31" s="574">
        <f>AMN31+AMR31+AMV31+AMZ31+AND31+ANH31+ANL31</f>
        <v>100239.8472</v>
      </c>
      <c r="ANQ31" s="794">
        <f>AMO31+AMS31+AMW31+ANA31+ANE31+ANI31+ANM31</f>
        <v>0</v>
      </c>
      <c r="ANR31" s="786">
        <f>ANQ31/ANO31</f>
        <v>0</v>
      </c>
      <c r="ANS31" s="593">
        <f>'Proy 2022 vs 2019 sem'!GN30*ANV$4</f>
        <v>10434.7896</v>
      </c>
      <c r="ANT31" s="593">
        <f>'Proy 2022 vs 2019 sem'!GO30*ANV$4</f>
        <v>10226.093808</v>
      </c>
      <c r="ANU31" s="699"/>
      <c r="ANV31" s="700">
        <f>ANU31/ANS31</f>
        <v>0</v>
      </c>
      <c r="ANW31" s="593">
        <f>'Proy 2022 vs 2019 sem'!GN30*ANZ$4</f>
        <v>10434.7896</v>
      </c>
      <c r="ANX31" s="593">
        <f>'Proy 2022 vs 2019 sem'!GO30*ANZ$4</f>
        <v>10226.093808</v>
      </c>
      <c r="ANY31" s="699"/>
      <c r="ANZ31" s="700">
        <f>ANY31/ANW31</f>
        <v>0</v>
      </c>
      <c r="AOA31" s="593">
        <f>'Proy 2022 vs 2019 sem'!GN30*AOD$4</f>
        <v>10434.7896</v>
      </c>
      <c r="AOB31" s="593">
        <f>'Proy 2022 vs 2019 sem'!GO30*AOD$4</f>
        <v>10226.093808</v>
      </c>
      <c r="AOC31" s="699"/>
      <c r="AOD31" s="700">
        <f>AOC31/AOA31</f>
        <v>0</v>
      </c>
      <c r="AOE31" s="593">
        <f>'Proy 2022 vs 2019 sem'!GN30*AOH$4</f>
        <v>10434.7896</v>
      </c>
      <c r="AOF31" s="593">
        <f>'Proy 2022 vs 2019 sem'!GO30*AOH$4</f>
        <v>10226.093808</v>
      </c>
      <c r="AOG31" s="699"/>
      <c r="AOH31" s="700">
        <f>AOG31/AOE31</f>
        <v>0</v>
      </c>
      <c r="AOI31" s="593">
        <f>'Proy 2022 vs 2019 sem'!GN30*AOL$4</f>
        <v>12173.921200000001</v>
      </c>
      <c r="AOJ31" s="593">
        <f>'Proy 2022 vs 2019 sem'!GO30*AOL$4</f>
        <v>11930.442776</v>
      </c>
      <c r="AOK31" s="699"/>
      <c r="AOL31" s="700">
        <f>AOK31/AOI31</f>
        <v>0</v>
      </c>
      <c r="AOM31" s="593">
        <f>'Proy 2022 vs 2019 sem'!GN30*AOP$4</f>
        <v>13913.052800000001</v>
      </c>
      <c r="AON31" s="593">
        <f>'Proy 2022 vs 2019 sem'!GO30*AOP$4</f>
        <v>13634.791744</v>
      </c>
      <c r="AOO31" s="699"/>
      <c r="AOP31" s="700">
        <f>AOO31/AOM31</f>
        <v>0</v>
      </c>
      <c r="AOQ31" s="593">
        <f>'Proy 2022 vs 2019 sem'!GN30*AOT$4</f>
        <v>19130.4476</v>
      </c>
      <c r="AOR31" s="593">
        <f>'Proy 2022 vs 2019 sem'!GO30*AOT$4</f>
        <v>18747.838647999997</v>
      </c>
      <c r="AOS31" s="699"/>
      <c r="AOT31" s="700">
        <f>AOS31/AOQ31</f>
        <v>0</v>
      </c>
      <c r="AOU31" s="579">
        <f>ANS31+ANW31+AOA31+AOE31+AOI31+AOM31+AOQ31</f>
        <v>86956.58</v>
      </c>
      <c r="AOV31" s="574">
        <f>ANT31+ANX31+AOB31+AOF31+AOJ31+AON31+AOR31</f>
        <v>85217.448399999994</v>
      </c>
      <c r="AOW31" s="785">
        <f>ANU31+ANY31+AOC31+AOG31+AOK31+AOO31+AOS31</f>
        <v>0</v>
      </c>
      <c r="AOX31" s="786">
        <f>AOW31/AOU31</f>
        <v>0</v>
      </c>
      <c r="AOY31" s="593">
        <f>'Proy 2022 vs 2019 sem'!GW30*APB$4</f>
        <v>11647.32</v>
      </c>
      <c r="AOZ31" s="593">
        <f>'Proy 2022 vs 2019 sem'!GX30*APB$4</f>
        <v>11647.32</v>
      </c>
      <c r="APA31" s="735"/>
      <c r="APB31" s="700">
        <f>APA31/AOY31</f>
        <v>0</v>
      </c>
      <c r="APC31" s="593">
        <f>'Proy 2022 vs 2019 sem'!GW30*APF$4</f>
        <v>11647.32</v>
      </c>
      <c r="APD31" s="593">
        <f>'Proy 2022 vs 2019 sem'!GX30*APF$4</f>
        <v>11647.32</v>
      </c>
      <c r="APE31" s="735"/>
      <c r="APF31" s="700">
        <f>APE31/APC31</f>
        <v>0</v>
      </c>
      <c r="APG31" s="593">
        <f>'Proy 2022 vs 2019 sem'!GW30*APJ$4</f>
        <v>11647.32</v>
      </c>
      <c r="APH31" s="593">
        <f>'Proy 2022 vs 2019 sem'!GX30*APJ$4</f>
        <v>11647.32</v>
      </c>
      <c r="API31" s="735"/>
      <c r="APJ31" s="700">
        <f>API31/APG31</f>
        <v>0</v>
      </c>
      <c r="APK31" s="593">
        <f>'Proy 2022 vs 2019 sem'!GW30*APN$4</f>
        <v>11647.32</v>
      </c>
      <c r="APL31" s="593">
        <f>'Proy 2022 vs 2019 sem'!GX30*APN$4</f>
        <v>11647.32</v>
      </c>
      <c r="APM31" s="735"/>
      <c r="APN31" s="700">
        <f>APM31/APK31</f>
        <v>0</v>
      </c>
      <c r="APO31" s="593">
        <f>'Proy 2022 vs 2019 sem'!GW30*APR$4</f>
        <v>13588.54</v>
      </c>
      <c r="APP31" s="593">
        <f>'Proy 2022 vs 2019 sem'!GX30*APR$4</f>
        <v>13588.54</v>
      </c>
      <c r="APQ31" s="735"/>
      <c r="APR31" s="700">
        <f>APQ31/APO31</f>
        <v>0</v>
      </c>
      <c r="APS31" s="593">
        <f>'Proy 2022 vs 2019 sem'!GW30*APV$4</f>
        <v>15529.76</v>
      </c>
      <c r="APT31" s="593">
        <f>'Proy 2022 vs 2019 sem'!GX30*APV$4</f>
        <v>15529.76</v>
      </c>
      <c r="APU31" s="735"/>
      <c r="APV31" s="700">
        <f>APU31/APS31</f>
        <v>0</v>
      </c>
      <c r="APW31" s="593">
        <f>'Proy 2022 vs 2019 sem'!GW30*APZ$4</f>
        <v>21353.420000000002</v>
      </c>
      <c r="APX31" s="593">
        <f>'Proy 2022 vs 2019 sem'!GX30*APZ$4</f>
        <v>21353.420000000002</v>
      </c>
      <c r="APY31" s="735"/>
      <c r="APZ31" s="700">
        <f>APY31/APW31</f>
        <v>0</v>
      </c>
      <c r="AQA31" s="579">
        <f>AOY31+APC31+APG31+APK31+APO31+APS31+APW31</f>
        <v>97061</v>
      </c>
      <c r="AQB31" s="574">
        <f>AOZ31+APD31+APH31+APL31+APP31+APT31+APX31</f>
        <v>97061</v>
      </c>
      <c r="AQC31" s="729">
        <f>APA31+APE31+API31+APM31+APQ31+APU31+APY31</f>
        <v>0</v>
      </c>
      <c r="AQD31" s="711">
        <f>AQC31/AQA31</f>
        <v>0</v>
      </c>
      <c r="AQE31" s="593">
        <f>'Proy 2022 vs 2019 sem'!HB30*AQH$4</f>
        <v>12208.9596</v>
      </c>
      <c r="AQF31" s="593">
        <f>'Proy 2022 vs 2019 sem'!HC30*AQH$4</f>
        <v>12208.9596</v>
      </c>
      <c r="AQG31" s="699"/>
      <c r="AQH31" s="700">
        <f>AQG31/AQE31</f>
        <v>0</v>
      </c>
      <c r="AQI31" s="593">
        <f>'Proy 2022 vs 2019 sem'!HB30*AQL$4</f>
        <v>12208.9596</v>
      </c>
      <c r="AQJ31" s="593">
        <f>'Proy 2022 vs 2019 sem'!HC30*AQL$4</f>
        <v>12208.9596</v>
      </c>
      <c r="AQK31" s="699"/>
      <c r="AQL31" s="700">
        <f>AQK31/AQI31</f>
        <v>0</v>
      </c>
      <c r="AQM31" s="593">
        <f>'Proy 2022 vs 2019 sem'!HB30*AQP$4</f>
        <v>12208.9596</v>
      </c>
      <c r="AQN31" s="593">
        <f>'Proy 2022 vs 2019 sem'!HC30*AQP$4</f>
        <v>12208.9596</v>
      </c>
      <c r="AQO31" s="699"/>
      <c r="AQP31" s="700">
        <f>AQO31/AQM31</f>
        <v>0</v>
      </c>
      <c r="AQQ31" s="593">
        <f>'Proy 2022 vs 2019 sem'!HB30*AQT$4</f>
        <v>12208.9596</v>
      </c>
      <c r="AQR31" s="593">
        <f>'Proy 2022 vs 2019 sem'!HC30*AQT$4</f>
        <v>12208.9596</v>
      </c>
      <c r="AQS31" s="699"/>
      <c r="AQT31" s="700">
        <f>AQS31/AQQ31</f>
        <v>0</v>
      </c>
      <c r="AQU31" s="593">
        <f>'Proy 2022 vs 2019 sem'!HB30*AQX$4</f>
        <v>14243.786200000002</v>
      </c>
      <c r="AQV31" s="593">
        <f>'Proy 2022 vs 2019 sem'!HC30*AQX$4</f>
        <v>14243.786200000002</v>
      </c>
      <c r="AQW31" s="699"/>
      <c r="AQX31" s="700">
        <f>AQW31/AQU31</f>
        <v>0</v>
      </c>
      <c r="AQY31" s="593">
        <f>'Proy 2022 vs 2019 sem'!HB30*ARB$4</f>
        <v>16278.612800000001</v>
      </c>
      <c r="AQZ31" s="593">
        <f>'Proy 2022 vs 2019 sem'!HC30*ARB$4</f>
        <v>16278.612800000001</v>
      </c>
      <c r="ARA31" s="699"/>
      <c r="ARB31" s="700">
        <f>ARA31/AQY31</f>
        <v>0</v>
      </c>
      <c r="ARC31" s="593">
        <f>'Proy 2022 vs 2019 sem'!HB30*ARF$4</f>
        <v>22383.0926</v>
      </c>
      <c r="ARD31" s="593">
        <f>'Proy 2022 vs 2019 sem'!HC30*ARF$4</f>
        <v>22383.0926</v>
      </c>
      <c r="ARE31" s="699"/>
      <c r="ARF31" s="700">
        <f>ARE31/ARC31</f>
        <v>0</v>
      </c>
      <c r="ARG31" s="579">
        <f>AQE31+AQI31+AQM31+AQQ31+AQU31+AQY31+ARC31</f>
        <v>101741.33</v>
      </c>
      <c r="ARH31" s="574">
        <f>AQF31+AQJ31+AQN31+AQR31+AQV31+AQZ31+ARD31</f>
        <v>101741.33</v>
      </c>
      <c r="ARI31" s="730">
        <f>AQG31+AQK31+AQO31+AQS31+AQW31+ARA31+ARE31</f>
        <v>0</v>
      </c>
      <c r="ARJ31" s="711">
        <f>ARI31/ARG31</f>
        <v>0</v>
      </c>
      <c r="ARK31" s="593">
        <f>'Proy 2022 vs 2019 sem'!HG30*ARN$4</f>
        <v>11864.6556</v>
      </c>
      <c r="ARL31" s="593">
        <f>'Proy 2022 vs 2019 sem'!HH30*ARN$4</f>
        <v>11627.362488000001</v>
      </c>
      <c r="ARM31" s="699"/>
      <c r="ARN31" s="700">
        <f>ARM31/ARK31</f>
        <v>0</v>
      </c>
      <c r="ARO31" s="593">
        <f>'Proy 2022 vs 2019 sem'!HG30*ARR$4</f>
        <v>11864.6556</v>
      </c>
      <c r="ARP31" s="593">
        <f>'Proy 2022 vs 2019 sem'!HH30*ARR$4</f>
        <v>11627.362488000001</v>
      </c>
      <c r="ARQ31" s="699"/>
      <c r="ARR31" s="700">
        <f>ARQ31/ARO31</f>
        <v>0</v>
      </c>
      <c r="ARS31" s="593">
        <f>'Proy 2022 vs 2019 sem'!HG30*ARV$4</f>
        <v>11864.6556</v>
      </c>
      <c r="ART31" s="593">
        <f>'Proy 2022 vs 2019 sem'!HH30*ARV$4</f>
        <v>11627.362488000001</v>
      </c>
      <c r="ARU31" s="699"/>
      <c r="ARV31" s="700">
        <f>ARU31/ARS31</f>
        <v>0</v>
      </c>
      <c r="ARW31" s="593">
        <f>'Proy 2022 vs 2019 sem'!HG30*ARZ$4</f>
        <v>11864.6556</v>
      </c>
      <c r="ARX31" s="593">
        <f>'Proy 2022 vs 2019 sem'!HH30*ARZ$4</f>
        <v>11627.362488000001</v>
      </c>
      <c r="ARY31" s="699"/>
      <c r="ARZ31" s="700">
        <f>ARY31/ARW31</f>
        <v>0</v>
      </c>
      <c r="ASA31" s="593">
        <f>'Proy 2022 vs 2019 sem'!HG30*ASD$4</f>
        <v>13842.098200000002</v>
      </c>
      <c r="ASB31" s="593">
        <f>'Proy 2022 vs 2019 sem'!HH30*ASD$4</f>
        <v>13565.256236000003</v>
      </c>
      <c r="ASC31" s="699"/>
      <c r="ASD31" s="700">
        <f>ASC31/ASA31</f>
        <v>0</v>
      </c>
      <c r="ASE31" s="593">
        <f>'Proy 2022 vs 2019 sem'!HG30*ASH$4</f>
        <v>15819.540800000001</v>
      </c>
      <c r="ASF31" s="593">
        <f>'Proy 2022 vs 2019 sem'!HH30*ASH$4</f>
        <v>15503.149984000001</v>
      </c>
      <c r="ASG31" s="699"/>
      <c r="ASH31" s="700">
        <f>ASG31/ASE31</f>
        <v>0</v>
      </c>
      <c r="ASI31" s="593">
        <f>'Proy 2022 vs 2019 sem'!HG30*ASL$4</f>
        <v>21751.868600000002</v>
      </c>
      <c r="ASJ31" s="593">
        <f>'Proy 2022 vs 2019 sem'!HH30*ASL$4</f>
        <v>21316.831228000003</v>
      </c>
      <c r="ASK31" s="699"/>
      <c r="ASL31" s="700">
        <f>ASK31/ASI31</f>
        <v>0</v>
      </c>
      <c r="ASM31" s="579">
        <f>ARK31+ARO31+ARS31+ARW31+ASA31+ASE31+ASI31</f>
        <v>98872.13</v>
      </c>
      <c r="ASN31" s="574">
        <f>ARL31+ARP31+ART31+ARX31+ASB31+ASF31+ASJ31</f>
        <v>96894.687399999995</v>
      </c>
      <c r="ASO31" s="730">
        <f>ARM31+ARQ31+ARU31+ARY31+ASC31+ASG31+ASK31</f>
        <v>0</v>
      </c>
      <c r="ASP31" s="711">
        <f>ASO31/ASM31</f>
        <v>0</v>
      </c>
      <c r="ASQ31" s="593">
        <f>'Proy 2022 vs 2019 sem'!HL30*AST$4</f>
        <v>9886.8552</v>
      </c>
      <c r="ASR31" s="593">
        <f>'Proy 2022 vs 2019 sem'!HM30*AST$4</f>
        <v>9689.1180960000002</v>
      </c>
      <c r="ASS31" s="699"/>
      <c r="AST31" s="700">
        <f>ASS31/ASQ31</f>
        <v>0</v>
      </c>
      <c r="ASU31" s="593">
        <f>'Proy 2022 vs 2019 sem'!HL30*ASX$4</f>
        <v>9886.8552</v>
      </c>
      <c r="ASV31" s="593">
        <f>'Proy 2022 vs 2019 sem'!HM30*ASX$4</f>
        <v>9689.1180960000002</v>
      </c>
      <c r="ASW31" s="699"/>
      <c r="ASX31" s="700">
        <f>ASW31/ASU31</f>
        <v>0</v>
      </c>
      <c r="ASY31" s="593">
        <f>'Proy 2022 vs 2019 sem'!HL30*ATB$4</f>
        <v>9886.8552</v>
      </c>
      <c r="ASZ31" s="593">
        <f>'Proy 2022 vs 2019 sem'!HM30*ATB$4</f>
        <v>9689.1180960000002</v>
      </c>
      <c r="ATA31" s="699"/>
      <c r="ATB31" s="700">
        <f>ATA31/ASY31</f>
        <v>0</v>
      </c>
      <c r="ATC31" s="593">
        <f>'Proy 2022 vs 2019 sem'!HL30*ATF$4</f>
        <v>9886.8552</v>
      </c>
      <c r="ATD31" s="593">
        <f>'Proy 2022 vs 2019 sem'!HM30*ATF$4</f>
        <v>9689.1180960000002</v>
      </c>
      <c r="ATE31" s="699"/>
      <c r="ATF31" s="700">
        <f>ATE31/ATC31</f>
        <v>0</v>
      </c>
      <c r="ATG31" s="593">
        <f>'Proy 2022 vs 2019 sem'!HL30*ATJ$4</f>
        <v>11534.664400000001</v>
      </c>
      <c r="ATH31" s="593">
        <f>'Proy 2022 vs 2019 sem'!HM30*ATJ$4</f>
        <v>11303.971112000001</v>
      </c>
      <c r="ATI31" s="699"/>
      <c r="ATJ31" s="700">
        <f>ATI31/ATG31</f>
        <v>0</v>
      </c>
      <c r="ATK31" s="593">
        <f>'Proy 2022 vs 2019 sem'!HL30*ATN$4</f>
        <v>13182.473600000001</v>
      </c>
      <c r="ATL31" s="593">
        <f>'Proy 2022 vs 2019 sem'!HM30*ATN$4</f>
        <v>12918.824128</v>
      </c>
      <c r="ATM31" s="699"/>
      <c r="ATN31" s="700">
        <f>ATM31/ATK31</f>
        <v>0</v>
      </c>
      <c r="ATO31" s="593">
        <f>'Proy 2022 vs 2019 sem'!HL30*ATR$4</f>
        <v>18125.9012</v>
      </c>
      <c r="ATP31" s="593">
        <f>'Proy 2022 vs 2019 sem'!HM30*ATR$4</f>
        <v>17763.383175999999</v>
      </c>
      <c r="ATQ31" s="699"/>
      <c r="ATR31" s="700">
        <f>ATQ31/ATO31</f>
        <v>0</v>
      </c>
      <c r="ATS31" s="579">
        <f>ASQ31+ASU31+ASY31+ATC31+ATG31+ATK31+ATO31</f>
        <v>82390.459999999992</v>
      </c>
      <c r="ATT31" s="574">
        <f>ASR31+ASV31+ASZ31+ATD31+ATH31+ATL31+ATP31</f>
        <v>80742.650800000003</v>
      </c>
      <c r="ATU31" s="710">
        <f>ASS31+ASW31+ATA31+ATE31+ATI31+ATM31+ATQ31</f>
        <v>0</v>
      </c>
      <c r="ATV31" s="711">
        <f>ATU31/ATS31</f>
        <v>0</v>
      </c>
      <c r="ATW31" s="593">
        <f>'Proy 2022 vs 2019 sem'!HQ30*ATZ$4</f>
        <v>11182.857599999999</v>
      </c>
      <c r="ATX31" s="593">
        <f>'Proy 2022 vs 2019 sem'!HR30*ATZ$4</f>
        <v>10959.200447999998</v>
      </c>
      <c r="ATY31" s="699"/>
      <c r="ATZ31" s="700">
        <f>ATY31/ATW31</f>
        <v>0</v>
      </c>
      <c r="AUA31" s="593">
        <f>'Proy 2022 vs 2019 sem'!HQ30*AUD$4</f>
        <v>11182.857599999999</v>
      </c>
      <c r="AUB31" s="593">
        <f>'Proy 2022 vs 2019 sem'!HR30*AUD$4</f>
        <v>10959.200447999998</v>
      </c>
      <c r="AUC31" s="699"/>
      <c r="AUD31" s="700">
        <f>AUC31/AUA31</f>
        <v>0</v>
      </c>
      <c r="AUE31" s="593">
        <f>'Proy 2022 vs 2019 sem'!HQ30*AUH$4</f>
        <v>11182.857599999999</v>
      </c>
      <c r="AUF31" s="593">
        <f>'Proy 2022 vs 2019 sem'!HR30*AUH$4</f>
        <v>10959.200447999998</v>
      </c>
      <c r="AUG31" s="699"/>
      <c r="AUH31" s="700">
        <f>AUG31/AUE31</f>
        <v>0</v>
      </c>
      <c r="AUI31" s="593">
        <f>'Proy 2022 vs 2019 sem'!HQ30*AUL$4</f>
        <v>11182.857599999999</v>
      </c>
      <c r="AUJ31" s="593">
        <f>'Proy 2022 vs 2019 sem'!HR30*AUL$4</f>
        <v>10959.200447999998</v>
      </c>
      <c r="AUK31" s="699"/>
      <c r="AUL31" s="700">
        <f>AUK31/AUI31</f>
        <v>0</v>
      </c>
      <c r="AUM31" s="593">
        <f>'Proy 2022 vs 2019 sem'!HQ30*AUP$4</f>
        <v>13046.6672</v>
      </c>
      <c r="AUN31" s="593">
        <f>'Proy 2022 vs 2019 sem'!HR30*AUP$4</f>
        <v>12785.733855999999</v>
      </c>
      <c r="AUO31" s="699"/>
      <c r="AUP31" s="700">
        <f>AUO31/AUM31</f>
        <v>0</v>
      </c>
      <c r="AUQ31" s="593">
        <f>'Proy 2022 vs 2019 sem'!HQ30*AUT$4</f>
        <v>14910.4768</v>
      </c>
      <c r="AUR31" s="593">
        <f>'Proy 2022 vs 2019 sem'!HR30*AUT$4</f>
        <v>14612.267263999998</v>
      </c>
      <c r="AUS31" s="699"/>
      <c r="AUT31" s="700">
        <f>AUS31/AUQ31</f>
        <v>0</v>
      </c>
      <c r="AUU31" s="593">
        <f>'Proy 2022 vs 2019 sem'!HQ30*AUX$4</f>
        <v>20501.905599999998</v>
      </c>
      <c r="AUV31" s="593">
        <f>'Proy 2022 vs 2019 sem'!HR30*AUX$4</f>
        <v>20091.867487999996</v>
      </c>
      <c r="AUW31" s="699"/>
      <c r="AUX31" s="700">
        <f>AUW31/AUU31</f>
        <v>0</v>
      </c>
      <c r="AUY31" s="579">
        <f>ATW31+AUA31+AUE31+AUI31+AUM31+AUQ31+AUU31</f>
        <v>93190.48</v>
      </c>
      <c r="AUZ31" s="574">
        <f>ATX31+AUB31+AUF31+AUJ31+AUN31+AUR31+AUV31</f>
        <v>91326.670399999974</v>
      </c>
      <c r="AVA31" s="710">
        <f>ATY31+AUC31+AUG31+AUK31+AUO31+AUS31+AUW31</f>
        <v>0</v>
      </c>
      <c r="AVB31" s="711">
        <f>AVA31/AUY31</f>
        <v>0</v>
      </c>
      <c r="AVC31" s="593">
        <f>'Proy 2022 vs 2019 sem'!HZ30*AVF$4</f>
        <v>9614.9867999999988</v>
      </c>
      <c r="AVD31" s="593">
        <f>'Proy 2022 vs 2019 sem'!IA30*AVF$4</f>
        <v>9422.6870639999997</v>
      </c>
      <c r="AVE31" s="735"/>
      <c r="AVF31" s="700">
        <f>AVE31/AVC31</f>
        <v>0</v>
      </c>
      <c r="AVG31" s="593">
        <f>'Proy 2022 vs 2019 sem'!HZ30*AVJ$4</f>
        <v>9614.9867999999988</v>
      </c>
      <c r="AVH31" s="593">
        <f>'Proy 2022 vs 2019 sem'!IA30*AVJ$4</f>
        <v>9422.6870639999997</v>
      </c>
      <c r="AVI31" s="699"/>
      <c r="AVJ31" s="700">
        <f>AVI31/AVG31</f>
        <v>0</v>
      </c>
      <c r="AVK31" s="593">
        <f>'Proy 2022 vs 2019 sem'!HZ30*AVN$4</f>
        <v>9614.9867999999988</v>
      </c>
      <c r="AVL31" s="593">
        <f>'Proy 2022 vs 2019 sem'!IA30*AVN$4</f>
        <v>9422.6870639999997</v>
      </c>
      <c r="AVM31" s="699"/>
      <c r="AVN31" s="700">
        <f>AVM31/AVK31</f>
        <v>0</v>
      </c>
      <c r="AVO31" s="593">
        <f>'Proy 2022 vs 2019 sem'!HZ30*AVR$4</f>
        <v>9614.9867999999988</v>
      </c>
      <c r="AVP31" s="593">
        <f>'Proy 2022 vs 2019 sem'!IA30*AVR$4</f>
        <v>9422.6870639999997</v>
      </c>
      <c r="AVQ31" s="699"/>
      <c r="AVR31" s="700">
        <f>AVQ31/AVO31</f>
        <v>0</v>
      </c>
      <c r="AVS31" s="593">
        <f>'Proy 2022 vs 2019 sem'!HZ30*AVV$4</f>
        <v>11217.484600000002</v>
      </c>
      <c r="AVT31" s="593">
        <f>'Proy 2022 vs 2019 sem'!IA30*AVV$4</f>
        <v>10993.134908000002</v>
      </c>
      <c r="AVU31" s="699"/>
      <c r="AVV31" s="700">
        <f>AVU31/AVS31</f>
        <v>0</v>
      </c>
      <c r="AVW31" s="593">
        <f>'Proy 2022 vs 2019 sem'!HZ30*AVZ$4</f>
        <v>12819.982400000001</v>
      </c>
      <c r="AVX31" s="593">
        <f>'Proy 2022 vs 2019 sem'!IA30*AVZ$4</f>
        <v>12563.582752</v>
      </c>
      <c r="AVY31" s="699"/>
      <c r="AVZ31" s="700">
        <f>AVY31/AVW31</f>
        <v>0</v>
      </c>
      <c r="AWA31" s="593">
        <f>'Proy 2022 vs 2019 sem'!HZ30*AWD$4</f>
        <v>17627.4758</v>
      </c>
      <c r="AWB31" s="593">
        <f>'Proy 2022 vs 2019 sem'!IA30*AWD$4</f>
        <v>17274.926284000001</v>
      </c>
      <c r="AWC31" s="699"/>
      <c r="AWD31" s="700">
        <f>AWC31/AWA31</f>
        <v>0</v>
      </c>
      <c r="AWE31" s="579">
        <f>AVC31+AVG31+AVK31+AVO31+AVS31+AVW31+AWA31</f>
        <v>80124.89</v>
      </c>
      <c r="AWF31" s="574">
        <f>AVD31+AVH31+AVL31+AVP31+AVT31+AVX31+AWB31</f>
        <v>78522.392200000002</v>
      </c>
      <c r="AWG31" s="793">
        <f>AVE31+AVI31+AVM31+AVQ31+AVU31+AVY31+AWC31</f>
        <v>0</v>
      </c>
      <c r="AWH31" s="786">
        <f>AWG31/AWE31</f>
        <v>0</v>
      </c>
      <c r="AWI31" s="593">
        <f>'Proy 2022 vs 2019 sem'!IE30*AWL$4</f>
        <v>11275.843199999999</v>
      </c>
      <c r="AWJ31" s="593">
        <f>'Proy 2022 vs 2019 sem'!IF30*AWL$4</f>
        <v>10824.809471999999</v>
      </c>
      <c r="AWK31" s="699"/>
      <c r="AWL31" s="700">
        <f>AWK31/AWI31</f>
        <v>0</v>
      </c>
      <c r="AWM31" s="593">
        <f>'Proy 2022 vs 2019 sem'!IE30*AWP$4</f>
        <v>11275.843199999999</v>
      </c>
      <c r="AWN31" s="593">
        <f>'Proy 2022 vs 2019 sem'!IF30*AWP$4</f>
        <v>10824.809471999999</v>
      </c>
      <c r="AWO31" s="699"/>
      <c r="AWP31" s="700">
        <f>AWO31/AWM31</f>
        <v>0</v>
      </c>
      <c r="AWQ31" s="593">
        <f>'Proy 2022 vs 2019 sem'!IE30*AWT$4</f>
        <v>11275.843199999999</v>
      </c>
      <c r="AWR31" s="593">
        <f>'Proy 2022 vs 2019 sem'!IF30*AWT$4</f>
        <v>10824.809471999999</v>
      </c>
      <c r="AWS31" s="699"/>
      <c r="AWT31" s="700">
        <f>AWS31/AWQ31</f>
        <v>0</v>
      </c>
      <c r="AWU31" s="593">
        <f>'Proy 2022 vs 2019 sem'!IE30*AWX$4</f>
        <v>11275.843199999999</v>
      </c>
      <c r="AWV31" s="593">
        <f>'Proy 2022 vs 2019 sem'!IF30*AWX$4</f>
        <v>10824.809471999999</v>
      </c>
      <c r="AWW31" s="699"/>
      <c r="AWX31" s="700">
        <f>AWW31/AWU31</f>
        <v>0</v>
      </c>
      <c r="AWY31" s="593">
        <f>'Proy 2022 vs 2019 sem'!IE30*AXB$4</f>
        <v>13155.1504</v>
      </c>
      <c r="AWZ31" s="593">
        <f>'Proy 2022 vs 2019 sem'!IF30*AXB$4</f>
        <v>12628.944384</v>
      </c>
      <c r="AXA31" s="699"/>
      <c r="AXB31" s="700">
        <f>AXA31/AWY31</f>
        <v>0</v>
      </c>
      <c r="AXC31" s="593">
        <f>'Proy 2022 vs 2019 sem'!IE30*AXF$4</f>
        <v>15034.4576</v>
      </c>
      <c r="AXD31" s="593">
        <f>'Proy 2022 vs 2019 sem'!IF30*AXF$4</f>
        <v>14433.079296</v>
      </c>
      <c r="AXE31" s="699"/>
      <c r="AXF31" s="700">
        <f>AXE31/AXC31</f>
        <v>0</v>
      </c>
      <c r="AXG31" s="593">
        <f>'Proy 2022 vs 2019 sem'!IE30*AXJ$4</f>
        <v>20672.379199999999</v>
      </c>
      <c r="AXH31" s="593">
        <f>'Proy 2022 vs 2019 sem'!IF30*AXJ$4</f>
        <v>19845.484032</v>
      </c>
      <c r="AXI31" s="699"/>
      <c r="AXJ31" s="700">
        <f>AXI31/AXG31</f>
        <v>0</v>
      </c>
      <c r="AXK31" s="579">
        <f>AWI31+AWM31+AWQ31+AWU31+AWY31+AXC31+AXG31</f>
        <v>93965.359999999986</v>
      </c>
      <c r="AXL31" s="574">
        <f>AWJ31+AWN31+AWR31+AWV31+AWZ31+AXD31+AXH31</f>
        <v>90206.745599999995</v>
      </c>
      <c r="AXM31" s="794">
        <f>AWK31+AWO31+AWS31+AWW31+AXA31+AXE31+AXI31</f>
        <v>0</v>
      </c>
      <c r="AXN31" s="786">
        <f>AXM31/AXK31</f>
        <v>0</v>
      </c>
      <c r="AXO31" s="593">
        <f>'Proy 2022 vs 2019 sem'!IJ30*AXR$4</f>
        <v>10501.484399999999</v>
      </c>
      <c r="AXP31" s="593">
        <f>'Proy 2022 vs 2019 sem'!IK30*AXR$4</f>
        <v>10396.469556</v>
      </c>
      <c r="AXQ31" s="699"/>
      <c r="AXR31" s="700">
        <f>AXQ31/AXO31</f>
        <v>0</v>
      </c>
      <c r="AXS31" s="593">
        <f>'Proy 2022 vs 2019 sem'!IJ30*AXV$4</f>
        <v>10501.484399999999</v>
      </c>
      <c r="AXT31" s="593">
        <f>'Proy 2022 vs 2019 sem'!IK30*AXV$4</f>
        <v>10396.469556</v>
      </c>
      <c r="AXU31" s="699"/>
      <c r="AXV31" s="700">
        <f>AXU31/AXS31</f>
        <v>0</v>
      </c>
      <c r="AXW31" s="593">
        <f>'Proy 2022 vs 2019 sem'!IJ30*AXZ$4</f>
        <v>10501.484399999999</v>
      </c>
      <c r="AXX31" s="593">
        <f>'Proy 2022 vs 2019 sem'!IK30*AXZ$4</f>
        <v>10396.469556</v>
      </c>
      <c r="AXY31" s="699"/>
      <c r="AXZ31" s="700">
        <f>AXY31/AXW31</f>
        <v>0</v>
      </c>
      <c r="AYA31" s="593">
        <f>'Proy 2022 vs 2019 sem'!IJ30*AYD$4</f>
        <v>10501.484399999999</v>
      </c>
      <c r="AYB31" s="593">
        <f>'Proy 2022 vs 2019 sem'!IK30*AYD$4</f>
        <v>10396.469556</v>
      </c>
      <c r="AYC31" s="699"/>
      <c r="AYD31" s="700">
        <f>AYC31/AYA31</f>
        <v>0</v>
      </c>
      <c r="AYE31" s="593">
        <f>'Proy 2022 vs 2019 sem'!IJ30*AYH$4</f>
        <v>12251.731800000001</v>
      </c>
      <c r="AYF31" s="593">
        <f>'Proy 2022 vs 2019 sem'!IK30*AYH$4</f>
        <v>12129.214482000001</v>
      </c>
      <c r="AYG31" s="699"/>
      <c r="AYH31" s="700">
        <f>AYG31/AYE31</f>
        <v>0</v>
      </c>
      <c r="AYI31" s="593">
        <f>'Proy 2022 vs 2019 sem'!IJ30*AYL$4</f>
        <v>14001.9792</v>
      </c>
      <c r="AYJ31" s="593">
        <f>'Proy 2022 vs 2019 sem'!IK30*AYL$4</f>
        <v>13861.959408000001</v>
      </c>
      <c r="AYK31" s="699"/>
      <c r="AYL31" s="700">
        <f>AYK31/AYI31</f>
        <v>0</v>
      </c>
      <c r="AYM31" s="593">
        <f>'Proy 2022 vs 2019 sem'!IJ30*AYP$4</f>
        <v>19252.721399999999</v>
      </c>
      <c r="AYN31" s="593">
        <f>'Proy 2022 vs 2019 sem'!IK30*AYP$4</f>
        <v>19060.194186000001</v>
      </c>
      <c r="AYO31" s="699"/>
      <c r="AYP31" s="700">
        <f>AYO31/AYM31</f>
        <v>0</v>
      </c>
      <c r="AYQ31" s="579">
        <f>AXO31+AXS31+AXW31+AYA31+AYE31+AYI31+AYM31</f>
        <v>87512.37</v>
      </c>
      <c r="AYR31" s="574">
        <f>AXP31+AXT31+AXX31+AYB31+AYF31+AYJ31+AYN31</f>
        <v>86637.246299999999</v>
      </c>
      <c r="AYS31" s="794">
        <f>AXQ31+AXU31+AXY31+AYC31+AYG31+AYK31+AYO31</f>
        <v>0</v>
      </c>
      <c r="AYT31" s="786">
        <f>AYS31/AYQ31</f>
        <v>0</v>
      </c>
      <c r="AYU31" s="593">
        <f>'Proy 2022 vs 2019 sem'!IO30*AYX$4</f>
        <v>10494.714</v>
      </c>
      <c r="AYV31" s="593">
        <f>'Proy 2022 vs 2019 sem'!IP30*AYX$4</f>
        <v>10179.872579999997</v>
      </c>
      <c r="AYW31" s="699"/>
      <c r="AYX31" s="700">
        <f>AYW31/AYU31</f>
        <v>0</v>
      </c>
      <c r="AYY31" s="593">
        <f>'Proy 2022 vs 2019 sem'!IO30*AZB$4</f>
        <v>10494.714</v>
      </c>
      <c r="AYZ31" s="593">
        <f>'Proy 2022 vs 2019 sem'!IP30*AZB$4</f>
        <v>10179.872579999997</v>
      </c>
      <c r="AZA31" s="699"/>
      <c r="AZB31" s="700">
        <f>AZA31/AYY31</f>
        <v>0</v>
      </c>
      <c r="AZC31" s="593">
        <f>'Proy 2022 vs 2019 sem'!IO30*AZF$4</f>
        <v>10494.714</v>
      </c>
      <c r="AZD31" s="593">
        <f>'Proy 2022 vs 2019 sem'!IP30*AZF$4</f>
        <v>10179.872579999997</v>
      </c>
      <c r="AZE31" s="699"/>
      <c r="AZF31" s="700">
        <f>AZE31/AZC31</f>
        <v>0</v>
      </c>
      <c r="AZG31" s="593">
        <f>'Proy 2022 vs 2019 sem'!IO30*AZJ$4</f>
        <v>10494.714</v>
      </c>
      <c r="AZH31" s="593">
        <f>'Proy 2022 vs 2019 sem'!IP30*AZJ$4</f>
        <v>10179.872579999997</v>
      </c>
      <c r="AZI31" s="699"/>
      <c r="AZJ31" s="700">
        <f>AZI31/AZG31</f>
        <v>0</v>
      </c>
      <c r="AZK31" s="593">
        <f>'Proy 2022 vs 2019 sem'!IO30*AZN$4</f>
        <v>12243.833000000001</v>
      </c>
      <c r="AZL31" s="593">
        <f>'Proy 2022 vs 2019 sem'!IP30*AZN$4</f>
        <v>11876.51801</v>
      </c>
      <c r="AZM31" s="699"/>
      <c r="AZN31" s="700">
        <f>AZM31/AZK31</f>
        <v>0</v>
      </c>
      <c r="AZO31" s="593">
        <f>'Proy 2022 vs 2019 sem'!IO30*AZR$4</f>
        <v>13992.951999999999</v>
      </c>
      <c r="AZP31" s="593">
        <f>'Proy 2022 vs 2019 sem'!IP30*AZR$4</f>
        <v>13573.163439999998</v>
      </c>
      <c r="AZQ31" s="699"/>
      <c r="AZR31" s="700">
        <f>AZQ31/AZO31</f>
        <v>0</v>
      </c>
      <c r="AZS31" s="593">
        <f>'Proy 2022 vs 2019 sem'!IO30*AZV$4</f>
        <v>19240.309000000001</v>
      </c>
      <c r="AZT31" s="593">
        <f>'Proy 2022 vs 2019 sem'!IP30*AZV$4</f>
        <v>18663.099729999998</v>
      </c>
      <c r="AZU31" s="699"/>
      <c r="AZV31" s="700">
        <f>AZU31/AZS31</f>
        <v>0</v>
      </c>
      <c r="AZW31" s="579">
        <f>AYU31+AYY31+AZC31+AZG31+AZK31+AZO31+AZS31</f>
        <v>87455.950000000012</v>
      </c>
      <c r="AZX31" s="574">
        <f>AYV31+AYZ31+AZD31+AZH31+AZL31+AZP31+AZT31</f>
        <v>84832.271499999988</v>
      </c>
      <c r="AZY31" s="785">
        <f>AYW31+AZA31+AZE31+AZI31+AZM31+AZQ31+AZU31</f>
        <v>0</v>
      </c>
      <c r="AZZ31" s="786">
        <f>AZY31/AZW31</f>
        <v>0</v>
      </c>
      <c r="BAA31" s="593">
        <f>'Proy 2022 vs 2019 sem'!IX30*BAD$4</f>
        <v>9215.2428</v>
      </c>
      <c r="BAB31" s="593">
        <f>'Proy 2022 vs 2019 sem'!IY30*BAD$4</f>
        <v>8938.7855159999999</v>
      </c>
      <c r="BAC31" s="735"/>
      <c r="BAD31" s="700">
        <f>BAC31/BAA31</f>
        <v>0</v>
      </c>
      <c r="BAE31" s="593">
        <f>'Proy 2022 vs 2019 sem'!IX30*BAH$4</f>
        <v>9215.2428</v>
      </c>
      <c r="BAF31" s="593">
        <f>'Proy 2022 vs 2019 sem'!IY30*BAH$4</f>
        <v>8938.7855159999999</v>
      </c>
      <c r="BAG31" s="699"/>
      <c r="BAH31" s="700">
        <f>BAG31/BAE31</f>
        <v>0</v>
      </c>
      <c r="BAI31" s="593">
        <f>'Proy 2022 vs 2019 sem'!IX30*BAL$4</f>
        <v>9215.2428</v>
      </c>
      <c r="BAJ31" s="593">
        <f>'Proy 2022 vs 2019 sem'!IY30*BAL$4</f>
        <v>8938.7855159999999</v>
      </c>
      <c r="BAK31" s="699"/>
      <c r="BAL31" s="700">
        <f>BAK31/BAI31</f>
        <v>0</v>
      </c>
      <c r="BAM31" s="593">
        <f>'Proy 2022 vs 2019 sem'!IX30*BAP$4</f>
        <v>9215.2428</v>
      </c>
      <c r="BAN31" s="593">
        <f>'Proy 2022 vs 2019 sem'!IY30*BAP$4</f>
        <v>8938.7855159999999</v>
      </c>
      <c r="BAO31" s="699"/>
      <c r="BAP31" s="700">
        <f>BAO31/BAM31</f>
        <v>0</v>
      </c>
      <c r="BAQ31" s="593">
        <f>'Proy 2022 vs 2019 sem'!IX30*BAT$4</f>
        <v>10751.116600000001</v>
      </c>
      <c r="BAR31" s="593">
        <f>'Proy 2022 vs 2019 sem'!IY30*BAT$4</f>
        <v>10428.583102000001</v>
      </c>
      <c r="BAS31" s="699"/>
      <c r="BAT31" s="700">
        <f>BAS31/BAQ31</f>
        <v>0</v>
      </c>
      <c r="BAU31" s="593">
        <f>'Proy 2022 vs 2019 sem'!IX30*BAX$4</f>
        <v>12286.990400000001</v>
      </c>
      <c r="BAV31" s="593">
        <f>'Proy 2022 vs 2019 sem'!IY30*BAX$4</f>
        <v>11918.380688000001</v>
      </c>
      <c r="BAW31" s="699"/>
      <c r="BAX31" s="700">
        <f>BAW31/BAU31</f>
        <v>0</v>
      </c>
      <c r="BAY31" s="593">
        <f>'Proy 2022 vs 2019 sem'!IX30*BBB$4</f>
        <v>16894.611800000002</v>
      </c>
      <c r="BAZ31" s="593">
        <f>'Proy 2022 vs 2019 sem'!IY30*BBB$4</f>
        <v>16387.773445999999</v>
      </c>
      <c r="BBA31" s="699"/>
      <c r="BBB31" s="700">
        <f>BBA31/BAY31</f>
        <v>0</v>
      </c>
      <c r="BBC31" s="579">
        <f>BAA31+BAE31+BAI31+BAM31+BAQ31+BAU31+BAY31</f>
        <v>76793.69</v>
      </c>
      <c r="BBD31" s="574">
        <f>BAB31+BAF31+BAJ31+BAN31+BAR31+BAV31+BAZ31</f>
        <v>74489.879300000001</v>
      </c>
      <c r="BBE31" s="759">
        <f>BAC31+BAG31+BAK31+BAO31+BAS31+BAW31+BBA31</f>
        <v>0</v>
      </c>
      <c r="BBF31" s="761">
        <f>BBE31/BBC31</f>
        <v>0</v>
      </c>
      <c r="BBG31" s="593">
        <f>'Proy 2022 vs 2019 sem'!JC30*BBJ$4</f>
        <v>12081.8256</v>
      </c>
      <c r="BBH31" s="593">
        <f>'Proy 2022 vs 2019 sem'!JD30*BBJ$4</f>
        <v>11356.916063999999</v>
      </c>
      <c r="BBI31" s="699"/>
      <c r="BBJ31" s="700">
        <f>BBI31/BBG31</f>
        <v>0</v>
      </c>
      <c r="BBK31" s="593">
        <f>'Proy 2022 vs 2019 sem'!JC30*BBN$4</f>
        <v>12081.8256</v>
      </c>
      <c r="BBL31" s="593">
        <f>'Proy 2022 vs 2019 sem'!JD30*BBN$4</f>
        <v>11356.916063999999</v>
      </c>
      <c r="BBM31" s="699"/>
      <c r="BBN31" s="700">
        <f>BBM31/BBK31</f>
        <v>0</v>
      </c>
      <c r="BBO31" s="593">
        <f>'Proy 2022 vs 2019 sem'!JC30*BBR$4</f>
        <v>12081.8256</v>
      </c>
      <c r="BBP31" s="593">
        <f>'Proy 2022 vs 2019 sem'!JD30*BBR$4</f>
        <v>11356.916063999999</v>
      </c>
      <c r="BBQ31" s="699"/>
      <c r="BBR31" s="700">
        <f>BBQ31/BBO31</f>
        <v>0</v>
      </c>
      <c r="BBS31" s="593">
        <f>'Proy 2022 vs 2019 sem'!JC30*BBV$4</f>
        <v>12081.8256</v>
      </c>
      <c r="BBT31" s="593">
        <f>'Proy 2022 vs 2019 sem'!JD30*BBV$4</f>
        <v>11356.916063999999</v>
      </c>
      <c r="BBU31" s="699"/>
      <c r="BBV31" s="700">
        <f>BBU31/BBS31</f>
        <v>0</v>
      </c>
      <c r="BBW31" s="593">
        <f>'Proy 2022 vs 2019 sem'!JC30*BBZ$4</f>
        <v>14095.463200000002</v>
      </c>
      <c r="BBX31" s="593">
        <f>'Proy 2022 vs 2019 sem'!JD30*BBZ$4</f>
        <v>13249.735408</v>
      </c>
      <c r="BBY31" s="699"/>
      <c r="BBZ31" s="700">
        <f>BBY31/BBW31</f>
        <v>0</v>
      </c>
      <c r="BCA31" s="593">
        <f>'Proy 2022 vs 2019 sem'!JC30*BCD$4</f>
        <v>16109.100800000002</v>
      </c>
      <c r="BCB31" s="593">
        <f>'Proy 2022 vs 2019 sem'!JD30*BCD$4</f>
        <v>15142.554752</v>
      </c>
      <c r="BCC31" s="699"/>
      <c r="BCD31" s="700">
        <f>BCC31/BCA31</f>
        <v>0</v>
      </c>
      <c r="BCE31" s="593">
        <f>'Proy 2022 vs 2019 sem'!JC30*BCH$4</f>
        <v>22150.013600000002</v>
      </c>
      <c r="BCF31" s="593">
        <f>'Proy 2022 vs 2019 sem'!JD30*BCH$4</f>
        <v>20821.012783999999</v>
      </c>
      <c r="BCG31" s="699"/>
      <c r="BCH31" s="700">
        <f>BCG31/BCE31</f>
        <v>0</v>
      </c>
      <c r="BCI31" s="579">
        <f>BBG31+BBK31+BBO31+BBS31+BBW31+BCA31+BCE31</f>
        <v>100681.88</v>
      </c>
      <c r="BCJ31" s="574">
        <f>BBH31+BBL31+BBP31+BBT31+BBX31+BCB31+BCF31</f>
        <v>94640.967199999985</v>
      </c>
      <c r="BCK31" s="765">
        <f>BBI31+BBM31+BBQ31+BBU31+BBY31+BCC31+BCG31</f>
        <v>0</v>
      </c>
      <c r="BCL31" s="761">
        <f>BCK31/BCI31</f>
        <v>0</v>
      </c>
      <c r="BCM31" s="593">
        <f>'Proy 2022 vs 2019 sem'!JH30*BCP$4</f>
        <v>12679.7988</v>
      </c>
      <c r="BCN31" s="593">
        <f>'Proy 2022 vs 2019 sem'!JI30*BCP$4</f>
        <v>12172.606847999999</v>
      </c>
      <c r="BCO31" s="699"/>
      <c r="BCP31" s="700">
        <f>BCO31/BCM31</f>
        <v>0</v>
      </c>
      <c r="BCQ31" s="593">
        <f>'Proy 2022 vs 2019 sem'!JH30*BCT$4</f>
        <v>12679.7988</v>
      </c>
      <c r="BCR31" s="593">
        <f>'Proy 2022 vs 2019 sem'!JI30*BCT$4</f>
        <v>12172.606847999999</v>
      </c>
      <c r="BCS31" s="699"/>
      <c r="BCT31" s="700">
        <f>BCS31/BCQ31</f>
        <v>0</v>
      </c>
      <c r="BCU31" s="593">
        <f>'Proy 2022 vs 2019 sem'!JH30*BCX$4</f>
        <v>12679.7988</v>
      </c>
      <c r="BCV31" s="593">
        <f>'Proy 2022 vs 2019 sem'!JI30*BCX$4</f>
        <v>12172.606847999999</v>
      </c>
      <c r="BCW31" s="699"/>
      <c r="BCX31" s="700">
        <f>BCW31/BCU31</f>
        <v>0</v>
      </c>
      <c r="BCY31" s="593">
        <f>'Proy 2022 vs 2019 sem'!JH30*BDB$4</f>
        <v>12679.7988</v>
      </c>
      <c r="BCZ31" s="593">
        <f>'Proy 2022 vs 2019 sem'!JI30*BDB$4</f>
        <v>12172.606847999999</v>
      </c>
      <c r="BDA31" s="699"/>
      <c r="BDB31" s="700">
        <f>BDA31/BCY31</f>
        <v>0</v>
      </c>
      <c r="BDC31" s="593">
        <f>'Proy 2022 vs 2019 sem'!JH30*BDF$4</f>
        <v>14793.098600000003</v>
      </c>
      <c r="BDD31" s="593">
        <f>'Proy 2022 vs 2019 sem'!JI30*BDF$4</f>
        <v>14201.374656000002</v>
      </c>
      <c r="BDE31" s="699"/>
      <c r="BDF31" s="700">
        <f>BDE31/BDC31</f>
        <v>0</v>
      </c>
      <c r="BDG31" s="593">
        <f>'Proy 2022 vs 2019 sem'!JH30*BDJ$4</f>
        <v>16906.398400000002</v>
      </c>
      <c r="BDH31" s="593">
        <f>'Proy 2022 vs 2019 sem'!JI30*BDJ$4</f>
        <v>16230.142464</v>
      </c>
      <c r="BDI31" s="699"/>
      <c r="BDJ31" s="700">
        <f>BDI31/BDG31</f>
        <v>0</v>
      </c>
      <c r="BDK31" s="593">
        <f>'Proy 2022 vs 2019 sem'!JH30*BDN$4</f>
        <v>23246.2978</v>
      </c>
      <c r="BDL31" s="593">
        <f>'Proy 2022 vs 2019 sem'!JI30*BDN$4</f>
        <v>22316.445888000002</v>
      </c>
      <c r="BDM31" s="699"/>
      <c r="BDN31" s="700">
        <f>BDM31/BDK31</f>
        <v>0</v>
      </c>
      <c r="BDO31" s="579">
        <f>BCM31+BCQ31+BCU31+BCY31+BDC31+BDG31+BDK31</f>
        <v>105664.99</v>
      </c>
      <c r="BDP31" s="574">
        <f>BCN31+BCR31+BCV31+BCZ31+BDD31+BDH31+BDL31</f>
        <v>101438.3904</v>
      </c>
      <c r="BDQ31" s="765">
        <f>BCO31+BCS31+BCW31+BDA31+BDE31+BDI31+BDM31</f>
        <v>0</v>
      </c>
      <c r="BDR31" s="761">
        <f>BDQ31/BDO31</f>
        <v>0</v>
      </c>
      <c r="BDS31" s="593">
        <f>'Proy 2022 vs 2019 sem'!JM30*BDV$4</f>
        <v>14243.980799999999</v>
      </c>
      <c r="BDT31" s="593">
        <f>'Proy 2022 vs 2019 sem'!JN30*BDV$4</f>
        <v>13531.78176</v>
      </c>
      <c r="BDU31" s="699"/>
      <c r="BDV31" s="700">
        <f>BDU31/BDS31</f>
        <v>0</v>
      </c>
      <c r="BDW31" s="593">
        <f>'Proy 2022 vs 2019 sem'!JM30*BDZ$4</f>
        <v>14243.980799999999</v>
      </c>
      <c r="BDX31" s="593">
        <f>'Proy 2022 vs 2019 sem'!JN30*BDZ$4</f>
        <v>13531.78176</v>
      </c>
      <c r="BDY31" s="699"/>
      <c r="BDZ31" s="700">
        <f>BDY31/BDW31</f>
        <v>0</v>
      </c>
      <c r="BEA31" s="593">
        <f>'Proy 2022 vs 2019 sem'!JM30*BED$4</f>
        <v>14243.980799999999</v>
      </c>
      <c r="BEB31" s="593">
        <f>'Proy 2022 vs 2019 sem'!JN30*BED$4</f>
        <v>13531.78176</v>
      </c>
      <c r="BEC31" s="699"/>
      <c r="BED31" s="700">
        <f>BEC31/BEA31</f>
        <v>0</v>
      </c>
      <c r="BEE31" s="593">
        <v>14510.990400000001</v>
      </c>
      <c r="BEF31" s="593">
        <f>'Proy 2022 vs 2019 sem'!JN30*BEH$4</f>
        <v>13531.78176</v>
      </c>
      <c r="BEG31" s="699"/>
      <c r="BEH31" s="700">
        <f>BEG31/BEE31</f>
        <v>0</v>
      </c>
      <c r="BEI31" s="593">
        <f>'Proy 2022 vs 2019 sem'!JM30*BEL$4</f>
        <v>16617.977600000002</v>
      </c>
      <c r="BEJ31" s="593">
        <f>'Proy 2022 vs 2019 sem'!JN30*BEL$4</f>
        <v>15787.078720000001</v>
      </c>
      <c r="BEK31" s="699"/>
      <c r="BEL31" s="700">
        <f>BEK31/BEI31</f>
        <v>0</v>
      </c>
      <c r="BEM31" s="593">
        <f>'Proy 2022 vs 2019 sem'!JM30*BEP$4</f>
        <v>18991.974399999999</v>
      </c>
      <c r="BEN31" s="593">
        <f>'Proy 2022 vs 2019 sem'!JN30*BEP$4</f>
        <v>18042.375680000001</v>
      </c>
      <c r="BEO31" s="699"/>
      <c r="BEP31" s="700">
        <f>BEO31/BEM31</f>
        <v>0</v>
      </c>
      <c r="BEQ31" s="593">
        <f>'Proy 2022 vs 2019 sem'!JM30*BET$4</f>
        <v>26113.964799999998</v>
      </c>
      <c r="BER31" s="593">
        <f>'Proy 2022 vs 2019 sem'!JN30*BET$4</f>
        <v>24808.26656</v>
      </c>
      <c r="BES31" s="699"/>
      <c r="BET31" s="700">
        <f>BES31/BEQ31</f>
        <v>0</v>
      </c>
      <c r="BEU31" s="579">
        <f>BDS31+BDW31+BEA31+BEE31+BEI31+BEM31+BEQ31</f>
        <v>118966.8496</v>
      </c>
      <c r="BEV31" s="574">
        <f>BDT31+BDX31+BEB31+BEF31+BEJ31+BEN31+BER31</f>
        <v>112764.848</v>
      </c>
      <c r="BEW31" s="770">
        <f>BDU31+BDY31+BEC31+BEG31+BEK31+BEO31+BES31</f>
        <v>0</v>
      </c>
      <c r="BEX31" s="761">
        <f>BEW31/BEU31</f>
        <v>0</v>
      </c>
      <c r="BEY31" s="593">
        <f>'Proy 2022 vs 2019 sem'!JV30*BFB$4</f>
        <v>15415.7184</v>
      </c>
      <c r="BEZ31" s="593">
        <f>'Proy 2022 vs 2019 sem'!JW30*BFB$4</f>
        <v>14490.775296</v>
      </c>
      <c r="BFA31" s="735"/>
      <c r="BFB31" s="700">
        <f>BFA31/BEY31</f>
        <v>0</v>
      </c>
      <c r="BFC31" s="593">
        <f>'Proy 2022 vs 2019 sem'!JV30*BFF$4</f>
        <v>15415.7184</v>
      </c>
      <c r="BFD31" s="593">
        <f>'Proy 2022 vs 2019 sem'!JW30*BFF$4</f>
        <v>14490.775296</v>
      </c>
      <c r="BFE31" s="735"/>
      <c r="BFF31" s="700">
        <f>BFE31/BFC31</f>
        <v>0</v>
      </c>
      <c r="BFG31" s="593">
        <f>'Proy 2022 vs 2019 sem'!JV30*BFJ$4</f>
        <v>15415.7184</v>
      </c>
      <c r="BFH31" s="593">
        <f>'Proy 2022 vs 2019 sem'!JW30*BFJ$4</f>
        <v>14490.775296</v>
      </c>
      <c r="BFI31" s="735"/>
      <c r="BFJ31" s="700">
        <f>BFI31/BFG31</f>
        <v>0</v>
      </c>
      <c r="BFK31" s="593">
        <f>'Proy 2022 vs 2019 sem'!JV30*BFN$4</f>
        <v>15415.7184</v>
      </c>
      <c r="BFL31" s="593">
        <f>'Proy 2022 vs 2019 sem'!JW30*BFN$4</f>
        <v>14490.775296</v>
      </c>
      <c r="BFM31" s="735"/>
      <c r="BFN31" s="700">
        <f>BFM31/BFK31</f>
        <v>0</v>
      </c>
      <c r="BFO31" s="593">
        <f>'Proy 2022 vs 2019 sem'!JV30*BFR$4</f>
        <v>17985.004800000002</v>
      </c>
      <c r="BFP31" s="593">
        <f>'Proy 2022 vs 2019 sem'!JW30*BFR$4</f>
        <v>16905.904512000001</v>
      </c>
      <c r="BFQ31" s="735"/>
      <c r="BFR31" s="700">
        <f>BFQ31/BFO31</f>
        <v>0</v>
      </c>
      <c r="BFS31" s="593">
        <f>'Proy 2022 vs 2019 sem'!JV30*BFV$4</f>
        <v>20554.291200000003</v>
      </c>
      <c r="BFT31" s="593">
        <f>'Proy 2022 vs 2019 sem'!JW30*BFV$4</f>
        <v>19321.033728000002</v>
      </c>
      <c r="BFU31" s="735"/>
      <c r="BFV31" s="700">
        <f>BFU31/BFS31</f>
        <v>0</v>
      </c>
      <c r="BFW31" s="593">
        <f>'Proy 2022 vs 2019 sem'!JV30*BFZ$4</f>
        <v>28262.150400000002</v>
      </c>
      <c r="BFX31" s="593">
        <f>'Proy 2022 vs 2019 sem'!JW30*BFZ$4</f>
        <v>26566.421376000002</v>
      </c>
      <c r="BFY31" s="735"/>
      <c r="BFZ31" s="700">
        <f>BFY31/BFW31</f>
        <v>0</v>
      </c>
      <c r="BGA31" s="579">
        <f>BEY31+BFC31+BFG31+BFK31+BFO31+BFS31+BFW31</f>
        <v>128464.32000000001</v>
      </c>
      <c r="BGB31" s="574">
        <f>BEZ31+BFD31+BFH31+BFL31+BFP31+BFT31+BFX31</f>
        <v>120756.46080000002</v>
      </c>
      <c r="BGC31" s="729">
        <f>BFA31+BFE31+BFI31+BFM31+BFQ31+BFU31+BFY31</f>
        <v>0</v>
      </c>
      <c r="BGD31" s="711">
        <f>BGC31/BGA31</f>
        <v>0</v>
      </c>
      <c r="BGE31" s="593">
        <f>'Proy 2022 vs 2019 sem'!KA30*BGH$4</f>
        <v>19198.079999999998</v>
      </c>
      <c r="BGF31" s="593">
        <f>'Proy 2022 vs 2019 sem'!KB30*BGH$4</f>
        <v>17854.214399999997</v>
      </c>
      <c r="BGG31" s="699"/>
      <c r="BGH31" s="700">
        <f>BGG31/BGE31</f>
        <v>0</v>
      </c>
      <c r="BGI31" s="593">
        <f>'Proy 2022 vs 2019 sem'!KA30*BGL$4</f>
        <v>19198.079999999998</v>
      </c>
      <c r="BGJ31" s="593">
        <f>'Proy 2022 vs 2019 sem'!KB30*BGL$4</f>
        <v>17854.214399999997</v>
      </c>
      <c r="BGK31" s="699"/>
      <c r="BGL31" s="700">
        <f>BGK31/BGI31</f>
        <v>0</v>
      </c>
      <c r="BGM31" s="593">
        <f>'Proy 2022 vs 2019 sem'!KA30*BGP$4</f>
        <v>19198.079999999998</v>
      </c>
      <c r="BGN31" s="593">
        <f>'Proy 2022 vs 2019 sem'!KB30*BGP$4</f>
        <v>17854.214399999997</v>
      </c>
      <c r="BGO31" s="699"/>
      <c r="BGP31" s="700">
        <f>BGO31/BGM31</f>
        <v>0</v>
      </c>
      <c r="BGQ31" s="593">
        <f>'Proy 2022 vs 2019 sem'!KA30*BGT$4</f>
        <v>19198.079999999998</v>
      </c>
      <c r="BGR31" s="593">
        <f>'Proy 2022 vs 2019 sem'!KB30*BGT$4</f>
        <v>17854.214399999997</v>
      </c>
      <c r="BGS31" s="699"/>
      <c r="BGT31" s="700">
        <f>BGS31/BGQ31</f>
        <v>0</v>
      </c>
      <c r="BGU31" s="593">
        <f>'Proy 2022 vs 2019 sem'!KA30*BGX$4</f>
        <v>22397.760000000002</v>
      </c>
      <c r="BGV31" s="593">
        <f>'Proy 2022 vs 2019 sem'!KB30*BGX$4</f>
        <v>20829.916800000003</v>
      </c>
      <c r="BGW31" s="699"/>
      <c r="BGX31" s="700">
        <f>BGW31/BGU31</f>
        <v>0</v>
      </c>
      <c r="BGY31" s="593">
        <f>'Proy 2022 vs 2019 sem'!KA30*BHB$4</f>
        <v>25597.440000000002</v>
      </c>
      <c r="BGZ31" s="593">
        <f>'Proy 2022 vs 2019 sem'!KB30*BHB$4</f>
        <v>23805.619200000001</v>
      </c>
      <c r="BHA31" s="699"/>
      <c r="BHB31" s="700">
        <f>BHA31/BGY31</f>
        <v>0</v>
      </c>
      <c r="BHC31" s="593">
        <f>'Proy 2022 vs 2019 sem'!KA30*BHF$4</f>
        <v>35196.480000000003</v>
      </c>
      <c r="BHD31" s="593">
        <f>'Proy 2022 vs 2019 sem'!KB30*BHF$4</f>
        <v>32732.7264</v>
      </c>
      <c r="BHE31" s="699"/>
      <c r="BHF31" s="700">
        <f>BHE31/BHC31</f>
        <v>0</v>
      </c>
      <c r="BHG31" s="579">
        <f>BGE31+BGI31+BGM31+BGQ31+BGU31+BGY31+BHC31</f>
        <v>159984</v>
      </c>
      <c r="BHH31" s="574">
        <f>BGF31+BGJ31+BGN31+BGR31+BGV31+BGZ31+BHD31</f>
        <v>148785.12</v>
      </c>
      <c r="BHI31" s="730">
        <f>BGG31+BGK31+BGO31+BGS31+BGW31+BHA31+BHE31</f>
        <v>0</v>
      </c>
      <c r="BHJ31" s="711">
        <f>BHI31/BHG31</f>
        <v>0</v>
      </c>
      <c r="BHK31" s="593">
        <f>'Proy 2022 vs 2019 sem'!KF30*BHN$4</f>
        <v>28242.957600000002</v>
      </c>
      <c r="BHL31" s="593">
        <f>'Proy 2022 vs 2019 sem'!KG30*BHN$4</f>
        <v>26265.950568</v>
      </c>
      <c r="BHM31" s="699"/>
      <c r="BHN31" s="700">
        <f>BHM31/BHK31</f>
        <v>0</v>
      </c>
      <c r="BHO31" s="593">
        <f>'Proy 2022 vs 2019 sem'!KF30*BHR$4</f>
        <v>28242.957600000002</v>
      </c>
      <c r="BHP31" s="593">
        <f>'Proy 2022 vs 2019 sem'!KG30*BHR$4</f>
        <v>26265.950568</v>
      </c>
      <c r="BHQ31" s="699"/>
      <c r="BHR31" s="700">
        <f>BHQ31/BHO31</f>
        <v>0</v>
      </c>
      <c r="BHS31" s="593">
        <f>'Proy 2022 vs 2019 sem'!KF30*BHV$4</f>
        <v>28242.957600000002</v>
      </c>
      <c r="BHT31" s="593">
        <f>'Proy 2022 vs 2019 sem'!KG30*BHV$4</f>
        <v>26265.950568</v>
      </c>
      <c r="BHU31" s="699"/>
      <c r="BHV31" s="700">
        <f>BHU31/BHS31</f>
        <v>0</v>
      </c>
      <c r="BHW31" s="593">
        <f>'Proy 2022 vs 2019 sem'!KF30*BHZ$4</f>
        <v>28242.957600000002</v>
      </c>
      <c r="BHX31" s="593">
        <f>'Proy 2022 vs 2019 sem'!KG30*BHZ$4</f>
        <v>26265.950568</v>
      </c>
      <c r="BHY31" s="699"/>
      <c r="BHZ31" s="700">
        <f>BHY31/BHW31</f>
        <v>0</v>
      </c>
      <c r="BIA31" s="593">
        <f>'Proy 2022 vs 2019 sem'!KF30*BID$4</f>
        <v>32950.117200000008</v>
      </c>
      <c r="BIB31" s="593">
        <f>'Proy 2022 vs 2019 sem'!KG30*BID$4</f>
        <v>30643.608996000006</v>
      </c>
      <c r="BIC31" s="699"/>
      <c r="BID31" s="700">
        <f>BIC31/BIA31</f>
        <v>0</v>
      </c>
      <c r="BIE31" s="593">
        <f>'Proy 2022 vs 2019 sem'!KF30*BIH$4</f>
        <v>37657.2768</v>
      </c>
      <c r="BIF31" s="593">
        <f>'Proy 2022 vs 2019 sem'!KG30*BIH$4</f>
        <v>35021.267424000005</v>
      </c>
      <c r="BIG31" s="699"/>
      <c r="BIH31" s="700">
        <f>BIG31/BIE31</f>
        <v>0</v>
      </c>
      <c r="BII31" s="593">
        <f>'Proy 2022 vs 2019 sem'!KF30*BIL$4</f>
        <v>51778.755600000004</v>
      </c>
      <c r="BIJ31" s="593">
        <f>'Proy 2022 vs 2019 sem'!KG30*BIL$4</f>
        <v>48154.242708000005</v>
      </c>
      <c r="BIK31" s="699"/>
      <c r="BIL31" s="700">
        <f>BIK31/BII31</f>
        <v>0</v>
      </c>
      <c r="BIM31" s="579">
        <f>BHK31+BHO31+BHS31+BHW31+BIA31+BIE31+BII31</f>
        <v>235357.98</v>
      </c>
      <c r="BIN31" s="574">
        <f>BHL31+BHP31+BHT31+BHX31+BIB31+BIF31+BIJ31</f>
        <v>218882.92139999999</v>
      </c>
      <c r="BIO31" s="730">
        <f>BHM31+BHQ31+BHU31+BHY31+BIC31+BIG31+BIK31</f>
        <v>0</v>
      </c>
      <c r="BIP31" s="711">
        <f>BIO31/BIM31</f>
        <v>0</v>
      </c>
      <c r="BIQ31" s="593">
        <f>'Proy 2022 vs 2019 sem'!KK30*BIT$4</f>
        <v>23887.285199999998</v>
      </c>
      <c r="BIR31" s="593">
        <f>'Proy 2022 vs 2019 sem'!KL30*BIT$4</f>
        <v>22215.175235999999</v>
      </c>
      <c r="BIS31" s="699"/>
      <c r="BIT31" s="700">
        <f>BIS31/BIQ31</f>
        <v>0</v>
      </c>
      <c r="BIU31" s="593">
        <f>'Proy 2022 vs 2019 sem'!KK30*BIX$4</f>
        <v>23887.285199999998</v>
      </c>
      <c r="BIV31" s="593">
        <f>'Proy 2022 vs 2019 sem'!KL30*BIX$4</f>
        <v>22215.175235999999</v>
      </c>
      <c r="BIW31" s="699"/>
      <c r="BIX31" s="700">
        <f>BIW31/BIU31</f>
        <v>0</v>
      </c>
      <c r="BIY31" s="593">
        <f>'Proy 2022 vs 2019 sem'!KK30*BJB$4</f>
        <v>23887.285199999998</v>
      </c>
      <c r="BIZ31" s="593">
        <f>'Proy 2022 vs 2019 sem'!KL30*BJB$4</f>
        <v>22215.175235999999</v>
      </c>
      <c r="BJA31" s="699"/>
      <c r="BJB31" s="700">
        <f>BJA31/BIY31</f>
        <v>0</v>
      </c>
      <c r="BJC31" s="593">
        <f>'Proy 2022 vs 2019 sem'!KK30*BJF$4</f>
        <v>23887.285199999998</v>
      </c>
      <c r="BJD31" s="593">
        <f>'Proy 2022 vs 2019 sem'!KL30*BJF$4</f>
        <v>22215.175235999999</v>
      </c>
      <c r="BJE31" s="699"/>
      <c r="BJF31" s="700">
        <f>BJE31/BJC31</f>
        <v>0</v>
      </c>
      <c r="BJG31" s="593">
        <f>'Proy 2022 vs 2019 sem'!KK30*BJJ$4</f>
        <v>27868.499400000001</v>
      </c>
      <c r="BJH31" s="593">
        <f>'Proy 2022 vs 2019 sem'!KL30*BJJ$4</f>
        <v>25917.704442000002</v>
      </c>
      <c r="BJI31" s="699"/>
      <c r="BJJ31" s="700">
        <f>BJI31/BJG31</f>
        <v>0</v>
      </c>
      <c r="BJK31" s="593">
        <f>'Proy 2022 vs 2019 sem'!KK30*BJN$4</f>
        <v>31849.713599999999</v>
      </c>
      <c r="BJL31" s="593">
        <f>'Proy 2022 vs 2019 sem'!KL30*BJN$4</f>
        <v>29620.233648000001</v>
      </c>
      <c r="BJM31" s="699"/>
      <c r="BJN31" s="700">
        <f>BJM31/BJK31</f>
        <v>0</v>
      </c>
      <c r="BJO31" s="593">
        <f>'Proy 2022 vs 2019 sem'!KK30*BJR$4</f>
        <v>43793.356200000002</v>
      </c>
      <c r="BJP31" s="593">
        <f>'Proy 2022 vs 2019 sem'!KL30*BJR$4</f>
        <v>40727.821265999999</v>
      </c>
      <c r="BJQ31" s="699"/>
      <c r="BJR31" s="700">
        <f>BJQ31/BJO31</f>
        <v>0</v>
      </c>
      <c r="BJS31" s="579">
        <f>BIQ31+BIU31+BIY31+BJC31+BJG31+BJK31+BJO31</f>
        <v>199060.71</v>
      </c>
      <c r="BJT31" s="574">
        <f>BIR31+BIV31+BIZ31+BJD31+BJH31+BJL31+BJP31</f>
        <v>185126.46029999998</v>
      </c>
      <c r="BJU31" s="710">
        <f>BIS31+BIW31+BJA31+BJE31+BJI31+BJM31+BJQ31</f>
        <v>0</v>
      </c>
      <c r="BJV31" s="711">
        <f>BJU31/BJS31</f>
        <v>0</v>
      </c>
      <c r="BJW31" s="593">
        <f>'Proy 2022 vs 2019 sem'!KP30*BJZ$4</f>
        <v>11654.427599999999</v>
      </c>
      <c r="BJX31" s="593">
        <f>'Proy 2022 vs 2019 sem'!KQ30*BJZ$4</f>
        <v>11071.706219999998</v>
      </c>
      <c r="BJY31" s="699"/>
      <c r="BJZ31" s="700">
        <f>BJY31/BJW31</f>
        <v>0</v>
      </c>
      <c r="BKA31" s="593">
        <f>'Proy 2022 vs 2019 sem'!KP30*BKD$4</f>
        <v>11654.427599999999</v>
      </c>
      <c r="BKB31" s="593">
        <f>'Proy 2022 vs 2019 sem'!KQ30*BKD$4</f>
        <v>11071.706219999998</v>
      </c>
      <c r="BKC31" s="699"/>
      <c r="BKD31" s="700">
        <f>BKC31/BKA31</f>
        <v>0</v>
      </c>
      <c r="BKE31" s="593">
        <f>'Proy 2022 vs 2019 sem'!KP30*BKH$4</f>
        <v>11654.427599999999</v>
      </c>
      <c r="BKF31" s="593">
        <f>'Proy 2022 vs 2019 sem'!KQ30*BKH$4</f>
        <v>11071.706219999998</v>
      </c>
      <c r="BKG31" s="699"/>
      <c r="BKH31" s="700">
        <f>BKG31/BKE31</f>
        <v>0</v>
      </c>
      <c r="BKI31" s="593">
        <f>'Proy 2022 vs 2019 sem'!KP30*BKL$4</f>
        <v>11654.427599999999</v>
      </c>
      <c r="BKJ31" s="593">
        <f>'Proy 2022 vs 2019 sem'!KQ30*BKL$4</f>
        <v>11071.706219999998</v>
      </c>
      <c r="BKK31" s="699"/>
      <c r="BKL31" s="700">
        <f>BKK31/BKI31</f>
        <v>0</v>
      </c>
      <c r="BKM31" s="593">
        <f>'Proy 2022 vs 2019 sem'!KP30*BKP$4</f>
        <v>13596.832200000001</v>
      </c>
      <c r="BKN31" s="593">
        <f>'Proy 2022 vs 2019 sem'!KQ30*BKP$4</f>
        <v>12916.990589999999</v>
      </c>
      <c r="BKO31" s="699"/>
      <c r="BKP31" s="700">
        <f>BKO31/BKM31</f>
        <v>0</v>
      </c>
      <c r="BKQ31" s="593">
        <f>'Proy 2022 vs 2019 sem'!KP30*BKT$4</f>
        <v>15539.236799999999</v>
      </c>
      <c r="BKR31" s="593">
        <f>'Proy 2022 vs 2019 sem'!KQ30*BKT$4</f>
        <v>14762.274959999999</v>
      </c>
      <c r="BKS31" s="699"/>
      <c r="BKT31" s="700">
        <f>BKS31/BKQ31</f>
        <v>0</v>
      </c>
      <c r="BKU31" s="593">
        <f>'Proy 2022 vs 2019 sem'!KP30*BKX$4</f>
        <v>21366.4506</v>
      </c>
      <c r="BKV31" s="593">
        <f>'Proy 2022 vs 2019 sem'!KQ30*BKX$4</f>
        <v>20298.128069999999</v>
      </c>
      <c r="BKW31" s="699"/>
      <c r="BKX31" s="700">
        <f>BKW31/BKU31</f>
        <v>0</v>
      </c>
      <c r="BKY31" s="579">
        <f>BJW31+BKA31+BKE31+BKI31+BKM31+BKQ31+BKU31</f>
        <v>97120.23</v>
      </c>
      <c r="BKZ31" s="574">
        <f>BJX31+BKB31+BKF31+BKJ31+BKN31+BKR31+BKV31</f>
        <v>92264.218499999988</v>
      </c>
      <c r="BLA31" s="710">
        <f>BJY31+BKC31+BKG31+BKK31+BKO31+BKS31+BKW31</f>
        <v>0</v>
      </c>
      <c r="BLB31" s="711">
        <f>BLA31/BKY31</f>
        <v>0</v>
      </c>
    </row>
    <row r="32" spans="2:1666" ht="19.5" customHeight="1">
      <c r="B32" s="930" t="s">
        <v>231</v>
      </c>
      <c r="C32" s="593">
        <f>'Proy 2022 vs 2019 sem'!$C$6*$F$4</f>
        <v>9529.1268</v>
      </c>
      <c r="D32" s="593">
        <f>'Proy 2022 vs 2019 sem'!$D$6*$F$4</f>
        <v>8480.9228519999997</v>
      </c>
      <c r="E32" s="735"/>
      <c r="F32" s="700">
        <f>E32/C32</f>
        <v>0</v>
      </c>
      <c r="G32" s="1414">
        <f>'Proy 2022 vs 2019 sem'!C31*$J$4</f>
        <v>0</v>
      </c>
      <c r="H32" s="593">
        <f>'Proy 2022 vs 2019 sem'!D31*$J$4</f>
        <v>0</v>
      </c>
      <c r="I32" s="735"/>
      <c r="J32" s="700" t="e">
        <f>I32/G32</f>
        <v>#DIV/0!</v>
      </c>
      <c r="K32" s="593">
        <f>'Proy 2022 vs 2019 sem'!C31*$N$4</f>
        <v>0</v>
      </c>
      <c r="L32" s="593">
        <f>'Proy 2022 vs 2019 sem'!D31*N$4</f>
        <v>0</v>
      </c>
      <c r="M32" s="735"/>
      <c r="N32" s="700" t="e">
        <f>M32/K32</f>
        <v>#DIV/0!</v>
      </c>
      <c r="O32" s="593">
        <f>'Proy 2022 vs 2019 sem'!C31*R$4</f>
        <v>0</v>
      </c>
      <c r="P32" s="593">
        <f>'Proy 2022 vs 2019 sem'!D31*$R$4</f>
        <v>0</v>
      </c>
      <c r="Q32" s="735"/>
      <c r="R32" s="700" t="e">
        <f>Q32/O32</f>
        <v>#DIV/0!</v>
      </c>
      <c r="S32" s="593">
        <f>'Proy 2022 vs 2019 sem'!C31*V$4</f>
        <v>0</v>
      </c>
      <c r="T32" s="593">
        <f>'Proy 2022 vs 2019 sem'!D31*V$4</f>
        <v>0</v>
      </c>
      <c r="U32" s="735"/>
      <c r="V32" s="700" t="e">
        <f>U32/S32</f>
        <v>#DIV/0!</v>
      </c>
      <c r="W32" s="593">
        <f>'Proy 2022 vs 2019 sem'!C31*Z$4</f>
        <v>0</v>
      </c>
      <c r="X32" s="593">
        <f>'Proy 2022 vs 2019 sem'!D31*Z$4</f>
        <v>0</v>
      </c>
      <c r="Y32" s="735"/>
      <c r="Z32" s="700" t="e">
        <f>Y32/W32</f>
        <v>#DIV/0!</v>
      </c>
      <c r="AA32" s="593">
        <f>'Proy 2022 vs 2019 sem'!C31*AD$4</f>
        <v>0</v>
      </c>
      <c r="AB32" s="593">
        <f>'Proy 2022 vs 2019 sem'!D31*AD$4</f>
        <v>0</v>
      </c>
      <c r="AC32" s="735"/>
      <c r="AD32" s="700" t="e">
        <f>AC32/AA32</f>
        <v>#DIV/0!</v>
      </c>
      <c r="AE32" s="579">
        <f>C32+G32+K32+O32+S32+W32+AA32</f>
        <v>9529.1268</v>
      </c>
      <c r="AF32" s="574">
        <f>D32+H32+L32+P32+T32+X32+AB32</f>
        <v>8480.9228519999997</v>
      </c>
      <c r="AG32" s="729">
        <f>E32+I32+M32+Q32+U32+Y32+AC32</f>
        <v>0</v>
      </c>
      <c r="AH32" s="711">
        <f>AG32/AE32</f>
        <v>0</v>
      </c>
      <c r="AI32" s="593">
        <f>'Proy 2022 vs 2019 sem'!H31*AL$4</f>
        <v>0</v>
      </c>
      <c r="AJ32" s="611">
        <f>'Proy 2022 vs 2019 sem'!I31*AL$4</f>
        <v>0</v>
      </c>
      <c r="AK32" s="699"/>
      <c r="AL32" s="700" t="e">
        <f>AK32/AI32</f>
        <v>#DIV/0!</v>
      </c>
      <c r="AM32" s="593">
        <f>'Proy 2022 vs 2019 sem'!H31*AP$4</f>
        <v>0</v>
      </c>
      <c r="AN32" s="593">
        <f>'Proy 2022 vs 2019 sem'!I31*AP$4</f>
        <v>0</v>
      </c>
      <c r="AO32" s="699"/>
      <c r="AP32" s="700" t="e">
        <f>AO32/AM32</f>
        <v>#DIV/0!</v>
      </c>
      <c r="AQ32" s="593">
        <f>'Proy 2022 vs 2019 sem'!H31*AT$4</f>
        <v>0</v>
      </c>
      <c r="AR32" s="593">
        <f>'Proy 2022 vs 2019 sem'!I31*AT$4</f>
        <v>0</v>
      </c>
      <c r="AS32" s="699"/>
      <c r="AT32" s="700" t="e">
        <f>AS32/AQ32</f>
        <v>#DIV/0!</v>
      </c>
      <c r="AU32" s="593">
        <f>'Proy 2022 vs 2019 sem'!H31*AX$4</f>
        <v>0</v>
      </c>
      <c r="AV32" s="593">
        <f>'Proy 2022 vs 2019 sem'!I31*AX$4</f>
        <v>0</v>
      </c>
      <c r="AW32" s="699"/>
      <c r="AX32" s="700" t="e">
        <f>AW32/AU32</f>
        <v>#DIV/0!</v>
      </c>
      <c r="AY32" s="593">
        <f>'Proy 2022 vs 2019 sem'!H31*BB$4</f>
        <v>0</v>
      </c>
      <c r="AZ32" s="593">
        <f>'Proy 2022 vs 2019 sem'!I31*BB$4</f>
        <v>0</v>
      </c>
      <c r="BA32" s="699"/>
      <c r="BB32" s="700" t="e">
        <f>BA32/AY32</f>
        <v>#DIV/0!</v>
      </c>
      <c r="BC32" s="593">
        <f>'Proy 2022 vs 2019 sem'!H31*BF$4</f>
        <v>0</v>
      </c>
      <c r="BD32" s="593">
        <f>'Proy 2022 vs 2019 sem'!I31*BF$4</f>
        <v>0</v>
      </c>
      <c r="BE32" s="699"/>
      <c r="BF32" s="700" t="e">
        <f>BE32/BC32</f>
        <v>#DIV/0!</v>
      </c>
      <c r="BG32" s="593">
        <f>'Proy 2022 vs 2019 sem'!H31*BJ$4</f>
        <v>0</v>
      </c>
      <c r="BH32" s="593">
        <f>'Proy 2022 vs 2019 sem'!I31*BJ$4</f>
        <v>0</v>
      </c>
      <c r="BI32" s="699"/>
      <c r="BJ32" s="700" t="e">
        <f>BI32/BG32</f>
        <v>#DIV/0!</v>
      </c>
      <c r="BK32" s="579">
        <f>AI32+AM32+AQ32+AU32+AY32+BC32+BG32</f>
        <v>0</v>
      </c>
      <c r="BL32" s="574">
        <f>AJ32+AN32+AR32+AV32+AZ32+BD32+BH32</f>
        <v>0</v>
      </c>
      <c r="BM32" s="730">
        <f>AK32+AO32+AS32+AW32+BA32+BE32+BI32</f>
        <v>0</v>
      </c>
      <c r="BN32" s="711" t="e">
        <f>BM32/BK32</f>
        <v>#DIV/0!</v>
      </c>
      <c r="BO32" s="593">
        <f>'Proy 2022 vs 2019 sem'!M31*BR$4</f>
        <v>0</v>
      </c>
      <c r="BP32" s="593">
        <f>'Proy 2022 vs 2019 sem'!N31*BR$4</f>
        <v>0</v>
      </c>
      <c r="BQ32" s="699"/>
      <c r="BR32" s="700" t="e">
        <f>BQ32/BO32</f>
        <v>#DIV/0!</v>
      </c>
      <c r="BS32" s="593">
        <f>'Proy 2022 vs 2019 sem'!M31*BV$4</f>
        <v>0</v>
      </c>
      <c r="BT32" s="593">
        <f>'Proy 2022 vs 2019 sem'!N31*BV$4</f>
        <v>0</v>
      </c>
      <c r="BU32" s="699"/>
      <c r="BV32" s="700" t="e">
        <f>BU32/BS32</f>
        <v>#DIV/0!</v>
      </c>
      <c r="BW32" s="593">
        <f>'Proy 2022 vs 2019 sem'!M31*BZ$4</f>
        <v>0</v>
      </c>
      <c r="BX32" s="593">
        <f>'Proy 2022 vs 2019 sem'!N31*BZ$4</f>
        <v>0</v>
      </c>
      <c r="BY32" s="699"/>
      <c r="BZ32" s="700" t="e">
        <f>BY32/BW32</f>
        <v>#DIV/0!</v>
      </c>
      <c r="CA32" s="593">
        <f>'Proy 2022 vs 2019 sem'!M31*CD$4</f>
        <v>0</v>
      </c>
      <c r="CB32" s="593">
        <f>'Proy 2022 vs 2019 sem'!N31*CD$4</f>
        <v>0</v>
      </c>
      <c r="CC32" s="699"/>
      <c r="CD32" s="700" t="e">
        <f>CC32/CA32</f>
        <v>#DIV/0!</v>
      </c>
      <c r="CE32" s="593">
        <f>'Proy 2022 vs 2019 sem'!M31*CH$4</f>
        <v>0</v>
      </c>
      <c r="CF32" s="593">
        <f>'Proy 2022 vs 2019 sem'!N31*CH$4</f>
        <v>0</v>
      </c>
      <c r="CG32" s="699"/>
      <c r="CH32" s="700" t="e">
        <f>CG32/CE32</f>
        <v>#DIV/0!</v>
      </c>
      <c r="CI32" s="593">
        <f>'Proy 2022 vs 2019 sem'!M31*CL$4</f>
        <v>0</v>
      </c>
      <c r="CJ32" s="593">
        <f>'Proy 2022 vs 2019 sem'!N31*CL$4</f>
        <v>0</v>
      </c>
      <c r="CK32" s="699"/>
      <c r="CL32" s="700" t="e">
        <f>CK32/CI32</f>
        <v>#DIV/0!</v>
      </c>
      <c r="CM32" s="593">
        <f>'Proy 2022 vs 2019 sem'!M31*CP$4</f>
        <v>0</v>
      </c>
      <c r="CN32" s="593">
        <f>'Proy 2022 vs 2019 sem'!N31*CP$4</f>
        <v>0</v>
      </c>
      <c r="CO32" s="699"/>
      <c r="CP32" s="700" t="e">
        <f>CO32/CM32</f>
        <v>#DIV/0!</v>
      </c>
      <c r="CQ32" s="579">
        <f>BO32+BS32+BW32+CA32+CE32+CI32+CM32</f>
        <v>0</v>
      </c>
      <c r="CR32" s="574">
        <f>BP32+BT32+BX32+CB32+CF32+CJ32+CN32</f>
        <v>0</v>
      </c>
      <c r="CS32" s="730">
        <f>BQ32+BU32+BY32+CC32+CG32+CK32+CO32</f>
        <v>0</v>
      </c>
      <c r="CT32" s="711" t="e">
        <f>CS32/CQ32</f>
        <v>#DIV/0!</v>
      </c>
      <c r="CU32" s="593">
        <f>'Proy 2022 vs 2019 sem'!R31*CX$4</f>
        <v>0</v>
      </c>
      <c r="CV32" s="593">
        <f>'Proy 2022 vs 2019 sem'!S31*CX$4</f>
        <v>0</v>
      </c>
      <c r="CW32" s="699"/>
      <c r="CX32" s="700" t="e">
        <f>CW32/CU32</f>
        <v>#DIV/0!</v>
      </c>
      <c r="CY32" s="593">
        <f>'Proy 2022 vs 2019 sem'!R31*DB$4</f>
        <v>0</v>
      </c>
      <c r="CZ32" s="593">
        <f>'Proy 2022 vs 2019 sem'!S31*DB$4</f>
        <v>0</v>
      </c>
      <c r="DA32" s="699"/>
      <c r="DB32" s="700" t="e">
        <f>DA32/CY32</f>
        <v>#DIV/0!</v>
      </c>
      <c r="DC32" s="593">
        <f>'Proy 2022 vs 2019 sem'!R31*DF$4</f>
        <v>0</v>
      </c>
      <c r="DD32" s="593">
        <f>'Proy 2022 vs 2019 sem'!S31*DF$4</f>
        <v>0</v>
      </c>
      <c r="DE32" s="699"/>
      <c r="DF32" s="700" t="e">
        <f>DE32/DC32</f>
        <v>#DIV/0!</v>
      </c>
      <c r="DG32" s="593">
        <f>'Proy 2022 vs 2019 sem'!R31*DJ$4</f>
        <v>0</v>
      </c>
      <c r="DH32" s="593">
        <f>'Proy 2022 vs 2019 sem'!S31*DJ$4</f>
        <v>0</v>
      </c>
      <c r="DI32" s="699"/>
      <c r="DJ32" s="700" t="e">
        <f>DI32/DG32</f>
        <v>#DIV/0!</v>
      </c>
      <c r="DK32" s="593">
        <f>'Proy 2022 vs 2019 sem'!R31*DN$4</f>
        <v>0</v>
      </c>
      <c r="DL32" s="593">
        <f>'Proy 2022 vs 2019 sem'!S31*DN$4</f>
        <v>0</v>
      </c>
      <c r="DM32" s="699"/>
      <c r="DN32" s="700" t="e">
        <f>DM32/DK32</f>
        <v>#DIV/0!</v>
      </c>
      <c r="DO32" s="593">
        <f>'Proy 2022 vs 2019 sem'!R31*DR$4</f>
        <v>0</v>
      </c>
      <c r="DP32" s="593">
        <f>'Proy 2022 vs 2019 sem'!S31*DR$4</f>
        <v>0</v>
      </c>
      <c r="DQ32" s="699"/>
      <c r="DR32" s="700" t="e">
        <f>DQ32/DO32</f>
        <v>#DIV/0!</v>
      </c>
      <c r="DS32" s="593">
        <f>'Proy 2022 vs 2019 sem'!R31*DV$4</f>
        <v>0</v>
      </c>
      <c r="DT32" s="593">
        <f>'Proy 2022 vs 2019 sem'!S31*DV$4</f>
        <v>0</v>
      </c>
      <c r="DU32" s="699"/>
      <c r="DV32" s="700" t="e">
        <f>DU32/DS32</f>
        <v>#DIV/0!</v>
      </c>
      <c r="DW32" s="579">
        <f>CU32+CY32+DC32+DG32+DK32+DO32+DS32</f>
        <v>0</v>
      </c>
      <c r="DX32" s="574">
        <f>CV32+CZ32+DD32+DH32+DL32+DP32+DT32</f>
        <v>0</v>
      </c>
      <c r="DY32" s="710">
        <f>CW32+DA32+DE32+DI32+DM32+DQ32+DU32</f>
        <v>0</v>
      </c>
      <c r="DZ32" s="711" t="e">
        <f>DY32/DW32</f>
        <v>#DIV/0!</v>
      </c>
      <c r="EA32" s="593">
        <f>'Proy 2022 vs 2019 sem'!AA31*ED$4</f>
        <v>0</v>
      </c>
      <c r="EB32" s="593">
        <f>'Proy 2022 vs 2019 sem'!AB31*ED$4</f>
        <v>0</v>
      </c>
      <c r="EC32" s="735"/>
      <c r="ED32" s="700" t="e">
        <f>EC32/EA32</f>
        <v>#DIV/0!</v>
      </c>
      <c r="EE32" s="593">
        <f>'Proy 2022 vs 2019 sem'!AA31*EH$4</f>
        <v>0</v>
      </c>
      <c r="EF32" s="593">
        <f>'Proy 2022 vs 2019 sem'!AB31*EH$4</f>
        <v>0</v>
      </c>
      <c r="EG32" s="699"/>
      <c r="EH32" s="700" t="e">
        <f>EG32/EE32</f>
        <v>#DIV/0!</v>
      </c>
      <c r="EI32" s="593">
        <f>'Proy 2022 vs 2019 sem'!AA31*EL$4</f>
        <v>0</v>
      </c>
      <c r="EJ32" s="593">
        <f>'Proy 2022 vs 2019 sem'!AB31*EL$4</f>
        <v>0</v>
      </c>
      <c r="EK32" s="699"/>
      <c r="EL32" s="700" t="e">
        <f>EK32/EI32</f>
        <v>#DIV/0!</v>
      </c>
      <c r="EM32" s="593">
        <f>'Proy 2022 vs 2019 sem'!AA31*EP$4</f>
        <v>0</v>
      </c>
      <c r="EN32" s="593">
        <f>'Proy 2022 vs 2019 sem'!AB31*EP$4</f>
        <v>0</v>
      </c>
      <c r="EO32" s="699"/>
      <c r="EP32" s="700" t="e">
        <f>EO32/EM32</f>
        <v>#DIV/0!</v>
      </c>
      <c r="EQ32" s="593">
        <f>'Proy 2022 vs 2019 sem'!AA31*ET$4</f>
        <v>0</v>
      </c>
      <c r="ER32" s="593">
        <f>'Proy 2022 vs 2019 sem'!AB31*ET$4</f>
        <v>0</v>
      </c>
      <c r="ES32" s="699"/>
      <c r="ET32" s="700" t="e">
        <f>ES32/EQ32</f>
        <v>#DIV/0!</v>
      </c>
      <c r="EU32" s="593">
        <f>'Proy 2022 vs 2019 sem'!AA31*EX$4</f>
        <v>0</v>
      </c>
      <c r="EV32" s="593">
        <f>'Proy 2022 vs 2019 sem'!AB31*EX$4</f>
        <v>0</v>
      </c>
      <c r="EW32" s="699"/>
      <c r="EX32" s="700" t="e">
        <f>EW32/EU32</f>
        <v>#DIV/0!</v>
      </c>
      <c r="EY32" s="593">
        <f>'Proy 2022 vs 2019 sem'!AA31*FB$4</f>
        <v>0</v>
      </c>
      <c r="EZ32" s="593">
        <f>'Proy 2022 vs 2019 sem'!AB31*FB$4</f>
        <v>0</v>
      </c>
      <c r="FA32" s="699"/>
      <c r="FB32" s="700" t="e">
        <f>FA32/EY32</f>
        <v>#DIV/0!</v>
      </c>
      <c r="FC32" s="579">
        <f>EA32+EE32+EI32+EM32+EQ32+EU32+EY32</f>
        <v>0</v>
      </c>
      <c r="FD32" s="574">
        <f>EB32+EF32+EJ32+EN32+ER32+EV32+EZ32</f>
        <v>0</v>
      </c>
      <c r="FE32" s="793">
        <f>EC32+EG32+EK32+EO32+ES32+EW32+FA32</f>
        <v>0</v>
      </c>
      <c r="FF32" s="786" t="e">
        <f>FE32/FC32</f>
        <v>#DIV/0!</v>
      </c>
      <c r="FG32" s="593">
        <f>'Proy 2022 vs 2019 sem'!AF31*FJ$4</f>
        <v>0</v>
      </c>
      <c r="FH32" s="593">
        <f>'Proy 2022 vs 2019 sem'!AG31*FJ$4</f>
        <v>0</v>
      </c>
      <c r="FI32" s="699"/>
      <c r="FJ32" s="700" t="e">
        <f>FI32/FG32</f>
        <v>#DIV/0!</v>
      </c>
      <c r="FK32" s="593">
        <f>'Proy 2022 vs 2019 sem'!AF31*FN$4</f>
        <v>0</v>
      </c>
      <c r="FL32" s="593">
        <f>'Proy 2022 vs 2019 sem'!AG31*FN$4</f>
        <v>0</v>
      </c>
      <c r="FM32" s="699"/>
      <c r="FN32" s="700" t="e">
        <f>FM32/FK32</f>
        <v>#DIV/0!</v>
      </c>
      <c r="FO32" s="593">
        <f>'Proy 2022 vs 2019 sem'!AF31*FR$4</f>
        <v>0</v>
      </c>
      <c r="FP32" s="593">
        <f>'Proy 2022 vs 2019 sem'!AG31*FR$4</f>
        <v>0</v>
      </c>
      <c r="FQ32" s="699"/>
      <c r="FR32" s="700" t="e">
        <f>FQ32/FO32</f>
        <v>#DIV/0!</v>
      </c>
      <c r="FS32" s="593">
        <f>'Proy 2022 vs 2019 sem'!AF31*FV$4</f>
        <v>0</v>
      </c>
      <c r="FT32" s="593">
        <f>'Proy 2022 vs 2019 sem'!AG31*FV$4</f>
        <v>0</v>
      </c>
      <c r="FU32" s="699"/>
      <c r="FV32" s="700" t="e">
        <f>FU32/FS32</f>
        <v>#DIV/0!</v>
      </c>
      <c r="FW32" s="593">
        <f>'Proy 2022 vs 2019 sem'!AF31*FZ$4</f>
        <v>0</v>
      </c>
      <c r="FX32" s="593">
        <f>'Proy 2022 vs 2019 sem'!AG31*FZ$4</f>
        <v>0</v>
      </c>
      <c r="FY32" s="699"/>
      <c r="FZ32" s="700" t="e">
        <f>FY32/FW32</f>
        <v>#DIV/0!</v>
      </c>
      <c r="GA32" s="593">
        <f>'Proy 2022 vs 2019 sem'!AF31*GD$4</f>
        <v>0</v>
      </c>
      <c r="GB32" s="593">
        <f>'Proy 2022 vs 2019 sem'!AG31*GD$4</f>
        <v>0</v>
      </c>
      <c r="GC32" s="699"/>
      <c r="GD32" s="700" t="e">
        <f>GC32/GA32</f>
        <v>#DIV/0!</v>
      </c>
      <c r="GE32" s="593">
        <f>'Proy 2022 vs 2019 sem'!AF31*GH$4</f>
        <v>0</v>
      </c>
      <c r="GF32" s="593">
        <f>'Proy 2022 vs 2019 sem'!AG31*GH$4</f>
        <v>0</v>
      </c>
      <c r="GG32" s="699"/>
      <c r="GH32" s="700" t="e">
        <f>GG32/GE32</f>
        <v>#DIV/0!</v>
      </c>
      <c r="GI32" s="579">
        <f>FG32+FK32+FO32+FS32+FW32+GA32+GE32</f>
        <v>0</v>
      </c>
      <c r="GJ32" s="574">
        <f>FH32+FL32+FP32+FT32+FX32+GB32+GF32</f>
        <v>0</v>
      </c>
      <c r="GK32" s="794">
        <f>FI32+FM32+FQ32+FU32+FY32+GC32+GG32</f>
        <v>0</v>
      </c>
      <c r="GL32" s="786" t="e">
        <f>GK32/GI32</f>
        <v>#DIV/0!</v>
      </c>
      <c r="GM32" s="593">
        <f>'Proy 2022 vs 2019 sem'!AK31*GP$4</f>
        <v>0</v>
      </c>
      <c r="GN32" s="593">
        <f>'Proy 2022 vs 2019 sem'!AL31*GP$4</f>
        <v>0</v>
      </c>
      <c r="GO32" s="699"/>
      <c r="GP32" s="700" t="e">
        <f>GO32/GM32</f>
        <v>#DIV/0!</v>
      </c>
      <c r="GQ32" s="593">
        <f>'Proy 2022 vs 2019 sem'!AK31*GT$4</f>
        <v>0</v>
      </c>
      <c r="GR32" s="593">
        <f>'Proy 2022 vs 2019 sem'!AL31*GT$4</f>
        <v>0</v>
      </c>
      <c r="GS32" s="699"/>
      <c r="GT32" s="700" t="e">
        <f>GS32/GQ32</f>
        <v>#DIV/0!</v>
      </c>
      <c r="GU32" s="593">
        <f>'Proy 2022 vs 2019 sem'!AK31*GX$4</f>
        <v>0</v>
      </c>
      <c r="GV32" s="593">
        <f>'Proy 2022 vs 2019 sem'!AL31*GX$4</f>
        <v>0</v>
      </c>
      <c r="GW32" s="699"/>
      <c r="GX32" s="700" t="e">
        <f>GW32/GU32</f>
        <v>#DIV/0!</v>
      </c>
      <c r="GY32" s="593">
        <f>'Proy 2022 vs 2019 sem'!AK31*HB$4</f>
        <v>0</v>
      </c>
      <c r="GZ32" s="593">
        <f>'Proy 2022 vs 2019 sem'!AL31*HB$4</f>
        <v>0</v>
      </c>
      <c r="HA32" s="699"/>
      <c r="HB32" s="700" t="e">
        <f>HA32/GY32</f>
        <v>#DIV/0!</v>
      </c>
      <c r="HC32" s="593">
        <f>'Proy 2022 vs 2019 sem'!AK31*HF$4</f>
        <v>0</v>
      </c>
      <c r="HD32" s="593">
        <f>'Proy 2022 vs 2019 sem'!AL31*HF$4</f>
        <v>0</v>
      </c>
      <c r="HE32" s="699"/>
      <c r="HF32" s="700" t="e">
        <f>HE32/HC32</f>
        <v>#DIV/0!</v>
      </c>
      <c r="HG32" s="593">
        <f>'Proy 2022 vs 2019 sem'!AK31*HJ$4</f>
        <v>0</v>
      </c>
      <c r="HH32" s="593">
        <f>'Proy 2022 vs 2019 sem'!AL31*HJ$4</f>
        <v>0</v>
      </c>
      <c r="HI32" s="699"/>
      <c r="HJ32" s="700" t="e">
        <f>HI32/HG32</f>
        <v>#DIV/0!</v>
      </c>
      <c r="HK32" s="593">
        <f>'Proy 2022 vs 2019 sem'!AK31*HN$4</f>
        <v>0</v>
      </c>
      <c r="HL32" s="593">
        <f>'Proy 2022 vs 2019 sem'!AL31*HN$4</f>
        <v>0</v>
      </c>
      <c r="HM32" s="699"/>
      <c r="HN32" s="700" t="e">
        <f>HM32/HK32</f>
        <v>#DIV/0!</v>
      </c>
      <c r="HO32" s="579">
        <f>GM32+GQ32+GU32+GY32+HC32+HG32+HK32</f>
        <v>0</v>
      </c>
      <c r="HP32" s="574">
        <f>GN32+GR32+GV32+GZ32+HD32+HH32+HL32</f>
        <v>0</v>
      </c>
      <c r="HQ32" s="794">
        <f>GO32+GS32+GW32+HA32+HE32+HI32+HM32</f>
        <v>0</v>
      </c>
      <c r="HR32" s="786" t="e">
        <f>HQ32/HO32</f>
        <v>#DIV/0!</v>
      </c>
      <c r="HS32" s="593">
        <f>'Proy 2022 vs 2019 sem'!AK31*HV$4</f>
        <v>0</v>
      </c>
      <c r="HT32" s="593">
        <f>'Proy 2022 vs 2019 sem'!AL31*HV$4</f>
        <v>0</v>
      </c>
      <c r="HU32" s="699"/>
      <c r="HV32" s="700" t="e">
        <f>HU32/HS32</f>
        <v>#DIV/0!</v>
      </c>
      <c r="HW32" s="593">
        <f>'Proy 2022 vs 2019 sem'!AK31*HZ$4</f>
        <v>0</v>
      </c>
      <c r="HX32" s="593">
        <f>'Proy 2022 vs 2019 sem'!AL31*HZ$4</f>
        <v>0</v>
      </c>
      <c r="HY32" s="699"/>
      <c r="HZ32" s="700" t="e">
        <f>HY32/HW32</f>
        <v>#DIV/0!</v>
      </c>
      <c r="IA32" s="593">
        <f>'Proy 2022 vs 2019 sem'!AK31*ID$4</f>
        <v>0</v>
      </c>
      <c r="IB32" s="593">
        <f>'Proy 2022 vs 2019 sem'!AL31*ID$4</f>
        <v>0</v>
      </c>
      <c r="IC32" s="699"/>
      <c r="ID32" s="700" t="e">
        <f>IC32/IA32</f>
        <v>#DIV/0!</v>
      </c>
      <c r="IE32" s="593">
        <f>'Proy 2022 vs 2019 sem'!AK31*IH$4</f>
        <v>0</v>
      </c>
      <c r="IF32" s="593">
        <f>'Proy 2022 vs 2019 sem'!AL31*IH$4</f>
        <v>0</v>
      </c>
      <c r="IG32" s="699"/>
      <c r="IH32" s="700" t="e">
        <f>IG32/IE32</f>
        <v>#DIV/0!</v>
      </c>
      <c r="II32" s="593">
        <f>'Proy 2022 vs 2019 sem'!AK31*IL$4</f>
        <v>0</v>
      </c>
      <c r="IJ32" s="593">
        <f>'Proy 2022 vs 2019 sem'!AL31*IL$4</f>
        <v>0</v>
      </c>
      <c r="IK32" s="699"/>
      <c r="IL32" s="700" t="e">
        <f>IK32/II32</f>
        <v>#DIV/0!</v>
      </c>
      <c r="IM32" s="593">
        <f>'Proy 2022 vs 2019 sem'!AK31*IP$4</f>
        <v>0</v>
      </c>
      <c r="IN32" s="593">
        <f>'Proy 2022 vs 2019 sem'!AL31*IP$4</f>
        <v>0</v>
      </c>
      <c r="IO32" s="699"/>
      <c r="IP32" s="700" t="e">
        <f>IO32/IM32</f>
        <v>#DIV/0!</v>
      </c>
      <c r="IQ32" s="593">
        <f>'Proy 2022 vs 2019 sem'!AK31*IT$4</f>
        <v>0</v>
      </c>
      <c r="IR32" s="593">
        <f>'Proy 2022 vs 2019 sem'!AL31*IT$4</f>
        <v>0</v>
      </c>
      <c r="IS32" s="699"/>
      <c r="IT32" s="700" t="e">
        <f>IS32/IQ32</f>
        <v>#DIV/0!</v>
      </c>
      <c r="IU32" s="579">
        <f>HS32+HW32+IA32+IE32+II32+IM32+IQ32</f>
        <v>0</v>
      </c>
      <c r="IV32" s="574">
        <f>HT32+HX32+IB32+IF32+IJ32+IN32+IR32</f>
        <v>0</v>
      </c>
      <c r="IW32" s="785">
        <f>HU32+HY32+IC32+IG32+IK32+IO32+IS32</f>
        <v>0</v>
      </c>
      <c r="IX32" s="786" t="e">
        <f>IW32/IU32</f>
        <v>#DIV/0!</v>
      </c>
      <c r="IY32" s="593">
        <f>'Proy 2022 vs 2019 sem'!AY31*JB$4</f>
        <v>0</v>
      </c>
      <c r="IZ32" s="593">
        <f>'Proy 2022 vs 2019 sem'!AZ31*JB$4</f>
        <v>0</v>
      </c>
      <c r="JA32" s="735"/>
      <c r="JB32" s="700" t="e">
        <f>JA32/IY32</f>
        <v>#DIV/0!</v>
      </c>
      <c r="JC32" s="593">
        <f>'Proy 2022 vs 2019 sem'!AY31*JF$4</f>
        <v>0</v>
      </c>
      <c r="JD32" s="593">
        <f>'Proy 2022 vs 2019 sem'!AZ31*JF$4</f>
        <v>0</v>
      </c>
      <c r="JE32" s="735"/>
      <c r="JF32" s="700" t="e">
        <f>JE32/JC32</f>
        <v>#DIV/0!</v>
      </c>
      <c r="JG32" s="593">
        <f>'Proy 2022 vs 2019 sem'!AY31*JJ$4</f>
        <v>0</v>
      </c>
      <c r="JH32" s="593">
        <f>'Proy 2022 vs 2019 sem'!AZ31*JJ$4</f>
        <v>0</v>
      </c>
      <c r="JI32" s="735"/>
      <c r="JJ32" s="700" t="e">
        <f>JI32/JG32</f>
        <v>#DIV/0!</v>
      </c>
      <c r="JK32" s="593">
        <f>'Proy 2022 vs 2019 sem'!AY31*JN$4</f>
        <v>0</v>
      </c>
      <c r="JL32" s="593">
        <f>'Proy 2022 vs 2019 sem'!AZ31*JN$4</f>
        <v>0</v>
      </c>
      <c r="JM32" s="735"/>
      <c r="JN32" s="700" t="e">
        <f>JM32/JK32</f>
        <v>#DIV/0!</v>
      </c>
      <c r="JO32" s="593">
        <f>'Proy 2022 vs 2019 sem'!AY31*JR$4</f>
        <v>0</v>
      </c>
      <c r="JP32" s="593">
        <f>'Proy 2022 vs 2019 sem'!AZ31*JR$4</f>
        <v>0</v>
      </c>
      <c r="JQ32" s="735"/>
      <c r="JR32" s="700" t="e">
        <f>JQ32/JO32</f>
        <v>#DIV/0!</v>
      </c>
      <c r="JS32" s="593">
        <f>'Proy 2022 vs 2019 sem'!AY31*JV$4</f>
        <v>0</v>
      </c>
      <c r="JT32" s="593">
        <f>'Proy 2022 vs 2019 sem'!AZ31*JV$4</f>
        <v>0</v>
      </c>
      <c r="JU32" s="735"/>
      <c r="JV32" s="700" t="e">
        <f>JU32/JS32</f>
        <v>#DIV/0!</v>
      </c>
      <c r="JW32" s="593">
        <f>'Proy 2022 vs 2019 sem'!AY31*JZ$4</f>
        <v>0</v>
      </c>
      <c r="JX32" s="593">
        <f>'Proy 2022 vs 2019 sem'!AZ31*JZ$4</f>
        <v>0</v>
      </c>
      <c r="JY32" s="735"/>
      <c r="JZ32" s="700" t="e">
        <f>JY32/JW32</f>
        <v>#DIV/0!</v>
      </c>
      <c r="KA32" s="579">
        <f>IY32+JC32+JG32+JK32+JO32+JS32+JW32</f>
        <v>0</v>
      </c>
      <c r="KB32" s="574">
        <f>IZ32+JD32+JH32+JL32+JP32+JT32+JX32</f>
        <v>0</v>
      </c>
      <c r="KC32" s="729">
        <f>JA32+JE32+JI32+JM32+JQ32+JU32+JY32</f>
        <v>0</v>
      </c>
      <c r="KD32" s="711" t="e">
        <f>KC32/KA32</f>
        <v>#DIV/0!</v>
      </c>
      <c r="KE32" s="593">
        <f>'Proy 2022 vs 2019 sem'!BD31*KH$4</f>
        <v>0</v>
      </c>
      <c r="KF32" s="593">
        <f>'Proy 2022 vs 2019 sem'!BE31*KH$4</f>
        <v>0</v>
      </c>
      <c r="KG32" s="699"/>
      <c r="KH32" s="700" t="e">
        <f>KG32/KE32</f>
        <v>#DIV/0!</v>
      </c>
      <c r="KI32" s="593">
        <f>'Proy 2022 vs 2019 sem'!BD31*KL$4</f>
        <v>0</v>
      </c>
      <c r="KJ32" s="593">
        <f>'Proy 2022 vs 2019 sem'!BE31*KL$4</f>
        <v>0</v>
      </c>
      <c r="KK32" s="699"/>
      <c r="KL32" s="700" t="e">
        <f>KK32/KI32</f>
        <v>#DIV/0!</v>
      </c>
      <c r="KM32" s="593">
        <f>'Proy 2022 vs 2019 sem'!BD31*KP$4</f>
        <v>0</v>
      </c>
      <c r="KN32" s="593">
        <f>'Proy 2022 vs 2019 sem'!BE31*KP$4</f>
        <v>0</v>
      </c>
      <c r="KO32" s="699"/>
      <c r="KP32" s="700" t="e">
        <f>KO32/KM32</f>
        <v>#DIV/0!</v>
      </c>
      <c r="KQ32" s="593">
        <f>'Proy 2022 vs 2019 sem'!BD31*KT$4</f>
        <v>0</v>
      </c>
      <c r="KR32" s="593">
        <f>'Proy 2022 vs 2019 sem'!BE31*KT$4</f>
        <v>0</v>
      </c>
      <c r="KS32" s="699"/>
      <c r="KT32" s="700" t="e">
        <f>KS32/KQ32</f>
        <v>#DIV/0!</v>
      </c>
      <c r="KU32" s="593">
        <f>'Proy 2022 vs 2019 sem'!BD31*KX$4</f>
        <v>0</v>
      </c>
      <c r="KV32" s="593">
        <f>'Proy 2022 vs 2019 sem'!BE31*KX$4</f>
        <v>0</v>
      </c>
      <c r="KW32" s="699"/>
      <c r="KX32" s="700" t="e">
        <f>KW32/KU32</f>
        <v>#DIV/0!</v>
      </c>
      <c r="KY32" s="593">
        <f>'Proy 2022 vs 2019 sem'!BD31*LB$4</f>
        <v>0</v>
      </c>
      <c r="KZ32" s="593">
        <f>'Proy 2022 vs 2019 sem'!BE31*LB$4</f>
        <v>0</v>
      </c>
      <c r="LA32" s="699"/>
      <c r="LB32" s="700" t="e">
        <f>LA32/KY32</f>
        <v>#DIV/0!</v>
      </c>
      <c r="LC32" s="593">
        <f>'Proy 2022 vs 2019 sem'!BD31*LF$4</f>
        <v>0</v>
      </c>
      <c r="LD32" s="593">
        <f>'Proy 2022 vs 2019 sem'!BE31*LF$4</f>
        <v>0</v>
      </c>
      <c r="LE32" s="699"/>
      <c r="LF32" s="700" t="e">
        <f>LE32/LC32</f>
        <v>#DIV/0!</v>
      </c>
      <c r="LG32" s="579">
        <f>KE32+KI32+KM32+KQ32+KU32+KY32+LC32</f>
        <v>0</v>
      </c>
      <c r="LH32" s="574">
        <f>KF32+KJ32+KN32+KR32+KV32+KZ32+LD32</f>
        <v>0</v>
      </c>
      <c r="LI32" s="730">
        <f>KG32+KK32+KO32+KS32+KW32+LA32+LE32</f>
        <v>0</v>
      </c>
      <c r="LJ32" s="711" t="e">
        <f>LI32/LG32</f>
        <v>#DIV/0!</v>
      </c>
      <c r="LK32" s="593">
        <f>'Proy 2022 vs 2019 sem'!BI31*LN$4</f>
        <v>0</v>
      </c>
      <c r="LL32" s="593">
        <f>'Proy 2022 vs 2019 sem'!BJ31*LN$4</f>
        <v>0</v>
      </c>
      <c r="LM32" s="699"/>
      <c r="LN32" s="700" t="e">
        <f>LM32/LK32</f>
        <v>#DIV/0!</v>
      </c>
      <c r="LO32" s="593">
        <f>'Proy 2022 vs 2019 sem'!BI31*LR$4</f>
        <v>0</v>
      </c>
      <c r="LP32" s="593">
        <f>'Proy 2022 vs 2019 sem'!BJ31*LR$4</f>
        <v>0</v>
      </c>
      <c r="LQ32" s="699"/>
      <c r="LR32" s="700" t="e">
        <f>LQ32/LO32</f>
        <v>#DIV/0!</v>
      </c>
      <c r="LS32" s="593">
        <f>'Proy 2022 vs 2019 sem'!BI31*LV$4</f>
        <v>0</v>
      </c>
      <c r="LT32" s="593">
        <f>'Proy 2022 vs 2019 sem'!BJ31*LV$4</f>
        <v>0</v>
      </c>
      <c r="LU32" s="699"/>
      <c r="LV32" s="700" t="e">
        <f>LU32/LS32</f>
        <v>#DIV/0!</v>
      </c>
      <c r="LW32" s="593">
        <f>'Proy 2022 vs 2019 sem'!BI31*LZ$4</f>
        <v>0</v>
      </c>
      <c r="LX32" s="593">
        <f>'Proy 2022 vs 2019 sem'!BJ31*LZ$4</f>
        <v>0</v>
      </c>
      <c r="LY32" s="699"/>
      <c r="LZ32" s="700" t="e">
        <f>LY32/LW32</f>
        <v>#DIV/0!</v>
      </c>
      <c r="MA32" s="593">
        <f>'Proy 2022 vs 2019 sem'!BI31*MD$4</f>
        <v>0</v>
      </c>
      <c r="MB32" s="593">
        <f>'Proy 2022 vs 2019 sem'!BJ31*MD$4</f>
        <v>0</v>
      </c>
      <c r="MC32" s="699"/>
      <c r="MD32" s="700" t="e">
        <f>MC32/MA32</f>
        <v>#DIV/0!</v>
      </c>
      <c r="ME32" s="593">
        <f>'Proy 2022 vs 2019 sem'!BI31*MH$4</f>
        <v>0</v>
      </c>
      <c r="MF32" s="593">
        <f>'Proy 2022 vs 2019 sem'!BJ31*MH$4</f>
        <v>0</v>
      </c>
      <c r="MG32" s="699"/>
      <c r="MH32" s="700" t="e">
        <f>MG32/ME32</f>
        <v>#DIV/0!</v>
      </c>
      <c r="MI32" s="593">
        <f>'Proy 2022 vs 2019 sem'!BI31*ML$4</f>
        <v>0</v>
      </c>
      <c r="MJ32" s="593">
        <f>'Proy 2022 vs 2019 sem'!BJ31*ML$4</f>
        <v>0</v>
      </c>
      <c r="MK32" s="699"/>
      <c r="ML32" s="700" t="e">
        <f>MK32/MI32</f>
        <v>#DIV/0!</v>
      </c>
      <c r="MM32" s="579">
        <f>LK32+LO32+LS32+LW32+MA32+ME32+MI32</f>
        <v>0</v>
      </c>
      <c r="MN32" s="574">
        <f>LL32+LP32+LT32+LX32+MB32+MF32+MJ32</f>
        <v>0</v>
      </c>
      <c r="MO32" s="730">
        <f>LM32+LQ32+LU32+LY32+MC32+MG32+MK32</f>
        <v>0</v>
      </c>
      <c r="MP32" s="711" t="e">
        <f>MO32/MM32</f>
        <v>#DIV/0!</v>
      </c>
      <c r="MQ32" s="593">
        <f>'Proy 2022 vs 2019 sem'!BN31*MT$4</f>
        <v>0</v>
      </c>
      <c r="MR32" s="593">
        <f>'Proy 2022 vs 2019 sem'!BO31*MT$4</f>
        <v>0</v>
      </c>
      <c r="MS32" s="699"/>
      <c r="MT32" s="700" t="e">
        <f>MS32/MQ32</f>
        <v>#DIV/0!</v>
      </c>
      <c r="MU32" s="593">
        <f>'Proy 2022 vs 2019 sem'!BN31*MX$4</f>
        <v>0</v>
      </c>
      <c r="MV32" s="593">
        <f>'Proy 2022 vs 2019 sem'!BO31*MX$4</f>
        <v>0</v>
      </c>
      <c r="MW32" s="699"/>
      <c r="MX32" s="700" t="e">
        <f>MW32/MU32</f>
        <v>#DIV/0!</v>
      </c>
      <c r="MY32" s="593">
        <f>'Proy 2022 vs 2019 sem'!BN31*NB$4</f>
        <v>0</v>
      </c>
      <c r="MZ32" s="593">
        <f>'Proy 2022 vs 2019 sem'!BO31*NB$4</f>
        <v>0</v>
      </c>
      <c r="NA32" s="699"/>
      <c r="NB32" s="700" t="e">
        <f>NA32/MY32</f>
        <v>#DIV/0!</v>
      </c>
      <c r="NC32" s="593">
        <f>'Proy 2022 vs 2019 sem'!BN31*NF$4</f>
        <v>0</v>
      </c>
      <c r="ND32" s="593">
        <f>'Proy 2022 vs 2019 sem'!BO31*NF$4</f>
        <v>0</v>
      </c>
      <c r="NE32" s="699"/>
      <c r="NF32" s="700" t="e">
        <f>NE32/NC32</f>
        <v>#DIV/0!</v>
      </c>
      <c r="NG32" s="593">
        <f>'Proy 2022 vs 2019 sem'!BN31*NJ$4</f>
        <v>0</v>
      </c>
      <c r="NH32" s="593">
        <f>'Proy 2022 vs 2019 sem'!BO31*NJ$4</f>
        <v>0</v>
      </c>
      <c r="NI32" s="699"/>
      <c r="NJ32" s="700" t="e">
        <f>NI32/NG32</f>
        <v>#DIV/0!</v>
      </c>
      <c r="NK32" s="593">
        <f>'Proy 2022 vs 2019 sem'!BN31*NN$4</f>
        <v>0</v>
      </c>
      <c r="NL32" s="593">
        <f>'Proy 2022 vs 2019 sem'!BO31*NN$4</f>
        <v>0</v>
      </c>
      <c r="NM32" s="699"/>
      <c r="NN32" s="700" t="e">
        <f>NM32/NK32</f>
        <v>#DIV/0!</v>
      </c>
      <c r="NO32" s="593">
        <f>'Proy 2022 vs 2019 sem'!BN31*NR$4</f>
        <v>0</v>
      </c>
      <c r="NP32" s="593">
        <f>'Proy 2022 vs 2019 sem'!BO31*NR$4</f>
        <v>0</v>
      </c>
      <c r="NQ32" s="699"/>
      <c r="NR32" s="700" t="e">
        <f>NQ32/NO32</f>
        <v>#DIV/0!</v>
      </c>
      <c r="NS32" s="579">
        <f>MQ32+MU32+MY32+NC32+NG32+NK32+NO32</f>
        <v>0</v>
      </c>
      <c r="NT32" s="574">
        <f>MR32+MV32+MZ32+ND32+NH32+NL32+NP32</f>
        <v>0</v>
      </c>
      <c r="NU32" s="710">
        <f>MS32+MW32+NA32+NE32+NI32+NM32+NQ32</f>
        <v>0</v>
      </c>
      <c r="NV32" s="711" t="e">
        <f>NU32/NS32</f>
        <v>#DIV/0!</v>
      </c>
      <c r="NW32" s="593">
        <f>'Proy 2022 vs 2019 sem'!BS31*NZ$4</f>
        <v>0</v>
      </c>
      <c r="NX32" s="593">
        <f>'Proy 2022 vs 2019 sem'!BT31*NZ$4</f>
        <v>0</v>
      </c>
      <c r="NY32" s="699"/>
      <c r="NZ32" s="700" t="e">
        <f>NY32/NW32</f>
        <v>#DIV/0!</v>
      </c>
      <c r="OA32" s="593">
        <f>'Proy 2022 vs 2019 sem'!BS31*OD$4</f>
        <v>0</v>
      </c>
      <c r="OB32" s="593">
        <f>'Proy 2022 vs 2019 sem'!BT31*OD$4</f>
        <v>0</v>
      </c>
      <c r="OC32" s="699"/>
      <c r="OD32" s="700" t="e">
        <f>OC32/OA32</f>
        <v>#DIV/0!</v>
      </c>
      <c r="OE32" s="593">
        <f>'Proy 2022 vs 2019 sem'!BS31*OH$4</f>
        <v>0</v>
      </c>
      <c r="OF32" s="593">
        <f>'Proy 2022 vs 2019 sem'!BT31*OH$4</f>
        <v>0</v>
      </c>
      <c r="OG32" s="699"/>
      <c r="OH32" s="700" t="e">
        <f>OG32/OE32</f>
        <v>#DIV/0!</v>
      </c>
      <c r="OI32" s="593">
        <f>'Proy 2022 vs 2019 sem'!BS31*OL$4</f>
        <v>0</v>
      </c>
      <c r="OJ32" s="593">
        <f>'Proy 2022 vs 2019 sem'!BT31*OL$4</f>
        <v>0</v>
      </c>
      <c r="OK32" s="699"/>
      <c r="OL32" s="700" t="e">
        <f>OK32/OI32</f>
        <v>#DIV/0!</v>
      </c>
      <c r="OM32" s="593">
        <f>'Proy 2022 vs 2019 sem'!BS31*OP$4</f>
        <v>0</v>
      </c>
      <c r="ON32" s="593">
        <f>'Proy 2022 vs 2019 sem'!BT31*OP$4</f>
        <v>0</v>
      </c>
      <c r="OO32" s="699"/>
      <c r="OP32" s="700" t="e">
        <f>OO32/OM32</f>
        <v>#DIV/0!</v>
      </c>
      <c r="OQ32" s="593">
        <f>'Proy 2022 vs 2019 sem'!BS31*OT$4</f>
        <v>0</v>
      </c>
      <c r="OR32" s="593">
        <f>'Proy 2022 vs 2019 sem'!BT31*OT$4</f>
        <v>0</v>
      </c>
      <c r="OS32" s="699"/>
      <c r="OT32" s="700" t="e">
        <f>OS32/OQ32</f>
        <v>#DIV/0!</v>
      </c>
      <c r="OU32" s="593">
        <f>'Proy 2022 vs 2019 sem'!BS31*OX$4</f>
        <v>0</v>
      </c>
      <c r="OV32" s="593">
        <f>'Proy 2022 vs 2019 sem'!BT31*OX$4</f>
        <v>0</v>
      </c>
      <c r="OW32" s="699"/>
      <c r="OX32" s="700" t="e">
        <f>OW32/OU32</f>
        <v>#DIV/0!</v>
      </c>
      <c r="OY32" s="579">
        <f>NW32+OA32+OE32+OI32+OM32+OQ32+OU32</f>
        <v>0</v>
      </c>
      <c r="OZ32" s="574">
        <f>NX32+OB32+OF32+OJ32+ON32+OR32+OV32</f>
        <v>0</v>
      </c>
      <c r="PA32" s="710">
        <f>NY32+OC32+OG32+OK32+OO32+OS32+OW32</f>
        <v>0</v>
      </c>
      <c r="PB32" s="711" t="e">
        <f>PA32/OY32</f>
        <v>#DIV/0!</v>
      </c>
      <c r="PC32" s="593">
        <f>'Proy 2022 vs 2019 sem'!CB31*PF$4</f>
        <v>0</v>
      </c>
      <c r="PD32" s="593">
        <f>'Proy 2022 vs 2019 sem'!CC31*PF$4</f>
        <v>0</v>
      </c>
      <c r="PE32" s="735"/>
      <c r="PF32" s="700" t="e">
        <f>PE32/PC32</f>
        <v>#DIV/0!</v>
      </c>
      <c r="PG32" s="593">
        <f>'Proy 2022 vs 2019 sem'!CB31*PJ$4</f>
        <v>0</v>
      </c>
      <c r="PH32" s="593">
        <f>'Proy 2022 vs 2019 sem'!CC31*PJ$4</f>
        <v>0</v>
      </c>
      <c r="PI32" s="699"/>
      <c r="PJ32" s="700" t="e">
        <f>PI32/PG32</f>
        <v>#DIV/0!</v>
      </c>
      <c r="PK32" s="593">
        <f>'Proy 2022 vs 2019 sem'!CB31*PN$4</f>
        <v>0</v>
      </c>
      <c r="PL32" s="593">
        <f>'Proy 2022 vs 2019 sem'!CC31*PN$4</f>
        <v>0</v>
      </c>
      <c r="PM32" s="699"/>
      <c r="PN32" s="700" t="e">
        <f>PM32/PK32</f>
        <v>#DIV/0!</v>
      </c>
      <c r="PO32" s="593">
        <f>'Proy 2022 vs 2019 sem'!CB31*PR$4</f>
        <v>0</v>
      </c>
      <c r="PP32" s="593">
        <f>'Proy 2022 vs 2019 sem'!CC31*PR$4</f>
        <v>0</v>
      </c>
      <c r="PQ32" s="699"/>
      <c r="PR32" s="700" t="e">
        <f>PQ32/PO32</f>
        <v>#DIV/0!</v>
      </c>
      <c r="PS32" s="593">
        <f>'Proy 2022 vs 2019 sem'!CB31*PV$4</f>
        <v>0</v>
      </c>
      <c r="PT32" s="593">
        <f>'Proy 2022 vs 2019 sem'!CC31*PV$4</f>
        <v>0</v>
      </c>
      <c r="PU32" s="699"/>
      <c r="PV32" s="700" t="e">
        <f>PU32/PS32</f>
        <v>#DIV/0!</v>
      </c>
      <c r="PW32" s="593">
        <f>'Proy 2022 vs 2019 sem'!CB31*PZ$4</f>
        <v>0</v>
      </c>
      <c r="PX32" s="593">
        <f>'Proy 2022 vs 2019 sem'!CC31*PZ$4</f>
        <v>0</v>
      </c>
      <c r="PY32" s="699"/>
      <c r="PZ32" s="700" t="e">
        <f>PY32/PW32</f>
        <v>#DIV/0!</v>
      </c>
      <c r="QA32" s="593">
        <f>'Proy 2022 vs 2019 sem'!CB31*QD$4</f>
        <v>0</v>
      </c>
      <c r="QB32" s="593">
        <f>'Proy 2022 vs 2019 sem'!CC31*QD$4</f>
        <v>0</v>
      </c>
      <c r="QC32" s="699"/>
      <c r="QD32" s="700" t="e">
        <f>QC32/QA32</f>
        <v>#DIV/0!</v>
      </c>
      <c r="QE32" s="579">
        <f>PC32+PG32+PK32+PO32+PS32+PW32+QA32</f>
        <v>0</v>
      </c>
      <c r="QF32" s="574">
        <f>PD32+PH32+PL32+PP32+PT32+PX32+QB32</f>
        <v>0</v>
      </c>
      <c r="QG32" s="793">
        <f>PE32+PI32+PM32+PQ32+PU32+PY32+QC32</f>
        <v>0</v>
      </c>
      <c r="QH32" s="786" t="e">
        <f>QG32/QE32</f>
        <v>#DIV/0!</v>
      </c>
      <c r="QI32" s="593">
        <f>'Proy 2022 vs 2019 sem'!CG31*QL$4</f>
        <v>0</v>
      </c>
      <c r="QJ32" s="593">
        <f>'Proy 2022 vs 2019 sem'!CH31*QL$4</f>
        <v>0</v>
      </c>
      <c r="QK32" s="699"/>
      <c r="QL32" s="700" t="e">
        <f>QK32/QI32</f>
        <v>#DIV/0!</v>
      </c>
      <c r="QM32" s="593">
        <f>'Proy 2022 vs 2019 sem'!CG31*QP$4</f>
        <v>0</v>
      </c>
      <c r="QN32" s="593">
        <f>'Proy 2022 vs 2019 sem'!CH31*QP$4</f>
        <v>0</v>
      </c>
      <c r="QO32" s="699"/>
      <c r="QP32" s="700" t="e">
        <f>QO32/QM32</f>
        <v>#DIV/0!</v>
      </c>
      <c r="QQ32" s="593">
        <f>'Proy 2022 vs 2019 sem'!CG31*QT$4</f>
        <v>0</v>
      </c>
      <c r="QR32" s="593">
        <f>'Proy 2022 vs 2019 sem'!CH31*QT$4</f>
        <v>0</v>
      </c>
      <c r="QS32" s="699"/>
      <c r="QT32" s="700" t="e">
        <f>QS32/QQ32</f>
        <v>#DIV/0!</v>
      </c>
      <c r="QU32" s="593">
        <f>'Proy 2022 vs 2019 sem'!CG31*QX$4</f>
        <v>0</v>
      </c>
      <c r="QV32" s="593">
        <f>'Proy 2022 vs 2019 sem'!CH31*QX$4</f>
        <v>0</v>
      </c>
      <c r="QW32" s="699"/>
      <c r="QX32" s="700" t="e">
        <f>QW32/QU32</f>
        <v>#DIV/0!</v>
      </c>
      <c r="QY32" s="593">
        <f>'Proy 2022 vs 2019 sem'!CG31*RB$4</f>
        <v>0</v>
      </c>
      <c r="QZ32" s="593">
        <f>'Proy 2022 vs 2019 sem'!CH31*RB$4</f>
        <v>0</v>
      </c>
      <c r="RA32" s="699"/>
      <c r="RB32" s="700" t="e">
        <f>RA32/QY32</f>
        <v>#DIV/0!</v>
      </c>
      <c r="RC32" s="593">
        <f>'Proy 2022 vs 2019 sem'!CG31*RF$4</f>
        <v>0</v>
      </c>
      <c r="RD32" s="593">
        <f>'Proy 2022 vs 2019 sem'!CH31*RF$4</f>
        <v>0</v>
      </c>
      <c r="RE32" s="699"/>
      <c r="RF32" s="700" t="e">
        <f>RE32/RC32</f>
        <v>#DIV/0!</v>
      </c>
      <c r="RG32" s="593">
        <f>'Proy 2022 vs 2019 sem'!CG31*RJ$4</f>
        <v>0</v>
      </c>
      <c r="RH32" s="593">
        <f>'Proy 2022 vs 2019 sem'!CH31*RJ$4</f>
        <v>0</v>
      </c>
      <c r="RI32" s="699"/>
      <c r="RJ32" s="700" t="e">
        <f>RI32/RG32</f>
        <v>#DIV/0!</v>
      </c>
      <c r="RK32" s="579">
        <f>QI32+QM32+QQ32+QU32+QY32+RC32+RG32</f>
        <v>0</v>
      </c>
      <c r="RL32" s="574">
        <f>QJ32+QN32+QR32+QV32+QZ32+RD32+RH32</f>
        <v>0</v>
      </c>
      <c r="RM32" s="794">
        <f>QK32+QO32+QS32+QW32+RA32+RE32+RI32</f>
        <v>0</v>
      </c>
      <c r="RN32" s="786" t="e">
        <f>RM32/RK32</f>
        <v>#DIV/0!</v>
      </c>
      <c r="RO32" s="593">
        <f>'Proy 2022 vs 2019 sem'!CL31*RR$4</f>
        <v>0</v>
      </c>
      <c r="RP32" s="593">
        <f>'Proy 2022 vs 2019 sem'!CM31*RR$4</f>
        <v>0</v>
      </c>
      <c r="RQ32" s="699"/>
      <c r="RR32" s="700" t="e">
        <f>RQ32/RO32</f>
        <v>#DIV/0!</v>
      </c>
      <c r="RS32" s="593">
        <f>'Proy 2022 vs 2019 sem'!CL31*RV$4</f>
        <v>0</v>
      </c>
      <c r="RT32" s="593">
        <f>'Proy 2022 vs 2019 sem'!CM31*RV$4</f>
        <v>0</v>
      </c>
      <c r="RU32" s="699"/>
      <c r="RV32" s="700" t="e">
        <f>RU32/RS32</f>
        <v>#DIV/0!</v>
      </c>
      <c r="RW32" s="593">
        <f>'Proy 2022 vs 2019 sem'!CL31*RZ$4</f>
        <v>0</v>
      </c>
      <c r="RX32" s="593">
        <f>'Proy 2022 vs 2019 sem'!CM31*RZ$4</f>
        <v>0</v>
      </c>
      <c r="RY32" s="699"/>
      <c r="RZ32" s="700" t="e">
        <f>RY32/RW32</f>
        <v>#DIV/0!</v>
      </c>
      <c r="SA32" s="593">
        <f>'Proy 2022 vs 2019 sem'!CL31*SD$4</f>
        <v>0</v>
      </c>
      <c r="SB32" s="593">
        <f>'Proy 2022 vs 2019 sem'!CM31*SD$4</f>
        <v>0</v>
      </c>
      <c r="SC32" s="699"/>
      <c r="SD32" s="700" t="e">
        <f>SC32/SA32</f>
        <v>#DIV/0!</v>
      </c>
      <c r="SE32" s="593">
        <f>'Proy 2022 vs 2019 sem'!CL31*SH$4</f>
        <v>0</v>
      </c>
      <c r="SF32" s="593">
        <f>'Proy 2022 vs 2019 sem'!CM31*SH$4</f>
        <v>0</v>
      </c>
      <c r="SG32" s="699"/>
      <c r="SH32" s="700" t="e">
        <f>SG32/SE32</f>
        <v>#DIV/0!</v>
      </c>
      <c r="SI32" s="593">
        <f>'Proy 2022 vs 2019 sem'!CL31*SL$4</f>
        <v>0</v>
      </c>
      <c r="SJ32" s="593">
        <f>'Proy 2022 vs 2019 sem'!CM31*SL$4</f>
        <v>0</v>
      </c>
      <c r="SK32" s="699"/>
      <c r="SL32" s="700" t="e">
        <f>SK32/SI32</f>
        <v>#DIV/0!</v>
      </c>
      <c r="SM32" s="593">
        <f>'Proy 2022 vs 2019 sem'!CL31*SP$4</f>
        <v>0</v>
      </c>
      <c r="SN32" s="593">
        <f>'Proy 2022 vs 2019 sem'!CM31*SP$4</f>
        <v>0</v>
      </c>
      <c r="SO32" s="699"/>
      <c r="SP32" s="700" t="e">
        <f>SO32/SM32</f>
        <v>#DIV/0!</v>
      </c>
      <c r="SQ32" s="579">
        <f>RO32+RS32+RW32+SA32+SE32+SI32+SM32</f>
        <v>0</v>
      </c>
      <c r="SR32" s="574">
        <f>RP32+RT32+RX32+SB32+SF32+SJ32+SN32</f>
        <v>0</v>
      </c>
      <c r="SS32" s="794">
        <f>RQ32+RU32+RY32+SC32+SG32+SK32+SO32</f>
        <v>0</v>
      </c>
      <c r="ST32" s="786" t="e">
        <f>SS32/SQ32</f>
        <v>#DIV/0!</v>
      </c>
      <c r="SU32" s="593">
        <f>'Proy 2022 vs 2019 sem'!CQ31*SX$4</f>
        <v>0</v>
      </c>
      <c r="SV32" s="593">
        <f>'Proy 2022 vs 2019 sem'!CR31*SX$4</f>
        <v>0</v>
      </c>
      <c r="SW32" s="699"/>
      <c r="SX32" s="700" t="e">
        <f>SW32/SU32</f>
        <v>#DIV/0!</v>
      </c>
      <c r="SY32" s="593">
        <f>'Proy 2022 vs 2019 sem'!CQ31*TB$4</f>
        <v>0</v>
      </c>
      <c r="SZ32" s="593">
        <f>'Proy 2022 vs 2019 sem'!CR31*TB$4</f>
        <v>0</v>
      </c>
      <c r="TA32" s="699"/>
      <c r="TB32" s="700" t="e">
        <f>TA32/SY32</f>
        <v>#DIV/0!</v>
      </c>
      <c r="TC32" s="593">
        <f>'Proy 2022 vs 2019 sem'!CQ31*TF$4</f>
        <v>0</v>
      </c>
      <c r="TD32" s="593">
        <f>'Proy 2022 vs 2019 sem'!CR31*TF$4</f>
        <v>0</v>
      </c>
      <c r="TE32" s="699"/>
      <c r="TF32" s="700" t="e">
        <f>TE32/TC32</f>
        <v>#DIV/0!</v>
      </c>
      <c r="TG32" s="593">
        <f>'Proy 2022 vs 2019 sem'!CQ31*TJ$4</f>
        <v>0</v>
      </c>
      <c r="TH32" s="593">
        <f>'Proy 2022 vs 2019 sem'!CR31*TJ$4</f>
        <v>0</v>
      </c>
      <c r="TI32" s="699"/>
      <c r="TJ32" s="700" t="e">
        <f>TI32/TG32</f>
        <v>#DIV/0!</v>
      </c>
      <c r="TK32" s="593">
        <f>'Proy 2022 vs 2019 sem'!CQ31*TN$4</f>
        <v>0</v>
      </c>
      <c r="TL32" s="593">
        <f>'Proy 2022 vs 2019 sem'!CR31*TN$4</f>
        <v>0</v>
      </c>
      <c r="TM32" s="699"/>
      <c r="TN32" s="700" t="e">
        <f>TM32/TK32</f>
        <v>#DIV/0!</v>
      </c>
      <c r="TO32" s="593">
        <f>'Proy 2022 vs 2019 sem'!CQ31*TR$4</f>
        <v>0</v>
      </c>
      <c r="TP32" s="593">
        <f>'Proy 2022 vs 2019 sem'!CR31*TR$4</f>
        <v>0</v>
      </c>
      <c r="TQ32" s="699"/>
      <c r="TR32" s="700" t="e">
        <f>TQ32/TO32</f>
        <v>#DIV/0!</v>
      </c>
      <c r="TS32" s="593">
        <f>'Proy 2022 vs 2019 sem'!CQ31*TV$4</f>
        <v>0</v>
      </c>
      <c r="TT32" s="593">
        <f>'Proy 2022 vs 2019 sem'!CR31*TV$4</f>
        <v>0</v>
      </c>
      <c r="TU32" s="699"/>
      <c r="TV32" s="700" t="e">
        <f>TU32/TS32</f>
        <v>#DIV/0!</v>
      </c>
      <c r="TW32" s="579">
        <f>SU32+SY32+TC32+TG32+TK32+TO32+TS32</f>
        <v>0</v>
      </c>
      <c r="TX32" s="574">
        <f>SV32+SZ32+TD32+TH32+TL32+TP32+TT32</f>
        <v>0</v>
      </c>
      <c r="TY32" s="785">
        <f>SW32+TA32+TE32+TI32+TM32+TQ32+TU32</f>
        <v>0</v>
      </c>
      <c r="TZ32" s="786" t="e">
        <f>TY32/TW32</f>
        <v>#DIV/0!</v>
      </c>
      <c r="UA32" s="593">
        <f>'Proy 2022 vs 2019 sem'!CZ31*UD$4</f>
        <v>0</v>
      </c>
      <c r="UB32" s="593">
        <f>'Proy 2022 vs 2019 sem'!DA31*UD$4</f>
        <v>0</v>
      </c>
      <c r="UC32" s="735"/>
      <c r="UD32" s="700" t="e">
        <f>UC32/UA32</f>
        <v>#DIV/0!</v>
      </c>
      <c r="UE32" s="593">
        <f>'Proy 2022 vs 2019 sem'!CZ31*UH$4</f>
        <v>0</v>
      </c>
      <c r="UF32" s="593">
        <f>'Proy 2022 vs 2019 sem'!DA31*UH$4</f>
        <v>0</v>
      </c>
      <c r="UG32" s="699"/>
      <c r="UH32" s="700" t="e">
        <f>UG32/UE32</f>
        <v>#DIV/0!</v>
      </c>
      <c r="UI32" s="593">
        <f>'Proy 2022 vs 2019 sem'!CZ31*UL$4</f>
        <v>0</v>
      </c>
      <c r="UJ32" s="593">
        <f>'Proy 2022 vs 2019 sem'!DA31*UL$4</f>
        <v>0</v>
      </c>
      <c r="UK32" s="699"/>
      <c r="UL32" s="700" t="e">
        <f>UK32/UI32</f>
        <v>#DIV/0!</v>
      </c>
      <c r="UM32" s="593">
        <f>'Proy 2022 vs 2019 sem'!CZ31*UP$4</f>
        <v>0</v>
      </c>
      <c r="UN32" s="593">
        <f>'Proy 2022 vs 2019 sem'!DA31*UP$4</f>
        <v>0</v>
      </c>
      <c r="UO32" s="699"/>
      <c r="UP32" s="700" t="e">
        <f>UO32/UM32</f>
        <v>#DIV/0!</v>
      </c>
      <c r="UQ32" s="593">
        <f>'Proy 2022 vs 2019 sem'!CZ31*UT$4</f>
        <v>0</v>
      </c>
      <c r="UR32" s="593">
        <f>'Proy 2022 vs 2019 sem'!DA31*UT$4</f>
        <v>0</v>
      </c>
      <c r="US32" s="699"/>
      <c r="UT32" s="700" t="e">
        <f>US32/UQ32</f>
        <v>#DIV/0!</v>
      </c>
      <c r="UU32" s="593">
        <f>'Proy 2022 vs 2019 sem'!CZ31*UX$4</f>
        <v>0</v>
      </c>
      <c r="UV32" s="593">
        <f>'Proy 2022 vs 2019 sem'!DA31*UX$4</f>
        <v>0</v>
      </c>
      <c r="UW32" s="699"/>
      <c r="UX32" s="700" t="e">
        <f>UW32/UU32</f>
        <v>#DIV/0!</v>
      </c>
      <c r="UY32" s="593">
        <f>'Proy 2022 vs 2019 sem'!CZ31*VB$4</f>
        <v>0</v>
      </c>
      <c r="UZ32" s="593">
        <f>'Proy 2022 vs 2019 sem'!DA31*VB$4</f>
        <v>0</v>
      </c>
      <c r="VA32" s="699"/>
      <c r="VB32" s="700" t="e">
        <f>VA32/UY32</f>
        <v>#DIV/0!</v>
      </c>
      <c r="VC32" s="579">
        <f>UA32+UE32+UI32+UM32+UQ32+UU32+UY32</f>
        <v>0</v>
      </c>
      <c r="VD32" s="574">
        <f>UB32+UF32+UJ32+UN32+UR32+UV32+UZ32</f>
        <v>0</v>
      </c>
      <c r="VE32" s="759">
        <f>UC32+UG32+UK32+UO32+US32+UW32+VA32</f>
        <v>0</v>
      </c>
      <c r="VF32" s="761" t="e">
        <f>VE32/VC32</f>
        <v>#DIV/0!</v>
      </c>
      <c r="VG32" s="593">
        <f>'Proy 2022 vs 2019 sem'!DE31*VJ$4</f>
        <v>0</v>
      </c>
      <c r="VH32" s="593">
        <f>'Proy 2022 vs 2019 sem'!DF31*VJ$4</f>
        <v>0</v>
      </c>
      <c r="VI32" s="699"/>
      <c r="VJ32" s="700" t="e">
        <f>VI32/VG32</f>
        <v>#DIV/0!</v>
      </c>
      <c r="VK32" s="593">
        <f>'Proy 2022 vs 2019 sem'!DE31*VN$4</f>
        <v>0</v>
      </c>
      <c r="VL32" s="593">
        <f>'Proy 2022 vs 2019 sem'!DF31*VN$4</f>
        <v>0</v>
      </c>
      <c r="VM32" s="699"/>
      <c r="VN32" s="700" t="e">
        <f>VM32/VK32</f>
        <v>#DIV/0!</v>
      </c>
      <c r="VO32" s="593">
        <f>'Proy 2022 vs 2019 sem'!DE31*VR$4</f>
        <v>0</v>
      </c>
      <c r="VP32" s="593">
        <f>'Proy 2022 vs 2019 sem'!DF31*VR$4</f>
        <v>0</v>
      </c>
      <c r="VQ32" s="699"/>
      <c r="VR32" s="700" t="e">
        <f>VQ32/VO32</f>
        <v>#DIV/0!</v>
      </c>
      <c r="VS32" s="593">
        <f>'Proy 2022 vs 2019 sem'!DE31*VV$4</f>
        <v>0</v>
      </c>
      <c r="VT32" s="593">
        <f>'Proy 2022 vs 2019 sem'!DF31*VV$4</f>
        <v>0</v>
      </c>
      <c r="VU32" s="699"/>
      <c r="VV32" s="700" t="e">
        <f>VU32/VS32</f>
        <v>#DIV/0!</v>
      </c>
      <c r="VW32" s="593">
        <f>'Proy 2022 vs 2019 sem'!DE31*VZ$4</f>
        <v>0</v>
      </c>
      <c r="VX32" s="593">
        <f>'Proy 2022 vs 2019 sem'!DF31*VZ$4</f>
        <v>0</v>
      </c>
      <c r="VY32" s="699"/>
      <c r="VZ32" s="700" t="e">
        <f>VY32/VW32</f>
        <v>#DIV/0!</v>
      </c>
      <c r="WA32" s="593">
        <f>'Proy 2022 vs 2019 sem'!DE31*WD$4</f>
        <v>0</v>
      </c>
      <c r="WB32" s="593">
        <f>'Proy 2022 vs 2019 sem'!DF31*WD$4</f>
        <v>0</v>
      </c>
      <c r="WC32" s="699"/>
      <c r="WD32" s="700" t="e">
        <f>WC32/WA32</f>
        <v>#DIV/0!</v>
      </c>
      <c r="WE32" s="593">
        <f>'Proy 2022 vs 2019 sem'!DE31*WH$4</f>
        <v>0</v>
      </c>
      <c r="WF32" s="593">
        <f>'Proy 2022 vs 2019 sem'!DF31*WH$4</f>
        <v>0</v>
      </c>
      <c r="WG32" s="699"/>
      <c r="WH32" s="700" t="e">
        <f>WG32/WE32</f>
        <v>#DIV/0!</v>
      </c>
      <c r="WI32" s="579">
        <f>VG32+VK32+VO32+VS32+VW32+WA32+WE32</f>
        <v>0</v>
      </c>
      <c r="WJ32" s="574">
        <f>VH32+VL32+VP32+VT32+VX32+WB32+WF32</f>
        <v>0</v>
      </c>
      <c r="WK32" s="765">
        <f>VI32+VM32+VQ32+VU32+VY32+WC32+WG32</f>
        <v>0</v>
      </c>
      <c r="WL32" s="761" t="e">
        <f>WK32/WI32</f>
        <v>#DIV/0!</v>
      </c>
      <c r="WM32" s="593">
        <f>'Proy 2022 vs 2019 sem'!DJ31*WP$4</f>
        <v>0</v>
      </c>
      <c r="WN32" s="593">
        <f>'Proy 2022 vs 2019 sem'!DK31*WP$4</f>
        <v>0</v>
      </c>
      <c r="WO32" s="699"/>
      <c r="WP32" s="700" t="e">
        <f>WO32/WM32</f>
        <v>#DIV/0!</v>
      </c>
      <c r="WQ32" s="593">
        <f>'Proy 2022 vs 2019 sem'!DJ31*WT$4</f>
        <v>0</v>
      </c>
      <c r="WR32" s="593">
        <f>'Proy 2022 vs 2019 sem'!DK31*WT$4</f>
        <v>0</v>
      </c>
      <c r="WS32" s="699"/>
      <c r="WT32" s="700" t="e">
        <f>WS32/WQ32</f>
        <v>#DIV/0!</v>
      </c>
      <c r="WU32" s="593">
        <f>'Proy 2022 vs 2019 sem'!DJ31*WX$4</f>
        <v>0</v>
      </c>
      <c r="WV32" s="593">
        <f>'Proy 2022 vs 2019 sem'!DK31*WX$4</f>
        <v>0</v>
      </c>
      <c r="WW32" s="699"/>
      <c r="WX32" s="700" t="e">
        <f>WW32/WU32</f>
        <v>#DIV/0!</v>
      </c>
      <c r="WY32" s="593">
        <f>'Proy 2022 vs 2019 sem'!DJ31*XB$4</f>
        <v>0</v>
      </c>
      <c r="WZ32" s="593">
        <f>'Proy 2022 vs 2019 sem'!DK31*XB$4</f>
        <v>0</v>
      </c>
      <c r="XA32" s="699"/>
      <c r="XB32" s="700" t="e">
        <f>XA32/WY32</f>
        <v>#DIV/0!</v>
      </c>
      <c r="XC32" s="593">
        <f>'Proy 2022 vs 2019 sem'!DJ31*XF$4</f>
        <v>0</v>
      </c>
      <c r="XD32" s="593">
        <f>'Proy 2022 vs 2019 sem'!DK31*XF$4</f>
        <v>0</v>
      </c>
      <c r="XE32" s="699"/>
      <c r="XF32" s="700" t="e">
        <f>XE32/XC32</f>
        <v>#DIV/0!</v>
      </c>
      <c r="XG32" s="593">
        <f>'Proy 2022 vs 2019 sem'!DJ31*XJ$4</f>
        <v>0</v>
      </c>
      <c r="XH32" s="593">
        <f>'Proy 2022 vs 2019 sem'!DK31*XJ$4</f>
        <v>0</v>
      </c>
      <c r="XI32" s="699"/>
      <c r="XJ32" s="700" t="e">
        <f>XI32/XG32</f>
        <v>#DIV/0!</v>
      </c>
      <c r="XK32" s="593">
        <f>'Proy 2022 vs 2019 sem'!DJ31*XN$4</f>
        <v>0</v>
      </c>
      <c r="XL32" s="593">
        <f>'Proy 2022 vs 2019 sem'!DK31*XN$4</f>
        <v>0</v>
      </c>
      <c r="XM32" s="699"/>
      <c r="XN32" s="700" t="e">
        <f>XM32/XK32</f>
        <v>#DIV/0!</v>
      </c>
      <c r="XO32" s="579">
        <f>WM32+WQ32+WU32+WY32+XC32+XG32+XK32</f>
        <v>0</v>
      </c>
      <c r="XP32" s="574">
        <f>WN32+WR32+WV32+WZ32+XD32+XH32+XL32</f>
        <v>0</v>
      </c>
      <c r="XQ32" s="765">
        <f>WO32+WS32+WW32+XA32+XE32+XI32+XM32</f>
        <v>0</v>
      </c>
      <c r="XR32" s="761" t="e">
        <f>XQ32/XO32</f>
        <v>#DIV/0!</v>
      </c>
      <c r="XS32" s="593">
        <f>'Proy 2022 vs 2019 sem'!DO31*XV$4</f>
        <v>0</v>
      </c>
      <c r="XT32" s="593">
        <f>'Proy 2022 vs 2019 sem'!DP31*XV$4</f>
        <v>0</v>
      </c>
      <c r="XU32" s="699"/>
      <c r="XV32" s="700" t="e">
        <f>XU32/XS32</f>
        <v>#DIV/0!</v>
      </c>
      <c r="XW32" s="593">
        <f>'Proy 2022 vs 2019 sem'!DO31*XZ$4</f>
        <v>0</v>
      </c>
      <c r="XX32" s="593">
        <f>'Proy 2022 vs 2019 sem'!DP31*XZ$4</f>
        <v>0</v>
      </c>
      <c r="XY32" s="699"/>
      <c r="XZ32" s="700" t="e">
        <f>XY32/XW32</f>
        <v>#DIV/0!</v>
      </c>
      <c r="YA32" s="593">
        <f>'Proy 2022 vs 2019 sem'!DO31*YD$4</f>
        <v>0</v>
      </c>
      <c r="YB32" s="593">
        <f>'Proy 2022 vs 2019 sem'!DP31*YD$4</f>
        <v>0</v>
      </c>
      <c r="YC32" s="699"/>
      <c r="YD32" s="700" t="e">
        <f>YC32/YA32</f>
        <v>#DIV/0!</v>
      </c>
      <c r="YE32" s="593">
        <f>'Proy 2022 vs 2019 sem'!DO31*YH$4</f>
        <v>0</v>
      </c>
      <c r="YF32" s="593">
        <f>'Proy 2022 vs 2019 sem'!DP31*YH$4</f>
        <v>0</v>
      </c>
      <c r="YG32" s="699"/>
      <c r="YH32" s="700" t="e">
        <f>YG32/YE32</f>
        <v>#DIV/0!</v>
      </c>
      <c r="YI32" s="593">
        <f>'Proy 2022 vs 2019 sem'!DO31*YL$4</f>
        <v>0</v>
      </c>
      <c r="YJ32" s="593">
        <f>'Proy 2022 vs 2019 sem'!DP31*YL$4</f>
        <v>0</v>
      </c>
      <c r="YK32" s="699"/>
      <c r="YL32" s="700" t="e">
        <f>YK32/YI32</f>
        <v>#DIV/0!</v>
      </c>
      <c r="YM32" s="593">
        <f>'Proy 2022 vs 2019 sem'!DO31*YP$4</f>
        <v>0</v>
      </c>
      <c r="YN32" s="593">
        <f>'Proy 2022 vs 2019 sem'!DP31*YP$4</f>
        <v>0</v>
      </c>
      <c r="YO32" s="699"/>
      <c r="YP32" s="700" t="e">
        <f>YO32/YM32</f>
        <v>#DIV/0!</v>
      </c>
      <c r="YQ32" s="593">
        <f>'Proy 2022 vs 2019 sem'!DO31*YT$4</f>
        <v>0</v>
      </c>
      <c r="YR32" s="593">
        <f>'Proy 2022 vs 2019 sem'!DP31*YT$4</f>
        <v>0</v>
      </c>
      <c r="YS32" s="699"/>
      <c r="YT32" s="700" t="e">
        <f>YS32/YQ32</f>
        <v>#DIV/0!</v>
      </c>
      <c r="YU32" s="579">
        <f>XS32+XW32+YA32+YE32+YI32+YM32+YQ32</f>
        <v>0</v>
      </c>
      <c r="YV32" s="574">
        <f>XT32+XX32+YB32+YF32+YJ32+YN32+YR32</f>
        <v>0</v>
      </c>
      <c r="YW32" s="770">
        <f>XU32+XY32+YC32+YG32+YK32+YO32+YS32</f>
        <v>0</v>
      </c>
      <c r="YX32" s="761" t="e">
        <f>YW32/YU32</f>
        <v>#DIV/0!</v>
      </c>
      <c r="YY32" s="931">
        <f>'Proy 2022 vs 2019 sem'!DX31*ZB$4</f>
        <v>0</v>
      </c>
      <c r="YZ32" s="931">
        <f>'Proy 2022 vs 2019 sem'!DY31*ZB$4</f>
        <v>0</v>
      </c>
      <c r="ZA32" s="735"/>
      <c r="ZB32" s="700" t="e">
        <f>ZA32/YY32</f>
        <v>#DIV/0!</v>
      </c>
      <c r="ZC32" s="593">
        <f>'Proy 2022 vs 2019 sem'!DX31*ZF$4</f>
        <v>0</v>
      </c>
      <c r="ZD32" s="593">
        <f>'Proy 2022 vs 2019 sem'!DY31*ZF$4</f>
        <v>0</v>
      </c>
      <c r="ZE32" s="735"/>
      <c r="ZF32" s="700" t="e">
        <f>ZE32/ZC32</f>
        <v>#DIV/0!</v>
      </c>
      <c r="ZG32" s="593">
        <f>'Proy 2022 vs 2019 sem'!DX31*ZJ$4</f>
        <v>0</v>
      </c>
      <c r="ZH32" s="593">
        <f>'Proy 2022 vs 2019 sem'!DY31*ZJ$4</f>
        <v>0</v>
      </c>
      <c r="ZI32" s="735"/>
      <c r="ZJ32" s="700" t="e">
        <f>ZI32/ZG32</f>
        <v>#DIV/0!</v>
      </c>
      <c r="ZK32" s="593">
        <f>'Proy 2022 vs 2019 sem'!DX31*ZN$4</f>
        <v>0</v>
      </c>
      <c r="ZL32" s="593">
        <f>'Proy 2022 vs 2019 sem'!DY31*ZN$4</f>
        <v>0</v>
      </c>
      <c r="ZM32" s="735"/>
      <c r="ZN32" s="700" t="e">
        <f>ZM32/ZK32</f>
        <v>#DIV/0!</v>
      </c>
      <c r="ZO32" s="593">
        <f>'Proy 2022 vs 2019 sem'!DX31*ZR$4</f>
        <v>0</v>
      </c>
      <c r="ZP32" s="593">
        <f>'Proy 2022 vs 2019 sem'!DY31*ZR$4</f>
        <v>0</v>
      </c>
      <c r="ZQ32" s="735"/>
      <c r="ZR32" s="700" t="e">
        <f>ZQ32/ZO32</f>
        <v>#DIV/0!</v>
      </c>
      <c r="ZS32" s="593">
        <f>'Proy 2022 vs 2019 sem'!DX31*ZV$4</f>
        <v>0</v>
      </c>
      <c r="ZT32" s="593">
        <f>'Proy 2022 vs 2019 sem'!DY31*ZV$4</f>
        <v>0</v>
      </c>
      <c r="ZU32" s="735"/>
      <c r="ZV32" s="700" t="e">
        <f>ZU32/ZS32</f>
        <v>#DIV/0!</v>
      </c>
      <c r="ZW32" s="593">
        <f>'Proy 2022 vs 2019 sem'!DX31*ZZ$4</f>
        <v>0</v>
      </c>
      <c r="ZX32" s="593">
        <f>'Proy 2022 vs 2019 sem'!DY31*ZZ$4</f>
        <v>0</v>
      </c>
      <c r="ZY32" s="735"/>
      <c r="ZZ32" s="700" t="e">
        <f>ZY32/ZW32</f>
        <v>#DIV/0!</v>
      </c>
      <c r="AAA32" s="579">
        <f>YY32+ZC32+ZG32+ZK32+ZO32+ZS32+ZW32</f>
        <v>0</v>
      </c>
      <c r="AAB32" s="574">
        <f>YZ32+ZD32+ZH32+ZL32+ZP32+ZT32+ZX32</f>
        <v>0</v>
      </c>
      <c r="AAC32" s="729">
        <f>ZA32+ZE32+ZI32+ZM32+ZQ32+ZU32+ZY32</f>
        <v>0</v>
      </c>
      <c r="AAD32" s="711" t="e">
        <f>AAC32/AAA32</f>
        <v>#DIV/0!</v>
      </c>
      <c r="AAE32" s="593">
        <f>'Proy 2022 vs 2019 sem'!EC31*AAH$4</f>
        <v>0</v>
      </c>
      <c r="AAF32" s="593">
        <f>'Proy 2022 vs 2019 sem'!ED31*AAH$4</f>
        <v>0</v>
      </c>
      <c r="AAG32" s="699"/>
      <c r="AAH32" s="700" t="e">
        <f>AAG32/AAE32</f>
        <v>#DIV/0!</v>
      </c>
      <c r="AAI32" s="593">
        <f>'Proy 2022 vs 2019 sem'!EC31*AAL$4</f>
        <v>0</v>
      </c>
      <c r="AAJ32" s="593">
        <f>'Proy 2022 vs 2019 sem'!ED31*AAL$4</f>
        <v>0</v>
      </c>
      <c r="AAK32" s="699"/>
      <c r="AAL32" s="700" t="e">
        <f>AAK32/AAI32</f>
        <v>#DIV/0!</v>
      </c>
      <c r="AAM32" s="593">
        <f>'Proy 2022 vs 2019 sem'!EC31*AAP$4</f>
        <v>0</v>
      </c>
      <c r="AAN32" s="593">
        <f>'Proy 2022 vs 2019 sem'!ED31*AAP$4</f>
        <v>0</v>
      </c>
      <c r="AAO32" s="699"/>
      <c r="AAP32" s="700" t="e">
        <f>AAO32/AAM32</f>
        <v>#DIV/0!</v>
      </c>
      <c r="AAQ32" s="593">
        <f>'Proy 2022 vs 2019 sem'!EC31*AAT$4</f>
        <v>0</v>
      </c>
      <c r="AAR32" s="593">
        <f>'Proy 2022 vs 2019 sem'!ED31*AAT$4</f>
        <v>0</v>
      </c>
      <c r="AAS32" s="699"/>
      <c r="AAT32" s="700" t="e">
        <f>AAS32/AAQ32</f>
        <v>#DIV/0!</v>
      </c>
      <c r="AAU32" s="593">
        <f>'Proy 2022 vs 2019 sem'!EC31*AAX$4</f>
        <v>0</v>
      </c>
      <c r="AAV32" s="593">
        <f>'Proy 2022 vs 2019 sem'!ED31*AAX$4</f>
        <v>0</v>
      </c>
      <c r="AAW32" s="699"/>
      <c r="AAX32" s="700" t="e">
        <f>AAW32/AAU32</f>
        <v>#DIV/0!</v>
      </c>
      <c r="AAY32" s="593">
        <f>'Proy 2022 vs 2019 sem'!EC31*ABB$4</f>
        <v>0</v>
      </c>
      <c r="AAZ32" s="593">
        <f>'Proy 2022 vs 2019 sem'!ED31*ABB$4</f>
        <v>0</v>
      </c>
      <c r="ABA32" s="699"/>
      <c r="ABB32" s="700" t="e">
        <f>ABA32/AAY32</f>
        <v>#DIV/0!</v>
      </c>
      <c r="ABC32" s="593">
        <f>'Proy 2022 vs 2019 sem'!EC31*ABF$4</f>
        <v>0</v>
      </c>
      <c r="ABD32" s="593">
        <f>'Proy 2022 vs 2019 sem'!ED31*ABF$4</f>
        <v>0</v>
      </c>
      <c r="ABE32" s="699"/>
      <c r="ABF32" s="700" t="e">
        <f>ABE32/ABC32</f>
        <v>#DIV/0!</v>
      </c>
      <c r="ABG32" s="579">
        <f>AAE32+AAI32+AAM32+AAQ32+AAU32+AAY32+ABC32</f>
        <v>0</v>
      </c>
      <c r="ABH32" s="574">
        <f>AAF32+AAJ32+AAN32+AAR32+AAV32+AAZ32+ABD32</f>
        <v>0</v>
      </c>
      <c r="ABI32" s="730">
        <f>AAG32+AAK32+AAO32+AAS32+AAW32+ABA32+ABE32</f>
        <v>0</v>
      </c>
      <c r="ABJ32" s="711" t="e">
        <f>ABI32/ABG32</f>
        <v>#DIV/0!</v>
      </c>
      <c r="ABK32" s="593">
        <f>'Proy 2022 vs 2019 sem'!EH31*ABN$4</f>
        <v>0</v>
      </c>
      <c r="ABL32" s="593">
        <f>'Proy 2022 vs 2019 sem'!EI31*ABN$4</f>
        <v>0</v>
      </c>
      <c r="ABM32" s="699"/>
      <c r="ABN32" s="700" t="e">
        <f>ABM32/ABK32</f>
        <v>#DIV/0!</v>
      </c>
      <c r="ABO32" s="593">
        <f>'Proy 2022 vs 2019 sem'!EH31*ABR$4</f>
        <v>0</v>
      </c>
      <c r="ABP32" s="593">
        <f>'Proy 2022 vs 2019 sem'!EI31*ABR$4</f>
        <v>0</v>
      </c>
      <c r="ABQ32" s="699"/>
      <c r="ABR32" s="700" t="e">
        <f>ABQ32/ABO32</f>
        <v>#DIV/0!</v>
      </c>
      <c r="ABS32" s="593">
        <f>'Proy 2022 vs 2019 sem'!EH31*ABV$4</f>
        <v>0</v>
      </c>
      <c r="ABT32" s="593">
        <f>'Proy 2022 vs 2019 sem'!EI31*ABV$4</f>
        <v>0</v>
      </c>
      <c r="ABU32" s="699"/>
      <c r="ABV32" s="700" t="e">
        <f>ABU32/ABS32</f>
        <v>#DIV/0!</v>
      </c>
      <c r="ABW32" s="593">
        <f>'Proy 2022 vs 2019 sem'!EH31*ABZ$4</f>
        <v>0</v>
      </c>
      <c r="ABX32" s="593">
        <f>'Proy 2022 vs 2019 sem'!EI31*ABZ$4</f>
        <v>0</v>
      </c>
      <c r="ABY32" s="699"/>
      <c r="ABZ32" s="700" t="e">
        <f>ABY32/ABW32</f>
        <v>#DIV/0!</v>
      </c>
      <c r="ACA32" s="593">
        <f>'Proy 2022 vs 2019 sem'!EH31*ACD$4</f>
        <v>0</v>
      </c>
      <c r="ACB32" s="593">
        <f>'Proy 2022 vs 2019 sem'!EI31*ACD$4</f>
        <v>0</v>
      </c>
      <c r="ACC32" s="699"/>
      <c r="ACD32" s="700" t="e">
        <f>ACC32/ACA32</f>
        <v>#DIV/0!</v>
      </c>
      <c r="ACE32" s="593">
        <f>'Proy 2022 vs 2019 sem'!EH31*ACH$4</f>
        <v>0</v>
      </c>
      <c r="ACF32" s="593">
        <f>'Proy 2022 vs 2019 sem'!EI31*ACH$4</f>
        <v>0</v>
      </c>
      <c r="ACG32" s="699"/>
      <c r="ACH32" s="700" t="e">
        <f>ACG32/ACE32</f>
        <v>#DIV/0!</v>
      </c>
      <c r="ACI32" s="593">
        <f>'Proy 2022 vs 2019 sem'!EH31*ACL$4</f>
        <v>0</v>
      </c>
      <c r="ACJ32" s="593">
        <f>'Proy 2022 vs 2019 sem'!EI31*ACL$4</f>
        <v>0</v>
      </c>
      <c r="ACK32" s="699"/>
      <c r="ACL32" s="700" t="e">
        <f>ACK32/ACI32</f>
        <v>#DIV/0!</v>
      </c>
      <c r="ACM32" s="579">
        <f>ABK32+ABO32+ABS32+ABW32+ACA32+ACE32+ACI32</f>
        <v>0</v>
      </c>
      <c r="ACN32" s="574">
        <f>ABL32+ABP32+ABT32+ABX32+ACB32+ACF32+ACJ32</f>
        <v>0</v>
      </c>
      <c r="ACO32" s="730">
        <f>ABM32+ABQ32+ABU32+ABY32+ACC32+ACG32+ACK32</f>
        <v>0</v>
      </c>
      <c r="ACP32" s="711" t="e">
        <f>ACO32/ACM32</f>
        <v>#DIV/0!</v>
      </c>
      <c r="ACQ32" s="593">
        <f>'Proy 2022 vs 2019 sem'!EM31*ACT$4</f>
        <v>0</v>
      </c>
      <c r="ACR32" s="593">
        <f>'Proy 2022 vs 2019 sem'!EN31*ACT$4</f>
        <v>0</v>
      </c>
      <c r="ACS32" s="699"/>
      <c r="ACT32" s="700" t="e">
        <f>ACS32/ACQ32</f>
        <v>#DIV/0!</v>
      </c>
      <c r="ACU32" s="593">
        <f>'Proy 2022 vs 2019 sem'!EM31*ACX$4</f>
        <v>0</v>
      </c>
      <c r="ACV32" s="593">
        <f>'Proy 2022 vs 2019 sem'!EN31*ACX$4</f>
        <v>0</v>
      </c>
      <c r="ACW32" s="699"/>
      <c r="ACX32" s="700" t="e">
        <f>ACW32/ACU32</f>
        <v>#DIV/0!</v>
      </c>
      <c r="ACY32" s="593">
        <f>'Proy 2022 vs 2019 sem'!EM31*ADB$4</f>
        <v>0</v>
      </c>
      <c r="ACZ32" s="593">
        <f>'Proy 2022 vs 2019 sem'!EN31*ADB$4</f>
        <v>0</v>
      </c>
      <c r="ADA32" s="699"/>
      <c r="ADB32" s="700" t="e">
        <f>ADA32/ACY32</f>
        <v>#DIV/0!</v>
      </c>
      <c r="ADC32" s="593">
        <f>'Proy 2022 vs 2019 sem'!EM31*ADF$4</f>
        <v>0</v>
      </c>
      <c r="ADD32" s="593">
        <f>'Proy 2022 vs 2019 sem'!EN31*ADF$4</f>
        <v>0</v>
      </c>
      <c r="ADE32" s="699"/>
      <c r="ADF32" s="700" t="e">
        <f>ADE32/ADC32</f>
        <v>#DIV/0!</v>
      </c>
      <c r="ADG32" s="593">
        <f>'Proy 2022 vs 2019 sem'!EM31*ADJ$4</f>
        <v>0</v>
      </c>
      <c r="ADH32" s="593">
        <f>'Proy 2022 vs 2019 sem'!EN31*ADJ$4</f>
        <v>0</v>
      </c>
      <c r="ADI32" s="699"/>
      <c r="ADJ32" s="700" t="e">
        <f>ADI32/ADG32</f>
        <v>#DIV/0!</v>
      </c>
      <c r="ADK32" s="593">
        <f>'Proy 2022 vs 2019 sem'!EM31*ADN$4</f>
        <v>0</v>
      </c>
      <c r="ADL32" s="593">
        <f>'Proy 2022 vs 2019 sem'!EN31*ADN$4</f>
        <v>0</v>
      </c>
      <c r="ADM32" s="699"/>
      <c r="ADN32" s="700" t="e">
        <f>ADM32/ADK32</f>
        <v>#DIV/0!</v>
      </c>
      <c r="ADO32" s="593">
        <f>'Proy 2022 vs 2019 sem'!EM31*ADR$4</f>
        <v>0</v>
      </c>
      <c r="ADP32" s="593">
        <f>'Proy 2022 vs 2019 sem'!EN31*ADR$4</f>
        <v>0</v>
      </c>
      <c r="ADQ32" s="699"/>
      <c r="ADR32" s="700" t="e">
        <f>ADQ32/ADO32</f>
        <v>#DIV/0!</v>
      </c>
      <c r="ADS32" s="579">
        <f>ACQ32+ACU32+ACY32+ADC32+ADG32+ADK32+ADO32</f>
        <v>0</v>
      </c>
      <c r="ADT32" s="574">
        <f>ACR32+ACV32+ACZ32+ADD32+ADH32+ADL32+ADP32</f>
        <v>0</v>
      </c>
      <c r="ADU32" s="710">
        <f>ACS32+ACW32+ADA32+ADE32+ADI32+ADM32+ADQ32</f>
        <v>0</v>
      </c>
      <c r="ADV32" s="711" t="e">
        <f>ADU32/ADS32</f>
        <v>#DIV/0!</v>
      </c>
      <c r="ADW32" s="593">
        <f>'Proy 2022 vs 2019 sem'!ER31*ADZ$4</f>
        <v>0</v>
      </c>
      <c r="ADX32" s="593">
        <f>'Proy 2022 vs 2019 sem'!ES31*ADZ$4</f>
        <v>0</v>
      </c>
      <c r="ADY32" s="699"/>
      <c r="ADZ32" s="700" t="e">
        <f>ADY32/ADW32</f>
        <v>#DIV/0!</v>
      </c>
      <c r="AEA32" s="593">
        <f>'Proy 2022 vs 2019 sem'!ER31*AED$4</f>
        <v>0</v>
      </c>
      <c r="AEB32" s="593">
        <f>'Proy 2022 vs 2019 sem'!ES31*AED$4</f>
        <v>0</v>
      </c>
      <c r="AEC32" s="699"/>
      <c r="AED32" s="700" t="e">
        <f>AEC32/AEA32</f>
        <v>#DIV/0!</v>
      </c>
      <c r="AEE32" s="593">
        <f>'Proy 2022 vs 2019 sem'!ER31*AEH$4</f>
        <v>0</v>
      </c>
      <c r="AEF32" s="593">
        <f>'Proy 2022 vs 2019 sem'!ES31*AEH$4</f>
        <v>0</v>
      </c>
      <c r="AEG32" s="699"/>
      <c r="AEH32" s="700" t="e">
        <f>AEG32/AEE32</f>
        <v>#DIV/0!</v>
      </c>
      <c r="AEI32" s="593">
        <f>'Proy 2022 vs 2019 sem'!ER31*AEL$4</f>
        <v>0</v>
      </c>
      <c r="AEJ32" s="593">
        <f>'Proy 2022 vs 2019 sem'!ES31*AEL$4</f>
        <v>0</v>
      </c>
      <c r="AEK32" s="699"/>
      <c r="AEL32" s="700" t="e">
        <f>AEK32/AEI32</f>
        <v>#DIV/0!</v>
      </c>
      <c r="AEM32" s="593">
        <f>'Proy 2022 vs 2019 sem'!ER31*AEP$4</f>
        <v>0</v>
      </c>
      <c r="AEN32" s="593">
        <f>'Proy 2022 vs 2019 sem'!ES31*AEP$4</f>
        <v>0</v>
      </c>
      <c r="AEO32" s="699"/>
      <c r="AEP32" s="700" t="e">
        <f>AEO32/AEM32</f>
        <v>#DIV/0!</v>
      </c>
      <c r="AEQ32" s="593">
        <f>'Proy 2022 vs 2019 sem'!ER31*AET$4</f>
        <v>0</v>
      </c>
      <c r="AER32" s="593">
        <f>'Proy 2022 vs 2019 sem'!ES31*AET$4</f>
        <v>0</v>
      </c>
      <c r="AES32" s="699"/>
      <c r="AET32" s="700" t="e">
        <f>AES32/AEQ32</f>
        <v>#DIV/0!</v>
      </c>
      <c r="AEU32" s="593">
        <f>'Proy 2022 vs 2019 sem'!ER31*AEX$4</f>
        <v>0</v>
      </c>
      <c r="AEV32" s="593">
        <f>'Proy 2022 vs 2019 sem'!ES31*AEX$4</f>
        <v>0</v>
      </c>
      <c r="AEW32" s="699"/>
      <c r="AEX32" s="700" t="e">
        <f>AEW32/AEU32</f>
        <v>#DIV/0!</v>
      </c>
      <c r="AEY32" s="579">
        <f>ADW32+AEA32+AEE32+AEI32+AEM32+AEQ32+AEU32</f>
        <v>0</v>
      </c>
      <c r="AEZ32" s="574">
        <f>ADX32+AEB32+AEF32+AEJ32+AEN32+AER32+AEV32</f>
        <v>0</v>
      </c>
      <c r="AFA32" s="710">
        <f>ADY32+AEC32+AEG32+AEK32+AEO32+AES32+AEW32</f>
        <v>0</v>
      </c>
      <c r="AFB32" s="711" t="e">
        <f>AFA32/AEY32</f>
        <v>#DIV/0!</v>
      </c>
      <c r="AFC32" s="593">
        <f>'Proy 2022 vs 2019 sem'!FA31*AFF$4</f>
        <v>0</v>
      </c>
      <c r="AFD32" s="593">
        <f>'Proy 2022 vs 2019 sem'!FB31*AFF$4</f>
        <v>0</v>
      </c>
      <c r="AFE32" s="735"/>
      <c r="AFF32" s="700" t="e">
        <f>AFE32/AFC32</f>
        <v>#DIV/0!</v>
      </c>
      <c r="AFG32" s="593">
        <f>'Proy 2022 vs 2019 sem'!FA31*AFJ$4</f>
        <v>0</v>
      </c>
      <c r="AFH32" s="593">
        <f>'Proy 2022 vs 2019 sem'!FB31*AFJ$4</f>
        <v>0</v>
      </c>
      <c r="AFI32" s="699"/>
      <c r="AFJ32" s="700" t="e">
        <f>AFI32/AFG32</f>
        <v>#DIV/0!</v>
      </c>
      <c r="AFK32" s="593">
        <f>'Proy 2022 vs 2019 sem'!FA31*AFN$4</f>
        <v>0</v>
      </c>
      <c r="AFL32" s="593">
        <f>'Proy 2022 vs 2019 sem'!FB31*AFN$4</f>
        <v>0</v>
      </c>
      <c r="AFM32" s="699"/>
      <c r="AFN32" s="700" t="e">
        <f>AFM32/AFK32</f>
        <v>#DIV/0!</v>
      </c>
      <c r="AFO32" s="593">
        <f>'Proy 2022 vs 2019 sem'!FA31*AFR$4</f>
        <v>0</v>
      </c>
      <c r="AFP32" s="593">
        <f>'Proy 2022 vs 2019 sem'!FB31*AFR$4</f>
        <v>0</v>
      </c>
      <c r="AFQ32" s="699"/>
      <c r="AFR32" s="700" t="e">
        <f>AFQ32/AFO32</f>
        <v>#DIV/0!</v>
      </c>
      <c r="AFS32" s="593">
        <f>'Proy 2022 vs 2019 sem'!FA31*AFV$4</f>
        <v>0</v>
      </c>
      <c r="AFT32" s="593">
        <f>'Proy 2022 vs 2019 sem'!FB31*AFV$4</f>
        <v>0</v>
      </c>
      <c r="AFU32" s="699"/>
      <c r="AFV32" s="700" t="e">
        <f>AFU32/AFS32</f>
        <v>#DIV/0!</v>
      </c>
      <c r="AFW32" s="593">
        <f>'Proy 2022 vs 2019 sem'!FA31*AFZ$4</f>
        <v>0</v>
      </c>
      <c r="AFX32" s="593">
        <f>'Proy 2022 vs 2019 sem'!FB31*AFZ$4</f>
        <v>0</v>
      </c>
      <c r="AFY32" s="699"/>
      <c r="AFZ32" s="700" t="e">
        <f>AFY32/AFW32</f>
        <v>#DIV/0!</v>
      </c>
      <c r="AGA32" s="593">
        <f>'Proy 2022 vs 2019 sem'!FA31*AGD$4</f>
        <v>0</v>
      </c>
      <c r="AGB32" s="593">
        <f>'Proy 2022 vs 2019 sem'!FB31*AGD$4</f>
        <v>0</v>
      </c>
      <c r="AGC32" s="699"/>
      <c r="AGD32" s="700" t="e">
        <f>AGC32/AGA32</f>
        <v>#DIV/0!</v>
      </c>
      <c r="AGE32" s="579">
        <f>AFC32+AFG32+AFK32+AFO32+AFS32+AFW32+AGA32</f>
        <v>0</v>
      </c>
      <c r="AGF32" s="574">
        <f>AFD32+AFH32+AFL32+AFP32+AFT32+AFX32+AGB32</f>
        <v>0</v>
      </c>
      <c r="AGG32" s="759">
        <f>AFE32+AFI32+AFM32+AFQ32+AFU32+AFY32+AGC32</f>
        <v>0</v>
      </c>
      <c r="AGH32" s="761" t="e">
        <f>AGG32/AGE32</f>
        <v>#DIV/0!</v>
      </c>
      <c r="AGI32" s="593">
        <f>'Proy 2022 vs 2019 sem'!FF31*AGL$4</f>
        <v>0</v>
      </c>
      <c r="AGJ32" s="593">
        <f>'Proy 2022 vs 2019 sem'!FG31*AGL$4</f>
        <v>0</v>
      </c>
      <c r="AGK32" s="699"/>
      <c r="AGL32" s="700" t="e">
        <f>AGK32/AGI32</f>
        <v>#DIV/0!</v>
      </c>
      <c r="AGM32" s="593">
        <f>'Proy 2022 vs 2019 sem'!FF31*AGP$4</f>
        <v>0</v>
      </c>
      <c r="AGN32" s="593">
        <f>'Proy 2022 vs 2019 sem'!FG31*AGP$4</f>
        <v>0</v>
      </c>
      <c r="AGO32" s="699"/>
      <c r="AGP32" s="700" t="e">
        <f>AGO32/AGM32</f>
        <v>#DIV/0!</v>
      </c>
      <c r="AGQ32" s="593">
        <f>'Proy 2022 vs 2019 sem'!FF31*AGT$4</f>
        <v>0</v>
      </c>
      <c r="AGR32" s="593">
        <f>'Proy 2022 vs 2019 sem'!FG31*AGT$4</f>
        <v>0</v>
      </c>
      <c r="AGS32" s="699"/>
      <c r="AGT32" s="700" t="e">
        <f>AGS32/AGQ32</f>
        <v>#DIV/0!</v>
      </c>
      <c r="AGU32" s="593">
        <f>'Proy 2022 vs 2019 sem'!FF31*AGX$4</f>
        <v>0</v>
      </c>
      <c r="AGV32" s="593">
        <f>'Proy 2022 vs 2019 sem'!FG31*AGX$4</f>
        <v>0</v>
      </c>
      <c r="AGW32" s="699"/>
      <c r="AGX32" s="700" t="e">
        <f>AGW32/AGU32</f>
        <v>#DIV/0!</v>
      </c>
      <c r="AGY32" s="593">
        <f>'Proy 2022 vs 2019 sem'!FF31*AHB$4</f>
        <v>0</v>
      </c>
      <c r="AGZ32" s="593">
        <f>'Proy 2022 vs 2019 sem'!FG31*AHB$4</f>
        <v>0</v>
      </c>
      <c r="AHA32" s="699"/>
      <c r="AHB32" s="700" t="e">
        <f>AHA32/AGY32</f>
        <v>#DIV/0!</v>
      </c>
      <c r="AHC32" s="593">
        <f>'Proy 2022 vs 2019 sem'!FF31*AHF$4</f>
        <v>0</v>
      </c>
      <c r="AHD32" s="593">
        <f>'Proy 2022 vs 2019 sem'!FG31*AHF$4</f>
        <v>0</v>
      </c>
      <c r="AHE32" s="699"/>
      <c r="AHF32" s="700" t="e">
        <f>AHE32/AHC32</f>
        <v>#DIV/0!</v>
      </c>
      <c r="AHG32" s="593">
        <f>'Proy 2022 vs 2019 sem'!FF31*AHJ$4</f>
        <v>0</v>
      </c>
      <c r="AHH32" s="593">
        <f>'Proy 2022 vs 2019 sem'!FG31*AHJ$4</f>
        <v>0</v>
      </c>
      <c r="AHI32" s="699"/>
      <c r="AHJ32" s="700" t="e">
        <f>AHI32/AHG32</f>
        <v>#DIV/0!</v>
      </c>
      <c r="AHK32" s="579">
        <f>AGI32+AGM32+AGQ32+AGU32+AGY32+AHC32+AHG32</f>
        <v>0</v>
      </c>
      <c r="AHL32" s="574">
        <f>AGJ32+AGN32+AGR32+AGV32+AGZ32+AHD32+AHH32</f>
        <v>0</v>
      </c>
      <c r="AHM32" s="765">
        <f>AGK32+AGO32+AGS32+AGW32+AHA32+AHE32+AHI32</f>
        <v>0</v>
      </c>
      <c r="AHN32" s="761" t="e">
        <f>AHM32/AHK32</f>
        <v>#DIV/0!</v>
      </c>
      <c r="AHO32" s="593">
        <f>'Proy 2022 vs 2019 sem'!FK31*AHR$4</f>
        <v>0</v>
      </c>
      <c r="AHP32" s="593">
        <f>'Proy 2022 vs 2019 sem'!FL31*AHR$4</f>
        <v>0</v>
      </c>
      <c r="AHQ32" s="699"/>
      <c r="AHR32" s="700" t="e">
        <f>AHQ32/AHO32</f>
        <v>#DIV/0!</v>
      </c>
      <c r="AHS32" s="593">
        <f>'Proy 2022 vs 2019 sem'!FK31*AHV$4</f>
        <v>0</v>
      </c>
      <c r="AHT32" s="593">
        <f>'Proy 2022 vs 2019 sem'!FL31*AHV$4</f>
        <v>0</v>
      </c>
      <c r="AHU32" s="699"/>
      <c r="AHV32" s="700" t="e">
        <f>AHU32/AHS32</f>
        <v>#DIV/0!</v>
      </c>
      <c r="AHW32" s="593">
        <f>'Proy 2022 vs 2019 sem'!FK31*AHZ$4</f>
        <v>0</v>
      </c>
      <c r="AHX32" s="593">
        <f>'Proy 2022 vs 2019 sem'!FL31*AHZ$4</f>
        <v>0</v>
      </c>
      <c r="AHY32" s="699"/>
      <c r="AHZ32" s="700" t="e">
        <f>AHY32/AHW32</f>
        <v>#DIV/0!</v>
      </c>
      <c r="AIA32" s="593">
        <f>'Proy 2022 vs 2019 sem'!FK31*AID$4</f>
        <v>0</v>
      </c>
      <c r="AIB32" s="593">
        <f>'Proy 2022 vs 2019 sem'!FL31*AID$4</f>
        <v>0</v>
      </c>
      <c r="AIC32" s="699"/>
      <c r="AID32" s="700" t="e">
        <f>AIC32/AIA32</f>
        <v>#DIV/0!</v>
      </c>
      <c r="AIE32" s="593">
        <f>'Proy 2022 vs 2019 sem'!FK31*AIH$4</f>
        <v>0</v>
      </c>
      <c r="AIF32" s="593">
        <f>'Proy 2022 vs 2019 sem'!FL31*AIH$4</f>
        <v>0</v>
      </c>
      <c r="AIG32" s="699"/>
      <c r="AIH32" s="700" t="e">
        <f>AIG32/AIE32</f>
        <v>#DIV/0!</v>
      </c>
      <c r="AII32" s="593">
        <f>'Proy 2022 vs 2019 sem'!FK31*AIL$4</f>
        <v>0</v>
      </c>
      <c r="AIJ32" s="593">
        <f>'Proy 2022 vs 2019 sem'!FL31*AIL$4</f>
        <v>0</v>
      </c>
      <c r="AIK32" s="699"/>
      <c r="AIL32" s="700" t="e">
        <f>AIK32/AII32</f>
        <v>#DIV/0!</v>
      </c>
      <c r="AIM32" s="593">
        <f>'Proy 2022 vs 2019 sem'!FK31*AIP$4</f>
        <v>0</v>
      </c>
      <c r="AIN32" s="593">
        <f>'Proy 2022 vs 2019 sem'!FL31*AIP$4</f>
        <v>0</v>
      </c>
      <c r="AIO32" s="699"/>
      <c r="AIP32" s="700" t="e">
        <f>AIO32/AIM32</f>
        <v>#DIV/0!</v>
      </c>
      <c r="AIQ32" s="579">
        <f>AHO32+AHS32+AHW32+AIA32+AIE32+AII32+AIM32</f>
        <v>0</v>
      </c>
      <c r="AIR32" s="574">
        <f>AHP32+AHT32+AHX32+AIB32+AIF32+AIJ32+AIN32</f>
        <v>0</v>
      </c>
      <c r="AIS32" s="765">
        <f>AHQ32+AHU32+AHY32+AIC32+AIG32+AIK32+AIO32</f>
        <v>0</v>
      </c>
      <c r="AIT32" s="761" t="e">
        <f>AIS32/AIQ32</f>
        <v>#DIV/0!</v>
      </c>
      <c r="AIU32" s="593">
        <f>'Proy 2022 vs 2019 sem'!FP31*AIX$4</f>
        <v>0</v>
      </c>
      <c r="AIV32" s="593">
        <f>'Proy 2022 vs 2019 sem'!FQ31*AIX$4</f>
        <v>0</v>
      </c>
      <c r="AIW32" s="699"/>
      <c r="AIX32" s="700" t="e">
        <f>AIW32/AIU32</f>
        <v>#DIV/0!</v>
      </c>
      <c r="AIY32" s="593">
        <f>'Proy 2022 vs 2019 sem'!FP31*AJB$4</f>
        <v>0</v>
      </c>
      <c r="AIZ32" s="593">
        <f>'Proy 2022 vs 2019 sem'!FQ31*AJB$4</f>
        <v>0</v>
      </c>
      <c r="AJA32" s="699"/>
      <c r="AJB32" s="700" t="e">
        <f>AJA32/AIY32</f>
        <v>#DIV/0!</v>
      </c>
      <c r="AJC32" s="593">
        <f>'Proy 2022 vs 2019 sem'!FP31*AJF$4</f>
        <v>0</v>
      </c>
      <c r="AJD32" s="593">
        <f>'Proy 2022 vs 2019 sem'!FQ31*AJF$4</f>
        <v>0</v>
      </c>
      <c r="AJE32" s="699"/>
      <c r="AJF32" s="700" t="e">
        <f>AJE32/AJC32</f>
        <v>#DIV/0!</v>
      </c>
      <c r="AJG32" s="593">
        <f>'Proy 2022 vs 2019 sem'!FP31*AJJ$4</f>
        <v>0</v>
      </c>
      <c r="AJH32" s="593">
        <f>'Proy 2022 vs 2019 sem'!FQ31*AJJ$4</f>
        <v>0</v>
      </c>
      <c r="AJI32" s="699"/>
      <c r="AJJ32" s="700" t="e">
        <f>AJI32/AJG32</f>
        <v>#DIV/0!</v>
      </c>
      <c r="AJK32" s="593">
        <f>'Proy 2022 vs 2019 sem'!FP31*AJN$4</f>
        <v>0</v>
      </c>
      <c r="AJL32" s="593">
        <f>'Proy 2022 vs 2019 sem'!FQ31*AJN$4</f>
        <v>0</v>
      </c>
      <c r="AJM32" s="699"/>
      <c r="AJN32" s="700" t="e">
        <f>AJM32/AJK32</f>
        <v>#DIV/0!</v>
      </c>
      <c r="AJO32" s="593">
        <f>'Proy 2022 vs 2019 sem'!FP31*AJR$4</f>
        <v>0</v>
      </c>
      <c r="AJP32" s="593">
        <f>'Proy 2022 vs 2019 sem'!FQ31*AJR$4</f>
        <v>0</v>
      </c>
      <c r="AJQ32" s="699"/>
      <c r="AJR32" s="700" t="e">
        <f>AJQ32/AJO32</f>
        <v>#DIV/0!</v>
      </c>
      <c r="AJS32" s="593">
        <f>'Proy 2022 vs 2019 sem'!FP31*AJV$4</f>
        <v>0</v>
      </c>
      <c r="AJT32" s="593">
        <f>'Proy 2022 vs 2019 sem'!FQ31*AJV$4</f>
        <v>0</v>
      </c>
      <c r="AJU32" s="699"/>
      <c r="AJV32" s="700" t="e">
        <f>AJU32/AJS32</f>
        <v>#DIV/0!</v>
      </c>
      <c r="AJW32" s="579">
        <f>AIU32+AIY32+AJC32+AJG32+AJK32+AJO32+AJS32</f>
        <v>0</v>
      </c>
      <c r="AJX32" s="574">
        <f>AIV32+AIZ32+AJD32+AJH32+AJL32+AJP32+AJT32</f>
        <v>0</v>
      </c>
      <c r="AJY32" s="770">
        <f>AIW32+AJA32+AJE32+AJI32+AJM32+AJQ32+AJU32</f>
        <v>0</v>
      </c>
      <c r="AJZ32" s="761" t="e">
        <f>AJY32/AJW32</f>
        <v>#DIV/0!</v>
      </c>
      <c r="AKA32" s="593"/>
      <c r="AKB32" s="593"/>
      <c r="AKC32" s="735"/>
      <c r="AKD32" s="700" t="e">
        <f>AKC32/AKA32</f>
        <v>#DIV/0!</v>
      </c>
      <c r="AKE32" s="593">
        <v>4329.6167999999998</v>
      </c>
      <c r="AKF32" s="593">
        <v>3030.7317599999997</v>
      </c>
      <c r="AKG32" s="699"/>
      <c r="AKH32" s="700">
        <f>AKG32/AKE32</f>
        <v>0</v>
      </c>
      <c r="AKI32" s="593">
        <v>4329.6167999999998</v>
      </c>
      <c r="AKJ32" s="593">
        <v>3030.7317599999997</v>
      </c>
      <c r="AKK32" s="699"/>
      <c r="AKL32" s="700">
        <f>AKK32/AKI32</f>
        <v>0</v>
      </c>
      <c r="AKM32" s="593">
        <v>4329.6167999999998</v>
      </c>
      <c r="AKN32" s="593">
        <v>3030.7317599999997</v>
      </c>
      <c r="AKO32" s="699"/>
      <c r="AKP32" s="700">
        <f>AKO32/AKM32</f>
        <v>0</v>
      </c>
      <c r="AKQ32" s="593">
        <v>5051.2196000000004</v>
      </c>
      <c r="AKR32" s="593">
        <v>3535.8537200000001</v>
      </c>
      <c r="AKS32" s="699"/>
      <c r="AKT32" s="700">
        <f>AKS32/AKQ32</f>
        <v>0</v>
      </c>
      <c r="AKU32" s="593">
        <v>5772.8224</v>
      </c>
      <c r="AKV32" s="593">
        <v>4040.97568</v>
      </c>
      <c r="AKW32" s="699"/>
      <c r="AKX32" s="700">
        <f>AKW32/AKU32</f>
        <v>0</v>
      </c>
      <c r="AKY32" s="593">
        <v>7937.6307999999999</v>
      </c>
      <c r="AKZ32" s="593">
        <v>5556.3415599999998</v>
      </c>
      <c r="ALA32" s="699"/>
      <c r="ALB32" s="700">
        <f>ALA32/AKY32</f>
        <v>0</v>
      </c>
      <c r="ALC32" s="579">
        <f>AKA32+AKE32+AKI32+AKM32+AKQ32+AKU32+AKY32</f>
        <v>31750.5232</v>
      </c>
      <c r="ALD32" s="574">
        <f>AKB32+AKF32+AKJ32+AKN32+AKR32+AKV32+AKZ32</f>
        <v>22225.366239999999</v>
      </c>
      <c r="ALE32" s="793">
        <f>AKC32+AKG32+AKK32+AKO32+AKS32+AKW32+ALA32</f>
        <v>0</v>
      </c>
      <c r="ALF32" s="786">
        <f>ALE32/ALC32</f>
        <v>0</v>
      </c>
      <c r="ALG32" s="593">
        <v>3963.9444000000003</v>
      </c>
      <c r="ALH32" s="593">
        <v>2774.7610800000002</v>
      </c>
      <c r="ALI32" s="699"/>
      <c r="ALJ32" s="700">
        <f>ALI32/ALG32</f>
        <v>0</v>
      </c>
      <c r="ALK32" s="593">
        <v>3963.9444000000003</v>
      </c>
      <c r="ALL32" s="593">
        <v>2774.7610800000002</v>
      </c>
      <c r="ALM32" s="699"/>
      <c r="ALN32" s="700">
        <f>ALM32/ALK32</f>
        <v>0</v>
      </c>
      <c r="ALO32" s="593">
        <v>3963.9444000000003</v>
      </c>
      <c r="ALP32" s="593">
        <v>2774.7610800000002</v>
      </c>
      <c r="ALQ32" s="699"/>
      <c r="ALR32" s="700">
        <f>ALQ32/ALO32</f>
        <v>0</v>
      </c>
      <c r="ALS32" s="593">
        <v>3963.9444000000003</v>
      </c>
      <c r="ALT32" s="593">
        <v>2774.7610800000002</v>
      </c>
      <c r="ALU32" s="699"/>
      <c r="ALV32" s="700">
        <f>ALU32/ALS32</f>
        <v>0</v>
      </c>
      <c r="ALW32" s="593">
        <v>4624.6018000000004</v>
      </c>
      <c r="ALX32" s="593">
        <v>3237.2212600000007</v>
      </c>
      <c r="ALY32" s="699"/>
      <c r="ALZ32" s="700">
        <f>ALY32/ALW32</f>
        <v>0</v>
      </c>
      <c r="AMA32" s="593">
        <v>5285.2592000000004</v>
      </c>
      <c r="AMB32" s="593">
        <v>3699.6814400000003</v>
      </c>
      <c r="AMC32" s="699"/>
      <c r="AMD32" s="700">
        <f>AMC32/AMA32</f>
        <v>0</v>
      </c>
      <c r="AME32" s="593">
        <v>7267.2314000000006</v>
      </c>
      <c r="AMF32" s="593">
        <v>5087.0619800000004</v>
      </c>
      <c r="AMG32" s="699"/>
      <c r="AMH32" s="700">
        <f>AMG32/AME32</f>
        <v>0</v>
      </c>
      <c r="AMI32" s="579">
        <f>ALG32+ALK32+ALO32+ALS32+ALW32+AMA32+AME32</f>
        <v>33032.870000000003</v>
      </c>
      <c r="AMJ32" s="574">
        <f>ALH32+ALL32+ALP32+ALT32+ALX32+AMB32+AMF32</f>
        <v>23123.008999999998</v>
      </c>
      <c r="AMK32" s="794">
        <f>ALI32+ALM32+ALQ32+ALU32+ALY32+AMC32+AMG32</f>
        <v>0</v>
      </c>
      <c r="AML32" s="786">
        <f>AMK32/AMI32</f>
        <v>0</v>
      </c>
      <c r="AMM32" s="593">
        <v>3713.1324</v>
      </c>
      <c r="AMN32" s="593">
        <v>2599.1926799999997</v>
      </c>
      <c r="AMO32" s="699"/>
      <c r="AMP32" s="700">
        <f>AMO32/AMM32</f>
        <v>0</v>
      </c>
      <c r="AMQ32" s="593">
        <v>3713.1324</v>
      </c>
      <c r="AMR32" s="593">
        <v>2599.1926799999997</v>
      </c>
      <c r="AMS32" s="699"/>
      <c r="AMT32" s="700">
        <f>AMS32/AMQ32</f>
        <v>0</v>
      </c>
      <c r="AMU32" s="593">
        <v>3713.1324</v>
      </c>
      <c r="AMV32" s="593">
        <v>2599.1926799999997</v>
      </c>
      <c r="AMW32" s="699"/>
      <c r="AMX32" s="700">
        <f>AMW32/AMU32</f>
        <v>0</v>
      </c>
      <c r="AMY32" s="593">
        <v>3713.1324</v>
      </c>
      <c r="AMZ32" s="593">
        <v>2599.1926799999997</v>
      </c>
      <c r="ANA32" s="699"/>
      <c r="ANB32" s="700">
        <f>ANA32/AMY32</f>
        <v>0</v>
      </c>
      <c r="ANC32" s="593">
        <v>4331.9878000000008</v>
      </c>
      <c r="AND32" s="593">
        <v>3032.3914600000003</v>
      </c>
      <c r="ANE32" s="699"/>
      <c r="ANF32" s="700">
        <f>ANE32/ANC32</f>
        <v>0</v>
      </c>
      <c r="ANG32" s="593">
        <v>4950.8432000000003</v>
      </c>
      <c r="ANH32" s="593">
        <v>3465.59024</v>
      </c>
      <c r="ANI32" s="699"/>
      <c r="ANJ32" s="700">
        <f>ANI32/ANG32</f>
        <v>0</v>
      </c>
      <c r="ANK32" s="593">
        <v>6807.4094000000005</v>
      </c>
      <c r="ANL32" s="593">
        <v>4765.1865799999996</v>
      </c>
      <c r="ANM32" s="699"/>
      <c r="ANN32" s="700">
        <f>ANM32/ANK32</f>
        <v>0</v>
      </c>
      <c r="ANO32" s="579">
        <f>AMM32+AMQ32+AMU32+AMY32+ANC32+ANG32+ANK32</f>
        <v>30942.77</v>
      </c>
      <c r="ANP32" s="574">
        <f>AMN32+AMR32+AMV32+AMZ32+AND32+ANH32+ANL32</f>
        <v>21659.938999999998</v>
      </c>
      <c r="ANQ32" s="794">
        <f>AMO32+AMS32+AMW32+ANA32+ANE32+ANI32+ANM32</f>
        <v>0</v>
      </c>
      <c r="ANR32" s="786">
        <f>ANQ32/ANO32</f>
        <v>0</v>
      </c>
      <c r="ANS32" s="593">
        <f>'Proy 2022 vs 2019 sem'!GN31*ANV$4</f>
        <v>0</v>
      </c>
      <c r="ANT32" s="593">
        <f>'Proy 2022 vs 2019 sem'!GO31*ANV$4</f>
        <v>0</v>
      </c>
      <c r="ANU32" s="699"/>
      <c r="ANV32" s="700" t="e">
        <f>ANU32/ANS32</f>
        <v>#DIV/0!</v>
      </c>
      <c r="ANW32" s="593">
        <f>'Proy 2022 vs 2019 sem'!GN31*ANZ$4</f>
        <v>0</v>
      </c>
      <c r="ANX32" s="593">
        <f>'Proy 2022 vs 2019 sem'!GO31*ANZ$4</f>
        <v>0</v>
      </c>
      <c r="ANY32" s="699"/>
      <c r="ANZ32" s="700" t="e">
        <f>ANY32/ANW32</f>
        <v>#DIV/0!</v>
      </c>
      <c r="AOA32" s="593">
        <f>'Proy 2022 vs 2019 sem'!GN31*AOD$4</f>
        <v>0</v>
      </c>
      <c r="AOB32" s="593">
        <f>'Proy 2022 vs 2019 sem'!GO31*AOD$4</f>
        <v>0</v>
      </c>
      <c r="AOC32" s="699"/>
      <c r="AOD32" s="700" t="e">
        <f>AOC32/AOA32</f>
        <v>#DIV/0!</v>
      </c>
      <c r="AOE32" s="593">
        <f>'Proy 2022 vs 2019 sem'!GN31*AOH$4</f>
        <v>0</v>
      </c>
      <c r="AOF32" s="593">
        <f>'Proy 2022 vs 2019 sem'!GO31*AOH$4</f>
        <v>0</v>
      </c>
      <c r="AOG32" s="699"/>
      <c r="AOH32" s="700" t="e">
        <f>AOG32/AOE32</f>
        <v>#DIV/0!</v>
      </c>
      <c r="AOI32" s="593">
        <f>'Proy 2022 vs 2019 sem'!GN31*AOL$4</f>
        <v>0</v>
      </c>
      <c r="AOJ32" s="593">
        <f>'Proy 2022 vs 2019 sem'!GO31*AOL$4</f>
        <v>0</v>
      </c>
      <c r="AOK32" s="699"/>
      <c r="AOL32" s="700" t="e">
        <f>AOK32/AOI32</f>
        <v>#DIV/0!</v>
      </c>
      <c r="AOM32" s="593">
        <f>'Proy 2022 vs 2019 sem'!GN31*AOP$4</f>
        <v>0</v>
      </c>
      <c r="AON32" s="593">
        <f>'Proy 2022 vs 2019 sem'!GO31*AOP$4</f>
        <v>0</v>
      </c>
      <c r="AOO32" s="699"/>
      <c r="AOP32" s="700" t="e">
        <f>AOO32/AOM32</f>
        <v>#DIV/0!</v>
      </c>
      <c r="AOQ32" s="593">
        <f>'Proy 2022 vs 2019 sem'!GN31*AOT$4</f>
        <v>0</v>
      </c>
      <c r="AOR32" s="593">
        <f>'Proy 2022 vs 2019 sem'!GO31*AOT$4</f>
        <v>0</v>
      </c>
      <c r="AOS32" s="699"/>
      <c r="AOT32" s="700" t="e">
        <f>AOS32/AOQ32</f>
        <v>#DIV/0!</v>
      </c>
      <c r="AOU32" s="579">
        <f>ANS32+ANW32+AOA32+AOE32+AOI32+AOM32+AOQ32</f>
        <v>0</v>
      </c>
      <c r="AOV32" s="574">
        <f>ANT32+ANX32+AOB32+AOF32+AOJ32+AON32+AOR32</f>
        <v>0</v>
      </c>
      <c r="AOW32" s="785">
        <f>ANU32+ANY32+AOC32+AOG32+AOK32+AOO32+AOS32</f>
        <v>0</v>
      </c>
      <c r="AOX32" s="786" t="e">
        <f>AOW32/AOU32</f>
        <v>#DIV/0!</v>
      </c>
      <c r="AOY32" s="593">
        <f>'Proy 2022 vs 2019 sem'!GW31*APB$4</f>
        <v>0</v>
      </c>
      <c r="AOZ32" s="593">
        <f>'Proy 2022 vs 2019 sem'!GX31*APB$4</f>
        <v>0</v>
      </c>
      <c r="APA32" s="735"/>
      <c r="APB32" s="700" t="e">
        <f>APA32/AOY32</f>
        <v>#DIV/0!</v>
      </c>
      <c r="APC32" s="593">
        <f>'Proy 2022 vs 2019 sem'!GW31*APF$4</f>
        <v>0</v>
      </c>
      <c r="APD32" s="593">
        <f>'Proy 2022 vs 2019 sem'!GX31*APF$4</f>
        <v>0</v>
      </c>
      <c r="APE32" s="735"/>
      <c r="APF32" s="700" t="e">
        <f>APE32/APC32</f>
        <v>#DIV/0!</v>
      </c>
      <c r="APG32" s="593">
        <f>'Proy 2022 vs 2019 sem'!GW31*APJ$4</f>
        <v>0</v>
      </c>
      <c r="APH32" s="593">
        <f>'Proy 2022 vs 2019 sem'!GX31*APJ$4</f>
        <v>0</v>
      </c>
      <c r="API32" s="735"/>
      <c r="APJ32" s="700" t="e">
        <f>API32/APG32</f>
        <v>#DIV/0!</v>
      </c>
      <c r="APK32" s="593">
        <f>'Proy 2022 vs 2019 sem'!GW31*APN$4</f>
        <v>0</v>
      </c>
      <c r="APL32" s="593">
        <f>'Proy 2022 vs 2019 sem'!GX31*APN$4</f>
        <v>0</v>
      </c>
      <c r="APM32" s="735"/>
      <c r="APN32" s="700" t="e">
        <f>APM32/APK32</f>
        <v>#DIV/0!</v>
      </c>
      <c r="APO32" s="593">
        <f>'Proy 2022 vs 2019 sem'!GW31*APR$4</f>
        <v>0</v>
      </c>
      <c r="APP32" s="593">
        <f>'Proy 2022 vs 2019 sem'!GX31*APR$4</f>
        <v>0</v>
      </c>
      <c r="APQ32" s="735"/>
      <c r="APR32" s="700" t="e">
        <f>APQ32/APO32</f>
        <v>#DIV/0!</v>
      </c>
      <c r="APS32" s="593">
        <f>'Proy 2022 vs 2019 sem'!GW31*APV$4</f>
        <v>0</v>
      </c>
      <c r="APT32" s="593">
        <f>'Proy 2022 vs 2019 sem'!GX31*APV$4</f>
        <v>0</v>
      </c>
      <c r="APU32" s="735"/>
      <c r="APV32" s="700" t="e">
        <f>APU32/APS32</f>
        <v>#DIV/0!</v>
      </c>
      <c r="APW32" s="593">
        <f>'Proy 2022 vs 2019 sem'!GW31*APZ$4</f>
        <v>0</v>
      </c>
      <c r="APX32" s="593">
        <f>'Proy 2022 vs 2019 sem'!GX31*APZ$4</f>
        <v>0</v>
      </c>
      <c r="APY32" s="735"/>
      <c r="APZ32" s="700" t="e">
        <f>APY32/APW32</f>
        <v>#DIV/0!</v>
      </c>
      <c r="AQA32" s="579">
        <f>AOY32+APC32+APG32+APK32+APO32+APS32+APW32</f>
        <v>0</v>
      </c>
      <c r="AQB32" s="574">
        <f>AOZ32+APD32+APH32+APL32+APP32+APT32+APX32</f>
        <v>0</v>
      </c>
      <c r="AQC32" s="729">
        <f>APA32+APE32+API32+APM32+APQ32+APU32+APY32</f>
        <v>0</v>
      </c>
      <c r="AQD32" s="711" t="e">
        <f>AQC32/AQA32</f>
        <v>#DIV/0!</v>
      </c>
      <c r="AQE32" s="593">
        <f>'Proy 2022 vs 2019 sem'!HB31*AQH$4</f>
        <v>0</v>
      </c>
      <c r="AQF32" s="593">
        <f>'Proy 2022 vs 2019 sem'!HC31*AQH$4</f>
        <v>0</v>
      </c>
      <c r="AQG32" s="699"/>
      <c r="AQH32" s="700" t="e">
        <f>AQG32/AQE32</f>
        <v>#DIV/0!</v>
      </c>
      <c r="AQI32" s="593">
        <f>'Proy 2022 vs 2019 sem'!HB31*AQL$4</f>
        <v>0</v>
      </c>
      <c r="AQJ32" s="593">
        <f>'Proy 2022 vs 2019 sem'!HC31*AQL$4</f>
        <v>0</v>
      </c>
      <c r="AQK32" s="699"/>
      <c r="AQL32" s="700" t="e">
        <f>AQK32/AQI32</f>
        <v>#DIV/0!</v>
      </c>
      <c r="AQM32" s="593">
        <f>'Proy 2022 vs 2019 sem'!HB31*AQP$4</f>
        <v>0</v>
      </c>
      <c r="AQN32" s="593">
        <f>'Proy 2022 vs 2019 sem'!HC31*AQP$4</f>
        <v>0</v>
      </c>
      <c r="AQO32" s="699"/>
      <c r="AQP32" s="700" t="e">
        <f>AQO32/AQM32</f>
        <v>#DIV/0!</v>
      </c>
      <c r="AQQ32" s="593">
        <f>'Proy 2022 vs 2019 sem'!HB31*AQT$4</f>
        <v>0</v>
      </c>
      <c r="AQR32" s="593">
        <f>'Proy 2022 vs 2019 sem'!HC31*AQT$4</f>
        <v>0</v>
      </c>
      <c r="AQS32" s="699"/>
      <c r="AQT32" s="700" t="e">
        <f>AQS32/AQQ32</f>
        <v>#DIV/0!</v>
      </c>
      <c r="AQU32" s="593">
        <f>'Proy 2022 vs 2019 sem'!HB31*AQX$4</f>
        <v>0</v>
      </c>
      <c r="AQV32" s="593">
        <f>'Proy 2022 vs 2019 sem'!HC31*AQX$4</f>
        <v>0</v>
      </c>
      <c r="AQW32" s="699"/>
      <c r="AQX32" s="700" t="e">
        <f>AQW32/AQU32</f>
        <v>#DIV/0!</v>
      </c>
      <c r="AQY32" s="593">
        <f>'Proy 2022 vs 2019 sem'!HB31*ARB$4</f>
        <v>0</v>
      </c>
      <c r="AQZ32" s="593">
        <f>'Proy 2022 vs 2019 sem'!HC31*ARB$4</f>
        <v>0</v>
      </c>
      <c r="ARA32" s="699"/>
      <c r="ARB32" s="700" t="e">
        <f>ARA32/AQY32</f>
        <v>#DIV/0!</v>
      </c>
      <c r="ARC32" s="593">
        <f>'Proy 2022 vs 2019 sem'!HB31*ARF$4</f>
        <v>0</v>
      </c>
      <c r="ARD32" s="593">
        <f>'Proy 2022 vs 2019 sem'!HC31*ARF$4</f>
        <v>0</v>
      </c>
      <c r="ARE32" s="699"/>
      <c r="ARF32" s="700" t="e">
        <f>ARE32/ARC32</f>
        <v>#DIV/0!</v>
      </c>
      <c r="ARG32" s="579">
        <f>AQE32+AQI32+AQM32+AQQ32+AQU32+AQY32+ARC32</f>
        <v>0</v>
      </c>
      <c r="ARH32" s="574">
        <f>AQF32+AQJ32+AQN32+AQR32+AQV32+AQZ32+ARD32</f>
        <v>0</v>
      </c>
      <c r="ARI32" s="730">
        <f>AQG32+AQK32+AQO32+AQS32+AQW32+ARA32+ARE32</f>
        <v>0</v>
      </c>
      <c r="ARJ32" s="711" t="e">
        <f>ARI32/ARG32</f>
        <v>#DIV/0!</v>
      </c>
      <c r="ARK32" s="593">
        <f>'Proy 2022 vs 2019 sem'!HG31*ARN$4</f>
        <v>0</v>
      </c>
      <c r="ARL32" s="593">
        <f>'Proy 2022 vs 2019 sem'!HH31*ARN$4</f>
        <v>0</v>
      </c>
      <c r="ARM32" s="699"/>
      <c r="ARN32" s="700" t="e">
        <f>ARM32/ARK32</f>
        <v>#DIV/0!</v>
      </c>
      <c r="ARO32" s="593">
        <f>'Proy 2022 vs 2019 sem'!HG31*ARR$4</f>
        <v>0</v>
      </c>
      <c r="ARP32" s="593">
        <f>'Proy 2022 vs 2019 sem'!HH31*ARR$4</f>
        <v>0</v>
      </c>
      <c r="ARQ32" s="699"/>
      <c r="ARR32" s="700" t="e">
        <f>ARQ32/ARO32</f>
        <v>#DIV/0!</v>
      </c>
      <c r="ARS32" s="593">
        <f>'Proy 2022 vs 2019 sem'!HG31*ARV$4</f>
        <v>0</v>
      </c>
      <c r="ART32" s="593">
        <f>'Proy 2022 vs 2019 sem'!HH31*ARV$4</f>
        <v>0</v>
      </c>
      <c r="ARU32" s="699"/>
      <c r="ARV32" s="700" t="e">
        <f>ARU32/ARS32</f>
        <v>#DIV/0!</v>
      </c>
      <c r="ARW32" s="593">
        <f>'Proy 2022 vs 2019 sem'!HG31*ARZ$4</f>
        <v>0</v>
      </c>
      <c r="ARX32" s="593">
        <f>'Proy 2022 vs 2019 sem'!HH31*ARZ$4</f>
        <v>0</v>
      </c>
      <c r="ARY32" s="699"/>
      <c r="ARZ32" s="700" t="e">
        <f>ARY32/ARW32</f>
        <v>#DIV/0!</v>
      </c>
      <c r="ASA32" s="593">
        <f>'Proy 2022 vs 2019 sem'!HG31*ASD$4</f>
        <v>0</v>
      </c>
      <c r="ASB32" s="593">
        <f>'Proy 2022 vs 2019 sem'!HH31*ASD$4</f>
        <v>0</v>
      </c>
      <c r="ASC32" s="699"/>
      <c r="ASD32" s="700" t="e">
        <f>ASC32/ASA32</f>
        <v>#DIV/0!</v>
      </c>
      <c r="ASE32" s="593">
        <f>'Proy 2022 vs 2019 sem'!HG31*ASH$4</f>
        <v>0</v>
      </c>
      <c r="ASF32" s="593">
        <f>'Proy 2022 vs 2019 sem'!HH31*ASH$4</f>
        <v>0</v>
      </c>
      <c r="ASG32" s="699"/>
      <c r="ASH32" s="700" t="e">
        <f>ASG32/ASE32</f>
        <v>#DIV/0!</v>
      </c>
      <c r="ASI32" s="593">
        <f>'Proy 2022 vs 2019 sem'!HG31*ASL$4</f>
        <v>0</v>
      </c>
      <c r="ASJ32" s="593">
        <f>'Proy 2022 vs 2019 sem'!HH31*ASL$4</f>
        <v>0</v>
      </c>
      <c r="ASK32" s="699"/>
      <c r="ASL32" s="700" t="e">
        <f>ASK32/ASI32</f>
        <v>#DIV/0!</v>
      </c>
      <c r="ASM32" s="579">
        <f>ARK32+ARO32+ARS32+ARW32+ASA32+ASE32+ASI32</f>
        <v>0</v>
      </c>
      <c r="ASN32" s="574">
        <f>ARL32+ARP32+ART32+ARX32+ASB32+ASF32+ASJ32</f>
        <v>0</v>
      </c>
      <c r="ASO32" s="730">
        <f>ARM32+ARQ32+ARU32+ARY32+ASC32+ASG32+ASK32</f>
        <v>0</v>
      </c>
      <c r="ASP32" s="711" t="e">
        <f>ASO32/ASM32</f>
        <v>#DIV/0!</v>
      </c>
      <c r="ASQ32" s="593">
        <f>'Proy 2022 vs 2019 sem'!HL31*AST$4</f>
        <v>0</v>
      </c>
      <c r="ASR32" s="593">
        <f>'Proy 2022 vs 2019 sem'!HM31*AST$4</f>
        <v>0</v>
      </c>
      <c r="ASS32" s="699"/>
      <c r="AST32" s="700" t="e">
        <f>ASS32/ASQ32</f>
        <v>#DIV/0!</v>
      </c>
      <c r="ASU32" s="593">
        <f>'Proy 2022 vs 2019 sem'!HL31*ASX$4</f>
        <v>0</v>
      </c>
      <c r="ASV32" s="593">
        <f>'Proy 2022 vs 2019 sem'!HM31*ASX$4</f>
        <v>0</v>
      </c>
      <c r="ASW32" s="699"/>
      <c r="ASX32" s="700" t="e">
        <f>ASW32/ASU32</f>
        <v>#DIV/0!</v>
      </c>
      <c r="ASY32" s="593">
        <f>'Proy 2022 vs 2019 sem'!HL31*ATB$4</f>
        <v>0</v>
      </c>
      <c r="ASZ32" s="593">
        <f>'Proy 2022 vs 2019 sem'!HM31*ATB$4</f>
        <v>0</v>
      </c>
      <c r="ATA32" s="699"/>
      <c r="ATB32" s="700" t="e">
        <f>ATA32/ASY32</f>
        <v>#DIV/0!</v>
      </c>
      <c r="ATC32" s="593">
        <f>'Proy 2022 vs 2019 sem'!HL31*ATF$4</f>
        <v>0</v>
      </c>
      <c r="ATD32" s="593">
        <f>'Proy 2022 vs 2019 sem'!HM31*ATF$4</f>
        <v>0</v>
      </c>
      <c r="ATE32" s="699"/>
      <c r="ATF32" s="700" t="e">
        <f>ATE32/ATC32</f>
        <v>#DIV/0!</v>
      </c>
      <c r="ATG32" s="593">
        <f>'Proy 2022 vs 2019 sem'!HL31*ATJ$4</f>
        <v>0</v>
      </c>
      <c r="ATH32" s="593">
        <f>'Proy 2022 vs 2019 sem'!HM31*ATJ$4</f>
        <v>0</v>
      </c>
      <c r="ATI32" s="699"/>
      <c r="ATJ32" s="700" t="e">
        <f>ATI32/ATG32</f>
        <v>#DIV/0!</v>
      </c>
      <c r="ATK32" s="593">
        <f>'Proy 2022 vs 2019 sem'!HL31*ATN$4</f>
        <v>0</v>
      </c>
      <c r="ATL32" s="593">
        <f>'Proy 2022 vs 2019 sem'!HM31*ATN$4</f>
        <v>0</v>
      </c>
      <c r="ATM32" s="699"/>
      <c r="ATN32" s="700" t="e">
        <f>ATM32/ATK32</f>
        <v>#DIV/0!</v>
      </c>
      <c r="ATO32" s="593">
        <f>'Proy 2022 vs 2019 sem'!HL31*ATR$4</f>
        <v>0</v>
      </c>
      <c r="ATP32" s="593">
        <f>'Proy 2022 vs 2019 sem'!HM31*ATR$4</f>
        <v>0</v>
      </c>
      <c r="ATQ32" s="699"/>
      <c r="ATR32" s="700" t="e">
        <f>ATQ32/ATO32</f>
        <v>#DIV/0!</v>
      </c>
      <c r="ATS32" s="579">
        <f>ASQ32+ASU32+ASY32+ATC32+ATG32+ATK32+ATO32</f>
        <v>0</v>
      </c>
      <c r="ATT32" s="574">
        <f>ASR32+ASV32+ASZ32+ATD32+ATH32+ATL32+ATP32</f>
        <v>0</v>
      </c>
      <c r="ATU32" s="710">
        <f>ASS32+ASW32+ATA32+ATE32+ATI32+ATM32+ATQ32</f>
        <v>0</v>
      </c>
      <c r="ATV32" s="711" t="e">
        <f>ATU32/ATS32</f>
        <v>#DIV/0!</v>
      </c>
      <c r="ATW32" s="593">
        <f>'Proy 2022 vs 2019 sem'!HQ31*ATZ$4</f>
        <v>0</v>
      </c>
      <c r="ATX32" s="593">
        <f>'Proy 2022 vs 2019 sem'!HR31*ATZ$4</f>
        <v>0</v>
      </c>
      <c r="ATY32" s="699"/>
      <c r="ATZ32" s="700" t="e">
        <f>ATY32/ATW32</f>
        <v>#DIV/0!</v>
      </c>
      <c r="AUA32" s="593">
        <f>'Proy 2022 vs 2019 sem'!HQ31*AUD$4</f>
        <v>0</v>
      </c>
      <c r="AUB32" s="593">
        <f>'Proy 2022 vs 2019 sem'!HR31*AUD$4</f>
        <v>0</v>
      </c>
      <c r="AUC32" s="699"/>
      <c r="AUD32" s="700" t="e">
        <f>AUC32/AUA32</f>
        <v>#DIV/0!</v>
      </c>
      <c r="AUE32" s="593">
        <f>'Proy 2022 vs 2019 sem'!HQ31*AUH$4</f>
        <v>0</v>
      </c>
      <c r="AUF32" s="593">
        <f>'Proy 2022 vs 2019 sem'!HR31*AUH$4</f>
        <v>0</v>
      </c>
      <c r="AUG32" s="699"/>
      <c r="AUH32" s="700" t="e">
        <f>AUG32/AUE32</f>
        <v>#DIV/0!</v>
      </c>
      <c r="AUI32" s="593">
        <f>'Proy 2022 vs 2019 sem'!HQ31*AUL$4</f>
        <v>0</v>
      </c>
      <c r="AUJ32" s="593">
        <f>'Proy 2022 vs 2019 sem'!HR31*AUL$4</f>
        <v>0</v>
      </c>
      <c r="AUK32" s="699"/>
      <c r="AUL32" s="700" t="e">
        <f>AUK32/AUI32</f>
        <v>#DIV/0!</v>
      </c>
      <c r="AUM32" s="593">
        <f>'Proy 2022 vs 2019 sem'!HQ31*AUP$4</f>
        <v>0</v>
      </c>
      <c r="AUN32" s="593">
        <f>'Proy 2022 vs 2019 sem'!HR31*AUP$4</f>
        <v>0</v>
      </c>
      <c r="AUO32" s="699"/>
      <c r="AUP32" s="700" t="e">
        <f>AUO32/AUM32</f>
        <v>#DIV/0!</v>
      </c>
      <c r="AUQ32" s="593">
        <f>'Proy 2022 vs 2019 sem'!HQ31*AUT$4</f>
        <v>0</v>
      </c>
      <c r="AUR32" s="593">
        <f>'Proy 2022 vs 2019 sem'!HR31*AUT$4</f>
        <v>0</v>
      </c>
      <c r="AUS32" s="699"/>
      <c r="AUT32" s="700" t="e">
        <f>AUS32/AUQ32</f>
        <v>#DIV/0!</v>
      </c>
      <c r="AUU32" s="593">
        <f>'Proy 2022 vs 2019 sem'!HQ31*AUX$4</f>
        <v>0</v>
      </c>
      <c r="AUV32" s="593">
        <f>'Proy 2022 vs 2019 sem'!HR31*AUX$4</f>
        <v>0</v>
      </c>
      <c r="AUW32" s="699"/>
      <c r="AUX32" s="700" t="e">
        <f>AUW32/AUU32</f>
        <v>#DIV/0!</v>
      </c>
      <c r="AUY32" s="579">
        <f>ATW32+AUA32+AUE32+AUI32+AUM32+AUQ32+AUU32</f>
        <v>0</v>
      </c>
      <c r="AUZ32" s="574">
        <f>ATX32+AUB32+AUF32+AUJ32+AUN32+AUR32+AUV32</f>
        <v>0</v>
      </c>
      <c r="AVA32" s="710">
        <f>ATY32+AUC32+AUG32+AUK32+AUO32+AUS32+AUW32</f>
        <v>0</v>
      </c>
      <c r="AVB32" s="711" t="e">
        <f>AVA32/AUY32</f>
        <v>#DIV/0!</v>
      </c>
      <c r="AVC32" s="593">
        <f>'Proy 2022 vs 2019 sem'!HZ31*AVF$4</f>
        <v>0</v>
      </c>
      <c r="AVD32" s="593">
        <f>'Proy 2022 vs 2019 sem'!IA31*AVF$4</f>
        <v>0</v>
      </c>
      <c r="AVE32" s="735"/>
      <c r="AVF32" s="700" t="e">
        <f>AVE32/AVC32</f>
        <v>#DIV/0!</v>
      </c>
      <c r="AVG32" s="593">
        <f>'Proy 2022 vs 2019 sem'!HZ31*AVJ$4</f>
        <v>0</v>
      </c>
      <c r="AVH32" s="593">
        <f>'Proy 2022 vs 2019 sem'!IA31*AVJ$4</f>
        <v>0</v>
      </c>
      <c r="AVI32" s="699"/>
      <c r="AVJ32" s="700" t="e">
        <f>AVI32/AVG32</f>
        <v>#DIV/0!</v>
      </c>
      <c r="AVK32" s="593">
        <f>'Proy 2022 vs 2019 sem'!HZ31*AVN$4</f>
        <v>0</v>
      </c>
      <c r="AVL32" s="593">
        <f>'Proy 2022 vs 2019 sem'!IA31*AVN$4</f>
        <v>0</v>
      </c>
      <c r="AVM32" s="699"/>
      <c r="AVN32" s="700" t="e">
        <f>AVM32/AVK32</f>
        <v>#DIV/0!</v>
      </c>
      <c r="AVO32" s="593">
        <f>'Proy 2022 vs 2019 sem'!HZ31*AVR$4</f>
        <v>0</v>
      </c>
      <c r="AVP32" s="593">
        <f>'Proy 2022 vs 2019 sem'!IA31*AVR$4</f>
        <v>0</v>
      </c>
      <c r="AVQ32" s="699"/>
      <c r="AVR32" s="700" t="e">
        <f>AVQ32/AVO32</f>
        <v>#DIV/0!</v>
      </c>
      <c r="AVS32" s="593">
        <f>'Proy 2022 vs 2019 sem'!HZ31*AVV$4</f>
        <v>0</v>
      </c>
      <c r="AVT32" s="593">
        <f>'Proy 2022 vs 2019 sem'!IA31*AVV$4</f>
        <v>0</v>
      </c>
      <c r="AVU32" s="699"/>
      <c r="AVV32" s="700" t="e">
        <f>AVU32/AVS32</f>
        <v>#DIV/0!</v>
      </c>
      <c r="AVW32" s="593">
        <f>'Proy 2022 vs 2019 sem'!HZ31*AVZ$4</f>
        <v>0</v>
      </c>
      <c r="AVX32" s="593">
        <f>'Proy 2022 vs 2019 sem'!IA31*AVZ$4</f>
        <v>0</v>
      </c>
      <c r="AVY32" s="699"/>
      <c r="AVZ32" s="700" t="e">
        <f>AVY32/AVW32</f>
        <v>#DIV/0!</v>
      </c>
      <c r="AWA32" s="593">
        <f>'Proy 2022 vs 2019 sem'!HZ31*AWD$4</f>
        <v>0</v>
      </c>
      <c r="AWB32" s="593">
        <f>'Proy 2022 vs 2019 sem'!IA31*AWD$4</f>
        <v>0</v>
      </c>
      <c r="AWC32" s="699"/>
      <c r="AWD32" s="700" t="e">
        <f>AWC32/AWA32</f>
        <v>#DIV/0!</v>
      </c>
      <c r="AWE32" s="579">
        <f>AVC32+AVG32+AVK32+AVO32+AVS32+AVW32+AWA32</f>
        <v>0</v>
      </c>
      <c r="AWF32" s="574">
        <f>AVD32+AVH32+AVL32+AVP32+AVT32+AVX32+AWB32</f>
        <v>0</v>
      </c>
      <c r="AWG32" s="793">
        <f>AVE32+AVI32+AVM32+AVQ32+AVU32+AVY32+AWC32</f>
        <v>0</v>
      </c>
      <c r="AWH32" s="786" t="e">
        <f>AWG32/AWE32</f>
        <v>#DIV/0!</v>
      </c>
      <c r="AWI32" s="593">
        <f>'Proy 2022 vs 2019 sem'!IE31*AWL$4</f>
        <v>0</v>
      </c>
      <c r="AWJ32" s="593">
        <f>'Proy 2022 vs 2019 sem'!IF31*AWL$4</f>
        <v>0</v>
      </c>
      <c r="AWK32" s="699"/>
      <c r="AWL32" s="700" t="e">
        <f>AWK32/AWI32</f>
        <v>#DIV/0!</v>
      </c>
      <c r="AWM32" s="593">
        <f>'Proy 2022 vs 2019 sem'!IE31*AWP$4</f>
        <v>0</v>
      </c>
      <c r="AWN32" s="593">
        <f>'Proy 2022 vs 2019 sem'!IF31*AWP$4</f>
        <v>0</v>
      </c>
      <c r="AWO32" s="699"/>
      <c r="AWP32" s="700" t="e">
        <f>AWO32/AWM32</f>
        <v>#DIV/0!</v>
      </c>
      <c r="AWQ32" s="593">
        <f>'Proy 2022 vs 2019 sem'!IE31*AWT$4</f>
        <v>0</v>
      </c>
      <c r="AWR32" s="593">
        <f>'Proy 2022 vs 2019 sem'!IF31*AWT$4</f>
        <v>0</v>
      </c>
      <c r="AWS32" s="699"/>
      <c r="AWT32" s="700" t="e">
        <f>AWS32/AWQ32</f>
        <v>#DIV/0!</v>
      </c>
      <c r="AWU32" s="593">
        <f>'Proy 2022 vs 2019 sem'!IE31*AWX$4</f>
        <v>0</v>
      </c>
      <c r="AWV32" s="593">
        <f>'Proy 2022 vs 2019 sem'!IF31*AWX$4</f>
        <v>0</v>
      </c>
      <c r="AWW32" s="699"/>
      <c r="AWX32" s="700" t="e">
        <f>AWW32/AWU32</f>
        <v>#DIV/0!</v>
      </c>
      <c r="AWY32" s="593">
        <f>'Proy 2022 vs 2019 sem'!IE31*AXB$4</f>
        <v>0</v>
      </c>
      <c r="AWZ32" s="593">
        <f>'Proy 2022 vs 2019 sem'!IF31*AXB$4</f>
        <v>0</v>
      </c>
      <c r="AXA32" s="699"/>
      <c r="AXB32" s="700" t="e">
        <f>AXA32/AWY32</f>
        <v>#DIV/0!</v>
      </c>
      <c r="AXC32" s="593">
        <f>'Proy 2022 vs 2019 sem'!IE31*AXF$4</f>
        <v>0</v>
      </c>
      <c r="AXD32" s="593">
        <f>'Proy 2022 vs 2019 sem'!IF31*AXF$4</f>
        <v>0</v>
      </c>
      <c r="AXE32" s="699"/>
      <c r="AXF32" s="700" t="e">
        <f>AXE32/AXC32</f>
        <v>#DIV/0!</v>
      </c>
      <c r="AXG32" s="593">
        <f>'Proy 2022 vs 2019 sem'!IE31*AXJ$4</f>
        <v>0</v>
      </c>
      <c r="AXH32" s="593">
        <f>'Proy 2022 vs 2019 sem'!IF31*AXJ$4</f>
        <v>0</v>
      </c>
      <c r="AXI32" s="699"/>
      <c r="AXJ32" s="700" t="e">
        <f>AXI32/AXG32</f>
        <v>#DIV/0!</v>
      </c>
      <c r="AXK32" s="579">
        <f>AWI32+AWM32+AWQ32+AWU32+AWY32+AXC32+AXG32</f>
        <v>0</v>
      </c>
      <c r="AXL32" s="574">
        <f>AWJ32+AWN32+AWR32+AWV32+AWZ32+AXD32+AXH32</f>
        <v>0</v>
      </c>
      <c r="AXM32" s="794">
        <f>AWK32+AWO32+AWS32+AWW32+AXA32+AXE32+AXI32</f>
        <v>0</v>
      </c>
      <c r="AXN32" s="786" t="e">
        <f>AXM32/AXK32</f>
        <v>#DIV/0!</v>
      </c>
      <c r="AXO32" s="593">
        <f>'Proy 2022 vs 2019 sem'!IJ31*AXR$4</f>
        <v>0</v>
      </c>
      <c r="AXP32" s="593">
        <f>'Proy 2022 vs 2019 sem'!IK31*AXR$4</f>
        <v>0</v>
      </c>
      <c r="AXQ32" s="699"/>
      <c r="AXR32" s="700" t="e">
        <f>AXQ32/AXO32</f>
        <v>#DIV/0!</v>
      </c>
      <c r="AXS32" s="593">
        <f>'Proy 2022 vs 2019 sem'!IJ31*AXV$4</f>
        <v>0</v>
      </c>
      <c r="AXT32" s="593">
        <f>'Proy 2022 vs 2019 sem'!IK31*AXV$4</f>
        <v>0</v>
      </c>
      <c r="AXU32" s="699"/>
      <c r="AXV32" s="700" t="e">
        <f>AXU32/AXS32</f>
        <v>#DIV/0!</v>
      </c>
      <c r="AXW32" s="593">
        <f>'Proy 2022 vs 2019 sem'!IJ31*AXZ$4</f>
        <v>0</v>
      </c>
      <c r="AXX32" s="593">
        <f>'Proy 2022 vs 2019 sem'!IK31*AXZ$4</f>
        <v>0</v>
      </c>
      <c r="AXY32" s="699"/>
      <c r="AXZ32" s="700" t="e">
        <f>AXY32/AXW32</f>
        <v>#DIV/0!</v>
      </c>
      <c r="AYA32" s="593">
        <f>'Proy 2022 vs 2019 sem'!IJ31*AYD$4</f>
        <v>0</v>
      </c>
      <c r="AYB32" s="593">
        <f>'Proy 2022 vs 2019 sem'!IK31*AYD$4</f>
        <v>0</v>
      </c>
      <c r="AYC32" s="699"/>
      <c r="AYD32" s="700" t="e">
        <f>AYC32/AYA32</f>
        <v>#DIV/0!</v>
      </c>
      <c r="AYE32" s="593">
        <f>'Proy 2022 vs 2019 sem'!IJ31*AYH$4</f>
        <v>0</v>
      </c>
      <c r="AYF32" s="593">
        <f>'Proy 2022 vs 2019 sem'!IK31*AYH$4</f>
        <v>0</v>
      </c>
      <c r="AYG32" s="699"/>
      <c r="AYH32" s="700" t="e">
        <f>AYG32/AYE32</f>
        <v>#DIV/0!</v>
      </c>
      <c r="AYI32" s="593">
        <f>'Proy 2022 vs 2019 sem'!IJ31*AYL$4</f>
        <v>0</v>
      </c>
      <c r="AYJ32" s="593">
        <f>'Proy 2022 vs 2019 sem'!IK31*AYL$4</f>
        <v>0</v>
      </c>
      <c r="AYK32" s="699"/>
      <c r="AYL32" s="700" t="e">
        <f>AYK32/AYI32</f>
        <v>#DIV/0!</v>
      </c>
      <c r="AYM32" s="593">
        <f>'Proy 2022 vs 2019 sem'!IJ31*AYP$4</f>
        <v>0</v>
      </c>
      <c r="AYN32" s="593">
        <f>'Proy 2022 vs 2019 sem'!IK31*AYP$4</f>
        <v>0</v>
      </c>
      <c r="AYO32" s="699"/>
      <c r="AYP32" s="700" t="e">
        <f>AYO32/AYM32</f>
        <v>#DIV/0!</v>
      </c>
      <c r="AYQ32" s="579">
        <f>AXO32+AXS32+AXW32+AYA32+AYE32+AYI32+AYM32</f>
        <v>0</v>
      </c>
      <c r="AYR32" s="574">
        <f>AXP32+AXT32+AXX32+AYB32+AYF32+AYJ32+AYN32</f>
        <v>0</v>
      </c>
      <c r="AYS32" s="794">
        <f>AXQ32+AXU32+AXY32+AYC32+AYG32+AYK32+AYO32</f>
        <v>0</v>
      </c>
      <c r="AYT32" s="786" t="e">
        <f>AYS32/AYQ32</f>
        <v>#DIV/0!</v>
      </c>
      <c r="AYU32" s="593">
        <f>'Proy 2022 vs 2019 sem'!IO31*AYX$4</f>
        <v>0</v>
      </c>
      <c r="AYV32" s="593">
        <f>'Proy 2022 vs 2019 sem'!IP31*AYX$4</f>
        <v>0</v>
      </c>
      <c r="AYW32" s="699"/>
      <c r="AYX32" s="700" t="e">
        <f>AYW32/AYU32</f>
        <v>#DIV/0!</v>
      </c>
      <c r="AYY32" s="593">
        <f>'Proy 2022 vs 2019 sem'!IO31*AZB$4</f>
        <v>0</v>
      </c>
      <c r="AYZ32" s="593">
        <f>'Proy 2022 vs 2019 sem'!IP31*AZB$4</f>
        <v>0</v>
      </c>
      <c r="AZA32" s="699"/>
      <c r="AZB32" s="700" t="e">
        <f>AZA32/AYY32</f>
        <v>#DIV/0!</v>
      </c>
      <c r="AZC32" s="593">
        <f>'Proy 2022 vs 2019 sem'!IO31*AZF$4</f>
        <v>0</v>
      </c>
      <c r="AZD32" s="593">
        <f>'Proy 2022 vs 2019 sem'!IP31*AZF$4</f>
        <v>0</v>
      </c>
      <c r="AZE32" s="699"/>
      <c r="AZF32" s="700" t="e">
        <f>AZE32/AZC32</f>
        <v>#DIV/0!</v>
      </c>
      <c r="AZG32" s="593">
        <f>'Proy 2022 vs 2019 sem'!IO31*AZJ$4</f>
        <v>0</v>
      </c>
      <c r="AZH32" s="593">
        <f>'Proy 2022 vs 2019 sem'!IP31*AZJ$4</f>
        <v>0</v>
      </c>
      <c r="AZI32" s="699"/>
      <c r="AZJ32" s="700" t="e">
        <f>AZI32/AZG32</f>
        <v>#DIV/0!</v>
      </c>
      <c r="AZK32" s="593">
        <f>'Proy 2022 vs 2019 sem'!IO31*AZN$4</f>
        <v>0</v>
      </c>
      <c r="AZL32" s="593">
        <f>'Proy 2022 vs 2019 sem'!IP31*AZN$4</f>
        <v>0</v>
      </c>
      <c r="AZM32" s="699"/>
      <c r="AZN32" s="700" t="e">
        <f>AZM32/AZK32</f>
        <v>#DIV/0!</v>
      </c>
      <c r="AZO32" s="593">
        <f>'Proy 2022 vs 2019 sem'!IO31*AZR$4</f>
        <v>0</v>
      </c>
      <c r="AZP32" s="593">
        <f>'Proy 2022 vs 2019 sem'!IP31*AZR$4</f>
        <v>0</v>
      </c>
      <c r="AZQ32" s="699"/>
      <c r="AZR32" s="700" t="e">
        <f>AZQ32/AZO32</f>
        <v>#DIV/0!</v>
      </c>
      <c r="AZS32" s="593">
        <f>'Proy 2022 vs 2019 sem'!IO31*AZV$4</f>
        <v>0</v>
      </c>
      <c r="AZT32" s="593">
        <f>'Proy 2022 vs 2019 sem'!IP31*AZV$4</f>
        <v>0</v>
      </c>
      <c r="AZU32" s="699"/>
      <c r="AZV32" s="700" t="e">
        <f>AZU32/AZS32</f>
        <v>#DIV/0!</v>
      </c>
      <c r="AZW32" s="579">
        <f>AYU32+AYY32+AZC32+AZG32+AZK32+AZO32+AZS32</f>
        <v>0</v>
      </c>
      <c r="AZX32" s="574">
        <f>AYV32+AYZ32+AZD32+AZH32+AZL32+AZP32+AZT32</f>
        <v>0</v>
      </c>
      <c r="AZY32" s="785">
        <f>AYW32+AZA32+AZE32+AZI32+AZM32+AZQ32+AZU32</f>
        <v>0</v>
      </c>
      <c r="AZZ32" s="786" t="e">
        <f>AZY32/AZW32</f>
        <v>#DIV/0!</v>
      </c>
      <c r="BAA32" s="593">
        <f>'Proy 2022 vs 2019 sem'!IX31*BAD$4</f>
        <v>0</v>
      </c>
      <c r="BAB32" s="593">
        <f>'Proy 2022 vs 2019 sem'!IY31*BAD$4</f>
        <v>0</v>
      </c>
      <c r="BAC32" s="735"/>
      <c r="BAD32" s="700" t="e">
        <f>BAC32/BAA32</f>
        <v>#DIV/0!</v>
      </c>
      <c r="BAE32" s="593">
        <f>'Proy 2022 vs 2019 sem'!IX31*BAH$4</f>
        <v>0</v>
      </c>
      <c r="BAF32" s="593">
        <f>'Proy 2022 vs 2019 sem'!IY31*BAH$4</f>
        <v>0</v>
      </c>
      <c r="BAG32" s="699"/>
      <c r="BAH32" s="700" t="e">
        <f>BAG32/BAE32</f>
        <v>#DIV/0!</v>
      </c>
      <c r="BAI32" s="593">
        <f>'Proy 2022 vs 2019 sem'!IX31*BAL$4</f>
        <v>0</v>
      </c>
      <c r="BAJ32" s="593">
        <f>'Proy 2022 vs 2019 sem'!IY31*BAL$4</f>
        <v>0</v>
      </c>
      <c r="BAK32" s="699"/>
      <c r="BAL32" s="700" t="e">
        <f>BAK32/BAI32</f>
        <v>#DIV/0!</v>
      </c>
      <c r="BAM32" s="593">
        <f>'Proy 2022 vs 2019 sem'!IX31*BAP$4</f>
        <v>0</v>
      </c>
      <c r="BAN32" s="593">
        <f>'Proy 2022 vs 2019 sem'!IY31*BAP$4</f>
        <v>0</v>
      </c>
      <c r="BAO32" s="699"/>
      <c r="BAP32" s="700" t="e">
        <f>BAO32/BAM32</f>
        <v>#DIV/0!</v>
      </c>
      <c r="BAQ32" s="593">
        <f>'Proy 2022 vs 2019 sem'!IX31*BAT$4</f>
        <v>0</v>
      </c>
      <c r="BAR32" s="593">
        <f>'Proy 2022 vs 2019 sem'!IY31*BAT$4</f>
        <v>0</v>
      </c>
      <c r="BAS32" s="699"/>
      <c r="BAT32" s="700" t="e">
        <f>BAS32/BAQ32</f>
        <v>#DIV/0!</v>
      </c>
      <c r="BAU32" s="593">
        <f>'Proy 2022 vs 2019 sem'!IX31*BAX$4</f>
        <v>0</v>
      </c>
      <c r="BAV32" s="593">
        <f>'Proy 2022 vs 2019 sem'!IY31*BAX$4</f>
        <v>0</v>
      </c>
      <c r="BAW32" s="699"/>
      <c r="BAX32" s="700" t="e">
        <f>BAW32/BAU32</f>
        <v>#DIV/0!</v>
      </c>
      <c r="BAY32" s="593">
        <f>'Proy 2022 vs 2019 sem'!IX31*BBB$4</f>
        <v>0</v>
      </c>
      <c r="BAZ32" s="593">
        <f>'Proy 2022 vs 2019 sem'!IY31*BBB$4</f>
        <v>0</v>
      </c>
      <c r="BBA32" s="699"/>
      <c r="BBB32" s="700" t="e">
        <f>BBA32/BAY32</f>
        <v>#DIV/0!</v>
      </c>
      <c r="BBC32" s="579">
        <f>BAA32+BAE32+BAI32+BAM32+BAQ32+BAU32+BAY32</f>
        <v>0</v>
      </c>
      <c r="BBD32" s="574">
        <f>BAB32+BAF32+BAJ32+BAN32+BAR32+BAV32+BAZ32</f>
        <v>0</v>
      </c>
      <c r="BBE32" s="759">
        <f>BAC32+BAG32+BAK32+BAO32+BAS32+BAW32+BBA32</f>
        <v>0</v>
      </c>
      <c r="BBF32" s="761" t="e">
        <f>BBE32/BBC32</f>
        <v>#DIV/0!</v>
      </c>
      <c r="BBG32" s="593">
        <f>'Proy 2022 vs 2019 sem'!JC31*BBJ$4</f>
        <v>0</v>
      </c>
      <c r="BBH32" s="593">
        <f>'Proy 2022 vs 2019 sem'!JD31*BBJ$4</f>
        <v>0</v>
      </c>
      <c r="BBI32" s="699"/>
      <c r="BBJ32" s="700" t="e">
        <f>BBI32/BBG32</f>
        <v>#DIV/0!</v>
      </c>
      <c r="BBK32" s="593">
        <f>'Proy 2022 vs 2019 sem'!JC31*BBN$4</f>
        <v>0</v>
      </c>
      <c r="BBL32" s="593">
        <f>'Proy 2022 vs 2019 sem'!JD31*BBN$4</f>
        <v>0</v>
      </c>
      <c r="BBM32" s="699"/>
      <c r="BBN32" s="700" t="e">
        <f>BBM32/BBK32</f>
        <v>#DIV/0!</v>
      </c>
      <c r="BBO32" s="593">
        <f>'Proy 2022 vs 2019 sem'!JC31*BBR$4</f>
        <v>0</v>
      </c>
      <c r="BBP32" s="593">
        <f>'Proy 2022 vs 2019 sem'!JD31*BBR$4</f>
        <v>0</v>
      </c>
      <c r="BBQ32" s="699"/>
      <c r="BBR32" s="700" t="e">
        <f>BBQ32/BBO32</f>
        <v>#DIV/0!</v>
      </c>
      <c r="BBS32" s="593">
        <f>'Proy 2022 vs 2019 sem'!JC31*BBV$4</f>
        <v>0</v>
      </c>
      <c r="BBT32" s="593">
        <f>'Proy 2022 vs 2019 sem'!JD31*BBV$4</f>
        <v>0</v>
      </c>
      <c r="BBU32" s="699"/>
      <c r="BBV32" s="700" t="e">
        <f>BBU32/BBS32</f>
        <v>#DIV/0!</v>
      </c>
      <c r="BBW32" s="593">
        <f>'Proy 2022 vs 2019 sem'!JC31*BBZ$4</f>
        <v>0</v>
      </c>
      <c r="BBX32" s="593">
        <f>'Proy 2022 vs 2019 sem'!JD31*BBZ$4</f>
        <v>0</v>
      </c>
      <c r="BBY32" s="699"/>
      <c r="BBZ32" s="700" t="e">
        <f>BBY32/BBW32</f>
        <v>#DIV/0!</v>
      </c>
      <c r="BCA32" s="593">
        <f>'Proy 2022 vs 2019 sem'!JC31*BCD$4</f>
        <v>0</v>
      </c>
      <c r="BCB32" s="593">
        <f>'Proy 2022 vs 2019 sem'!JD31*BCD$4</f>
        <v>0</v>
      </c>
      <c r="BCC32" s="699"/>
      <c r="BCD32" s="700" t="e">
        <f>BCC32/BCA32</f>
        <v>#DIV/0!</v>
      </c>
      <c r="BCE32" s="593">
        <f>'Proy 2022 vs 2019 sem'!JC31*BCH$4</f>
        <v>0</v>
      </c>
      <c r="BCF32" s="593">
        <f>'Proy 2022 vs 2019 sem'!JD31*BCH$4</f>
        <v>0</v>
      </c>
      <c r="BCG32" s="699"/>
      <c r="BCH32" s="700" t="e">
        <f>BCG32/BCE32</f>
        <v>#DIV/0!</v>
      </c>
      <c r="BCI32" s="579">
        <f>BBG32+BBK32+BBO32+BBS32+BBW32+BCA32+BCE32</f>
        <v>0</v>
      </c>
      <c r="BCJ32" s="574">
        <f>BBH32+BBL32+BBP32+BBT32+BBX32+BCB32+BCF32</f>
        <v>0</v>
      </c>
      <c r="BCK32" s="765">
        <f>BBI32+BBM32+BBQ32+BBU32+BBY32+BCC32+BCG32</f>
        <v>0</v>
      </c>
      <c r="BCL32" s="761" t="e">
        <f>BCK32/BCI32</f>
        <v>#DIV/0!</v>
      </c>
      <c r="BCM32" s="593">
        <f>'Proy 2022 vs 2019 sem'!JH31*BCP$4</f>
        <v>0</v>
      </c>
      <c r="BCN32" s="593">
        <f>'Proy 2022 vs 2019 sem'!JI31*BCP$4</f>
        <v>0</v>
      </c>
      <c r="BCO32" s="699"/>
      <c r="BCP32" s="700" t="e">
        <f>BCO32/BCM32</f>
        <v>#DIV/0!</v>
      </c>
      <c r="BCQ32" s="593">
        <f>'Proy 2022 vs 2019 sem'!JH31*BCT$4</f>
        <v>0</v>
      </c>
      <c r="BCR32" s="593">
        <f>'Proy 2022 vs 2019 sem'!JI31*BCT$4</f>
        <v>0</v>
      </c>
      <c r="BCS32" s="699"/>
      <c r="BCT32" s="700" t="e">
        <f>BCS32/BCQ32</f>
        <v>#DIV/0!</v>
      </c>
      <c r="BCU32" s="593">
        <f>'Proy 2022 vs 2019 sem'!JH31*BCX$4</f>
        <v>0</v>
      </c>
      <c r="BCV32" s="593">
        <f>'Proy 2022 vs 2019 sem'!JI31*BCX$4</f>
        <v>0</v>
      </c>
      <c r="BCW32" s="699"/>
      <c r="BCX32" s="700" t="e">
        <f>BCW32/BCU32</f>
        <v>#DIV/0!</v>
      </c>
      <c r="BCY32" s="593">
        <f>'Proy 2022 vs 2019 sem'!JH31*BDB$4</f>
        <v>0</v>
      </c>
      <c r="BCZ32" s="593">
        <f>'Proy 2022 vs 2019 sem'!JI31*BDB$4</f>
        <v>0</v>
      </c>
      <c r="BDA32" s="699"/>
      <c r="BDB32" s="700" t="e">
        <f>BDA32/BCY32</f>
        <v>#DIV/0!</v>
      </c>
      <c r="BDC32" s="593">
        <f>'Proy 2022 vs 2019 sem'!JH31*BDF$4</f>
        <v>0</v>
      </c>
      <c r="BDD32" s="593">
        <f>'Proy 2022 vs 2019 sem'!JI31*BDF$4</f>
        <v>0</v>
      </c>
      <c r="BDE32" s="699"/>
      <c r="BDF32" s="700" t="e">
        <f>BDE32/BDC32</f>
        <v>#DIV/0!</v>
      </c>
      <c r="BDG32" s="593">
        <f>'Proy 2022 vs 2019 sem'!JH31*BDJ$4</f>
        <v>0</v>
      </c>
      <c r="BDH32" s="593">
        <f>'Proy 2022 vs 2019 sem'!JI31*BDJ$4</f>
        <v>0</v>
      </c>
      <c r="BDI32" s="699"/>
      <c r="BDJ32" s="700" t="e">
        <f>BDI32/BDG32</f>
        <v>#DIV/0!</v>
      </c>
      <c r="BDK32" s="593">
        <f>'Proy 2022 vs 2019 sem'!JH31*BDN$4</f>
        <v>0</v>
      </c>
      <c r="BDL32" s="593">
        <f>'Proy 2022 vs 2019 sem'!JI31*BDN$4</f>
        <v>0</v>
      </c>
      <c r="BDM32" s="699"/>
      <c r="BDN32" s="700" t="e">
        <f>BDM32/BDK32</f>
        <v>#DIV/0!</v>
      </c>
      <c r="BDO32" s="579">
        <f>BCM32+BCQ32+BCU32+BCY32+BDC32+BDG32+BDK32</f>
        <v>0</v>
      </c>
      <c r="BDP32" s="574">
        <f>BCN32+BCR32+BCV32+BCZ32+BDD32+BDH32+BDL32</f>
        <v>0</v>
      </c>
      <c r="BDQ32" s="765">
        <f>BCO32+BCS32+BCW32+BDA32+BDE32+BDI32+BDM32</f>
        <v>0</v>
      </c>
      <c r="BDR32" s="761" t="e">
        <f>BDQ32/BDO32</f>
        <v>#DIV/0!</v>
      </c>
      <c r="BDS32" s="593">
        <f>'Proy 2022 vs 2019 sem'!JM31*BDV$4</f>
        <v>0</v>
      </c>
      <c r="BDT32" s="593">
        <f>'Proy 2022 vs 2019 sem'!JN31*BDV$4</f>
        <v>0</v>
      </c>
      <c r="BDU32" s="699"/>
      <c r="BDV32" s="700" t="e">
        <f>BDU32/BDS32</f>
        <v>#DIV/0!</v>
      </c>
      <c r="BDW32" s="593">
        <f>'Proy 2022 vs 2019 sem'!JM31*BDZ$4</f>
        <v>0</v>
      </c>
      <c r="BDX32" s="593">
        <f>'Proy 2022 vs 2019 sem'!JN31*BDZ$4</f>
        <v>0</v>
      </c>
      <c r="BDY32" s="699"/>
      <c r="BDZ32" s="700" t="e">
        <f>BDY32/BDW32</f>
        <v>#DIV/0!</v>
      </c>
      <c r="BEA32" s="593">
        <f>'Proy 2022 vs 2019 sem'!JM31*BED$4</f>
        <v>0</v>
      </c>
      <c r="BEB32" s="593">
        <f>'Proy 2022 vs 2019 sem'!JN31*BED$4</f>
        <v>0</v>
      </c>
      <c r="BEC32" s="699"/>
      <c r="BED32" s="700" t="e">
        <f>BEC32/BEA32</f>
        <v>#DIV/0!</v>
      </c>
      <c r="BEE32" s="593">
        <v>14511.990400000001</v>
      </c>
      <c r="BEF32" s="593">
        <f>'Proy 2022 vs 2019 sem'!JN31*BEH$4</f>
        <v>0</v>
      </c>
      <c r="BEG32" s="699"/>
      <c r="BEH32" s="700">
        <f>BEG32/BEE32</f>
        <v>0</v>
      </c>
      <c r="BEI32" s="593">
        <f>'Proy 2022 vs 2019 sem'!JM31*BEL$4</f>
        <v>0</v>
      </c>
      <c r="BEJ32" s="593">
        <f>'Proy 2022 vs 2019 sem'!JN31*BEL$4</f>
        <v>0</v>
      </c>
      <c r="BEK32" s="699"/>
      <c r="BEL32" s="700" t="e">
        <f>BEK32/BEI32</f>
        <v>#DIV/0!</v>
      </c>
      <c r="BEM32" s="593">
        <f>'Proy 2022 vs 2019 sem'!JM31*BEP$4</f>
        <v>0</v>
      </c>
      <c r="BEN32" s="593">
        <f>'Proy 2022 vs 2019 sem'!JN31*BEP$4</f>
        <v>0</v>
      </c>
      <c r="BEO32" s="699"/>
      <c r="BEP32" s="700" t="e">
        <f>BEO32/BEM32</f>
        <v>#DIV/0!</v>
      </c>
      <c r="BEQ32" s="593">
        <f>'Proy 2022 vs 2019 sem'!JM31*BET$4</f>
        <v>0</v>
      </c>
      <c r="BER32" s="593">
        <f>'Proy 2022 vs 2019 sem'!JN31*BET$4</f>
        <v>0</v>
      </c>
      <c r="BES32" s="699"/>
      <c r="BET32" s="700" t="e">
        <f>BES32/BEQ32</f>
        <v>#DIV/0!</v>
      </c>
      <c r="BEU32" s="579">
        <f>BDS32+BDW32+BEA32+BEE32+BEI32+BEM32+BEQ32</f>
        <v>14511.990400000001</v>
      </c>
      <c r="BEV32" s="574">
        <f>BDT32+BDX32+BEB32+BEF32+BEJ32+BEN32+BER32</f>
        <v>0</v>
      </c>
      <c r="BEW32" s="770">
        <f>BDU32+BDY32+BEC32+BEG32+BEK32+BEO32+BES32</f>
        <v>0</v>
      </c>
      <c r="BEX32" s="761">
        <f>BEW32/BEU32</f>
        <v>0</v>
      </c>
      <c r="BEY32" s="593">
        <f>'Proy 2022 vs 2019 sem'!JV31*BFB$4</f>
        <v>0</v>
      </c>
      <c r="BEZ32" s="593">
        <f>'Proy 2022 vs 2019 sem'!JW31*BFB$4</f>
        <v>0</v>
      </c>
      <c r="BFA32" s="735"/>
      <c r="BFB32" s="700" t="e">
        <f>BFA32/BEY32</f>
        <v>#DIV/0!</v>
      </c>
      <c r="BFC32" s="593">
        <f>'Proy 2022 vs 2019 sem'!JV31*BFF$4</f>
        <v>0</v>
      </c>
      <c r="BFD32" s="593">
        <f>'Proy 2022 vs 2019 sem'!JW31*BFF$4</f>
        <v>0</v>
      </c>
      <c r="BFE32" s="735"/>
      <c r="BFF32" s="700" t="e">
        <f>BFE32/BFC32</f>
        <v>#DIV/0!</v>
      </c>
      <c r="BFG32" s="593">
        <f>'Proy 2022 vs 2019 sem'!JV31*BFJ$4</f>
        <v>0</v>
      </c>
      <c r="BFH32" s="593">
        <f>'Proy 2022 vs 2019 sem'!JW31*BFJ$4</f>
        <v>0</v>
      </c>
      <c r="BFI32" s="735"/>
      <c r="BFJ32" s="700" t="e">
        <f>BFI32/BFG32</f>
        <v>#DIV/0!</v>
      </c>
      <c r="BFK32" s="593">
        <f>'Proy 2022 vs 2019 sem'!JV31*BFN$4</f>
        <v>0</v>
      </c>
      <c r="BFL32" s="593">
        <f>'Proy 2022 vs 2019 sem'!JW31*BFN$4</f>
        <v>0</v>
      </c>
      <c r="BFM32" s="735"/>
      <c r="BFN32" s="700" t="e">
        <f>BFM32/BFK32</f>
        <v>#DIV/0!</v>
      </c>
      <c r="BFO32" s="593">
        <f>'Proy 2022 vs 2019 sem'!JV31*BFR$4</f>
        <v>0</v>
      </c>
      <c r="BFP32" s="593">
        <f>'Proy 2022 vs 2019 sem'!JW31*BFR$4</f>
        <v>0</v>
      </c>
      <c r="BFQ32" s="735"/>
      <c r="BFR32" s="700" t="e">
        <f>BFQ32/BFO32</f>
        <v>#DIV/0!</v>
      </c>
      <c r="BFS32" s="593">
        <f>'Proy 2022 vs 2019 sem'!JV31*BFV$4</f>
        <v>0</v>
      </c>
      <c r="BFT32" s="593">
        <f>'Proy 2022 vs 2019 sem'!JW31*BFV$4</f>
        <v>0</v>
      </c>
      <c r="BFU32" s="735"/>
      <c r="BFV32" s="700" t="e">
        <f>BFU32/BFS32</f>
        <v>#DIV/0!</v>
      </c>
      <c r="BFW32" s="593">
        <f>'Proy 2022 vs 2019 sem'!JV31*BFZ$4</f>
        <v>0</v>
      </c>
      <c r="BFX32" s="593">
        <f>'Proy 2022 vs 2019 sem'!JW31*BFZ$4</f>
        <v>0</v>
      </c>
      <c r="BFY32" s="735"/>
      <c r="BFZ32" s="700" t="e">
        <f>BFY32/BFW32</f>
        <v>#DIV/0!</v>
      </c>
      <c r="BGA32" s="579">
        <f>BEY32+BFC32+BFG32+BFK32+BFO32+BFS32+BFW32</f>
        <v>0</v>
      </c>
      <c r="BGB32" s="574">
        <f>BEZ32+BFD32+BFH32+BFL32+BFP32+BFT32+BFX32</f>
        <v>0</v>
      </c>
      <c r="BGC32" s="729">
        <f>BFA32+BFE32+BFI32+BFM32+BFQ32+BFU32+BFY32</f>
        <v>0</v>
      </c>
      <c r="BGD32" s="711" t="e">
        <f>BGC32/BGA32</f>
        <v>#DIV/0!</v>
      </c>
      <c r="BGE32" s="593">
        <f>'Proy 2022 vs 2019 sem'!KA31*BGH$4</f>
        <v>0</v>
      </c>
      <c r="BGF32" s="593">
        <f>'Proy 2022 vs 2019 sem'!KB31*BGH$4</f>
        <v>0</v>
      </c>
      <c r="BGG32" s="699"/>
      <c r="BGH32" s="700" t="e">
        <f>BGG32/BGE32</f>
        <v>#DIV/0!</v>
      </c>
      <c r="BGI32" s="593">
        <f>'Proy 2022 vs 2019 sem'!KA31*BGL$4</f>
        <v>0</v>
      </c>
      <c r="BGJ32" s="593">
        <f>'Proy 2022 vs 2019 sem'!KB31*BGL$4</f>
        <v>0</v>
      </c>
      <c r="BGK32" s="699"/>
      <c r="BGL32" s="700" t="e">
        <f>BGK32/BGI32</f>
        <v>#DIV/0!</v>
      </c>
      <c r="BGM32" s="593">
        <f>'Proy 2022 vs 2019 sem'!KA31*BGP$4</f>
        <v>0</v>
      </c>
      <c r="BGN32" s="593">
        <f>'Proy 2022 vs 2019 sem'!KB31*BGP$4</f>
        <v>0</v>
      </c>
      <c r="BGO32" s="699"/>
      <c r="BGP32" s="700" t="e">
        <f>BGO32/BGM32</f>
        <v>#DIV/0!</v>
      </c>
      <c r="BGQ32" s="593">
        <f>'Proy 2022 vs 2019 sem'!KA31*BGT$4</f>
        <v>0</v>
      </c>
      <c r="BGR32" s="593">
        <f>'Proy 2022 vs 2019 sem'!KB31*BGT$4</f>
        <v>0</v>
      </c>
      <c r="BGS32" s="699"/>
      <c r="BGT32" s="700" t="e">
        <f>BGS32/BGQ32</f>
        <v>#DIV/0!</v>
      </c>
      <c r="BGU32" s="593">
        <f>'Proy 2022 vs 2019 sem'!KA31*BGX$4</f>
        <v>0</v>
      </c>
      <c r="BGV32" s="593">
        <f>'Proy 2022 vs 2019 sem'!KB31*BGX$4</f>
        <v>0</v>
      </c>
      <c r="BGW32" s="699"/>
      <c r="BGX32" s="700" t="e">
        <f>BGW32/BGU32</f>
        <v>#DIV/0!</v>
      </c>
      <c r="BGY32" s="593">
        <f>'Proy 2022 vs 2019 sem'!KA31*BHB$4</f>
        <v>0</v>
      </c>
      <c r="BGZ32" s="593">
        <f>'Proy 2022 vs 2019 sem'!KB31*BHB$4</f>
        <v>0</v>
      </c>
      <c r="BHA32" s="699"/>
      <c r="BHB32" s="700" t="e">
        <f>BHA32/BGY32</f>
        <v>#DIV/0!</v>
      </c>
      <c r="BHC32" s="593">
        <f>'Proy 2022 vs 2019 sem'!KA31*BHF$4</f>
        <v>0</v>
      </c>
      <c r="BHD32" s="593">
        <f>'Proy 2022 vs 2019 sem'!KB31*BHF$4</f>
        <v>0</v>
      </c>
      <c r="BHE32" s="699"/>
      <c r="BHF32" s="700" t="e">
        <f>BHE32/BHC32</f>
        <v>#DIV/0!</v>
      </c>
      <c r="BHG32" s="579">
        <f>BGE32+BGI32+BGM32+BGQ32+BGU32+BGY32+BHC32</f>
        <v>0</v>
      </c>
      <c r="BHH32" s="574">
        <f>BGF32+BGJ32+BGN32+BGR32+BGV32+BGZ32+BHD32</f>
        <v>0</v>
      </c>
      <c r="BHI32" s="730">
        <f>BGG32+BGK32+BGO32+BGS32+BGW32+BHA32+BHE32</f>
        <v>0</v>
      </c>
      <c r="BHJ32" s="711" t="e">
        <f>BHI32/BHG32</f>
        <v>#DIV/0!</v>
      </c>
      <c r="BHK32" s="593">
        <f>'Proy 2022 vs 2019 sem'!KF31*BHN$4</f>
        <v>0</v>
      </c>
      <c r="BHL32" s="593">
        <f>'Proy 2022 vs 2019 sem'!KG31*BHN$4</f>
        <v>0</v>
      </c>
      <c r="BHM32" s="699"/>
      <c r="BHN32" s="700" t="e">
        <f>BHM32/BHK32</f>
        <v>#DIV/0!</v>
      </c>
      <c r="BHO32" s="593">
        <f>'Proy 2022 vs 2019 sem'!KF31*BHR$4</f>
        <v>0</v>
      </c>
      <c r="BHP32" s="593">
        <f>'Proy 2022 vs 2019 sem'!KG31*BHR$4</f>
        <v>0</v>
      </c>
      <c r="BHQ32" s="699"/>
      <c r="BHR32" s="700" t="e">
        <f>BHQ32/BHO32</f>
        <v>#DIV/0!</v>
      </c>
      <c r="BHS32" s="593">
        <f>'Proy 2022 vs 2019 sem'!KF31*BHV$4</f>
        <v>0</v>
      </c>
      <c r="BHT32" s="593">
        <f>'Proy 2022 vs 2019 sem'!KG31*BHV$4</f>
        <v>0</v>
      </c>
      <c r="BHU32" s="699"/>
      <c r="BHV32" s="700" t="e">
        <f>BHU32/BHS32</f>
        <v>#DIV/0!</v>
      </c>
      <c r="BHW32" s="593">
        <f>'Proy 2022 vs 2019 sem'!KF31*BHZ$4</f>
        <v>0</v>
      </c>
      <c r="BHX32" s="593">
        <f>'Proy 2022 vs 2019 sem'!KG31*BHZ$4</f>
        <v>0</v>
      </c>
      <c r="BHY32" s="699"/>
      <c r="BHZ32" s="700" t="e">
        <f>BHY32/BHW32</f>
        <v>#DIV/0!</v>
      </c>
      <c r="BIA32" s="593">
        <f>'Proy 2022 vs 2019 sem'!KF31*BID$4</f>
        <v>0</v>
      </c>
      <c r="BIB32" s="593">
        <f>'Proy 2022 vs 2019 sem'!KG31*BID$4</f>
        <v>0</v>
      </c>
      <c r="BIC32" s="699"/>
      <c r="BID32" s="700" t="e">
        <f>BIC32/BIA32</f>
        <v>#DIV/0!</v>
      </c>
      <c r="BIE32" s="593">
        <f>'Proy 2022 vs 2019 sem'!KF31*BIH$4</f>
        <v>0</v>
      </c>
      <c r="BIF32" s="593">
        <f>'Proy 2022 vs 2019 sem'!KG31*BIH$4</f>
        <v>0</v>
      </c>
      <c r="BIG32" s="699"/>
      <c r="BIH32" s="700" t="e">
        <f>BIG32/BIE32</f>
        <v>#DIV/0!</v>
      </c>
      <c r="BII32" s="593">
        <f>'Proy 2022 vs 2019 sem'!KF31*BIL$4</f>
        <v>0</v>
      </c>
      <c r="BIJ32" s="593">
        <f>'Proy 2022 vs 2019 sem'!KG31*BIL$4</f>
        <v>0</v>
      </c>
      <c r="BIK32" s="699"/>
      <c r="BIL32" s="700" t="e">
        <f>BIK32/BII32</f>
        <v>#DIV/0!</v>
      </c>
      <c r="BIM32" s="579">
        <f>BHK32+BHO32+BHS32+BHW32+BIA32+BIE32+BII32</f>
        <v>0</v>
      </c>
      <c r="BIN32" s="574">
        <f>BHL32+BHP32+BHT32+BHX32+BIB32+BIF32+BIJ32</f>
        <v>0</v>
      </c>
      <c r="BIO32" s="730">
        <f>BHM32+BHQ32+BHU32+BHY32+BIC32+BIG32+BIK32</f>
        <v>0</v>
      </c>
      <c r="BIP32" s="711" t="e">
        <f>BIO32/BIM32</f>
        <v>#DIV/0!</v>
      </c>
      <c r="BIQ32" s="593">
        <f>'Proy 2022 vs 2019 sem'!KK31*BIT$4</f>
        <v>0</v>
      </c>
      <c r="BIR32" s="593">
        <f>'Proy 2022 vs 2019 sem'!KL31*BIT$4</f>
        <v>0</v>
      </c>
      <c r="BIS32" s="699"/>
      <c r="BIT32" s="700" t="e">
        <f>BIS32/BIQ32</f>
        <v>#DIV/0!</v>
      </c>
      <c r="BIU32" s="593">
        <f>'Proy 2022 vs 2019 sem'!KK31*BIX$4</f>
        <v>0</v>
      </c>
      <c r="BIV32" s="593">
        <f>'Proy 2022 vs 2019 sem'!KL31*BIX$4</f>
        <v>0</v>
      </c>
      <c r="BIW32" s="699"/>
      <c r="BIX32" s="700" t="e">
        <f>BIW32/BIU32</f>
        <v>#DIV/0!</v>
      </c>
      <c r="BIY32" s="593">
        <f>'Proy 2022 vs 2019 sem'!KK31*BJB$4</f>
        <v>0</v>
      </c>
      <c r="BIZ32" s="593">
        <f>'Proy 2022 vs 2019 sem'!KL31*BJB$4</f>
        <v>0</v>
      </c>
      <c r="BJA32" s="699"/>
      <c r="BJB32" s="700" t="e">
        <f>BJA32/BIY32</f>
        <v>#DIV/0!</v>
      </c>
      <c r="BJC32" s="593">
        <f>'Proy 2022 vs 2019 sem'!KK31*BJF$4</f>
        <v>0</v>
      </c>
      <c r="BJD32" s="593">
        <f>'Proy 2022 vs 2019 sem'!KL31*BJF$4</f>
        <v>0</v>
      </c>
      <c r="BJE32" s="699"/>
      <c r="BJF32" s="700" t="e">
        <f>BJE32/BJC32</f>
        <v>#DIV/0!</v>
      </c>
      <c r="BJG32" s="593">
        <f>'Proy 2022 vs 2019 sem'!KK31*BJJ$4</f>
        <v>0</v>
      </c>
      <c r="BJH32" s="593">
        <f>'Proy 2022 vs 2019 sem'!KL31*BJJ$4</f>
        <v>0</v>
      </c>
      <c r="BJI32" s="699"/>
      <c r="BJJ32" s="700" t="e">
        <f>BJI32/BJG32</f>
        <v>#DIV/0!</v>
      </c>
      <c r="BJK32" s="593">
        <f>'Proy 2022 vs 2019 sem'!KK31*BJN$4</f>
        <v>0</v>
      </c>
      <c r="BJL32" s="593">
        <f>'Proy 2022 vs 2019 sem'!KL31*BJN$4</f>
        <v>0</v>
      </c>
      <c r="BJM32" s="699"/>
      <c r="BJN32" s="700" t="e">
        <f>BJM32/BJK32</f>
        <v>#DIV/0!</v>
      </c>
      <c r="BJO32" s="593">
        <f>'Proy 2022 vs 2019 sem'!KK31*BJR$4</f>
        <v>0</v>
      </c>
      <c r="BJP32" s="593">
        <f>'Proy 2022 vs 2019 sem'!KL31*BJR$4</f>
        <v>0</v>
      </c>
      <c r="BJQ32" s="699"/>
      <c r="BJR32" s="700" t="e">
        <f>BJQ32/BJO32</f>
        <v>#DIV/0!</v>
      </c>
      <c r="BJS32" s="579">
        <f>BIQ32+BIU32+BIY32+BJC32+BJG32+BJK32+BJO32</f>
        <v>0</v>
      </c>
      <c r="BJT32" s="574">
        <f>BIR32+BIV32+BIZ32+BJD32+BJH32+BJL32+BJP32</f>
        <v>0</v>
      </c>
      <c r="BJU32" s="710">
        <f>BIS32+BIW32+BJA32+BJE32+BJI32+BJM32+BJQ32</f>
        <v>0</v>
      </c>
      <c r="BJV32" s="711" t="e">
        <f>BJU32/BJS32</f>
        <v>#DIV/0!</v>
      </c>
      <c r="BJW32" s="593">
        <f>'Proy 2022 vs 2019 sem'!KP31*BJZ$4</f>
        <v>0</v>
      </c>
      <c r="BJX32" s="593">
        <f>'Proy 2022 vs 2019 sem'!KQ31*BJZ$4</f>
        <v>0</v>
      </c>
      <c r="BJY32" s="699"/>
      <c r="BJZ32" s="700" t="e">
        <f>BJY32/BJW32</f>
        <v>#DIV/0!</v>
      </c>
      <c r="BKA32" s="593">
        <f>'Proy 2022 vs 2019 sem'!KP31*BKD$4</f>
        <v>0</v>
      </c>
      <c r="BKB32" s="593">
        <f>'Proy 2022 vs 2019 sem'!KQ31*BKD$4</f>
        <v>0</v>
      </c>
      <c r="BKC32" s="699"/>
      <c r="BKD32" s="700" t="e">
        <f>BKC32/BKA32</f>
        <v>#DIV/0!</v>
      </c>
      <c r="BKE32" s="593">
        <f>'Proy 2022 vs 2019 sem'!KP31*BKH$4</f>
        <v>0</v>
      </c>
      <c r="BKF32" s="593">
        <f>'Proy 2022 vs 2019 sem'!KQ31*BKH$4</f>
        <v>0</v>
      </c>
      <c r="BKG32" s="699"/>
      <c r="BKH32" s="700" t="e">
        <f>BKG32/BKE32</f>
        <v>#DIV/0!</v>
      </c>
      <c r="BKI32" s="593">
        <f>'Proy 2022 vs 2019 sem'!KP31*BKL$4</f>
        <v>0</v>
      </c>
      <c r="BKJ32" s="593">
        <f>'Proy 2022 vs 2019 sem'!KQ31*BKL$4</f>
        <v>0</v>
      </c>
      <c r="BKK32" s="699"/>
      <c r="BKL32" s="700" t="e">
        <f>BKK32/BKI32</f>
        <v>#DIV/0!</v>
      </c>
      <c r="BKM32" s="593">
        <f>'Proy 2022 vs 2019 sem'!KP31*BKP$4</f>
        <v>0</v>
      </c>
      <c r="BKN32" s="593">
        <f>'Proy 2022 vs 2019 sem'!KQ31*BKP$4</f>
        <v>0</v>
      </c>
      <c r="BKO32" s="699"/>
      <c r="BKP32" s="700" t="e">
        <f>BKO32/BKM32</f>
        <v>#DIV/0!</v>
      </c>
      <c r="BKQ32" s="593">
        <f>'Proy 2022 vs 2019 sem'!KP31*BKT$4</f>
        <v>0</v>
      </c>
      <c r="BKR32" s="593">
        <f>'Proy 2022 vs 2019 sem'!KQ31*BKT$4</f>
        <v>0</v>
      </c>
      <c r="BKS32" s="699"/>
      <c r="BKT32" s="700" t="e">
        <f>BKS32/BKQ32</f>
        <v>#DIV/0!</v>
      </c>
      <c r="BKU32" s="593">
        <f>'Proy 2022 vs 2019 sem'!KP31*BKX$4</f>
        <v>0</v>
      </c>
      <c r="BKV32" s="593">
        <f>'Proy 2022 vs 2019 sem'!KQ31*BKX$4</f>
        <v>0</v>
      </c>
      <c r="BKW32" s="699"/>
      <c r="BKX32" s="700" t="e">
        <f>BKW32/BKU32</f>
        <v>#DIV/0!</v>
      </c>
      <c r="BKY32" s="579">
        <f>BJW32+BKA32+BKE32+BKI32+BKM32+BKQ32+BKU32</f>
        <v>0</v>
      </c>
      <c r="BKZ32" s="574">
        <f>BJX32+BKB32+BKF32+BKJ32+BKN32+BKR32+BKV32</f>
        <v>0</v>
      </c>
      <c r="BLA32" s="710">
        <f>BJY32+BKC32+BKG32+BKK32+BKO32+BKS32+BKW32</f>
        <v>0</v>
      </c>
      <c r="BLB32" s="711" t="e">
        <f>BLA32/BKY32</f>
        <v>#DIV/0!</v>
      </c>
    </row>
    <row r="33" spans="2:1666" ht="19.5" customHeight="1">
      <c r="B33" s="930" t="s">
        <v>232</v>
      </c>
      <c r="C33" s="593">
        <f>'Proy 2022 vs 2019 sem'!$C$6*$F$4</f>
        <v>9529.1268</v>
      </c>
      <c r="D33" s="593">
        <f>'Proy 2022 vs 2019 sem'!$D$6*$F$4</f>
        <v>8480.9228519999997</v>
      </c>
      <c r="E33" s="735"/>
      <c r="F33" s="700">
        <f>E33/C33</f>
        <v>0</v>
      </c>
      <c r="G33" s="1414" t="e">
        <f>'Proy 2022 vs 2019 sem'!C32*$J$4</f>
        <v>#VALUE!</v>
      </c>
      <c r="H33" s="593">
        <f>'Proy 2022 vs 2019 sem'!D32*$J$4</f>
        <v>0</v>
      </c>
      <c r="I33" s="735"/>
      <c r="J33" s="700" t="e">
        <f>I33/G33</f>
        <v>#VALUE!</v>
      </c>
      <c r="K33" s="593" t="e">
        <f>'Proy 2022 vs 2019 sem'!C32*$N$4</f>
        <v>#VALUE!</v>
      </c>
      <c r="L33" s="593">
        <f>'Proy 2022 vs 2019 sem'!D32*N$4</f>
        <v>0</v>
      </c>
      <c r="M33" s="735"/>
      <c r="N33" s="700" t="e">
        <f>M33/K33</f>
        <v>#VALUE!</v>
      </c>
      <c r="O33" s="593" t="e">
        <f>'Proy 2022 vs 2019 sem'!C32*R$4</f>
        <v>#VALUE!</v>
      </c>
      <c r="P33" s="593">
        <f>'Proy 2022 vs 2019 sem'!D32*$R$4</f>
        <v>0</v>
      </c>
      <c r="Q33" s="735"/>
      <c r="R33" s="700" t="e">
        <f>Q33/O33</f>
        <v>#VALUE!</v>
      </c>
      <c r="S33" s="593" t="e">
        <f>'Proy 2022 vs 2019 sem'!C32*V$4</f>
        <v>#VALUE!</v>
      </c>
      <c r="T33" s="593">
        <f>'Proy 2022 vs 2019 sem'!D32*V$4</f>
        <v>0</v>
      </c>
      <c r="U33" s="735"/>
      <c r="V33" s="700" t="e">
        <f>U33/S33</f>
        <v>#VALUE!</v>
      </c>
      <c r="W33" s="593" t="e">
        <f>'Proy 2022 vs 2019 sem'!C32*Z$4</f>
        <v>#VALUE!</v>
      </c>
      <c r="X33" s="593">
        <f>'Proy 2022 vs 2019 sem'!D32*Z$4</f>
        <v>0</v>
      </c>
      <c r="Y33" s="735"/>
      <c r="Z33" s="700" t="e">
        <f>Y33/W33</f>
        <v>#VALUE!</v>
      </c>
      <c r="AA33" s="593" t="e">
        <f>'Proy 2022 vs 2019 sem'!C32*AD$4</f>
        <v>#VALUE!</v>
      </c>
      <c r="AB33" s="593">
        <f>'Proy 2022 vs 2019 sem'!D32*AD$4</f>
        <v>0</v>
      </c>
      <c r="AC33" s="735"/>
      <c r="AD33" s="700" t="e">
        <f>AC33/AA33</f>
        <v>#VALUE!</v>
      </c>
      <c r="AE33" s="579" t="e">
        <f>C33+G33+K33+O33+S33+W33+AA33</f>
        <v>#VALUE!</v>
      </c>
      <c r="AF33" s="574">
        <f>D33+H33+L33+P33+T33+X33+AB33</f>
        <v>8480.9228519999997</v>
      </c>
      <c r="AG33" s="729">
        <f>E33+I33+M33+Q33+U33+Y33+AC33</f>
        <v>0</v>
      </c>
      <c r="AH33" s="711" t="e">
        <f>AG33/AE33</f>
        <v>#VALUE!</v>
      </c>
      <c r="AI33" s="593">
        <f>'Proy 2022 vs 2019 sem'!H32*AL$4</f>
        <v>0</v>
      </c>
      <c r="AJ33" s="611">
        <f>'Proy 2022 vs 2019 sem'!I32*AL$4</f>
        <v>0</v>
      </c>
      <c r="AK33" s="699"/>
      <c r="AL33" s="700" t="e">
        <f>AK33/AI33</f>
        <v>#DIV/0!</v>
      </c>
      <c r="AM33" s="593">
        <f>'Proy 2022 vs 2019 sem'!H32*AP$4</f>
        <v>0</v>
      </c>
      <c r="AN33" s="593">
        <f>'Proy 2022 vs 2019 sem'!I32*AP$4</f>
        <v>0</v>
      </c>
      <c r="AO33" s="699"/>
      <c r="AP33" s="700" t="e">
        <f>AO33/AM33</f>
        <v>#DIV/0!</v>
      </c>
      <c r="AQ33" s="593">
        <f>'Proy 2022 vs 2019 sem'!H32*AT$4</f>
        <v>0</v>
      </c>
      <c r="AR33" s="593">
        <f>'Proy 2022 vs 2019 sem'!I32*AT$4</f>
        <v>0</v>
      </c>
      <c r="AS33" s="699"/>
      <c r="AT33" s="700" t="e">
        <f>AS33/AQ33</f>
        <v>#DIV/0!</v>
      </c>
      <c r="AU33" s="593">
        <f>'Proy 2022 vs 2019 sem'!H32*AX$4</f>
        <v>0</v>
      </c>
      <c r="AV33" s="593">
        <f>'Proy 2022 vs 2019 sem'!I32*AX$4</f>
        <v>0</v>
      </c>
      <c r="AW33" s="699"/>
      <c r="AX33" s="700" t="e">
        <f>AW33/AU33</f>
        <v>#DIV/0!</v>
      </c>
      <c r="AY33" s="593">
        <f>'Proy 2022 vs 2019 sem'!H32*BB$4</f>
        <v>0</v>
      </c>
      <c r="AZ33" s="593">
        <f>'Proy 2022 vs 2019 sem'!I32*BB$4</f>
        <v>0</v>
      </c>
      <c r="BA33" s="699"/>
      <c r="BB33" s="700" t="e">
        <f>BA33/AY33</f>
        <v>#DIV/0!</v>
      </c>
      <c r="BC33" s="593">
        <f>'Proy 2022 vs 2019 sem'!H32*BF$4</f>
        <v>0</v>
      </c>
      <c r="BD33" s="593">
        <f>'Proy 2022 vs 2019 sem'!I32*BF$4</f>
        <v>0</v>
      </c>
      <c r="BE33" s="699"/>
      <c r="BF33" s="700" t="e">
        <f>BE33/BC33</f>
        <v>#DIV/0!</v>
      </c>
      <c r="BG33" s="593">
        <f>'Proy 2022 vs 2019 sem'!H32*BJ$4</f>
        <v>0</v>
      </c>
      <c r="BH33" s="593">
        <f>'Proy 2022 vs 2019 sem'!I32*BJ$4</f>
        <v>0</v>
      </c>
      <c r="BI33" s="699"/>
      <c r="BJ33" s="700" t="e">
        <f>BI33/BG33</f>
        <v>#DIV/0!</v>
      </c>
      <c r="BK33" s="579">
        <f>AI33+AM33+AQ33+AU33+AY33+BC33+BG33</f>
        <v>0</v>
      </c>
      <c r="BL33" s="574">
        <f>AJ33+AN33+AR33+AV33+AZ33+BD33+BH33</f>
        <v>0</v>
      </c>
      <c r="BM33" s="730">
        <f>AK33+AO33+AS33+AW33+BA33+BE33+BI33</f>
        <v>0</v>
      </c>
      <c r="BN33" s="711" t="e">
        <f>BM33/BK33</f>
        <v>#DIV/0!</v>
      </c>
      <c r="BO33" s="593">
        <f>'Proy 2022 vs 2019 sem'!M32*BR$4</f>
        <v>0</v>
      </c>
      <c r="BP33" s="593">
        <f>'Proy 2022 vs 2019 sem'!N32*BR$4</f>
        <v>0</v>
      </c>
      <c r="BQ33" s="699"/>
      <c r="BR33" s="700" t="e">
        <f>BQ33/BO33</f>
        <v>#DIV/0!</v>
      </c>
      <c r="BS33" s="593">
        <f>'Proy 2022 vs 2019 sem'!M32*BV$4</f>
        <v>0</v>
      </c>
      <c r="BT33" s="593">
        <f>'Proy 2022 vs 2019 sem'!N32*BV$4</f>
        <v>0</v>
      </c>
      <c r="BU33" s="699"/>
      <c r="BV33" s="700" t="e">
        <f>BU33/BS33</f>
        <v>#DIV/0!</v>
      </c>
      <c r="BW33" s="593">
        <f>'Proy 2022 vs 2019 sem'!M32*BZ$4</f>
        <v>0</v>
      </c>
      <c r="BX33" s="593">
        <f>'Proy 2022 vs 2019 sem'!N32*BZ$4</f>
        <v>0</v>
      </c>
      <c r="BY33" s="699"/>
      <c r="BZ33" s="700" t="e">
        <f>BY33/BW33</f>
        <v>#DIV/0!</v>
      </c>
      <c r="CA33" s="593">
        <f>'Proy 2022 vs 2019 sem'!M32*CD$4</f>
        <v>0</v>
      </c>
      <c r="CB33" s="593">
        <f>'Proy 2022 vs 2019 sem'!N32*CD$4</f>
        <v>0</v>
      </c>
      <c r="CC33" s="699"/>
      <c r="CD33" s="700" t="e">
        <f>CC33/CA33</f>
        <v>#DIV/0!</v>
      </c>
      <c r="CE33" s="593">
        <f>'Proy 2022 vs 2019 sem'!M32*CH$4</f>
        <v>0</v>
      </c>
      <c r="CF33" s="593">
        <f>'Proy 2022 vs 2019 sem'!N32*CH$4</f>
        <v>0</v>
      </c>
      <c r="CG33" s="699"/>
      <c r="CH33" s="700" t="e">
        <f>CG33/CE33</f>
        <v>#DIV/0!</v>
      </c>
      <c r="CI33" s="593">
        <f>'Proy 2022 vs 2019 sem'!M32*CL$4</f>
        <v>0</v>
      </c>
      <c r="CJ33" s="593">
        <f>'Proy 2022 vs 2019 sem'!N32*CL$4</f>
        <v>0</v>
      </c>
      <c r="CK33" s="699"/>
      <c r="CL33" s="700" t="e">
        <f>CK33/CI33</f>
        <v>#DIV/0!</v>
      </c>
      <c r="CM33" s="593">
        <f>'Proy 2022 vs 2019 sem'!M32*CP$4</f>
        <v>0</v>
      </c>
      <c r="CN33" s="593">
        <f>'Proy 2022 vs 2019 sem'!N32*CP$4</f>
        <v>0</v>
      </c>
      <c r="CO33" s="699"/>
      <c r="CP33" s="700" t="e">
        <f>CO33/CM33</f>
        <v>#DIV/0!</v>
      </c>
      <c r="CQ33" s="579">
        <f>BO33+BS33+BW33+CA33+CE33+CI33+CM33</f>
        <v>0</v>
      </c>
      <c r="CR33" s="574">
        <f>BP33+BT33+BX33+CB33+CF33+CJ33+CN33</f>
        <v>0</v>
      </c>
      <c r="CS33" s="730">
        <f>BQ33+BU33+BY33+CC33+CG33+CK33+CO33</f>
        <v>0</v>
      </c>
      <c r="CT33" s="711" t="e">
        <f>CS33/CQ33</f>
        <v>#DIV/0!</v>
      </c>
      <c r="CU33" s="593">
        <f>'Proy 2022 vs 2019 sem'!R32*CX$4</f>
        <v>0</v>
      </c>
      <c r="CV33" s="593">
        <f>'Proy 2022 vs 2019 sem'!S32*CX$4</f>
        <v>0</v>
      </c>
      <c r="CW33" s="699"/>
      <c r="CX33" s="700" t="e">
        <f>CW33/CU33</f>
        <v>#DIV/0!</v>
      </c>
      <c r="CY33" s="593">
        <f>'Proy 2022 vs 2019 sem'!R32*DB$4</f>
        <v>0</v>
      </c>
      <c r="CZ33" s="593">
        <f>'Proy 2022 vs 2019 sem'!S32*DB$4</f>
        <v>0</v>
      </c>
      <c r="DA33" s="699"/>
      <c r="DB33" s="700" t="e">
        <f>DA33/CY33</f>
        <v>#DIV/0!</v>
      </c>
      <c r="DC33" s="593">
        <f>'Proy 2022 vs 2019 sem'!R32*DF$4</f>
        <v>0</v>
      </c>
      <c r="DD33" s="593">
        <f>'Proy 2022 vs 2019 sem'!S32*DF$4</f>
        <v>0</v>
      </c>
      <c r="DE33" s="699"/>
      <c r="DF33" s="700" t="e">
        <f>DE33/DC33</f>
        <v>#DIV/0!</v>
      </c>
      <c r="DG33" s="593">
        <f>'Proy 2022 vs 2019 sem'!R32*DJ$4</f>
        <v>0</v>
      </c>
      <c r="DH33" s="593">
        <f>'Proy 2022 vs 2019 sem'!S32*DJ$4</f>
        <v>0</v>
      </c>
      <c r="DI33" s="699"/>
      <c r="DJ33" s="700" t="e">
        <f>DI33/DG33</f>
        <v>#DIV/0!</v>
      </c>
      <c r="DK33" s="593">
        <f>'Proy 2022 vs 2019 sem'!R32*DN$4</f>
        <v>0</v>
      </c>
      <c r="DL33" s="593">
        <f>'Proy 2022 vs 2019 sem'!S32*DN$4</f>
        <v>0</v>
      </c>
      <c r="DM33" s="699"/>
      <c r="DN33" s="700" t="e">
        <f>DM33/DK33</f>
        <v>#DIV/0!</v>
      </c>
      <c r="DO33" s="593">
        <f>'Proy 2022 vs 2019 sem'!R32*DR$4</f>
        <v>0</v>
      </c>
      <c r="DP33" s="593">
        <f>'Proy 2022 vs 2019 sem'!S32*DR$4</f>
        <v>0</v>
      </c>
      <c r="DQ33" s="699"/>
      <c r="DR33" s="700" t="e">
        <f>DQ33/DO33</f>
        <v>#DIV/0!</v>
      </c>
      <c r="DS33" s="593">
        <f>'Proy 2022 vs 2019 sem'!R32*DV$4</f>
        <v>0</v>
      </c>
      <c r="DT33" s="593">
        <f>'Proy 2022 vs 2019 sem'!S32*DV$4</f>
        <v>0</v>
      </c>
      <c r="DU33" s="699"/>
      <c r="DV33" s="700" t="e">
        <f>DU33/DS33</f>
        <v>#DIV/0!</v>
      </c>
      <c r="DW33" s="579">
        <f>CU33+CY33+DC33+DG33+DK33+DO33+DS33</f>
        <v>0</v>
      </c>
      <c r="DX33" s="574">
        <f>CV33+CZ33+DD33+DH33+DL33+DP33+DT33</f>
        <v>0</v>
      </c>
      <c r="DY33" s="710">
        <f>CW33+DA33+DE33+DI33+DM33+DQ33+DU33</f>
        <v>0</v>
      </c>
      <c r="DZ33" s="711" t="e">
        <f>DY33/DW33</f>
        <v>#DIV/0!</v>
      </c>
      <c r="EA33" s="593">
        <f>'Proy 2022 vs 2019 sem'!AA32*ED$4</f>
        <v>0</v>
      </c>
      <c r="EB33" s="593">
        <f>'Proy 2022 vs 2019 sem'!AB32*ED$4</f>
        <v>0</v>
      </c>
      <c r="EC33" s="735"/>
      <c r="ED33" s="700" t="e">
        <f>EC33/EA33</f>
        <v>#DIV/0!</v>
      </c>
      <c r="EE33" s="593">
        <f>'Proy 2022 vs 2019 sem'!AA32*EH$4</f>
        <v>0</v>
      </c>
      <c r="EF33" s="593">
        <f>'Proy 2022 vs 2019 sem'!AB32*EH$4</f>
        <v>0</v>
      </c>
      <c r="EG33" s="699"/>
      <c r="EH33" s="700" t="e">
        <f>EG33/EE33</f>
        <v>#DIV/0!</v>
      </c>
      <c r="EI33" s="593">
        <f>'Proy 2022 vs 2019 sem'!AA32*EL$4</f>
        <v>0</v>
      </c>
      <c r="EJ33" s="593">
        <f>'Proy 2022 vs 2019 sem'!AB32*EL$4</f>
        <v>0</v>
      </c>
      <c r="EK33" s="699"/>
      <c r="EL33" s="700" t="e">
        <f>EK33/EI33</f>
        <v>#DIV/0!</v>
      </c>
      <c r="EM33" s="593">
        <f>'Proy 2022 vs 2019 sem'!AA32*EP$4</f>
        <v>0</v>
      </c>
      <c r="EN33" s="593">
        <f>'Proy 2022 vs 2019 sem'!AB32*EP$4</f>
        <v>0</v>
      </c>
      <c r="EO33" s="699"/>
      <c r="EP33" s="700" t="e">
        <f>EO33/EM33</f>
        <v>#DIV/0!</v>
      </c>
      <c r="EQ33" s="593">
        <f>'Proy 2022 vs 2019 sem'!AA32*ET$4</f>
        <v>0</v>
      </c>
      <c r="ER33" s="593">
        <f>'Proy 2022 vs 2019 sem'!AB32*ET$4</f>
        <v>0</v>
      </c>
      <c r="ES33" s="699"/>
      <c r="ET33" s="700" t="e">
        <f>ES33/EQ33</f>
        <v>#DIV/0!</v>
      </c>
      <c r="EU33" s="593">
        <f>'Proy 2022 vs 2019 sem'!AA32*EX$4</f>
        <v>0</v>
      </c>
      <c r="EV33" s="593">
        <f>'Proy 2022 vs 2019 sem'!AB32*EX$4</f>
        <v>0</v>
      </c>
      <c r="EW33" s="699"/>
      <c r="EX33" s="700" t="e">
        <f>EW33/EU33</f>
        <v>#DIV/0!</v>
      </c>
      <c r="EY33" s="593">
        <f>'Proy 2022 vs 2019 sem'!AA32*FB$4</f>
        <v>0</v>
      </c>
      <c r="EZ33" s="593">
        <f>'Proy 2022 vs 2019 sem'!AB32*FB$4</f>
        <v>0</v>
      </c>
      <c r="FA33" s="699"/>
      <c r="FB33" s="700" t="e">
        <f>FA33/EY33</f>
        <v>#DIV/0!</v>
      </c>
      <c r="FC33" s="579">
        <f>EA33+EE33+EI33+EM33+EQ33+EU33+EY33</f>
        <v>0</v>
      </c>
      <c r="FD33" s="574">
        <f>EB33+EF33+EJ33+EN33+ER33+EV33+EZ33</f>
        <v>0</v>
      </c>
      <c r="FE33" s="793">
        <f>EC33+EG33+EK33+EO33+ES33+EW33+FA33</f>
        <v>0</v>
      </c>
      <c r="FF33" s="786" t="e">
        <f>FE33/FC33</f>
        <v>#DIV/0!</v>
      </c>
      <c r="FG33" s="593">
        <f>'Proy 2022 vs 2019 sem'!AF32*FJ$4</f>
        <v>0</v>
      </c>
      <c r="FH33" s="593">
        <f>'Proy 2022 vs 2019 sem'!AG32*FJ$4</f>
        <v>0</v>
      </c>
      <c r="FI33" s="699"/>
      <c r="FJ33" s="700" t="e">
        <f>FI33/FG33</f>
        <v>#DIV/0!</v>
      </c>
      <c r="FK33" s="593">
        <f>'Proy 2022 vs 2019 sem'!AF32*FN$4</f>
        <v>0</v>
      </c>
      <c r="FL33" s="593">
        <f>'Proy 2022 vs 2019 sem'!AG32*FN$4</f>
        <v>0</v>
      </c>
      <c r="FM33" s="699"/>
      <c r="FN33" s="700" t="e">
        <f>FM33/FK33</f>
        <v>#DIV/0!</v>
      </c>
      <c r="FO33" s="593">
        <f>'Proy 2022 vs 2019 sem'!AF32*FR$4</f>
        <v>0</v>
      </c>
      <c r="FP33" s="593">
        <f>'Proy 2022 vs 2019 sem'!AG32*FR$4</f>
        <v>0</v>
      </c>
      <c r="FQ33" s="699"/>
      <c r="FR33" s="700" t="e">
        <f>FQ33/FO33</f>
        <v>#DIV/0!</v>
      </c>
      <c r="FS33" s="593">
        <f>'Proy 2022 vs 2019 sem'!AF32*FV$4</f>
        <v>0</v>
      </c>
      <c r="FT33" s="593">
        <f>'Proy 2022 vs 2019 sem'!AG32*FV$4</f>
        <v>0</v>
      </c>
      <c r="FU33" s="699"/>
      <c r="FV33" s="700" t="e">
        <f>FU33/FS33</f>
        <v>#DIV/0!</v>
      </c>
      <c r="FW33" s="593">
        <f>'Proy 2022 vs 2019 sem'!AF32*FZ$4</f>
        <v>0</v>
      </c>
      <c r="FX33" s="593">
        <f>'Proy 2022 vs 2019 sem'!AG32*FZ$4</f>
        <v>0</v>
      </c>
      <c r="FY33" s="699"/>
      <c r="FZ33" s="700" t="e">
        <f>FY33/FW33</f>
        <v>#DIV/0!</v>
      </c>
      <c r="GA33" s="593">
        <f>'Proy 2022 vs 2019 sem'!AF32*GD$4</f>
        <v>0</v>
      </c>
      <c r="GB33" s="593">
        <f>'Proy 2022 vs 2019 sem'!AG32*GD$4</f>
        <v>0</v>
      </c>
      <c r="GC33" s="699"/>
      <c r="GD33" s="700" t="e">
        <f>GC33/GA33</f>
        <v>#DIV/0!</v>
      </c>
      <c r="GE33" s="593">
        <f>'Proy 2022 vs 2019 sem'!AF32*GH$4</f>
        <v>0</v>
      </c>
      <c r="GF33" s="593">
        <f>'Proy 2022 vs 2019 sem'!AG32*GH$4</f>
        <v>0</v>
      </c>
      <c r="GG33" s="699"/>
      <c r="GH33" s="700" t="e">
        <f>GG33/GE33</f>
        <v>#DIV/0!</v>
      </c>
      <c r="GI33" s="579">
        <f>FG33+FK33+FO33+FS33+FW33+GA33+GE33</f>
        <v>0</v>
      </c>
      <c r="GJ33" s="574">
        <f>FH33+FL33+FP33+FT33+FX33+GB33+GF33</f>
        <v>0</v>
      </c>
      <c r="GK33" s="794">
        <f>FI33+FM33+FQ33+FU33+FY33+GC33+GG33</f>
        <v>0</v>
      </c>
      <c r="GL33" s="786" t="e">
        <f>GK33/GI33</f>
        <v>#DIV/0!</v>
      </c>
      <c r="GM33" s="593">
        <f>'Proy 2022 vs 2019 sem'!AK32*GP$4</f>
        <v>0</v>
      </c>
      <c r="GN33" s="593">
        <f>'Proy 2022 vs 2019 sem'!AL32*GP$4</f>
        <v>0</v>
      </c>
      <c r="GO33" s="699"/>
      <c r="GP33" s="700" t="e">
        <f>GO33/GM33</f>
        <v>#DIV/0!</v>
      </c>
      <c r="GQ33" s="593">
        <f>'Proy 2022 vs 2019 sem'!AK32*GT$4</f>
        <v>0</v>
      </c>
      <c r="GR33" s="593">
        <f>'Proy 2022 vs 2019 sem'!AL32*GT$4</f>
        <v>0</v>
      </c>
      <c r="GS33" s="699"/>
      <c r="GT33" s="700" t="e">
        <f>GS33/GQ33</f>
        <v>#DIV/0!</v>
      </c>
      <c r="GU33" s="593">
        <f>'Proy 2022 vs 2019 sem'!AK32*GX$4</f>
        <v>0</v>
      </c>
      <c r="GV33" s="593">
        <f>'Proy 2022 vs 2019 sem'!AL32*GX$4</f>
        <v>0</v>
      </c>
      <c r="GW33" s="699"/>
      <c r="GX33" s="700" t="e">
        <f>GW33/GU33</f>
        <v>#DIV/0!</v>
      </c>
      <c r="GY33" s="593">
        <f>'Proy 2022 vs 2019 sem'!AK32*HB$4</f>
        <v>0</v>
      </c>
      <c r="GZ33" s="593">
        <f>'Proy 2022 vs 2019 sem'!AL32*HB$4</f>
        <v>0</v>
      </c>
      <c r="HA33" s="699"/>
      <c r="HB33" s="700" t="e">
        <f>HA33/GY33</f>
        <v>#DIV/0!</v>
      </c>
      <c r="HC33" s="593">
        <f>'Proy 2022 vs 2019 sem'!AK32*HF$4</f>
        <v>0</v>
      </c>
      <c r="HD33" s="593">
        <f>'Proy 2022 vs 2019 sem'!AL32*HF$4</f>
        <v>0</v>
      </c>
      <c r="HE33" s="699"/>
      <c r="HF33" s="700" t="e">
        <f>HE33/HC33</f>
        <v>#DIV/0!</v>
      </c>
      <c r="HG33" s="593">
        <f>'Proy 2022 vs 2019 sem'!AK32*HJ$4</f>
        <v>0</v>
      </c>
      <c r="HH33" s="593">
        <f>'Proy 2022 vs 2019 sem'!AL32*HJ$4</f>
        <v>0</v>
      </c>
      <c r="HI33" s="699"/>
      <c r="HJ33" s="700" t="e">
        <f>HI33/HG33</f>
        <v>#DIV/0!</v>
      </c>
      <c r="HK33" s="593">
        <f>'Proy 2022 vs 2019 sem'!AK32*HN$4</f>
        <v>0</v>
      </c>
      <c r="HL33" s="593">
        <f>'Proy 2022 vs 2019 sem'!AL32*HN$4</f>
        <v>0</v>
      </c>
      <c r="HM33" s="699"/>
      <c r="HN33" s="700" t="e">
        <f>HM33/HK33</f>
        <v>#DIV/0!</v>
      </c>
      <c r="HO33" s="579">
        <f>GM33+GQ33+GU33+GY33+HC33+HG33+HK33</f>
        <v>0</v>
      </c>
      <c r="HP33" s="574">
        <f>GN33+GR33+GV33+GZ33+HD33+HH33+HL33</f>
        <v>0</v>
      </c>
      <c r="HQ33" s="794">
        <f>GO33+GS33+GW33+HA33+HE33+HI33+HM33</f>
        <v>0</v>
      </c>
      <c r="HR33" s="786" t="e">
        <f>HQ33/HO33</f>
        <v>#DIV/0!</v>
      </c>
      <c r="HS33" s="593">
        <f>'Proy 2022 vs 2019 sem'!AK32*HV$4</f>
        <v>0</v>
      </c>
      <c r="HT33" s="593">
        <f>'Proy 2022 vs 2019 sem'!AL32*HV$4</f>
        <v>0</v>
      </c>
      <c r="HU33" s="699"/>
      <c r="HV33" s="700" t="e">
        <f>HU33/HS33</f>
        <v>#DIV/0!</v>
      </c>
      <c r="HW33" s="593">
        <f>'Proy 2022 vs 2019 sem'!AK32*HZ$4</f>
        <v>0</v>
      </c>
      <c r="HX33" s="593">
        <f>'Proy 2022 vs 2019 sem'!AL32*HZ$4</f>
        <v>0</v>
      </c>
      <c r="HY33" s="699"/>
      <c r="HZ33" s="700" t="e">
        <f>HY33/HW33</f>
        <v>#DIV/0!</v>
      </c>
      <c r="IA33" s="593">
        <f>'Proy 2022 vs 2019 sem'!AK32*ID$4</f>
        <v>0</v>
      </c>
      <c r="IB33" s="593">
        <f>'Proy 2022 vs 2019 sem'!AL32*ID$4</f>
        <v>0</v>
      </c>
      <c r="IC33" s="699"/>
      <c r="ID33" s="700" t="e">
        <f>IC33/IA33</f>
        <v>#DIV/0!</v>
      </c>
      <c r="IE33" s="593">
        <f>'Proy 2022 vs 2019 sem'!AK32*IH$4</f>
        <v>0</v>
      </c>
      <c r="IF33" s="593">
        <f>'Proy 2022 vs 2019 sem'!AL32*IH$4</f>
        <v>0</v>
      </c>
      <c r="IG33" s="699"/>
      <c r="IH33" s="700" t="e">
        <f>IG33/IE33</f>
        <v>#DIV/0!</v>
      </c>
      <c r="II33" s="593">
        <f>'Proy 2022 vs 2019 sem'!AK32*IL$4</f>
        <v>0</v>
      </c>
      <c r="IJ33" s="593">
        <f>'Proy 2022 vs 2019 sem'!AL32*IL$4</f>
        <v>0</v>
      </c>
      <c r="IK33" s="699"/>
      <c r="IL33" s="700" t="e">
        <f>IK33/II33</f>
        <v>#DIV/0!</v>
      </c>
      <c r="IM33" s="593">
        <f>'Proy 2022 vs 2019 sem'!AK32*IP$4</f>
        <v>0</v>
      </c>
      <c r="IN33" s="593">
        <f>'Proy 2022 vs 2019 sem'!AL32*IP$4</f>
        <v>0</v>
      </c>
      <c r="IO33" s="699"/>
      <c r="IP33" s="700" t="e">
        <f>IO33/IM33</f>
        <v>#DIV/0!</v>
      </c>
      <c r="IQ33" s="593">
        <f>'Proy 2022 vs 2019 sem'!AK32*IT$4</f>
        <v>0</v>
      </c>
      <c r="IR33" s="593">
        <f>'Proy 2022 vs 2019 sem'!AL32*IT$4</f>
        <v>0</v>
      </c>
      <c r="IS33" s="699"/>
      <c r="IT33" s="700" t="e">
        <f>IS33/IQ33</f>
        <v>#DIV/0!</v>
      </c>
      <c r="IU33" s="579">
        <f>HS33+HW33+IA33+IE33+II33+IM33+IQ33</f>
        <v>0</v>
      </c>
      <c r="IV33" s="574">
        <f>HT33+HX33+IB33+IF33+IJ33+IN33+IR33</f>
        <v>0</v>
      </c>
      <c r="IW33" s="785">
        <f>HU33+HY33+IC33+IG33+IK33+IO33+IS33</f>
        <v>0</v>
      </c>
      <c r="IX33" s="786" t="e">
        <f>IW33/IU33</f>
        <v>#DIV/0!</v>
      </c>
      <c r="IY33" s="593">
        <f>'Proy 2022 vs 2019 sem'!AY32*JB$4</f>
        <v>0</v>
      </c>
      <c r="IZ33" s="593">
        <f>'Proy 2022 vs 2019 sem'!AZ32*JB$4</f>
        <v>0</v>
      </c>
      <c r="JA33" s="735"/>
      <c r="JB33" s="700" t="e">
        <f>JA33/IY33</f>
        <v>#DIV/0!</v>
      </c>
      <c r="JC33" s="593">
        <f>'Proy 2022 vs 2019 sem'!AY32*JF$4</f>
        <v>0</v>
      </c>
      <c r="JD33" s="593">
        <f>'Proy 2022 vs 2019 sem'!AZ32*JF$4</f>
        <v>0</v>
      </c>
      <c r="JE33" s="735"/>
      <c r="JF33" s="700" t="e">
        <f>JE33/JC33</f>
        <v>#DIV/0!</v>
      </c>
      <c r="JG33" s="593">
        <f>'Proy 2022 vs 2019 sem'!AY32*JJ$4</f>
        <v>0</v>
      </c>
      <c r="JH33" s="593">
        <f>'Proy 2022 vs 2019 sem'!AZ32*JJ$4</f>
        <v>0</v>
      </c>
      <c r="JI33" s="735"/>
      <c r="JJ33" s="700" t="e">
        <f>JI33/JG33</f>
        <v>#DIV/0!</v>
      </c>
      <c r="JK33" s="593">
        <f>'Proy 2022 vs 2019 sem'!AY32*JN$4</f>
        <v>0</v>
      </c>
      <c r="JL33" s="593">
        <f>'Proy 2022 vs 2019 sem'!AZ32*JN$4</f>
        <v>0</v>
      </c>
      <c r="JM33" s="735"/>
      <c r="JN33" s="700" t="e">
        <f>JM33/JK33</f>
        <v>#DIV/0!</v>
      </c>
      <c r="JO33" s="593">
        <f>'Proy 2022 vs 2019 sem'!AY32*JR$4</f>
        <v>0</v>
      </c>
      <c r="JP33" s="593">
        <f>'Proy 2022 vs 2019 sem'!AZ32*JR$4</f>
        <v>0</v>
      </c>
      <c r="JQ33" s="735"/>
      <c r="JR33" s="700" t="e">
        <f>JQ33/JO33</f>
        <v>#DIV/0!</v>
      </c>
      <c r="JS33" s="593">
        <f>'Proy 2022 vs 2019 sem'!AY32*JV$4</f>
        <v>0</v>
      </c>
      <c r="JT33" s="593">
        <f>'Proy 2022 vs 2019 sem'!AZ32*JV$4</f>
        <v>0</v>
      </c>
      <c r="JU33" s="735"/>
      <c r="JV33" s="700" t="e">
        <f>JU33/JS33</f>
        <v>#DIV/0!</v>
      </c>
      <c r="JW33" s="593">
        <f>'Proy 2022 vs 2019 sem'!AY32*JZ$4</f>
        <v>0</v>
      </c>
      <c r="JX33" s="593">
        <f>'Proy 2022 vs 2019 sem'!AZ32*JZ$4</f>
        <v>0</v>
      </c>
      <c r="JY33" s="735"/>
      <c r="JZ33" s="700" t="e">
        <f>JY33/JW33</f>
        <v>#DIV/0!</v>
      </c>
      <c r="KA33" s="579">
        <f>IY33+JC33+JG33+JK33+JO33+JS33+JW33</f>
        <v>0</v>
      </c>
      <c r="KB33" s="574">
        <f>IZ33+JD33+JH33+JL33+JP33+JT33+JX33</f>
        <v>0</v>
      </c>
      <c r="KC33" s="729">
        <f>JA33+JE33+JI33+JM33+JQ33+JU33+JY33</f>
        <v>0</v>
      </c>
      <c r="KD33" s="711" t="e">
        <f>KC33/KA33</f>
        <v>#DIV/0!</v>
      </c>
      <c r="KE33" s="593">
        <f>'Proy 2022 vs 2019 sem'!BD32*KH$4</f>
        <v>0</v>
      </c>
      <c r="KF33" s="593">
        <f>'Proy 2022 vs 2019 sem'!BE32*KH$4</f>
        <v>0</v>
      </c>
      <c r="KG33" s="699"/>
      <c r="KH33" s="700" t="e">
        <f>KG33/KE33</f>
        <v>#DIV/0!</v>
      </c>
      <c r="KI33" s="593">
        <f>'Proy 2022 vs 2019 sem'!BD32*KL$4</f>
        <v>0</v>
      </c>
      <c r="KJ33" s="593">
        <f>'Proy 2022 vs 2019 sem'!BE32*KL$4</f>
        <v>0</v>
      </c>
      <c r="KK33" s="699"/>
      <c r="KL33" s="700" t="e">
        <f>KK33/KI33</f>
        <v>#DIV/0!</v>
      </c>
      <c r="KM33" s="593">
        <f>'Proy 2022 vs 2019 sem'!BD32*KP$4</f>
        <v>0</v>
      </c>
      <c r="KN33" s="593">
        <f>'Proy 2022 vs 2019 sem'!BE32*KP$4</f>
        <v>0</v>
      </c>
      <c r="KO33" s="699"/>
      <c r="KP33" s="700" t="e">
        <f>KO33/KM33</f>
        <v>#DIV/0!</v>
      </c>
      <c r="KQ33" s="593">
        <f>'Proy 2022 vs 2019 sem'!BD32*KT$4</f>
        <v>0</v>
      </c>
      <c r="KR33" s="593">
        <f>'Proy 2022 vs 2019 sem'!BE32*KT$4</f>
        <v>0</v>
      </c>
      <c r="KS33" s="699"/>
      <c r="KT33" s="700" t="e">
        <f>KS33/KQ33</f>
        <v>#DIV/0!</v>
      </c>
      <c r="KU33" s="593">
        <f>'Proy 2022 vs 2019 sem'!BD32*KX$4</f>
        <v>0</v>
      </c>
      <c r="KV33" s="593">
        <f>'Proy 2022 vs 2019 sem'!BE32*KX$4</f>
        <v>0</v>
      </c>
      <c r="KW33" s="699"/>
      <c r="KX33" s="700" t="e">
        <f>KW33/KU33</f>
        <v>#DIV/0!</v>
      </c>
      <c r="KY33" s="593">
        <f>'Proy 2022 vs 2019 sem'!BD32*LB$4</f>
        <v>0</v>
      </c>
      <c r="KZ33" s="593">
        <f>'Proy 2022 vs 2019 sem'!BE32*LB$4</f>
        <v>0</v>
      </c>
      <c r="LA33" s="699"/>
      <c r="LB33" s="700" t="e">
        <f>LA33/KY33</f>
        <v>#DIV/0!</v>
      </c>
      <c r="LC33" s="593">
        <f>'Proy 2022 vs 2019 sem'!BD32*LF$4</f>
        <v>0</v>
      </c>
      <c r="LD33" s="593">
        <f>'Proy 2022 vs 2019 sem'!BE32*LF$4</f>
        <v>0</v>
      </c>
      <c r="LE33" s="699"/>
      <c r="LF33" s="700" t="e">
        <f>LE33/LC33</f>
        <v>#DIV/0!</v>
      </c>
      <c r="LG33" s="579">
        <f>KE33+KI33+KM33+KQ33+KU33+KY33+LC33</f>
        <v>0</v>
      </c>
      <c r="LH33" s="574">
        <f>KF33+KJ33+KN33+KR33+KV33+KZ33+LD33</f>
        <v>0</v>
      </c>
      <c r="LI33" s="730">
        <f>KG33+KK33+KO33+KS33+KW33+LA33+LE33</f>
        <v>0</v>
      </c>
      <c r="LJ33" s="711" t="e">
        <f>LI33/LG33</f>
        <v>#DIV/0!</v>
      </c>
      <c r="LK33" s="593">
        <f>'Proy 2022 vs 2019 sem'!BI32*LN$4</f>
        <v>0</v>
      </c>
      <c r="LL33" s="593">
        <f>'Proy 2022 vs 2019 sem'!BJ32*LN$4</f>
        <v>0</v>
      </c>
      <c r="LM33" s="699"/>
      <c r="LN33" s="700" t="e">
        <f>LM33/LK33</f>
        <v>#DIV/0!</v>
      </c>
      <c r="LO33" s="593">
        <f>'Proy 2022 vs 2019 sem'!BI32*LR$4</f>
        <v>0</v>
      </c>
      <c r="LP33" s="593">
        <f>'Proy 2022 vs 2019 sem'!BJ32*LR$4</f>
        <v>0</v>
      </c>
      <c r="LQ33" s="699"/>
      <c r="LR33" s="700" t="e">
        <f>LQ33/LO33</f>
        <v>#DIV/0!</v>
      </c>
      <c r="LS33" s="593">
        <f>'Proy 2022 vs 2019 sem'!BI32*LV$4</f>
        <v>0</v>
      </c>
      <c r="LT33" s="593">
        <f>'Proy 2022 vs 2019 sem'!BJ32*LV$4</f>
        <v>0</v>
      </c>
      <c r="LU33" s="699"/>
      <c r="LV33" s="700" t="e">
        <f>LU33/LS33</f>
        <v>#DIV/0!</v>
      </c>
      <c r="LW33" s="593">
        <f>'Proy 2022 vs 2019 sem'!BI32*LZ$4</f>
        <v>0</v>
      </c>
      <c r="LX33" s="593">
        <f>'Proy 2022 vs 2019 sem'!BJ32*LZ$4</f>
        <v>0</v>
      </c>
      <c r="LY33" s="699"/>
      <c r="LZ33" s="700" t="e">
        <f>LY33/LW33</f>
        <v>#DIV/0!</v>
      </c>
      <c r="MA33" s="593">
        <f>'Proy 2022 vs 2019 sem'!BI32*MD$4</f>
        <v>0</v>
      </c>
      <c r="MB33" s="593">
        <f>'Proy 2022 vs 2019 sem'!BJ32*MD$4</f>
        <v>0</v>
      </c>
      <c r="MC33" s="699"/>
      <c r="MD33" s="700" t="e">
        <f>MC33/MA33</f>
        <v>#DIV/0!</v>
      </c>
      <c r="ME33" s="593">
        <f>'Proy 2022 vs 2019 sem'!BI32*MH$4</f>
        <v>0</v>
      </c>
      <c r="MF33" s="593">
        <f>'Proy 2022 vs 2019 sem'!BJ32*MH$4</f>
        <v>0</v>
      </c>
      <c r="MG33" s="699"/>
      <c r="MH33" s="700" t="e">
        <f>MG33/ME33</f>
        <v>#DIV/0!</v>
      </c>
      <c r="MI33" s="593">
        <f>'Proy 2022 vs 2019 sem'!BI32*ML$4</f>
        <v>0</v>
      </c>
      <c r="MJ33" s="593">
        <f>'Proy 2022 vs 2019 sem'!BJ32*ML$4</f>
        <v>0</v>
      </c>
      <c r="MK33" s="699"/>
      <c r="ML33" s="700" t="e">
        <f>MK33/MI33</f>
        <v>#DIV/0!</v>
      </c>
      <c r="MM33" s="579">
        <f>LK33+LO33+LS33+LW33+MA33+ME33+MI33</f>
        <v>0</v>
      </c>
      <c r="MN33" s="574">
        <f>LL33+LP33+LT33+LX33+MB33+MF33+MJ33</f>
        <v>0</v>
      </c>
      <c r="MO33" s="730">
        <f>LM33+LQ33+LU33+LY33+MC33+MG33+MK33</f>
        <v>0</v>
      </c>
      <c r="MP33" s="711" t="e">
        <f>MO33/MM33</f>
        <v>#DIV/0!</v>
      </c>
      <c r="MQ33" s="593">
        <f>'Proy 2022 vs 2019 sem'!BN32*MT$4</f>
        <v>0</v>
      </c>
      <c r="MR33" s="593">
        <f>'Proy 2022 vs 2019 sem'!BO32*MT$4</f>
        <v>0</v>
      </c>
      <c r="MS33" s="699"/>
      <c r="MT33" s="700" t="e">
        <f>MS33/MQ33</f>
        <v>#DIV/0!</v>
      </c>
      <c r="MU33" s="593">
        <f>'Proy 2022 vs 2019 sem'!BN32*MX$4</f>
        <v>0</v>
      </c>
      <c r="MV33" s="593">
        <f>'Proy 2022 vs 2019 sem'!BO32*MX$4</f>
        <v>0</v>
      </c>
      <c r="MW33" s="699"/>
      <c r="MX33" s="700" t="e">
        <f>MW33/MU33</f>
        <v>#DIV/0!</v>
      </c>
      <c r="MY33" s="593">
        <f>'Proy 2022 vs 2019 sem'!BN32*NB$4</f>
        <v>0</v>
      </c>
      <c r="MZ33" s="593">
        <f>'Proy 2022 vs 2019 sem'!BO32*NB$4</f>
        <v>0</v>
      </c>
      <c r="NA33" s="699"/>
      <c r="NB33" s="700" t="e">
        <f>NA33/MY33</f>
        <v>#DIV/0!</v>
      </c>
      <c r="NC33" s="593">
        <f>'Proy 2022 vs 2019 sem'!BN32*NF$4</f>
        <v>0</v>
      </c>
      <c r="ND33" s="593">
        <f>'Proy 2022 vs 2019 sem'!BO32*NF$4</f>
        <v>0</v>
      </c>
      <c r="NE33" s="699"/>
      <c r="NF33" s="700" t="e">
        <f>NE33/NC33</f>
        <v>#DIV/0!</v>
      </c>
      <c r="NG33" s="593">
        <f>'Proy 2022 vs 2019 sem'!BN32*NJ$4</f>
        <v>0</v>
      </c>
      <c r="NH33" s="593">
        <f>'Proy 2022 vs 2019 sem'!BO32*NJ$4</f>
        <v>0</v>
      </c>
      <c r="NI33" s="699"/>
      <c r="NJ33" s="700" t="e">
        <f>NI33/NG33</f>
        <v>#DIV/0!</v>
      </c>
      <c r="NK33" s="593">
        <f>'Proy 2022 vs 2019 sem'!BN32*NN$4</f>
        <v>0</v>
      </c>
      <c r="NL33" s="593">
        <f>'Proy 2022 vs 2019 sem'!BO32*NN$4</f>
        <v>0</v>
      </c>
      <c r="NM33" s="699"/>
      <c r="NN33" s="700" t="e">
        <f>NM33/NK33</f>
        <v>#DIV/0!</v>
      </c>
      <c r="NO33" s="593">
        <f>'Proy 2022 vs 2019 sem'!BN32*NR$4</f>
        <v>0</v>
      </c>
      <c r="NP33" s="593">
        <f>'Proy 2022 vs 2019 sem'!BO32*NR$4</f>
        <v>0</v>
      </c>
      <c r="NQ33" s="699"/>
      <c r="NR33" s="700" t="e">
        <f>NQ33/NO33</f>
        <v>#DIV/0!</v>
      </c>
      <c r="NS33" s="579">
        <f>MQ33+MU33+MY33+NC33+NG33+NK33+NO33</f>
        <v>0</v>
      </c>
      <c r="NT33" s="574">
        <f>MR33+MV33+MZ33+ND33+NH33+NL33+NP33</f>
        <v>0</v>
      </c>
      <c r="NU33" s="710">
        <f>MS33+MW33+NA33+NE33+NI33+NM33+NQ33</f>
        <v>0</v>
      </c>
      <c r="NV33" s="711" t="e">
        <f>NU33/NS33</f>
        <v>#DIV/0!</v>
      </c>
      <c r="NW33" s="593">
        <f>'Proy 2022 vs 2019 sem'!BS32*NZ$4</f>
        <v>0</v>
      </c>
      <c r="NX33" s="593">
        <f>'Proy 2022 vs 2019 sem'!BT32*NZ$4</f>
        <v>0</v>
      </c>
      <c r="NY33" s="699"/>
      <c r="NZ33" s="700" t="e">
        <f>NY33/NW33</f>
        <v>#DIV/0!</v>
      </c>
      <c r="OA33" s="593">
        <f>'Proy 2022 vs 2019 sem'!BS32*OD$4</f>
        <v>0</v>
      </c>
      <c r="OB33" s="593">
        <f>'Proy 2022 vs 2019 sem'!BT32*OD$4</f>
        <v>0</v>
      </c>
      <c r="OC33" s="699"/>
      <c r="OD33" s="700" t="e">
        <f>OC33/OA33</f>
        <v>#DIV/0!</v>
      </c>
      <c r="OE33" s="593">
        <f>'Proy 2022 vs 2019 sem'!BS32*OH$4</f>
        <v>0</v>
      </c>
      <c r="OF33" s="593">
        <f>'Proy 2022 vs 2019 sem'!BT32*OH$4</f>
        <v>0</v>
      </c>
      <c r="OG33" s="699"/>
      <c r="OH33" s="700" t="e">
        <f>OG33/OE33</f>
        <v>#DIV/0!</v>
      </c>
      <c r="OI33" s="593">
        <f>'Proy 2022 vs 2019 sem'!BS32*OL$4</f>
        <v>0</v>
      </c>
      <c r="OJ33" s="593">
        <f>'Proy 2022 vs 2019 sem'!BT32*OL$4</f>
        <v>0</v>
      </c>
      <c r="OK33" s="699"/>
      <c r="OL33" s="700" t="e">
        <f>OK33/OI33</f>
        <v>#DIV/0!</v>
      </c>
      <c r="OM33" s="593">
        <f>'Proy 2022 vs 2019 sem'!BS32*OP$4</f>
        <v>0</v>
      </c>
      <c r="ON33" s="593">
        <f>'Proy 2022 vs 2019 sem'!BT32*OP$4</f>
        <v>0</v>
      </c>
      <c r="OO33" s="699"/>
      <c r="OP33" s="700" t="e">
        <f>OO33/OM33</f>
        <v>#DIV/0!</v>
      </c>
      <c r="OQ33" s="593">
        <f>'Proy 2022 vs 2019 sem'!BS32*OT$4</f>
        <v>0</v>
      </c>
      <c r="OR33" s="593">
        <f>'Proy 2022 vs 2019 sem'!BT32*OT$4</f>
        <v>0</v>
      </c>
      <c r="OS33" s="699"/>
      <c r="OT33" s="700" t="e">
        <f>OS33/OQ33</f>
        <v>#DIV/0!</v>
      </c>
      <c r="OU33" s="593">
        <f>'Proy 2022 vs 2019 sem'!BS32*OX$4</f>
        <v>0</v>
      </c>
      <c r="OV33" s="593">
        <f>'Proy 2022 vs 2019 sem'!BT32*OX$4</f>
        <v>0</v>
      </c>
      <c r="OW33" s="699"/>
      <c r="OX33" s="700" t="e">
        <f>OW33/OU33</f>
        <v>#DIV/0!</v>
      </c>
      <c r="OY33" s="579">
        <f>NW33+OA33+OE33+OI33+OM33+OQ33+OU33</f>
        <v>0</v>
      </c>
      <c r="OZ33" s="574">
        <f>NX33+OB33+OF33+OJ33+ON33+OR33+OV33</f>
        <v>0</v>
      </c>
      <c r="PA33" s="710">
        <f>NY33+OC33+OG33+OK33+OO33+OS33+OW33</f>
        <v>0</v>
      </c>
      <c r="PB33" s="711" t="e">
        <f>PA33/OY33</f>
        <v>#DIV/0!</v>
      </c>
      <c r="PC33" s="593">
        <f>'Proy 2022 vs 2019 sem'!CB32*PF$4</f>
        <v>0</v>
      </c>
      <c r="PD33" s="593">
        <f>'Proy 2022 vs 2019 sem'!CC32*PF$4</f>
        <v>0</v>
      </c>
      <c r="PE33" s="735"/>
      <c r="PF33" s="700" t="e">
        <f>PE33/PC33</f>
        <v>#DIV/0!</v>
      </c>
      <c r="PG33" s="593">
        <f>'Proy 2022 vs 2019 sem'!CB32*PJ$4</f>
        <v>0</v>
      </c>
      <c r="PH33" s="593">
        <f>'Proy 2022 vs 2019 sem'!CC32*PJ$4</f>
        <v>0</v>
      </c>
      <c r="PI33" s="699"/>
      <c r="PJ33" s="700" t="e">
        <f>PI33/PG33</f>
        <v>#DIV/0!</v>
      </c>
      <c r="PK33" s="593">
        <f>'Proy 2022 vs 2019 sem'!CB32*PN$4</f>
        <v>0</v>
      </c>
      <c r="PL33" s="593">
        <f>'Proy 2022 vs 2019 sem'!CC32*PN$4</f>
        <v>0</v>
      </c>
      <c r="PM33" s="699"/>
      <c r="PN33" s="700" t="e">
        <f>PM33/PK33</f>
        <v>#DIV/0!</v>
      </c>
      <c r="PO33" s="593">
        <f>'Proy 2022 vs 2019 sem'!CB32*PR$4</f>
        <v>0</v>
      </c>
      <c r="PP33" s="593">
        <f>'Proy 2022 vs 2019 sem'!CC32*PR$4</f>
        <v>0</v>
      </c>
      <c r="PQ33" s="699"/>
      <c r="PR33" s="700" t="e">
        <f>PQ33/PO33</f>
        <v>#DIV/0!</v>
      </c>
      <c r="PS33" s="593">
        <f>'Proy 2022 vs 2019 sem'!CB32*PV$4</f>
        <v>0</v>
      </c>
      <c r="PT33" s="593">
        <f>'Proy 2022 vs 2019 sem'!CC32*PV$4</f>
        <v>0</v>
      </c>
      <c r="PU33" s="699"/>
      <c r="PV33" s="700" t="e">
        <f>PU33/PS33</f>
        <v>#DIV/0!</v>
      </c>
      <c r="PW33" s="593">
        <f>'Proy 2022 vs 2019 sem'!CB32*PZ$4</f>
        <v>0</v>
      </c>
      <c r="PX33" s="593">
        <f>'Proy 2022 vs 2019 sem'!CC32*PZ$4</f>
        <v>0</v>
      </c>
      <c r="PY33" s="699"/>
      <c r="PZ33" s="700" t="e">
        <f>PY33/PW33</f>
        <v>#DIV/0!</v>
      </c>
      <c r="QA33" s="593">
        <f>'Proy 2022 vs 2019 sem'!CB32*QD$4</f>
        <v>0</v>
      </c>
      <c r="QB33" s="593">
        <f>'Proy 2022 vs 2019 sem'!CC32*QD$4</f>
        <v>0</v>
      </c>
      <c r="QC33" s="699"/>
      <c r="QD33" s="700" t="e">
        <f>QC33/QA33</f>
        <v>#DIV/0!</v>
      </c>
      <c r="QE33" s="579">
        <f>PC33+PG33+PK33+PO33+PS33+PW33+QA33</f>
        <v>0</v>
      </c>
      <c r="QF33" s="574">
        <f>PD33+PH33+PL33+PP33+PT33+PX33+QB33</f>
        <v>0</v>
      </c>
      <c r="QG33" s="793">
        <f>PE33+PI33+PM33+PQ33+PU33+PY33+QC33</f>
        <v>0</v>
      </c>
      <c r="QH33" s="786" t="e">
        <f>QG33/QE33</f>
        <v>#DIV/0!</v>
      </c>
      <c r="QI33" s="593">
        <f>'Proy 2022 vs 2019 sem'!CG32*QL$4</f>
        <v>0</v>
      </c>
      <c r="QJ33" s="593">
        <f>'Proy 2022 vs 2019 sem'!CH32*QL$4</f>
        <v>0</v>
      </c>
      <c r="QK33" s="699"/>
      <c r="QL33" s="700" t="e">
        <f>QK33/QI33</f>
        <v>#DIV/0!</v>
      </c>
      <c r="QM33" s="593">
        <f>'Proy 2022 vs 2019 sem'!CG32*QP$4</f>
        <v>0</v>
      </c>
      <c r="QN33" s="593">
        <f>'Proy 2022 vs 2019 sem'!CH32*QP$4</f>
        <v>0</v>
      </c>
      <c r="QO33" s="699"/>
      <c r="QP33" s="700" t="e">
        <f>QO33/QM33</f>
        <v>#DIV/0!</v>
      </c>
      <c r="QQ33" s="593">
        <f>'Proy 2022 vs 2019 sem'!CG32*QT$4</f>
        <v>0</v>
      </c>
      <c r="QR33" s="593">
        <f>'Proy 2022 vs 2019 sem'!CH32*QT$4</f>
        <v>0</v>
      </c>
      <c r="QS33" s="699"/>
      <c r="QT33" s="700" t="e">
        <f>QS33/QQ33</f>
        <v>#DIV/0!</v>
      </c>
      <c r="QU33" s="593">
        <f>'Proy 2022 vs 2019 sem'!CG32*QX$4</f>
        <v>0</v>
      </c>
      <c r="QV33" s="593">
        <f>'Proy 2022 vs 2019 sem'!CH32*QX$4</f>
        <v>0</v>
      </c>
      <c r="QW33" s="699"/>
      <c r="QX33" s="700" t="e">
        <f>QW33/QU33</f>
        <v>#DIV/0!</v>
      </c>
      <c r="QY33" s="593">
        <f>'Proy 2022 vs 2019 sem'!CG32*RB$4</f>
        <v>0</v>
      </c>
      <c r="QZ33" s="593">
        <f>'Proy 2022 vs 2019 sem'!CH32*RB$4</f>
        <v>0</v>
      </c>
      <c r="RA33" s="699"/>
      <c r="RB33" s="700" t="e">
        <f>RA33/QY33</f>
        <v>#DIV/0!</v>
      </c>
      <c r="RC33" s="593">
        <f>'Proy 2022 vs 2019 sem'!CG32*RF$4</f>
        <v>0</v>
      </c>
      <c r="RD33" s="593">
        <f>'Proy 2022 vs 2019 sem'!CH32*RF$4</f>
        <v>0</v>
      </c>
      <c r="RE33" s="699"/>
      <c r="RF33" s="700" t="e">
        <f>RE33/RC33</f>
        <v>#DIV/0!</v>
      </c>
      <c r="RG33" s="593">
        <f>'Proy 2022 vs 2019 sem'!CG32*RJ$4</f>
        <v>0</v>
      </c>
      <c r="RH33" s="593">
        <f>'Proy 2022 vs 2019 sem'!CH32*RJ$4</f>
        <v>0</v>
      </c>
      <c r="RI33" s="699"/>
      <c r="RJ33" s="700" t="e">
        <f>RI33/RG33</f>
        <v>#DIV/0!</v>
      </c>
      <c r="RK33" s="579">
        <f>QI33+QM33+QQ33+QU33+QY33+RC33+RG33</f>
        <v>0</v>
      </c>
      <c r="RL33" s="574">
        <f>QJ33+QN33+QR33+QV33+QZ33+RD33+RH33</f>
        <v>0</v>
      </c>
      <c r="RM33" s="794">
        <f>QK33+QO33+QS33+QW33+RA33+RE33+RI33</f>
        <v>0</v>
      </c>
      <c r="RN33" s="786" t="e">
        <f>RM33/RK33</f>
        <v>#DIV/0!</v>
      </c>
      <c r="RO33" s="593">
        <f>'Proy 2022 vs 2019 sem'!CL32*RR$4</f>
        <v>0</v>
      </c>
      <c r="RP33" s="593">
        <f>'Proy 2022 vs 2019 sem'!CM32*RR$4</f>
        <v>0</v>
      </c>
      <c r="RQ33" s="699"/>
      <c r="RR33" s="700" t="e">
        <f>RQ33/RO33</f>
        <v>#DIV/0!</v>
      </c>
      <c r="RS33" s="593">
        <f>'Proy 2022 vs 2019 sem'!CL32*RV$4</f>
        <v>0</v>
      </c>
      <c r="RT33" s="593">
        <f>'Proy 2022 vs 2019 sem'!CM32*RV$4</f>
        <v>0</v>
      </c>
      <c r="RU33" s="699"/>
      <c r="RV33" s="700" t="e">
        <f>RU33/RS33</f>
        <v>#DIV/0!</v>
      </c>
      <c r="RW33" s="593">
        <f>'Proy 2022 vs 2019 sem'!CL32*RZ$4</f>
        <v>0</v>
      </c>
      <c r="RX33" s="593">
        <f>'Proy 2022 vs 2019 sem'!CM32*RZ$4</f>
        <v>0</v>
      </c>
      <c r="RY33" s="699"/>
      <c r="RZ33" s="700" t="e">
        <f>RY33/RW33</f>
        <v>#DIV/0!</v>
      </c>
      <c r="SA33" s="593">
        <f>'Proy 2022 vs 2019 sem'!CL32*SD$4</f>
        <v>0</v>
      </c>
      <c r="SB33" s="593">
        <f>'Proy 2022 vs 2019 sem'!CM32*SD$4</f>
        <v>0</v>
      </c>
      <c r="SC33" s="699"/>
      <c r="SD33" s="700" t="e">
        <f>SC33/SA33</f>
        <v>#DIV/0!</v>
      </c>
      <c r="SE33" s="593">
        <f>'Proy 2022 vs 2019 sem'!CL32*SH$4</f>
        <v>0</v>
      </c>
      <c r="SF33" s="593">
        <f>'Proy 2022 vs 2019 sem'!CM32*SH$4</f>
        <v>0</v>
      </c>
      <c r="SG33" s="699"/>
      <c r="SH33" s="700" t="e">
        <f>SG33/SE33</f>
        <v>#DIV/0!</v>
      </c>
      <c r="SI33" s="593">
        <f>'Proy 2022 vs 2019 sem'!CL32*SL$4</f>
        <v>0</v>
      </c>
      <c r="SJ33" s="593">
        <f>'Proy 2022 vs 2019 sem'!CM32*SL$4</f>
        <v>0</v>
      </c>
      <c r="SK33" s="699"/>
      <c r="SL33" s="700" t="e">
        <f>SK33/SI33</f>
        <v>#DIV/0!</v>
      </c>
      <c r="SM33" s="593">
        <f>'Proy 2022 vs 2019 sem'!CL32*SP$4</f>
        <v>0</v>
      </c>
      <c r="SN33" s="593">
        <f>'Proy 2022 vs 2019 sem'!CM32*SP$4</f>
        <v>0</v>
      </c>
      <c r="SO33" s="699"/>
      <c r="SP33" s="700" t="e">
        <f>SO33/SM33</f>
        <v>#DIV/0!</v>
      </c>
      <c r="SQ33" s="579">
        <f>RO33+RS33+RW33+SA33+SE33+SI33+SM33</f>
        <v>0</v>
      </c>
      <c r="SR33" s="574">
        <f>RP33+RT33+RX33+SB33+SF33+SJ33+SN33</f>
        <v>0</v>
      </c>
      <c r="SS33" s="794">
        <f>RQ33+RU33+RY33+SC33+SG33+SK33+SO33</f>
        <v>0</v>
      </c>
      <c r="ST33" s="786" t="e">
        <f>SS33/SQ33</f>
        <v>#DIV/0!</v>
      </c>
      <c r="SU33" s="593">
        <f>'Proy 2022 vs 2019 sem'!CQ32*SX$4</f>
        <v>0</v>
      </c>
      <c r="SV33" s="593">
        <f>'Proy 2022 vs 2019 sem'!CR32*SX$4</f>
        <v>0</v>
      </c>
      <c r="SW33" s="699"/>
      <c r="SX33" s="700" t="e">
        <f>SW33/SU33</f>
        <v>#DIV/0!</v>
      </c>
      <c r="SY33" s="593">
        <f>'Proy 2022 vs 2019 sem'!CQ32*TB$4</f>
        <v>0</v>
      </c>
      <c r="SZ33" s="593">
        <f>'Proy 2022 vs 2019 sem'!CR32*TB$4</f>
        <v>0</v>
      </c>
      <c r="TA33" s="699"/>
      <c r="TB33" s="700" t="e">
        <f>TA33/SY33</f>
        <v>#DIV/0!</v>
      </c>
      <c r="TC33" s="593">
        <f>'Proy 2022 vs 2019 sem'!CQ32*TF$4</f>
        <v>0</v>
      </c>
      <c r="TD33" s="593">
        <f>'Proy 2022 vs 2019 sem'!CR32*TF$4</f>
        <v>0</v>
      </c>
      <c r="TE33" s="699"/>
      <c r="TF33" s="700" t="e">
        <f>TE33/TC33</f>
        <v>#DIV/0!</v>
      </c>
      <c r="TG33" s="593">
        <f>'Proy 2022 vs 2019 sem'!CQ32*TJ$4</f>
        <v>0</v>
      </c>
      <c r="TH33" s="593">
        <f>'Proy 2022 vs 2019 sem'!CR32*TJ$4</f>
        <v>0</v>
      </c>
      <c r="TI33" s="699"/>
      <c r="TJ33" s="700" t="e">
        <f>TI33/TG33</f>
        <v>#DIV/0!</v>
      </c>
      <c r="TK33" s="593">
        <f>'Proy 2022 vs 2019 sem'!CQ32*TN$4</f>
        <v>0</v>
      </c>
      <c r="TL33" s="593">
        <f>'Proy 2022 vs 2019 sem'!CR32*TN$4</f>
        <v>0</v>
      </c>
      <c r="TM33" s="699"/>
      <c r="TN33" s="700" t="e">
        <f>TM33/TK33</f>
        <v>#DIV/0!</v>
      </c>
      <c r="TO33" s="593">
        <f>'Proy 2022 vs 2019 sem'!CQ32*TR$4</f>
        <v>0</v>
      </c>
      <c r="TP33" s="593">
        <f>'Proy 2022 vs 2019 sem'!CR32*TR$4</f>
        <v>0</v>
      </c>
      <c r="TQ33" s="699"/>
      <c r="TR33" s="700" t="e">
        <f>TQ33/TO33</f>
        <v>#DIV/0!</v>
      </c>
      <c r="TS33" s="593">
        <f>'Proy 2022 vs 2019 sem'!CQ32*TV$4</f>
        <v>0</v>
      </c>
      <c r="TT33" s="593">
        <f>'Proy 2022 vs 2019 sem'!CR32*TV$4</f>
        <v>0</v>
      </c>
      <c r="TU33" s="699"/>
      <c r="TV33" s="700" t="e">
        <f>TU33/TS33</f>
        <v>#DIV/0!</v>
      </c>
      <c r="TW33" s="579">
        <f>SU33+SY33+TC33+TG33+TK33+TO33+TS33</f>
        <v>0</v>
      </c>
      <c r="TX33" s="574">
        <f>SV33+SZ33+TD33+TH33+TL33+TP33+TT33</f>
        <v>0</v>
      </c>
      <c r="TY33" s="785">
        <f>SW33+TA33+TE33+TI33+TM33+TQ33+TU33</f>
        <v>0</v>
      </c>
      <c r="TZ33" s="786" t="e">
        <f>TY33/TW33</f>
        <v>#DIV/0!</v>
      </c>
      <c r="UA33" s="593">
        <f>'Proy 2022 vs 2019 sem'!CZ32*UD$4</f>
        <v>0</v>
      </c>
      <c r="UB33" s="593">
        <f>'Proy 2022 vs 2019 sem'!DA32*UD$4</f>
        <v>0</v>
      </c>
      <c r="UC33" s="735"/>
      <c r="UD33" s="700" t="e">
        <f>UC33/UA33</f>
        <v>#DIV/0!</v>
      </c>
      <c r="UE33" s="593">
        <f>'Proy 2022 vs 2019 sem'!CZ32*UH$4</f>
        <v>0</v>
      </c>
      <c r="UF33" s="593">
        <f>'Proy 2022 vs 2019 sem'!DA32*UH$4</f>
        <v>0</v>
      </c>
      <c r="UG33" s="699"/>
      <c r="UH33" s="700" t="e">
        <f>UG33/UE33</f>
        <v>#DIV/0!</v>
      </c>
      <c r="UI33" s="593">
        <f>'Proy 2022 vs 2019 sem'!CZ32*UL$4</f>
        <v>0</v>
      </c>
      <c r="UJ33" s="593">
        <f>'Proy 2022 vs 2019 sem'!DA32*UL$4</f>
        <v>0</v>
      </c>
      <c r="UK33" s="699"/>
      <c r="UL33" s="700" t="e">
        <f>UK33/UI33</f>
        <v>#DIV/0!</v>
      </c>
      <c r="UM33" s="593">
        <f>'Proy 2022 vs 2019 sem'!CZ32*UP$4</f>
        <v>0</v>
      </c>
      <c r="UN33" s="593">
        <f>'Proy 2022 vs 2019 sem'!DA32*UP$4</f>
        <v>0</v>
      </c>
      <c r="UO33" s="699"/>
      <c r="UP33" s="700" t="e">
        <f>UO33/UM33</f>
        <v>#DIV/0!</v>
      </c>
      <c r="UQ33" s="593">
        <f>'Proy 2022 vs 2019 sem'!CZ32*UT$4</f>
        <v>0</v>
      </c>
      <c r="UR33" s="593">
        <f>'Proy 2022 vs 2019 sem'!DA32*UT$4</f>
        <v>0</v>
      </c>
      <c r="US33" s="699"/>
      <c r="UT33" s="700" t="e">
        <f>US33/UQ33</f>
        <v>#DIV/0!</v>
      </c>
      <c r="UU33" s="593">
        <f>'Proy 2022 vs 2019 sem'!CZ32*UX$4</f>
        <v>0</v>
      </c>
      <c r="UV33" s="593">
        <f>'Proy 2022 vs 2019 sem'!DA32*UX$4</f>
        <v>0</v>
      </c>
      <c r="UW33" s="699"/>
      <c r="UX33" s="700" t="e">
        <f>UW33/UU33</f>
        <v>#DIV/0!</v>
      </c>
      <c r="UY33" s="593">
        <f>'Proy 2022 vs 2019 sem'!CZ32*VB$4</f>
        <v>0</v>
      </c>
      <c r="UZ33" s="593">
        <f>'Proy 2022 vs 2019 sem'!DA32*VB$4</f>
        <v>0</v>
      </c>
      <c r="VA33" s="699"/>
      <c r="VB33" s="700" t="e">
        <f>VA33/UY33</f>
        <v>#DIV/0!</v>
      </c>
      <c r="VC33" s="579">
        <f>UA33+UE33+UI33+UM33+UQ33+UU33+UY33</f>
        <v>0</v>
      </c>
      <c r="VD33" s="574">
        <f>UB33+UF33+UJ33+UN33+UR33+UV33+UZ33</f>
        <v>0</v>
      </c>
      <c r="VE33" s="759">
        <f>UC33+UG33+UK33+UO33+US33+UW33+VA33</f>
        <v>0</v>
      </c>
      <c r="VF33" s="761" t="e">
        <f>VE33/VC33</f>
        <v>#DIV/0!</v>
      </c>
      <c r="VG33" s="593">
        <f>'Proy 2022 vs 2019 sem'!DE32*VJ$4</f>
        <v>0</v>
      </c>
      <c r="VH33" s="593">
        <f>'Proy 2022 vs 2019 sem'!DF32*VJ$4</f>
        <v>0</v>
      </c>
      <c r="VI33" s="699"/>
      <c r="VJ33" s="700" t="e">
        <f>VI33/VG33</f>
        <v>#DIV/0!</v>
      </c>
      <c r="VK33" s="593">
        <f>'Proy 2022 vs 2019 sem'!DE32*VN$4</f>
        <v>0</v>
      </c>
      <c r="VL33" s="593">
        <f>'Proy 2022 vs 2019 sem'!DF32*VN$4</f>
        <v>0</v>
      </c>
      <c r="VM33" s="699"/>
      <c r="VN33" s="700" t="e">
        <f>VM33/VK33</f>
        <v>#DIV/0!</v>
      </c>
      <c r="VO33" s="593">
        <f>'Proy 2022 vs 2019 sem'!DE32*VR$4</f>
        <v>0</v>
      </c>
      <c r="VP33" s="593">
        <f>'Proy 2022 vs 2019 sem'!DF32*VR$4</f>
        <v>0</v>
      </c>
      <c r="VQ33" s="699"/>
      <c r="VR33" s="700" t="e">
        <f>VQ33/VO33</f>
        <v>#DIV/0!</v>
      </c>
      <c r="VS33" s="593">
        <f>'Proy 2022 vs 2019 sem'!DE32*VV$4</f>
        <v>0</v>
      </c>
      <c r="VT33" s="593">
        <f>'Proy 2022 vs 2019 sem'!DF32*VV$4</f>
        <v>0</v>
      </c>
      <c r="VU33" s="699"/>
      <c r="VV33" s="700" t="e">
        <f>VU33/VS33</f>
        <v>#DIV/0!</v>
      </c>
      <c r="VW33" s="593">
        <f>'Proy 2022 vs 2019 sem'!DE32*VZ$4</f>
        <v>0</v>
      </c>
      <c r="VX33" s="593">
        <f>'Proy 2022 vs 2019 sem'!DF32*VZ$4</f>
        <v>0</v>
      </c>
      <c r="VY33" s="699"/>
      <c r="VZ33" s="700" t="e">
        <f>VY33/VW33</f>
        <v>#DIV/0!</v>
      </c>
      <c r="WA33" s="593">
        <f>'Proy 2022 vs 2019 sem'!DE32*WD$4</f>
        <v>0</v>
      </c>
      <c r="WB33" s="593">
        <f>'Proy 2022 vs 2019 sem'!DF32*WD$4</f>
        <v>0</v>
      </c>
      <c r="WC33" s="699"/>
      <c r="WD33" s="700" t="e">
        <f>WC33/WA33</f>
        <v>#DIV/0!</v>
      </c>
      <c r="WE33" s="593">
        <f>'Proy 2022 vs 2019 sem'!DE32*WH$4</f>
        <v>0</v>
      </c>
      <c r="WF33" s="593">
        <f>'Proy 2022 vs 2019 sem'!DF32*WH$4</f>
        <v>0</v>
      </c>
      <c r="WG33" s="699"/>
      <c r="WH33" s="700" t="e">
        <f>WG33/WE33</f>
        <v>#DIV/0!</v>
      </c>
      <c r="WI33" s="579">
        <f>VG33+VK33+VO33+VS33+VW33+WA33+WE33</f>
        <v>0</v>
      </c>
      <c r="WJ33" s="574">
        <f>VH33+VL33+VP33+VT33+VX33+WB33+WF33</f>
        <v>0</v>
      </c>
      <c r="WK33" s="765">
        <f>VI33+VM33+VQ33+VU33+VY33+WC33+WG33</f>
        <v>0</v>
      </c>
      <c r="WL33" s="761" t="e">
        <f>WK33/WI33</f>
        <v>#DIV/0!</v>
      </c>
      <c r="WM33" s="593">
        <f>'Proy 2022 vs 2019 sem'!DJ32*WP$4</f>
        <v>0</v>
      </c>
      <c r="WN33" s="593">
        <f>'Proy 2022 vs 2019 sem'!DK32*WP$4</f>
        <v>0</v>
      </c>
      <c r="WO33" s="699"/>
      <c r="WP33" s="700" t="e">
        <f>WO33/WM33</f>
        <v>#DIV/0!</v>
      </c>
      <c r="WQ33" s="593">
        <f>'Proy 2022 vs 2019 sem'!DJ32*WT$4</f>
        <v>0</v>
      </c>
      <c r="WR33" s="593">
        <f>'Proy 2022 vs 2019 sem'!DK32*WT$4</f>
        <v>0</v>
      </c>
      <c r="WS33" s="699"/>
      <c r="WT33" s="700" t="e">
        <f>WS33/WQ33</f>
        <v>#DIV/0!</v>
      </c>
      <c r="WU33" s="593">
        <f>'Proy 2022 vs 2019 sem'!DJ32*WX$4</f>
        <v>0</v>
      </c>
      <c r="WV33" s="593">
        <f>'Proy 2022 vs 2019 sem'!DK32*WX$4</f>
        <v>0</v>
      </c>
      <c r="WW33" s="699"/>
      <c r="WX33" s="700" t="e">
        <f>WW33/WU33</f>
        <v>#DIV/0!</v>
      </c>
      <c r="WY33" s="593">
        <f>'Proy 2022 vs 2019 sem'!DJ32*XB$4</f>
        <v>0</v>
      </c>
      <c r="WZ33" s="593">
        <f>'Proy 2022 vs 2019 sem'!DK32*XB$4</f>
        <v>0</v>
      </c>
      <c r="XA33" s="699"/>
      <c r="XB33" s="700" t="e">
        <f>XA33/WY33</f>
        <v>#DIV/0!</v>
      </c>
      <c r="XC33" s="593">
        <f>'Proy 2022 vs 2019 sem'!DJ32*XF$4</f>
        <v>0</v>
      </c>
      <c r="XD33" s="593">
        <f>'Proy 2022 vs 2019 sem'!DK32*XF$4</f>
        <v>0</v>
      </c>
      <c r="XE33" s="699"/>
      <c r="XF33" s="700" t="e">
        <f>XE33/XC33</f>
        <v>#DIV/0!</v>
      </c>
      <c r="XG33" s="593">
        <f>'Proy 2022 vs 2019 sem'!DJ32*XJ$4</f>
        <v>0</v>
      </c>
      <c r="XH33" s="593">
        <f>'Proy 2022 vs 2019 sem'!DK32*XJ$4</f>
        <v>0</v>
      </c>
      <c r="XI33" s="699"/>
      <c r="XJ33" s="700" t="e">
        <f>XI33/XG33</f>
        <v>#DIV/0!</v>
      </c>
      <c r="XK33" s="593">
        <f>'Proy 2022 vs 2019 sem'!DJ32*XN$4</f>
        <v>0</v>
      </c>
      <c r="XL33" s="593">
        <f>'Proy 2022 vs 2019 sem'!DK32*XN$4</f>
        <v>0</v>
      </c>
      <c r="XM33" s="699"/>
      <c r="XN33" s="700" t="e">
        <f>XM33/XK33</f>
        <v>#DIV/0!</v>
      </c>
      <c r="XO33" s="579">
        <f>WM33+WQ33+WU33+WY33+XC33+XG33+XK33</f>
        <v>0</v>
      </c>
      <c r="XP33" s="574">
        <f>WN33+WR33+WV33+WZ33+XD33+XH33+XL33</f>
        <v>0</v>
      </c>
      <c r="XQ33" s="765">
        <f>WO33+WS33+WW33+XA33+XE33+XI33+XM33</f>
        <v>0</v>
      </c>
      <c r="XR33" s="761" t="e">
        <f>XQ33/XO33</f>
        <v>#DIV/0!</v>
      </c>
      <c r="XS33" s="593">
        <f>'Proy 2022 vs 2019 sem'!DO32*XV$4</f>
        <v>0</v>
      </c>
      <c r="XT33" s="593">
        <f>'Proy 2022 vs 2019 sem'!DP32*XV$4</f>
        <v>0</v>
      </c>
      <c r="XU33" s="699"/>
      <c r="XV33" s="700" t="e">
        <f>XU33/XS33</f>
        <v>#DIV/0!</v>
      </c>
      <c r="XW33" s="593">
        <f>'Proy 2022 vs 2019 sem'!DO32*XZ$4</f>
        <v>0</v>
      </c>
      <c r="XX33" s="593">
        <f>'Proy 2022 vs 2019 sem'!DP32*XZ$4</f>
        <v>0</v>
      </c>
      <c r="XY33" s="699"/>
      <c r="XZ33" s="700" t="e">
        <f>XY33/XW33</f>
        <v>#DIV/0!</v>
      </c>
      <c r="YA33" s="593">
        <f>'Proy 2022 vs 2019 sem'!DO32*YD$4</f>
        <v>0</v>
      </c>
      <c r="YB33" s="593">
        <f>'Proy 2022 vs 2019 sem'!DP32*YD$4</f>
        <v>0</v>
      </c>
      <c r="YC33" s="699"/>
      <c r="YD33" s="700" t="e">
        <f>YC33/YA33</f>
        <v>#DIV/0!</v>
      </c>
      <c r="YE33" s="593">
        <f>'Proy 2022 vs 2019 sem'!DO32*YH$4</f>
        <v>0</v>
      </c>
      <c r="YF33" s="593">
        <f>'Proy 2022 vs 2019 sem'!DP32*YH$4</f>
        <v>0</v>
      </c>
      <c r="YG33" s="699"/>
      <c r="YH33" s="700" t="e">
        <f>YG33/YE33</f>
        <v>#DIV/0!</v>
      </c>
      <c r="YI33" s="593">
        <f>'Proy 2022 vs 2019 sem'!DO32*YL$4</f>
        <v>0</v>
      </c>
      <c r="YJ33" s="593">
        <f>'Proy 2022 vs 2019 sem'!DP32*YL$4</f>
        <v>0</v>
      </c>
      <c r="YK33" s="699"/>
      <c r="YL33" s="700" t="e">
        <f>YK33/YI33</f>
        <v>#DIV/0!</v>
      </c>
      <c r="YM33" s="593">
        <f>'Proy 2022 vs 2019 sem'!DO32*YP$4</f>
        <v>0</v>
      </c>
      <c r="YN33" s="593">
        <f>'Proy 2022 vs 2019 sem'!DP32*YP$4</f>
        <v>0</v>
      </c>
      <c r="YO33" s="699"/>
      <c r="YP33" s="700" t="e">
        <f>YO33/YM33</f>
        <v>#DIV/0!</v>
      </c>
      <c r="YQ33" s="593">
        <f>'Proy 2022 vs 2019 sem'!DO32*YT$4</f>
        <v>0</v>
      </c>
      <c r="YR33" s="593">
        <f>'Proy 2022 vs 2019 sem'!DP32*YT$4</f>
        <v>0</v>
      </c>
      <c r="YS33" s="699"/>
      <c r="YT33" s="700" t="e">
        <f>YS33/YQ33</f>
        <v>#DIV/0!</v>
      </c>
      <c r="YU33" s="579">
        <f>XS33+XW33+YA33+YE33+YI33+YM33+YQ33</f>
        <v>0</v>
      </c>
      <c r="YV33" s="574">
        <f>XT33+XX33+YB33+YF33+YJ33+YN33+YR33</f>
        <v>0</v>
      </c>
      <c r="YW33" s="770">
        <f>XU33+XY33+YC33+YG33+YK33+YO33+YS33</f>
        <v>0</v>
      </c>
      <c r="YX33" s="761" t="e">
        <f>YW33/YU33</f>
        <v>#DIV/0!</v>
      </c>
      <c r="YY33" s="931">
        <f>'Proy 2022 vs 2019 sem'!DX32*ZB$4</f>
        <v>0</v>
      </c>
      <c r="YZ33" s="931">
        <f>'Proy 2022 vs 2019 sem'!DY32*ZB$4</f>
        <v>0</v>
      </c>
      <c r="ZA33" s="735"/>
      <c r="ZB33" s="700" t="e">
        <f>ZA33/YY33</f>
        <v>#DIV/0!</v>
      </c>
      <c r="ZC33" s="593">
        <f>'Proy 2022 vs 2019 sem'!DX32*ZF$4</f>
        <v>0</v>
      </c>
      <c r="ZD33" s="593">
        <f>'Proy 2022 vs 2019 sem'!DY32*ZF$4</f>
        <v>0</v>
      </c>
      <c r="ZE33" s="735"/>
      <c r="ZF33" s="700" t="e">
        <f>ZE33/ZC33</f>
        <v>#DIV/0!</v>
      </c>
      <c r="ZG33" s="593">
        <f>'Proy 2022 vs 2019 sem'!DX32*ZJ$4</f>
        <v>0</v>
      </c>
      <c r="ZH33" s="593">
        <f>'Proy 2022 vs 2019 sem'!DY32*ZJ$4</f>
        <v>0</v>
      </c>
      <c r="ZI33" s="735"/>
      <c r="ZJ33" s="700" t="e">
        <f>ZI33/ZG33</f>
        <v>#DIV/0!</v>
      </c>
      <c r="ZK33" s="593">
        <f>'Proy 2022 vs 2019 sem'!DX32*ZN$4</f>
        <v>0</v>
      </c>
      <c r="ZL33" s="593">
        <f>'Proy 2022 vs 2019 sem'!DY32*ZN$4</f>
        <v>0</v>
      </c>
      <c r="ZM33" s="735"/>
      <c r="ZN33" s="700" t="e">
        <f>ZM33/ZK33</f>
        <v>#DIV/0!</v>
      </c>
      <c r="ZO33" s="593">
        <f>'Proy 2022 vs 2019 sem'!DX32*ZR$4</f>
        <v>0</v>
      </c>
      <c r="ZP33" s="593">
        <f>'Proy 2022 vs 2019 sem'!DY32*ZR$4</f>
        <v>0</v>
      </c>
      <c r="ZQ33" s="735"/>
      <c r="ZR33" s="700" t="e">
        <f>ZQ33/ZO33</f>
        <v>#DIV/0!</v>
      </c>
      <c r="ZS33" s="593">
        <f>'Proy 2022 vs 2019 sem'!DX32*ZV$4</f>
        <v>0</v>
      </c>
      <c r="ZT33" s="593">
        <f>'Proy 2022 vs 2019 sem'!DY32*ZV$4</f>
        <v>0</v>
      </c>
      <c r="ZU33" s="735"/>
      <c r="ZV33" s="700" t="e">
        <f>ZU33/ZS33</f>
        <v>#DIV/0!</v>
      </c>
      <c r="ZW33" s="593">
        <f>'Proy 2022 vs 2019 sem'!DX32*ZZ$4</f>
        <v>0</v>
      </c>
      <c r="ZX33" s="593">
        <f>'Proy 2022 vs 2019 sem'!DY32*ZZ$4</f>
        <v>0</v>
      </c>
      <c r="ZY33" s="735"/>
      <c r="ZZ33" s="700" t="e">
        <f>ZY33/ZW33</f>
        <v>#DIV/0!</v>
      </c>
      <c r="AAA33" s="579">
        <f>YY33+ZC33+ZG33+ZK33+ZO33+ZS33+ZW33</f>
        <v>0</v>
      </c>
      <c r="AAB33" s="574">
        <f>YZ33+ZD33+ZH33+ZL33+ZP33+ZT33+ZX33</f>
        <v>0</v>
      </c>
      <c r="AAC33" s="729">
        <f>ZA33+ZE33+ZI33+ZM33+ZQ33+ZU33+ZY33</f>
        <v>0</v>
      </c>
      <c r="AAD33" s="711" t="e">
        <f>AAC33/AAA33</f>
        <v>#DIV/0!</v>
      </c>
      <c r="AAE33" s="593">
        <f>'Proy 2022 vs 2019 sem'!EC32*AAH$4</f>
        <v>0</v>
      </c>
      <c r="AAF33" s="593">
        <f>'Proy 2022 vs 2019 sem'!ED32*AAH$4</f>
        <v>0</v>
      </c>
      <c r="AAG33" s="699"/>
      <c r="AAH33" s="700" t="e">
        <f>AAG33/AAE33</f>
        <v>#DIV/0!</v>
      </c>
      <c r="AAI33" s="593">
        <f>'Proy 2022 vs 2019 sem'!EC32*AAL$4</f>
        <v>0</v>
      </c>
      <c r="AAJ33" s="593">
        <f>'Proy 2022 vs 2019 sem'!ED32*AAL$4</f>
        <v>0</v>
      </c>
      <c r="AAK33" s="699"/>
      <c r="AAL33" s="700" t="e">
        <f>AAK33/AAI33</f>
        <v>#DIV/0!</v>
      </c>
      <c r="AAM33" s="593">
        <f>'Proy 2022 vs 2019 sem'!EC32*AAP$4</f>
        <v>0</v>
      </c>
      <c r="AAN33" s="593">
        <f>'Proy 2022 vs 2019 sem'!ED32*AAP$4</f>
        <v>0</v>
      </c>
      <c r="AAO33" s="699"/>
      <c r="AAP33" s="700" t="e">
        <f>AAO33/AAM33</f>
        <v>#DIV/0!</v>
      </c>
      <c r="AAQ33" s="593">
        <f>'Proy 2022 vs 2019 sem'!EC32*AAT$4</f>
        <v>0</v>
      </c>
      <c r="AAR33" s="593">
        <f>'Proy 2022 vs 2019 sem'!ED32*AAT$4</f>
        <v>0</v>
      </c>
      <c r="AAS33" s="699"/>
      <c r="AAT33" s="700" t="e">
        <f>AAS33/AAQ33</f>
        <v>#DIV/0!</v>
      </c>
      <c r="AAU33" s="593">
        <f>'Proy 2022 vs 2019 sem'!EC32*AAX$4</f>
        <v>0</v>
      </c>
      <c r="AAV33" s="593">
        <f>'Proy 2022 vs 2019 sem'!ED32*AAX$4</f>
        <v>0</v>
      </c>
      <c r="AAW33" s="699"/>
      <c r="AAX33" s="700" t="e">
        <f>AAW33/AAU33</f>
        <v>#DIV/0!</v>
      </c>
      <c r="AAY33" s="593">
        <f>'Proy 2022 vs 2019 sem'!EC32*ABB$4</f>
        <v>0</v>
      </c>
      <c r="AAZ33" s="593">
        <f>'Proy 2022 vs 2019 sem'!ED32*ABB$4</f>
        <v>0</v>
      </c>
      <c r="ABA33" s="699"/>
      <c r="ABB33" s="700" t="e">
        <f>ABA33/AAY33</f>
        <v>#DIV/0!</v>
      </c>
      <c r="ABC33" s="593">
        <f>'Proy 2022 vs 2019 sem'!EC32*ABF$4</f>
        <v>0</v>
      </c>
      <c r="ABD33" s="593">
        <f>'Proy 2022 vs 2019 sem'!ED32*ABF$4</f>
        <v>0</v>
      </c>
      <c r="ABE33" s="699"/>
      <c r="ABF33" s="700" t="e">
        <f>ABE33/ABC33</f>
        <v>#DIV/0!</v>
      </c>
      <c r="ABG33" s="579">
        <f>AAE33+AAI33+AAM33+AAQ33+AAU33+AAY33+ABC33</f>
        <v>0</v>
      </c>
      <c r="ABH33" s="574">
        <f>AAF33+AAJ33+AAN33+AAR33+AAV33+AAZ33+ABD33</f>
        <v>0</v>
      </c>
      <c r="ABI33" s="730">
        <f>AAG33+AAK33+AAO33+AAS33+AAW33+ABA33+ABE33</f>
        <v>0</v>
      </c>
      <c r="ABJ33" s="711" t="e">
        <f>ABI33/ABG33</f>
        <v>#DIV/0!</v>
      </c>
      <c r="ABK33" s="593">
        <f>'Proy 2022 vs 2019 sem'!EH32*ABN$4</f>
        <v>0</v>
      </c>
      <c r="ABL33" s="593">
        <f>'Proy 2022 vs 2019 sem'!EI32*ABN$4</f>
        <v>0</v>
      </c>
      <c r="ABM33" s="699"/>
      <c r="ABN33" s="700" t="e">
        <f>ABM33/ABK33</f>
        <v>#DIV/0!</v>
      </c>
      <c r="ABO33" s="593">
        <f>'Proy 2022 vs 2019 sem'!EH32*ABR$4</f>
        <v>0</v>
      </c>
      <c r="ABP33" s="593">
        <f>'Proy 2022 vs 2019 sem'!EI32*ABR$4</f>
        <v>0</v>
      </c>
      <c r="ABQ33" s="699"/>
      <c r="ABR33" s="700" t="e">
        <f>ABQ33/ABO33</f>
        <v>#DIV/0!</v>
      </c>
      <c r="ABS33" s="593">
        <f>'Proy 2022 vs 2019 sem'!EH32*ABV$4</f>
        <v>0</v>
      </c>
      <c r="ABT33" s="593">
        <f>'Proy 2022 vs 2019 sem'!EI32*ABV$4</f>
        <v>0</v>
      </c>
      <c r="ABU33" s="699"/>
      <c r="ABV33" s="700" t="e">
        <f>ABU33/ABS33</f>
        <v>#DIV/0!</v>
      </c>
      <c r="ABW33" s="593">
        <f>'Proy 2022 vs 2019 sem'!EH32*ABZ$4</f>
        <v>0</v>
      </c>
      <c r="ABX33" s="593">
        <f>'Proy 2022 vs 2019 sem'!EI32*ABZ$4</f>
        <v>0</v>
      </c>
      <c r="ABY33" s="699"/>
      <c r="ABZ33" s="700" t="e">
        <f>ABY33/ABW33</f>
        <v>#DIV/0!</v>
      </c>
      <c r="ACA33" s="593">
        <f>'Proy 2022 vs 2019 sem'!EH32*ACD$4</f>
        <v>0</v>
      </c>
      <c r="ACB33" s="593">
        <f>'Proy 2022 vs 2019 sem'!EI32*ACD$4</f>
        <v>0</v>
      </c>
      <c r="ACC33" s="699"/>
      <c r="ACD33" s="700" t="e">
        <f>ACC33/ACA33</f>
        <v>#DIV/0!</v>
      </c>
      <c r="ACE33" s="593">
        <f>'Proy 2022 vs 2019 sem'!EH32*ACH$4</f>
        <v>0</v>
      </c>
      <c r="ACF33" s="593">
        <f>'Proy 2022 vs 2019 sem'!EI32*ACH$4</f>
        <v>0</v>
      </c>
      <c r="ACG33" s="699"/>
      <c r="ACH33" s="700" t="e">
        <f>ACG33/ACE33</f>
        <v>#DIV/0!</v>
      </c>
      <c r="ACI33" s="593">
        <f>'Proy 2022 vs 2019 sem'!EH32*ACL$4</f>
        <v>0</v>
      </c>
      <c r="ACJ33" s="593">
        <f>'Proy 2022 vs 2019 sem'!EI32*ACL$4</f>
        <v>0</v>
      </c>
      <c r="ACK33" s="699"/>
      <c r="ACL33" s="700" t="e">
        <f>ACK33/ACI33</f>
        <v>#DIV/0!</v>
      </c>
      <c r="ACM33" s="579">
        <f>ABK33+ABO33+ABS33+ABW33+ACA33+ACE33+ACI33</f>
        <v>0</v>
      </c>
      <c r="ACN33" s="574">
        <f>ABL33+ABP33+ABT33+ABX33+ACB33+ACF33+ACJ33</f>
        <v>0</v>
      </c>
      <c r="ACO33" s="730">
        <f>ABM33+ABQ33+ABU33+ABY33+ACC33+ACG33+ACK33</f>
        <v>0</v>
      </c>
      <c r="ACP33" s="711" t="e">
        <f>ACO33/ACM33</f>
        <v>#DIV/0!</v>
      </c>
      <c r="ACQ33" s="593">
        <f>'Proy 2022 vs 2019 sem'!EM32*ACT$4</f>
        <v>0</v>
      </c>
      <c r="ACR33" s="593">
        <f>'Proy 2022 vs 2019 sem'!EN32*ACT$4</f>
        <v>0</v>
      </c>
      <c r="ACS33" s="699"/>
      <c r="ACT33" s="700" t="e">
        <f>ACS33/ACQ33</f>
        <v>#DIV/0!</v>
      </c>
      <c r="ACU33" s="593">
        <f>'Proy 2022 vs 2019 sem'!EM32*ACX$4</f>
        <v>0</v>
      </c>
      <c r="ACV33" s="593">
        <f>'Proy 2022 vs 2019 sem'!EN32*ACX$4</f>
        <v>0</v>
      </c>
      <c r="ACW33" s="699"/>
      <c r="ACX33" s="700" t="e">
        <f>ACW33/ACU33</f>
        <v>#DIV/0!</v>
      </c>
      <c r="ACY33" s="593">
        <f>'Proy 2022 vs 2019 sem'!EM32*ADB$4</f>
        <v>0</v>
      </c>
      <c r="ACZ33" s="593">
        <f>'Proy 2022 vs 2019 sem'!EN32*ADB$4</f>
        <v>0</v>
      </c>
      <c r="ADA33" s="699"/>
      <c r="ADB33" s="700" t="e">
        <f>ADA33/ACY33</f>
        <v>#DIV/0!</v>
      </c>
      <c r="ADC33" s="593">
        <f>'Proy 2022 vs 2019 sem'!EM32*ADF$4</f>
        <v>0</v>
      </c>
      <c r="ADD33" s="593">
        <f>'Proy 2022 vs 2019 sem'!EN32*ADF$4</f>
        <v>0</v>
      </c>
      <c r="ADE33" s="699"/>
      <c r="ADF33" s="700" t="e">
        <f>ADE33/ADC33</f>
        <v>#DIV/0!</v>
      </c>
      <c r="ADG33" s="593">
        <f>'Proy 2022 vs 2019 sem'!EM32*ADJ$4</f>
        <v>0</v>
      </c>
      <c r="ADH33" s="593">
        <f>'Proy 2022 vs 2019 sem'!EN32*ADJ$4</f>
        <v>0</v>
      </c>
      <c r="ADI33" s="699"/>
      <c r="ADJ33" s="700" t="e">
        <f>ADI33/ADG33</f>
        <v>#DIV/0!</v>
      </c>
      <c r="ADK33" s="593">
        <f>'Proy 2022 vs 2019 sem'!EM32*ADN$4</f>
        <v>0</v>
      </c>
      <c r="ADL33" s="593">
        <f>'Proy 2022 vs 2019 sem'!EN32*ADN$4</f>
        <v>0</v>
      </c>
      <c r="ADM33" s="699"/>
      <c r="ADN33" s="700" t="e">
        <f>ADM33/ADK33</f>
        <v>#DIV/0!</v>
      </c>
      <c r="ADO33" s="593">
        <f>'Proy 2022 vs 2019 sem'!EM32*ADR$4</f>
        <v>0</v>
      </c>
      <c r="ADP33" s="593">
        <f>'Proy 2022 vs 2019 sem'!EN32*ADR$4</f>
        <v>0</v>
      </c>
      <c r="ADQ33" s="699"/>
      <c r="ADR33" s="700" t="e">
        <f>ADQ33/ADO33</f>
        <v>#DIV/0!</v>
      </c>
      <c r="ADS33" s="579">
        <f>ACQ33+ACU33+ACY33+ADC33+ADG33+ADK33+ADO33</f>
        <v>0</v>
      </c>
      <c r="ADT33" s="574">
        <f>ACR33+ACV33+ACZ33+ADD33+ADH33+ADL33+ADP33</f>
        <v>0</v>
      </c>
      <c r="ADU33" s="710">
        <f>ACS33+ACW33+ADA33+ADE33+ADI33+ADM33+ADQ33</f>
        <v>0</v>
      </c>
      <c r="ADV33" s="711" t="e">
        <f>ADU33/ADS33</f>
        <v>#DIV/0!</v>
      </c>
      <c r="ADW33" s="593">
        <f>'Proy 2022 vs 2019 sem'!ER32*ADZ$4</f>
        <v>0</v>
      </c>
      <c r="ADX33" s="593">
        <f>'Proy 2022 vs 2019 sem'!ES32*ADZ$4</f>
        <v>0</v>
      </c>
      <c r="ADY33" s="699"/>
      <c r="ADZ33" s="700" t="e">
        <f>ADY33/ADW33</f>
        <v>#DIV/0!</v>
      </c>
      <c r="AEA33" s="593">
        <f>'Proy 2022 vs 2019 sem'!ER32*AED$4</f>
        <v>0</v>
      </c>
      <c r="AEB33" s="593">
        <f>'Proy 2022 vs 2019 sem'!ES32*AED$4</f>
        <v>0</v>
      </c>
      <c r="AEC33" s="699"/>
      <c r="AED33" s="700" t="e">
        <f>AEC33/AEA33</f>
        <v>#DIV/0!</v>
      </c>
      <c r="AEE33" s="593">
        <f>'Proy 2022 vs 2019 sem'!ER32*AEH$4</f>
        <v>0</v>
      </c>
      <c r="AEF33" s="593">
        <f>'Proy 2022 vs 2019 sem'!ES32*AEH$4</f>
        <v>0</v>
      </c>
      <c r="AEG33" s="699"/>
      <c r="AEH33" s="700" t="e">
        <f>AEG33/AEE33</f>
        <v>#DIV/0!</v>
      </c>
      <c r="AEI33" s="593">
        <f>'Proy 2022 vs 2019 sem'!ER32*AEL$4</f>
        <v>0</v>
      </c>
      <c r="AEJ33" s="593">
        <f>'Proy 2022 vs 2019 sem'!ES32*AEL$4</f>
        <v>0</v>
      </c>
      <c r="AEK33" s="699"/>
      <c r="AEL33" s="700" t="e">
        <f>AEK33/AEI33</f>
        <v>#DIV/0!</v>
      </c>
      <c r="AEM33" s="593">
        <f>'Proy 2022 vs 2019 sem'!ER32*AEP$4</f>
        <v>0</v>
      </c>
      <c r="AEN33" s="593">
        <f>'Proy 2022 vs 2019 sem'!ES32*AEP$4</f>
        <v>0</v>
      </c>
      <c r="AEO33" s="699"/>
      <c r="AEP33" s="700" t="e">
        <f>AEO33/AEM33</f>
        <v>#DIV/0!</v>
      </c>
      <c r="AEQ33" s="593">
        <f>'Proy 2022 vs 2019 sem'!ER32*AET$4</f>
        <v>0</v>
      </c>
      <c r="AER33" s="593">
        <f>'Proy 2022 vs 2019 sem'!ES32*AET$4</f>
        <v>0</v>
      </c>
      <c r="AES33" s="699"/>
      <c r="AET33" s="700" t="e">
        <f>AES33/AEQ33</f>
        <v>#DIV/0!</v>
      </c>
      <c r="AEU33" s="593">
        <f>'Proy 2022 vs 2019 sem'!ER32*AEX$4</f>
        <v>0</v>
      </c>
      <c r="AEV33" s="593">
        <f>'Proy 2022 vs 2019 sem'!ES32*AEX$4</f>
        <v>0</v>
      </c>
      <c r="AEW33" s="699"/>
      <c r="AEX33" s="700" t="e">
        <f>AEW33/AEU33</f>
        <v>#DIV/0!</v>
      </c>
      <c r="AEY33" s="579">
        <f>ADW33+AEA33+AEE33+AEI33+AEM33+AEQ33+AEU33</f>
        <v>0</v>
      </c>
      <c r="AEZ33" s="574">
        <f>ADX33+AEB33+AEF33+AEJ33+AEN33+AER33+AEV33</f>
        <v>0</v>
      </c>
      <c r="AFA33" s="710">
        <f>ADY33+AEC33+AEG33+AEK33+AEO33+AES33+AEW33</f>
        <v>0</v>
      </c>
      <c r="AFB33" s="711" t="e">
        <f>AFA33/AEY33</f>
        <v>#DIV/0!</v>
      </c>
      <c r="AFC33" s="593">
        <f>'Proy 2022 vs 2019 sem'!FA32*AFF$4</f>
        <v>0</v>
      </c>
      <c r="AFD33" s="593">
        <f>'Proy 2022 vs 2019 sem'!FB32*AFF$4</f>
        <v>0</v>
      </c>
      <c r="AFE33" s="735"/>
      <c r="AFF33" s="700" t="e">
        <f>AFE33/AFC33</f>
        <v>#DIV/0!</v>
      </c>
      <c r="AFG33" s="593">
        <f>'Proy 2022 vs 2019 sem'!FA32*AFJ$4</f>
        <v>0</v>
      </c>
      <c r="AFH33" s="593">
        <f>'Proy 2022 vs 2019 sem'!FB32*AFJ$4</f>
        <v>0</v>
      </c>
      <c r="AFI33" s="699"/>
      <c r="AFJ33" s="700" t="e">
        <f>AFI33/AFG33</f>
        <v>#DIV/0!</v>
      </c>
      <c r="AFK33" s="593">
        <f>'Proy 2022 vs 2019 sem'!FA32*AFN$4</f>
        <v>0</v>
      </c>
      <c r="AFL33" s="593">
        <f>'Proy 2022 vs 2019 sem'!FB32*AFN$4</f>
        <v>0</v>
      </c>
      <c r="AFM33" s="699"/>
      <c r="AFN33" s="700" t="e">
        <f>AFM33/AFK33</f>
        <v>#DIV/0!</v>
      </c>
      <c r="AFO33" s="593">
        <f>'Proy 2022 vs 2019 sem'!FA32*AFR$4</f>
        <v>0</v>
      </c>
      <c r="AFP33" s="593">
        <f>'Proy 2022 vs 2019 sem'!FB32*AFR$4</f>
        <v>0</v>
      </c>
      <c r="AFQ33" s="699"/>
      <c r="AFR33" s="700" t="e">
        <f>AFQ33/AFO33</f>
        <v>#DIV/0!</v>
      </c>
      <c r="AFS33" s="593">
        <f>'Proy 2022 vs 2019 sem'!FA32*AFV$4</f>
        <v>0</v>
      </c>
      <c r="AFT33" s="593">
        <f>'Proy 2022 vs 2019 sem'!FB32*AFV$4</f>
        <v>0</v>
      </c>
      <c r="AFU33" s="699"/>
      <c r="AFV33" s="700" t="e">
        <f>AFU33/AFS33</f>
        <v>#DIV/0!</v>
      </c>
      <c r="AFW33" s="593">
        <f>'Proy 2022 vs 2019 sem'!FA32*AFZ$4</f>
        <v>0</v>
      </c>
      <c r="AFX33" s="593">
        <f>'Proy 2022 vs 2019 sem'!FB32*AFZ$4</f>
        <v>0</v>
      </c>
      <c r="AFY33" s="699"/>
      <c r="AFZ33" s="700" t="e">
        <f>AFY33/AFW33</f>
        <v>#DIV/0!</v>
      </c>
      <c r="AGA33" s="593">
        <f>'Proy 2022 vs 2019 sem'!FA32*AGD$4</f>
        <v>0</v>
      </c>
      <c r="AGB33" s="593">
        <f>'Proy 2022 vs 2019 sem'!FB32*AGD$4</f>
        <v>0</v>
      </c>
      <c r="AGC33" s="699"/>
      <c r="AGD33" s="700" t="e">
        <f>AGC33/AGA33</f>
        <v>#DIV/0!</v>
      </c>
      <c r="AGE33" s="579">
        <f>AFC33+AFG33+AFK33+AFO33+AFS33+AFW33+AGA33</f>
        <v>0</v>
      </c>
      <c r="AGF33" s="574">
        <f>AFD33+AFH33+AFL33+AFP33+AFT33+AFX33+AGB33</f>
        <v>0</v>
      </c>
      <c r="AGG33" s="759">
        <f>AFE33+AFI33+AFM33+AFQ33+AFU33+AFY33+AGC33</f>
        <v>0</v>
      </c>
      <c r="AGH33" s="761" t="e">
        <f>AGG33/AGE33</f>
        <v>#DIV/0!</v>
      </c>
      <c r="AGI33" s="593">
        <f>'Proy 2022 vs 2019 sem'!FF32*AGL$4</f>
        <v>0</v>
      </c>
      <c r="AGJ33" s="593">
        <f>'Proy 2022 vs 2019 sem'!FG32*AGL$4</f>
        <v>0</v>
      </c>
      <c r="AGK33" s="699"/>
      <c r="AGL33" s="700" t="e">
        <f>AGK33/AGI33</f>
        <v>#DIV/0!</v>
      </c>
      <c r="AGM33" s="593">
        <f>'Proy 2022 vs 2019 sem'!FF32*AGP$4</f>
        <v>0</v>
      </c>
      <c r="AGN33" s="593">
        <f>'Proy 2022 vs 2019 sem'!FG32*AGP$4</f>
        <v>0</v>
      </c>
      <c r="AGO33" s="699"/>
      <c r="AGP33" s="700" t="e">
        <f>AGO33/AGM33</f>
        <v>#DIV/0!</v>
      </c>
      <c r="AGQ33" s="593">
        <f>'Proy 2022 vs 2019 sem'!FF32*AGT$4</f>
        <v>0</v>
      </c>
      <c r="AGR33" s="593">
        <f>'Proy 2022 vs 2019 sem'!FG32*AGT$4</f>
        <v>0</v>
      </c>
      <c r="AGS33" s="699"/>
      <c r="AGT33" s="700" t="e">
        <f>AGS33/AGQ33</f>
        <v>#DIV/0!</v>
      </c>
      <c r="AGU33" s="593">
        <f>'Proy 2022 vs 2019 sem'!FF32*AGX$4</f>
        <v>0</v>
      </c>
      <c r="AGV33" s="593">
        <f>'Proy 2022 vs 2019 sem'!FG32*AGX$4</f>
        <v>0</v>
      </c>
      <c r="AGW33" s="699"/>
      <c r="AGX33" s="700" t="e">
        <f>AGW33/AGU33</f>
        <v>#DIV/0!</v>
      </c>
      <c r="AGY33" s="593">
        <f>'Proy 2022 vs 2019 sem'!FF32*AHB$4</f>
        <v>0</v>
      </c>
      <c r="AGZ33" s="593">
        <f>'Proy 2022 vs 2019 sem'!FG32*AHB$4</f>
        <v>0</v>
      </c>
      <c r="AHA33" s="699"/>
      <c r="AHB33" s="700" t="e">
        <f>AHA33/AGY33</f>
        <v>#DIV/0!</v>
      </c>
      <c r="AHC33" s="593">
        <f>'Proy 2022 vs 2019 sem'!FF32*AHF$4</f>
        <v>0</v>
      </c>
      <c r="AHD33" s="593">
        <f>'Proy 2022 vs 2019 sem'!FG32*AHF$4</f>
        <v>0</v>
      </c>
      <c r="AHE33" s="699"/>
      <c r="AHF33" s="700" t="e">
        <f>AHE33/AHC33</f>
        <v>#DIV/0!</v>
      </c>
      <c r="AHG33" s="593">
        <f>'Proy 2022 vs 2019 sem'!FF32*AHJ$4</f>
        <v>0</v>
      </c>
      <c r="AHH33" s="593">
        <f>'Proy 2022 vs 2019 sem'!FG32*AHJ$4</f>
        <v>0</v>
      </c>
      <c r="AHI33" s="699"/>
      <c r="AHJ33" s="700" t="e">
        <f>AHI33/AHG33</f>
        <v>#DIV/0!</v>
      </c>
      <c r="AHK33" s="579">
        <f>AGI33+AGM33+AGQ33+AGU33+AGY33+AHC33+AHG33</f>
        <v>0</v>
      </c>
      <c r="AHL33" s="574">
        <f>AGJ33+AGN33+AGR33+AGV33+AGZ33+AHD33+AHH33</f>
        <v>0</v>
      </c>
      <c r="AHM33" s="765">
        <f>AGK33+AGO33+AGS33+AGW33+AHA33+AHE33+AHI33</f>
        <v>0</v>
      </c>
      <c r="AHN33" s="761" t="e">
        <f>AHM33/AHK33</f>
        <v>#DIV/0!</v>
      </c>
      <c r="AHO33" s="593">
        <f>'Proy 2022 vs 2019 sem'!FK32*AHR$4</f>
        <v>0</v>
      </c>
      <c r="AHP33" s="593">
        <f>'Proy 2022 vs 2019 sem'!FL32*AHR$4</f>
        <v>0</v>
      </c>
      <c r="AHQ33" s="699"/>
      <c r="AHR33" s="700" t="e">
        <f>AHQ33/AHO33</f>
        <v>#DIV/0!</v>
      </c>
      <c r="AHS33" s="593">
        <f>'Proy 2022 vs 2019 sem'!FK32*AHV$4</f>
        <v>0</v>
      </c>
      <c r="AHT33" s="593">
        <f>'Proy 2022 vs 2019 sem'!FL32*AHV$4</f>
        <v>0</v>
      </c>
      <c r="AHU33" s="699"/>
      <c r="AHV33" s="700" t="e">
        <f>AHU33/AHS33</f>
        <v>#DIV/0!</v>
      </c>
      <c r="AHW33" s="593">
        <f>'Proy 2022 vs 2019 sem'!FK32*AHZ$4</f>
        <v>0</v>
      </c>
      <c r="AHX33" s="593">
        <f>'Proy 2022 vs 2019 sem'!FL32*AHZ$4</f>
        <v>0</v>
      </c>
      <c r="AHY33" s="699"/>
      <c r="AHZ33" s="700" t="e">
        <f>AHY33/AHW33</f>
        <v>#DIV/0!</v>
      </c>
      <c r="AIA33" s="593">
        <f>'Proy 2022 vs 2019 sem'!FK32*AID$4</f>
        <v>0</v>
      </c>
      <c r="AIB33" s="593">
        <f>'Proy 2022 vs 2019 sem'!FL32*AID$4</f>
        <v>0</v>
      </c>
      <c r="AIC33" s="699"/>
      <c r="AID33" s="700" t="e">
        <f>AIC33/AIA33</f>
        <v>#DIV/0!</v>
      </c>
      <c r="AIE33" s="593">
        <f>'Proy 2022 vs 2019 sem'!FK32*AIH$4</f>
        <v>0</v>
      </c>
      <c r="AIF33" s="593">
        <f>'Proy 2022 vs 2019 sem'!FL32*AIH$4</f>
        <v>0</v>
      </c>
      <c r="AIG33" s="699"/>
      <c r="AIH33" s="700" t="e">
        <f>AIG33/AIE33</f>
        <v>#DIV/0!</v>
      </c>
      <c r="AII33" s="593">
        <f>'Proy 2022 vs 2019 sem'!FK32*AIL$4</f>
        <v>0</v>
      </c>
      <c r="AIJ33" s="593">
        <f>'Proy 2022 vs 2019 sem'!FL32*AIL$4</f>
        <v>0</v>
      </c>
      <c r="AIK33" s="699"/>
      <c r="AIL33" s="700" t="e">
        <f>AIK33/AII33</f>
        <v>#DIV/0!</v>
      </c>
      <c r="AIM33" s="593">
        <f>'Proy 2022 vs 2019 sem'!FK32*AIP$4</f>
        <v>0</v>
      </c>
      <c r="AIN33" s="593">
        <f>'Proy 2022 vs 2019 sem'!FL32*AIP$4</f>
        <v>0</v>
      </c>
      <c r="AIO33" s="699"/>
      <c r="AIP33" s="700" t="e">
        <f>AIO33/AIM33</f>
        <v>#DIV/0!</v>
      </c>
      <c r="AIQ33" s="579">
        <f>AHO33+AHS33+AHW33+AIA33+AIE33+AII33+AIM33</f>
        <v>0</v>
      </c>
      <c r="AIR33" s="574">
        <f>AHP33+AHT33+AHX33+AIB33+AIF33+AIJ33+AIN33</f>
        <v>0</v>
      </c>
      <c r="AIS33" s="765">
        <f>AHQ33+AHU33+AHY33+AIC33+AIG33+AIK33+AIO33</f>
        <v>0</v>
      </c>
      <c r="AIT33" s="761" t="e">
        <f>AIS33/AIQ33</f>
        <v>#DIV/0!</v>
      </c>
      <c r="AIU33" s="593">
        <f>'Proy 2022 vs 2019 sem'!FP32*AIX$4</f>
        <v>0</v>
      </c>
      <c r="AIV33" s="593">
        <f>'Proy 2022 vs 2019 sem'!FQ32*AIX$4</f>
        <v>0</v>
      </c>
      <c r="AIW33" s="699"/>
      <c r="AIX33" s="700" t="e">
        <f>AIW33/AIU33</f>
        <v>#DIV/0!</v>
      </c>
      <c r="AIY33" s="593">
        <f>'Proy 2022 vs 2019 sem'!FP32*AJB$4</f>
        <v>0</v>
      </c>
      <c r="AIZ33" s="593">
        <f>'Proy 2022 vs 2019 sem'!FQ32*AJB$4</f>
        <v>0</v>
      </c>
      <c r="AJA33" s="699"/>
      <c r="AJB33" s="700" t="e">
        <f>AJA33/AIY33</f>
        <v>#DIV/0!</v>
      </c>
      <c r="AJC33" s="593">
        <f>'Proy 2022 vs 2019 sem'!FP32*AJF$4</f>
        <v>0</v>
      </c>
      <c r="AJD33" s="593">
        <f>'Proy 2022 vs 2019 sem'!FQ32*AJF$4</f>
        <v>0</v>
      </c>
      <c r="AJE33" s="699"/>
      <c r="AJF33" s="700" t="e">
        <f>AJE33/AJC33</f>
        <v>#DIV/0!</v>
      </c>
      <c r="AJG33" s="593">
        <f>'Proy 2022 vs 2019 sem'!FP32*AJJ$4</f>
        <v>0</v>
      </c>
      <c r="AJH33" s="593">
        <f>'Proy 2022 vs 2019 sem'!FQ32*AJJ$4</f>
        <v>0</v>
      </c>
      <c r="AJI33" s="699"/>
      <c r="AJJ33" s="700" t="e">
        <f>AJI33/AJG33</f>
        <v>#DIV/0!</v>
      </c>
      <c r="AJK33" s="593">
        <f>'Proy 2022 vs 2019 sem'!FP32*AJN$4</f>
        <v>0</v>
      </c>
      <c r="AJL33" s="593">
        <f>'Proy 2022 vs 2019 sem'!FQ32*AJN$4</f>
        <v>0</v>
      </c>
      <c r="AJM33" s="699"/>
      <c r="AJN33" s="700" t="e">
        <f>AJM33/AJK33</f>
        <v>#DIV/0!</v>
      </c>
      <c r="AJO33" s="593">
        <f>'Proy 2022 vs 2019 sem'!FP32*AJR$4</f>
        <v>0</v>
      </c>
      <c r="AJP33" s="593">
        <f>'Proy 2022 vs 2019 sem'!FQ32*AJR$4</f>
        <v>0</v>
      </c>
      <c r="AJQ33" s="699"/>
      <c r="AJR33" s="700" t="e">
        <f>AJQ33/AJO33</f>
        <v>#DIV/0!</v>
      </c>
      <c r="AJS33" s="593">
        <f>'Proy 2022 vs 2019 sem'!FP32*AJV$4</f>
        <v>0</v>
      </c>
      <c r="AJT33" s="593">
        <f>'Proy 2022 vs 2019 sem'!FQ32*AJV$4</f>
        <v>0</v>
      </c>
      <c r="AJU33" s="699"/>
      <c r="AJV33" s="700" t="e">
        <f>AJU33/AJS33</f>
        <v>#DIV/0!</v>
      </c>
      <c r="AJW33" s="579">
        <f>AIU33+AIY33+AJC33+AJG33+AJK33+AJO33+AJS33</f>
        <v>0</v>
      </c>
      <c r="AJX33" s="574">
        <f>AIV33+AIZ33+AJD33+AJH33+AJL33+AJP33+AJT33</f>
        <v>0</v>
      </c>
      <c r="AJY33" s="770">
        <f>AIW33+AJA33+AJE33+AJI33+AJM33+AJQ33+AJU33</f>
        <v>0</v>
      </c>
      <c r="AJZ33" s="761" t="e">
        <f>AJY33/AJW33</f>
        <v>#DIV/0!</v>
      </c>
      <c r="AKA33" s="593"/>
      <c r="AKB33" s="593"/>
      <c r="AKC33" s="735"/>
      <c r="AKD33" s="700" t="e">
        <f>AKC33/AKA33</f>
        <v>#DIV/0!</v>
      </c>
      <c r="AKE33" s="593">
        <v>4504.1807999999992</v>
      </c>
      <c r="AKF33" s="593">
        <v>3152.9265599999994</v>
      </c>
      <c r="AKG33" s="699"/>
      <c r="AKH33" s="700">
        <f>AKG33/AKE33</f>
        <v>0</v>
      </c>
      <c r="AKI33" s="593">
        <v>4504.1807999999992</v>
      </c>
      <c r="AKJ33" s="593">
        <v>3152.9265599999994</v>
      </c>
      <c r="AKK33" s="699"/>
      <c r="AKL33" s="700">
        <f>AKK33/AKI33</f>
        <v>0</v>
      </c>
      <c r="AKM33" s="593">
        <v>4504.1807999999992</v>
      </c>
      <c r="AKN33" s="593">
        <v>3152.9265599999994</v>
      </c>
      <c r="AKO33" s="699"/>
      <c r="AKP33" s="700">
        <f>AKO33/AKM33</f>
        <v>0</v>
      </c>
      <c r="AKQ33" s="593">
        <v>5254.8775999999998</v>
      </c>
      <c r="AKR33" s="593">
        <v>3678.4143199999999</v>
      </c>
      <c r="AKS33" s="699"/>
      <c r="AKT33" s="700">
        <f>AKS33/AKQ33</f>
        <v>0</v>
      </c>
      <c r="AKU33" s="593">
        <v>6005.5743999999995</v>
      </c>
      <c r="AKV33" s="593">
        <v>4203.9020799999989</v>
      </c>
      <c r="AKW33" s="699"/>
      <c r="AKX33" s="700">
        <f>AKW33/AKU33</f>
        <v>0</v>
      </c>
      <c r="AKY33" s="593">
        <v>8257.6647999999986</v>
      </c>
      <c r="AKZ33" s="593">
        <v>5780.3653599999989</v>
      </c>
      <c r="ALA33" s="699"/>
      <c r="ALB33" s="700">
        <f>ALA33/AKY33</f>
        <v>0</v>
      </c>
      <c r="ALC33" s="579">
        <f>AKA33+AKE33+AKI33+AKM33+AKQ33+AKU33+AKY33</f>
        <v>33030.659199999995</v>
      </c>
      <c r="ALD33" s="574">
        <f>AKB33+AKF33+AKJ33+AKN33+AKR33+AKV33+AKZ33</f>
        <v>23121.461439999995</v>
      </c>
      <c r="ALE33" s="793">
        <f>AKC33+AKG33+AKK33+AKO33+AKS33+AKW33+ALA33</f>
        <v>0</v>
      </c>
      <c r="ALF33" s="786">
        <f>ALE33/ALC33</f>
        <v>0</v>
      </c>
      <c r="ALG33" s="593">
        <v>4721.9052000000001</v>
      </c>
      <c r="ALH33" s="593">
        <v>3305.3336399999994</v>
      </c>
      <c r="ALI33" s="699"/>
      <c r="ALJ33" s="700">
        <f>ALI33/ALG33</f>
        <v>0</v>
      </c>
      <c r="ALK33" s="593">
        <v>4721.9052000000001</v>
      </c>
      <c r="ALL33" s="593">
        <v>3305.3336399999994</v>
      </c>
      <c r="ALM33" s="699"/>
      <c r="ALN33" s="700">
        <f>ALM33/ALK33</f>
        <v>0</v>
      </c>
      <c r="ALO33" s="593">
        <v>4721.9052000000001</v>
      </c>
      <c r="ALP33" s="593">
        <v>3305.3336399999994</v>
      </c>
      <c r="ALQ33" s="699"/>
      <c r="ALR33" s="700">
        <f>ALQ33/ALO33</f>
        <v>0</v>
      </c>
      <c r="ALS33" s="593">
        <v>4721.9052000000001</v>
      </c>
      <c r="ALT33" s="593">
        <v>3305.3336399999994</v>
      </c>
      <c r="ALU33" s="699"/>
      <c r="ALV33" s="700">
        <f>ALU33/ALS33</f>
        <v>0</v>
      </c>
      <c r="ALW33" s="593">
        <v>5508.8894</v>
      </c>
      <c r="ALX33" s="593">
        <v>3856.2225799999997</v>
      </c>
      <c r="ALY33" s="699"/>
      <c r="ALZ33" s="700">
        <f>ALY33/ALW33</f>
        <v>0</v>
      </c>
      <c r="AMA33" s="593">
        <v>6295.8735999999999</v>
      </c>
      <c r="AMB33" s="593">
        <v>4407.1115199999995</v>
      </c>
      <c r="AMC33" s="699"/>
      <c r="AMD33" s="700">
        <f>AMC33/AMA33</f>
        <v>0</v>
      </c>
      <c r="AME33" s="593">
        <v>8656.8261999999995</v>
      </c>
      <c r="AMF33" s="593">
        <v>6059.7783399999989</v>
      </c>
      <c r="AMG33" s="699"/>
      <c r="AMH33" s="700">
        <f>AMG33/AME33</f>
        <v>0</v>
      </c>
      <c r="AMI33" s="579">
        <f>ALG33+ALK33+ALO33+ALS33+ALW33+AMA33+AME33</f>
        <v>39349.21</v>
      </c>
      <c r="AMJ33" s="574">
        <f>ALH33+ALL33+ALP33+ALT33+ALX33+AMB33+AMF33</f>
        <v>27544.446999999993</v>
      </c>
      <c r="AMK33" s="794">
        <f>ALI33+ALM33+ALQ33+ALU33+ALY33+AMC33+AMG33</f>
        <v>0</v>
      </c>
      <c r="AML33" s="786">
        <f>AMK33/AMI33</f>
        <v>0</v>
      </c>
      <c r="AMM33" s="593">
        <v>4682.0639999999994</v>
      </c>
      <c r="AMN33" s="593">
        <v>3277.4447999999998</v>
      </c>
      <c r="AMO33" s="699"/>
      <c r="AMP33" s="700">
        <f>AMO33/AMM33</f>
        <v>0</v>
      </c>
      <c r="AMQ33" s="593">
        <v>4682.0639999999994</v>
      </c>
      <c r="AMR33" s="593">
        <v>3277.4447999999998</v>
      </c>
      <c r="AMS33" s="699"/>
      <c r="AMT33" s="700">
        <f>AMS33/AMQ33</f>
        <v>0</v>
      </c>
      <c r="AMU33" s="593">
        <v>4682.0639999999994</v>
      </c>
      <c r="AMV33" s="593">
        <v>3277.4447999999998</v>
      </c>
      <c r="AMW33" s="699"/>
      <c r="AMX33" s="700">
        <f>AMW33/AMU33</f>
        <v>0</v>
      </c>
      <c r="AMY33" s="593">
        <v>4682.0639999999994</v>
      </c>
      <c r="AMZ33" s="593">
        <v>3277.4447999999998</v>
      </c>
      <c r="ANA33" s="699"/>
      <c r="ANB33" s="700">
        <f>ANA33/AMY33</f>
        <v>0</v>
      </c>
      <c r="ANC33" s="593">
        <v>5462.4080000000004</v>
      </c>
      <c r="AND33" s="593">
        <v>3823.6855999999998</v>
      </c>
      <c r="ANE33" s="699"/>
      <c r="ANF33" s="700">
        <f>ANE33/ANC33</f>
        <v>0</v>
      </c>
      <c r="ANG33" s="593">
        <v>6242.7519999999995</v>
      </c>
      <c r="ANH33" s="593">
        <v>4369.9263999999994</v>
      </c>
      <c r="ANI33" s="699"/>
      <c r="ANJ33" s="700">
        <f>ANI33/ANG33</f>
        <v>0</v>
      </c>
      <c r="ANK33" s="593">
        <v>8583.7839999999997</v>
      </c>
      <c r="ANL33" s="593">
        <v>6008.648799999999</v>
      </c>
      <c r="ANM33" s="699"/>
      <c r="ANN33" s="700">
        <f>ANM33/ANK33</f>
        <v>0</v>
      </c>
      <c r="ANO33" s="579">
        <f>AMM33+AMQ33+AMU33+AMY33+ANC33+ANG33+ANK33</f>
        <v>39017.199999999997</v>
      </c>
      <c r="ANP33" s="574">
        <f>AMN33+AMR33+AMV33+AMZ33+AND33+ANH33+ANL33</f>
        <v>27312.039999999997</v>
      </c>
      <c r="ANQ33" s="794">
        <f>AMO33+AMS33+AMW33+ANA33+ANE33+ANI33+ANM33</f>
        <v>0</v>
      </c>
      <c r="ANR33" s="786">
        <f>ANQ33/ANO33</f>
        <v>0</v>
      </c>
      <c r="ANS33" s="593">
        <f>'Proy 2022 vs 2019 sem'!GN32*ANV$4</f>
        <v>0</v>
      </c>
      <c r="ANT33" s="593">
        <f>'Proy 2022 vs 2019 sem'!GO32*ANV$4</f>
        <v>0</v>
      </c>
      <c r="ANU33" s="699"/>
      <c r="ANV33" s="700" t="e">
        <f>ANU33/ANS33</f>
        <v>#DIV/0!</v>
      </c>
      <c r="ANW33" s="593">
        <f>'Proy 2022 vs 2019 sem'!GN32*ANZ$4</f>
        <v>0</v>
      </c>
      <c r="ANX33" s="593">
        <f>'Proy 2022 vs 2019 sem'!GO32*ANZ$4</f>
        <v>0</v>
      </c>
      <c r="ANY33" s="699"/>
      <c r="ANZ33" s="700" t="e">
        <f>ANY33/ANW33</f>
        <v>#DIV/0!</v>
      </c>
      <c r="AOA33" s="593">
        <f>'Proy 2022 vs 2019 sem'!GN32*AOD$4</f>
        <v>0</v>
      </c>
      <c r="AOB33" s="593">
        <f>'Proy 2022 vs 2019 sem'!GO32*AOD$4</f>
        <v>0</v>
      </c>
      <c r="AOC33" s="699"/>
      <c r="AOD33" s="700" t="e">
        <f>AOC33/AOA33</f>
        <v>#DIV/0!</v>
      </c>
      <c r="AOE33" s="593">
        <f>'Proy 2022 vs 2019 sem'!GN32*AOH$4</f>
        <v>0</v>
      </c>
      <c r="AOF33" s="593">
        <f>'Proy 2022 vs 2019 sem'!GO32*AOH$4</f>
        <v>0</v>
      </c>
      <c r="AOG33" s="699"/>
      <c r="AOH33" s="700" t="e">
        <f>AOG33/AOE33</f>
        <v>#DIV/0!</v>
      </c>
      <c r="AOI33" s="593">
        <f>'Proy 2022 vs 2019 sem'!GN32*AOL$4</f>
        <v>0</v>
      </c>
      <c r="AOJ33" s="593">
        <f>'Proy 2022 vs 2019 sem'!GO32*AOL$4</f>
        <v>0</v>
      </c>
      <c r="AOK33" s="699"/>
      <c r="AOL33" s="700" t="e">
        <f>AOK33/AOI33</f>
        <v>#DIV/0!</v>
      </c>
      <c r="AOM33" s="593">
        <f>'Proy 2022 vs 2019 sem'!GN32*AOP$4</f>
        <v>0</v>
      </c>
      <c r="AON33" s="593">
        <f>'Proy 2022 vs 2019 sem'!GO32*AOP$4</f>
        <v>0</v>
      </c>
      <c r="AOO33" s="699"/>
      <c r="AOP33" s="700" t="e">
        <f>AOO33/AOM33</f>
        <v>#DIV/0!</v>
      </c>
      <c r="AOQ33" s="593">
        <f>'Proy 2022 vs 2019 sem'!GN32*AOT$4</f>
        <v>0</v>
      </c>
      <c r="AOR33" s="593">
        <f>'Proy 2022 vs 2019 sem'!GO32*AOT$4</f>
        <v>0</v>
      </c>
      <c r="AOS33" s="699"/>
      <c r="AOT33" s="700" t="e">
        <f>AOS33/AOQ33</f>
        <v>#DIV/0!</v>
      </c>
      <c r="AOU33" s="579">
        <f>ANS33+ANW33+AOA33+AOE33+AOI33+AOM33+AOQ33</f>
        <v>0</v>
      </c>
      <c r="AOV33" s="574">
        <f>ANT33+ANX33+AOB33+AOF33+AOJ33+AON33+AOR33</f>
        <v>0</v>
      </c>
      <c r="AOW33" s="785">
        <f>ANU33+ANY33+AOC33+AOG33+AOK33+AOO33+AOS33</f>
        <v>0</v>
      </c>
      <c r="AOX33" s="786" t="e">
        <f>AOW33/AOU33</f>
        <v>#DIV/0!</v>
      </c>
      <c r="AOY33" s="593">
        <f>'Proy 2022 vs 2019 sem'!GW32*APB$4</f>
        <v>0</v>
      </c>
      <c r="AOZ33" s="593">
        <f>'Proy 2022 vs 2019 sem'!GX32*APB$4</f>
        <v>0</v>
      </c>
      <c r="APA33" s="735"/>
      <c r="APB33" s="700" t="e">
        <f>APA33/AOY33</f>
        <v>#DIV/0!</v>
      </c>
      <c r="APC33" s="593">
        <f>'Proy 2022 vs 2019 sem'!GW32*APF$4</f>
        <v>0</v>
      </c>
      <c r="APD33" s="593">
        <f>'Proy 2022 vs 2019 sem'!GX32*APF$4</f>
        <v>0</v>
      </c>
      <c r="APE33" s="735"/>
      <c r="APF33" s="700" t="e">
        <f>APE33/APC33</f>
        <v>#DIV/0!</v>
      </c>
      <c r="APG33" s="593">
        <f>'Proy 2022 vs 2019 sem'!GW32*APJ$4</f>
        <v>0</v>
      </c>
      <c r="APH33" s="593">
        <f>'Proy 2022 vs 2019 sem'!GX32*APJ$4</f>
        <v>0</v>
      </c>
      <c r="API33" s="735"/>
      <c r="APJ33" s="700" t="e">
        <f>API33/APG33</f>
        <v>#DIV/0!</v>
      </c>
      <c r="APK33" s="593">
        <f>'Proy 2022 vs 2019 sem'!GW32*APN$4</f>
        <v>0</v>
      </c>
      <c r="APL33" s="593">
        <f>'Proy 2022 vs 2019 sem'!GX32*APN$4</f>
        <v>0</v>
      </c>
      <c r="APM33" s="735"/>
      <c r="APN33" s="700" t="e">
        <f>APM33/APK33</f>
        <v>#DIV/0!</v>
      </c>
      <c r="APO33" s="593">
        <f>'Proy 2022 vs 2019 sem'!GW32*APR$4</f>
        <v>0</v>
      </c>
      <c r="APP33" s="593">
        <f>'Proy 2022 vs 2019 sem'!GX32*APR$4</f>
        <v>0</v>
      </c>
      <c r="APQ33" s="735"/>
      <c r="APR33" s="700" t="e">
        <f>APQ33/APO33</f>
        <v>#DIV/0!</v>
      </c>
      <c r="APS33" s="593">
        <f>'Proy 2022 vs 2019 sem'!GW32*APV$4</f>
        <v>0</v>
      </c>
      <c r="APT33" s="593">
        <f>'Proy 2022 vs 2019 sem'!GX32*APV$4</f>
        <v>0</v>
      </c>
      <c r="APU33" s="735"/>
      <c r="APV33" s="700" t="e">
        <f>APU33/APS33</f>
        <v>#DIV/0!</v>
      </c>
      <c r="APW33" s="593">
        <f>'Proy 2022 vs 2019 sem'!GW32*APZ$4</f>
        <v>0</v>
      </c>
      <c r="APX33" s="593">
        <f>'Proy 2022 vs 2019 sem'!GX32*APZ$4</f>
        <v>0</v>
      </c>
      <c r="APY33" s="735"/>
      <c r="APZ33" s="700" t="e">
        <f>APY33/APW33</f>
        <v>#DIV/0!</v>
      </c>
      <c r="AQA33" s="579">
        <f>AOY33+APC33+APG33+APK33+APO33+APS33+APW33</f>
        <v>0</v>
      </c>
      <c r="AQB33" s="574">
        <f>AOZ33+APD33+APH33+APL33+APP33+APT33+APX33</f>
        <v>0</v>
      </c>
      <c r="AQC33" s="729">
        <f>APA33+APE33+API33+APM33+APQ33+APU33+APY33</f>
        <v>0</v>
      </c>
      <c r="AQD33" s="711" t="e">
        <f>AQC33/AQA33</f>
        <v>#DIV/0!</v>
      </c>
      <c r="AQE33" s="593">
        <f>'Proy 2022 vs 2019 sem'!HB32*AQH$4</f>
        <v>0</v>
      </c>
      <c r="AQF33" s="593">
        <f>'Proy 2022 vs 2019 sem'!HC32*AQH$4</f>
        <v>0</v>
      </c>
      <c r="AQG33" s="699"/>
      <c r="AQH33" s="700" t="e">
        <f>AQG33/AQE33</f>
        <v>#DIV/0!</v>
      </c>
      <c r="AQI33" s="593">
        <f>'Proy 2022 vs 2019 sem'!HB32*AQL$4</f>
        <v>0</v>
      </c>
      <c r="AQJ33" s="593">
        <f>'Proy 2022 vs 2019 sem'!HC32*AQL$4</f>
        <v>0</v>
      </c>
      <c r="AQK33" s="699"/>
      <c r="AQL33" s="700" t="e">
        <f>AQK33/AQI33</f>
        <v>#DIV/0!</v>
      </c>
      <c r="AQM33" s="593">
        <f>'Proy 2022 vs 2019 sem'!HB32*AQP$4</f>
        <v>0</v>
      </c>
      <c r="AQN33" s="593">
        <f>'Proy 2022 vs 2019 sem'!HC32*AQP$4</f>
        <v>0</v>
      </c>
      <c r="AQO33" s="699"/>
      <c r="AQP33" s="700" t="e">
        <f>AQO33/AQM33</f>
        <v>#DIV/0!</v>
      </c>
      <c r="AQQ33" s="593">
        <f>'Proy 2022 vs 2019 sem'!HB32*AQT$4</f>
        <v>0</v>
      </c>
      <c r="AQR33" s="593">
        <f>'Proy 2022 vs 2019 sem'!HC32*AQT$4</f>
        <v>0</v>
      </c>
      <c r="AQS33" s="699"/>
      <c r="AQT33" s="700" t="e">
        <f>AQS33/AQQ33</f>
        <v>#DIV/0!</v>
      </c>
      <c r="AQU33" s="593">
        <f>'Proy 2022 vs 2019 sem'!HB32*AQX$4</f>
        <v>0</v>
      </c>
      <c r="AQV33" s="593">
        <f>'Proy 2022 vs 2019 sem'!HC32*AQX$4</f>
        <v>0</v>
      </c>
      <c r="AQW33" s="699"/>
      <c r="AQX33" s="700" t="e">
        <f>AQW33/AQU33</f>
        <v>#DIV/0!</v>
      </c>
      <c r="AQY33" s="593">
        <f>'Proy 2022 vs 2019 sem'!HB32*ARB$4</f>
        <v>0</v>
      </c>
      <c r="AQZ33" s="593">
        <f>'Proy 2022 vs 2019 sem'!HC32*ARB$4</f>
        <v>0</v>
      </c>
      <c r="ARA33" s="699"/>
      <c r="ARB33" s="700" t="e">
        <f>ARA33/AQY33</f>
        <v>#DIV/0!</v>
      </c>
      <c r="ARC33" s="593">
        <f>'Proy 2022 vs 2019 sem'!HB32*ARF$4</f>
        <v>0</v>
      </c>
      <c r="ARD33" s="593">
        <f>'Proy 2022 vs 2019 sem'!HC32*ARF$4</f>
        <v>0</v>
      </c>
      <c r="ARE33" s="699"/>
      <c r="ARF33" s="700" t="e">
        <f>ARE33/ARC33</f>
        <v>#DIV/0!</v>
      </c>
      <c r="ARG33" s="579">
        <f>AQE33+AQI33+AQM33+AQQ33+AQU33+AQY33+ARC33</f>
        <v>0</v>
      </c>
      <c r="ARH33" s="574">
        <f>AQF33+AQJ33+AQN33+AQR33+AQV33+AQZ33+ARD33</f>
        <v>0</v>
      </c>
      <c r="ARI33" s="730">
        <f>AQG33+AQK33+AQO33+AQS33+AQW33+ARA33+ARE33</f>
        <v>0</v>
      </c>
      <c r="ARJ33" s="711" t="e">
        <f>ARI33/ARG33</f>
        <v>#DIV/0!</v>
      </c>
      <c r="ARK33" s="593">
        <f>'Proy 2022 vs 2019 sem'!HG32*ARN$4</f>
        <v>0</v>
      </c>
      <c r="ARL33" s="593">
        <f>'Proy 2022 vs 2019 sem'!HH32*ARN$4</f>
        <v>0</v>
      </c>
      <c r="ARM33" s="699"/>
      <c r="ARN33" s="700" t="e">
        <f>ARM33/ARK33</f>
        <v>#DIV/0!</v>
      </c>
      <c r="ARO33" s="593">
        <f>'Proy 2022 vs 2019 sem'!HG32*ARR$4</f>
        <v>0</v>
      </c>
      <c r="ARP33" s="593">
        <f>'Proy 2022 vs 2019 sem'!HH32*ARR$4</f>
        <v>0</v>
      </c>
      <c r="ARQ33" s="699"/>
      <c r="ARR33" s="700" t="e">
        <f>ARQ33/ARO33</f>
        <v>#DIV/0!</v>
      </c>
      <c r="ARS33" s="593">
        <f>'Proy 2022 vs 2019 sem'!HG32*ARV$4</f>
        <v>0</v>
      </c>
      <c r="ART33" s="593">
        <f>'Proy 2022 vs 2019 sem'!HH32*ARV$4</f>
        <v>0</v>
      </c>
      <c r="ARU33" s="699"/>
      <c r="ARV33" s="700" t="e">
        <f>ARU33/ARS33</f>
        <v>#DIV/0!</v>
      </c>
      <c r="ARW33" s="593">
        <f>'Proy 2022 vs 2019 sem'!HG32*ARZ$4</f>
        <v>0</v>
      </c>
      <c r="ARX33" s="593">
        <f>'Proy 2022 vs 2019 sem'!HH32*ARZ$4</f>
        <v>0</v>
      </c>
      <c r="ARY33" s="699"/>
      <c r="ARZ33" s="700" t="e">
        <f>ARY33/ARW33</f>
        <v>#DIV/0!</v>
      </c>
      <c r="ASA33" s="593">
        <f>'Proy 2022 vs 2019 sem'!HG32*ASD$4</f>
        <v>0</v>
      </c>
      <c r="ASB33" s="593">
        <f>'Proy 2022 vs 2019 sem'!HH32*ASD$4</f>
        <v>0</v>
      </c>
      <c r="ASC33" s="699"/>
      <c r="ASD33" s="700" t="e">
        <f>ASC33/ASA33</f>
        <v>#DIV/0!</v>
      </c>
      <c r="ASE33" s="593">
        <f>'Proy 2022 vs 2019 sem'!HG32*ASH$4</f>
        <v>0</v>
      </c>
      <c r="ASF33" s="593">
        <f>'Proy 2022 vs 2019 sem'!HH32*ASH$4</f>
        <v>0</v>
      </c>
      <c r="ASG33" s="699"/>
      <c r="ASH33" s="700" t="e">
        <f>ASG33/ASE33</f>
        <v>#DIV/0!</v>
      </c>
      <c r="ASI33" s="593">
        <f>'Proy 2022 vs 2019 sem'!HG32*ASL$4</f>
        <v>0</v>
      </c>
      <c r="ASJ33" s="593">
        <f>'Proy 2022 vs 2019 sem'!HH32*ASL$4</f>
        <v>0</v>
      </c>
      <c r="ASK33" s="699"/>
      <c r="ASL33" s="700" t="e">
        <f>ASK33/ASI33</f>
        <v>#DIV/0!</v>
      </c>
      <c r="ASM33" s="579">
        <f>ARK33+ARO33+ARS33+ARW33+ASA33+ASE33+ASI33</f>
        <v>0</v>
      </c>
      <c r="ASN33" s="574">
        <f>ARL33+ARP33+ART33+ARX33+ASB33+ASF33+ASJ33</f>
        <v>0</v>
      </c>
      <c r="ASO33" s="730">
        <f>ARM33+ARQ33+ARU33+ARY33+ASC33+ASG33+ASK33</f>
        <v>0</v>
      </c>
      <c r="ASP33" s="711" t="e">
        <f>ASO33/ASM33</f>
        <v>#DIV/0!</v>
      </c>
      <c r="ASQ33" s="593">
        <f>'Proy 2022 vs 2019 sem'!HL32*AST$4</f>
        <v>0</v>
      </c>
      <c r="ASR33" s="593">
        <f>'Proy 2022 vs 2019 sem'!HM32*AST$4</f>
        <v>0</v>
      </c>
      <c r="ASS33" s="699"/>
      <c r="AST33" s="700" t="e">
        <f>ASS33/ASQ33</f>
        <v>#DIV/0!</v>
      </c>
      <c r="ASU33" s="593">
        <f>'Proy 2022 vs 2019 sem'!HL32*ASX$4</f>
        <v>0</v>
      </c>
      <c r="ASV33" s="593">
        <f>'Proy 2022 vs 2019 sem'!HM32*ASX$4</f>
        <v>0</v>
      </c>
      <c r="ASW33" s="699"/>
      <c r="ASX33" s="700" t="e">
        <f>ASW33/ASU33</f>
        <v>#DIV/0!</v>
      </c>
      <c r="ASY33" s="593">
        <f>'Proy 2022 vs 2019 sem'!HL32*ATB$4</f>
        <v>0</v>
      </c>
      <c r="ASZ33" s="593">
        <f>'Proy 2022 vs 2019 sem'!HM32*ATB$4</f>
        <v>0</v>
      </c>
      <c r="ATA33" s="699"/>
      <c r="ATB33" s="700" t="e">
        <f>ATA33/ASY33</f>
        <v>#DIV/0!</v>
      </c>
      <c r="ATC33" s="593">
        <f>'Proy 2022 vs 2019 sem'!HL32*ATF$4</f>
        <v>0</v>
      </c>
      <c r="ATD33" s="593">
        <f>'Proy 2022 vs 2019 sem'!HM32*ATF$4</f>
        <v>0</v>
      </c>
      <c r="ATE33" s="699"/>
      <c r="ATF33" s="700" t="e">
        <f>ATE33/ATC33</f>
        <v>#DIV/0!</v>
      </c>
      <c r="ATG33" s="593">
        <f>'Proy 2022 vs 2019 sem'!HL32*ATJ$4</f>
        <v>0</v>
      </c>
      <c r="ATH33" s="593">
        <f>'Proy 2022 vs 2019 sem'!HM32*ATJ$4</f>
        <v>0</v>
      </c>
      <c r="ATI33" s="699"/>
      <c r="ATJ33" s="700" t="e">
        <f>ATI33/ATG33</f>
        <v>#DIV/0!</v>
      </c>
      <c r="ATK33" s="593">
        <f>'Proy 2022 vs 2019 sem'!HL32*ATN$4</f>
        <v>0</v>
      </c>
      <c r="ATL33" s="593">
        <f>'Proy 2022 vs 2019 sem'!HM32*ATN$4</f>
        <v>0</v>
      </c>
      <c r="ATM33" s="699"/>
      <c r="ATN33" s="700" t="e">
        <f>ATM33/ATK33</f>
        <v>#DIV/0!</v>
      </c>
      <c r="ATO33" s="593">
        <f>'Proy 2022 vs 2019 sem'!HL32*ATR$4</f>
        <v>0</v>
      </c>
      <c r="ATP33" s="593">
        <f>'Proy 2022 vs 2019 sem'!HM32*ATR$4</f>
        <v>0</v>
      </c>
      <c r="ATQ33" s="699"/>
      <c r="ATR33" s="700" t="e">
        <f>ATQ33/ATO33</f>
        <v>#DIV/0!</v>
      </c>
      <c r="ATS33" s="579">
        <f>ASQ33+ASU33+ASY33+ATC33+ATG33+ATK33+ATO33</f>
        <v>0</v>
      </c>
      <c r="ATT33" s="574">
        <f>ASR33+ASV33+ASZ33+ATD33+ATH33+ATL33+ATP33</f>
        <v>0</v>
      </c>
      <c r="ATU33" s="710">
        <f>ASS33+ASW33+ATA33+ATE33+ATI33+ATM33+ATQ33</f>
        <v>0</v>
      </c>
      <c r="ATV33" s="711" t="e">
        <f>ATU33/ATS33</f>
        <v>#DIV/0!</v>
      </c>
      <c r="ATW33" s="593">
        <f>'Proy 2022 vs 2019 sem'!HQ32*ATZ$4</f>
        <v>0</v>
      </c>
      <c r="ATX33" s="593">
        <f>'Proy 2022 vs 2019 sem'!HR32*ATZ$4</f>
        <v>0</v>
      </c>
      <c r="ATY33" s="699"/>
      <c r="ATZ33" s="700" t="e">
        <f>ATY33/ATW33</f>
        <v>#DIV/0!</v>
      </c>
      <c r="AUA33" s="593">
        <f>'Proy 2022 vs 2019 sem'!HQ32*AUD$4</f>
        <v>0</v>
      </c>
      <c r="AUB33" s="593">
        <f>'Proy 2022 vs 2019 sem'!HR32*AUD$4</f>
        <v>0</v>
      </c>
      <c r="AUC33" s="699"/>
      <c r="AUD33" s="700" t="e">
        <f>AUC33/AUA33</f>
        <v>#DIV/0!</v>
      </c>
      <c r="AUE33" s="593">
        <f>'Proy 2022 vs 2019 sem'!HQ32*AUH$4</f>
        <v>0</v>
      </c>
      <c r="AUF33" s="593">
        <f>'Proy 2022 vs 2019 sem'!HR32*AUH$4</f>
        <v>0</v>
      </c>
      <c r="AUG33" s="699"/>
      <c r="AUH33" s="700" t="e">
        <f>AUG33/AUE33</f>
        <v>#DIV/0!</v>
      </c>
      <c r="AUI33" s="593">
        <f>'Proy 2022 vs 2019 sem'!HQ32*AUL$4</f>
        <v>0</v>
      </c>
      <c r="AUJ33" s="593">
        <f>'Proy 2022 vs 2019 sem'!HR32*AUL$4</f>
        <v>0</v>
      </c>
      <c r="AUK33" s="699"/>
      <c r="AUL33" s="700" t="e">
        <f>AUK33/AUI33</f>
        <v>#DIV/0!</v>
      </c>
      <c r="AUM33" s="593">
        <f>'Proy 2022 vs 2019 sem'!HQ32*AUP$4</f>
        <v>0</v>
      </c>
      <c r="AUN33" s="593">
        <f>'Proy 2022 vs 2019 sem'!HR32*AUP$4</f>
        <v>0</v>
      </c>
      <c r="AUO33" s="699"/>
      <c r="AUP33" s="700" t="e">
        <f>AUO33/AUM33</f>
        <v>#DIV/0!</v>
      </c>
      <c r="AUQ33" s="593">
        <f>'Proy 2022 vs 2019 sem'!HQ32*AUT$4</f>
        <v>0</v>
      </c>
      <c r="AUR33" s="593">
        <f>'Proy 2022 vs 2019 sem'!HR32*AUT$4</f>
        <v>0</v>
      </c>
      <c r="AUS33" s="699"/>
      <c r="AUT33" s="700" t="e">
        <f>AUS33/AUQ33</f>
        <v>#DIV/0!</v>
      </c>
      <c r="AUU33" s="593">
        <f>'Proy 2022 vs 2019 sem'!HQ32*AUX$4</f>
        <v>0</v>
      </c>
      <c r="AUV33" s="593">
        <f>'Proy 2022 vs 2019 sem'!HR32*AUX$4</f>
        <v>0</v>
      </c>
      <c r="AUW33" s="699"/>
      <c r="AUX33" s="700" t="e">
        <f>AUW33/AUU33</f>
        <v>#DIV/0!</v>
      </c>
      <c r="AUY33" s="579">
        <f>ATW33+AUA33+AUE33+AUI33+AUM33+AUQ33+AUU33</f>
        <v>0</v>
      </c>
      <c r="AUZ33" s="574">
        <f>ATX33+AUB33+AUF33+AUJ33+AUN33+AUR33+AUV33</f>
        <v>0</v>
      </c>
      <c r="AVA33" s="710">
        <f>ATY33+AUC33+AUG33+AUK33+AUO33+AUS33+AUW33</f>
        <v>0</v>
      </c>
      <c r="AVB33" s="711" t="e">
        <f>AVA33/AUY33</f>
        <v>#DIV/0!</v>
      </c>
      <c r="AVC33" s="593">
        <f>'Proy 2022 vs 2019 sem'!HZ32*AVF$4</f>
        <v>0</v>
      </c>
      <c r="AVD33" s="593">
        <f>'Proy 2022 vs 2019 sem'!IA32*AVF$4</f>
        <v>0</v>
      </c>
      <c r="AVE33" s="735"/>
      <c r="AVF33" s="700" t="e">
        <f>AVE33/AVC33</f>
        <v>#DIV/0!</v>
      </c>
      <c r="AVG33" s="593">
        <f>'Proy 2022 vs 2019 sem'!HZ32*AVJ$4</f>
        <v>0</v>
      </c>
      <c r="AVH33" s="593">
        <f>'Proy 2022 vs 2019 sem'!IA32*AVJ$4</f>
        <v>0</v>
      </c>
      <c r="AVI33" s="699"/>
      <c r="AVJ33" s="700" t="e">
        <f>AVI33/AVG33</f>
        <v>#DIV/0!</v>
      </c>
      <c r="AVK33" s="593">
        <f>'Proy 2022 vs 2019 sem'!HZ32*AVN$4</f>
        <v>0</v>
      </c>
      <c r="AVL33" s="593">
        <f>'Proy 2022 vs 2019 sem'!IA32*AVN$4</f>
        <v>0</v>
      </c>
      <c r="AVM33" s="699"/>
      <c r="AVN33" s="700" t="e">
        <f>AVM33/AVK33</f>
        <v>#DIV/0!</v>
      </c>
      <c r="AVO33" s="593">
        <f>'Proy 2022 vs 2019 sem'!HZ32*AVR$4</f>
        <v>0</v>
      </c>
      <c r="AVP33" s="593">
        <f>'Proy 2022 vs 2019 sem'!IA32*AVR$4</f>
        <v>0</v>
      </c>
      <c r="AVQ33" s="699"/>
      <c r="AVR33" s="700" t="e">
        <f>AVQ33/AVO33</f>
        <v>#DIV/0!</v>
      </c>
      <c r="AVS33" s="593">
        <f>'Proy 2022 vs 2019 sem'!HZ32*AVV$4</f>
        <v>0</v>
      </c>
      <c r="AVT33" s="593">
        <f>'Proy 2022 vs 2019 sem'!IA32*AVV$4</f>
        <v>0</v>
      </c>
      <c r="AVU33" s="699"/>
      <c r="AVV33" s="700" t="e">
        <f>AVU33/AVS33</f>
        <v>#DIV/0!</v>
      </c>
      <c r="AVW33" s="593">
        <f>'Proy 2022 vs 2019 sem'!HZ32*AVZ$4</f>
        <v>0</v>
      </c>
      <c r="AVX33" s="593">
        <f>'Proy 2022 vs 2019 sem'!IA32*AVZ$4</f>
        <v>0</v>
      </c>
      <c r="AVY33" s="699"/>
      <c r="AVZ33" s="700" t="e">
        <f>AVY33/AVW33</f>
        <v>#DIV/0!</v>
      </c>
      <c r="AWA33" s="593">
        <f>'Proy 2022 vs 2019 sem'!HZ32*AWD$4</f>
        <v>0</v>
      </c>
      <c r="AWB33" s="593">
        <f>'Proy 2022 vs 2019 sem'!IA32*AWD$4</f>
        <v>0</v>
      </c>
      <c r="AWC33" s="699"/>
      <c r="AWD33" s="700" t="e">
        <f>AWC33/AWA33</f>
        <v>#DIV/0!</v>
      </c>
      <c r="AWE33" s="579">
        <f>AVC33+AVG33+AVK33+AVO33+AVS33+AVW33+AWA33</f>
        <v>0</v>
      </c>
      <c r="AWF33" s="574">
        <f>AVD33+AVH33+AVL33+AVP33+AVT33+AVX33+AWB33</f>
        <v>0</v>
      </c>
      <c r="AWG33" s="793">
        <f>AVE33+AVI33+AVM33+AVQ33+AVU33+AVY33+AWC33</f>
        <v>0</v>
      </c>
      <c r="AWH33" s="786" t="e">
        <f>AWG33/AWE33</f>
        <v>#DIV/0!</v>
      </c>
      <c r="AWI33" s="593">
        <f>'Proy 2022 vs 2019 sem'!IE32*AWL$4</f>
        <v>0</v>
      </c>
      <c r="AWJ33" s="593">
        <f>'Proy 2022 vs 2019 sem'!IF32*AWL$4</f>
        <v>0</v>
      </c>
      <c r="AWK33" s="699"/>
      <c r="AWL33" s="700" t="e">
        <f>AWK33/AWI33</f>
        <v>#DIV/0!</v>
      </c>
      <c r="AWM33" s="593">
        <f>'Proy 2022 vs 2019 sem'!IE32*AWP$4</f>
        <v>0</v>
      </c>
      <c r="AWN33" s="593">
        <f>'Proy 2022 vs 2019 sem'!IF32*AWP$4</f>
        <v>0</v>
      </c>
      <c r="AWO33" s="699"/>
      <c r="AWP33" s="700" t="e">
        <f>AWO33/AWM33</f>
        <v>#DIV/0!</v>
      </c>
      <c r="AWQ33" s="593">
        <f>'Proy 2022 vs 2019 sem'!IE32*AWT$4</f>
        <v>0</v>
      </c>
      <c r="AWR33" s="593">
        <f>'Proy 2022 vs 2019 sem'!IF32*AWT$4</f>
        <v>0</v>
      </c>
      <c r="AWS33" s="699"/>
      <c r="AWT33" s="700" t="e">
        <f>AWS33/AWQ33</f>
        <v>#DIV/0!</v>
      </c>
      <c r="AWU33" s="593">
        <f>'Proy 2022 vs 2019 sem'!IE32*AWX$4</f>
        <v>0</v>
      </c>
      <c r="AWV33" s="593">
        <f>'Proy 2022 vs 2019 sem'!IF32*AWX$4</f>
        <v>0</v>
      </c>
      <c r="AWW33" s="699"/>
      <c r="AWX33" s="700" t="e">
        <f>AWW33/AWU33</f>
        <v>#DIV/0!</v>
      </c>
      <c r="AWY33" s="593">
        <f>'Proy 2022 vs 2019 sem'!IE32*AXB$4</f>
        <v>0</v>
      </c>
      <c r="AWZ33" s="593">
        <f>'Proy 2022 vs 2019 sem'!IF32*AXB$4</f>
        <v>0</v>
      </c>
      <c r="AXA33" s="699"/>
      <c r="AXB33" s="700" t="e">
        <f>AXA33/AWY33</f>
        <v>#DIV/0!</v>
      </c>
      <c r="AXC33" s="593">
        <f>'Proy 2022 vs 2019 sem'!IE32*AXF$4</f>
        <v>0</v>
      </c>
      <c r="AXD33" s="593">
        <f>'Proy 2022 vs 2019 sem'!IF32*AXF$4</f>
        <v>0</v>
      </c>
      <c r="AXE33" s="699"/>
      <c r="AXF33" s="700" t="e">
        <f>AXE33/AXC33</f>
        <v>#DIV/0!</v>
      </c>
      <c r="AXG33" s="593">
        <f>'Proy 2022 vs 2019 sem'!IE32*AXJ$4</f>
        <v>0</v>
      </c>
      <c r="AXH33" s="593">
        <f>'Proy 2022 vs 2019 sem'!IF32*AXJ$4</f>
        <v>0</v>
      </c>
      <c r="AXI33" s="699"/>
      <c r="AXJ33" s="700" t="e">
        <f>AXI33/AXG33</f>
        <v>#DIV/0!</v>
      </c>
      <c r="AXK33" s="579">
        <f>AWI33+AWM33+AWQ33+AWU33+AWY33+AXC33+AXG33</f>
        <v>0</v>
      </c>
      <c r="AXL33" s="574">
        <f>AWJ33+AWN33+AWR33+AWV33+AWZ33+AXD33+AXH33</f>
        <v>0</v>
      </c>
      <c r="AXM33" s="794">
        <f>AWK33+AWO33+AWS33+AWW33+AXA33+AXE33+AXI33</f>
        <v>0</v>
      </c>
      <c r="AXN33" s="786" t="e">
        <f>AXM33/AXK33</f>
        <v>#DIV/0!</v>
      </c>
      <c r="AXO33" s="593">
        <f>'Proy 2022 vs 2019 sem'!IJ32*AXR$4</f>
        <v>0</v>
      </c>
      <c r="AXP33" s="593">
        <f>'Proy 2022 vs 2019 sem'!IK32*AXR$4</f>
        <v>0</v>
      </c>
      <c r="AXQ33" s="699"/>
      <c r="AXR33" s="700" t="e">
        <f>AXQ33/AXO33</f>
        <v>#DIV/0!</v>
      </c>
      <c r="AXS33" s="593">
        <f>'Proy 2022 vs 2019 sem'!IJ32*AXV$4</f>
        <v>0</v>
      </c>
      <c r="AXT33" s="593">
        <f>'Proy 2022 vs 2019 sem'!IK32*AXV$4</f>
        <v>0</v>
      </c>
      <c r="AXU33" s="699"/>
      <c r="AXV33" s="700" t="e">
        <f>AXU33/AXS33</f>
        <v>#DIV/0!</v>
      </c>
      <c r="AXW33" s="593">
        <f>'Proy 2022 vs 2019 sem'!IJ32*AXZ$4</f>
        <v>0</v>
      </c>
      <c r="AXX33" s="593">
        <f>'Proy 2022 vs 2019 sem'!IK32*AXZ$4</f>
        <v>0</v>
      </c>
      <c r="AXY33" s="699"/>
      <c r="AXZ33" s="700" t="e">
        <f>AXY33/AXW33</f>
        <v>#DIV/0!</v>
      </c>
      <c r="AYA33" s="593">
        <f>'Proy 2022 vs 2019 sem'!IJ32*AYD$4</f>
        <v>0</v>
      </c>
      <c r="AYB33" s="593">
        <f>'Proy 2022 vs 2019 sem'!IK32*AYD$4</f>
        <v>0</v>
      </c>
      <c r="AYC33" s="699"/>
      <c r="AYD33" s="700" t="e">
        <f>AYC33/AYA33</f>
        <v>#DIV/0!</v>
      </c>
      <c r="AYE33" s="593">
        <f>'Proy 2022 vs 2019 sem'!IJ32*AYH$4</f>
        <v>0</v>
      </c>
      <c r="AYF33" s="593">
        <f>'Proy 2022 vs 2019 sem'!IK32*AYH$4</f>
        <v>0</v>
      </c>
      <c r="AYG33" s="699"/>
      <c r="AYH33" s="700" t="e">
        <f>AYG33/AYE33</f>
        <v>#DIV/0!</v>
      </c>
      <c r="AYI33" s="593">
        <f>'Proy 2022 vs 2019 sem'!IJ32*AYL$4</f>
        <v>0</v>
      </c>
      <c r="AYJ33" s="593">
        <f>'Proy 2022 vs 2019 sem'!IK32*AYL$4</f>
        <v>0</v>
      </c>
      <c r="AYK33" s="699"/>
      <c r="AYL33" s="700" t="e">
        <f>AYK33/AYI33</f>
        <v>#DIV/0!</v>
      </c>
      <c r="AYM33" s="593">
        <f>'Proy 2022 vs 2019 sem'!IJ32*AYP$4</f>
        <v>0</v>
      </c>
      <c r="AYN33" s="593">
        <f>'Proy 2022 vs 2019 sem'!IK32*AYP$4</f>
        <v>0</v>
      </c>
      <c r="AYO33" s="699"/>
      <c r="AYP33" s="700" t="e">
        <f>AYO33/AYM33</f>
        <v>#DIV/0!</v>
      </c>
      <c r="AYQ33" s="579">
        <f>AXO33+AXS33+AXW33+AYA33+AYE33+AYI33+AYM33</f>
        <v>0</v>
      </c>
      <c r="AYR33" s="574">
        <f>AXP33+AXT33+AXX33+AYB33+AYF33+AYJ33+AYN33</f>
        <v>0</v>
      </c>
      <c r="AYS33" s="794">
        <f>AXQ33+AXU33+AXY33+AYC33+AYG33+AYK33+AYO33</f>
        <v>0</v>
      </c>
      <c r="AYT33" s="786" t="e">
        <f>AYS33/AYQ33</f>
        <v>#DIV/0!</v>
      </c>
      <c r="AYU33" s="593">
        <f>'Proy 2022 vs 2019 sem'!IO32*AYX$4</f>
        <v>0</v>
      </c>
      <c r="AYV33" s="593">
        <f>'Proy 2022 vs 2019 sem'!IP32*AYX$4</f>
        <v>0</v>
      </c>
      <c r="AYW33" s="699"/>
      <c r="AYX33" s="700" t="e">
        <f>AYW33/AYU33</f>
        <v>#DIV/0!</v>
      </c>
      <c r="AYY33" s="593">
        <f>'Proy 2022 vs 2019 sem'!IO32*AZB$4</f>
        <v>0</v>
      </c>
      <c r="AYZ33" s="593">
        <f>'Proy 2022 vs 2019 sem'!IP32*AZB$4</f>
        <v>0</v>
      </c>
      <c r="AZA33" s="699"/>
      <c r="AZB33" s="700" t="e">
        <f>AZA33/AYY33</f>
        <v>#DIV/0!</v>
      </c>
      <c r="AZC33" s="593">
        <f>'Proy 2022 vs 2019 sem'!IO32*AZF$4</f>
        <v>0</v>
      </c>
      <c r="AZD33" s="593">
        <f>'Proy 2022 vs 2019 sem'!IP32*AZF$4</f>
        <v>0</v>
      </c>
      <c r="AZE33" s="699"/>
      <c r="AZF33" s="700" t="e">
        <f>AZE33/AZC33</f>
        <v>#DIV/0!</v>
      </c>
      <c r="AZG33" s="593">
        <f>'Proy 2022 vs 2019 sem'!IO32*AZJ$4</f>
        <v>0</v>
      </c>
      <c r="AZH33" s="593">
        <f>'Proy 2022 vs 2019 sem'!IP32*AZJ$4</f>
        <v>0</v>
      </c>
      <c r="AZI33" s="699"/>
      <c r="AZJ33" s="700" t="e">
        <f>AZI33/AZG33</f>
        <v>#DIV/0!</v>
      </c>
      <c r="AZK33" s="593">
        <f>'Proy 2022 vs 2019 sem'!IO32*AZN$4</f>
        <v>0</v>
      </c>
      <c r="AZL33" s="593">
        <f>'Proy 2022 vs 2019 sem'!IP32*AZN$4</f>
        <v>0</v>
      </c>
      <c r="AZM33" s="699"/>
      <c r="AZN33" s="700" t="e">
        <f>AZM33/AZK33</f>
        <v>#DIV/0!</v>
      </c>
      <c r="AZO33" s="593">
        <f>'Proy 2022 vs 2019 sem'!IO32*AZR$4</f>
        <v>0</v>
      </c>
      <c r="AZP33" s="593">
        <f>'Proy 2022 vs 2019 sem'!IP32*AZR$4</f>
        <v>0</v>
      </c>
      <c r="AZQ33" s="699"/>
      <c r="AZR33" s="700" t="e">
        <f>AZQ33/AZO33</f>
        <v>#DIV/0!</v>
      </c>
      <c r="AZS33" s="593">
        <f>'Proy 2022 vs 2019 sem'!IO32*AZV$4</f>
        <v>0</v>
      </c>
      <c r="AZT33" s="593">
        <f>'Proy 2022 vs 2019 sem'!IP32*AZV$4</f>
        <v>0</v>
      </c>
      <c r="AZU33" s="699"/>
      <c r="AZV33" s="700" t="e">
        <f>AZU33/AZS33</f>
        <v>#DIV/0!</v>
      </c>
      <c r="AZW33" s="579">
        <f>AYU33+AYY33+AZC33+AZG33+AZK33+AZO33+AZS33</f>
        <v>0</v>
      </c>
      <c r="AZX33" s="574">
        <f>AYV33+AYZ33+AZD33+AZH33+AZL33+AZP33+AZT33</f>
        <v>0</v>
      </c>
      <c r="AZY33" s="785">
        <f>AYW33+AZA33+AZE33+AZI33+AZM33+AZQ33+AZU33</f>
        <v>0</v>
      </c>
      <c r="AZZ33" s="786" t="e">
        <f>AZY33/AZW33</f>
        <v>#DIV/0!</v>
      </c>
      <c r="BAA33" s="593">
        <f>'Proy 2022 vs 2019 sem'!IX32*BAD$4</f>
        <v>0</v>
      </c>
      <c r="BAB33" s="593">
        <f>'Proy 2022 vs 2019 sem'!IY32*BAD$4</f>
        <v>0</v>
      </c>
      <c r="BAC33" s="735"/>
      <c r="BAD33" s="700" t="e">
        <f>BAC33/BAA33</f>
        <v>#DIV/0!</v>
      </c>
      <c r="BAE33" s="593">
        <f>'Proy 2022 vs 2019 sem'!IX32*BAH$4</f>
        <v>0</v>
      </c>
      <c r="BAF33" s="593">
        <f>'Proy 2022 vs 2019 sem'!IY32*BAH$4</f>
        <v>0</v>
      </c>
      <c r="BAG33" s="699"/>
      <c r="BAH33" s="700" t="e">
        <f>BAG33/BAE33</f>
        <v>#DIV/0!</v>
      </c>
      <c r="BAI33" s="593">
        <f>'Proy 2022 vs 2019 sem'!IX32*BAL$4</f>
        <v>0</v>
      </c>
      <c r="BAJ33" s="593">
        <f>'Proy 2022 vs 2019 sem'!IY32*BAL$4</f>
        <v>0</v>
      </c>
      <c r="BAK33" s="699"/>
      <c r="BAL33" s="700" t="e">
        <f>BAK33/BAI33</f>
        <v>#DIV/0!</v>
      </c>
      <c r="BAM33" s="593">
        <f>'Proy 2022 vs 2019 sem'!IX32*BAP$4</f>
        <v>0</v>
      </c>
      <c r="BAN33" s="593">
        <f>'Proy 2022 vs 2019 sem'!IY32*BAP$4</f>
        <v>0</v>
      </c>
      <c r="BAO33" s="699"/>
      <c r="BAP33" s="700" t="e">
        <f>BAO33/BAM33</f>
        <v>#DIV/0!</v>
      </c>
      <c r="BAQ33" s="593">
        <f>'Proy 2022 vs 2019 sem'!IX32*BAT$4</f>
        <v>0</v>
      </c>
      <c r="BAR33" s="593">
        <f>'Proy 2022 vs 2019 sem'!IY32*BAT$4</f>
        <v>0</v>
      </c>
      <c r="BAS33" s="699"/>
      <c r="BAT33" s="700" t="e">
        <f>BAS33/BAQ33</f>
        <v>#DIV/0!</v>
      </c>
      <c r="BAU33" s="593">
        <f>'Proy 2022 vs 2019 sem'!IX32*BAX$4</f>
        <v>0</v>
      </c>
      <c r="BAV33" s="593">
        <f>'Proy 2022 vs 2019 sem'!IY32*BAX$4</f>
        <v>0</v>
      </c>
      <c r="BAW33" s="699"/>
      <c r="BAX33" s="700" t="e">
        <f>BAW33/BAU33</f>
        <v>#DIV/0!</v>
      </c>
      <c r="BAY33" s="593">
        <f>'Proy 2022 vs 2019 sem'!IX32*BBB$4</f>
        <v>0</v>
      </c>
      <c r="BAZ33" s="593">
        <f>'Proy 2022 vs 2019 sem'!IY32*BBB$4</f>
        <v>0</v>
      </c>
      <c r="BBA33" s="699"/>
      <c r="BBB33" s="700" t="e">
        <f>BBA33/BAY33</f>
        <v>#DIV/0!</v>
      </c>
      <c r="BBC33" s="579">
        <f>BAA33+BAE33+BAI33+BAM33+BAQ33+BAU33+BAY33</f>
        <v>0</v>
      </c>
      <c r="BBD33" s="574">
        <f>BAB33+BAF33+BAJ33+BAN33+BAR33+BAV33+BAZ33</f>
        <v>0</v>
      </c>
      <c r="BBE33" s="759">
        <f>BAC33+BAG33+BAK33+BAO33+BAS33+BAW33+BBA33</f>
        <v>0</v>
      </c>
      <c r="BBF33" s="761" t="e">
        <f>BBE33/BBC33</f>
        <v>#DIV/0!</v>
      </c>
      <c r="BBG33" s="593">
        <f>'Proy 2022 vs 2019 sem'!JC32*BBJ$4</f>
        <v>0</v>
      </c>
      <c r="BBH33" s="593">
        <f>'Proy 2022 vs 2019 sem'!JD32*BBJ$4</f>
        <v>0</v>
      </c>
      <c r="BBI33" s="699"/>
      <c r="BBJ33" s="700" t="e">
        <f>BBI33/BBG33</f>
        <v>#DIV/0!</v>
      </c>
      <c r="BBK33" s="593">
        <f>'Proy 2022 vs 2019 sem'!JC32*BBN$4</f>
        <v>0</v>
      </c>
      <c r="BBL33" s="593">
        <f>'Proy 2022 vs 2019 sem'!JD32*BBN$4</f>
        <v>0</v>
      </c>
      <c r="BBM33" s="699"/>
      <c r="BBN33" s="700" t="e">
        <f>BBM33/BBK33</f>
        <v>#DIV/0!</v>
      </c>
      <c r="BBO33" s="593">
        <f>'Proy 2022 vs 2019 sem'!JC32*BBR$4</f>
        <v>0</v>
      </c>
      <c r="BBP33" s="593">
        <f>'Proy 2022 vs 2019 sem'!JD32*BBR$4</f>
        <v>0</v>
      </c>
      <c r="BBQ33" s="699"/>
      <c r="BBR33" s="700" t="e">
        <f>BBQ33/BBO33</f>
        <v>#DIV/0!</v>
      </c>
      <c r="BBS33" s="593">
        <f>'Proy 2022 vs 2019 sem'!JC32*BBV$4</f>
        <v>0</v>
      </c>
      <c r="BBT33" s="593">
        <f>'Proy 2022 vs 2019 sem'!JD32*BBV$4</f>
        <v>0</v>
      </c>
      <c r="BBU33" s="699"/>
      <c r="BBV33" s="700" t="e">
        <f>BBU33/BBS33</f>
        <v>#DIV/0!</v>
      </c>
      <c r="BBW33" s="593">
        <f>'Proy 2022 vs 2019 sem'!JC32*BBZ$4</f>
        <v>0</v>
      </c>
      <c r="BBX33" s="593">
        <f>'Proy 2022 vs 2019 sem'!JD32*BBZ$4</f>
        <v>0</v>
      </c>
      <c r="BBY33" s="699"/>
      <c r="BBZ33" s="700" t="e">
        <f>BBY33/BBW33</f>
        <v>#DIV/0!</v>
      </c>
      <c r="BCA33" s="593">
        <f>'Proy 2022 vs 2019 sem'!JC32*BCD$4</f>
        <v>0</v>
      </c>
      <c r="BCB33" s="593">
        <f>'Proy 2022 vs 2019 sem'!JD32*BCD$4</f>
        <v>0</v>
      </c>
      <c r="BCC33" s="699"/>
      <c r="BCD33" s="700" t="e">
        <f>BCC33/BCA33</f>
        <v>#DIV/0!</v>
      </c>
      <c r="BCE33" s="593">
        <f>'Proy 2022 vs 2019 sem'!JC32*BCH$4</f>
        <v>0</v>
      </c>
      <c r="BCF33" s="593">
        <f>'Proy 2022 vs 2019 sem'!JD32*BCH$4</f>
        <v>0</v>
      </c>
      <c r="BCG33" s="699"/>
      <c r="BCH33" s="700" t="e">
        <f>BCG33/BCE33</f>
        <v>#DIV/0!</v>
      </c>
      <c r="BCI33" s="579">
        <f>BBG33+BBK33+BBO33+BBS33+BBW33+BCA33+BCE33</f>
        <v>0</v>
      </c>
      <c r="BCJ33" s="574">
        <f>BBH33+BBL33+BBP33+BBT33+BBX33+BCB33+BCF33</f>
        <v>0</v>
      </c>
      <c r="BCK33" s="765">
        <f>BBI33+BBM33+BBQ33+BBU33+BBY33+BCC33+BCG33</f>
        <v>0</v>
      </c>
      <c r="BCL33" s="761" t="e">
        <f>BCK33/BCI33</f>
        <v>#DIV/0!</v>
      </c>
      <c r="BCM33" s="593">
        <f>'Proy 2022 vs 2019 sem'!JH32*BCP$4</f>
        <v>0</v>
      </c>
      <c r="BCN33" s="593">
        <f>'Proy 2022 vs 2019 sem'!JI32*BCP$4</f>
        <v>0</v>
      </c>
      <c r="BCO33" s="699"/>
      <c r="BCP33" s="700" t="e">
        <f>BCO33/BCM33</f>
        <v>#DIV/0!</v>
      </c>
      <c r="BCQ33" s="593">
        <f>'Proy 2022 vs 2019 sem'!JH32*BCT$4</f>
        <v>0</v>
      </c>
      <c r="BCR33" s="593">
        <f>'Proy 2022 vs 2019 sem'!JI32*BCT$4</f>
        <v>0</v>
      </c>
      <c r="BCS33" s="699"/>
      <c r="BCT33" s="700" t="e">
        <f>BCS33/BCQ33</f>
        <v>#DIV/0!</v>
      </c>
      <c r="BCU33" s="593">
        <f>'Proy 2022 vs 2019 sem'!JH32*BCX$4</f>
        <v>0</v>
      </c>
      <c r="BCV33" s="593">
        <f>'Proy 2022 vs 2019 sem'!JI32*BCX$4</f>
        <v>0</v>
      </c>
      <c r="BCW33" s="699"/>
      <c r="BCX33" s="700" t="e">
        <f>BCW33/BCU33</f>
        <v>#DIV/0!</v>
      </c>
      <c r="BCY33" s="593">
        <f>'Proy 2022 vs 2019 sem'!JH32*BDB$4</f>
        <v>0</v>
      </c>
      <c r="BCZ33" s="593">
        <f>'Proy 2022 vs 2019 sem'!JI32*BDB$4</f>
        <v>0</v>
      </c>
      <c r="BDA33" s="699"/>
      <c r="BDB33" s="700" t="e">
        <f>BDA33/BCY33</f>
        <v>#DIV/0!</v>
      </c>
      <c r="BDC33" s="593">
        <f>'Proy 2022 vs 2019 sem'!JH32*BDF$4</f>
        <v>0</v>
      </c>
      <c r="BDD33" s="593">
        <f>'Proy 2022 vs 2019 sem'!JI32*BDF$4</f>
        <v>0</v>
      </c>
      <c r="BDE33" s="699"/>
      <c r="BDF33" s="700" t="e">
        <f>BDE33/BDC33</f>
        <v>#DIV/0!</v>
      </c>
      <c r="BDG33" s="593">
        <f>'Proy 2022 vs 2019 sem'!JH32*BDJ$4</f>
        <v>0</v>
      </c>
      <c r="BDH33" s="593">
        <f>'Proy 2022 vs 2019 sem'!JI32*BDJ$4</f>
        <v>0</v>
      </c>
      <c r="BDI33" s="699"/>
      <c r="BDJ33" s="700" t="e">
        <f>BDI33/BDG33</f>
        <v>#DIV/0!</v>
      </c>
      <c r="BDK33" s="593">
        <f>'Proy 2022 vs 2019 sem'!JH32*BDN$4</f>
        <v>0</v>
      </c>
      <c r="BDL33" s="593">
        <f>'Proy 2022 vs 2019 sem'!JI32*BDN$4</f>
        <v>0</v>
      </c>
      <c r="BDM33" s="699"/>
      <c r="BDN33" s="700" t="e">
        <f>BDM33/BDK33</f>
        <v>#DIV/0!</v>
      </c>
      <c r="BDO33" s="579">
        <f>BCM33+BCQ33+BCU33+BCY33+BDC33+BDG33+BDK33</f>
        <v>0</v>
      </c>
      <c r="BDP33" s="574">
        <f>BCN33+BCR33+BCV33+BCZ33+BDD33+BDH33+BDL33</f>
        <v>0</v>
      </c>
      <c r="BDQ33" s="765">
        <f>BCO33+BCS33+BCW33+BDA33+BDE33+BDI33+BDM33</f>
        <v>0</v>
      </c>
      <c r="BDR33" s="761" t="e">
        <f>BDQ33/BDO33</f>
        <v>#DIV/0!</v>
      </c>
      <c r="BDS33" s="593">
        <f>'Proy 2022 vs 2019 sem'!JM32*BDV$4</f>
        <v>0</v>
      </c>
      <c r="BDT33" s="593">
        <f>'Proy 2022 vs 2019 sem'!JN32*BDV$4</f>
        <v>0</v>
      </c>
      <c r="BDU33" s="699"/>
      <c r="BDV33" s="700" t="e">
        <f>BDU33/BDS33</f>
        <v>#DIV/0!</v>
      </c>
      <c r="BDW33" s="593">
        <f>'Proy 2022 vs 2019 sem'!JM32*BDZ$4</f>
        <v>0</v>
      </c>
      <c r="BDX33" s="593">
        <f>'Proy 2022 vs 2019 sem'!JN32*BDZ$4</f>
        <v>0</v>
      </c>
      <c r="BDY33" s="699"/>
      <c r="BDZ33" s="700" t="e">
        <f>BDY33/BDW33</f>
        <v>#DIV/0!</v>
      </c>
      <c r="BEA33" s="593">
        <f>'Proy 2022 vs 2019 sem'!JM32*BED$4</f>
        <v>0</v>
      </c>
      <c r="BEB33" s="593">
        <f>'Proy 2022 vs 2019 sem'!JN32*BED$4</f>
        <v>0</v>
      </c>
      <c r="BEC33" s="699"/>
      <c r="BED33" s="700" t="e">
        <f>BEC33/BEA33</f>
        <v>#DIV/0!</v>
      </c>
      <c r="BEE33" s="593">
        <v>14512.990400000001</v>
      </c>
      <c r="BEF33" s="593">
        <f>'Proy 2022 vs 2019 sem'!JN32*BEH$4</f>
        <v>0</v>
      </c>
      <c r="BEG33" s="699"/>
      <c r="BEH33" s="700">
        <f>BEG33/BEE33</f>
        <v>0</v>
      </c>
      <c r="BEI33" s="593">
        <f>'Proy 2022 vs 2019 sem'!JM32*BEL$4</f>
        <v>0</v>
      </c>
      <c r="BEJ33" s="593">
        <f>'Proy 2022 vs 2019 sem'!JN32*BEL$4</f>
        <v>0</v>
      </c>
      <c r="BEK33" s="699"/>
      <c r="BEL33" s="700" t="e">
        <f>BEK33/BEI33</f>
        <v>#DIV/0!</v>
      </c>
      <c r="BEM33" s="593">
        <f>'Proy 2022 vs 2019 sem'!JM32*BEP$4</f>
        <v>0</v>
      </c>
      <c r="BEN33" s="593">
        <f>'Proy 2022 vs 2019 sem'!JN32*BEP$4</f>
        <v>0</v>
      </c>
      <c r="BEO33" s="699"/>
      <c r="BEP33" s="700" t="e">
        <f>BEO33/BEM33</f>
        <v>#DIV/0!</v>
      </c>
      <c r="BEQ33" s="593">
        <f>'Proy 2022 vs 2019 sem'!JM32*BET$4</f>
        <v>0</v>
      </c>
      <c r="BER33" s="593">
        <f>'Proy 2022 vs 2019 sem'!JN32*BET$4</f>
        <v>0</v>
      </c>
      <c r="BES33" s="699"/>
      <c r="BET33" s="700" t="e">
        <f>BES33/BEQ33</f>
        <v>#DIV/0!</v>
      </c>
      <c r="BEU33" s="579">
        <f>BDS33+BDW33+BEA33+BEE33+BEI33+BEM33+BEQ33</f>
        <v>14512.990400000001</v>
      </c>
      <c r="BEV33" s="574">
        <f>BDT33+BDX33+BEB33+BEF33+BEJ33+BEN33+BER33</f>
        <v>0</v>
      </c>
      <c r="BEW33" s="770">
        <f>BDU33+BDY33+BEC33+BEG33+BEK33+BEO33+BES33</f>
        <v>0</v>
      </c>
      <c r="BEX33" s="761">
        <f>BEW33/BEU33</f>
        <v>0</v>
      </c>
      <c r="BEY33" s="593">
        <f>'Proy 2022 vs 2019 sem'!JV32*BFB$4</f>
        <v>0</v>
      </c>
      <c r="BEZ33" s="593">
        <f>'Proy 2022 vs 2019 sem'!JW32*BFB$4</f>
        <v>0</v>
      </c>
      <c r="BFA33" s="735"/>
      <c r="BFB33" s="700" t="e">
        <f>BFA33/BEY33</f>
        <v>#DIV/0!</v>
      </c>
      <c r="BFC33" s="593">
        <f>'Proy 2022 vs 2019 sem'!JV32*BFF$4</f>
        <v>0</v>
      </c>
      <c r="BFD33" s="593">
        <f>'Proy 2022 vs 2019 sem'!JW32*BFF$4</f>
        <v>0</v>
      </c>
      <c r="BFE33" s="735"/>
      <c r="BFF33" s="700" t="e">
        <f>BFE33/BFC33</f>
        <v>#DIV/0!</v>
      </c>
      <c r="BFG33" s="593">
        <f>'Proy 2022 vs 2019 sem'!JV32*BFJ$4</f>
        <v>0</v>
      </c>
      <c r="BFH33" s="593">
        <f>'Proy 2022 vs 2019 sem'!JW32*BFJ$4</f>
        <v>0</v>
      </c>
      <c r="BFI33" s="735"/>
      <c r="BFJ33" s="700" t="e">
        <f>BFI33/BFG33</f>
        <v>#DIV/0!</v>
      </c>
      <c r="BFK33" s="593">
        <f>'Proy 2022 vs 2019 sem'!JV32*BFN$4</f>
        <v>0</v>
      </c>
      <c r="BFL33" s="593">
        <f>'Proy 2022 vs 2019 sem'!JW32*BFN$4</f>
        <v>0</v>
      </c>
      <c r="BFM33" s="735"/>
      <c r="BFN33" s="700" t="e">
        <f>BFM33/BFK33</f>
        <v>#DIV/0!</v>
      </c>
      <c r="BFO33" s="593">
        <f>'Proy 2022 vs 2019 sem'!JV32*BFR$4</f>
        <v>0</v>
      </c>
      <c r="BFP33" s="593">
        <f>'Proy 2022 vs 2019 sem'!JW32*BFR$4</f>
        <v>0</v>
      </c>
      <c r="BFQ33" s="735"/>
      <c r="BFR33" s="700" t="e">
        <f>BFQ33/BFO33</f>
        <v>#DIV/0!</v>
      </c>
      <c r="BFS33" s="593">
        <f>'Proy 2022 vs 2019 sem'!JV32*BFV$4</f>
        <v>0</v>
      </c>
      <c r="BFT33" s="593">
        <f>'Proy 2022 vs 2019 sem'!JW32*BFV$4</f>
        <v>0</v>
      </c>
      <c r="BFU33" s="735"/>
      <c r="BFV33" s="700" t="e">
        <f>BFU33/BFS33</f>
        <v>#DIV/0!</v>
      </c>
      <c r="BFW33" s="593">
        <f>'Proy 2022 vs 2019 sem'!JV32*BFZ$4</f>
        <v>0</v>
      </c>
      <c r="BFX33" s="593">
        <f>'Proy 2022 vs 2019 sem'!JW32*BFZ$4</f>
        <v>0</v>
      </c>
      <c r="BFY33" s="735"/>
      <c r="BFZ33" s="700" t="e">
        <f>BFY33/BFW33</f>
        <v>#DIV/0!</v>
      </c>
      <c r="BGA33" s="579">
        <f>BEY33+BFC33+BFG33+BFK33+BFO33+BFS33+BFW33</f>
        <v>0</v>
      </c>
      <c r="BGB33" s="574">
        <f>BEZ33+BFD33+BFH33+BFL33+BFP33+BFT33+BFX33</f>
        <v>0</v>
      </c>
      <c r="BGC33" s="729">
        <f>BFA33+BFE33+BFI33+BFM33+BFQ33+BFU33+BFY33</f>
        <v>0</v>
      </c>
      <c r="BGD33" s="711" t="e">
        <f>BGC33/BGA33</f>
        <v>#DIV/0!</v>
      </c>
      <c r="BGE33" s="593">
        <f>'Proy 2022 vs 2019 sem'!KA32*BGH$4</f>
        <v>0</v>
      </c>
      <c r="BGF33" s="593">
        <f>'Proy 2022 vs 2019 sem'!KB32*BGH$4</f>
        <v>0</v>
      </c>
      <c r="BGG33" s="699"/>
      <c r="BGH33" s="700" t="e">
        <f>BGG33/BGE33</f>
        <v>#DIV/0!</v>
      </c>
      <c r="BGI33" s="593">
        <f>'Proy 2022 vs 2019 sem'!KA32*BGL$4</f>
        <v>0</v>
      </c>
      <c r="BGJ33" s="593">
        <f>'Proy 2022 vs 2019 sem'!KB32*BGL$4</f>
        <v>0</v>
      </c>
      <c r="BGK33" s="699"/>
      <c r="BGL33" s="700" t="e">
        <f>BGK33/BGI33</f>
        <v>#DIV/0!</v>
      </c>
      <c r="BGM33" s="593">
        <f>'Proy 2022 vs 2019 sem'!KA32*BGP$4</f>
        <v>0</v>
      </c>
      <c r="BGN33" s="593">
        <f>'Proy 2022 vs 2019 sem'!KB32*BGP$4</f>
        <v>0</v>
      </c>
      <c r="BGO33" s="699"/>
      <c r="BGP33" s="700" t="e">
        <f>BGO33/BGM33</f>
        <v>#DIV/0!</v>
      </c>
      <c r="BGQ33" s="593">
        <f>'Proy 2022 vs 2019 sem'!KA32*BGT$4</f>
        <v>0</v>
      </c>
      <c r="BGR33" s="593">
        <f>'Proy 2022 vs 2019 sem'!KB32*BGT$4</f>
        <v>0</v>
      </c>
      <c r="BGS33" s="699"/>
      <c r="BGT33" s="700" t="e">
        <f>BGS33/BGQ33</f>
        <v>#DIV/0!</v>
      </c>
      <c r="BGU33" s="593">
        <f>'Proy 2022 vs 2019 sem'!KA32*BGX$4</f>
        <v>0</v>
      </c>
      <c r="BGV33" s="593">
        <f>'Proy 2022 vs 2019 sem'!KB32*BGX$4</f>
        <v>0</v>
      </c>
      <c r="BGW33" s="699"/>
      <c r="BGX33" s="700" t="e">
        <f>BGW33/BGU33</f>
        <v>#DIV/0!</v>
      </c>
      <c r="BGY33" s="593">
        <f>'Proy 2022 vs 2019 sem'!KA32*BHB$4</f>
        <v>0</v>
      </c>
      <c r="BGZ33" s="593">
        <f>'Proy 2022 vs 2019 sem'!KB32*BHB$4</f>
        <v>0</v>
      </c>
      <c r="BHA33" s="699"/>
      <c r="BHB33" s="700" t="e">
        <f>BHA33/BGY33</f>
        <v>#DIV/0!</v>
      </c>
      <c r="BHC33" s="593">
        <f>'Proy 2022 vs 2019 sem'!KA32*BHF$4</f>
        <v>0</v>
      </c>
      <c r="BHD33" s="593">
        <f>'Proy 2022 vs 2019 sem'!KB32*BHF$4</f>
        <v>0</v>
      </c>
      <c r="BHE33" s="699"/>
      <c r="BHF33" s="700" t="e">
        <f>BHE33/BHC33</f>
        <v>#DIV/0!</v>
      </c>
      <c r="BHG33" s="579">
        <f>BGE33+BGI33+BGM33+BGQ33+BGU33+BGY33+BHC33</f>
        <v>0</v>
      </c>
      <c r="BHH33" s="574">
        <f>BGF33+BGJ33+BGN33+BGR33+BGV33+BGZ33+BHD33</f>
        <v>0</v>
      </c>
      <c r="BHI33" s="730">
        <f>BGG33+BGK33+BGO33+BGS33+BGW33+BHA33+BHE33</f>
        <v>0</v>
      </c>
      <c r="BHJ33" s="711" t="e">
        <f>BHI33/BHG33</f>
        <v>#DIV/0!</v>
      </c>
      <c r="BHK33" s="593">
        <f>'Proy 2022 vs 2019 sem'!KF32*BHN$4</f>
        <v>0</v>
      </c>
      <c r="BHL33" s="593">
        <f>'Proy 2022 vs 2019 sem'!KG32*BHN$4</f>
        <v>0</v>
      </c>
      <c r="BHM33" s="699"/>
      <c r="BHN33" s="700" t="e">
        <f>BHM33/BHK33</f>
        <v>#DIV/0!</v>
      </c>
      <c r="BHO33" s="593">
        <f>'Proy 2022 vs 2019 sem'!KF32*BHR$4</f>
        <v>0</v>
      </c>
      <c r="BHP33" s="593">
        <f>'Proy 2022 vs 2019 sem'!KG32*BHR$4</f>
        <v>0</v>
      </c>
      <c r="BHQ33" s="699"/>
      <c r="BHR33" s="700" t="e">
        <f>BHQ33/BHO33</f>
        <v>#DIV/0!</v>
      </c>
      <c r="BHS33" s="593">
        <f>'Proy 2022 vs 2019 sem'!KF32*BHV$4</f>
        <v>0</v>
      </c>
      <c r="BHT33" s="593">
        <f>'Proy 2022 vs 2019 sem'!KG32*BHV$4</f>
        <v>0</v>
      </c>
      <c r="BHU33" s="699"/>
      <c r="BHV33" s="700" t="e">
        <f>BHU33/BHS33</f>
        <v>#DIV/0!</v>
      </c>
      <c r="BHW33" s="593">
        <f>'Proy 2022 vs 2019 sem'!KF32*BHZ$4</f>
        <v>0</v>
      </c>
      <c r="BHX33" s="593">
        <f>'Proy 2022 vs 2019 sem'!KG32*BHZ$4</f>
        <v>0</v>
      </c>
      <c r="BHY33" s="699"/>
      <c r="BHZ33" s="700" t="e">
        <f>BHY33/BHW33</f>
        <v>#DIV/0!</v>
      </c>
      <c r="BIA33" s="593">
        <f>'Proy 2022 vs 2019 sem'!KF32*BID$4</f>
        <v>0</v>
      </c>
      <c r="BIB33" s="593">
        <f>'Proy 2022 vs 2019 sem'!KG32*BID$4</f>
        <v>0</v>
      </c>
      <c r="BIC33" s="699"/>
      <c r="BID33" s="700" t="e">
        <f>BIC33/BIA33</f>
        <v>#DIV/0!</v>
      </c>
      <c r="BIE33" s="593">
        <f>'Proy 2022 vs 2019 sem'!KF32*BIH$4</f>
        <v>0</v>
      </c>
      <c r="BIF33" s="593">
        <f>'Proy 2022 vs 2019 sem'!KG32*BIH$4</f>
        <v>0</v>
      </c>
      <c r="BIG33" s="699"/>
      <c r="BIH33" s="700" t="e">
        <f>BIG33/BIE33</f>
        <v>#DIV/0!</v>
      </c>
      <c r="BII33" s="593">
        <f>'Proy 2022 vs 2019 sem'!KF32*BIL$4</f>
        <v>0</v>
      </c>
      <c r="BIJ33" s="593">
        <f>'Proy 2022 vs 2019 sem'!KG32*BIL$4</f>
        <v>0</v>
      </c>
      <c r="BIK33" s="699"/>
      <c r="BIL33" s="700" t="e">
        <f>BIK33/BII33</f>
        <v>#DIV/0!</v>
      </c>
      <c r="BIM33" s="579">
        <f>BHK33+BHO33+BHS33+BHW33+BIA33+BIE33+BII33</f>
        <v>0</v>
      </c>
      <c r="BIN33" s="574">
        <f>BHL33+BHP33+BHT33+BHX33+BIB33+BIF33+BIJ33</f>
        <v>0</v>
      </c>
      <c r="BIO33" s="730">
        <f>BHM33+BHQ33+BHU33+BHY33+BIC33+BIG33+BIK33</f>
        <v>0</v>
      </c>
      <c r="BIP33" s="711" t="e">
        <f>BIO33/BIM33</f>
        <v>#DIV/0!</v>
      </c>
      <c r="BIQ33" s="593">
        <f>'Proy 2022 vs 2019 sem'!KK32*BIT$4</f>
        <v>0</v>
      </c>
      <c r="BIR33" s="593">
        <f>'Proy 2022 vs 2019 sem'!KL32*BIT$4</f>
        <v>0</v>
      </c>
      <c r="BIS33" s="699"/>
      <c r="BIT33" s="700" t="e">
        <f>BIS33/BIQ33</f>
        <v>#DIV/0!</v>
      </c>
      <c r="BIU33" s="593">
        <f>'Proy 2022 vs 2019 sem'!KK32*BIX$4</f>
        <v>0</v>
      </c>
      <c r="BIV33" s="593">
        <f>'Proy 2022 vs 2019 sem'!KL32*BIX$4</f>
        <v>0</v>
      </c>
      <c r="BIW33" s="699"/>
      <c r="BIX33" s="700" t="e">
        <f>BIW33/BIU33</f>
        <v>#DIV/0!</v>
      </c>
      <c r="BIY33" s="593">
        <f>'Proy 2022 vs 2019 sem'!KK32*BJB$4</f>
        <v>0</v>
      </c>
      <c r="BIZ33" s="593">
        <f>'Proy 2022 vs 2019 sem'!KL32*BJB$4</f>
        <v>0</v>
      </c>
      <c r="BJA33" s="699"/>
      <c r="BJB33" s="700" t="e">
        <f>BJA33/BIY33</f>
        <v>#DIV/0!</v>
      </c>
      <c r="BJC33" s="593">
        <f>'Proy 2022 vs 2019 sem'!KK32*BJF$4</f>
        <v>0</v>
      </c>
      <c r="BJD33" s="593">
        <f>'Proy 2022 vs 2019 sem'!KL32*BJF$4</f>
        <v>0</v>
      </c>
      <c r="BJE33" s="699"/>
      <c r="BJF33" s="700" t="e">
        <f>BJE33/BJC33</f>
        <v>#DIV/0!</v>
      </c>
      <c r="BJG33" s="593">
        <f>'Proy 2022 vs 2019 sem'!KK32*BJJ$4</f>
        <v>0</v>
      </c>
      <c r="BJH33" s="593">
        <f>'Proy 2022 vs 2019 sem'!KL32*BJJ$4</f>
        <v>0</v>
      </c>
      <c r="BJI33" s="699"/>
      <c r="BJJ33" s="700" t="e">
        <f>BJI33/BJG33</f>
        <v>#DIV/0!</v>
      </c>
      <c r="BJK33" s="593">
        <f>'Proy 2022 vs 2019 sem'!KK32*BJN$4</f>
        <v>0</v>
      </c>
      <c r="BJL33" s="593">
        <f>'Proy 2022 vs 2019 sem'!KL32*BJN$4</f>
        <v>0</v>
      </c>
      <c r="BJM33" s="699"/>
      <c r="BJN33" s="700" t="e">
        <f>BJM33/BJK33</f>
        <v>#DIV/0!</v>
      </c>
      <c r="BJO33" s="593">
        <f>'Proy 2022 vs 2019 sem'!KK32*BJR$4</f>
        <v>0</v>
      </c>
      <c r="BJP33" s="593">
        <f>'Proy 2022 vs 2019 sem'!KL32*BJR$4</f>
        <v>0</v>
      </c>
      <c r="BJQ33" s="699"/>
      <c r="BJR33" s="700" t="e">
        <f>BJQ33/BJO33</f>
        <v>#DIV/0!</v>
      </c>
      <c r="BJS33" s="579">
        <f>BIQ33+BIU33+BIY33+BJC33+BJG33+BJK33+BJO33</f>
        <v>0</v>
      </c>
      <c r="BJT33" s="574">
        <f>BIR33+BIV33+BIZ33+BJD33+BJH33+BJL33+BJP33</f>
        <v>0</v>
      </c>
      <c r="BJU33" s="710">
        <f>BIS33+BIW33+BJA33+BJE33+BJI33+BJM33+BJQ33</f>
        <v>0</v>
      </c>
      <c r="BJV33" s="711" t="e">
        <f>BJU33/BJS33</f>
        <v>#DIV/0!</v>
      </c>
      <c r="BJW33" s="593">
        <f>'Proy 2022 vs 2019 sem'!KP32*BJZ$4</f>
        <v>0</v>
      </c>
      <c r="BJX33" s="593">
        <f>'Proy 2022 vs 2019 sem'!KQ32*BJZ$4</f>
        <v>0</v>
      </c>
      <c r="BJY33" s="699"/>
      <c r="BJZ33" s="700" t="e">
        <f>BJY33/BJW33</f>
        <v>#DIV/0!</v>
      </c>
      <c r="BKA33" s="593">
        <f>'Proy 2022 vs 2019 sem'!KP32*BKD$4</f>
        <v>0</v>
      </c>
      <c r="BKB33" s="593">
        <f>'Proy 2022 vs 2019 sem'!KQ32*BKD$4</f>
        <v>0</v>
      </c>
      <c r="BKC33" s="699"/>
      <c r="BKD33" s="700" t="e">
        <f>BKC33/BKA33</f>
        <v>#DIV/0!</v>
      </c>
      <c r="BKE33" s="593">
        <f>'Proy 2022 vs 2019 sem'!KP32*BKH$4</f>
        <v>0</v>
      </c>
      <c r="BKF33" s="593">
        <f>'Proy 2022 vs 2019 sem'!KQ32*BKH$4</f>
        <v>0</v>
      </c>
      <c r="BKG33" s="699"/>
      <c r="BKH33" s="700" t="e">
        <f>BKG33/BKE33</f>
        <v>#DIV/0!</v>
      </c>
      <c r="BKI33" s="593">
        <f>'Proy 2022 vs 2019 sem'!KP32*BKL$4</f>
        <v>0</v>
      </c>
      <c r="BKJ33" s="593">
        <f>'Proy 2022 vs 2019 sem'!KQ32*BKL$4</f>
        <v>0</v>
      </c>
      <c r="BKK33" s="699"/>
      <c r="BKL33" s="700" t="e">
        <f>BKK33/BKI33</f>
        <v>#DIV/0!</v>
      </c>
      <c r="BKM33" s="593">
        <f>'Proy 2022 vs 2019 sem'!KP32*BKP$4</f>
        <v>0</v>
      </c>
      <c r="BKN33" s="593">
        <f>'Proy 2022 vs 2019 sem'!KQ32*BKP$4</f>
        <v>0</v>
      </c>
      <c r="BKO33" s="699"/>
      <c r="BKP33" s="700" t="e">
        <f>BKO33/BKM33</f>
        <v>#DIV/0!</v>
      </c>
      <c r="BKQ33" s="593">
        <f>'Proy 2022 vs 2019 sem'!KP32*BKT$4</f>
        <v>0</v>
      </c>
      <c r="BKR33" s="593">
        <f>'Proy 2022 vs 2019 sem'!KQ32*BKT$4</f>
        <v>0</v>
      </c>
      <c r="BKS33" s="699"/>
      <c r="BKT33" s="700" t="e">
        <f>BKS33/BKQ33</f>
        <v>#DIV/0!</v>
      </c>
      <c r="BKU33" s="593">
        <f>'Proy 2022 vs 2019 sem'!KP32*BKX$4</f>
        <v>0</v>
      </c>
      <c r="BKV33" s="593">
        <f>'Proy 2022 vs 2019 sem'!KQ32*BKX$4</f>
        <v>0</v>
      </c>
      <c r="BKW33" s="699"/>
      <c r="BKX33" s="700" t="e">
        <f>BKW33/BKU33</f>
        <v>#DIV/0!</v>
      </c>
      <c r="BKY33" s="579">
        <f>BJW33+BKA33+BKE33+BKI33+BKM33+BKQ33+BKU33</f>
        <v>0</v>
      </c>
      <c r="BKZ33" s="574">
        <f>BJX33+BKB33+BKF33+BKJ33+BKN33+BKR33+BKV33</f>
        <v>0</v>
      </c>
      <c r="BLA33" s="710">
        <f>BJY33+BKC33+BKG33+BKK33+BKO33+BKS33+BKW33</f>
        <v>0</v>
      </c>
      <c r="BLB33" s="711" t="e">
        <f>BLA33/BKY33</f>
        <v>#DIV/0!</v>
      </c>
    </row>
    <row r="34" spans="2:1666" ht="19.5" customHeight="1">
      <c r="B34" s="930" t="s">
        <v>233</v>
      </c>
      <c r="C34" s="593">
        <f>'Proy 2022 vs 2019 sem'!$C$6*$F$4</f>
        <v>9529.1268</v>
      </c>
      <c r="D34" s="593">
        <f>'Proy 2022 vs 2019 sem'!$D$6*$F$4</f>
        <v>8480.9228519999997</v>
      </c>
      <c r="E34" s="736"/>
      <c r="F34" s="700">
        <f>E34/C34</f>
        <v>0</v>
      </c>
      <c r="G34" s="1414" t="e">
        <f>'Proy 2022 vs 2019 sem'!C33*$J$4</f>
        <v>#VALUE!</v>
      </c>
      <c r="H34" s="593">
        <f>'Proy 2022 vs 2019 sem'!D33*$J$4</f>
        <v>3587.2462464</v>
      </c>
      <c r="I34" s="736"/>
      <c r="J34" s="700" t="e">
        <f>I34/G34</f>
        <v>#VALUE!</v>
      </c>
      <c r="K34" s="593" t="e">
        <f>'Proy 2022 vs 2019 sem'!C33*$N$4</f>
        <v>#VALUE!</v>
      </c>
      <c r="L34" s="593">
        <f>'Proy 2022 vs 2019 sem'!D33*N$4</f>
        <v>3587.2462464</v>
      </c>
      <c r="M34" s="736"/>
      <c r="N34" s="700" t="e">
        <f>M34/K34</f>
        <v>#VALUE!</v>
      </c>
      <c r="O34" s="593" t="e">
        <f>'Proy 2022 vs 2019 sem'!C33*R$4</f>
        <v>#VALUE!</v>
      </c>
      <c r="P34" s="593">
        <f>'Proy 2022 vs 2019 sem'!D33*$R$4</f>
        <v>3587.2462464</v>
      </c>
      <c r="Q34" s="736"/>
      <c r="R34" s="700" t="e">
        <f>Q34/O34</f>
        <v>#VALUE!</v>
      </c>
      <c r="S34" s="593" t="e">
        <f>'Proy 2022 vs 2019 sem'!C33*V$4</f>
        <v>#VALUE!</v>
      </c>
      <c r="T34" s="593">
        <f>'Proy 2022 vs 2019 sem'!D33*V$4</f>
        <v>4185.1206208000003</v>
      </c>
      <c r="U34" s="736"/>
      <c r="V34" s="700" t="e">
        <f>U34/S34</f>
        <v>#VALUE!</v>
      </c>
      <c r="W34" s="593" t="e">
        <f>'Proy 2022 vs 2019 sem'!C33*Z$4</f>
        <v>#VALUE!</v>
      </c>
      <c r="X34" s="593">
        <f>'Proy 2022 vs 2019 sem'!D33*Z$4</f>
        <v>4782.9949952000006</v>
      </c>
      <c r="Y34" s="736"/>
      <c r="Z34" s="700" t="e">
        <f>Y34/W34</f>
        <v>#VALUE!</v>
      </c>
      <c r="AA34" s="593" t="e">
        <f>'Proy 2022 vs 2019 sem'!C33*AD$4</f>
        <v>#VALUE!</v>
      </c>
      <c r="AB34" s="593">
        <f>'Proy 2022 vs 2019 sem'!D33*AD$4</f>
        <v>6576.6181184000006</v>
      </c>
      <c r="AC34" s="736"/>
      <c r="AD34" s="700" t="e">
        <f>AC34/AA34</f>
        <v>#VALUE!</v>
      </c>
      <c r="AE34" s="579" t="e">
        <f>C34+G34+K34+O34+S34+W34+AA34</f>
        <v>#VALUE!</v>
      </c>
      <c r="AF34" s="574">
        <f>D34+H34+L34+P34+T34+X34+AB34</f>
        <v>34787.395325600002</v>
      </c>
      <c r="AG34" s="729">
        <f>E34+I34+M34+Q34+U34+Y34+AC34</f>
        <v>0</v>
      </c>
      <c r="AH34" s="711" t="e">
        <f>AG34/AE34</f>
        <v>#VALUE!</v>
      </c>
      <c r="AI34" s="593" t="e">
        <f>'Proy 2022 vs 2019 sem'!H33*AL$4</f>
        <v>#VALUE!</v>
      </c>
      <c r="AJ34" s="611">
        <f>'Proy 2022 vs 2019 sem'!I33*AL$4</f>
        <v>3585.6775679999996</v>
      </c>
      <c r="AK34" s="701"/>
      <c r="AL34" s="700" t="e">
        <f>AK34/AI34</f>
        <v>#VALUE!</v>
      </c>
      <c r="AM34" s="593" t="e">
        <f>'Proy 2022 vs 2019 sem'!H33*AP$4</f>
        <v>#VALUE!</v>
      </c>
      <c r="AN34" s="593">
        <f>'Proy 2022 vs 2019 sem'!I33*AP$4</f>
        <v>3585.6775679999996</v>
      </c>
      <c r="AO34" s="701"/>
      <c r="AP34" s="700" t="e">
        <f>AO34/AM34</f>
        <v>#VALUE!</v>
      </c>
      <c r="AQ34" s="593" t="e">
        <f>'Proy 2022 vs 2019 sem'!H33*AT$4</f>
        <v>#VALUE!</v>
      </c>
      <c r="AR34" s="593">
        <f>'Proy 2022 vs 2019 sem'!I33*AT$4</f>
        <v>3585.6775679999996</v>
      </c>
      <c r="AS34" s="701"/>
      <c r="AT34" s="700" t="e">
        <f>AS34/AQ34</f>
        <v>#VALUE!</v>
      </c>
      <c r="AU34" s="593" t="e">
        <f>'Proy 2022 vs 2019 sem'!H33*AX$4</f>
        <v>#VALUE!</v>
      </c>
      <c r="AV34" s="593">
        <f>'Proy 2022 vs 2019 sem'!I33*AX$4</f>
        <v>3585.6775679999996</v>
      </c>
      <c r="AW34" s="701"/>
      <c r="AX34" s="700" t="e">
        <f>AW34/AU34</f>
        <v>#VALUE!</v>
      </c>
      <c r="AY34" s="593" t="e">
        <f>'Proy 2022 vs 2019 sem'!H33*BB$4</f>
        <v>#VALUE!</v>
      </c>
      <c r="AZ34" s="593">
        <f>'Proy 2022 vs 2019 sem'!I33*BB$4</f>
        <v>4183.2904960000005</v>
      </c>
      <c r="BA34" s="701"/>
      <c r="BB34" s="700" t="e">
        <f>BA34/AY34</f>
        <v>#VALUE!</v>
      </c>
      <c r="BC34" s="593" t="e">
        <f>'Proy 2022 vs 2019 sem'!H33*BF$4</f>
        <v>#VALUE!</v>
      </c>
      <c r="BD34" s="593">
        <f>'Proy 2022 vs 2019 sem'!I33*BF$4</f>
        <v>4780.9034240000001</v>
      </c>
      <c r="BE34" s="701"/>
      <c r="BF34" s="700" t="e">
        <f>BE34/BC34</f>
        <v>#VALUE!</v>
      </c>
      <c r="BG34" s="593" t="e">
        <f>'Proy 2022 vs 2019 sem'!H33*BJ$4</f>
        <v>#VALUE!</v>
      </c>
      <c r="BH34" s="593">
        <f>'Proy 2022 vs 2019 sem'!I33*BJ$4</f>
        <v>6573.7422079999997</v>
      </c>
      <c r="BI34" s="701"/>
      <c r="BJ34" s="700" t="e">
        <f>BI34/BG34</f>
        <v>#VALUE!</v>
      </c>
      <c r="BK34" s="579" t="e">
        <f>AI34+AM34+AQ34+AU34+AY34+BC34+BG34</f>
        <v>#VALUE!</v>
      </c>
      <c r="BL34" s="574">
        <f>AJ34+AN34+AR34+AV34+AZ34+BD34+BH34</f>
        <v>29880.646399999998</v>
      </c>
      <c r="BM34" s="730">
        <f>AK34+AO34+AS34+AW34+BA34+BE34+BI34</f>
        <v>0</v>
      </c>
      <c r="BN34" s="711" t="e">
        <f>BM34/BK34</f>
        <v>#VALUE!</v>
      </c>
      <c r="BO34" s="593" t="e">
        <f>'Proy 2022 vs 2019 sem'!M33*BR$4</f>
        <v>#VALUE!</v>
      </c>
      <c r="BP34" s="593">
        <f>'Proy 2022 vs 2019 sem'!N33*BR$4</f>
        <v>3569.3075520000007</v>
      </c>
      <c r="BQ34" s="701"/>
      <c r="BR34" s="700" t="e">
        <f>BQ34/BO34</f>
        <v>#VALUE!</v>
      </c>
      <c r="BS34" s="593" t="e">
        <f>'Proy 2022 vs 2019 sem'!M33*BV$4</f>
        <v>#VALUE!</v>
      </c>
      <c r="BT34" s="593">
        <f>'Proy 2022 vs 2019 sem'!N33*BV$4</f>
        <v>3569.3075520000007</v>
      </c>
      <c r="BU34" s="701"/>
      <c r="BV34" s="700" t="e">
        <f>BU34/BS34</f>
        <v>#VALUE!</v>
      </c>
      <c r="BW34" s="593" t="e">
        <f>'Proy 2022 vs 2019 sem'!M33*BZ$4</f>
        <v>#VALUE!</v>
      </c>
      <c r="BX34" s="593">
        <f>'Proy 2022 vs 2019 sem'!N33*BZ$4</f>
        <v>3569.3075520000007</v>
      </c>
      <c r="BY34" s="701"/>
      <c r="BZ34" s="700" t="e">
        <f>BY34/BW34</f>
        <v>#VALUE!</v>
      </c>
      <c r="CA34" s="593" t="e">
        <f>'Proy 2022 vs 2019 sem'!M33*CD$4</f>
        <v>#VALUE!</v>
      </c>
      <c r="CB34" s="593">
        <f>'Proy 2022 vs 2019 sem'!N33*CD$4</f>
        <v>3569.3075520000007</v>
      </c>
      <c r="CC34" s="701"/>
      <c r="CD34" s="700" t="e">
        <f>CC34/CA34</f>
        <v>#VALUE!</v>
      </c>
      <c r="CE34" s="593" t="e">
        <f>'Proy 2022 vs 2019 sem'!M33*CH$4</f>
        <v>#VALUE!</v>
      </c>
      <c r="CF34" s="593">
        <f>'Proy 2022 vs 2019 sem'!N33*CH$4</f>
        <v>4164.1921440000015</v>
      </c>
      <c r="CG34" s="701"/>
      <c r="CH34" s="700" t="e">
        <f>CG34/CE34</f>
        <v>#VALUE!</v>
      </c>
      <c r="CI34" s="593" t="e">
        <f>'Proy 2022 vs 2019 sem'!M33*CL$4</f>
        <v>#VALUE!</v>
      </c>
      <c r="CJ34" s="593">
        <f>'Proy 2022 vs 2019 sem'!N33*CL$4</f>
        <v>4759.0767360000009</v>
      </c>
      <c r="CK34" s="701"/>
      <c r="CL34" s="700" t="e">
        <f>CK34/CI34</f>
        <v>#VALUE!</v>
      </c>
      <c r="CM34" s="593" t="e">
        <f>'Proy 2022 vs 2019 sem'!M33*CP$4</f>
        <v>#VALUE!</v>
      </c>
      <c r="CN34" s="593">
        <f>'Proy 2022 vs 2019 sem'!N33*CP$4</f>
        <v>6543.730512000001</v>
      </c>
      <c r="CO34" s="701"/>
      <c r="CP34" s="700" t="e">
        <f>CO34/CM34</f>
        <v>#VALUE!</v>
      </c>
      <c r="CQ34" s="579" t="e">
        <f>BO34+BS34+BW34+CA34+CE34+CI34+CM34</f>
        <v>#VALUE!</v>
      </c>
      <c r="CR34" s="574">
        <f>BP34+BT34+BX34+CB34+CF34+CJ34+CN34</f>
        <v>29744.229600000006</v>
      </c>
      <c r="CS34" s="730">
        <f>BQ34+BU34+BY34+CC34+CG34+CK34+CO34</f>
        <v>0</v>
      </c>
      <c r="CT34" s="711" t="e">
        <f>CS34/CQ34</f>
        <v>#VALUE!</v>
      </c>
      <c r="CU34" s="593" t="e">
        <f>'Proy 2022 vs 2019 sem'!R33*CX$4</f>
        <v>#VALUE!</v>
      </c>
      <c r="CV34" s="593">
        <f>'Proy 2022 vs 2019 sem'!S33*CX$4</f>
        <v>3591.0120960000004</v>
      </c>
      <c r="CW34" s="701"/>
      <c r="CX34" s="700" t="e">
        <f>CW34/CU34</f>
        <v>#VALUE!</v>
      </c>
      <c r="CY34" s="593" t="e">
        <f>'Proy 2022 vs 2019 sem'!R33*DB$4</f>
        <v>#VALUE!</v>
      </c>
      <c r="CZ34" s="593">
        <f>'Proy 2022 vs 2019 sem'!S33*DB$4</f>
        <v>3591.0120960000004</v>
      </c>
      <c r="DA34" s="701"/>
      <c r="DB34" s="700" t="e">
        <f>DA34/CY34</f>
        <v>#VALUE!</v>
      </c>
      <c r="DC34" s="593" t="e">
        <f>'Proy 2022 vs 2019 sem'!R33*DF$4</f>
        <v>#VALUE!</v>
      </c>
      <c r="DD34" s="593">
        <f>'Proy 2022 vs 2019 sem'!S33*DF$4</f>
        <v>3591.0120960000004</v>
      </c>
      <c r="DE34" s="701"/>
      <c r="DF34" s="700" t="e">
        <f>DE34/DC34</f>
        <v>#VALUE!</v>
      </c>
      <c r="DG34" s="593" t="e">
        <f>'Proy 2022 vs 2019 sem'!R33*DJ$4</f>
        <v>#VALUE!</v>
      </c>
      <c r="DH34" s="593">
        <f>'Proy 2022 vs 2019 sem'!S33*DJ$4</f>
        <v>3591.0120960000004</v>
      </c>
      <c r="DI34" s="701"/>
      <c r="DJ34" s="700" t="e">
        <f>DI34/DG34</f>
        <v>#VALUE!</v>
      </c>
      <c r="DK34" s="593" t="e">
        <f>'Proy 2022 vs 2019 sem'!R33*DN$4</f>
        <v>#VALUE!</v>
      </c>
      <c r="DL34" s="593">
        <f>'Proy 2022 vs 2019 sem'!S33*DN$4</f>
        <v>4189.5141120000008</v>
      </c>
      <c r="DM34" s="701"/>
      <c r="DN34" s="700" t="e">
        <f>DM34/DK34</f>
        <v>#VALUE!</v>
      </c>
      <c r="DO34" s="593" t="e">
        <f>'Proy 2022 vs 2019 sem'!R33*DR$4</f>
        <v>#VALUE!</v>
      </c>
      <c r="DP34" s="593">
        <f>'Proy 2022 vs 2019 sem'!S33*DR$4</f>
        <v>4788.0161280000011</v>
      </c>
      <c r="DQ34" s="701"/>
      <c r="DR34" s="700" t="e">
        <f>DQ34/DO34</f>
        <v>#VALUE!</v>
      </c>
      <c r="DS34" s="593" t="e">
        <f>'Proy 2022 vs 2019 sem'!R33*DV$4</f>
        <v>#VALUE!</v>
      </c>
      <c r="DT34" s="593">
        <f>'Proy 2022 vs 2019 sem'!S33*DV$4</f>
        <v>6583.5221760000013</v>
      </c>
      <c r="DU34" s="701"/>
      <c r="DV34" s="700" t="e">
        <f>DU34/DS34</f>
        <v>#VALUE!</v>
      </c>
      <c r="DW34" s="579" t="e">
        <f>CU34+CY34+DC34+DG34+DK34+DO34+DS34</f>
        <v>#VALUE!</v>
      </c>
      <c r="DX34" s="574">
        <f>CV34+CZ34+DD34+DH34+DL34+DP34+DT34</f>
        <v>29925.100800000004</v>
      </c>
      <c r="DY34" s="710">
        <f>CW34+DA34+DE34+DI34+DM34+DQ34+DU34</f>
        <v>0</v>
      </c>
      <c r="DZ34" s="711" t="e">
        <f>DY34/DW34</f>
        <v>#VALUE!</v>
      </c>
      <c r="EA34" s="593" t="e">
        <f>'Proy 2022 vs 2019 sem'!AA33*ED$4</f>
        <v>#VALUE!</v>
      </c>
      <c r="EB34" s="593">
        <f>'Proy 2022 vs 2019 sem'!AB33*ED$4</f>
        <v>3320.8964448000002</v>
      </c>
      <c r="EC34" s="736"/>
      <c r="ED34" s="700" t="e">
        <f>EC34/EA34</f>
        <v>#VALUE!</v>
      </c>
      <c r="EE34" s="593" t="e">
        <f>'Proy 2022 vs 2019 sem'!AA33*EH$4</f>
        <v>#VALUE!</v>
      </c>
      <c r="EF34" s="593">
        <f>'Proy 2022 vs 2019 sem'!AB33*EH$4</f>
        <v>3320.8964448000002</v>
      </c>
      <c r="EG34" s="701"/>
      <c r="EH34" s="700" t="e">
        <f>EG34/EE34</f>
        <v>#VALUE!</v>
      </c>
      <c r="EI34" s="593" t="e">
        <f>'Proy 2022 vs 2019 sem'!AA33*EL$4</f>
        <v>#VALUE!</v>
      </c>
      <c r="EJ34" s="593">
        <f>'Proy 2022 vs 2019 sem'!AB33*EL$4</f>
        <v>3320.8964448000002</v>
      </c>
      <c r="EK34" s="701"/>
      <c r="EL34" s="700" t="e">
        <f>EK34/EI34</f>
        <v>#VALUE!</v>
      </c>
      <c r="EM34" s="593" t="e">
        <f>'Proy 2022 vs 2019 sem'!AA33*EP$4</f>
        <v>#VALUE!</v>
      </c>
      <c r="EN34" s="593">
        <f>'Proy 2022 vs 2019 sem'!AB33*EP$4</f>
        <v>3320.8964448000002</v>
      </c>
      <c r="EO34" s="701"/>
      <c r="EP34" s="700" t="e">
        <f>EO34/EM34</f>
        <v>#VALUE!</v>
      </c>
      <c r="EQ34" s="593" t="e">
        <f>'Proy 2022 vs 2019 sem'!AA33*ET$4</f>
        <v>#VALUE!</v>
      </c>
      <c r="ER34" s="593">
        <f>'Proy 2022 vs 2019 sem'!AB33*ET$4</f>
        <v>3874.3791856000007</v>
      </c>
      <c r="ES34" s="701"/>
      <c r="ET34" s="700" t="e">
        <f>ES34/EQ34</f>
        <v>#VALUE!</v>
      </c>
      <c r="EU34" s="593" t="e">
        <f>'Proy 2022 vs 2019 sem'!AA33*EX$4</f>
        <v>#VALUE!</v>
      </c>
      <c r="EV34" s="593">
        <f>'Proy 2022 vs 2019 sem'!AB33*EX$4</f>
        <v>4427.8619263999999</v>
      </c>
      <c r="EW34" s="701"/>
      <c r="EX34" s="700" t="e">
        <f>EW34/EU34</f>
        <v>#VALUE!</v>
      </c>
      <c r="EY34" s="593" t="e">
        <f>'Proy 2022 vs 2019 sem'!AA33*FB$4</f>
        <v>#VALUE!</v>
      </c>
      <c r="EZ34" s="593">
        <f>'Proy 2022 vs 2019 sem'!AB33*FB$4</f>
        <v>6088.3101488000002</v>
      </c>
      <c r="FA34" s="701"/>
      <c r="FB34" s="700" t="e">
        <f>FA34/EY34</f>
        <v>#VALUE!</v>
      </c>
      <c r="FC34" s="579" t="e">
        <f>EA34+EE34+EI34+EM34+EQ34+EU34+EY34</f>
        <v>#VALUE!</v>
      </c>
      <c r="FD34" s="574">
        <f>EB34+EF34+EJ34+EN34+ER34+EV34+EZ34</f>
        <v>27674.137040000001</v>
      </c>
      <c r="FE34" s="793">
        <f>EC34+EG34+EK34+EO34+ES34+EW34+FA34</f>
        <v>0</v>
      </c>
      <c r="FF34" s="786" t="e">
        <f>FE34/FC34</f>
        <v>#VALUE!</v>
      </c>
      <c r="FG34" s="593" t="e">
        <f>'Proy 2022 vs 2019 sem'!AF33*FJ$4</f>
        <v>#VALUE!</v>
      </c>
      <c r="FH34" s="593">
        <f>'Proy 2022 vs 2019 sem'!AG33*FJ$4</f>
        <v>3890.7304079999999</v>
      </c>
      <c r="FI34" s="701"/>
      <c r="FJ34" s="700" t="e">
        <f>FI34/FG34</f>
        <v>#VALUE!</v>
      </c>
      <c r="FK34" s="593" t="e">
        <f>'Proy 2022 vs 2019 sem'!AF33*FN$4</f>
        <v>#VALUE!</v>
      </c>
      <c r="FL34" s="593">
        <f>'Proy 2022 vs 2019 sem'!AG33*FN$4</f>
        <v>3890.7304079999999</v>
      </c>
      <c r="FM34" s="701"/>
      <c r="FN34" s="700" t="e">
        <f>FM34/FK34</f>
        <v>#VALUE!</v>
      </c>
      <c r="FO34" s="593" t="e">
        <f>'Proy 2022 vs 2019 sem'!AF33*FR$4</f>
        <v>#VALUE!</v>
      </c>
      <c r="FP34" s="593">
        <f>'Proy 2022 vs 2019 sem'!AG33*FR$4</f>
        <v>3890.7304079999999</v>
      </c>
      <c r="FQ34" s="701"/>
      <c r="FR34" s="700" t="e">
        <f>FQ34/FO34</f>
        <v>#VALUE!</v>
      </c>
      <c r="FS34" s="593" t="e">
        <f>'Proy 2022 vs 2019 sem'!AF33*FV$4</f>
        <v>#VALUE!</v>
      </c>
      <c r="FT34" s="593">
        <f>'Proy 2022 vs 2019 sem'!AG33*FV$4</f>
        <v>3890.7304079999999</v>
      </c>
      <c r="FU34" s="701"/>
      <c r="FV34" s="700" t="e">
        <f>FU34/FS34</f>
        <v>#VALUE!</v>
      </c>
      <c r="FW34" s="593" t="e">
        <f>'Proy 2022 vs 2019 sem'!AF33*FZ$4</f>
        <v>#VALUE!</v>
      </c>
      <c r="FX34" s="593">
        <f>'Proy 2022 vs 2019 sem'!AG33*FZ$4</f>
        <v>4539.1854760000006</v>
      </c>
      <c r="FY34" s="701"/>
      <c r="FZ34" s="700" t="e">
        <f>FY34/FW34</f>
        <v>#VALUE!</v>
      </c>
      <c r="GA34" s="593" t="e">
        <f>'Proy 2022 vs 2019 sem'!AF33*GD$4</f>
        <v>#VALUE!</v>
      </c>
      <c r="GB34" s="593">
        <f>'Proy 2022 vs 2019 sem'!AG33*GD$4</f>
        <v>5187.6405440000008</v>
      </c>
      <c r="GC34" s="701"/>
      <c r="GD34" s="700" t="e">
        <f>GC34/GA34</f>
        <v>#VALUE!</v>
      </c>
      <c r="GE34" s="593" t="e">
        <f>'Proy 2022 vs 2019 sem'!AF33*GH$4</f>
        <v>#VALUE!</v>
      </c>
      <c r="GF34" s="593">
        <f>'Proy 2022 vs 2019 sem'!AG33*GH$4</f>
        <v>7133.0057480000005</v>
      </c>
      <c r="GG34" s="701"/>
      <c r="GH34" s="700" t="e">
        <f>GG34/GE34</f>
        <v>#VALUE!</v>
      </c>
      <c r="GI34" s="579" t="e">
        <f>FG34+FK34+FO34+FS34+FW34+GA34+GE34</f>
        <v>#VALUE!</v>
      </c>
      <c r="GJ34" s="574">
        <f>FH34+FL34+FP34+FT34+FX34+GB34+GF34</f>
        <v>32422.753400000001</v>
      </c>
      <c r="GK34" s="794">
        <f>FI34+FM34+FQ34+FU34+FY34+GC34+GG34</f>
        <v>0</v>
      </c>
      <c r="GL34" s="786" t="e">
        <f>GK34/GI34</f>
        <v>#VALUE!</v>
      </c>
      <c r="GM34" s="593" t="e">
        <f>'Proy 2022 vs 2019 sem'!AK33*GP$4</f>
        <v>#VALUE!</v>
      </c>
      <c r="GN34" s="593">
        <f>'Proy 2022 vs 2019 sem'!AL33*GP$4</f>
        <v>3326.3498880000002</v>
      </c>
      <c r="GO34" s="701"/>
      <c r="GP34" s="700" t="e">
        <f>GO34/GM34</f>
        <v>#VALUE!</v>
      </c>
      <c r="GQ34" s="593" t="e">
        <f>'Proy 2022 vs 2019 sem'!AK33*GT$4</f>
        <v>#VALUE!</v>
      </c>
      <c r="GR34" s="593">
        <f>'Proy 2022 vs 2019 sem'!AL33*GT$4</f>
        <v>3326.3498880000002</v>
      </c>
      <c r="GS34" s="701"/>
      <c r="GT34" s="700" t="e">
        <f>GS34/GQ34</f>
        <v>#VALUE!</v>
      </c>
      <c r="GU34" s="593" t="e">
        <f>'Proy 2022 vs 2019 sem'!AK33*GX$4</f>
        <v>#VALUE!</v>
      </c>
      <c r="GV34" s="593">
        <f>'Proy 2022 vs 2019 sem'!AL33*GX$4</f>
        <v>3326.3498880000002</v>
      </c>
      <c r="GW34" s="701"/>
      <c r="GX34" s="700" t="e">
        <f>GW34/GU34</f>
        <v>#VALUE!</v>
      </c>
      <c r="GY34" s="593" t="e">
        <f>'Proy 2022 vs 2019 sem'!AK33*HB$4</f>
        <v>#VALUE!</v>
      </c>
      <c r="GZ34" s="593">
        <f>'Proy 2022 vs 2019 sem'!AL33*HB$4</f>
        <v>3326.3498880000002</v>
      </c>
      <c r="HA34" s="701"/>
      <c r="HB34" s="700" t="e">
        <f>HA34/GY34</f>
        <v>#VALUE!</v>
      </c>
      <c r="HC34" s="593" t="e">
        <f>'Proy 2022 vs 2019 sem'!AK33*HF$4</f>
        <v>#VALUE!</v>
      </c>
      <c r="HD34" s="593">
        <f>'Proy 2022 vs 2019 sem'!AL33*HF$4</f>
        <v>3880.7415360000009</v>
      </c>
      <c r="HE34" s="701"/>
      <c r="HF34" s="700" t="e">
        <f>HE34/HC34</f>
        <v>#VALUE!</v>
      </c>
      <c r="HG34" s="593" t="e">
        <f>'Proy 2022 vs 2019 sem'!AK33*HJ$4</f>
        <v>#VALUE!</v>
      </c>
      <c r="HH34" s="593">
        <f>'Proy 2022 vs 2019 sem'!AL33*HJ$4</f>
        <v>4435.1331840000003</v>
      </c>
      <c r="HI34" s="701"/>
      <c r="HJ34" s="700" t="e">
        <f>HI34/HG34</f>
        <v>#VALUE!</v>
      </c>
      <c r="HK34" s="593" t="e">
        <f>'Proy 2022 vs 2019 sem'!AK33*HN$4</f>
        <v>#VALUE!</v>
      </c>
      <c r="HL34" s="593">
        <f>'Proy 2022 vs 2019 sem'!AL33*HN$4</f>
        <v>6098.3081280000006</v>
      </c>
      <c r="HM34" s="701"/>
      <c r="HN34" s="700" t="e">
        <f>HM34/HK34</f>
        <v>#VALUE!</v>
      </c>
      <c r="HO34" s="579" t="e">
        <f>GM34+GQ34+GU34+GY34+HC34+HG34+HK34</f>
        <v>#VALUE!</v>
      </c>
      <c r="HP34" s="574">
        <f>GN34+GR34+GV34+GZ34+HD34+HH34+HL34</f>
        <v>27719.582400000003</v>
      </c>
      <c r="HQ34" s="794">
        <f>GO34+GS34+GW34+HA34+HE34+HI34+HM34</f>
        <v>0</v>
      </c>
      <c r="HR34" s="786" t="e">
        <f>HQ34/HO34</f>
        <v>#VALUE!</v>
      </c>
      <c r="HS34" s="593" t="e">
        <f>'Proy 2022 vs 2019 sem'!AK33*HV$4</f>
        <v>#VALUE!</v>
      </c>
      <c r="HT34" s="593">
        <f>'Proy 2022 vs 2019 sem'!AL33*HV$4</f>
        <v>3326.3498880000002</v>
      </c>
      <c r="HU34" s="701"/>
      <c r="HV34" s="700" t="e">
        <f>HU34/HS34</f>
        <v>#VALUE!</v>
      </c>
      <c r="HW34" s="593" t="e">
        <f>'Proy 2022 vs 2019 sem'!AK33*HZ$4</f>
        <v>#VALUE!</v>
      </c>
      <c r="HX34" s="593">
        <f>'Proy 2022 vs 2019 sem'!AL33*HZ$4</f>
        <v>3326.3498880000002</v>
      </c>
      <c r="HY34" s="701"/>
      <c r="HZ34" s="700" t="e">
        <f>HY34/HW34</f>
        <v>#VALUE!</v>
      </c>
      <c r="IA34" s="593" t="e">
        <f>'Proy 2022 vs 2019 sem'!AK33*ID$4</f>
        <v>#VALUE!</v>
      </c>
      <c r="IB34" s="593">
        <f>'Proy 2022 vs 2019 sem'!AL33*ID$4</f>
        <v>3326.3498880000002</v>
      </c>
      <c r="IC34" s="701"/>
      <c r="ID34" s="700" t="e">
        <f>IC34/IA34</f>
        <v>#VALUE!</v>
      </c>
      <c r="IE34" s="593" t="e">
        <f>'Proy 2022 vs 2019 sem'!AK33*IH$4</f>
        <v>#VALUE!</v>
      </c>
      <c r="IF34" s="593">
        <f>'Proy 2022 vs 2019 sem'!AL33*IH$4</f>
        <v>3326.3498880000002</v>
      </c>
      <c r="IG34" s="701"/>
      <c r="IH34" s="700" t="e">
        <f>IG34/IE34</f>
        <v>#VALUE!</v>
      </c>
      <c r="II34" s="593" t="e">
        <f>'Proy 2022 vs 2019 sem'!AK33*IL$4</f>
        <v>#VALUE!</v>
      </c>
      <c r="IJ34" s="593">
        <f>'Proy 2022 vs 2019 sem'!AL33*IL$4</f>
        <v>3880.7415360000009</v>
      </c>
      <c r="IK34" s="701"/>
      <c r="IL34" s="700" t="e">
        <f>IK34/II34</f>
        <v>#VALUE!</v>
      </c>
      <c r="IM34" s="593" t="e">
        <f>'Proy 2022 vs 2019 sem'!AK33*IP$4</f>
        <v>#VALUE!</v>
      </c>
      <c r="IN34" s="593">
        <f>'Proy 2022 vs 2019 sem'!AL33*IP$4</f>
        <v>4435.1331840000003</v>
      </c>
      <c r="IO34" s="701"/>
      <c r="IP34" s="700" t="e">
        <f>IO34/IM34</f>
        <v>#VALUE!</v>
      </c>
      <c r="IQ34" s="593" t="e">
        <f>'Proy 2022 vs 2019 sem'!AK33*IT$4</f>
        <v>#VALUE!</v>
      </c>
      <c r="IR34" s="593">
        <f>'Proy 2022 vs 2019 sem'!AL33*IT$4</f>
        <v>6098.3081280000006</v>
      </c>
      <c r="IS34" s="701"/>
      <c r="IT34" s="700" t="e">
        <f>IS34/IQ34</f>
        <v>#VALUE!</v>
      </c>
      <c r="IU34" s="579" t="e">
        <f>HS34+HW34+IA34+IE34+II34+IM34+IQ34</f>
        <v>#VALUE!</v>
      </c>
      <c r="IV34" s="574">
        <f>HT34+HX34+IB34+IF34+IJ34+IN34+IR34</f>
        <v>27719.582400000003</v>
      </c>
      <c r="IW34" s="785">
        <f>HU34+HY34+IC34+IG34+IK34+IO34+IS34</f>
        <v>0</v>
      </c>
      <c r="IX34" s="786" t="e">
        <f>IW34/IU34</f>
        <v>#VALUE!</v>
      </c>
      <c r="IY34" s="593" t="e">
        <f>'Proy 2022 vs 2019 sem'!AY33*JB$4</f>
        <v>#VALUE!</v>
      </c>
      <c r="IZ34" s="593">
        <f>'Proy 2022 vs 2019 sem'!AZ33*JB$4</f>
        <v>3540.38256</v>
      </c>
      <c r="JA34" s="736"/>
      <c r="JB34" s="700" t="e">
        <f>JA34/IY34</f>
        <v>#VALUE!</v>
      </c>
      <c r="JC34" s="593" t="e">
        <f>'Proy 2022 vs 2019 sem'!AY33*JF$4</f>
        <v>#VALUE!</v>
      </c>
      <c r="JD34" s="593">
        <f>'Proy 2022 vs 2019 sem'!AZ33*JF$4</f>
        <v>3540.38256</v>
      </c>
      <c r="JE34" s="736"/>
      <c r="JF34" s="700" t="e">
        <f>JE34/JC34</f>
        <v>#VALUE!</v>
      </c>
      <c r="JG34" s="593" t="e">
        <f>'Proy 2022 vs 2019 sem'!AY33*JJ$4</f>
        <v>#VALUE!</v>
      </c>
      <c r="JH34" s="593">
        <f>'Proy 2022 vs 2019 sem'!AZ33*JJ$4</f>
        <v>3540.38256</v>
      </c>
      <c r="JI34" s="736"/>
      <c r="JJ34" s="700" t="e">
        <f>JI34/JG34</f>
        <v>#VALUE!</v>
      </c>
      <c r="JK34" s="593" t="e">
        <f>'Proy 2022 vs 2019 sem'!AY33*JN$4</f>
        <v>#VALUE!</v>
      </c>
      <c r="JL34" s="593">
        <f>'Proy 2022 vs 2019 sem'!AZ33*JN$4</f>
        <v>3540.38256</v>
      </c>
      <c r="JM34" s="736"/>
      <c r="JN34" s="700" t="e">
        <f>JM34/JK34</f>
        <v>#VALUE!</v>
      </c>
      <c r="JO34" s="593" t="e">
        <f>'Proy 2022 vs 2019 sem'!AY33*JR$4</f>
        <v>#VALUE!</v>
      </c>
      <c r="JP34" s="593">
        <f>'Proy 2022 vs 2019 sem'!AZ33*JR$4</f>
        <v>4130.4463200000009</v>
      </c>
      <c r="JQ34" s="736"/>
      <c r="JR34" s="700" t="e">
        <f>JQ34/JO34</f>
        <v>#VALUE!</v>
      </c>
      <c r="JS34" s="593" t="e">
        <f>'Proy 2022 vs 2019 sem'!AY33*JV$4</f>
        <v>#VALUE!</v>
      </c>
      <c r="JT34" s="593">
        <f>'Proy 2022 vs 2019 sem'!AZ33*JV$4</f>
        <v>4720.51008</v>
      </c>
      <c r="JU34" s="736"/>
      <c r="JV34" s="700" t="e">
        <f>JU34/JS34</f>
        <v>#VALUE!</v>
      </c>
      <c r="JW34" s="593" t="e">
        <f>'Proy 2022 vs 2019 sem'!AY33*JZ$4</f>
        <v>#VALUE!</v>
      </c>
      <c r="JX34" s="593">
        <f>'Proy 2022 vs 2019 sem'!AZ33*JZ$4</f>
        <v>6490.70136</v>
      </c>
      <c r="JY34" s="736"/>
      <c r="JZ34" s="700" t="e">
        <f>JY34/JW34</f>
        <v>#VALUE!</v>
      </c>
      <c r="KA34" s="579" t="e">
        <f>IY34+JC34+JG34+JK34+JO34+JS34+JW34</f>
        <v>#VALUE!</v>
      </c>
      <c r="KB34" s="574">
        <f>IZ34+JD34+JH34+JL34+JP34+JT34+JX34</f>
        <v>29503.188000000002</v>
      </c>
      <c r="KC34" s="729">
        <f>JA34+JE34+JI34+JM34+JQ34+JU34+JY34</f>
        <v>0</v>
      </c>
      <c r="KD34" s="711" t="e">
        <f>KC34/KA34</f>
        <v>#VALUE!</v>
      </c>
      <c r="KE34" s="593" t="e">
        <f>'Proy 2022 vs 2019 sem'!BD33*KH$4</f>
        <v>#VALUE!</v>
      </c>
      <c r="KF34" s="593">
        <f>'Proy 2022 vs 2019 sem'!BE33*KH$4</f>
        <v>4058.2602720000004</v>
      </c>
      <c r="KG34" s="701"/>
      <c r="KH34" s="700" t="e">
        <f>KG34/KE34</f>
        <v>#VALUE!</v>
      </c>
      <c r="KI34" s="593" t="e">
        <f>'Proy 2022 vs 2019 sem'!BD33*KL$4</f>
        <v>#VALUE!</v>
      </c>
      <c r="KJ34" s="593">
        <f>'Proy 2022 vs 2019 sem'!BE33*KL$4</f>
        <v>4058.2602720000004</v>
      </c>
      <c r="KK34" s="701"/>
      <c r="KL34" s="700" t="e">
        <f>KK34/KI34</f>
        <v>#VALUE!</v>
      </c>
      <c r="KM34" s="593" t="e">
        <f>'Proy 2022 vs 2019 sem'!BD33*KP$4</f>
        <v>#VALUE!</v>
      </c>
      <c r="KN34" s="593">
        <f>'Proy 2022 vs 2019 sem'!BE33*KP$4</f>
        <v>4058.2602720000004</v>
      </c>
      <c r="KO34" s="701"/>
      <c r="KP34" s="700" t="e">
        <f>KO34/KM34</f>
        <v>#VALUE!</v>
      </c>
      <c r="KQ34" s="593" t="e">
        <f>'Proy 2022 vs 2019 sem'!BD33*KT$4</f>
        <v>#VALUE!</v>
      </c>
      <c r="KR34" s="593">
        <f>'Proy 2022 vs 2019 sem'!BE33*KT$4</f>
        <v>4058.2602720000004</v>
      </c>
      <c r="KS34" s="701"/>
      <c r="KT34" s="700" t="e">
        <f>KS34/KQ34</f>
        <v>#VALUE!</v>
      </c>
      <c r="KU34" s="593" t="e">
        <f>'Proy 2022 vs 2019 sem'!BD33*KX$4</f>
        <v>#VALUE!</v>
      </c>
      <c r="KV34" s="593">
        <f>'Proy 2022 vs 2019 sem'!BE33*KX$4</f>
        <v>4734.6369840000016</v>
      </c>
      <c r="KW34" s="701"/>
      <c r="KX34" s="700" t="e">
        <f>KW34/KU34</f>
        <v>#VALUE!</v>
      </c>
      <c r="KY34" s="593" t="e">
        <f>'Proy 2022 vs 2019 sem'!BD33*LB$4</f>
        <v>#VALUE!</v>
      </c>
      <c r="KZ34" s="593">
        <f>'Proy 2022 vs 2019 sem'!BE33*LB$4</f>
        <v>5411.0136960000009</v>
      </c>
      <c r="LA34" s="701"/>
      <c r="LB34" s="700" t="e">
        <f>LA34/KY34</f>
        <v>#VALUE!</v>
      </c>
      <c r="LC34" s="593" t="e">
        <f>'Proy 2022 vs 2019 sem'!BD33*LF$4</f>
        <v>#VALUE!</v>
      </c>
      <c r="LD34" s="593">
        <f>'Proy 2022 vs 2019 sem'!BE33*LF$4</f>
        <v>7440.1438320000016</v>
      </c>
      <c r="LE34" s="701"/>
      <c r="LF34" s="700" t="e">
        <f>LE34/LC34</f>
        <v>#VALUE!</v>
      </c>
      <c r="LG34" s="579" t="e">
        <f>KE34+KI34+KM34+KQ34+KU34+KY34+LC34</f>
        <v>#VALUE!</v>
      </c>
      <c r="LH34" s="574">
        <f>KF34+KJ34+KN34+KR34+KV34+KZ34+LD34</f>
        <v>33818.835600000006</v>
      </c>
      <c r="LI34" s="730">
        <f>KG34+KK34+KO34+KS34+KW34+LA34+LE34</f>
        <v>0</v>
      </c>
      <c r="LJ34" s="711" t="e">
        <f>LI34/LG34</f>
        <v>#VALUE!</v>
      </c>
      <c r="LK34" s="593" t="e">
        <f>'Proy 2022 vs 2019 sem'!BI33*LN$4</f>
        <v>#VALUE!</v>
      </c>
      <c r="LL34" s="593">
        <f>'Proy 2022 vs 2019 sem'!BJ33*LN$4</f>
        <v>4204.3426271999997</v>
      </c>
      <c r="LM34" s="701"/>
      <c r="LN34" s="700" t="e">
        <f>LM34/LK34</f>
        <v>#VALUE!</v>
      </c>
      <c r="LO34" s="593" t="e">
        <f>'Proy 2022 vs 2019 sem'!BI33*LR$4</f>
        <v>#VALUE!</v>
      </c>
      <c r="LP34" s="593">
        <f>'Proy 2022 vs 2019 sem'!BJ33*LR$4</f>
        <v>4204.3426271999997</v>
      </c>
      <c r="LQ34" s="701"/>
      <c r="LR34" s="700" t="e">
        <f>LQ34/LO34</f>
        <v>#VALUE!</v>
      </c>
      <c r="LS34" s="593" t="e">
        <f>'Proy 2022 vs 2019 sem'!BI33*LV$4</f>
        <v>#VALUE!</v>
      </c>
      <c r="LT34" s="593">
        <f>'Proy 2022 vs 2019 sem'!BJ33*LV$4</f>
        <v>4204.3426271999997</v>
      </c>
      <c r="LU34" s="701"/>
      <c r="LV34" s="700" t="e">
        <f>LU34/LS34</f>
        <v>#VALUE!</v>
      </c>
      <c r="LW34" s="593" t="e">
        <f>'Proy 2022 vs 2019 sem'!BI33*LZ$4</f>
        <v>#VALUE!</v>
      </c>
      <c r="LX34" s="593">
        <f>'Proy 2022 vs 2019 sem'!BJ33*LZ$4</f>
        <v>4204.3426271999997</v>
      </c>
      <c r="LY34" s="701"/>
      <c r="LZ34" s="700" t="e">
        <f>LY34/LW34</f>
        <v>#VALUE!</v>
      </c>
      <c r="MA34" s="593" t="e">
        <f>'Proy 2022 vs 2019 sem'!BI33*MD$4</f>
        <v>#VALUE!</v>
      </c>
      <c r="MB34" s="593">
        <f>'Proy 2022 vs 2019 sem'!BJ33*MD$4</f>
        <v>4905.0663984000012</v>
      </c>
      <c r="MC34" s="701"/>
      <c r="MD34" s="700" t="e">
        <f>MC34/MA34</f>
        <v>#VALUE!</v>
      </c>
      <c r="ME34" s="593" t="e">
        <f>'Proy 2022 vs 2019 sem'!BI33*MH$4</f>
        <v>#VALUE!</v>
      </c>
      <c r="MF34" s="593">
        <f>'Proy 2022 vs 2019 sem'!BJ33*MH$4</f>
        <v>5605.7901696000008</v>
      </c>
      <c r="MG34" s="701"/>
      <c r="MH34" s="700" t="e">
        <f>MG34/ME34</f>
        <v>#VALUE!</v>
      </c>
      <c r="MI34" s="593" t="e">
        <f>'Proy 2022 vs 2019 sem'!BI33*ML$4</f>
        <v>#VALUE!</v>
      </c>
      <c r="MJ34" s="593">
        <f>'Proy 2022 vs 2019 sem'!BJ33*ML$4</f>
        <v>7707.9614832000007</v>
      </c>
      <c r="MK34" s="701"/>
      <c r="ML34" s="700" t="e">
        <f>MK34/MI34</f>
        <v>#VALUE!</v>
      </c>
      <c r="MM34" s="579" t="e">
        <f>LK34+LO34+LS34+LW34+MA34+ME34+MI34</f>
        <v>#VALUE!</v>
      </c>
      <c r="MN34" s="574">
        <f>LL34+LP34+LT34+LX34+MB34+MF34+MJ34</f>
        <v>35036.188560000002</v>
      </c>
      <c r="MO34" s="730">
        <f>LM34+LQ34+LU34+LY34+MC34+MG34+MK34</f>
        <v>0</v>
      </c>
      <c r="MP34" s="711" t="e">
        <f>MO34/MM34</f>
        <v>#VALUE!</v>
      </c>
      <c r="MQ34" s="593" t="e">
        <f>'Proy 2022 vs 2019 sem'!BN33*MT$4</f>
        <v>#VALUE!</v>
      </c>
      <c r="MR34" s="593">
        <f>'Proy 2022 vs 2019 sem'!BO33*MT$4</f>
        <v>4599.8030304000004</v>
      </c>
      <c r="MS34" s="701"/>
      <c r="MT34" s="700" t="e">
        <f>MS34/MQ34</f>
        <v>#VALUE!</v>
      </c>
      <c r="MU34" s="593" t="e">
        <f>'Proy 2022 vs 2019 sem'!BN33*MX$4</f>
        <v>#VALUE!</v>
      </c>
      <c r="MV34" s="593">
        <f>'Proy 2022 vs 2019 sem'!BO33*MX$4</f>
        <v>4599.8030304000004</v>
      </c>
      <c r="MW34" s="701"/>
      <c r="MX34" s="700" t="e">
        <f>MW34/MU34</f>
        <v>#VALUE!</v>
      </c>
      <c r="MY34" s="593" t="e">
        <f>'Proy 2022 vs 2019 sem'!BN33*NB$4</f>
        <v>#VALUE!</v>
      </c>
      <c r="MZ34" s="593">
        <f>'Proy 2022 vs 2019 sem'!BO33*NB$4</f>
        <v>4599.8030304000004</v>
      </c>
      <c r="NA34" s="701"/>
      <c r="NB34" s="700" t="e">
        <f>NA34/MY34</f>
        <v>#VALUE!</v>
      </c>
      <c r="NC34" s="593" t="e">
        <f>'Proy 2022 vs 2019 sem'!BN33*NF$4</f>
        <v>#VALUE!</v>
      </c>
      <c r="ND34" s="593">
        <f>'Proy 2022 vs 2019 sem'!BO33*NF$4</f>
        <v>4599.8030304000004</v>
      </c>
      <c r="NE34" s="701"/>
      <c r="NF34" s="700" t="e">
        <f>NE34/NC34</f>
        <v>#VALUE!</v>
      </c>
      <c r="NG34" s="593" t="e">
        <f>'Proy 2022 vs 2019 sem'!BN33*NJ$4</f>
        <v>#VALUE!</v>
      </c>
      <c r="NH34" s="593">
        <f>'Proy 2022 vs 2019 sem'!BO33*NJ$4</f>
        <v>5366.4368688000013</v>
      </c>
      <c r="NI34" s="701"/>
      <c r="NJ34" s="700" t="e">
        <f>NI34/NG34</f>
        <v>#VALUE!</v>
      </c>
      <c r="NK34" s="593" t="e">
        <f>'Proy 2022 vs 2019 sem'!BN33*NN$4</f>
        <v>#VALUE!</v>
      </c>
      <c r="NL34" s="593">
        <f>'Proy 2022 vs 2019 sem'!BO33*NN$4</f>
        <v>6133.0707072000005</v>
      </c>
      <c r="NM34" s="701"/>
      <c r="NN34" s="700" t="e">
        <f>NM34/NK34</f>
        <v>#VALUE!</v>
      </c>
      <c r="NO34" s="593" t="e">
        <f>'Proy 2022 vs 2019 sem'!BN33*NR$4</f>
        <v>#VALUE!</v>
      </c>
      <c r="NP34" s="593">
        <f>'Proy 2022 vs 2019 sem'!BO33*NR$4</f>
        <v>8432.9722224000016</v>
      </c>
      <c r="NQ34" s="701"/>
      <c r="NR34" s="700" t="e">
        <f>NQ34/NO34</f>
        <v>#VALUE!</v>
      </c>
      <c r="NS34" s="579" t="e">
        <f>MQ34+MU34+MY34+NC34+NG34+NK34+NO34</f>
        <v>#VALUE!</v>
      </c>
      <c r="NT34" s="574">
        <f>MR34+MV34+MZ34+ND34+NH34+NL34+NP34</f>
        <v>38331.691920000005</v>
      </c>
      <c r="NU34" s="710">
        <f>MS34+MW34+NA34+NE34+NI34+NM34+NQ34</f>
        <v>0</v>
      </c>
      <c r="NV34" s="711" t="e">
        <f>NU34/NS34</f>
        <v>#VALUE!</v>
      </c>
      <c r="NW34" s="593" t="e">
        <f>'Proy 2022 vs 2019 sem'!BS33*NZ$4</f>
        <v>#VALUE!</v>
      </c>
      <c r="NX34" s="593">
        <f>'Proy 2022 vs 2019 sem'!BT33*NZ$4</f>
        <v>5276.0297904000008</v>
      </c>
      <c r="NY34" s="701"/>
      <c r="NZ34" s="700" t="e">
        <f>NY34/NW34</f>
        <v>#VALUE!</v>
      </c>
      <c r="OA34" s="593" t="e">
        <f>'Proy 2022 vs 2019 sem'!BS33*OD$4</f>
        <v>#VALUE!</v>
      </c>
      <c r="OB34" s="593">
        <f>'Proy 2022 vs 2019 sem'!BT33*OD$4</f>
        <v>5276.0297904000008</v>
      </c>
      <c r="OC34" s="701"/>
      <c r="OD34" s="700" t="e">
        <f>OC34/OA34</f>
        <v>#VALUE!</v>
      </c>
      <c r="OE34" s="593" t="e">
        <f>'Proy 2022 vs 2019 sem'!BS33*OH$4</f>
        <v>#VALUE!</v>
      </c>
      <c r="OF34" s="593">
        <f>'Proy 2022 vs 2019 sem'!BT33*OH$4</f>
        <v>5276.0297904000008</v>
      </c>
      <c r="OG34" s="701"/>
      <c r="OH34" s="700" t="e">
        <f>OG34/OE34</f>
        <v>#VALUE!</v>
      </c>
      <c r="OI34" s="593" t="e">
        <f>'Proy 2022 vs 2019 sem'!BS33*OL$4</f>
        <v>#VALUE!</v>
      </c>
      <c r="OJ34" s="593">
        <f>'Proy 2022 vs 2019 sem'!BT33*OL$4</f>
        <v>5276.0297904000008</v>
      </c>
      <c r="OK34" s="701"/>
      <c r="OL34" s="700" t="e">
        <f>OK34/OI34</f>
        <v>#VALUE!</v>
      </c>
      <c r="OM34" s="593" t="e">
        <f>'Proy 2022 vs 2019 sem'!BS33*OP$4</f>
        <v>#VALUE!</v>
      </c>
      <c r="ON34" s="593">
        <f>'Proy 2022 vs 2019 sem'!BT33*OP$4</f>
        <v>6155.3680888000017</v>
      </c>
      <c r="OO34" s="701"/>
      <c r="OP34" s="700" t="e">
        <f>OO34/OM34</f>
        <v>#VALUE!</v>
      </c>
      <c r="OQ34" s="593" t="e">
        <f>'Proy 2022 vs 2019 sem'!BS33*OT$4</f>
        <v>#VALUE!</v>
      </c>
      <c r="OR34" s="593">
        <f>'Proy 2022 vs 2019 sem'!BT33*OT$4</f>
        <v>7034.7063872000017</v>
      </c>
      <c r="OS34" s="701"/>
      <c r="OT34" s="700" t="e">
        <f>OS34/OQ34</f>
        <v>#VALUE!</v>
      </c>
      <c r="OU34" s="593" t="e">
        <f>'Proy 2022 vs 2019 sem'!BS33*OX$4</f>
        <v>#VALUE!</v>
      </c>
      <c r="OV34" s="593">
        <f>'Proy 2022 vs 2019 sem'!BT33*OX$4</f>
        <v>9672.7212824000017</v>
      </c>
      <c r="OW34" s="701"/>
      <c r="OX34" s="700" t="e">
        <f>OW34/OU34</f>
        <v>#VALUE!</v>
      </c>
      <c r="OY34" s="579" t="e">
        <f>NW34+OA34+OE34+OI34+OM34+OQ34+OU34</f>
        <v>#VALUE!</v>
      </c>
      <c r="OZ34" s="574">
        <f>NX34+OB34+OF34+OJ34+ON34+OR34+OV34</f>
        <v>43966.91492000001</v>
      </c>
      <c r="PA34" s="710">
        <f>NY34+OC34+OG34+OK34+OO34+OS34+OW34</f>
        <v>0</v>
      </c>
      <c r="PB34" s="711" t="e">
        <f>PA34/OY34</f>
        <v>#VALUE!</v>
      </c>
      <c r="PC34" s="593" t="e">
        <f>'Proy 2022 vs 2019 sem'!CB33*PF$4</f>
        <v>#VALUE!</v>
      </c>
      <c r="PD34" s="593">
        <f>'Proy 2022 vs 2019 sem'!CC33*PF$4</f>
        <v>4761.8535792000011</v>
      </c>
      <c r="PE34" s="736"/>
      <c r="PF34" s="700" t="e">
        <f>PE34/PC34</f>
        <v>#VALUE!</v>
      </c>
      <c r="PG34" s="593" t="e">
        <f>'Proy 2022 vs 2019 sem'!CB33*PJ$4</f>
        <v>#VALUE!</v>
      </c>
      <c r="PH34" s="593">
        <f>'Proy 2022 vs 2019 sem'!CC33*PJ$4</f>
        <v>4761.8535792000011</v>
      </c>
      <c r="PI34" s="701"/>
      <c r="PJ34" s="700" t="e">
        <f>PI34/PG34</f>
        <v>#VALUE!</v>
      </c>
      <c r="PK34" s="593" t="e">
        <f>'Proy 2022 vs 2019 sem'!CB33*PN$4</f>
        <v>#VALUE!</v>
      </c>
      <c r="PL34" s="593">
        <f>'Proy 2022 vs 2019 sem'!CC33*PN$4</f>
        <v>4761.8535792000011</v>
      </c>
      <c r="PM34" s="701"/>
      <c r="PN34" s="700" t="e">
        <f>PM34/PK34</f>
        <v>#VALUE!</v>
      </c>
      <c r="PO34" s="593" t="e">
        <f>'Proy 2022 vs 2019 sem'!CB33*PR$4</f>
        <v>#VALUE!</v>
      </c>
      <c r="PP34" s="593">
        <f>'Proy 2022 vs 2019 sem'!CC33*PR$4</f>
        <v>4761.8535792000011</v>
      </c>
      <c r="PQ34" s="701"/>
      <c r="PR34" s="700" t="e">
        <f>PQ34/PO34</f>
        <v>#VALUE!</v>
      </c>
      <c r="PS34" s="593" t="e">
        <f>'Proy 2022 vs 2019 sem'!CB33*PV$4</f>
        <v>#VALUE!</v>
      </c>
      <c r="PT34" s="593">
        <f>'Proy 2022 vs 2019 sem'!CC33*PV$4</f>
        <v>5555.4958424000015</v>
      </c>
      <c r="PU34" s="701"/>
      <c r="PV34" s="700" t="e">
        <f>PU34/PS34</f>
        <v>#VALUE!</v>
      </c>
      <c r="PW34" s="593" t="e">
        <f>'Proy 2022 vs 2019 sem'!CB33*PZ$4</f>
        <v>#VALUE!</v>
      </c>
      <c r="PX34" s="593">
        <f>'Proy 2022 vs 2019 sem'!CC33*PZ$4</f>
        <v>6349.1381056000018</v>
      </c>
      <c r="PY34" s="701"/>
      <c r="PZ34" s="700" t="e">
        <f>PY34/PW34</f>
        <v>#VALUE!</v>
      </c>
      <c r="QA34" s="593" t="e">
        <f>'Proy 2022 vs 2019 sem'!CB33*QD$4</f>
        <v>#VALUE!</v>
      </c>
      <c r="QB34" s="593">
        <f>'Proy 2022 vs 2019 sem'!CC33*QD$4</f>
        <v>8730.064895200001</v>
      </c>
      <c r="QC34" s="701"/>
      <c r="QD34" s="700" t="e">
        <f>QC34/QA34</f>
        <v>#VALUE!</v>
      </c>
      <c r="QE34" s="579" t="e">
        <f>PC34+PG34+PK34+PO34+PS34+PW34+QA34</f>
        <v>#VALUE!</v>
      </c>
      <c r="QF34" s="574">
        <f>PD34+PH34+PL34+PP34+PT34+PX34+QB34</f>
        <v>39682.113160000008</v>
      </c>
      <c r="QG34" s="793">
        <f>PE34+PI34+PM34+PQ34+PU34+PY34+QC34</f>
        <v>0</v>
      </c>
      <c r="QH34" s="786" t="e">
        <f>QG34/QE34</f>
        <v>#VALUE!</v>
      </c>
      <c r="QI34" s="593" t="e">
        <f>'Proy 2022 vs 2019 sem'!CG33*QL$4</f>
        <v>#VALUE!</v>
      </c>
      <c r="QJ34" s="593">
        <f>'Proy 2022 vs 2019 sem'!CH33*QL$4</f>
        <v>4544.1367200000004</v>
      </c>
      <c r="QK34" s="701"/>
      <c r="QL34" s="700" t="e">
        <f>QK34/QI34</f>
        <v>#VALUE!</v>
      </c>
      <c r="QM34" s="593" t="e">
        <f>'Proy 2022 vs 2019 sem'!CG33*QP$4</f>
        <v>#VALUE!</v>
      </c>
      <c r="QN34" s="593">
        <f>'Proy 2022 vs 2019 sem'!CH33*QP$4</f>
        <v>4544.1367200000004</v>
      </c>
      <c r="QO34" s="701"/>
      <c r="QP34" s="700" t="e">
        <f>QO34/QM34</f>
        <v>#VALUE!</v>
      </c>
      <c r="QQ34" s="593" t="e">
        <f>'Proy 2022 vs 2019 sem'!CG33*QT$4</f>
        <v>#VALUE!</v>
      </c>
      <c r="QR34" s="593">
        <f>'Proy 2022 vs 2019 sem'!CH33*QT$4</f>
        <v>4544.1367200000004</v>
      </c>
      <c r="QS34" s="701"/>
      <c r="QT34" s="700" t="e">
        <f>QS34/QQ34</f>
        <v>#VALUE!</v>
      </c>
      <c r="QU34" s="593" t="e">
        <f>'Proy 2022 vs 2019 sem'!CG33*QX$4</f>
        <v>#VALUE!</v>
      </c>
      <c r="QV34" s="593">
        <f>'Proy 2022 vs 2019 sem'!CH33*QX$4</f>
        <v>4544.1367200000004</v>
      </c>
      <c r="QW34" s="701"/>
      <c r="QX34" s="700" t="e">
        <f>QW34/QU34</f>
        <v>#VALUE!</v>
      </c>
      <c r="QY34" s="593" t="e">
        <f>'Proy 2022 vs 2019 sem'!CG33*RB$4</f>
        <v>#VALUE!</v>
      </c>
      <c r="QZ34" s="593">
        <f>'Proy 2022 vs 2019 sem'!CH33*RB$4</f>
        <v>5301.4928400000008</v>
      </c>
      <c r="RA34" s="701"/>
      <c r="RB34" s="700" t="e">
        <f>RA34/QY34</f>
        <v>#VALUE!</v>
      </c>
      <c r="RC34" s="593" t="e">
        <f>'Proy 2022 vs 2019 sem'!CG33*RF$4</f>
        <v>#VALUE!</v>
      </c>
      <c r="RD34" s="593">
        <f>'Proy 2022 vs 2019 sem'!CH33*RF$4</f>
        <v>6058.8489600000012</v>
      </c>
      <c r="RE34" s="701"/>
      <c r="RF34" s="700" t="e">
        <f>RE34/RC34</f>
        <v>#VALUE!</v>
      </c>
      <c r="RG34" s="593" t="e">
        <f>'Proy 2022 vs 2019 sem'!CG33*RJ$4</f>
        <v>#VALUE!</v>
      </c>
      <c r="RH34" s="593">
        <f>'Proy 2022 vs 2019 sem'!CH33*RJ$4</f>
        <v>8330.9173200000005</v>
      </c>
      <c r="RI34" s="701"/>
      <c r="RJ34" s="700" t="e">
        <f>RI34/RG34</f>
        <v>#VALUE!</v>
      </c>
      <c r="RK34" s="579" t="e">
        <f>QI34+QM34+QQ34+QU34+QY34+RC34+RG34</f>
        <v>#VALUE!</v>
      </c>
      <c r="RL34" s="574">
        <f>QJ34+QN34+QR34+QV34+QZ34+RD34+RH34</f>
        <v>37867.806000000004</v>
      </c>
      <c r="RM34" s="794">
        <f>QK34+QO34+QS34+QW34+RA34+RE34+RI34</f>
        <v>0</v>
      </c>
      <c r="RN34" s="786" t="e">
        <f>RM34/RK34</f>
        <v>#VALUE!</v>
      </c>
      <c r="RO34" s="593" t="e">
        <f>'Proy 2022 vs 2019 sem'!CL33*RR$4</f>
        <v>#VALUE!</v>
      </c>
      <c r="RP34" s="593">
        <f>'Proy 2022 vs 2019 sem'!CM33*RR$4</f>
        <v>3931.6613759999996</v>
      </c>
      <c r="RQ34" s="701"/>
      <c r="RR34" s="700" t="e">
        <f>RQ34/RO34</f>
        <v>#VALUE!</v>
      </c>
      <c r="RS34" s="593" t="e">
        <f>'Proy 2022 vs 2019 sem'!CL33*RV$4</f>
        <v>#VALUE!</v>
      </c>
      <c r="RT34" s="593">
        <f>'Proy 2022 vs 2019 sem'!CM33*RV$4</f>
        <v>3931.6613759999996</v>
      </c>
      <c r="RU34" s="701"/>
      <c r="RV34" s="700" t="e">
        <f>RU34/RS34</f>
        <v>#VALUE!</v>
      </c>
      <c r="RW34" s="593" t="e">
        <f>'Proy 2022 vs 2019 sem'!CL33*RZ$4</f>
        <v>#VALUE!</v>
      </c>
      <c r="RX34" s="593">
        <f>'Proy 2022 vs 2019 sem'!CM33*RZ$4</f>
        <v>3931.6613759999996</v>
      </c>
      <c r="RY34" s="701"/>
      <c r="RZ34" s="700" t="e">
        <f>RY34/RW34</f>
        <v>#VALUE!</v>
      </c>
      <c r="SA34" s="593" t="e">
        <f>'Proy 2022 vs 2019 sem'!CL33*SD$4</f>
        <v>#VALUE!</v>
      </c>
      <c r="SB34" s="593">
        <f>'Proy 2022 vs 2019 sem'!CM33*SD$4</f>
        <v>3931.6613759999996</v>
      </c>
      <c r="SC34" s="701"/>
      <c r="SD34" s="700" t="e">
        <f>SC34/SA34</f>
        <v>#VALUE!</v>
      </c>
      <c r="SE34" s="593" t="e">
        <f>'Proy 2022 vs 2019 sem'!CL33*SH$4</f>
        <v>#VALUE!</v>
      </c>
      <c r="SF34" s="593">
        <f>'Proy 2022 vs 2019 sem'!CM33*SH$4</f>
        <v>4586.9382720000003</v>
      </c>
      <c r="SG34" s="701"/>
      <c r="SH34" s="700" t="e">
        <f>SG34/SE34</f>
        <v>#VALUE!</v>
      </c>
      <c r="SI34" s="593" t="e">
        <f>'Proy 2022 vs 2019 sem'!CL33*SL$4</f>
        <v>#VALUE!</v>
      </c>
      <c r="SJ34" s="593">
        <f>'Proy 2022 vs 2019 sem'!CM33*SL$4</f>
        <v>5242.2151679999997</v>
      </c>
      <c r="SK34" s="701"/>
      <c r="SL34" s="700" t="e">
        <f>SK34/SI34</f>
        <v>#VALUE!</v>
      </c>
      <c r="SM34" s="593" t="e">
        <f>'Proy 2022 vs 2019 sem'!CL33*SP$4</f>
        <v>#VALUE!</v>
      </c>
      <c r="SN34" s="593">
        <f>'Proy 2022 vs 2019 sem'!CM33*SP$4</f>
        <v>7208.0458559999997</v>
      </c>
      <c r="SO34" s="701"/>
      <c r="SP34" s="700" t="e">
        <f>SO34/SM34</f>
        <v>#VALUE!</v>
      </c>
      <c r="SQ34" s="579" t="e">
        <f>RO34+RS34+RW34+SA34+SE34+SI34+SM34</f>
        <v>#VALUE!</v>
      </c>
      <c r="SR34" s="574">
        <f>RP34+RT34+RX34+SB34+SF34+SJ34+SN34</f>
        <v>32763.844799999999</v>
      </c>
      <c r="SS34" s="794">
        <f>RQ34+RU34+RY34+SC34+SG34+SK34+SO34</f>
        <v>0</v>
      </c>
      <c r="ST34" s="786" t="e">
        <f>SS34/SQ34</f>
        <v>#VALUE!</v>
      </c>
      <c r="SU34" s="593">
        <f>'Proy 2022 vs 2019 sem'!CQ33*SX$4</f>
        <v>7251.96</v>
      </c>
      <c r="SV34" s="593">
        <f>'Proy 2022 vs 2019 sem'!CR33*SX$4</f>
        <v>4055.6910576000005</v>
      </c>
      <c r="SW34" s="701"/>
      <c r="SX34" s="700">
        <f>SW34/SU34</f>
        <v>0</v>
      </c>
      <c r="SY34" s="593">
        <f>'Proy 2022 vs 2019 sem'!CQ33*TB$4</f>
        <v>7251.96</v>
      </c>
      <c r="SZ34" s="593">
        <f>'Proy 2022 vs 2019 sem'!CR33*TB$4</f>
        <v>4055.6910576000005</v>
      </c>
      <c r="TA34" s="701"/>
      <c r="TB34" s="700">
        <f>TA34/SY34</f>
        <v>0</v>
      </c>
      <c r="TC34" s="593">
        <f>'Proy 2022 vs 2019 sem'!CQ33*TF$4</f>
        <v>7251.96</v>
      </c>
      <c r="TD34" s="593">
        <f>'Proy 2022 vs 2019 sem'!CR33*TF$4</f>
        <v>4055.6910576000005</v>
      </c>
      <c r="TE34" s="701"/>
      <c r="TF34" s="700">
        <f>TE34/TC34</f>
        <v>0</v>
      </c>
      <c r="TG34" s="593">
        <f>'Proy 2022 vs 2019 sem'!CQ33*TJ$4</f>
        <v>7251.96</v>
      </c>
      <c r="TH34" s="593">
        <f>'Proy 2022 vs 2019 sem'!CR33*TJ$4</f>
        <v>4055.6910576000005</v>
      </c>
      <c r="TI34" s="701"/>
      <c r="TJ34" s="700">
        <f>TI34/TG34</f>
        <v>0</v>
      </c>
      <c r="TK34" s="593">
        <f>'Proy 2022 vs 2019 sem'!CQ33*TN$4</f>
        <v>8460.6200000000008</v>
      </c>
      <c r="TL34" s="593">
        <f>'Proy 2022 vs 2019 sem'!CR33*TN$4</f>
        <v>4731.6395672000008</v>
      </c>
      <c r="TM34" s="701"/>
      <c r="TN34" s="700">
        <f>TM34/TK34</f>
        <v>0</v>
      </c>
      <c r="TO34" s="593">
        <f>'Proy 2022 vs 2019 sem'!CQ33*TR$4</f>
        <v>9669.2800000000007</v>
      </c>
      <c r="TP34" s="593">
        <f>'Proy 2022 vs 2019 sem'!CR33*TR$4</f>
        <v>5407.5880768000006</v>
      </c>
      <c r="TQ34" s="701"/>
      <c r="TR34" s="700">
        <f>TQ34/TO34</f>
        <v>0</v>
      </c>
      <c r="TS34" s="593">
        <f>'Proy 2022 vs 2019 sem'!CQ33*TV$4</f>
        <v>13295.26</v>
      </c>
      <c r="TT34" s="593">
        <f>'Proy 2022 vs 2019 sem'!CR33*TV$4</f>
        <v>7435.4336056000011</v>
      </c>
      <c r="TU34" s="701"/>
      <c r="TV34" s="700">
        <f>TU34/TS34</f>
        <v>0</v>
      </c>
      <c r="TW34" s="579">
        <f>SU34+SY34+TC34+TG34+TK34+TO34+TS34</f>
        <v>60433</v>
      </c>
      <c r="TX34" s="574">
        <f>SV34+SZ34+TD34+TH34+TL34+TP34+TT34</f>
        <v>33797.425480000005</v>
      </c>
      <c r="TY34" s="785">
        <f>SW34+TA34+TE34+TI34+TM34+TQ34+TU34</f>
        <v>0</v>
      </c>
      <c r="TZ34" s="786">
        <f>TY34/TW34</f>
        <v>0</v>
      </c>
      <c r="UA34" s="593">
        <f>'Proy 2022 vs 2019 sem'!CZ33*UD$4</f>
        <v>0</v>
      </c>
      <c r="UB34" s="593">
        <f>'Proy 2022 vs 2019 sem'!DA33*UD$4</f>
        <v>0</v>
      </c>
      <c r="UC34" s="736"/>
      <c r="UD34" s="700" t="e">
        <f>UC34/UA34</f>
        <v>#DIV/0!</v>
      </c>
      <c r="UE34" s="593">
        <f>'Proy 2022 vs 2019 sem'!CZ33*UH$4</f>
        <v>0</v>
      </c>
      <c r="UF34" s="593">
        <f>'Proy 2022 vs 2019 sem'!DA33*UH$4</f>
        <v>0</v>
      </c>
      <c r="UG34" s="701"/>
      <c r="UH34" s="700" t="e">
        <f>UG34/UE34</f>
        <v>#DIV/0!</v>
      </c>
      <c r="UI34" s="593">
        <f>'Proy 2022 vs 2019 sem'!CZ33*UL$4</f>
        <v>0</v>
      </c>
      <c r="UJ34" s="593">
        <f>'Proy 2022 vs 2019 sem'!DA33*UL$4</f>
        <v>0</v>
      </c>
      <c r="UK34" s="701"/>
      <c r="UL34" s="700" t="e">
        <f>UK34/UI34</f>
        <v>#DIV/0!</v>
      </c>
      <c r="UM34" s="593">
        <f>'Proy 2022 vs 2019 sem'!CZ33*UP$4</f>
        <v>0</v>
      </c>
      <c r="UN34" s="593">
        <f>'Proy 2022 vs 2019 sem'!DA33*UP$4</f>
        <v>0</v>
      </c>
      <c r="UO34" s="701"/>
      <c r="UP34" s="700" t="e">
        <f>UO34/UM34</f>
        <v>#DIV/0!</v>
      </c>
      <c r="UQ34" s="593">
        <f>'Proy 2022 vs 2019 sem'!CZ33*UT$4</f>
        <v>0</v>
      </c>
      <c r="UR34" s="593">
        <f>'Proy 2022 vs 2019 sem'!DA33*UT$4</f>
        <v>0</v>
      </c>
      <c r="US34" s="701"/>
      <c r="UT34" s="700" t="e">
        <f>US34/UQ34</f>
        <v>#DIV/0!</v>
      </c>
      <c r="UU34" s="593">
        <f>'Proy 2022 vs 2019 sem'!CZ33*UX$4</f>
        <v>0</v>
      </c>
      <c r="UV34" s="593">
        <f>'Proy 2022 vs 2019 sem'!DA33*UX$4</f>
        <v>0</v>
      </c>
      <c r="UW34" s="701"/>
      <c r="UX34" s="700" t="e">
        <f>UW34/UU34</f>
        <v>#DIV/0!</v>
      </c>
      <c r="UY34" s="593">
        <f>'Proy 2022 vs 2019 sem'!CZ33*VB$4</f>
        <v>0</v>
      </c>
      <c r="UZ34" s="593">
        <f>'Proy 2022 vs 2019 sem'!DA33*VB$4</f>
        <v>0</v>
      </c>
      <c r="VA34" s="701"/>
      <c r="VB34" s="700" t="e">
        <f>VA34/UY34</f>
        <v>#DIV/0!</v>
      </c>
      <c r="VC34" s="579">
        <f>UA34+UE34+UI34+UM34+UQ34+UU34+UY34</f>
        <v>0</v>
      </c>
      <c r="VD34" s="574">
        <f>UB34+UF34+UJ34+UN34+UR34+UV34+UZ34</f>
        <v>0</v>
      </c>
      <c r="VE34" s="759">
        <f>UC34+UG34+UK34+UO34+US34+UW34+VA34</f>
        <v>0</v>
      </c>
      <c r="VF34" s="761" t="e">
        <f>VE34/VC34</f>
        <v>#DIV/0!</v>
      </c>
      <c r="VG34" s="593">
        <f>'Proy 2022 vs 2019 sem'!DE33*VJ$4</f>
        <v>0</v>
      </c>
      <c r="VH34" s="593">
        <f>'Proy 2022 vs 2019 sem'!DF33*VJ$4</f>
        <v>0</v>
      </c>
      <c r="VI34" s="701"/>
      <c r="VJ34" s="700" t="e">
        <f>VI34/VG34</f>
        <v>#DIV/0!</v>
      </c>
      <c r="VK34" s="593">
        <f>'Proy 2022 vs 2019 sem'!DE33*VN$4</f>
        <v>0</v>
      </c>
      <c r="VL34" s="593">
        <f>'Proy 2022 vs 2019 sem'!DF33*VN$4</f>
        <v>0</v>
      </c>
      <c r="VM34" s="701"/>
      <c r="VN34" s="700" t="e">
        <f>VM34/VK34</f>
        <v>#DIV/0!</v>
      </c>
      <c r="VO34" s="593">
        <f>'Proy 2022 vs 2019 sem'!DE33*VR$4</f>
        <v>0</v>
      </c>
      <c r="VP34" s="593">
        <f>'Proy 2022 vs 2019 sem'!DF33*VR$4</f>
        <v>0</v>
      </c>
      <c r="VQ34" s="701"/>
      <c r="VR34" s="700" t="e">
        <f>VQ34/VO34</f>
        <v>#DIV/0!</v>
      </c>
      <c r="VS34" s="593">
        <f>'Proy 2022 vs 2019 sem'!DE33*VV$4</f>
        <v>0</v>
      </c>
      <c r="VT34" s="593">
        <f>'Proy 2022 vs 2019 sem'!DF33*VV$4</f>
        <v>0</v>
      </c>
      <c r="VU34" s="701"/>
      <c r="VV34" s="700" t="e">
        <f>VU34/VS34</f>
        <v>#DIV/0!</v>
      </c>
      <c r="VW34" s="593">
        <f>'Proy 2022 vs 2019 sem'!DE33*VZ$4</f>
        <v>0</v>
      </c>
      <c r="VX34" s="593">
        <f>'Proy 2022 vs 2019 sem'!DF33*VZ$4</f>
        <v>0</v>
      </c>
      <c r="VY34" s="701"/>
      <c r="VZ34" s="700" t="e">
        <f>VY34/VW34</f>
        <v>#DIV/0!</v>
      </c>
      <c r="WA34" s="593">
        <f>'Proy 2022 vs 2019 sem'!DE33*WD$4</f>
        <v>0</v>
      </c>
      <c r="WB34" s="593">
        <f>'Proy 2022 vs 2019 sem'!DF33*WD$4</f>
        <v>0</v>
      </c>
      <c r="WC34" s="701"/>
      <c r="WD34" s="700" t="e">
        <f>WC34/WA34</f>
        <v>#DIV/0!</v>
      </c>
      <c r="WE34" s="593">
        <f>'Proy 2022 vs 2019 sem'!DE33*WH$4</f>
        <v>0</v>
      </c>
      <c r="WF34" s="593">
        <f>'Proy 2022 vs 2019 sem'!DF33*WH$4</f>
        <v>0</v>
      </c>
      <c r="WG34" s="701"/>
      <c r="WH34" s="700" t="e">
        <f>WG34/WE34</f>
        <v>#DIV/0!</v>
      </c>
      <c r="WI34" s="579">
        <f>VG34+VK34+VO34+VS34+VW34+WA34+WE34</f>
        <v>0</v>
      </c>
      <c r="WJ34" s="574">
        <f>VH34+VL34+VP34+VT34+VX34+WB34+WF34</f>
        <v>0</v>
      </c>
      <c r="WK34" s="765">
        <f>VI34+VM34+VQ34+VU34+VY34+WC34+WG34</f>
        <v>0</v>
      </c>
      <c r="WL34" s="761" t="e">
        <f>WK34/WI34</f>
        <v>#DIV/0!</v>
      </c>
      <c r="WM34" s="593">
        <f>'Proy 2022 vs 2019 sem'!DJ33*WP$4</f>
        <v>0</v>
      </c>
      <c r="WN34" s="593">
        <f>'Proy 2022 vs 2019 sem'!DK33*WP$4</f>
        <v>0</v>
      </c>
      <c r="WO34" s="701"/>
      <c r="WP34" s="700" t="e">
        <f>WO34/WM34</f>
        <v>#DIV/0!</v>
      </c>
      <c r="WQ34" s="593">
        <f>'Proy 2022 vs 2019 sem'!DJ33*WT$4</f>
        <v>0</v>
      </c>
      <c r="WR34" s="593">
        <f>'Proy 2022 vs 2019 sem'!DK33*WT$4</f>
        <v>0</v>
      </c>
      <c r="WS34" s="701"/>
      <c r="WT34" s="700" t="e">
        <f>WS34/WQ34</f>
        <v>#DIV/0!</v>
      </c>
      <c r="WU34" s="593">
        <f>'Proy 2022 vs 2019 sem'!DJ33*WX$4</f>
        <v>0</v>
      </c>
      <c r="WV34" s="593">
        <f>'Proy 2022 vs 2019 sem'!DK33*WX$4</f>
        <v>0</v>
      </c>
      <c r="WW34" s="701"/>
      <c r="WX34" s="700" t="e">
        <f>WW34/WU34</f>
        <v>#DIV/0!</v>
      </c>
      <c r="WY34" s="593">
        <f>'Proy 2022 vs 2019 sem'!DJ33*XB$4</f>
        <v>0</v>
      </c>
      <c r="WZ34" s="593">
        <f>'Proy 2022 vs 2019 sem'!DK33*XB$4</f>
        <v>0</v>
      </c>
      <c r="XA34" s="701"/>
      <c r="XB34" s="700" t="e">
        <f>XA34/WY34</f>
        <v>#DIV/0!</v>
      </c>
      <c r="XC34" s="593">
        <f>'Proy 2022 vs 2019 sem'!DJ33*XF$4</f>
        <v>0</v>
      </c>
      <c r="XD34" s="593">
        <f>'Proy 2022 vs 2019 sem'!DK33*XF$4</f>
        <v>0</v>
      </c>
      <c r="XE34" s="701"/>
      <c r="XF34" s="700" t="e">
        <f>XE34/XC34</f>
        <v>#DIV/0!</v>
      </c>
      <c r="XG34" s="593">
        <f>'Proy 2022 vs 2019 sem'!DJ33*XJ$4</f>
        <v>0</v>
      </c>
      <c r="XH34" s="593">
        <f>'Proy 2022 vs 2019 sem'!DK33*XJ$4</f>
        <v>0</v>
      </c>
      <c r="XI34" s="701"/>
      <c r="XJ34" s="700" t="e">
        <f>XI34/XG34</f>
        <v>#DIV/0!</v>
      </c>
      <c r="XK34" s="593">
        <f>'Proy 2022 vs 2019 sem'!DJ33*XN$4</f>
        <v>0</v>
      </c>
      <c r="XL34" s="593">
        <f>'Proy 2022 vs 2019 sem'!DK33*XN$4</f>
        <v>0</v>
      </c>
      <c r="XM34" s="701"/>
      <c r="XN34" s="700" t="e">
        <f>XM34/XK34</f>
        <v>#DIV/0!</v>
      </c>
      <c r="XO34" s="579">
        <f>WM34+WQ34+WU34+WY34+XC34+XG34+XK34</f>
        <v>0</v>
      </c>
      <c r="XP34" s="574">
        <f>WN34+WR34+WV34+WZ34+XD34+XH34+XL34</f>
        <v>0</v>
      </c>
      <c r="XQ34" s="765">
        <f>WO34+WS34+WW34+XA34+XE34+XI34+XM34</f>
        <v>0</v>
      </c>
      <c r="XR34" s="761" t="e">
        <f>XQ34/XO34</f>
        <v>#DIV/0!</v>
      </c>
      <c r="XS34" s="593">
        <f>'Proy 2022 vs 2019 sem'!DO33*XV$4</f>
        <v>0</v>
      </c>
      <c r="XT34" s="593">
        <f>'Proy 2022 vs 2019 sem'!DP33*XV$4</f>
        <v>0</v>
      </c>
      <c r="XU34" s="701"/>
      <c r="XV34" s="700" t="e">
        <f>XU34/XS34</f>
        <v>#DIV/0!</v>
      </c>
      <c r="XW34" s="593">
        <f>'Proy 2022 vs 2019 sem'!DO33*XZ$4</f>
        <v>0</v>
      </c>
      <c r="XX34" s="593">
        <f>'Proy 2022 vs 2019 sem'!DP33*XZ$4</f>
        <v>0</v>
      </c>
      <c r="XY34" s="701"/>
      <c r="XZ34" s="700" t="e">
        <f>XY34/XW34</f>
        <v>#DIV/0!</v>
      </c>
      <c r="YA34" s="593">
        <f>'Proy 2022 vs 2019 sem'!DO33*YD$4</f>
        <v>0</v>
      </c>
      <c r="YB34" s="593">
        <f>'Proy 2022 vs 2019 sem'!DP33*YD$4</f>
        <v>0</v>
      </c>
      <c r="YC34" s="701"/>
      <c r="YD34" s="700" t="e">
        <f>YC34/YA34</f>
        <v>#DIV/0!</v>
      </c>
      <c r="YE34" s="593">
        <f>'Proy 2022 vs 2019 sem'!DO33*YH$4</f>
        <v>0</v>
      </c>
      <c r="YF34" s="593">
        <f>'Proy 2022 vs 2019 sem'!DP33*YH$4</f>
        <v>0</v>
      </c>
      <c r="YG34" s="701"/>
      <c r="YH34" s="700" t="e">
        <f>YG34/YE34</f>
        <v>#DIV/0!</v>
      </c>
      <c r="YI34" s="593">
        <f>'Proy 2022 vs 2019 sem'!DO33*YL$4</f>
        <v>0</v>
      </c>
      <c r="YJ34" s="593">
        <f>'Proy 2022 vs 2019 sem'!DP33*YL$4</f>
        <v>0</v>
      </c>
      <c r="YK34" s="701"/>
      <c r="YL34" s="700" t="e">
        <f>YK34/YI34</f>
        <v>#DIV/0!</v>
      </c>
      <c r="YM34" s="593">
        <f>'Proy 2022 vs 2019 sem'!DO33*YP$4</f>
        <v>0</v>
      </c>
      <c r="YN34" s="593">
        <f>'Proy 2022 vs 2019 sem'!DP33*YP$4</f>
        <v>0</v>
      </c>
      <c r="YO34" s="701"/>
      <c r="YP34" s="700" t="e">
        <f>YO34/YM34</f>
        <v>#DIV/0!</v>
      </c>
      <c r="YQ34" s="593">
        <f>'Proy 2022 vs 2019 sem'!DO33*YT$4</f>
        <v>0</v>
      </c>
      <c r="YR34" s="593">
        <f>'Proy 2022 vs 2019 sem'!DP33*YT$4</f>
        <v>0</v>
      </c>
      <c r="YS34" s="701"/>
      <c r="YT34" s="700" t="e">
        <f>YS34/YQ34</f>
        <v>#DIV/0!</v>
      </c>
      <c r="YU34" s="579">
        <f>XS34+XW34+YA34+YE34+YI34+YM34+YQ34</f>
        <v>0</v>
      </c>
      <c r="YV34" s="574">
        <f>XT34+XX34+YB34+YF34+YJ34+YN34+YR34</f>
        <v>0</v>
      </c>
      <c r="YW34" s="770">
        <f>XU34+XY34+YC34+YG34+YK34+YO34+YS34</f>
        <v>0</v>
      </c>
      <c r="YX34" s="761" t="e">
        <f>YW34/YU34</f>
        <v>#DIV/0!</v>
      </c>
      <c r="YY34" s="931">
        <f>'Proy 2022 vs 2019 sem'!DX33*ZB$4</f>
        <v>0</v>
      </c>
      <c r="YZ34" s="931">
        <f>'Proy 2022 vs 2019 sem'!DY33*ZB$4</f>
        <v>0</v>
      </c>
      <c r="ZA34" s="736"/>
      <c r="ZB34" s="700" t="e">
        <f>ZA34/YY34</f>
        <v>#DIV/0!</v>
      </c>
      <c r="ZC34" s="593">
        <f>'Proy 2022 vs 2019 sem'!DX33*ZF$4</f>
        <v>0</v>
      </c>
      <c r="ZD34" s="593">
        <f>'Proy 2022 vs 2019 sem'!DY33*ZF$4</f>
        <v>0</v>
      </c>
      <c r="ZE34" s="736"/>
      <c r="ZF34" s="700" t="e">
        <f>ZE34/ZC34</f>
        <v>#DIV/0!</v>
      </c>
      <c r="ZG34" s="593">
        <f>'Proy 2022 vs 2019 sem'!DX33*ZJ$4</f>
        <v>0</v>
      </c>
      <c r="ZH34" s="593">
        <f>'Proy 2022 vs 2019 sem'!DY33*ZJ$4</f>
        <v>0</v>
      </c>
      <c r="ZI34" s="736"/>
      <c r="ZJ34" s="700" t="e">
        <f>ZI34/ZG34</f>
        <v>#DIV/0!</v>
      </c>
      <c r="ZK34" s="593">
        <f>'Proy 2022 vs 2019 sem'!DX33*ZN$4</f>
        <v>0</v>
      </c>
      <c r="ZL34" s="593">
        <f>'Proy 2022 vs 2019 sem'!DY33*ZN$4</f>
        <v>0</v>
      </c>
      <c r="ZM34" s="736"/>
      <c r="ZN34" s="700" t="e">
        <f>ZM34/ZK34</f>
        <v>#DIV/0!</v>
      </c>
      <c r="ZO34" s="593">
        <f>'Proy 2022 vs 2019 sem'!DX33*ZR$4</f>
        <v>0</v>
      </c>
      <c r="ZP34" s="593">
        <f>'Proy 2022 vs 2019 sem'!DY33*ZR$4</f>
        <v>0</v>
      </c>
      <c r="ZQ34" s="736"/>
      <c r="ZR34" s="700" t="e">
        <f>ZQ34/ZO34</f>
        <v>#DIV/0!</v>
      </c>
      <c r="ZS34" s="593">
        <f>'Proy 2022 vs 2019 sem'!DX33*ZV$4</f>
        <v>0</v>
      </c>
      <c r="ZT34" s="593">
        <f>'Proy 2022 vs 2019 sem'!DY33*ZV$4</f>
        <v>0</v>
      </c>
      <c r="ZU34" s="736"/>
      <c r="ZV34" s="700" t="e">
        <f>ZU34/ZS34</f>
        <v>#DIV/0!</v>
      </c>
      <c r="ZW34" s="593">
        <f>'Proy 2022 vs 2019 sem'!DX33*ZZ$4</f>
        <v>0</v>
      </c>
      <c r="ZX34" s="593">
        <f>'Proy 2022 vs 2019 sem'!DY33*ZZ$4</f>
        <v>0</v>
      </c>
      <c r="ZY34" s="736"/>
      <c r="ZZ34" s="700" t="e">
        <f>ZY34/ZW34</f>
        <v>#DIV/0!</v>
      </c>
      <c r="AAA34" s="579">
        <f>YY34+ZC34+ZG34+ZK34+ZO34+ZS34+ZW34</f>
        <v>0</v>
      </c>
      <c r="AAB34" s="574">
        <f>YZ34+ZD34+ZH34+ZL34+ZP34+ZT34+ZX34</f>
        <v>0</v>
      </c>
      <c r="AAC34" s="729">
        <f>ZA34+ZE34+ZI34+ZM34+ZQ34+ZU34+ZY34</f>
        <v>0</v>
      </c>
      <c r="AAD34" s="711" t="e">
        <f>AAC34/AAA34</f>
        <v>#DIV/0!</v>
      </c>
      <c r="AAE34" s="593">
        <f>'Proy 2022 vs 2019 sem'!EC33*AAH$4</f>
        <v>0</v>
      </c>
      <c r="AAF34" s="593">
        <f>'Proy 2022 vs 2019 sem'!ED33*AAH$4</f>
        <v>0</v>
      </c>
      <c r="AAG34" s="701"/>
      <c r="AAH34" s="700" t="e">
        <f>AAG34/AAE34</f>
        <v>#DIV/0!</v>
      </c>
      <c r="AAI34" s="593">
        <f>'Proy 2022 vs 2019 sem'!EC33*AAL$4</f>
        <v>0</v>
      </c>
      <c r="AAJ34" s="593">
        <f>'Proy 2022 vs 2019 sem'!ED33*AAL$4</f>
        <v>0</v>
      </c>
      <c r="AAK34" s="701"/>
      <c r="AAL34" s="700" t="e">
        <f>AAK34/AAI34</f>
        <v>#DIV/0!</v>
      </c>
      <c r="AAM34" s="593">
        <f>'Proy 2022 vs 2019 sem'!EC33*AAP$4</f>
        <v>0</v>
      </c>
      <c r="AAN34" s="593">
        <f>'Proy 2022 vs 2019 sem'!ED33*AAP$4</f>
        <v>0</v>
      </c>
      <c r="AAO34" s="701"/>
      <c r="AAP34" s="700" t="e">
        <f>AAO34/AAM34</f>
        <v>#DIV/0!</v>
      </c>
      <c r="AAQ34" s="593">
        <f>'Proy 2022 vs 2019 sem'!EC33*AAT$4</f>
        <v>0</v>
      </c>
      <c r="AAR34" s="593">
        <f>'Proy 2022 vs 2019 sem'!ED33*AAT$4</f>
        <v>0</v>
      </c>
      <c r="AAS34" s="701"/>
      <c r="AAT34" s="700" t="e">
        <f>AAS34/AAQ34</f>
        <v>#DIV/0!</v>
      </c>
      <c r="AAU34" s="593">
        <f>'Proy 2022 vs 2019 sem'!EC33*AAX$4</f>
        <v>0</v>
      </c>
      <c r="AAV34" s="593">
        <f>'Proy 2022 vs 2019 sem'!ED33*AAX$4</f>
        <v>0</v>
      </c>
      <c r="AAW34" s="701"/>
      <c r="AAX34" s="700" t="e">
        <f>AAW34/AAU34</f>
        <v>#DIV/0!</v>
      </c>
      <c r="AAY34" s="593">
        <f>'Proy 2022 vs 2019 sem'!EC33*ABB$4</f>
        <v>0</v>
      </c>
      <c r="AAZ34" s="593">
        <f>'Proy 2022 vs 2019 sem'!ED33*ABB$4</f>
        <v>0</v>
      </c>
      <c r="ABA34" s="701"/>
      <c r="ABB34" s="700" t="e">
        <f>ABA34/AAY34</f>
        <v>#DIV/0!</v>
      </c>
      <c r="ABC34" s="593">
        <f>'Proy 2022 vs 2019 sem'!EC33*ABF$4</f>
        <v>0</v>
      </c>
      <c r="ABD34" s="593">
        <f>'Proy 2022 vs 2019 sem'!ED33*ABF$4</f>
        <v>0</v>
      </c>
      <c r="ABE34" s="701"/>
      <c r="ABF34" s="700" t="e">
        <f>ABE34/ABC34</f>
        <v>#DIV/0!</v>
      </c>
      <c r="ABG34" s="579">
        <f>AAE34+AAI34+AAM34+AAQ34+AAU34+AAY34+ABC34</f>
        <v>0</v>
      </c>
      <c r="ABH34" s="574">
        <f>AAF34+AAJ34+AAN34+AAR34+AAV34+AAZ34+ABD34</f>
        <v>0</v>
      </c>
      <c r="ABI34" s="730">
        <f>AAG34+AAK34+AAO34+AAS34+AAW34+ABA34+ABE34</f>
        <v>0</v>
      </c>
      <c r="ABJ34" s="711" t="e">
        <f>ABI34/ABG34</f>
        <v>#DIV/0!</v>
      </c>
      <c r="ABK34" s="593">
        <f>'Proy 2022 vs 2019 sem'!EH33*ABN$4</f>
        <v>0</v>
      </c>
      <c r="ABL34" s="593">
        <f>'Proy 2022 vs 2019 sem'!EI33*ABN$4</f>
        <v>0</v>
      </c>
      <c r="ABM34" s="701"/>
      <c r="ABN34" s="700" t="e">
        <f>ABM34/ABK34</f>
        <v>#DIV/0!</v>
      </c>
      <c r="ABO34" s="593">
        <f>'Proy 2022 vs 2019 sem'!EH33*ABR$4</f>
        <v>0</v>
      </c>
      <c r="ABP34" s="593">
        <f>'Proy 2022 vs 2019 sem'!EI33*ABR$4</f>
        <v>0</v>
      </c>
      <c r="ABQ34" s="701"/>
      <c r="ABR34" s="700" t="e">
        <f>ABQ34/ABO34</f>
        <v>#DIV/0!</v>
      </c>
      <c r="ABS34" s="593">
        <f>'Proy 2022 vs 2019 sem'!EH33*ABV$4</f>
        <v>0</v>
      </c>
      <c r="ABT34" s="593">
        <f>'Proy 2022 vs 2019 sem'!EI33*ABV$4</f>
        <v>0</v>
      </c>
      <c r="ABU34" s="701"/>
      <c r="ABV34" s="700" t="e">
        <f>ABU34/ABS34</f>
        <v>#DIV/0!</v>
      </c>
      <c r="ABW34" s="593">
        <f>'Proy 2022 vs 2019 sem'!EH33*ABZ$4</f>
        <v>0</v>
      </c>
      <c r="ABX34" s="593">
        <f>'Proy 2022 vs 2019 sem'!EI33*ABZ$4</f>
        <v>0</v>
      </c>
      <c r="ABY34" s="701"/>
      <c r="ABZ34" s="700" t="e">
        <f>ABY34/ABW34</f>
        <v>#DIV/0!</v>
      </c>
      <c r="ACA34" s="593">
        <f>'Proy 2022 vs 2019 sem'!EH33*ACD$4</f>
        <v>0</v>
      </c>
      <c r="ACB34" s="593">
        <f>'Proy 2022 vs 2019 sem'!EI33*ACD$4</f>
        <v>0</v>
      </c>
      <c r="ACC34" s="701"/>
      <c r="ACD34" s="700" t="e">
        <f>ACC34/ACA34</f>
        <v>#DIV/0!</v>
      </c>
      <c r="ACE34" s="593">
        <f>'Proy 2022 vs 2019 sem'!EH33*ACH$4</f>
        <v>0</v>
      </c>
      <c r="ACF34" s="593">
        <f>'Proy 2022 vs 2019 sem'!EI33*ACH$4</f>
        <v>0</v>
      </c>
      <c r="ACG34" s="701"/>
      <c r="ACH34" s="700" t="e">
        <f>ACG34/ACE34</f>
        <v>#DIV/0!</v>
      </c>
      <c r="ACI34" s="593">
        <f>'Proy 2022 vs 2019 sem'!EH33*ACL$4</f>
        <v>0</v>
      </c>
      <c r="ACJ34" s="593">
        <f>'Proy 2022 vs 2019 sem'!EI33*ACL$4</f>
        <v>0</v>
      </c>
      <c r="ACK34" s="701"/>
      <c r="ACL34" s="700" t="e">
        <f>ACK34/ACI34</f>
        <v>#DIV/0!</v>
      </c>
      <c r="ACM34" s="579">
        <f>ABK34+ABO34+ABS34+ABW34+ACA34+ACE34+ACI34</f>
        <v>0</v>
      </c>
      <c r="ACN34" s="574">
        <f>ABL34+ABP34+ABT34+ABX34+ACB34+ACF34+ACJ34</f>
        <v>0</v>
      </c>
      <c r="ACO34" s="730">
        <f>ABM34+ABQ34+ABU34+ABY34+ACC34+ACG34+ACK34</f>
        <v>0</v>
      </c>
      <c r="ACP34" s="711" t="e">
        <f>ACO34/ACM34</f>
        <v>#DIV/0!</v>
      </c>
      <c r="ACQ34" s="593">
        <f>'Proy 2022 vs 2019 sem'!EM33*ACT$4</f>
        <v>0</v>
      </c>
      <c r="ACR34" s="593">
        <f>'Proy 2022 vs 2019 sem'!EN33*ACT$4</f>
        <v>0</v>
      </c>
      <c r="ACS34" s="701"/>
      <c r="ACT34" s="700" t="e">
        <f>ACS34/ACQ34</f>
        <v>#DIV/0!</v>
      </c>
      <c r="ACU34" s="593">
        <f>'Proy 2022 vs 2019 sem'!EM33*ACX$4</f>
        <v>0</v>
      </c>
      <c r="ACV34" s="593">
        <f>'Proy 2022 vs 2019 sem'!EN33*ACX$4</f>
        <v>0</v>
      </c>
      <c r="ACW34" s="701"/>
      <c r="ACX34" s="700" t="e">
        <f>ACW34/ACU34</f>
        <v>#DIV/0!</v>
      </c>
      <c r="ACY34" s="593">
        <f>'Proy 2022 vs 2019 sem'!EM33*ADB$4</f>
        <v>0</v>
      </c>
      <c r="ACZ34" s="593">
        <f>'Proy 2022 vs 2019 sem'!EN33*ADB$4</f>
        <v>0</v>
      </c>
      <c r="ADA34" s="701"/>
      <c r="ADB34" s="700" t="e">
        <f>ADA34/ACY34</f>
        <v>#DIV/0!</v>
      </c>
      <c r="ADC34" s="593">
        <f>'Proy 2022 vs 2019 sem'!EM33*ADF$4</f>
        <v>0</v>
      </c>
      <c r="ADD34" s="593">
        <f>'Proy 2022 vs 2019 sem'!EN33*ADF$4</f>
        <v>0</v>
      </c>
      <c r="ADE34" s="701"/>
      <c r="ADF34" s="700" t="e">
        <f>ADE34/ADC34</f>
        <v>#DIV/0!</v>
      </c>
      <c r="ADG34" s="593">
        <f>'Proy 2022 vs 2019 sem'!EM33*ADJ$4</f>
        <v>0</v>
      </c>
      <c r="ADH34" s="593">
        <f>'Proy 2022 vs 2019 sem'!EN33*ADJ$4</f>
        <v>0</v>
      </c>
      <c r="ADI34" s="701"/>
      <c r="ADJ34" s="700" t="e">
        <f>ADI34/ADG34</f>
        <v>#DIV/0!</v>
      </c>
      <c r="ADK34" s="593">
        <f>'Proy 2022 vs 2019 sem'!EM33*ADN$4</f>
        <v>0</v>
      </c>
      <c r="ADL34" s="593">
        <f>'Proy 2022 vs 2019 sem'!EN33*ADN$4</f>
        <v>0</v>
      </c>
      <c r="ADM34" s="701"/>
      <c r="ADN34" s="700" t="e">
        <f>ADM34/ADK34</f>
        <v>#DIV/0!</v>
      </c>
      <c r="ADO34" s="593">
        <f>'Proy 2022 vs 2019 sem'!EM33*ADR$4</f>
        <v>0</v>
      </c>
      <c r="ADP34" s="593">
        <f>'Proy 2022 vs 2019 sem'!EN33*ADR$4</f>
        <v>0</v>
      </c>
      <c r="ADQ34" s="701"/>
      <c r="ADR34" s="700" t="e">
        <f>ADQ34/ADO34</f>
        <v>#DIV/0!</v>
      </c>
      <c r="ADS34" s="579">
        <f>ACQ34+ACU34+ACY34+ADC34+ADG34+ADK34+ADO34</f>
        <v>0</v>
      </c>
      <c r="ADT34" s="574">
        <f>ACR34+ACV34+ACZ34+ADD34+ADH34+ADL34+ADP34</f>
        <v>0</v>
      </c>
      <c r="ADU34" s="710">
        <f>ACS34+ACW34+ADA34+ADE34+ADI34+ADM34+ADQ34</f>
        <v>0</v>
      </c>
      <c r="ADV34" s="711" t="e">
        <f>ADU34/ADS34</f>
        <v>#DIV/0!</v>
      </c>
      <c r="ADW34" s="593">
        <f>'Proy 2022 vs 2019 sem'!ER33*ADZ$4</f>
        <v>0</v>
      </c>
      <c r="ADX34" s="593">
        <f>'Proy 2022 vs 2019 sem'!ES33*ADZ$4</f>
        <v>0</v>
      </c>
      <c r="ADY34" s="701"/>
      <c r="ADZ34" s="700" t="e">
        <f>ADY34/ADW34</f>
        <v>#DIV/0!</v>
      </c>
      <c r="AEA34" s="593">
        <f>'Proy 2022 vs 2019 sem'!ER33*AED$4</f>
        <v>0</v>
      </c>
      <c r="AEB34" s="593">
        <f>'Proy 2022 vs 2019 sem'!ES33*AED$4</f>
        <v>0</v>
      </c>
      <c r="AEC34" s="701"/>
      <c r="AED34" s="700" t="e">
        <f>AEC34/AEA34</f>
        <v>#DIV/0!</v>
      </c>
      <c r="AEE34" s="593">
        <f>'Proy 2022 vs 2019 sem'!ER33*AEH$4</f>
        <v>0</v>
      </c>
      <c r="AEF34" s="593">
        <f>'Proy 2022 vs 2019 sem'!ES33*AEH$4</f>
        <v>0</v>
      </c>
      <c r="AEG34" s="701"/>
      <c r="AEH34" s="700" t="e">
        <f>AEG34/AEE34</f>
        <v>#DIV/0!</v>
      </c>
      <c r="AEI34" s="593">
        <f>'Proy 2022 vs 2019 sem'!ER33*AEL$4</f>
        <v>0</v>
      </c>
      <c r="AEJ34" s="593">
        <f>'Proy 2022 vs 2019 sem'!ES33*AEL$4</f>
        <v>0</v>
      </c>
      <c r="AEK34" s="701"/>
      <c r="AEL34" s="700" t="e">
        <f>AEK34/AEI34</f>
        <v>#DIV/0!</v>
      </c>
      <c r="AEM34" s="593">
        <f>'Proy 2022 vs 2019 sem'!ER33*AEP$4</f>
        <v>0</v>
      </c>
      <c r="AEN34" s="593">
        <f>'Proy 2022 vs 2019 sem'!ES33*AEP$4</f>
        <v>0</v>
      </c>
      <c r="AEO34" s="701"/>
      <c r="AEP34" s="700" t="e">
        <f>AEO34/AEM34</f>
        <v>#DIV/0!</v>
      </c>
      <c r="AEQ34" s="593">
        <f>'Proy 2022 vs 2019 sem'!ER33*AET$4</f>
        <v>0</v>
      </c>
      <c r="AER34" s="593">
        <f>'Proy 2022 vs 2019 sem'!ES33*AET$4</f>
        <v>0</v>
      </c>
      <c r="AES34" s="701"/>
      <c r="AET34" s="700" t="e">
        <f>AES34/AEQ34</f>
        <v>#DIV/0!</v>
      </c>
      <c r="AEU34" s="593">
        <f>'Proy 2022 vs 2019 sem'!ER33*AEX$4</f>
        <v>0</v>
      </c>
      <c r="AEV34" s="593">
        <f>'Proy 2022 vs 2019 sem'!ES33*AEX$4</f>
        <v>0</v>
      </c>
      <c r="AEW34" s="701"/>
      <c r="AEX34" s="700" t="e">
        <f>AEW34/AEU34</f>
        <v>#DIV/0!</v>
      </c>
      <c r="AEY34" s="579">
        <f>ADW34+AEA34+AEE34+AEI34+AEM34+AEQ34+AEU34</f>
        <v>0</v>
      </c>
      <c r="AEZ34" s="574">
        <f>ADX34+AEB34+AEF34+AEJ34+AEN34+AER34+AEV34</f>
        <v>0</v>
      </c>
      <c r="AFA34" s="710">
        <f>ADY34+AEC34+AEG34+AEK34+AEO34+AES34+AEW34</f>
        <v>0</v>
      </c>
      <c r="AFB34" s="711" t="e">
        <f>AFA34/AEY34</f>
        <v>#DIV/0!</v>
      </c>
      <c r="AFC34" s="593">
        <f>'Proy 2022 vs 2019 sem'!FA33*AFF$4</f>
        <v>0</v>
      </c>
      <c r="AFD34" s="593">
        <f>'Proy 2022 vs 2019 sem'!FB33*AFF$4</f>
        <v>0</v>
      </c>
      <c r="AFE34" s="736"/>
      <c r="AFF34" s="700" t="e">
        <f>AFE34/AFC34</f>
        <v>#DIV/0!</v>
      </c>
      <c r="AFG34" s="593">
        <f>'Proy 2022 vs 2019 sem'!FA33*AFJ$4</f>
        <v>0</v>
      </c>
      <c r="AFH34" s="593">
        <f>'Proy 2022 vs 2019 sem'!FB33*AFJ$4</f>
        <v>0</v>
      </c>
      <c r="AFI34" s="701"/>
      <c r="AFJ34" s="700" t="e">
        <f>AFI34/AFG34</f>
        <v>#DIV/0!</v>
      </c>
      <c r="AFK34" s="593">
        <f>'Proy 2022 vs 2019 sem'!FA33*AFN$4</f>
        <v>0</v>
      </c>
      <c r="AFL34" s="593">
        <f>'Proy 2022 vs 2019 sem'!FB33*AFN$4</f>
        <v>0</v>
      </c>
      <c r="AFM34" s="701"/>
      <c r="AFN34" s="700" t="e">
        <f>AFM34/AFK34</f>
        <v>#DIV/0!</v>
      </c>
      <c r="AFO34" s="593">
        <f>'Proy 2022 vs 2019 sem'!FA33*AFR$4</f>
        <v>0</v>
      </c>
      <c r="AFP34" s="593">
        <f>'Proy 2022 vs 2019 sem'!FB33*AFR$4</f>
        <v>0</v>
      </c>
      <c r="AFQ34" s="701"/>
      <c r="AFR34" s="700" t="e">
        <f>AFQ34/AFO34</f>
        <v>#DIV/0!</v>
      </c>
      <c r="AFS34" s="593">
        <f>'Proy 2022 vs 2019 sem'!FA33*AFV$4</f>
        <v>0</v>
      </c>
      <c r="AFT34" s="593">
        <f>'Proy 2022 vs 2019 sem'!FB33*AFV$4</f>
        <v>0</v>
      </c>
      <c r="AFU34" s="701"/>
      <c r="AFV34" s="700" t="e">
        <f>AFU34/AFS34</f>
        <v>#DIV/0!</v>
      </c>
      <c r="AFW34" s="593">
        <f>'Proy 2022 vs 2019 sem'!FA33*AFZ$4</f>
        <v>0</v>
      </c>
      <c r="AFX34" s="593">
        <f>'Proy 2022 vs 2019 sem'!FB33*AFZ$4</f>
        <v>0</v>
      </c>
      <c r="AFY34" s="701"/>
      <c r="AFZ34" s="700" t="e">
        <f>AFY34/AFW34</f>
        <v>#DIV/0!</v>
      </c>
      <c r="AGA34" s="593">
        <f>'Proy 2022 vs 2019 sem'!FA33*AGD$4</f>
        <v>0</v>
      </c>
      <c r="AGB34" s="593">
        <f>'Proy 2022 vs 2019 sem'!FB33*AGD$4</f>
        <v>0</v>
      </c>
      <c r="AGC34" s="701"/>
      <c r="AGD34" s="700" t="e">
        <f>AGC34/AGA34</f>
        <v>#DIV/0!</v>
      </c>
      <c r="AGE34" s="579">
        <f>AFC34+AFG34+AFK34+AFO34+AFS34+AFW34+AGA34</f>
        <v>0</v>
      </c>
      <c r="AGF34" s="574">
        <f>AFD34+AFH34+AFL34+AFP34+AFT34+AFX34+AGB34</f>
        <v>0</v>
      </c>
      <c r="AGG34" s="759">
        <f>AFE34+AFI34+AFM34+AFQ34+AFU34+AFY34+AGC34</f>
        <v>0</v>
      </c>
      <c r="AGH34" s="761" t="e">
        <f>AGG34/AGE34</f>
        <v>#DIV/0!</v>
      </c>
      <c r="AGI34" s="593">
        <f>'Proy 2022 vs 2019 sem'!FF33*AGL$4</f>
        <v>0</v>
      </c>
      <c r="AGJ34" s="593">
        <f>'Proy 2022 vs 2019 sem'!FG33*AGL$4</f>
        <v>0</v>
      </c>
      <c r="AGK34" s="701"/>
      <c r="AGL34" s="700" t="e">
        <f>AGK34/AGI34</f>
        <v>#DIV/0!</v>
      </c>
      <c r="AGM34" s="593">
        <f>'Proy 2022 vs 2019 sem'!FF33*AGP$4</f>
        <v>0</v>
      </c>
      <c r="AGN34" s="593">
        <f>'Proy 2022 vs 2019 sem'!FG33*AGP$4</f>
        <v>0</v>
      </c>
      <c r="AGO34" s="701"/>
      <c r="AGP34" s="700" t="e">
        <f>AGO34/AGM34</f>
        <v>#DIV/0!</v>
      </c>
      <c r="AGQ34" s="593">
        <f>'Proy 2022 vs 2019 sem'!FF33*AGT$4</f>
        <v>0</v>
      </c>
      <c r="AGR34" s="593">
        <f>'Proy 2022 vs 2019 sem'!FG33*AGT$4</f>
        <v>0</v>
      </c>
      <c r="AGS34" s="701"/>
      <c r="AGT34" s="700" t="e">
        <f>AGS34/AGQ34</f>
        <v>#DIV/0!</v>
      </c>
      <c r="AGU34" s="593">
        <f>'Proy 2022 vs 2019 sem'!FF33*AGX$4</f>
        <v>0</v>
      </c>
      <c r="AGV34" s="593">
        <f>'Proy 2022 vs 2019 sem'!FG33*AGX$4</f>
        <v>0</v>
      </c>
      <c r="AGW34" s="701"/>
      <c r="AGX34" s="700" t="e">
        <f>AGW34/AGU34</f>
        <v>#DIV/0!</v>
      </c>
      <c r="AGY34" s="593">
        <f>'Proy 2022 vs 2019 sem'!FF33*AHB$4</f>
        <v>0</v>
      </c>
      <c r="AGZ34" s="593">
        <f>'Proy 2022 vs 2019 sem'!FG33*AHB$4</f>
        <v>0</v>
      </c>
      <c r="AHA34" s="701"/>
      <c r="AHB34" s="700" t="e">
        <f>AHA34/AGY34</f>
        <v>#DIV/0!</v>
      </c>
      <c r="AHC34" s="593">
        <f>'Proy 2022 vs 2019 sem'!FF33*AHF$4</f>
        <v>0</v>
      </c>
      <c r="AHD34" s="593">
        <f>'Proy 2022 vs 2019 sem'!FG33*AHF$4</f>
        <v>0</v>
      </c>
      <c r="AHE34" s="701"/>
      <c r="AHF34" s="700" t="e">
        <f>AHE34/AHC34</f>
        <v>#DIV/0!</v>
      </c>
      <c r="AHG34" s="593">
        <f>'Proy 2022 vs 2019 sem'!FF33*AHJ$4</f>
        <v>0</v>
      </c>
      <c r="AHH34" s="593">
        <f>'Proy 2022 vs 2019 sem'!FG33*AHJ$4</f>
        <v>0</v>
      </c>
      <c r="AHI34" s="701"/>
      <c r="AHJ34" s="700" t="e">
        <f>AHI34/AHG34</f>
        <v>#DIV/0!</v>
      </c>
      <c r="AHK34" s="579">
        <f>AGI34+AGM34+AGQ34+AGU34+AGY34+AHC34+AHG34</f>
        <v>0</v>
      </c>
      <c r="AHL34" s="574">
        <f>AGJ34+AGN34+AGR34+AGV34+AGZ34+AHD34+AHH34</f>
        <v>0</v>
      </c>
      <c r="AHM34" s="765">
        <f>AGK34+AGO34+AGS34+AGW34+AHA34+AHE34+AHI34</f>
        <v>0</v>
      </c>
      <c r="AHN34" s="761" t="e">
        <f>AHM34/AHK34</f>
        <v>#DIV/0!</v>
      </c>
      <c r="AHO34" s="593">
        <f>'Proy 2022 vs 2019 sem'!FK33*AHR$4</f>
        <v>0</v>
      </c>
      <c r="AHP34" s="593">
        <f>'Proy 2022 vs 2019 sem'!FL33*AHR$4</f>
        <v>0</v>
      </c>
      <c r="AHQ34" s="701"/>
      <c r="AHR34" s="700" t="e">
        <f>AHQ34/AHO34</f>
        <v>#DIV/0!</v>
      </c>
      <c r="AHS34" s="593">
        <f>'Proy 2022 vs 2019 sem'!FK33*AHV$4</f>
        <v>0</v>
      </c>
      <c r="AHT34" s="593">
        <f>'Proy 2022 vs 2019 sem'!FL33*AHV$4</f>
        <v>0</v>
      </c>
      <c r="AHU34" s="701"/>
      <c r="AHV34" s="700" t="e">
        <f>AHU34/AHS34</f>
        <v>#DIV/0!</v>
      </c>
      <c r="AHW34" s="593">
        <f>'Proy 2022 vs 2019 sem'!FK33*AHZ$4</f>
        <v>0</v>
      </c>
      <c r="AHX34" s="593">
        <f>'Proy 2022 vs 2019 sem'!FL33*AHZ$4</f>
        <v>0</v>
      </c>
      <c r="AHY34" s="701"/>
      <c r="AHZ34" s="700" t="e">
        <f>AHY34/AHW34</f>
        <v>#DIV/0!</v>
      </c>
      <c r="AIA34" s="593">
        <f>'Proy 2022 vs 2019 sem'!FK33*AID$4</f>
        <v>0</v>
      </c>
      <c r="AIB34" s="593">
        <f>'Proy 2022 vs 2019 sem'!FL33*AID$4</f>
        <v>0</v>
      </c>
      <c r="AIC34" s="701"/>
      <c r="AID34" s="700" t="e">
        <f>AIC34/AIA34</f>
        <v>#DIV/0!</v>
      </c>
      <c r="AIE34" s="593">
        <f>'Proy 2022 vs 2019 sem'!FK33*AIH$4</f>
        <v>0</v>
      </c>
      <c r="AIF34" s="593">
        <f>'Proy 2022 vs 2019 sem'!FL33*AIH$4</f>
        <v>0</v>
      </c>
      <c r="AIG34" s="701"/>
      <c r="AIH34" s="700" t="e">
        <f>AIG34/AIE34</f>
        <v>#DIV/0!</v>
      </c>
      <c r="AII34" s="593">
        <f>'Proy 2022 vs 2019 sem'!FK33*AIL$4</f>
        <v>0</v>
      </c>
      <c r="AIJ34" s="593">
        <f>'Proy 2022 vs 2019 sem'!FL33*AIL$4</f>
        <v>0</v>
      </c>
      <c r="AIK34" s="701"/>
      <c r="AIL34" s="700" t="e">
        <f>AIK34/AII34</f>
        <v>#DIV/0!</v>
      </c>
      <c r="AIM34" s="593">
        <f>'Proy 2022 vs 2019 sem'!FK33*AIP$4</f>
        <v>0</v>
      </c>
      <c r="AIN34" s="593">
        <f>'Proy 2022 vs 2019 sem'!FL33*AIP$4</f>
        <v>0</v>
      </c>
      <c r="AIO34" s="701"/>
      <c r="AIP34" s="700" t="e">
        <f>AIO34/AIM34</f>
        <v>#DIV/0!</v>
      </c>
      <c r="AIQ34" s="579">
        <f>AHO34+AHS34+AHW34+AIA34+AIE34+AII34+AIM34</f>
        <v>0</v>
      </c>
      <c r="AIR34" s="574">
        <f>AHP34+AHT34+AHX34+AIB34+AIF34+AIJ34+AIN34</f>
        <v>0</v>
      </c>
      <c r="AIS34" s="765">
        <f>AHQ34+AHU34+AHY34+AIC34+AIG34+AIK34+AIO34</f>
        <v>0</v>
      </c>
      <c r="AIT34" s="761" t="e">
        <f>AIS34/AIQ34</f>
        <v>#DIV/0!</v>
      </c>
      <c r="AIU34" s="593">
        <f>'Proy 2022 vs 2019 sem'!FP33*AIX$4</f>
        <v>0</v>
      </c>
      <c r="AIV34" s="593">
        <f>'Proy 2022 vs 2019 sem'!FQ33*AIX$4</f>
        <v>0</v>
      </c>
      <c r="AIW34" s="701"/>
      <c r="AIX34" s="700" t="e">
        <f>AIW34/AIU34</f>
        <v>#DIV/0!</v>
      </c>
      <c r="AIY34" s="593">
        <f>'Proy 2022 vs 2019 sem'!FP33*AJB$4</f>
        <v>0</v>
      </c>
      <c r="AIZ34" s="593">
        <f>'Proy 2022 vs 2019 sem'!FQ33*AJB$4</f>
        <v>0</v>
      </c>
      <c r="AJA34" s="701"/>
      <c r="AJB34" s="700" t="e">
        <f>AJA34/AIY34</f>
        <v>#DIV/0!</v>
      </c>
      <c r="AJC34" s="593">
        <f>'Proy 2022 vs 2019 sem'!FP33*AJF$4</f>
        <v>0</v>
      </c>
      <c r="AJD34" s="593">
        <f>'Proy 2022 vs 2019 sem'!FQ33*AJF$4</f>
        <v>0</v>
      </c>
      <c r="AJE34" s="701"/>
      <c r="AJF34" s="700" t="e">
        <f>AJE34/AJC34</f>
        <v>#DIV/0!</v>
      </c>
      <c r="AJG34" s="593">
        <f>'Proy 2022 vs 2019 sem'!FP33*AJJ$4</f>
        <v>0</v>
      </c>
      <c r="AJH34" s="593">
        <f>'Proy 2022 vs 2019 sem'!FQ33*AJJ$4</f>
        <v>0</v>
      </c>
      <c r="AJI34" s="701"/>
      <c r="AJJ34" s="700" t="e">
        <f>AJI34/AJG34</f>
        <v>#DIV/0!</v>
      </c>
      <c r="AJK34" s="593">
        <f>'Proy 2022 vs 2019 sem'!FP33*AJN$4</f>
        <v>0</v>
      </c>
      <c r="AJL34" s="593">
        <f>'Proy 2022 vs 2019 sem'!FQ33*AJN$4</f>
        <v>0</v>
      </c>
      <c r="AJM34" s="701"/>
      <c r="AJN34" s="700" t="e">
        <f>AJM34/AJK34</f>
        <v>#DIV/0!</v>
      </c>
      <c r="AJO34" s="593">
        <f>'Proy 2022 vs 2019 sem'!FP33*AJR$4</f>
        <v>0</v>
      </c>
      <c r="AJP34" s="593">
        <f>'Proy 2022 vs 2019 sem'!FQ33*AJR$4</f>
        <v>0</v>
      </c>
      <c r="AJQ34" s="701"/>
      <c r="AJR34" s="700" t="e">
        <f>AJQ34/AJO34</f>
        <v>#DIV/0!</v>
      </c>
      <c r="AJS34" s="593">
        <f>'Proy 2022 vs 2019 sem'!FP33*AJV$4</f>
        <v>0</v>
      </c>
      <c r="AJT34" s="593">
        <f>'Proy 2022 vs 2019 sem'!FQ33*AJV$4</f>
        <v>0</v>
      </c>
      <c r="AJU34" s="701"/>
      <c r="AJV34" s="700" t="e">
        <f>AJU34/AJS34</f>
        <v>#DIV/0!</v>
      </c>
      <c r="AJW34" s="579">
        <f>AIU34+AIY34+AJC34+AJG34+AJK34+AJO34+AJS34</f>
        <v>0</v>
      </c>
      <c r="AJX34" s="574">
        <f>AIV34+AIZ34+AJD34+AJH34+AJL34+AJP34+AJT34</f>
        <v>0</v>
      </c>
      <c r="AJY34" s="770">
        <f>AIW34+AJA34+AJE34+AJI34+AJM34+AJQ34+AJU34</f>
        <v>0</v>
      </c>
      <c r="AJZ34" s="761" t="e">
        <f>AJY34/AJW34</f>
        <v>#DIV/0!</v>
      </c>
      <c r="AKA34" s="593"/>
      <c r="AKB34" s="593"/>
      <c r="AKC34" s="736"/>
      <c r="AKD34" s="700" t="e">
        <f>AKC34/AKA34</f>
        <v>#DIV/0!</v>
      </c>
      <c r="AKE34" s="593">
        <v>4738.7555999999995</v>
      </c>
      <c r="AKF34" s="593">
        <v>6678.2039759999989</v>
      </c>
      <c r="AKG34" s="701"/>
      <c r="AKH34" s="700">
        <f>AKG34/AKE34</f>
        <v>0</v>
      </c>
      <c r="AKI34" s="593">
        <v>4738.7555999999995</v>
      </c>
      <c r="AKJ34" s="593">
        <v>6678.2039759999989</v>
      </c>
      <c r="AKK34" s="701"/>
      <c r="AKL34" s="700">
        <f>AKK34/AKI34</f>
        <v>0</v>
      </c>
      <c r="AKM34" s="593">
        <v>4738.7555999999995</v>
      </c>
      <c r="AKN34" s="593">
        <v>6678.2039759999989</v>
      </c>
      <c r="AKO34" s="701"/>
      <c r="AKP34" s="700">
        <f>AKO34/AKM34</f>
        <v>0</v>
      </c>
      <c r="AKQ34" s="593">
        <v>5528.5482000000002</v>
      </c>
      <c r="AKR34" s="593">
        <v>7791.2379719999999</v>
      </c>
      <c r="AKS34" s="701"/>
      <c r="AKT34" s="700">
        <f>AKS34/AKQ34</f>
        <v>0</v>
      </c>
      <c r="AKU34" s="593">
        <v>6318.3407999999999</v>
      </c>
      <c r="AKV34" s="593">
        <v>8904.2719679999991</v>
      </c>
      <c r="AKW34" s="701"/>
      <c r="AKX34" s="700">
        <f>AKW34/AKU34</f>
        <v>0</v>
      </c>
      <c r="AKY34" s="593">
        <v>8687.7186000000002</v>
      </c>
      <c r="AKZ34" s="593">
        <v>12243.373955999999</v>
      </c>
      <c r="ALA34" s="701"/>
      <c r="ALB34" s="700">
        <f>ALA34/AKY34</f>
        <v>0</v>
      </c>
      <c r="ALC34" s="579">
        <f>AKA34+AKE34+AKI34+AKM34+AKQ34+AKU34+AKY34</f>
        <v>34750.874400000001</v>
      </c>
      <c r="ALD34" s="574">
        <f>AKB34+AKF34+AKJ34+AKN34+AKR34+AKV34+AKZ34</f>
        <v>48973.495823999998</v>
      </c>
      <c r="ALE34" s="793">
        <f>AKC34+AKG34+AKK34+AKO34+AKS34+AKW34+ALA34</f>
        <v>0</v>
      </c>
      <c r="ALF34" s="786">
        <f>ALE34/ALC34</f>
        <v>0</v>
      </c>
      <c r="ALG34" s="593">
        <v>5051.3460000000005</v>
      </c>
      <c r="ALH34" s="593">
        <v>8052.7826591999992</v>
      </c>
      <c r="ALI34" s="701"/>
      <c r="ALJ34" s="700">
        <f>ALI34/ALG34</f>
        <v>0</v>
      </c>
      <c r="ALK34" s="593">
        <v>5051.3460000000005</v>
      </c>
      <c r="ALL34" s="593">
        <v>8052.7826591999992</v>
      </c>
      <c r="ALM34" s="701"/>
      <c r="ALN34" s="700">
        <f>ALM34/ALK34</f>
        <v>0</v>
      </c>
      <c r="ALO34" s="593">
        <v>5051.3460000000005</v>
      </c>
      <c r="ALP34" s="593">
        <v>8052.7826591999992</v>
      </c>
      <c r="ALQ34" s="701"/>
      <c r="ALR34" s="700">
        <f>ALQ34/ALO34</f>
        <v>0</v>
      </c>
      <c r="ALS34" s="593">
        <v>5051.3460000000005</v>
      </c>
      <c r="ALT34" s="593">
        <v>8052.7826591999992</v>
      </c>
      <c r="ALU34" s="701"/>
      <c r="ALV34" s="700">
        <f>ALU34/ALS34</f>
        <v>0</v>
      </c>
      <c r="ALW34" s="593">
        <v>5893.237000000001</v>
      </c>
      <c r="ALX34" s="593">
        <v>9394.9131023999998</v>
      </c>
      <c r="ALY34" s="701"/>
      <c r="ALZ34" s="700">
        <f>ALY34/ALW34</f>
        <v>0</v>
      </c>
      <c r="AMA34" s="593">
        <v>6735.1280000000006</v>
      </c>
      <c r="AMB34" s="593">
        <v>10737.0435456</v>
      </c>
      <c r="AMC34" s="701"/>
      <c r="AMD34" s="700">
        <f>AMC34/AMA34</f>
        <v>0</v>
      </c>
      <c r="AME34" s="593">
        <v>9260.8010000000013</v>
      </c>
      <c r="AMF34" s="593">
        <v>14763.434875199999</v>
      </c>
      <c r="AMG34" s="701"/>
      <c r="AMH34" s="700">
        <f>AMG34/AME34</f>
        <v>0</v>
      </c>
      <c r="AMI34" s="579">
        <f>ALG34+ALK34+ALO34+ALS34+ALW34+AMA34+AME34</f>
        <v>42094.55</v>
      </c>
      <c r="AMJ34" s="574">
        <f>ALH34+ALL34+ALP34+ALT34+ALX34+AMB34+AMF34</f>
        <v>67106.522159999993</v>
      </c>
      <c r="AMK34" s="794">
        <f>ALI34+ALM34+ALQ34+ALU34+ALY34+AMC34+AMG34</f>
        <v>0</v>
      </c>
      <c r="AML34" s="786">
        <f>AMK34/AMI34</f>
        <v>0</v>
      </c>
      <c r="AMM34" s="593">
        <v>3590.8332</v>
      </c>
      <c r="AMN34" s="593">
        <v>7217.2689983999999</v>
      </c>
      <c r="AMO34" s="701"/>
      <c r="AMP34" s="700">
        <f>AMO34/AMM34</f>
        <v>0</v>
      </c>
      <c r="AMQ34" s="593">
        <v>3590.8332</v>
      </c>
      <c r="AMR34" s="593">
        <v>7217.2689983999999</v>
      </c>
      <c r="AMS34" s="701"/>
      <c r="AMT34" s="700">
        <f>AMS34/AMQ34</f>
        <v>0</v>
      </c>
      <c r="AMU34" s="593">
        <v>3590.8332</v>
      </c>
      <c r="AMV34" s="593">
        <v>7217.2689983999999</v>
      </c>
      <c r="AMW34" s="701"/>
      <c r="AMX34" s="700">
        <f>AMW34/AMU34</f>
        <v>0</v>
      </c>
      <c r="AMY34" s="593">
        <v>3590.8332</v>
      </c>
      <c r="AMZ34" s="593">
        <v>7217.2689983999999</v>
      </c>
      <c r="ANA34" s="701"/>
      <c r="ANB34" s="700">
        <f>ANA34/AMY34</f>
        <v>0</v>
      </c>
      <c r="ANC34" s="593">
        <v>4189.3054000000002</v>
      </c>
      <c r="AND34" s="593">
        <v>8420.1471648000006</v>
      </c>
      <c r="ANE34" s="701"/>
      <c r="ANF34" s="700">
        <f>ANE34/ANC34</f>
        <v>0</v>
      </c>
      <c r="ANG34" s="593">
        <v>4787.7776000000003</v>
      </c>
      <c r="ANH34" s="593">
        <v>9623.0253312000004</v>
      </c>
      <c r="ANI34" s="701"/>
      <c r="ANJ34" s="700">
        <f>ANI34/ANG34</f>
        <v>0</v>
      </c>
      <c r="ANK34" s="593">
        <v>6583.1941999999999</v>
      </c>
      <c r="ANL34" s="593">
        <v>13231.6598304</v>
      </c>
      <c r="ANM34" s="701"/>
      <c r="ANN34" s="700">
        <f>ANM34/ANK34</f>
        <v>0</v>
      </c>
      <c r="ANO34" s="579">
        <f>AMM34+AMQ34+AMU34+AMY34+ANC34+ANG34+ANK34</f>
        <v>29923.61</v>
      </c>
      <c r="ANP34" s="574">
        <f>AMN34+AMR34+AMV34+AMZ34+AND34+ANH34+ANL34</f>
        <v>60143.908319999995</v>
      </c>
      <c r="ANQ34" s="794">
        <f>AMO34+AMS34+AMW34+ANA34+ANE34+ANI34+ANM34</f>
        <v>0</v>
      </c>
      <c r="ANR34" s="786">
        <f>ANQ34/ANO34</f>
        <v>0</v>
      </c>
      <c r="ANS34" s="593">
        <f>'Proy 2022 vs 2019 sem'!GN33*ANV$4</f>
        <v>0</v>
      </c>
      <c r="ANT34" s="593">
        <f>'Proy 2022 vs 2019 sem'!GO33*ANV$4</f>
        <v>0</v>
      </c>
      <c r="ANU34" s="701"/>
      <c r="ANV34" s="700" t="e">
        <f>ANU34/ANS34</f>
        <v>#DIV/0!</v>
      </c>
      <c r="ANW34" s="593">
        <f>'Proy 2022 vs 2019 sem'!GN33*ANZ$4</f>
        <v>0</v>
      </c>
      <c r="ANX34" s="593">
        <f>'Proy 2022 vs 2019 sem'!GO33*ANZ$4</f>
        <v>0</v>
      </c>
      <c r="ANY34" s="701"/>
      <c r="ANZ34" s="700" t="e">
        <f>ANY34/ANW34</f>
        <v>#DIV/0!</v>
      </c>
      <c r="AOA34" s="593">
        <f>'Proy 2022 vs 2019 sem'!GN33*AOD$4</f>
        <v>0</v>
      </c>
      <c r="AOB34" s="593">
        <f>'Proy 2022 vs 2019 sem'!GO33*AOD$4</f>
        <v>0</v>
      </c>
      <c r="AOC34" s="701"/>
      <c r="AOD34" s="700" t="e">
        <f>AOC34/AOA34</f>
        <v>#DIV/0!</v>
      </c>
      <c r="AOE34" s="593">
        <f>'Proy 2022 vs 2019 sem'!GN33*AOH$4</f>
        <v>0</v>
      </c>
      <c r="AOF34" s="593">
        <f>'Proy 2022 vs 2019 sem'!GO33*AOH$4</f>
        <v>0</v>
      </c>
      <c r="AOG34" s="701"/>
      <c r="AOH34" s="700" t="e">
        <f>AOG34/AOE34</f>
        <v>#DIV/0!</v>
      </c>
      <c r="AOI34" s="593">
        <f>'Proy 2022 vs 2019 sem'!GN33*AOL$4</f>
        <v>0</v>
      </c>
      <c r="AOJ34" s="593">
        <f>'Proy 2022 vs 2019 sem'!GO33*AOL$4</f>
        <v>0</v>
      </c>
      <c r="AOK34" s="701"/>
      <c r="AOL34" s="700" t="e">
        <f>AOK34/AOI34</f>
        <v>#DIV/0!</v>
      </c>
      <c r="AOM34" s="593">
        <f>'Proy 2022 vs 2019 sem'!GN33*AOP$4</f>
        <v>0</v>
      </c>
      <c r="AON34" s="593">
        <f>'Proy 2022 vs 2019 sem'!GO33*AOP$4</f>
        <v>0</v>
      </c>
      <c r="AOO34" s="701"/>
      <c r="AOP34" s="700" t="e">
        <f>AOO34/AOM34</f>
        <v>#DIV/0!</v>
      </c>
      <c r="AOQ34" s="593">
        <f>'Proy 2022 vs 2019 sem'!GN33*AOT$4</f>
        <v>0</v>
      </c>
      <c r="AOR34" s="593">
        <f>'Proy 2022 vs 2019 sem'!GO33*AOT$4</f>
        <v>0</v>
      </c>
      <c r="AOS34" s="701"/>
      <c r="AOT34" s="700" t="e">
        <f>AOS34/AOQ34</f>
        <v>#DIV/0!</v>
      </c>
      <c r="AOU34" s="579">
        <f>ANS34+ANW34+AOA34+AOE34+AOI34+AOM34+AOQ34</f>
        <v>0</v>
      </c>
      <c r="AOV34" s="574">
        <f>ANT34+ANX34+AOB34+AOF34+AOJ34+AON34+AOR34</f>
        <v>0</v>
      </c>
      <c r="AOW34" s="785">
        <f>ANU34+ANY34+AOC34+AOG34+AOK34+AOO34+AOS34</f>
        <v>0</v>
      </c>
      <c r="AOX34" s="786" t="e">
        <f>AOW34/AOU34</f>
        <v>#DIV/0!</v>
      </c>
      <c r="AOY34" s="593">
        <f>'Proy 2022 vs 2019 sem'!GW33*APB$4</f>
        <v>0</v>
      </c>
      <c r="AOZ34" s="593">
        <f>'Proy 2022 vs 2019 sem'!GX33*APB$4</f>
        <v>0</v>
      </c>
      <c r="APA34" s="736"/>
      <c r="APB34" s="700" t="e">
        <f>APA34/AOY34</f>
        <v>#DIV/0!</v>
      </c>
      <c r="APC34" s="593">
        <f>'Proy 2022 vs 2019 sem'!GW33*APF$4</f>
        <v>0</v>
      </c>
      <c r="APD34" s="593">
        <f>'Proy 2022 vs 2019 sem'!GX33*APF$4</f>
        <v>0</v>
      </c>
      <c r="APE34" s="736"/>
      <c r="APF34" s="700" t="e">
        <f>APE34/APC34</f>
        <v>#DIV/0!</v>
      </c>
      <c r="APG34" s="593">
        <f>'Proy 2022 vs 2019 sem'!GW33*APJ$4</f>
        <v>0</v>
      </c>
      <c r="APH34" s="593">
        <f>'Proy 2022 vs 2019 sem'!GX33*APJ$4</f>
        <v>0</v>
      </c>
      <c r="API34" s="736"/>
      <c r="APJ34" s="700" t="e">
        <f>API34/APG34</f>
        <v>#DIV/0!</v>
      </c>
      <c r="APK34" s="593">
        <f>'Proy 2022 vs 2019 sem'!GW33*APN$4</f>
        <v>0</v>
      </c>
      <c r="APL34" s="593">
        <f>'Proy 2022 vs 2019 sem'!GX33*APN$4</f>
        <v>0</v>
      </c>
      <c r="APM34" s="736"/>
      <c r="APN34" s="700" t="e">
        <f>APM34/APK34</f>
        <v>#DIV/0!</v>
      </c>
      <c r="APO34" s="593">
        <f>'Proy 2022 vs 2019 sem'!GW33*APR$4</f>
        <v>0</v>
      </c>
      <c r="APP34" s="593">
        <f>'Proy 2022 vs 2019 sem'!GX33*APR$4</f>
        <v>0</v>
      </c>
      <c r="APQ34" s="736"/>
      <c r="APR34" s="700" t="e">
        <f>APQ34/APO34</f>
        <v>#DIV/0!</v>
      </c>
      <c r="APS34" s="593">
        <f>'Proy 2022 vs 2019 sem'!GW33*APV$4</f>
        <v>0</v>
      </c>
      <c r="APT34" s="593">
        <f>'Proy 2022 vs 2019 sem'!GX33*APV$4</f>
        <v>0</v>
      </c>
      <c r="APU34" s="736"/>
      <c r="APV34" s="700" t="e">
        <f>APU34/APS34</f>
        <v>#DIV/0!</v>
      </c>
      <c r="APW34" s="593">
        <f>'Proy 2022 vs 2019 sem'!GW33*APZ$4</f>
        <v>0</v>
      </c>
      <c r="APX34" s="593">
        <f>'Proy 2022 vs 2019 sem'!GX33*APZ$4</f>
        <v>0</v>
      </c>
      <c r="APY34" s="736"/>
      <c r="APZ34" s="700" t="e">
        <f>APY34/APW34</f>
        <v>#DIV/0!</v>
      </c>
      <c r="AQA34" s="579">
        <f>AOY34+APC34+APG34+APK34+APO34+APS34+APW34</f>
        <v>0</v>
      </c>
      <c r="AQB34" s="574">
        <f>AOZ34+APD34+APH34+APL34+APP34+APT34+APX34</f>
        <v>0</v>
      </c>
      <c r="AQC34" s="729">
        <f>APA34+APE34+API34+APM34+APQ34+APU34+APY34</f>
        <v>0</v>
      </c>
      <c r="AQD34" s="711" t="e">
        <f>AQC34/AQA34</f>
        <v>#DIV/0!</v>
      </c>
      <c r="AQE34" s="593">
        <f>'Proy 2022 vs 2019 sem'!HB33*AQH$4</f>
        <v>0</v>
      </c>
      <c r="AQF34" s="593">
        <f>'Proy 2022 vs 2019 sem'!HC33*AQH$4</f>
        <v>0</v>
      </c>
      <c r="AQG34" s="701"/>
      <c r="AQH34" s="700" t="e">
        <f>AQG34/AQE34</f>
        <v>#DIV/0!</v>
      </c>
      <c r="AQI34" s="593">
        <f>'Proy 2022 vs 2019 sem'!HB33*AQL$4</f>
        <v>0</v>
      </c>
      <c r="AQJ34" s="593">
        <f>'Proy 2022 vs 2019 sem'!HC33*AQL$4</f>
        <v>0</v>
      </c>
      <c r="AQK34" s="701"/>
      <c r="AQL34" s="700" t="e">
        <f>AQK34/AQI34</f>
        <v>#DIV/0!</v>
      </c>
      <c r="AQM34" s="593">
        <f>'Proy 2022 vs 2019 sem'!HB33*AQP$4</f>
        <v>0</v>
      </c>
      <c r="AQN34" s="593">
        <f>'Proy 2022 vs 2019 sem'!HC33*AQP$4</f>
        <v>0</v>
      </c>
      <c r="AQO34" s="701"/>
      <c r="AQP34" s="700" t="e">
        <f>AQO34/AQM34</f>
        <v>#DIV/0!</v>
      </c>
      <c r="AQQ34" s="593">
        <f>'Proy 2022 vs 2019 sem'!HB33*AQT$4</f>
        <v>0</v>
      </c>
      <c r="AQR34" s="593">
        <f>'Proy 2022 vs 2019 sem'!HC33*AQT$4</f>
        <v>0</v>
      </c>
      <c r="AQS34" s="701"/>
      <c r="AQT34" s="700" t="e">
        <f>AQS34/AQQ34</f>
        <v>#DIV/0!</v>
      </c>
      <c r="AQU34" s="593">
        <f>'Proy 2022 vs 2019 sem'!HB33*AQX$4</f>
        <v>0</v>
      </c>
      <c r="AQV34" s="593">
        <f>'Proy 2022 vs 2019 sem'!HC33*AQX$4</f>
        <v>0</v>
      </c>
      <c r="AQW34" s="701"/>
      <c r="AQX34" s="700" t="e">
        <f>AQW34/AQU34</f>
        <v>#DIV/0!</v>
      </c>
      <c r="AQY34" s="593">
        <f>'Proy 2022 vs 2019 sem'!HB33*ARB$4</f>
        <v>0</v>
      </c>
      <c r="AQZ34" s="593">
        <f>'Proy 2022 vs 2019 sem'!HC33*ARB$4</f>
        <v>0</v>
      </c>
      <c r="ARA34" s="701"/>
      <c r="ARB34" s="700" t="e">
        <f>ARA34/AQY34</f>
        <v>#DIV/0!</v>
      </c>
      <c r="ARC34" s="593">
        <f>'Proy 2022 vs 2019 sem'!HB33*ARF$4</f>
        <v>0</v>
      </c>
      <c r="ARD34" s="593">
        <f>'Proy 2022 vs 2019 sem'!HC33*ARF$4</f>
        <v>0</v>
      </c>
      <c r="ARE34" s="701"/>
      <c r="ARF34" s="700" t="e">
        <f>ARE34/ARC34</f>
        <v>#DIV/0!</v>
      </c>
      <c r="ARG34" s="579">
        <f>AQE34+AQI34+AQM34+AQQ34+AQU34+AQY34+ARC34</f>
        <v>0</v>
      </c>
      <c r="ARH34" s="574">
        <f>AQF34+AQJ34+AQN34+AQR34+AQV34+AQZ34+ARD34</f>
        <v>0</v>
      </c>
      <c r="ARI34" s="730">
        <f>AQG34+AQK34+AQO34+AQS34+AQW34+ARA34+ARE34</f>
        <v>0</v>
      </c>
      <c r="ARJ34" s="711" t="e">
        <f>ARI34/ARG34</f>
        <v>#DIV/0!</v>
      </c>
      <c r="ARK34" s="593">
        <f>'Proy 2022 vs 2019 sem'!HG33*ARN$4</f>
        <v>0</v>
      </c>
      <c r="ARL34" s="593">
        <f>'Proy 2022 vs 2019 sem'!HH33*ARN$4</f>
        <v>0</v>
      </c>
      <c r="ARM34" s="701"/>
      <c r="ARN34" s="700" t="e">
        <f>ARM34/ARK34</f>
        <v>#DIV/0!</v>
      </c>
      <c r="ARO34" s="593">
        <f>'Proy 2022 vs 2019 sem'!HG33*ARR$4</f>
        <v>0</v>
      </c>
      <c r="ARP34" s="593">
        <f>'Proy 2022 vs 2019 sem'!HH33*ARR$4</f>
        <v>0</v>
      </c>
      <c r="ARQ34" s="701"/>
      <c r="ARR34" s="700" t="e">
        <f>ARQ34/ARO34</f>
        <v>#DIV/0!</v>
      </c>
      <c r="ARS34" s="593">
        <f>'Proy 2022 vs 2019 sem'!HG33*ARV$4</f>
        <v>0</v>
      </c>
      <c r="ART34" s="593">
        <f>'Proy 2022 vs 2019 sem'!HH33*ARV$4</f>
        <v>0</v>
      </c>
      <c r="ARU34" s="701"/>
      <c r="ARV34" s="700" t="e">
        <f>ARU34/ARS34</f>
        <v>#DIV/0!</v>
      </c>
      <c r="ARW34" s="593">
        <f>'Proy 2022 vs 2019 sem'!HG33*ARZ$4</f>
        <v>0</v>
      </c>
      <c r="ARX34" s="593">
        <f>'Proy 2022 vs 2019 sem'!HH33*ARZ$4</f>
        <v>0</v>
      </c>
      <c r="ARY34" s="701"/>
      <c r="ARZ34" s="700" t="e">
        <f>ARY34/ARW34</f>
        <v>#DIV/0!</v>
      </c>
      <c r="ASA34" s="593">
        <f>'Proy 2022 vs 2019 sem'!HG33*ASD$4</f>
        <v>0</v>
      </c>
      <c r="ASB34" s="593">
        <f>'Proy 2022 vs 2019 sem'!HH33*ASD$4</f>
        <v>0</v>
      </c>
      <c r="ASC34" s="701"/>
      <c r="ASD34" s="700" t="e">
        <f>ASC34/ASA34</f>
        <v>#DIV/0!</v>
      </c>
      <c r="ASE34" s="593">
        <f>'Proy 2022 vs 2019 sem'!HG33*ASH$4</f>
        <v>0</v>
      </c>
      <c r="ASF34" s="593">
        <f>'Proy 2022 vs 2019 sem'!HH33*ASH$4</f>
        <v>0</v>
      </c>
      <c r="ASG34" s="701"/>
      <c r="ASH34" s="700" t="e">
        <f>ASG34/ASE34</f>
        <v>#DIV/0!</v>
      </c>
      <c r="ASI34" s="593">
        <f>'Proy 2022 vs 2019 sem'!HG33*ASL$4</f>
        <v>0</v>
      </c>
      <c r="ASJ34" s="593">
        <f>'Proy 2022 vs 2019 sem'!HH33*ASL$4</f>
        <v>0</v>
      </c>
      <c r="ASK34" s="701"/>
      <c r="ASL34" s="700" t="e">
        <f>ASK34/ASI34</f>
        <v>#DIV/0!</v>
      </c>
      <c r="ASM34" s="579">
        <f>ARK34+ARO34+ARS34+ARW34+ASA34+ASE34+ASI34</f>
        <v>0</v>
      </c>
      <c r="ASN34" s="574">
        <f>ARL34+ARP34+ART34+ARX34+ASB34+ASF34+ASJ34</f>
        <v>0</v>
      </c>
      <c r="ASO34" s="730">
        <f>ARM34+ARQ34+ARU34+ARY34+ASC34+ASG34+ASK34</f>
        <v>0</v>
      </c>
      <c r="ASP34" s="711" t="e">
        <f>ASO34/ASM34</f>
        <v>#DIV/0!</v>
      </c>
      <c r="ASQ34" s="593">
        <f>'Proy 2022 vs 2019 sem'!HL33*AST$4</f>
        <v>0</v>
      </c>
      <c r="ASR34" s="593">
        <f>'Proy 2022 vs 2019 sem'!HM33*AST$4</f>
        <v>0</v>
      </c>
      <c r="ASS34" s="701"/>
      <c r="AST34" s="700" t="e">
        <f>ASS34/ASQ34</f>
        <v>#DIV/0!</v>
      </c>
      <c r="ASU34" s="593">
        <f>'Proy 2022 vs 2019 sem'!HL33*ASX$4</f>
        <v>0</v>
      </c>
      <c r="ASV34" s="593">
        <f>'Proy 2022 vs 2019 sem'!HM33*ASX$4</f>
        <v>0</v>
      </c>
      <c r="ASW34" s="701"/>
      <c r="ASX34" s="700" t="e">
        <f>ASW34/ASU34</f>
        <v>#DIV/0!</v>
      </c>
      <c r="ASY34" s="593">
        <f>'Proy 2022 vs 2019 sem'!HL33*ATB$4</f>
        <v>0</v>
      </c>
      <c r="ASZ34" s="593">
        <f>'Proy 2022 vs 2019 sem'!HM33*ATB$4</f>
        <v>0</v>
      </c>
      <c r="ATA34" s="701"/>
      <c r="ATB34" s="700" t="e">
        <f>ATA34/ASY34</f>
        <v>#DIV/0!</v>
      </c>
      <c r="ATC34" s="593">
        <f>'Proy 2022 vs 2019 sem'!HL33*ATF$4</f>
        <v>0</v>
      </c>
      <c r="ATD34" s="593">
        <f>'Proy 2022 vs 2019 sem'!HM33*ATF$4</f>
        <v>0</v>
      </c>
      <c r="ATE34" s="701"/>
      <c r="ATF34" s="700" t="e">
        <f>ATE34/ATC34</f>
        <v>#DIV/0!</v>
      </c>
      <c r="ATG34" s="593">
        <f>'Proy 2022 vs 2019 sem'!HL33*ATJ$4</f>
        <v>0</v>
      </c>
      <c r="ATH34" s="593">
        <f>'Proy 2022 vs 2019 sem'!HM33*ATJ$4</f>
        <v>0</v>
      </c>
      <c r="ATI34" s="701"/>
      <c r="ATJ34" s="700" t="e">
        <f>ATI34/ATG34</f>
        <v>#DIV/0!</v>
      </c>
      <c r="ATK34" s="593">
        <f>'Proy 2022 vs 2019 sem'!HL33*ATN$4</f>
        <v>0</v>
      </c>
      <c r="ATL34" s="593">
        <f>'Proy 2022 vs 2019 sem'!HM33*ATN$4</f>
        <v>0</v>
      </c>
      <c r="ATM34" s="701"/>
      <c r="ATN34" s="700" t="e">
        <f>ATM34/ATK34</f>
        <v>#DIV/0!</v>
      </c>
      <c r="ATO34" s="593">
        <f>'Proy 2022 vs 2019 sem'!HL33*ATR$4</f>
        <v>0</v>
      </c>
      <c r="ATP34" s="593">
        <f>'Proy 2022 vs 2019 sem'!HM33*ATR$4</f>
        <v>0</v>
      </c>
      <c r="ATQ34" s="701"/>
      <c r="ATR34" s="700" t="e">
        <f>ATQ34/ATO34</f>
        <v>#DIV/0!</v>
      </c>
      <c r="ATS34" s="579">
        <f>ASQ34+ASU34+ASY34+ATC34+ATG34+ATK34+ATO34</f>
        <v>0</v>
      </c>
      <c r="ATT34" s="574">
        <f>ASR34+ASV34+ASZ34+ATD34+ATH34+ATL34+ATP34</f>
        <v>0</v>
      </c>
      <c r="ATU34" s="710">
        <f>ASS34+ASW34+ATA34+ATE34+ATI34+ATM34+ATQ34</f>
        <v>0</v>
      </c>
      <c r="ATV34" s="711" t="e">
        <f>ATU34/ATS34</f>
        <v>#DIV/0!</v>
      </c>
      <c r="ATW34" s="593">
        <f>'Proy 2022 vs 2019 sem'!HQ33*ATZ$4</f>
        <v>0</v>
      </c>
      <c r="ATX34" s="593">
        <f>'Proy 2022 vs 2019 sem'!HR33*ATZ$4</f>
        <v>0</v>
      </c>
      <c r="ATY34" s="701"/>
      <c r="ATZ34" s="700" t="e">
        <f>ATY34/ATW34</f>
        <v>#DIV/0!</v>
      </c>
      <c r="AUA34" s="593">
        <f>'Proy 2022 vs 2019 sem'!HQ33*AUD$4</f>
        <v>0</v>
      </c>
      <c r="AUB34" s="593">
        <f>'Proy 2022 vs 2019 sem'!HR33*AUD$4</f>
        <v>0</v>
      </c>
      <c r="AUC34" s="701"/>
      <c r="AUD34" s="700" t="e">
        <f>AUC34/AUA34</f>
        <v>#DIV/0!</v>
      </c>
      <c r="AUE34" s="593">
        <f>'Proy 2022 vs 2019 sem'!HQ33*AUH$4</f>
        <v>0</v>
      </c>
      <c r="AUF34" s="593">
        <f>'Proy 2022 vs 2019 sem'!HR33*AUH$4</f>
        <v>0</v>
      </c>
      <c r="AUG34" s="701"/>
      <c r="AUH34" s="700" t="e">
        <f>AUG34/AUE34</f>
        <v>#DIV/0!</v>
      </c>
      <c r="AUI34" s="593">
        <f>'Proy 2022 vs 2019 sem'!HQ33*AUL$4</f>
        <v>0</v>
      </c>
      <c r="AUJ34" s="593">
        <f>'Proy 2022 vs 2019 sem'!HR33*AUL$4</f>
        <v>0</v>
      </c>
      <c r="AUK34" s="701"/>
      <c r="AUL34" s="700" t="e">
        <f>AUK34/AUI34</f>
        <v>#DIV/0!</v>
      </c>
      <c r="AUM34" s="593">
        <f>'Proy 2022 vs 2019 sem'!HQ33*AUP$4</f>
        <v>0</v>
      </c>
      <c r="AUN34" s="593">
        <f>'Proy 2022 vs 2019 sem'!HR33*AUP$4</f>
        <v>0</v>
      </c>
      <c r="AUO34" s="701"/>
      <c r="AUP34" s="700" t="e">
        <f>AUO34/AUM34</f>
        <v>#DIV/0!</v>
      </c>
      <c r="AUQ34" s="593">
        <f>'Proy 2022 vs 2019 sem'!HQ33*AUT$4</f>
        <v>0</v>
      </c>
      <c r="AUR34" s="593">
        <f>'Proy 2022 vs 2019 sem'!HR33*AUT$4</f>
        <v>0</v>
      </c>
      <c r="AUS34" s="701"/>
      <c r="AUT34" s="700" t="e">
        <f>AUS34/AUQ34</f>
        <v>#DIV/0!</v>
      </c>
      <c r="AUU34" s="593">
        <f>'Proy 2022 vs 2019 sem'!HQ33*AUX$4</f>
        <v>0</v>
      </c>
      <c r="AUV34" s="593">
        <f>'Proy 2022 vs 2019 sem'!HR33*AUX$4</f>
        <v>0</v>
      </c>
      <c r="AUW34" s="701"/>
      <c r="AUX34" s="700" t="e">
        <f>AUW34/AUU34</f>
        <v>#DIV/0!</v>
      </c>
      <c r="AUY34" s="579">
        <f>ATW34+AUA34+AUE34+AUI34+AUM34+AUQ34+AUU34</f>
        <v>0</v>
      </c>
      <c r="AUZ34" s="574">
        <f>ATX34+AUB34+AUF34+AUJ34+AUN34+AUR34+AUV34</f>
        <v>0</v>
      </c>
      <c r="AVA34" s="710">
        <f>ATY34+AUC34+AUG34+AUK34+AUO34+AUS34+AUW34</f>
        <v>0</v>
      </c>
      <c r="AVB34" s="711" t="e">
        <f>AVA34/AUY34</f>
        <v>#DIV/0!</v>
      </c>
      <c r="AVC34" s="593">
        <f>'Proy 2022 vs 2019 sem'!HZ33*AVF$4</f>
        <v>0</v>
      </c>
      <c r="AVD34" s="593">
        <f>'Proy 2022 vs 2019 sem'!IA33*AVF$4</f>
        <v>0</v>
      </c>
      <c r="AVE34" s="736"/>
      <c r="AVF34" s="700" t="e">
        <f>AVE34/AVC34</f>
        <v>#DIV/0!</v>
      </c>
      <c r="AVG34" s="593">
        <f>'Proy 2022 vs 2019 sem'!HZ33*AVJ$4</f>
        <v>0</v>
      </c>
      <c r="AVH34" s="593">
        <f>'Proy 2022 vs 2019 sem'!IA33*AVJ$4</f>
        <v>0</v>
      </c>
      <c r="AVI34" s="701"/>
      <c r="AVJ34" s="700" t="e">
        <f>AVI34/AVG34</f>
        <v>#DIV/0!</v>
      </c>
      <c r="AVK34" s="593">
        <f>'Proy 2022 vs 2019 sem'!HZ33*AVN$4</f>
        <v>0</v>
      </c>
      <c r="AVL34" s="593">
        <f>'Proy 2022 vs 2019 sem'!IA33*AVN$4</f>
        <v>0</v>
      </c>
      <c r="AVM34" s="701"/>
      <c r="AVN34" s="700" t="e">
        <f>AVM34/AVK34</f>
        <v>#DIV/0!</v>
      </c>
      <c r="AVO34" s="593">
        <f>'Proy 2022 vs 2019 sem'!HZ33*AVR$4</f>
        <v>0</v>
      </c>
      <c r="AVP34" s="593">
        <f>'Proy 2022 vs 2019 sem'!IA33*AVR$4</f>
        <v>0</v>
      </c>
      <c r="AVQ34" s="701"/>
      <c r="AVR34" s="700" t="e">
        <f>AVQ34/AVO34</f>
        <v>#DIV/0!</v>
      </c>
      <c r="AVS34" s="593">
        <f>'Proy 2022 vs 2019 sem'!HZ33*AVV$4</f>
        <v>0</v>
      </c>
      <c r="AVT34" s="593">
        <f>'Proy 2022 vs 2019 sem'!IA33*AVV$4</f>
        <v>0</v>
      </c>
      <c r="AVU34" s="701"/>
      <c r="AVV34" s="700" t="e">
        <f>AVU34/AVS34</f>
        <v>#DIV/0!</v>
      </c>
      <c r="AVW34" s="593">
        <f>'Proy 2022 vs 2019 sem'!HZ33*AVZ$4</f>
        <v>0</v>
      </c>
      <c r="AVX34" s="593">
        <f>'Proy 2022 vs 2019 sem'!IA33*AVZ$4</f>
        <v>0</v>
      </c>
      <c r="AVY34" s="701"/>
      <c r="AVZ34" s="700" t="e">
        <f>AVY34/AVW34</f>
        <v>#DIV/0!</v>
      </c>
      <c r="AWA34" s="593">
        <f>'Proy 2022 vs 2019 sem'!HZ33*AWD$4</f>
        <v>0</v>
      </c>
      <c r="AWB34" s="593">
        <f>'Proy 2022 vs 2019 sem'!IA33*AWD$4</f>
        <v>0</v>
      </c>
      <c r="AWC34" s="701"/>
      <c r="AWD34" s="700" t="e">
        <f>AWC34/AWA34</f>
        <v>#DIV/0!</v>
      </c>
      <c r="AWE34" s="579">
        <f>AVC34+AVG34+AVK34+AVO34+AVS34+AVW34+AWA34</f>
        <v>0</v>
      </c>
      <c r="AWF34" s="574">
        <f>AVD34+AVH34+AVL34+AVP34+AVT34+AVX34+AWB34</f>
        <v>0</v>
      </c>
      <c r="AWG34" s="793">
        <f>AVE34+AVI34+AVM34+AVQ34+AVU34+AVY34+AWC34</f>
        <v>0</v>
      </c>
      <c r="AWH34" s="786" t="e">
        <f>AWG34/AWE34</f>
        <v>#DIV/0!</v>
      </c>
      <c r="AWI34" s="593">
        <f>'Proy 2022 vs 2019 sem'!IE33*AWL$4</f>
        <v>0</v>
      </c>
      <c r="AWJ34" s="593">
        <f>'Proy 2022 vs 2019 sem'!IF33*AWL$4</f>
        <v>0</v>
      </c>
      <c r="AWK34" s="701"/>
      <c r="AWL34" s="700" t="e">
        <f>AWK34/AWI34</f>
        <v>#DIV/0!</v>
      </c>
      <c r="AWM34" s="593">
        <f>'Proy 2022 vs 2019 sem'!IE33*AWP$4</f>
        <v>0</v>
      </c>
      <c r="AWN34" s="593">
        <f>'Proy 2022 vs 2019 sem'!IF33*AWP$4</f>
        <v>0</v>
      </c>
      <c r="AWO34" s="701"/>
      <c r="AWP34" s="700" t="e">
        <f>AWO34/AWM34</f>
        <v>#DIV/0!</v>
      </c>
      <c r="AWQ34" s="593">
        <f>'Proy 2022 vs 2019 sem'!IE33*AWT$4</f>
        <v>0</v>
      </c>
      <c r="AWR34" s="593">
        <f>'Proy 2022 vs 2019 sem'!IF33*AWT$4</f>
        <v>0</v>
      </c>
      <c r="AWS34" s="701"/>
      <c r="AWT34" s="700" t="e">
        <f>AWS34/AWQ34</f>
        <v>#DIV/0!</v>
      </c>
      <c r="AWU34" s="593">
        <f>'Proy 2022 vs 2019 sem'!IE33*AWX$4</f>
        <v>0</v>
      </c>
      <c r="AWV34" s="593">
        <f>'Proy 2022 vs 2019 sem'!IF33*AWX$4</f>
        <v>0</v>
      </c>
      <c r="AWW34" s="701"/>
      <c r="AWX34" s="700" t="e">
        <f>AWW34/AWU34</f>
        <v>#DIV/0!</v>
      </c>
      <c r="AWY34" s="593">
        <f>'Proy 2022 vs 2019 sem'!IE33*AXB$4</f>
        <v>0</v>
      </c>
      <c r="AWZ34" s="593">
        <f>'Proy 2022 vs 2019 sem'!IF33*AXB$4</f>
        <v>0</v>
      </c>
      <c r="AXA34" s="701"/>
      <c r="AXB34" s="700" t="e">
        <f>AXA34/AWY34</f>
        <v>#DIV/0!</v>
      </c>
      <c r="AXC34" s="593">
        <f>'Proy 2022 vs 2019 sem'!IE33*AXF$4</f>
        <v>0</v>
      </c>
      <c r="AXD34" s="593">
        <f>'Proy 2022 vs 2019 sem'!IF33*AXF$4</f>
        <v>0</v>
      </c>
      <c r="AXE34" s="701"/>
      <c r="AXF34" s="700" t="e">
        <f>AXE34/AXC34</f>
        <v>#DIV/0!</v>
      </c>
      <c r="AXG34" s="593">
        <f>'Proy 2022 vs 2019 sem'!IE33*AXJ$4</f>
        <v>0</v>
      </c>
      <c r="AXH34" s="593">
        <f>'Proy 2022 vs 2019 sem'!IF33*AXJ$4</f>
        <v>0</v>
      </c>
      <c r="AXI34" s="701"/>
      <c r="AXJ34" s="700" t="e">
        <f>AXI34/AXG34</f>
        <v>#DIV/0!</v>
      </c>
      <c r="AXK34" s="579">
        <f>AWI34+AWM34+AWQ34+AWU34+AWY34+AXC34+AXG34</f>
        <v>0</v>
      </c>
      <c r="AXL34" s="574">
        <f>AWJ34+AWN34+AWR34+AWV34+AWZ34+AXD34+AXH34</f>
        <v>0</v>
      </c>
      <c r="AXM34" s="794">
        <f>AWK34+AWO34+AWS34+AWW34+AXA34+AXE34+AXI34</f>
        <v>0</v>
      </c>
      <c r="AXN34" s="786" t="e">
        <f>AXM34/AXK34</f>
        <v>#DIV/0!</v>
      </c>
      <c r="AXO34" s="593">
        <f>'Proy 2022 vs 2019 sem'!IJ33*AXR$4</f>
        <v>0</v>
      </c>
      <c r="AXP34" s="593">
        <f>'Proy 2022 vs 2019 sem'!IK33*AXR$4</f>
        <v>0</v>
      </c>
      <c r="AXQ34" s="701"/>
      <c r="AXR34" s="700" t="e">
        <f>AXQ34/AXO34</f>
        <v>#DIV/0!</v>
      </c>
      <c r="AXS34" s="593">
        <f>'Proy 2022 vs 2019 sem'!IJ33*AXV$4</f>
        <v>0</v>
      </c>
      <c r="AXT34" s="593">
        <f>'Proy 2022 vs 2019 sem'!IK33*AXV$4</f>
        <v>0</v>
      </c>
      <c r="AXU34" s="701"/>
      <c r="AXV34" s="700" t="e">
        <f>AXU34/AXS34</f>
        <v>#DIV/0!</v>
      </c>
      <c r="AXW34" s="593">
        <f>'Proy 2022 vs 2019 sem'!IJ33*AXZ$4</f>
        <v>0</v>
      </c>
      <c r="AXX34" s="593">
        <f>'Proy 2022 vs 2019 sem'!IK33*AXZ$4</f>
        <v>0</v>
      </c>
      <c r="AXY34" s="701"/>
      <c r="AXZ34" s="700" t="e">
        <f>AXY34/AXW34</f>
        <v>#DIV/0!</v>
      </c>
      <c r="AYA34" s="593">
        <f>'Proy 2022 vs 2019 sem'!IJ33*AYD$4</f>
        <v>0</v>
      </c>
      <c r="AYB34" s="593">
        <f>'Proy 2022 vs 2019 sem'!IK33*AYD$4</f>
        <v>0</v>
      </c>
      <c r="AYC34" s="701"/>
      <c r="AYD34" s="700" t="e">
        <f>AYC34/AYA34</f>
        <v>#DIV/0!</v>
      </c>
      <c r="AYE34" s="593">
        <f>'Proy 2022 vs 2019 sem'!IJ33*AYH$4</f>
        <v>0</v>
      </c>
      <c r="AYF34" s="593">
        <f>'Proy 2022 vs 2019 sem'!IK33*AYH$4</f>
        <v>0</v>
      </c>
      <c r="AYG34" s="701"/>
      <c r="AYH34" s="700" t="e">
        <f>AYG34/AYE34</f>
        <v>#DIV/0!</v>
      </c>
      <c r="AYI34" s="593">
        <f>'Proy 2022 vs 2019 sem'!IJ33*AYL$4</f>
        <v>0</v>
      </c>
      <c r="AYJ34" s="593">
        <f>'Proy 2022 vs 2019 sem'!IK33*AYL$4</f>
        <v>0</v>
      </c>
      <c r="AYK34" s="701"/>
      <c r="AYL34" s="700" t="e">
        <f>AYK34/AYI34</f>
        <v>#DIV/0!</v>
      </c>
      <c r="AYM34" s="593">
        <f>'Proy 2022 vs 2019 sem'!IJ33*AYP$4</f>
        <v>0</v>
      </c>
      <c r="AYN34" s="593">
        <f>'Proy 2022 vs 2019 sem'!IK33*AYP$4</f>
        <v>0</v>
      </c>
      <c r="AYO34" s="701"/>
      <c r="AYP34" s="700" t="e">
        <f>AYO34/AYM34</f>
        <v>#DIV/0!</v>
      </c>
      <c r="AYQ34" s="579">
        <f>AXO34+AXS34+AXW34+AYA34+AYE34+AYI34+AYM34</f>
        <v>0</v>
      </c>
      <c r="AYR34" s="574">
        <f>AXP34+AXT34+AXX34+AYB34+AYF34+AYJ34+AYN34</f>
        <v>0</v>
      </c>
      <c r="AYS34" s="794">
        <f>AXQ34+AXU34+AXY34+AYC34+AYG34+AYK34+AYO34</f>
        <v>0</v>
      </c>
      <c r="AYT34" s="786" t="e">
        <f>AYS34/AYQ34</f>
        <v>#DIV/0!</v>
      </c>
      <c r="AYU34" s="593">
        <f>'Proy 2022 vs 2019 sem'!IO33*AYX$4</f>
        <v>0</v>
      </c>
      <c r="AYV34" s="593">
        <f>'Proy 2022 vs 2019 sem'!IP33*AYX$4</f>
        <v>0</v>
      </c>
      <c r="AYW34" s="701"/>
      <c r="AYX34" s="700" t="e">
        <f>AYW34/AYU34</f>
        <v>#DIV/0!</v>
      </c>
      <c r="AYY34" s="593">
        <f>'Proy 2022 vs 2019 sem'!IO33*AZB$4</f>
        <v>0</v>
      </c>
      <c r="AYZ34" s="593">
        <f>'Proy 2022 vs 2019 sem'!IP33*AZB$4</f>
        <v>0</v>
      </c>
      <c r="AZA34" s="701"/>
      <c r="AZB34" s="700" t="e">
        <f>AZA34/AYY34</f>
        <v>#DIV/0!</v>
      </c>
      <c r="AZC34" s="593">
        <f>'Proy 2022 vs 2019 sem'!IO33*AZF$4</f>
        <v>0</v>
      </c>
      <c r="AZD34" s="593">
        <f>'Proy 2022 vs 2019 sem'!IP33*AZF$4</f>
        <v>0</v>
      </c>
      <c r="AZE34" s="701"/>
      <c r="AZF34" s="700" t="e">
        <f>AZE34/AZC34</f>
        <v>#DIV/0!</v>
      </c>
      <c r="AZG34" s="593">
        <f>'Proy 2022 vs 2019 sem'!IO33*AZJ$4</f>
        <v>0</v>
      </c>
      <c r="AZH34" s="593">
        <f>'Proy 2022 vs 2019 sem'!IP33*AZJ$4</f>
        <v>0</v>
      </c>
      <c r="AZI34" s="701"/>
      <c r="AZJ34" s="700" t="e">
        <f>AZI34/AZG34</f>
        <v>#DIV/0!</v>
      </c>
      <c r="AZK34" s="593">
        <f>'Proy 2022 vs 2019 sem'!IO33*AZN$4</f>
        <v>0</v>
      </c>
      <c r="AZL34" s="593">
        <f>'Proy 2022 vs 2019 sem'!IP33*AZN$4</f>
        <v>0</v>
      </c>
      <c r="AZM34" s="701"/>
      <c r="AZN34" s="700" t="e">
        <f>AZM34/AZK34</f>
        <v>#DIV/0!</v>
      </c>
      <c r="AZO34" s="593">
        <f>'Proy 2022 vs 2019 sem'!IO33*AZR$4</f>
        <v>0</v>
      </c>
      <c r="AZP34" s="593">
        <f>'Proy 2022 vs 2019 sem'!IP33*AZR$4</f>
        <v>0</v>
      </c>
      <c r="AZQ34" s="701"/>
      <c r="AZR34" s="700" t="e">
        <f>AZQ34/AZO34</f>
        <v>#DIV/0!</v>
      </c>
      <c r="AZS34" s="593">
        <f>'Proy 2022 vs 2019 sem'!IO33*AZV$4</f>
        <v>0</v>
      </c>
      <c r="AZT34" s="593">
        <f>'Proy 2022 vs 2019 sem'!IP33*AZV$4</f>
        <v>0</v>
      </c>
      <c r="AZU34" s="701"/>
      <c r="AZV34" s="700" t="e">
        <f>AZU34/AZS34</f>
        <v>#DIV/0!</v>
      </c>
      <c r="AZW34" s="579">
        <f>AYU34+AYY34+AZC34+AZG34+AZK34+AZO34+AZS34</f>
        <v>0</v>
      </c>
      <c r="AZX34" s="574">
        <f>AYV34+AYZ34+AZD34+AZH34+AZL34+AZP34+AZT34</f>
        <v>0</v>
      </c>
      <c r="AZY34" s="785">
        <f>AYW34+AZA34+AZE34+AZI34+AZM34+AZQ34+AZU34</f>
        <v>0</v>
      </c>
      <c r="AZZ34" s="786" t="e">
        <f>AZY34/AZW34</f>
        <v>#DIV/0!</v>
      </c>
      <c r="BAA34" s="593">
        <f>'Proy 2022 vs 2019 sem'!IX33*BAD$4</f>
        <v>0</v>
      </c>
      <c r="BAB34" s="593">
        <f>'Proy 2022 vs 2019 sem'!IY33*BAD$4</f>
        <v>0</v>
      </c>
      <c r="BAC34" s="736"/>
      <c r="BAD34" s="700" t="e">
        <f>BAC34/BAA34</f>
        <v>#DIV/0!</v>
      </c>
      <c r="BAE34" s="593">
        <f>'Proy 2022 vs 2019 sem'!IX33*BAH$4</f>
        <v>0</v>
      </c>
      <c r="BAF34" s="593">
        <f>'Proy 2022 vs 2019 sem'!IY33*BAH$4</f>
        <v>0</v>
      </c>
      <c r="BAG34" s="701"/>
      <c r="BAH34" s="700" t="e">
        <f>BAG34/BAE34</f>
        <v>#DIV/0!</v>
      </c>
      <c r="BAI34" s="593">
        <f>'Proy 2022 vs 2019 sem'!IX33*BAL$4</f>
        <v>0</v>
      </c>
      <c r="BAJ34" s="593">
        <f>'Proy 2022 vs 2019 sem'!IY33*BAL$4</f>
        <v>0</v>
      </c>
      <c r="BAK34" s="701"/>
      <c r="BAL34" s="700" t="e">
        <f>BAK34/BAI34</f>
        <v>#DIV/0!</v>
      </c>
      <c r="BAM34" s="593">
        <f>'Proy 2022 vs 2019 sem'!IX33*BAP$4</f>
        <v>0</v>
      </c>
      <c r="BAN34" s="593">
        <f>'Proy 2022 vs 2019 sem'!IY33*BAP$4</f>
        <v>0</v>
      </c>
      <c r="BAO34" s="701"/>
      <c r="BAP34" s="700" t="e">
        <f>BAO34/BAM34</f>
        <v>#DIV/0!</v>
      </c>
      <c r="BAQ34" s="593">
        <f>'Proy 2022 vs 2019 sem'!IX33*BAT$4</f>
        <v>0</v>
      </c>
      <c r="BAR34" s="593">
        <f>'Proy 2022 vs 2019 sem'!IY33*BAT$4</f>
        <v>0</v>
      </c>
      <c r="BAS34" s="701"/>
      <c r="BAT34" s="700" t="e">
        <f>BAS34/BAQ34</f>
        <v>#DIV/0!</v>
      </c>
      <c r="BAU34" s="593">
        <f>'Proy 2022 vs 2019 sem'!IX33*BAX$4</f>
        <v>0</v>
      </c>
      <c r="BAV34" s="593">
        <f>'Proy 2022 vs 2019 sem'!IY33*BAX$4</f>
        <v>0</v>
      </c>
      <c r="BAW34" s="701"/>
      <c r="BAX34" s="700" t="e">
        <f>BAW34/BAU34</f>
        <v>#DIV/0!</v>
      </c>
      <c r="BAY34" s="593">
        <f>'Proy 2022 vs 2019 sem'!IX33*BBB$4</f>
        <v>0</v>
      </c>
      <c r="BAZ34" s="593">
        <f>'Proy 2022 vs 2019 sem'!IY33*BBB$4</f>
        <v>0</v>
      </c>
      <c r="BBA34" s="701"/>
      <c r="BBB34" s="700" t="e">
        <f>BBA34/BAY34</f>
        <v>#DIV/0!</v>
      </c>
      <c r="BBC34" s="579">
        <f>BAA34+BAE34+BAI34+BAM34+BAQ34+BAU34+BAY34</f>
        <v>0</v>
      </c>
      <c r="BBD34" s="574">
        <f>BAB34+BAF34+BAJ34+BAN34+BAR34+BAV34+BAZ34</f>
        <v>0</v>
      </c>
      <c r="BBE34" s="759">
        <f>BAC34+BAG34+BAK34+BAO34+BAS34+BAW34+BBA34</f>
        <v>0</v>
      </c>
      <c r="BBF34" s="761" t="e">
        <f>BBE34/BBC34</f>
        <v>#DIV/0!</v>
      </c>
      <c r="BBG34" s="593">
        <f>'Proy 2022 vs 2019 sem'!JC33*BBJ$4</f>
        <v>0</v>
      </c>
      <c r="BBH34" s="593">
        <f>'Proy 2022 vs 2019 sem'!JD33*BBJ$4</f>
        <v>0</v>
      </c>
      <c r="BBI34" s="701"/>
      <c r="BBJ34" s="700" t="e">
        <f>BBI34/BBG34</f>
        <v>#DIV/0!</v>
      </c>
      <c r="BBK34" s="593">
        <f>'Proy 2022 vs 2019 sem'!JC33*BBN$4</f>
        <v>0</v>
      </c>
      <c r="BBL34" s="593">
        <f>'Proy 2022 vs 2019 sem'!JD33*BBN$4</f>
        <v>0</v>
      </c>
      <c r="BBM34" s="701"/>
      <c r="BBN34" s="700" t="e">
        <f>BBM34/BBK34</f>
        <v>#DIV/0!</v>
      </c>
      <c r="BBO34" s="593">
        <f>'Proy 2022 vs 2019 sem'!JC33*BBR$4</f>
        <v>0</v>
      </c>
      <c r="BBP34" s="593">
        <f>'Proy 2022 vs 2019 sem'!JD33*BBR$4</f>
        <v>0</v>
      </c>
      <c r="BBQ34" s="701"/>
      <c r="BBR34" s="700" t="e">
        <f>BBQ34/BBO34</f>
        <v>#DIV/0!</v>
      </c>
      <c r="BBS34" s="593">
        <f>'Proy 2022 vs 2019 sem'!JC33*BBV$4</f>
        <v>0</v>
      </c>
      <c r="BBT34" s="593">
        <f>'Proy 2022 vs 2019 sem'!JD33*BBV$4</f>
        <v>0</v>
      </c>
      <c r="BBU34" s="701"/>
      <c r="BBV34" s="700" t="e">
        <f>BBU34/BBS34</f>
        <v>#DIV/0!</v>
      </c>
      <c r="BBW34" s="593">
        <f>'Proy 2022 vs 2019 sem'!JC33*BBZ$4</f>
        <v>0</v>
      </c>
      <c r="BBX34" s="593">
        <f>'Proy 2022 vs 2019 sem'!JD33*BBZ$4</f>
        <v>0</v>
      </c>
      <c r="BBY34" s="701"/>
      <c r="BBZ34" s="700" t="e">
        <f>BBY34/BBW34</f>
        <v>#DIV/0!</v>
      </c>
      <c r="BCA34" s="593">
        <f>'Proy 2022 vs 2019 sem'!JC33*BCD$4</f>
        <v>0</v>
      </c>
      <c r="BCB34" s="593">
        <f>'Proy 2022 vs 2019 sem'!JD33*BCD$4</f>
        <v>0</v>
      </c>
      <c r="BCC34" s="701"/>
      <c r="BCD34" s="700" t="e">
        <f>BCC34/BCA34</f>
        <v>#DIV/0!</v>
      </c>
      <c r="BCE34" s="593">
        <f>'Proy 2022 vs 2019 sem'!JC33*BCH$4</f>
        <v>0</v>
      </c>
      <c r="BCF34" s="593">
        <f>'Proy 2022 vs 2019 sem'!JD33*BCH$4</f>
        <v>0</v>
      </c>
      <c r="BCG34" s="701"/>
      <c r="BCH34" s="700" t="e">
        <f>BCG34/BCE34</f>
        <v>#DIV/0!</v>
      </c>
      <c r="BCI34" s="579">
        <f>BBG34+BBK34+BBO34+BBS34+BBW34+BCA34+BCE34</f>
        <v>0</v>
      </c>
      <c r="BCJ34" s="574">
        <f>BBH34+BBL34+BBP34+BBT34+BBX34+BCB34+BCF34</f>
        <v>0</v>
      </c>
      <c r="BCK34" s="765">
        <f>BBI34+BBM34+BBQ34+BBU34+BBY34+BCC34+BCG34</f>
        <v>0</v>
      </c>
      <c r="BCL34" s="761" t="e">
        <f>BCK34/BCI34</f>
        <v>#DIV/0!</v>
      </c>
      <c r="BCM34" s="593">
        <f>'Proy 2022 vs 2019 sem'!JH33*BCP$4</f>
        <v>0</v>
      </c>
      <c r="BCN34" s="593">
        <f>'Proy 2022 vs 2019 sem'!JI33*BCP$4</f>
        <v>0</v>
      </c>
      <c r="BCO34" s="701"/>
      <c r="BCP34" s="700" t="e">
        <f>BCO34/BCM34</f>
        <v>#DIV/0!</v>
      </c>
      <c r="BCQ34" s="593">
        <f>'Proy 2022 vs 2019 sem'!JH33*BCT$4</f>
        <v>0</v>
      </c>
      <c r="BCR34" s="593">
        <f>'Proy 2022 vs 2019 sem'!JI33*BCT$4</f>
        <v>0</v>
      </c>
      <c r="BCS34" s="701"/>
      <c r="BCT34" s="700" t="e">
        <f>BCS34/BCQ34</f>
        <v>#DIV/0!</v>
      </c>
      <c r="BCU34" s="593">
        <f>'Proy 2022 vs 2019 sem'!JH33*BCX$4</f>
        <v>0</v>
      </c>
      <c r="BCV34" s="593">
        <f>'Proy 2022 vs 2019 sem'!JI33*BCX$4</f>
        <v>0</v>
      </c>
      <c r="BCW34" s="701"/>
      <c r="BCX34" s="700" t="e">
        <f>BCW34/BCU34</f>
        <v>#DIV/0!</v>
      </c>
      <c r="BCY34" s="593">
        <f>'Proy 2022 vs 2019 sem'!JH33*BDB$4</f>
        <v>0</v>
      </c>
      <c r="BCZ34" s="593">
        <f>'Proy 2022 vs 2019 sem'!JI33*BDB$4</f>
        <v>0</v>
      </c>
      <c r="BDA34" s="701"/>
      <c r="BDB34" s="700" t="e">
        <f>BDA34/BCY34</f>
        <v>#DIV/0!</v>
      </c>
      <c r="BDC34" s="593">
        <f>'Proy 2022 vs 2019 sem'!JH33*BDF$4</f>
        <v>0</v>
      </c>
      <c r="BDD34" s="593">
        <f>'Proy 2022 vs 2019 sem'!JI33*BDF$4</f>
        <v>0</v>
      </c>
      <c r="BDE34" s="701"/>
      <c r="BDF34" s="700" t="e">
        <f>BDE34/BDC34</f>
        <v>#DIV/0!</v>
      </c>
      <c r="BDG34" s="593">
        <f>'Proy 2022 vs 2019 sem'!JH33*BDJ$4</f>
        <v>0</v>
      </c>
      <c r="BDH34" s="593">
        <f>'Proy 2022 vs 2019 sem'!JI33*BDJ$4</f>
        <v>0</v>
      </c>
      <c r="BDI34" s="701"/>
      <c r="BDJ34" s="700" t="e">
        <f>BDI34/BDG34</f>
        <v>#DIV/0!</v>
      </c>
      <c r="BDK34" s="593">
        <f>'Proy 2022 vs 2019 sem'!JH33*BDN$4</f>
        <v>0</v>
      </c>
      <c r="BDL34" s="593">
        <f>'Proy 2022 vs 2019 sem'!JI33*BDN$4</f>
        <v>0</v>
      </c>
      <c r="BDM34" s="701"/>
      <c r="BDN34" s="700" t="e">
        <f>BDM34/BDK34</f>
        <v>#DIV/0!</v>
      </c>
      <c r="BDO34" s="579">
        <f>BCM34+BCQ34+BCU34+BCY34+BDC34+BDG34+BDK34</f>
        <v>0</v>
      </c>
      <c r="BDP34" s="574">
        <f>BCN34+BCR34+BCV34+BCZ34+BDD34+BDH34+BDL34</f>
        <v>0</v>
      </c>
      <c r="BDQ34" s="765">
        <f>BCO34+BCS34+BCW34+BDA34+BDE34+BDI34+BDM34</f>
        <v>0</v>
      </c>
      <c r="BDR34" s="761" t="e">
        <f>BDQ34/BDO34</f>
        <v>#DIV/0!</v>
      </c>
      <c r="BDS34" s="593">
        <f>'Proy 2022 vs 2019 sem'!JM33*BDV$4</f>
        <v>0</v>
      </c>
      <c r="BDT34" s="593">
        <f>'Proy 2022 vs 2019 sem'!JN33*BDV$4</f>
        <v>0</v>
      </c>
      <c r="BDU34" s="701"/>
      <c r="BDV34" s="700" t="e">
        <f>BDU34/BDS34</f>
        <v>#DIV/0!</v>
      </c>
      <c r="BDW34" s="593">
        <f>'Proy 2022 vs 2019 sem'!JM33*BDZ$4</f>
        <v>0</v>
      </c>
      <c r="BDX34" s="593">
        <f>'Proy 2022 vs 2019 sem'!JN33*BDZ$4</f>
        <v>0</v>
      </c>
      <c r="BDY34" s="701"/>
      <c r="BDZ34" s="700" t="e">
        <f>BDY34/BDW34</f>
        <v>#DIV/0!</v>
      </c>
      <c r="BEA34" s="593">
        <f>'Proy 2022 vs 2019 sem'!JM33*BED$4</f>
        <v>0</v>
      </c>
      <c r="BEB34" s="593">
        <f>'Proy 2022 vs 2019 sem'!JN33*BED$4</f>
        <v>0</v>
      </c>
      <c r="BEC34" s="701"/>
      <c r="BED34" s="700" t="e">
        <f>BEC34/BEA34</f>
        <v>#DIV/0!</v>
      </c>
      <c r="BEE34" s="593">
        <v>14513.990400000001</v>
      </c>
      <c r="BEF34" s="593">
        <f>'Proy 2022 vs 2019 sem'!JN33*BEH$4</f>
        <v>0</v>
      </c>
      <c r="BEG34" s="701"/>
      <c r="BEH34" s="700">
        <f>BEG34/BEE34</f>
        <v>0</v>
      </c>
      <c r="BEI34" s="593">
        <f>'Proy 2022 vs 2019 sem'!JM33*BEL$4</f>
        <v>0</v>
      </c>
      <c r="BEJ34" s="593">
        <f>'Proy 2022 vs 2019 sem'!JN33*BEL$4</f>
        <v>0</v>
      </c>
      <c r="BEK34" s="701"/>
      <c r="BEL34" s="700" t="e">
        <f>BEK34/BEI34</f>
        <v>#DIV/0!</v>
      </c>
      <c r="BEM34" s="593">
        <f>'Proy 2022 vs 2019 sem'!JM33*BEP$4</f>
        <v>0</v>
      </c>
      <c r="BEN34" s="593">
        <f>'Proy 2022 vs 2019 sem'!JN33*BEP$4</f>
        <v>0</v>
      </c>
      <c r="BEO34" s="701"/>
      <c r="BEP34" s="700" t="e">
        <f>BEO34/BEM34</f>
        <v>#DIV/0!</v>
      </c>
      <c r="BEQ34" s="593">
        <f>'Proy 2022 vs 2019 sem'!JM33*BET$4</f>
        <v>0</v>
      </c>
      <c r="BER34" s="593">
        <f>'Proy 2022 vs 2019 sem'!JN33*BET$4</f>
        <v>0</v>
      </c>
      <c r="BES34" s="701"/>
      <c r="BET34" s="700" t="e">
        <f>BES34/BEQ34</f>
        <v>#DIV/0!</v>
      </c>
      <c r="BEU34" s="579">
        <f>BDS34+BDW34+BEA34+BEE34+BEI34+BEM34+BEQ34</f>
        <v>14513.990400000001</v>
      </c>
      <c r="BEV34" s="574">
        <f>BDT34+BDX34+BEB34+BEF34+BEJ34+BEN34+BER34</f>
        <v>0</v>
      </c>
      <c r="BEW34" s="770">
        <f>BDU34+BDY34+BEC34+BEG34+BEK34+BEO34+BES34</f>
        <v>0</v>
      </c>
      <c r="BEX34" s="761">
        <f>BEW34/BEU34</f>
        <v>0</v>
      </c>
      <c r="BEY34" s="593">
        <f>'Proy 2022 vs 2019 sem'!JV33*BFB$4</f>
        <v>0</v>
      </c>
      <c r="BEZ34" s="593">
        <f>'Proy 2022 vs 2019 sem'!JW33*BFB$4</f>
        <v>0</v>
      </c>
      <c r="BFA34" s="736"/>
      <c r="BFB34" s="700" t="e">
        <f>BFA34/BEY34</f>
        <v>#DIV/0!</v>
      </c>
      <c r="BFC34" s="593">
        <f>'Proy 2022 vs 2019 sem'!JV33*BFF$4</f>
        <v>0</v>
      </c>
      <c r="BFD34" s="593">
        <f>'Proy 2022 vs 2019 sem'!JW33*BFF$4</f>
        <v>0</v>
      </c>
      <c r="BFE34" s="736"/>
      <c r="BFF34" s="700" t="e">
        <f>BFE34/BFC34</f>
        <v>#DIV/0!</v>
      </c>
      <c r="BFG34" s="593">
        <f>'Proy 2022 vs 2019 sem'!JV33*BFJ$4</f>
        <v>0</v>
      </c>
      <c r="BFH34" s="593">
        <f>'Proy 2022 vs 2019 sem'!JW33*BFJ$4</f>
        <v>0</v>
      </c>
      <c r="BFI34" s="736"/>
      <c r="BFJ34" s="700" t="e">
        <f>BFI34/BFG34</f>
        <v>#DIV/0!</v>
      </c>
      <c r="BFK34" s="593">
        <f>'Proy 2022 vs 2019 sem'!JV33*BFN$4</f>
        <v>0</v>
      </c>
      <c r="BFL34" s="593">
        <f>'Proy 2022 vs 2019 sem'!JW33*BFN$4</f>
        <v>0</v>
      </c>
      <c r="BFM34" s="736"/>
      <c r="BFN34" s="700" t="e">
        <f>BFM34/BFK34</f>
        <v>#DIV/0!</v>
      </c>
      <c r="BFO34" s="593">
        <f>'Proy 2022 vs 2019 sem'!JV33*BFR$4</f>
        <v>0</v>
      </c>
      <c r="BFP34" s="593">
        <f>'Proy 2022 vs 2019 sem'!JW33*BFR$4</f>
        <v>0</v>
      </c>
      <c r="BFQ34" s="736"/>
      <c r="BFR34" s="700" t="e">
        <f>BFQ34/BFO34</f>
        <v>#DIV/0!</v>
      </c>
      <c r="BFS34" s="593">
        <f>'Proy 2022 vs 2019 sem'!JV33*BFV$4</f>
        <v>0</v>
      </c>
      <c r="BFT34" s="593">
        <f>'Proy 2022 vs 2019 sem'!JW33*BFV$4</f>
        <v>0</v>
      </c>
      <c r="BFU34" s="736"/>
      <c r="BFV34" s="700" t="e">
        <f>BFU34/BFS34</f>
        <v>#DIV/0!</v>
      </c>
      <c r="BFW34" s="593">
        <f>'Proy 2022 vs 2019 sem'!JV33*BFZ$4</f>
        <v>0</v>
      </c>
      <c r="BFX34" s="593">
        <f>'Proy 2022 vs 2019 sem'!JW33*BFZ$4</f>
        <v>0</v>
      </c>
      <c r="BFY34" s="736"/>
      <c r="BFZ34" s="700" t="e">
        <f>BFY34/BFW34</f>
        <v>#DIV/0!</v>
      </c>
      <c r="BGA34" s="579">
        <f>BEY34+BFC34+BFG34+BFK34+BFO34+BFS34+BFW34</f>
        <v>0</v>
      </c>
      <c r="BGB34" s="574">
        <f>BEZ34+BFD34+BFH34+BFL34+BFP34+BFT34+BFX34</f>
        <v>0</v>
      </c>
      <c r="BGC34" s="729">
        <f>BFA34+BFE34+BFI34+BFM34+BFQ34+BFU34+BFY34</f>
        <v>0</v>
      </c>
      <c r="BGD34" s="711" t="e">
        <f>BGC34/BGA34</f>
        <v>#DIV/0!</v>
      </c>
      <c r="BGE34" s="593">
        <f>'Proy 2022 vs 2019 sem'!KA33*BGH$4</f>
        <v>0</v>
      </c>
      <c r="BGF34" s="593">
        <f>'Proy 2022 vs 2019 sem'!KB33*BGH$4</f>
        <v>0</v>
      </c>
      <c r="BGG34" s="701"/>
      <c r="BGH34" s="700" t="e">
        <f>BGG34/BGE34</f>
        <v>#DIV/0!</v>
      </c>
      <c r="BGI34" s="593">
        <f>'Proy 2022 vs 2019 sem'!KA33*BGL$4</f>
        <v>0</v>
      </c>
      <c r="BGJ34" s="593">
        <f>'Proy 2022 vs 2019 sem'!KB33*BGL$4</f>
        <v>0</v>
      </c>
      <c r="BGK34" s="701"/>
      <c r="BGL34" s="700" t="e">
        <f>BGK34/BGI34</f>
        <v>#DIV/0!</v>
      </c>
      <c r="BGM34" s="593">
        <f>'Proy 2022 vs 2019 sem'!KA33*BGP$4</f>
        <v>0</v>
      </c>
      <c r="BGN34" s="593">
        <f>'Proy 2022 vs 2019 sem'!KB33*BGP$4</f>
        <v>0</v>
      </c>
      <c r="BGO34" s="701"/>
      <c r="BGP34" s="700" t="e">
        <f>BGO34/BGM34</f>
        <v>#DIV/0!</v>
      </c>
      <c r="BGQ34" s="593">
        <f>'Proy 2022 vs 2019 sem'!KA33*BGT$4</f>
        <v>0</v>
      </c>
      <c r="BGR34" s="593">
        <f>'Proy 2022 vs 2019 sem'!KB33*BGT$4</f>
        <v>0</v>
      </c>
      <c r="BGS34" s="701"/>
      <c r="BGT34" s="700" t="e">
        <f>BGS34/BGQ34</f>
        <v>#DIV/0!</v>
      </c>
      <c r="BGU34" s="593">
        <f>'Proy 2022 vs 2019 sem'!KA33*BGX$4</f>
        <v>0</v>
      </c>
      <c r="BGV34" s="593">
        <f>'Proy 2022 vs 2019 sem'!KB33*BGX$4</f>
        <v>0</v>
      </c>
      <c r="BGW34" s="701"/>
      <c r="BGX34" s="700" t="e">
        <f>BGW34/BGU34</f>
        <v>#DIV/0!</v>
      </c>
      <c r="BGY34" s="593">
        <f>'Proy 2022 vs 2019 sem'!KA33*BHB$4</f>
        <v>0</v>
      </c>
      <c r="BGZ34" s="593">
        <f>'Proy 2022 vs 2019 sem'!KB33*BHB$4</f>
        <v>0</v>
      </c>
      <c r="BHA34" s="701"/>
      <c r="BHB34" s="700" t="e">
        <f>BHA34/BGY34</f>
        <v>#DIV/0!</v>
      </c>
      <c r="BHC34" s="593">
        <f>'Proy 2022 vs 2019 sem'!KA33*BHF$4</f>
        <v>0</v>
      </c>
      <c r="BHD34" s="593">
        <f>'Proy 2022 vs 2019 sem'!KB33*BHF$4</f>
        <v>0</v>
      </c>
      <c r="BHE34" s="701"/>
      <c r="BHF34" s="700" t="e">
        <f>BHE34/BHC34</f>
        <v>#DIV/0!</v>
      </c>
      <c r="BHG34" s="579">
        <f>BGE34+BGI34+BGM34+BGQ34+BGU34+BGY34+BHC34</f>
        <v>0</v>
      </c>
      <c r="BHH34" s="574">
        <f>BGF34+BGJ34+BGN34+BGR34+BGV34+BGZ34+BHD34</f>
        <v>0</v>
      </c>
      <c r="BHI34" s="730">
        <f>BGG34+BGK34+BGO34+BGS34+BGW34+BHA34+BHE34</f>
        <v>0</v>
      </c>
      <c r="BHJ34" s="711" t="e">
        <f>BHI34/BHG34</f>
        <v>#DIV/0!</v>
      </c>
      <c r="BHK34" s="593">
        <f>'Proy 2022 vs 2019 sem'!KF33*BHN$4</f>
        <v>0</v>
      </c>
      <c r="BHL34" s="593">
        <f>'Proy 2022 vs 2019 sem'!KG33*BHN$4</f>
        <v>0</v>
      </c>
      <c r="BHM34" s="701"/>
      <c r="BHN34" s="700" t="e">
        <f>BHM34/BHK34</f>
        <v>#DIV/0!</v>
      </c>
      <c r="BHO34" s="593">
        <f>'Proy 2022 vs 2019 sem'!KF33*BHR$4</f>
        <v>0</v>
      </c>
      <c r="BHP34" s="593">
        <f>'Proy 2022 vs 2019 sem'!KG33*BHR$4</f>
        <v>0</v>
      </c>
      <c r="BHQ34" s="701"/>
      <c r="BHR34" s="700" t="e">
        <f>BHQ34/BHO34</f>
        <v>#DIV/0!</v>
      </c>
      <c r="BHS34" s="593">
        <f>'Proy 2022 vs 2019 sem'!KF33*BHV$4</f>
        <v>0</v>
      </c>
      <c r="BHT34" s="593">
        <f>'Proy 2022 vs 2019 sem'!KG33*BHV$4</f>
        <v>0</v>
      </c>
      <c r="BHU34" s="701"/>
      <c r="BHV34" s="700" t="e">
        <f>BHU34/BHS34</f>
        <v>#DIV/0!</v>
      </c>
      <c r="BHW34" s="593">
        <f>'Proy 2022 vs 2019 sem'!KF33*BHZ$4</f>
        <v>0</v>
      </c>
      <c r="BHX34" s="593">
        <f>'Proy 2022 vs 2019 sem'!KG33*BHZ$4</f>
        <v>0</v>
      </c>
      <c r="BHY34" s="701"/>
      <c r="BHZ34" s="700" t="e">
        <f>BHY34/BHW34</f>
        <v>#DIV/0!</v>
      </c>
      <c r="BIA34" s="593">
        <f>'Proy 2022 vs 2019 sem'!KF33*BID$4</f>
        <v>0</v>
      </c>
      <c r="BIB34" s="593">
        <f>'Proy 2022 vs 2019 sem'!KG33*BID$4</f>
        <v>0</v>
      </c>
      <c r="BIC34" s="701"/>
      <c r="BID34" s="700" t="e">
        <f>BIC34/BIA34</f>
        <v>#DIV/0!</v>
      </c>
      <c r="BIE34" s="593">
        <f>'Proy 2022 vs 2019 sem'!KF33*BIH$4</f>
        <v>0</v>
      </c>
      <c r="BIF34" s="593">
        <f>'Proy 2022 vs 2019 sem'!KG33*BIH$4</f>
        <v>0</v>
      </c>
      <c r="BIG34" s="701"/>
      <c r="BIH34" s="700" t="e">
        <f>BIG34/BIE34</f>
        <v>#DIV/0!</v>
      </c>
      <c r="BII34" s="593">
        <f>'Proy 2022 vs 2019 sem'!KF33*BIL$4</f>
        <v>0</v>
      </c>
      <c r="BIJ34" s="593">
        <f>'Proy 2022 vs 2019 sem'!KG33*BIL$4</f>
        <v>0</v>
      </c>
      <c r="BIK34" s="701"/>
      <c r="BIL34" s="700" t="e">
        <f>BIK34/BII34</f>
        <v>#DIV/0!</v>
      </c>
      <c r="BIM34" s="579">
        <f>BHK34+BHO34+BHS34+BHW34+BIA34+BIE34+BII34</f>
        <v>0</v>
      </c>
      <c r="BIN34" s="574">
        <f>BHL34+BHP34+BHT34+BHX34+BIB34+BIF34+BIJ34</f>
        <v>0</v>
      </c>
      <c r="BIO34" s="730">
        <f>BHM34+BHQ34+BHU34+BHY34+BIC34+BIG34+BIK34</f>
        <v>0</v>
      </c>
      <c r="BIP34" s="711" t="e">
        <f>BIO34/BIM34</f>
        <v>#DIV/0!</v>
      </c>
      <c r="BIQ34" s="593">
        <f>'Proy 2022 vs 2019 sem'!KK33*BIT$4</f>
        <v>0</v>
      </c>
      <c r="BIR34" s="593">
        <f>'Proy 2022 vs 2019 sem'!KL33*BIT$4</f>
        <v>0</v>
      </c>
      <c r="BIS34" s="701"/>
      <c r="BIT34" s="700" t="e">
        <f>BIS34/BIQ34</f>
        <v>#DIV/0!</v>
      </c>
      <c r="BIU34" s="593">
        <f>'Proy 2022 vs 2019 sem'!KK33*BIX$4</f>
        <v>0</v>
      </c>
      <c r="BIV34" s="593">
        <f>'Proy 2022 vs 2019 sem'!KL33*BIX$4</f>
        <v>0</v>
      </c>
      <c r="BIW34" s="701"/>
      <c r="BIX34" s="700" t="e">
        <f>BIW34/BIU34</f>
        <v>#DIV/0!</v>
      </c>
      <c r="BIY34" s="593">
        <f>'Proy 2022 vs 2019 sem'!KK33*BJB$4</f>
        <v>0</v>
      </c>
      <c r="BIZ34" s="593">
        <f>'Proy 2022 vs 2019 sem'!KL33*BJB$4</f>
        <v>0</v>
      </c>
      <c r="BJA34" s="701"/>
      <c r="BJB34" s="700" t="e">
        <f>BJA34/BIY34</f>
        <v>#DIV/0!</v>
      </c>
      <c r="BJC34" s="593">
        <f>'Proy 2022 vs 2019 sem'!KK33*BJF$4</f>
        <v>0</v>
      </c>
      <c r="BJD34" s="593">
        <f>'Proy 2022 vs 2019 sem'!KL33*BJF$4</f>
        <v>0</v>
      </c>
      <c r="BJE34" s="701"/>
      <c r="BJF34" s="700" t="e">
        <f>BJE34/BJC34</f>
        <v>#DIV/0!</v>
      </c>
      <c r="BJG34" s="593">
        <f>'Proy 2022 vs 2019 sem'!KK33*BJJ$4</f>
        <v>0</v>
      </c>
      <c r="BJH34" s="593">
        <f>'Proy 2022 vs 2019 sem'!KL33*BJJ$4</f>
        <v>0</v>
      </c>
      <c r="BJI34" s="701"/>
      <c r="BJJ34" s="700" t="e">
        <f>BJI34/BJG34</f>
        <v>#DIV/0!</v>
      </c>
      <c r="BJK34" s="593">
        <f>'Proy 2022 vs 2019 sem'!KK33*BJN$4</f>
        <v>0</v>
      </c>
      <c r="BJL34" s="593">
        <f>'Proy 2022 vs 2019 sem'!KL33*BJN$4</f>
        <v>0</v>
      </c>
      <c r="BJM34" s="701"/>
      <c r="BJN34" s="700" t="e">
        <f>BJM34/BJK34</f>
        <v>#DIV/0!</v>
      </c>
      <c r="BJO34" s="593">
        <f>'Proy 2022 vs 2019 sem'!KK33*BJR$4</f>
        <v>0</v>
      </c>
      <c r="BJP34" s="593">
        <f>'Proy 2022 vs 2019 sem'!KL33*BJR$4</f>
        <v>0</v>
      </c>
      <c r="BJQ34" s="701"/>
      <c r="BJR34" s="700" t="e">
        <f>BJQ34/BJO34</f>
        <v>#DIV/0!</v>
      </c>
      <c r="BJS34" s="579">
        <f>BIQ34+BIU34+BIY34+BJC34+BJG34+BJK34+BJO34</f>
        <v>0</v>
      </c>
      <c r="BJT34" s="574">
        <f>BIR34+BIV34+BIZ34+BJD34+BJH34+BJL34+BJP34</f>
        <v>0</v>
      </c>
      <c r="BJU34" s="710">
        <f>BIS34+BIW34+BJA34+BJE34+BJI34+BJM34+BJQ34</f>
        <v>0</v>
      </c>
      <c r="BJV34" s="711" t="e">
        <f>BJU34/BJS34</f>
        <v>#DIV/0!</v>
      </c>
      <c r="BJW34" s="593">
        <f>'Proy 2022 vs 2019 sem'!KP33*BJZ$4</f>
        <v>0</v>
      </c>
      <c r="BJX34" s="593">
        <f>'Proy 2022 vs 2019 sem'!KQ33*BJZ$4</f>
        <v>0</v>
      </c>
      <c r="BJY34" s="701"/>
      <c r="BJZ34" s="700" t="e">
        <f>BJY34/BJW34</f>
        <v>#DIV/0!</v>
      </c>
      <c r="BKA34" s="593">
        <f>'Proy 2022 vs 2019 sem'!KP33*BKD$4</f>
        <v>0</v>
      </c>
      <c r="BKB34" s="593">
        <f>'Proy 2022 vs 2019 sem'!KQ33*BKD$4</f>
        <v>0</v>
      </c>
      <c r="BKC34" s="701"/>
      <c r="BKD34" s="700" t="e">
        <f>BKC34/BKA34</f>
        <v>#DIV/0!</v>
      </c>
      <c r="BKE34" s="593">
        <f>'Proy 2022 vs 2019 sem'!KP33*BKH$4</f>
        <v>0</v>
      </c>
      <c r="BKF34" s="593">
        <f>'Proy 2022 vs 2019 sem'!KQ33*BKH$4</f>
        <v>0</v>
      </c>
      <c r="BKG34" s="701"/>
      <c r="BKH34" s="700" t="e">
        <f>BKG34/BKE34</f>
        <v>#DIV/0!</v>
      </c>
      <c r="BKI34" s="593">
        <f>'Proy 2022 vs 2019 sem'!KP33*BKL$4</f>
        <v>0</v>
      </c>
      <c r="BKJ34" s="593">
        <f>'Proy 2022 vs 2019 sem'!KQ33*BKL$4</f>
        <v>0</v>
      </c>
      <c r="BKK34" s="701"/>
      <c r="BKL34" s="700" t="e">
        <f>BKK34/BKI34</f>
        <v>#DIV/0!</v>
      </c>
      <c r="BKM34" s="593">
        <f>'Proy 2022 vs 2019 sem'!KP33*BKP$4</f>
        <v>0</v>
      </c>
      <c r="BKN34" s="593">
        <f>'Proy 2022 vs 2019 sem'!KQ33*BKP$4</f>
        <v>0</v>
      </c>
      <c r="BKO34" s="701"/>
      <c r="BKP34" s="700" t="e">
        <f>BKO34/BKM34</f>
        <v>#DIV/0!</v>
      </c>
      <c r="BKQ34" s="593">
        <f>'Proy 2022 vs 2019 sem'!KP33*BKT$4</f>
        <v>0</v>
      </c>
      <c r="BKR34" s="593">
        <f>'Proy 2022 vs 2019 sem'!KQ33*BKT$4</f>
        <v>0</v>
      </c>
      <c r="BKS34" s="701"/>
      <c r="BKT34" s="700" t="e">
        <f>BKS34/BKQ34</f>
        <v>#DIV/0!</v>
      </c>
      <c r="BKU34" s="593">
        <f>'Proy 2022 vs 2019 sem'!KP33*BKX$4</f>
        <v>0</v>
      </c>
      <c r="BKV34" s="593">
        <f>'Proy 2022 vs 2019 sem'!KQ33*BKX$4</f>
        <v>0</v>
      </c>
      <c r="BKW34" s="701"/>
      <c r="BKX34" s="700" t="e">
        <f>BKW34/BKU34</f>
        <v>#DIV/0!</v>
      </c>
      <c r="BKY34" s="579">
        <f>BJW34+BKA34+BKE34+BKI34+BKM34+BKQ34+BKU34</f>
        <v>0</v>
      </c>
      <c r="BKZ34" s="574">
        <f>BJX34+BKB34+BKF34+BKJ34+BKN34+BKR34+BKV34</f>
        <v>0</v>
      </c>
      <c r="BLA34" s="710">
        <f>BJY34+BKC34+BKG34+BKK34+BKO34+BKS34+BKW34</f>
        <v>0</v>
      </c>
      <c r="BLB34" s="711" t="e">
        <f>BLA34/BKY34</f>
        <v>#DIV/0!</v>
      </c>
    </row>
    <row r="35" spans="2:1666">
      <c r="B35" s="929" t="s">
        <v>37</v>
      </c>
      <c r="C35" s="582"/>
      <c r="D35" s="593">
        <f>'Proy 2022 vs 2019 sem'!$D$6*$F$4</f>
        <v>8480.9228519999997</v>
      </c>
      <c r="E35" s="737"/>
      <c r="F35" s="703"/>
      <c r="G35" s="582"/>
      <c r="H35" s="593">
        <f>'Proy 2022 vs 2019 sem'!D34*$J$4</f>
        <v>5380.8693696</v>
      </c>
      <c r="I35" s="737"/>
      <c r="J35" s="703"/>
      <c r="K35" s="582"/>
      <c r="L35" s="593">
        <f>'Proy 2022 vs 2019 sem'!D34*N$4</f>
        <v>5380.8693696</v>
      </c>
      <c r="M35" s="737"/>
      <c r="N35" s="703"/>
      <c r="O35" s="582"/>
      <c r="P35" s="593">
        <f>'Proy 2022 vs 2019 sem'!D34*$R$4</f>
        <v>5380.8693696</v>
      </c>
      <c r="Q35" s="737"/>
      <c r="R35" s="703"/>
      <c r="S35" s="582"/>
      <c r="T35" s="593">
        <f>'Proy 2022 vs 2019 sem'!D34*V$4</f>
        <v>6277.6809312000005</v>
      </c>
      <c r="U35" s="737"/>
      <c r="V35" s="703"/>
      <c r="W35" s="582"/>
      <c r="X35" s="593">
        <f>'Proy 2022 vs 2019 sem'!D34*Z$4</f>
        <v>7174.4924928</v>
      </c>
      <c r="Y35" s="737"/>
      <c r="Z35" s="703"/>
      <c r="AA35" s="582"/>
      <c r="AB35" s="593">
        <f>'Proy 2022 vs 2019 sem'!D34*AD$4</f>
        <v>9864.9271776000005</v>
      </c>
      <c r="AC35" s="737"/>
      <c r="AD35" s="703"/>
      <c r="AE35" s="585"/>
      <c r="AF35" s="582">
        <f>D35+H35+L35+P35+T35+X35+AB35</f>
        <v>47940.631562400005</v>
      </c>
      <c r="AG35" s="729">
        <f>E35+I35+M35+Q35+U35+Y35+AC35</f>
        <v>0</v>
      </c>
      <c r="AH35" s="717"/>
      <c r="AI35" s="582"/>
      <c r="AJ35" s="611">
        <f>'Proy 2022 vs 2019 sem'!I34*AL$4</f>
        <v>5378.5163519999996</v>
      </c>
      <c r="AK35" s="702"/>
      <c r="AL35" s="703"/>
      <c r="AM35" s="582"/>
      <c r="AN35" s="593">
        <f>'Proy 2022 vs 2019 sem'!I34*AP$4</f>
        <v>5378.5163519999996</v>
      </c>
      <c r="AO35" s="702"/>
      <c r="AP35" s="703"/>
      <c r="AQ35" s="582"/>
      <c r="AR35" s="593">
        <f>'Proy 2022 vs 2019 sem'!I34*AT$4</f>
        <v>5378.5163519999996</v>
      </c>
      <c r="AS35" s="702"/>
      <c r="AT35" s="703"/>
      <c r="AU35" s="582"/>
      <c r="AV35" s="593">
        <f>'Proy 2022 vs 2019 sem'!I34*AX$4</f>
        <v>5378.5163519999996</v>
      </c>
      <c r="AW35" s="702"/>
      <c r="AX35" s="703"/>
      <c r="AY35" s="582"/>
      <c r="AZ35" s="593">
        <f>'Proy 2022 vs 2019 sem'!I34*BB$4</f>
        <v>6274.9357440000003</v>
      </c>
      <c r="BA35" s="702"/>
      <c r="BB35" s="703"/>
      <c r="BC35" s="582"/>
      <c r="BD35" s="593">
        <f>'Proy 2022 vs 2019 sem'!I34*BF$4</f>
        <v>7171.3551359999992</v>
      </c>
      <c r="BE35" s="702"/>
      <c r="BF35" s="703"/>
      <c r="BG35" s="582"/>
      <c r="BH35" s="593">
        <f>'Proy 2022 vs 2019 sem'!I34*BJ$4</f>
        <v>9860.6133119999995</v>
      </c>
      <c r="BI35" s="702"/>
      <c r="BJ35" s="703"/>
      <c r="BK35" s="585"/>
      <c r="BL35" s="582">
        <f>AJ35+AN35+AR35+AV35+AZ35+BD35+BH35</f>
        <v>44820.969599999997</v>
      </c>
      <c r="BM35" s="733">
        <f>AK35+AO35+AS35+AW35+BA35+BE35+BI35</f>
        <v>0</v>
      </c>
      <c r="BN35" s="717"/>
      <c r="BO35" s="593"/>
      <c r="BP35" s="593">
        <f>'Proy 2022 vs 2019 sem'!N34*BR$4</f>
        <v>5353.9613280000003</v>
      </c>
      <c r="BQ35" s="702"/>
      <c r="BR35" s="703"/>
      <c r="BS35" s="582"/>
      <c r="BT35" s="593">
        <f>'Proy 2022 vs 2019 sem'!N34*BV$4</f>
        <v>5353.9613280000003</v>
      </c>
      <c r="BU35" s="702"/>
      <c r="BV35" s="703"/>
      <c r="BW35" s="582"/>
      <c r="BX35" s="593">
        <f>'Proy 2022 vs 2019 sem'!N34*BZ$4</f>
        <v>5353.9613280000003</v>
      </c>
      <c r="BY35" s="702"/>
      <c r="BZ35" s="703"/>
      <c r="CA35" s="582"/>
      <c r="CB35" s="593">
        <f>'Proy 2022 vs 2019 sem'!N34*CD$4</f>
        <v>5353.9613280000003</v>
      </c>
      <c r="CC35" s="702"/>
      <c r="CD35" s="703"/>
      <c r="CE35" s="582"/>
      <c r="CF35" s="593">
        <f>'Proy 2022 vs 2019 sem'!N34*CH$4</f>
        <v>6246.2882160000008</v>
      </c>
      <c r="CG35" s="702"/>
      <c r="CH35" s="703"/>
      <c r="CI35" s="582"/>
      <c r="CJ35" s="593">
        <f>'Proy 2022 vs 2019 sem'!N34*CL$4</f>
        <v>7138.6151040000004</v>
      </c>
      <c r="CK35" s="702"/>
      <c r="CL35" s="703"/>
      <c r="CM35" s="582"/>
      <c r="CN35" s="593">
        <f>'Proy 2022 vs 2019 sem'!N34*CP$4</f>
        <v>9815.595768000001</v>
      </c>
      <c r="CO35" s="702"/>
      <c r="CP35" s="703"/>
      <c r="CQ35" s="585"/>
      <c r="CR35" s="582">
        <f>BP35+BT35+BX35+CB35+CF35+CJ35+CN35</f>
        <v>44616.344400000002</v>
      </c>
      <c r="CS35" s="733">
        <f>BQ35+BU35+BY35+CC35+CG35+CK35+CO35</f>
        <v>0</v>
      </c>
      <c r="CT35" s="717"/>
      <c r="CU35" s="582"/>
      <c r="CV35" s="593">
        <f>'Proy 2022 vs 2019 sem'!S34*CX$4</f>
        <v>5386.5181439999997</v>
      </c>
      <c r="CW35" s="702"/>
      <c r="CX35" s="703"/>
      <c r="CY35" s="582"/>
      <c r="CZ35" s="593">
        <f>'Proy 2022 vs 2019 sem'!S34*DB$4</f>
        <v>5386.5181439999997</v>
      </c>
      <c r="DA35" s="702"/>
      <c r="DB35" s="703"/>
      <c r="DC35" s="582"/>
      <c r="DD35" s="593">
        <f>'Proy 2022 vs 2019 sem'!S34*DF$4</f>
        <v>5386.5181439999997</v>
      </c>
      <c r="DE35" s="702"/>
      <c r="DF35" s="703"/>
      <c r="DG35" s="582"/>
      <c r="DH35" s="593">
        <f>'Proy 2022 vs 2019 sem'!S34*DJ$4</f>
        <v>5386.5181439999997</v>
      </c>
      <c r="DI35" s="702"/>
      <c r="DJ35" s="703"/>
      <c r="DK35" s="582"/>
      <c r="DL35" s="593">
        <f>'Proy 2022 vs 2019 sem'!S34*DN$4</f>
        <v>6284.2711680000002</v>
      </c>
      <c r="DM35" s="702"/>
      <c r="DN35" s="703"/>
      <c r="DO35" s="582"/>
      <c r="DP35" s="593">
        <f>'Proy 2022 vs 2019 sem'!S34*DR$4</f>
        <v>7182.0241919999999</v>
      </c>
      <c r="DQ35" s="702"/>
      <c r="DR35" s="703"/>
      <c r="DS35" s="582"/>
      <c r="DT35" s="593">
        <f>'Proy 2022 vs 2019 sem'!S34*DV$4</f>
        <v>9875.2832639999997</v>
      </c>
      <c r="DU35" s="702"/>
      <c r="DV35" s="703"/>
      <c r="DW35" s="585"/>
      <c r="DX35" s="574">
        <f>CV35+CZ35+DD35+DH35+DL35+DP35+DT35</f>
        <v>44887.651199999993</v>
      </c>
      <c r="DY35" s="716">
        <f>CW35+DA35+DE35+DI35+DM35+DQ35+DU35</f>
        <v>0</v>
      </c>
      <c r="DZ35" s="717"/>
      <c r="EA35" s="582"/>
      <c r="EB35" s="593">
        <f>'Proy 2022 vs 2019 sem'!AB34*ED$4</f>
        <v>4981.3446672</v>
      </c>
      <c r="EC35" s="737"/>
      <c r="ED35" s="703"/>
      <c r="EE35" s="582"/>
      <c r="EF35" s="593">
        <f>'Proy 2022 vs 2019 sem'!AB34*EH$4</f>
        <v>4981.3446672</v>
      </c>
      <c r="EG35" s="702"/>
      <c r="EH35" s="703"/>
      <c r="EI35" s="582"/>
      <c r="EJ35" s="593">
        <f>'Proy 2022 vs 2019 sem'!AB34*EL$4</f>
        <v>4981.3446672</v>
      </c>
      <c r="EK35" s="702"/>
      <c r="EL35" s="703"/>
      <c r="EM35" s="582"/>
      <c r="EN35" s="593">
        <f>'Proy 2022 vs 2019 sem'!AB34*EP$4</f>
        <v>4981.3446672</v>
      </c>
      <c r="EO35" s="702"/>
      <c r="EP35" s="703"/>
      <c r="EQ35" s="582"/>
      <c r="ER35" s="593">
        <f>'Proy 2022 vs 2019 sem'!AB34*ET$4</f>
        <v>5811.5687784000011</v>
      </c>
      <c r="ES35" s="702"/>
      <c r="ET35" s="703"/>
      <c r="EU35" s="582"/>
      <c r="EV35" s="593">
        <f>'Proy 2022 vs 2019 sem'!AB34*EX$4</f>
        <v>6641.7928896000003</v>
      </c>
      <c r="EW35" s="702"/>
      <c r="EX35" s="703"/>
      <c r="EY35" s="582"/>
      <c r="EZ35" s="593">
        <f>'Proy 2022 vs 2019 sem'!AB34*FB$4</f>
        <v>9132.4652232000008</v>
      </c>
      <c r="FA35" s="702"/>
      <c r="FB35" s="703"/>
      <c r="FC35" s="585"/>
      <c r="FD35" s="582">
        <f>EB35+EF35+EJ35+EN35+ER35+EV35+EZ35</f>
        <v>41511.205560000002</v>
      </c>
      <c r="FE35" s="793">
        <f>EC35+EG35+EK35+EO35+ES35+EW35+FA35</f>
        <v>0</v>
      </c>
      <c r="FF35" s="792"/>
      <c r="FG35" s="582"/>
      <c r="FH35" s="593">
        <f>'Proy 2022 vs 2019 sem'!AG34*FJ$4</f>
        <v>5836.0956119999992</v>
      </c>
      <c r="FI35" s="702"/>
      <c r="FJ35" s="703"/>
      <c r="FK35" s="582"/>
      <c r="FL35" s="593">
        <f>'Proy 2022 vs 2019 sem'!AG34*FN$4</f>
        <v>5836.0956119999992</v>
      </c>
      <c r="FM35" s="702"/>
      <c r="FN35" s="703"/>
      <c r="FO35" s="582"/>
      <c r="FP35" s="593">
        <f>'Proy 2022 vs 2019 sem'!AG34*FR$4</f>
        <v>5836.0956119999992</v>
      </c>
      <c r="FQ35" s="702"/>
      <c r="FR35" s="703"/>
      <c r="FS35" s="582"/>
      <c r="FT35" s="593">
        <f>'Proy 2022 vs 2019 sem'!AG34*FV$4</f>
        <v>5836.0956119999992</v>
      </c>
      <c r="FU35" s="702"/>
      <c r="FV35" s="703"/>
      <c r="FW35" s="582"/>
      <c r="FX35" s="593">
        <f>'Proy 2022 vs 2019 sem'!AG34*FZ$4</f>
        <v>6808.7782139999999</v>
      </c>
      <c r="FY35" s="702"/>
      <c r="FZ35" s="703"/>
      <c r="GA35" s="582"/>
      <c r="GB35" s="593">
        <f>'Proy 2022 vs 2019 sem'!AG34*GD$4</f>
        <v>7781.4608159999989</v>
      </c>
      <c r="GC35" s="702"/>
      <c r="GD35" s="703"/>
      <c r="GE35" s="582"/>
      <c r="GF35" s="593">
        <f>'Proy 2022 vs 2019 sem'!AG34*GH$4</f>
        <v>10699.508621999999</v>
      </c>
      <c r="GG35" s="702"/>
      <c r="GH35" s="703"/>
      <c r="GI35" s="585"/>
      <c r="GJ35" s="582">
        <f>FH35+FL35+FP35+FT35+FX35+GB35+GF35</f>
        <v>48634.130099999995</v>
      </c>
      <c r="GK35" s="797">
        <f>FI35+FM35+FQ35+FU35+FY35+GC35+GG35</f>
        <v>0</v>
      </c>
      <c r="GL35" s="792"/>
      <c r="GM35" s="593"/>
      <c r="GN35" s="593">
        <f>'Proy 2022 vs 2019 sem'!AL34*GP$4</f>
        <v>4989.5248320000001</v>
      </c>
      <c r="GO35" s="702"/>
      <c r="GP35" s="703"/>
      <c r="GQ35" s="582"/>
      <c r="GR35" s="593">
        <f>'Proy 2022 vs 2019 sem'!AL34*GT$4</f>
        <v>4989.5248320000001</v>
      </c>
      <c r="GS35" s="702"/>
      <c r="GT35" s="703"/>
      <c r="GU35" s="582"/>
      <c r="GV35" s="593">
        <f>'Proy 2022 vs 2019 sem'!AL34*GX$4</f>
        <v>4989.5248320000001</v>
      </c>
      <c r="GW35" s="702"/>
      <c r="GX35" s="703"/>
      <c r="GY35" s="582"/>
      <c r="GZ35" s="593">
        <f>'Proy 2022 vs 2019 sem'!AL34*HB$4</f>
        <v>4989.5248320000001</v>
      </c>
      <c r="HA35" s="702"/>
      <c r="HB35" s="703"/>
      <c r="HC35" s="582"/>
      <c r="HD35" s="593">
        <f>'Proy 2022 vs 2019 sem'!AL34*HF$4</f>
        <v>5821.1123040000002</v>
      </c>
      <c r="HE35" s="702"/>
      <c r="HF35" s="703"/>
      <c r="HG35" s="582"/>
      <c r="HH35" s="593">
        <f>'Proy 2022 vs 2019 sem'!AL34*HJ$4</f>
        <v>6652.6997760000004</v>
      </c>
      <c r="HI35" s="702"/>
      <c r="HJ35" s="703"/>
      <c r="HK35" s="582"/>
      <c r="HL35" s="593">
        <f>'Proy 2022 vs 2019 sem'!AL34*HN$4</f>
        <v>9147.462191999999</v>
      </c>
      <c r="HM35" s="702"/>
      <c r="HN35" s="703"/>
      <c r="HO35" s="585"/>
      <c r="HP35" s="582">
        <f>GN35+GR35+GV35+GZ35+HD35+HH35+HL35</f>
        <v>41579.373599999999</v>
      </c>
      <c r="HQ35" s="797">
        <f>GO35+GS35+GW35+HA35+HE35+HI35+HM35</f>
        <v>0</v>
      </c>
      <c r="HR35" s="792"/>
      <c r="HS35" s="582"/>
      <c r="HT35" s="593">
        <f>'Proy 2022 vs 2019 sem'!AL34*HV$4</f>
        <v>4989.5248320000001</v>
      </c>
      <c r="HU35" s="702"/>
      <c r="HV35" s="703"/>
      <c r="HW35" s="582"/>
      <c r="HX35" s="593">
        <f>'Proy 2022 vs 2019 sem'!AL34*HZ$4</f>
        <v>4989.5248320000001</v>
      </c>
      <c r="HY35" s="702"/>
      <c r="HZ35" s="703"/>
      <c r="IA35" s="582"/>
      <c r="IB35" s="593">
        <f>'Proy 2022 vs 2019 sem'!AL34*ID$4</f>
        <v>4989.5248320000001</v>
      </c>
      <c r="IC35" s="702"/>
      <c r="ID35" s="703"/>
      <c r="IE35" s="582"/>
      <c r="IF35" s="593">
        <f>'Proy 2022 vs 2019 sem'!AL34*IH$4</f>
        <v>4989.5248320000001</v>
      </c>
      <c r="IG35" s="702"/>
      <c r="IH35" s="703"/>
      <c r="II35" s="582"/>
      <c r="IJ35" s="593">
        <f>'Proy 2022 vs 2019 sem'!AL34*IL$4</f>
        <v>5821.1123040000002</v>
      </c>
      <c r="IK35" s="702"/>
      <c r="IL35" s="703"/>
      <c r="IM35" s="582"/>
      <c r="IN35" s="593">
        <f>'Proy 2022 vs 2019 sem'!AL34*IP$4</f>
        <v>6652.6997760000004</v>
      </c>
      <c r="IO35" s="702"/>
      <c r="IP35" s="703"/>
      <c r="IQ35" s="582"/>
      <c r="IR35" s="593">
        <f>'Proy 2022 vs 2019 sem'!AL34*IT$4</f>
        <v>9147.462191999999</v>
      </c>
      <c r="IS35" s="702"/>
      <c r="IT35" s="703"/>
      <c r="IU35" s="585"/>
      <c r="IV35" s="574">
        <f>HT35+HX35+IB35+IF35+IJ35+IN35+IR35</f>
        <v>41579.373599999999</v>
      </c>
      <c r="IW35" s="791">
        <f>HU35+HY35+IC35+IG35+IK35+IO35+IS35</f>
        <v>0</v>
      </c>
      <c r="IX35" s="792"/>
      <c r="IY35" s="582"/>
      <c r="IZ35" s="593">
        <f>'Proy 2022 vs 2019 sem'!AZ34*JB$4</f>
        <v>5310.57384</v>
      </c>
      <c r="JA35" s="737"/>
      <c r="JB35" s="703"/>
      <c r="JC35" s="582"/>
      <c r="JD35" s="593">
        <f>'Proy 2022 vs 2019 sem'!AZ34*JF$4</f>
        <v>5310.57384</v>
      </c>
      <c r="JE35" s="737"/>
      <c r="JF35" s="703"/>
      <c r="JG35" s="582"/>
      <c r="JH35" s="593">
        <f>'Proy 2022 vs 2019 sem'!AZ34*JJ$4</f>
        <v>5310.57384</v>
      </c>
      <c r="JI35" s="737"/>
      <c r="JJ35" s="703"/>
      <c r="JK35" s="582"/>
      <c r="JL35" s="593">
        <f>'Proy 2022 vs 2019 sem'!AZ34*JN$4</f>
        <v>5310.57384</v>
      </c>
      <c r="JM35" s="737"/>
      <c r="JN35" s="703"/>
      <c r="JO35" s="582"/>
      <c r="JP35" s="593">
        <f>'Proy 2022 vs 2019 sem'!AZ34*JR$4</f>
        <v>6195.6694800000005</v>
      </c>
      <c r="JQ35" s="737"/>
      <c r="JR35" s="703"/>
      <c r="JS35" s="582"/>
      <c r="JT35" s="593">
        <f>'Proy 2022 vs 2019 sem'!AZ34*JV$4</f>
        <v>7080.76512</v>
      </c>
      <c r="JU35" s="737"/>
      <c r="JV35" s="703"/>
      <c r="JW35" s="582"/>
      <c r="JX35" s="593">
        <f>'Proy 2022 vs 2019 sem'!AZ34*JZ$4</f>
        <v>9736.0520400000005</v>
      </c>
      <c r="JY35" s="737"/>
      <c r="JZ35" s="703"/>
      <c r="KA35" s="585"/>
      <c r="KB35" s="582">
        <f>IZ35+JD35+JH35+JL35+JP35+JT35+JX35</f>
        <v>44254.781999999999</v>
      </c>
      <c r="KC35" s="729">
        <f>JA35+JE35+JI35+JM35+JQ35+JU35+JY35</f>
        <v>0</v>
      </c>
      <c r="KD35" s="717"/>
      <c r="KE35" s="582"/>
      <c r="KF35" s="593">
        <f>'Proy 2022 vs 2019 sem'!BE34*KH$4</f>
        <v>6087.3904080000002</v>
      </c>
      <c r="KG35" s="702"/>
      <c r="KH35" s="703"/>
      <c r="KI35" s="582"/>
      <c r="KJ35" s="593">
        <f>'Proy 2022 vs 2019 sem'!BE34*KL$4</f>
        <v>6087.3904080000002</v>
      </c>
      <c r="KK35" s="702"/>
      <c r="KL35" s="703"/>
      <c r="KM35" s="582"/>
      <c r="KN35" s="593">
        <f>'Proy 2022 vs 2019 sem'!BE34*KP$4</f>
        <v>6087.3904080000002</v>
      </c>
      <c r="KO35" s="702"/>
      <c r="KP35" s="703"/>
      <c r="KQ35" s="582"/>
      <c r="KR35" s="593">
        <f>'Proy 2022 vs 2019 sem'!BE34*KT$4</f>
        <v>6087.3904080000002</v>
      </c>
      <c r="KS35" s="702"/>
      <c r="KT35" s="703"/>
      <c r="KU35" s="582"/>
      <c r="KV35" s="593">
        <f>'Proy 2022 vs 2019 sem'!BE34*KX$4</f>
        <v>7101.955476000001</v>
      </c>
      <c r="KW35" s="702"/>
      <c r="KX35" s="703"/>
      <c r="KY35" s="582"/>
      <c r="KZ35" s="593">
        <f>'Proy 2022 vs 2019 sem'!BE34*LB$4</f>
        <v>8116.520544</v>
      </c>
      <c r="LA35" s="702"/>
      <c r="LB35" s="703"/>
      <c r="LC35" s="582"/>
      <c r="LD35" s="593">
        <f>'Proy 2022 vs 2019 sem'!BE34*LF$4</f>
        <v>11160.215748000001</v>
      </c>
      <c r="LE35" s="702"/>
      <c r="LF35" s="703"/>
      <c r="LG35" s="585"/>
      <c r="LH35" s="582">
        <f>KF35+KJ35+KN35+KR35+KV35+KZ35+LD35</f>
        <v>50728.253400000001</v>
      </c>
      <c r="LI35" s="733">
        <f>KG35+KK35+KO35+KS35+KW35+LA35+LE35</f>
        <v>0</v>
      </c>
      <c r="LJ35" s="717"/>
      <c r="LK35" s="593"/>
      <c r="LL35" s="593">
        <f>'Proy 2022 vs 2019 sem'!BJ34*LN$4</f>
        <v>6306.5139407999986</v>
      </c>
      <c r="LM35" s="702"/>
      <c r="LN35" s="703"/>
      <c r="LO35" s="582"/>
      <c r="LP35" s="593">
        <f>'Proy 2022 vs 2019 sem'!BJ34*LR$4</f>
        <v>6306.5139407999986</v>
      </c>
      <c r="LQ35" s="702"/>
      <c r="LR35" s="703"/>
      <c r="LS35" s="582"/>
      <c r="LT35" s="593">
        <f>'Proy 2022 vs 2019 sem'!BJ34*LV$4</f>
        <v>6306.5139407999986</v>
      </c>
      <c r="LU35" s="702"/>
      <c r="LV35" s="703"/>
      <c r="LW35" s="582"/>
      <c r="LX35" s="593">
        <f>'Proy 2022 vs 2019 sem'!BJ34*LZ$4</f>
        <v>6306.5139407999986</v>
      </c>
      <c r="LY35" s="702"/>
      <c r="LZ35" s="703"/>
      <c r="MA35" s="582"/>
      <c r="MB35" s="593">
        <f>'Proy 2022 vs 2019 sem'!BJ34*MD$4</f>
        <v>7357.5995975999995</v>
      </c>
      <c r="MC35" s="702"/>
      <c r="MD35" s="703"/>
      <c r="ME35" s="582"/>
      <c r="MF35" s="593">
        <f>'Proy 2022 vs 2019 sem'!BJ34*MH$4</f>
        <v>8408.6852543999994</v>
      </c>
      <c r="MG35" s="702"/>
      <c r="MH35" s="703"/>
      <c r="MI35" s="582"/>
      <c r="MJ35" s="593">
        <f>'Proy 2022 vs 2019 sem'!BJ34*ML$4</f>
        <v>11561.942224799999</v>
      </c>
      <c r="MK35" s="702"/>
      <c r="ML35" s="703"/>
      <c r="MM35" s="585"/>
      <c r="MN35" s="582">
        <f>LL35+LP35+LT35+LX35+MB35+MF35+MJ35</f>
        <v>52554.282839999993</v>
      </c>
      <c r="MO35" s="733">
        <f>LM35+LQ35+LU35+LY35+MC35+MG35+MK35</f>
        <v>0</v>
      </c>
      <c r="MP35" s="717"/>
      <c r="MQ35" s="582"/>
      <c r="MR35" s="593">
        <f>'Proy 2022 vs 2019 sem'!BO34*MT$4</f>
        <v>6899.7045455999996</v>
      </c>
      <c r="MS35" s="702"/>
      <c r="MT35" s="703"/>
      <c r="MU35" s="582"/>
      <c r="MV35" s="593">
        <f>'Proy 2022 vs 2019 sem'!BO34*MX$4</f>
        <v>6899.7045455999996</v>
      </c>
      <c r="MW35" s="702"/>
      <c r="MX35" s="703"/>
      <c r="MY35" s="582"/>
      <c r="MZ35" s="593">
        <f>'Proy 2022 vs 2019 sem'!BO34*NB$4</f>
        <v>6899.7045455999996</v>
      </c>
      <c r="NA35" s="702"/>
      <c r="NB35" s="703"/>
      <c r="NC35" s="582"/>
      <c r="ND35" s="593">
        <f>'Proy 2022 vs 2019 sem'!BO34*NF$4</f>
        <v>6899.7045455999996</v>
      </c>
      <c r="NE35" s="702"/>
      <c r="NF35" s="703"/>
      <c r="NG35" s="582"/>
      <c r="NH35" s="593">
        <f>'Proy 2022 vs 2019 sem'!BO34*NJ$4</f>
        <v>8049.6553032000002</v>
      </c>
      <c r="NI35" s="702"/>
      <c r="NJ35" s="703"/>
      <c r="NK35" s="582"/>
      <c r="NL35" s="593">
        <f>'Proy 2022 vs 2019 sem'!BO34*NN$4</f>
        <v>9199.6060607999989</v>
      </c>
      <c r="NM35" s="702"/>
      <c r="NN35" s="703"/>
      <c r="NO35" s="582"/>
      <c r="NP35" s="593">
        <f>'Proy 2022 vs 2019 sem'!BO34*NR$4</f>
        <v>12649.4583336</v>
      </c>
      <c r="NQ35" s="702"/>
      <c r="NR35" s="703"/>
      <c r="NS35" s="585"/>
      <c r="NT35" s="574">
        <f>MR35+MV35+MZ35+ND35+NH35+NL35+NP35</f>
        <v>57497.537879999996</v>
      </c>
      <c r="NU35" s="716">
        <f>MS35+MW35+NA35+NE35+NI35+NM35+NQ35</f>
        <v>0</v>
      </c>
      <c r="NV35" s="717"/>
      <c r="NW35" s="582"/>
      <c r="NX35" s="593">
        <f>'Proy 2022 vs 2019 sem'!BT34*NZ$4</f>
        <v>7914.0446855999999</v>
      </c>
      <c r="NY35" s="702"/>
      <c r="NZ35" s="703"/>
      <c r="OA35" s="582"/>
      <c r="OB35" s="593">
        <f>'Proy 2022 vs 2019 sem'!BT34*OD$4</f>
        <v>7914.0446855999999</v>
      </c>
      <c r="OC35" s="702"/>
      <c r="OD35" s="703"/>
      <c r="OE35" s="582"/>
      <c r="OF35" s="593">
        <f>'Proy 2022 vs 2019 sem'!BT34*OH$4</f>
        <v>7914.0446855999999</v>
      </c>
      <c r="OG35" s="702"/>
      <c r="OH35" s="703"/>
      <c r="OI35" s="582"/>
      <c r="OJ35" s="593">
        <f>'Proy 2022 vs 2019 sem'!BT34*OL$4</f>
        <v>7914.0446855999999</v>
      </c>
      <c r="OK35" s="702"/>
      <c r="OL35" s="703"/>
      <c r="OM35" s="582"/>
      <c r="ON35" s="593">
        <f>'Proy 2022 vs 2019 sem'!BT34*OP$4</f>
        <v>9233.0521332000008</v>
      </c>
      <c r="OO35" s="702"/>
      <c r="OP35" s="703"/>
      <c r="OQ35" s="582"/>
      <c r="OR35" s="593">
        <f>'Proy 2022 vs 2019 sem'!BT34*OT$4</f>
        <v>10552.0595808</v>
      </c>
      <c r="OS35" s="702"/>
      <c r="OT35" s="703"/>
      <c r="OU35" s="582"/>
      <c r="OV35" s="593">
        <f>'Proy 2022 vs 2019 sem'!BT34*OX$4</f>
        <v>14509.081923600001</v>
      </c>
      <c r="OW35" s="702"/>
      <c r="OX35" s="703"/>
      <c r="OY35" s="585"/>
      <c r="OZ35" s="582">
        <f>NX35+OB35+OF35+OJ35+ON35+OR35+OV35</f>
        <v>65950.372380000001</v>
      </c>
      <c r="PA35" s="716">
        <f>NY35+OC35+OG35+OK35+OO35+OS35+OW35</f>
        <v>0</v>
      </c>
      <c r="PB35" s="717"/>
      <c r="PC35" s="582"/>
      <c r="PD35" s="593">
        <f>'Proy 2022 vs 2019 sem'!CC34*PF$4</f>
        <v>7142.7803687999995</v>
      </c>
      <c r="PE35" s="737"/>
      <c r="PF35" s="703"/>
      <c r="PG35" s="582"/>
      <c r="PH35" s="593">
        <f>'Proy 2022 vs 2019 sem'!CC34*PJ$4</f>
        <v>7142.7803687999995</v>
      </c>
      <c r="PI35" s="702"/>
      <c r="PJ35" s="703"/>
      <c r="PK35" s="582"/>
      <c r="PL35" s="593">
        <f>'Proy 2022 vs 2019 sem'!CC34*PN$4</f>
        <v>7142.7803687999995</v>
      </c>
      <c r="PM35" s="702"/>
      <c r="PN35" s="703"/>
      <c r="PO35" s="582"/>
      <c r="PP35" s="593">
        <f>'Proy 2022 vs 2019 sem'!CC34*PR$4</f>
        <v>7142.7803687999995</v>
      </c>
      <c r="PQ35" s="702"/>
      <c r="PR35" s="703"/>
      <c r="PS35" s="582"/>
      <c r="PT35" s="593">
        <f>'Proy 2022 vs 2019 sem'!CC34*PV$4</f>
        <v>8333.2437636000013</v>
      </c>
      <c r="PU35" s="702"/>
      <c r="PV35" s="703"/>
      <c r="PW35" s="582"/>
      <c r="PX35" s="593">
        <f>'Proy 2022 vs 2019 sem'!CC34*PZ$4</f>
        <v>9523.7071584000005</v>
      </c>
      <c r="PY35" s="702"/>
      <c r="PZ35" s="703"/>
      <c r="QA35" s="582"/>
      <c r="QB35" s="593">
        <f>'Proy 2022 vs 2019 sem'!CC34*QD$4</f>
        <v>13095.0973428</v>
      </c>
      <c r="QC35" s="702"/>
      <c r="QD35" s="703"/>
      <c r="QE35" s="585"/>
      <c r="QF35" s="582">
        <f>PD35+PH35+PL35+PP35+PT35+PX35+QB35</f>
        <v>59523.169739999998</v>
      </c>
      <c r="QG35" s="793">
        <f>PE35+PI35+PM35+PQ35+PU35+PY35+QC35</f>
        <v>0</v>
      </c>
      <c r="QH35" s="792"/>
      <c r="QI35" s="582"/>
      <c r="QJ35" s="593">
        <f>'Proy 2022 vs 2019 sem'!CH34*QL$4</f>
        <v>6816.2050800000006</v>
      </c>
      <c r="QK35" s="702"/>
      <c r="QL35" s="703"/>
      <c r="QM35" s="582"/>
      <c r="QN35" s="593">
        <f>'Proy 2022 vs 2019 sem'!CH34*QP$4</f>
        <v>6816.2050800000006</v>
      </c>
      <c r="QO35" s="702"/>
      <c r="QP35" s="703"/>
      <c r="QQ35" s="582"/>
      <c r="QR35" s="593">
        <f>'Proy 2022 vs 2019 sem'!CH34*QT$4</f>
        <v>6816.2050800000006</v>
      </c>
      <c r="QS35" s="702"/>
      <c r="QT35" s="703"/>
      <c r="QU35" s="582"/>
      <c r="QV35" s="593">
        <f>'Proy 2022 vs 2019 sem'!CH34*QX$4</f>
        <v>6816.2050800000006</v>
      </c>
      <c r="QW35" s="702"/>
      <c r="QX35" s="703"/>
      <c r="QY35" s="582"/>
      <c r="QZ35" s="593">
        <f>'Proy 2022 vs 2019 sem'!CH34*RB$4</f>
        <v>7952.2392600000021</v>
      </c>
      <c r="RA35" s="702"/>
      <c r="RB35" s="703"/>
      <c r="RC35" s="582"/>
      <c r="RD35" s="593">
        <f>'Proy 2022 vs 2019 sem'!CH34*RF$4</f>
        <v>9088.2734400000027</v>
      </c>
      <c r="RE35" s="702"/>
      <c r="RF35" s="703"/>
      <c r="RG35" s="582"/>
      <c r="RH35" s="593">
        <f>'Proy 2022 vs 2019 sem'!CH34*RJ$4</f>
        <v>12496.375980000003</v>
      </c>
      <c r="RI35" s="702"/>
      <c r="RJ35" s="703"/>
      <c r="RK35" s="585"/>
      <c r="RL35" s="582">
        <f>QJ35+QN35+QR35+QV35+QZ35+RD35+RH35</f>
        <v>56801.70900000001</v>
      </c>
      <c r="RM35" s="797">
        <f>QK35+QO35+QS35+QW35+RA35+RE35+RI35</f>
        <v>0</v>
      </c>
      <c r="RN35" s="792"/>
      <c r="RO35" s="593"/>
      <c r="RP35" s="593">
        <f>'Proy 2022 vs 2019 sem'!CM34*RR$4</f>
        <v>5897.4920639999991</v>
      </c>
      <c r="RQ35" s="702"/>
      <c r="RR35" s="703"/>
      <c r="RS35" s="582"/>
      <c r="RT35" s="593">
        <f>'Proy 2022 vs 2019 sem'!CM34*RV$4</f>
        <v>5897.4920639999991</v>
      </c>
      <c r="RU35" s="702"/>
      <c r="RV35" s="703"/>
      <c r="RW35" s="582"/>
      <c r="RX35" s="593">
        <f>'Proy 2022 vs 2019 sem'!CM34*RZ$4</f>
        <v>5897.4920639999991</v>
      </c>
      <c r="RY35" s="702"/>
      <c r="RZ35" s="703"/>
      <c r="SA35" s="582"/>
      <c r="SB35" s="593">
        <f>'Proy 2022 vs 2019 sem'!CM34*SD$4</f>
        <v>5897.4920639999991</v>
      </c>
      <c r="SC35" s="702"/>
      <c r="SD35" s="703"/>
      <c r="SE35" s="582"/>
      <c r="SF35" s="593">
        <f>'Proy 2022 vs 2019 sem'!CM34*SH$4</f>
        <v>6880.407408</v>
      </c>
      <c r="SG35" s="702"/>
      <c r="SH35" s="703"/>
      <c r="SI35" s="582"/>
      <c r="SJ35" s="593">
        <f>'Proy 2022 vs 2019 sem'!CM34*SL$4</f>
        <v>7863.3227519999991</v>
      </c>
      <c r="SK35" s="702"/>
      <c r="SL35" s="703"/>
      <c r="SM35" s="582"/>
      <c r="SN35" s="593">
        <f>'Proy 2022 vs 2019 sem'!CM34*SP$4</f>
        <v>10812.068783999999</v>
      </c>
      <c r="SO35" s="702"/>
      <c r="SP35" s="703"/>
      <c r="SQ35" s="585"/>
      <c r="SR35" s="582">
        <f>RP35+RT35+RX35+SB35+SF35+SJ35+SN35</f>
        <v>49145.767199999987</v>
      </c>
      <c r="SS35" s="797">
        <f>RQ35+RU35+RY35+SC35+SG35+SK35+SO35</f>
        <v>0</v>
      </c>
      <c r="ST35" s="792"/>
      <c r="SU35" s="582"/>
      <c r="SV35" s="593">
        <f>'Proy 2022 vs 2019 sem'!CR34*SX$4</f>
        <v>6083.5365864000005</v>
      </c>
      <c r="SW35" s="702"/>
      <c r="SX35" s="703"/>
      <c r="SY35" s="582"/>
      <c r="SZ35" s="593">
        <f>'Proy 2022 vs 2019 sem'!CR34*TB$4</f>
        <v>6083.5365864000005</v>
      </c>
      <c r="TA35" s="702"/>
      <c r="TB35" s="703"/>
      <c r="TC35" s="582"/>
      <c r="TD35" s="593">
        <f>'Proy 2022 vs 2019 sem'!CR34*TF$4</f>
        <v>6083.5365864000005</v>
      </c>
      <c r="TE35" s="702"/>
      <c r="TF35" s="703"/>
      <c r="TG35" s="582"/>
      <c r="TH35" s="593">
        <f>'Proy 2022 vs 2019 sem'!CR34*TJ$4</f>
        <v>6083.5365864000005</v>
      </c>
      <c r="TI35" s="702"/>
      <c r="TJ35" s="703"/>
      <c r="TK35" s="582"/>
      <c r="TL35" s="593">
        <f>'Proy 2022 vs 2019 sem'!CR34*TN$4</f>
        <v>7097.4593508000016</v>
      </c>
      <c r="TM35" s="702"/>
      <c r="TN35" s="703"/>
      <c r="TO35" s="582"/>
      <c r="TP35" s="593">
        <f>'Proy 2022 vs 2019 sem'!CR34*TR$4</f>
        <v>8111.3821152000019</v>
      </c>
      <c r="TQ35" s="702"/>
      <c r="TR35" s="703"/>
      <c r="TS35" s="582"/>
      <c r="TT35" s="593">
        <f>'Proy 2022 vs 2019 sem'!CR34*TV$4</f>
        <v>11153.150408400003</v>
      </c>
      <c r="TU35" s="702"/>
      <c r="TV35" s="703"/>
      <c r="TW35" s="585"/>
      <c r="TX35" s="574">
        <f>SV35+SZ35+TD35+TH35+TL35+TP35+TT35</f>
        <v>50696.138220000008</v>
      </c>
      <c r="TY35" s="791">
        <f>SW35+TA35+TE35+TI35+TM35+TQ35+TU35</f>
        <v>0</v>
      </c>
      <c r="TZ35" s="792"/>
      <c r="UA35" s="582"/>
      <c r="UB35" s="593">
        <f>'Proy 2022 vs 2019 sem'!DA34*UD$4</f>
        <v>8794.3132079999996</v>
      </c>
      <c r="UC35" s="737"/>
      <c r="UD35" s="703"/>
      <c r="UE35" s="582"/>
      <c r="UF35" s="593">
        <f>'Proy 2022 vs 2019 sem'!DA34*UH$4</f>
        <v>8794.3132079999996</v>
      </c>
      <c r="UG35" s="702"/>
      <c r="UH35" s="703"/>
      <c r="UI35" s="582"/>
      <c r="UJ35" s="593">
        <f>'Proy 2022 vs 2019 sem'!DA34*UL$4</f>
        <v>8794.3132079999996</v>
      </c>
      <c r="UK35" s="702"/>
      <c r="UL35" s="703"/>
      <c r="UM35" s="582"/>
      <c r="UN35" s="593">
        <f>'Proy 2022 vs 2019 sem'!DA34*UP$4</f>
        <v>8794.3132079999996</v>
      </c>
      <c r="UO35" s="702"/>
      <c r="UP35" s="703"/>
      <c r="UQ35" s="582"/>
      <c r="UR35" s="593">
        <f>'Proy 2022 vs 2019 sem'!DA34*UT$4</f>
        <v>10260.032076000001</v>
      </c>
      <c r="US35" s="702"/>
      <c r="UT35" s="703"/>
      <c r="UU35" s="582"/>
      <c r="UV35" s="593">
        <f>'Proy 2022 vs 2019 sem'!DA34*UX$4</f>
        <v>11725.750944000001</v>
      </c>
      <c r="UW35" s="702"/>
      <c r="UX35" s="703"/>
      <c r="UY35" s="582"/>
      <c r="UZ35" s="593">
        <f>'Proy 2022 vs 2019 sem'!DA34*VB$4</f>
        <v>16122.907548000001</v>
      </c>
      <c r="VA35" s="702"/>
      <c r="VB35" s="703"/>
      <c r="VC35" s="585"/>
      <c r="VD35" s="582">
        <f>UB35+UF35+UJ35+UN35+UR35+UV35+UZ35</f>
        <v>73285.943400000004</v>
      </c>
      <c r="VE35" s="759">
        <f>UC35+UG35+UK35+UO35+US35+UW35+VA35</f>
        <v>0</v>
      </c>
      <c r="VF35" s="764"/>
      <c r="VG35" s="582"/>
      <c r="VH35" s="593">
        <f>'Proy 2022 vs 2019 sem'!DF34*VJ$4</f>
        <v>6302.5063199999995</v>
      </c>
      <c r="VI35" s="702"/>
      <c r="VJ35" s="703"/>
      <c r="VK35" s="582"/>
      <c r="VL35" s="593">
        <f>'Proy 2022 vs 2019 sem'!DF34*VN$4</f>
        <v>6302.5063199999995</v>
      </c>
      <c r="VM35" s="702"/>
      <c r="VN35" s="703"/>
      <c r="VO35" s="582"/>
      <c r="VP35" s="593">
        <f>'Proy 2022 vs 2019 sem'!DF34*VR$4</f>
        <v>6302.5063199999995</v>
      </c>
      <c r="VQ35" s="702"/>
      <c r="VR35" s="703"/>
      <c r="VS35" s="582"/>
      <c r="VT35" s="593">
        <f>'Proy 2022 vs 2019 sem'!DF34*VV$4</f>
        <v>6302.5063199999995</v>
      </c>
      <c r="VU35" s="702"/>
      <c r="VV35" s="703"/>
      <c r="VW35" s="582"/>
      <c r="VX35" s="593">
        <f>'Proy 2022 vs 2019 sem'!DF34*VZ$4</f>
        <v>7352.9240400000008</v>
      </c>
      <c r="VY35" s="702"/>
      <c r="VZ35" s="703"/>
      <c r="WA35" s="582"/>
      <c r="WB35" s="593">
        <f>'Proy 2022 vs 2019 sem'!DF34*WD$4</f>
        <v>8403.3417599999993</v>
      </c>
      <c r="WC35" s="702"/>
      <c r="WD35" s="703"/>
      <c r="WE35" s="582"/>
      <c r="WF35" s="593">
        <f>'Proy 2022 vs 2019 sem'!DF34*WH$4</f>
        <v>11554.59492</v>
      </c>
      <c r="WG35" s="702"/>
      <c r="WH35" s="703"/>
      <c r="WI35" s="585"/>
      <c r="WJ35" s="582">
        <f>VH35+VL35+VP35+VT35+VX35+WB35+WF35</f>
        <v>52520.885999999999</v>
      </c>
      <c r="WK35" s="768">
        <f>VI35+VM35+VQ35+VU35+VY35+WC35+WG35</f>
        <v>0</v>
      </c>
      <c r="WL35" s="764"/>
      <c r="WM35" s="593"/>
      <c r="WN35" s="593">
        <f>'Proy 2022 vs 2019 sem'!DK34*WP$4</f>
        <v>5753.9205359999996</v>
      </c>
      <c r="WO35" s="702"/>
      <c r="WP35" s="703"/>
      <c r="WQ35" s="582"/>
      <c r="WR35" s="593">
        <f>'Proy 2022 vs 2019 sem'!DK34*WT$4</f>
        <v>5753.9205359999996</v>
      </c>
      <c r="WS35" s="702"/>
      <c r="WT35" s="703"/>
      <c r="WU35" s="582"/>
      <c r="WV35" s="593">
        <f>'Proy 2022 vs 2019 sem'!DK34*WX$4</f>
        <v>5753.9205359999996</v>
      </c>
      <c r="WW35" s="702"/>
      <c r="WX35" s="703"/>
      <c r="WY35" s="582"/>
      <c r="WZ35" s="593">
        <f>'Proy 2022 vs 2019 sem'!DK34*XB$4</f>
        <v>5753.9205359999996</v>
      </c>
      <c r="XA35" s="702"/>
      <c r="XB35" s="703"/>
      <c r="XC35" s="582"/>
      <c r="XD35" s="593">
        <f>'Proy 2022 vs 2019 sem'!DK34*XF$4</f>
        <v>6712.9072920000008</v>
      </c>
      <c r="XE35" s="702"/>
      <c r="XF35" s="703"/>
      <c r="XG35" s="582"/>
      <c r="XH35" s="593" t="e">
        <v>#REF!</v>
      </c>
      <c r="XI35" s="702"/>
      <c r="XJ35" s="703"/>
      <c r="XK35" s="582"/>
      <c r="XL35" s="593" t="e">
        <v>#REF!</v>
      </c>
      <c r="XM35" s="702"/>
      <c r="XN35" s="703"/>
      <c r="XO35" s="585"/>
      <c r="XP35" s="582" t="e">
        <f>WN35+WR35+WV35+WZ35+XD35+XH35+XL35</f>
        <v>#REF!</v>
      </c>
      <c r="XQ35" s="768">
        <f>WO35+WS35+WW35+XA35+XE35+XI35+XM35</f>
        <v>0</v>
      </c>
      <c r="XR35" s="764"/>
      <c r="XS35" s="582"/>
      <c r="XT35" s="593">
        <f>'Proy 2022 vs 2019 sem'!DP34*XV$4</f>
        <v>5761.7587439999998</v>
      </c>
      <c r="XU35" s="702"/>
      <c r="XV35" s="703"/>
      <c r="XW35" s="582"/>
      <c r="XX35" s="593">
        <f>'Proy 2022 vs 2019 sem'!DP34*XZ$4</f>
        <v>5761.7587439999998</v>
      </c>
      <c r="XY35" s="702"/>
      <c r="XZ35" s="703"/>
      <c r="YA35" s="582"/>
      <c r="YB35" s="593">
        <f>'Proy 2022 vs 2019 sem'!DP34*YD$4</f>
        <v>5761.7587439999998</v>
      </c>
      <c r="YC35" s="702"/>
      <c r="YD35" s="703"/>
      <c r="YE35" s="582"/>
      <c r="YF35" s="593">
        <f>'Proy 2022 vs 2019 sem'!DP34*YH$4</f>
        <v>5761.7587439999998</v>
      </c>
      <c r="YG35" s="702"/>
      <c r="YH35" s="703"/>
      <c r="YI35" s="582"/>
      <c r="YJ35" s="593">
        <f>'Proy 2022 vs 2019 sem'!DP34*YL$4</f>
        <v>6722.0518680000005</v>
      </c>
      <c r="YK35" s="702"/>
      <c r="YL35" s="703"/>
      <c r="YM35" s="582"/>
      <c r="YN35" s="593">
        <f>'Proy 2022 vs 2019 sem'!DP34*YP$4</f>
        <v>7682.3449919999994</v>
      </c>
      <c r="YO35" s="702"/>
      <c r="YP35" s="703"/>
      <c r="YQ35" s="582"/>
      <c r="YR35" s="593">
        <f>'Proy 2022 vs 2019 sem'!DP34*YT$4</f>
        <v>10563.224364</v>
      </c>
      <c r="YS35" s="702"/>
      <c r="YT35" s="703"/>
      <c r="YU35" s="585"/>
      <c r="YV35" s="574">
        <f>XT35+XX35+YB35+YF35+YJ35+YN35+YR35</f>
        <v>48014.656199999998</v>
      </c>
      <c r="YW35" s="773">
        <f>XU35+XY35+YC35+YG35+YK35+YO35+YS35</f>
        <v>0</v>
      </c>
      <c r="YX35" s="764"/>
      <c r="YY35" s="583"/>
      <c r="YZ35" s="931">
        <f>'Proy 2022 vs 2019 sem'!DY34*ZB$4</f>
        <v>6757.9129439999997</v>
      </c>
      <c r="ZA35" s="737"/>
      <c r="ZB35" s="703"/>
      <c r="ZC35" s="582"/>
      <c r="ZD35" s="593">
        <f>'Proy 2022 vs 2019 sem'!DY34*ZF$4</f>
        <v>6757.9129439999997</v>
      </c>
      <c r="ZE35" s="737"/>
      <c r="ZF35" s="703"/>
      <c r="ZG35" s="582"/>
      <c r="ZH35" s="593">
        <f>'Proy 2022 vs 2019 sem'!DY34*ZJ$4</f>
        <v>6757.9129439999997</v>
      </c>
      <c r="ZI35" s="737"/>
      <c r="ZJ35" s="703"/>
      <c r="ZK35" s="582"/>
      <c r="ZL35" s="593">
        <f>'Proy 2022 vs 2019 sem'!DY34*ZN$4</f>
        <v>6757.9129439999997</v>
      </c>
      <c r="ZM35" s="737"/>
      <c r="ZN35" s="703"/>
      <c r="ZO35" s="582"/>
      <c r="ZP35" s="593">
        <f>'Proy 2022 vs 2019 sem'!DY34*ZR$4</f>
        <v>7884.2317680000006</v>
      </c>
      <c r="ZQ35" s="737"/>
      <c r="ZR35" s="703"/>
      <c r="ZS35" s="582"/>
      <c r="ZT35" s="593">
        <f>'Proy 2022 vs 2019 sem'!DY34*ZV$4</f>
        <v>9010.5505919999996</v>
      </c>
      <c r="ZU35" s="737"/>
      <c r="ZV35" s="703"/>
      <c r="ZW35" s="582"/>
      <c r="ZX35" s="593">
        <f>'Proy 2022 vs 2019 sem'!DY34*ZZ$4</f>
        <v>12389.507063999999</v>
      </c>
      <c r="ZY35" s="737"/>
      <c r="ZZ35" s="703"/>
      <c r="AAA35" s="585"/>
      <c r="AAB35" s="582">
        <f>YZ35+ZD35+ZH35+ZL35+ZP35+ZT35+ZX35</f>
        <v>56315.941199999994</v>
      </c>
      <c r="AAC35" s="729">
        <f>ZA35+ZE35+ZI35+ZM35+ZQ35+ZU35+ZY35</f>
        <v>0</v>
      </c>
      <c r="AAD35" s="717"/>
      <c r="AAE35" s="582"/>
      <c r="AAF35" s="593">
        <f>'Proy 2022 vs 2019 sem'!ED34*AAH$4</f>
        <v>7990.9346879999985</v>
      </c>
      <c r="AAG35" s="702"/>
      <c r="AAH35" s="703"/>
      <c r="AAI35" s="582"/>
      <c r="AAJ35" s="593">
        <f>'Proy 2022 vs 2019 sem'!ED34*AAL$4</f>
        <v>7990.9346879999985</v>
      </c>
      <c r="AAK35" s="702"/>
      <c r="AAL35" s="703"/>
      <c r="AAM35" s="582"/>
      <c r="AAN35" s="593">
        <f>'Proy 2022 vs 2019 sem'!ED34*AAP$4</f>
        <v>7990.9346879999985</v>
      </c>
      <c r="AAO35" s="702"/>
      <c r="AAP35" s="703"/>
      <c r="AAQ35" s="582"/>
      <c r="AAR35" s="593">
        <f>'Proy 2022 vs 2019 sem'!ED34*AAT$4</f>
        <v>7990.9346879999985</v>
      </c>
      <c r="AAS35" s="702"/>
      <c r="AAT35" s="703"/>
      <c r="AAU35" s="582"/>
      <c r="AAV35" s="593">
        <f>'Proy 2022 vs 2019 sem'!ED34*AAX$4</f>
        <v>9322.7571360000002</v>
      </c>
      <c r="AAW35" s="702"/>
      <c r="AAX35" s="703"/>
      <c r="AAY35" s="582"/>
      <c r="AAZ35" s="593">
        <f>'Proy 2022 vs 2019 sem'!ED34*ABB$4</f>
        <v>10654.579583999999</v>
      </c>
      <c r="ABA35" s="702"/>
      <c r="ABB35" s="703"/>
      <c r="ABC35" s="582"/>
      <c r="ABD35" s="593">
        <f>'Proy 2022 vs 2019 sem'!ED34*ABF$4</f>
        <v>14650.046927999998</v>
      </c>
      <c r="ABE35" s="702"/>
      <c r="ABF35" s="703"/>
      <c r="ABG35" s="585"/>
      <c r="ABH35" s="582">
        <f>AAF35+AAJ35+AAN35+AAR35+AAV35+AAZ35+ABD35</f>
        <v>66591.122399999993</v>
      </c>
      <c r="ABI35" s="733">
        <f>AAG35+AAK35+AAO35+AAS35+AAW35+ABA35+ABE35</f>
        <v>0</v>
      </c>
      <c r="ABJ35" s="717"/>
      <c r="ABK35" s="593"/>
      <c r="ABL35" s="593">
        <f>'Proy 2022 vs 2019 sem'!EI34*ABN$4</f>
        <v>7667.9838935999987</v>
      </c>
      <c r="ABM35" s="702"/>
      <c r="ABN35" s="703"/>
      <c r="ABO35" s="582"/>
      <c r="ABP35" s="593">
        <f>'Proy 2022 vs 2019 sem'!EI34*ABR$4</f>
        <v>7667.9838935999987</v>
      </c>
      <c r="ABQ35" s="702"/>
      <c r="ABR35" s="703"/>
      <c r="ABS35" s="582"/>
      <c r="ABT35" s="593">
        <f>'Proy 2022 vs 2019 sem'!EI34*ABV$4</f>
        <v>7667.9838935999987</v>
      </c>
      <c r="ABU35" s="702"/>
      <c r="ABV35" s="703"/>
      <c r="ABW35" s="582"/>
      <c r="ABX35" s="593">
        <f>'Proy 2022 vs 2019 sem'!EI34*ABZ$4</f>
        <v>7667.9838935999987</v>
      </c>
      <c r="ABY35" s="702"/>
      <c r="ABZ35" s="703"/>
      <c r="ACA35" s="582"/>
      <c r="ACB35" s="593">
        <f>'Proy 2022 vs 2019 sem'!EI34*ACD$4</f>
        <v>8945.9812091999993</v>
      </c>
      <c r="ACC35" s="702"/>
      <c r="ACD35" s="703"/>
      <c r="ACE35" s="582"/>
      <c r="ACF35" s="593">
        <f>'Proy 2022 vs 2019 sem'!EI34*ACH$4</f>
        <v>10223.978524799999</v>
      </c>
      <c r="ACG35" s="702"/>
      <c r="ACH35" s="703"/>
      <c r="ACI35" s="582"/>
      <c r="ACJ35" s="593">
        <f>'Proy 2022 vs 2019 sem'!EI34*ACL$4</f>
        <v>14057.970471599998</v>
      </c>
      <c r="ACK35" s="702"/>
      <c r="ACL35" s="703"/>
      <c r="ACM35" s="585"/>
      <c r="ACN35" s="582">
        <f>ABL35+ABP35+ABT35+ABX35+ACB35+ACF35+ACJ35</f>
        <v>63899.865779999993</v>
      </c>
      <c r="ACO35" s="733">
        <f>ABM35+ABQ35+ABU35+ABY35+ACC35+ACG35+ACK35</f>
        <v>0</v>
      </c>
      <c r="ACP35" s="717"/>
      <c r="ACQ35" s="582"/>
      <c r="ACR35" s="593">
        <f>'Proy 2022 vs 2019 sem'!EN34*ACT$4</f>
        <v>8125.7205455999983</v>
      </c>
      <c r="ACS35" s="702"/>
      <c r="ACT35" s="703"/>
      <c r="ACU35" s="582"/>
      <c r="ACV35" s="593">
        <f>'Proy 2022 vs 2019 sem'!EN34*ACX$4</f>
        <v>8125.7205455999983</v>
      </c>
      <c r="ACW35" s="702"/>
      <c r="ACX35" s="703"/>
      <c r="ACY35" s="582"/>
      <c r="ACZ35" s="593">
        <f>'Proy 2022 vs 2019 sem'!EN34*ADB$4</f>
        <v>8125.7205455999983</v>
      </c>
      <c r="ADA35" s="702"/>
      <c r="ADB35" s="703"/>
      <c r="ADC35" s="582"/>
      <c r="ADD35" s="593">
        <f>'Proy 2022 vs 2019 sem'!EN34*ADF$4</f>
        <v>8125.7205455999983</v>
      </c>
      <c r="ADE35" s="702"/>
      <c r="ADF35" s="703"/>
      <c r="ADG35" s="582"/>
      <c r="ADH35" s="593">
        <f>'Proy 2022 vs 2019 sem'!EN34*ADJ$4</f>
        <v>9480.0073032</v>
      </c>
      <c r="ADI35" s="702"/>
      <c r="ADJ35" s="703"/>
      <c r="ADK35" s="582"/>
      <c r="ADL35" s="593">
        <f>'Proy 2022 vs 2019 sem'!EN34*ADN$4</f>
        <v>10834.294060799999</v>
      </c>
      <c r="ADM35" s="702"/>
      <c r="ADN35" s="703"/>
      <c r="ADO35" s="582"/>
      <c r="ADP35" s="593">
        <f>'Proy 2022 vs 2019 sem'!EN34*ADR$4</f>
        <v>14897.154333599998</v>
      </c>
      <c r="ADQ35" s="702"/>
      <c r="ADR35" s="703"/>
      <c r="ADS35" s="585"/>
      <c r="ADT35" s="574">
        <f>ACR35+ACV35+ACZ35+ADD35+ADH35+ADL35+ADP35</f>
        <v>67714.337879999992</v>
      </c>
      <c r="ADU35" s="716">
        <f>ACS35+ACW35+ADA35+ADE35+ADI35+ADM35+ADQ35</f>
        <v>0</v>
      </c>
      <c r="ADV35" s="717"/>
      <c r="ADW35" s="582"/>
      <c r="ADX35" s="593">
        <f>'Proy 2022 vs 2019 sem'!ES34*ADZ$4</f>
        <v>8110.3994280000006</v>
      </c>
      <c r="ADY35" s="702"/>
      <c r="ADZ35" s="703"/>
      <c r="AEA35" s="582"/>
      <c r="AEB35" s="593">
        <f>'Proy 2022 vs 2019 sem'!ES34*AED$4</f>
        <v>8110.3994280000006</v>
      </c>
      <c r="AEC35" s="702"/>
      <c r="AED35" s="703"/>
      <c r="AEE35" s="582"/>
      <c r="AEF35" s="593">
        <f>'Proy 2022 vs 2019 sem'!ES34*AEH$4</f>
        <v>8110.3994280000006</v>
      </c>
      <c r="AEG35" s="702"/>
      <c r="AEH35" s="703"/>
      <c r="AEI35" s="582"/>
      <c r="AEJ35" s="593">
        <f>'Proy 2022 vs 2019 sem'!ES34*AEL$4</f>
        <v>8110.3994280000006</v>
      </c>
      <c r="AEK35" s="702"/>
      <c r="AEL35" s="703"/>
      <c r="AEM35" s="582"/>
      <c r="AEN35" s="593">
        <f>'Proy 2022 vs 2019 sem'!ES34*AEP$4</f>
        <v>9462.1326660000013</v>
      </c>
      <c r="AEO35" s="702"/>
      <c r="AEP35" s="703"/>
      <c r="AEQ35" s="582"/>
      <c r="AER35" s="593">
        <f>'Proy 2022 vs 2019 sem'!ES34*AET$4</f>
        <v>10813.865904000002</v>
      </c>
      <c r="AES35" s="702"/>
      <c r="AET35" s="703"/>
      <c r="AEU35" s="582"/>
      <c r="AEV35" s="593">
        <f>'Proy 2022 vs 2019 sem'!ES34*AEX$4</f>
        <v>14869.065618000002</v>
      </c>
      <c r="AEW35" s="702"/>
      <c r="AEX35" s="703"/>
      <c r="AEY35" s="585"/>
      <c r="AEZ35" s="582">
        <f>ADX35+AEB35+AEF35+AEJ35+AEN35+AER35+AEV35</f>
        <v>67586.661900000021</v>
      </c>
      <c r="AFA35" s="716">
        <f>ADY35+AEC35+AEG35+AEK35+AEO35+AES35+AEW35</f>
        <v>0</v>
      </c>
      <c r="AFB35" s="717"/>
      <c r="AFC35" s="593" t="e">
        <f>'Proy 2022 vs 2019 sem'!FA34*AFF$4</f>
        <v>#VALUE!</v>
      </c>
      <c r="AFD35" s="593">
        <f>'Proy 2022 vs 2019 sem'!FB34*AFF$4</f>
        <v>7352.4920831999989</v>
      </c>
      <c r="AFE35" s="737"/>
      <c r="AFF35" s="703"/>
      <c r="AFG35" s="582"/>
      <c r="AFH35" s="593">
        <f>'Proy 2022 vs 2019 sem'!FB34*AFJ$4</f>
        <v>7352.4920831999989</v>
      </c>
      <c r="AFI35" s="702"/>
      <c r="AFJ35" s="703"/>
      <c r="AFK35" s="582"/>
      <c r="AFL35" s="593">
        <f>'Proy 2022 vs 2019 sem'!FB34*AFN$4</f>
        <v>7352.4920831999989</v>
      </c>
      <c r="AFM35" s="702"/>
      <c r="AFN35" s="703"/>
      <c r="AFO35" s="582"/>
      <c r="AFP35" s="593">
        <f>'Proy 2022 vs 2019 sem'!FB34*AFR$4</f>
        <v>7352.4920831999989</v>
      </c>
      <c r="AFQ35" s="702"/>
      <c r="AFR35" s="703"/>
      <c r="AFS35" s="582"/>
      <c r="AFT35" s="593">
        <f>'Proy 2022 vs 2019 sem'!FB34*AFV$4</f>
        <v>8577.9074303999987</v>
      </c>
      <c r="AFU35" s="702"/>
      <c r="AFV35" s="703"/>
      <c r="AFW35" s="582"/>
      <c r="AFX35" s="593">
        <f>'Proy 2022 vs 2019 sem'!FB34*AFZ$4</f>
        <v>9803.3227775999985</v>
      </c>
      <c r="AFY35" s="702"/>
      <c r="AFZ35" s="703"/>
      <c r="AGA35" s="582"/>
      <c r="AGB35" s="593">
        <f>'Proy 2022 vs 2019 sem'!FB34*AGD$4</f>
        <v>13479.568819199998</v>
      </c>
      <c r="AGC35" s="702"/>
      <c r="AGD35" s="703"/>
      <c r="AGE35" s="585"/>
      <c r="AGF35" s="582">
        <f>AFD35+AFH35+AFL35+AFP35+AFT35+AFX35+AGB35</f>
        <v>61270.767359999983</v>
      </c>
      <c r="AGG35" s="759">
        <f>AFE35+AFI35+AFM35+AFQ35+AFU35+AFY35+AGC35</f>
        <v>0</v>
      </c>
      <c r="AGH35" s="764"/>
      <c r="AGI35" s="593" t="e">
        <f>'Proy 2022 vs 2019 sem'!FF34*AGL$4</f>
        <v>#VALUE!</v>
      </c>
      <c r="AGJ35" s="593">
        <f>'Proy 2022 vs 2019 sem'!FG34*AGL$4</f>
        <v>7542.0214847999996</v>
      </c>
      <c r="AGK35" s="702"/>
      <c r="AGL35" s="703"/>
      <c r="AGM35" s="582"/>
      <c r="AGN35" s="593">
        <f>'Proy 2022 vs 2019 sem'!FG34*AGP$4</f>
        <v>7542.0214847999996</v>
      </c>
      <c r="AGO35" s="702"/>
      <c r="AGP35" s="703"/>
      <c r="AGQ35" s="582"/>
      <c r="AGR35" s="593">
        <f>'Proy 2022 vs 2019 sem'!FG34*AGT$4</f>
        <v>7542.0214847999996</v>
      </c>
      <c r="AGS35" s="702"/>
      <c r="AGT35" s="703"/>
      <c r="AGU35" s="582"/>
      <c r="AGV35" s="593">
        <f>'Proy 2022 vs 2019 sem'!FG34*AGX$4</f>
        <v>7542.0214847999996</v>
      </c>
      <c r="AGW35" s="702"/>
      <c r="AGX35" s="703"/>
      <c r="AGY35" s="582"/>
      <c r="AGZ35" s="593">
        <f>'Proy 2022 vs 2019 sem'!FG34*AHB$4</f>
        <v>8799.0250656000007</v>
      </c>
      <c r="AHA35" s="702"/>
      <c r="AHB35" s="703"/>
      <c r="AHC35" s="582"/>
      <c r="AHD35" s="593">
        <f>'Proy 2022 vs 2019 sem'!FG34*AHF$4</f>
        <v>10056.0286464</v>
      </c>
      <c r="AHE35" s="702"/>
      <c r="AHF35" s="703"/>
      <c r="AHG35" s="582"/>
      <c r="AHH35" s="593">
        <f>'Proy 2022 vs 2019 sem'!FG34*AHJ$4</f>
        <v>13827.0393888</v>
      </c>
      <c r="AHI35" s="702"/>
      <c r="AHJ35" s="703"/>
      <c r="AHK35" s="585"/>
      <c r="AHL35" s="582">
        <f>AGJ35+AGN35+AGR35+AGV35+AGZ35+AHD35+AHH35</f>
        <v>62850.179040000003</v>
      </c>
      <c r="AHM35" s="768">
        <f>AGK35+AGO35+AGS35+AGW35+AHA35+AHE35+AHI35</f>
        <v>0</v>
      </c>
      <c r="AHN35" s="764"/>
      <c r="AHO35" s="593" t="e">
        <f>'Proy 2022 vs 2019 sem'!FK34*AHR$4</f>
        <v>#VALUE!</v>
      </c>
      <c r="AHP35" s="593">
        <f>'Proy 2022 vs 2019 sem'!FL34*AHR$4</f>
        <v>6259.8095999999996</v>
      </c>
      <c r="AHQ35" s="702"/>
      <c r="AHR35" s="703"/>
      <c r="AHS35" s="582"/>
      <c r="AHT35" s="593">
        <f>'Proy 2022 vs 2019 sem'!FL34*AHV$4</f>
        <v>6259.8095999999996</v>
      </c>
      <c r="AHU35" s="702"/>
      <c r="AHV35" s="703"/>
      <c r="AHW35" s="582"/>
      <c r="AHX35" s="593">
        <f>'Proy 2022 vs 2019 sem'!FL34*AHZ$4</f>
        <v>6259.8095999999996</v>
      </c>
      <c r="AHY35" s="702"/>
      <c r="AHZ35" s="703"/>
      <c r="AIA35" s="582"/>
      <c r="AIB35" s="593">
        <f>'Proy 2022 vs 2019 sem'!FL34*AID$4</f>
        <v>6259.8095999999996</v>
      </c>
      <c r="AIC35" s="702"/>
      <c r="AID35" s="703"/>
      <c r="AIE35" s="582"/>
      <c r="AIF35" s="593">
        <f>'Proy 2022 vs 2019 sem'!FL34*AIH$4</f>
        <v>7303.1112000000012</v>
      </c>
      <c r="AIG35" s="702"/>
      <c r="AIH35" s="703"/>
      <c r="AII35" s="582"/>
      <c r="AIJ35" s="593">
        <f>'Proy 2022 vs 2019 sem'!FL34*AIL$4</f>
        <v>8346.4128000000001</v>
      </c>
      <c r="AIK35" s="702"/>
      <c r="AIL35" s="703"/>
      <c r="AIM35" s="582"/>
      <c r="AIN35" s="593">
        <f>'Proy 2022 vs 2019 sem'!FL34*AIP$4</f>
        <v>11476.3176</v>
      </c>
      <c r="AIO35" s="702"/>
      <c r="AIP35" s="703"/>
      <c r="AIQ35" s="585"/>
      <c r="AIR35" s="582">
        <f>AHP35+AHT35+AHX35+AIB35+AIF35+AIJ35+AIN35</f>
        <v>52165.08</v>
      </c>
      <c r="AIS35" s="768">
        <f>AHQ35+AHU35+AHY35+AIC35+AIG35+AIK35+AIO35</f>
        <v>0</v>
      </c>
      <c r="AIT35" s="764"/>
      <c r="AIU35" s="593">
        <f>'Proy 2022 vs 2019 sem'!FP34*AIX$4</f>
        <v>0</v>
      </c>
      <c r="AIV35" s="593">
        <f>'Proy 2022 vs 2019 sem'!FQ34*AIX$4</f>
        <v>6856.9356816000009</v>
      </c>
      <c r="AIW35" s="702"/>
      <c r="AIX35" s="703"/>
      <c r="AIY35" s="582"/>
      <c r="AIZ35" s="593">
        <v>10027.3468032</v>
      </c>
      <c r="AJA35" s="702"/>
      <c r="AJB35" s="703"/>
      <c r="AJC35" s="582"/>
      <c r="AJD35" s="593">
        <v>10027.3468032</v>
      </c>
      <c r="AJE35" s="702"/>
      <c r="AJF35" s="703"/>
      <c r="AJG35" s="582"/>
      <c r="AJH35" s="593">
        <v>10027.3468032</v>
      </c>
      <c r="AJI35" s="702"/>
      <c r="AJJ35" s="703"/>
      <c r="AJK35" s="582"/>
      <c r="AJL35" s="593">
        <v>11698.571270400002</v>
      </c>
      <c r="AJM35" s="702"/>
      <c r="AJN35" s="703"/>
      <c r="AJO35" s="582"/>
      <c r="AJP35" s="593">
        <v>13369.795737600001</v>
      </c>
      <c r="AJQ35" s="702"/>
      <c r="AJR35" s="703"/>
      <c r="AJS35" s="582"/>
      <c r="AJT35" s="593">
        <v>18383.469139200002</v>
      </c>
      <c r="AJU35" s="702"/>
      <c r="AJV35" s="703"/>
      <c r="AJW35" s="585"/>
      <c r="AJX35" s="574">
        <f>AIV35+AIZ35+AJD35+AJH35+AJL35+AJP35+AJT35</f>
        <v>80390.812238400016</v>
      </c>
      <c r="AJY35" s="773">
        <f>AIW35+AJA35+AJE35+AJI35+AJM35+AJQ35+AJU35</f>
        <v>0</v>
      </c>
      <c r="AJZ35" s="764"/>
      <c r="AKA35" s="582"/>
      <c r="AKB35" s="593"/>
      <c r="AKC35" s="737"/>
      <c r="AKD35" s="703"/>
      <c r="AKE35" s="582"/>
      <c r="AKF35" s="593">
        <v>8904.2719680000009</v>
      </c>
      <c r="AKG35" s="702"/>
      <c r="AKH35" s="703"/>
      <c r="AKI35" s="582"/>
      <c r="AKJ35" s="593">
        <v>8904.2719680000009</v>
      </c>
      <c r="AKK35" s="702"/>
      <c r="AKL35" s="703"/>
      <c r="AKM35" s="582"/>
      <c r="AKN35" s="593">
        <v>8904.2719680000009</v>
      </c>
      <c r="AKO35" s="702"/>
      <c r="AKP35" s="703"/>
      <c r="AKQ35" s="582"/>
      <c r="AKR35" s="593">
        <v>10388.317296000003</v>
      </c>
      <c r="AKS35" s="702"/>
      <c r="AKT35" s="703"/>
      <c r="AKU35" s="582"/>
      <c r="AKV35" s="593">
        <v>11872.362624000001</v>
      </c>
      <c r="AKW35" s="702"/>
      <c r="AKX35" s="703"/>
      <c r="AKY35" s="582"/>
      <c r="AKZ35" s="593">
        <v>16324.498608000002</v>
      </c>
      <c r="ALA35" s="702"/>
      <c r="ALB35" s="703"/>
      <c r="ALC35" s="585"/>
      <c r="ALD35" s="582">
        <f>AKB35+AKF35+AKJ35+AKN35+AKR35+AKV35+AKZ35</f>
        <v>65297.994432000007</v>
      </c>
      <c r="ALE35" s="793">
        <f>AKC35+AKG35+AKK35+AKO35+AKS35+AKW35+ALA35</f>
        <v>0</v>
      </c>
      <c r="ALF35" s="792"/>
      <c r="ALG35" s="582"/>
      <c r="ALH35" s="593">
        <v>10737.0435456</v>
      </c>
      <c r="ALI35" s="702"/>
      <c r="ALJ35" s="703"/>
      <c r="ALK35" s="582"/>
      <c r="ALL35" s="593">
        <v>10737.0435456</v>
      </c>
      <c r="ALM35" s="702"/>
      <c r="ALN35" s="703"/>
      <c r="ALO35" s="582"/>
      <c r="ALP35" s="593">
        <v>10737.0435456</v>
      </c>
      <c r="ALQ35" s="702"/>
      <c r="ALR35" s="703"/>
      <c r="ALS35" s="582"/>
      <c r="ALT35" s="593">
        <v>10737.0435456</v>
      </c>
      <c r="ALU35" s="702"/>
      <c r="ALV35" s="703"/>
      <c r="ALW35" s="582"/>
      <c r="ALX35" s="593">
        <v>12526.550803200002</v>
      </c>
      <c r="ALY35" s="702"/>
      <c r="ALZ35" s="703"/>
      <c r="AMA35" s="582"/>
      <c r="AMB35" s="593">
        <v>14316.0580608</v>
      </c>
      <c r="AMC35" s="702"/>
      <c r="AMD35" s="703"/>
      <c r="AME35" s="582"/>
      <c r="AMF35" s="593">
        <v>19684.579833600001</v>
      </c>
      <c r="AMG35" s="702"/>
      <c r="AMH35" s="703"/>
      <c r="AMI35" s="585"/>
      <c r="AMJ35" s="582">
        <f>ALH35+ALL35+ALP35+ALT35+ALX35+AMB35+AMF35</f>
        <v>89475.362880000001</v>
      </c>
      <c r="AMK35" s="797">
        <f>ALI35+ALM35+ALQ35+ALU35+ALY35+AMC35+AMG35</f>
        <v>0</v>
      </c>
      <c r="AML35" s="792"/>
      <c r="AMM35" s="593"/>
      <c r="AMN35" s="593">
        <v>9623.0253312000004</v>
      </c>
      <c r="AMO35" s="702"/>
      <c r="AMP35" s="703"/>
      <c r="AMQ35" s="582"/>
      <c r="AMR35" s="593">
        <v>9623.0253312000004</v>
      </c>
      <c r="AMS35" s="702"/>
      <c r="AMT35" s="703"/>
      <c r="AMU35" s="582"/>
      <c r="AMV35" s="593">
        <v>9623.0253312000004</v>
      </c>
      <c r="AMW35" s="702"/>
      <c r="AMX35" s="703"/>
      <c r="AMY35" s="582"/>
      <c r="AMZ35" s="593">
        <v>9623.0253312000004</v>
      </c>
      <c r="ANA35" s="702"/>
      <c r="ANB35" s="703"/>
      <c r="ANC35" s="582"/>
      <c r="AND35" s="593">
        <v>11226.862886400002</v>
      </c>
      <c r="ANE35" s="702"/>
      <c r="ANF35" s="703"/>
      <c r="ANG35" s="582"/>
      <c r="ANH35" s="593">
        <v>12830.7004416</v>
      </c>
      <c r="ANI35" s="702"/>
      <c r="ANJ35" s="703"/>
      <c r="ANK35" s="582"/>
      <c r="ANL35" s="593">
        <v>17642.213107200001</v>
      </c>
      <c r="ANM35" s="702"/>
      <c r="ANN35" s="703"/>
      <c r="ANO35" s="585"/>
      <c r="ANP35" s="582">
        <f>AMN35+AMR35+AMV35+AMZ35+AND35+ANH35+ANL35</f>
        <v>80191.877760000003</v>
      </c>
      <c r="ANQ35" s="797">
        <f>AMO35+AMS35+AMW35+ANA35+ANE35+ANI35+ANM35</f>
        <v>0</v>
      </c>
      <c r="ANR35" s="792"/>
      <c r="ANS35" s="582"/>
      <c r="ANT35" s="593">
        <v>8514.7883136000019</v>
      </c>
      <c r="ANU35" s="702"/>
      <c r="ANV35" s="703"/>
      <c r="ANW35" s="582"/>
      <c r="ANX35" s="593">
        <v>8514.7883136000019</v>
      </c>
      <c r="ANY35" s="702"/>
      <c r="ANZ35" s="703"/>
      <c r="AOA35" s="582"/>
      <c r="AOB35" s="593">
        <v>8514.7883136000019</v>
      </c>
      <c r="AOC35" s="702"/>
      <c r="AOD35" s="703"/>
      <c r="AOE35" s="582"/>
      <c r="AOF35" s="593">
        <v>8514.7883136000019</v>
      </c>
      <c r="AOG35" s="702"/>
      <c r="AOH35" s="703"/>
      <c r="AOI35" s="582"/>
      <c r="AOJ35" s="593">
        <v>9933.9196992000016</v>
      </c>
      <c r="AOK35" s="702"/>
      <c r="AOL35" s="703"/>
      <c r="AOM35" s="582"/>
      <c r="AON35" s="593">
        <v>11353.051084800001</v>
      </c>
      <c r="AOO35" s="702"/>
      <c r="AOP35" s="703"/>
      <c r="AOQ35" s="582"/>
      <c r="AOR35" s="593">
        <v>15610.445241600002</v>
      </c>
      <c r="AOS35" s="702"/>
      <c r="AOT35" s="703"/>
      <c r="AOU35" s="585"/>
      <c r="AOV35" s="574">
        <f>ANT35+ANX35+AOB35+AOF35+AOJ35+AON35+AOR35</f>
        <v>70956.569280000011</v>
      </c>
      <c r="AOW35" s="791">
        <f>ANU35+ANY35+AOC35+AOG35+AOK35+AOO35+AOS35</f>
        <v>0</v>
      </c>
      <c r="AOX35" s="792"/>
      <c r="AOY35" s="582"/>
      <c r="AOZ35" s="593">
        <v>9504.2131200000003</v>
      </c>
      <c r="APA35" s="737"/>
      <c r="APB35" s="703"/>
      <c r="APC35" s="582"/>
      <c r="APD35" s="593">
        <v>9504.2131200000003</v>
      </c>
      <c r="APE35" s="737"/>
      <c r="APF35" s="703"/>
      <c r="APG35" s="582"/>
      <c r="APH35" s="593">
        <v>9504.2131200000003</v>
      </c>
      <c r="API35" s="737"/>
      <c r="APJ35" s="703"/>
      <c r="APK35" s="582"/>
      <c r="APL35" s="593">
        <v>9504.2131200000003</v>
      </c>
      <c r="APM35" s="737"/>
      <c r="APN35" s="703"/>
      <c r="APO35" s="582"/>
      <c r="APP35" s="593">
        <v>11088.248640000003</v>
      </c>
      <c r="APQ35" s="737"/>
      <c r="APR35" s="703"/>
      <c r="APS35" s="582"/>
      <c r="APT35" s="593">
        <v>12672.284160000003</v>
      </c>
      <c r="APU35" s="737"/>
      <c r="APV35" s="703"/>
      <c r="APW35" s="582"/>
      <c r="APX35" s="593">
        <v>17424.390720000003</v>
      </c>
      <c r="APY35" s="737"/>
      <c r="APZ35" s="703"/>
      <c r="AQA35" s="585"/>
      <c r="AQB35" s="582">
        <f>AOZ35+APD35+APH35+APL35+APP35+APT35+APX35</f>
        <v>79201.776000000013</v>
      </c>
      <c r="AQC35" s="729">
        <f>APA35+APE35+API35+APM35+APQ35+APU35+APY35</f>
        <v>0</v>
      </c>
      <c r="AQD35" s="717"/>
      <c r="AQE35" s="582"/>
      <c r="AQF35" s="611">
        <v>0</v>
      </c>
      <c r="AQG35" s="702"/>
      <c r="AQH35" s="703"/>
      <c r="AQI35" s="582"/>
      <c r="AQJ35" s="593">
        <v>0</v>
      </c>
      <c r="AQK35" s="702"/>
      <c r="AQL35" s="703"/>
      <c r="AQM35" s="582"/>
      <c r="AQN35" s="593">
        <v>9962.5110336000016</v>
      </c>
      <c r="AQO35" s="702"/>
      <c r="AQP35" s="703"/>
      <c r="AQQ35" s="582"/>
      <c r="AQR35" s="593">
        <v>9962.5110336000016</v>
      </c>
      <c r="AQS35" s="702"/>
      <c r="AQT35" s="703"/>
      <c r="AQU35" s="582"/>
      <c r="AQV35" s="593">
        <v>11622.929539200002</v>
      </c>
      <c r="AQW35" s="702"/>
      <c r="AQX35" s="703"/>
      <c r="AQY35" s="582"/>
      <c r="AQZ35" s="593">
        <v>13283.348044800003</v>
      </c>
      <c r="ARA35" s="702"/>
      <c r="ARB35" s="703"/>
      <c r="ARC35" s="582"/>
      <c r="ARD35" s="593">
        <v>18264.603561600001</v>
      </c>
      <c r="ARE35" s="702"/>
      <c r="ARF35" s="703"/>
      <c r="ARG35" s="585"/>
      <c r="ARH35" s="582">
        <f>AQF35+AQJ35+AQN35+AQR35+AQV35+AQZ35+ARD35</f>
        <v>63095.903212800011</v>
      </c>
      <c r="ARI35" s="733">
        <f>AQG35+AQK35+AQO35+AQS35+AQW35+ARA35+ARE35</f>
        <v>0</v>
      </c>
      <c r="ARJ35" s="717"/>
      <c r="ARK35" s="593"/>
      <c r="ARL35" s="593">
        <v>9681.5589696000006</v>
      </c>
      <c r="ARM35" s="702"/>
      <c r="ARN35" s="703"/>
      <c r="ARO35" s="582"/>
      <c r="ARP35" s="593">
        <v>9681.5589696000006</v>
      </c>
      <c r="ARQ35" s="702"/>
      <c r="ARR35" s="703"/>
      <c r="ARS35" s="582"/>
      <c r="ART35" s="593">
        <v>9681.5589696000006</v>
      </c>
      <c r="ARU35" s="702"/>
      <c r="ARV35" s="703"/>
      <c r="ARW35" s="582"/>
      <c r="ARX35" s="593">
        <f>'Proy 2022 vs 2019 sem'!HH34*ARZ$4</f>
        <v>0</v>
      </c>
      <c r="ARY35" s="702"/>
      <c r="ARZ35" s="703"/>
      <c r="ASA35" s="582"/>
      <c r="ASB35" s="593">
        <f>'Proy 2022 vs 2019 sem'!HH34*ASD$4</f>
        <v>0</v>
      </c>
      <c r="ASC35" s="702"/>
      <c r="ASD35" s="703"/>
      <c r="ASE35" s="582"/>
      <c r="ASF35" s="593">
        <f>'Proy 2022 vs 2019 sem'!HH34*ASH$4</f>
        <v>0</v>
      </c>
      <c r="ASG35" s="702"/>
      <c r="ASH35" s="703"/>
      <c r="ASI35" s="582"/>
      <c r="ASJ35" s="593">
        <f>'Proy 2022 vs 2019 sem'!HH34*ASL$4</f>
        <v>0</v>
      </c>
      <c r="ASK35" s="702"/>
      <c r="ASL35" s="703"/>
      <c r="ASM35" s="585"/>
      <c r="ASN35" s="582">
        <f>ARL35+ARP35+ART35+ARX35+ASB35+ASF35+ASJ35</f>
        <v>29044.6769088</v>
      </c>
      <c r="ASO35" s="733">
        <f>ARM35+ARQ35+ARU35+ARY35+ASC35+ASG35+ASK35</f>
        <v>0</v>
      </c>
      <c r="ASP35" s="717"/>
      <c r="ASQ35" s="582"/>
      <c r="ASR35" s="593">
        <v>8067.6738432000011</v>
      </c>
      <c r="ASS35" s="702"/>
      <c r="AST35" s="703"/>
      <c r="ASU35" s="582"/>
      <c r="ASV35" s="593">
        <v>8067.6738432000011</v>
      </c>
      <c r="ASW35" s="702"/>
      <c r="ASX35" s="703"/>
      <c r="ASY35" s="582"/>
      <c r="ASZ35" s="593">
        <v>8067.6738432000011</v>
      </c>
      <c r="ATA35" s="702"/>
      <c r="ATB35" s="703"/>
      <c r="ATC35" s="582"/>
      <c r="ATD35" s="593">
        <v>8067.6738432000011</v>
      </c>
      <c r="ATE35" s="702"/>
      <c r="ATF35" s="703"/>
      <c r="ATG35" s="582"/>
      <c r="ATH35" s="593">
        <v>9412.286150400003</v>
      </c>
      <c r="ATI35" s="702"/>
      <c r="ATJ35" s="703"/>
      <c r="ATK35" s="582"/>
      <c r="ATL35" s="593">
        <v>10756.898457600002</v>
      </c>
      <c r="ATM35" s="702"/>
      <c r="ATN35" s="703"/>
      <c r="ATO35" s="582"/>
      <c r="ATP35" s="593">
        <v>14790.735379200003</v>
      </c>
      <c r="ATQ35" s="702"/>
      <c r="ATR35" s="703"/>
      <c r="ATS35" s="585"/>
      <c r="ATT35" s="574">
        <f>ASR35+ASV35+ASZ35+ATD35+ATH35+ATL35+ATP35</f>
        <v>67230.615360000011</v>
      </c>
      <c r="ATU35" s="716">
        <f>ASS35+ASW35+ATA35+ATE35+ATI35+ATM35+ATQ35</f>
        <v>0</v>
      </c>
      <c r="ATV35" s="717"/>
      <c r="ATW35" s="582"/>
      <c r="ATX35" s="593">
        <v>9125.2118016000004</v>
      </c>
      <c r="ATY35" s="702"/>
      <c r="ATZ35" s="703"/>
      <c r="AUA35" s="582"/>
      <c r="AUB35" s="593">
        <v>9125.2118016000004</v>
      </c>
      <c r="AUC35" s="702"/>
      <c r="AUD35" s="703"/>
      <c r="AUE35" s="582"/>
      <c r="AUF35" s="593">
        <v>9125.2118016000004</v>
      </c>
      <c r="AUG35" s="702"/>
      <c r="AUH35" s="703"/>
      <c r="AUI35" s="582"/>
      <c r="AUJ35" s="593">
        <v>9125.2118016000004</v>
      </c>
      <c r="AUK35" s="702"/>
      <c r="AUL35" s="703"/>
      <c r="AUM35" s="582"/>
      <c r="AUN35" s="593">
        <v>10646.080435200001</v>
      </c>
      <c r="AUO35" s="702"/>
      <c r="AUP35" s="703"/>
      <c r="AUQ35" s="582"/>
      <c r="AUR35" s="593">
        <v>12166.949068800002</v>
      </c>
      <c r="AUS35" s="702"/>
      <c r="AUT35" s="703"/>
      <c r="AUU35" s="582"/>
      <c r="AUV35" s="593">
        <v>16729.554969600002</v>
      </c>
      <c r="AUW35" s="702"/>
      <c r="AUX35" s="703"/>
      <c r="AUY35" s="585"/>
      <c r="AUZ35" s="582">
        <f>ATX35+AUB35+AUF35+AUJ35+AUN35+AUR35+AUV35</f>
        <v>76043.431680000009</v>
      </c>
      <c r="AVA35" s="716">
        <f>ATY35+AUC35+AUG35+AUK35+AUO35+AUS35+AUW35</f>
        <v>0</v>
      </c>
      <c r="AVB35" s="717"/>
      <c r="AVC35" s="582"/>
      <c r="AVD35" s="593">
        <v>7845.8292287999993</v>
      </c>
      <c r="AVE35" s="737"/>
      <c r="AVF35" s="703"/>
      <c r="AVG35" s="582"/>
      <c r="AVH35" s="593">
        <v>7845.8292287999993</v>
      </c>
      <c r="AVI35" s="702"/>
      <c r="AVJ35" s="703"/>
      <c r="AVK35" s="582"/>
      <c r="AVL35" s="593">
        <f>'Proy 2022 vs 2019 sem'!IA34*AVN$4</f>
        <v>0</v>
      </c>
      <c r="AVM35" s="702"/>
      <c r="AVN35" s="703"/>
      <c r="AVO35" s="582"/>
      <c r="AVP35" s="593">
        <f>'Proy 2022 vs 2019 sem'!IA34*AVR$4</f>
        <v>0</v>
      </c>
      <c r="AVQ35" s="702"/>
      <c r="AVR35" s="703"/>
      <c r="AVS35" s="582"/>
      <c r="AVT35" s="593">
        <f>'Proy 2022 vs 2019 sem'!IA34*AVV$4</f>
        <v>0</v>
      </c>
      <c r="AVU35" s="702"/>
      <c r="AVV35" s="703"/>
      <c r="AVW35" s="582"/>
      <c r="AVX35" s="593">
        <f>'Proy 2022 vs 2019 sem'!IA34*AVZ$4</f>
        <v>0</v>
      </c>
      <c r="AVY35" s="702"/>
      <c r="AVZ35" s="703"/>
      <c r="AWA35" s="582"/>
      <c r="AWB35" s="593">
        <f>'Proy 2022 vs 2019 sem'!IA34*AWD$4</f>
        <v>0</v>
      </c>
      <c r="AWC35" s="702"/>
      <c r="AWD35" s="703"/>
      <c r="AWE35" s="585"/>
      <c r="AWF35" s="582">
        <f>AVD35+AVH35+AVL35+AVP35+AVT35+AVX35+AWB35</f>
        <v>15691.658457599999</v>
      </c>
      <c r="AWG35" s="793">
        <f>AVE35+AVI35+AVM35+AVQ35+AVU35+AVY35+AWC35</f>
        <v>0</v>
      </c>
      <c r="AWH35" s="792"/>
      <c r="AWI35" s="582"/>
      <c r="AWJ35" s="593">
        <v>9201.0880512000003</v>
      </c>
      <c r="AWK35" s="702"/>
      <c r="AWL35" s="703"/>
      <c r="AWM35" s="582"/>
      <c r="AWN35" s="593">
        <v>9201.0880512000003</v>
      </c>
      <c r="AWO35" s="702"/>
      <c r="AWP35" s="703"/>
      <c r="AWQ35" s="582"/>
      <c r="AWR35" s="593">
        <v>9201.0880512000003</v>
      </c>
      <c r="AWS35" s="702"/>
      <c r="AWT35" s="703"/>
      <c r="AWU35" s="582"/>
      <c r="AWV35" s="593">
        <v>9201.0880512000003</v>
      </c>
      <c r="AWW35" s="702"/>
      <c r="AWX35" s="703"/>
      <c r="AWY35" s="582"/>
      <c r="AWZ35" s="593">
        <v>10734.602726400002</v>
      </c>
      <c r="AXA35" s="702"/>
      <c r="AXB35" s="703"/>
      <c r="AXC35" s="582"/>
      <c r="AXD35" s="593">
        <v>12268.1174016</v>
      </c>
      <c r="AXE35" s="702"/>
      <c r="AXF35" s="703"/>
      <c r="AXG35" s="582"/>
      <c r="AXH35" s="593">
        <v>16868.661427200001</v>
      </c>
      <c r="AXI35" s="702"/>
      <c r="AXJ35" s="703"/>
      <c r="AXK35" s="585"/>
      <c r="AXL35" s="582">
        <f>AWJ35+AWN35+AWR35+AWV35+AWZ35+AXD35+AXH35</f>
        <v>76675.733760000003</v>
      </c>
      <c r="AXM35" s="797">
        <f>AWK35+AWO35+AWS35+AWW35+AXA35+AXE35+AXI35</f>
        <v>0</v>
      </c>
      <c r="AXN35" s="792"/>
      <c r="AXO35" s="593"/>
      <c r="AXP35" s="593">
        <v>0</v>
      </c>
      <c r="AXQ35" s="702"/>
      <c r="AXR35" s="703"/>
      <c r="AXS35" s="582"/>
      <c r="AXT35" s="593">
        <v>8569.2112703999992</v>
      </c>
      <c r="AXU35" s="702"/>
      <c r="AXV35" s="703"/>
      <c r="AXW35" s="582"/>
      <c r="AXX35" s="593">
        <v>8569.2112703999992</v>
      </c>
      <c r="AXY35" s="702"/>
      <c r="AXZ35" s="703"/>
      <c r="AYA35" s="582"/>
      <c r="AYB35" s="593">
        <v>8569.2112703999992</v>
      </c>
      <c r="AYC35" s="702"/>
      <c r="AYD35" s="703"/>
      <c r="AYE35" s="582"/>
      <c r="AYF35" s="593">
        <v>9997.4131488000003</v>
      </c>
      <c r="AYG35" s="702"/>
      <c r="AYH35" s="703"/>
      <c r="AYI35" s="582"/>
      <c r="AYJ35" s="593">
        <v>11425.6150272</v>
      </c>
      <c r="AYK35" s="702"/>
      <c r="AYL35" s="703"/>
      <c r="AYM35" s="582"/>
      <c r="AYN35" s="593">
        <v>15710.220662399999</v>
      </c>
      <c r="AYO35" s="702"/>
      <c r="AYP35" s="703"/>
      <c r="AYQ35" s="585"/>
      <c r="AYR35" s="582">
        <f>AXP35+AXT35+AXX35+AYB35+AYF35+AYJ35+AYN35</f>
        <v>62840.882649599997</v>
      </c>
      <c r="AYS35" s="797">
        <f>AXQ35+AXU35+AXY35+AYC35+AYG35+AYK35+AYO35</f>
        <v>0</v>
      </c>
      <c r="AYT35" s="792"/>
      <c r="AYU35" s="582"/>
      <c r="AYV35" s="593">
        <f>'Proy 2022 vs 2019 sem'!IP34*AYX$4</f>
        <v>0</v>
      </c>
      <c r="AYW35" s="702"/>
      <c r="AYX35" s="703"/>
      <c r="AYY35" s="582"/>
      <c r="AYZ35" s="593">
        <v>8563.6866239999999</v>
      </c>
      <c r="AZA35" s="702"/>
      <c r="AZB35" s="703"/>
      <c r="AZC35" s="582"/>
      <c r="AZD35" s="593">
        <v>8563.6866239999999</v>
      </c>
      <c r="AZE35" s="702"/>
      <c r="AZF35" s="703"/>
      <c r="AZG35" s="582"/>
      <c r="AZH35" s="593">
        <v>8563.6866239999999</v>
      </c>
      <c r="AZI35" s="702"/>
      <c r="AZJ35" s="703"/>
      <c r="AZK35" s="582"/>
      <c r="AZL35" s="593">
        <v>9990.9677280000014</v>
      </c>
      <c r="AZM35" s="702"/>
      <c r="AZN35" s="703"/>
      <c r="AZO35" s="582"/>
      <c r="AZP35" s="593">
        <v>11418.248832000001</v>
      </c>
      <c r="AZQ35" s="702"/>
      <c r="AZR35" s="703"/>
      <c r="AZS35" s="582"/>
      <c r="AZT35" s="593">
        <v>15700.092144</v>
      </c>
      <c r="AZU35" s="702"/>
      <c r="AZV35" s="703"/>
      <c r="AZW35" s="585"/>
      <c r="AZX35" s="574">
        <f>AYV35+AYZ35+AZD35+AZH35+AZL35+AZP35+AZT35</f>
        <v>62800.368576000001</v>
      </c>
      <c r="AZY35" s="791">
        <f>AYW35+AZA35+AZE35+AZI35+AZM35+AZQ35+AZU35</f>
        <v>0</v>
      </c>
      <c r="AZZ35" s="792"/>
      <c r="BAA35" s="582"/>
      <c r="BAB35" s="593">
        <v>7519.6381247999998</v>
      </c>
      <c r="BAC35" s="737"/>
      <c r="BAD35" s="703"/>
      <c r="BAE35" s="582"/>
      <c r="BAF35" s="593">
        <v>7519.6381247999998</v>
      </c>
      <c r="BAG35" s="702"/>
      <c r="BAH35" s="703"/>
      <c r="BAI35" s="582"/>
      <c r="BAJ35" s="593">
        <v>7519.6381247999998</v>
      </c>
      <c r="BAK35" s="702"/>
      <c r="BAL35" s="703"/>
      <c r="BAM35" s="582"/>
      <c r="BAN35" s="593">
        <v>7519.6381247999998</v>
      </c>
      <c r="BAO35" s="702"/>
      <c r="BAP35" s="703"/>
      <c r="BAQ35" s="582"/>
      <c r="BAR35" s="593">
        <v>8772.911145600001</v>
      </c>
      <c r="BAS35" s="702"/>
      <c r="BAT35" s="703"/>
      <c r="BAU35" s="582"/>
      <c r="BAV35" s="593">
        <v>10026.1841664</v>
      </c>
      <c r="BAW35" s="702"/>
      <c r="BAX35" s="703"/>
      <c r="BAY35" s="582"/>
      <c r="BAZ35" s="593">
        <v>13786.0032288</v>
      </c>
      <c r="BBA35" s="702"/>
      <c r="BBB35" s="703"/>
      <c r="BBC35" s="585"/>
      <c r="BBD35" s="582">
        <f>BAB35+BAF35+BAJ35+BAN35+BAR35+BAV35+BAZ35</f>
        <v>62663.651040000004</v>
      </c>
      <c r="BBE35" s="759">
        <f>BAC35+BAG35+BAK35+BAO35+BAS35+BAW35+BBA35</f>
        <v>0</v>
      </c>
      <c r="BBF35" s="764"/>
      <c r="BBG35" s="582"/>
      <c r="BBH35" s="593">
        <v>9858.7696896000016</v>
      </c>
      <c r="BBI35" s="702"/>
      <c r="BBJ35" s="703"/>
      <c r="BBK35" s="582"/>
      <c r="BBL35" s="593">
        <v>9858.7696896000016</v>
      </c>
      <c r="BBM35" s="702"/>
      <c r="BBN35" s="703"/>
      <c r="BBO35" s="582"/>
      <c r="BBP35" s="593">
        <v>9858.7696896000016</v>
      </c>
      <c r="BBQ35" s="702"/>
      <c r="BBR35" s="703"/>
      <c r="BBS35" s="582"/>
      <c r="BBT35" s="593">
        <f>'Proy 2022 vs 2019 sem'!JD34*BBV$4</f>
        <v>0</v>
      </c>
      <c r="BBU35" s="702"/>
      <c r="BBV35" s="703"/>
      <c r="BBW35" s="582"/>
      <c r="BBX35" s="593">
        <f>'Proy 2022 vs 2019 sem'!JD34*BBZ$4</f>
        <v>0</v>
      </c>
      <c r="BBY35" s="702"/>
      <c r="BBZ35" s="703"/>
      <c r="BCA35" s="582"/>
      <c r="BCB35" s="593">
        <f>'Proy 2022 vs 2019 sem'!JD34*BCD$4</f>
        <v>0</v>
      </c>
      <c r="BCC35" s="702"/>
      <c r="BCD35" s="703"/>
      <c r="BCE35" s="582"/>
      <c r="BCF35" s="593">
        <f>'Proy 2022 vs 2019 sem'!JD34*BCH$4</f>
        <v>0</v>
      </c>
      <c r="BCG35" s="702"/>
      <c r="BCH35" s="703"/>
      <c r="BCI35" s="585"/>
      <c r="BCJ35" s="582">
        <f>BBH35+BBL35+BBP35+BBT35+BBX35+BCB35+BCF35</f>
        <v>29576.309068800005</v>
      </c>
      <c r="BCK35" s="768">
        <f>BBI35+BBM35+BBQ35+BBU35+BBY35+BCC35+BCG35</f>
        <v>0</v>
      </c>
      <c r="BCL35" s="764"/>
      <c r="BCM35" s="593"/>
      <c r="BCN35" s="593">
        <v>10346.715820800002</v>
      </c>
      <c r="BCO35" s="702"/>
      <c r="BCP35" s="703"/>
      <c r="BCQ35" s="582"/>
      <c r="BCR35" s="593">
        <v>10346.715820800002</v>
      </c>
      <c r="BCS35" s="702"/>
      <c r="BCT35" s="703"/>
      <c r="BCU35" s="582"/>
      <c r="BCV35" s="593">
        <v>10346.715820800002</v>
      </c>
      <c r="BCW35" s="702"/>
      <c r="BCX35" s="703"/>
      <c r="BCY35" s="582"/>
      <c r="BCZ35" s="593">
        <v>10346.715820800002</v>
      </c>
      <c r="BDA35" s="702"/>
      <c r="BDB35" s="703"/>
      <c r="BDC35" s="582"/>
      <c r="BDD35" s="593">
        <v>12071.168457600004</v>
      </c>
      <c r="BDE35" s="702"/>
      <c r="BDF35" s="703"/>
      <c r="BDG35" s="582"/>
      <c r="BDH35" s="593">
        <v>13795.621094400003</v>
      </c>
      <c r="BDI35" s="702"/>
      <c r="BDJ35" s="703"/>
      <c r="BDK35" s="582"/>
      <c r="BDL35" s="593">
        <v>18968.979004800003</v>
      </c>
      <c r="BDM35" s="702"/>
      <c r="BDN35" s="703"/>
      <c r="BDO35" s="585"/>
      <c r="BDP35" s="582">
        <f>BCN35+BCR35+BCV35+BCZ35+BDD35+BDH35+BDL35</f>
        <v>86222.631840000016</v>
      </c>
      <c r="BDQ35" s="768">
        <f>BCO35+BCS35+BCW35+BDA35+BDE35+BDI35+BDM35</f>
        <v>0</v>
      </c>
      <c r="BDR35" s="764"/>
      <c r="BDS35" s="582"/>
      <c r="BDT35" s="593">
        <v>11623.0883328</v>
      </c>
      <c r="BDU35" s="702"/>
      <c r="BDV35" s="703"/>
      <c r="BDW35" s="582"/>
      <c r="BDX35" s="593">
        <v>11623.0883328</v>
      </c>
      <c r="BDY35" s="702"/>
      <c r="BDZ35" s="703"/>
      <c r="BEA35" s="582"/>
      <c r="BEB35" s="593">
        <v>11623.0883328</v>
      </c>
      <c r="BEC35" s="702"/>
      <c r="BED35" s="703"/>
      <c r="BEE35" s="582"/>
      <c r="BEF35" s="593">
        <v>11623.0883328</v>
      </c>
      <c r="BEG35" s="702"/>
      <c r="BEH35" s="703"/>
      <c r="BEI35" s="582"/>
      <c r="BEJ35" s="593">
        <v>13560.269721600002</v>
      </c>
      <c r="BEK35" s="702"/>
      <c r="BEL35" s="703"/>
      <c r="BEM35" s="582"/>
      <c r="BEN35" s="593">
        <v>15497.451110400001</v>
      </c>
      <c r="BEO35" s="702"/>
      <c r="BEP35" s="703"/>
      <c r="BEQ35" s="582"/>
      <c r="BER35" s="593">
        <v>21308.9952768</v>
      </c>
      <c r="BES35" s="702"/>
      <c r="BET35" s="703"/>
      <c r="BEU35" s="585"/>
      <c r="BEV35" s="574">
        <f>BDT35+BDX35+BEB35+BEF35+BEJ35+BEN35+BER35</f>
        <v>96859.069439999992</v>
      </c>
      <c r="BEW35" s="773">
        <f>BDU35+BDY35+BEC35+BEG35+BEK35+BEO35+BES35</f>
        <v>0</v>
      </c>
      <c r="BEX35" s="764"/>
      <c r="BEY35" s="582"/>
      <c r="BEZ35" s="593">
        <v>12579.2262144</v>
      </c>
      <c r="BFA35" s="737"/>
      <c r="BFB35" s="703"/>
      <c r="BFC35" s="582"/>
      <c r="BFD35" s="593">
        <v>12579.2262144</v>
      </c>
      <c r="BFE35" s="737"/>
      <c r="BFF35" s="703"/>
      <c r="BFG35" s="582"/>
      <c r="BFH35" s="593">
        <v>12579.2262144</v>
      </c>
      <c r="BFI35" s="737"/>
      <c r="BFJ35" s="703"/>
      <c r="BFK35" s="582"/>
      <c r="BFL35" s="593">
        <v>12579.2262144</v>
      </c>
      <c r="BFM35" s="737"/>
      <c r="BFN35" s="703"/>
      <c r="BFO35" s="582"/>
      <c r="BFP35" s="593">
        <v>14675.763916800002</v>
      </c>
      <c r="BFQ35" s="737"/>
      <c r="BFR35" s="703"/>
      <c r="BFS35" s="582"/>
      <c r="BFT35" s="593">
        <v>16772.3016192</v>
      </c>
      <c r="BFU35" s="737"/>
      <c r="BFV35" s="703"/>
      <c r="BFW35" s="582"/>
      <c r="BFX35" s="593">
        <v>23061.914726400002</v>
      </c>
      <c r="BFY35" s="737"/>
      <c r="BFZ35" s="703"/>
      <c r="BGA35" s="585"/>
      <c r="BGB35" s="582">
        <f>BEZ35+BFD35+BFH35+BFL35+BFP35+BFT35+BFX35</f>
        <v>104826.88512000001</v>
      </c>
      <c r="BGC35" s="729">
        <f>BFA35+BFE35+BFI35+BFM35+BFQ35+BFU35+BFY35</f>
        <v>0</v>
      </c>
      <c r="BGD35" s="717"/>
      <c r="BGE35" s="582"/>
      <c r="BGF35" s="593">
        <v>15665.63328</v>
      </c>
      <c r="BGG35" s="702"/>
      <c r="BGH35" s="703"/>
      <c r="BGI35" s="582"/>
      <c r="BGJ35" s="593">
        <v>15665.63328</v>
      </c>
      <c r="BGK35" s="702"/>
      <c r="BGL35" s="703"/>
      <c r="BGM35" s="582"/>
      <c r="BGN35" s="593">
        <v>15665.63328</v>
      </c>
      <c r="BGO35" s="702"/>
      <c r="BGP35" s="703"/>
      <c r="BGQ35" s="582"/>
      <c r="BGR35" s="593">
        <v>15665.63328</v>
      </c>
      <c r="BGS35" s="702"/>
      <c r="BGT35" s="703"/>
      <c r="BGU35" s="582"/>
      <c r="BGV35" s="593">
        <v>18276.572160000003</v>
      </c>
      <c r="BGW35" s="702"/>
      <c r="BGX35" s="703"/>
      <c r="BGY35" s="582"/>
      <c r="BGZ35" s="593">
        <v>20887.511040000001</v>
      </c>
      <c r="BHA35" s="702"/>
      <c r="BHB35" s="703"/>
      <c r="BHC35" s="582"/>
      <c r="BHD35" s="593">
        <v>28720.327680000002</v>
      </c>
      <c r="BHE35" s="702"/>
      <c r="BHF35" s="703"/>
      <c r="BHG35" s="585"/>
      <c r="BHH35" s="582">
        <f>BGF35+BGJ35+BGN35+BGR35+BGV35+BGZ35+BHD35</f>
        <v>130546.944</v>
      </c>
      <c r="BHI35" s="733">
        <f>BGG35+BGK35+BGO35+BGS35+BGW35+BHA35+BHE35</f>
        <v>0</v>
      </c>
      <c r="BHJ35" s="717"/>
      <c r="BHK35" s="593"/>
      <c r="BHL35" s="593">
        <v>23046.253401600003</v>
      </c>
      <c r="BHM35" s="702"/>
      <c r="BHN35" s="703"/>
      <c r="BHO35" s="582"/>
      <c r="BHP35" s="593">
        <v>23046.253401600003</v>
      </c>
      <c r="BHQ35" s="702"/>
      <c r="BHR35" s="703"/>
      <c r="BHS35" s="582"/>
      <c r="BHT35" s="593">
        <v>23046.253401600003</v>
      </c>
      <c r="BHU35" s="702"/>
      <c r="BHV35" s="703"/>
      <c r="BHW35" s="582"/>
      <c r="BHX35" s="593">
        <v>23046.253401600003</v>
      </c>
      <c r="BHY35" s="702"/>
      <c r="BHZ35" s="703"/>
      <c r="BIA35" s="582"/>
      <c r="BIB35" s="593">
        <v>26887.295635200007</v>
      </c>
      <c r="BIC35" s="702"/>
      <c r="BID35" s="703"/>
      <c r="BIE35" s="582"/>
      <c r="BIF35" s="593">
        <v>30728.337868800005</v>
      </c>
      <c r="BIG35" s="702"/>
      <c r="BIH35" s="703"/>
      <c r="BII35" s="582"/>
      <c r="BIJ35" s="593">
        <v>42251.464569600008</v>
      </c>
      <c r="BIK35" s="702"/>
      <c r="BIL35" s="703"/>
      <c r="BIM35" s="585"/>
      <c r="BIN35" s="582">
        <f>BHL35+BHP35+BHT35+BHX35+BIB35+BIF35+BIJ35</f>
        <v>192052.11168000003</v>
      </c>
      <c r="BIO35" s="733">
        <f>BHM35+BHQ35+BHU35+BHY35+BIC35+BIG35+BIK35</f>
        <v>0</v>
      </c>
      <c r="BIP35" s="717"/>
      <c r="BIQ35" s="582"/>
      <c r="BIR35" s="593">
        <v>19492.024723200004</v>
      </c>
      <c r="BIS35" s="702"/>
      <c r="BIT35" s="703"/>
      <c r="BIU35" s="582"/>
      <c r="BIV35" s="593">
        <v>19492.024723200004</v>
      </c>
      <c r="BIW35" s="702"/>
      <c r="BIX35" s="703"/>
      <c r="BIY35" s="582"/>
      <c r="BIZ35" s="593">
        <v>19492.024723200004</v>
      </c>
      <c r="BJA35" s="702"/>
      <c r="BJB35" s="703"/>
      <c r="BJC35" s="582"/>
      <c r="BJD35" s="593">
        <v>19492.024723200004</v>
      </c>
      <c r="BJE35" s="702"/>
      <c r="BJF35" s="703"/>
      <c r="BJG35" s="582"/>
      <c r="BJH35" s="593">
        <v>22740.695510400004</v>
      </c>
      <c r="BJI35" s="702"/>
      <c r="BJJ35" s="703"/>
      <c r="BJK35" s="582"/>
      <c r="BJL35" s="593">
        <v>25989.366297600005</v>
      </c>
      <c r="BJM35" s="702"/>
      <c r="BJN35" s="703"/>
      <c r="BJO35" s="582"/>
      <c r="BJP35" s="593">
        <v>0</v>
      </c>
      <c r="BJQ35" s="702"/>
      <c r="BJR35" s="703"/>
      <c r="BJS35" s="585"/>
      <c r="BJT35" s="574">
        <f>BIR35+BIV35+BIZ35+BJD35+BJH35+BJL35+BJP35</f>
        <v>126698.16070080003</v>
      </c>
      <c r="BJU35" s="716">
        <f>BIS35+BIW35+BJA35+BJE35+BJI35+BJM35+BJQ35</f>
        <v>0</v>
      </c>
      <c r="BJV35" s="717"/>
      <c r="BJW35" s="582"/>
      <c r="BJX35" s="593">
        <v>9510.0129216000005</v>
      </c>
      <c r="BJY35" s="702"/>
      <c r="BJZ35" s="703"/>
      <c r="BKA35" s="582"/>
      <c r="BKB35" s="593">
        <v>9510.0129216000005</v>
      </c>
      <c r="BKC35" s="702"/>
      <c r="BKD35" s="703"/>
      <c r="BKE35" s="582"/>
      <c r="BKF35" s="593">
        <v>9510.0129216000005</v>
      </c>
      <c r="BKG35" s="702"/>
      <c r="BKH35" s="703"/>
      <c r="BKI35" s="582"/>
      <c r="BKJ35" s="593">
        <v>9510.0129216000005</v>
      </c>
      <c r="BKK35" s="702"/>
      <c r="BKL35" s="703"/>
      <c r="BKM35" s="582"/>
      <c r="BKN35" s="593">
        <v>11095.015075200001</v>
      </c>
      <c r="BKO35" s="702"/>
      <c r="BKP35" s="703"/>
      <c r="BKQ35" s="582"/>
      <c r="BKR35" s="593">
        <v>12680.017228800001</v>
      </c>
      <c r="BKS35" s="702"/>
      <c r="BKT35" s="703"/>
      <c r="BKU35" s="582"/>
      <c r="BKV35" s="593">
        <v>17435.023689599999</v>
      </c>
      <c r="BKW35" s="702"/>
      <c r="BKX35" s="703"/>
      <c r="BKY35" s="585"/>
      <c r="BKZ35" s="582">
        <f>BJX35+BKB35+BKF35+BKJ35+BKN35+BKR35+BKV35</f>
        <v>79250.107680000001</v>
      </c>
      <c r="BLA35" s="716">
        <f>BJY35+BKC35+BKG35+BKK35+BKO35+BKS35+BKW35</f>
        <v>0</v>
      </c>
      <c r="BLB35" s="717"/>
    </row>
    <row r="36" spans="2:1666" ht="18.75">
      <c r="B36" s="928" t="s">
        <v>38</v>
      </c>
      <c r="C36" s="586">
        <f>SUM(C7:C35)</f>
        <v>266815.55040000001</v>
      </c>
      <c r="D36" s="586">
        <f>SUM(D7:D35)</f>
        <v>245946.76270799988</v>
      </c>
      <c r="E36" s="925">
        <f>SUM(E7:E35)</f>
        <v>0</v>
      </c>
      <c r="F36" s="705">
        <f>E36/C36</f>
        <v>0</v>
      </c>
      <c r="G36" s="586" t="e">
        <f>SUM(G7:G35)</f>
        <v>#VALUE!</v>
      </c>
      <c r="H36" s="586">
        <f>SUM(H7:H35)</f>
        <v>234261.51431399997</v>
      </c>
      <c r="I36" s="925">
        <f>SUM(I7:I35)</f>
        <v>0</v>
      </c>
      <c r="J36" s="705" t="e">
        <f>I36/G36</f>
        <v>#VALUE!</v>
      </c>
      <c r="K36" s="586" t="e">
        <f>SUM(K7:K35)</f>
        <v>#VALUE!</v>
      </c>
      <c r="L36" s="586">
        <f>SUM(L7:L35)</f>
        <v>234261.51431399997</v>
      </c>
      <c r="M36" s="925">
        <f>SUM(M7:M35)</f>
        <v>0</v>
      </c>
      <c r="N36" s="705" t="e">
        <f>M36/K36</f>
        <v>#VALUE!</v>
      </c>
      <c r="O36" s="586" t="e">
        <f>SUM(O7:O35)</f>
        <v>#VALUE!</v>
      </c>
      <c r="P36" s="586">
        <f>SUM(P7:P35)</f>
        <v>234261.51431399997</v>
      </c>
      <c r="Q36" s="925">
        <f>SUM(Q7:Q35)</f>
        <v>0</v>
      </c>
      <c r="R36" s="705" t="e">
        <f>Q36/O36</f>
        <v>#VALUE!</v>
      </c>
      <c r="S36" s="586" t="e">
        <f>SUM(S7:S35)</f>
        <v>#VALUE!</v>
      </c>
      <c r="T36" s="586">
        <f>SUM(T7:T35)</f>
        <v>273305.10003299994</v>
      </c>
      <c r="U36" s="925">
        <f>SUM(U7:U35)</f>
        <v>0</v>
      </c>
      <c r="V36" s="705" t="e">
        <f>U36/S36</f>
        <v>#VALUE!</v>
      </c>
      <c r="W36" s="586" t="e">
        <f>SUM(W7:W35)</f>
        <v>#VALUE!</v>
      </c>
      <c r="X36" s="586">
        <f>SUM(X7:X35)</f>
        <v>312348.68575200002</v>
      </c>
      <c r="Y36" s="925">
        <f>SUM(Y7:Y35)</f>
        <v>0</v>
      </c>
      <c r="Z36" s="705" t="e">
        <f>Y36/W36</f>
        <v>#VALUE!</v>
      </c>
      <c r="AA36" s="586" t="e">
        <f>SUM(AA7:AA35)</f>
        <v>#VALUE!</v>
      </c>
      <c r="AB36" s="586">
        <f>SUM(AB7:AB35)</f>
        <v>429479.44290899998</v>
      </c>
      <c r="AC36" s="925">
        <f>SUM(AC7:AC35)</f>
        <v>0</v>
      </c>
      <c r="AD36" s="705" t="e">
        <f>AC36/AA36</f>
        <v>#VALUE!</v>
      </c>
      <c r="AE36" s="718" t="e">
        <f>SUM(AE7:AE35)</f>
        <v>#VALUE!</v>
      </c>
      <c r="AF36" s="718">
        <f>SUM(AF7:AF35)</f>
        <v>1963864.5343439998</v>
      </c>
      <c r="AG36" s="718">
        <f>SUM(AG7:AG35)</f>
        <v>0</v>
      </c>
      <c r="AH36" s="719" t="e">
        <f>AG36/AE36</f>
        <v>#VALUE!</v>
      </c>
      <c r="AI36" s="586" t="e">
        <f>SUM(AI7:AI35)</f>
        <v>#VALUE!</v>
      </c>
      <c r="AJ36" s="586">
        <f>SUM(AJ7:AJ35)</f>
        <v>243893.37710400001</v>
      </c>
      <c r="AK36" s="926">
        <f>SUM(AK7:AK35)</f>
        <v>0</v>
      </c>
      <c r="AL36" s="728" t="e">
        <f>AK36/AI36</f>
        <v>#VALUE!</v>
      </c>
      <c r="AM36" s="586" t="e">
        <f>SUM(AM7:AM35)</f>
        <v>#VALUE!</v>
      </c>
      <c r="AN36" s="586">
        <f>SUM(AN7:AN35)</f>
        <v>243893.37710400001</v>
      </c>
      <c r="AO36" s="926">
        <f>SUM(AO7:AO35)</f>
        <v>0</v>
      </c>
      <c r="AP36" s="728" t="e">
        <f>AO36/AM36</f>
        <v>#VALUE!</v>
      </c>
      <c r="AQ36" s="586" t="e">
        <f>SUM(AQ7:AQ35)</f>
        <v>#VALUE!</v>
      </c>
      <c r="AR36" s="586">
        <f>SUM(AR7:AR35)</f>
        <v>243893.37710400001</v>
      </c>
      <c r="AS36" s="926">
        <f>SUM(AS7:AS35)</f>
        <v>0</v>
      </c>
      <c r="AT36" s="728" t="e">
        <f>AS36/AQ36</f>
        <v>#VALUE!</v>
      </c>
      <c r="AU36" s="586" t="e">
        <f>SUM(AU7:AU35)</f>
        <v>#VALUE!</v>
      </c>
      <c r="AV36" s="586">
        <f>SUM(AV7:AV35)</f>
        <v>243893.37710400001</v>
      </c>
      <c r="AW36" s="926">
        <f>SUM(AW7:AW35)</f>
        <v>0</v>
      </c>
      <c r="AX36" s="728" t="e">
        <f>AW36/AU36</f>
        <v>#VALUE!</v>
      </c>
      <c r="AY36" s="586" t="e">
        <f>SUM(AY7:AY35)</f>
        <v>#VALUE!</v>
      </c>
      <c r="AZ36" s="586">
        <f>SUM(AZ7:AZ35)</f>
        <v>284542.27328799997</v>
      </c>
      <c r="BA36" s="926">
        <f>SUM(BA7:BA35)</f>
        <v>0</v>
      </c>
      <c r="BB36" s="728" t="e">
        <f>BA36/AY36</f>
        <v>#VALUE!</v>
      </c>
      <c r="BC36" s="586" t="e">
        <f>SUM(BC7:BC35)</f>
        <v>#VALUE!</v>
      </c>
      <c r="BD36" s="586">
        <f>SUM(BD7:BD35)</f>
        <v>325191.16947200004</v>
      </c>
      <c r="BE36" s="926">
        <f>SUM(BE7:BE35)</f>
        <v>0</v>
      </c>
      <c r="BF36" s="728" t="e">
        <f>BE36/BC36</f>
        <v>#VALUE!</v>
      </c>
      <c r="BG36" s="586" t="e">
        <f>SUM(BG7:BG35)</f>
        <v>#VALUE!</v>
      </c>
      <c r="BH36" s="586">
        <f>SUM(BH7:BH35)</f>
        <v>447137.85802399996</v>
      </c>
      <c r="BI36" s="926">
        <f>SUM(BI7:BI35)</f>
        <v>0</v>
      </c>
      <c r="BJ36" s="728" t="e">
        <f>BI36/BG36</f>
        <v>#VALUE!</v>
      </c>
      <c r="BK36" s="718" t="e">
        <f>SUM(BK7:BK35)</f>
        <v>#VALUE!</v>
      </c>
      <c r="BL36" s="718">
        <f>SUM(BL7:BL35)</f>
        <v>2032444.8092</v>
      </c>
      <c r="BM36" s="718">
        <f>SUM(BM7:BM35)</f>
        <v>0</v>
      </c>
      <c r="BN36" s="719" t="e">
        <f>BM36/BK36</f>
        <v>#VALUE!</v>
      </c>
      <c r="BO36" s="586" t="e">
        <f>SUM(BO7:BO35)</f>
        <v>#VALUE!</v>
      </c>
      <c r="BP36" s="586">
        <f>SUM(BP7:BP35)</f>
        <v>237735.49916999997</v>
      </c>
      <c r="BQ36" s="925">
        <f>SUM(BQ7:BQ35)</f>
        <v>0</v>
      </c>
      <c r="BR36" s="705" t="e">
        <f>BQ36/BO36</f>
        <v>#VALUE!</v>
      </c>
      <c r="BS36" s="586" t="e">
        <f>SUM(BS7:BS35)</f>
        <v>#VALUE!</v>
      </c>
      <c r="BT36" s="586">
        <f>SUM(BT7:BT35)</f>
        <v>237735.49916999997</v>
      </c>
      <c r="BU36" s="925">
        <f>SUM(BU7:BU35)</f>
        <v>0</v>
      </c>
      <c r="BV36" s="705" t="e">
        <f>BU36/BS36</f>
        <v>#VALUE!</v>
      </c>
      <c r="BW36" s="586" t="e">
        <f>SUM(BW7:BW35)</f>
        <v>#VALUE!</v>
      </c>
      <c r="BX36" s="586">
        <f>SUM(BX7:BX35)</f>
        <v>237735.49916999997</v>
      </c>
      <c r="BY36" s="925">
        <f>SUM(BY7:BY35)</f>
        <v>0</v>
      </c>
      <c r="BZ36" s="705" t="e">
        <f>BY36/BW36</f>
        <v>#VALUE!</v>
      </c>
      <c r="CA36" s="586" t="e">
        <f>SUM(CA7:CA35)</f>
        <v>#VALUE!</v>
      </c>
      <c r="CB36" s="586">
        <f>SUM(CB7:CB35)</f>
        <v>237735.49916999997</v>
      </c>
      <c r="CC36" s="925">
        <f>SUM(CC7:CC35)</f>
        <v>0</v>
      </c>
      <c r="CD36" s="705" t="e">
        <f>CC36/CA36</f>
        <v>#VALUE!</v>
      </c>
      <c r="CE36" s="586" t="e">
        <f>SUM(CE7:CE35)</f>
        <v>#VALUE!</v>
      </c>
      <c r="CF36" s="586">
        <f>SUM(CF7:CF35)</f>
        <v>277358.0823650001</v>
      </c>
      <c r="CG36" s="925">
        <f>SUM(CG7:CG35)</f>
        <v>0</v>
      </c>
      <c r="CH36" s="705" t="e">
        <f>CG36/CE36</f>
        <v>#VALUE!</v>
      </c>
      <c r="CI36" s="586" t="e">
        <f>SUM(CI7:CI35)</f>
        <v>#VALUE!</v>
      </c>
      <c r="CJ36" s="586">
        <f>SUM(CJ7:CJ35)</f>
        <v>316980.66555999999</v>
      </c>
      <c r="CK36" s="925">
        <f>SUM(CK7:CK35)</f>
        <v>0</v>
      </c>
      <c r="CL36" s="705" t="e">
        <f>CK36/CI36</f>
        <v>#VALUE!</v>
      </c>
      <c r="CM36" s="586" t="e">
        <f>SUM(CM7:CM35)</f>
        <v>#VALUE!</v>
      </c>
      <c r="CN36" s="586">
        <f>SUM(CN7:CN35)</f>
        <v>435848.41514499992</v>
      </c>
      <c r="CO36" s="925">
        <f>SUM(CO7:CO35)</f>
        <v>0</v>
      </c>
      <c r="CP36" s="705" t="e">
        <f>CO36/CM36</f>
        <v>#VALUE!</v>
      </c>
      <c r="CQ36" s="718" t="e">
        <f>SUM(CQ7:CQ35)</f>
        <v>#VALUE!</v>
      </c>
      <c r="CR36" s="718">
        <f>SUM(CR7:CR35)</f>
        <v>1981129.1597499999</v>
      </c>
      <c r="CS36" s="718">
        <f>SUM(CS7:CS35)</f>
        <v>0</v>
      </c>
      <c r="CT36" s="719" t="e">
        <f>CS36/CQ36</f>
        <v>#VALUE!</v>
      </c>
      <c r="CU36" s="586" t="e">
        <f>SUM(CU7:CU35)</f>
        <v>#VALUE!</v>
      </c>
      <c r="CV36" s="586">
        <f>SUM(CV7:CV35)</f>
        <v>242674.76268599991</v>
      </c>
      <c r="CW36" s="926">
        <f>SUM(CW7:CW35)</f>
        <v>0</v>
      </c>
      <c r="CX36" s="728" t="e">
        <f>CW36/CU36</f>
        <v>#VALUE!</v>
      </c>
      <c r="CY36" s="586" t="e">
        <f>SUM(CY7:CY35)</f>
        <v>#VALUE!</v>
      </c>
      <c r="CZ36" s="586">
        <f>SUM(CZ7:CZ35)</f>
        <v>242674.76268599991</v>
      </c>
      <c r="DA36" s="926">
        <f>SUM(DA7:DA35)</f>
        <v>0</v>
      </c>
      <c r="DB36" s="728" t="e">
        <f>DA36/CY36</f>
        <v>#VALUE!</v>
      </c>
      <c r="DC36" s="586" t="e">
        <f>SUM(DC7:DC35)</f>
        <v>#VALUE!</v>
      </c>
      <c r="DD36" s="586">
        <f>SUM(DD7:DD35)</f>
        <v>242674.76268599991</v>
      </c>
      <c r="DE36" s="926">
        <f>SUM(DE7:DE35)</f>
        <v>0</v>
      </c>
      <c r="DF36" s="728" t="e">
        <f>DE36/DC36</f>
        <v>#VALUE!</v>
      </c>
      <c r="DG36" s="586" t="e">
        <f>SUM(DG7:DG35)</f>
        <v>#VALUE!</v>
      </c>
      <c r="DH36" s="586">
        <f>SUM(DH7:DH35)</f>
        <v>242674.76268599991</v>
      </c>
      <c r="DI36" s="926">
        <f>SUM(DI7:DI35)</f>
        <v>0</v>
      </c>
      <c r="DJ36" s="728" t="e">
        <f>DI36/DG36</f>
        <v>#VALUE!</v>
      </c>
      <c r="DK36" s="586" t="e">
        <f>SUM(DK7:DK35)</f>
        <v>#VALUE!</v>
      </c>
      <c r="DL36" s="586">
        <f>SUM(DL7:DL35)</f>
        <v>283120.55646700005</v>
      </c>
      <c r="DM36" s="926">
        <f>SUM(DM7:DM35)</f>
        <v>0</v>
      </c>
      <c r="DN36" s="728" t="e">
        <f>DM36/DK36</f>
        <v>#VALUE!</v>
      </c>
      <c r="DO36" s="586" t="e">
        <f>SUM(DO7:DO35)</f>
        <v>#VALUE!</v>
      </c>
      <c r="DP36" s="586">
        <f>SUM(DP7:DP35)</f>
        <v>323566.350248</v>
      </c>
      <c r="DQ36" s="926">
        <f>SUM(DQ7:DQ35)</f>
        <v>0</v>
      </c>
      <c r="DR36" s="728" t="e">
        <f>DQ36/DO36</f>
        <v>#VALUE!</v>
      </c>
      <c r="DS36" s="586" t="e">
        <f>SUM(DS7:DS35)</f>
        <v>#VALUE!</v>
      </c>
      <c r="DT36" s="586">
        <f>SUM(DT7:DT35)</f>
        <v>444903.73159099999</v>
      </c>
      <c r="DU36" s="926">
        <f>SUM(DU7:DU35)</f>
        <v>0</v>
      </c>
      <c r="DV36" s="728" t="e">
        <f>DU36/DS36</f>
        <v>#VALUE!</v>
      </c>
      <c r="DW36" s="718" t="e">
        <f>SUM(DW7:DW35)</f>
        <v>#VALUE!</v>
      </c>
      <c r="DX36" s="718">
        <f>SUM(DX7:DX35)</f>
        <v>2022289.6890500002</v>
      </c>
      <c r="DY36" s="718">
        <f>SUM(DY7:DY35)</f>
        <v>0</v>
      </c>
      <c r="DZ36" s="719" t="e">
        <f>DY36/DW36</f>
        <v>#VALUE!</v>
      </c>
      <c r="EA36" s="586" t="e">
        <f>SUM(EA7:EA35)</f>
        <v>#VALUE!</v>
      </c>
      <c r="EB36" s="586">
        <f>SUM(EB7:EB35)</f>
        <v>249849.11744999996</v>
      </c>
      <c r="EC36" s="925">
        <f>SUM(EC7:EC35)</f>
        <v>0</v>
      </c>
      <c r="ED36" s="705" t="e">
        <f>EC36/EA36</f>
        <v>#VALUE!</v>
      </c>
      <c r="EE36" s="586" t="e">
        <f>SUM(EE7:EE35)</f>
        <v>#VALUE!</v>
      </c>
      <c r="EF36" s="586">
        <f>SUM(EF7:EF35)</f>
        <v>249849.11744999996</v>
      </c>
      <c r="EG36" s="925">
        <f>SUM(EG7:EG35)</f>
        <v>0</v>
      </c>
      <c r="EH36" s="705" t="e">
        <f>EG36/EE36</f>
        <v>#VALUE!</v>
      </c>
      <c r="EI36" s="586" t="e">
        <f>SUM(EI7:EI35)</f>
        <v>#VALUE!</v>
      </c>
      <c r="EJ36" s="586">
        <f>SUM(EJ7:EJ35)</f>
        <v>249849.11744999996</v>
      </c>
      <c r="EK36" s="925">
        <f>SUM(EK7:EK35)</f>
        <v>0</v>
      </c>
      <c r="EL36" s="705" t="e">
        <f>EK36/EI36</f>
        <v>#VALUE!</v>
      </c>
      <c r="EM36" s="586" t="e">
        <f>SUM(EM7:EM35)</f>
        <v>#VALUE!</v>
      </c>
      <c r="EN36" s="586">
        <f>SUM(EN7:EN35)</f>
        <v>249849.11744999996</v>
      </c>
      <c r="EO36" s="925">
        <f>SUM(EO7:EO35)</f>
        <v>0</v>
      </c>
      <c r="EP36" s="705" t="e">
        <f>EO36/EM36</f>
        <v>#VALUE!</v>
      </c>
      <c r="EQ36" s="586" t="e">
        <f>SUM(EQ7:EQ35)</f>
        <v>#VALUE!</v>
      </c>
      <c r="ER36" s="586">
        <f>SUM(ER7:ER35)</f>
        <v>291490.637025</v>
      </c>
      <c r="ES36" s="925">
        <f>SUM(ES7:ES35)</f>
        <v>0</v>
      </c>
      <c r="ET36" s="705" t="e">
        <f>ES36/EQ36</f>
        <v>#VALUE!</v>
      </c>
      <c r="EU36" s="586" t="e">
        <f>SUM(EU7:EU35)</f>
        <v>#VALUE!</v>
      </c>
      <c r="EV36" s="586">
        <f>SUM(EV7:EV35)</f>
        <v>333132.15659999999</v>
      </c>
      <c r="EW36" s="925">
        <f>SUM(EW7:EW35)</f>
        <v>0</v>
      </c>
      <c r="EX36" s="705" t="e">
        <f>EW36/EU36</f>
        <v>#VALUE!</v>
      </c>
      <c r="EY36" s="586" t="e">
        <f>SUM(EY7:EY35)</f>
        <v>#VALUE!</v>
      </c>
      <c r="EZ36" s="586">
        <f>SUM(EZ7:EZ35)</f>
        <v>458056.71532500011</v>
      </c>
      <c r="FA36" s="925">
        <f>SUM(FA7:FA35)</f>
        <v>0</v>
      </c>
      <c r="FB36" s="705" t="e">
        <f>FA36/EY36</f>
        <v>#VALUE!</v>
      </c>
      <c r="FC36" s="781" t="e">
        <f>SUM(FC7:FC35)</f>
        <v>#VALUE!</v>
      </c>
      <c r="FD36" s="781">
        <f>SUM(FD7:FD35)</f>
        <v>2082075.9787499995</v>
      </c>
      <c r="FE36" s="781">
        <f>SUM(FE7:FE35)</f>
        <v>0</v>
      </c>
      <c r="FF36" s="782" t="e">
        <f>FE36/FC36</f>
        <v>#VALUE!</v>
      </c>
      <c r="FG36" s="586" t="e">
        <f>SUM(FG7:FG35)</f>
        <v>#VALUE!</v>
      </c>
      <c r="FH36" s="586">
        <f>SUM(FH7:FH35)</f>
        <v>328377.28758599993</v>
      </c>
      <c r="FI36" s="926">
        <f>SUM(FI7:FI35)</f>
        <v>0</v>
      </c>
      <c r="FJ36" s="728" t="e">
        <f>FI36/FG36</f>
        <v>#VALUE!</v>
      </c>
      <c r="FK36" s="586" t="e">
        <f>SUM(FK7:FK35)</f>
        <v>#VALUE!</v>
      </c>
      <c r="FL36" s="586">
        <f>SUM(FL7:FL35)</f>
        <v>328377.28758599993</v>
      </c>
      <c r="FM36" s="926">
        <f>SUM(FM7:FM35)</f>
        <v>0</v>
      </c>
      <c r="FN36" s="728" t="e">
        <f>FM36/FK36</f>
        <v>#VALUE!</v>
      </c>
      <c r="FO36" s="586" t="e">
        <f>SUM(FO7:FO35)</f>
        <v>#VALUE!</v>
      </c>
      <c r="FP36" s="586">
        <f>SUM(FP7:FP35)</f>
        <v>328377.28758599993</v>
      </c>
      <c r="FQ36" s="926">
        <f>SUM(FQ7:FQ35)</f>
        <v>0</v>
      </c>
      <c r="FR36" s="728" t="e">
        <f>FQ36/FO36</f>
        <v>#VALUE!</v>
      </c>
      <c r="FS36" s="586" t="e">
        <f>SUM(FS7:FS35)</f>
        <v>#VALUE!</v>
      </c>
      <c r="FT36" s="586">
        <f>SUM(FT7:FT35)</f>
        <v>328377.28758599993</v>
      </c>
      <c r="FU36" s="926">
        <f>SUM(FU7:FU35)</f>
        <v>0</v>
      </c>
      <c r="FV36" s="728" t="e">
        <f>FU36/FS36</f>
        <v>#VALUE!</v>
      </c>
      <c r="FW36" s="586" t="e">
        <f>SUM(FW7:FW35)</f>
        <v>#VALUE!</v>
      </c>
      <c r="FX36" s="586">
        <f>SUM(FX7:FX35)</f>
        <v>383106.835517</v>
      </c>
      <c r="FY36" s="926">
        <f>SUM(FY7:FY35)</f>
        <v>0</v>
      </c>
      <c r="FZ36" s="728" t="e">
        <f>FY36/FW36</f>
        <v>#VALUE!</v>
      </c>
      <c r="GA36" s="586" t="e">
        <f>SUM(GA7:GA35)</f>
        <v>#VALUE!</v>
      </c>
      <c r="GB36" s="586">
        <f>SUM(GB7:GB35)</f>
        <v>437836.38344800001</v>
      </c>
      <c r="GC36" s="926">
        <f>SUM(GC7:GC35)</f>
        <v>0</v>
      </c>
      <c r="GD36" s="728" t="e">
        <f>GC36/GA36</f>
        <v>#VALUE!</v>
      </c>
      <c r="GE36" s="586" t="e">
        <f>SUM(GE7:GE35)</f>
        <v>#VALUE!</v>
      </c>
      <c r="GF36" s="586">
        <f>SUM(GF7:GF35)</f>
        <v>602025.02724099997</v>
      </c>
      <c r="GG36" s="926">
        <f>SUM(GG7:GG35)</f>
        <v>0</v>
      </c>
      <c r="GH36" s="728" t="e">
        <f>GG36/GE36</f>
        <v>#VALUE!</v>
      </c>
      <c r="GI36" s="781" t="e">
        <f>SUM(GI7:GI35)</f>
        <v>#VALUE!</v>
      </c>
      <c r="GJ36" s="781">
        <f>SUM(GJ7:GJ35)</f>
        <v>2736477.3965500002</v>
      </c>
      <c r="GK36" s="781">
        <f>SUM(GK7:GK35)</f>
        <v>0</v>
      </c>
      <c r="GL36" s="782" t="e">
        <f>GK36/GI36</f>
        <v>#VALUE!</v>
      </c>
      <c r="GM36" s="586" t="e">
        <f>SUM(GM7:GM35)</f>
        <v>#VALUE!</v>
      </c>
      <c r="GN36" s="586">
        <f>SUM(GN7:GN35)</f>
        <v>231099.81559499999</v>
      </c>
      <c r="GO36" s="925">
        <f>SUM(GO7:GO35)</f>
        <v>0</v>
      </c>
      <c r="GP36" s="705" t="e">
        <f>GO36/GM36</f>
        <v>#VALUE!</v>
      </c>
      <c r="GQ36" s="586" t="e">
        <f>SUM(GQ7:GQ35)</f>
        <v>#VALUE!</v>
      </c>
      <c r="GR36" s="586">
        <f>SUM(GR7:GR35)</f>
        <v>231099.81559499999</v>
      </c>
      <c r="GS36" s="925">
        <f>SUM(GS7:GS35)</f>
        <v>0</v>
      </c>
      <c r="GT36" s="705" t="e">
        <f>GS36/GQ36</f>
        <v>#VALUE!</v>
      </c>
      <c r="GU36" s="586" t="e">
        <f>SUM(GU7:GU35)</f>
        <v>#VALUE!</v>
      </c>
      <c r="GV36" s="586">
        <f>SUM(GV7:GV35)</f>
        <v>231099.81559499999</v>
      </c>
      <c r="GW36" s="925">
        <f>SUM(GW7:GW35)</f>
        <v>0</v>
      </c>
      <c r="GX36" s="705" t="e">
        <f>GW36/GU36</f>
        <v>#VALUE!</v>
      </c>
      <c r="GY36" s="586" t="e">
        <f>SUM(GY7:GY35)</f>
        <v>#VALUE!</v>
      </c>
      <c r="GZ36" s="586">
        <f>SUM(GZ7:GZ35)</f>
        <v>231099.81559499999</v>
      </c>
      <c r="HA36" s="925">
        <f>SUM(HA7:HA35)</f>
        <v>0</v>
      </c>
      <c r="HB36" s="705" t="e">
        <f>HA36/GY36</f>
        <v>#VALUE!</v>
      </c>
      <c r="HC36" s="586" t="e">
        <f>SUM(HC7:HC35)</f>
        <v>#VALUE!</v>
      </c>
      <c r="HD36" s="586">
        <f>SUM(HD7:HD35)</f>
        <v>269616.45152750006</v>
      </c>
      <c r="HE36" s="925">
        <f>SUM(HE7:HE35)</f>
        <v>0</v>
      </c>
      <c r="HF36" s="705" t="e">
        <f>HE36/HC36</f>
        <v>#VALUE!</v>
      </c>
      <c r="HG36" s="586" t="e">
        <f>SUM(HG7:HG35)</f>
        <v>#VALUE!</v>
      </c>
      <c r="HH36" s="586">
        <f>SUM(HH7:HH35)</f>
        <v>308133.08746000001</v>
      </c>
      <c r="HI36" s="925">
        <f>SUM(HI7:HI35)</f>
        <v>0</v>
      </c>
      <c r="HJ36" s="705" t="e">
        <f>HI36/HG36</f>
        <v>#VALUE!</v>
      </c>
      <c r="HK36" s="586" t="e">
        <f>SUM(HK7:HK35)</f>
        <v>#VALUE!</v>
      </c>
      <c r="HL36" s="586">
        <f>SUM(HL7:HL35)</f>
        <v>423682.99525749998</v>
      </c>
      <c r="HM36" s="925">
        <f>SUM(HM7:HM35)</f>
        <v>0</v>
      </c>
      <c r="HN36" s="705" t="e">
        <f>HM36/HK36</f>
        <v>#VALUE!</v>
      </c>
      <c r="HO36" s="781" t="e">
        <f>SUM(HO7:HO35)</f>
        <v>#VALUE!</v>
      </c>
      <c r="HP36" s="781">
        <f>SUM(HP7:HP35)</f>
        <v>1925831.7966250002</v>
      </c>
      <c r="HQ36" s="781">
        <f>SUM(HQ7:HQ35)</f>
        <v>0</v>
      </c>
      <c r="HR36" s="782" t="e">
        <f>HQ36/HO36</f>
        <v>#VALUE!</v>
      </c>
      <c r="HS36" s="586" t="e">
        <f>SUM(HS7:HS35)</f>
        <v>#VALUE!</v>
      </c>
      <c r="HT36" s="586">
        <f>SUM(HT7:HT35)</f>
        <v>231099.81559499999</v>
      </c>
      <c r="HU36" s="926">
        <f>SUM(HU7:HU35)</f>
        <v>0</v>
      </c>
      <c r="HV36" s="728" t="e">
        <f>HU36/HS36</f>
        <v>#VALUE!</v>
      </c>
      <c r="HW36" s="586" t="e">
        <f>SUM(HW7:HW35)</f>
        <v>#VALUE!</v>
      </c>
      <c r="HX36" s="586">
        <f>SUM(HX7:HX35)</f>
        <v>231099.81559499999</v>
      </c>
      <c r="HY36" s="926">
        <f>SUM(HY7:HY35)</f>
        <v>0</v>
      </c>
      <c r="HZ36" s="728" t="e">
        <f>HY36/HW36</f>
        <v>#VALUE!</v>
      </c>
      <c r="IA36" s="586" t="e">
        <f>SUM(IA7:IA35)</f>
        <v>#VALUE!</v>
      </c>
      <c r="IB36" s="586">
        <f>SUM(IB7:IB35)</f>
        <v>231099.81559499999</v>
      </c>
      <c r="IC36" s="926">
        <f>SUM(IC7:IC35)</f>
        <v>0</v>
      </c>
      <c r="ID36" s="728" t="e">
        <f>IC36/IA36</f>
        <v>#VALUE!</v>
      </c>
      <c r="IE36" s="586" t="e">
        <f>SUM(IE7:IE35)</f>
        <v>#VALUE!</v>
      </c>
      <c r="IF36" s="586">
        <f>SUM(IF7:IF35)</f>
        <v>231099.81559499999</v>
      </c>
      <c r="IG36" s="926">
        <f>SUM(IG7:IG35)</f>
        <v>0</v>
      </c>
      <c r="IH36" s="728" t="e">
        <f>IG36/IE36</f>
        <v>#VALUE!</v>
      </c>
      <c r="II36" s="586" t="e">
        <f>SUM(II7:II35)</f>
        <v>#VALUE!</v>
      </c>
      <c r="IJ36" s="586">
        <f>SUM(IJ7:IJ35)</f>
        <v>269616.45152750006</v>
      </c>
      <c r="IK36" s="926">
        <f>SUM(IK7:IK35)</f>
        <v>0</v>
      </c>
      <c r="IL36" s="728" t="e">
        <f>IK36/II36</f>
        <v>#VALUE!</v>
      </c>
      <c r="IM36" s="586" t="e">
        <f>SUM(IM7:IM35)</f>
        <v>#VALUE!</v>
      </c>
      <c r="IN36" s="586">
        <f>SUM(IN7:IN35)</f>
        <v>308133.08746000001</v>
      </c>
      <c r="IO36" s="926">
        <f>SUM(IO7:IO35)</f>
        <v>0</v>
      </c>
      <c r="IP36" s="728" t="e">
        <f>IO36/IM36</f>
        <v>#VALUE!</v>
      </c>
      <c r="IQ36" s="586" t="e">
        <f>SUM(IQ7:IQ35)</f>
        <v>#VALUE!</v>
      </c>
      <c r="IR36" s="586">
        <f>SUM(IR7:IR35)</f>
        <v>423682.99525749998</v>
      </c>
      <c r="IS36" s="926">
        <f>SUM(IS7:IS35)</f>
        <v>0</v>
      </c>
      <c r="IT36" s="728" t="e">
        <f>IS36/IQ36</f>
        <v>#VALUE!</v>
      </c>
      <c r="IU36" s="781" t="e">
        <f>SUM(IU7:IU35)</f>
        <v>#VALUE!</v>
      </c>
      <c r="IV36" s="781">
        <f>SUM(IV7:IV35)</f>
        <v>1925831.7966250002</v>
      </c>
      <c r="IW36" s="781">
        <f>SUM(IW7:IW35)</f>
        <v>0</v>
      </c>
      <c r="IX36" s="782" t="e">
        <f>IW36/IU36</f>
        <v>#VALUE!</v>
      </c>
      <c r="IY36" s="586" t="e">
        <f>SUM(IY7:IY35)</f>
        <v>#VALUE!</v>
      </c>
      <c r="IZ36" s="586">
        <f>SUM(IZ7:IZ35)</f>
        <v>264274.41523679998</v>
      </c>
      <c r="JA36" s="925">
        <f>SUM(JA7:JA35)</f>
        <v>0</v>
      </c>
      <c r="JB36" s="705" t="e">
        <f>JA36/IY36</f>
        <v>#VALUE!</v>
      </c>
      <c r="JC36" s="586" t="e">
        <f>SUM(JC7:JC35)</f>
        <v>#VALUE!</v>
      </c>
      <c r="JD36" s="586">
        <f>SUM(JD7:JD35)</f>
        <v>264274.41523679998</v>
      </c>
      <c r="JE36" s="925">
        <f>SUM(JE7:JE35)</f>
        <v>0</v>
      </c>
      <c r="JF36" s="705" t="e">
        <f>JE36/JC36</f>
        <v>#VALUE!</v>
      </c>
      <c r="JG36" s="586" t="e">
        <f>SUM(JG7:JG35)</f>
        <v>#VALUE!</v>
      </c>
      <c r="JH36" s="586">
        <f>SUM(JH7:JH35)</f>
        <v>264274.41523679998</v>
      </c>
      <c r="JI36" s="925">
        <f>SUM(JI7:JI35)</f>
        <v>0</v>
      </c>
      <c r="JJ36" s="705" t="e">
        <f>JI36/JG36</f>
        <v>#VALUE!</v>
      </c>
      <c r="JK36" s="586" t="e">
        <f>SUM(JK7:JK35)</f>
        <v>#VALUE!</v>
      </c>
      <c r="JL36" s="586">
        <f>SUM(JL7:JL35)</f>
        <v>264274.41523679998</v>
      </c>
      <c r="JM36" s="925">
        <f>SUM(JM7:JM35)</f>
        <v>0</v>
      </c>
      <c r="JN36" s="705" t="e">
        <f>JM36/JK36</f>
        <v>#VALUE!</v>
      </c>
      <c r="JO36" s="586" t="e">
        <f>SUM(JO7:JO35)</f>
        <v>#VALUE!</v>
      </c>
      <c r="JP36" s="586">
        <f>SUM(JP7:JP35)</f>
        <v>308320.15110959997</v>
      </c>
      <c r="JQ36" s="925">
        <f>SUM(JQ7:JQ35)</f>
        <v>0</v>
      </c>
      <c r="JR36" s="705" t="e">
        <f>JQ36/JO36</f>
        <v>#VALUE!</v>
      </c>
      <c r="JS36" s="586" t="e">
        <f>SUM(JS7:JS35)</f>
        <v>#VALUE!</v>
      </c>
      <c r="JT36" s="586">
        <f>SUM(JT7:JT35)</f>
        <v>352365.88698240003</v>
      </c>
      <c r="JU36" s="925">
        <f>SUM(JU7:JU35)</f>
        <v>0</v>
      </c>
      <c r="JV36" s="705" t="e">
        <f>JU36/JS36</f>
        <v>#VALUE!</v>
      </c>
      <c r="JW36" s="586" t="e">
        <f>SUM(JW7:JW35)</f>
        <v>#VALUE!</v>
      </c>
      <c r="JX36" s="586">
        <f>SUM(JX7:JX35)</f>
        <v>484503.09460080002</v>
      </c>
      <c r="JY36" s="925">
        <f>SUM(JY7:JY35)</f>
        <v>0</v>
      </c>
      <c r="JZ36" s="705" t="e">
        <f>JY36/JW36</f>
        <v>#VALUE!</v>
      </c>
      <c r="KA36" s="718" t="e">
        <f>SUM(KA7:KA35)</f>
        <v>#VALUE!</v>
      </c>
      <c r="KB36" s="718">
        <f>SUM(KB7:KB35)</f>
        <v>2202286.7936400003</v>
      </c>
      <c r="KC36" s="718">
        <f>SUM(KC7:KC35)</f>
        <v>0</v>
      </c>
      <c r="KD36" s="719" t="e">
        <f>KC36/KA36</f>
        <v>#VALUE!</v>
      </c>
      <c r="KE36" s="586" t="e">
        <f>SUM(KE7:KE35)</f>
        <v>#VALUE!</v>
      </c>
      <c r="KF36" s="586">
        <f>SUM(KF7:KF35)</f>
        <v>286214.94536399993</v>
      </c>
      <c r="KG36" s="926">
        <f>SUM(KG7:KG35)</f>
        <v>0</v>
      </c>
      <c r="KH36" s="728" t="e">
        <f>KG36/KE36</f>
        <v>#VALUE!</v>
      </c>
      <c r="KI36" s="586" t="e">
        <f>SUM(KI7:KI35)</f>
        <v>#VALUE!</v>
      </c>
      <c r="KJ36" s="586">
        <f>SUM(KJ7:KJ35)</f>
        <v>286214.94536399993</v>
      </c>
      <c r="KK36" s="926">
        <f>SUM(KK7:KK35)</f>
        <v>0</v>
      </c>
      <c r="KL36" s="728" t="e">
        <f>KK36/KI36</f>
        <v>#VALUE!</v>
      </c>
      <c r="KM36" s="586" t="e">
        <f>SUM(KM7:KM35)</f>
        <v>#VALUE!</v>
      </c>
      <c r="KN36" s="586">
        <f>SUM(KN7:KN35)</f>
        <v>286214.94536399993</v>
      </c>
      <c r="KO36" s="926">
        <f>SUM(KO7:KO35)</f>
        <v>0</v>
      </c>
      <c r="KP36" s="728" t="e">
        <f>KO36/KM36</f>
        <v>#VALUE!</v>
      </c>
      <c r="KQ36" s="586" t="e">
        <f>SUM(KQ7:KQ35)</f>
        <v>#VALUE!</v>
      </c>
      <c r="KR36" s="586">
        <f>SUM(KR7:KR35)</f>
        <v>286214.94536399993</v>
      </c>
      <c r="KS36" s="926">
        <f>SUM(KS7:KS35)</f>
        <v>0</v>
      </c>
      <c r="KT36" s="728" t="e">
        <f>KS36/KQ36</f>
        <v>#VALUE!</v>
      </c>
      <c r="KU36" s="586" t="e">
        <f>SUM(KU7:KU35)</f>
        <v>#VALUE!</v>
      </c>
      <c r="KV36" s="586">
        <f>SUM(KV7:KV35)</f>
        <v>333917.43625799997</v>
      </c>
      <c r="KW36" s="926">
        <f>SUM(KW7:KW35)</f>
        <v>0</v>
      </c>
      <c r="KX36" s="728" t="e">
        <f>KW36/KU36</f>
        <v>#VALUE!</v>
      </c>
      <c r="KY36" s="586" t="e">
        <f>SUM(KY7:KY35)</f>
        <v>#VALUE!</v>
      </c>
      <c r="KZ36" s="586">
        <f>SUM(KZ7:KZ35)</f>
        <v>381619.92715200002</v>
      </c>
      <c r="LA36" s="926">
        <f>SUM(LA7:LA35)</f>
        <v>0</v>
      </c>
      <c r="LB36" s="728" t="e">
        <f>LA36/KY36</f>
        <v>#VALUE!</v>
      </c>
      <c r="LC36" s="586" t="e">
        <f>SUM(LC7:LC35)</f>
        <v>#VALUE!</v>
      </c>
      <c r="LD36" s="586">
        <f>SUM(LD7:LD35)</f>
        <v>524727.39983399981</v>
      </c>
      <c r="LE36" s="926">
        <f>SUM(LE7:LE35)</f>
        <v>0</v>
      </c>
      <c r="LF36" s="728" t="e">
        <f>LE36/LC36</f>
        <v>#VALUE!</v>
      </c>
      <c r="LG36" s="718" t="e">
        <f>SUM(LG7:LG35)</f>
        <v>#VALUE!</v>
      </c>
      <c r="LH36" s="718">
        <f>SUM(LH7:LH35)</f>
        <v>2385124.5447</v>
      </c>
      <c r="LI36" s="718">
        <f>SUM(LI7:LI35)</f>
        <v>0</v>
      </c>
      <c r="LJ36" s="719" t="e">
        <f>LI36/LG36</f>
        <v>#VALUE!</v>
      </c>
      <c r="LK36" s="586" t="e">
        <f>SUM(LK7:LK35)</f>
        <v>#VALUE!</v>
      </c>
      <c r="LL36" s="586">
        <f>SUM(LL7:LL35)</f>
        <v>317913.71516879997</v>
      </c>
      <c r="LM36" s="925">
        <f>SUM(LM7:LM35)</f>
        <v>0</v>
      </c>
      <c r="LN36" s="705" t="e">
        <f>LM36/LK36</f>
        <v>#VALUE!</v>
      </c>
      <c r="LO36" s="586" t="e">
        <f>SUM(LO7:LO35)</f>
        <v>#VALUE!</v>
      </c>
      <c r="LP36" s="586">
        <f>SUM(LP7:LP35)</f>
        <v>317913.71516879997</v>
      </c>
      <c r="LQ36" s="925">
        <f>SUM(LQ7:LQ35)</f>
        <v>0</v>
      </c>
      <c r="LR36" s="705" t="e">
        <f>LQ36/LO36</f>
        <v>#VALUE!</v>
      </c>
      <c r="LS36" s="586" t="e">
        <f>SUM(LS7:LS35)</f>
        <v>#VALUE!</v>
      </c>
      <c r="LT36" s="586">
        <f>SUM(LT7:LT35)</f>
        <v>317913.71516879997</v>
      </c>
      <c r="LU36" s="925">
        <f>SUM(LU7:LU35)</f>
        <v>0</v>
      </c>
      <c r="LV36" s="705" t="e">
        <f>LU36/LS36</f>
        <v>#VALUE!</v>
      </c>
      <c r="LW36" s="586" t="e">
        <f>SUM(LW7:LW35)</f>
        <v>#VALUE!</v>
      </c>
      <c r="LX36" s="586">
        <f>SUM(LX7:LX35)</f>
        <v>317913.71516879997</v>
      </c>
      <c r="LY36" s="925">
        <f>SUM(LY7:LY35)</f>
        <v>0</v>
      </c>
      <c r="LZ36" s="705" t="e">
        <f>LY36/LW36</f>
        <v>#VALUE!</v>
      </c>
      <c r="MA36" s="586" t="e">
        <f>SUM(MA7:MA35)</f>
        <v>#VALUE!</v>
      </c>
      <c r="MB36" s="586">
        <f>SUM(MB7:MB35)</f>
        <v>370899.33436359995</v>
      </c>
      <c r="MC36" s="925">
        <f>SUM(MC7:MC35)</f>
        <v>0</v>
      </c>
      <c r="MD36" s="705" t="e">
        <f>MC36/MA36</f>
        <v>#VALUE!</v>
      </c>
      <c r="ME36" s="586" t="e">
        <f>SUM(ME7:ME35)</f>
        <v>#VALUE!</v>
      </c>
      <c r="MF36" s="586">
        <f>SUM(MF7:MF35)</f>
        <v>423884.9535584001</v>
      </c>
      <c r="MG36" s="925">
        <f>SUM(MG7:MG35)</f>
        <v>0</v>
      </c>
      <c r="MH36" s="705" t="e">
        <f>MG36/ME36</f>
        <v>#VALUE!</v>
      </c>
      <c r="MI36" s="586" t="e">
        <f>SUM(MI7:MI35)</f>
        <v>#VALUE!</v>
      </c>
      <c r="MJ36" s="586">
        <f>SUM(MJ7:MJ35)</f>
        <v>582841.81114280003</v>
      </c>
      <c r="MK36" s="925">
        <f>SUM(MK7:MK35)</f>
        <v>0</v>
      </c>
      <c r="ML36" s="705" t="e">
        <f>MK36/MI36</f>
        <v>#VALUE!</v>
      </c>
      <c r="MM36" s="718" t="e">
        <f>SUM(MM7:MM35)</f>
        <v>#VALUE!</v>
      </c>
      <c r="MN36" s="718">
        <f>SUM(MN7:MN35)</f>
        <v>2649280.9597400003</v>
      </c>
      <c r="MO36" s="718">
        <f>SUM(MO7:MO35)</f>
        <v>0</v>
      </c>
      <c r="MP36" s="719" t="e">
        <f>MO36/MM36</f>
        <v>#VALUE!</v>
      </c>
      <c r="MQ36" s="586" t="e">
        <f>SUM(MQ7:MQ35)</f>
        <v>#VALUE!</v>
      </c>
      <c r="MR36" s="586">
        <f>SUM(MR7:MR35)</f>
        <v>302337.91602000006</v>
      </c>
      <c r="MS36" s="926">
        <f>SUM(MS7:MS35)</f>
        <v>0</v>
      </c>
      <c r="MT36" s="728" t="e">
        <f>MS36/MQ36</f>
        <v>#VALUE!</v>
      </c>
      <c r="MU36" s="586" t="e">
        <f>SUM(MU7:MU35)</f>
        <v>#VALUE!</v>
      </c>
      <c r="MV36" s="586">
        <f>SUM(MV7:MV35)</f>
        <v>302337.91602000006</v>
      </c>
      <c r="MW36" s="926">
        <f>SUM(MW7:MW35)</f>
        <v>0</v>
      </c>
      <c r="MX36" s="728" t="e">
        <f>MW36/MU36</f>
        <v>#VALUE!</v>
      </c>
      <c r="MY36" s="586" t="e">
        <f>SUM(MY7:MY35)</f>
        <v>#VALUE!</v>
      </c>
      <c r="MZ36" s="586">
        <f>SUM(MZ7:MZ35)</f>
        <v>302337.91602000006</v>
      </c>
      <c r="NA36" s="926">
        <f>SUM(NA7:NA35)</f>
        <v>0</v>
      </c>
      <c r="NB36" s="728" t="e">
        <f>NA36/MY36</f>
        <v>#VALUE!</v>
      </c>
      <c r="NC36" s="586" t="e">
        <f>SUM(NC7:NC35)</f>
        <v>#VALUE!</v>
      </c>
      <c r="ND36" s="586">
        <f>SUM(ND7:ND35)</f>
        <v>302337.91602000006</v>
      </c>
      <c r="NE36" s="926">
        <f>SUM(NE7:NE35)</f>
        <v>0</v>
      </c>
      <c r="NF36" s="728" t="e">
        <f>NE36/NC36</f>
        <v>#VALUE!</v>
      </c>
      <c r="NG36" s="586" t="e">
        <f>SUM(NG7:NG35)</f>
        <v>#VALUE!</v>
      </c>
      <c r="NH36" s="586">
        <f>SUM(NH7:NH35)</f>
        <v>352727.56868999999</v>
      </c>
      <c r="NI36" s="926">
        <f>SUM(NI7:NI35)</f>
        <v>0</v>
      </c>
      <c r="NJ36" s="728" t="e">
        <f>NI36/NG36</f>
        <v>#VALUE!</v>
      </c>
      <c r="NK36" s="586" t="e">
        <f>SUM(NK7:NK35)</f>
        <v>#VALUE!</v>
      </c>
      <c r="NL36" s="586">
        <f>SUM(NL7:NL35)</f>
        <v>403117.22136000003</v>
      </c>
      <c r="NM36" s="926">
        <f>SUM(NM7:NM35)</f>
        <v>0</v>
      </c>
      <c r="NN36" s="728" t="e">
        <f>NM36/NK36</f>
        <v>#VALUE!</v>
      </c>
      <c r="NO36" s="586" t="e">
        <f>SUM(NO7:NO35)</f>
        <v>#VALUE!</v>
      </c>
      <c r="NP36" s="586">
        <f>SUM(NP7:NP35)</f>
        <v>554286.17937000003</v>
      </c>
      <c r="NQ36" s="926">
        <f>SUM(NQ7:NQ35)</f>
        <v>0</v>
      </c>
      <c r="NR36" s="728" t="e">
        <f>NQ36/NO36</f>
        <v>#VALUE!</v>
      </c>
      <c r="NS36" s="718" t="e">
        <f>SUM(NS7:NS35)</f>
        <v>#VALUE!</v>
      </c>
      <c r="NT36" s="718">
        <f>SUM(NT7:NT35)</f>
        <v>2519482.6335</v>
      </c>
      <c r="NU36" s="718">
        <f>SUM(NU7:NU35)</f>
        <v>0</v>
      </c>
      <c r="NV36" s="719" t="e">
        <f>NU36/NS36</f>
        <v>#VALUE!</v>
      </c>
      <c r="NW36" s="586" t="e">
        <f>SUM(NW7:NW35)</f>
        <v>#VALUE!</v>
      </c>
      <c r="NX36" s="586">
        <f>SUM(NX7:NX35)</f>
        <v>317417.44224719994</v>
      </c>
      <c r="NY36" s="925">
        <f>SUM(NY7:NY35)</f>
        <v>0</v>
      </c>
      <c r="NZ36" s="705" t="e">
        <f>NY36/NW36</f>
        <v>#VALUE!</v>
      </c>
      <c r="OA36" s="586" t="e">
        <f>SUM(OA7:OA35)</f>
        <v>#VALUE!</v>
      </c>
      <c r="OB36" s="586">
        <f>SUM(OB7:OB35)</f>
        <v>317417.44224719994</v>
      </c>
      <c r="OC36" s="925">
        <f>SUM(OC7:OC35)</f>
        <v>0</v>
      </c>
      <c r="OD36" s="705" t="e">
        <f>OC36/OA36</f>
        <v>#VALUE!</v>
      </c>
      <c r="OE36" s="586" t="e">
        <f>SUM(OE7:OE35)</f>
        <v>#VALUE!</v>
      </c>
      <c r="OF36" s="586">
        <f>SUM(OF7:OF35)</f>
        <v>317417.44224719994</v>
      </c>
      <c r="OG36" s="925">
        <f>SUM(OG7:OG35)</f>
        <v>0</v>
      </c>
      <c r="OH36" s="705" t="e">
        <f>OG36/OE36</f>
        <v>#VALUE!</v>
      </c>
      <c r="OI36" s="586" t="e">
        <f>SUM(OI7:OI35)</f>
        <v>#VALUE!</v>
      </c>
      <c r="OJ36" s="586">
        <f>SUM(OJ7:OJ35)</f>
        <v>317417.44224719994</v>
      </c>
      <c r="OK36" s="925">
        <f>SUM(OK7:OK35)</f>
        <v>0</v>
      </c>
      <c r="OL36" s="705" t="e">
        <f>OK36/OI36</f>
        <v>#VALUE!</v>
      </c>
      <c r="OM36" s="586" t="e">
        <f>SUM(OM7:OM35)</f>
        <v>#VALUE!</v>
      </c>
      <c r="ON36" s="586">
        <f>SUM(ON7:ON35)</f>
        <v>370320.34928839997</v>
      </c>
      <c r="OO36" s="925">
        <f>SUM(OO7:OO35)</f>
        <v>0</v>
      </c>
      <c r="OP36" s="705" t="e">
        <f>OO36/OM36</f>
        <v>#VALUE!</v>
      </c>
      <c r="OQ36" s="586" t="e">
        <f>SUM(OQ7:OQ35)</f>
        <v>#VALUE!</v>
      </c>
      <c r="OR36" s="586">
        <f>SUM(OR7:OR35)</f>
        <v>423223.2563296</v>
      </c>
      <c r="OS36" s="925">
        <f>SUM(OS7:OS35)</f>
        <v>0</v>
      </c>
      <c r="OT36" s="705" t="e">
        <f>OS36/OQ36</f>
        <v>#VALUE!</v>
      </c>
      <c r="OU36" s="586" t="e">
        <f>SUM(OU7:OU35)</f>
        <v>#VALUE!</v>
      </c>
      <c r="OV36" s="586">
        <f>SUM(OV7:OV35)</f>
        <v>581931.97745320003</v>
      </c>
      <c r="OW36" s="925">
        <f>SUM(OW7:OW35)</f>
        <v>0</v>
      </c>
      <c r="OX36" s="705" t="e">
        <f>OW36/OU36</f>
        <v>#VALUE!</v>
      </c>
      <c r="OY36" s="718" t="e">
        <f>SUM(OY7:OY35)</f>
        <v>#VALUE!</v>
      </c>
      <c r="OZ36" s="718">
        <f>SUM(OZ7:OZ35)</f>
        <v>2645145.3520599999</v>
      </c>
      <c r="PA36" s="718">
        <f>SUM(PA7:PA35)</f>
        <v>0</v>
      </c>
      <c r="PB36" s="719" t="e">
        <f>PA36/OY36</f>
        <v>#VALUE!</v>
      </c>
      <c r="PC36" s="586" t="e">
        <f>SUM(PC7:PC35)</f>
        <v>#VALUE!</v>
      </c>
      <c r="PD36" s="586">
        <f>SUM(PD7:PD35)</f>
        <v>331720.53898559994</v>
      </c>
      <c r="PE36" s="925">
        <f>SUM(PE7:PE35)</f>
        <v>0</v>
      </c>
      <c r="PF36" s="705" t="e">
        <f>PE36/PC36</f>
        <v>#VALUE!</v>
      </c>
      <c r="PG36" s="586" t="e">
        <f>SUM(PG7:PG35)</f>
        <v>#VALUE!</v>
      </c>
      <c r="PH36" s="586">
        <f>SUM(PH7:PH35)</f>
        <v>331720.53898559994</v>
      </c>
      <c r="PI36" s="925">
        <f>SUM(PI7:PI35)</f>
        <v>0</v>
      </c>
      <c r="PJ36" s="705" t="e">
        <f>PI36/PG36</f>
        <v>#VALUE!</v>
      </c>
      <c r="PK36" s="586" t="e">
        <f>SUM(PK7:PK35)</f>
        <v>#VALUE!</v>
      </c>
      <c r="PL36" s="586">
        <f>SUM(PL7:PL35)</f>
        <v>331720.53898559994</v>
      </c>
      <c r="PM36" s="925">
        <f>SUM(PM7:PM35)</f>
        <v>0</v>
      </c>
      <c r="PN36" s="705" t="e">
        <f>PM36/PK36</f>
        <v>#VALUE!</v>
      </c>
      <c r="PO36" s="586" t="e">
        <f>SUM(PO7:PO35)</f>
        <v>#VALUE!</v>
      </c>
      <c r="PP36" s="586">
        <f>SUM(PP7:PP35)</f>
        <v>331720.53898559994</v>
      </c>
      <c r="PQ36" s="925">
        <f>SUM(PQ7:PQ35)</f>
        <v>0</v>
      </c>
      <c r="PR36" s="705" t="e">
        <f>PQ36/PO36</f>
        <v>#VALUE!</v>
      </c>
      <c r="PS36" s="586" t="e">
        <f>SUM(PS7:PS35)</f>
        <v>#VALUE!</v>
      </c>
      <c r="PT36" s="586">
        <f>SUM(PT7:PT35)</f>
        <v>387007.29548320005</v>
      </c>
      <c r="PU36" s="925">
        <f>SUM(PU7:PU35)</f>
        <v>0</v>
      </c>
      <c r="PV36" s="705" t="e">
        <f>PU36/PS36</f>
        <v>#VALUE!</v>
      </c>
      <c r="PW36" s="586" t="e">
        <f>SUM(PW7:PW35)</f>
        <v>#VALUE!</v>
      </c>
      <c r="PX36" s="586">
        <f>SUM(PX7:PX35)</f>
        <v>442294.0519808</v>
      </c>
      <c r="PY36" s="925">
        <f>SUM(PY7:PY35)</f>
        <v>0</v>
      </c>
      <c r="PZ36" s="705" t="e">
        <f>PY36/PW36</f>
        <v>#VALUE!</v>
      </c>
      <c r="QA36" s="586" t="e">
        <f>SUM(QA7:QA35)</f>
        <v>#VALUE!</v>
      </c>
      <c r="QB36" s="586">
        <f>SUM(QB7:QB35)</f>
        <v>608154.32147359988</v>
      </c>
      <c r="QC36" s="925">
        <f>SUM(QC7:QC35)</f>
        <v>0</v>
      </c>
      <c r="QD36" s="705" t="e">
        <f>QC36/QA36</f>
        <v>#VALUE!</v>
      </c>
      <c r="QE36" s="781" t="e">
        <f>SUM(QE7:QE35)</f>
        <v>#VALUE!</v>
      </c>
      <c r="QF36" s="781">
        <f>SUM(QF7:QF35)</f>
        <v>2764337.8248800002</v>
      </c>
      <c r="QG36" s="781">
        <f>SUM(QG7:QG35)</f>
        <v>0</v>
      </c>
      <c r="QH36" s="782" t="e">
        <f>QG36/QE36</f>
        <v>#VALUE!</v>
      </c>
      <c r="QI36" s="586" t="e">
        <f>SUM(QI7:QI35)</f>
        <v>#VALUE!</v>
      </c>
      <c r="QJ36" s="586">
        <f>SUM(QJ7:QJ35)</f>
        <v>351127.61927099997</v>
      </c>
      <c r="QK36" s="926">
        <f>SUM(QK7:QK35)</f>
        <v>0</v>
      </c>
      <c r="QL36" s="728" t="e">
        <f>QK36/QI36</f>
        <v>#VALUE!</v>
      </c>
      <c r="QM36" s="586" t="e">
        <f>SUM(QM7:QM35)</f>
        <v>#VALUE!</v>
      </c>
      <c r="QN36" s="586">
        <f>SUM(QN7:QN35)</f>
        <v>351127.61927099997</v>
      </c>
      <c r="QO36" s="926">
        <f>SUM(QO7:QO35)</f>
        <v>0</v>
      </c>
      <c r="QP36" s="728" t="e">
        <f>QO36/QM36</f>
        <v>#VALUE!</v>
      </c>
      <c r="QQ36" s="586" t="e">
        <f>SUM(QQ7:QQ35)</f>
        <v>#VALUE!</v>
      </c>
      <c r="QR36" s="586">
        <f>SUM(QR7:QR35)</f>
        <v>351127.61927099997</v>
      </c>
      <c r="QS36" s="926">
        <f>SUM(QS7:QS35)</f>
        <v>0</v>
      </c>
      <c r="QT36" s="728" t="e">
        <f>QS36/QQ36</f>
        <v>#VALUE!</v>
      </c>
      <c r="QU36" s="586" t="e">
        <f>SUM(QU7:QU35)</f>
        <v>#VALUE!</v>
      </c>
      <c r="QV36" s="586">
        <f>SUM(QV7:QV35)</f>
        <v>351127.61927099997</v>
      </c>
      <c r="QW36" s="926">
        <f>SUM(QW7:QW35)</f>
        <v>0</v>
      </c>
      <c r="QX36" s="728" t="e">
        <f>QW36/QU36</f>
        <v>#VALUE!</v>
      </c>
      <c r="QY36" s="586" t="e">
        <f>SUM(QY7:QY35)</f>
        <v>#VALUE!</v>
      </c>
      <c r="QZ36" s="586">
        <f>SUM(QZ7:QZ35)</f>
        <v>409648.8891495</v>
      </c>
      <c r="RA36" s="926">
        <f>SUM(RA7:RA35)</f>
        <v>0</v>
      </c>
      <c r="RB36" s="728" t="e">
        <f>RA36/QY36</f>
        <v>#VALUE!</v>
      </c>
      <c r="RC36" s="586" t="e">
        <f>SUM(RC7:RC35)</f>
        <v>#VALUE!</v>
      </c>
      <c r="RD36" s="586">
        <f>SUM(RD7:RD35)</f>
        <v>468170.15902800008</v>
      </c>
      <c r="RE36" s="926">
        <f>SUM(RE7:RE35)</f>
        <v>0</v>
      </c>
      <c r="RF36" s="728" t="e">
        <f>RE36/RC36</f>
        <v>#VALUE!</v>
      </c>
      <c r="RG36" s="586" t="e">
        <f>SUM(RG7:RG35)</f>
        <v>#VALUE!</v>
      </c>
      <c r="RH36" s="586">
        <f>SUM(RH7:RH35)</f>
        <v>643733.96866350004</v>
      </c>
      <c r="RI36" s="926">
        <f>SUM(RI7:RI35)</f>
        <v>0</v>
      </c>
      <c r="RJ36" s="728" t="e">
        <f>RI36/RG36</f>
        <v>#VALUE!</v>
      </c>
      <c r="RK36" s="781" t="e">
        <f>SUM(RK7:RK35)</f>
        <v>#VALUE!</v>
      </c>
      <c r="RL36" s="781">
        <f>SUM(RL7:RL35)</f>
        <v>2926063.4939250001</v>
      </c>
      <c r="RM36" s="781">
        <f>SUM(RM7:RM35)</f>
        <v>0</v>
      </c>
      <c r="RN36" s="782" t="e">
        <f>RM36/RK36</f>
        <v>#VALUE!</v>
      </c>
      <c r="RO36" s="586" t="e">
        <f>SUM(RO7:RO35)</f>
        <v>#VALUE!</v>
      </c>
      <c r="RP36" s="586">
        <f>SUM(RP7:RP35)</f>
        <v>340290.45820799988</v>
      </c>
      <c r="RQ36" s="925">
        <f>SUM(RQ7:RQ35)</f>
        <v>0</v>
      </c>
      <c r="RR36" s="705" t="e">
        <f>RQ36/RO36</f>
        <v>#VALUE!</v>
      </c>
      <c r="RS36" s="586" t="e">
        <f>SUM(RS7:RS35)</f>
        <v>#VALUE!</v>
      </c>
      <c r="RT36" s="586">
        <f>SUM(RT7:RT35)</f>
        <v>340290.45820799988</v>
      </c>
      <c r="RU36" s="925">
        <f>SUM(RU7:RU35)</f>
        <v>0</v>
      </c>
      <c r="RV36" s="705" t="e">
        <f>RU36/RS36</f>
        <v>#VALUE!</v>
      </c>
      <c r="RW36" s="586" t="e">
        <f>SUM(RW7:RW35)</f>
        <v>#VALUE!</v>
      </c>
      <c r="RX36" s="586">
        <f>SUM(RX7:RX35)</f>
        <v>340290.45820799988</v>
      </c>
      <c r="RY36" s="925">
        <f>SUM(RY7:RY35)</f>
        <v>0</v>
      </c>
      <c r="RZ36" s="705" t="e">
        <f>RY36/RW36</f>
        <v>#VALUE!</v>
      </c>
      <c r="SA36" s="586" t="e">
        <f>SUM(SA7:SA35)</f>
        <v>#VALUE!</v>
      </c>
      <c r="SB36" s="586">
        <f>SUM(SB7:SB35)</f>
        <v>340290.45820799988</v>
      </c>
      <c r="SC36" s="925">
        <f>SUM(SC7:SC35)</f>
        <v>0</v>
      </c>
      <c r="SD36" s="705" t="e">
        <f>SC36/SA36</f>
        <v>#VALUE!</v>
      </c>
      <c r="SE36" s="586" t="e">
        <f>SUM(SE7:SE35)</f>
        <v>#VALUE!</v>
      </c>
      <c r="SF36" s="586">
        <f>SUM(SF7:SF35)</f>
        <v>397005.53457600012</v>
      </c>
      <c r="SG36" s="925">
        <f>SUM(SG7:SG35)</f>
        <v>0</v>
      </c>
      <c r="SH36" s="705" t="e">
        <f>SG36/SE36</f>
        <v>#VALUE!</v>
      </c>
      <c r="SI36" s="586" t="e">
        <f>SUM(SI7:SI35)</f>
        <v>#VALUE!</v>
      </c>
      <c r="SJ36" s="586">
        <f>SUM(SJ7:SJ35)</f>
        <v>453720.61094400007</v>
      </c>
      <c r="SK36" s="925">
        <f>SUM(SK7:SK35)</f>
        <v>0</v>
      </c>
      <c r="SL36" s="705" t="e">
        <f>SK36/SI36</f>
        <v>#VALUE!</v>
      </c>
      <c r="SM36" s="586" t="e">
        <f>SUM(SM7:SM35)</f>
        <v>#VALUE!</v>
      </c>
      <c r="SN36" s="586">
        <f>SUM(SN7:SN35)</f>
        <v>623865.84004799998</v>
      </c>
      <c r="SO36" s="925">
        <f>SUM(SO7:SO35)</f>
        <v>0</v>
      </c>
      <c r="SP36" s="705" t="e">
        <f>SO36/SM36</f>
        <v>#VALUE!</v>
      </c>
      <c r="SQ36" s="781" t="e">
        <f>SUM(SQ7:SQ35)</f>
        <v>#VALUE!</v>
      </c>
      <c r="SR36" s="781">
        <f>SUM(SR7:SR35)</f>
        <v>2835753.8184000007</v>
      </c>
      <c r="SS36" s="781">
        <f>SUM(SS7:SS35)</f>
        <v>0</v>
      </c>
      <c r="ST36" s="782" t="e">
        <f>SS36/SQ36</f>
        <v>#VALUE!</v>
      </c>
      <c r="SU36" s="586">
        <f>SUM(SU7:SU35)</f>
        <v>406083.63599999988</v>
      </c>
      <c r="SV36" s="586">
        <f>SUM(SV7:SV35)</f>
        <v>404222.77762500005</v>
      </c>
      <c r="SW36" s="926">
        <f>SUM(SW7:SW35)</f>
        <v>0</v>
      </c>
      <c r="SX36" s="728">
        <f>SW36/SU36</f>
        <v>0</v>
      </c>
      <c r="SY36" s="586">
        <f>SUM(SY7:SY35)</f>
        <v>406083.63599999988</v>
      </c>
      <c r="SZ36" s="586">
        <f>SUM(SZ7:SZ35)</f>
        <v>404222.77762500005</v>
      </c>
      <c r="TA36" s="926">
        <f>SUM(TA7:TA35)</f>
        <v>0</v>
      </c>
      <c r="TB36" s="728">
        <f>TA36/SY36</f>
        <v>0</v>
      </c>
      <c r="TC36" s="586">
        <f>SUM(TC7:TC35)</f>
        <v>406083.63599999988</v>
      </c>
      <c r="TD36" s="586">
        <f>SUM(TD7:TD35)</f>
        <v>404222.77762500005</v>
      </c>
      <c r="TE36" s="926">
        <f>SUM(TE7:TE35)</f>
        <v>0</v>
      </c>
      <c r="TF36" s="728">
        <f>TE36/TC36</f>
        <v>0</v>
      </c>
      <c r="TG36" s="586">
        <f>SUM(TG7:TG35)</f>
        <v>406083.63599999988</v>
      </c>
      <c r="TH36" s="586">
        <f>SUM(TH7:TH35)</f>
        <v>404222.77762500005</v>
      </c>
      <c r="TI36" s="926">
        <f>SUM(TI7:TI35)</f>
        <v>0</v>
      </c>
      <c r="TJ36" s="728">
        <f>TI36/TG36</f>
        <v>0</v>
      </c>
      <c r="TK36" s="586">
        <f>SUM(TK7:TK35)</f>
        <v>473764.24200000014</v>
      </c>
      <c r="TL36" s="586">
        <f>SUM(TL7:TL35)</f>
        <v>471593.24056250002</v>
      </c>
      <c r="TM36" s="926">
        <f>SUM(TM7:TM35)</f>
        <v>0</v>
      </c>
      <c r="TN36" s="728">
        <f>TM36/TK36</f>
        <v>0</v>
      </c>
      <c r="TO36" s="586">
        <f>SUM(TO7:TO35)</f>
        <v>541444.848</v>
      </c>
      <c r="TP36" s="586">
        <f>SUM(TP7:TP35)</f>
        <v>538963.70350000006</v>
      </c>
      <c r="TQ36" s="926">
        <f>SUM(TQ7:TQ35)</f>
        <v>0</v>
      </c>
      <c r="TR36" s="728">
        <f>TQ36/TO36</f>
        <v>0</v>
      </c>
      <c r="TS36" s="586">
        <f>SUM(TS7:TS35)</f>
        <v>744486.66600000008</v>
      </c>
      <c r="TT36" s="586">
        <f>SUM(TT7:TT35)</f>
        <v>741075.09231250011</v>
      </c>
      <c r="TU36" s="926">
        <f>SUM(TU7:TU35)</f>
        <v>0</v>
      </c>
      <c r="TV36" s="728">
        <f>TU36/TS36</f>
        <v>0</v>
      </c>
      <c r="TW36" s="781">
        <f>SUM(TW7:TW35)</f>
        <v>3384030.3000000003</v>
      </c>
      <c r="TX36" s="781">
        <f>SUM(TX7:TX35)</f>
        <v>3368523.1468750001</v>
      </c>
      <c r="TY36" s="781">
        <f>SUM(TY7:TY35)</f>
        <v>0</v>
      </c>
      <c r="TZ36" s="782">
        <f>TY36/TW36</f>
        <v>0</v>
      </c>
      <c r="UA36" s="586">
        <f>SUM(UA7:UA35)</f>
        <v>478541.59320000006</v>
      </c>
      <c r="UB36" s="586">
        <f>SUM(UB7:UB35)</f>
        <v>480647.296332</v>
      </c>
      <c r="UC36" s="925">
        <f>SUM(UC7:UC35)</f>
        <v>0</v>
      </c>
      <c r="UD36" s="705">
        <f>UC36/UA36</f>
        <v>0</v>
      </c>
      <c r="UE36" s="586">
        <f>SUM(UE7:UE35)</f>
        <v>478541.59320000006</v>
      </c>
      <c r="UF36" s="586">
        <f>SUM(UF7:UF35)</f>
        <v>480647.296332</v>
      </c>
      <c r="UG36" s="925">
        <f>SUM(UG7:UG35)</f>
        <v>0</v>
      </c>
      <c r="UH36" s="705">
        <f>UG36/UE36</f>
        <v>0</v>
      </c>
      <c r="UI36" s="586">
        <f>SUM(UI7:UI35)</f>
        <v>478541.59320000006</v>
      </c>
      <c r="UJ36" s="586">
        <f>SUM(UJ7:UJ35)</f>
        <v>480647.296332</v>
      </c>
      <c r="UK36" s="925">
        <f>SUM(UK7:UK35)</f>
        <v>0</v>
      </c>
      <c r="UL36" s="705">
        <f>UK36/UI36</f>
        <v>0</v>
      </c>
      <c r="UM36" s="586">
        <f>SUM(UM7:UM35)</f>
        <v>478541.59320000006</v>
      </c>
      <c r="UN36" s="586">
        <f>SUM(UN7:UN35)</f>
        <v>480647.296332</v>
      </c>
      <c r="UO36" s="925">
        <f>SUM(UO7:UO35)</f>
        <v>0</v>
      </c>
      <c r="UP36" s="705">
        <f>UO36/UM36</f>
        <v>0</v>
      </c>
      <c r="UQ36" s="586">
        <f>SUM(UQ7:UQ35)</f>
        <v>558298.52540000004</v>
      </c>
      <c r="UR36" s="586">
        <f>SUM(UR7:UR35)</f>
        <v>560755.17905400007</v>
      </c>
      <c r="US36" s="925">
        <f>SUM(US7:US35)</f>
        <v>0</v>
      </c>
      <c r="UT36" s="705">
        <f>US36/UQ36</f>
        <v>0</v>
      </c>
      <c r="UU36" s="586">
        <f>SUM(UU7:UU35)</f>
        <v>638055.45759999997</v>
      </c>
      <c r="UV36" s="586">
        <f>SUM(UV7:UV35)</f>
        <v>640863.06177600008</v>
      </c>
      <c r="UW36" s="925">
        <f>SUM(UW7:UW35)</f>
        <v>0</v>
      </c>
      <c r="UX36" s="705">
        <f>UW36/UU36</f>
        <v>0</v>
      </c>
      <c r="UY36" s="586">
        <f>SUM(UY7:UY35)</f>
        <v>877326.25419999997</v>
      </c>
      <c r="UZ36" s="586">
        <f>SUM(UZ7:UZ35)</f>
        <v>881186.70994199987</v>
      </c>
      <c r="VA36" s="925">
        <f>SUM(VA7:VA35)</f>
        <v>0</v>
      </c>
      <c r="VB36" s="705">
        <f>VA36/UY36</f>
        <v>0</v>
      </c>
      <c r="VC36" s="757">
        <f>SUM(VC7:VC35)</f>
        <v>3987846.61</v>
      </c>
      <c r="VD36" s="757">
        <f>SUM(VD7:VD35)</f>
        <v>4005394.1361000007</v>
      </c>
      <c r="VE36" s="757">
        <f>SUM(VE7:VE35)</f>
        <v>0</v>
      </c>
      <c r="VF36" s="758">
        <f>VE36/VC36</f>
        <v>0</v>
      </c>
      <c r="VG36" s="586">
        <f>SUM(VG7:VG35)</f>
        <v>347375.73</v>
      </c>
      <c r="VH36" s="586">
        <f>SUM(VH7:VH35)</f>
        <v>346316.92532999994</v>
      </c>
      <c r="VI36" s="926">
        <f>SUM(VI7:VI35)</f>
        <v>0</v>
      </c>
      <c r="VJ36" s="728">
        <f>VI36/VG36</f>
        <v>0</v>
      </c>
      <c r="VK36" s="586">
        <f>SUM(VK7:VK35)</f>
        <v>347375.73</v>
      </c>
      <c r="VL36" s="586">
        <f>SUM(VL7:VL35)</f>
        <v>346316.92532999994</v>
      </c>
      <c r="VM36" s="926">
        <f>SUM(VM7:VM35)</f>
        <v>0</v>
      </c>
      <c r="VN36" s="728">
        <f>VM36/VK36</f>
        <v>0</v>
      </c>
      <c r="VO36" s="586">
        <f>SUM(VO7:VO35)</f>
        <v>347375.73</v>
      </c>
      <c r="VP36" s="586">
        <f>SUM(VP7:VP35)</f>
        <v>346316.92532999994</v>
      </c>
      <c r="VQ36" s="926">
        <f>SUM(VQ7:VQ35)</f>
        <v>0</v>
      </c>
      <c r="VR36" s="728">
        <f>VQ36/VO36</f>
        <v>0</v>
      </c>
      <c r="VS36" s="586">
        <f>SUM(VS7:VS35)</f>
        <v>347375.73</v>
      </c>
      <c r="VT36" s="586">
        <f>SUM(VT7:VT35)</f>
        <v>346316.92532999994</v>
      </c>
      <c r="VU36" s="926">
        <f>SUM(VU7:VU35)</f>
        <v>0</v>
      </c>
      <c r="VV36" s="728">
        <f>VU36/VS36</f>
        <v>0</v>
      </c>
      <c r="VW36" s="586">
        <f>SUM(VW7:VW35)</f>
        <v>405271.68500000006</v>
      </c>
      <c r="VX36" s="586">
        <f>SUM(VX7:VX35)</f>
        <v>404036.41288500006</v>
      </c>
      <c r="VY36" s="926">
        <f>SUM(VY7:VY35)</f>
        <v>0</v>
      </c>
      <c r="VZ36" s="728">
        <f>VY36/VW36</f>
        <v>0</v>
      </c>
      <c r="WA36" s="586">
        <f>SUM(WA7:WA35)</f>
        <v>463167.64000000007</v>
      </c>
      <c r="WB36" s="586">
        <f>SUM(WB7:WB35)</f>
        <v>461755.90044</v>
      </c>
      <c r="WC36" s="926">
        <f>SUM(WC7:WC35)</f>
        <v>0</v>
      </c>
      <c r="WD36" s="728">
        <f>WC36/WA36</f>
        <v>0</v>
      </c>
      <c r="WE36" s="586">
        <f>SUM(WE7:WE35)</f>
        <v>636855.50500000012</v>
      </c>
      <c r="WF36" s="586">
        <f>SUM(WF7:WF35)</f>
        <v>634914.363105</v>
      </c>
      <c r="WG36" s="926">
        <f>SUM(WG7:WG35)</f>
        <v>0</v>
      </c>
      <c r="WH36" s="728">
        <f>WG36/WE36</f>
        <v>0</v>
      </c>
      <c r="WI36" s="757">
        <f>SUM(WI7:WI35)</f>
        <v>2894797.7499999995</v>
      </c>
      <c r="WJ36" s="757">
        <f>SUM(WJ7:WJ35)</f>
        <v>2885974.37775</v>
      </c>
      <c r="WK36" s="757">
        <f>SUM(WK7:WK35)</f>
        <v>0</v>
      </c>
      <c r="WL36" s="758">
        <f>WK36/WI36</f>
        <v>0</v>
      </c>
      <c r="WM36" s="586">
        <f>SUM(WM7:WM35)</f>
        <v>310714.23599999998</v>
      </c>
      <c r="WN36" s="586">
        <f>SUM(WN7:WN35)</f>
        <v>310724.31559200003</v>
      </c>
      <c r="WO36" s="925">
        <f>SUM(WO7:WO35)</f>
        <v>0</v>
      </c>
      <c r="WP36" s="705">
        <f>WO36/WM36</f>
        <v>0</v>
      </c>
      <c r="WQ36" s="586">
        <f>SUM(WQ7:WQ35)</f>
        <v>310714.23599999998</v>
      </c>
      <c r="WR36" s="586">
        <f>SUM(WR7:WR35)</f>
        <v>310724.31559200003</v>
      </c>
      <c r="WS36" s="925">
        <f>SUM(WS7:WS35)</f>
        <v>0</v>
      </c>
      <c r="WT36" s="705">
        <f>WS36/WQ36</f>
        <v>0</v>
      </c>
      <c r="WU36" s="586">
        <f>SUM(WU7:WU35)</f>
        <v>310714.23599999998</v>
      </c>
      <c r="WV36" s="586">
        <f>SUM(WV7:WV35)</f>
        <v>310724.31559200003</v>
      </c>
      <c r="WW36" s="925">
        <f>SUM(WW7:WW35)</f>
        <v>0</v>
      </c>
      <c r="WX36" s="705">
        <f>WW36/WU36</f>
        <v>0</v>
      </c>
      <c r="WY36" s="586">
        <f>SUM(WY7:WY35)</f>
        <v>310714.23599999998</v>
      </c>
      <c r="WZ36" s="586">
        <f>SUM(WZ7:WZ35)</f>
        <v>310724.31559200003</v>
      </c>
      <c r="XA36" s="925">
        <f>SUM(XA7:XA35)</f>
        <v>0</v>
      </c>
      <c r="XB36" s="705">
        <f>XA36/WY36</f>
        <v>0</v>
      </c>
      <c r="XC36" s="586">
        <f>SUM(XC7:XC35)</f>
        <v>362499.9420000001</v>
      </c>
      <c r="XD36" s="586">
        <f>SUM(XD7:XD35)</f>
        <v>362511.70152400003</v>
      </c>
      <c r="XE36" s="925">
        <f>SUM(XE7:XE35)</f>
        <v>0</v>
      </c>
      <c r="XF36" s="705">
        <f>XE36/XC36</f>
        <v>0</v>
      </c>
      <c r="XG36" s="586">
        <f>SUM(XG7:XG35)</f>
        <v>414285.6480000001</v>
      </c>
      <c r="XH36" s="586" t="e">
        <f>SUM(XH7:XH35)</f>
        <v>#REF!</v>
      </c>
      <c r="XI36" s="925">
        <f>SUM(XI7:XI35)</f>
        <v>0</v>
      </c>
      <c r="XJ36" s="705">
        <f>XI36/XG36</f>
        <v>0</v>
      </c>
      <c r="XK36" s="586">
        <f>SUM(XK7:XK35)</f>
        <v>569642.76600000006</v>
      </c>
      <c r="XL36" s="586" t="e">
        <f>SUM(XL7:XL35)</f>
        <v>#REF!</v>
      </c>
      <c r="XM36" s="925">
        <f>SUM(XM7:XM35)</f>
        <v>0</v>
      </c>
      <c r="XN36" s="705">
        <f>XM36/XK36</f>
        <v>0</v>
      </c>
      <c r="XO36" s="757">
        <f>SUM(XO7:XO35)</f>
        <v>2589285.3000000003</v>
      </c>
      <c r="XP36" s="757" t="e">
        <f>SUM(XP7:XP35)</f>
        <v>#REF!</v>
      </c>
      <c r="XQ36" s="757">
        <f>SUM(XQ7:XQ35)</f>
        <v>0</v>
      </c>
      <c r="XR36" s="758">
        <f>XQ36/XO36</f>
        <v>0</v>
      </c>
      <c r="XS36" s="586">
        <f>SUM(XS7:XS35)</f>
        <v>310858.56599999999</v>
      </c>
      <c r="XT36" s="586">
        <f>SUM(XT7:XT35)</f>
        <v>309619.04638499999</v>
      </c>
      <c r="XU36" s="926">
        <f>SUM(XU7:XU35)</f>
        <v>0</v>
      </c>
      <c r="XV36" s="728">
        <f>XU36/XS36</f>
        <v>0</v>
      </c>
      <c r="XW36" s="586">
        <f>SUM(XW7:XW35)</f>
        <v>310858.56599999999</v>
      </c>
      <c r="XX36" s="586">
        <f>SUM(XX7:XX35)</f>
        <v>309619.04638499999</v>
      </c>
      <c r="XY36" s="926">
        <f>SUM(XY7:XY35)</f>
        <v>0</v>
      </c>
      <c r="XZ36" s="728">
        <f>XY36/XW36</f>
        <v>0</v>
      </c>
      <c r="YA36" s="586">
        <f>SUM(YA7:YA35)</f>
        <v>310858.56599999999</v>
      </c>
      <c r="YB36" s="586">
        <f>SUM(YB7:YB35)</f>
        <v>309619.04638499999</v>
      </c>
      <c r="YC36" s="926">
        <f>SUM(YC7:YC35)</f>
        <v>0</v>
      </c>
      <c r="YD36" s="728">
        <f>YC36/YA36</f>
        <v>0</v>
      </c>
      <c r="YE36" s="586">
        <f>SUM(YE7:YE35)</f>
        <v>310858.56599999999</v>
      </c>
      <c r="YF36" s="586">
        <f>SUM(YF7:YF35)</f>
        <v>309619.04638499999</v>
      </c>
      <c r="YG36" s="926">
        <f>SUM(YG7:YG35)</f>
        <v>0</v>
      </c>
      <c r="YH36" s="728">
        <f>YG36/YE36</f>
        <v>0</v>
      </c>
      <c r="YI36" s="586">
        <f>SUM(YI7:YI35)</f>
        <v>362668.32700000005</v>
      </c>
      <c r="YJ36" s="586">
        <f>SUM(YJ7:YJ35)</f>
        <v>361222.22078249994</v>
      </c>
      <c r="YK36" s="926">
        <f>SUM(YK7:YK35)</f>
        <v>0</v>
      </c>
      <c r="YL36" s="728">
        <f>YK36/YI36</f>
        <v>0</v>
      </c>
      <c r="YM36" s="586">
        <f>SUM(YM7:YM35)</f>
        <v>414478.08799999999</v>
      </c>
      <c r="YN36" s="586">
        <f>SUM(YN7:YN35)</f>
        <v>412825.39517999999</v>
      </c>
      <c r="YO36" s="926">
        <f>SUM(YO7:YO35)</f>
        <v>0</v>
      </c>
      <c r="YP36" s="728">
        <f>YO36/YM36</f>
        <v>0</v>
      </c>
      <c r="YQ36" s="586">
        <f>SUM(YQ7:YQ35)</f>
        <v>569907.37099999993</v>
      </c>
      <c r="YR36" s="586">
        <f>SUM(YR7:YR35)</f>
        <v>567634.91837249999</v>
      </c>
      <c r="YS36" s="926">
        <f>SUM(YS7:YS35)</f>
        <v>0</v>
      </c>
      <c r="YT36" s="728">
        <f>YS36/YQ36</f>
        <v>0</v>
      </c>
      <c r="YU36" s="757">
        <f>SUM(YU7:YU35)</f>
        <v>2590488.0499999993</v>
      </c>
      <c r="YV36" s="757">
        <f>SUM(YV7:YV35)</f>
        <v>2580158.7198749995</v>
      </c>
      <c r="YW36" s="757">
        <f>SUM(YW7:YW35)</f>
        <v>0</v>
      </c>
      <c r="YX36" s="758">
        <f>YW36/YU36</f>
        <v>0</v>
      </c>
      <c r="YY36" s="927">
        <f>SUM(YY7:YY35)</f>
        <v>318355.26</v>
      </c>
      <c r="YZ36" s="586">
        <f>SUM(YZ7:YZ35)</f>
        <v>318555.23933999997</v>
      </c>
      <c r="ZA36" s="925">
        <f>SUM(ZA7:ZA35)</f>
        <v>0</v>
      </c>
      <c r="ZB36" s="705">
        <f>ZA36/YY36</f>
        <v>0</v>
      </c>
      <c r="ZC36" s="586">
        <f>SUM(ZC7:ZC35)</f>
        <v>318355.26</v>
      </c>
      <c r="ZD36" s="586">
        <f>SUM(ZD7:ZD35)</f>
        <v>318555.23933999997</v>
      </c>
      <c r="ZE36" s="925">
        <f>SUM(ZE7:ZE35)</f>
        <v>0</v>
      </c>
      <c r="ZF36" s="705">
        <f>ZE36/ZC36</f>
        <v>0</v>
      </c>
      <c r="ZG36" s="586">
        <f>SUM(ZG7:ZG35)</f>
        <v>318355.26</v>
      </c>
      <c r="ZH36" s="586">
        <f>SUM(ZH7:ZH35)</f>
        <v>318555.23933999997</v>
      </c>
      <c r="ZI36" s="925">
        <f>SUM(ZI7:ZI35)</f>
        <v>0</v>
      </c>
      <c r="ZJ36" s="705">
        <f>ZI36/ZG36</f>
        <v>0</v>
      </c>
      <c r="ZK36" s="586">
        <f>SUM(ZK7:ZK35)</f>
        <v>318355.26</v>
      </c>
      <c r="ZL36" s="586">
        <f>SUM(ZL7:ZL35)</f>
        <v>318555.23933999997</v>
      </c>
      <c r="ZM36" s="925">
        <f>SUM(ZM7:ZM35)</f>
        <v>0</v>
      </c>
      <c r="ZN36" s="705">
        <f>ZM36/ZK36</f>
        <v>0</v>
      </c>
      <c r="ZO36" s="586">
        <f>SUM(ZO7:ZO35)</f>
        <v>371414.47000000003</v>
      </c>
      <c r="ZP36" s="586">
        <f>SUM(ZP7:ZP35)</f>
        <v>371647.77923000004</v>
      </c>
      <c r="ZQ36" s="925">
        <f>SUM(ZQ7:ZQ35)</f>
        <v>0</v>
      </c>
      <c r="ZR36" s="705">
        <f>ZQ36/ZO36</f>
        <v>0</v>
      </c>
      <c r="ZS36" s="586">
        <f>SUM(ZS7:ZS35)</f>
        <v>424473.68000000005</v>
      </c>
      <c r="ZT36" s="586">
        <f>SUM(ZT7:ZT35)</f>
        <v>424740.31912000006</v>
      </c>
      <c r="ZU36" s="925">
        <f>SUM(ZU7:ZU35)</f>
        <v>0</v>
      </c>
      <c r="ZV36" s="705">
        <f>ZU36/ZS36</f>
        <v>0</v>
      </c>
      <c r="ZW36" s="586">
        <f>SUM(ZW7:ZW35)</f>
        <v>583651.31000000006</v>
      </c>
      <c r="ZX36" s="586">
        <f>SUM(ZX7:ZX35)</f>
        <v>584017.93879000004</v>
      </c>
      <c r="ZY36" s="925">
        <f>SUM(ZY7:ZY35)</f>
        <v>0</v>
      </c>
      <c r="ZZ36" s="705">
        <f>ZY36/ZW36</f>
        <v>0</v>
      </c>
      <c r="AAA36" s="718">
        <f>SUM(AAA7:AAA35)</f>
        <v>2652960.5</v>
      </c>
      <c r="AAB36" s="718">
        <f>SUM(AAB7:AAB35)</f>
        <v>2654626.9944999996</v>
      </c>
      <c r="AAC36" s="718">
        <f>SUM(AAC7:AAC35)</f>
        <v>0</v>
      </c>
      <c r="AAD36" s="719">
        <f>AAC36/AAA36</f>
        <v>0</v>
      </c>
      <c r="AAE36" s="586">
        <f>SUM(AAE7:AAE35)</f>
        <v>364989.96000000008</v>
      </c>
      <c r="AAF36" s="586">
        <f>SUM(AAF7:AAF35)</f>
        <v>366088.44089999987</v>
      </c>
      <c r="AAG36" s="926">
        <f>SUM(AAG7:AAG35)</f>
        <v>0</v>
      </c>
      <c r="AAH36" s="728">
        <f>AAG36/AAE36</f>
        <v>0</v>
      </c>
      <c r="AAI36" s="586">
        <f>SUM(AAI7:AAI35)</f>
        <v>364989.96000000008</v>
      </c>
      <c r="AAJ36" s="586">
        <f>SUM(AAJ7:AAJ35)</f>
        <v>366088.44089999987</v>
      </c>
      <c r="AAK36" s="926">
        <f>SUM(AAK7:AAK35)</f>
        <v>0</v>
      </c>
      <c r="AAL36" s="728">
        <f>AAK36/AAI36</f>
        <v>0</v>
      </c>
      <c r="AAM36" s="586">
        <f>SUM(AAM7:AAM35)</f>
        <v>364989.96000000008</v>
      </c>
      <c r="AAN36" s="586">
        <f>SUM(AAN7:AAN35)</f>
        <v>366088.44089999987</v>
      </c>
      <c r="AAO36" s="926">
        <f>SUM(AAO7:AAO35)</f>
        <v>0</v>
      </c>
      <c r="AAP36" s="728">
        <f>AAO36/AAM36</f>
        <v>0</v>
      </c>
      <c r="AAQ36" s="586">
        <f>SUM(AAQ7:AAQ35)</f>
        <v>364989.96000000008</v>
      </c>
      <c r="AAR36" s="586">
        <f>SUM(AAR7:AAR35)</f>
        <v>366088.44089999987</v>
      </c>
      <c r="AAS36" s="926">
        <f>SUM(AAS7:AAS35)</f>
        <v>0</v>
      </c>
      <c r="AAT36" s="728">
        <f>AAS36/AAQ36</f>
        <v>0</v>
      </c>
      <c r="AAU36" s="586">
        <f>SUM(AAU7:AAU35)</f>
        <v>425821.62000000005</v>
      </c>
      <c r="AAV36" s="586">
        <f>SUM(AAV7:AAV35)</f>
        <v>427103.18105000001</v>
      </c>
      <c r="AAW36" s="926">
        <f>SUM(AAW7:AAW35)</f>
        <v>0</v>
      </c>
      <c r="AAX36" s="728">
        <f>AAW36/AAU36</f>
        <v>0</v>
      </c>
      <c r="AAY36" s="586">
        <f>SUM(AAY7:AAY35)</f>
        <v>486653.28</v>
      </c>
      <c r="AAZ36" s="586">
        <f>SUM(AAZ7:AAZ35)</f>
        <v>488117.92120000004</v>
      </c>
      <c r="ABA36" s="926">
        <f>SUM(ABA7:ABA35)</f>
        <v>0</v>
      </c>
      <c r="ABB36" s="728">
        <f>ABA36/AAY36</f>
        <v>0</v>
      </c>
      <c r="ABC36" s="586">
        <f>SUM(ABC7:ABC35)</f>
        <v>669148.25999999989</v>
      </c>
      <c r="ABD36" s="586">
        <f>SUM(ABD7:ABD35)</f>
        <v>671162.14165000012</v>
      </c>
      <c r="ABE36" s="926">
        <f>SUM(ABE7:ABE35)</f>
        <v>0</v>
      </c>
      <c r="ABF36" s="728">
        <f>ABE36/ABC36</f>
        <v>0</v>
      </c>
      <c r="ABG36" s="718">
        <f>SUM(ABG7:ABG35)</f>
        <v>3041582.9999999995</v>
      </c>
      <c r="ABH36" s="718">
        <f>SUM(ABH7:ABH35)</f>
        <v>3050737.0074999994</v>
      </c>
      <c r="ABI36" s="718">
        <f>SUM(ABI7:ABI35)</f>
        <v>0</v>
      </c>
      <c r="ABJ36" s="719">
        <f>ABI36/ABG36</f>
        <v>0</v>
      </c>
      <c r="ABK36" s="586">
        <f>SUM(ABK7:ABK35)</f>
        <v>382668.97080000001</v>
      </c>
      <c r="ABL36" s="586">
        <f>SUM(ABL7:ABL35)</f>
        <v>383720.91150360013</v>
      </c>
      <c r="ABM36" s="925">
        <f>SUM(ABM7:ABM35)</f>
        <v>0</v>
      </c>
      <c r="ABN36" s="705">
        <f>ABM36/ABK36</f>
        <v>0</v>
      </c>
      <c r="ABO36" s="586">
        <f>SUM(ABO7:ABO35)</f>
        <v>382668.97080000001</v>
      </c>
      <c r="ABP36" s="586">
        <f>SUM(ABP7:ABP35)</f>
        <v>383720.91150360013</v>
      </c>
      <c r="ABQ36" s="925">
        <f>SUM(ABQ7:ABQ35)</f>
        <v>0</v>
      </c>
      <c r="ABR36" s="705">
        <f>ABQ36/ABO36</f>
        <v>0</v>
      </c>
      <c r="ABS36" s="586">
        <f>SUM(ABS7:ABS35)</f>
        <v>382668.97080000001</v>
      </c>
      <c r="ABT36" s="586">
        <f>SUM(ABT7:ABT35)</f>
        <v>383720.91150360013</v>
      </c>
      <c r="ABU36" s="925">
        <f>SUM(ABU7:ABU35)</f>
        <v>0</v>
      </c>
      <c r="ABV36" s="705">
        <f>ABU36/ABS36</f>
        <v>0</v>
      </c>
      <c r="ABW36" s="586">
        <f>SUM(ABW7:ABW35)</f>
        <v>382668.97080000001</v>
      </c>
      <c r="ABX36" s="586">
        <f>SUM(ABX7:ABX35)</f>
        <v>383720.91150360013</v>
      </c>
      <c r="ABY36" s="925">
        <f>SUM(ABY7:ABY35)</f>
        <v>0</v>
      </c>
      <c r="ABZ36" s="705">
        <f>ABY36/ABW36</f>
        <v>0</v>
      </c>
      <c r="ACA36" s="586">
        <f>SUM(ACA7:ACA35)</f>
        <v>446447.13260000013</v>
      </c>
      <c r="ACB36" s="586">
        <f>SUM(ACB7:ACB35)</f>
        <v>447674.39675420005</v>
      </c>
      <c r="ACC36" s="925">
        <f>SUM(ACC7:ACC35)</f>
        <v>0</v>
      </c>
      <c r="ACD36" s="705">
        <f>ACC36/ACA36</f>
        <v>0</v>
      </c>
      <c r="ACE36" s="586">
        <f>SUM(ACE7:ACE35)</f>
        <v>510225.29440000007</v>
      </c>
      <c r="ACF36" s="586">
        <f>SUM(ACF7:ACF35)</f>
        <v>511627.88200480008</v>
      </c>
      <c r="ACG36" s="925">
        <f>SUM(ACG7:ACG35)</f>
        <v>0</v>
      </c>
      <c r="ACH36" s="705">
        <f>ACG36/ACE36</f>
        <v>0</v>
      </c>
      <c r="ACI36" s="586">
        <f>SUM(ACI7:ACI35)</f>
        <v>701559.77980000013</v>
      </c>
      <c r="ACJ36" s="586">
        <f>SUM(ACJ7:ACJ35)</f>
        <v>703488.3377566</v>
      </c>
      <c r="ACK36" s="925">
        <f>SUM(ACK7:ACK35)</f>
        <v>0</v>
      </c>
      <c r="ACL36" s="705">
        <f>ACK36/ACI36</f>
        <v>0</v>
      </c>
      <c r="ACM36" s="718">
        <f>SUM(ACM7:ACM35)</f>
        <v>3188908.09</v>
      </c>
      <c r="ACN36" s="718">
        <f>SUM(ACN7:ACN35)</f>
        <v>3197674.2625300009</v>
      </c>
      <c r="ACO36" s="718">
        <f>SUM(ACO7:ACO35)</f>
        <v>0</v>
      </c>
      <c r="ACP36" s="719">
        <f>ACO36/ACM36</f>
        <v>0</v>
      </c>
      <c r="ACQ36" s="586">
        <f>SUM(ACQ7:ACQ35)</f>
        <v>410269.94039999996</v>
      </c>
      <c r="ACR36" s="586">
        <f>SUM(ACR7:ACR35)</f>
        <v>408674.62490160007</v>
      </c>
      <c r="ACS36" s="926">
        <f>SUM(ACS7:ACS35)</f>
        <v>0</v>
      </c>
      <c r="ACT36" s="728">
        <f>ACS36/ACQ36</f>
        <v>0</v>
      </c>
      <c r="ACU36" s="586">
        <f>SUM(ACU7:ACU35)</f>
        <v>410269.94039999996</v>
      </c>
      <c r="ACV36" s="586">
        <f>SUM(ACV7:ACV35)</f>
        <v>408674.62490160007</v>
      </c>
      <c r="ACW36" s="926">
        <f>SUM(ACW7:ACW35)</f>
        <v>0</v>
      </c>
      <c r="ACX36" s="728">
        <f>ACW36/ACU36</f>
        <v>0</v>
      </c>
      <c r="ACY36" s="586">
        <f>SUM(ACY7:ACY35)</f>
        <v>410269.94039999996</v>
      </c>
      <c r="ACZ36" s="586">
        <f>SUM(ACZ7:ACZ35)</f>
        <v>408674.62490160007</v>
      </c>
      <c r="ADA36" s="926">
        <f>SUM(ADA7:ADA35)</f>
        <v>0</v>
      </c>
      <c r="ADB36" s="728">
        <f>ADA36/ACY36</f>
        <v>0</v>
      </c>
      <c r="ADC36" s="586">
        <f>SUM(ADC7:ADC35)</f>
        <v>410269.94039999996</v>
      </c>
      <c r="ADD36" s="586">
        <f>SUM(ADD7:ADD35)</f>
        <v>408674.62490160007</v>
      </c>
      <c r="ADE36" s="926">
        <f>SUM(ADE7:ADE35)</f>
        <v>0</v>
      </c>
      <c r="ADF36" s="728">
        <f>ADE36/ADC36</f>
        <v>0</v>
      </c>
      <c r="ADG36" s="586">
        <f>SUM(ADG7:ADG35)</f>
        <v>478648.26380000013</v>
      </c>
      <c r="ADH36" s="586">
        <f>SUM(ADH7:ADH35)</f>
        <v>476787.06238520006</v>
      </c>
      <c r="ADI36" s="926">
        <f>SUM(ADI7:ADI35)</f>
        <v>0</v>
      </c>
      <c r="ADJ36" s="728">
        <f>ADI36/ADG36</f>
        <v>0</v>
      </c>
      <c r="ADK36" s="586">
        <f>SUM(ADK7:ADK35)</f>
        <v>547026.58719999995</v>
      </c>
      <c r="ADL36" s="586">
        <f>SUM(ADL7:ADL35)</f>
        <v>544899.49986880005</v>
      </c>
      <c r="ADM36" s="926">
        <f>SUM(ADM7:ADM35)</f>
        <v>0</v>
      </c>
      <c r="ADN36" s="728">
        <f>ADM36/ADK36</f>
        <v>0</v>
      </c>
      <c r="ADO36" s="586">
        <f>SUM(ADO7:ADO35)</f>
        <v>752161.55740000005</v>
      </c>
      <c r="ADP36" s="586">
        <f>SUM(ADP7:ADP35)</f>
        <v>749236.81231960002</v>
      </c>
      <c r="ADQ36" s="926">
        <f>SUM(ADQ7:ADQ35)</f>
        <v>0</v>
      </c>
      <c r="ADR36" s="728">
        <f>ADQ36/ADO36</f>
        <v>0</v>
      </c>
      <c r="ADS36" s="718">
        <f>SUM(ADS7:ADS35)</f>
        <v>3418916.1700000004</v>
      </c>
      <c r="ADT36" s="718">
        <f>SUM(ADT7:ADT35)</f>
        <v>3405621.8741800003</v>
      </c>
      <c r="ADU36" s="718">
        <f>SUM(ADU7:ADU35)</f>
        <v>0</v>
      </c>
      <c r="ADV36" s="719">
        <f>ADU36/ADS36</f>
        <v>0</v>
      </c>
      <c r="ADW36" s="586">
        <f>SUM(ADW7:ADW35)</f>
        <v>393339.78480000008</v>
      </c>
      <c r="ADX36" s="586">
        <f>SUM(ADX7:ADX35)</f>
        <v>391397.14812479995</v>
      </c>
      <c r="ADY36" s="925">
        <f>SUM(ADY7:ADY35)</f>
        <v>0</v>
      </c>
      <c r="ADZ36" s="705">
        <f>ADY36/ADW36</f>
        <v>0</v>
      </c>
      <c r="AEA36" s="586">
        <f>SUM(AEA7:AEA35)</f>
        <v>393339.78480000008</v>
      </c>
      <c r="AEB36" s="586">
        <f>SUM(AEB7:AEB35)</f>
        <v>391397.14812479995</v>
      </c>
      <c r="AEC36" s="925">
        <f>SUM(AEC7:AEC35)</f>
        <v>0</v>
      </c>
      <c r="AED36" s="705">
        <f>AEC36/AEA36</f>
        <v>0</v>
      </c>
      <c r="AEE36" s="586">
        <f>SUM(AEE7:AEE35)</f>
        <v>393339.78480000008</v>
      </c>
      <c r="AEF36" s="586">
        <f>SUM(AEF7:AEF35)</f>
        <v>391397.14812479995</v>
      </c>
      <c r="AEG36" s="925">
        <f>SUM(AEG7:AEG35)</f>
        <v>0</v>
      </c>
      <c r="AEH36" s="705">
        <f>AEG36/AEE36</f>
        <v>0</v>
      </c>
      <c r="AEI36" s="586">
        <f>SUM(AEI7:AEI35)</f>
        <v>393339.78480000008</v>
      </c>
      <c r="AEJ36" s="586">
        <f>SUM(AEJ7:AEJ35)</f>
        <v>391397.14812479995</v>
      </c>
      <c r="AEK36" s="925">
        <f>SUM(AEK7:AEK35)</f>
        <v>0</v>
      </c>
      <c r="AEL36" s="705">
        <f>AEK36/AEI36</f>
        <v>0</v>
      </c>
      <c r="AEM36" s="586">
        <f>SUM(AEM7:AEM35)</f>
        <v>458896.41560000001</v>
      </c>
      <c r="AEN36" s="586">
        <f>SUM(AEN7:AEN35)</f>
        <v>456630.00614560005</v>
      </c>
      <c r="AEO36" s="925">
        <f>SUM(AEO7:AEO35)</f>
        <v>0</v>
      </c>
      <c r="AEP36" s="705">
        <f>AEO36/AEM36</f>
        <v>0</v>
      </c>
      <c r="AEQ36" s="586">
        <f>SUM(AEQ7:AEQ35)</f>
        <v>524453.04639999999</v>
      </c>
      <c r="AER36" s="586">
        <f>SUM(AER7:AER35)</f>
        <v>521862.86416640005</v>
      </c>
      <c r="AES36" s="925">
        <f>SUM(AES7:AES35)</f>
        <v>0</v>
      </c>
      <c r="AET36" s="705">
        <f>AES36/AEQ36</f>
        <v>0</v>
      </c>
      <c r="AEU36" s="586">
        <f>SUM(AEU7:AEU35)</f>
        <v>721122.9388</v>
      </c>
      <c r="AEV36" s="586">
        <f>SUM(AEV7:AEV35)</f>
        <v>717561.43822879996</v>
      </c>
      <c r="AEW36" s="925">
        <f>SUM(AEW7:AEW35)</f>
        <v>0</v>
      </c>
      <c r="AEX36" s="705">
        <f>AEW36/AEU36</f>
        <v>0</v>
      </c>
      <c r="AEY36" s="718">
        <f>SUM(AEY7:AEY35)</f>
        <v>3277831.5399999996</v>
      </c>
      <c r="AEZ36" s="718">
        <f>SUM(AEZ7:AEZ35)</f>
        <v>3261642.9010400004</v>
      </c>
      <c r="AFA36" s="718">
        <f>SUM(AFA7:AFA35)</f>
        <v>0</v>
      </c>
      <c r="AFB36" s="719">
        <f>AFA36/AEY36</f>
        <v>0</v>
      </c>
      <c r="AFC36" s="586" t="e">
        <f>SUM(AFC7:AFC35)</f>
        <v>#VALUE!</v>
      </c>
      <c r="AFD36" s="586">
        <f>SUM(AFD7:AFD35)</f>
        <v>351669.30142079992</v>
      </c>
      <c r="AFE36" s="925">
        <f>SUM(AFE7:AFE35)</f>
        <v>0</v>
      </c>
      <c r="AFF36" s="705" t="e">
        <f>AFE36/AFC36</f>
        <v>#VALUE!</v>
      </c>
      <c r="AFG36" s="586">
        <f>SUM(AFG7:AFG35)</f>
        <v>351090.81959999999</v>
      </c>
      <c r="AFH36" s="586">
        <f>SUM(AFH7:AFH35)</f>
        <v>351669.30142079992</v>
      </c>
      <c r="AFI36" s="925">
        <f>SUM(AFI7:AFI35)</f>
        <v>0</v>
      </c>
      <c r="AFJ36" s="705">
        <f>AFI36/AFG36</f>
        <v>0</v>
      </c>
      <c r="AFK36" s="586">
        <f>SUM(AFK7:AFK35)</f>
        <v>351090.81959999999</v>
      </c>
      <c r="AFL36" s="586">
        <f>SUM(AFL7:AFL35)</f>
        <v>351669.30142079992</v>
      </c>
      <c r="AFM36" s="925">
        <f>SUM(AFM7:AFM35)</f>
        <v>0</v>
      </c>
      <c r="AFN36" s="705">
        <f>AFM36/AFK36</f>
        <v>0</v>
      </c>
      <c r="AFO36" s="586">
        <f>SUM(AFO7:AFO35)</f>
        <v>351090.81959999999</v>
      </c>
      <c r="AFP36" s="586">
        <f>SUM(AFP7:AFP35)</f>
        <v>351669.30142079992</v>
      </c>
      <c r="AFQ36" s="925">
        <f>SUM(AFQ7:AFQ35)</f>
        <v>0</v>
      </c>
      <c r="AFR36" s="705">
        <f>AFQ36/AFO36</f>
        <v>0</v>
      </c>
      <c r="AFS36" s="586">
        <f>SUM(AFS7:AFS35)</f>
        <v>409605.95620000007</v>
      </c>
      <c r="AFT36" s="586">
        <f>SUM(AFT7:AFT35)</f>
        <v>410280.85165760003</v>
      </c>
      <c r="AFU36" s="925">
        <f>SUM(AFU7:AFU35)</f>
        <v>0</v>
      </c>
      <c r="AFV36" s="705">
        <f>AFU36/AFS36</f>
        <v>0</v>
      </c>
      <c r="AFW36" s="586">
        <f>SUM(AFW7:AFW35)</f>
        <v>468121.09279999993</v>
      </c>
      <c r="AFX36" s="586">
        <f>SUM(AFX7:AFX35)</f>
        <v>468892.40189440013</v>
      </c>
      <c r="AFY36" s="925">
        <f>SUM(AFY7:AFY35)</f>
        <v>0</v>
      </c>
      <c r="AFZ36" s="705">
        <f>AFY36/AFW36</f>
        <v>0</v>
      </c>
      <c r="AGA36" s="586">
        <f>SUM(AGA7:AGA35)</f>
        <v>643666.50260000001</v>
      </c>
      <c r="AGB36" s="586">
        <f>SUM(AGB7:AGB35)</f>
        <v>644727.05260480009</v>
      </c>
      <c r="AGC36" s="925">
        <f>SUM(AGC7:AGC35)</f>
        <v>0</v>
      </c>
      <c r="AGD36" s="705">
        <f>AGC36/AGA36</f>
        <v>0</v>
      </c>
      <c r="AGE36" s="757">
        <f>SUM(AGE7:AGE35)</f>
        <v>2925756.8300000005</v>
      </c>
      <c r="AGF36" s="757">
        <f>SUM(AGF7:AGF35)</f>
        <v>2930577.5118399998</v>
      </c>
      <c r="AGG36" s="757">
        <f>SUM(AGG7:AGG35)</f>
        <v>0</v>
      </c>
      <c r="AGH36" s="758">
        <f>AGG36/AGE36</f>
        <v>0</v>
      </c>
      <c r="AGI36" s="586" t="e">
        <f>SUM(AGI7:AGI35)</f>
        <v>#VALUE!</v>
      </c>
      <c r="AGJ36" s="586">
        <f>SUM(AGJ7:AGJ35)</f>
        <v>364363.74100679997</v>
      </c>
      <c r="AGK36" s="926">
        <f>SUM(AGK7:AGK35)</f>
        <v>0</v>
      </c>
      <c r="AGL36" s="728" t="e">
        <f>AGK36/AGI36</f>
        <v>#VALUE!</v>
      </c>
      <c r="AGM36" s="586">
        <f>SUM(AGM7:AGM35)</f>
        <v>365744.07840000006</v>
      </c>
      <c r="AGN36" s="586">
        <f>SUM(AGN7:AGN35)</f>
        <v>364363.74100679997</v>
      </c>
      <c r="AGO36" s="926">
        <f>SUM(AGO7:AGO35)</f>
        <v>0</v>
      </c>
      <c r="AGP36" s="728">
        <f>AGO36/AGM36</f>
        <v>0</v>
      </c>
      <c r="AGQ36" s="586">
        <f>SUM(AGQ7:AGQ35)</f>
        <v>365744.07840000006</v>
      </c>
      <c r="AGR36" s="586">
        <f>SUM(AGR7:AGR35)</f>
        <v>364363.74100679997</v>
      </c>
      <c r="AGS36" s="926">
        <f>SUM(AGS7:AGS35)</f>
        <v>0</v>
      </c>
      <c r="AGT36" s="728">
        <f>AGS36/AGQ36</f>
        <v>0</v>
      </c>
      <c r="AGU36" s="586">
        <f>SUM(AGU7:AGU35)</f>
        <v>365744.07840000006</v>
      </c>
      <c r="AGV36" s="586">
        <f>SUM(AGV7:AGV35)</f>
        <v>364363.74100679997</v>
      </c>
      <c r="AGW36" s="926">
        <f>SUM(AGW7:AGW35)</f>
        <v>0</v>
      </c>
      <c r="AGX36" s="728">
        <f>AGW36/AGU36</f>
        <v>0</v>
      </c>
      <c r="AGY36" s="586">
        <f>SUM(AGY7:AGY35)</f>
        <v>426701.42480000004</v>
      </c>
      <c r="AGZ36" s="586">
        <f>SUM(AGZ7:AGZ35)</f>
        <v>425091.03117460007</v>
      </c>
      <c r="AHA36" s="926">
        <f>SUM(AHA7:AHA35)</f>
        <v>0</v>
      </c>
      <c r="AHB36" s="728">
        <f>AHA36/AGY36</f>
        <v>0</v>
      </c>
      <c r="AHC36" s="586">
        <f>SUM(AHC7:AHC35)</f>
        <v>487658.77119999996</v>
      </c>
      <c r="AHD36" s="586">
        <f>SUM(AHD7:AHD35)</f>
        <v>485818.32134240004</v>
      </c>
      <c r="AHE36" s="926">
        <f>SUM(AHE7:AHE35)</f>
        <v>0</v>
      </c>
      <c r="AHF36" s="728">
        <f>AHE36/AHC36</f>
        <v>0</v>
      </c>
      <c r="AHG36" s="586">
        <f>SUM(AHG7:AHG35)</f>
        <v>670530.81039999996</v>
      </c>
      <c r="AHH36" s="586">
        <f>SUM(AHH7:AHH35)</f>
        <v>668000.19184580003</v>
      </c>
      <c r="AHI36" s="926">
        <f>SUM(AHI7:AHI35)</f>
        <v>0</v>
      </c>
      <c r="AHJ36" s="728">
        <f>AHI36/AHG36</f>
        <v>0</v>
      </c>
      <c r="AHK36" s="757">
        <f>SUM(AHK7:AHK35)</f>
        <v>3047867.3200000008</v>
      </c>
      <c r="AHL36" s="757">
        <f>SUM(AHL7:AHL35)</f>
        <v>3036364.5083899996</v>
      </c>
      <c r="AHM36" s="757">
        <f>SUM(AHM7:AHM35)</f>
        <v>0</v>
      </c>
      <c r="AHN36" s="758">
        <f>AHM36/AHK36</f>
        <v>0</v>
      </c>
      <c r="AHO36" s="586" t="e">
        <f>SUM(AHO7:AHO35)</f>
        <v>#VALUE!</v>
      </c>
      <c r="AHP36" s="586">
        <f>SUM(AHP7:AHP35)</f>
        <v>338942.78495999996</v>
      </c>
      <c r="AHQ36" s="925">
        <f>SUM(AHQ7:AHQ35)</f>
        <v>0</v>
      </c>
      <c r="AHR36" s="705" t="e">
        <f>AHQ36/AHO36</f>
        <v>#VALUE!</v>
      </c>
      <c r="AHS36" s="586">
        <f>SUM(AHS7:AHS35)</f>
        <v>340545.64919999993</v>
      </c>
      <c r="AHT36" s="586">
        <f>SUM(AHT7:AHT35)</f>
        <v>338942.78495999996</v>
      </c>
      <c r="AHU36" s="925">
        <f>SUM(AHU7:AHU35)</f>
        <v>0</v>
      </c>
      <c r="AHV36" s="705">
        <f>AHU36/AHS36</f>
        <v>0</v>
      </c>
      <c r="AHW36" s="586">
        <f>SUM(AHW7:AHW35)</f>
        <v>340545.64919999993</v>
      </c>
      <c r="AHX36" s="586">
        <f>SUM(AHX7:AHX35)</f>
        <v>338942.78495999996</v>
      </c>
      <c r="AHY36" s="925">
        <f>SUM(AHY7:AHY35)</f>
        <v>0</v>
      </c>
      <c r="AHZ36" s="705">
        <f>AHY36/AHW36</f>
        <v>0</v>
      </c>
      <c r="AIA36" s="586">
        <f>SUM(AIA7:AIA35)</f>
        <v>340545.64919999993</v>
      </c>
      <c r="AIB36" s="586">
        <f>SUM(AIB7:AIB35)</f>
        <v>338942.78495999996</v>
      </c>
      <c r="AIC36" s="925">
        <f>SUM(AIC7:AIC35)</f>
        <v>0</v>
      </c>
      <c r="AID36" s="705">
        <f>AIC36/AIA36</f>
        <v>0</v>
      </c>
      <c r="AIE36" s="586">
        <f>SUM(AIE7:AIE35)</f>
        <v>397303.2574</v>
      </c>
      <c r="AIF36" s="586">
        <f>SUM(AIF7:AIF35)</f>
        <v>395433.24911999999</v>
      </c>
      <c r="AIG36" s="925">
        <f>SUM(AIG7:AIG35)</f>
        <v>0</v>
      </c>
      <c r="AIH36" s="705">
        <f>AIG36/AIE36</f>
        <v>0</v>
      </c>
      <c r="AII36" s="586">
        <f>SUM(AII7:AII35)</f>
        <v>454060.86560000002</v>
      </c>
      <c r="AIJ36" s="586">
        <f>SUM(AIJ7:AIJ35)</f>
        <v>451923.71328000003</v>
      </c>
      <c r="AIK36" s="925">
        <f>SUM(AIK7:AIK35)</f>
        <v>0</v>
      </c>
      <c r="AIL36" s="705">
        <f>AIK36/AII36</f>
        <v>0</v>
      </c>
      <c r="AIM36" s="586">
        <f>SUM(AIM7:AIM35)</f>
        <v>624333.69019999984</v>
      </c>
      <c r="AIN36" s="586">
        <f>SUM(AIN7:AIN35)</f>
        <v>621395.10576000006</v>
      </c>
      <c r="AIO36" s="925">
        <f>SUM(AIO7:AIO35)</f>
        <v>0</v>
      </c>
      <c r="AIP36" s="705">
        <f>AIO36/AIM36</f>
        <v>0</v>
      </c>
      <c r="AIQ36" s="757">
        <f>SUM(AIQ7:AIQ35)</f>
        <v>2837880.41</v>
      </c>
      <c r="AIR36" s="757">
        <f>SUM(AIR7:AIR35)</f>
        <v>2824523.2080000001</v>
      </c>
      <c r="AIS36" s="757">
        <f>SUM(AIS7:AIS35)</f>
        <v>0</v>
      </c>
      <c r="AIT36" s="758">
        <f>AIS36/AIQ36</f>
        <v>0</v>
      </c>
      <c r="AIU36" s="586">
        <f>SUM(AIU7:AIU35)</f>
        <v>356350.84799999994</v>
      </c>
      <c r="AIV36" s="586">
        <f>SUM(AIV7:AIV35)</f>
        <v>355339.8758184</v>
      </c>
      <c r="AIW36" s="926">
        <f>SUM(AIW7:AIW35)</f>
        <v>0</v>
      </c>
      <c r="AIX36" s="728">
        <f>AIW36/AIU36</f>
        <v>0</v>
      </c>
      <c r="AIY36" s="586">
        <f>SUM(AIY7:AIY35)</f>
        <v>356350.84799999994</v>
      </c>
      <c r="AIZ36" s="586">
        <f>SUM(AIZ7:AIZ35)</f>
        <v>358510.28694000002</v>
      </c>
      <c r="AJA36" s="926">
        <f>SUM(AJA7:AJA35)</f>
        <v>0</v>
      </c>
      <c r="AJB36" s="728">
        <f>AJA36/AIY36</f>
        <v>0</v>
      </c>
      <c r="AJC36" s="586">
        <f>SUM(AJC7:AJC35)</f>
        <v>356350.84799999994</v>
      </c>
      <c r="AJD36" s="586">
        <f>SUM(AJD7:AJD35)</f>
        <v>358510.28694000002</v>
      </c>
      <c r="AJE36" s="926">
        <f>SUM(AJE7:AJE35)</f>
        <v>0</v>
      </c>
      <c r="AJF36" s="728">
        <f>AJE36/AJC36</f>
        <v>0</v>
      </c>
      <c r="AJG36" s="586">
        <f>SUM(AJG7:AJG35)</f>
        <v>356350.84799999994</v>
      </c>
      <c r="AJH36" s="586">
        <f>SUM(AJH7:AJH35)</f>
        <v>358510.28694000002</v>
      </c>
      <c r="AJI36" s="926">
        <f>SUM(AJI7:AJI35)</f>
        <v>0</v>
      </c>
      <c r="AJJ36" s="728">
        <f>AJI36/AJG36</f>
        <v>0</v>
      </c>
      <c r="AJK36" s="586">
        <f>SUM(AJK7:AJK35)</f>
        <v>415742.65600000002</v>
      </c>
      <c r="AJL36" s="586">
        <f>SUM(AJL7:AJL35)</f>
        <v>418262.00143000006</v>
      </c>
      <c r="AJM36" s="926">
        <f>SUM(AJM7:AJM35)</f>
        <v>0</v>
      </c>
      <c r="AJN36" s="728">
        <f>AJM36/AJK36</f>
        <v>0</v>
      </c>
      <c r="AJO36" s="586">
        <f>SUM(AJO7:AJO35)</f>
        <v>475134.46399999998</v>
      </c>
      <c r="AJP36" s="586">
        <f>SUM(AJP7:AJP35)</f>
        <v>478013.71592000005</v>
      </c>
      <c r="AJQ36" s="926">
        <f>SUM(AJQ7:AJQ35)</f>
        <v>0</v>
      </c>
      <c r="AJR36" s="728">
        <f>AJQ36/AJO36</f>
        <v>0</v>
      </c>
      <c r="AJS36" s="586">
        <f>SUM(AJS7:AJS35)</f>
        <v>653309.88799999992</v>
      </c>
      <c r="AJT36" s="586">
        <f>SUM(AJT7:AJT35)</f>
        <v>657268.85939000011</v>
      </c>
      <c r="AJU36" s="926">
        <f>SUM(AJU7:AJU35)</f>
        <v>0</v>
      </c>
      <c r="AJV36" s="728">
        <f>AJU36/AJS36</f>
        <v>0</v>
      </c>
      <c r="AJW36" s="757">
        <f>SUM(AJW7:AJW35)</f>
        <v>2969590.4000000004</v>
      </c>
      <c r="AJX36" s="757">
        <f>SUM(AJX7:AJX35)</f>
        <v>2984415.3133783997</v>
      </c>
      <c r="AJY36" s="757">
        <f>SUM(AJY7:AJY35)</f>
        <v>0</v>
      </c>
      <c r="AJZ36" s="758">
        <f>AJY36/AJW36</f>
        <v>0</v>
      </c>
      <c r="AKA36" s="586">
        <f>SUM(AKA7:AKA35)</f>
        <v>85050.38</v>
      </c>
      <c r="AKB36" s="586">
        <f>SUM(AKB7:AKB35)</f>
        <v>80797.861000000004</v>
      </c>
      <c r="AKC36" s="925">
        <f>SUM(AKC7:AKC35)</f>
        <v>0</v>
      </c>
      <c r="AKD36" s="705">
        <f>AKC36/AKA36</f>
        <v>0</v>
      </c>
      <c r="AKE36" s="586">
        <f>SUM(AKE7:AKE35)</f>
        <v>354188.016</v>
      </c>
      <c r="AKF36" s="586">
        <f>SUM(AKF7:AKF35)</f>
        <v>384702.24022559996</v>
      </c>
      <c r="AKG36" s="925">
        <f>SUM(AKG7:AKG35)</f>
        <v>0</v>
      </c>
      <c r="AKH36" s="705">
        <f>AKG36/AKE36</f>
        <v>0</v>
      </c>
      <c r="AKI36" s="586">
        <f>SUM(AKI7:AKI35)</f>
        <v>354188.016</v>
      </c>
      <c r="AKJ36" s="586">
        <f>SUM(AKJ7:AKJ35)</f>
        <v>384702.24022559996</v>
      </c>
      <c r="AKK36" s="925">
        <f>SUM(AKK7:AKK35)</f>
        <v>0</v>
      </c>
      <c r="AKL36" s="705">
        <f>AKK36/AKI36</f>
        <v>0</v>
      </c>
      <c r="AKM36" s="586">
        <f>SUM(AKM7:AKM35)</f>
        <v>354188.016</v>
      </c>
      <c r="AKN36" s="586">
        <f>SUM(AKN7:AKN35)</f>
        <v>384702.24022559996</v>
      </c>
      <c r="AKO36" s="925">
        <f>SUM(AKO7:AKO35)</f>
        <v>0</v>
      </c>
      <c r="AKP36" s="705">
        <f>AKO36/AKM36</f>
        <v>0</v>
      </c>
      <c r="AKQ36" s="586">
        <f>SUM(AKQ7:AKQ35)</f>
        <v>413219.35200000013</v>
      </c>
      <c r="AKR36" s="586">
        <f>SUM(AKR7:AKR35)</f>
        <v>448819.28026319999</v>
      </c>
      <c r="AKS36" s="925">
        <f>SUM(AKS7:AKS35)</f>
        <v>0</v>
      </c>
      <c r="AKT36" s="705">
        <f>AKS36/AKQ36</f>
        <v>0</v>
      </c>
      <c r="AKU36" s="586">
        <f>SUM(AKU7:AKU35)</f>
        <v>472250.68799999991</v>
      </c>
      <c r="AKV36" s="586">
        <f>SUM(AKV7:AKV35)</f>
        <v>512936.32030079991</v>
      </c>
      <c r="AKW36" s="925">
        <f>SUM(AKW7:AKW35)</f>
        <v>0</v>
      </c>
      <c r="AKX36" s="705">
        <f>AKW36/AKU36</f>
        <v>0</v>
      </c>
      <c r="AKY36" s="586">
        <f>SUM(AKY7:AKY35)</f>
        <v>649344.69600000011</v>
      </c>
      <c r="AKZ36" s="586">
        <f>SUM(AKZ7:AKZ35)</f>
        <v>705287.44041359995</v>
      </c>
      <c r="ALA36" s="925">
        <f>SUM(ALA7:ALA35)</f>
        <v>0</v>
      </c>
      <c r="ALB36" s="705">
        <f>ALA36/AKY36</f>
        <v>0</v>
      </c>
      <c r="ALC36" s="781">
        <f>SUM(ALC7:ALC35)</f>
        <v>2682429.1640000003</v>
      </c>
      <c r="ALD36" s="781">
        <f>SUM(ALD7:ALD35)</f>
        <v>2901947.6226543998</v>
      </c>
      <c r="ALE36" s="781">
        <f>SUM(ALE7:ALE35)</f>
        <v>0</v>
      </c>
      <c r="ALF36" s="782">
        <f>ALE36/ALC36</f>
        <v>0</v>
      </c>
      <c r="ALG36" s="586">
        <f>SUM(ALG7:ALG35)</f>
        <v>382990.55039999995</v>
      </c>
      <c r="ALH36" s="586">
        <f>SUM(ALH7:ALH35)</f>
        <v>423559.88157120009</v>
      </c>
      <c r="ALI36" s="926">
        <f>SUM(ALI7:ALI35)</f>
        <v>0</v>
      </c>
      <c r="ALJ36" s="728">
        <f>ALI36/ALG36</f>
        <v>0</v>
      </c>
      <c r="ALK36" s="586">
        <f>SUM(ALK7:ALK35)</f>
        <v>338777.10599999991</v>
      </c>
      <c r="ALL36" s="586">
        <f>SUM(ALL7:ALL35)</f>
        <v>388034.2118832001</v>
      </c>
      <c r="ALM36" s="926">
        <f>SUM(ALM7:ALM35)</f>
        <v>0</v>
      </c>
      <c r="ALN36" s="728">
        <f>ALM36/ALK36</f>
        <v>0</v>
      </c>
      <c r="ALO36" s="586">
        <f>SUM(ALO7:ALO35)</f>
        <v>338777.10599999991</v>
      </c>
      <c r="ALP36" s="586">
        <f>SUM(ALP7:ALP35)</f>
        <v>388034.2118832001</v>
      </c>
      <c r="ALQ36" s="926">
        <f>SUM(ALQ7:ALQ35)</f>
        <v>0</v>
      </c>
      <c r="ALR36" s="728">
        <f>ALQ36/ALO36</f>
        <v>0</v>
      </c>
      <c r="ALS36" s="586">
        <f>SUM(ALS7:ALS35)</f>
        <v>338777.10599999991</v>
      </c>
      <c r="ALT36" s="586">
        <f>SUM(ALT7:ALT35)</f>
        <v>388034.2118832001</v>
      </c>
      <c r="ALU36" s="926">
        <f>SUM(ALU7:ALU35)</f>
        <v>0</v>
      </c>
      <c r="ALV36" s="728">
        <f>ALU36/ALS36</f>
        <v>0</v>
      </c>
      <c r="ALW36" s="586">
        <f>SUM(ALW7:ALW35)</f>
        <v>395239.95699999999</v>
      </c>
      <c r="ALX36" s="586">
        <f>SUM(ALX7:ALX35)</f>
        <v>452706.58053040016</v>
      </c>
      <c r="ALY36" s="926">
        <f>SUM(ALY7:ALY35)</f>
        <v>0</v>
      </c>
      <c r="ALZ36" s="728">
        <f>ALY36/ALW36</f>
        <v>0</v>
      </c>
      <c r="AMA36" s="586">
        <f>SUM(AMA7:AMA35)</f>
        <v>451702.80800000002</v>
      </c>
      <c r="AMB36" s="586">
        <f>SUM(AMB7:AMB35)</f>
        <v>517378.94917760004</v>
      </c>
      <c r="AMC36" s="926">
        <f>SUM(AMC7:AMC35)</f>
        <v>0</v>
      </c>
      <c r="AMD36" s="728">
        <f>AMC36/AMA36</f>
        <v>0</v>
      </c>
      <c r="AME36" s="586">
        <f>SUM(AME7:AME35)</f>
        <v>621091.36100000003</v>
      </c>
      <c r="AMF36" s="586">
        <f>SUM(AMF7:AMF35)</f>
        <v>711396.05511919991</v>
      </c>
      <c r="AMG36" s="926">
        <f>SUM(AMG7:AMG35)</f>
        <v>0</v>
      </c>
      <c r="AMH36" s="728">
        <f>AMG36/AME36</f>
        <v>0</v>
      </c>
      <c r="AMI36" s="781">
        <f>SUM(AMI7:AMI35)</f>
        <v>2867355.9944000002</v>
      </c>
      <c r="AMJ36" s="781">
        <f>SUM(AMJ7:AMJ35)</f>
        <v>3269144.1020479999</v>
      </c>
      <c r="AMK36" s="781">
        <f>SUM(AMK7:AMK35)</f>
        <v>0</v>
      </c>
      <c r="AML36" s="782">
        <f>AMK36/AMI36</f>
        <v>0</v>
      </c>
      <c r="AMM36" s="586">
        <f>SUM(AMM7:AMM35)</f>
        <v>386360.29679999995</v>
      </c>
      <c r="AMN36" s="586">
        <f>SUM(AMN7:AMN35)</f>
        <v>405336.56991839997</v>
      </c>
      <c r="AMO36" s="925">
        <f>SUM(AMO7:AMO35)</f>
        <v>0</v>
      </c>
      <c r="AMP36" s="705">
        <f>AMO36/AMM36</f>
        <v>0</v>
      </c>
      <c r="AMQ36" s="586">
        <f>SUM(AMQ7:AMQ35)</f>
        <v>343919.25839999999</v>
      </c>
      <c r="AMR36" s="586">
        <f>SUM(AMR7:AMR35)</f>
        <v>365126.4687504</v>
      </c>
      <c r="AMS36" s="925">
        <f>SUM(AMS7:AMS35)</f>
        <v>0</v>
      </c>
      <c r="AMT36" s="705">
        <f>AMS36/AMQ36</f>
        <v>0</v>
      </c>
      <c r="AMU36" s="586">
        <f>SUM(AMU7:AMU35)</f>
        <v>343919.25839999999</v>
      </c>
      <c r="AMV36" s="586">
        <f>SUM(AMV7:AMV35)</f>
        <v>365126.4687504</v>
      </c>
      <c r="AMW36" s="925">
        <f>SUM(AMW7:AMW35)</f>
        <v>0</v>
      </c>
      <c r="AMX36" s="705">
        <f>AMW36/AMU36</f>
        <v>0</v>
      </c>
      <c r="AMY36" s="586">
        <f>SUM(AMY7:AMY35)</f>
        <v>343919.25839999999</v>
      </c>
      <c r="AMZ36" s="586">
        <f>SUM(AMZ7:AMZ35)</f>
        <v>365126.4687504</v>
      </c>
      <c r="ANA36" s="925">
        <f>SUM(ANA7:ANA35)</f>
        <v>0</v>
      </c>
      <c r="ANB36" s="705">
        <f>ANA36/AMY36</f>
        <v>0</v>
      </c>
      <c r="ANC36" s="586">
        <f>SUM(ANC7:ANC35)</f>
        <v>401239.13480000012</v>
      </c>
      <c r="AND36" s="586">
        <f>SUM(AND7:AND35)</f>
        <v>425980.88020880002</v>
      </c>
      <c r="ANE36" s="925">
        <f>SUM(ANE7:ANE35)</f>
        <v>0</v>
      </c>
      <c r="ANF36" s="705">
        <f>ANE36/ANC36</f>
        <v>0</v>
      </c>
      <c r="ANG36" s="586">
        <f>SUM(ANG7:ANG35)</f>
        <v>458559.01120000001</v>
      </c>
      <c r="ANH36" s="586">
        <f>SUM(ANH7:ANH35)</f>
        <v>486835.29166720004</v>
      </c>
      <c r="ANI36" s="925">
        <f>SUM(ANI7:ANI35)</f>
        <v>0</v>
      </c>
      <c r="ANJ36" s="705">
        <f>ANI36/ANG36</f>
        <v>0</v>
      </c>
      <c r="ANK36" s="586">
        <f>SUM(ANK7:ANK35)</f>
        <v>630518.64040000003</v>
      </c>
      <c r="ANL36" s="586">
        <f>SUM(ANL7:ANL35)</f>
        <v>669398.52604240004</v>
      </c>
      <c r="ANM36" s="925">
        <f>SUM(ANM7:ANM35)</f>
        <v>0</v>
      </c>
      <c r="ANN36" s="705">
        <f>ANM36/ANK36</f>
        <v>0</v>
      </c>
      <c r="ANO36" s="781">
        <f>SUM(ANO7:ANO35)</f>
        <v>2908434.8583999998</v>
      </c>
      <c r="ANP36" s="781">
        <f>SUM(ANP7:ANP35)</f>
        <v>3082930.6740879999</v>
      </c>
      <c r="ANQ36" s="781">
        <f>SUM(ANQ7:ANQ35)</f>
        <v>0</v>
      </c>
      <c r="ANR36" s="782">
        <f>ANQ36/ANO36</f>
        <v>0</v>
      </c>
      <c r="ANS36" s="586">
        <f>SUM(ANS7:ANS35)</f>
        <v>322998.77399999998</v>
      </c>
      <c r="ANT36" s="586">
        <f>SUM(ANT7:ANT35)</f>
        <v>332150.36451600003</v>
      </c>
      <c r="ANU36" s="926">
        <f>SUM(ANU7:ANU35)</f>
        <v>0</v>
      </c>
      <c r="ANV36" s="728">
        <f>ANU36/ANS36</f>
        <v>0</v>
      </c>
      <c r="ANW36" s="586">
        <f>SUM(ANW7:ANW35)</f>
        <v>322998.77399999998</v>
      </c>
      <c r="ANX36" s="586">
        <f>SUM(ANX7:ANX35)</f>
        <v>332150.36451600003</v>
      </c>
      <c r="ANY36" s="926">
        <f>SUM(ANY7:ANY35)</f>
        <v>0</v>
      </c>
      <c r="ANZ36" s="728">
        <f>ANY36/ANW36</f>
        <v>0</v>
      </c>
      <c r="AOA36" s="586">
        <f>SUM(AOA7:AOA35)</f>
        <v>322998.77399999998</v>
      </c>
      <c r="AOB36" s="586">
        <f>SUM(AOB7:AOB35)</f>
        <v>332150.36451600003</v>
      </c>
      <c r="AOC36" s="926">
        <f>SUM(AOC7:AOC35)</f>
        <v>0</v>
      </c>
      <c r="AOD36" s="728">
        <f>AOC36/AOA36</f>
        <v>0</v>
      </c>
      <c r="AOE36" s="586">
        <f>SUM(AOE7:AOE35)</f>
        <v>322998.77399999998</v>
      </c>
      <c r="AOF36" s="586">
        <f>SUM(AOF7:AOF35)</f>
        <v>332150.36451600003</v>
      </c>
      <c r="AOG36" s="926">
        <f>SUM(AOG7:AOG35)</f>
        <v>0</v>
      </c>
      <c r="AOH36" s="728">
        <f>AOG36/AOE36</f>
        <v>0</v>
      </c>
      <c r="AOI36" s="586">
        <f>SUM(AOI7:AOI35)</f>
        <v>376831.90299999993</v>
      </c>
      <c r="AOJ36" s="586">
        <f>SUM(AOJ7:AOJ35)</f>
        <v>387508.75860200002</v>
      </c>
      <c r="AOK36" s="926">
        <f>SUM(AOK7:AOK35)</f>
        <v>0</v>
      </c>
      <c r="AOL36" s="728">
        <f>AOK36/AOI36</f>
        <v>0</v>
      </c>
      <c r="AOM36" s="586">
        <f>SUM(AOM7:AOM35)</f>
        <v>430665.03199999995</v>
      </c>
      <c r="AON36" s="586">
        <f>SUM(AON7:AON35)</f>
        <v>442867.15268799994</v>
      </c>
      <c r="AOO36" s="926">
        <f>SUM(AOO7:AOO35)</f>
        <v>0</v>
      </c>
      <c r="AOP36" s="728">
        <f>AOO36/AOM36</f>
        <v>0</v>
      </c>
      <c r="AOQ36" s="586">
        <f>SUM(AOQ7:AOQ35)</f>
        <v>592164.41900000011</v>
      </c>
      <c r="AOR36" s="586">
        <f>SUM(AOR7:AOR35)</f>
        <v>608942.3349459999</v>
      </c>
      <c r="AOS36" s="926">
        <f>SUM(AOS7:AOS35)</f>
        <v>0</v>
      </c>
      <c r="AOT36" s="728">
        <f>AOS36/AOQ36</f>
        <v>0</v>
      </c>
      <c r="AOU36" s="781">
        <f>SUM(AOU7:AOU35)</f>
        <v>2691656.45</v>
      </c>
      <c r="AOV36" s="781">
        <f>SUM(AOV7:AOV35)</f>
        <v>2767919.7042999994</v>
      </c>
      <c r="AOW36" s="781">
        <f>SUM(AOW7:AOW35)</f>
        <v>0</v>
      </c>
      <c r="AOX36" s="782">
        <f>AOW36/AOU36</f>
        <v>0</v>
      </c>
      <c r="AOY36" s="586">
        <f>SUM(AOY7:AOY35)</f>
        <v>324950.40000000002</v>
      </c>
      <c r="AOZ36" s="586">
        <f>SUM(AOZ7:AOZ35)</f>
        <v>334691.85311999999</v>
      </c>
      <c r="APA36" s="925">
        <f>SUM(APA7:APA35)</f>
        <v>0</v>
      </c>
      <c r="APB36" s="705">
        <f>APA36/AOY36</f>
        <v>0</v>
      </c>
      <c r="APC36" s="586">
        <f>SUM(APC7:APC35)</f>
        <v>324950.40000000002</v>
      </c>
      <c r="APD36" s="586">
        <f>SUM(APD7:APD35)</f>
        <v>334691.85311999999</v>
      </c>
      <c r="APE36" s="925">
        <f>SUM(APE7:APE35)</f>
        <v>0</v>
      </c>
      <c r="APF36" s="705">
        <f>APE36/APC36</f>
        <v>0</v>
      </c>
      <c r="APG36" s="586">
        <f>SUM(APG7:APG35)</f>
        <v>324950.40000000002</v>
      </c>
      <c r="APH36" s="586">
        <f>SUM(APH7:APH35)</f>
        <v>334691.85311999999</v>
      </c>
      <c r="API36" s="925">
        <f>SUM(API7:API35)</f>
        <v>0</v>
      </c>
      <c r="APJ36" s="705">
        <f>API36/APG36</f>
        <v>0</v>
      </c>
      <c r="APK36" s="586">
        <f>SUM(APK7:APK35)</f>
        <v>324950.40000000002</v>
      </c>
      <c r="APL36" s="586">
        <f>SUM(APL7:APL35)</f>
        <v>334691.85311999999</v>
      </c>
      <c r="APM36" s="925">
        <f>SUM(APM7:APM35)</f>
        <v>0</v>
      </c>
      <c r="APN36" s="705">
        <f>APM36/APK36</f>
        <v>0</v>
      </c>
      <c r="APO36" s="586">
        <f>SUM(APO7:APO35)</f>
        <v>379108.80000000005</v>
      </c>
      <c r="APP36" s="586">
        <f>SUM(APP7:APP35)</f>
        <v>390473.82864000008</v>
      </c>
      <c r="APQ36" s="925">
        <f>SUM(APQ7:APQ35)</f>
        <v>0</v>
      </c>
      <c r="APR36" s="705">
        <f>APQ36/APO36</f>
        <v>0</v>
      </c>
      <c r="APS36" s="586">
        <f>SUM(APS7:APS35)</f>
        <v>433267.20000000001</v>
      </c>
      <c r="APT36" s="586">
        <f>SUM(APT7:APT35)</f>
        <v>446255.80416</v>
      </c>
      <c r="APU36" s="925">
        <f>SUM(APU7:APU35)</f>
        <v>0</v>
      </c>
      <c r="APV36" s="705">
        <f>APU36/APS36</f>
        <v>0</v>
      </c>
      <c r="APW36" s="586">
        <f>SUM(APW7:APW35)</f>
        <v>595742.4</v>
      </c>
      <c r="APX36" s="586">
        <f>SUM(APX7:APX35)</f>
        <v>613601.73071999999</v>
      </c>
      <c r="APY36" s="925">
        <f>SUM(APY7:APY35)</f>
        <v>0</v>
      </c>
      <c r="APZ36" s="705">
        <f>APY36/APW36</f>
        <v>0</v>
      </c>
      <c r="AQA36" s="718">
        <f>SUM(AQA7:AQA35)</f>
        <v>2707920</v>
      </c>
      <c r="AQB36" s="718">
        <f>SUM(AQB7:AQB35)</f>
        <v>2789098.7760000001</v>
      </c>
      <c r="AQC36" s="718">
        <f>SUM(AQC7:AQC35)</f>
        <v>0</v>
      </c>
      <c r="AQD36" s="719">
        <f>AQC36/AQA36</f>
        <v>0</v>
      </c>
      <c r="AQE36" s="586">
        <f>SUM(AQE7:AQE35)</f>
        <v>324361.23839999991</v>
      </c>
      <c r="AQF36" s="586">
        <f>SUM(AQF7:AQF35)</f>
        <v>322904.12147999991</v>
      </c>
      <c r="AQG36" s="926">
        <f>SUM(AQG7:AQG35)</f>
        <v>0</v>
      </c>
      <c r="AQH36" s="728">
        <f>AQG36/AQE36</f>
        <v>0</v>
      </c>
      <c r="AQI36" s="586">
        <f>SUM(AQI7:AQI35)</f>
        <v>324361.23839999991</v>
      </c>
      <c r="AQJ36" s="586">
        <f>SUM(AQJ7:AQJ35)</f>
        <v>322904.12147999991</v>
      </c>
      <c r="AQK36" s="926">
        <f>SUM(AQK7:AQK35)</f>
        <v>0</v>
      </c>
      <c r="AQL36" s="728">
        <f>AQK36/AQI36</f>
        <v>0</v>
      </c>
      <c r="AQM36" s="586">
        <f>SUM(AQM7:AQM35)</f>
        <v>324361.23839999991</v>
      </c>
      <c r="AQN36" s="586">
        <f>SUM(AQN7:AQN35)</f>
        <v>332866.63251359994</v>
      </c>
      <c r="AQO36" s="926">
        <f>SUM(AQO7:AQO35)</f>
        <v>0</v>
      </c>
      <c r="AQP36" s="728">
        <f>AQO36/AQM36</f>
        <v>0</v>
      </c>
      <c r="AQQ36" s="586">
        <f>SUM(AQQ7:AQQ35)</f>
        <v>324361.23839999991</v>
      </c>
      <c r="AQR36" s="586">
        <f>SUM(AQR7:AQR35)</f>
        <v>332866.63251359994</v>
      </c>
      <c r="AQS36" s="926">
        <f>SUM(AQS7:AQS35)</f>
        <v>0</v>
      </c>
      <c r="AQT36" s="728">
        <f>AQS36/AQQ36</f>
        <v>0</v>
      </c>
      <c r="AQU36" s="586">
        <f>SUM(AQU7:AQU35)</f>
        <v>378421.44480000006</v>
      </c>
      <c r="AQV36" s="586">
        <f>SUM(AQV7:AQV35)</f>
        <v>388344.40459919994</v>
      </c>
      <c r="AQW36" s="926">
        <f>SUM(AQW7:AQW35)</f>
        <v>0</v>
      </c>
      <c r="AQX36" s="728">
        <f>AQW36/AQU36</f>
        <v>0</v>
      </c>
      <c r="AQY36" s="586">
        <f>SUM(AQY7:AQY35)</f>
        <v>432481.65120000002</v>
      </c>
      <c r="AQZ36" s="586">
        <f>SUM(AQZ7:AQZ35)</f>
        <v>443822.17668480001</v>
      </c>
      <c r="ARA36" s="926">
        <f>SUM(ARA7:ARA35)</f>
        <v>0</v>
      </c>
      <c r="ARB36" s="728">
        <f>ARA36/AQY36</f>
        <v>0</v>
      </c>
      <c r="ARC36" s="586">
        <f>SUM(ARC7:ARC35)</f>
        <v>594662.27039999992</v>
      </c>
      <c r="ARD36" s="586">
        <f>SUM(ARD7:ARD35)</f>
        <v>610255.49294159992</v>
      </c>
      <c r="ARE36" s="926">
        <f>SUM(ARE7:ARE35)</f>
        <v>0</v>
      </c>
      <c r="ARF36" s="728">
        <f>ARE36/ARC36</f>
        <v>0</v>
      </c>
      <c r="ARG36" s="718">
        <f>SUM(ARG7:ARG35)</f>
        <v>2703010.3200000003</v>
      </c>
      <c r="ARH36" s="718">
        <f>SUM(ARH7:ARH35)</f>
        <v>2753963.5822128002</v>
      </c>
      <c r="ARI36" s="718">
        <f>SUM(ARI7:ARI35)</f>
        <v>0</v>
      </c>
      <c r="ARJ36" s="719">
        <f>ARI36/ARG36</f>
        <v>0</v>
      </c>
      <c r="ARK36" s="586">
        <f>SUM(ARK7:ARK35)</f>
        <v>303754.62599999993</v>
      </c>
      <c r="ARL36" s="586">
        <f>SUM(ARL7:ARL35)</f>
        <v>314052.85926960001</v>
      </c>
      <c r="ARM36" s="925">
        <f>SUM(ARM7:ARM35)</f>
        <v>0</v>
      </c>
      <c r="ARN36" s="705">
        <f>ARM36/ARK36</f>
        <v>0</v>
      </c>
      <c r="ARO36" s="586">
        <f>SUM(ARO7:ARO35)</f>
        <v>303754.62599999993</v>
      </c>
      <c r="ARP36" s="586">
        <f>SUM(ARP7:ARP35)</f>
        <v>314052.85926960001</v>
      </c>
      <c r="ARQ36" s="925">
        <f>SUM(ARQ7:ARQ35)</f>
        <v>0</v>
      </c>
      <c r="ARR36" s="705">
        <f>ARQ36/ARO36</f>
        <v>0</v>
      </c>
      <c r="ARS36" s="586">
        <f>SUM(ARS7:ARS35)</f>
        <v>303754.62599999993</v>
      </c>
      <c r="ART36" s="586">
        <f>SUM(ART7:ART35)</f>
        <v>314052.85926960001</v>
      </c>
      <c r="ARU36" s="925">
        <f>SUM(ARU7:ARU35)</f>
        <v>0</v>
      </c>
      <c r="ARV36" s="705">
        <f>ARU36/ARS36</f>
        <v>0</v>
      </c>
      <c r="ARW36" s="586">
        <f>SUM(ARW7:ARW35)</f>
        <v>303754.62599999993</v>
      </c>
      <c r="ARX36" s="586">
        <f>SUM(ARX7:ARX35)</f>
        <v>304371.3003</v>
      </c>
      <c r="ARY36" s="925">
        <f>SUM(ARY7:ARY35)</f>
        <v>0</v>
      </c>
      <c r="ARZ36" s="705">
        <f>ARY36/ARW36</f>
        <v>0</v>
      </c>
      <c r="ASA36" s="586">
        <f>SUM(ASA7:ASA35)</f>
        <v>354380.397</v>
      </c>
      <c r="ASB36" s="586">
        <f>SUM(ASB7:ASB35)</f>
        <v>355099.85035000002</v>
      </c>
      <c r="ASC36" s="925">
        <f>SUM(ASC7:ASC35)</f>
        <v>0</v>
      </c>
      <c r="ASD36" s="705">
        <f>ASC36/ASA36</f>
        <v>0</v>
      </c>
      <c r="ASE36" s="586">
        <f>SUM(ASE7:ASE35)</f>
        <v>405006.16800000006</v>
      </c>
      <c r="ASF36" s="586">
        <f>SUM(ASF7:ASF35)</f>
        <v>405828.40039999993</v>
      </c>
      <c r="ASG36" s="925">
        <f>SUM(ASG7:ASG35)</f>
        <v>0</v>
      </c>
      <c r="ASH36" s="705">
        <f>ASG36/ASE36</f>
        <v>0</v>
      </c>
      <c r="ASI36" s="586">
        <f>SUM(ASI7:ASI35)</f>
        <v>556883.48100000003</v>
      </c>
      <c r="ASJ36" s="586">
        <f>SUM(ASJ7:ASJ35)</f>
        <v>558014.05054999993</v>
      </c>
      <c r="ASK36" s="925">
        <f>SUM(ASK7:ASK35)</f>
        <v>0</v>
      </c>
      <c r="ASL36" s="705">
        <f>ASK36/ASI36</f>
        <v>0</v>
      </c>
      <c r="ASM36" s="718">
        <f>SUM(ASM7:ASM35)</f>
        <v>2531288.5500000003</v>
      </c>
      <c r="ASN36" s="718">
        <f>SUM(ASN7:ASN35)</f>
        <v>2565472.1794088003</v>
      </c>
      <c r="ASO36" s="718">
        <f>SUM(ASO7:ASO35)</f>
        <v>0</v>
      </c>
      <c r="ASP36" s="719">
        <f>ASO36/ASM36</f>
        <v>0</v>
      </c>
      <c r="ASQ36" s="586">
        <f>SUM(ASQ7:ASQ35)</f>
        <v>299635.78439999995</v>
      </c>
      <c r="ASR36" s="586">
        <f>SUM(ASR7:ASR35)</f>
        <v>308798.34052319993</v>
      </c>
      <c r="ASS36" s="926">
        <f>SUM(ASS7:ASS35)</f>
        <v>0</v>
      </c>
      <c r="AST36" s="728">
        <f>ASS36/ASQ36</f>
        <v>0</v>
      </c>
      <c r="ASU36" s="586">
        <f>SUM(ASU7:ASU35)</f>
        <v>299635.78439999995</v>
      </c>
      <c r="ASV36" s="586">
        <f>SUM(ASV7:ASV35)</f>
        <v>308798.34052319993</v>
      </c>
      <c r="ASW36" s="926">
        <f>SUM(ASW7:ASW35)</f>
        <v>0</v>
      </c>
      <c r="ASX36" s="728">
        <f>ASW36/ASU36</f>
        <v>0</v>
      </c>
      <c r="ASY36" s="586">
        <f>SUM(ASY7:ASY35)</f>
        <v>299635.78439999995</v>
      </c>
      <c r="ASZ36" s="586">
        <f>SUM(ASZ7:ASZ35)</f>
        <v>308798.34052319993</v>
      </c>
      <c r="ATA36" s="926">
        <f>SUM(ATA7:ATA35)</f>
        <v>0</v>
      </c>
      <c r="ATB36" s="728">
        <f>ATA36/ASY36</f>
        <v>0</v>
      </c>
      <c r="ATC36" s="586">
        <f>SUM(ATC7:ATC35)</f>
        <v>299635.78439999995</v>
      </c>
      <c r="ATD36" s="586">
        <f>SUM(ATD7:ATD35)</f>
        <v>308798.34052319993</v>
      </c>
      <c r="ATE36" s="926">
        <f>SUM(ATE7:ATE35)</f>
        <v>0</v>
      </c>
      <c r="ATF36" s="728">
        <f>ATE36/ATC36</f>
        <v>0</v>
      </c>
      <c r="ATG36" s="586">
        <f>SUM(ATG7:ATG35)</f>
        <v>349575.08180000004</v>
      </c>
      <c r="ATH36" s="586">
        <f>SUM(ATH7:ATH35)</f>
        <v>360264.73061039997</v>
      </c>
      <c r="ATI36" s="926">
        <f>SUM(ATI7:ATI35)</f>
        <v>0</v>
      </c>
      <c r="ATJ36" s="728">
        <f>ATI36/ATG36</f>
        <v>0</v>
      </c>
      <c r="ATK36" s="586">
        <f>SUM(ATK7:ATK35)</f>
        <v>399514.37920000002</v>
      </c>
      <c r="ATL36" s="586">
        <f>SUM(ATL7:ATL35)</f>
        <v>411731.12069760001</v>
      </c>
      <c r="ATM36" s="926">
        <f>SUM(ATM7:ATM35)</f>
        <v>0</v>
      </c>
      <c r="ATN36" s="728">
        <f>ATM36/ATK36</f>
        <v>0</v>
      </c>
      <c r="ATO36" s="586">
        <f>SUM(ATO7:ATO35)</f>
        <v>549332.27140000009</v>
      </c>
      <c r="ATP36" s="586">
        <f>SUM(ATP7:ATP35)</f>
        <v>566130.29095919989</v>
      </c>
      <c r="ATQ36" s="926">
        <f>SUM(ATQ7:ATQ35)</f>
        <v>0</v>
      </c>
      <c r="ATR36" s="728">
        <f>ATQ36/ATO36</f>
        <v>0</v>
      </c>
      <c r="ATS36" s="718">
        <f>SUM(ATS7:ATS35)</f>
        <v>2496964.87</v>
      </c>
      <c r="ATT36" s="718">
        <f>SUM(ATT7:ATT35)</f>
        <v>2573319.5043600001</v>
      </c>
      <c r="ATU36" s="718">
        <f>SUM(ATU7:ATU35)</f>
        <v>0</v>
      </c>
      <c r="ATV36" s="719">
        <f>ATU36/ATS36</f>
        <v>0</v>
      </c>
      <c r="ATW36" s="586">
        <f>SUM(ATW7:ATW35)</f>
        <v>317395.19520000002</v>
      </c>
      <c r="ATX36" s="586">
        <f>SUM(ATX7:ATX35)</f>
        <v>327419.60064959998</v>
      </c>
      <c r="ATY36" s="925">
        <f>SUM(ATY7:ATY35)</f>
        <v>0</v>
      </c>
      <c r="ATZ36" s="705">
        <f>ATY36/ATW36</f>
        <v>0</v>
      </c>
      <c r="AUA36" s="586">
        <f>SUM(AUA7:AUA35)</f>
        <v>317395.19520000002</v>
      </c>
      <c r="AUB36" s="586">
        <f>SUM(AUB7:AUB35)</f>
        <v>327419.60064959998</v>
      </c>
      <c r="AUC36" s="925">
        <f>SUM(AUC7:AUC35)</f>
        <v>0</v>
      </c>
      <c r="AUD36" s="705">
        <f>AUC36/AUA36</f>
        <v>0</v>
      </c>
      <c r="AUE36" s="586">
        <f>SUM(AUE7:AUE35)</f>
        <v>317395.19520000002</v>
      </c>
      <c r="AUF36" s="586">
        <f>SUM(AUF7:AUF35)</f>
        <v>327419.60064959998</v>
      </c>
      <c r="AUG36" s="925">
        <f>SUM(AUG7:AUG35)</f>
        <v>0</v>
      </c>
      <c r="AUH36" s="705">
        <f>AUG36/AUE36</f>
        <v>0</v>
      </c>
      <c r="AUI36" s="586">
        <f>SUM(AUI7:AUI35)</f>
        <v>317395.19520000002</v>
      </c>
      <c r="AUJ36" s="586">
        <f>SUM(AUJ7:AUJ35)</f>
        <v>327419.60064959998</v>
      </c>
      <c r="AUK36" s="925">
        <f>SUM(AUK7:AUK35)</f>
        <v>0</v>
      </c>
      <c r="AUL36" s="705">
        <f>AUK36/AUI36</f>
        <v>0</v>
      </c>
      <c r="AUM36" s="586">
        <f>SUM(AUM7:AUM35)</f>
        <v>370294.39440000005</v>
      </c>
      <c r="AUN36" s="586">
        <f>SUM(AUN7:AUN35)</f>
        <v>381989.5340912001</v>
      </c>
      <c r="AUO36" s="925">
        <f>SUM(AUO7:AUO35)</f>
        <v>0</v>
      </c>
      <c r="AUP36" s="705">
        <f>AUO36/AUM36</f>
        <v>0</v>
      </c>
      <c r="AUQ36" s="586">
        <f>SUM(AUQ7:AUQ35)</f>
        <v>423193.59360000002</v>
      </c>
      <c r="AUR36" s="586">
        <f>SUM(AUR7:AUR35)</f>
        <v>436559.4675328001</v>
      </c>
      <c r="AUS36" s="925">
        <f>SUM(AUS7:AUS35)</f>
        <v>0</v>
      </c>
      <c r="AUT36" s="705">
        <f>AUS36/AUQ36</f>
        <v>0</v>
      </c>
      <c r="AUU36" s="586">
        <f>SUM(AUU7:AUU35)</f>
        <v>581891.1912</v>
      </c>
      <c r="AUV36" s="586">
        <f>SUM(AUV7:AUV35)</f>
        <v>600269.2678576</v>
      </c>
      <c r="AUW36" s="925">
        <f>SUM(AUW7:AUW35)</f>
        <v>0</v>
      </c>
      <c r="AUX36" s="705">
        <f>AUW36/AUU36</f>
        <v>0</v>
      </c>
      <c r="AUY36" s="718">
        <f>SUM(AUY7:AUY35)</f>
        <v>2644959.9600000004</v>
      </c>
      <c r="AUZ36" s="718">
        <f>SUM(AUZ7:AUZ35)</f>
        <v>2728496.6720800004</v>
      </c>
      <c r="AVA36" s="718">
        <f>SUM(AVA7:AVA35)</f>
        <v>0</v>
      </c>
      <c r="AVB36" s="719">
        <f>AVA36/AUY36</f>
        <v>0</v>
      </c>
      <c r="AVC36" s="586">
        <f>SUM(AVC7:AVC35)</f>
        <v>292520.91960000002</v>
      </c>
      <c r="AVD36" s="586">
        <f>SUM(AVD7:AVD35)</f>
        <v>301691.96009280003</v>
      </c>
      <c r="AVE36" s="925">
        <f>SUM(AVE7:AVE35)</f>
        <v>0</v>
      </c>
      <c r="AVF36" s="705">
        <f>AVE36/AVC36</f>
        <v>0</v>
      </c>
      <c r="AVG36" s="586">
        <f>SUM(AVG7:AVG35)</f>
        <v>292520.91960000002</v>
      </c>
      <c r="AVH36" s="586">
        <f>SUM(AVH7:AVH35)</f>
        <v>301691.96009280003</v>
      </c>
      <c r="AVI36" s="925">
        <f>SUM(AVI7:AVI35)</f>
        <v>0</v>
      </c>
      <c r="AVJ36" s="705">
        <f>AVI36/AVG36</f>
        <v>0</v>
      </c>
      <c r="AVK36" s="586">
        <f>SUM(AVK7:AVK35)</f>
        <v>292520.91960000002</v>
      </c>
      <c r="AVL36" s="586">
        <f>SUM(AVL7:AVL35)</f>
        <v>293846.13086400001</v>
      </c>
      <c r="AVM36" s="925">
        <f>SUM(AVM7:AVM35)</f>
        <v>0</v>
      </c>
      <c r="AVN36" s="705">
        <f>AVM36/AVK36</f>
        <v>0</v>
      </c>
      <c r="AVO36" s="586">
        <f>SUM(AVO7:AVO35)</f>
        <v>292520.91960000002</v>
      </c>
      <c r="AVP36" s="586">
        <f>SUM(AVP7:AVP35)</f>
        <v>293846.13086400001</v>
      </c>
      <c r="AVQ36" s="925">
        <f>SUM(AVQ7:AVQ35)</f>
        <v>0</v>
      </c>
      <c r="AVR36" s="705">
        <f>AVQ36/AVO36</f>
        <v>0</v>
      </c>
      <c r="AVS36" s="586">
        <f>SUM(AVS7:AVS35)</f>
        <v>341274.40619999997</v>
      </c>
      <c r="AVT36" s="586">
        <f>SUM(AVT7:AVT35)</f>
        <v>342820.48600800004</v>
      </c>
      <c r="AVU36" s="925">
        <f>SUM(AVU7:AVU35)</f>
        <v>0</v>
      </c>
      <c r="AVV36" s="705">
        <f>AVU36/AVS36</f>
        <v>0</v>
      </c>
      <c r="AVW36" s="586">
        <f>SUM(AVW7:AVW35)</f>
        <v>390027.89279999997</v>
      </c>
      <c r="AVX36" s="586">
        <f>SUM(AVX7:AVX35)</f>
        <v>391794.84115200001</v>
      </c>
      <c r="AVY36" s="925">
        <f>SUM(AVY7:AVY35)</f>
        <v>0</v>
      </c>
      <c r="AVZ36" s="705">
        <f>AVY36/AVW36</f>
        <v>0</v>
      </c>
      <c r="AWA36" s="586">
        <f>SUM(AWA7:AWA35)</f>
        <v>536288.35259999998</v>
      </c>
      <c r="AWB36" s="586">
        <f>SUM(AWB7:AWB35)</f>
        <v>538717.9065840001</v>
      </c>
      <c r="AWC36" s="925">
        <f>SUM(AWC7:AWC35)</f>
        <v>0</v>
      </c>
      <c r="AWD36" s="705">
        <f>AWC36/AWA36</f>
        <v>0</v>
      </c>
      <c r="AWE36" s="781">
        <f>SUM(AWE7:AWE35)</f>
        <v>2437674.33</v>
      </c>
      <c r="AWF36" s="781">
        <f>SUM(AWF7:AWF35)</f>
        <v>2464409.4156575999</v>
      </c>
      <c r="AWG36" s="781">
        <f>SUM(AWG7:AWG35)</f>
        <v>0</v>
      </c>
      <c r="AWH36" s="782">
        <f>AWG36/AWE36</f>
        <v>0</v>
      </c>
      <c r="AWI36" s="586">
        <f>SUM(AWI7:AWI35)</f>
        <v>319977.24479999999</v>
      </c>
      <c r="AWJ36" s="586">
        <f>SUM(AWJ7:AWJ35)</f>
        <v>330771.16863480001</v>
      </c>
      <c r="AWK36" s="926">
        <f>SUM(AWK7:AWK35)</f>
        <v>0</v>
      </c>
      <c r="AWL36" s="728">
        <f>AWK36/AWI36</f>
        <v>0</v>
      </c>
      <c r="AWM36" s="586">
        <f>SUM(AWM7:AWM35)</f>
        <v>319977.24479999999</v>
      </c>
      <c r="AWN36" s="586">
        <f>SUM(AWN7:AWN35)</f>
        <v>330771.16863480001</v>
      </c>
      <c r="AWO36" s="926">
        <f>SUM(AWO7:AWO35)</f>
        <v>0</v>
      </c>
      <c r="AWP36" s="728">
        <f>AWO36/AWM36</f>
        <v>0</v>
      </c>
      <c r="AWQ36" s="586">
        <f>SUM(AWQ7:AWQ35)</f>
        <v>319977.24479999999</v>
      </c>
      <c r="AWR36" s="586">
        <f>SUM(AWR7:AWR35)</f>
        <v>330771.16863480001</v>
      </c>
      <c r="AWS36" s="926">
        <f>SUM(AWS7:AWS35)</f>
        <v>0</v>
      </c>
      <c r="AWT36" s="728">
        <f>AWS36/AWQ36</f>
        <v>0</v>
      </c>
      <c r="AWU36" s="586">
        <f>SUM(AWU7:AWU35)</f>
        <v>319977.24479999999</v>
      </c>
      <c r="AWV36" s="586">
        <f>SUM(AWV7:AWV35)</f>
        <v>330771.16863480001</v>
      </c>
      <c r="AWW36" s="926">
        <f>SUM(AWW7:AWW35)</f>
        <v>0</v>
      </c>
      <c r="AWX36" s="728">
        <f>AWW36/AWU36</f>
        <v>0</v>
      </c>
      <c r="AWY36" s="586">
        <f>SUM(AWY7:AWY35)</f>
        <v>373306.7856</v>
      </c>
      <c r="AWZ36" s="586">
        <f>SUM(AWZ7:AWZ35)</f>
        <v>385899.69674059999</v>
      </c>
      <c r="AXA36" s="926">
        <f>SUM(AXA7:AXA35)</f>
        <v>0</v>
      </c>
      <c r="AXB36" s="728">
        <f>AXA36/AWY36</f>
        <v>0</v>
      </c>
      <c r="AXC36" s="586">
        <f>SUM(AXC7:AXC35)</f>
        <v>426636.32639999996</v>
      </c>
      <c r="AXD36" s="586">
        <f>SUM(AXD7:AXD35)</f>
        <v>441028.22484640003</v>
      </c>
      <c r="AXE36" s="926">
        <f>SUM(AXE7:AXE35)</f>
        <v>0</v>
      </c>
      <c r="AXF36" s="728">
        <f>AXE36/AXC36</f>
        <v>0</v>
      </c>
      <c r="AXG36" s="586">
        <f>SUM(AXG7:AXG35)</f>
        <v>586624.94880000001</v>
      </c>
      <c r="AXH36" s="586">
        <f>SUM(AXH7:AXH35)</f>
        <v>606413.80916379986</v>
      </c>
      <c r="AXI36" s="926">
        <f>SUM(AXI7:AXI35)</f>
        <v>0</v>
      </c>
      <c r="AXJ36" s="728">
        <f>AXI36/AXG36</f>
        <v>0</v>
      </c>
      <c r="AXK36" s="781">
        <f>SUM(AXK7:AXK35)</f>
        <v>2666477.0399999996</v>
      </c>
      <c r="AXL36" s="781">
        <f>SUM(AXL7:AXL35)</f>
        <v>2756426.4052900001</v>
      </c>
      <c r="AXM36" s="781">
        <f>SUM(AXM7:AXM35)</f>
        <v>0</v>
      </c>
      <c r="AXN36" s="782">
        <f>AXM36/AXK36</f>
        <v>0</v>
      </c>
      <c r="AXO36" s="586">
        <f>SUM(AXO7:AXO35)</f>
        <v>345000.8076</v>
      </c>
      <c r="AXP36" s="586">
        <f>SUM(AXP7:AXP35)</f>
        <v>346694.73439200007</v>
      </c>
      <c r="AXQ36" s="925">
        <f>SUM(AXQ7:AXQ35)</f>
        <v>0</v>
      </c>
      <c r="AXR36" s="705">
        <f>AXQ36/AXO36</f>
        <v>0</v>
      </c>
      <c r="AXS36" s="586">
        <f>SUM(AXS7:AXS35)</f>
        <v>345000.8076</v>
      </c>
      <c r="AXT36" s="586">
        <f>SUM(AXT7:AXT35)</f>
        <v>355263.94566240004</v>
      </c>
      <c r="AXU36" s="925">
        <f>SUM(AXU7:AXU35)</f>
        <v>0</v>
      </c>
      <c r="AXV36" s="705">
        <f>AXU36/AXS36</f>
        <v>0</v>
      </c>
      <c r="AXW36" s="586">
        <f>SUM(AXW7:AXW35)</f>
        <v>345000.8076</v>
      </c>
      <c r="AXX36" s="586">
        <f>SUM(AXX7:AXX35)</f>
        <v>355263.94566240004</v>
      </c>
      <c r="AXY36" s="925">
        <f>SUM(AXY7:AXY35)</f>
        <v>0</v>
      </c>
      <c r="AXZ36" s="705">
        <f>AXY36/AXW36</f>
        <v>0</v>
      </c>
      <c r="AYA36" s="586">
        <f>SUM(AYA7:AYA35)</f>
        <v>345000.8076</v>
      </c>
      <c r="AYB36" s="586">
        <f>SUM(AYB7:AYB35)</f>
        <v>355263.94566240004</v>
      </c>
      <c r="AYC36" s="925">
        <f>SUM(AYC7:AYC35)</f>
        <v>0</v>
      </c>
      <c r="AYD36" s="705">
        <f>AYC36/AYA36</f>
        <v>0</v>
      </c>
      <c r="AYE36" s="586">
        <f>SUM(AYE7:AYE35)</f>
        <v>402500.94219999999</v>
      </c>
      <c r="AYF36" s="586">
        <f>SUM(AYF7:AYF35)</f>
        <v>414474.60327280004</v>
      </c>
      <c r="AYG36" s="925">
        <f>SUM(AYG7:AYG35)</f>
        <v>0</v>
      </c>
      <c r="AYH36" s="705">
        <f>AYG36/AYE36</f>
        <v>0</v>
      </c>
      <c r="AYI36" s="586">
        <f>SUM(AYI7:AYI35)</f>
        <v>460001.0768000001</v>
      </c>
      <c r="AYJ36" s="586">
        <f>SUM(AYJ7:AYJ35)</f>
        <v>473685.26088320004</v>
      </c>
      <c r="AYK36" s="925">
        <f>SUM(AYK7:AYK35)</f>
        <v>0</v>
      </c>
      <c r="AYL36" s="705">
        <f>AYK36/AYI36</f>
        <v>0</v>
      </c>
      <c r="AYM36" s="586">
        <f>SUM(AYM7:AYM35)</f>
        <v>632501.48060000001</v>
      </c>
      <c r="AYN36" s="586">
        <f>SUM(AYN7:AYN35)</f>
        <v>651317.23371439998</v>
      </c>
      <c r="AYO36" s="925">
        <f>SUM(AYO7:AYO35)</f>
        <v>0</v>
      </c>
      <c r="AYP36" s="705">
        <f>AYO36/AYM36</f>
        <v>0</v>
      </c>
      <c r="AYQ36" s="781">
        <f>SUM(AYQ7:AYQ35)</f>
        <v>2875006.7300000004</v>
      </c>
      <c r="AYR36" s="781">
        <f>SUM(AYR7:AYR35)</f>
        <v>2951963.6692496012</v>
      </c>
      <c r="AYS36" s="781">
        <f>SUM(AYS7:AYS35)</f>
        <v>0</v>
      </c>
      <c r="AYT36" s="782">
        <f>AYS36/AYQ36</f>
        <v>0</v>
      </c>
      <c r="AYU36" s="586">
        <f>SUM(AYU7:AYU35)</f>
        <v>411281.64959999995</v>
      </c>
      <c r="AYV36" s="586">
        <f>SUM(AYV7:AYV35)</f>
        <v>413287.03926000005</v>
      </c>
      <c r="AYW36" s="926">
        <f>SUM(AYW7:AYW35)</f>
        <v>0</v>
      </c>
      <c r="AYX36" s="728">
        <f>AYW36/AYU36</f>
        <v>0</v>
      </c>
      <c r="AYY36" s="586">
        <f>SUM(AYY7:AYY35)</f>
        <v>411281.64959999995</v>
      </c>
      <c r="AYZ36" s="586">
        <f>SUM(AYZ7:AYZ35)</f>
        <v>421850.72588400007</v>
      </c>
      <c r="AZA36" s="926">
        <f>SUM(AZA7:AZA35)</f>
        <v>0</v>
      </c>
      <c r="AZB36" s="728">
        <f>AZA36/AYY36</f>
        <v>0</v>
      </c>
      <c r="AZC36" s="586">
        <f>SUM(AZC7:AZC35)</f>
        <v>411281.64959999995</v>
      </c>
      <c r="AZD36" s="586">
        <f>SUM(AZD7:AZD35)</f>
        <v>421850.72588400007</v>
      </c>
      <c r="AZE36" s="926">
        <f>SUM(AZE7:AZE35)</f>
        <v>0</v>
      </c>
      <c r="AZF36" s="728">
        <f>AZE36/AZC36</f>
        <v>0</v>
      </c>
      <c r="AZG36" s="586">
        <f>SUM(AZG7:AZG35)</f>
        <v>411281.64959999995</v>
      </c>
      <c r="AZH36" s="586">
        <f>SUM(AZH7:AZH35)</f>
        <v>421850.72588400007</v>
      </c>
      <c r="AZI36" s="926">
        <f>SUM(AZI7:AZI35)</f>
        <v>0</v>
      </c>
      <c r="AZJ36" s="728">
        <f>AZI36/AZG36</f>
        <v>0</v>
      </c>
      <c r="AZK36" s="586">
        <f>SUM(AZK7:AZK35)</f>
        <v>479828.59120000008</v>
      </c>
      <c r="AZL36" s="586">
        <f>SUM(AZL7:AZL35)</f>
        <v>492159.18019799999</v>
      </c>
      <c r="AZM36" s="926">
        <f>SUM(AZM7:AZM35)</f>
        <v>0</v>
      </c>
      <c r="AZN36" s="728">
        <f>AZM36/AZK36</f>
        <v>0</v>
      </c>
      <c r="AZO36" s="586">
        <f>SUM(AZO7:AZO35)</f>
        <v>548375.53280000004</v>
      </c>
      <c r="AZP36" s="586">
        <f>SUM(AZP7:AZP35)</f>
        <v>562467.63451200002</v>
      </c>
      <c r="AZQ36" s="926">
        <f>SUM(AZQ7:AZQ35)</f>
        <v>0</v>
      </c>
      <c r="AZR36" s="728">
        <f>AZQ36/AZO36</f>
        <v>0</v>
      </c>
      <c r="AZS36" s="586">
        <f>SUM(AZS7:AZS35)</f>
        <v>754016.35759999999</v>
      </c>
      <c r="AZT36" s="586">
        <f>SUM(AZT7:AZT35)</f>
        <v>773392.99745400017</v>
      </c>
      <c r="AZU36" s="926">
        <f>SUM(AZU7:AZU35)</f>
        <v>0</v>
      </c>
      <c r="AZV36" s="728">
        <f>AZU36/AZS36</f>
        <v>0</v>
      </c>
      <c r="AZW36" s="781">
        <f>SUM(AZW7:AZW35)</f>
        <v>3427347.0799999996</v>
      </c>
      <c r="AZX36" s="781">
        <f>SUM(AZX7:AZX35)</f>
        <v>3506859.0290759993</v>
      </c>
      <c r="AZY36" s="781">
        <f>SUM(AZY7:AZY35)</f>
        <v>0</v>
      </c>
      <c r="AZZ36" s="782">
        <f>AZY36/AZW36</f>
        <v>0</v>
      </c>
      <c r="BAA36" s="586">
        <f>SUM(BAA7:BAA35)</f>
        <v>301714.4964</v>
      </c>
      <c r="BAB36" s="586">
        <f>SUM(BAB7:BAB35)</f>
        <v>310044.14058479998</v>
      </c>
      <c r="BAC36" s="925">
        <f>SUM(BAC7:BAC35)</f>
        <v>0</v>
      </c>
      <c r="BAD36" s="705">
        <f>BAC36/BAA36</f>
        <v>0</v>
      </c>
      <c r="BAE36" s="586">
        <f>SUM(BAE7:BAE35)</f>
        <v>301714.4964</v>
      </c>
      <c r="BAF36" s="586">
        <f>SUM(BAF7:BAF35)</f>
        <v>310044.14058479998</v>
      </c>
      <c r="BAG36" s="925">
        <f>SUM(BAG7:BAG35)</f>
        <v>0</v>
      </c>
      <c r="BAH36" s="705">
        <f>BAG36/BAE36</f>
        <v>0</v>
      </c>
      <c r="BAI36" s="586">
        <f>SUM(BAI7:BAI35)</f>
        <v>301714.4964</v>
      </c>
      <c r="BAJ36" s="586">
        <f>SUM(BAJ7:BAJ35)</f>
        <v>310044.14058479998</v>
      </c>
      <c r="BAK36" s="925">
        <f>SUM(BAK7:BAK35)</f>
        <v>0</v>
      </c>
      <c r="BAL36" s="705">
        <f>BAK36/BAI36</f>
        <v>0</v>
      </c>
      <c r="BAM36" s="586">
        <f>SUM(BAM7:BAM35)</f>
        <v>301714.4964</v>
      </c>
      <c r="BAN36" s="586">
        <f>SUM(BAN7:BAN35)</f>
        <v>310044.14058479998</v>
      </c>
      <c r="BAO36" s="925">
        <f>SUM(BAO7:BAO35)</f>
        <v>0</v>
      </c>
      <c r="BAP36" s="705">
        <f>BAO36/BAM36</f>
        <v>0</v>
      </c>
      <c r="BAQ36" s="586">
        <f>SUM(BAQ7:BAQ35)</f>
        <v>352000.24580000009</v>
      </c>
      <c r="BAR36" s="586">
        <f>SUM(BAR7:BAR35)</f>
        <v>361718.16401560005</v>
      </c>
      <c r="BAS36" s="925">
        <f>SUM(BAS7:BAS35)</f>
        <v>0</v>
      </c>
      <c r="BAT36" s="705">
        <f>BAS36/BAQ36</f>
        <v>0</v>
      </c>
      <c r="BAU36" s="586">
        <f>SUM(BAU7:BAU35)</f>
        <v>402285.9952</v>
      </c>
      <c r="BAV36" s="586">
        <f>SUM(BAV7:BAV35)</f>
        <v>413392.18744640012</v>
      </c>
      <c r="BAW36" s="925">
        <f>SUM(BAW7:BAW35)</f>
        <v>0</v>
      </c>
      <c r="BAX36" s="705">
        <f>BAW36/BAU36</f>
        <v>0</v>
      </c>
      <c r="BAY36" s="586">
        <f>SUM(BAY7:BAY35)</f>
        <v>553143.24340000004</v>
      </c>
      <c r="BAZ36" s="586">
        <f>SUM(BAZ7:BAZ35)</f>
        <v>568414.2577387999</v>
      </c>
      <c r="BBA36" s="925">
        <f>SUM(BBA7:BBA35)</f>
        <v>0</v>
      </c>
      <c r="BBB36" s="705">
        <f>BBA36/BAY36</f>
        <v>0</v>
      </c>
      <c r="BBC36" s="757">
        <f>SUM(BBC7:BBC35)</f>
        <v>2514287.4699999997</v>
      </c>
      <c r="BBD36" s="757">
        <f>SUM(BBD7:BBD35)</f>
        <v>2583701.1715400005</v>
      </c>
      <c r="BBE36" s="757">
        <f>SUM(BBE7:BBE35)</f>
        <v>0</v>
      </c>
      <c r="BBF36" s="758">
        <f>BBE36/BBC36</f>
        <v>0</v>
      </c>
      <c r="BBG36" s="586">
        <f>SUM(BBG7:BBG35)</f>
        <v>381157.47839999996</v>
      </c>
      <c r="BBH36" s="586">
        <f>SUM(BBH7:BBH35)</f>
        <v>391831.29650399991</v>
      </c>
      <c r="BBI36" s="926">
        <f>SUM(BBI7:BBI35)</f>
        <v>0</v>
      </c>
      <c r="BBJ36" s="728">
        <f>BBI36/BBG36</f>
        <v>0</v>
      </c>
      <c r="BBK36" s="586">
        <f>SUM(BBK7:BBK35)</f>
        <v>381157.47839999996</v>
      </c>
      <c r="BBL36" s="586">
        <f>SUM(BBL7:BBL35)</f>
        <v>391831.29650399991</v>
      </c>
      <c r="BBM36" s="926">
        <f>SUM(BBM7:BBM35)</f>
        <v>0</v>
      </c>
      <c r="BBN36" s="728">
        <f>BBM36/BBK36</f>
        <v>0</v>
      </c>
      <c r="BBO36" s="586">
        <f>SUM(BBO7:BBO35)</f>
        <v>381157.47839999996</v>
      </c>
      <c r="BBP36" s="586">
        <f>SUM(BBP7:BBP35)</f>
        <v>391831.29650399991</v>
      </c>
      <c r="BBQ36" s="926">
        <f>SUM(BBQ7:BBQ35)</f>
        <v>0</v>
      </c>
      <c r="BBR36" s="728">
        <f>BBQ36/BBO36</f>
        <v>0</v>
      </c>
      <c r="BBS36" s="586">
        <f>SUM(BBS7:BBS35)</f>
        <v>381157.47839999996</v>
      </c>
      <c r="BBT36" s="586">
        <f>SUM(BBT7:BBT35)</f>
        <v>381972.52681439993</v>
      </c>
      <c r="BBU36" s="926">
        <f>SUM(BBU7:BBU35)</f>
        <v>0</v>
      </c>
      <c r="BBV36" s="728">
        <f>BBU36/BBS36</f>
        <v>0</v>
      </c>
      <c r="BBW36" s="586">
        <f>SUM(BBW7:BBW35)</f>
        <v>444683.72480000008</v>
      </c>
      <c r="BBX36" s="586">
        <f>SUM(BBX7:BBX35)</f>
        <v>445634.61461680004</v>
      </c>
      <c r="BBY36" s="926">
        <f>SUM(BBY7:BBY35)</f>
        <v>0</v>
      </c>
      <c r="BBZ36" s="728">
        <f>BBY36/BBW36</f>
        <v>0</v>
      </c>
      <c r="BCA36" s="586">
        <f>SUM(BCA7:BCA35)</f>
        <v>508209.97119999991</v>
      </c>
      <c r="BCB36" s="586">
        <f>SUM(BCB7:BCB35)</f>
        <v>509296.7024192001</v>
      </c>
      <c r="BCC36" s="926">
        <f>SUM(BCC7:BCC35)</f>
        <v>0</v>
      </c>
      <c r="BCD36" s="728">
        <f>BCC36/BCA36</f>
        <v>0</v>
      </c>
      <c r="BCE36" s="586">
        <f>SUM(BCE7:BCE35)</f>
        <v>698788.71039999998</v>
      </c>
      <c r="BCF36" s="586">
        <f>SUM(BCF7:BCF35)</f>
        <v>700282.96582639986</v>
      </c>
      <c r="BCG36" s="926">
        <f>SUM(BCG7:BCG35)</f>
        <v>0</v>
      </c>
      <c r="BCH36" s="728">
        <f>BCG36/BCE36</f>
        <v>0</v>
      </c>
      <c r="BCI36" s="757">
        <f>SUM(BCI7:BCI35)</f>
        <v>3176312.32</v>
      </c>
      <c r="BCJ36" s="757">
        <f>SUM(BCJ7:BCJ35)</f>
        <v>3212680.6991887996</v>
      </c>
      <c r="BCK36" s="757">
        <f>SUM(BCK7:BCK35)</f>
        <v>0</v>
      </c>
      <c r="BCL36" s="758">
        <f>BCK36/BCI36</f>
        <v>0</v>
      </c>
      <c r="BCM36" s="586">
        <f>SUM(BCM7:BCM35)</f>
        <v>458819.38559999992</v>
      </c>
      <c r="BCN36" s="586">
        <f>SUM(BCN7:BCN35)</f>
        <v>470886.18586079997</v>
      </c>
      <c r="BCO36" s="925">
        <f>SUM(BCO7:BCO35)</f>
        <v>0</v>
      </c>
      <c r="BCP36" s="705">
        <f>BCO36/BCM36</f>
        <v>0</v>
      </c>
      <c r="BCQ36" s="586">
        <f>SUM(BCQ7:BCQ35)</f>
        <v>458819.38559999992</v>
      </c>
      <c r="BCR36" s="586">
        <f>SUM(BCR7:BCR35)</f>
        <v>470886.18586079997</v>
      </c>
      <c r="BCS36" s="925">
        <f>SUM(BCS7:BCS35)</f>
        <v>0</v>
      </c>
      <c r="BCT36" s="705">
        <f>BCS36/BCQ36</f>
        <v>0</v>
      </c>
      <c r="BCU36" s="586">
        <f>SUM(BCU7:BCU35)</f>
        <v>458819.38559999992</v>
      </c>
      <c r="BCV36" s="586">
        <f>SUM(BCV7:BCV35)</f>
        <v>470886.18586079997</v>
      </c>
      <c r="BCW36" s="925">
        <f>SUM(BCW7:BCW35)</f>
        <v>0</v>
      </c>
      <c r="BCX36" s="705">
        <f>BCW36/BCU36</f>
        <v>0</v>
      </c>
      <c r="BCY36" s="586">
        <f>SUM(BCY7:BCY35)</f>
        <v>458819.38559999992</v>
      </c>
      <c r="BCZ36" s="586">
        <f>SUM(BCZ7:BCZ35)</f>
        <v>470886.18586079997</v>
      </c>
      <c r="BDA36" s="925">
        <f>SUM(BDA7:BDA35)</f>
        <v>0</v>
      </c>
      <c r="BDB36" s="705">
        <f>BDA36/BCY36</f>
        <v>0</v>
      </c>
      <c r="BDC36" s="586">
        <f>SUM(BDC7:BDC35)</f>
        <v>535289.28320000006</v>
      </c>
      <c r="BDD36" s="586">
        <f>SUM(BDD7:BDD35)</f>
        <v>549367.21683760011</v>
      </c>
      <c r="BDE36" s="925">
        <f>SUM(BDE7:BDE35)</f>
        <v>0</v>
      </c>
      <c r="BDF36" s="705">
        <f>BDE36/BDC36</f>
        <v>0</v>
      </c>
      <c r="BDG36" s="586">
        <f>SUM(BDG7:BDG35)</f>
        <v>611759.18080000009</v>
      </c>
      <c r="BDH36" s="586">
        <f>SUM(BDH7:BDH35)</f>
        <v>627848.24781440001</v>
      </c>
      <c r="BDI36" s="925">
        <f>SUM(BDI7:BDI35)</f>
        <v>0</v>
      </c>
      <c r="BDJ36" s="705">
        <f>BDI36/BDG36</f>
        <v>0</v>
      </c>
      <c r="BDK36" s="586">
        <f>SUM(BDK7:BDK35)</f>
        <v>841168.87360000005</v>
      </c>
      <c r="BDL36" s="586">
        <f>SUM(BDL7:BDL35)</f>
        <v>863291.34074479982</v>
      </c>
      <c r="BDM36" s="925">
        <f>SUM(BDM7:BDM35)</f>
        <v>0</v>
      </c>
      <c r="BDN36" s="705">
        <f>BDM36/BDK36</f>
        <v>0</v>
      </c>
      <c r="BDO36" s="757">
        <f>SUM(BDO7:BDO35)</f>
        <v>3823494.88</v>
      </c>
      <c r="BDP36" s="757">
        <f>SUM(BDP7:BDP35)</f>
        <v>3924051.5488399994</v>
      </c>
      <c r="BDQ36" s="757">
        <f>SUM(BDQ7:BDQ35)</f>
        <v>0</v>
      </c>
      <c r="BDR36" s="758">
        <f>BDQ36/BDO36</f>
        <v>0</v>
      </c>
      <c r="BDS36" s="586">
        <f>SUM(BDS7:BDS35)</f>
        <v>483654.68759999995</v>
      </c>
      <c r="BDT36" s="586">
        <f>SUM(BDT7:BDT35)</f>
        <v>493072.20905279997</v>
      </c>
      <c r="BDU36" s="926">
        <f>SUM(BDU7:BDU35)</f>
        <v>0</v>
      </c>
      <c r="BDV36" s="728">
        <f>BDU36/BDS36</f>
        <v>0</v>
      </c>
      <c r="BDW36" s="586">
        <f>SUM(BDW7:BDW35)</f>
        <v>483654.68759999995</v>
      </c>
      <c r="BDX36" s="586">
        <f>SUM(BDX7:BDX35)</f>
        <v>493072.20905279997</v>
      </c>
      <c r="BDY36" s="926">
        <f>SUM(BDY7:BDY35)</f>
        <v>0</v>
      </c>
      <c r="BDZ36" s="728">
        <f>BDY36/BDW36</f>
        <v>0</v>
      </c>
      <c r="BEA36" s="586">
        <f>SUM(BEA7:BEA35)</f>
        <v>483654.68759999995</v>
      </c>
      <c r="BEB36" s="586">
        <f>SUM(BEB7:BEB35)</f>
        <v>493072.20905279997</v>
      </c>
      <c r="BEC36" s="926">
        <f>SUM(BEC7:BEC35)</f>
        <v>0</v>
      </c>
      <c r="BED36" s="728">
        <f>BEC36/BEA36</f>
        <v>0</v>
      </c>
      <c r="BEE36" s="586">
        <f>SUM(BEE7:BEE35)</f>
        <v>406013.73120000015</v>
      </c>
      <c r="BEF36" s="586">
        <f>SUM(BEF7:BEF35)</f>
        <v>493072.20905279997</v>
      </c>
      <c r="BEG36" s="926">
        <f>SUM(BEG7:BEG35)</f>
        <v>0</v>
      </c>
      <c r="BEH36" s="728">
        <f>BEG36/BEE36</f>
        <v>0</v>
      </c>
      <c r="BEI36" s="586">
        <f>SUM(BEI7:BEI35)</f>
        <v>564263.80220000003</v>
      </c>
      <c r="BEJ36" s="586">
        <f>SUM(BEJ7:BEJ35)</f>
        <v>575250.91056160012</v>
      </c>
      <c r="BEK36" s="926">
        <f>SUM(BEK7:BEK35)</f>
        <v>0</v>
      </c>
      <c r="BEL36" s="728">
        <f>BEK36/BEI36</f>
        <v>0</v>
      </c>
      <c r="BEM36" s="586">
        <f>SUM(BEM7:BEM35)</f>
        <v>644872.91680000001</v>
      </c>
      <c r="BEN36" s="586">
        <f>SUM(BEN7:BEN35)</f>
        <v>657429.61207040027</v>
      </c>
      <c r="BEO36" s="926">
        <f>SUM(BEO7:BEO35)</f>
        <v>0</v>
      </c>
      <c r="BEP36" s="728">
        <f>BEO36/BEM36</f>
        <v>0</v>
      </c>
      <c r="BEQ36" s="586">
        <f>SUM(BEQ7:BEQ35)</f>
        <v>886700.26060000004</v>
      </c>
      <c r="BER36" s="586">
        <f>SUM(BER7:BER35)</f>
        <v>903965.71659679979</v>
      </c>
      <c r="BES36" s="926">
        <f>SUM(BES7:BES35)</f>
        <v>0</v>
      </c>
      <c r="BET36" s="728">
        <f>BES36/BEQ36</f>
        <v>0</v>
      </c>
      <c r="BEU36" s="757">
        <f>SUM(BEU7:BEU35)</f>
        <v>3952814.7736</v>
      </c>
      <c r="BEV36" s="757">
        <f>SUM(BEV7:BEV35)</f>
        <v>4108935.0754399989</v>
      </c>
      <c r="BEW36" s="757">
        <f>SUM(BEW7:BEW35)</f>
        <v>0</v>
      </c>
      <c r="BEX36" s="758">
        <f>BEW36/BEU36</f>
        <v>0</v>
      </c>
      <c r="BEY36" s="586">
        <f>SUM(BEY7:BEY35)</f>
        <v>645956.0172</v>
      </c>
      <c r="BEZ36" s="586">
        <f>SUM(BEZ7:BEZ35)</f>
        <v>657646.87909919978</v>
      </c>
      <c r="BFA36" s="925">
        <f>SUM(BFA7:BFA35)</f>
        <v>0</v>
      </c>
      <c r="BFB36" s="705">
        <f>BFA36/BEY36</f>
        <v>0</v>
      </c>
      <c r="BFC36" s="586">
        <f>SUM(BFC7:BFC35)</f>
        <v>645956.0172</v>
      </c>
      <c r="BFD36" s="586">
        <f>SUM(BFD7:BFD35)</f>
        <v>657646.87909919978</v>
      </c>
      <c r="BFE36" s="925">
        <f>SUM(BFE7:BFE35)</f>
        <v>0</v>
      </c>
      <c r="BFF36" s="705">
        <f>BFE36/BFC36</f>
        <v>0</v>
      </c>
      <c r="BFG36" s="586">
        <f>SUM(BFG7:BFG35)</f>
        <v>645956.0172</v>
      </c>
      <c r="BFH36" s="586">
        <f>SUM(BFH7:BFH35)</f>
        <v>657646.87909919978</v>
      </c>
      <c r="BFI36" s="925">
        <f>SUM(BFI7:BFI35)</f>
        <v>0</v>
      </c>
      <c r="BFJ36" s="705">
        <f>BFI36/BFG36</f>
        <v>0</v>
      </c>
      <c r="BFK36" s="586">
        <f>SUM(BFK7:BFK35)</f>
        <v>645956.0172</v>
      </c>
      <c r="BFL36" s="586">
        <f>SUM(BFL7:BFL35)</f>
        <v>657646.87909919978</v>
      </c>
      <c r="BFM36" s="925">
        <f>SUM(BFM7:BFM35)</f>
        <v>0</v>
      </c>
      <c r="BFN36" s="705">
        <f>BFM36/BFK36</f>
        <v>0</v>
      </c>
      <c r="BFO36" s="586">
        <f>SUM(BFO7:BFO35)</f>
        <v>753615.35339999991</v>
      </c>
      <c r="BFP36" s="586">
        <f>SUM(BFP7:BFP35)</f>
        <v>767254.69228240009</v>
      </c>
      <c r="BFQ36" s="925">
        <f>SUM(BFQ7:BFQ35)</f>
        <v>0</v>
      </c>
      <c r="BFR36" s="705">
        <f>BFQ36/BFO36</f>
        <v>0</v>
      </c>
      <c r="BFS36" s="586">
        <f>SUM(BFS7:BFS35)</f>
        <v>861274.68959999993</v>
      </c>
      <c r="BFT36" s="586">
        <f>SUM(BFT7:BFT35)</f>
        <v>876862.50546559994</v>
      </c>
      <c r="BFU36" s="925">
        <f>SUM(BFU7:BFU35)</f>
        <v>0</v>
      </c>
      <c r="BFV36" s="705">
        <f>BFU36/BFS36</f>
        <v>0</v>
      </c>
      <c r="BFW36" s="586">
        <f>SUM(BFW7:BFW35)</f>
        <v>1184252.6982</v>
      </c>
      <c r="BFX36" s="586">
        <f>SUM(BFX7:BFX35)</f>
        <v>1205685.9450151999</v>
      </c>
      <c r="BFY36" s="925">
        <f>SUM(BFY7:BFY35)</f>
        <v>0</v>
      </c>
      <c r="BFZ36" s="705">
        <f>BFY36/BFW36</f>
        <v>0</v>
      </c>
      <c r="BGA36" s="718">
        <f>SUM(BGA7:BGA35)</f>
        <v>5382966.8100000005</v>
      </c>
      <c r="BGB36" s="718">
        <f>SUM(BGB7:BGB35)</f>
        <v>5480390.6591599984</v>
      </c>
      <c r="BGC36" s="718">
        <f>SUM(BGC7:BGC35)</f>
        <v>0</v>
      </c>
      <c r="BGD36" s="719">
        <f>BGC36/BGA36</f>
        <v>0</v>
      </c>
      <c r="BGE36" s="586">
        <f>SUM(BGE7:BGE35)</f>
        <v>801370.72080000001</v>
      </c>
      <c r="BGF36" s="586">
        <f>SUM(BGF7:BGF35)</f>
        <v>815499.06633360009</v>
      </c>
      <c r="BGG36" s="926">
        <f>SUM(BGG7:BGG35)</f>
        <v>0</v>
      </c>
      <c r="BGH36" s="728">
        <f>BGG36/BGE36</f>
        <v>0</v>
      </c>
      <c r="BGI36" s="586">
        <f>SUM(BGI7:BGI35)</f>
        <v>801370.72080000001</v>
      </c>
      <c r="BGJ36" s="586">
        <f>SUM(BGJ7:BGJ35)</f>
        <v>815499.06633360009</v>
      </c>
      <c r="BGK36" s="926">
        <f>SUM(BGK7:BGK35)</f>
        <v>0</v>
      </c>
      <c r="BGL36" s="728">
        <f>BGK36/BGI36</f>
        <v>0</v>
      </c>
      <c r="BGM36" s="586">
        <f>SUM(BGM7:BGM35)</f>
        <v>801370.72080000001</v>
      </c>
      <c r="BGN36" s="586">
        <f>SUM(BGN7:BGN35)</f>
        <v>815499.06633360009</v>
      </c>
      <c r="BGO36" s="926">
        <f>SUM(BGO7:BGO35)</f>
        <v>0</v>
      </c>
      <c r="BGP36" s="728">
        <f>BGO36/BGM36</f>
        <v>0</v>
      </c>
      <c r="BGQ36" s="586">
        <f>SUM(BGQ7:BGQ35)</f>
        <v>801370.72080000001</v>
      </c>
      <c r="BGR36" s="586">
        <f>SUM(BGR7:BGR35)</f>
        <v>815499.06633360009</v>
      </c>
      <c r="BGS36" s="926">
        <f>SUM(BGS7:BGS35)</f>
        <v>0</v>
      </c>
      <c r="BGT36" s="728">
        <f>BGS36/BGQ36</f>
        <v>0</v>
      </c>
      <c r="BGU36" s="586">
        <f>SUM(BGU7:BGU35)</f>
        <v>934932.50760000013</v>
      </c>
      <c r="BGV36" s="586">
        <f>SUM(BGV7:BGV35)</f>
        <v>951415.57738920022</v>
      </c>
      <c r="BGW36" s="926">
        <f>SUM(BGW7:BGW35)</f>
        <v>0</v>
      </c>
      <c r="BGX36" s="728">
        <f>BGW36/BGU36</f>
        <v>0</v>
      </c>
      <c r="BGY36" s="586">
        <f>SUM(BGY7:BGY35)</f>
        <v>1068494.2944</v>
      </c>
      <c r="BGZ36" s="586">
        <f>SUM(BGZ7:BGZ35)</f>
        <v>1087332.0884448001</v>
      </c>
      <c r="BHA36" s="926">
        <f>SUM(BHA7:BHA35)</f>
        <v>0</v>
      </c>
      <c r="BHB36" s="728">
        <f>BHA36/BGY36</f>
        <v>0</v>
      </c>
      <c r="BHC36" s="586">
        <f>SUM(BHC7:BHC35)</f>
        <v>1469179.6548000001</v>
      </c>
      <c r="BHD36" s="586">
        <f>SUM(BHD7:BHD35)</f>
        <v>1495081.6216116</v>
      </c>
      <c r="BHE36" s="926">
        <f>SUM(BHE7:BHE35)</f>
        <v>0</v>
      </c>
      <c r="BHF36" s="728">
        <f>BHE36/BHC36</f>
        <v>0</v>
      </c>
      <c r="BHG36" s="718">
        <f>SUM(BHG7:BHG35)</f>
        <v>6678089.3399999999</v>
      </c>
      <c r="BHH36" s="718">
        <f>SUM(BHH7:BHH35)</f>
        <v>6795825.5527800014</v>
      </c>
      <c r="BHI36" s="718">
        <f>SUM(BHI7:BHI35)</f>
        <v>0</v>
      </c>
      <c r="BHJ36" s="719">
        <f>BHI36/BHG36</f>
        <v>0</v>
      </c>
      <c r="BHK36" s="586">
        <f>SUM(BHK7:BHK35)</f>
        <v>1053812.7947999998</v>
      </c>
      <c r="BHL36" s="586">
        <f>SUM(BHL7:BHL35)</f>
        <v>1071947.9649846002</v>
      </c>
      <c r="BHM36" s="925">
        <f>SUM(BHM7:BHM35)</f>
        <v>0</v>
      </c>
      <c r="BHN36" s="705">
        <f>BHM36/BHK36</f>
        <v>0</v>
      </c>
      <c r="BHO36" s="586">
        <f>SUM(BHO7:BHO35)</f>
        <v>1053812.7947999998</v>
      </c>
      <c r="BHP36" s="586">
        <f>SUM(BHP7:BHP35)</f>
        <v>1071947.9649846002</v>
      </c>
      <c r="BHQ36" s="925">
        <f>SUM(BHQ7:BHQ35)</f>
        <v>0</v>
      </c>
      <c r="BHR36" s="705">
        <f>BHQ36/BHO36</f>
        <v>0</v>
      </c>
      <c r="BHS36" s="586">
        <f>SUM(BHS7:BHS35)</f>
        <v>1053812.7947999998</v>
      </c>
      <c r="BHT36" s="586">
        <f>SUM(BHT7:BHT35)</f>
        <v>1071947.9649846002</v>
      </c>
      <c r="BHU36" s="925">
        <f>SUM(BHU7:BHU35)</f>
        <v>0</v>
      </c>
      <c r="BHV36" s="705">
        <f>BHU36/BHS36</f>
        <v>0</v>
      </c>
      <c r="BHW36" s="586">
        <f>SUM(BHW7:BHW35)</f>
        <v>1053812.7947999998</v>
      </c>
      <c r="BHX36" s="586">
        <f>SUM(BHX7:BHX35)</f>
        <v>1071947.9649846002</v>
      </c>
      <c r="BHY36" s="925">
        <f>SUM(BHY7:BHY35)</f>
        <v>0</v>
      </c>
      <c r="BHZ36" s="705">
        <f>BHY36/BHW36</f>
        <v>0</v>
      </c>
      <c r="BIA36" s="586">
        <f>SUM(BIA7:BIA35)</f>
        <v>1229448.2605999997</v>
      </c>
      <c r="BIB36" s="586">
        <f>SUM(BIB7:BIB35)</f>
        <v>1250605.9591486999</v>
      </c>
      <c r="BIC36" s="925">
        <f>SUM(BIC7:BIC35)</f>
        <v>0</v>
      </c>
      <c r="BID36" s="705">
        <f>BIC36/BIA36</f>
        <v>0</v>
      </c>
      <c r="BIE36" s="586">
        <f>SUM(BIE7:BIE35)</f>
        <v>1405083.7264</v>
      </c>
      <c r="BIF36" s="586">
        <f>SUM(BIF7:BIF35)</f>
        <v>1429263.9533127998</v>
      </c>
      <c r="BIG36" s="925">
        <f>SUM(BIG7:BIG35)</f>
        <v>0</v>
      </c>
      <c r="BIH36" s="705">
        <f>BIG36/BIE36</f>
        <v>0</v>
      </c>
      <c r="BII36" s="586">
        <f>SUM(BII7:BII35)</f>
        <v>1931990.1238000002</v>
      </c>
      <c r="BIJ36" s="586">
        <f>SUM(BIJ7:BIJ35)</f>
        <v>1965237.9358050998</v>
      </c>
      <c r="BIK36" s="925">
        <f>SUM(BIK7:BIK35)</f>
        <v>0</v>
      </c>
      <c r="BIL36" s="705">
        <f>BIK36/BII36</f>
        <v>0</v>
      </c>
      <c r="BIM36" s="718">
        <f>SUM(BIM7:BIM35)</f>
        <v>8781773.290000001</v>
      </c>
      <c r="BIN36" s="718">
        <f>SUM(BIN7:BIN35)</f>
        <v>8932899.7082049977</v>
      </c>
      <c r="BIO36" s="718">
        <f>SUM(BIO7:BIO35)</f>
        <v>0</v>
      </c>
      <c r="BIP36" s="719">
        <f>BIO36/BIM36</f>
        <v>0</v>
      </c>
      <c r="BIQ36" s="586">
        <f>SUM(BIQ7:BIQ35)</f>
        <v>920038.43279999995</v>
      </c>
      <c r="BIR36" s="586">
        <f>SUM(BIR7:BIR35)</f>
        <v>935397.74023320002</v>
      </c>
      <c r="BIS36" s="926">
        <f>SUM(BIS7:BIS35)</f>
        <v>0</v>
      </c>
      <c r="BIT36" s="728">
        <f>BIS36/BIQ36</f>
        <v>0</v>
      </c>
      <c r="BIU36" s="586">
        <f>SUM(BIU7:BIU35)</f>
        <v>920038.43279999995</v>
      </c>
      <c r="BIV36" s="586">
        <f>SUM(BIV7:BIV35)</f>
        <v>935397.74023320002</v>
      </c>
      <c r="BIW36" s="926">
        <f>SUM(BIW7:BIW35)</f>
        <v>0</v>
      </c>
      <c r="BIX36" s="728">
        <f>BIW36/BIU36</f>
        <v>0</v>
      </c>
      <c r="BIY36" s="586">
        <f>SUM(BIY7:BIY35)</f>
        <v>920038.43279999995</v>
      </c>
      <c r="BIZ36" s="586">
        <f>SUM(BIZ7:BIZ35)</f>
        <v>935397.74023320002</v>
      </c>
      <c r="BJA36" s="926">
        <f>SUM(BJA7:BJA35)</f>
        <v>0</v>
      </c>
      <c r="BJB36" s="728">
        <f>BJA36/BIY36</f>
        <v>0</v>
      </c>
      <c r="BJC36" s="586">
        <f>SUM(BJC7:BJC35)</f>
        <v>920038.43279999995</v>
      </c>
      <c r="BJD36" s="586">
        <f>SUM(BJD7:BJD35)</f>
        <v>935397.74023320002</v>
      </c>
      <c r="BJE36" s="926">
        <f>SUM(BJE7:BJE35)</f>
        <v>0</v>
      </c>
      <c r="BJF36" s="728">
        <f>BJE36/BJC36</f>
        <v>0</v>
      </c>
      <c r="BJG36" s="586">
        <f>SUM(BJG7:BJG35)</f>
        <v>1073378.1716</v>
      </c>
      <c r="BJH36" s="586">
        <f>SUM(BJH7:BJH35)</f>
        <v>1091297.3636054001</v>
      </c>
      <c r="BJI36" s="926">
        <f>SUM(BJI7:BJI35)</f>
        <v>0</v>
      </c>
      <c r="BJJ36" s="728">
        <f>BJI36/BJG36</f>
        <v>0</v>
      </c>
      <c r="BJK36" s="586">
        <f>SUM(BJK7:BJK35)</f>
        <v>1226717.9104000004</v>
      </c>
      <c r="BJL36" s="586">
        <f>SUM(BJL7:BJL35)</f>
        <v>1247196.9869776003</v>
      </c>
      <c r="BJM36" s="926">
        <f>SUM(BJM7:BJM35)</f>
        <v>0</v>
      </c>
      <c r="BJN36" s="728">
        <f>BJM36/BJK36</f>
        <v>0</v>
      </c>
      <c r="BJO36" s="586">
        <f>SUM(BJO7:BJO35)</f>
        <v>1686737.1268</v>
      </c>
      <c r="BJP36" s="586">
        <f>SUM(BJP7:BJP35)</f>
        <v>1679160.4784349997</v>
      </c>
      <c r="BJQ36" s="926">
        <f>SUM(BJQ7:BJQ35)</f>
        <v>0</v>
      </c>
      <c r="BJR36" s="728">
        <f>BJQ36/BJO36</f>
        <v>0</v>
      </c>
      <c r="BJS36" s="718">
        <f>SUM(BJS7:BJS35)</f>
        <v>7666986.9400000004</v>
      </c>
      <c r="BJT36" s="718">
        <f>SUM(BJT7:BJT35)</f>
        <v>7759245.789950802</v>
      </c>
      <c r="BJU36" s="718">
        <f>SUM(BJU7:BJU35)</f>
        <v>0</v>
      </c>
      <c r="BJV36" s="719">
        <f>BJU36/BJS36</f>
        <v>0</v>
      </c>
      <c r="BJW36" s="586">
        <f>SUM(BJW7:BJW35)</f>
        <v>327376.16039999999</v>
      </c>
      <c r="BJX36" s="586">
        <f>SUM(BJX7:BJX35)</f>
        <v>335405.1605532</v>
      </c>
      <c r="BJY36" s="925">
        <f>SUM(BJY7:BJY35)</f>
        <v>0</v>
      </c>
      <c r="BJZ36" s="705">
        <f>BJY36/BJW36</f>
        <v>0</v>
      </c>
      <c r="BKA36" s="586">
        <f>SUM(BKA7:BKA35)</f>
        <v>327376.16039999999</v>
      </c>
      <c r="BKB36" s="586">
        <f>SUM(BKB7:BKB35)</f>
        <v>335405.1605532</v>
      </c>
      <c r="BKC36" s="925">
        <f>SUM(BKC7:BKC35)</f>
        <v>0</v>
      </c>
      <c r="BKD36" s="705">
        <f>BKC36/BKA36</f>
        <v>0</v>
      </c>
      <c r="BKE36" s="586">
        <f>SUM(BKE7:BKE35)</f>
        <v>327376.16039999999</v>
      </c>
      <c r="BKF36" s="586">
        <f>SUM(BKF7:BKF35)</f>
        <v>335405.1605532</v>
      </c>
      <c r="BKG36" s="925">
        <f>SUM(BKG7:BKG35)</f>
        <v>0</v>
      </c>
      <c r="BKH36" s="705">
        <f>BKG36/BKE36</f>
        <v>0</v>
      </c>
      <c r="BKI36" s="586">
        <f>SUM(BKI7:BKI35)</f>
        <v>327376.16039999999</v>
      </c>
      <c r="BKJ36" s="586">
        <f>SUM(BKJ7:BKJ35)</f>
        <v>335405.1605532</v>
      </c>
      <c r="BKK36" s="925">
        <f>SUM(BKK7:BKK35)</f>
        <v>0</v>
      </c>
      <c r="BKL36" s="705">
        <f>BKK36/BKI36</f>
        <v>0</v>
      </c>
      <c r="BKM36" s="586">
        <f>SUM(BKM7:BKM35)</f>
        <v>381938.85380000004</v>
      </c>
      <c r="BKN36" s="586">
        <f>SUM(BKN7:BKN35)</f>
        <v>391306.02064539999</v>
      </c>
      <c r="BKO36" s="925">
        <f>SUM(BKO7:BKO35)</f>
        <v>0</v>
      </c>
      <c r="BKP36" s="705">
        <f>BKO36/BKM36</f>
        <v>0</v>
      </c>
      <c r="BKQ36" s="586">
        <f>SUM(BKQ7:BKQ35)</f>
        <v>436501.54720000003</v>
      </c>
      <c r="BKR36" s="586">
        <f>SUM(BKR7:BKR35)</f>
        <v>447206.88073759992</v>
      </c>
      <c r="BKS36" s="925">
        <f>SUM(BKS7:BKS35)</f>
        <v>0</v>
      </c>
      <c r="BKT36" s="705">
        <f>BKS36/BKQ36</f>
        <v>0</v>
      </c>
      <c r="BKU36" s="586">
        <f>SUM(BKU7:BKU35)</f>
        <v>600189.62739999988</v>
      </c>
      <c r="BKV36" s="586">
        <f>SUM(BKV7:BKV35)</f>
        <v>614909.4610142</v>
      </c>
      <c r="BKW36" s="925">
        <f>SUM(BKW7:BKW35)</f>
        <v>0</v>
      </c>
      <c r="BKX36" s="705">
        <f>BKW36/BKU36</f>
        <v>0</v>
      </c>
      <c r="BKY36" s="718">
        <f>SUM(BKY7:BKY35)</f>
        <v>2728134.6699999995</v>
      </c>
      <c r="BKZ36" s="718">
        <f>SUM(BKZ7:BKZ35)</f>
        <v>2795043.0046100002</v>
      </c>
      <c r="BLA36" s="718">
        <f>SUM(BLA7:BLA35)</f>
        <v>0</v>
      </c>
      <c r="BLB36" s="719">
        <f>BLA36/BKY36</f>
        <v>0</v>
      </c>
    </row>
    <row r="37" spans="2:1666">
      <c r="B37" s="444"/>
      <c r="C37" s="587"/>
      <c r="D37" s="515"/>
      <c r="E37" s="515"/>
      <c r="F37" s="383"/>
      <c r="G37" s="515"/>
      <c r="H37" s="515"/>
      <c r="I37" s="515"/>
      <c r="J37" s="383"/>
      <c r="K37" s="515"/>
      <c r="L37" s="515"/>
      <c r="M37" s="515"/>
      <c r="N37" s="383"/>
      <c r="O37" s="515"/>
      <c r="P37" s="515"/>
      <c r="Q37" s="515"/>
      <c r="R37" s="383"/>
      <c r="S37" s="515"/>
      <c r="T37" s="515"/>
      <c r="U37" s="515"/>
      <c r="V37" s="383"/>
      <c r="W37" s="515"/>
      <c r="X37" s="515"/>
      <c r="Y37" s="515"/>
      <c r="Z37" s="383"/>
      <c r="AA37" s="515"/>
      <c r="AB37" s="515"/>
      <c r="AC37" s="515"/>
      <c r="AD37" s="383"/>
      <c r="AE37" s="515"/>
      <c r="AF37" s="515"/>
      <c r="AH37" s="383"/>
      <c r="IY37" s="587"/>
      <c r="IZ37" s="515"/>
      <c r="JA37" s="515"/>
      <c r="JB37" s="383"/>
      <c r="JC37" s="515"/>
      <c r="JD37" s="515"/>
      <c r="JE37" s="515"/>
      <c r="JF37" s="383"/>
      <c r="JG37" s="515"/>
      <c r="JH37" s="515"/>
      <c r="JI37" s="515"/>
      <c r="JJ37" s="383"/>
      <c r="JK37" s="515"/>
      <c r="JL37" s="515"/>
      <c r="JM37" s="515"/>
      <c r="JN37" s="383"/>
      <c r="JO37" s="515"/>
      <c r="JP37" s="515"/>
      <c r="JQ37" s="515"/>
      <c r="JR37" s="383"/>
      <c r="JS37" s="515"/>
      <c r="JT37" s="515"/>
      <c r="JU37" s="515"/>
      <c r="JV37" s="383"/>
      <c r="JW37" s="515"/>
      <c r="JX37" s="515"/>
      <c r="JY37" s="515"/>
      <c r="JZ37" s="383"/>
      <c r="KA37" s="515"/>
      <c r="KB37" s="515"/>
      <c r="KD37" s="383"/>
      <c r="YY37" s="587"/>
      <c r="YZ37" s="515"/>
      <c r="ZA37" s="515"/>
      <c r="ZB37" s="383"/>
      <c r="ZC37" s="515"/>
      <c r="ZD37" s="515"/>
      <c r="ZE37" s="515"/>
      <c r="ZF37" s="383"/>
      <c r="ZG37" s="515"/>
      <c r="ZH37" s="515"/>
      <c r="ZI37" s="515"/>
      <c r="ZJ37" s="383"/>
      <c r="ZK37" s="515"/>
      <c r="ZL37" s="515"/>
      <c r="ZM37" s="515"/>
      <c r="ZN37" s="383"/>
      <c r="ZO37" s="515"/>
      <c r="ZP37" s="515"/>
      <c r="ZQ37" s="515"/>
      <c r="ZR37" s="383"/>
      <c r="ZS37" s="515"/>
      <c r="ZT37" s="515"/>
      <c r="ZU37" s="515"/>
      <c r="ZV37" s="383"/>
      <c r="ZW37" s="515"/>
      <c r="ZX37" s="515"/>
      <c r="ZY37" s="515"/>
      <c r="ZZ37" s="383"/>
      <c r="AAA37" s="515"/>
      <c r="AAB37" s="515"/>
      <c r="AAD37" s="383"/>
      <c r="AOY37" s="587"/>
      <c r="AOZ37" s="515"/>
      <c r="APA37" s="515"/>
      <c r="APB37" s="383"/>
      <c r="APC37" s="515"/>
      <c r="APD37" s="515"/>
      <c r="APE37" s="515"/>
      <c r="APF37" s="383"/>
      <c r="APG37" s="515"/>
      <c r="APH37" s="515"/>
      <c r="API37" s="515"/>
      <c r="APJ37" s="383"/>
      <c r="APK37" s="515"/>
      <c r="APL37" s="515"/>
      <c r="APM37" s="515"/>
      <c r="APN37" s="383"/>
      <c r="APO37" s="515"/>
      <c r="APP37" s="515"/>
      <c r="APQ37" s="515"/>
      <c r="APR37" s="383"/>
      <c r="APS37" s="515"/>
      <c r="APT37" s="515"/>
      <c r="APU37" s="515"/>
      <c r="APV37" s="383"/>
      <c r="APW37" s="515"/>
      <c r="APX37" s="515"/>
      <c r="APY37" s="515"/>
      <c r="APZ37" s="383"/>
      <c r="AQA37" s="515"/>
      <c r="AQB37" s="515"/>
      <c r="AQD37" s="383"/>
      <c r="BEY37" s="587"/>
      <c r="BEZ37" s="515"/>
      <c r="BFA37" s="515"/>
      <c r="BFB37" s="383"/>
      <c r="BFC37" s="515"/>
      <c r="BFD37" s="515"/>
      <c r="BFE37" s="515"/>
      <c r="BFF37" s="383"/>
      <c r="BFG37" s="515"/>
      <c r="BFH37" s="515"/>
      <c r="BFI37" s="515"/>
      <c r="BFJ37" s="383"/>
      <c r="BFK37" s="515"/>
      <c r="BFL37" s="515"/>
      <c r="BFM37" s="515"/>
      <c r="BFN37" s="383"/>
      <c r="BFO37" s="515"/>
      <c r="BFP37" s="515"/>
      <c r="BFQ37" s="515"/>
      <c r="BFR37" s="383"/>
      <c r="BFS37" s="515"/>
      <c r="BFT37" s="515"/>
      <c r="BFU37" s="515"/>
      <c r="BFV37" s="383"/>
      <c r="BFW37" s="515"/>
      <c r="BFX37" s="515"/>
      <c r="BFY37" s="515"/>
      <c r="BFZ37" s="383"/>
      <c r="BGA37" s="515"/>
      <c r="BGB37" s="515"/>
      <c r="BGD37" s="383"/>
    </row>
    <row r="38" spans="2:1666" ht="15.75" thickBot="1">
      <c r="B38" s="444"/>
      <c r="C38" s="587"/>
      <c r="D38" s="515"/>
      <c r="E38" s="515"/>
      <c r="F38" s="383"/>
      <c r="G38" s="515"/>
      <c r="H38" s="515"/>
      <c r="I38" s="515"/>
      <c r="J38" s="383"/>
      <c r="K38" s="515"/>
      <c r="L38" s="515"/>
      <c r="M38" s="515"/>
      <c r="N38" s="383"/>
      <c r="O38" s="515"/>
      <c r="P38" s="515"/>
      <c r="Q38" s="515"/>
      <c r="R38" s="383"/>
      <c r="S38" s="515"/>
      <c r="T38" s="515"/>
      <c r="U38" s="515"/>
      <c r="V38" s="383"/>
      <c r="W38" s="515"/>
      <c r="X38" s="515"/>
      <c r="Y38" s="515"/>
      <c r="Z38" s="383"/>
      <c r="AA38" s="515"/>
      <c r="AB38" s="515"/>
      <c r="AC38" s="515"/>
      <c r="AD38" s="383"/>
      <c r="AE38" s="515"/>
      <c r="AF38" s="515"/>
      <c r="AH38" s="383"/>
      <c r="IY38" s="587"/>
      <c r="IZ38" s="515"/>
      <c r="JA38" s="515"/>
      <c r="JB38" s="383"/>
      <c r="JC38" s="515"/>
      <c r="JD38" s="515"/>
      <c r="JE38" s="515"/>
      <c r="JF38" s="383"/>
      <c r="JG38" s="515"/>
      <c r="JH38" s="515"/>
      <c r="JI38" s="515"/>
      <c r="JJ38" s="383"/>
      <c r="JK38" s="515"/>
      <c r="JL38" s="515"/>
      <c r="JM38" s="515"/>
      <c r="JN38" s="383"/>
      <c r="JO38" s="515"/>
      <c r="JP38" s="515"/>
      <c r="JQ38" s="515"/>
      <c r="JR38" s="383"/>
      <c r="JS38" s="515"/>
      <c r="JT38" s="515"/>
      <c r="JU38" s="515"/>
      <c r="JV38" s="383"/>
      <c r="JW38" s="515"/>
      <c r="JX38" s="515"/>
      <c r="JY38" s="515"/>
      <c r="JZ38" s="383"/>
      <c r="KA38" s="515"/>
      <c r="KB38" s="515"/>
      <c r="KD38" s="383"/>
      <c r="YY38" s="587"/>
      <c r="YZ38" s="515"/>
      <c r="ZA38" s="515"/>
      <c r="ZB38" s="383"/>
      <c r="ZC38" s="515"/>
      <c r="ZD38" s="515"/>
      <c r="ZE38" s="515"/>
      <c r="ZF38" s="383"/>
      <c r="ZG38" s="515"/>
      <c r="ZH38" s="515"/>
      <c r="ZI38" s="515"/>
      <c r="ZJ38" s="383"/>
      <c r="ZK38" s="515"/>
      <c r="ZL38" s="515"/>
      <c r="ZM38" s="515"/>
      <c r="ZN38" s="383"/>
      <c r="ZO38" s="515"/>
      <c r="ZP38" s="515"/>
      <c r="ZQ38" s="515"/>
      <c r="ZR38" s="383"/>
      <c r="ZS38" s="515"/>
      <c r="ZT38" s="515"/>
      <c r="ZU38" s="515"/>
      <c r="ZV38" s="383"/>
      <c r="ZW38" s="515"/>
      <c r="ZX38" s="515"/>
      <c r="ZY38" s="515"/>
      <c r="ZZ38" s="383"/>
      <c r="AAA38" s="515"/>
      <c r="AAB38" s="515"/>
      <c r="AAD38" s="383"/>
      <c r="AOY38" s="587"/>
      <c r="AOZ38" s="515"/>
      <c r="APA38" s="515"/>
      <c r="APB38" s="383"/>
      <c r="APC38" s="515"/>
      <c r="APD38" s="515"/>
      <c r="APE38" s="515"/>
      <c r="APF38" s="383"/>
      <c r="APG38" s="515"/>
      <c r="APH38" s="515"/>
      <c r="API38" s="515"/>
      <c r="APJ38" s="383"/>
      <c r="APK38" s="515"/>
      <c r="APL38" s="515"/>
      <c r="APM38" s="515"/>
      <c r="APN38" s="383"/>
      <c r="APO38" s="515"/>
      <c r="APP38" s="515"/>
      <c r="APQ38" s="515"/>
      <c r="APR38" s="383"/>
      <c r="APS38" s="515"/>
      <c r="APT38" s="515"/>
      <c r="APU38" s="515"/>
      <c r="APV38" s="383"/>
      <c r="APW38" s="515"/>
      <c r="APX38" s="515"/>
      <c r="APY38" s="515"/>
      <c r="APZ38" s="383"/>
      <c r="AQA38" s="515"/>
      <c r="AQB38" s="515"/>
      <c r="AQD38" s="383"/>
      <c r="BEY38" s="587"/>
      <c r="BEZ38" s="515"/>
      <c r="BFA38" s="515"/>
      <c r="BFB38" s="383"/>
      <c r="BFC38" s="515"/>
      <c r="BFD38" s="515"/>
      <c r="BFE38" s="515"/>
      <c r="BFF38" s="383"/>
      <c r="BFG38" s="515"/>
      <c r="BFH38" s="515"/>
      <c r="BFI38" s="515"/>
      <c r="BFJ38" s="383"/>
      <c r="BFK38" s="515"/>
      <c r="BFL38" s="515"/>
      <c r="BFM38" s="515"/>
      <c r="BFN38" s="383"/>
      <c r="BFO38" s="515"/>
      <c r="BFP38" s="515"/>
      <c r="BFQ38" s="515"/>
      <c r="BFR38" s="383"/>
      <c r="BFS38" s="515"/>
      <c r="BFT38" s="515"/>
      <c r="BFU38" s="515"/>
      <c r="BFV38" s="383"/>
      <c r="BFW38" s="515"/>
      <c r="BFX38" s="515"/>
      <c r="BFY38" s="515"/>
      <c r="BFZ38" s="383"/>
      <c r="BGA38" s="515"/>
      <c r="BGB38" s="515"/>
      <c r="BGD38" s="383"/>
    </row>
    <row r="39" spans="2:1666">
      <c r="B39" s="594" t="s">
        <v>42</v>
      </c>
      <c r="C39" s="577">
        <f>C7+C8+C10+C14+C15+C16+C18</f>
        <v>66703.887600000002</v>
      </c>
      <c r="D39" s="577">
        <f>D7+D8+D10+D14+D15+D16+D18</f>
        <v>59366.459964000009</v>
      </c>
      <c r="E39" s="580"/>
      <c r="F39" s="595">
        <f>E39/C39</f>
        <v>0</v>
      </c>
      <c r="G39" s="577">
        <f>G7+G8+G10+G14+G15+G16+G18</f>
        <v>63177.961199999998</v>
      </c>
      <c r="H39" s="578">
        <f>H7+H8+H10+H14+H15+H16+H18</f>
        <v>56355.958848000002</v>
      </c>
      <c r="I39" s="578"/>
      <c r="J39" s="595">
        <f>I39/G39</f>
        <v>0</v>
      </c>
      <c r="K39" s="577">
        <f>K7+K8+K10+K14+K15+K16+K18</f>
        <v>63177.961199999998</v>
      </c>
      <c r="L39" s="578">
        <f>L7+L8+L10+L14+L15+L16+L18</f>
        <v>56355.958848000002</v>
      </c>
      <c r="M39" s="578"/>
      <c r="N39" s="595">
        <f>M39/K39</f>
        <v>0</v>
      </c>
      <c r="O39" s="577">
        <f>O7+O8+O10+O14+O15+O16+O18</f>
        <v>63177.961199999998</v>
      </c>
      <c r="P39" s="578">
        <f>P7+P8+P10+P14+P15+P16+P18</f>
        <v>56355.958848000002</v>
      </c>
      <c r="Q39" s="578"/>
      <c r="R39" s="595">
        <f>Q39/O39</f>
        <v>0</v>
      </c>
      <c r="S39" s="577">
        <f>S7+S8+S10+S14+S15+S16+S18</f>
        <v>73707.621400000004</v>
      </c>
      <c r="T39" s="578">
        <f>T7+T8+T10+T14+T15+T16+T18</f>
        <v>65748.618656000006</v>
      </c>
      <c r="U39" s="578"/>
      <c r="V39" s="595">
        <f>U39/S39</f>
        <v>0</v>
      </c>
      <c r="W39" s="577">
        <f>W7+W8+W10+W14+W15+W16+W18</f>
        <v>84237.281599999988</v>
      </c>
      <c r="X39" s="578">
        <f>X7+X8+X10+X14+X15+X16+X18</f>
        <v>75141.278464000003</v>
      </c>
      <c r="Y39" s="578"/>
      <c r="Z39" s="595">
        <f>Y39/W39</f>
        <v>0</v>
      </c>
      <c r="AA39" s="577">
        <f>AA7+AA8+AA10+AA14+AA15+AA16+AA18</f>
        <v>115826.2622</v>
      </c>
      <c r="AB39" s="578">
        <f>AB7+AB8+AB10+AB14+AB15+AB16+AB18</f>
        <v>103319.25788800001</v>
      </c>
      <c r="AC39" s="581"/>
      <c r="AD39" s="595">
        <f>AC39/AA39</f>
        <v>0</v>
      </c>
      <c r="AE39" s="577">
        <f>AE7+AE8+AE10+AE14+AE15+AE16+AE18</f>
        <v>530008.93640000001</v>
      </c>
      <c r="AF39" s="577">
        <f>AF7+AF8+AF10+AF14+AF15+AF16+AF18</f>
        <v>472643.49151599995</v>
      </c>
      <c r="AG39" s="577">
        <f>AG7+AG8+AG10+AG14+AG15+AG16+AG18</f>
        <v>0</v>
      </c>
      <c r="AH39" s="596">
        <f>AG39/AE39</f>
        <v>0</v>
      </c>
      <c r="IY39" s="577">
        <f>IY7+IY8+IY10+IY14+IY15+IY16+IY18</f>
        <v>64594.880399999995</v>
      </c>
      <c r="IZ39" s="577">
        <f>IZ7+IZ8+IZ10+IZ14+IZ15+IZ16+IZ18</f>
        <v>57929.364023999995</v>
      </c>
      <c r="JA39" s="580"/>
      <c r="JB39" s="595">
        <f>JA39/IY39</f>
        <v>0</v>
      </c>
      <c r="JC39" s="577">
        <f>JC7+JC8+JC10+JC14+JC15+JC16+JC18</f>
        <v>64594.880399999995</v>
      </c>
      <c r="JD39" s="578">
        <f>JD7+JD8+JD10+JD14+JD15+JD16+JD18</f>
        <v>57929.364023999995</v>
      </c>
      <c r="JE39" s="578"/>
      <c r="JF39" s="595">
        <f>JE39/JC39</f>
        <v>0</v>
      </c>
      <c r="JG39" s="577">
        <f>JG7+JG8+JG10+JG14+JG15+JG16+JG18</f>
        <v>64594.880399999995</v>
      </c>
      <c r="JH39" s="578">
        <f>JH7+JH8+JH10+JH14+JH15+JH16+JH18</f>
        <v>57929.364023999995</v>
      </c>
      <c r="JI39" s="578"/>
      <c r="JJ39" s="595">
        <f>JI39/JG39</f>
        <v>0</v>
      </c>
      <c r="JK39" s="577">
        <f>JK7+JK8+JK10+JK14+JK15+JK16+JK18</f>
        <v>64594.880399999995</v>
      </c>
      <c r="JL39" s="578">
        <f>JL7+JL8+JL10+JL14+JL15+JL16+JL18</f>
        <v>57929.364023999995</v>
      </c>
      <c r="JM39" s="578"/>
      <c r="JN39" s="595">
        <f>JM39/JK39</f>
        <v>0</v>
      </c>
      <c r="JO39" s="577">
        <f>JO7+JO8+JO10+JO14+JO15+JO16+JO18</f>
        <v>75360.693800000008</v>
      </c>
      <c r="JP39" s="578">
        <f>JP7+JP8+JP10+JP14+JP15+JP16+JP18</f>
        <v>67584.258028000011</v>
      </c>
      <c r="JQ39" s="578"/>
      <c r="JR39" s="595">
        <f>JQ39/JO39</f>
        <v>0</v>
      </c>
      <c r="JS39" s="577">
        <f>JS7+JS8+JS10+JS14+JS15+JS16+JS18</f>
        <v>86126.507199999993</v>
      </c>
      <c r="JT39" s="578">
        <f>JT7+JT8+JT10+JT14+JT15+JT16+JT18</f>
        <v>77239.152032000013</v>
      </c>
      <c r="JU39" s="578"/>
      <c r="JV39" s="595">
        <f>JU39/JS39</f>
        <v>0</v>
      </c>
      <c r="JW39" s="577">
        <f>JW7+JW8+JW10+JW14+JW15+JW16+JW18</f>
        <v>118423.9474</v>
      </c>
      <c r="JX39" s="578">
        <f>JX7+JX8+JX10+JX14+JX15+JX16+JX18</f>
        <v>106203.834044</v>
      </c>
      <c r="JY39" s="581"/>
      <c r="JZ39" s="595">
        <f>JY39/JW39</f>
        <v>0</v>
      </c>
      <c r="KA39" s="577">
        <f>KA7+KA8+KA10+KA14+KA15+KA16+KA18</f>
        <v>538290.66999999993</v>
      </c>
      <c r="KB39" s="577">
        <f>KB7+KB8+KB10+KB14+KB15+KB16+KB18</f>
        <v>482744.70019999996</v>
      </c>
      <c r="KC39" s="577">
        <f>KC7+KC8+KC10+KC14+KC15+KC16+KC18</f>
        <v>0</v>
      </c>
      <c r="KD39" s="596">
        <f>KC39/KA39</f>
        <v>0</v>
      </c>
      <c r="YY39" s="580">
        <f>YY7+YY8+YY10+YY14+YY15+YY16+YY18</f>
        <v>79390.910400000008</v>
      </c>
      <c r="YZ39" s="577">
        <f>YZ7+YZ8+YZ10+YZ14+YZ15+YZ16+YZ18</f>
        <v>70839.78655199999</v>
      </c>
      <c r="ZA39" s="580"/>
      <c r="ZB39" s="595">
        <f>ZA39/YY39</f>
        <v>0</v>
      </c>
      <c r="ZC39" s="577">
        <f>ZC7+ZC8+ZC10+ZC14+ZC15+ZC16+ZC18</f>
        <v>79390.910400000008</v>
      </c>
      <c r="ZD39" s="578">
        <f>ZD7+ZD8+ZD10+ZD14+ZD15+ZD16+ZD18</f>
        <v>70839.78655199999</v>
      </c>
      <c r="ZE39" s="578"/>
      <c r="ZF39" s="595">
        <f>ZE39/ZC39</f>
        <v>0</v>
      </c>
      <c r="ZG39" s="577">
        <f>ZG7+ZG8+ZG10+ZG14+ZG15+ZG16+ZG18</f>
        <v>79390.910400000008</v>
      </c>
      <c r="ZH39" s="578">
        <f>ZH7+ZH8+ZH10+ZH14+ZH15+ZH16+ZH18</f>
        <v>70839.78655199999</v>
      </c>
      <c r="ZI39" s="578"/>
      <c r="ZJ39" s="595">
        <f>ZI39/ZG39</f>
        <v>0</v>
      </c>
      <c r="ZK39" s="577">
        <f>ZK7+ZK8+ZK10+ZK14+ZK15+ZK16+ZK18</f>
        <v>79390.910400000008</v>
      </c>
      <c r="ZL39" s="578">
        <f>ZL7+ZL8+ZL10+ZL14+ZL15+ZL16+ZL18</f>
        <v>70839.78655199999</v>
      </c>
      <c r="ZM39" s="578"/>
      <c r="ZN39" s="595">
        <f>ZM39/ZK39</f>
        <v>0</v>
      </c>
      <c r="ZO39" s="577">
        <f>ZO7+ZO8+ZO10+ZO14+ZO15+ZO16+ZO18</f>
        <v>92622.728800000012</v>
      </c>
      <c r="ZP39" s="578">
        <f>ZP7+ZP8+ZP10+ZP14+ZP15+ZP16+ZP18</f>
        <v>82646.417644000001</v>
      </c>
      <c r="ZQ39" s="578"/>
      <c r="ZR39" s="595">
        <f>ZQ39/ZO39</f>
        <v>0</v>
      </c>
      <c r="ZS39" s="577">
        <f>ZS7+ZS8+ZS10+ZS14+ZS15+ZS16+ZS18</f>
        <v>105854.54719999999</v>
      </c>
      <c r="ZT39" s="578">
        <f>ZT7+ZT8+ZT10+ZT14+ZT15+ZT16+ZT18</f>
        <v>94453.048735999997</v>
      </c>
      <c r="ZU39" s="578"/>
      <c r="ZV39" s="595">
        <f>ZU39/ZS39</f>
        <v>0</v>
      </c>
      <c r="ZW39" s="577">
        <f>ZW7+ZW8+ZW10+ZW14+ZW15+ZW16+ZW18</f>
        <v>145550.0024</v>
      </c>
      <c r="ZX39" s="578">
        <f>ZX7+ZX8+ZX10+ZX14+ZX15+ZX16+ZX18</f>
        <v>129872.94201199998</v>
      </c>
      <c r="ZY39" s="581"/>
      <c r="ZZ39" s="595">
        <f>ZY39/ZW39</f>
        <v>0</v>
      </c>
      <c r="AAA39" s="577">
        <f>AAA7+AAA8+AAA10+AAA14+AAA15+AAA16+AAA18</f>
        <v>661590.92000000004</v>
      </c>
      <c r="AAB39" s="577">
        <f>AAB7+AAB8+AAB10+AAB14+AAB15+AAB16+AAB18</f>
        <v>590331.55459999992</v>
      </c>
      <c r="AAC39" s="577">
        <f>AAC7+AAC8+AAC10+AAC14+AAC15+AAC16+AAC18</f>
        <v>0</v>
      </c>
      <c r="AAD39" s="596">
        <f>AAC39/AAA39</f>
        <v>0</v>
      </c>
      <c r="AOY39" s="577">
        <f>AOY7+AOY8+AOY10+AOY14+AOY15+AOY16+AOY18</f>
        <v>70510.44</v>
      </c>
      <c r="AOZ39" s="577">
        <f>AOZ7+AOZ8+AOZ10+AOZ14+AOZ15+AOZ16+AOZ18</f>
        <v>69481.427999999985</v>
      </c>
      <c r="APA39" s="580"/>
      <c r="APB39" s="595">
        <f>APA39/AOY39</f>
        <v>0</v>
      </c>
      <c r="APC39" s="577">
        <f>APC7+APC8+APC10+APC14+APC15+APC16+APC18</f>
        <v>70510.44</v>
      </c>
      <c r="APD39" s="578">
        <f>APD7+APD8+APD10+APD14+APD15+APD16+APD18</f>
        <v>69481.427999999985</v>
      </c>
      <c r="APE39" s="578"/>
      <c r="APF39" s="595">
        <f>APE39/APC39</f>
        <v>0</v>
      </c>
      <c r="APG39" s="577">
        <f>APG7+APG8+APG10+APG14+APG15+APG16+APG18</f>
        <v>70510.44</v>
      </c>
      <c r="APH39" s="578">
        <f>APH7+APH8+APH10+APH14+APH15+APH16+APH18</f>
        <v>69481.427999999985</v>
      </c>
      <c r="API39" s="578"/>
      <c r="APJ39" s="595">
        <f>API39/APG39</f>
        <v>0</v>
      </c>
      <c r="APK39" s="577">
        <f>APK7+APK8+APK10+APK14+APK15+APK16+APK18</f>
        <v>70510.44</v>
      </c>
      <c r="APL39" s="578">
        <f>APL7+APL8+APL10+APL14+APL15+APL16+APL18</f>
        <v>69481.427999999985</v>
      </c>
      <c r="APM39" s="578"/>
      <c r="APN39" s="595">
        <f>APM39/APK39</f>
        <v>0</v>
      </c>
      <c r="APO39" s="577">
        <f>APO7+APO8+APO10+APO14+APO15+APO16+APO18</f>
        <v>82262.180000000008</v>
      </c>
      <c r="APP39" s="578">
        <f>APP7+APP8+APP10+APP14+APP15+APP16+APP18</f>
        <v>81061.665999999997</v>
      </c>
      <c r="APQ39" s="578"/>
      <c r="APR39" s="595">
        <f>APQ39/APO39</f>
        <v>0</v>
      </c>
      <c r="APS39" s="577">
        <f>APS7+APS8+APS10+APS14+APS15+APS16+APS18</f>
        <v>94013.92</v>
      </c>
      <c r="APT39" s="578">
        <f>APT7+APT8+APT10+APT14+APT15+APT16+APT18</f>
        <v>92641.90400000001</v>
      </c>
      <c r="APU39" s="578"/>
      <c r="APV39" s="595">
        <f>APU39/APS39</f>
        <v>0</v>
      </c>
      <c r="APW39" s="577">
        <f>APW7+APW8+APW10+APW14+APW15+APW16+APW18</f>
        <v>129269.14000000001</v>
      </c>
      <c r="APX39" s="578">
        <f>APX7+APX8+APX10+APX14+APX15+APX16+APX18</f>
        <v>127382.618</v>
      </c>
      <c r="APY39" s="581"/>
      <c r="APZ39" s="595">
        <f>APY39/APW39</f>
        <v>0</v>
      </c>
      <c r="AQA39" s="577">
        <f>AQA7+AQA8+AQA10+AQA14+AQA15+AQA16+AQA18</f>
        <v>587587</v>
      </c>
      <c r="AQB39" s="577">
        <f>AQB7+AQB8+AQB10+AQB14+AQB15+AQB16+AQB18</f>
        <v>579011.89999999991</v>
      </c>
      <c r="AQC39" s="577">
        <f>AQC7+AQC8+AQC10+AQC14+AQC15+AQC16+AQC18</f>
        <v>0</v>
      </c>
      <c r="AQD39" s="596">
        <f>AQC39/AQA39</f>
        <v>0</v>
      </c>
      <c r="BEY39" s="577">
        <f>BEY7+BEY8+BEY10+BEY14+BEY15+BEY16+BEY18</f>
        <v>166935.96959999998</v>
      </c>
      <c r="BEZ39" s="577">
        <f>BEZ7+BEZ8+BEZ10+BEZ14+BEZ15+BEZ16+BEZ18</f>
        <v>156919.81142399998</v>
      </c>
      <c r="BFA39" s="580"/>
      <c r="BFB39" s="595">
        <f>BFA39/BEY39</f>
        <v>0</v>
      </c>
      <c r="BFC39" s="577">
        <f>BFC7+BFC8+BFC10+BFC14+BFC15+BFC16+BFC18</f>
        <v>166935.96959999998</v>
      </c>
      <c r="BFD39" s="578">
        <f>BFD7+BFD8+BFD10+BFD14+BFD15+BFD16+BFD18</f>
        <v>156919.81142399998</v>
      </c>
      <c r="BFE39" s="578"/>
      <c r="BFF39" s="595">
        <f>BFE39/BFC39</f>
        <v>0</v>
      </c>
      <c r="BFG39" s="577">
        <f>BFG7+BFG8+BFG10+BFG14+BFG15+BFG16+BFG18</f>
        <v>166935.96959999998</v>
      </c>
      <c r="BFH39" s="578">
        <f>BFH7+BFH8+BFH10+BFH14+BFH15+BFH16+BFH18</f>
        <v>156919.81142399998</v>
      </c>
      <c r="BFI39" s="578"/>
      <c r="BFJ39" s="595">
        <f>BFI39/BFG39</f>
        <v>0</v>
      </c>
      <c r="BFK39" s="577">
        <f>BFK7+BFK8+BFK10+BFK14+BFK15+BFK16+BFK18</f>
        <v>166935.96959999998</v>
      </c>
      <c r="BFL39" s="578">
        <f>BFL7+BFL8+BFL10+BFL14+BFL15+BFL16+BFL18</f>
        <v>156919.81142399998</v>
      </c>
      <c r="BFM39" s="578"/>
      <c r="BFN39" s="595">
        <f>BFM39/BFK39</f>
        <v>0</v>
      </c>
      <c r="BFO39" s="577">
        <f>BFO7+BFO8+BFO10+BFO14+BFO15+BFO16+BFO18</f>
        <v>194758.63120000003</v>
      </c>
      <c r="BFP39" s="578">
        <f>BFP7+BFP8+BFP10+BFP14+BFP15+BFP16+BFP18</f>
        <v>183073.11332800001</v>
      </c>
      <c r="BFQ39" s="578"/>
      <c r="BFR39" s="595">
        <f>BFQ39/BFO39</f>
        <v>0</v>
      </c>
      <c r="BFS39" s="577">
        <f>BFS7+BFS8+BFS10+BFS14+BFS15+BFS16+BFS18</f>
        <v>222581.2928</v>
      </c>
      <c r="BFT39" s="578">
        <f>BFT7+BFT8+BFT10+BFT14+BFT15+BFT16+BFT18</f>
        <v>209226.41523199997</v>
      </c>
      <c r="BFU39" s="578"/>
      <c r="BFV39" s="595">
        <f>BFU39/BFS39</f>
        <v>0</v>
      </c>
      <c r="BFW39" s="577">
        <f>BFW7+BFW8+BFW10+BFW14+BFW15+BFW16+BFW18</f>
        <v>306049.27760000003</v>
      </c>
      <c r="BFX39" s="578">
        <f>BFX7+BFX8+BFX10+BFX14+BFX15+BFX16+BFX18</f>
        <v>287686.32094399998</v>
      </c>
      <c r="BFY39" s="581"/>
      <c r="BFZ39" s="595">
        <f>BFY39/BFW39</f>
        <v>0</v>
      </c>
      <c r="BGA39" s="577">
        <f>BGA7+BGA8+BGA10+BGA14+BGA15+BGA16+BGA18</f>
        <v>1391133.08</v>
      </c>
      <c r="BGB39" s="577">
        <f>BGB7+BGB8+BGB10+BGB14+BGB15+BGB16+BGB18</f>
        <v>1307665.0951999999</v>
      </c>
      <c r="BGC39" s="577">
        <f>BGC7+BGC8+BGC10+BGC14+BGC15+BGC16+BGC18</f>
        <v>0</v>
      </c>
      <c r="BGD39" s="596">
        <f>BGC39/BGA39</f>
        <v>0</v>
      </c>
    </row>
    <row r="40" spans="2:1666">
      <c r="B40" s="597" t="s">
        <v>43</v>
      </c>
      <c r="C40" s="579">
        <f>C9+C11+C13+C17+C21+C24+C25</f>
        <v>66703.887600000002</v>
      </c>
      <c r="D40" s="579">
        <f>D9+D11+D13+D17+D21+D24+D25</f>
        <v>59366.459964000009</v>
      </c>
      <c r="E40" s="575"/>
      <c r="F40" s="592">
        <f>E40/C40</f>
        <v>0</v>
      </c>
      <c r="G40" s="579">
        <f>G9+G11+G13+G17+G21+G24+G25</f>
        <v>40596.266399999993</v>
      </c>
      <c r="H40" s="574">
        <f>H9+H11+H13+H17+H21+H24+H25</f>
        <v>46228.861086000004</v>
      </c>
      <c r="I40" s="574"/>
      <c r="J40" s="592">
        <f>I40/G40</f>
        <v>0</v>
      </c>
      <c r="K40" s="579">
        <f>K9+K11+K13+K17+K21+K24+K25</f>
        <v>40596.266399999993</v>
      </c>
      <c r="L40" s="574">
        <f>L9+L11+L13+L17+L21+L24+L25</f>
        <v>46228.861086000004</v>
      </c>
      <c r="M40" s="574"/>
      <c r="N40" s="592">
        <f>M40/K40</f>
        <v>0</v>
      </c>
      <c r="O40" s="579">
        <f>O9+O11+O13+O17+O21+O24+O25</f>
        <v>40596.266399999993</v>
      </c>
      <c r="P40" s="574">
        <f>P9+P11+P13+P17+P21+P24+P25</f>
        <v>46228.861086000004</v>
      </c>
      <c r="Q40" s="574"/>
      <c r="R40" s="592">
        <f>Q40/O40</f>
        <v>0</v>
      </c>
      <c r="S40" s="579">
        <f>S9+S11+S13+S17+S21+S24+S25</f>
        <v>47362.310799999999</v>
      </c>
      <c r="T40" s="574">
        <f>T9+T11+T13+T17+T21+T24+T25</f>
        <v>53933.671267000012</v>
      </c>
      <c r="U40" s="574"/>
      <c r="V40" s="592">
        <f>U40/S40</f>
        <v>0</v>
      </c>
      <c r="W40" s="579">
        <f>W9+W11+W13+W17+W21+W24+W25</f>
        <v>54128.355199999998</v>
      </c>
      <c r="X40" s="574">
        <f>X9+X11+X13+X17+X21+X24+X25</f>
        <v>61638.481447999999</v>
      </c>
      <c r="Y40" s="574"/>
      <c r="Z40" s="592">
        <f>Y40/W40</f>
        <v>0</v>
      </c>
      <c r="AA40" s="579">
        <f>AA9+AA11+AA13+AA17+AA21+AA24+AA25</f>
        <v>74426.488400000002</v>
      </c>
      <c r="AB40" s="574">
        <f>AB9+AB11+AB13+AB17+AB21+AB24+AB25</f>
        <v>84752.911991000001</v>
      </c>
      <c r="AC40" s="576"/>
      <c r="AD40" s="592">
        <f>AC40/AA40</f>
        <v>0</v>
      </c>
      <c r="AE40" s="579">
        <f>AE9+AE11+AE13+AE17+AE21+AE24+AE25</f>
        <v>364409.84120000002</v>
      </c>
      <c r="AF40" s="579">
        <f>AF9+AF11+AF13+AF17+AF21+AF24+AF25</f>
        <v>398378.10792799998</v>
      </c>
      <c r="AG40" s="579">
        <f>AG9+AG11+AG13+AG17+AG21+AG24+AG25</f>
        <v>0</v>
      </c>
      <c r="AH40" s="598">
        <f>AG40/AE40</f>
        <v>0</v>
      </c>
      <c r="IY40" s="579">
        <f>IY9+IY11+IY13+IY17+IY21+IY24+IY25</f>
        <v>48524.683199999992</v>
      </c>
      <c r="IZ40" s="579">
        <f>IZ9+IZ11+IZ13+IZ17+IZ21+IZ24+IZ25</f>
        <v>55534.586884799995</v>
      </c>
      <c r="JA40" s="575"/>
      <c r="JB40" s="592">
        <f>JA40/IY40</f>
        <v>0</v>
      </c>
      <c r="JC40" s="579">
        <f>JC9+JC11+JC13+JC17+JC21+JC24+JC25</f>
        <v>48524.683199999992</v>
      </c>
      <c r="JD40" s="574">
        <f>JD9+JD11+JD13+JD17+JD21+JD24+JD25</f>
        <v>55534.586884799995</v>
      </c>
      <c r="JE40" s="574"/>
      <c r="JF40" s="592">
        <f>JE40/JC40</f>
        <v>0</v>
      </c>
      <c r="JG40" s="579">
        <f>JG9+JG11+JG13+JG17+JG21+JG24+JG25</f>
        <v>48524.683199999992</v>
      </c>
      <c r="JH40" s="574">
        <f>JH9+JH11+JH13+JH17+JH21+JH24+JH25</f>
        <v>55534.586884799995</v>
      </c>
      <c r="JI40" s="574"/>
      <c r="JJ40" s="592">
        <f>JI40/JG40</f>
        <v>0</v>
      </c>
      <c r="JK40" s="579">
        <f>JK9+JK11+JK13+JK17+JK21+JK24+JK25</f>
        <v>48524.683199999992</v>
      </c>
      <c r="JL40" s="574">
        <f>JL9+JL11+JL13+JL17+JL21+JL24+JL25</f>
        <v>55534.586884799995</v>
      </c>
      <c r="JM40" s="574"/>
      <c r="JN40" s="592">
        <f>JM40/JK40</f>
        <v>0</v>
      </c>
      <c r="JO40" s="579">
        <f>JO9+JO11+JO13+JO17+JO21+JO24+JO25</f>
        <v>56612.130400000002</v>
      </c>
      <c r="JP40" s="574">
        <f>JP9+JP11+JP13+JP17+JP21+JP24+JP25</f>
        <v>64790.351365600014</v>
      </c>
      <c r="JQ40" s="574"/>
      <c r="JR40" s="592">
        <f>JQ40/JO40</f>
        <v>0</v>
      </c>
      <c r="JS40" s="579">
        <f>JS9+JS11+JS13+JS17+JS21+JS24+JS25</f>
        <v>64699.577600000004</v>
      </c>
      <c r="JT40" s="574">
        <f>JT9+JT11+JT13+JT17+JT21+JT24+JT25</f>
        <v>74046.115846400004</v>
      </c>
      <c r="JU40" s="574"/>
      <c r="JV40" s="592">
        <f>JU40/JS40</f>
        <v>0</v>
      </c>
      <c r="JW40" s="579">
        <f>JW9+JW11+JW13+JW17+JW21+JW24+JW25</f>
        <v>88961.919200000004</v>
      </c>
      <c r="JX40" s="574">
        <f>JX9+JX11+JX13+JX17+JX21+JX24+JX25</f>
        <v>101813.4092888</v>
      </c>
      <c r="JY40" s="576"/>
      <c r="JZ40" s="592">
        <f>JY40/JW40</f>
        <v>0</v>
      </c>
      <c r="KA40" s="579">
        <f>KA9+KA11+KA13+KA17+KA21+KA24+KA25</f>
        <v>404372.36</v>
      </c>
      <c r="KB40" s="579">
        <f>KB9+KB11+KB13+KB17+KB21+KB24+KB25</f>
        <v>462788.22404000006</v>
      </c>
      <c r="KC40" s="579">
        <f>KC9+KC11+KC13+KC17+KC21+KC24+KC25</f>
        <v>0</v>
      </c>
      <c r="KD40" s="598">
        <f>KC40/KA40</f>
        <v>0</v>
      </c>
      <c r="YY40" s="575">
        <f>YY9+YY11+YY13+YY17+YY21+YY24+YY25</f>
        <v>53270.77919999999</v>
      </c>
      <c r="YZ40" s="579">
        <f>YZ9+YZ11+YZ13+YZ17+YZ21+YZ24+YZ25</f>
        <v>67000.811639999985</v>
      </c>
      <c r="ZA40" s="575"/>
      <c r="ZB40" s="592">
        <f>ZA40/YY40</f>
        <v>0</v>
      </c>
      <c r="ZC40" s="579">
        <f>ZC9+ZC11+ZC13+ZC17+ZC21+ZC24+ZC25</f>
        <v>53270.77919999999</v>
      </c>
      <c r="ZD40" s="574">
        <f>ZD9+ZD11+ZD13+ZD17+ZD21+ZD24+ZD25</f>
        <v>67000.811639999985</v>
      </c>
      <c r="ZE40" s="574"/>
      <c r="ZF40" s="592">
        <f>ZE40/ZC40</f>
        <v>0</v>
      </c>
      <c r="ZG40" s="579">
        <f>ZG9+ZG11+ZG13+ZG17+ZG21+ZG24+ZG25</f>
        <v>53270.77919999999</v>
      </c>
      <c r="ZH40" s="574">
        <f>ZH9+ZH11+ZH13+ZH17+ZH21+ZH24+ZH25</f>
        <v>67000.811639999985</v>
      </c>
      <c r="ZI40" s="574"/>
      <c r="ZJ40" s="592">
        <f>ZI40/ZG40</f>
        <v>0</v>
      </c>
      <c r="ZK40" s="579">
        <f>ZK9+ZK11+ZK13+ZK17+ZK21+ZK24+ZK25</f>
        <v>53270.77919999999</v>
      </c>
      <c r="ZL40" s="574">
        <f>ZL9+ZL11+ZL13+ZL17+ZL21+ZL24+ZL25</f>
        <v>67000.811639999985</v>
      </c>
      <c r="ZM40" s="574"/>
      <c r="ZN40" s="592">
        <f>ZM40/ZK40</f>
        <v>0</v>
      </c>
      <c r="ZO40" s="579">
        <f>ZO9+ZO11+ZO13+ZO17+ZO21+ZO24+ZO25</f>
        <v>62149.242400000003</v>
      </c>
      <c r="ZP40" s="574">
        <f>ZP9+ZP11+ZP13+ZP17+ZP21+ZP24+ZP25</f>
        <v>78167.613580000005</v>
      </c>
      <c r="ZQ40" s="574"/>
      <c r="ZR40" s="592">
        <f>ZQ40/ZO40</f>
        <v>0</v>
      </c>
      <c r="ZS40" s="579">
        <f>ZS9+ZS11+ZS13+ZS17+ZS21+ZS24+ZS25</f>
        <v>71027.705600000001</v>
      </c>
      <c r="ZT40" s="574">
        <f>ZT9+ZT11+ZT13+ZT17+ZT21+ZT24+ZT25</f>
        <v>89334.41551999998</v>
      </c>
      <c r="ZU40" s="574"/>
      <c r="ZV40" s="592">
        <f>ZU40/ZS40</f>
        <v>0</v>
      </c>
      <c r="ZW40" s="579">
        <f>ZW9+ZW11+ZW13+ZW17+ZW21+ZW24+ZW25</f>
        <v>97663.095199999996</v>
      </c>
      <c r="ZX40" s="574">
        <f>ZX9+ZX11+ZX13+ZX17+ZX21+ZX24+ZX25</f>
        <v>122834.82133999999</v>
      </c>
      <c r="ZY40" s="576"/>
      <c r="ZZ40" s="592">
        <f>ZY40/ZW40</f>
        <v>0</v>
      </c>
      <c r="AAA40" s="579">
        <f>AAA9+AAA11+AAA13+AAA17+AAA21+AAA24+AAA25</f>
        <v>443923.16000000003</v>
      </c>
      <c r="AAB40" s="579">
        <f>AAB9+AAB11+AAB13+AAB17+AAB21+AAB24+AAB25</f>
        <v>558340.09699999995</v>
      </c>
      <c r="AAC40" s="579">
        <f>AAC9+AAC11+AAC13+AAC17+AAC21+AAC24+AAC25</f>
        <v>0</v>
      </c>
      <c r="AAD40" s="598">
        <f>AAC40/AAA40</f>
        <v>0</v>
      </c>
      <c r="AOY40" s="579">
        <f>AOY9+AOY11+AOY13+AOY17+AOY21+AOY24+AOY25</f>
        <v>81316.680000000008</v>
      </c>
      <c r="AOZ40" s="579">
        <f>AOZ9+AOZ11+AOZ13+AOZ17+AOZ21+AOZ24+AOZ25</f>
        <v>78441.225600000005</v>
      </c>
      <c r="APA40" s="575"/>
      <c r="APB40" s="592">
        <f>APA40/AOY40</f>
        <v>0</v>
      </c>
      <c r="APC40" s="579">
        <f>APC9+APC11+APC13+APC17+APC21+APC24+APC25</f>
        <v>81316.680000000008</v>
      </c>
      <c r="APD40" s="574">
        <f>APD9+APD11+APD13+APD17+APD21+APD24+APD25</f>
        <v>78441.225600000005</v>
      </c>
      <c r="APE40" s="574"/>
      <c r="APF40" s="592">
        <f>APE40/APC40</f>
        <v>0</v>
      </c>
      <c r="APG40" s="579">
        <f>APG9+APG11+APG13+APG17+APG21+APG24+APG25</f>
        <v>81316.680000000008</v>
      </c>
      <c r="APH40" s="574">
        <f>APH9+APH11+APH13+APH17+APH21+APH24+APH25</f>
        <v>78441.225600000005</v>
      </c>
      <c r="API40" s="574"/>
      <c r="APJ40" s="592">
        <f>API40/APG40</f>
        <v>0</v>
      </c>
      <c r="APK40" s="579">
        <f>APK9+APK11+APK13+APK17+APK21+APK24+APK25</f>
        <v>81316.680000000008</v>
      </c>
      <c r="APL40" s="574">
        <f>APL9+APL11+APL13+APL17+APL21+APL24+APL25</f>
        <v>78441.225600000005</v>
      </c>
      <c r="APM40" s="574"/>
      <c r="APN40" s="592">
        <f>APM40/APK40</f>
        <v>0</v>
      </c>
      <c r="APO40" s="579">
        <f>APO9+APO11+APO13+APO17+APO21+APO24+APO25</f>
        <v>94869.459999999992</v>
      </c>
      <c r="APP40" s="574">
        <f>APP9+APP11+APP13+APP17+APP21+APP24+APP25</f>
        <v>91514.763200000001</v>
      </c>
      <c r="APQ40" s="574"/>
      <c r="APR40" s="592">
        <f>APQ40/APO40</f>
        <v>0</v>
      </c>
      <c r="APS40" s="579">
        <f>APS9+APS11+APS13+APS17+APS21+APS24+APS25</f>
        <v>108422.23999999999</v>
      </c>
      <c r="APT40" s="574">
        <f>APT9+APT11+APT13+APT17+APT21+APT24+APT25</f>
        <v>104588.3008</v>
      </c>
      <c r="APU40" s="574"/>
      <c r="APV40" s="592">
        <f>APU40/APS40</f>
        <v>0</v>
      </c>
      <c r="APW40" s="579">
        <f>APW9+APW11+APW13+APW17+APW21+APW24+APW25</f>
        <v>149080.58000000002</v>
      </c>
      <c r="APX40" s="574">
        <f>APX9+APX11+APX13+APX17+APX21+APX24+APX25</f>
        <v>143808.9136</v>
      </c>
      <c r="APY40" s="576"/>
      <c r="APZ40" s="592">
        <f>APY40/APW40</f>
        <v>0</v>
      </c>
      <c r="AQA40" s="579">
        <f>AQA9+AQA11+AQA13+AQA17+AQA21+AQA24+AQA25</f>
        <v>677639</v>
      </c>
      <c r="AQB40" s="579">
        <f>AQB9+AQB11+AQB13+AQB17+AQB21+AQB24+AQB25</f>
        <v>653676.87999999989</v>
      </c>
      <c r="AQC40" s="579">
        <f>AQC9+AQC11+AQC13+AQC17+AQC21+AQC24+AQC25</f>
        <v>0</v>
      </c>
      <c r="AQD40" s="598">
        <f>AQC40/AQA40</f>
        <v>0</v>
      </c>
      <c r="BEY40" s="579">
        <f>BEY9+BEY11+BEY13+BEY17+BEY21+BEY24+BEY25</f>
        <v>160018.98120000001</v>
      </c>
      <c r="BEZ40" s="579">
        <f>BEZ9+BEZ11+BEZ13+BEZ17+BEZ21+BEZ24+BEZ25</f>
        <v>167847.87271679996</v>
      </c>
      <c r="BFA40" s="575"/>
      <c r="BFB40" s="592">
        <f>BFA40/BEY40</f>
        <v>0</v>
      </c>
      <c r="BFC40" s="579">
        <f>BFC9+BFC11+BFC13+BFC17+BFC21+BFC24+BFC25</f>
        <v>160018.98120000001</v>
      </c>
      <c r="BFD40" s="574">
        <f>BFD9+BFD11+BFD13+BFD17+BFD21+BFD24+BFD25</f>
        <v>167847.87271679996</v>
      </c>
      <c r="BFE40" s="574"/>
      <c r="BFF40" s="592">
        <f>BFE40/BFC40</f>
        <v>0</v>
      </c>
      <c r="BFG40" s="579">
        <f>BFG9+BFG11+BFG13+BFG17+BFG21+BFG24+BFG25</f>
        <v>160018.98120000001</v>
      </c>
      <c r="BFH40" s="574">
        <f>BFH9+BFH11+BFH13+BFH17+BFH21+BFH24+BFH25</f>
        <v>167847.87271679996</v>
      </c>
      <c r="BFI40" s="574"/>
      <c r="BFJ40" s="592">
        <f>BFI40/BFG40</f>
        <v>0</v>
      </c>
      <c r="BFK40" s="579">
        <f>BFK9+BFK11+BFK13+BFK17+BFK21+BFK24+BFK25</f>
        <v>160018.98120000001</v>
      </c>
      <c r="BFL40" s="574">
        <f>BFL9+BFL11+BFL13+BFL17+BFL21+BFL24+BFL25</f>
        <v>167847.87271679996</v>
      </c>
      <c r="BFM40" s="574"/>
      <c r="BFN40" s="592">
        <f>BFM40/BFK40</f>
        <v>0</v>
      </c>
      <c r="BFO40" s="579">
        <f>BFO9+BFO11+BFO13+BFO17+BFO21+BFO24+BFO25</f>
        <v>186688.81140000004</v>
      </c>
      <c r="BFP40" s="574">
        <f>BFP9+BFP11+BFP13+BFP17+BFP21+BFP24+BFP25</f>
        <v>195822.51816959999</v>
      </c>
      <c r="BFQ40" s="574"/>
      <c r="BFR40" s="592">
        <f>BFQ40/BFO40</f>
        <v>0</v>
      </c>
      <c r="BFS40" s="579">
        <f>BFS9+BFS11+BFS13+BFS17+BFS21+BFS24+BFS25</f>
        <v>213358.6416</v>
      </c>
      <c r="BFT40" s="574">
        <f>BFT9+BFT11+BFT13+BFT17+BFT21+BFT24+BFT25</f>
        <v>223797.16362239997</v>
      </c>
      <c r="BFU40" s="574"/>
      <c r="BFV40" s="592">
        <f>BFU40/BFS40</f>
        <v>0</v>
      </c>
      <c r="BFW40" s="579">
        <f>BFW9+BFW11+BFW13+BFW17+BFW21+BFW24+BFW25</f>
        <v>293368.13219999999</v>
      </c>
      <c r="BFX40" s="574">
        <f>BFX9+BFX11+BFX13+BFX17+BFX21+BFX24+BFX25</f>
        <v>307721.09998079995</v>
      </c>
      <c r="BFY40" s="576"/>
      <c r="BFZ40" s="592">
        <f>BFY40/BFW40</f>
        <v>0</v>
      </c>
      <c r="BGA40" s="579">
        <f>BGA9+BGA11+BGA13+BGA17+BGA21+BGA24+BGA25</f>
        <v>1333491.51</v>
      </c>
      <c r="BGB40" s="579">
        <f>BGB9+BGB11+BGB13+BGB17+BGB21+BGB24+BGB25</f>
        <v>1398732.2726399999</v>
      </c>
      <c r="BGC40" s="579">
        <f>BGC9+BGC11+BGC13+BGC17+BGC21+BGC24+BGC25</f>
        <v>0</v>
      </c>
      <c r="BGD40" s="598">
        <f>BGC40/BGA40</f>
        <v>0</v>
      </c>
    </row>
    <row r="41" spans="2:1666">
      <c r="B41" s="597" t="s">
        <v>44</v>
      </c>
      <c r="C41" s="579">
        <f>C12+C19+C20+C22+C23</f>
        <v>47645.633999999998</v>
      </c>
      <c r="D41" s="579">
        <f>D12+D19+D20+D22+D23</f>
        <v>42404.614260000002</v>
      </c>
      <c r="E41" s="575"/>
      <c r="F41" s="592">
        <f>E41/C41</f>
        <v>0</v>
      </c>
      <c r="G41" s="579">
        <f>G12+G19+G20+G22+G23</f>
        <v>43254.673200000005</v>
      </c>
      <c r="H41" s="574">
        <f>H12+H19+H20+H22+H23</f>
        <v>38496.659147999999</v>
      </c>
      <c r="I41" s="574"/>
      <c r="J41" s="592">
        <f>I41/G41</f>
        <v>0</v>
      </c>
      <c r="K41" s="579">
        <f>K12+K19+K20+K22+K23</f>
        <v>43254.673200000005</v>
      </c>
      <c r="L41" s="574">
        <f>L12+L19+L20+L22+L23</f>
        <v>38496.659147999999</v>
      </c>
      <c r="M41" s="574"/>
      <c r="N41" s="592">
        <f>M41/K41</f>
        <v>0</v>
      </c>
      <c r="O41" s="579">
        <f>O12+O19+O20+O22+O23</f>
        <v>43254.673200000005</v>
      </c>
      <c r="P41" s="574">
        <f>P12+P19+P20+P22+P23</f>
        <v>38496.659147999999</v>
      </c>
      <c r="Q41" s="574"/>
      <c r="R41" s="592">
        <f>Q41/O41</f>
        <v>0</v>
      </c>
      <c r="S41" s="579">
        <f>S12+S19+S20+S22+S23</f>
        <v>50463.785400000008</v>
      </c>
      <c r="T41" s="574">
        <f>T12+T19+T20+T22+T23</f>
        <v>44912.769006000002</v>
      </c>
      <c r="U41" s="574"/>
      <c r="V41" s="592">
        <f>U41/S41</f>
        <v>0</v>
      </c>
      <c r="W41" s="579">
        <f>W12+W19+W20+W22+W23</f>
        <v>57672.897599999997</v>
      </c>
      <c r="X41" s="574">
        <f>X12+X19+X20+X22+X23</f>
        <v>51328.878864000006</v>
      </c>
      <c r="Y41" s="574"/>
      <c r="Z41" s="592">
        <f>Y41/W41</f>
        <v>0</v>
      </c>
      <c r="AA41" s="579">
        <f>AA12+AA19+AA20+AA22+AA23</f>
        <v>79300.234200000006</v>
      </c>
      <c r="AB41" s="574">
        <f>AB12+AB19+AB20+AB22+AB23</f>
        <v>70577.208438000001</v>
      </c>
      <c r="AC41" s="576"/>
      <c r="AD41" s="592">
        <f>AC41/AA41</f>
        <v>0</v>
      </c>
      <c r="AE41" s="579">
        <f>AE12+AE19+AE20+AE22+AE23</f>
        <v>364846.57079999999</v>
      </c>
      <c r="AF41" s="579">
        <f>AF12+AF19+AF20+AF22+AF23</f>
        <v>324713.44801200007</v>
      </c>
      <c r="AG41" s="579">
        <f>AG12+AG19+AG20+AG22+AG23</f>
        <v>0</v>
      </c>
      <c r="AH41" s="598">
        <f>AG41/AE41</f>
        <v>0</v>
      </c>
      <c r="IY41" s="579">
        <f>IY12+IY19+IY20+IY22+IY23</f>
        <v>60652.574400000005</v>
      </c>
      <c r="IZ41" s="579">
        <f>IZ12+IZ19+IZ20+IZ22+IZ23</f>
        <v>53980.791215999998</v>
      </c>
      <c r="JA41" s="575"/>
      <c r="JB41" s="592">
        <f>JA41/IY41</f>
        <v>0</v>
      </c>
      <c r="JC41" s="579">
        <f>JC12+JC19+JC20+JC22+JC23</f>
        <v>60652.574400000005</v>
      </c>
      <c r="JD41" s="574">
        <f>JD12+JD19+JD20+JD22+JD23</f>
        <v>53980.791215999998</v>
      </c>
      <c r="JE41" s="574"/>
      <c r="JF41" s="592">
        <f>JE41/JC41</f>
        <v>0</v>
      </c>
      <c r="JG41" s="579">
        <f>JG12+JG19+JG20+JG22+JG23</f>
        <v>60652.574400000005</v>
      </c>
      <c r="JH41" s="574">
        <f>JH12+JH19+JH20+JH22+JH23</f>
        <v>53980.791215999998</v>
      </c>
      <c r="JI41" s="574"/>
      <c r="JJ41" s="592">
        <f>JI41/JG41</f>
        <v>0</v>
      </c>
      <c r="JK41" s="579">
        <f>JK12+JK19+JK20+JK22+JK23</f>
        <v>60652.574400000005</v>
      </c>
      <c r="JL41" s="574">
        <f>JL12+JL19+JL20+JL22+JL23</f>
        <v>53980.791215999998</v>
      </c>
      <c r="JM41" s="574"/>
      <c r="JN41" s="592">
        <f>JM41/JK41</f>
        <v>0</v>
      </c>
      <c r="JO41" s="579">
        <f>JO12+JO19+JO20+JO22+JO23</f>
        <v>70761.336800000005</v>
      </c>
      <c r="JP41" s="574">
        <f>JP12+JP19+JP20+JP22+JP23</f>
        <v>62977.589752000014</v>
      </c>
      <c r="JQ41" s="574"/>
      <c r="JR41" s="592">
        <f>JQ41/JO41</f>
        <v>0</v>
      </c>
      <c r="JS41" s="579">
        <f>JS12+JS19+JS20+JS22+JS23</f>
        <v>80870.099200000011</v>
      </c>
      <c r="JT41" s="574">
        <f>JT12+JT19+JT20+JT22+JT23</f>
        <v>71974.388288000016</v>
      </c>
      <c r="JU41" s="574"/>
      <c r="JV41" s="592">
        <f>JU41/JS41</f>
        <v>0</v>
      </c>
      <c r="JW41" s="579">
        <f>JW12+JW19+JW20+JW22+JW23</f>
        <v>111196.38639999999</v>
      </c>
      <c r="JX41" s="574">
        <f>JX12+JX19+JX20+JX22+JX23</f>
        <v>98964.783896000023</v>
      </c>
      <c r="JY41" s="576"/>
      <c r="JZ41" s="592">
        <f>JY41/JW41</f>
        <v>0</v>
      </c>
      <c r="KA41" s="579">
        <f>KA12+KA19+KA20+KA22+KA23</f>
        <v>505438.12</v>
      </c>
      <c r="KB41" s="579">
        <f>KB12+KB19+KB20+KB22+KB23</f>
        <v>449839.92680000002</v>
      </c>
      <c r="KC41" s="579">
        <f>KC12+KC19+KC20+KC22+KC23</f>
        <v>0</v>
      </c>
      <c r="KD41" s="598">
        <f>KC41/KA41</f>
        <v>0</v>
      </c>
      <c r="YY41" s="575">
        <f>YY12+YY19+YY20+YY22+YY23</f>
        <v>71392.359599999996</v>
      </c>
      <c r="YZ41" s="579">
        <f>YZ12+YZ19+YZ20+YZ22+YZ23</f>
        <v>63539.200043999997</v>
      </c>
      <c r="ZA41" s="575"/>
      <c r="ZB41" s="592">
        <f>ZA41/YY41</f>
        <v>0</v>
      </c>
      <c r="ZC41" s="579">
        <f>ZC12+ZC19+ZC20+ZC22+ZC23</f>
        <v>71392.359599999996</v>
      </c>
      <c r="ZD41" s="574">
        <f>ZD12+ZD19+ZD20+ZD22+ZD23</f>
        <v>63539.200043999997</v>
      </c>
      <c r="ZE41" s="574"/>
      <c r="ZF41" s="592">
        <f>ZE41/ZC41</f>
        <v>0</v>
      </c>
      <c r="ZG41" s="579">
        <f>ZG12+ZG19+ZG20+ZG22+ZG23</f>
        <v>71392.359599999996</v>
      </c>
      <c r="ZH41" s="574">
        <f>ZH12+ZH19+ZH20+ZH22+ZH23</f>
        <v>63539.200043999997</v>
      </c>
      <c r="ZI41" s="574"/>
      <c r="ZJ41" s="592">
        <f>ZI41/ZG41</f>
        <v>0</v>
      </c>
      <c r="ZK41" s="579">
        <f>ZK12+ZK19+ZK20+ZK22+ZK23</f>
        <v>71392.359599999996</v>
      </c>
      <c r="ZL41" s="574">
        <f>ZL12+ZL19+ZL20+ZL22+ZL23</f>
        <v>63539.200043999997</v>
      </c>
      <c r="ZM41" s="574"/>
      <c r="ZN41" s="592">
        <f>ZM41/ZK41</f>
        <v>0</v>
      </c>
      <c r="ZO41" s="579">
        <f>ZO12+ZO19+ZO20+ZO22+ZO23</f>
        <v>83291.08620000002</v>
      </c>
      <c r="ZP41" s="574">
        <f>ZP12+ZP19+ZP20+ZP22+ZP23</f>
        <v>74129.066718000016</v>
      </c>
      <c r="ZQ41" s="574"/>
      <c r="ZR41" s="592">
        <f>ZQ41/ZO41</f>
        <v>0</v>
      </c>
      <c r="ZS41" s="579">
        <f>ZS12+ZS19+ZS20+ZS22+ZS23</f>
        <v>95189.8128</v>
      </c>
      <c r="ZT41" s="574">
        <f>ZT12+ZT19+ZT20+ZT22+ZT23</f>
        <v>84718.933391999992</v>
      </c>
      <c r="ZU41" s="574"/>
      <c r="ZV41" s="592">
        <f>ZU41/ZS41</f>
        <v>0</v>
      </c>
      <c r="ZW41" s="579">
        <f>ZW12+ZW19+ZW20+ZW22+ZW23</f>
        <v>130885.9926</v>
      </c>
      <c r="ZX41" s="574">
        <f>ZX12+ZX19+ZX20+ZX22+ZX23</f>
        <v>116488.533414</v>
      </c>
      <c r="ZY41" s="576"/>
      <c r="ZZ41" s="592">
        <f>ZY41/ZW41</f>
        <v>0</v>
      </c>
      <c r="AAA41" s="579">
        <f>AAA12+AAA19+AAA20+AAA22+AAA23</f>
        <v>594936.32999999996</v>
      </c>
      <c r="AAB41" s="579">
        <f>AAB12+AAB19+AAB20+AAB22+AAB23</f>
        <v>529493.33370000008</v>
      </c>
      <c r="AAC41" s="579">
        <f>AAC12+AAC19+AAC20+AAC22+AAC23</f>
        <v>0</v>
      </c>
      <c r="AAD41" s="598">
        <f>AAC41/AAA41</f>
        <v>0</v>
      </c>
      <c r="AOY41" s="579">
        <f>AOY12+AOY19+AOY20+AOY22+AOY23</f>
        <v>62704.68</v>
      </c>
      <c r="AOZ41" s="579">
        <f>AOZ12+AOZ19+AOZ20+AOZ22+AOZ23</f>
        <v>61450.5864</v>
      </c>
      <c r="APA41" s="575"/>
      <c r="APB41" s="592">
        <f>APA41/AOY41</f>
        <v>0</v>
      </c>
      <c r="APC41" s="579">
        <f>APC12+APC19+APC20+APC22+APC23</f>
        <v>62704.68</v>
      </c>
      <c r="APD41" s="574">
        <f>APD12+APD19+APD20+APD22+APD23</f>
        <v>61450.5864</v>
      </c>
      <c r="APE41" s="574"/>
      <c r="APF41" s="592">
        <f>APE41/APC41</f>
        <v>0</v>
      </c>
      <c r="APG41" s="579">
        <f>APG12+APG19+APG20+APG22+APG23</f>
        <v>62704.68</v>
      </c>
      <c r="APH41" s="574">
        <f>APH12+APH19+APH20+APH22+APH23</f>
        <v>61450.5864</v>
      </c>
      <c r="API41" s="574"/>
      <c r="APJ41" s="592">
        <f>API41/APG41</f>
        <v>0</v>
      </c>
      <c r="APK41" s="579">
        <f>APK12+APK19+APK20+APK22+APK23</f>
        <v>62704.68</v>
      </c>
      <c r="APL41" s="574">
        <f>APL12+APL19+APL20+APL22+APL23</f>
        <v>61450.5864</v>
      </c>
      <c r="APM41" s="574"/>
      <c r="APN41" s="592">
        <f>APM41/APK41</f>
        <v>0</v>
      </c>
      <c r="APO41" s="579">
        <f>APO12+APO19+APO20+APO22+APO23</f>
        <v>73155.460000000021</v>
      </c>
      <c r="APP41" s="574">
        <f>APP12+APP19+APP20+APP22+APP23</f>
        <v>71692.350800000015</v>
      </c>
      <c r="APQ41" s="574"/>
      <c r="APR41" s="592">
        <f>APQ41/APO41</f>
        <v>0</v>
      </c>
      <c r="APS41" s="579">
        <f>APS12+APS19+APS20+APS22+APS23</f>
        <v>83606.239999999991</v>
      </c>
      <c r="APT41" s="574">
        <f>APT12+APT19+APT20+APT22+APT23</f>
        <v>81934.1152</v>
      </c>
      <c r="APU41" s="574"/>
      <c r="APV41" s="592">
        <f>APU41/APS41</f>
        <v>0</v>
      </c>
      <c r="APW41" s="579">
        <f>APW12+APW19+APW20+APW22+APW23</f>
        <v>114958.58</v>
      </c>
      <c r="APX41" s="574">
        <f>APX12+APX19+APX20+APX22+APX23</f>
        <v>112659.4084</v>
      </c>
      <c r="APY41" s="576"/>
      <c r="APZ41" s="592">
        <f>APY41/APW41</f>
        <v>0</v>
      </c>
      <c r="AQA41" s="579">
        <f>AQA12+AQA19+AQA20+AQA22+AQA23</f>
        <v>522539</v>
      </c>
      <c r="AQB41" s="579">
        <f>AQB12+AQB19+AQB20+AQB22+AQB23</f>
        <v>512088.22</v>
      </c>
      <c r="AQC41" s="579">
        <f>AQC12+AQC19+AQC20+AQC22+AQC23</f>
        <v>0</v>
      </c>
      <c r="AQD41" s="598">
        <f>AQC41/AQA41</f>
        <v>0</v>
      </c>
      <c r="BEY41" s="579">
        <f>BEY12+BEY19+BEY20+BEY22+BEY23</f>
        <v>137465.658</v>
      </c>
      <c r="BEZ41" s="579">
        <f>BEZ12+BEZ19+BEZ20+BEZ22+BEZ23</f>
        <v>129217.71851999998</v>
      </c>
      <c r="BFA41" s="575"/>
      <c r="BFB41" s="592">
        <f>BFA41/BEY41</f>
        <v>0</v>
      </c>
      <c r="BFC41" s="579">
        <f>BFC12+BFC19+BFC20+BFC22+BFC23</f>
        <v>137465.658</v>
      </c>
      <c r="BFD41" s="574">
        <f>BFD12+BFD19+BFD20+BFD22+BFD23</f>
        <v>129217.71851999998</v>
      </c>
      <c r="BFE41" s="574"/>
      <c r="BFF41" s="592">
        <f>BFE41/BFC41</f>
        <v>0</v>
      </c>
      <c r="BFG41" s="579">
        <f>BFG12+BFG19+BFG20+BFG22+BFG23</f>
        <v>137465.658</v>
      </c>
      <c r="BFH41" s="574">
        <f>BFH12+BFH19+BFH20+BFH22+BFH23</f>
        <v>129217.71851999998</v>
      </c>
      <c r="BFI41" s="574"/>
      <c r="BFJ41" s="592">
        <f>BFI41/BFG41</f>
        <v>0</v>
      </c>
      <c r="BFK41" s="579">
        <f>BFK12+BFK19+BFK20+BFK22+BFK23</f>
        <v>137465.658</v>
      </c>
      <c r="BFL41" s="574">
        <f>BFL12+BFL19+BFL20+BFL22+BFL23</f>
        <v>129217.71851999998</v>
      </c>
      <c r="BFM41" s="574"/>
      <c r="BFN41" s="592">
        <f>BFM41/BFK41</f>
        <v>0</v>
      </c>
      <c r="BFO41" s="579">
        <f>BFO12+BFO19+BFO20+BFO22+BFO23</f>
        <v>160376.60100000002</v>
      </c>
      <c r="BFP41" s="574">
        <f>BFP12+BFP19+BFP20+BFP22+BFP23</f>
        <v>150754.00493999998</v>
      </c>
      <c r="BFQ41" s="574"/>
      <c r="BFR41" s="592">
        <f>BFQ41/BFO41</f>
        <v>0</v>
      </c>
      <c r="BFS41" s="579">
        <f>BFS12+BFS19+BFS20+BFS22+BFS23</f>
        <v>183287.54399999999</v>
      </c>
      <c r="BFT41" s="574">
        <f>BFT12+BFT19+BFT20+BFT22+BFT23</f>
        <v>172290.29136</v>
      </c>
      <c r="BFU41" s="574"/>
      <c r="BFV41" s="592">
        <f>BFU41/BFS41</f>
        <v>0</v>
      </c>
      <c r="BFW41" s="579">
        <f>BFW12+BFW19+BFW20+BFW22+BFW23</f>
        <v>252020.37299999999</v>
      </c>
      <c r="BFX41" s="574">
        <f>BFX12+BFX19+BFX20+BFX22+BFX23</f>
        <v>236899.15062000003</v>
      </c>
      <c r="BFY41" s="576"/>
      <c r="BFZ41" s="592">
        <f>BFY41/BFW41</f>
        <v>0</v>
      </c>
      <c r="BGA41" s="579">
        <f>BGA12+BGA19+BGA20+BGA22+BGA23</f>
        <v>1145547.1499999999</v>
      </c>
      <c r="BGB41" s="579">
        <f>BGB12+BGB19+BGB20+BGB22+BGB23</f>
        <v>1076814.321</v>
      </c>
      <c r="BGC41" s="579">
        <f>BGC12+BGC19+BGC20+BGC22+BGC23</f>
        <v>0</v>
      </c>
      <c r="BGD41" s="598">
        <f>BGC41/BGA41</f>
        <v>0</v>
      </c>
    </row>
    <row r="42" spans="2:1666" ht="15.75" thickBot="1">
      <c r="B42" s="599" t="s">
        <v>301</v>
      </c>
      <c r="C42" s="585">
        <f>C39+C40+C41</f>
        <v>181053.40919999999</v>
      </c>
      <c r="D42" s="585">
        <f>D39+D40+D41</f>
        <v>161137.53418800002</v>
      </c>
      <c r="E42" s="583"/>
      <c r="F42" s="600">
        <f>E42/C42</f>
        <v>0</v>
      </c>
      <c r="G42" s="585">
        <f>G39+G40+G41</f>
        <v>147028.9008</v>
      </c>
      <c r="H42" s="582">
        <f>H39+H40+H41</f>
        <v>141081.47908200001</v>
      </c>
      <c r="I42" s="582"/>
      <c r="J42" s="600">
        <f>I42/G42</f>
        <v>0</v>
      </c>
      <c r="K42" s="585">
        <f>K39+K40+K41</f>
        <v>147028.9008</v>
      </c>
      <c r="L42" s="582">
        <f>L39+L40+L41</f>
        <v>141081.47908200001</v>
      </c>
      <c r="M42" s="582"/>
      <c r="N42" s="600">
        <f>M42/K42</f>
        <v>0</v>
      </c>
      <c r="O42" s="585">
        <f>O39+O40+O41</f>
        <v>147028.9008</v>
      </c>
      <c r="P42" s="582">
        <f>P39+P40+P41</f>
        <v>141081.47908200001</v>
      </c>
      <c r="Q42" s="582"/>
      <c r="R42" s="600">
        <f>Q42/O42</f>
        <v>0</v>
      </c>
      <c r="S42" s="585">
        <f>S39+S40+S41</f>
        <v>171533.71760000003</v>
      </c>
      <c r="T42" s="582">
        <f>T39+T40+T41</f>
        <v>164595.05892900002</v>
      </c>
      <c r="U42" s="582"/>
      <c r="V42" s="600">
        <f>U42/S42</f>
        <v>0</v>
      </c>
      <c r="W42" s="585">
        <f>W39+W40+W41</f>
        <v>196038.53439999997</v>
      </c>
      <c r="X42" s="582">
        <f>X39+X40+X41</f>
        <v>188108.63877600001</v>
      </c>
      <c r="Y42" s="582"/>
      <c r="Z42" s="600">
        <f>Y42/W42</f>
        <v>0</v>
      </c>
      <c r="AA42" s="585">
        <f>AA39+AA40+AA41</f>
        <v>269552.98479999998</v>
      </c>
      <c r="AB42" s="582">
        <f>AB39+AB40+AB41</f>
        <v>258649.378317</v>
      </c>
      <c r="AC42" s="584"/>
      <c r="AD42" s="600">
        <f>AC42/AA42</f>
        <v>0</v>
      </c>
      <c r="AE42" s="585">
        <f>AE39+AE40+AE41</f>
        <v>1259265.3484</v>
      </c>
      <c r="AF42" s="585">
        <f>AF39+AF40+AF41</f>
        <v>1195735.047456</v>
      </c>
      <c r="AG42" s="585">
        <f>AG39+AG40+AG41</f>
        <v>0</v>
      </c>
      <c r="AH42" s="601">
        <f>AG42/AE42</f>
        <v>0</v>
      </c>
      <c r="IY42" s="585">
        <f>IY39+IY40+IY41</f>
        <v>173772.13800000001</v>
      </c>
      <c r="IZ42" s="585">
        <f>IZ39+IZ40+IZ41</f>
        <v>167444.74212479999</v>
      </c>
      <c r="JA42" s="583"/>
      <c r="JB42" s="600">
        <f>JA42/IY42</f>
        <v>0</v>
      </c>
      <c r="JC42" s="585">
        <f>JC39+JC40+JC41</f>
        <v>173772.13800000001</v>
      </c>
      <c r="JD42" s="582">
        <f>JD39+JD40+JD41</f>
        <v>167444.74212479999</v>
      </c>
      <c r="JE42" s="582"/>
      <c r="JF42" s="600">
        <f>JE42/JC42</f>
        <v>0</v>
      </c>
      <c r="JG42" s="585">
        <f>JG39+JG40+JG41</f>
        <v>173772.13800000001</v>
      </c>
      <c r="JH42" s="582">
        <f>JH39+JH40+JH41</f>
        <v>167444.74212479999</v>
      </c>
      <c r="JI42" s="582"/>
      <c r="JJ42" s="600">
        <f>JI42/JG42</f>
        <v>0</v>
      </c>
      <c r="JK42" s="585">
        <f>JK39+JK40+JK41</f>
        <v>173772.13800000001</v>
      </c>
      <c r="JL42" s="582">
        <f>JL39+JL40+JL41</f>
        <v>167444.74212479999</v>
      </c>
      <c r="JM42" s="582"/>
      <c r="JN42" s="600">
        <f>JM42/JK42</f>
        <v>0</v>
      </c>
      <c r="JO42" s="585">
        <f>JO39+JO40+JO41</f>
        <v>202734.16100000002</v>
      </c>
      <c r="JP42" s="582">
        <f>JP39+JP40+JP41</f>
        <v>195352.19914560003</v>
      </c>
      <c r="JQ42" s="582"/>
      <c r="JR42" s="600">
        <f>JQ42/JO42</f>
        <v>0</v>
      </c>
      <c r="JS42" s="585">
        <f>JS39+JS40+JS41</f>
        <v>231696.18400000001</v>
      </c>
      <c r="JT42" s="582">
        <f>JT39+JT40+JT41</f>
        <v>223259.65616640003</v>
      </c>
      <c r="JU42" s="582"/>
      <c r="JV42" s="600">
        <f>JU42/JS42</f>
        <v>0</v>
      </c>
      <c r="JW42" s="585">
        <f>JW39+JW40+JW41</f>
        <v>318582.25300000003</v>
      </c>
      <c r="JX42" s="582">
        <f>JX39+JX40+JX41</f>
        <v>306982.0272288</v>
      </c>
      <c r="JY42" s="584"/>
      <c r="JZ42" s="600">
        <f>JY42/JW42</f>
        <v>0</v>
      </c>
      <c r="KA42" s="585">
        <f>KA39+KA40+KA41</f>
        <v>1448101.15</v>
      </c>
      <c r="KB42" s="585">
        <f>KB39+KB40+KB41</f>
        <v>1395372.8510400001</v>
      </c>
      <c r="KC42" s="585">
        <f>KC39+KC40+KC41</f>
        <v>0</v>
      </c>
      <c r="KD42" s="601">
        <f>KC42/KA42</f>
        <v>0</v>
      </c>
      <c r="YY42" s="583">
        <f>YY39+YY40+YY41</f>
        <v>204054.04919999998</v>
      </c>
      <c r="YZ42" s="585">
        <f>YZ39+YZ40+YZ41</f>
        <v>201379.79823599997</v>
      </c>
      <c r="ZA42" s="583"/>
      <c r="ZB42" s="600">
        <f>ZA42/YY42</f>
        <v>0</v>
      </c>
      <c r="ZC42" s="585">
        <f>ZC39+ZC40+ZC41</f>
        <v>204054.04919999998</v>
      </c>
      <c r="ZD42" s="582">
        <f>ZD39+ZD40+ZD41</f>
        <v>201379.79823599997</v>
      </c>
      <c r="ZE42" s="582"/>
      <c r="ZF42" s="600">
        <f>ZE42/ZC42</f>
        <v>0</v>
      </c>
      <c r="ZG42" s="585">
        <f>ZG39+ZG40+ZG41</f>
        <v>204054.04919999998</v>
      </c>
      <c r="ZH42" s="582">
        <f>ZH39+ZH40+ZH41</f>
        <v>201379.79823599997</v>
      </c>
      <c r="ZI42" s="582"/>
      <c r="ZJ42" s="600">
        <f>ZI42/ZG42</f>
        <v>0</v>
      </c>
      <c r="ZK42" s="585">
        <f>ZK39+ZK40+ZK41</f>
        <v>204054.04919999998</v>
      </c>
      <c r="ZL42" s="582">
        <f>ZL39+ZL40+ZL41</f>
        <v>201379.79823599997</v>
      </c>
      <c r="ZM42" s="582"/>
      <c r="ZN42" s="600">
        <f>ZM42/ZK42</f>
        <v>0</v>
      </c>
      <c r="ZO42" s="585">
        <f>ZO39+ZO40+ZO41</f>
        <v>238063.05740000005</v>
      </c>
      <c r="ZP42" s="582">
        <f>ZP39+ZP40+ZP41</f>
        <v>234943.09794200002</v>
      </c>
      <c r="ZQ42" s="582"/>
      <c r="ZR42" s="600">
        <f>ZQ42/ZO42</f>
        <v>0</v>
      </c>
      <c r="ZS42" s="585">
        <f>ZS39+ZS40+ZS41</f>
        <v>272072.06559999997</v>
      </c>
      <c r="ZT42" s="582">
        <f>ZT39+ZT40+ZT41</f>
        <v>268506.39764799998</v>
      </c>
      <c r="ZU42" s="582"/>
      <c r="ZV42" s="600">
        <f>ZU42/ZS42</f>
        <v>0</v>
      </c>
      <c r="ZW42" s="585">
        <f>ZW39+ZW40+ZW41</f>
        <v>374099.09019999998</v>
      </c>
      <c r="ZX42" s="582">
        <f>ZX39+ZX40+ZX41</f>
        <v>369196.29676599998</v>
      </c>
      <c r="ZY42" s="584"/>
      <c r="ZZ42" s="600">
        <f>ZY42/ZW42</f>
        <v>0</v>
      </c>
      <c r="AAA42" s="585">
        <f>AAA39+AAA40+AAA41</f>
        <v>1700450.4100000001</v>
      </c>
      <c r="AAB42" s="585">
        <f>AAB39+AAB40+AAB41</f>
        <v>1678164.9853000001</v>
      </c>
      <c r="AAC42" s="585">
        <f>AAC39+AAC40+AAC41</f>
        <v>0</v>
      </c>
      <c r="AAD42" s="601">
        <f>AAC42/AAA42</f>
        <v>0</v>
      </c>
      <c r="AOY42" s="585">
        <f>AOY39+AOY40+AOY41</f>
        <v>214531.8</v>
      </c>
      <c r="AOZ42" s="585">
        <f>AOZ39+AOZ40+AOZ41</f>
        <v>209373.24</v>
      </c>
      <c r="APA42" s="583"/>
      <c r="APB42" s="600">
        <f>APA42/AOY42</f>
        <v>0</v>
      </c>
      <c r="APC42" s="585">
        <f>APC39+APC40+APC41</f>
        <v>214531.8</v>
      </c>
      <c r="APD42" s="582">
        <f>APD39+APD40+APD41</f>
        <v>209373.24</v>
      </c>
      <c r="APE42" s="582"/>
      <c r="APF42" s="600">
        <f>APE42/APC42</f>
        <v>0</v>
      </c>
      <c r="APG42" s="585">
        <f>APG39+APG40+APG41</f>
        <v>214531.8</v>
      </c>
      <c r="APH42" s="582">
        <f>APH39+APH40+APH41</f>
        <v>209373.24</v>
      </c>
      <c r="API42" s="582"/>
      <c r="APJ42" s="600">
        <f>API42/APG42</f>
        <v>0</v>
      </c>
      <c r="APK42" s="585">
        <f>APK39+APK40+APK41</f>
        <v>214531.8</v>
      </c>
      <c r="APL42" s="582">
        <f>APL39+APL40+APL41</f>
        <v>209373.24</v>
      </c>
      <c r="APM42" s="582"/>
      <c r="APN42" s="600">
        <f>APM42/APK42</f>
        <v>0</v>
      </c>
      <c r="APO42" s="585">
        <f>APO39+APO40+APO41</f>
        <v>250287.10000000003</v>
      </c>
      <c r="APP42" s="582">
        <f>APP39+APP40+APP41</f>
        <v>244268.78000000003</v>
      </c>
      <c r="APQ42" s="582"/>
      <c r="APR42" s="600">
        <f>APQ42/APO42</f>
        <v>0</v>
      </c>
      <c r="APS42" s="585">
        <f>APS39+APS40+APS41</f>
        <v>286042.39999999997</v>
      </c>
      <c r="APT42" s="582">
        <f>APT39+APT40+APT41</f>
        <v>279164.32</v>
      </c>
      <c r="APU42" s="582"/>
      <c r="APV42" s="600">
        <f>APU42/APS42</f>
        <v>0</v>
      </c>
      <c r="APW42" s="585">
        <f>APW39+APW40+APW41</f>
        <v>393308.30000000005</v>
      </c>
      <c r="APX42" s="582">
        <f>APX39+APX40+APX41</f>
        <v>383850.94</v>
      </c>
      <c r="APY42" s="584"/>
      <c r="APZ42" s="600">
        <f>APY42/APW42</f>
        <v>0</v>
      </c>
      <c r="AQA42" s="585">
        <f>AQA39+AQA40+AQA41</f>
        <v>1787765</v>
      </c>
      <c r="AQB42" s="585">
        <f>AQB39+AQB40+AQB41</f>
        <v>1744776.9999999998</v>
      </c>
      <c r="AQC42" s="585">
        <f>AQC39+AQC40+AQC41</f>
        <v>0</v>
      </c>
      <c r="AQD42" s="601">
        <f>AQC42/AQA42</f>
        <v>0</v>
      </c>
      <c r="BEY42" s="585">
        <f>BEY39+BEY40+BEY41</f>
        <v>464420.60879999999</v>
      </c>
      <c r="BEZ42" s="585">
        <f>BEZ39+BEZ40+BEZ41</f>
        <v>453985.40266079991</v>
      </c>
      <c r="BFA42" s="583"/>
      <c r="BFB42" s="600">
        <f>BFA42/BEY42</f>
        <v>0</v>
      </c>
      <c r="BFC42" s="585">
        <f>BFC39+BFC40+BFC41</f>
        <v>464420.60879999999</v>
      </c>
      <c r="BFD42" s="582">
        <f>BFD39+BFD40+BFD41</f>
        <v>453985.40266079991</v>
      </c>
      <c r="BFE42" s="582"/>
      <c r="BFF42" s="600">
        <f>BFE42/BFC42</f>
        <v>0</v>
      </c>
      <c r="BFG42" s="585">
        <f>BFG39+BFG40+BFG41</f>
        <v>464420.60879999999</v>
      </c>
      <c r="BFH42" s="582">
        <f>BFH39+BFH40+BFH41</f>
        <v>453985.40266079991</v>
      </c>
      <c r="BFI42" s="582"/>
      <c r="BFJ42" s="600">
        <f>BFI42/BFG42</f>
        <v>0</v>
      </c>
      <c r="BFK42" s="585">
        <f>BFK39+BFK40+BFK41</f>
        <v>464420.60879999999</v>
      </c>
      <c r="BFL42" s="582">
        <f>BFL39+BFL40+BFL41</f>
        <v>453985.40266079991</v>
      </c>
      <c r="BFM42" s="582"/>
      <c r="BFN42" s="600">
        <f>BFM42/BFK42</f>
        <v>0</v>
      </c>
      <c r="BFO42" s="585">
        <f>BFO39+BFO40+BFO41</f>
        <v>541824.04360000009</v>
      </c>
      <c r="BFP42" s="582">
        <f>BFP39+BFP40+BFP41</f>
        <v>529649.63643760001</v>
      </c>
      <c r="BFQ42" s="582"/>
      <c r="BFR42" s="600">
        <f>BFQ42/BFO42</f>
        <v>0</v>
      </c>
      <c r="BFS42" s="585">
        <f>BFS39+BFS40+BFS41</f>
        <v>619227.47840000002</v>
      </c>
      <c r="BFT42" s="582">
        <f>BFT39+BFT40+BFT41</f>
        <v>605313.8702144</v>
      </c>
      <c r="BFU42" s="582"/>
      <c r="BFV42" s="600">
        <f>BFU42/BFS42</f>
        <v>0</v>
      </c>
      <c r="BFW42" s="585">
        <f>BFW39+BFW40+BFW41</f>
        <v>851437.78280000004</v>
      </c>
      <c r="BFX42" s="582">
        <f>BFX39+BFX40+BFX41</f>
        <v>832306.57154479995</v>
      </c>
      <c r="BFY42" s="584"/>
      <c r="BFZ42" s="600">
        <f>BFY42/BFW42</f>
        <v>0</v>
      </c>
      <c r="BGA42" s="585">
        <f>BGA39+BGA40+BGA41</f>
        <v>3870171.7399999998</v>
      </c>
      <c r="BGB42" s="585">
        <f>BGB39+BGB40+BGB41</f>
        <v>3783211.6888399995</v>
      </c>
      <c r="BGC42" s="585">
        <f>BGC39+BGC40+BGC41</f>
        <v>0</v>
      </c>
      <c r="BGD42" s="601">
        <f>BGC42/BGA42</f>
        <v>0</v>
      </c>
    </row>
    <row r="43" spans="2:1666" ht="15.75" thickBot="1">
      <c r="B43" s="445"/>
      <c r="C43" s="924"/>
      <c r="D43" s="515"/>
      <c r="E43" s="515"/>
      <c r="F43" s="383"/>
      <c r="G43" s="924"/>
      <c r="H43" s="515"/>
      <c r="I43" s="515"/>
      <c r="J43" s="383"/>
      <c r="K43" s="924"/>
      <c r="L43" s="515"/>
      <c r="M43" s="515"/>
      <c r="N43" s="383"/>
      <c r="O43" s="924"/>
      <c r="P43" s="515"/>
      <c r="Q43" s="515"/>
      <c r="R43" s="383"/>
      <c r="S43" s="924"/>
      <c r="T43" s="515"/>
      <c r="U43" s="515"/>
      <c r="V43" s="383"/>
      <c r="W43" s="924"/>
      <c r="X43" s="515"/>
      <c r="Y43" s="515"/>
      <c r="Z43" s="383"/>
      <c r="AA43" s="924"/>
      <c r="AB43" s="515"/>
      <c r="AC43" s="515"/>
      <c r="AD43" s="383"/>
      <c r="AE43" s="924"/>
      <c r="AF43" s="924"/>
      <c r="AG43" s="924"/>
      <c r="AH43" s="383"/>
      <c r="IY43" s="924"/>
      <c r="IZ43" s="515"/>
      <c r="JA43" s="515"/>
      <c r="JB43" s="383"/>
      <c r="JC43" s="924"/>
      <c r="JD43" s="515"/>
      <c r="JE43" s="515"/>
      <c r="JF43" s="383"/>
      <c r="JG43" s="924"/>
      <c r="JH43" s="515"/>
      <c r="JI43" s="515"/>
      <c r="JJ43" s="383"/>
      <c r="JK43" s="924"/>
      <c r="JL43" s="515"/>
      <c r="JM43" s="515"/>
      <c r="JN43" s="383"/>
      <c r="JO43" s="924"/>
      <c r="JP43" s="515"/>
      <c r="JQ43" s="515"/>
      <c r="JR43" s="383"/>
      <c r="JS43" s="924"/>
      <c r="JT43" s="515"/>
      <c r="JU43" s="515"/>
      <c r="JV43" s="383"/>
      <c r="JW43" s="924"/>
      <c r="JX43" s="515"/>
      <c r="JY43" s="515"/>
      <c r="JZ43" s="383"/>
      <c r="KA43" s="924"/>
      <c r="KB43" s="924"/>
      <c r="KC43" s="924"/>
      <c r="KD43" s="383"/>
      <c r="YY43" s="924"/>
      <c r="YZ43" s="515"/>
      <c r="ZA43" s="515"/>
      <c r="ZB43" s="383"/>
      <c r="ZC43" s="924"/>
      <c r="ZD43" s="515"/>
      <c r="ZE43" s="515"/>
      <c r="ZF43" s="383"/>
      <c r="ZG43" s="924"/>
      <c r="ZH43" s="515"/>
      <c r="ZI43" s="515"/>
      <c r="ZJ43" s="383"/>
      <c r="ZK43" s="924"/>
      <c r="ZL43" s="515"/>
      <c r="ZM43" s="515"/>
      <c r="ZN43" s="383"/>
      <c r="ZO43" s="924"/>
      <c r="ZP43" s="515"/>
      <c r="ZQ43" s="515"/>
      <c r="ZR43" s="383"/>
      <c r="ZS43" s="924"/>
      <c r="ZT43" s="515"/>
      <c r="ZU43" s="515"/>
      <c r="ZV43" s="383"/>
      <c r="ZW43" s="924"/>
      <c r="ZX43" s="515"/>
      <c r="ZY43" s="515"/>
      <c r="ZZ43" s="383"/>
      <c r="AAA43" s="924"/>
      <c r="AAB43" s="924"/>
      <c r="AAC43" s="924"/>
      <c r="AAD43" s="383"/>
      <c r="AOY43" s="924"/>
      <c r="AOZ43" s="515"/>
      <c r="APA43" s="515"/>
      <c r="APB43" s="383"/>
      <c r="APC43" s="924"/>
      <c r="APD43" s="515"/>
      <c r="APE43" s="515"/>
      <c r="APF43" s="383"/>
      <c r="APG43" s="924"/>
      <c r="APH43" s="515"/>
      <c r="API43" s="515"/>
      <c r="APJ43" s="383"/>
      <c r="APK43" s="924"/>
      <c r="APL43" s="515"/>
      <c r="APM43" s="515"/>
      <c r="APN43" s="383"/>
      <c r="APO43" s="924"/>
      <c r="APP43" s="515"/>
      <c r="APQ43" s="515"/>
      <c r="APR43" s="383"/>
      <c r="APS43" s="924"/>
      <c r="APT43" s="515"/>
      <c r="APU43" s="515"/>
      <c r="APV43" s="383"/>
      <c r="APW43" s="924"/>
      <c r="APX43" s="515"/>
      <c r="APY43" s="515"/>
      <c r="APZ43" s="383"/>
      <c r="AQA43" s="924"/>
      <c r="AQB43" s="924"/>
      <c r="AQC43" s="924"/>
      <c r="AQD43" s="383"/>
      <c r="BEY43" s="924"/>
      <c r="BEZ43" s="515"/>
      <c r="BFA43" s="515"/>
      <c r="BFB43" s="383"/>
      <c r="BFC43" s="924"/>
      <c r="BFD43" s="515"/>
      <c r="BFE43" s="515"/>
      <c r="BFF43" s="383"/>
      <c r="BFG43" s="924"/>
      <c r="BFH43" s="515"/>
      <c r="BFI43" s="515"/>
      <c r="BFJ43" s="383"/>
      <c r="BFK43" s="924"/>
      <c r="BFL43" s="515"/>
      <c r="BFM43" s="515"/>
      <c r="BFN43" s="383"/>
      <c r="BFO43" s="924"/>
      <c r="BFP43" s="515"/>
      <c r="BFQ43" s="515"/>
      <c r="BFR43" s="383"/>
      <c r="BFS43" s="924"/>
      <c r="BFT43" s="515"/>
      <c r="BFU43" s="515"/>
      <c r="BFV43" s="383"/>
      <c r="BFW43" s="924"/>
      <c r="BFX43" s="515"/>
      <c r="BFY43" s="515"/>
      <c r="BFZ43" s="383"/>
      <c r="BGA43" s="924"/>
      <c r="BGB43" s="924"/>
      <c r="BGC43" s="924"/>
      <c r="BGD43" s="383"/>
    </row>
    <row r="44" spans="2:1666">
      <c r="B44" s="602" t="s">
        <v>42</v>
      </c>
      <c r="C44" s="577">
        <f>SUM(C26:C30)</f>
        <v>47645.633999999998</v>
      </c>
      <c r="D44" s="577">
        <f>SUM(D26:D30)</f>
        <v>42404.614260000002</v>
      </c>
      <c r="E44" s="580"/>
      <c r="F44" s="595">
        <f>E44/C44</f>
        <v>0</v>
      </c>
      <c r="G44" s="577">
        <f>SUM(G26:G30)</f>
        <v>77380.792799999996</v>
      </c>
      <c r="H44" s="578">
        <f>SUM(H26:H30)</f>
        <v>75243.803999999989</v>
      </c>
      <c r="I44" s="578"/>
      <c r="J44" s="595">
        <f>I44/G44</f>
        <v>0</v>
      </c>
      <c r="K44" s="577">
        <f>SUM(K26:K30)</f>
        <v>77380.792799999996</v>
      </c>
      <c r="L44" s="578">
        <f>SUM(L26:L30)</f>
        <v>75243.803999999989</v>
      </c>
      <c r="M44" s="578"/>
      <c r="N44" s="595">
        <f>M44/K44</f>
        <v>0</v>
      </c>
      <c r="O44" s="577">
        <f>SUM(O26:O30)</f>
        <v>77380.792799999996</v>
      </c>
      <c r="P44" s="578">
        <f>SUM(P26:P30)</f>
        <v>75243.803999999989</v>
      </c>
      <c r="Q44" s="578"/>
      <c r="R44" s="595">
        <f>Q44/O44</f>
        <v>0</v>
      </c>
      <c r="S44" s="577">
        <f>SUM(S26:S30)</f>
        <v>90277.591600000014</v>
      </c>
      <c r="T44" s="578">
        <f>SUM(T26:T30)</f>
        <v>87784.438000000009</v>
      </c>
      <c r="U44" s="578"/>
      <c r="V44" s="595">
        <f>U44/S44</f>
        <v>0</v>
      </c>
      <c r="W44" s="577">
        <f>SUM(W26:W30)</f>
        <v>103174.3904</v>
      </c>
      <c r="X44" s="578">
        <f>SUM(X26:X30)</f>
        <v>100325.07200000001</v>
      </c>
      <c r="Y44" s="578"/>
      <c r="Z44" s="595">
        <f>Y44/W44</f>
        <v>0</v>
      </c>
      <c r="AA44" s="577">
        <f>SUM(AA26:AA30)</f>
        <v>141864.7868</v>
      </c>
      <c r="AB44" s="578">
        <f>SUM(AB26:AB30)</f>
        <v>137946.97399999999</v>
      </c>
      <c r="AC44" s="581"/>
      <c r="AD44" s="595">
        <f>AC44/AA44</f>
        <v>0</v>
      </c>
      <c r="AE44" s="577">
        <f>SUM(AE26:AE30)</f>
        <v>615104.78120000008</v>
      </c>
      <c r="AF44" s="577">
        <f>SUM(AF26:AF30)</f>
        <v>594192.51025999989</v>
      </c>
      <c r="AG44" s="577">
        <f>SUM(AG26:AG30)</f>
        <v>0</v>
      </c>
      <c r="AH44" s="596">
        <f>AG44/AE44</f>
        <v>0</v>
      </c>
      <c r="IY44" s="577">
        <f>SUM(IY26:IY30)</f>
        <v>81450.525599999994</v>
      </c>
      <c r="IZ44" s="577">
        <f>SUM(IZ26:IZ30)</f>
        <v>79127.760311999999</v>
      </c>
      <c r="JA44" s="580"/>
      <c r="JB44" s="595">
        <f>JA44/IY44</f>
        <v>0</v>
      </c>
      <c r="JC44" s="577">
        <f>SUM(JC26:JC30)</f>
        <v>81450.525599999994</v>
      </c>
      <c r="JD44" s="578">
        <f>SUM(JD26:JD30)</f>
        <v>79127.760311999999</v>
      </c>
      <c r="JE44" s="578"/>
      <c r="JF44" s="595">
        <f>JE44/JC44</f>
        <v>0</v>
      </c>
      <c r="JG44" s="577">
        <f>SUM(JG26:JG30)</f>
        <v>81450.525599999994</v>
      </c>
      <c r="JH44" s="578">
        <f>SUM(JH26:JH30)</f>
        <v>79127.760311999999</v>
      </c>
      <c r="JI44" s="578"/>
      <c r="JJ44" s="595">
        <f>JI44/JG44</f>
        <v>0</v>
      </c>
      <c r="JK44" s="577">
        <f>SUM(JK26:JK30)</f>
        <v>81450.525599999994</v>
      </c>
      <c r="JL44" s="578">
        <f>SUM(JL26:JL30)</f>
        <v>79127.760311999999</v>
      </c>
      <c r="JM44" s="578"/>
      <c r="JN44" s="595">
        <f>JM44/JK44</f>
        <v>0</v>
      </c>
      <c r="JO44" s="577">
        <f>SUM(JO26:JO30)</f>
        <v>95025.613200000007</v>
      </c>
      <c r="JP44" s="578">
        <f>SUM(JP26:JP30)</f>
        <v>92315.720364000008</v>
      </c>
      <c r="JQ44" s="578"/>
      <c r="JR44" s="595">
        <f>JQ44/JO44</f>
        <v>0</v>
      </c>
      <c r="JS44" s="577">
        <f>SUM(JS26:JS30)</f>
        <v>108600.70080000001</v>
      </c>
      <c r="JT44" s="578">
        <f>SUM(JT26:JT30)</f>
        <v>105503.68041600002</v>
      </c>
      <c r="JU44" s="578"/>
      <c r="JV44" s="595">
        <f>JU44/JS44</f>
        <v>0</v>
      </c>
      <c r="JW44" s="577">
        <f>SUM(JW26:JW30)</f>
        <v>149325.96359999999</v>
      </c>
      <c r="JX44" s="578">
        <f>SUM(JX26:JX30)</f>
        <v>145067.56057200002</v>
      </c>
      <c r="JY44" s="581"/>
      <c r="JZ44" s="595">
        <f>JY44/JW44</f>
        <v>0</v>
      </c>
      <c r="KA44" s="577">
        <f>SUM(KA26:KA30)</f>
        <v>678754.38</v>
      </c>
      <c r="KB44" s="577">
        <f>SUM(KB26:KB30)</f>
        <v>659398.00260000001</v>
      </c>
      <c r="KC44" s="577">
        <f>SUM(KC26:KC30)</f>
        <v>0</v>
      </c>
      <c r="KD44" s="596">
        <f>KC44/KA44</f>
        <v>0</v>
      </c>
      <c r="YY44" s="580">
        <f>SUM(YY26:YY30)</f>
        <v>101786.5572</v>
      </c>
      <c r="YZ44" s="577">
        <f>SUM(YZ26:YZ30)</f>
        <v>99154.339919999999</v>
      </c>
      <c r="ZA44" s="580"/>
      <c r="ZB44" s="595">
        <f>ZA44/YY44</f>
        <v>0</v>
      </c>
      <c r="ZC44" s="577">
        <f>SUM(ZC26:ZC30)</f>
        <v>101786.5572</v>
      </c>
      <c r="ZD44" s="578">
        <f>SUM(ZD26:ZD30)</f>
        <v>99154.339919999999</v>
      </c>
      <c r="ZE44" s="578"/>
      <c r="ZF44" s="595">
        <f>ZE44/ZC44</f>
        <v>0</v>
      </c>
      <c r="ZG44" s="577">
        <f>SUM(ZG26:ZG30)</f>
        <v>101786.5572</v>
      </c>
      <c r="ZH44" s="578">
        <f>SUM(ZH26:ZH30)</f>
        <v>99154.339919999999</v>
      </c>
      <c r="ZI44" s="578"/>
      <c r="ZJ44" s="595">
        <f>ZI44/ZG44</f>
        <v>0</v>
      </c>
      <c r="ZK44" s="577">
        <f>SUM(ZK26:ZK30)</f>
        <v>101786.5572</v>
      </c>
      <c r="ZL44" s="578">
        <f>SUM(ZL26:ZL30)</f>
        <v>99154.339919999999</v>
      </c>
      <c r="ZM44" s="578"/>
      <c r="ZN44" s="595">
        <f>ZM44/ZK44</f>
        <v>0</v>
      </c>
      <c r="ZO44" s="577">
        <f>SUM(ZO26:ZO30)</f>
        <v>118750.98340000001</v>
      </c>
      <c r="ZP44" s="578">
        <f>SUM(ZP26:ZP30)</f>
        <v>115680.06323999999</v>
      </c>
      <c r="ZQ44" s="578"/>
      <c r="ZR44" s="595">
        <f>ZQ44/ZO44</f>
        <v>0</v>
      </c>
      <c r="ZS44" s="577">
        <f>SUM(ZS26:ZS30)</f>
        <v>135715.40960000001</v>
      </c>
      <c r="ZT44" s="578">
        <f>SUM(ZT26:ZT30)</f>
        <v>132205.78656000001</v>
      </c>
      <c r="ZU44" s="578"/>
      <c r="ZV44" s="595">
        <f>ZU44/ZS44</f>
        <v>0</v>
      </c>
      <c r="ZW44" s="577">
        <f>SUM(ZW26:ZW30)</f>
        <v>186608.68819999998</v>
      </c>
      <c r="ZX44" s="578">
        <f>SUM(ZX26:ZX30)</f>
        <v>181782.95652000001</v>
      </c>
      <c r="ZY44" s="581"/>
      <c r="ZZ44" s="595">
        <f>ZY44/ZW44</f>
        <v>0</v>
      </c>
      <c r="AAA44" s="577">
        <f>SUM(AAA26:AAA30)</f>
        <v>848221.31</v>
      </c>
      <c r="AAB44" s="577">
        <f>SUM(AAB26:AAB30)</f>
        <v>826286.16599999997</v>
      </c>
      <c r="AAC44" s="577">
        <f>SUM(AAC26:AAC30)</f>
        <v>0</v>
      </c>
      <c r="AAD44" s="596">
        <f>AAC44/AAA44</f>
        <v>0</v>
      </c>
      <c r="AOY44" s="577">
        <f>SUM(AOY26:AOY30)</f>
        <v>98771.28</v>
      </c>
      <c r="AOZ44" s="577">
        <f>SUM(AOZ26:AOZ30)</f>
        <v>104167.08</v>
      </c>
      <c r="APA44" s="580"/>
      <c r="APB44" s="595">
        <f>APA44/AOY44</f>
        <v>0</v>
      </c>
      <c r="APC44" s="577">
        <f>SUM(APC26:APC30)</f>
        <v>98771.28</v>
      </c>
      <c r="APD44" s="578">
        <f>SUM(APD26:APD30)</f>
        <v>104167.08</v>
      </c>
      <c r="APE44" s="578"/>
      <c r="APF44" s="595">
        <f>APE44/APC44</f>
        <v>0</v>
      </c>
      <c r="APG44" s="577">
        <f>SUM(APG26:APG30)</f>
        <v>98771.28</v>
      </c>
      <c r="APH44" s="578">
        <f>SUM(APH26:APH30)</f>
        <v>104167.08</v>
      </c>
      <c r="API44" s="578"/>
      <c r="APJ44" s="595">
        <f>API44/APG44</f>
        <v>0</v>
      </c>
      <c r="APK44" s="577">
        <f>SUM(APK26:APK30)</f>
        <v>98771.28</v>
      </c>
      <c r="APL44" s="578">
        <f>SUM(APL26:APL30)</f>
        <v>104167.08</v>
      </c>
      <c r="APM44" s="578"/>
      <c r="APN44" s="595">
        <f>APM44/APK44</f>
        <v>0</v>
      </c>
      <c r="APO44" s="577">
        <f>SUM(APO26:APO30)</f>
        <v>115233.16</v>
      </c>
      <c r="APP44" s="578">
        <f>SUM(APP26:APP30)</f>
        <v>121528.26000000001</v>
      </c>
      <c r="APQ44" s="578"/>
      <c r="APR44" s="595">
        <f>APQ44/APO44</f>
        <v>0</v>
      </c>
      <c r="APS44" s="577">
        <f>SUM(APS26:APS30)</f>
        <v>131695.04000000001</v>
      </c>
      <c r="APT44" s="578">
        <f>SUM(APT26:APT30)</f>
        <v>138889.44</v>
      </c>
      <c r="APU44" s="578"/>
      <c r="APV44" s="595">
        <f>APU44/APS44</f>
        <v>0</v>
      </c>
      <c r="APW44" s="577">
        <f>SUM(APW26:APW30)</f>
        <v>181080.68</v>
      </c>
      <c r="APX44" s="578">
        <f>SUM(APX26:APX30)</f>
        <v>190972.98</v>
      </c>
      <c r="APY44" s="581"/>
      <c r="APZ44" s="595">
        <f>APY44/APW44</f>
        <v>0</v>
      </c>
      <c r="AQA44" s="577">
        <f>SUM(AQA26:AQA30)</f>
        <v>823094</v>
      </c>
      <c r="AQB44" s="577">
        <f>SUM(AQB26:AQB30)</f>
        <v>868059</v>
      </c>
      <c r="AQC44" s="577">
        <f>SUM(AQC26:AQC30)</f>
        <v>0</v>
      </c>
      <c r="AQD44" s="596">
        <f>AQC44/AQA44</f>
        <v>0</v>
      </c>
      <c r="BEY44" s="577">
        <f>SUM(BEY26:BEY30)</f>
        <v>166119.69</v>
      </c>
      <c r="BEZ44" s="577">
        <f>SUM(BEZ26:BEZ30)</f>
        <v>176591.47492799998</v>
      </c>
      <c r="BFA44" s="580"/>
      <c r="BFB44" s="595">
        <f>BFA44/BEY44</f>
        <v>0</v>
      </c>
      <c r="BFC44" s="577">
        <f>SUM(BFC26:BFC30)</f>
        <v>166119.69</v>
      </c>
      <c r="BFD44" s="578">
        <f>SUM(BFD26:BFD30)</f>
        <v>176591.47492799998</v>
      </c>
      <c r="BFE44" s="578"/>
      <c r="BFF44" s="595">
        <f>BFE44/BFC44</f>
        <v>0</v>
      </c>
      <c r="BFG44" s="577">
        <f>SUM(BFG26:BFG30)</f>
        <v>166119.69</v>
      </c>
      <c r="BFH44" s="578">
        <f>SUM(BFH26:BFH30)</f>
        <v>176591.47492799998</v>
      </c>
      <c r="BFI44" s="578"/>
      <c r="BFJ44" s="595">
        <f>BFI44/BFG44</f>
        <v>0</v>
      </c>
      <c r="BFK44" s="577">
        <f>SUM(BFK26:BFK30)</f>
        <v>166119.69</v>
      </c>
      <c r="BFL44" s="578">
        <f>SUM(BFL26:BFL30)</f>
        <v>176591.47492799998</v>
      </c>
      <c r="BFM44" s="578"/>
      <c r="BFN44" s="595">
        <f>BFM44/BFK44</f>
        <v>0</v>
      </c>
      <c r="BFO44" s="577">
        <f>SUM(BFO26:BFO30)</f>
        <v>193806.30499999999</v>
      </c>
      <c r="BFP44" s="578">
        <f>SUM(BFP26:BFP30)</f>
        <v>206023.38741600001</v>
      </c>
      <c r="BFQ44" s="578"/>
      <c r="BFR44" s="595">
        <f>BFQ44/BFO44</f>
        <v>0</v>
      </c>
      <c r="BFS44" s="577">
        <f>SUM(BFS26:BFS30)</f>
        <v>221492.91999999998</v>
      </c>
      <c r="BFT44" s="578">
        <f>SUM(BFT26:BFT30)</f>
        <v>235455.29990399998</v>
      </c>
      <c r="BFU44" s="578"/>
      <c r="BFV44" s="595">
        <f>BFU44/BFS44</f>
        <v>0</v>
      </c>
      <c r="BFW44" s="577">
        <f>SUM(BFW26:BFW30)</f>
        <v>304552.76500000001</v>
      </c>
      <c r="BFX44" s="578">
        <f>SUM(BFX26:BFX30)</f>
        <v>323751.03736799996</v>
      </c>
      <c r="BFY44" s="581"/>
      <c r="BFZ44" s="595">
        <f>BFY44/BFW44</f>
        <v>0</v>
      </c>
      <c r="BGA44" s="577">
        <f>SUM(BGA26:BGA30)</f>
        <v>1384330.75</v>
      </c>
      <c r="BGB44" s="577">
        <f>SUM(BGB26:BGB30)</f>
        <v>1471595.6244000001</v>
      </c>
      <c r="BGC44" s="577">
        <f>SUM(BGC26:BGC30)</f>
        <v>0</v>
      </c>
      <c r="BGD44" s="596">
        <f>BGC44/BGA44</f>
        <v>0</v>
      </c>
    </row>
    <row r="45" spans="2:1666">
      <c r="B45" s="603" t="s">
        <v>43</v>
      </c>
      <c r="C45" s="579">
        <f>SUM(C31:C35)</f>
        <v>38116.5072</v>
      </c>
      <c r="D45" s="579">
        <f>SUM(D31:D35)</f>
        <v>42404.614260000002</v>
      </c>
      <c r="E45" s="575"/>
      <c r="F45" s="592">
        <f>E45/C45</f>
        <v>0</v>
      </c>
      <c r="G45" s="579" t="e">
        <f>SUM(G31:G35)</f>
        <v>#VALUE!</v>
      </c>
      <c r="H45" s="574">
        <f>SUM(H31:H35)</f>
        <v>17936.231231999998</v>
      </c>
      <c r="I45" s="574"/>
      <c r="J45" s="592" t="e">
        <f>I45/G45</f>
        <v>#VALUE!</v>
      </c>
      <c r="K45" s="579" t="e">
        <f>SUM(K31:K35)</f>
        <v>#VALUE!</v>
      </c>
      <c r="L45" s="574">
        <f>SUM(L31:L35)</f>
        <v>17936.231231999998</v>
      </c>
      <c r="M45" s="574"/>
      <c r="N45" s="592" t="e">
        <f>M45/K45</f>
        <v>#VALUE!</v>
      </c>
      <c r="O45" s="579" t="e">
        <f>SUM(O31:O35)</f>
        <v>#VALUE!</v>
      </c>
      <c r="P45" s="574">
        <f>SUM(P31:P35)</f>
        <v>17936.231231999998</v>
      </c>
      <c r="Q45" s="574"/>
      <c r="R45" s="592" t="e">
        <f>Q45/O45</f>
        <v>#VALUE!</v>
      </c>
      <c r="S45" s="579" t="e">
        <f>SUM(S31:S35)</f>
        <v>#VALUE!</v>
      </c>
      <c r="T45" s="574">
        <f>SUM(T31:T35)</f>
        <v>20925.603104000002</v>
      </c>
      <c r="U45" s="574"/>
      <c r="V45" s="592" t="e">
        <f>U45/S45</f>
        <v>#VALUE!</v>
      </c>
      <c r="W45" s="579" t="e">
        <f>SUM(W31:W35)</f>
        <v>#VALUE!</v>
      </c>
      <c r="X45" s="574">
        <f>SUM(X31:X35)</f>
        <v>23914.974976000001</v>
      </c>
      <c r="Y45" s="574"/>
      <c r="Z45" s="592" t="e">
        <f>Y45/W45</f>
        <v>#VALUE!</v>
      </c>
      <c r="AA45" s="579" t="e">
        <f>SUM(AA31:AA35)</f>
        <v>#VALUE!</v>
      </c>
      <c r="AB45" s="574">
        <f>SUM(AB31:AB35)</f>
        <v>32883.090592</v>
      </c>
      <c r="AC45" s="576"/>
      <c r="AD45" s="592" t="e">
        <f>AC45/AA45</f>
        <v>#VALUE!</v>
      </c>
      <c r="AE45" s="579" t="e">
        <f>SUM(AE31:AE35)</f>
        <v>#VALUE!</v>
      </c>
      <c r="AF45" s="579">
        <f>SUM(AF31:AF35)</f>
        <v>173936.976628</v>
      </c>
      <c r="AG45" s="579">
        <f>SUM(AG31:AG35)</f>
        <v>0</v>
      </c>
      <c r="AH45" s="598" t="e">
        <f>AG45/AE45</f>
        <v>#VALUE!</v>
      </c>
      <c r="IY45" s="579" t="e">
        <f>SUM(IY31:IY35)</f>
        <v>#VALUE!</v>
      </c>
      <c r="IZ45" s="579">
        <f>SUM(IZ31:IZ35)</f>
        <v>17701.912799999998</v>
      </c>
      <c r="JA45" s="575"/>
      <c r="JB45" s="592" t="e">
        <f>JA45/IY45</f>
        <v>#VALUE!</v>
      </c>
      <c r="JC45" s="579" t="e">
        <f>SUM(JC31:JC35)</f>
        <v>#VALUE!</v>
      </c>
      <c r="JD45" s="574">
        <f>SUM(JD31:JD35)</f>
        <v>17701.912799999998</v>
      </c>
      <c r="JE45" s="574"/>
      <c r="JF45" s="592" t="e">
        <f>JE45/JC45</f>
        <v>#VALUE!</v>
      </c>
      <c r="JG45" s="579" t="e">
        <f>SUM(JG31:JG35)</f>
        <v>#VALUE!</v>
      </c>
      <c r="JH45" s="574">
        <f>SUM(JH31:JH35)</f>
        <v>17701.912799999998</v>
      </c>
      <c r="JI45" s="574"/>
      <c r="JJ45" s="592" t="e">
        <f>JI45/JG45</f>
        <v>#VALUE!</v>
      </c>
      <c r="JK45" s="579" t="e">
        <f>SUM(JK31:JK35)</f>
        <v>#VALUE!</v>
      </c>
      <c r="JL45" s="574">
        <f>SUM(JL31:JL35)</f>
        <v>17701.912799999998</v>
      </c>
      <c r="JM45" s="574"/>
      <c r="JN45" s="592" t="e">
        <f>JM45/JK45</f>
        <v>#VALUE!</v>
      </c>
      <c r="JO45" s="579" t="e">
        <f>SUM(JO31:JO35)</f>
        <v>#VALUE!</v>
      </c>
      <c r="JP45" s="574">
        <f>SUM(JP31:JP35)</f>
        <v>20652.231600000003</v>
      </c>
      <c r="JQ45" s="574"/>
      <c r="JR45" s="592" t="e">
        <f>JQ45/JO45</f>
        <v>#VALUE!</v>
      </c>
      <c r="JS45" s="579" t="e">
        <f>SUM(JS31:JS35)</f>
        <v>#VALUE!</v>
      </c>
      <c r="JT45" s="574">
        <f>SUM(JT31:JT35)</f>
        <v>23602.5504</v>
      </c>
      <c r="JU45" s="574"/>
      <c r="JV45" s="592" t="e">
        <f>JU45/JS45</f>
        <v>#VALUE!</v>
      </c>
      <c r="JW45" s="579" t="e">
        <f>SUM(JW31:JW35)</f>
        <v>#VALUE!</v>
      </c>
      <c r="JX45" s="574">
        <f>SUM(JX31:JX35)</f>
        <v>32453.506800000003</v>
      </c>
      <c r="JY45" s="576"/>
      <c r="JZ45" s="592" t="e">
        <f>JY45/JW45</f>
        <v>#VALUE!</v>
      </c>
      <c r="KA45" s="579" t="e">
        <f>SUM(KA31:KA35)</f>
        <v>#VALUE!</v>
      </c>
      <c r="KB45" s="579">
        <f>SUM(KB31:KB35)</f>
        <v>147515.94</v>
      </c>
      <c r="KC45" s="579">
        <f>SUM(KC31:KC35)</f>
        <v>0</v>
      </c>
      <c r="KD45" s="598" t="e">
        <f>KC45/KA45</f>
        <v>#VALUE!</v>
      </c>
      <c r="YY45" s="575">
        <f>SUM(YY31:YY35)</f>
        <v>12514.6536</v>
      </c>
      <c r="YZ45" s="579">
        <f>SUM(YZ31:YZ35)</f>
        <v>18021.101183999999</v>
      </c>
      <c r="ZA45" s="575"/>
      <c r="ZB45" s="592">
        <f>ZA45/YY45</f>
        <v>0</v>
      </c>
      <c r="ZC45" s="579">
        <f>SUM(ZC31:ZC35)</f>
        <v>12514.6536</v>
      </c>
      <c r="ZD45" s="574">
        <f>SUM(ZD31:ZD35)</f>
        <v>18021.101183999999</v>
      </c>
      <c r="ZE45" s="574"/>
      <c r="ZF45" s="592">
        <f>ZE45/ZC45</f>
        <v>0</v>
      </c>
      <c r="ZG45" s="579">
        <f>SUM(ZG31:ZG35)</f>
        <v>12514.6536</v>
      </c>
      <c r="ZH45" s="574">
        <f>SUM(ZH31:ZH35)</f>
        <v>18021.101183999999</v>
      </c>
      <c r="ZI45" s="574"/>
      <c r="ZJ45" s="592">
        <f>ZI45/ZG45</f>
        <v>0</v>
      </c>
      <c r="ZK45" s="579">
        <f>SUM(ZK31:ZK35)</f>
        <v>12514.6536</v>
      </c>
      <c r="ZL45" s="574">
        <f>SUM(ZL31:ZL35)</f>
        <v>18021.101183999999</v>
      </c>
      <c r="ZM45" s="574"/>
      <c r="ZN45" s="592">
        <f>ZM45/ZK45</f>
        <v>0</v>
      </c>
      <c r="ZO45" s="579">
        <f>SUM(ZO31:ZO35)</f>
        <v>14600.4292</v>
      </c>
      <c r="ZP45" s="574">
        <f>SUM(ZP31:ZP35)</f>
        <v>21024.618048</v>
      </c>
      <c r="ZQ45" s="574"/>
      <c r="ZR45" s="592">
        <f>ZQ45/ZO45</f>
        <v>0</v>
      </c>
      <c r="ZS45" s="579">
        <f>SUM(ZS31:ZS35)</f>
        <v>16686.2048</v>
      </c>
      <c r="ZT45" s="574">
        <f>SUM(ZT31:ZT35)</f>
        <v>24028.134912000001</v>
      </c>
      <c r="ZU45" s="574"/>
      <c r="ZV45" s="592">
        <f>ZU45/ZS45</f>
        <v>0</v>
      </c>
      <c r="ZW45" s="579">
        <f>SUM(ZW31:ZW35)</f>
        <v>22943.531599999998</v>
      </c>
      <c r="ZX45" s="574">
        <f>SUM(ZX31:ZX35)</f>
        <v>33038.685504000001</v>
      </c>
      <c r="ZY45" s="576"/>
      <c r="ZZ45" s="592">
        <f>ZY45/ZW45</f>
        <v>0</v>
      </c>
      <c r="AAA45" s="579">
        <f>SUM(AAA31:AAA35)</f>
        <v>104288.78</v>
      </c>
      <c r="AAB45" s="579">
        <f>SUM(AAB31:AAB35)</f>
        <v>150175.8432</v>
      </c>
      <c r="AAC45" s="579">
        <f>SUM(AAC31:AAC35)</f>
        <v>0</v>
      </c>
      <c r="AAD45" s="598">
        <f>AAC45/AAA45</f>
        <v>0</v>
      </c>
      <c r="AOY45" s="579">
        <f>SUM(AOY31:AOY35)</f>
        <v>11647.32</v>
      </c>
      <c r="AOZ45" s="579">
        <f>SUM(AOZ31:AOZ35)</f>
        <v>21151.53312</v>
      </c>
      <c r="APA45" s="575"/>
      <c r="APB45" s="592">
        <f>APA45/AOY45</f>
        <v>0</v>
      </c>
      <c r="APC45" s="579">
        <f>SUM(APC31:APC35)</f>
        <v>11647.32</v>
      </c>
      <c r="APD45" s="574">
        <f>SUM(APD31:APD35)</f>
        <v>21151.53312</v>
      </c>
      <c r="APE45" s="574"/>
      <c r="APF45" s="592">
        <f>APE45/APC45</f>
        <v>0</v>
      </c>
      <c r="APG45" s="579">
        <f>SUM(APG31:APG35)</f>
        <v>11647.32</v>
      </c>
      <c r="APH45" s="574">
        <f>SUM(APH31:APH35)</f>
        <v>21151.53312</v>
      </c>
      <c r="API45" s="574"/>
      <c r="APJ45" s="592">
        <f>API45/APG45</f>
        <v>0</v>
      </c>
      <c r="APK45" s="579">
        <f>SUM(APK31:APK35)</f>
        <v>11647.32</v>
      </c>
      <c r="APL45" s="574">
        <f>SUM(APL31:APL35)</f>
        <v>21151.53312</v>
      </c>
      <c r="APM45" s="574"/>
      <c r="APN45" s="592">
        <f>APM45/APK45</f>
        <v>0</v>
      </c>
      <c r="APO45" s="579">
        <f>SUM(APO31:APO35)</f>
        <v>13588.54</v>
      </c>
      <c r="APP45" s="574">
        <f>SUM(APP31:APP35)</f>
        <v>24676.788640000006</v>
      </c>
      <c r="APQ45" s="574"/>
      <c r="APR45" s="592">
        <f>APQ45/APO45</f>
        <v>0</v>
      </c>
      <c r="APS45" s="579">
        <f>SUM(APS31:APS35)</f>
        <v>15529.76</v>
      </c>
      <c r="APT45" s="574">
        <f>SUM(APT31:APT35)</f>
        <v>28202.044160000005</v>
      </c>
      <c r="APU45" s="574"/>
      <c r="APV45" s="592">
        <f>APU45/APS45</f>
        <v>0</v>
      </c>
      <c r="APW45" s="579">
        <f>SUM(APW31:APW35)</f>
        <v>21353.420000000002</v>
      </c>
      <c r="APX45" s="574">
        <f>SUM(APX31:APX35)</f>
        <v>38777.810720000009</v>
      </c>
      <c r="APY45" s="576"/>
      <c r="APZ45" s="592">
        <f>APY45/APW45</f>
        <v>0</v>
      </c>
      <c r="AQA45" s="579">
        <f>SUM(AQA31:AQA35)</f>
        <v>97061</v>
      </c>
      <c r="AQB45" s="579">
        <f>SUM(AQB31:AQB35)</f>
        <v>176262.77600000001</v>
      </c>
      <c r="AQC45" s="579">
        <f>SUM(AQC31:AQC35)</f>
        <v>0</v>
      </c>
      <c r="AQD45" s="598">
        <f>AQC45/AQA45</f>
        <v>0</v>
      </c>
      <c r="BEY45" s="579">
        <f>SUM(BEY31:BEY35)</f>
        <v>15415.7184</v>
      </c>
      <c r="BEZ45" s="579">
        <f>SUM(BEZ31:BEZ35)</f>
        <v>27070.001510399998</v>
      </c>
      <c r="BFA45" s="575"/>
      <c r="BFB45" s="592">
        <f>BFA45/BEY45</f>
        <v>0</v>
      </c>
      <c r="BFC45" s="579">
        <f>SUM(BFC31:BFC35)</f>
        <v>15415.7184</v>
      </c>
      <c r="BFD45" s="574">
        <f>SUM(BFD31:BFD35)</f>
        <v>27070.001510399998</v>
      </c>
      <c r="BFE45" s="574"/>
      <c r="BFF45" s="592">
        <f>BFE45/BFC45</f>
        <v>0</v>
      </c>
      <c r="BFG45" s="579">
        <f>SUM(BFG31:BFG35)</f>
        <v>15415.7184</v>
      </c>
      <c r="BFH45" s="574">
        <f>SUM(BFH31:BFH35)</f>
        <v>27070.001510399998</v>
      </c>
      <c r="BFI45" s="574"/>
      <c r="BFJ45" s="592">
        <f>BFI45/BFG45</f>
        <v>0</v>
      </c>
      <c r="BFK45" s="579">
        <f>SUM(BFK31:BFK35)</f>
        <v>15415.7184</v>
      </c>
      <c r="BFL45" s="574">
        <f>SUM(BFL31:BFL35)</f>
        <v>27070.001510399998</v>
      </c>
      <c r="BFM45" s="574"/>
      <c r="BFN45" s="592">
        <f>BFM45/BFK45</f>
        <v>0</v>
      </c>
      <c r="BFO45" s="579">
        <f>SUM(BFO31:BFO35)</f>
        <v>17985.004800000002</v>
      </c>
      <c r="BFP45" s="574">
        <f>SUM(BFP31:BFP35)</f>
        <v>31581.668428800003</v>
      </c>
      <c r="BFQ45" s="574"/>
      <c r="BFR45" s="592">
        <f>BFQ45/BFO45</f>
        <v>0</v>
      </c>
      <c r="BFS45" s="579">
        <f>SUM(BFS31:BFS35)</f>
        <v>20554.291200000003</v>
      </c>
      <c r="BFT45" s="574">
        <f>SUM(BFT31:BFT35)</f>
        <v>36093.335347200002</v>
      </c>
      <c r="BFU45" s="574"/>
      <c r="BFV45" s="592">
        <f>BFU45/BFS45</f>
        <v>0</v>
      </c>
      <c r="BFW45" s="579">
        <f>SUM(BFW31:BFW35)</f>
        <v>28262.150400000002</v>
      </c>
      <c r="BFX45" s="574">
        <f>SUM(BFX31:BFX35)</f>
        <v>49628.336102400004</v>
      </c>
      <c r="BFY45" s="576"/>
      <c r="BFZ45" s="592">
        <f>BFY45/BFW45</f>
        <v>0</v>
      </c>
      <c r="BGA45" s="579">
        <f>SUM(BGA31:BGA35)</f>
        <v>128464.32000000001</v>
      </c>
      <c r="BGB45" s="579">
        <f>SUM(BGB31:BGB35)</f>
        <v>225583.34592000002</v>
      </c>
      <c r="BGC45" s="579">
        <f>SUM(BGC31:BGC35)</f>
        <v>0</v>
      </c>
      <c r="BGD45" s="598">
        <f>BGC45/BGA45</f>
        <v>0</v>
      </c>
    </row>
    <row r="46" spans="2:1666" ht="15.75" thickBot="1">
      <c r="B46" s="604" t="s">
        <v>514</v>
      </c>
      <c r="C46" s="585">
        <f>C44+C45</f>
        <v>85762.141199999998</v>
      </c>
      <c r="D46" s="585">
        <f>D44+D45</f>
        <v>84809.228520000004</v>
      </c>
      <c r="E46" s="583"/>
      <c r="F46" s="600">
        <f>E46/C46</f>
        <v>0</v>
      </c>
      <c r="G46" s="585" t="e">
        <f>G44+G45</f>
        <v>#VALUE!</v>
      </c>
      <c r="H46" s="582">
        <f>H44+H45</f>
        <v>93180.035231999995</v>
      </c>
      <c r="I46" s="582"/>
      <c r="J46" s="600" t="e">
        <f>I46/G46</f>
        <v>#VALUE!</v>
      </c>
      <c r="K46" s="585" t="e">
        <f>K44+K45</f>
        <v>#VALUE!</v>
      </c>
      <c r="L46" s="582">
        <f>L44+L45</f>
        <v>93180.035231999995</v>
      </c>
      <c r="M46" s="582"/>
      <c r="N46" s="600" t="e">
        <f>M46/K46</f>
        <v>#VALUE!</v>
      </c>
      <c r="O46" s="585" t="e">
        <f>O44+O45</f>
        <v>#VALUE!</v>
      </c>
      <c r="P46" s="582">
        <f>P44+P45</f>
        <v>93180.035231999995</v>
      </c>
      <c r="Q46" s="582"/>
      <c r="R46" s="600" t="e">
        <f>Q46/O46</f>
        <v>#VALUE!</v>
      </c>
      <c r="S46" s="585" t="e">
        <f>S44+S45</f>
        <v>#VALUE!</v>
      </c>
      <c r="T46" s="582">
        <f>T44+T45</f>
        <v>108710.041104</v>
      </c>
      <c r="U46" s="582"/>
      <c r="V46" s="600" t="e">
        <f>U46/S46</f>
        <v>#VALUE!</v>
      </c>
      <c r="W46" s="585" t="e">
        <f>W44+W45</f>
        <v>#VALUE!</v>
      </c>
      <c r="X46" s="582">
        <f>X44+X45</f>
        <v>124240.04697600001</v>
      </c>
      <c r="Y46" s="582"/>
      <c r="Z46" s="600" t="e">
        <f>Y46/W46</f>
        <v>#VALUE!</v>
      </c>
      <c r="AA46" s="585" t="e">
        <f>AA44+AA45</f>
        <v>#VALUE!</v>
      </c>
      <c r="AB46" s="582">
        <f>AB44+AB45</f>
        <v>170830.06459199998</v>
      </c>
      <c r="AC46" s="584"/>
      <c r="AD46" s="600" t="e">
        <f>AC46/AA46</f>
        <v>#VALUE!</v>
      </c>
      <c r="AE46" s="585" t="e">
        <f>AE44+AE45</f>
        <v>#VALUE!</v>
      </c>
      <c r="AF46" s="585">
        <f>AF44+AF45</f>
        <v>768129.48688799993</v>
      </c>
      <c r="AG46" s="585">
        <f>AG44+AG45</f>
        <v>0</v>
      </c>
      <c r="AH46" s="601" t="e">
        <f>AG46/AE46</f>
        <v>#VALUE!</v>
      </c>
      <c r="IY46" s="585" t="e">
        <f>IY44+IY45</f>
        <v>#VALUE!</v>
      </c>
      <c r="IZ46" s="585">
        <f>IZ44+IZ45</f>
        <v>96829.673111999989</v>
      </c>
      <c r="JA46" s="583"/>
      <c r="JB46" s="600" t="e">
        <f>JA46/IY46</f>
        <v>#VALUE!</v>
      </c>
      <c r="JC46" s="585" t="e">
        <f>JC44+JC45</f>
        <v>#VALUE!</v>
      </c>
      <c r="JD46" s="582">
        <f>JD44+JD45</f>
        <v>96829.673111999989</v>
      </c>
      <c r="JE46" s="582"/>
      <c r="JF46" s="600" t="e">
        <f>JE46/JC46</f>
        <v>#VALUE!</v>
      </c>
      <c r="JG46" s="585" t="e">
        <f>JG44+JG45</f>
        <v>#VALUE!</v>
      </c>
      <c r="JH46" s="582">
        <f>JH44+JH45</f>
        <v>96829.673111999989</v>
      </c>
      <c r="JI46" s="582"/>
      <c r="JJ46" s="600" t="e">
        <f>JI46/JG46</f>
        <v>#VALUE!</v>
      </c>
      <c r="JK46" s="585" t="e">
        <f>JK44+JK45</f>
        <v>#VALUE!</v>
      </c>
      <c r="JL46" s="582">
        <f>JL44+JL45</f>
        <v>96829.673111999989</v>
      </c>
      <c r="JM46" s="582"/>
      <c r="JN46" s="600" t="e">
        <f>JM46/JK46</f>
        <v>#VALUE!</v>
      </c>
      <c r="JO46" s="585" t="e">
        <f>JO44+JO45</f>
        <v>#VALUE!</v>
      </c>
      <c r="JP46" s="582">
        <f>JP44+JP45</f>
        <v>112967.95196400001</v>
      </c>
      <c r="JQ46" s="582"/>
      <c r="JR46" s="600" t="e">
        <f>JQ46/JO46</f>
        <v>#VALUE!</v>
      </c>
      <c r="JS46" s="585" t="e">
        <f>JS44+JS45</f>
        <v>#VALUE!</v>
      </c>
      <c r="JT46" s="582">
        <f>JT44+JT45</f>
        <v>129106.23081600002</v>
      </c>
      <c r="JU46" s="582"/>
      <c r="JV46" s="600" t="e">
        <f>JU46/JS46</f>
        <v>#VALUE!</v>
      </c>
      <c r="JW46" s="585" t="e">
        <f>JW44+JW45</f>
        <v>#VALUE!</v>
      </c>
      <c r="JX46" s="582">
        <f>JX44+JX45</f>
        <v>177521.06737200002</v>
      </c>
      <c r="JY46" s="584"/>
      <c r="JZ46" s="600" t="e">
        <f>JY46/JW46</f>
        <v>#VALUE!</v>
      </c>
      <c r="KA46" s="585" t="e">
        <f>KA44+KA45</f>
        <v>#VALUE!</v>
      </c>
      <c r="KB46" s="585">
        <f>KB44+KB45</f>
        <v>806913.94259999995</v>
      </c>
      <c r="KC46" s="585">
        <f>KC44+KC45</f>
        <v>0</v>
      </c>
      <c r="KD46" s="601" t="e">
        <f>KC46/KA46</f>
        <v>#VALUE!</v>
      </c>
      <c r="YY46" s="583">
        <f>YY44+YY45</f>
        <v>114301.2108</v>
      </c>
      <c r="YZ46" s="585">
        <f>YZ44+YZ45</f>
        <v>117175.441104</v>
      </c>
      <c r="ZA46" s="583"/>
      <c r="ZB46" s="600">
        <f>ZA46/YY46</f>
        <v>0</v>
      </c>
      <c r="ZC46" s="585">
        <f>ZC44+ZC45</f>
        <v>114301.2108</v>
      </c>
      <c r="ZD46" s="582">
        <f>ZD44+ZD45</f>
        <v>117175.441104</v>
      </c>
      <c r="ZE46" s="582"/>
      <c r="ZF46" s="600">
        <f>ZE46/ZC46</f>
        <v>0</v>
      </c>
      <c r="ZG46" s="585">
        <f>ZG44+ZG45</f>
        <v>114301.2108</v>
      </c>
      <c r="ZH46" s="582">
        <f>ZH44+ZH45</f>
        <v>117175.441104</v>
      </c>
      <c r="ZI46" s="582"/>
      <c r="ZJ46" s="600">
        <f>ZI46/ZG46</f>
        <v>0</v>
      </c>
      <c r="ZK46" s="585">
        <f>ZK44+ZK45</f>
        <v>114301.2108</v>
      </c>
      <c r="ZL46" s="582">
        <f>ZL44+ZL45</f>
        <v>117175.441104</v>
      </c>
      <c r="ZM46" s="582"/>
      <c r="ZN46" s="600">
        <f>ZM46/ZK46</f>
        <v>0</v>
      </c>
      <c r="ZO46" s="585">
        <f>ZO44+ZO45</f>
        <v>133351.41260000001</v>
      </c>
      <c r="ZP46" s="582">
        <f>ZP44+ZP45</f>
        <v>136704.68128799999</v>
      </c>
      <c r="ZQ46" s="582"/>
      <c r="ZR46" s="600">
        <f>ZQ46/ZO46</f>
        <v>0</v>
      </c>
      <c r="ZS46" s="585">
        <f>ZS44+ZS45</f>
        <v>152401.61440000002</v>
      </c>
      <c r="ZT46" s="582">
        <f>ZT44+ZT45</f>
        <v>156233.92147200002</v>
      </c>
      <c r="ZU46" s="582"/>
      <c r="ZV46" s="600">
        <f>ZU46/ZS46</f>
        <v>0</v>
      </c>
      <c r="ZW46" s="585">
        <f>ZW44+ZW45</f>
        <v>209552.21979999996</v>
      </c>
      <c r="ZX46" s="582">
        <f>ZX44+ZX45</f>
        <v>214821.642024</v>
      </c>
      <c r="ZY46" s="584"/>
      <c r="ZZ46" s="600">
        <f>ZY46/ZW46</f>
        <v>0</v>
      </c>
      <c r="AAA46" s="585">
        <f>AAA44+AAA45</f>
        <v>952510.09000000008</v>
      </c>
      <c r="AAB46" s="585">
        <f>AAB44+AAB45</f>
        <v>976462.00919999997</v>
      </c>
      <c r="AAC46" s="585">
        <f>AAC44+AAC45</f>
        <v>0</v>
      </c>
      <c r="AAD46" s="601">
        <f>AAC46/AAA46</f>
        <v>0</v>
      </c>
      <c r="AOY46" s="585">
        <f>AOY44+AOY45</f>
        <v>110418.6</v>
      </c>
      <c r="AOZ46" s="585">
        <f>AOZ44+AOZ45</f>
        <v>125318.61311999999</v>
      </c>
      <c r="APA46" s="583"/>
      <c r="APB46" s="600">
        <f>APA46/AOY46</f>
        <v>0</v>
      </c>
      <c r="APC46" s="585">
        <f>APC44+APC45</f>
        <v>110418.6</v>
      </c>
      <c r="APD46" s="582">
        <f>APD44+APD45</f>
        <v>125318.61311999999</v>
      </c>
      <c r="APE46" s="582"/>
      <c r="APF46" s="600">
        <f>APE46/APC46</f>
        <v>0</v>
      </c>
      <c r="APG46" s="585">
        <f>APG44+APG45</f>
        <v>110418.6</v>
      </c>
      <c r="APH46" s="582">
        <f>APH44+APH45</f>
        <v>125318.61311999999</v>
      </c>
      <c r="API46" s="582"/>
      <c r="APJ46" s="600">
        <f>API46/APG46</f>
        <v>0</v>
      </c>
      <c r="APK46" s="585">
        <f>APK44+APK45</f>
        <v>110418.6</v>
      </c>
      <c r="APL46" s="582">
        <f>APL44+APL45</f>
        <v>125318.61311999999</v>
      </c>
      <c r="APM46" s="582"/>
      <c r="APN46" s="600">
        <f>APM46/APK46</f>
        <v>0</v>
      </c>
      <c r="APO46" s="585">
        <f>APO44+APO45</f>
        <v>128821.70000000001</v>
      </c>
      <c r="APP46" s="582">
        <f>APP44+APP45</f>
        <v>146205.04864000002</v>
      </c>
      <c r="APQ46" s="582"/>
      <c r="APR46" s="600">
        <f>APQ46/APO46</f>
        <v>0</v>
      </c>
      <c r="APS46" s="585">
        <f>APS44+APS45</f>
        <v>147224.80000000002</v>
      </c>
      <c r="APT46" s="582">
        <f>APT44+APT45</f>
        <v>167091.48415999999</v>
      </c>
      <c r="APU46" s="582"/>
      <c r="APV46" s="600">
        <f>APU46/APS46</f>
        <v>0</v>
      </c>
      <c r="APW46" s="585">
        <f>APW44+APW45</f>
        <v>202434.1</v>
      </c>
      <c r="APX46" s="582">
        <f>APX44+APX45</f>
        <v>229750.79072000002</v>
      </c>
      <c r="APY46" s="584"/>
      <c r="APZ46" s="600">
        <f>APY46/APW46</f>
        <v>0</v>
      </c>
      <c r="AQA46" s="585">
        <f>AQA44+AQA45</f>
        <v>920155</v>
      </c>
      <c r="AQB46" s="585">
        <f>AQB44+AQB45</f>
        <v>1044321.7760000001</v>
      </c>
      <c r="AQC46" s="585">
        <f>AQC44+AQC45</f>
        <v>0</v>
      </c>
      <c r="AQD46" s="601">
        <f>AQC46/AQA46</f>
        <v>0</v>
      </c>
      <c r="BEY46" s="585">
        <f>BEY44+BEY45</f>
        <v>181535.40840000001</v>
      </c>
      <c r="BEZ46" s="585">
        <f>BEZ44+BEZ45</f>
        <v>203661.47643839999</v>
      </c>
      <c r="BFA46" s="583"/>
      <c r="BFB46" s="600">
        <f>BFA46/BEY46</f>
        <v>0</v>
      </c>
      <c r="BFC46" s="585">
        <f>BFC44+BFC45</f>
        <v>181535.40840000001</v>
      </c>
      <c r="BFD46" s="582">
        <f>BFD44+BFD45</f>
        <v>203661.47643839999</v>
      </c>
      <c r="BFE46" s="582"/>
      <c r="BFF46" s="600">
        <f>BFE46/BFC46</f>
        <v>0</v>
      </c>
      <c r="BFG46" s="585">
        <f>BFG44+BFG45</f>
        <v>181535.40840000001</v>
      </c>
      <c r="BFH46" s="582">
        <f>BFH44+BFH45</f>
        <v>203661.47643839999</v>
      </c>
      <c r="BFI46" s="582"/>
      <c r="BFJ46" s="600">
        <f>BFI46/BFG46</f>
        <v>0</v>
      </c>
      <c r="BFK46" s="585">
        <f>BFK44+BFK45</f>
        <v>181535.40840000001</v>
      </c>
      <c r="BFL46" s="582">
        <f>BFL44+BFL45</f>
        <v>203661.47643839999</v>
      </c>
      <c r="BFM46" s="582"/>
      <c r="BFN46" s="600">
        <f>BFM46/BFK46</f>
        <v>0</v>
      </c>
      <c r="BFO46" s="585">
        <f>BFO44+BFO45</f>
        <v>211791.30979999999</v>
      </c>
      <c r="BFP46" s="582">
        <f>BFP44+BFP45</f>
        <v>237605.05584480002</v>
      </c>
      <c r="BFQ46" s="582"/>
      <c r="BFR46" s="600">
        <f>BFQ46/BFO46</f>
        <v>0</v>
      </c>
      <c r="BFS46" s="585">
        <f>BFS44+BFS45</f>
        <v>242047.21119999999</v>
      </c>
      <c r="BFT46" s="582">
        <f>BFT44+BFT45</f>
        <v>271548.6352512</v>
      </c>
      <c r="BFU46" s="582"/>
      <c r="BFV46" s="600">
        <f>BFU46/BFS46</f>
        <v>0</v>
      </c>
      <c r="BFW46" s="585">
        <f>BFW44+BFW45</f>
        <v>332814.9154</v>
      </c>
      <c r="BFX46" s="582">
        <f>BFX44+BFX45</f>
        <v>373379.37347039999</v>
      </c>
      <c r="BFY46" s="584"/>
      <c r="BFZ46" s="600">
        <f>BFY46/BFW46</f>
        <v>0</v>
      </c>
      <c r="BGA46" s="585">
        <f>BGA44+BGA45</f>
        <v>1512795.07</v>
      </c>
      <c r="BGB46" s="585">
        <f>BGB44+BGB45</f>
        <v>1697178.9703200001</v>
      </c>
      <c r="BGC46" s="585">
        <f>BGC44+BGC45</f>
        <v>0</v>
      </c>
      <c r="BGD46" s="601">
        <f>BGC46/BGA46</f>
        <v>0</v>
      </c>
    </row>
    <row r="47" spans="2:1666" ht="15.75" thickBot="1">
      <c r="B47" s="445"/>
      <c r="C47" s="924"/>
      <c r="D47" s="515"/>
      <c r="E47" s="515"/>
      <c r="F47" s="383"/>
      <c r="G47" s="924"/>
      <c r="H47" s="515"/>
      <c r="I47" s="515"/>
      <c r="J47" s="383"/>
      <c r="K47" s="924"/>
      <c r="L47" s="515"/>
      <c r="M47" s="515"/>
      <c r="N47" s="383"/>
      <c r="O47" s="924"/>
      <c r="P47" s="515"/>
      <c r="Q47" s="515"/>
      <c r="R47" s="383"/>
      <c r="S47" s="924"/>
      <c r="T47" s="515"/>
      <c r="U47" s="515"/>
      <c r="V47" s="383"/>
      <c r="W47" s="924"/>
      <c r="X47" s="515"/>
      <c r="Y47" s="515"/>
      <c r="Z47" s="383"/>
      <c r="AA47" s="924"/>
      <c r="AB47" s="515"/>
      <c r="AC47" s="515"/>
      <c r="AD47" s="383"/>
      <c r="AE47" s="924"/>
      <c r="AF47" s="924"/>
      <c r="AG47" s="924"/>
      <c r="AH47" s="383"/>
      <c r="IY47" s="924"/>
      <c r="IZ47" s="515"/>
      <c r="JA47" s="515"/>
      <c r="JB47" s="383"/>
      <c r="JC47" s="924"/>
      <c r="JD47" s="515"/>
      <c r="JE47" s="515"/>
      <c r="JF47" s="383"/>
      <c r="JG47" s="924"/>
      <c r="JH47" s="515"/>
      <c r="JI47" s="515"/>
      <c r="JJ47" s="383"/>
      <c r="JK47" s="924"/>
      <c r="JL47" s="515"/>
      <c r="JM47" s="515"/>
      <c r="JN47" s="383"/>
      <c r="JO47" s="924"/>
      <c r="JP47" s="515"/>
      <c r="JQ47" s="515"/>
      <c r="JR47" s="383"/>
      <c r="JS47" s="924"/>
      <c r="JT47" s="515"/>
      <c r="JU47" s="515"/>
      <c r="JV47" s="383"/>
      <c r="JW47" s="924"/>
      <c r="JX47" s="515"/>
      <c r="JY47" s="515"/>
      <c r="JZ47" s="383"/>
      <c r="KA47" s="924"/>
      <c r="KB47" s="924"/>
      <c r="KC47" s="924"/>
      <c r="KD47" s="383"/>
      <c r="YY47" s="924"/>
      <c r="YZ47" s="515"/>
      <c r="ZA47" s="515"/>
      <c r="ZB47" s="383"/>
      <c r="ZC47" s="924"/>
      <c r="ZD47" s="515"/>
      <c r="ZE47" s="515"/>
      <c r="ZF47" s="383"/>
      <c r="ZG47" s="924"/>
      <c r="ZH47" s="515"/>
      <c r="ZI47" s="515"/>
      <c r="ZJ47" s="383"/>
      <c r="ZK47" s="924"/>
      <c r="ZL47" s="515"/>
      <c r="ZM47" s="515"/>
      <c r="ZN47" s="383"/>
      <c r="ZO47" s="924"/>
      <c r="ZP47" s="515"/>
      <c r="ZQ47" s="515"/>
      <c r="ZR47" s="383"/>
      <c r="ZS47" s="924"/>
      <c r="ZT47" s="515"/>
      <c r="ZU47" s="515"/>
      <c r="ZV47" s="383"/>
      <c r="ZW47" s="924"/>
      <c r="ZX47" s="515"/>
      <c r="ZY47" s="515"/>
      <c r="ZZ47" s="383"/>
      <c r="AAA47" s="924"/>
      <c r="AAB47" s="924"/>
      <c r="AAC47" s="924"/>
      <c r="AAD47" s="383"/>
      <c r="AOY47" s="924"/>
      <c r="AOZ47" s="515"/>
      <c r="APA47" s="515"/>
      <c r="APB47" s="383"/>
      <c r="APC47" s="924"/>
      <c r="APD47" s="515"/>
      <c r="APE47" s="515"/>
      <c r="APF47" s="383"/>
      <c r="APG47" s="924"/>
      <c r="APH47" s="515"/>
      <c r="API47" s="515"/>
      <c r="APJ47" s="383"/>
      <c r="APK47" s="924"/>
      <c r="APL47" s="515"/>
      <c r="APM47" s="515"/>
      <c r="APN47" s="383"/>
      <c r="APO47" s="924"/>
      <c r="APP47" s="515"/>
      <c r="APQ47" s="515"/>
      <c r="APR47" s="383"/>
      <c r="APS47" s="924"/>
      <c r="APT47" s="515"/>
      <c r="APU47" s="515"/>
      <c r="APV47" s="383"/>
      <c r="APW47" s="924"/>
      <c r="APX47" s="515"/>
      <c r="APY47" s="515"/>
      <c r="APZ47" s="383"/>
      <c r="AQA47" s="924"/>
      <c r="AQB47" s="924"/>
      <c r="AQC47" s="924"/>
      <c r="AQD47" s="383"/>
      <c r="BEY47" s="924"/>
      <c r="BEZ47" s="515"/>
      <c r="BFA47" s="515"/>
      <c r="BFB47" s="383"/>
      <c r="BFC47" s="924"/>
      <c r="BFD47" s="515"/>
      <c r="BFE47" s="515"/>
      <c r="BFF47" s="383"/>
      <c r="BFG47" s="924"/>
      <c r="BFH47" s="515"/>
      <c r="BFI47" s="515"/>
      <c r="BFJ47" s="383"/>
      <c r="BFK47" s="924"/>
      <c r="BFL47" s="515"/>
      <c r="BFM47" s="515"/>
      <c r="BFN47" s="383"/>
      <c r="BFO47" s="924"/>
      <c r="BFP47" s="515"/>
      <c r="BFQ47" s="515"/>
      <c r="BFR47" s="383"/>
      <c r="BFS47" s="924"/>
      <c r="BFT47" s="515"/>
      <c r="BFU47" s="515"/>
      <c r="BFV47" s="383"/>
      <c r="BFW47" s="924"/>
      <c r="BFX47" s="515"/>
      <c r="BFY47" s="515"/>
      <c r="BFZ47" s="383"/>
      <c r="BGA47" s="924"/>
      <c r="BGB47" s="924"/>
      <c r="BGC47" s="924"/>
      <c r="BGD47" s="383"/>
    </row>
    <row r="48" spans="2:1666" ht="24" thickBot="1">
      <c r="B48" s="605" t="s">
        <v>237</v>
      </c>
      <c r="C48" s="588">
        <f>C42+C46</f>
        <v>266815.55040000001</v>
      </c>
      <c r="D48" s="588">
        <f>D42+D46</f>
        <v>245946.76270800002</v>
      </c>
      <c r="E48" s="589"/>
      <c r="F48" s="606">
        <f>E48/C48</f>
        <v>0</v>
      </c>
      <c r="G48" s="588" t="e">
        <f>G42+G46</f>
        <v>#VALUE!</v>
      </c>
      <c r="H48" s="590">
        <f>H42+H46</f>
        <v>234261.514314</v>
      </c>
      <c r="I48" s="590"/>
      <c r="J48" s="606" t="e">
        <f>I48/G48</f>
        <v>#VALUE!</v>
      </c>
      <c r="K48" s="588" t="e">
        <f>K42+K46</f>
        <v>#VALUE!</v>
      </c>
      <c r="L48" s="590">
        <f>L42+L46</f>
        <v>234261.514314</v>
      </c>
      <c r="M48" s="590"/>
      <c r="N48" s="606" t="e">
        <f>M48/K48</f>
        <v>#VALUE!</v>
      </c>
      <c r="O48" s="588" t="e">
        <f>O42+O46</f>
        <v>#VALUE!</v>
      </c>
      <c r="P48" s="590">
        <f>P42+P46</f>
        <v>234261.514314</v>
      </c>
      <c r="Q48" s="590"/>
      <c r="R48" s="606" t="e">
        <f>Q48/O48</f>
        <v>#VALUE!</v>
      </c>
      <c r="S48" s="588" t="e">
        <f>S42+S46</f>
        <v>#VALUE!</v>
      </c>
      <c r="T48" s="590">
        <f>T42+T46</f>
        <v>273305.100033</v>
      </c>
      <c r="U48" s="590"/>
      <c r="V48" s="606" t="e">
        <f>U48/S48</f>
        <v>#VALUE!</v>
      </c>
      <c r="W48" s="588" t="e">
        <f>W42+W46</f>
        <v>#VALUE!</v>
      </c>
      <c r="X48" s="590">
        <f>X42+X46</f>
        <v>312348.68575200002</v>
      </c>
      <c r="Y48" s="590"/>
      <c r="Z48" s="606" t="e">
        <f>Y48/W48</f>
        <v>#VALUE!</v>
      </c>
      <c r="AA48" s="588" t="e">
        <f>AA42+AA46</f>
        <v>#VALUE!</v>
      </c>
      <c r="AB48" s="590">
        <f>AB42+AB46</f>
        <v>429479.44290899998</v>
      </c>
      <c r="AC48" s="591"/>
      <c r="AD48" s="606" t="e">
        <f>AC48/AA48</f>
        <v>#VALUE!</v>
      </c>
      <c r="AE48" s="588" t="e">
        <f>AE42+AE46</f>
        <v>#VALUE!</v>
      </c>
      <c r="AF48" s="588">
        <f>AF42+AF46</f>
        <v>1963864.5343439998</v>
      </c>
      <c r="AG48" s="588">
        <f>AG42+AG46</f>
        <v>0</v>
      </c>
      <c r="AH48" s="607" t="e">
        <f>AG48/AE48</f>
        <v>#VALUE!</v>
      </c>
      <c r="IY48" s="588" t="e">
        <f>IY42+IY46</f>
        <v>#VALUE!</v>
      </c>
      <c r="IZ48" s="588">
        <f>IZ42+IZ46</f>
        <v>264274.41523679998</v>
      </c>
      <c r="JA48" s="589"/>
      <c r="JB48" s="606" t="e">
        <f>JA48/IY48</f>
        <v>#VALUE!</v>
      </c>
      <c r="JC48" s="588" t="e">
        <f>JC42+JC46</f>
        <v>#VALUE!</v>
      </c>
      <c r="JD48" s="590">
        <f>JD42+JD46</f>
        <v>264274.41523679998</v>
      </c>
      <c r="JE48" s="590"/>
      <c r="JF48" s="606" t="e">
        <f>JE48/JC48</f>
        <v>#VALUE!</v>
      </c>
      <c r="JG48" s="588" t="e">
        <f>JG42+JG46</f>
        <v>#VALUE!</v>
      </c>
      <c r="JH48" s="590">
        <f>JH42+JH46</f>
        <v>264274.41523679998</v>
      </c>
      <c r="JI48" s="590"/>
      <c r="JJ48" s="606" t="e">
        <f>JI48/JG48</f>
        <v>#VALUE!</v>
      </c>
      <c r="JK48" s="588" t="e">
        <f>JK42+JK46</f>
        <v>#VALUE!</v>
      </c>
      <c r="JL48" s="590">
        <f>JL42+JL46</f>
        <v>264274.41523679998</v>
      </c>
      <c r="JM48" s="590"/>
      <c r="JN48" s="606" t="e">
        <f>JM48/JK48</f>
        <v>#VALUE!</v>
      </c>
      <c r="JO48" s="588" t="e">
        <f>JO42+JO46</f>
        <v>#VALUE!</v>
      </c>
      <c r="JP48" s="590">
        <f>JP42+JP46</f>
        <v>308320.15110960003</v>
      </c>
      <c r="JQ48" s="590"/>
      <c r="JR48" s="606" t="e">
        <f>JQ48/JO48</f>
        <v>#VALUE!</v>
      </c>
      <c r="JS48" s="588" t="e">
        <f>JS42+JS46</f>
        <v>#VALUE!</v>
      </c>
      <c r="JT48" s="590">
        <f>JT42+JT46</f>
        <v>352365.88698240009</v>
      </c>
      <c r="JU48" s="590"/>
      <c r="JV48" s="606" t="e">
        <f>JU48/JS48</f>
        <v>#VALUE!</v>
      </c>
      <c r="JW48" s="588" t="e">
        <f>JW42+JW46</f>
        <v>#VALUE!</v>
      </c>
      <c r="JX48" s="590">
        <f>JX42+JX46</f>
        <v>484503.09460080002</v>
      </c>
      <c r="JY48" s="591"/>
      <c r="JZ48" s="606" t="e">
        <f>JY48/JW48</f>
        <v>#VALUE!</v>
      </c>
      <c r="KA48" s="588" t="e">
        <f>KA42+KA46</f>
        <v>#VALUE!</v>
      </c>
      <c r="KB48" s="588">
        <f>KB42+KB46</f>
        <v>2202286.7936399998</v>
      </c>
      <c r="KC48" s="588">
        <f>KC42+KC46</f>
        <v>0</v>
      </c>
      <c r="KD48" s="607" t="e">
        <f>KC48/KA48</f>
        <v>#VALUE!</v>
      </c>
      <c r="YY48" s="589">
        <f>YY42+YY46</f>
        <v>318355.26</v>
      </c>
      <c r="YZ48" s="588">
        <f>YZ42+YZ46</f>
        <v>318555.23933999997</v>
      </c>
      <c r="ZA48" s="589"/>
      <c r="ZB48" s="606">
        <f>ZA48/YY48</f>
        <v>0</v>
      </c>
      <c r="ZC48" s="588">
        <f>ZC42+ZC46</f>
        <v>318355.26</v>
      </c>
      <c r="ZD48" s="590">
        <f>ZD42+ZD46</f>
        <v>318555.23933999997</v>
      </c>
      <c r="ZE48" s="590"/>
      <c r="ZF48" s="606">
        <f>ZE48/ZC48</f>
        <v>0</v>
      </c>
      <c r="ZG48" s="588">
        <f>ZG42+ZG46</f>
        <v>318355.26</v>
      </c>
      <c r="ZH48" s="590">
        <f>ZH42+ZH46</f>
        <v>318555.23933999997</v>
      </c>
      <c r="ZI48" s="590"/>
      <c r="ZJ48" s="606">
        <f>ZI48/ZG48</f>
        <v>0</v>
      </c>
      <c r="ZK48" s="588">
        <f>ZK42+ZK46</f>
        <v>318355.26</v>
      </c>
      <c r="ZL48" s="590">
        <f>ZL42+ZL46</f>
        <v>318555.23933999997</v>
      </c>
      <c r="ZM48" s="590"/>
      <c r="ZN48" s="606">
        <f>ZM48/ZK48</f>
        <v>0</v>
      </c>
      <c r="ZO48" s="588">
        <f>ZO42+ZO46</f>
        <v>371414.47000000009</v>
      </c>
      <c r="ZP48" s="590">
        <f>ZP42+ZP46</f>
        <v>371647.77922999999</v>
      </c>
      <c r="ZQ48" s="590"/>
      <c r="ZR48" s="606">
        <f>ZQ48/ZO48</f>
        <v>0</v>
      </c>
      <c r="ZS48" s="588">
        <f>ZS42+ZS46</f>
        <v>424473.68</v>
      </c>
      <c r="ZT48" s="590">
        <f>ZT42+ZT46</f>
        <v>424740.31912</v>
      </c>
      <c r="ZU48" s="590"/>
      <c r="ZV48" s="606">
        <f>ZU48/ZS48</f>
        <v>0</v>
      </c>
      <c r="ZW48" s="588">
        <f>ZW42+ZW46</f>
        <v>583651.30999999994</v>
      </c>
      <c r="ZX48" s="590">
        <f>ZX42+ZX46</f>
        <v>584017.93879000004</v>
      </c>
      <c r="ZY48" s="591"/>
      <c r="ZZ48" s="606">
        <f>ZY48/ZW48</f>
        <v>0</v>
      </c>
      <c r="AAA48" s="588">
        <f>AAA42+AAA46</f>
        <v>2652960.5</v>
      </c>
      <c r="AAB48" s="588">
        <f>AAB42+AAB46</f>
        <v>2654626.9945</v>
      </c>
      <c r="AAC48" s="588">
        <f>AAC42+AAC46</f>
        <v>0</v>
      </c>
      <c r="AAD48" s="607">
        <f>AAC48/AAA48</f>
        <v>0</v>
      </c>
      <c r="AOY48" s="588">
        <f>AOY42+AOY46</f>
        <v>324950.40000000002</v>
      </c>
      <c r="AOZ48" s="588">
        <f>AOZ42+AOZ46</f>
        <v>334691.85311999999</v>
      </c>
      <c r="APA48" s="589"/>
      <c r="APB48" s="606">
        <f>APA48/AOY48</f>
        <v>0</v>
      </c>
      <c r="APC48" s="588">
        <f>APC42+APC46</f>
        <v>324950.40000000002</v>
      </c>
      <c r="APD48" s="590">
        <f>APD42+APD46</f>
        <v>334691.85311999999</v>
      </c>
      <c r="APE48" s="590"/>
      <c r="APF48" s="606">
        <f>APE48/APC48</f>
        <v>0</v>
      </c>
      <c r="APG48" s="588">
        <f>APG42+APG46</f>
        <v>324950.40000000002</v>
      </c>
      <c r="APH48" s="590">
        <f>APH42+APH46</f>
        <v>334691.85311999999</v>
      </c>
      <c r="API48" s="590"/>
      <c r="APJ48" s="606">
        <f>API48/APG48</f>
        <v>0</v>
      </c>
      <c r="APK48" s="588">
        <f>APK42+APK46</f>
        <v>324950.40000000002</v>
      </c>
      <c r="APL48" s="590">
        <f>APL42+APL46</f>
        <v>334691.85311999999</v>
      </c>
      <c r="APM48" s="590"/>
      <c r="APN48" s="606">
        <f>APM48/APK48</f>
        <v>0</v>
      </c>
      <c r="APO48" s="588">
        <f>APO42+APO46</f>
        <v>379108.80000000005</v>
      </c>
      <c r="APP48" s="590">
        <f>APP42+APP46</f>
        <v>390473.82864000008</v>
      </c>
      <c r="APQ48" s="590"/>
      <c r="APR48" s="606">
        <f>APQ48/APO48</f>
        <v>0</v>
      </c>
      <c r="APS48" s="588">
        <f>APS42+APS46</f>
        <v>433267.19999999995</v>
      </c>
      <c r="APT48" s="590">
        <f>APT42+APT46</f>
        <v>446255.80416</v>
      </c>
      <c r="APU48" s="590"/>
      <c r="APV48" s="606">
        <f>APU48/APS48</f>
        <v>0</v>
      </c>
      <c r="APW48" s="588">
        <f>APW42+APW46</f>
        <v>595742.4</v>
      </c>
      <c r="APX48" s="590">
        <f>APX42+APX46</f>
        <v>613601.73071999999</v>
      </c>
      <c r="APY48" s="591"/>
      <c r="APZ48" s="606">
        <f>APY48/APW48</f>
        <v>0</v>
      </c>
      <c r="AQA48" s="588">
        <f>AQA42+AQA46</f>
        <v>2707920</v>
      </c>
      <c r="AQB48" s="588">
        <f>AQB42+AQB46</f>
        <v>2789098.7759999996</v>
      </c>
      <c r="AQC48" s="588">
        <f>AQC42+AQC46</f>
        <v>0</v>
      </c>
      <c r="AQD48" s="607">
        <f>AQC48/AQA48</f>
        <v>0</v>
      </c>
      <c r="BEY48" s="588">
        <f>BEY42+BEY46</f>
        <v>645956.0172</v>
      </c>
      <c r="BEZ48" s="588">
        <f>BEZ42+BEZ46</f>
        <v>657646.8790991999</v>
      </c>
      <c r="BFA48" s="589"/>
      <c r="BFB48" s="606">
        <f>BFA48/BEY48</f>
        <v>0</v>
      </c>
      <c r="BFC48" s="588">
        <f>BFC42+BFC46</f>
        <v>645956.0172</v>
      </c>
      <c r="BFD48" s="590">
        <f>BFD42+BFD46</f>
        <v>657646.8790991999</v>
      </c>
      <c r="BFE48" s="590"/>
      <c r="BFF48" s="606">
        <f>BFE48/BFC48</f>
        <v>0</v>
      </c>
      <c r="BFG48" s="588">
        <f>BFG42+BFG46</f>
        <v>645956.0172</v>
      </c>
      <c r="BFH48" s="590">
        <f>BFH42+BFH46</f>
        <v>657646.8790991999</v>
      </c>
      <c r="BFI48" s="590"/>
      <c r="BFJ48" s="606">
        <f>BFI48/BFG48</f>
        <v>0</v>
      </c>
      <c r="BFK48" s="588">
        <f>BFK42+BFK46</f>
        <v>645956.0172</v>
      </c>
      <c r="BFL48" s="590">
        <f>BFL42+BFL46</f>
        <v>657646.8790991999</v>
      </c>
      <c r="BFM48" s="590"/>
      <c r="BFN48" s="606">
        <f>BFM48/BFK48</f>
        <v>0</v>
      </c>
      <c r="BFO48" s="588">
        <f>BFO42+BFO46</f>
        <v>753615.35340000014</v>
      </c>
      <c r="BFP48" s="590">
        <f>BFP42+BFP46</f>
        <v>767254.69228240009</v>
      </c>
      <c r="BFQ48" s="590"/>
      <c r="BFR48" s="606">
        <f>BFQ48/BFO48</f>
        <v>0</v>
      </c>
      <c r="BFS48" s="588">
        <f>BFS42+BFS46</f>
        <v>861274.68960000004</v>
      </c>
      <c r="BFT48" s="590">
        <f>BFT42+BFT46</f>
        <v>876862.50546559994</v>
      </c>
      <c r="BFU48" s="590"/>
      <c r="BFV48" s="606">
        <f>BFU48/BFS48</f>
        <v>0</v>
      </c>
      <c r="BFW48" s="588">
        <f>BFW42+BFW46</f>
        <v>1184252.6982</v>
      </c>
      <c r="BFX48" s="590">
        <f>BFX42+BFX46</f>
        <v>1205685.9450151999</v>
      </c>
      <c r="BFY48" s="591"/>
      <c r="BFZ48" s="606">
        <f>BFY48/BFW48</f>
        <v>0</v>
      </c>
      <c r="BGA48" s="588">
        <f>BGA42+BGA46</f>
        <v>5382966.8099999996</v>
      </c>
      <c r="BGB48" s="588">
        <f>BGB42+BGB46</f>
        <v>5480390.6591599993</v>
      </c>
      <c r="BGC48" s="588">
        <f>BGC42+BGC46</f>
        <v>0</v>
      </c>
      <c r="BGD48" s="607">
        <f>BGC48/BGA48</f>
        <v>0</v>
      </c>
    </row>
  </sheetData>
  <mergeCells count="480">
    <mergeCell ref="YY2:AFB2"/>
    <mergeCell ref="AFC2:AJZ2"/>
    <mergeCell ref="AKA2:AOX2"/>
    <mergeCell ref="AOY2:AVB2"/>
    <mergeCell ref="AVC2:AZZ2"/>
    <mergeCell ref="BAA2:BEX2"/>
    <mergeCell ref="BEY2:BLB2"/>
    <mergeCell ref="YY3:AAD3"/>
    <mergeCell ref="AAE3:ABJ3"/>
    <mergeCell ref="ABK3:ACP3"/>
    <mergeCell ref="ACQ3:ADV3"/>
    <mergeCell ref="ADW3:AFB3"/>
    <mergeCell ref="AFC3:AGH3"/>
    <mergeCell ref="AGI3:AHN3"/>
    <mergeCell ref="AHO3:AIT3"/>
    <mergeCell ref="AIU3:AJZ3"/>
    <mergeCell ref="BJW3:BLB3"/>
    <mergeCell ref="BCM3:BDR3"/>
    <mergeCell ref="BDS3:BEX3"/>
    <mergeCell ref="BEY3:BGD3"/>
    <mergeCell ref="BHK3:BIP3"/>
    <mergeCell ref="BIQ3:BJV3"/>
    <mergeCell ref="YY4:ZA4"/>
    <mergeCell ref="ZC4:ZE4"/>
    <mergeCell ref="ZG4:ZI4"/>
    <mergeCell ref="ZK4:ZM4"/>
    <mergeCell ref="ZO4:ZQ4"/>
    <mergeCell ref="ZS4:ZU4"/>
    <mergeCell ref="AYU3:AZZ3"/>
    <mergeCell ref="BAA3:BBF3"/>
    <mergeCell ref="BBG3:BCL3"/>
    <mergeCell ref="ZW4:ZY4"/>
    <mergeCell ref="AAB4:AAB6"/>
    <mergeCell ref="AAE4:AAG4"/>
    <mergeCell ref="AAI4:AAK4"/>
    <mergeCell ref="AAM4:AAO4"/>
    <mergeCell ref="ARK3:ASP3"/>
    <mergeCell ref="ASQ3:ATV3"/>
    <mergeCell ref="ATW3:AVB3"/>
    <mergeCell ref="AVC3:AWH3"/>
    <mergeCell ref="AWI3:AXN3"/>
    <mergeCell ref="AXO3:AYT3"/>
    <mergeCell ref="AQE3:ARJ3"/>
    <mergeCell ref="ABS4:ABU4"/>
    <mergeCell ref="ABW4:ABY4"/>
    <mergeCell ref="ACA4:ACC4"/>
    <mergeCell ref="ACE4:ACG4"/>
    <mergeCell ref="ACI4:ACK4"/>
    <mergeCell ref="AKA3:ALF3"/>
    <mergeCell ref="ALG3:AML3"/>
    <mergeCell ref="AMM3:ANR3"/>
    <mergeCell ref="ANS3:AOX3"/>
    <mergeCell ref="AOY3:AQD3"/>
    <mergeCell ref="ACN4:ACN6"/>
    <mergeCell ref="AAU4:AAW4"/>
    <mergeCell ref="AAY4:ABA4"/>
    <mergeCell ref="ABC4:ABE4"/>
    <mergeCell ref="ABH4:ABH6"/>
    <mergeCell ref="ABK4:ABM4"/>
    <mergeCell ref="ABO4:ABQ4"/>
    <mergeCell ref="AFO4:AFQ4"/>
    <mergeCell ref="AFS4:AFU4"/>
    <mergeCell ref="AJO4:AJQ4"/>
    <mergeCell ref="AJS4:AJU4"/>
    <mergeCell ref="AJX4:AJX6"/>
    <mergeCell ref="AGI4:AGK4"/>
    <mergeCell ref="AGM4:AGO4"/>
    <mergeCell ref="AGQ4:AGS4"/>
    <mergeCell ref="AGU4:AGW4"/>
    <mergeCell ref="AGY4:AHA4"/>
    <mergeCell ref="AAQ4:AAS4"/>
    <mergeCell ref="BGE3:BHJ3"/>
    <mergeCell ref="AFW4:AFY4"/>
    <mergeCell ref="AGA4:AGC4"/>
    <mergeCell ref="AGF4:AGF6"/>
    <mergeCell ref="ACQ4:ACS4"/>
    <mergeCell ref="ACU4:ACW4"/>
    <mergeCell ref="ACY4:ADA4"/>
    <mergeCell ref="ADC4:ADE4"/>
    <mergeCell ref="ADG4:ADI4"/>
    <mergeCell ref="ADK4:ADM4"/>
    <mergeCell ref="ADO4:ADQ4"/>
    <mergeCell ref="ADT4:ADT6"/>
    <mergeCell ref="ADW4:ADY4"/>
    <mergeCell ref="AEA4:AEC4"/>
    <mergeCell ref="AEE4:AEG4"/>
    <mergeCell ref="AEI4:AEK4"/>
    <mergeCell ref="AEM4:AEO4"/>
    <mergeCell ref="AEQ4:AES4"/>
    <mergeCell ref="AEU4:AEW4"/>
    <mergeCell ref="AEZ4:AEZ6"/>
    <mergeCell ref="AFC4:AFE4"/>
    <mergeCell ref="AFG4:AFI4"/>
    <mergeCell ref="AFK4:AFM4"/>
    <mergeCell ref="AHC4:AHE4"/>
    <mergeCell ref="AHG4:AHI4"/>
    <mergeCell ref="AHL4:AHL6"/>
    <mergeCell ref="AHO4:AHQ4"/>
    <mergeCell ref="AHS4:AHU4"/>
    <mergeCell ref="AHW4:AHY4"/>
    <mergeCell ref="AIA4:AIC4"/>
    <mergeCell ref="AIE4:AIG4"/>
    <mergeCell ref="AII4:AIK4"/>
    <mergeCell ref="AIM4:AIO4"/>
    <mergeCell ref="AIR4:AIR6"/>
    <mergeCell ref="AIU4:AIW4"/>
    <mergeCell ref="AIY4:AJA4"/>
    <mergeCell ref="AJC4:AJE4"/>
    <mergeCell ref="AJG4:AJI4"/>
    <mergeCell ref="AJK4:AJM4"/>
    <mergeCell ref="ANG4:ANI4"/>
    <mergeCell ref="ANK4:ANM4"/>
    <mergeCell ref="ANP4:ANP6"/>
    <mergeCell ref="AKA4:AKC4"/>
    <mergeCell ref="AKE4:AKG4"/>
    <mergeCell ref="AKI4:AKK4"/>
    <mergeCell ref="AKM4:AKO4"/>
    <mergeCell ref="AKQ4:AKS4"/>
    <mergeCell ref="AKU4:AKW4"/>
    <mergeCell ref="AKY4:ALA4"/>
    <mergeCell ref="ALD4:ALD6"/>
    <mergeCell ref="ALG4:ALI4"/>
    <mergeCell ref="ALK4:ALM4"/>
    <mergeCell ref="ALO4:ALQ4"/>
    <mergeCell ref="ALS4:ALU4"/>
    <mergeCell ref="ALW4:ALY4"/>
    <mergeCell ref="AMA4:AMC4"/>
    <mergeCell ref="AME4:AMG4"/>
    <mergeCell ref="AMJ4:AMJ6"/>
    <mergeCell ref="AMM4:AMO4"/>
    <mergeCell ref="AMQ4:AMS4"/>
    <mergeCell ref="AMU4:AMW4"/>
    <mergeCell ref="AMY4:ANA4"/>
    <mergeCell ref="ANC4:ANE4"/>
    <mergeCell ref="AQY4:ARA4"/>
    <mergeCell ref="ARC4:ARE4"/>
    <mergeCell ref="ARH4:ARH6"/>
    <mergeCell ref="ANS4:ANU4"/>
    <mergeCell ref="ANW4:ANY4"/>
    <mergeCell ref="AOA4:AOC4"/>
    <mergeCell ref="AOE4:AOG4"/>
    <mergeCell ref="AOI4:AOK4"/>
    <mergeCell ref="AOM4:AOO4"/>
    <mergeCell ref="AOQ4:AOS4"/>
    <mergeCell ref="AOV4:AOV6"/>
    <mergeCell ref="AOY4:APA4"/>
    <mergeCell ref="APC4:APE4"/>
    <mergeCell ref="APG4:API4"/>
    <mergeCell ref="APK4:APM4"/>
    <mergeCell ref="APO4:APQ4"/>
    <mergeCell ref="APS4:APU4"/>
    <mergeCell ref="APW4:APY4"/>
    <mergeCell ref="AQB4:AQB6"/>
    <mergeCell ref="AQE4:AQG4"/>
    <mergeCell ref="AQI4:AQK4"/>
    <mergeCell ref="AQM4:AQO4"/>
    <mergeCell ref="AQQ4:AQS4"/>
    <mergeCell ref="AQU4:AQW4"/>
    <mergeCell ref="AUQ4:AUS4"/>
    <mergeCell ref="AUU4:AUW4"/>
    <mergeCell ref="AUZ4:AUZ6"/>
    <mergeCell ref="ARK4:ARM4"/>
    <mergeCell ref="ARO4:ARQ4"/>
    <mergeCell ref="ARS4:ARU4"/>
    <mergeCell ref="ARW4:ARY4"/>
    <mergeCell ref="ASA4:ASC4"/>
    <mergeCell ref="ASE4:ASG4"/>
    <mergeCell ref="ASI4:ASK4"/>
    <mergeCell ref="ASN4:ASN6"/>
    <mergeCell ref="ASQ4:ASS4"/>
    <mergeCell ref="ASU4:ASW4"/>
    <mergeCell ref="ASY4:ATA4"/>
    <mergeCell ref="ATC4:ATE4"/>
    <mergeCell ref="ATG4:ATI4"/>
    <mergeCell ref="ATK4:ATM4"/>
    <mergeCell ref="ATO4:ATQ4"/>
    <mergeCell ref="ATT4:ATT6"/>
    <mergeCell ref="ATW4:ATY4"/>
    <mergeCell ref="AUA4:AUC4"/>
    <mergeCell ref="AUE4:AUG4"/>
    <mergeCell ref="AUI4:AUK4"/>
    <mergeCell ref="AUM4:AUO4"/>
    <mergeCell ref="AYI4:AYK4"/>
    <mergeCell ref="AYM4:AYO4"/>
    <mergeCell ref="AYR4:AYR6"/>
    <mergeCell ref="AVC4:AVE4"/>
    <mergeCell ref="AVG4:AVI4"/>
    <mergeCell ref="AVK4:AVM4"/>
    <mergeCell ref="AVO4:AVQ4"/>
    <mergeCell ref="AVS4:AVU4"/>
    <mergeCell ref="AVW4:AVY4"/>
    <mergeCell ref="AWA4:AWC4"/>
    <mergeCell ref="AWF4:AWF6"/>
    <mergeCell ref="AWI4:AWK4"/>
    <mergeCell ref="AWM4:AWO4"/>
    <mergeCell ref="AWQ4:AWS4"/>
    <mergeCell ref="AWU4:AWW4"/>
    <mergeCell ref="AWY4:AXA4"/>
    <mergeCell ref="AXC4:AXE4"/>
    <mergeCell ref="AXG4:AXI4"/>
    <mergeCell ref="AXL4:AXL6"/>
    <mergeCell ref="AXO4:AXQ4"/>
    <mergeCell ref="AXS4:AXU4"/>
    <mergeCell ref="AXW4:AXY4"/>
    <mergeCell ref="AYA4:AYC4"/>
    <mergeCell ref="AYE4:AYG4"/>
    <mergeCell ref="BKU4:BKW4"/>
    <mergeCell ref="BKZ4:BKZ6"/>
    <mergeCell ref="AA4:AC4"/>
    <mergeCell ref="AM4:AO4"/>
    <mergeCell ref="BJW4:BJY4"/>
    <mergeCell ref="BKA4:BKC4"/>
    <mergeCell ref="BGE4:BGG4"/>
    <mergeCell ref="BGI4:BGK4"/>
    <mergeCell ref="BGM4:BGO4"/>
    <mergeCell ref="BGQ4:BGS4"/>
    <mergeCell ref="BGU4:BGW4"/>
    <mergeCell ref="BGY4:BHA4"/>
    <mergeCell ref="BIQ4:BIS4"/>
    <mergeCell ref="BIU4:BIW4"/>
    <mergeCell ref="BHC4:BHE4"/>
    <mergeCell ref="BHH4:BHH6"/>
    <mergeCell ref="BHK4:BHM4"/>
    <mergeCell ref="BHO4:BHQ4"/>
    <mergeCell ref="BHS4:BHU4"/>
    <mergeCell ref="BHW4:BHY4"/>
    <mergeCell ref="BIA4:BIC4"/>
    <mergeCell ref="BIE4:BIG4"/>
    <mergeCell ref="BEI4:BEK4"/>
    <mergeCell ref="BEM4:BEO4"/>
    <mergeCell ref="BKI4:BKK4"/>
    <mergeCell ref="BKM4:BKO4"/>
    <mergeCell ref="BKQ4:BKS4"/>
    <mergeCell ref="BIY4:BJA4"/>
    <mergeCell ref="BJC4:BJE4"/>
    <mergeCell ref="BJG4:BJI4"/>
    <mergeCell ref="BJK4:BJM4"/>
    <mergeCell ref="BJO4:BJQ4"/>
    <mergeCell ref="BJT4:BJT6"/>
    <mergeCell ref="BKE4:BKG4"/>
    <mergeCell ref="K4:M4"/>
    <mergeCell ref="O4:Q4"/>
    <mergeCell ref="S4:U4"/>
    <mergeCell ref="W4:Y4"/>
    <mergeCell ref="BEQ4:BES4"/>
    <mergeCell ref="BEV4:BEV6"/>
    <mergeCell ref="BEY4:BFA4"/>
    <mergeCell ref="BFC4:BFE4"/>
    <mergeCell ref="BFG4:BFI4"/>
    <mergeCell ref="BAQ4:BAS4"/>
    <mergeCell ref="BAU4:BAW4"/>
    <mergeCell ref="BAY4:BBA4"/>
    <mergeCell ref="BBD4:BBD6"/>
    <mergeCell ref="AYY4:AZA4"/>
    <mergeCell ref="AZC4:AZE4"/>
    <mergeCell ref="AZG4:AZI4"/>
    <mergeCell ref="AZK4:AZM4"/>
    <mergeCell ref="AZO4:AZQ4"/>
    <mergeCell ref="AZS4:AZU4"/>
    <mergeCell ref="AZX4:AZX6"/>
    <mergeCell ref="BAA4:BAC4"/>
    <mergeCell ref="BAE4:BAG4"/>
    <mergeCell ref="BAI4:BAK4"/>
    <mergeCell ref="BAM4:BAO4"/>
    <mergeCell ref="BCM4:BCO4"/>
    <mergeCell ref="BBG4:BBI4"/>
    <mergeCell ref="BBK4:BBM4"/>
    <mergeCell ref="BBO4:BBQ4"/>
    <mergeCell ref="BBS4:BBU4"/>
    <mergeCell ref="BBW4:BBY4"/>
    <mergeCell ref="BCA4:BCC4"/>
    <mergeCell ref="BCE4:BCG4"/>
    <mergeCell ref="BCJ4:BCJ6"/>
    <mergeCell ref="C4:E4"/>
    <mergeCell ref="AF4:AF6"/>
    <mergeCell ref="AI4:AK4"/>
    <mergeCell ref="BL4:BL6"/>
    <mergeCell ref="BO4:BQ4"/>
    <mergeCell ref="CR4:CR6"/>
    <mergeCell ref="CU4:CW4"/>
    <mergeCell ref="DX4:DX6"/>
    <mergeCell ref="AYU4:AYW4"/>
    <mergeCell ref="G4:I4"/>
    <mergeCell ref="EE4:EG4"/>
    <mergeCell ref="EI4:EK4"/>
    <mergeCell ref="EM4:EO4"/>
    <mergeCell ref="EQ4:ES4"/>
    <mergeCell ref="EU4:EW4"/>
    <mergeCell ref="EY4:FA4"/>
    <mergeCell ref="DK4:DM4"/>
    <mergeCell ref="DO4:DQ4"/>
    <mergeCell ref="DS4:DU4"/>
    <mergeCell ref="CM4:CO4"/>
    <mergeCell ref="CY4:DA4"/>
    <mergeCell ref="DC4:DE4"/>
    <mergeCell ref="DG4:DI4"/>
    <mergeCell ref="FD4:FD6"/>
    <mergeCell ref="BII4:BIK4"/>
    <mergeCell ref="BIN4:BIN6"/>
    <mergeCell ref="BCQ4:BCS4"/>
    <mergeCell ref="BCU4:BCW4"/>
    <mergeCell ref="BCY4:BDA4"/>
    <mergeCell ref="BDC4:BDE4"/>
    <mergeCell ref="BDG4:BDI4"/>
    <mergeCell ref="BDK4:BDM4"/>
    <mergeCell ref="BDP4:BDP6"/>
    <mergeCell ref="BDS4:BDU4"/>
    <mergeCell ref="BDW4:BDY4"/>
    <mergeCell ref="BEA4:BEC4"/>
    <mergeCell ref="BEE4:BEG4"/>
    <mergeCell ref="BFK4:BFM4"/>
    <mergeCell ref="BFO4:BFQ4"/>
    <mergeCell ref="BFS4:BFU4"/>
    <mergeCell ref="BFW4:BFY4"/>
    <mergeCell ref="BGB4:BGB6"/>
    <mergeCell ref="IY2:PB2"/>
    <mergeCell ref="FG3:GL3"/>
    <mergeCell ref="GM3:HR3"/>
    <mergeCell ref="HS3:IX3"/>
    <mergeCell ref="IY3:KD3"/>
    <mergeCell ref="KE3:LJ3"/>
    <mergeCell ref="LK3:MP3"/>
    <mergeCell ref="EA3:FF3"/>
    <mergeCell ref="C3:AH3"/>
    <mergeCell ref="AI3:BN3"/>
    <mergeCell ref="BO3:CT3"/>
    <mergeCell ref="CU3:DZ3"/>
    <mergeCell ref="MQ3:NV3"/>
    <mergeCell ref="NW3:PB3"/>
    <mergeCell ref="EA2:IX2"/>
    <mergeCell ref="C2:DZ2"/>
    <mergeCell ref="BS4:BU4"/>
    <mergeCell ref="BW4:BY4"/>
    <mergeCell ref="CA4:CC4"/>
    <mergeCell ref="CE4:CG4"/>
    <mergeCell ref="CI4:CK4"/>
    <mergeCell ref="AQ4:AS4"/>
    <mergeCell ref="AU4:AW4"/>
    <mergeCell ref="AY4:BA4"/>
    <mergeCell ref="EA4:EC4"/>
    <mergeCell ref="BC4:BE4"/>
    <mergeCell ref="BG4:BI4"/>
    <mergeCell ref="FG4:FI4"/>
    <mergeCell ref="FK4:FM4"/>
    <mergeCell ref="FO4:FQ4"/>
    <mergeCell ref="FS4:FU4"/>
    <mergeCell ref="FW4:FY4"/>
    <mergeCell ref="GA4:GC4"/>
    <mergeCell ref="GE4:GG4"/>
    <mergeCell ref="GJ4:GJ6"/>
    <mergeCell ref="JS4:JU4"/>
    <mergeCell ref="JW4:JY4"/>
    <mergeCell ref="KB4:KB6"/>
    <mergeCell ref="GM4:GO4"/>
    <mergeCell ref="GQ4:GS4"/>
    <mergeCell ref="GU4:GW4"/>
    <mergeCell ref="GY4:HA4"/>
    <mergeCell ref="HC4:HE4"/>
    <mergeCell ref="HG4:HI4"/>
    <mergeCell ref="HK4:HM4"/>
    <mergeCell ref="HP4:HP6"/>
    <mergeCell ref="HS4:HU4"/>
    <mergeCell ref="HW4:HY4"/>
    <mergeCell ref="IA4:IC4"/>
    <mergeCell ref="IE4:IG4"/>
    <mergeCell ref="II4:IK4"/>
    <mergeCell ref="IM4:IO4"/>
    <mergeCell ref="IQ4:IS4"/>
    <mergeCell ref="IV4:IV6"/>
    <mergeCell ref="IY4:JA4"/>
    <mergeCell ref="JC4:JE4"/>
    <mergeCell ref="JG4:JI4"/>
    <mergeCell ref="JK4:JM4"/>
    <mergeCell ref="JO4:JQ4"/>
    <mergeCell ref="NK4:NM4"/>
    <mergeCell ref="NO4:NQ4"/>
    <mergeCell ref="NT4:NT6"/>
    <mergeCell ref="KE4:KG4"/>
    <mergeCell ref="KI4:KK4"/>
    <mergeCell ref="KM4:KO4"/>
    <mergeCell ref="KQ4:KS4"/>
    <mergeCell ref="KU4:KW4"/>
    <mergeCell ref="KY4:LA4"/>
    <mergeCell ref="LC4:LE4"/>
    <mergeCell ref="LH4:LH6"/>
    <mergeCell ref="LK4:LM4"/>
    <mergeCell ref="LO4:LQ4"/>
    <mergeCell ref="LS4:LU4"/>
    <mergeCell ref="LW4:LY4"/>
    <mergeCell ref="MA4:MC4"/>
    <mergeCell ref="ME4:MG4"/>
    <mergeCell ref="MI4:MK4"/>
    <mergeCell ref="MN4:MN6"/>
    <mergeCell ref="MQ4:MS4"/>
    <mergeCell ref="MU4:MW4"/>
    <mergeCell ref="MY4:NA4"/>
    <mergeCell ref="NC4:NE4"/>
    <mergeCell ref="NG4:NI4"/>
    <mergeCell ref="WM3:XR3"/>
    <mergeCell ref="XS3:YX3"/>
    <mergeCell ref="OU4:OW4"/>
    <mergeCell ref="OZ4:OZ6"/>
    <mergeCell ref="NW4:NY4"/>
    <mergeCell ref="OA4:OC4"/>
    <mergeCell ref="OE4:OG4"/>
    <mergeCell ref="OI4:OK4"/>
    <mergeCell ref="OM4:OO4"/>
    <mergeCell ref="OQ4:OS4"/>
    <mergeCell ref="SI4:SK4"/>
    <mergeCell ref="SM4:SO4"/>
    <mergeCell ref="SR4:SR6"/>
    <mergeCell ref="PC4:PE4"/>
    <mergeCell ref="PG4:PI4"/>
    <mergeCell ref="PK4:PM4"/>
    <mergeCell ref="PO4:PQ4"/>
    <mergeCell ref="PS4:PU4"/>
    <mergeCell ref="PW4:PY4"/>
    <mergeCell ref="QA4:QC4"/>
    <mergeCell ref="QF4:QF6"/>
    <mergeCell ref="QI4:QK4"/>
    <mergeCell ref="QM4:QO4"/>
    <mergeCell ref="QQ4:QS4"/>
    <mergeCell ref="QU4:QW4"/>
    <mergeCell ref="QY4:RA4"/>
    <mergeCell ref="RC4:RE4"/>
    <mergeCell ref="RG4:RI4"/>
    <mergeCell ref="RL4:RL6"/>
    <mergeCell ref="RO4:RQ4"/>
    <mergeCell ref="RS4:RU4"/>
    <mergeCell ref="RW4:RY4"/>
    <mergeCell ref="SA4:SC4"/>
    <mergeCell ref="SE4:SG4"/>
    <mergeCell ref="WA4:WC4"/>
    <mergeCell ref="WE4:WG4"/>
    <mergeCell ref="WJ4:WJ6"/>
    <mergeCell ref="SU4:SW4"/>
    <mergeCell ref="SY4:TA4"/>
    <mergeCell ref="TC4:TE4"/>
    <mergeCell ref="TG4:TI4"/>
    <mergeCell ref="TK4:TM4"/>
    <mergeCell ref="TO4:TQ4"/>
    <mergeCell ref="TS4:TU4"/>
    <mergeCell ref="TX4:TX6"/>
    <mergeCell ref="UA4:UC4"/>
    <mergeCell ref="UE4:UG4"/>
    <mergeCell ref="UI4:UK4"/>
    <mergeCell ref="UM4:UO4"/>
    <mergeCell ref="YV4:YV6"/>
    <mergeCell ref="XK4:XM4"/>
    <mergeCell ref="XP4:XP6"/>
    <mergeCell ref="XS4:XU4"/>
    <mergeCell ref="XW4:XY4"/>
    <mergeCell ref="YA4:YC4"/>
    <mergeCell ref="YE4:YG4"/>
    <mergeCell ref="PC2:TZ2"/>
    <mergeCell ref="UA2:YX2"/>
    <mergeCell ref="PC3:QH3"/>
    <mergeCell ref="QI3:RN3"/>
    <mergeCell ref="RO3:ST3"/>
    <mergeCell ref="SU3:TZ3"/>
    <mergeCell ref="UA3:VF3"/>
    <mergeCell ref="VG3:WL3"/>
    <mergeCell ref="UQ4:US4"/>
    <mergeCell ref="UU4:UW4"/>
    <mergeCell ref="UY4:VA4"/>
    <mergeCell ref="VD4:VD6"/>
    <mergeCell ref="VG4:VI4"/>
    <mergeCell ref="VK4:VM4"/>
    <mergeCell ref="VO4:VQ4"/>
    <mergeCell ref="VS4:VU4"/>
    <mergeCell ref="VW4:VY4"/>
    <mergeCell ref="WM4:WO4"/>
    <mergeCell ref="WQ4:WS4"/>
    <mergeCell ref="WU4:WW4"/>
    <mergeCell ref="WY4:XA4"/>
    <mergeCell ref="XC4:XE4"/>
    <mergeCell ref="XG4:XI4"/>
    <mergeCell ref="YI4:YK4"/>
    <mergeCell ref="YM4:YO4"/>
    <mergeCell ref="YQ4:YS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5:AF70"/>
  <sheetViews>
    <sheetView workbookViewId="0">
      <pane xSplit="2" ySplit="5" topLeftCell="M35" activePane="bottomRight" state="frozen"/>
      <selection pane="bottomRight" activeCell="N35" sqref="N35"/>
      <selection pane="bottomLeft" activeCell="A6" sqref="A6"/>
      <selection pane="topRight" activeCell="C1" sqref="C1"/>
    </sheetView>
  </sheetViews>
  <sheetFormatPr defaultColWidth="9.140625" defaultRowHeight="15"/>
  <cols>
    <col min="1" max="1" width="18.7109375" customWidth="1"/>
    <col min="2" max="2" width="19.85546875" customWidth="1"/>
    <col min="3" max="3" width="15.7109375" customWidth="1"/>
    <col min="4" max="4" width="14.28515625" customWidth="1"/>
    <col min="5" max="5" width="12.5703125" customWidth="1"/>
    <col min="6" max="6" width="13.5703125" customWidth="1"/>
    <col min="7" max="7" width="11.42578125" customWidth="1"/>
    <col min="8" max="8" width="12" customWidth="1"/>
    <col min="9" max="9" width="12.85546875" customWidth="1"/>
    <col min="10" max="10" width="11.28515625" customWidth="1"/>
    <col min="11" max="11" width="13.7109375" customWidth="1"/>
    <col min="12" max="12" width="13.85546875" customWidth="1"/>
    <col min="13" max="13" width="13.5703125" customWidth="1"/>
    <col min="14" max="14" width="12.5703125" customWidth="1"/>
    <col min="15" max="15" width="12" customWidth="1"/>
    <col min="16" max="16" width="13.7109375" customWidth="1"/>
    <col min="17" max="26" width="11.7109375" customWidth="1"/>
    <col min="27" max="27" width="9.140625" customWidth="1"/>
    <col min="28" max="28" width="16.140625" customWidth="1"/>
    <col min="29" max="29" width="19" customWidth="1"/>
    <col min="31" max="31" width="15.28515625" customWidth="1"/>
  </cols>
  <sheetData>
    <row r="5" spans="2:29">
      <c r="B5" s="567"/>
      <c r="C5" s="398" t="s">
        <v>526</v>
      </c>
      <c r="D5" s="398" t="s">
        <v>527</v>
      </c>
      <c r="E5" s="398" t="s">
        <v>528</v>
      </c>
      <c r="F5" s="398" t="s">
        <v>529</v>
      </c>
      <c r="G5" s="398" t="s">
        <v>530</v>
      </c>
      <c r="H5" s="398" t="s">
        <v>531</v>
      </c>
      <c r="I5" s="398" t="s">
        <v>532</v>
      </c>
      <c r="J5" s="398" t="s">
        <v>533</v>
      </c>
      <c r="K5" s="398" t="s">
        <v>534</v>
      </c>
      <c r="L5" s="398" t="s">
        <v>535</v>
      </c>
      <c r="M5" s="398" t="s">
        <v>536</v>
      </c>
      <c r="N5" s="398" t="s">
        <v>537</v>
      </c>
      <c r="O5" s="398" t="s">
        <v>538</v>
      </c>
      <c r="P5" s="398" t="s">
        <v>539</v>
      </c>
      <c r="Q5" s="974" t="s">
        <v>540</v>
      </c>
      <c r="R5" s="398" t="s">
        <v>541</v>
      </c>
      <c r="S5" s="974">
        <v>44682</v>
      </c>
      <c r="T5" s="974">
        <v>44713</v>
      </c>
      <c r="U5" s="974">
        <v>44743</v>
      </c>
      <c r="V5" s="974">
        <v>44774</v>
      </c>
      <c r="W5" s="974">
        <v>44805</v>
      </c>
      <c r="X5" s="974">
        <v>44835</v>
      </c>
      <c r="Y5" s="974">
        <v>44866</v>
      </c>
      <c r="Z5" s="974">
        <v>44896</v>
      </c>
      <c r="AB5" s="1344" t="s">
        <v>542</v>
      </c>
      <c r="AC5" s="1565" t="s">
        <v>543</v>
      </c>
    </row>
    <row r="6" spans="2:29">
      <c r="B6" s="977" t="s">
        <v>9</v>
      </c>
      <c r="C6" s="391">
        <f>'Proy 2021 vs 2019 Sem'!Y6</f>
        <v>214246.41</v>
      </c>
      <c r="D6" s="391">
        <f>'Proy 2021 vs 2019 Sem'!AW6</f>
        <v>234397.71999999997</v>
      </c>
      <c r="E6" s="520">
        <f>'Proy 2021 vs 2019 Sem'!BZ6</f>
        <v>287446.13</v>
      </c>
      <c r="F6" s="391">
        <f>'Proy 2021 vs 2019 Sem'!CX6</f>
        <v>301640.75</v>
      </c>
      <c r="G6" s="815">
        <f>'Proy 2021 vs 2019 Sem'!DV6</f>
        <v>313121.82999999996</v>
      </c>
      <c r="H6" s="816">
        <f>'Proy 2021 vs 2019 Sem'!EY6</f>
        <v>402167.75</v>
      </c>
      <c r="I6" s="391">
        <f>'Proy 2021 vs 2019 Sem'!FW6</f>
        <v>301664.53999999998</v>
      </c>
      <c r="J6" s="391">
        <f>'Proy 2021 vs 2019 Sem'!GS6</f>
        <v>249583.4896</v>
      </c>
      <c r="K6" s="392">
        <f>'Proy 2021 vs 2019 Sem'!HV6</f>
        <v>276314.29160000006</v>
      </c>
      <c r="L6" s="392">
        <f>'Proy 2021 vs 2019 Sem'!IT6</f>
        <v>300678.03720000002</v>
      </c>
      <c r="M6" s="392">
        <f>'Proy 2021 vs 2019 Sem'!JS6</f>
        <v>339594.08880000003</v>
      </c>
      <c r="N6" s="392">
        <f>'Proy 2021 vs 2019 Sem'!KV6</f>
        <v>1213419.1240000001</v>
      </c>
      <c r="O6" s="395">
        <f>'Proy 2022 vs 2019 sem'!W6</f>
        <v>230296.87579999998</v>
      </c>
      <c r="P6" s="395">
        <f>'Proy 2022 vs 2019 sem'!AU6</f>
        <v>252141.3639</v>
      </c>
      <c r="Q6" s="395">
        <f>'Proy 2022 vs 2019 sem'!BX6</f>
        <v>322760.2757</v>
      </c>
      <c r="R6" s="395">
        <f>'Proy 2022 vs 2019 sem'!CV6</f>
        <v>340213.62339999998</v>
      </c>
      <c r="S6" s="395">
        <f>'Proy 2022 vs 2019 sem'!DT6</f>
        <v>336263.2856</v>
      </c>
      <c r="T6" s="395">
        <f>'Proy 2022 vs 2019 sem'!EW6</f>
        <v>403959.0661</v>
      </c>
      <c r="U6" s="395">
        <f>'Proy 2022 vs 2019 sem'!FU6</f>
        <v>286713.84389999998</v>
      </c>
      <c r="V6" s="395">
        <f>'Proy 2022 vs 2019 sem'!GS6</f>
        <v>308038.7868</v>
      </c>
      <c r="W6" s="395">
        <f>'Proy 2022 vs 2019 sem'!HV6</f>
        <v>351339.18</v>
      </c>
      <c r="X6" s="395">
        <f>'Proy 2022 vs 2019 sem'!IT6</f>
        <v>354474.82569999993</v>
      </c>
      <c r="Y6" s="395">
        <f>'Proy 2022 vs 2019 sem'!JR6</f>
        <v>360816.19839999999</v>
      </c>
      <c r="Z6" s="395">
        <f>'Proy 2022 vs 2019 sem'!KU6</f>
        <v>917268.04879999999</v>
      </c>
      <c r="AB6" s="1350">
        <f>SUM(C6:N6)</f>
        <v>4434274.1612</v>
      </c>
      <c r="AC6" s="1346">
        <f>SUM(J6:U6)</f>
        <v>4551937.3656000001</v>
      </c>
    </row>
    <row r="7" spans="2:29">
      <c r="B7" s="978" t="s">
        <v>10</v>
      </c>
      <c r="C7" s="391">
        <f>'Proy 2021 vs 2019 Sem'!Y7</f>
        <v>191664.74000000002</v>
      </c>
      <c r="D7" s="391">
        <f>'Proy 2021 vs 2019 Sem'!AW7</f>
        <v>198874.92</v>
      </c>
      <c r="E7" s="520">
        <f>'Proy 2021 vs 2019 Sem'!BZ7</f>
        <v>282952.44999999995</v>
      </c>
      <c r="F7" s="391">
        <f>'Proy 2021 vs 2019 Sem'!CX7</f>
        <v>236061.91000000003</v>
      </c>
      <c r="G7" s="815">
        <f>'Proy 2021 vs 2019 Sem'!DV7</f>
        <v>308744.61</v>
      </c>
      <c r="H7" s="816">
        <f>'Proy 2021 vs 2019 Sem'!EY7</f>
        <v>383685.63</v>
      </c>
      <c r="I7" s="391">
        <f>'Proy 2021 vs 2019 Sem'!FW7</f>
        <v>295619.09999999998</v>
      </c>
      <c r="J7" s="391">
        <f>'Proy 2021 vs 2019 Sem'!GS7</f>
        <v>287449.77139999997</v>
      </c>
      <c r="K7" s="392">
        <f>'Proy 2021 vs 2019 Sem'!HV7</f>
        <v>323880.4584</v>
      </c>
      <c r="L7" s="392">
        <f>'Proy 2021 vs 2019 Sem'!IT7</f>
        <v>237579.2452</v>
      </c>
      <c r="M7" s="392">
        <f>'Proy 2021 vs 2019 Sem'!JS7</f>
        <v>345488.57949999999</v>
      </c>
      <c r="N7" s="392">
        <f>'Proy 2021 vs 2019 Sem'!KV7</f>
        <v>784367.13659999997</v>
      </c>
      <c r="O7" s="395">
        <f>'Proy 2022 vs 2019 sem'!W7</f>
        <v>240835.28169999999</v>
      </c>
      <c r="P7" s="395">
        <f>'Proy 2022 vs 2019 sem'!AU7</f>
        <v>282856.39400000003</v>
      </c>
      <c r="Q7" s="395">
        <f>'Proy 2022 vs 2019 sem'!BX7</f>
        <v>384380.38619999995</v>
      </c>
      <c r="R7" s="395">
        <f>'Proy 2022 vs 2019 sem'!CV7</f>
        <v>390910.89350000001</v>
      </c>
      <c r="S7" s="395">
        <f>'Proy 2022 vs 2019 sem'!DT7</f>
        <v>418379.66470000002</v>
      </c>
      <c r="T7" s="395">
        <f>'Proy 2022 vs 2019 sem'!EW7</f>
        <v>527700.59990000003</v>
      </c>
      <c r="U7" s="395">
        <f>'Proy 2022 vs 2019 sem'!FU7</f>
        <v>375769.47240000003</v>
      </c>
      <c r="V7" s="395">
        <f>'Proy 2022 vs 2019 sem'!GS7</f>
        <v>354181.82759999996</v>
      </c>
      <c r="W7" s="395">
        <f>'Proy 2022 vs 2019 sem'!HV7</f>
        <v>411825.61229999998</v>
      </c>
      <c r="X7" s="395">
        <f>'Proy 2022 vs 2019 sem'!IT7</f>
        <v>353122.47250000003</v>
      </c>
      <c r="Y7" s="395">
        <f>'Proy 2022 vs 2019 sem'!JR7</f>
        <v>433736.04699999996</v>
      </c>
      <c r="Z7" s="395">
        <f>'Proy 2022 vs 2019 sem'!KU7</f>
        <v>918270.46510000003</v>
      </c>
      <c r="AB7" s="1348">
        <f>SUM(C7:N7)</f>
        <v>3876368.5510999998</v>
      </c>
      <c r="AC7" s="1346">
        <f t="shared" ref="AC7:AC34" si="0">SUM(J7:U7)</f>
        <v>4599597.8835000005</v>
      </c>
    </row>
    <row r="8" spans="2:29">
      <c r="B8" s="978" t="s">
        <v>11</v>
      </c>
      <c r="C8" s="391">
        <f>'Proy 2021 vs 2019 Sem'!Y8</f>
        <v>148088.06</v>
      </c>
      <c r="D8" s="391">
        <f>'Proy 2021 vs 2019 Sem'!AW8</f>
        <v>177723.49</v>
      </c>
      <c r="E8" s="520">
        <f>'Proy 2021 vs 2019 Sem'!BZ8</f>
        <v>241268.94</v>
      </c>
      <c r="F8" s="391">
        <f>'Proy 2021 vs 2019 Sem'!CX8</f>
        <v>220509.46000000002</v>
      </c>
      <c r="G8" s="815">
        <f>'Proy 2021 vs 2019 Sem'!DV8</f>
        <v>275395.69</v>
      </c>
      <c r="H8" s="816">
        <f>'Proy 2021 vs 2019 Sem'!EY8</f>
        <v>321291.82</v>
      </c>
      <c r="I8" s="391">
        <f>'Proy 2021 vs 2019 Sem'!FW8</f>
        <v>255333.37</v>
      </c>
      <c r="J8" s="391">
        <f>'Proy 2021 vs 2019 Sem'!GS8</f>
        <v>195766.45120000001</v>
      </c>
      <c r="K8" s="392">
        <f>'Proy 2021 vs 2019 Sem'!HV8</f>
        <v>227621.29390000002</v>
      </c>
      <c r="L8" s="392">
        <f>'Proy 2021 vs 2019 Sem'!IT8</f>
        <v>260739.97790000003</v>
      </c>
      <c r="M8" s="392">
        <f>'Proy 2021 vs 2019 Sem'!JS8</f>
        <v>319934.46749999997</v>
      </c>
      <c r="N8" s="392">
        <f>'Proy 2021 vs 2019 Sem'!KV8</f>
        <v>684551.39199999999</v>
      </c>
      <c r="O8" s="395">
        <f>'Proy 2022 vs 2019 sem'!W8</f>
        <v>179810.40730000002</v>
      </c>
      <c r="P8" s="395">
        <f>'Proy 2022 vs 2019 sem'!AU8</f>
        <v>226161.5742</v>
      </c>
      <c r="Q8" s="395">
        <f>'Proy 2022 vs 2019 sem'!BX8</f>
        <v>310576.59460000001</v>
      </c>
      <c r="R8" s="395">
        <f>'Proy 2022 vs 2019 sem'!CV8</f>
        <v>303588.91020000004</v>
      </c>
      <c r="S8" s="395">
        <f>'Proy 2022 vs 2019 sem'!DT8</f>
        <v>294211.42310000001</v>
      </c>
      <c r="T8" s="395">
        <f>'Proy 2022 vs 2019 sem'!EW8</f>
        <v>389944.23259999999</v>
      </c>
      <c r="U8" s="395">
        <f>'Proy 2022 vs 2019 sem'!FU8</f>
        <v>277616.72879999998</v>
      </c>
      <c r="V8" s="395">
        <f>'Proy 2022 vs 2019 sem'!GS8</f>
        <v>241539.25829999999</v>
      </c>
      <c r="W8" s="395">
        <f>'Proy 2022 vs 2019 sem'!HV8</f>
        <v>289507.8836</v>
      </c>
      <c r="X8" s="395">
        <f>'Proy 2022 vs 2019 sem'!IT8</f>
        <v>283284.58399999997</v>
      </c>
      <c r="Y8" s="395">
        <f>'Proy 2022 vs 2019 sem'!JR8</f>
        <v>334188.42489999998</v>
      </c>
      <c r="Z8" s="395">
        <f>'Proy 2022 vs 2019 sem'!KU8</f>
        <v>658004.91960000002</v>
      </c>
      <c r="AB8" s="1348">
        <f>SUM(C8:N8)</f>
        <v>3328224.4124999996</v>
      </c>
      <c r="AC8" s="1346">
        <f t="shared" si="0"/>
        <v>3670523.4533000006</v>
      </c>
    </row>
    <row r="9" spans="2:29">
      <c r="B9" s="978" t="s">
        <v>12</v>
      </c>
      <c r="C9" s="391">
        <f>'Proy 2021 vs 2019 Sem'!Y9</f>
        <v>135347.06</v>
      </c>
      <c r="D9" s="391">
        <f>'Proy 2021 vs 2019 Sem'!AW9</f>
        <v>128813.4</v>
      </c>
      <c r="E9" s="520">
        <f>'Proy 2021 vs 2019 Sem'!BZ9</f>
        <v>164956.16999999998</v>
      </c>
      <c r="F9" s="391">
        <f>'Proy 2021 vs 2019 Sem'!CX9</f>
        <v>146187.03000000003</v>
      </c>
      <c r="G9" s="815">
        <f>'Proy 2021 vs 2019 Sem'!DV9</f>
        <v>165564.79</v>
      </c>
      <c r="H9" s="816">
        <f>'Proy 2021 vs 2019 Sem'!EY9</f>
        <v>214265.11</v>
      </c>
      <c r="I9" s="391">
        <f>'Proy 2021 vs 2019 Sem'!FW9</f>
        <v>199402.64</v>
      </c>
      <c r="J9" s="391">
        <f>'Proy 2021 vs 2019 Sem'!GS9</f>
        <v>195923.30129999999</v>
      </c>
      <c r="K9" s="392">
        <f>'Proy 2021 vs 2019 Sem'!HV9</f>
        <v>202620.86410000001</v>
      </c>
      <c r="L9" s="392">
        <f>'Proy 2021 vs 2019 Sem'!IT9</f>
        <v>229391.2304</v>
      </c>
      <c r="M9" s="392">
        <f>'Proy 2021 vs 2019 Sem'!JS9</f>
        <v>239209.07550000001</v>
      </c>
      <c r="N9" s="392">
        <f>'Proy 2021 vs 2019 Sem'!KV9</f>
        <v>587454.83730000001</v>
      </c>
      <c r="O9" s="395">
        <f>'Proy 2022 vs 2019 sem'!W9</f>
        <v>195207.739</v>
      </c>
      <c r="P9" s="395">
        <f>'Proy 2022 vs 2019 sem'!AU9</f>
        <v>203281.62290000002</v>
      </c>
      <c r="Q9" s="395">
        <f>'Proy 2022 vs 2019 sem'!BX9</f>
        <v>270715.30989999999</v>
      </c>
      <c r="R9" s="395">
        <f>'Proy 2022 vs 2019 sem'!CV9</f>
        <v>266316.40840000001</v>
      </c>
      <c r="S9" s="395">
        <f>'Proy 2022 vs 2019 sem'!DT9</f>
        <v>267722.02539999998</v>
      </c>
      <c r="T9" s="395">
        <f>'Proy 2022 vs 2019 sem'!EW9</f>
        <v>330161.3026</v>
      </c>
      <c r="U9" s="395">
        <f>'Proy 2022 vs 2019 sem'!FU9</f>
        <v>273869.31240000005</v>
      </c>
      <c r="V9" s="395">
        <f>'Proy 2022 vs 2019 sem'!GS9</f>
        <v>241692.10690000001</v>
      </c>
      <c r="W9" s="395">
        <f>'Proy 2022 vs 2019 sem'!HV9</f>
        <v>257479.6686</v>
      </c>
      <c r="X9" s="395">
        <f>'Proy 2022 vs 2019 sem'!IT9</f>
        <v>246705.47529999999</v>
      </c>
      <c r="Y9" s="395">
        <f>'Proy 2022 vs 2019 sem'!JR9</f>
        <v>271274.62419999996</v>
      </c>
      <c r="Z9" s="395">
        <f>'Proy 2022 vs 2019 sem'!KU9</f>
        <v>640749.85950000002</v>
      </c>
      <c r="AB9" s="1348">
        <f>SUM(C9:N9)</f>
        <v>2609135.5086000003</v>
      </c>
      <c r="AC9" s="1346">
        <f t="shared" si="0"/>
        <v>3261873.0292000007</v>
      </c>
    </row>
    <row r="10" spans="2:29">
      <c r="B10" s="978" t="s">
        <v>13</v>
      </c>
      <c r="C10" s="391">
        <f>'Proy 2021 vs 2019 Sem'!Y10</f>
        <v>167237.32999999999</v>
      </c>
      <c r="D10" s="391">
        <f>'Proy 2021 vs 2019 Sem'!AW10</f>
        <v>172851.24</v>
      </c>
      <c r="E10" s="520">
        <f>'Proy 2021 vs 2019 Sem'!BZ10</f>
        <v>265109.68000000005</v>
      </c>
      <c r="F10" s="391">
        <f>'Proy 2021 vs 2019 Sem'!CX10</f>
        <v>228436.75999999998</v>
      </c>
      <c r="G10" s="815">
        <f>'Proy 2021 vs 2019 Sem'!DV10</f>
        <v>265278.73</v>
      </c>
      <c r="H10" s="816">
        <f>'Proy 2021 vs 2019 Sem'!EY10</f>
        <v>310169.3</v>
      </c>
      <c r="I10" s="391">
        <f>'Proy 2021 vs 2019 Sem'!FW10</f>
        <v>224058.27999999997</v>
      </c>
      <c r="J10" s="391">
        <f>'Proy 2021 vs 2019 Sem'!GS10</f>
        <v>285192.92440000002</v>
      </c>
      <c r="K10" s="392">
        <f>'Proy 2021 vs 2019 Sem'!HV10</f>
        <v>271986.05230000004</v>
      </c>
      <c r="L10" s="392">
        <f>'Proy 2021 vs 2019 Sem'!IT10</f>
        <v>268915.8553</v>
      </c>
      <c r="M10" s="392">
        <f>'Proy 2021 vs 2019 Sem'!JS10</f>
        <v>326621.75799999997</v>
      </c>
      <c r="N10" s="392">
        <f>'Proy 2021 vs 2019 Sem'!KV10</f>
        <v>676381.3737</v>
      </c>
      <c r="O10" s="395">
        <f>'Proy 2022 vs 2019 sem'!W10</f>
        <v>244862.69829999999</v>
      </c>
      <c r="P10" s="395">
        <f>'Proy 2022 vs 2019 sem'!AU10</f>
        <v>285812.30240000004</v>
      </c>
      <c r="Q10" s="395">
        <f>'Proy 2022 vs 2019 sem'!BX10</f>
        <v>361594.1973</v>
      </c>
      <c r="R10" s="395">
        <f>'Proy 2022 vs 2019 sem'!CV10</f>
        <v>344270.03530000005</v>
      </c>
      <c r="S10" s="395">
        <f>'Proy 2022 vs 2019 sem'!DT10</f>
        <v>378345.60470000003</v>
      </c>
      <c r="T10" s="395">
        <f>'Proy 2022 vs 2019 sem'!EW10</f>
        <v>431170.8812</v>
      </c>
      <c r="U10" s="395">
        <f>'Proy 2022 vs 2019 sem'!FU10</f>
        <v>303551.70479999995</v>
      </c>
      <c r="V10" s="395">
        <f>'Proy 2022 vs 2019 sem'!GS10</f>
        <v>351313.83460000006</v>
      </c>
      <c r="W10" s="395">
        <f>'Proy 2022 vs 2019 sem'!HV10</f>
        <v>346427.60750000004</v>
      </c>
      <c r="X10" s="395">
        <f>'Proy 2022 vs 2019 sem'!IT10</f>
        <v>328699.37450000003</v>
      </c>
      <c r="Y10" s="395">
        <f>'Proy 2022 vs 2019 sem'!JR10</f>
        <v>391845.11100000003</v>
      </c>
      <c r="Z10" s="395">
        <f>'Proy 2022 vs 2019 sem'!KU10</f>
        <v>800985.54839999997</v>
      </c>
      <c r="AB10" s="1348">
        <f>SUM(C10:N10)</f>
        <v>3462239.2837</v>
      </c>
      <c r="AC10" s="1346">
        <f t="shared" si="0"/>
        <v>4178705.3877000003</v>
      </c>
    </row>
    <row r="11" spans="2:29">
      <c r="B11" s="978" t="s">
        <v>14</v>
      </c>
      <c r="C11" s="391">
        <f>'Proy 2021 vs 2019 Sem'!Y11</f>
        <v>259270.28999999998</v>
      </c>
      <c r="D11" s="391">
        <f>'Proy 2021 vs 2019 Sem'!AW11</f>
        <v>294144.26</v>
      </c>
      <c r="E11" s="520">
        <f>'Proy 2021 vs 2019 Sem'!BZ11</f>
        <v>361145.14999999997</v>
      </c>
      <c r="F11" s="391">
        <f>'Proy 2021 vs 2019 Sem'!CX11</f>
        <v>302040.69</v>
      </c>
      <c r="G11" s="815">
        <f>'Proy 2021 vs 2019 Sem'!DV11</f>
        <v>390955.33</v>
      </c>
      <c r="H11" s="816">
        <f>'Proy 2021 vs 2019 Sem'!EY11</f>
        <v>462294.33000000007</v>
      </c>
      <c r="I11" s="391">
        <f>'Proy 2021 vs 2019 Sem'!FW11</f>
        <v>405027.64</v>
      </c>
      <c r="J11" s="391">
        <f>'Proy 2021 vs 2019 Sem'!GS11</f>
        <v>346816.83660000004</v>
      </c>
      <c r="K11" s="392">
        <f>'Proy 2021 vs 2019 Sem'!HV11</f>
        <v>436863.43160000007</v>
      </c>
      <c r="L11" s="392">
        <f>'Proy 2021 vs 2019 Sem'!IT11</f>
        <v>349805.94770000002</v>
      </c>
      <c r="M11" s="392">
        <f>'Proy 2021 vs 2019 Sem'!JS11</f>
        <v>469483.37599999993</v>
      </c>
      <c r="N11" s="392">
        <f>'Proy 2021 vs 2019 Sem'!KV11</f>
        <v>1272886.8865999999</v>
      </c>
      <c r="O11" s="395">
        <f>'Proy 2022 vs 2019 sem'!W11</f>
        <v>308422.56630000001</v>
      </c>
      <c r="P11" s="395">
        <f>'Proy 2022 vs 2019 sem'!AU11</f>
        <v>345951.74060000002</v>
      </c>
      <c r="Q11" s="395">
        <f>'Proy 2022 vs 2019 sem'!BX11</f>
        <v>498772.40409999999</v>
      </c>
      <c r="R11" s="395">
        <f>'Proy 2022 vs 2019 sem'!CV11</f>
        <v>487764.63530000002</v>
      </c>
      <c r="S11" s="395">
        <f>'Proy 2022 vs 2019 sem'!DT11</f>
        <v>491862.24440000003</v>
      </c>
      <c r="T11" s="395">
        <f>'Proy 2022 vs 2019 sem'!EW11</f>
        <v>608308.29499999993</v>
      </c>
      <c r="U11" s="395">
        <f>'Proy 2022 vs 2019 sem'!FU11</f>
        <v>441869.614</v>
      </c>
      <c r="V11" s="395">
        <f>'Proy 2022 vs 2019 sem'!GS11</f>
        <v>425823.91309999995</v>
      </c>
      <c r="W11" s="395">
        <f>'Proy 2022 vs 2019 sem'!HV11</f>
        <v>551345.60990000004</v>
      </c>
      <c r="X11" s="395">
        <f>'Proy 2022 vs 2019 sem'!IT11</f>
        <v>536890.8395</v>
      </c>
      <c r="Y11" s="395">
        <f>'Proy 2022 vs 2019 sem'!JR11</f>
        <v>560303.6044999999</v>
      </c>
      <c r="Z11" s="395">
        <f>'Proy 2022 vs 2019 sem'!KU11</f>
        <v>1452105.7165999997</v>
      </c>
      <c r="AB11" s="1348">
        <f>SUM(C11:N11)</f>
        <v>5350734.1684999997</v>
      </c>
      <c r="AC11" s="1346">
        <f t="shared" si="0"/>
        <v>6058807.9782000007</v>
      </c>
    </row>
    <row r="12" spans="2:29">
      <c r="B12" s="978" t="s">
        <v>15</v>
      </c>
      <c r="C12" s="391">
        <f>'Proy 2021 vs 2019 Sem'!Y12</f>
        <v>209126.28</v>
      </c>
      <c r="D12" s="391">
        <f>'Proy 2021 vs 2019 Sem'!AW12</f>
        <v>249322.02</v>
      </c>
      <c r="E12" s="520">
        <f>'Proy 2021 vs 2019 Sem'!BZ12</f>
        <v>355035.52999999997</v>
      </c>
      <c r="F12" s="391">
        <f>'Proy 2021 vs 2019 Sem'!CX12</f>
        <v>258563.18</v>
      </c>
      <c r="G12" s="815">
        <f>'Proy 2021 vs 2019 Sem'!DV12</f>
        <v>334393.76</v>
      </c>
      <c r="H12" s="816">
        <f>'Proy 2021 vs 2019 Sem'!EY12</f>
        <v>446518.22</v>
      </c>
      <c r="I12" s="391">
        <f>'Proy 2021 vs 2019 Sem'!FW12</f>
        <v>380242.98</v>
      </c>
      <c r="J12" s="391">
        <f>'Proy 2021 vs 2019 Sem'!GS12</f>
        <v>358756.08010000002</v>
      </c>
      <c r="K12" s="392">
        <f>'Proy 2021 vs 2019 Sem'!HV12</f>
        <v>383789.73440000002</v>
      </c>
      <c r="L12" s="392">
        <f>'Proy 2021 vs 2019 Sem'!IT12</f>
        <v>368129.81760000001</v>
      </c>
      <c r="M12" s="392">
        <f>'Proy 2021 vs 2019 Sem'!JS12</f>
        <v>515006.77350000001</v>
      </c>
      <c r="N12" s="392">
        <f>'Proy 2021 vs 2019 Sem'!KV12</f>
        <v>1230905.3878000001</v>
      </c>
      <c r="O12" s="395">
        <f>'Proy 2022 vs 2019 sem'!W12</f>
        <v>125075.3757</v>
      </c>
      <c r="P12" s="395">
        <f>'Proy 2022 vs 2019 sem'!AU12</f>
        <v>140150.05060000002</v>
      </c>
      <c r="Q12" s="395">
        <f>'Proy 2022 vs 2019 sem'!BX12</f>
        <v>201253.11589999998</v>
      </c>
      <c r="R12" s="395">
        <f>'Proy 2022 vs 2019 sem'!CV12</f>
        <v>198339.70560000002</v>
      </c>
      <c r="S12" s="395">
        <f>'Proy 2022 vs 2019 sem'!DT12</f>
        <v>192066.39120000001</v>
      </c>
      <c r="T12" s="395">
        <f>'Proy 2022 vs 2019 sem'!EW12</f>
        <v>465714.89090000006</v>
      </c>
      <c r="U12" s="395">
        <f>'Proy 2022 vs 2019 sem'!FU12</f>
        <v>488358.67560000002</v>
      </c>
      <c r="V12" s="395">
        <f>'Proy 2022 vs 2019 sem'!GS12</f>
        <v>441713.34459999995</v>
      </c>
      <c r="W12" s="395">
        <f>'Proy 2022 vs 2019 sem'!HV12</f>
        <v>488309.27830000001</v>
      </c>
      <c r="X12" s="395">
        <f>'Proy 2022 vs 2019 sem'!IT12</f>
        <v>422895.55499999999</v>
      </c>
      <c r="Y12" s="395">
        <f>'Proy 2022 vs 2019 sem'!JR12</f>
        <v>531058.92980000004</v>
      </c>
      <c r="Z12" s="395">
        <f>'Proy 2022 vs 2019 sem'!KU12</f>
        <v>1163347.3414</v>
      </c>
      <c r="AB12" s="1348">
        <f>SUM(C12:N12)</f>
        <v>5089789.7633999996</v>
      </c>
      <c r="AC12" s="1346">
        <f t="shared" si="0"/>
        <v>4667545.9989000009</v>
      </c>
    </row>
    <row r="13" spans="2:29">
      <c r="B13" s="978" t="s">
        <v>16</v>
      </c>
      <c r="C13" s="391">
        <f>'Proy 2021 vs 2019 Sem'!Y13</f>
        <v>184284.71999999997</v>
      </c>
      <c r="D13" s="391">
        <f>'Proy 2021 vs 2019 Sem'!AW13</f>
        <v>225702.04</v>
      </c>
      <c r="E13" s="520">
        <f>'Proy 2021 vs 2019 Sem'!BZ13</f>
        <v>260205.18</v>
      </c>
      <c r="F13" s="391">
        <f>'Proy 2021 vs 2019 Sem'!CX13</f>
        <v>272303.52</v>
      </c>
      <c r="G13" s="815">
        <f>'Proy 2021 vs 2019 Sem'!DV13</f>
        <v>319685.66000000003</v>
      </c>
      <c r="H13" s="816">
        <f>'Proy 2021 vs 2019 Sem'!EY13</f>
        <v>396814.45999999996</v>
      </c>
      <c r="I13" s="391">
        <f>'Proy 2021 vs 2019 Sem'!FW13</f>
        <v>294760.96999999997</v>
      </c>
      <c r="J13" s="391">
        <f>'Proy 2021 vs 2019 Sem'!GS13</f>
        <v>217866.90489999999</v>
      </c>
      <c r="K13" s="392">
        <f>'Proy 2021 vs 2019 Sem'!HV13</f>
        <v>299066.92210000003</v>
      </c>
      <c r="L13" s="392">
        <f>'Proy 2021 vs 2019 Sem'!IT13</f>
        <v>276074.11479999998</v>
      </c>
      <c r="M13" s="392">
        <f>'Proy 2021 vs 2019 Sem'!JS13</f>
        <v>319338.73</v>
      </c>
      <c r="N13" s="392">
        <f>'Proy 2021 vs 2019 Sem'!KV13</f>
        <v>942576.49439999997</v>
      </c>
      <c r="O13" s="395">
        <f>'Proy 2022 vs 2019 sem'!W13</f>
        <v>226781.7188</v>
      </c>
      <c r="P13" s="395">
        <f>'Proy 2022 vs 2019 sem'!AU13</f>
        <v>240500.16569999998</v>
      </c>
      <c r="Q13" s="395">
        <f>'Proy 2022 vs 2019 sem'!BX13</f>
        <v>340614.14370000002</v>
      </c>
      <c r="R13" s="395">
        <f>'Proy 2022 vs 2019 sem'!CV13</f>
        <v>329293.84720000002</v>
      </c>
      <c r="S13" s="395">
        <f>'Proy 2022 vs 2019 sem'!DT13</f>
        <v>353333.94440000004</v>
      </c>
      <c r="T13" s="395">
        <f>'Proy 2022 vs 2019 sem'!EW13</f>
        <v>434448.50750000001</v>
      </c>
      <c r="U13" s="395">
        <f>'Proy 2022 vs 2019 sem'!FU13</f>
        <v>296325.12040000001</v>
      </c>
      <c r="V13" s="395">
        <f>'Proy 2022 vs 2019 sem'!GS13</f>
        <v>268555.12030000001</v>
      </c>
      <c r="W13" s="395">
        <f>'Proy 2022 vs 2019 sem'!HV13</f>
        <v>379566.87320000003</v>
      </c>
      <c r="X13" s="395">
        <f>'Proy 2022 vs 2019 sem'!IT13</f>
        <v>376990.08369999996</v>
      </c>
      <c r="Y13" s="395">
        <f>'Proy 2022 vs 2019 sem'!JR13</f>
        <v>352436.44529999996</v>
      </c>
      <c r="Z13" s="395">
        <f>'Proy 2022 vs 2019 sem'!KU13</f>
        <v>776436.43810000003</v>
      </c>
      <c r="AB13" s="1348">
        <f>SUM(C13:N13)</f>
        <v>4008679.7162000006</v>
      </c>
      <c r="AC13" s="1346">
        <f t="shared" si="0"/>
        <v>4276220.6139000002</v>
      </c>
    </row>
    <row r="14" spans="2:29">
      <c r="B14" s="978" t="s">
        <v>17</v>
      </c>
      <c r="C14" s="391">
        <f>'Proy 2021 vs 2019 Sem'!Y14</f>
        <v>389065.28</v>
      </c>
      <c r="D14" s="391">
        <f>'Proy 2021 vs 2019 Sem'!AW14</f>
        <v>388792.70999999996</v>
      </c>
      <c r="E14" s="520">
        <f>'Proy 2021 vs 2019 Sem'!BZ14</f>
        <v>500975.66</v>
      </c>
      <c r="F14" s="391">
        <f>'Proy 2021 vs 2019 Sem'!CX14</f>
        <v>485835.76</v>
      </c>
      <c r="G14" s="815">
        <f>'Proy 2021 vs 2019 Sem'!DV14</f>
        <v>639921.39</v>
      </c>
      <c r="H14" s="816">
        <f>'Proy 2021 vs 2019 Sem'!EY14</f>
        <v>665345.5</v>
      </c>
      <c r="I14" s="391">
        <f>'Proy 2021 vs 2019 Sem'!FW14</f>
        <v>566319.97</v>
      </c>
      <c r="J14" s="391">
        <f>'Proy 2021 vs 2019 Sem'!GS14</f>
        <v>543874.55700000003</v>
      </c>
      <c r="K14" s="392">
        <f>'Proy 2021 vs 2019 Sem'!HV14</f>
        <v>598796.66090000002</v>
      </c>
      <c r="L14" s="392">
        <f>'Proy 2021 vs 2019 Sem'!IT14</f>
        <v>564954.35380000004</v>
      </c>
      <c r="M14" s="392">
        <f>'Proy 2021 vs 2019 Sem'!JS14</f>
        <v>792433.91299999994</v>
      </c>
      <c r="N14" s="392">
        <f>'Proy 2021 vs 2019 Sem'!KV14</f>
        <v>2364560.4074999997</v>
      </c>
      <c r="O14" s="395">
        <f>'Proy 2022 vs 2019 sem'!W14</f>
        <v>376617.10499999998</v>
      </c>
      <c r="P14" s="395">
        <f>'Proy 2022 vs 2019 sem'!AU14</f>
        <v>482795.68530000001</v>
      </c>
      <c r="Q14" s="395">
        <f>'Proy 2022 vs 2019 sem'!BX14</f>
        <v>633122.17760000005</v>
      </c>
      <c r="R14" s="395">
        <f>'Proy 2022 vs 2019 sem'!CV14</f>
        <v>659683.70519999997</v>
      </c>
      <c r="S14" s="395">
        <f>'Proy 2022 vs 2019 sem'!DT14</f>
        <v>679430.51450000005</v>
      </c>
      <c r="T14" s="395">
        <f>'Proy 2022 vs 2019 sem'!EW14</f>
        <v>856297.30459999992</v>
      </c>
      <c r="U14" s="395">
        <f>'Proy 2022 vs 2019 sem'!FU14</f>
        <v>646276.80980000005</v>
      </c>
      <c r="V14" s="395">
        <f>'Proy 2022 vs 2019 sem'!GS14</f>
        <v>632398.26929999993</v>
      </c>
      <c r="W14" s="395">
        <f>'Proy 2022 vs 2019 sem'!HV14</f>
        <v>716418.34</v>
      </c>
      <c r="X14" s="395">
        <f>'Proy 2022 vs 2019 sem'!IT14</f>
        <v>652440.36620000005</v>
      </c>
      <c r="Y14" s="395">
        <f>'Proy 2022 vs 2019 sem'!JR14</f>
        <v>816739.59479999996</v>
      </c>
      <c r="Z14" s="395">
        <f>'Proy 2022 vs 2019 sem'!KU14</f>
        <v>2223426.1885000002</v>
      </c>
      <c r="AB14" s="1348">
        <f>SUM(C14:N14)</f>
        <v>8500876.1622000001</v>
      </c>
      <c r="AC14" s="1346">
        <f t="shared" si="0"/>
        <v>9198843.1941999998</v>
      </c>
    </row>
    <row r="15" spans="2:29">
      <c r="B15" s="978" t="s">
        <v>18</v>
      </c>
      <c r="C15" s="391">
        <f>'Proy 2021 vs 2019 Sem'!Y15</f>
        <v>260480.87</v>
      </c>
      <c r="D15" s="391">
        <f>'Proy 2021 vs 2019 Sem'!AW15</f>
        <v>261322.05000000002</v>
      </c>
      <c r="E15" s="520">
        <f>'Proy 2021 vs 2019 Sem'!BZ15</f>
        <v>330718.76</v>
      </c>
      <c r="F15" s="391">
        <f>'Proy 2021 vs 2019 Sem'!CX15</f>
        <v>295620.5</v>
      </c>
      <c r="G15" s="815">
        <f>'Proy 2021 vs 2019 Sem'!DV15</f>
        <v>324806.45000000007</v>
      </c>
      <c r="H15" s="816">
        <f>'Proy 2021 vs 2019 Sem'!EY15</f>
        <v>430394.98000000004</v>
      </c>
      <c r="I15" s="391">
        <f>'Proy 2021 vs 2019 Sem'!FW15</f>
        <v>367296.06999999995</v>
      </c>
      <c r="J15" s="391">
        <f>'Proy 2021 vs 2019 Sem'!GS15</f>
        <v>328706.185</v>
      </c>
      <c r="K15" s="392">
        <f>'Proy 2021 vs 2019 Sem'!HV15</f>
        <v>359669.09699999995</v>
      </c>
      <c r="L15" s="392">
        <f>'Proy 2021 vs 2019 Sem'!IT15</f>
        <v>373272.05</v>
      </c>
      <c r="M15" s="392">
        <f>'Proy 2021 vs 2019 Sem'!JS15</f>
        <v>446389.26770000003</v>
      </c>
      <c r="N15" s="392">
        <f>'Proy 2021 vs 2019 Sem'!KV15</f>
        <v>1244368.3011</v>
      </c>
      <c r="O15" s="395">
        <f>'Proy 2022 vs 2019 sem'!W15</f>
        <v>320542.91619999998</v>
      </c>
      <c r="P15" s="395">
        <f>'Proy 2022 vs 2019 sem'!AU15</f>
        <v>357838.46600000001</v>
      </c>
      <c r="Q15" s="395">
        <f>'Proy 2022 vs 2019 sem'!BX15</f>
        <v>470534.6483</v>
      </c>
      <c r="R15" s="395">
        <f>'Proy 2022 vs 2019 sem'!CV15</f>
        <v>446879.75410000002</v>
      </c>
      <c r="S15" s="395">
        <f>'Proy 2022 vs 2019 sem'!DT15</f>
        <v>438335.1727</v>
      </c>
      <c r="T15" s="395">
        <f>'Proy 2022 vs 2019 sem'!EW15</f>
        <v>523735.07629999996</v>
      </c>
      <c r="U15" s="395">
        <f>'Proy 2022 vs 2019 sem'!FU15</f>
        <v>399721.60440000001</v>
      </c>
      <c r="V15" s="395">
        <f>'Proy 2022 vs 2019 sem'!GS15</f>
        <v>404253.78599999996</v>
      </c>
      <c r="W15" s="395">
        <f>'Proy 2022 vs 2019 sem'!HV15</f>
        <v>455030.02009999997</v>
      </c>
      <c r="X15" s="395">
        <f>'Proy 2022 vs 2019 sem'!IT15</f>
        <v>435158.89239999995</v>
      </c>
      <c r="Y15" s="395">
        <f>'Proy 2022 vs 2019 sem'!JR15</f>
        <v>491157.78649999999</v>
      </c>
      <c r="Z15" s="395">
        <f>'Proy 2022 vs 2019 sem'!KU15</f>
        <v>1308754.5511</v>
      </c>
      <c r="AB15" s="1348">
        <f>SUM(C15:N15)</f>
        <v>5023044.5808000006</v>
      </c>
      <c r="AC15" s="1346">
        <f t="shared" si="0"/>
        <v>5709992.5387999993</v>
      </c>
    </row>
    <row r="16" spans="2:29">
      <c r="B16" s="978" t="s">
        <v>19</v>
      </c>
      <c r="C16" s="391">
        <f>'Proy 2021 vs 2019 Sem'!Y16</f>
        <v>233039.81</v>
      </c>
      <c r="D16" s="391">
        <f>'Proy 2021 vs 2019 Sem'!AW16</f>
        <v>373532.25999999995</v>
      </c>
      <c r="E16" s="520">
        <f>'Proy 2021 vs 2019 Sem'!BZ16</f>
        <v>420798.33999999997</v>
      </c>
      <c r="F16" s="391">
        <f>'Proy 2021 vs 2019 Sem'!CX16</f>
        <v>305218.04000000004</v>
      </c>
      <c r="G16" s="815">
        <f>'Proy 2021 vs 2019 Sem'!DV16</f>
        <v>421906.45999999996</v>
      </c>
      <c r="H16" s="816">
        <f>'Proy 2021 vs 2019 Sem'!EY16</f>
        <v>556486.71</v>
      </c>
      <c r="I16" s="391">
        <f>'Proy 2021 vs 2019 Sem'!FW16</f>
        <v>420671.22000000003</v>
      </c>
      <c r="J16" s="391">
        <f>'Proy 2021 vs 2019 Sem'!GS16</f>
        <v>435099.64559999999</v>
      </c>
      <c r="K16" s="392">
        <f>'Proy 2021 vs 2019 Sem'!HV16</f>
        <v>479037.32871999999</v>
      </c>
      <c r="L16" s="392">
        <f>'Proy 2021 vs 2019 Sem'!IT16</f>
        <v>296127.18180000002</v>
      </c>
      <c r="M16" s="392">
        <f>'Proy 2021 vs 2019 Sem'!JS16</f>
        <v>617975.79799999995</v>
      </c>
      <c r="N16" s="392">
        <f>'Proy 2021 vs 2019 Sem'!KV16</f>
        <v>1603411.2515</v>
      </c>
      <c r="O16" s="395">
        <f>'Proy 2022 vs 2019 sem'!W16</f>
        <v>301293.68400000001</v>
      </c>
      <c r="P16" s="395">
        <f>'Proy 2022 vs 2019 sem'!AU16</f>
        <v>386236.54824000003</v>
      </c>
      <c r="Q16" s="395">
        <f>'Proy 2022 vs 2019 sem'!BX16</f>
        <v>506497.74208000011</v>
      </c>
      <c r="R16" s="395">
        <f>'Proy 2022 vs 2019 sem'!CV16</f>
        <v>527746.96415999997</v>
      </c>
      <c r="S16" s="395">
        <f>'Proy 2022 vs 2019 sem'!DT16</f>
        <v>543544.41159999999</v>
      </c>
      <c r="T16" s="395">
        <f>'Proy 2022 vs 2019 sem'!EW16</f>
        <v>685037.84368000005</v>
      </c>
      <c r="U16" s="395">
        <f>'Proy 2022 vs 2019 sem'!FU16</f>
        <v>517021.44784000004</v>
      </c>
      <c r="V16" s="395">
        <f>'Proy 2022 vs 2019 sem'!GS16</f>
        <v>505918.61544000002</v>
      </c>
      <c r="W16" s="395">
        <f>'Proy 2022 vs 2019 sem'!HV16</f>
        <v>573134.67200000002</v>
      </c>
      <c r="X16" s="395">
        <f>'Proy 2022 vs 2019 sem'!IT16</f>
        <v>521952.29296000005</v>
      </c>
      <c r="Y16" s="395">
        <f>'Proy 2022 vs 2019 sem'!JR16</f>
        <v>653391.67584000004</v>
      </c>
      <c r="Z16" s="395">
        <f>'Proy 2022 vs 2019 sem'!KU16</f>
        <v>1778740.9507999998</v>
      </c>
      <c r="AB16" s="1348">
        <f>SUM(C16:N16)</f>
        <v>6163304.0456200009</v>
      </c>
      <c r="AC16" s="1346">
        <f t="shared" si="0"/>
        <v>6899029.8472199999</v>
      </c>
    </row>
    <row r="17" spans="1:29">
      <c r="B17" s="978" t="s">
        <v>20</v>
      </c>
      <c r="C17" s="391">
        <f>'Proy 2021 vs 2019 Sem'!Y17</f>
        <v>190711.38</v>
      </c>
      <c r="D17" s="391">
        <f>'Proy 2021 vs 2019 Sem'!AW17</f>
        <v>195013.33999999997</v>
      </c>
      <c r="E17" s="520">
        <f>'Proy 2021 vs 2019 Sem'!BZ17</f>
        <v>267419.33</v>
      </c>
      <c r="F17" s="391">
        <f>'Proy 2021 vs 2019 Sem'!CX17</f>
        <v>219088.19</v>
      </c>
      <c r="G17" s="815">
        <f>'Proy 2021 vs 2019 Sem'!DV17</f>
        <v>270231.99</v>
      </c>
      <c r="H17" s="816">
        <f>'Proy 2021 vs 2019 Sem'!EY17</f>
        <v>345284.15</v>
      </c>
      <c r="I17" s="391">
        <f>'Proy 2021 vs 2019 Sem'!FW17</f>
        <v>257328.58999999997</v>
      </c>
      <c r="J17" s="391">
        <f>'Proy 2021 vs 2019 Sem'!GS17</f>
        <v>199987.85029999999</v>
      </c>
      <c r="K17" s="392">
        <f>'Proy 2021 vs 2019 Sem'!HV17</f>
        <v>299398.33045000001</v>
      </c>
      <c r="L17" s="392">
        <f>'Proy 2021 vs 2019 Sem'!IT17</f>
        <v>282477.17690000002</v>
      </c>
      <c r="M17" s="392">
        <f>'Proy 2021 vs 2019 Sem'!JS17</f>
        <v>448804.37100000004</v>
      </c>
      <c r="N17" s="392">
        <f>'Proy 2021 vs 2019 Sem'!KV17</f>
        <v>983636.4188000001</v>
      </c>
      <c r="O17" s="395">
        <f>'Proy 2022 vs 2019 sem'!W17</f>
        <v>168904.72510000001</v>
      </c>
      <c r="P17" s="395">
        <f>'Proy 2022 vs 2019 sem'!AU17</f>
        <v>188414.49900000001</v>
      </c>
      <c r="Q17" s="395">
        <f>'Proy 2022 vs 2019 sem'!BX17</f>
        <v>241703.09590000001</v>
      </c>
      <c r="R17" s="395">
        <f>'Proy 2022 vs 2019 sem'!CV17</f>
        <v>236857.639</v>
      </c>
      <c r="S17" s="395">
        <f>'Proy 2022 vs 2019 sem'!DT17</f>
        <v>234337.49840000001</v>
      </c>
      <c r="T17" s="395">
        <f>'Proy 2022 vs 2019 sem'!EW17</f>
        <v>295625.37560000003</v>
      </c>
      <c r="U17" s="395">
        <f>'Proy 2022 vs 2019 sem'!FU17</f>
        <v>205277.83799999999</v>
      </c>
      <c r="V17" s="395">
        <f>'Proy 2022 vs 2019 sem'!GS17</f>
        <v>216491.67989999999</v>
      </c>
      <c r="W17" s="395">
        <f>'Proy 2022 vs 2019 sem'!HV17</f>
        <v>223678.51699999999</v>
      </c>
      <c r="X17" s="395">
        <f>'Proy 2022 vs 2019 sem'!IT17</f>
        <v>265573.30849999998</v>
      </c>
      <c r="Y17" s="395">
        <f>'Proy 2022 vs 2019 sem'!JR17</f>
        <v>447381.03609999997</v>
      </c>
      <c r="Z17" s="395">
        <f>'Proy 2022 vs 2019 sem'!KU17</f>
        <v>1198612.1147</v>
      </c>
      <c r="AB17" s="1348">
        <f>SUM(C17:N17)</f>
        <v>3959381.1174499998</v>
      </c>
      <c r="AC17" s="1346">
        <f t="shared" si="0"/>
        <v>3785424.8184499997</v>
      </c>
    </row>
    <row r="18" spans="1:29">
      <c r="B18" s="978" t="s">
        <v>21</v>
      </c>
      <c r="C18" s="391">
        <f>'Proy 2021 vs 2019 Sem'!Y18</f>
        <v>148987.82</v>
      </c>
      <c r="D18" s="391">
        <f>'Proy 2021 vs 2019 Sem'!AW18</f>
        <v>164921.52000000002</v>
      </c>
      <c r="E18" s="520">
        <f>'Proy 2021 vs 2019 Sem'!BZ18</f>
        <v>258016.47999999998</v>
      </c>
      <c r="F18" s="391">
        <f>'Proy 2021 vs 2019 Sem'!CX18</f>
        <v>250734.11</v>
      </c>
      <c r="G18" s="815">
        <f>'Proy 2021 vs 2019 Sem'!DV18</f>
        <v>302197.90999999997</v>
      </c>
      <c r="H18" s="816">
        <f>'Proy 2021 vs 2019 Sem'!EY18</f>
        <v>384799.76999999996</v>
      </c>
      <c r="I18" s="391">
        <f>'Proy 2021 vs 2019 Sem'!FW18</f>
        <v>303537.87</v>
      </c>
      <c r="J18" s="391">
        <f>'Proy 2021 vs 2019 Sem'!GS18</f>
        <v>232343.08849999998</v>
      </c>
      <c r="K18" s="392">
        <f>'Proy 2021 vs 2019 Sem'!HV18</f>
        <v>284415.66589999996</v>
      </c>
      <c r="L18" s="392">
        <f>'Proy 2021 vs 2019 Sem'!IT18</f>
        <v>247923.84570000001</v>
      </c>
      <c r="M18" s="392">
        <f>'Proy 2021 vs 2019 Sem'!JS18</f>
        <v>332753.511</v>
      </c>
      <c r="N18" s="392">
        <f>'Proy 2021 vs 2019 Sem'!KV18</f>
        <v>741890.07249999989</v>
      </c>
      <c r="O18" s="395">
        <f>'Proy 2022 vs 2019 sem'!W18</f>
        <v>220574.6808</v>
      </c>
      <c r="P18" s="395">
        <f>'Proy 2022 vs 2019 sem'!AU18</f>
        <v>234874.30200000003</v>
      </c>
      <c r="Q18" s="395">
        <f>'Proy 2022 vs 2019 sem'!BX18</f>
        <v>370392.10889999999</v>
      </c>
      <c r="R18" s="395">
        <f>'Proy 2022 vs 2019 sem'!CV18</f>
        <v>365184.09529999999</v>
      </c>
      <c r="S18" s="395">
        <f>'Proy 2022 vs 2019 sem'!DT18</f>
        <v>388106.9903</v>
      </c>
      <c r="T18" s="395">
        <f>'Proy 2022 vs 2019 sem'!EW18</f>
        <v>447894.49960000004</v>
      </c>
      <c r="U18" s="395">
        <f>'Proy 2022 vs 2019 sem'!FU18</f>
        <v>322446.22280000005</v>
      </c>
      <c r="V18" s="395">
        <f>'Proy 2022 vs 2019 sem'!GS18</f>
        <v>285882.78940000001</v>
      </c>
      <c r="W18" s="395">
        <f>'Proy 2022 vs 2019 sem'!HV18</f>
        <v>360366.45899999997</v>
      </c>
      <c r="X18" s="395">
        <f>'Proy 2022 vs 2019 sem'!IT18</f>
        <v>307967.81969999999</v>
      </c>
      <c r="Y18" s="395">
        <f>'Proy 2022 vs 2019 sem'!JR18</f>
        <v>398358.82250000001</v>
      </c>
      <c r="Z18" s="395">
        <f>'Proy 2022 vs 2019 sem'!KU18</f>
        <v>807396.08519999997</v>
      </c>
      <c r="AB18" s="1348">
        <f>SUM(C18:N18)</f>
        <v>3652521.6635999996</v>
      </c>
      <c r="AC18" s="1346">
        <f t="shared" si="0"/>
        <v>4188799.0833000001</v>
      </c>
    </row>
    <row r="19" spans="1:29">
      <c r="B19" s="978" t="s">
        <v>22</v>
      </c>
      <c r="C19" s="391">
        <f>'Proy 2021 vs 2019 Sem'!Y19</f>
        <v>256360.74</v>
      </c>
      <c r="D19" s="391">
        <f>'Proy 2021 vs 2019 Sem'!AW19</f>
        <v>253892.98000000004</v>
      </c>
      <c r="E19" s="520">
        <f>'Proy 2021 vs 2019 Sem'!BZ19</f>
        <v>383881.4</v>
      </c>
      <c r="F19" s="391">
        <f>'Proy 2021 vs 2019 Sem'!CX19</f>
        <v>345823.79000000004</v>
      </c>
      <c r="G19" s="815">
        <f>'Proy 2021 vs 2019 Sem'!DV19</f>
        <v>375837.06</v>
      </c>
      <c r="H19" s="816">
        <f>'Proy 2021 vs 2019 Sem'!EY19</f>
        <v>395002.61000000004</v>
      </c>
      <c r="I19" s="391">
        <f>'Proy 2021 vs 2019 Sem'!FW19</f>
        <v>329730.95</v>
      </c>
      <c r="J19" s="391">
        <f>'Proy 2021 vs 2019 Sem'!GS19</f>
        <v>284637.85639999999</v>
      </c>
      <c r="K19" s="392">
        <f>'Proy 2021 vs 2019 Sem'!HV19</f>
        <v>349327.9057</v>
      </c>
      <c r="L19" s="392">
        <f>'Proy 2021 vs 2019 Sem'!IT19</f>
        <v>362778.02029999997</v>
      </c>
      <c r="M19" s="392">
        <f>'Proy 2021 vs 2019 Sem'!JS19</f>
        <v>469906.11389999994</v>
      </c>
      <c r="N19" s="392">
        <f>'Proy 2021 vs 2019 Sem'!KV19</f>
        <v>1042575.1996999999</v>
      </c>
      <c r="O19" s="395">
        <f>'Proy 2022 vs 2019 sem'!W19</f>
        <v>224718.83230000001</v>
      </c>
      <c r="P19" s="395">
        <f>'Proy 2022 vs 2019 sem'!AU19</f>
        <v>320466.6483</v>
      </c>
      <c r="Q19" s="395">
        <f>'Proy 2022 vs 2019 sem'!BX19</f>
        <v>444865.60700000008</v>
      </c>
      <c r="R19" s="395">
        <f>'Proy 2022 vs 2019 sem'!CV19</f>
        <v>440519.65500000003</v>
      </c>
      <c r="S19" s="395">
        <f>'Proy 2022 vs 2019 sem'!DT19</f>
        <v>428421.51610000001</v>
      </c>
      <c r="T19" s="395">
        <f>'Proy 2022 vs 2019 sem'!EW19</f>
        <v>465408.22810000007</v>
      </c>
      <c r="U19" s="395">
        <f>'Proy 2022 vs 2019 sem'!FU19</f>
        <v>341842.56839999999</v>
      </c>
      <c r="V19" s="395">
        <f>'Proy 2022 vs 2019 sem'!GS19</f>
        <v>351940.74490000005</v>
      </c>
      <c r="W19" s="395">
        <f>'Proy 2022 vs 2019 sem'!HV19</f>
        <v>444920.50580000004</v>
      </c>
      <c r="X19" s="395">
        <f>'Proy 2022 vs 2019 sem'!IT19</f>
        <v>429017.98010000004</v>
      </c>
      <c r="Y19" s="395">
        <f>'Proy 2022 vs 2019 sem'!JR19</f>
        <v>524122.46169999993</v>
      </c>
      <c r="Z19" s="395">
        <f>'Proy 2022 vs 2019 sem'!KU19</f>
        <v>1154249.3158</v>
      </c>
      <c r="AB19" s="1348">
        <f>SUM(C19:N19)</f>
        <v>4849754.6260000002</v>
      </c>
      <c r="AC19" s="1346">
        <f t="shared" si="0"/>
        <v>5175468.1512000002</v>
      </c>
    </row>
    <row r="20" spans="1:29">
      <c r="B20" s="978" t="s">
        <v>23</v>
      </c>
      <c r="C20" s="391">
        <f>'Proy 2021 vs 2019 Sem'!Y20</f>
        <v>163144.31</v>
      </c>
      <c r="D20" s="391">
        <f>'Proy 2021 vs 2019 Sem'!AW20</f>
        <v>204442.91</v>
      </c>
      <c r="E20" s="520">
        <f>'Proy 2021 vs 2019 Sem'!BZ20</f>
        <v>263272.92</v>
      </c>
      <c r="F20" s="391">
        <f>'Proy 2021 vs 2019 Sem'!CX20</f>
        <v>235322.7</v>
      </c>
      <c r="G20" s="815">
        <f>'Proy 2021 vs 2019 Sem'!DV20</f>
        <v>280062.94</v>
      </c>
      <c r="H20" s="816">
        <f>'Proy 2021 vs 2019 Sem'!EY20</f>
        <v>343296.45</v>
      </c>
      <c r="I20" s="391">
        <f>'Proy 2021 vs 2019 Sem'!FW20</f>
        <v>283171.44</v>
      </c>
      <c r="J20" s="391">
        <f>'Proy 2021 vs 2019 Sem'!GS20</f>
        <v>283173.38470000005</v>
      </c>
      <c r="K20" s="392">
        <f>'Proy 2021 vs 2019 Sem'!HV20</f>
        <v>327697.3345</v>
      </c>
      <c r="L20" s="392">
        <f>'Proy 2021 vs 2019 Sem'!IT20</f>
        <v>293537.68890000001</v>
      </c>
      <c r="M20" s="392">
        <f>'Proy 2021 vs 2019 Sem'!JS20</f>
        <v>391607.84539999999</v>
      </c>
      <c r="N20" s="392">
        <f>'Proy 2021 vs 2019 Sem'!KV20</f>
        <v>841845.78839999996</v>
      </c>
      <c r="O20" s="395">
        <f>'Proy 2022 vs 2019 sem'!W20</f>
        <v>221321.86249999999</v>
      </c>
      <c r="P20" s="395">
        <f>'Proy 2022 vs 2019 sem'!AU20</f>
        <v>264902.45120000001</v>
      </c>
      <c r="Q20" s="395">
        <f>'Proy 2022 vs 2019 sem'!BX20</f>
        <v>385929.72320000001</v>
      </c>
      <c r="R20" s="395">
        <f>'Proy 2022 vs 2019 sem'!CV20</f>
        <v>365232.7009</v>
      </c>
      <c r="S20" s="395">
        <f>'Proy 2022 vs 2019 sem'!DT20</f>
        <v>363047.32259999996</v>
      </c>
      <c r="T20" s="395">
        <f>'Proy 2022 vs 2019 sem'!EW20</f>
        <v>463487.71600000001</v>
      </c>
      <c r="U20" s="395">
        <f>'Proy 2022 vs 2019 sem'!FU20</f>
        <v>357306.57039999997</v>
      </c>
      <c r="V20" s="395">
        <f>'Proy 2022 vs 2019 sem'!GS20</f>
        <v>348711.52439999999</v>
      </c>
      <c r="W20" s="395">
        <f>'Proy 2022 vs 2019 sem'!HV20</f>
        <v>417841.37490000005</v>
      </c>
      <c r="X20" s="395">
        <f>'Proy 2022 vs 2019 sem'!IT20</f>
        <v>379089.2488</v>
      </c>
      <c r="Y20" s="395">
        <f>'Proy 2022 vs 2019 sem'!JR20</f>
        <v>456966.29629999999</v>
      </c>
      <c r="Z20" s="395">
        <f>'Proy 2022 vs 2019 sem'!KU20</f>
        <v>884012.21050000004</v>
      </c>
      <c r="AB20" s="1348">
        <f>SUM(C20:N20)</f>
        <v>3910575.7118999995</v>
      </c>
      <c r="AC20" s="1346">
        <f t="shared" si="0"/>
        <v>4559090.3886999991</v>
      </c>
    </row>
    <row r="21" spans="1:29">
      <c r="B21" s="978" t="s">
        <v>24</v>
      </c>
      <c r="C21" s="391">
        <f>'Proy 2021 vs 2019 Sem'!Y21</f>
        <v>260384.97999999998</v>
      </c>
      <c r="D21" s="391">
        <f>'Proy 2021 vs 2019 Sem'!AW21</f>
        <v>281613.51</v>
      </c>
      <c r="E21" s="520">
        <f>'Proy 2021 vs 2019 Sem'!BZ21</f>
        <v>364103.24</v>
      </c>
      <c r="F21" s="391">
        <f>'Proy 2021 vs 2019 Sem'!CX21</f>
        <v>293297.23</v>
      </c>
      <c r="G21" s="815">
        <f>'Proy 2021 vs 2019 Sem'!DV21</f>
        <v>352398.53</v>
      </c>
      <c r="H21" s="816">
        <f>'Proy 2021 vs 2019 Sem'!EY21</f>
        <v>488487.82999999996</v>
      </c>
      <c r="I21" s="391">
        <f>'Proy 2021 vs 2019 Sem'!FW21</f>
        <v>321844.15000000002</v>
      </c>
      <c r="J21" s="391">
        <f>'Proy 2021 vs 2019 Sem'!GS21</f>
        <v>346150.72480000003</v>
      </c>
      <c r="K21" s="392">
        <f>'Proy 2021 vs 2019 Sem'!HV21</f>
        <v>417457.04209999996</v>
      </c>
      <c r="L21" s="392">
        <f>'Proy 2021 vs 2019 Sem'!IT21</f>
        <v>339343.26959999994</v>
      </c>
      <c r="M21" s="392">
        <f>'Proy 2021 vs 2019 Sem'!JS21</f>
        <v>435235.77999999997</v>
      </c>
      <c r="N21" s="392">
        <f>'Proy 2021 vs 2019 Sem'!KV21</f>
        <v>1077836.7143999999</v>
      </c>
      <c r="O21" s="395">
        <f>'Proy 2022 vs 2019 sem'!W21</f>
        <v>304071.65950000001</v>
      </c>
      <c r="P21" s="395">
        <f>'Proy 2022 vs 2019 sem'!AU21</f>
        <v>409537.93069999997</v>
      </c>
      <c r="Q21" s="395">
        <f>'Proy 2022 vs 2019 sem'!BX21</f>
        <v>564236.98860000004</v>
      </c>
      <c r="R21" s="395">
        <f>'Proy 2022 vs 2019 sem'!CV21</f>
        <v>489911.36970000004</v>
      </c>
      <c r="S21" s="395">
        <f>'Proy 2022 vs 2019 sem'!DT21</f>
        <v>481199.11239999998</v>
      </c>
      <c r="T21" s="395">
        <f>'Proy 2022 vs 2019 sem'!EW21</f>
        <v>637094.41139999998</v>
      </c>
      <c r="U21" s="395">
        <f>'Proy 2022 vs 2019 sem'!FU21</f>
        <v>444791.43400000001</v>
      </c>
      <c r="V21" s="395">
        <f>'Proy 2022 vs 2019 sem'!GS21</f>
        <v>427013.43580000004</v>
      </c>
      <c r="W21" s="395">
        <f>'Proy 2022 vs 2019 sem'!HV21</f>
        <v>531848.98279999988</v>
      </c>
      <c r="X21" s="395">
        <f>'Proy 2022 vs 2019 sem'!IT21</f>
        <v>469410.82940000005</v>
      </c>
      <c r="Y21" s="395">
        <f>'Proy 2022 vs 2019 sem'!JR21</f>
        <v>531684.16509999998</v>
      </c>
      <c r="Z21" s="395">
        <f>'Proy 2022 vs 2019 sem'!KU21</f>
        <v>1085175.7699</v>
      </c>
      <c r="AB21" s="1348">
        <f>SUM(C21:N21)</f>
        <v>4978153.0008999994</v>
      </c>
      <c r="AC21" s="1346">
        <f t="shared" si="0"/>
        <v>5946866.4371999996</v>
      </c>
    </row>
    <row r="22" spans="1:29">
      <c r="B22" s="978" t="s">
        <v>25</v>
      </c>
      <c r="C22" s="391">
        <f>'Proy 2021 vs 2019 Sem'!Y22</f>
        <v>219558.22999999998</v>
      </c>
      <c r="D22" s="391">
        <f>'Proy 2021 vs 2019 Sem'!AW22</f>
        <v>250354.42</v>
      </c>
      <c r="E22" s="520">
        <f>'Proy 2021 vs 2019 Sem'!BZ22</f>
        <v>315307.97000000003</v>
      </c>
      <c r="F22" s="391">
        <f>'Proy 2021 vs 2019 Sem'!CX22</f>
        <v>323148.63</v>
      </c>
      <c r="G22" s="815">
        <f>'Proy 2021 vs 2019 Sem'!DV22</f>
        <v>415055.58</v>
      </c>
      <c r="H22" s="816">
        <f>'Proy 2021 vs 2019 Sem'!EY22</f>
        <v>491158.38999999996</v>
      </c>
      <c r="I22" s="391">
        <f>'Proy 2021 vs 2019 Sem'!FW22</f>
        <v>350206.41000000003</v>
      </c>
      <c r="J22" s="391">
        <f>'Proy 2021 vs 2019 Sem'!GS22</f>
        <v>400148.93740000005</v>
      </c>
      <c r="K22" s="392">
        <f>'Proy 2021 vs 2019 Sem'!HV22</f>
        <v>476669.40879999998</v>
      </c>
      <c r="L22" s="392">
        <f>'Proy 2021 vs 2019 Sem'!IT22</f>
        <v>385422.69209999999</v>
      </c>
      <c r="M22" s="392">
        <f>'Proy 2021 vs 2019 Sem'!JS22</f>
        <v>549745.27079999994</v>
      </c>
      <c r="N22" s="392">
        <f>'Proy 2021 vs 2019 Sem'!KV22</f>
        <v>1208478.9065</v>
      </c>
      <c r="O22" s="395">
        <f>'Proy 2022 vs 2019 sem'!W22</f>
        <v>298677.11139999999</v>
      </c>
      <c r="P22" s="395">
        <f>'Proy 2022 vs 2019 sem'!AU22</f>
        <v>337522.45830000006</v>
      </c>
      <c r="Q22" s="395">
        <f>'Proy 2022 vs 2019 sem'!BX22</f>
        <v>541111.32189999998</v>
      </c>
      <c r="R22" s="395">
        <f>'Proy 2022 vs 2019 sem'!CV22</f>
        <v>542681.69200000004</v>
      </c>
      <c r="S22" s="395">
        <f>'Proy 2022 vs 2019 sem'!DT22</f>
        <v>509560.90260000003</v>
      </c>
      <c r="T22" s="395">
        <f>'Proy 2022 vs 2019 sem'!EW22</f>
        <v>708092.6398</v>
      </c>
      <c r="U22" s="395">
        <f>'Proy 2022 vs 2019 sem'!FU22</f>
        <v>526200.12300000002</v>
      </c>
      <c r="V22" s="395">
        <f>'Proy 2022 vs 2019 sem'!GS22</f>
        <v>492630.34969999996</v>
      </c>
      <c r="W22" s="395">
        <f>'Proy 2022 vs 2019 sem'!HV22</f>
        <v>602551.82079999999</v>
      </c>
      <c r="X22" s="395">
        <f>'Proy 2022 vs 2019 sem'!IT22</f>
        <v>498871.79830000002</v>
      </c>
      <c r="Y22" s="395">
        <f>'Proy 2022 vs 2019 sem'!JR22</f>
        <v>635901.35879999993</v>
      </c>
      <c r="Z22" s="395">
        <f>'Proy 2022 vs 2019 sem'!KU22</f>
        <v>1278882.3329999999</v>
      </c>
      <c r="AB22" s="1348">
        <f>SUM(C22:N22)</f>
        <v>5385254.8455999997</v>
      </c>
      <c r="AC22" s="1346">
        <f t="shared" si="0"/>
        <v>6484311.4645999996</v>
      </c>
    </row>
    <row r="23" spans="1:29">
      <c r="B23" s="978" t="s">
        <v>26</v>
      </c>
      <c r="C23" s="391">
        <f>'Proy 2021 vs 2019 Sem'!Y23</f>
        <v>163507.33000000002</v>
      </c>
      <c r="D23" s="391">
        <f>'Proy 2021 vs 2019 Sem'!AW23</f>
        <v>200449.12</v>
      </c>
      <c r="E23" s="520">
        <f>'Proy 2021 vs 2019 Sem'!BZ23</f>
        <v>257349.19</v>
      </c>
      <c r="F23" s="391">
        <f>'Proy 2021 vs 2019 Sem'!CX23</f>
        <v>216099.96</v>
      </c>
      <c r="G23" s="815">
        <f>'Proy 2021 vs 2019 Sem'!DV23</f>
        <v>255469.51</v>
      </c>
      <c r="H23" s="816">
        <f>'Proy 2021 vs 2019 Sem'!EY23</f>
        <v>326291.32999999996</v>
      </c>
      <c r="I23" s="391">
        <f>'Proy 2021 vs 2019 Sem'!FW23</f>
        <v>239177.06000000003</v>
      </c>
      <c r="J23" s="391">
        <f>'Proy 2021 vs 2019 Sem'!GS23</f>
        <v>192973.85399999999</v>
      </c>
      <c r="K23" s="392">
        <f>'Proy 2021 vs 2019 Sem'!HV23</f>
        <v>261645.55120000002</v>
      </c>
      <c r="L23" s="392">
        <f>'Proy 2021 vs 2019 Sem'!IT23</f>
        <v>334408.59269999998</v>
      </c>
      <c r="M23" s="392">
        <f>'Proy 2021 vs 2019 Sem'!JS23</f>
        <v>374526.79760000005</v>
      </c>
      <c r="N23" s="392">
        <f>'Proy 2021 vs 2019 Sem'!KV23</f>
        <v>726046.0414000001</v>
      </c>
      <c r="O23" s="395">
        <f>'Proy 2022 vs 2019 sem'!W23</f>
        <v>188033.53960000002</v>
      </c>
      <c r="P23" s="395">
        <f>'Proy 2022 vs 2019 sem'!AU23</f>
        <v>225850.27249999999</v>
      </c>
      <c r="Q23" s="395">
        <f>'Proy 2022 vs 2019 sem'!BX23</f>
        <v>276913.19170000002</v>
      </c>
      <c r="R23" s="395">
        <f>'Proy 2022 vs 2019 sem'!CV23</f>
        <v>282398.61460000003</v>
      </c>
      <c r="S23" s="395">
        <f>'Proy 2022 vs 2019 sem'!DT23</f>
        <v>282480.22389999998</v>
      </c>
      <c r="T23" s="395">
        <f>'Proy 2022 vs 2019 sem'!EW23</f>
        <v>366264.4877</v>
      </c>
      <c r="U23" s="395">
        <f>'Proy 2022 vs 2019 sem'!FU23</f>
        <v>242999.75799999997</v>
      </c>
      <c r="V23" s="395">
        <f>'Proy 2022 vs 2019 sem'!GS23</f>
        <v>238082.05299999999</v>
      </c>
      <c r="W23" s="395">
        <f>'Proy 2022 vs 2019 sem'!HV23</f>
        <v>333611.06870000006</v>
      </c>
      <c r="X23" s="395">
        <f>'Proy 2022 vs 2019 sem'!IT23</f>
        <v>327547.228</v>
      </c>
      <c r="Y23" s="395">
        <f>'Proy 2022 vs 2019 sem'!JR23</f>
        <v>369367.7929</v>
      </c>
      <c r="Z23" s="395">
        <f>'Proy 2022 vs 2019 sem'!KU23</f>
        <v>746252.54150000005</v>
      </c>
      <c r="AB23" s="1348">
        <f>SUM(C23:N23)</f>
        <v>3547944.3369</v>
      </c>
      <c r="AC23" s="1346">
        <f t="shared" si="0"/>
        <v>3754540.9249</v>
      </c>
    </row>
    <row r="24" spans="1:29">
      <c r="B24" s="979" t="s">
        <v>27</v>
      </c>
      <c r="C24" s="813">
        <f>'Proy 2021 vs 2019 Sem'!Y24</f>
        <v>284823.51</v>
      </c>
      <c r="D24" s="813">
        <f>'Proy 2021 vs 2019 Sem'!AW24</f>
        <v>346698.84</v>
      </c>
      <c r="E24" s="814">
        <f>'Proy 2021 vs 2019 Sem'!BZ24</f>
        <v>409557.27999999997</v>
      </c>
      <c r="F24" s="813">
        <f>'Proy 2021 vs 2019 Sem'!CX24</f>
        <v>329209.08</v>
      </c>
      <c r="G24" s="816">
        <f>'Proy 2021 vs 2019 Sem'!DV24</f>
        <v>400037.83</v>
      </c>
      <c r="H24" s="816">
        <f>'Proy 2021 vs 2019 Sem'!EY24</f>
        <v>534202.54</v>
      </c>
      <c r="I24" s="391">
        <f>'Proy 2021 vs 2019 Sem'!FW24</f>
        <v>425531.69999999995</v>
      </c>
      <c r="J24" s="391">
        <f>'Proy 2021 vs 2019 Sem'!GS24</f>
        <v>462293.37344999996</v>
      </c>
      <c r="K24" s="818">
        <f>'Proy 2021 vs 2019 Sem'!HV24</f>
        <v>508977.16176499997</v>
      </c>
      <c r="L24" s="818">
        <f>'Proy 2021 vs 2019 Sem'!IT24</f>
        <v>347727.51459999999</v>
      </c>
      <c r="M24" s="818">
        <f>'Proy 2021 vs 2019 Sem'!JS24</f>
        <v>336510.71500000003</v>
      </c>
      <c r="N24" s="818">
        <f>'Proy 2021 vs 2019 Sem'!KV24</f>
        <v>1365755.9661999999</v>
      </c>
      <c r="O24" s="395">
        <f>'Proy 2022 vs 2019 sem'!W24</f>
        <v>320124.53924999997</v>
      </c>
      <c r="P24" s="395">
        <f>'Proy 2022 vs 2019 sem'!AU24</f>
        <v>410376.332505</v>
      </c>
      <c r="Q24" s="395">
        <f>'Proy 2022 vs 2019 sem'!BX24</f>
        <v>538153.85095999995</v>
      </c>
      <c r="R24" s="395">
        <f>'Proy 2022 vs 2019 sem'!CV24</f>
        <v>560731.14941999991</v>
      </c>
      <c r="S24" s="395">
        <f>'Proy 2022 vs 2019 sem'!DT24</f>
        <v>577515.93732499995</v>
      </c>
      <c r="T24" s="395">
        <f>'Proy 2022 vs 2019 sem'!EW24</f>
        <v>727852.70890999993</v>
      </c>
      <c r="U24" s="395">
        <f>'Proy 2022 vs 2019 sem'!FU24</f>
        <v>549335.28833000001</v>
      </c>
      <c r="V24" s="395">
        <f>'Proy 2022 vs 2019 sem'!GS24</f>
        <v>537538.52890499996</v>
      </c>
      <c r="W24" s="395">
        <f>'Proy 2022 vs 2019 sem'!HV24</f>
        <v>608955.58899999992</v>
      </c>
      <c r="X24" s="395">
        <f>'Proy 2022 vs 2019 sem'!IT24</f>
        <v>554574.31127000006</v>
      </c>
      <c r="Y24" s="395">
        <f>'Proy 2022 vs 2019 sem'!JR24</f>
        <v>694228.6555799999</v>
      </c>
      <c r="Z24" s="395">
        <f>'Proy 2022 vs 2019 sem'!KU24</f>
        <v>1889912.2602249999</v>
      </c>
      <c r="AB24" s="1348">
        <f>SUM(C24:N24)</f>
        <v>5751325.5110149998</v>
      </c>
      <c r="AC24" s="1346">
        <f t="shared" si="0"/>
        <v>6705354.5377149992</v>
      </c>
    </row>
    <row r="25" spans="1:29">
      <c r="B25" s="978" t="s">
        <v>28</v>
      </c>
      <c r="C25" s="391">
        <f>'Proy 2021 vs 2019 Sem'!Y25</f>
        <v>456212.41</v>
      </c>
      <c r="D25" s="391">
        <f>'Proy 2021 vs 2019 Sem'!AW25</f>
        <v>414011.03999999992</v>
      </c>
      <c r="E25" s="520">
        <f>'Proy 2021 vs 2019 Sem'!BZ25</f>
        <v>630145.27</v>
      </c>
      <c r="F25" s="391">
        <f>'Proy 2021 vs 2019 Sem'!CX25</f>
        <v>385819.37</v>
      </c>
      <c r="G25" s="815">
        <f>'Proy 2021 vs 2019 Sem'!DV25</f>
        <v>621668.97</v>
      </c>
      <c r="H25" s="816">
        <f>'Proy 2021 vs 2019 Sem'!EY25</f>
        <v>706177.73</v>
      </c>
      <c r="I25" s="391">
        <f>'Proy 2021 vs 2019 Sem'!FW25</f>
        <v>700862.68</v>
      </c>
      <c r="J25" s="391">
        <f>'Proy 2021 vs 2019 Sem'!GS25</f>
        <v>524876.0969</v>
      </c>
      <c r="K25" s="392">
        <f>'Proy 2021 vs 2019 Sem'!HV25</f>
        <v>643478.53080000007</v>
      </c>
      <c r="L25" s="392">
        <f>'Proy 2021 vs 2019 Sem'!IT25</f>
        <v>542565.02509999997</v>
      </c>
      <c r="M25" s="392">
        <f>'Proy 2021 vs 2019 Sem'!JS25</f>
        <v>736262.22779999999</v>
      </c>
      <c r="N25" s="392">
        <f>'Proy 2021 vs 2019 Sem'!KV25</f>
        <v>1506031.0226</v>
      </c>
      <c r="O25" s="395">
        <f>'Proy 2022 vs 2019 sem'!W25</f>
        <v>465467.3749</v>
      </c>
      <c r="P25" s="395">
        <f>'Proy 2022 vs 2019 sem'!AU25</f>
        <v>487900.32189999998</v>
      </c>
      <c r="Q25" s="395">
        <f>'Proy 2022 vs 2019 sem'!BX25</f>
        <v>692195.10160000005</v>
      </c>
      <c r="R25" s="395">
        <f>'Proy 2022 vs 2019 sem'!CV25</f>
        <v>640344.23090000008</v>
      </c>
      <c r="S25" s="395">
        <f>'Proy 2022 vs 2019 sem'!DT25</f>
        <v>689357.05300000007</v>
      </c>
      <c r="T25" s="395">
        <f>'Proy 2022 vs 2019 sem'!EW25</f>
        <v>1044888.3295999999</v>
      </c>
      <c r="U25" s="395">
        <f>'Proy 2022 vs 2019 sem'!FU25</f>
        <v>712789.41680000001</v>
      </c>
      <c r="V25" s="395">
        <f>'Proy 2022 vs 2019 sem'!GS25</f>
        <v>620515.97920000006</v>
      </c>
      <c r="W25" s="395">
        <f>'Proy 2022 vs 2019 sem'!HV25</f>
        <v>764342.61</v>
      </c>
      <c r="X25" s="395">
        <f>'Proy 2022 vs 2019 sem'!IT25</f>
        <v>621640.76179999998</v>
      </c>
      <c r="Y25" s="395">
        <f>'Proy 2022 vs 2019 sem'!JR25</f>
        <v>765869.74919999996</v>
      </c>
      <c r="Z25" s="395">
        <f>'Proy 2022 vs 2019 sem'!KU25</f>
        <v>1571802.4999000002</v>
      </c>
      <c r="AB25" s="1348">
        <f>SUM(C25:N25)</f>
        <v>7868110.3732000003</v>
      </c>
      <c r="AC25" s="1346">
        <f t="shared" si="0"/>
        <v>8686154.7318999991</v>
      </c>
    </row>
    <row r="26" spans="1:29">
      <c r="A26" t="s">
        <v>544</v>
      </c>
      <c r="B26" s="979" t="s">
        <v>29</v>
      </c>
      <c r="C26" s="813">
        <f>'Proy 2021 vs 2019 Sem'!Y26</f>
        <v>0</v>
      </c>
      <c r="D26" s="813">
        <f>'Proy 2021 vs 2019 Sem'!AW26</f>
        <v>8046.49</v>
      </c>
      <c r="E26" s="814">
        <f>'Proy 2021 vs 2019 Sem'!BZ26</f>
        <v>1028654.45</v>
      </c>
      <c r="F26" s="813">
        <f>'Proy 2021 vs 2019 Sem'!CX26</f>
        <v>514628.61</v>
      </c>
      <c r="G26" s="816">
        <f>'Proy 2021 vs 2019 Sem'!DV26</f>
        <v>714576.97</v>
      </c>
      <c r="H26" s="816">
        <f>'Proy 2021 vs 2019 Sem'!EY26</f>
        <v>914354.41</v>
      </c>
      <c r="I26" s="391">
        <f>'Proy 2021 vs 2019 Sem'!FW26</f>
        <v>843754.24</v>
      </c>
      <c r="J26" s="391">
        <f>'Proy 2021 vs 2019 Sem'!GS26</f>
        <v>758777.03040000005</v>
      </c>
      <c r="K26" s="818">
        <f>'Proy 2021 vs 2019 Sem'!HV26</f>
        <v>894760.33599999989</v>
      </c>
      <c r="L26" s="818">
        <f>'Proy 2021 vs 2019 Sem'!IT26</f>
        <v>647545.85710000014</v>
      </c>
      <c r="M26" s="818">
        <f>'Proy 2021 vs 2019 Sem'!JS26</f>
        <v>763978.31889999995</v>
      </c>
      <c r="N26" s="818">
        <f>'Proy 2021 vs 2019 Sem'!KV26</f>
        <v>1927690.1503999997</v>
      </c>
      <c r="O26" s="395">
        <f>'Proy 2022 vs 2019 sem'!W26</f>
        <v>671877.17129999993</v>
      </c>
      <c r="P26" s="395">
        <f>'Proy 2022 vs 2019 sem'!AU26</f>
        <v>688919.30170000007</v>
      </c>
      <c r="Q26" s="395">
        <f>'Proy 2022 vs 2019 sem'!BX26</f>
        <v>970816.4486</v>
      </c>
      <c r="R26" s="395">
        <f>'Proy 2022 vs 2019 sem'!CV26</f>
        <v>857793.25520000001</v>
      </c>
      <c r="S26" s="395">
        <f>'Proy 2022 vs 2019 sem'!DT26</f>
        <v>898962.89400000009</v>
      </c>
      <c r="T26" s="395">
        <f>'Proy 2022 vs 2019 sem'!EW26</f>
        <v>1145701.6452000001</v>
      </c>
      <c r="U26" s="395">
        <f>'Proy 2022 vs 2019 sem'!FU26</f>
        <v>913645.18810000003</v>
      </c>
      <c r="V26" s="395">
        <f>'Proy 2022 vs 2019 sem'!GS26</f>
        <v>916567.71849999996</v>
      </c>
      <c r="W26" s="395">
        <f>'Proy 2022 vs 2019 sem'!HV26</f>
        <v>1075217.0318</v>
      </c>
      <c r="X26" s="395">
        <f>'Proy 2022 vs 2019 sem'!IT26</f>
        <v>830720.21750000003</v>
      </c>
      <c r="Y26" s="395">
        <f>'Proy 2022 vs 2019 sem'!JR26</f>
        <v>952473.87150000012</v>
      </c>
      <c r="Z26" s="395">
        <f>'Proy 2022 vs 2019 sem'!KU26</f>
        <v>2230382.3772</v>
      </c>
      <c r="AB26" s="1348">
        <f>SUM(C26:N26)</f>
        <v>9016766.8628000002</v>
      </c>
      <c r="AC26" s="1346">
        <f t="shared" si="0"/>
        <v>11140467.596899999</v>
      </c>
    </row>
    <row r="27" spans="1:29">
      <c r="B27" s="978" t="s">
        <v>30</v>
      </c>
      <c r="C27" s="391">
        <f>'Proy 2021 vs 2019 Sem'!Y27</f>
        <v>340407.68</v>
      </c>
      <c r="D27" s="391">
        <f>'Proy 2021 vs 2019 Sem'!AW27</f>
        <v>256794.55999999997</v>
      </c>
      <c r="E27" s="520">
        <f>'Proy 2021 vs 2019 Sem'!BZ27</f>
        <v>527006.07999999996</v>
      </c>
      <c r="F27" s="391">
        <f>'Proy 2021 vs 2019 Sem'!CX27</f>
        <v>315677.83999999997</v>
      </c>
      <c r="G27" s="815">
        <f>'Proy 2021 vs 2019 Sem'!DV27</f>
        <v>472900.39</v>
      </c>
      <c r="H27" s="816">
        <f>'Proy 2021 vs 2019 Sem'!EY27</f>
        <v>539487.78</v>
      </c>
      <c r="I27" s="391">
        <f>'Proy 2021 vs 2019 Sem'!FW27</f>
        <v>558635.85</v>
      </c>
      <c r="J27" s="391">
        <f>'Proy 2021 vs 2019 Sem'!GS27</f>
        <v>382727.52260000003</v>
      </c>
      <c r="K27" s="392">
        <f>'Proy 2021 vs 2019 Sem'!HV27</f>
        <v>461816.97120000003</v>
      </c>
      <c r="L27" s="392">
        <f>'Proy 2021 vs 2019 Sem'!IT27</f>
        <v>394037.50379999995</v>
      </c>
      <c r="M27" s="392">
        <f>'Proy 2021 vs 2019 Sem'!JS27</f>
        <v>477090.0748</v>
      </c>
      <c r="N27" s="392">
        <f>'Proy 2021 vs 2019 Sem'!KV27</f>
        <v>1014709.1964999998</v>
      </c>
      <c r="O27" s="395">
        <f>'Proy 2022 vs 2019 sem'!W27</f>
        <v>338344.34409999999</v>
      </c>
      <c r="P27" s="395">
        <f>'Proy 2022 vs 2019 sem'!AU27</f>
        <v>365849.33980000002</v>
      </c>
      <c r="Q27" s="395">
        <f>'Proy 2022 vs 2019 sem'!BX27</f>
        <v>454131.1923</v>
      </c>
      <c r="R27" s="395">
        <f>'Proy 2022 vs 2019 sem'!CV27</f>
        <v>528775.3992000001</v>
      </c>
      <c r="S27" s="395">
        <f>'Proy 2022 vs 2019 sem'!DT27</f>
        <v>565735.94099999999</v>
      </c>
      <c r="T27" s="395">
        <f>'Proy 2022 vs 2019 sem'!EW27</f>
        <v>698391.65500000003</v>
      </c>
      <c r="U27" s="395">
        <f>'Proy 2022 vs 2019 sem'!FU27</f>
        <v>603622.83669999999</v>
      </c>
      <c r="V27" s="395">
        <f>'Proy 2022 vs 2019 sem'!GS27</f>
        <v>464235.2182</v>
      </c>
      <c r="W27" s="395">
        <f>'Proy 2022 vs 2019 sem'!HV27</f>
        <v>574455.9584</v>
      </c>
      <c r="X27" s="395">
        <f>'Proy 2022 vs 2019 sem'!IT27</f>
        <v>474400.73119999998</v>
      </c>
      <c r="Y27" s="395">
        <f>'Proy 2022 vs 2019 sem'!JR27</f>
        <v>500096.14379999996</v>
      </c>
      <c r="Z27" s="395">
        <f>'Proy 2022 vs 2019 sem'!KU27</f>
        <v>1052590.7934000001</v>
      </c>
      <c r="AB27" s="1348">
        <f>SUM(C27:N27)</f>
        <v>5741291.4488999993</v>
      </c>
      <c r="AC27" s="1346">
        <f t="shared" si="0"/>
        <v>6285231.976999999</v>
      </c>
    </row>
    <row r="28" spans="1:29">
      <c r="B28" s="978" t="s">
        <v>31</v>
      </c>
      <c r="C28" s="391">
        <f>'Proy 2021 vs 2019 Sem'!Y28</f>
        <v>499436.44</v>
      </c>
      <c r="D28" s="391">
        <f>'Proy 2021 vs 2019 Sem'!AW28</f>
        <v>418815.85000000003</v>
      </c>
      <c r="E28" s="520">
        <f>'Proy 2021 vs 2019 Sem'!BZ28</f>
        <v>724604.02</v>
      </c>
      <c r="F28" s="391">
        <f>'Proy 2021 vs 2019 Sem'!CX28</f>
        <v>447050.66</v>
      </c>
      <c r="G28" s="815">
        <f>'Proy 2021 vs 2019 Sem'!DV28</f>
        <v>699868.89</v>
      </c>
      <c r="H28" s="816">
        <f>'Proy 2021 vs 2019 Sem'!EY28</f>
        <v>862166.37000000011</v>
      </c>
      <c r="I28" s="391">
        <f>'Proy 2021 vs 2019 Sem'!FW28</f>
        <v>783066.16</v>
      </c>
      <c r="J28" s="391">
        <f>'Proy 2021 vs 2019 Sem'!GS28</f>
        <v>543669.09100000001</v>
      </c>
      <c r="K28" s="392">
        <f>'Proy 2021 vs 2019 Sem'!HV28</f>
        <v>638340.375</v>
      </c>
      <c r="L28" s="392">
        <f>'Proy 2021 vs 2019 Sem'!IT28</f>
        <v>780476.03380000009</v>
      </c>
      <c r="M28" s="392">
        <f>'Proy 2021 vs 2019 Sem'!JS28</f>
        <v>913439.04779999994</v>
      </c>
      <c r="N28" s="392">
        <f>'Proy 2021 vs 2019 Sem'!KV28</f>
        <v>2220189.2905000001</v>
      </c>
      <c r="O28" s="395">
        <f>'Proy 2022 vs 2019 sem'!W28</f>
        <v>547085.08620000002</v>
      </c>
      <c r="P28" s="395">
        <f>'Proy 2022 vs 2019 sem'!AU28</f>
        <v>575387.56350000016</v>
      </c>
      <c r="Q28" s="395">
        <f>'Proy 2022 vs 2019 sem'!BX28</f>
        <v>745950.11399999994</v>
      </c>
      <c r="R28" s="395">
        <f>'Proy 2022 vs 2019 sem'!CV28</f>
        <v>710890.79810000013</v>
      </c>
      <c r="S28" s="395">
        <f>'Proy 2022 vs 2019 sem'!DT28</f>
        <v>758324.7</v>
      </c>
      <c r="T28" s="395">
        <f>'Proy 2022 vs 2019 sem'!EW28</f>
        <v>908467.21950000001</v>
      </c>
      <c r="U28" s="395">
        <f>'Proy 2022 vs 2019 sem'!FU28</f>
        <v>689161.67420000001</v>
      </c>
      <c r="V28" s="395">
        <f>'Proy 2022 vs 2019 sem'!GS28</f>
        <v>660863.72419999994</v>
      </c>
      <c r="W28" s="395">
        <f>'Proy 2022 vs 2019 sem'!HV28</f>
        <v>794576.27679999999</v>
      </c>
      <c r="X28" s="395">
        <f>'Proy 2022 vs 2019 sem'!IT28</f>
        <v>619302.00640000007</v>
      </c>
      <c r="Y28" s="395">
        <f>'Proy 2022 vs 2019 sem'!JR28</f>
        <v>744840.08149999997</v>
      </c>
      <c r="Z28" s="395">
        <f>'Proy 2022 vs 2019 sem'!KU28</f>
        <v>1596474.6181000001</v>
      </c>
      <c r="AB28" s="1348">
        <f>SUM(C28:N28)</f>
        <v>9531122.2280999999</v>
      </c>
      <c r="AC28" s="1346">
        <f t="shared" si="0"/>
        <v>10031380.9936</v>
      </c>
    </row>
    <row r="29" spans="1:29">
      <c r="B29" s="978" t="s">
        <v>32</v>
      </c>
      <c r="C29" s="391">
        <f>'Proy 2021 vs 2019 Sem'!Y29</f>
        <v>613561.17000000004</v>
      </c>
      <c r="D29" s="391">
        <f>'Proy 2021 vs 2019 Sem'!AW29</f>
        <v>517303.93</v>
      </c>
      <c r="E29" s="520">
        <f>'Proy 2021 vs 2019 Sem'!BZ29</f>
        <v>795759.02</v>
      </c>
      <c r="F29" s="391">
        <f>'Proy 2021 vs 2019 Sem'!CX29</f>
        <v>508494.80999999994</v>
      </c>
      <c r="G29" s="815">
        <f>'Proy 2021 vs 2019 Sem'!DV29</f>
        <v>735242.89</v>
      </c>
      <c r="H29" s="816">
        <f>'Proy 2021 vs 2019 Sem'!EY29</f>
        <v>901430.82</v>
      </c>
      <c r="I29" s="391">
        <f>'Proy 2021 vs 2019 Sem'!FW29</f>
        <v>888115.85</v>
      </c>
      <c r="J29" s="391">
        <f>'Proy 2021 vs 2019 Sem'!GS29</f>
        <v>758777.03040000005</v>
      </c>
      <c r="K29" s="392">
        <f>'Proy 2021 vs 2019 Sem'!HV29</f>
        <v>894760.33599999989</v>
      </c>
      <c r="L29" s="392">
        <f>'Proy 2021 vs 2019 Sem'!IT29</f>
        <v>773369.94329999993</v>
      </c>
      <c r="M29" s="392">
        <f>'Proy 2021 vs 2019 Sem'!JS29</f>
        <v>953866.14889999991</v>
      </c>
      <c r="N29" s="392">
        <f>'Proy 2021 vs 2019 Sem'!KV29</f>
        <v>2551776.0630000001</v>
      </c>
      <c r="O29" s="395">
        <f>'Proy 2022 vs 2019 sem'!W29</f>
        <v>671877.17129999993</v>
      </c>
      <c r="P29" s="395">
        <f>'Proy 2022 vs 2019 sem'!AU29</f>
        <v>688919.30170000007</v>
      </c>
      <c r="Q29" s="395">
        <f>'Proy 2022 vs 2019 sem'!BX29</f>
        <v>970816.4486</v>
      </c>
      <c r="R29" s="395">
        <f>'Proy 2022 vs 2019 sem'!CV29</f>
        <v>857793.25520000001</v>
      </c>
      <c r="S29" s="395">
        <f>'Proy 2022 vs 2019 sem'!DT29</f>
        <v>898962.89400000009</v>
      </c>
      <c r="T29" s="395">
        <f>'Proy 2022 vs 2019 sem'!EW29</f>
        <v>1145701.6452000001</v>
      </c>
      <c r="U29" s="395">
        <f>'Proy 2022 vs 2019 sem'!FU29</f>
        <v>913645.18810000003</v>
      </c>
      <c r="V29" s="395">
        <f>'Proy 2022 vs 2019 sem'!GS29</f>
        <v>916567.71849999996</v>
      </c>
      <c r="W29" s="395">
        <f>'Proy 2022 vs 2019 sem'!HV29</f>
        <v>1075217.0318</v>
      </c>
      <c r="X29" s="395">
        <f>'Proy 2022 vs 2019 sem'!IT29</f>
        <v>830720.21750000003</v>
      </c>
      <c r="Y29" s="395">
        <f>'Proy 2022 vs 2019 sem'!JR29</f>
        <v>952473.87150000012</v>
      </c>
      <c r="Z29" s="395">
        <f>'Proy 2022 vs 2019 sem'!KU29</f>
        <v>2230382.3772</v>
      </c>
      <c r="AB29" s="1348">
        <f>SUM(C29:N29)</f>
        <v>10892458.011600003</v>
      </c>
      <c r="AC29" s="1346">
        <f t="shared" si="0"/>
        <v>12080265.4257</v>
      </c>
    </row>
    <row r="30" spans="1:29">
      <c r="B30" s="978" t="s">
        <v>33</v>
      </c>
      <c r="C30" s="391">
        <f>'Proy 2021 vs 2019 Sem'!Y30</f>
        <v>216790.69</v>
      </c>
      <c r="D30" s="391">
        <f>'Proy 2021 vs 2019 Sem'!AW30</f>
        <v>171586.74</v>
      </c>
      <c r="E30" s="520">
        <f>'Proy 2021 vs 2019 Sem'!BZ30</f>
        <v>349859.15</v>
      </c>
      <c r="F30" s="391">
        <f>'Proy 2021 vs 2019 Sem'!CX30</f>
        <v>255019.55000000002</v>
      </c>
      <c r="G30" s="815">
        <f>'Proy 2021 vs 2019 Sem'!DV30</f>
        <v>327501.76</v>
      </c>
      <c r="H30" s="816">
        <f>'Proy 2021 vs 2019 Sem'!EY30</f>
        <v>385032.08999999997</v>
      </c>
      <c r="I30" s="391">
        <f>'Proy 2021 vs 2019 Sem'!FW30</f>
        <v>354594.88</v>
      </c>
      <c r="J30" s="391">
        <f>'Proy 2021 vs 2019 Sem'!GS30</f>
        <v>299917.58230000001</v>
      </c>
      <c r="K30" s="392">
        <f>'Proy 2021 vs 2019 Sem'!HV30</f>
        <v>375877.90060000005</v>
      </c>
      <c r="L30" s="392">
        <f>'Proy 2021 vs 2019 Sem'!IT30</f>
        <v>327404.11469999998</v>
      </c>
      <c r="M30" s="392">
        <f>'Proy 2021 vs 2019 Sem'!JS30</f>
        <v>403554.99330000003</v>
      </c>
      <c r="N30" s="392">
        <f>'Proy 2021 vs 2019 Sem'!KV30</f>
        <v>925395.35880000005</v>
      </c>
      <c r="O30" s="395">
        <f>'Proy 2022 vs 2019 sem'!W30</f>
        <v>298609.23880000005</v>
      </c>
      <c r="P30" s="395">
        <f>'Proy 2022 vs 2019 sem'!AU30</f>
        <v>292838.38809999998</v>
      </c>
      <c r="Q30" s="395">
        <f>'Proy 2022 vs 2019 sem'!BX30</f>
        <v>451642.04750000004</v>
      </c>
      <c r="R30" s="395">
        <f>'Proy 2022 vs 2019 sem'!CV30</f>
        <v>360277.97360000003</v>
      </c>
      <c r="S30" s="395">
        <f>'Proy 2022 vs 2019 sem'!DT30</f>
        <v>369618.03899999999</v>
      </c>
      <c r="T30" s="395">
        <f>'Proy 2022 vs 2019 sem'!EW30</f>
        <v>536846.54859999998</v>
      </c>
      <c r="U30" s="395">
        <f>'Proy 2022 vs 2019 sem'!FU30</f>
        <v>389045.26179999998</v>
      </c>
      <c r="V30" s="395">
        <f>'Proy 2022 vs 2019 sem'!GS30</f>
        <v>366599.82569999999</v>
      </c>
      <c r="W30" s="395">
        <f>'Proy 2022 vs 2019 sem'!HV30</f>
        <v>467766.33860000002</v>
      </c>
      <c r="X30" s="395">
        <f>'Proy 2022 vs 2019 sem'!IT30</f>
        <v>340198.65559999994</v>
      </c>
      <c r="Y30" s="395">
        <f>'Proy 2022 vs 2019 sem'!JR30</f>
        <v>383334.08490000002</v>
      </c>
      <c r="Z30" s="395">
        <f>'Proy 2022 vs 2019 sem'!KU30</f>
        <v>765815.18099999998</v>
      </c>
      <c r="AB30" s="1348">
        <f>SUM(C30:N30)</f>
        <v>4392534.8096999992</v>
      </c>
      <c r="AC30" s="1346">
        <f t="shared" si="0"/>
        <v>5031027.4471000005</v>
      </c>
    </row>
    <row r="31" spans="1:29">
      <c r="B31" s="978" t="s">
        <v>34</v>
      </c>
      <c r="C31" s="391">
        <f>'Proy 2021 vs 2019 Sem'!Y31</f>
        <v>45871.600000000006</v>
      </c>
      <c r="D31" s="391">
        <f>'Proy 2021 vs 2019 Sem'!AW31</f>
        <v>44851.14</v>
      </c>
      <c r="E31" s="520">
        <f>'Proy 2021 vs 2019 Sem'!BZ31</f>
        <v>45853.869999999995</v>
      </c>
      <c r="F31" s="391">
        <f>'Proy 2021 vs 2019 Sem'!CX31</f>
        <v>64349.400000000009</v>
      </c>
      <c r="G31" s="815">
        <f>'Proy 2021 vs 2019 Sem'!DV31</f>
        <v>97906.229999999981</v>
      </c>
      <c r="H31" s="816">
        <f>'Proy 2021 vs 2019 Sem'!EY31</f>
        <v>99301.87</v>
      </c>
      <c r="I31" s="391">
        <f>'Proy 2021 vs 2019 Sem'!FW31</f>
        <v>65328.73</v>
      </c>
      <c r="J31" s="391">
        <f>'Proy 2021 vs 2019 Sem'!GS31</f>
        <v>93599.143100000016</v>
      </c>
      <c r="K31" s="392">
        <f>'Proy 2021 vs 2019 Sem'!HV31</f>
        <v>84061.827400000009</v>
      </c>
      <c r="L31" s="392">
        <f>'Proy 2021 vs 2019 Sem'!IT31</f>
        <v>68105.876099999994</v>
      </c>
      <c r="M31" s="392">
        <f>'Proy 2021 vs 2019 Sem'!JS31</f>
        <v>91208.252000000022</v>
      </c>
      <c r="N31" s="818">
        <f>'Proy 2021 vs 2019 Sem'!KV31</f>
        <v>340258.83299999993</v>
      </c>
      <c r="O31" s="395">
        <f>'Proy 2022 vs 2019 sem'!W31</f>
        <v>0</v>
      </c>
      <c r="P31" s="395">
        <f>'Proy 2022 vs 2019 sem'!AU31</f>
        <v>0</v>
      </c>
      <c r="Q31" s="395">
        <f>'Proy 2022 vs 2019 sem'!BX31</f>
        <v>0</v>
      </c>
      <c r="R31" s="395">
        <f>'Proy 2022 vs 2019 sem'!CV31</f>
        <v>0</v>
      </c>
      <c r="S31" s="395">
        <f>'Proy 2022 vs 2019 sem'!DT31</f>
        <v>0</v>
      </c>
      <c r="T31" s="395">
        <f>'Proy 2022 vs 2019 sem'!EW31</f>
        <v>0</v>
      </c>
      <c r="U31" s="395">
        <f>'Proy 2022 vs 2019 sem'!FU31</f>
        <v>0</v>
      </c>
      <c r="V31" s="395">
        <f>'Proy 2022 vs 2019 sem'!GS31</f>
        <v>0</v>
      </c>
      <c r="W31" s="395">
        <f>'Proy 2022 vs 2019 sem'!HV31</f>
        <v>0</v>
      </c>
      <c r="X31" s="395">
        <f>'Proy 2022 vs 2019 sem'!IT31</f>
        <v>0</v>
      </c>
      <c r="Y31" s="395">
        <f>'Proy 2022 vs 2019 sem'!JR31</f>
        <v>0</v>
      </c>
      <c r="Z31" s="395">
        <f>'Proy 2022 vs 2019 sem'!KU31</f>
        <v>0</v>
      </c>
      <c r="AB31" s="1348">
        <f>SUM(C31:N31)</f>
        <v>1140696.7715999999</v>
      </c>
      <c r="AC31" s="1346">
        <f t="shared" si="0"/>
        <v>677233.93160000001</v>
      </c>
    </row>
    <row r="32" spans="1:29">
      <c r="B32" s="978" t="s">
        <v>35</v>
      </c>
      <c r="C32" s="391">
        <f>'Proy 2021 vs 2019 Sem'!Y32</f>
        <v>83798.509999999995</v>
      </c>
      <c r="D32" s="391">
        <f>'Proy 2021 vs 2019 Sem'!AW32</f>
        <v>68662.25</v>
      </c>
      <c r="E32" s="520">
        <f>'Proy 2021 vs 2019 Sem'!BZ32</f>
        <v>62786.78</v>
      </c>
      <c r="F32" s="391">
        <f>'Proy 2021 vs 2019 Sem'!CX32</f>
        <v>87561.96</v>
      </c>
      <c r="G32" s="815">
        <f>'Proy 2021 vs 2019 Sem'!DV32</f>
        <v>113809.68</v>
      </c>
      <c r="H32" s="816">
        <f>'Proy 2021 vs 2019 Sem'!EY32</f>
        <v>99521.989999999991</v>
      </c>
      <c r="I32" s="391">
        <f>'Proy 2021 vs 2019 Sem'!FW32</f>
        <v>65455.700000000004</v>
      </c>
      <c r="J32" s="391">
        <f>'Proy 2021 vs 2019 Sem'!GS32</f>
        <v>115559.89619999999</v>
      </c>
      <c r="K32" s="392">
        <f>'Proy 2021 vs 2019 Sem'!HV32</f>
        <v>137303.0802</v>
      </c>
      <c r="L32" s="392">
        <f>'Proy 2021 vs 2019 Sem'!IT32</f>
        <v>105966.2697</v>
      </c>
      <c r="M32" s="392">
        <f>'Proy 2021 vs 2019 Sem'!JS32</f>
        <v>119694.32399999999</v>
      </c>
      <c r="N32" s="392">
        <f>'Proy 2021 vs 2019 Sem'!KV32</f>
        <v>295137.32949999999</v>
      </c>
      <c r="O32" s="395">
        <f>'Proy 2022 vs 2019 sem'!W32</f>
        <v>0</v>
      </c>
      <c r="P32" s="395">
        <f>'Proy 2022 vs 2019 sem'!AU32</f>
        <v>0</v>
      </c>
      <c r="Q32" s="395">
        <f>'Proy 2022 vs 2019 sem'!BX32</f>
        <v>0</v>
      </c>
      <c r="R32" s="395">
        <f>'Proy 2022 vs 2019 sem'!CV32</f>
        <v>0</v>
      </c>
      <c r="S32" s="395">
        <f>'Proy 2022 vs 2019 sem'!DT32</f>
        <v>0</v>
      </c>
      <c r="T32" s="395">
        <f>'Proy 2022 vs 2019 sem'!EW32</f>
        <v>0</v>
      </c>
      <c r="U32" s="395">
        <f>'Proy 2022 vs 2019 sem'!FU32</f>
        <v>0</v>
      </c>
      <c r="V32" s="395">
        <f>'Proy 2022 vs 2019 sem'!GS32</f>
        <v>0</v>
      </c>
      <c r="W32" s="395">
        <f>'Proy 2022 vs 2019 sem'!HV32</f>
        <v>0</v>
      </c>
      <c r="X32" s="395">
        <f>'Proy 2022 vs 2019 sem'!IT32</f>
        <v>0</v>
      </c>
      <c r="Y32" s="395">
        <f>'Proy 2022 vs 2019 sem'!JR32</f>
        <v>0</v>
      </c>
      <c r="Z32" s="395">
        <f>'Proy 2022 vs 2019 sem'!KU32</f>
        <v>0</v>
      </c>
      <c r="AB32" s="1348">
        <f>SUM(C32:N32)</f>
        <v>1355257.7696</v>
      </c>
      <c r="AC32" s="1346">
        <f t="shared" si="0"/>
        <v>773660.8996</v>
      </c>
    </row>
    <row r="33" spans="2:32">
      <c r="B33" s="978" t="s">
        <v>36</v>
      </c>
      <c r="C33" s="391">
        <f>'Proy 2021 vs 2019 Sem'!Y33</f>
        <v>90279.02</v>
      </c>
      <c r="D33" s="391">
        <f>'Proy 2021 vs 2019 Sem'!AW33</f>
        <v>94242.23</v>
      </c>
      <c r="E33" s="520">
        <f>'Proy 2021 vs 2019 Sem'!BZ33</f>
        <v>109711.16999999998</v>
      </c>
      <c r="F33" s="391">
        <f>'Proy 2021 vs 2019 Sem'!CX33</f>
        <v>81569.42</v>
      </c>
      <c r="G33" s="815">
        <f>'Proy 2021 vs 2019 Sem'!DV33</f>
        <v>144249.84</v>
      </c>
      <c r="H33" s="816">
        <f>'Proy 2021 vs 2019 Sem'!EY33</f>
        <v>148193.54</v>
      </c>
      <c r="I33" s="391">
        <f>'Proy 2021 vs 2019 Sem'!FW33</f>
        <v>111881.78</v>
      </c>
      <c r="J33" s="391">
        <f>'Proy 2021 vs 2019 Sem'!GS33</f>
        <v>119967.03292000001</v>
      </c>
      <c r="K33" s="392">
        <f>'Proy 2021 vs 2019 Sem'!HV33</f>
        <v>150351.16024000003</v>
      </c>
      <c r="L33" s="392">
        <f>'Proy 2021 vs 2019 Sem'!IT33</f>
        <v>103301.37130000001</v>
      </c>
      <c r="M33" s="392">
        <f>'Proy 2021 vs 2019 Sem'!JS33</f>
        <v>168209.3205</v>
      </c>
      <c r="N33" s="392">
        <f>'Proy 2021 vs 2019 Sem'!KV33</f>
        <v>352081.79090000002</v>
      </c>
      <c r="O33" s="395">
        <f>'Proy 2022 vs 2019 sem'!W33</f>
        <v>119443.69552000001</v>
      </c>
      <c r="P33" s="395">
        <f>'Proy 2022 vs 2019 sem'!AU33</f>
        <v>117135.35524</v>
      </c>
      <c r="Q33" s="395">
        <f>'Proy 2022 vs 2019 sem'!BX33</f>
        <v>180656.81900000002</v>
      </c>
      <c r="R33" s="395">
        <f>'Proy 2022 vs 2019 sem'!CV33</f>
        <v>144111.18944000002</v>
      </c>
      <c r="S33" s="395">
        <f>'Proy 2022 vs 2019 sem'!DT33</f>
        <v>0</v>
      </c>
      <c r="T33" s="395">
        <f>'Proy 2022 vs 2019 sem'!EW33</f>
        <v>0</v>
      </c>
      <c r="U33" s="395">
        <f>'Proy 2022 vs 2019 sem'!FU33</f>
        <v>0</v>
      </c>
      <c r="V33" s="395">
        <f>'Proy 2022 vs 2019 sem'!GS33</f>
        <v>0</v>
      </c>
      <c r="W33" s="395">
        <f>'Proy 2022 vs 2019 sem'!HV33</f>
        <v>0</v>
      </c>
      <c r="X33" s="395">
        <f>'Proy 2022 vs 2019 sem'!IT33</f>
        <v>0</v>
      </c>
      <c r="Y33" s="395">
        <f>'Proy 2022 vs 2019 sem'!JR33</f>
        <v>0</v>
      </c>
      <c r="Z33" s="395">
        <f>'Proy 2022 vs 2019 sem'!KU33</f>
        <v>0</v>
      </c>
      <c r="AB33" s="1348">
        <f>SUM(C33:N33)</f>
        <v>1674037.6758599998</v>
      </c>
      <c r="AC33" s="1346">
        <f t="shared" si="0"/>
        <v>1455257.7350600001</v>
      </c>
    </row>
    <row r="34" spans="2:32">
      <c r="B34" s="980" t="s">
        <v>37</v>
      </c>
      <c r="C34" s="813">
        <f>'Proy 2021 vs 2019 Sem'!Y34</f>
        <v>126926.94</v>
      </c>
      <c r="D34" s="813">
        <f>'Proy 2021 vs 2019 Sem'!AW34</f>
        <v>106137.62000000001</v>
      </c>
      <c r="E34" s="520">
        <f>'Proy 2021 vs 2019 Sem'!BZ34</f>
        <v>228390.74000000002</v>
      </c>
      <c r="F34" s="391">
        <f>'Proy 2021 vs 2019 Sem'!CX34</f>
        <v>202224.24</v>
      </c>
      <c r="G34" s="815">
        <f>'Proy 2021 vs 2019 Sem'!DV34</f>
        <v>248979.52000000002</v>
      </c>
      <c r="H34" s="816">
        <f>'Proy 2021 vs 2019 Sem'!EY34</f>
        <v>286266.19999999995</v>
      </c>
      <c r="I34" s="391">
        <f>'Proy 2021 vs 2019 Sem'!FW34</f>
        <v>232099.09999999998</v>
      </c>
      <c r="J34" s="391">
        <f>'Proy 2021 vs 2019 Sem'!GS34</f>
        <v>179950.54937999998</v>
      </c>
      <c r="K34" s="392">
        <f>'Proy 2021 vs 2019 Sem'!HV34</f>
        <v>225526.74036</v>
      </c>
      <c r="L34" s="392">
        <f>'Proy 2021 vs 2019 Sem'!IT34</f>
        <v>174550.1764</v>
      </c>
      <c r="M34" s="392">
        <f>'Proy 2021 vs 2019 Sem'!JS34</f>
        <v>264986.66980000003</v>
      </c>
      <c r="N34" s="392">
        <f>'Proy 2021 vs 2019 Sem'!KV34</f>
        <v>644004.0111</v>
      </c>
      <c r="O34" s="395">
        <f>'Proy 2022 vs 2019 sem'!W34</f>
        <v>179165.54327999998</v>
      </c>
      <c r="P34" s="395">
        <f>'Proy 2022 vs 2019 sem'!AU34</f>
        <v>175703.03286000001</v>
      </c>
      <c r="Q34" s="395">
        <f>'Proy 2022 vs 2019 sem'!BX34</f>
        <v>270985.22849999997</v>
      </c>
      <c r="R34" s="395">
        <f>'Proy 2022 vs 2019 sem'!CV34</f>
        <v>216166.78415999998</v>
      </c>
      <c r="S34" s="395">
        <f>'Proy 2022 vs 2019 sem'!DT34</f>
        <v>221770.82339999999</v>
      </c>
      <c r="T34" s="395">
        <f>'Proy 2022 vs 2019 sem'!EW34</f>
        <v>322107.92916</v>
      </c>
      <c r="U34" s="395">
        <f>'Proy 2022 vs 2019 sem'!FU34</f>
        <v>233427.15708</v>
      </c>
      <c r="V34" s="395">
        <f>'Proy 2022 vs 2019 sem'!GS34</f>
        <v>0</v>
      </c>
      <c r="W34" s="395">
        <f>'Proy 2022 vs 2019 sem'!HV34</f>
        <v>0</v>
      </c>
      <c r="X34" s="395">
        <f>'Proy 2022 vs 2019 sem'!IT34</f>
        <v>0</v>
      </c>
      <c r="Y34" s="395">
        <f>'Proy 2022 vs 2019 sem'!JR34</f>
        <v>0</v>
      </c>
      <c r="Z34" s="395">
        <f>'Proy 2022 vs 2019 sem'!KU34</f>
        <v>0</v>
      </c>
      <c r="AB34" s="1349">
        <f>SUM(C34:N34)</f>
        <v>2920042.5070399996</v>
      </c>
      <c r="AC34" s="1346">
        <f t="shared" si="0"/>
        <v>3108344.6454799995</v>
      </c>
      <c r="AE34" s="560" t="s">
        <v>545</v>
      </c>
    </row>
    <row r="35" spans="2:32" ht="21">
      <c r="B35" s="981" t="s">
        <v>546</v>
      </c>
      <c r="C35" s="521">
        <f>SUM(C6:C34)</f>
        <v>6552613.6100000003</v>
      </c>
      <c r="D35" s="521">
        <f t="shared" ref="D35:N35" si="1">SUM(D6:D34)</f>
        <v>6703314.5999999996</v>
      </c>
      <c r="E35" s="521">
        <f t="shared" si="1"/>
        <v>10492290.35</v>
      </c>
      <c r="F35" s="521">
        <f t="shared" si="1"/>
        <v>8127537.1500000004</v>
      </c>
      <c r="G35" s="817">
        <f t="shared" si="1"/>
        <v>10587771.189999999</v>
      </c>
      <c r="H35" s="816">
        <f t="shared" si="1"/>
        <v>12839889.68</v>
      </c>
      <c r="I35" s="521">
        <f t="shared" si="1"/>
        <v>10824719.919999998</v>
      </c>
      <c r="J35" s="521">
        <f t="shared" si="1"/>
        <v>9624566.1918499991</v>
      </c>
      <c r="K35" s="393">
        <f t="shared" si="1"/>
        <v>11291511.793234998</v>
      </c>
      <c r="L35" s="393">
        <f t="shared" si="1"/>
        <v>10036608.7838</v>
      </c>
      <c r="M35" s="393">
        <f t="shared" si="1"/>
        <v>12962855.610000001</v>
      </c>
      <c r="N35" s="393">
        <f t="shared" si="1"/>
        <v>32370220.746700007</v>
      </c>
      <c r="O35" s="395">
        <f>SUM(O6:O34)</f>
        <v>7988042.9439499993</v>
      </c>
      <c r="P35" s="395">
        <f t="shared" ref="O35:Q35" si="2">SUM(P6:P34)</f>
        <v>8988323.4131450001</v>
      </c>
      <c r="Q35" s="395">
        <f t="shared" si="2"/>
        <v>12401320.283639999</v>
      </c>
      <c r="R35" s="395">
        <f t="shared" ref="R35:Z35" si="3">SUM(R6:R34)</f>
        <v>11894678.284080001</v>
      </c>
      <c r="S35" s="395">
        <f t="shared" si="3"/>
        <v>12060896.530324997</v>
      </c>
      <c r="T35" s="395">
        <f t="shared" si="3"/>
        <v>15570303.039749997</v>
      </c>
      <c r="U35" s="395">
        <f t="shared" si="3"/>
        <v>11752630.860050002</v>
      </c>
      <c r="V35" s="395">
        <f t="shared" si="3"/>
        <v>11019070.153244998</v>
      </c>
      <c r="W35" s="395">
        <f t="shared" si="3"/>
        <v>13095734.310899999</v>
      </c>
      <c r="X35" s="395">
        <f t="shared" si="3"/>
        <v>11461649.87583</v>
      </c>
      <c r="Y35" s="395">
        <f t="shared" si="3"/>
        <v>13554046.833619997</v>
      </c>
      <c r="Z35" s="395">
        <f t="shared" si="3"/>
        <v>31130030.505525</v>
      </c>
      <c r="AB35" s="1345">
        <f>SUM(C35:N35)</f>
        <v>142413899.62558502</v>
      </c>
      <c r="AC35" s="1347">
        <f>SUM(J35:U35)</f>
        <v>156941958.48052499</v>
      </c>
      <c r="AE35" s="561">
        <f>SUM(H35:N35)*0.5</f>
        <v>49975186.362792499</v>
      </c>
    </row>
    <row r="36" spans="2:32" ht="21" hidden="1">
      <c r="B36" s="982" t="s">
        <v>547</v>
      </c>
      <c r="C36" s="521"/>
      <c r="D36" s="521"/>
      <c r="E36" s="521">
        <v>10539604</v>
      </c>
      <c r="F36" s="521">
        <v>11562766</v>
      </c>
      <c r="G36" s="817">
        <v>13774822</v>
      </c>
      <c r="H36" s="816">
        <v>16689246</v>
      </c>
      <c r="I36" s="521">
        <v>14112969</v>
      </c>
      <c r="J36" s="521">
        <v>12970319</v>
      </c>
      <c r="K36" s="393">
        <v>15832957</v>
      </c>
      <c r="L36" s="393">
        <v>14130648</v>
      </c>
      <c r="M36" s="393">
        <v>16531274</v>
      </c>
      <c r="N36" s="393">
        <v>38234339</v>
      </c>
      <c r="O36" s="395">
        <v>9293797</v>
      </c>
      <c r="P36" s="399">
        <v>7533440</v>
      </c>
      <c r="Q36" s="399"/>
      <c r="R36" s="399"/>
      <c r="S36" s="399"/>
      <c r="T36" s="399"/>
      <c r="U36" s="399"/>
      <c r="V36" s="399"/>
      <c r="W36" s="399"/>
      <c r="X36" s="399"/>
      <c r="Y36" s="399"/>
      <c r="Z36" s="399"/>
      <c r="AC36" s="400">
        <f t="shared" ref="AC7:AC36" si="4">SUM(E36:P36)</f>
        <v>181206181</v>
      </c>
    </row>
    <row r="37" spans="2:32" ht="21" hidden="1">
      <c r="B37" s="982" t="s">
        <v>548</v>
      </c>
      <c r="C37" s="521"/>
      <c r="D37" s="521"/>
      <c r="E37" s="521">
        <v>10118828</v>
      </c>
      <c r="F37" s="521">
        <v>10740515</v>
      </c>
      <c r="G37" s="817">
        <v>13086770</v>
      </c>
      <c r="H37" s="816">
        <v>16210549</v>
      </c>
      <c r="I37" s="521">
        <v>13939898</v>
      </c>
      <c r="J37" s="521">
        <v>12790412</v>
      </c>
      <c r="K37" s="393">
        <v>15569680</v>
      </c>
      <c r="L37" s="393">
        <v>14187207</v>
      </c>
      <c r="M37" s="393">
        <v>16723927</v>
      </c>
      <c r="N37" s="393">
        <v>38434082</v>
      </c>
      <c r="O37" s="395">
        <v>9487739</v>
      </c>
      <c r="P37" s="399">
        <v>10110518</v>
      </c>
      <c r="Q37" s="399">
        <v>10118828</v>
      </c>
      <c r="R37" s="399"/>
      <c r="S37" s="399"/>
      <c r="T37" s="399"/>
      <c r="U37" s="399"/>
      <c r="V37" s="399"/>
      <c r="W37" s="399"/>
      <c r="X37" s="399"/>
      <c r="Y37" s="399"/>
      <c r="Z37" s="399"/>
      <c r="AC37" s="542">
        <f>SUM(F37:Q37)</f>
        <v>181400125</v>
      </c>
    </row>
    <row r="38" spans="2:32" ht="21" hidden="1">
      <c r="B38" s="982" t="s">
        <v>549</v>
      </c>
      <c r="C38" s="521"/>
      <c r="D38" s="521"/>
      <c r="E38" s="521"/>
      <c r="F38" s="521"/>
      <c r="G38" s="817">
        <v>10740545</v>
      </c>
      <c r="H38" s="816">
        <v>13744104</v>
      </c>
      <c r="I38" s="521">
        <v>11644942</v>
      </c>
      <c r="J38" s="521">
        <v>10720890</v>
      </c>
      <c r="K38" s="393">
        <v>13074492</v>
      </c>
      <c r="L38" s="393">
        <v>12866331</v>
      </c>
      <c r="M38" s="393">
        <v>15266953</v>
      </c>
      <c r="N38" s="393">
        <v>36036076</v>
      </c>
      <c r="O38" s="395">
        <v>9528478</v>
      </c>
      <c r="P38" s="399">
        <v>10304776</v>
      </c>
      <c r="Q38" s="399">
        <v>11114824</v>
      </c>
      <c r="R38" s="975">
        <v>10740545</v>
      </c>
      <c r="S38" s="399"/>
      <c r="T38" s="399"/>
      <c r="U38" s="399"/>
      <c r="V38" s="399"/>
      <c r="W38" s="399"/>
      <c r="X38" s="399"/>
      <c r="Y38" s="399"/>
      <c r="Z38" s="399"/>
      <c r="AC38" s="542">
        <f>SUM(G38:R38)</f>
        <v>165782956</v>
      </c>
    </row>
    <row r="39" spans="2:32" ht="21" hidden="1">
      <c r="B39" s="999" t="s">
        <v>550</v>
      </c>
      <c r="C39" s="521"/>
      <c r="D39" s="521"/>
      <c r="E39" s="521"/>
      <c r="F39" s="521"/>
      <c r="G39" s="817"/>
      <c r="H39" s="816">
        <v>12997742</v>
      </c>
      <c r="I39" s="521">
        <v>10354837</v>
      </c>
      <c r="J39" s="521">
        <v>10787998</v>
      </c>
      <c r="K39" s="393">
        <v>12954999</v>
      </c>
      <c r="L39" s="393">
        <v>12347303</v>
      </c>
      <c r="M39" s="393">
        <v>14734875</v>
      </c>
      <c r="N39" s="393">
        <v>34217955</v>
      </c>
      <c r="O39" s="395">
        <v>9240393</v>
      </c>
      <c r="P39" s="399">
        <v>10007534</v>
      </c>
      <c r="Q39" s="399">
        <v>11964647</v>
      </c>
      <c r="R39" s="975">
        <v>11724733</v>
      </c>
      <c r="S39" s="399">
        <v>10958922</v>
      </c>
      <c r="T39" s="399"/>
      <c r="U39" s="399"/>
      <c r="V39" s="399"/>
      <c r="W39" s="399"/>
      <c r="X39" s="399"/>
      <c r="Y39" s="399"/>
      <c r="Z39" s="399"/>
      <c r="AC39" s="542">
        <f>SUM(H39:S39)</f>
        <v>162291938</v>
      </c>
    </row>
    <row r="40" spans="2:32" ht="21" hidden="1">
      <c r="B40" s="999" t="s">
        <v>551</v>
      </c>
      <c r="C40" s="521"/>
      <c r="D40" s="521"/>
      <c r="E40" s="521"/>
      <c r="F40" s="521"/>
      <c r="G40" s="817"/>
      <c r="H40" s="816"/>
      <c r="I40" s="521">
        <v>10230408</v>
      </c>
      <c r="J40" s="521">
        <v>10649988</v>
      </c>
      <c r="K40" s="393">
        <v>13041693</v>
      </c>
      <c r="L40" s="393">
        <v>12510991</v>
      </c>
      <c r="M40" s="393">
        <v>14913063</v>
      </c>
      <c r="N40" s="393">
        <v>34476936</v>
      </c>
      <c r="O40" s="395">
        <v>9422235</v>
      </c>
      <c r="P40" s="399">
        <v>10247474</v>
      </c>
      <c r="Q40" s="399">
        <v>12212036</v>
      </c>
      <c r="R40" s="975">
        <v>11967152</v>
      </c>
      <c r="S40" s="399">
        <v>12894770</v>
      </c>
      <c r="T40" s="399">
        <v>12997742</v>
      </c>
      <c r="U40" s="399"/>
      <c r="V40" s="399"/>
      <c r="W40" s="399"/>
      <c r="X40" s="399"/>
      <c r="Y40" s="399"/>
      <c r="Z40" s="399"/>
      <c r="AC40" s="542">
        <f>SUM(I40:T40)</f>
        <v>165564488</v>
      </c>
    </row>
    <row r="41" spans="2:32" ht="21" hidden="1">
      <c r="B41" s="999" t="s">
        <v>552</v>
      </c>
      <c r="C41" s="521"/>
      <c r="D41" s="521"/>
      <c r="E41" s="521"/>
      <c r="F41" s="521"/>
      <c r="G41" s="817"/>
      <c r="H41" s="816"/>
      <c r="I41" s="521"/>
      <c r="J41" s="521">
        <v>10498124</v>
      </c>
      <c r="K41" s="393">
        <v>13015769</v>
      </c>
      <c r="L41" s="393">
        <v>12689958</v>
      </c>
      <c r="M41" s="393">
        <v>15086755</v>
      </c>
      <c r="N41" s="393">
        <v>34989203</v>
      </c>
      <c r="O41" s="395">
        <v>9580940</v>
      </c>
      <c r="P41" s="399">
        <v>10392770</v>
      </c>
      <c r="Q41" s="399">
        <v>12370741</v>
      </c>
      <c r="R41" s="975">
        <v>12124562</v>
      </c>
      <c r="S41" s="399">
        <v>13078599</v>
      </c>
      <c r="T41" s="399">
        <v>14724583</v>
      </c>
      <c r="U41" s="399">
        <v>10230408</v>
      </c>
      <c r="V41" s="399"/>
      <c r="W41" s="399"/>
      <c r="X41" s="399"/>
      <c r="Y41" s="399"/>
      <c r="Z41" s="399"/>
      <c r="AC41" s="542">
        <f>SUM(J41:U41)</f>
        <v>168782412</v>
      </c>
    </row>
    <row r="42" spans="2:32" ht="21">
      <c r="B42" s="999" t="s">
        <v>553</v>
      </c>
      <c r="C42" s="521"/>
      <c r="D42" s="521"/>
      <c r="E42" s="521"/>
      <c r="F42" s="521"/>
      <c r="G42" s="817"/>
      <c r="H42" s="816"/>
      <c r="I42" s="521"/>
      <c r="J42" s="521"/>
      <c r="K42" s="393">
        <v>11554759</v>
      </c>
      <c r="L42" s="393">
        <v>12191516</v>
      </c>
      <c r="M42" s="393">
        <v>14755546</v>
      </c>
      <c r="N42" s="393">
        <v>34120302</v>
      </c>
      <c r="O42" s="395">
        <v>9520559</v>
      </c>
      <c r="P42" s="399">
        <v>10407039</v>
      </c>
      <c r="Q42" s="399">
        <v>12401626</v>
      </c>
      <c r="R42" s="975">
        <v>12179295</v>
      </c>
      <c r="S42" s="399">
        <v>13125420</v>
      </c>
      <c r="T42" s="399">
        <v>14817238</v>
      </c>
      <c r="U42" s="399">
        <v>11426908</v>
      </c>
      <c r="V42" s="399">
        <v>10498124</v>
      </c>
      <c r="W42" s="399"/>
      <c r="X42" s="399"/>
      <c r="Y42" s="399"/>
      <c r="Z42" s="399"/>
      <c r="AC42" s="542">
        <f>SUM(K42:V42)</f>
        <v>166998332</v>
      </c>
    </row>
    <row r="43" spans="2:32" s="55" customFormat="1" ht="21">
      <c r="B43" s="983" t="s">
        <v>554</v>
      </c>
      <c r="C43" s="976"/>
      <c r="D43" s="976"/>
      <c r="E43" s="521">
        <f>E35-E36</f>
        <v>-47313.650000000373</v>
      </c>
      <c r="F43" s="521">
        <f>F35-F37</f>
        <v>-2612977.8499999996</v>
      </c>
      <c r="G43" s="817">
        <f>G35-G38</f>
        <v>-152773.81000000052</v>
      </c>
      <c r="H43" s="816">
        <f>H35-H39</f>
        <v>-157852.3200000003</v>
      </c>
      <c r="I43" s="521">
        <f>I35-I40</f>
        <v>594311.91999999806</v>
      </c>
      <c r="J43" s="521">
        <f>J35-J41</f>
        <v>-873557.80815000087</v>
      </c>
      <c r="K43" s="393">
        <f>K35-K42</f>
        <v>-263247.20676500164</v>
      </c>
      <c r="L43" s="393">
        <f t="shared" ref="L43:N43" si="5">L35-L42</f>
        <v>-2154907.2161999997</v>
      </c>
      <c r="M43" s="393">
        <f t="shared" si="5"/>
        <v>-1792690.3899999987</v>
      </c>
      <c r="N43" s="393">
        <f t="shared" si="5"/>
        <v>-1750081.2532999925</v>
      </c>
      <c r="O43" s="393">
        <f t="shared" ref="O43" si="6">O35-O42</f>
        <v>-1532516.0560500007</v>
      </c>
      <c r="P43" s="393">
        <f t="shared" ref="P43" si="7">P35-P42</f>
        <v>-1418715.5868549999</v>
      </c>
      <c r="Q43" s="393">
        <f t="shared" ref="Q43" si="8">Q35-Q42</f>
        <v>-305.71636000089347</v>
      </c>
      <c r="R43" s="393">
        <f t="shared" ref="R43" si="9">R35-R42</f>
        <v>-284616.71591999941</v>
      </c>
      <c r="S43" s="393">
        <f t="shared" ref="S43" si="10">S35-S42</f>
        <v>-1064523.4696750026</v>
      </c>
      <c r="T43" s="393">
        <f t="shared" ref="T43" si="11">T35-T42</f>
        <v>753065.03974999674</v>
      </c>
      <c r="U43" s="393">
        <f t="shared" ref="U43" si="12">U35-U42</f>
        <v>325722.86005000211</v>
      </c>
      <c r="V43" s="393">
        <f t="shared" ref="V43" si="13">V35-V42</f>
        <v>520946.15324499831</v>
      </c>
      <c r="W43" s="393"/>
      <c r="X43" s="393"/>
      <c r="Y43" s="393"/>
      <c r="Z43" s="393"/>
      <c r="AA43" s="545"/>
      <c r="AB43" s="1343"/>
      <c r="AC43" s="542">
        <f>SUM(K43:V43)</f>
        <v>-8661869.5580799989</v>
      </c>
    </row>
    <row r="45" spans="2:32">
      <c r="H45" t="s">
        <v>555</v>
      </c>
      <c r="I45" t="s">
        <v>555</v>
      </c>
      <c r="J45" t="s">
        <v>555</v>
      </c>
      <c r="K45" t="s">
        <v>555</v>
      </c>
      <c r="L45" t="s">
        <v>555</v>
      </c>
      <c r="M45" t="s">
        <v>555</v>
      </c>
      <c r="N45" t="s">
        <v>555</v>
      </c>
    </row>
    <row r="46" spans="2:32">
      <c r="H46" t="s">
        <v>556</v>
      </c>
      <c r="I46" t="s">
        <v>557</v>
      </c>
      <c r="J46" t="s">
        <v>558</v>
      </c>
      <c r="K46" t="s">
        <v>559</v>
      </c>
      <c r="L46" s="401" t="s">
        <v>560</v>
      </c>
      <c r="M46" s="401" t="s">
        <v>561</v>
      </c>
      <c r="N46" t="s">
        <v>559</v>
      </c>
    </row>
    <row r="47" spans="2:32">
      <c r="H47" t="s">
        <v>559</v>
      </c>
      <c r="I47" t="s">
        <v>562</v>
      </c>
      <c r="J47" t="s">
        <v>563</v>
      </c>
      <c r="K47" t="s">
        <v>564</v>
      </c>
      <c r="L47" s="401" t="s">
        <v>565</v>
      </c>
      <c r="M47" s="401" t="s">
        <v>566</v>
      </c>
      <c r="N47" t="s">
        <v>564</v>
      </c>
    </row>
    <row r="48" spans="2:32">
      <c r="H48" t="s">
        <v>564</v>
      </c>
      <c r="I48" t="s">
        <v>567</v>
      </c>
      <c r="J48" t="s">
        <v>568</v>
      </c>
      <c r="K48" t="s">
        <v>569</v>
      </c>
      <c r="L48" s="401" t="s">
        <v>570</v>
      </c>
      <c r="M48" s="401" t="s">
        <v>571</v>
      </c>
      <c r="N48" t="s">
        <v>569</v>
      </c>
      <c r="AF48" s="1000"/>
    </row>
    <row r="49" spans="8:32">
      <c r="H49" t="s">
        <v>569</v>
      </c>
      <c r="I49" t="s">
        <v>572</v>
      </c>
      <c r="K49" t="s">
        <v>573</v>
      </c>
      <c r="L49" s="401" t="s">
        <v>574</v>
      </c>
      <c r="M49" s="401" t="s">
        <v>575</v>
      </c>
      <c r="N49" t="s">
        <v>573</v>
      </c>
      <c r="AF49" s="1000"/>
    </row>
    <row r="50" spans="8:32">
      <c r="H50" t="s">
        <v>573</v>
      </c>
      <c r="I50" t="s">
        <v>576</v>
      </c>
      <c r="K50" t="s">
        <v>557</v>
      </c>
      <c r="L50" s="401" t="s">
        <v>577</v>
      </c>
      <c r="M50" s="401" t="s">
        <v>578</v>
      </c>
      <c r="N50" t="s">
        <v>557</v>
      </c>
      <c r="AF50" s="1000"/>
    </row>
    <row r="51" spans="8:32">
      <c r="I51" t="s">
        <v>579</v>
      </c>
      <c r="K51" t="s">
        <v>562</v>
      </c>
      <c r="L51" s="401" t="s">
        <v>580</v>
      </c>
      <c r="M51" s="401" t="s">
        <v>581</v>
      </c>
      <c r="N51" t="s">
        <v>567</v>
      </c>
      <c r="AF51" s="1000"/>
    </row>
    <row r="52" spans="8:32">
      <c r="K52" t="s">
        <v>567</v>
      </c>
      <c r="M52" t="s">
        <v>582</v>
      </c>
      <c r="N52" t="s">
        <v>572</v>
      </c>
      <c r="AF52" s="1000"/>
    </row>
    <row r="53" spans="8:32">
      <c r="K53" t="s">
        <v>572</v>
      </c>
      <c r="M53" t="s">
        <v>583</v>
      </c>
      <c r="N53" t="s">
        <v>576</v>
      </c>
    </row>
    <row r="54" spans="8:32">
      <c r="K54" t="s">
        <v>576</v>
      </c>
      <c r="M54" t="s">
        <v>584</v>
      </c>
      <c r="N54" t="s">
        <v>579</v>
      </c>
    </row>
    <row r="55" spans="8:32">
      <c r="K55" t="s">
        <v>579</v>
      </c>
    </row>
    <row r="58" spans="8:32">
      <c r="H58" t="s">
        <v>585</v>
      </c>
      <c r="I58" t="s">
        <v>585</v>
      </c>
      <c r="J58" t="s">
        <v>585</v>
      </c>
      <c r="K58" t="s">
        <v>585</v>
      </c>
      <c r="L58" t="s">
        <v>585</v>
      </c>
      <c r="M58" t="s">
        <v>585</v>
      </c>
      <c r="N58" t="s">
        <v>585</v>
      </c>
    </row>
    <row r="59" spans="8:32">
      <c r="H59" t="s">
        <v>562</v>
      </c>
      <c r="I59" t="s">
        <v>562</v>
      </c>
      <c r="J59" t="s">
        <v>562</v>
      </c>
      <c r="K59" t="s">
        <v>586</v>
      </c>
      <c r="L59" t="s">
        <v>586</v>
      </c>
      <c r="M59" t="s">
        <v>582</v>
      </c>
      <c r="N59" t="s">
        <v>587</v>
      </c>
    </row>
    <row r="60" spans="8:32">
      <c r="H60" t="s">
        <v>586</v>
      </c>
      <c r="I60" t="s">
        <v>586</v>
      </c>
      <c r="J60" t="s">
        <v>586</v>
      </c>
      <c r="K60" t="s">
        <v>576</v>
      </c>
      <c r="L60" t="s">
        <v>576</v>
      </c>
      <c r="M60" t="s">
        <v>583</v>
      </c>
      <c r="N60" t="s">
        <v>586</v>
      </c>
    </row>
    <row r="61" spans="8:32">
      <c r="H61" t="s">
        <v>576</v>
      </c>
      <c r="I61" t="s">
        <v>576</v>
      </c>
      <c r="J61" t="s">
        <v>576</v>
      </c>
      <c r="K61" t="s">
        <v>579</v>
      </c>
      <c r="L61" t="s">
        <v>579</v>
      </c>
      <c r="M61" t="s">
        <v>584</v>
      </c>
      <c r="N61" t="s">
        <v>576</v>
      </c>
    </row>
    <row r="62" spans="8:32">
      <c r="H62" t="s">
        <v>579</v>
      </c>
      <c r="I62" t="s">
        <v>579</v>
      </c>
      <c r="J62" t="s">
        <v>579</v>
      </c>
      <c r="K62" t="s">
        <v>567</v>
      </c>
      <c r="L62" t="s">
        <v>567</v>
      </c>
      <c r="N62" t="s">
        <v>579</v>
      </c>
    </row>
    <row r="63" spans="8:32">
      <c r="H63" t="s">
        <v>567</v>
      </c>
      <c r="I63" t="s">
        <v>567</v>
      </c>
      <c r="J63" t="s">
        <v>567</v>
      </c>
      <c r="K63" t="s">
        <v>572</v>
      </c>
      <c r="L63" t="s">
        <v>572</v>
      </c>
      <c r="N63" t="s">
        <v>567</v>
      </c>
    </row>
    <row r="64" spans="8:32">
      <c r="H64" t="s">
        <v>572</v>
      </c>
      <c r="I64" t="s">
        <v>572</v>
      </c>
      <c r="J64" t="s">
        <v>572</v>
      </c>
      <c r="K64" t="s">
        <v>557</v>
      </c>
      <c r="L64" t="s">
        <v>557</v>
      </c>
      <c r="N64" t="s">
        <v>572</v>
      </c>
    </row>
    <row r="65" spans="8:14">
      <c r="H65" t="s">
        <v>557</v>
      </c>
      <c r="I65" t="s">
        <v>557</v>
      </c>
      <c r="J65" t="s">
        <v>557</v>
      </c>
      <c r="K65" t="s">
        <v>588</v>
      </c>
      <c r="L65" t="s">
        <v>588</v>
      </c>
      <c r="N65" t="s">
        <v>557</v>
      </c>
    </row>
    <row r="66" spans="8:14">
      <c r="H66" t="s">
        <v>588</v>
      </c>
      <c r="I66" t="s">
        <v>588</v>
      </c>
      <c r="J66" t="s">
        <v>588</v>
      </c>
      <c r="K66" t="s">
        <v>559</v>
      </c>
      <c r="L66" t="s">
        <v>559</v>
      </c>
      <c r="N66" t="s">
        <v>588</v>
      </c>
    </row>
    <row r="67" spans="8:14">
      <c r="H67" t="s">
        <v>559</v>
      </c>
      <c r="I67" t="s">
        <v>559</v>
      </c>
      <c r="J67" t="s">
        <v>559</v>
      </c>
      <c r="K67" t="s">
        <v>564</v>
      </c>
      <c r="L67" t="s">
        <v>564</v>
      </c>
      <c r="N67" t="s">
        <v>559</v>
      </c>
    </row>
    <row r="68" spans="8:14">
      <c r="H68" t="s">
        <v>564</v>
      </c>
      <c r="I68" t="s">
        <v>564</v>
      </c>
      <c r="J68" t="s">
        <v>564</v>
      </c>
      <c r="K68" t="s">
        <v>569</v>
      </c>
      <c r="L68" t="s">
        <v>569</v>
      </c>
      <c r="N68" t="s">
        <v>564</v>
      </c>
    </row>
    <row r="69" spans="8:14">
      <c r="H69" t="s">
        <v>569</v>
      </c>
      <c r="I69" t="s">
        <v>569</v>
      </c>
      <c r="J69" t="s">
        <v>569</v>
      </c>
      <c r="K69" t="s">
        <v>589</v>
      </c>
      <c r="L69" t="s">
        <v>589</v>
      </c>
      <c r="N69" t="s">
        <v>569</v>
      </c>
    </row>
    <row r="70" spans="8:14">
      <c r="H70" t="s">
        <v>589</v>
      </c>
      <c r="I70" t="s">
        <v>589</v>
      </c>
      <c r="J70" t="s">
        <v>589</v>
      </c>
      <c r="N70" t="s">
        <v>589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97C09-1354-45E4-8D5E-07DB966E6F68}">
  <dimension ref="A1:LB110"/>
  <sheetViews>
    <sheetView zoomScale="90" zoomScaleNormal="90" workbookViewId="0">
      <pane xSplit="2" ySplit="5" topLeftCell="C6" activePane="bottomRight" state="frozen"/>
      <selection pane="bottomRight" activeCell="C6" sqref="C6"/>
      <selection pane="bottomLeft" activeCell="A9" sqref="A9"/>
      <selection pane="topRight" activeCell="D1" sqref="D1"/>
    </sheetView>
  </sheetViews>
  <sheetFormatPr defaultColWidth="9.140625" defaultRowHeight="15" outlineLevelCol="1"/>
  <cols>
    <col min="2" max="2" width="14.140625" style="421" customWidth="1"/>
    <col min="3" max="4" width="15.7109375" customWidth="1" outlineLevel="1"/>
    <col min="5" max="5" width="12.85546875" customWidth="1" outlineLevel="1"/>
    <col min="6" max="6" width="17.42578125" customWidth="1" outlineLevel="1"/>
    <col min="7" max="7" width="10.5703125" customWidth="1" outlineLevel="1"/>
    <col min="8" max="9" width="19.85546875" customWidth="1" outlineLevel="1"/>
    <col min="10" max="10" width="11.85546875" customWidth="1" outlineLevel="1"/>
    <col min="11" max="11" width="15.7109375" customWidth="1" outlineLevel="1"/>
    <col min="12" max="12" width="9.140625" customWidth="1" outlineLevel="1"/>
    <col min="13" max="13" width="16.42578125" customWidth="1" outlineLevel="1"/>
    <col min="14" max="14" width="15.7109375" customWidth="1" outlineLevel="1"/>
    <col min="15" max="15" width="12.28515625" customWidth="1" outlineLevel="1"/>
    <col min="16" max="16" width="15.7109375" customWidth="1" outlineLevel="1"/>
    <col min="17" max="17" width="10.5703125" customWidth="1" outlineLevel="1"/>
    <col min="18" max="19" width="15.7109375" customWidth="1" outlineLevel="1"/>
    <col min="20" max="20" width="13.5703125" customWidth="1" outlineLevel="1"/>
    <col min="21" max="21" width="15.7109375" customWidth="1" outlineLevel="1"/>
    <col min="22" max="22" width="9.85546875" customWidth="1" outlineLevel="1"/>
    <col min="23" max="23" width="15.7109375" bestFit="1" customWidth="1"/>
    <col min="24" max="25" width="9.140625" customWidth="1"/>
    <col min="26" max="26" width="12" bestFit="1" customWidth="1"/>
    <col min="27" max="28" width="15.7109375" hidden="1" customWidth="1" outlineLevel="1"/>
    <col min="29" max="29" width="9.140625" hidden="1" customWidth="1" outlineLevel="1"/>
    <col min="30" max="30" width="16.85546875" hidden="1" customWidth="1" outlineLevel="1"/>
    <col min="31" max="31" width="9.140625" hidden="1" customWidth="1" outlineLevel="1"/>
    <col min="32" max="33" width="15.7109375" hidden="1" customWidth="1" outlineLevel="1"/>
    <col min="34" max="34" width="11.5703125" hidden="1" customWidth="1" outlineLevel="1"/>
    <col min="35" max="35" width="15.7109375" hidden="1" customWidth="1" outlineLevel="1"/>
    <col min="36" max="36" width="9.140625" hidden="1" customWidth="1" outlineLevel="1"/>
    <col min="37" max="38" width="15.7109375" hidden="1" customWidth="1" outlineLevel="1"/>
    <col min="39" max="39" width="12.28515625" hidden="1" customWidth="1" outlineLevel="1"/>
    <col min="40" max="40" width="15.7109375" hidden="1" customWidth="1" outlineLevel="1"/>
    <col min="41" max="41" width="10" hidden="1" customWidth="1" outlineLevel="1"/>
    <col min="42" max="43" width="15.7109375" hidden="1" customWidth="1" outlineLevel="1"/>
    <col min="44" max="44" width="12.140625" hidden="1" customWidth="1" outlineLevel="1"/>
    <col min="45" max="45" width="15.7109375" hidden="1" customWidth="1" outlineLevel="1"/>
    <col min="46" max="46" width="11.85546875" hidden="1" customWidth="1" outlineLevel="1"/>
    <col min="47" max="47" width="17.28515625" bestFit="1" customWidth="1" collapsed="1"/>
    <col min="48" max="48" width="15.5703125" customWidth="1"/>
    <col min="49" max="50" width="9.140625" customWidth="1"/>
    <col min="51" max="51" width="16.42578125" hidden="1" customWidth="1" outlineLevel="1"/>
    <col min="52" max="52" width="15.7109375" hidden="1" customWidth="1" outlineLevel="1"/>
    <col min="53" max="53" width="11.42578125" hidden="1" customWidth="1" outlineLevel="1"/>
    <col min="54" max="54" width="19.85546875" hidden="1" customWidth="1" outlineLevel="1"/>
    <col min="55" max="55" width="9.140625" hidden="1" customWidth="1" outlineLevel="1"/>
    <col min="56" max="57" width="15.7109375" hidden="1" customWidth="1" outlineLevel="1"/>
    <col min="58" max="58" width="9.140625" hidden="1" customWidth="1" outlineLevel="1"/>
    <col min="59" max="59" width="15.7109375" hidden="1" customWidth="1" outlineLevel="1"/>
    <col min="60" max="60" width="9.140625" hidden="1" customWidth="1" outlineLevel="1"/>
    <col min="61" max="62" width="15.7109375" hidden="1" customWidth="1" outlineLevel="1"/>
    <col min="63" max="63" width="10.28515625" hidden="1" customWidth="1" outlineLevel="1"/>
    <col min="64" max="64" width="19.85546875" hidden="1" customWidth="1" outlineLevel="1"/>
    <col min="65" max="65" width="9.140625" hidden="1" customWidth="1" outlineLevel="1"/>
    <col min="66" max="67" width="15.7109375" hidden="1" customWidth="1" outlineLevel="1"/>
    <col min="68" max="68" width="8.140625" style="421" hidden="1" customWidth="1" outlineLevel="1"/>
    <col min="69" max="69" width="17.5703125" hidden="1" customWidth="1" outlineLevel="1"/>
    <col min="70" max="70" width="14.28515625" hidden="1" customWidth="1" outlineLevel="1"/>
    <col min="71" max="71" width="17.28515625" hidden="1" customWidth="1" outlineLevel="1"/>
    <col min="72" max="72" width="18.5703125" hidden="1" customWidth="1" outlineLevel="1"/>
    <col min="73" max="73" width="8.28515625" hidden="1" customWidth="1" outlineLevel="1"/>
    <col min="74" max="74" width="18.5703125" hidden="1" customWidth="1" outlineLevel="1"/>
    <col min="75" max="75" width="12.140625" hidden="1" customWidth="1" outlineLevel="1"/>
    <col min="76" max="76" width="17" bestFit="1" customWidth="1" collapsed="1"/>
    <col min="77" max="77" width="12.5703125" customWidth="1"/>
    <col min="78" max="78" width="18.85546875" customWidth="1"/>
    <col min="79" max="79" width="13.5703125" customWidth="1"/>
    <col min="80" max="80" width="17.28515625" hidden="1" customWidth="1" outlineLevel="1"/>
    <col min="81" max="81" width="18.42578125" hidden="1" customWidth="1" outlineLevel="1"/>
    <col min="82" max="82" width="13.7109375" hidden="1" customWidth="1" outlineLevel="1"/>
    <col min="83" max="83" width="18.140625" hidden="1" customWidth="1" outlineLevel="1"/>
    <col min="84" max="84" width="13.85546875" hidden="1" customWidth="1" outlineLevel="1"/>
    <col min="85" max="86" width="17.28515625" hidden="1" customWidth="1" outlineLevel="1"/>
    <col min="87" max="87" width="12" hidden="1" customWidth="1" outlineLevel="1"/>
    <col min="88" max="88" width="17" hidden="1" customWidth="1" outlineLevel="1"/>
    <col min="89" max="89" width="12.140625" hidden="1" customWidth="1" outlineLevel="1"/>
    <col min="90" max="90" width="19.28515625" hidden="1" customWidth="1" outlineLevel="1"/>
    <col min="91" max="91" width="17" hidden="1" customWidth="1" outlineLevel="1"/>
    <col min="92" max="92" width="9.140625" hidden="1" customWidth="1" outlineLevel="1"/>
    <col min="93" max="93" width="17" hidden="1" customWidth="1" outlineLevel="1"/>
    <col min="94" max="94" width="12.140625" hidden="1" customWidth="1" outlineLevel="1"/>
    <col min="95" max="96" width="17.28515625" hidden="1" customWidth="1" outlineLevel="1"/>
    <col min="97" max="97" width="8.28515625" hidden="1" customWidth="1" outlineLevel="1"/>
    <col min="98" max="98" width="17.42578125" hidden="1" customWidth="1" outlineLevel="1"/>
    <col min="99" max="99" width="12.5703125" hidden="1" customWidth="1" outlineLevel="1"/>
    <col min="100" max="100" width="17" bestFit="1" customWidth="1" collapsed="1"/>
    <col min="101" max="102" width="15.7109375" bestFit="1" customWidth="1"/>
    <col min="103" max="103" width="12.140625" bestFit="1" customWidth="1"/>
    <col min="104" max="105" width="17.28515625" hidden="1" customWidth="1" outlineLevel="1"/>
    <col min="106" max="106" width="9.140625" hidden="1" customWidth="1" outlineLevel="1"/>
    <col min="107" max="107" width="21" hidden="1" customWidth="1" outlineLevel="1"/>
    <col min="108" max="108" width="12.140625" hidden="1" customWidth="1" outlineLevel="1"/>
    <col min="109" max="109" width="17.140625" hidden="1" customWidth="1" outlineLevel="1"/>
    <col min="110" max="110" width="17.28515625" hidden="1" customWidth="1" outlineLevel="1"/>
    <col min="111" max="111" width="10.28515625" hidden="1" customWidth="1" outlineLevel="1"/>
    <col min="112" max="112" width="16.7109375" hidden="1" customWidth="1" outlineLevel="1"/>
    <col min="113" max="113" width="12.140625" hidden="1" customWidth="1" outlineLevel="1"/>
    <col min="114" max="115" width="17.28515625" hidden="1" customWidth="1" outlineLevel="1"/>
    <col min="116" max="116" width="8.28515625" hidden="1" customWidth="1" outlineLevel="1"/>
    <col min="117" max="117" width="18.5703125" hidden="1" customWidth="1" outlineLevel="1"/>
    <col min="118" max="118" width="12.140625" hidden="1" customWidth="1" outlineLevel="1"/>
    <col min="119" max="120" width="17.28515625" hidden="1" customWidth="1" outlineLevel="1"/>
    <col min="121" max="122" width="9.140625" hidden="1" customWidth="1" outlineLevel="1"/>
    <col min="123" max="123" width="12.140625" hidden="1" customWidth="1" outlineLevel="1"/>
    <col min="124" max="124" width="17" bestFit="1" customWidth="1" collapsed="1"/>
    <col min="125" max="125" width="17.28515625" bestFit="1" customWidth="1"/>
    <col min="126" max="126" width="15.7109375" bestFit="1" customWidth="1"/>
    <col min="127" max="127" width="12.140625" customWidth="1"/>
    <col min="128" max="129" width="17.28515625" hidden="1" customWidth="1" outlineLevel="1"/>
    <col min="130" max="130" width="9.140625" hidden="1" customWidth="1" outlineLevel="1"/>
    <col min="131" max="131" width="15.42578125" hidden="1" customWidth="1" outlineLevel="1"/>
    <col min="132" max="132" width="12.140625" hidden="1" customWidth="1" outlineLevel="1"/>
    <col min="133" max="134" width="17.28515625" hidden="1" customWidth="1" outlineLevel="1"/>
    <col min="135" max="135" width="9.140625" hidden="1" customWidth="1" outlineLevel="1"/>
    <col min="136" max="136" width="12.7109375" hidden="1" customWidth="1" outlineLevel="1"/>
    <col min="137" max="137" width="11.85546875" hidden="1" customWidth="1" outlineLevel="1"/>
    <col min="138" max="139" width="17.28515625" hidden="1" customWidth="1" outlineLevel="1"/>
    <col min="140" max="140" width="9.140625" hidden="1" customWidth="1" outlineLevel="1"/>
    <col min="141" max="141" width="11" hidden="1" customWidth="1" outlineLevel="1"/>
    <col min="142" max="142" width="12.140625" hidden="1" customWidth="1" outlineLevel="1"/>
    <col min="143" max="143" width="17.140625" hidden="1" customWidth="1" outlineLevel="1"/>
    <col min="144" max="144" width="17.28515625" hidden="1" customWidth="1" outlineLevel="1"/>
    <col min="145" max="145" width="9.140625" hidden="1" customWidth="1" outlineLevel="1"/>
    <col min="146" max="146" width="10.28515625" hidden="1" customWidth="1" outlineLevel="1"/>
    <col min="147" max="147" width="12.140625" hidden="1" customWidth="1" outlineLevel="1"/>
    <col min="148" max="149" width="17.28515625" hidden="1" customWidth="1" outlineLevel="1"/>
    <col min="150" max="151" width="9.140625" hidden="1" customWidth="1" outlineLevel="1"/>
    <col min="152" max="152" width="12.140625" hidden="1" customWidth="1" outlineLevel="1"/>
    <col min="153" max="153" width="17.28515625" bestFit="1" customWidth="1" collapsed="1"/>
    <col min="154" max="154" width="10.85546875" customWidth="1"/>
    <col min="155" max="155" width="13.140625" customWidth="1"/>
    <col min="156" max="156" width="9.140625" customWidth="1"/>
    <col min="157" max="157" width="17.28515625" hidden="1" customWidth="1" outlineLevel="1"/>
    <col min="158" max="158" width="20" hidden="1" customWidth="1" outlineLevel="1"/>
    <col min="159" max="159" width="9.140625" hidden="1" customWidth="1" outlineLevel="1"/>
    <col min="160" max="160" width="17.140625" hidden="1" customWidth="1" outlineLevel="1"/>
    <col min="161" max="161" width="12.5703125" hidden="1" customWidth="1" outlineLevel="1"/>
    <col min="162" max="163" width="17.28515625" hidden="1" customWidth="1" outlineLevel="1"/>
    <col min="164" max="165" width="9.140625" hidden="1" customWidth="1" outlineLevel="1"/>
    <col min="166" max="166" width="12.140625" hidden="1" customWidth="1" outlineLevel="1"/>
    <col min="167" max="168" width="17.28515625" hidden="1" customWidth="1" outlineLevel="1"/>
    <col min="169" max="170" width="9.140625" hidden="1" customWidth="1" outlineLevel="1"/>
    <col min="171" max="171" width="12.140625" hidden="1" customWidth="1" outlineLevel="1"/>
    <col min="172" max="173" width="17.42578125" hidden="1" customWidth="1" outlineLevel="1"/>
    <col min="174" max="174" width="12.140625" hidden="1" customWidth="1" outlineLevel="1"/>
    <col min="175" max="176" width="9.140625" hidden="1" customWidth="1" outlineLevel="1"/>
    <col min="177" max="177" width="17.28515625" bestFit="1" customWidth="1" collapsed="1"/>
    <col min="178" max="180" width="9.140625" customWidth="1"/>
    <col min="181" max="181" width="18.85546875" hidden="1" customWidth="1" outlineLevel="1"/>
    <col min="182" max="182" width="19.85546875" hidden="1" customWidth="1" outlineLevel="1"/>
    <col min="183" max="184" width="9.140625" hidden="1" customWidth="1" outlineLevel="1"/>
    <col min="185" max="185" width="11.5703125" hidden="1" customWidth="1" outlineLevel="1"/>
    <col min="186" max="187" width="15.7109375" hidden="1" customWidth="1" outlineLevel="1"/>
    <col min="188" max="189" width="9.140625" hidden="1" customWidth="1" outlineLevel="1"/>
    <col min="190" max="190" width="11.5703125" hidden="1" customWidth="1" outlineLevel="1"/>
    <col min="191" max="192" width="15.7109375" hidden="1" customWidth="1" outlineLevel="1"/>
    <col min="193" max="195" width="9.140625" hidden="1" customWidth="1" outlineLevel="1"/>
    <col min="196" max="197" width="15.7109375" hidden="1" customWidth="1" outlineLevel="1"/>
    <col min="198" max="199" width="9.140625" hidden="1" customWidth="1" outlineLevel="1"/>
    <col min="200" max="200" width="9.42578125" hidden="1" customWidth="1" outlineLevel="1"/>
    <col min="201" max="201" width="17.28515625" bestFit="1" customWidth="1" collapsed="1"/>
    <col min="202" max="203" width="9.140625" customWidth="1"/>
    <col min="204" max="204" width="12" bestFit="1" customWidth="1"/>
    <col min="205" max="206" width="15.7109375" hidden="1" customWidth="1" outlineLevel="1"/>
    <col min="207" max="209" width="9.140625" hidden="1" customWidth="1" outlineLevel="1"/>
    <col min="210" max="211" width="15.7109375" hidden="1" customWidth="1" outlineLevel="1"/>
    <col min="212" max="214" width="9.140625" hidden="1" customWidth="1" outlineLevel="1"/>
    <col min="215" max="216" width="15.7109375" hidden="1" customWidth="1" outlineLevel="1"/>
    <col min="217" max="219" width="9.140625" hidden="1" customWidth="1" outlineLevel="1"/>
    <col min="220" max="221" width="15.7109375" hidden="1" customWidth="1" outlineLevel="1"/>
    <col min="222" max="224" width="9.140625" hidden="1" customWidth="1" outlineLevel="1"/>
    <col min="225" max="226" width="15.7109375" hidden="1" customWidth="1" outlineLevel="1"/>
    <col min="227" max="229" width="9.140625" hidden="1" customWidth="1" outlineLevel="1"/>
    <col min="230" max="230" width="17.28515625" bestFit="1" customWidth="1" collapsed="1"/>
    <col min="231" max="231" width="14.28515625" customWidth="1"/>
    <col min="232" max="232" width="9.140625" customWidth="1"/>
    <col min="233" max="233" width="12" bestFit="1" customWidth="1"/>
    <col min="234" max="235" width="15.7109375" hidden="1" customWidth="1" outlineLevel="1"/>
    <col min="236" max="238" width="9.140625" hidden="1" customWidth="1" outlineLevel="1"/>
    <col min="239" max="240" width="15.7109375" hidden="1" customWidth="1" outlineLevel="1"/>
    <col min="241" max="243" width="9.140625" hidden="1" customWidth="1" outlineLevel="1"/>
    <col min="244" max="245" width="15.7109375" hidden="1" customWidth="1" outlineLevel="1"/>
    <col min="246" max="248" width="9.140625" hidden="1" customWidth="1" outlineLevel="1"/>
    <col min="249" max="250" width="15.7109375" hidden="1" customWidth="1" outlineLevel="1"/>
    <col min="251" max="253" width="9.140625" hidden="1" customWidth="1" outlineLevel="1"/>
    <col min="254" max="254" width="18.7109375" customWidth="1" collapsed="1"/>
    <col min="255" max="256" width="9.140625" customWidth="1"/>
    <col min="257" max="257" width="12" bestFit="1" customWidth="1"/>
    <col min="258" max="259" width="15.7109375" hidden="1" customWidth="1" outlineLevel="1"/>
    <col min="260" max="262" width="9.140625" hidden="1" customWidth="1" outlineLevel="1"/>
    <col min="263" max="264" width="15.7109375" hidden="1" customWidth="1" outlineLevel="1"/>
    <col min="265" max="267" width="9.140625" hidden="1" customWidth="1" outlineLevel="1"/>
    <col min="268" max="269" width="15.7109375" hidden="1" customWidth="1" outlineLevel="1"/>
    <col min="270" max="272" width="9.140625" hidden="1" customWidth="1" outlineLevel="1"/>
    <col min="273" max="274" width="15.7109375" hidden="1" customWidth="1" outlineLevel="1"/>
    <col min="275" max="276" width="9.140625" hidden="1" customWidth="1" outlineLevel="1"/>
    <col min="277" max="277" width="14" hidden="1" customWidth="1" outlineLevel="1"/>
    <col min="278" max="278" width="21.140625" customWidth="1" collapsed="1"/>
    <col min="279" max="279" width="14.140625" customWidth="1"/>
    <col min="280" max="280" width="14.85546875" customWidth="1"/>
    <col min="281" max="281" width="12" bestFit="1" customWidth="1"/>
    <col min="282" max="283" width="15.7109375" hidden="1" customWidth="1" outlineLevel="1"/>
    <col min="284" max="284" width="9.140625" hidden="1" customWidth="1" outlineLevel="1"/>
    <col min="285" max="285" width="10.85546875" hidden="1" customWidth="1" outlineLevel="1"/>
    <col min="286" max="286" width="9.140625" hidden="1" customWidth="1" outlineLevel="1"/>
    <col min="287" max="288" width="15.7109375" hidden="1" customWidth="1" outlineLevel="1"/>
    <col min="289" max="291" width="9.140625" hidden="1" customWidth="1" outlineLevel="1"/>
    <col min="292" max="293" width="15.7109375" hidden="1" customWidth="1" outlineLevel="1"/>
    <col min="294" max="296" width="9.140625" hidden="1" customWidth="1" outlineLevel="1"/>
    <col min="297" max="298" width="15.7109375" hidden="1" customWidth="1" outlineLevel="1"/>
    <col min="299" max="300" width="9.140625" hidden="1" customWidth="1" outlineLevel="1"/>
    <col min="301" max="301" width="12" hidden="1" customWidth="1" outlineLevel="1"/>
    <col min="302" max="303" width="17.42578125" hidden="1" customWidth="1" outlineLevel="1"/>
    <col min="304" max="305" width="9.140625" hidden="1" customWidth="1" outlineLevel="1"/>
    <col min="306" max="306" width="12" hidden="1" customWidth="1" outlineLevel="1"/>
    <col min="307" max="307" width="19.28515625" customWidth="1" collapsed="1"/>
    <col min="308" max="308" width="14.85546875" customWidth="1"/>
    <col min="309" max="309" width="13.7109375" customWidth="1"/>
    <col min="310" max="310" width="14.28515625" customWidth="1"/>
    <col min="311" max="312" width="17.28515625" bestFit="1" customWidth="1"/>
    <col min="313" max="313" width="20.85546875" customWidth="1"/>
    <col min="314" max="314" width="12" bestFit="1" customWidth="1"/>
    <col min="315" max="315" width="9.140625" customWidth="1"/>
  </cols>
  <sheetData>
    <row r="1" spans="1:314" ht="15.75" thickBot="1"/>
    <row r="2" spans="1:314" s="682" customFormat="1" ht="19.5" customHeight="1">
      <c r="A2" s="680"/>
      <c r="B2" s="681"/>
      <c r="C2" s="1831" t="s">
        <v>48</v>
      </c>
      <c r="D2" s="1832"/>
      <c r="E2" s="1832"/>
      <c r="F2" s="1832"/>
      <c r="G2" s="1832"/>
      <c r="H2" s="1832"/>
      <c r="I2" s="1832"/>
      <c r="J2" s="1832"/>
      <c r="K2" s="1832"/>
      <c r="L2" s="1832"/>
      <c r="M2" s="1832"/>
      <c r="N2" s="1832"/>
      <c r="O2" s="1832"/>
      <c r="P2" s="1832"/>
      <c r="Q2" s="1832"/>
      <c r="R2" s="1832"/>
      <c r="S2" s="1832"/>
      <c r="T2" s="1832"/>
      <c r="U2" s="1832"/>
      <c r="V2" s="1832"/>
      <c r="W2" s="1832"/>
      <c r="X2" s="1832"/>
      <c r="Y2" s="1832"/>
      <c r="Z2" s="1833"/>
      <c r="AA2" s="1834" t="s">
        <v>49</v>
      </c>
      <c r="AB2" s="1835"/>
      <c r="AC2" s="1835"/>
      <c r="AD2" s="1835"/>
      <c r="AE2" s="1835"/>
      <c r="AF2" s="1835"/>
      <c r="AG2" s="1835"/>
      <c r="AH2" s="1835"/>
      <c r="AI2" s="1835"/>
      <c r="AJ2" s="1835"/>
      <c r="AK2" s="1835"/>
      <c r="AL2" s="1835"/>
      <c r="AM2" s="1835"/>
      <c r="AN2" s="1835"/>
      <c r="AO2" s="1835"/>
      <c r="AP2" s="1835"/>
      <c r="AQ2" s="1835"/>
      <c r="AR2" s="1835"/>
      <c r="AS2" s="1835"/>
      <c r="AT2" s="1835"/>
      <c r="AU2" s="1835"/>
      <c r="AV2" s="1835"/>
      <c r="AW2" s="1835"/>
      <c r="AX2" s="1836"/>
      <c r="AY2" s="1848" t="s">
        <v>50</v>
      </c>
      <c r="AZ2" s="1848"/>
      <c r="BA2" s="1848"/>
      <c r="BB2" s="1848"/>
      <c r="BC2" s="1848"/>
      <c r="BD2" s="1848"/>
      <c r="BE2" s="1848"/>
      <c r="BF2" s="1848"/>
      <c r="BG2" s="1848"/>
      <c r="BH2" s="1848"/>
      <c r="BI2" s="1848"/>
      <c r="BJ2" s="1848"/>
      <c r="BK2" s="1848"/>
      <c r="BL2" s="1848"/>
      <c r="BM2" s="1848"/>
      <c r="BN2" s="1848"/>
      <c r="BO2" s="1848"/>
      <c r="BP2" s="1848"/>
      <c r="BQ2" s="1848"/>
      <c r="BR2" s="1848"/>
      <c r="BS2" s="1848"/>
      <c r="BT2" s="1848"/>
      <c r="BU2" s="1848"/>
      <c r="BV2" s="1848"/>
      <c r="BW2" s="1848"/>
      <c r="BX2" s="1848"/>
      <c r="BY2" s="1848"/>
      <c r="BZ2" s="1848"/>
      <c r="CA2" s="1849"/>
      <c r="CB2" s="1834" t="s">
        <v>51</v>
      </c>
      <c r="CC2" s="1835"/>
      <c r="CD2" s="1835"/>
      <c r="CE2" s="1835"/>
      <c r="CF2" s="1835"/>
      <c r="CG2" s="1835"/>
      <c r="CH2" s="1835"/>
      <c r="CI2" s="1835"/>
      <c r="CJ2" s="1835"/>
      <c r="CK2" s="1835"/>
      <c r="CL2" s="1835"/>
      <c r="CM2" s="1835"/>
      <c r="CN2" s="1835"/>
      <c r="CO2" s="1835"/>
      <c r="CP2" s="1835"/>
      <c r="CQ2" s="1835"/>
      <c r="CR2" s="1835"/>
      <c r="CS2" s="1835"/>
      <c r="CT2" s="1835"/>
      <c r="CU2" s="1835"/>
      <c r="CV2" s="1835"/>
      <c r="CW2" s="1835"/>
      <c r="CX2" s="1835"/>
      <c r="CY2" s="1836"/>
      <c r="CZ2" s="1831" t="s">
        <v>52</v>
      </c>
      <c r="DA2" s="1832"/>
      <c r="DB2" s="1832"/>
      <c r="DC2" s="1832"/>
      <c r="DD2" s="1832"/>
      <c r="DE2" s="1832"/>
      <c r="DF2" s="1832"/>
      <c r="DG2" s="1832"/>
      <c r="DH2" s="1832"/>
      <c r="DI2" s="1832"/>
      <c r="DJ2" s="1832"/>
      <c r="DK2" s="1832"/>
      <c r="DL2" s="1832"/>
      <c r="DM2" s="1832"/>
      <c r="DN2" s="1832"/>
      <c r="DO2" s="1832"/>
      <c r="DP2" s="1832"/>
      <c r="DQ2" s="1832"/>
      <c r="DR2" s="1832"/>
      <c r="DS2" s="1832"/>
      <c r="DT2" s="1832"/>
      <c r="DU2" s="1832"/>
      <c r="DV2" s="1832"/>
      <c r="DW2" s="1833"/>
      <c r="DX2" s="1851" t="s">
        <v>53</v>
      </c>
      <c r="DY2" s="1852"/>
      <c r="DZ2" s="1852"/>
      <c r="EA2" s="1852"/>
      <c r="EB2" s="1852"/>
      <c r="EC2" s="1852"/>
      <c r="ED2" s="1852"/>
      <c r="EE2" s="1852"/>
      <c r="EF2" s="1852"/>
      <c r="EG2" s="1852"/>
      <c r="EH2" s="1852"/>
      <c r="EI2" s="1852"/>
      <c r="EJ2" s="1852"/>
      <c r="EK2" s="1852"/>
      <c r="EL2" s="1852"/>
      <c r="EM2" s="1852"/>
      <c r="EN2" s="1852"/>
      <c r="EO2" s="1852"/>
      <c r="EP2" s="1852"/>
      <c r="EQ2" s="1852"/>
      <c r="ER2" s="1852"/>
      <c r="ES2" s="1852"/>
      <c r="ET2" s="1852"/>
      <c r="EU2" s="1852"/>
      <c r="EV2" s="1852"/>
      <c r="EW2" s="1852"/>
      <c r="EX2" s="1852"/>
      <c r="EY2" s="1852"/>
      <c r="EZ2" s="1853"/>
      <c r="FA2" s="1831" t="s">
        <v>54</v>
      </c>
      <c r="FB2" s="1832"/>
      <c r="FC2" s="1832"/>
      <c r="FD2" s="1832"/>
      <c r="FE2" s="1832"/>
      <c r="FF2" s="1832"/>
      <c r="FG2" s="1832"/>
      <c r="FH2" s="1832"/>
      <c r="FI2" s="1832"/>
      <c r="FJ2" s="1832"/>
      <c r="FK2" s="1832"/>
      <c r="FL2" s="1832"/>
      <c r="FM2" s="1832"/>
      <c r="FN2" s="1832"/>
      <c r="FO2" s="1832"/>
      <c r="FP2" s="1832"/>
      <c r="FQ2" s="1832"/>
      <c r="FR2" s="1832"/>
      <c r="FS2" s="1832"/>
      <c r="FT2" s="1832"/>
      <c r="FU2" s="1832"/>
      <c r="FV2" s="1832"/>
      <c r="FW2" s="1832"/>
      <c r="FX2" s="1833"/>
      <c r="FY2" s="1834" t="s">
        <v>55</v>
      </c>
      <c r="FZ2" s="1835"/>
      <c r="GA2" s="1835"/>
      <c r="GB2" s="1835"/>
      <c r="GC2" s="1835"/>
      <c r="GD2" s="1835"/>
      <c r="GE2" s="1835"/>
      <c r="GF2" s="1835"/>
      <c r="GG2" s="1835"/>
      <c r="GH2" s="1835"/>
      <c r="GI2" s="1835"/>
      <c r="GJ2" s="1835"/>
      <c r="GK2" s="1835"/>
      <c r="GL2" s="1835"/>
      <c r="GM2" s="1835"/>
      <c r="GN2" s="1835"/>
      <c r="GO2" s="1835"/>
      <c r="GP2" s="1835"/>
      <c r="GQ2" s="1835"/>
      <c r="GR2" s="1835"/>
      <c r="GS2" s="1835"/>
      <c r="GT2" s="1835"/>
      <c r="GU2" s="1835"/>
      <c r="GV2" s="1836"/>
      <c r="GW2" s="1848" t="s">
        <v>56</v>
      </c>
      <c r="GX2" s="1848"/>
      <c r="GY2" s="1848"/>
      <c r="GZ2" s="1848"/>
      <c r="HA2" s="1848"/>
      <c r="HB2" s="1848"/>
      <c r="HC2" s="1848"/>
      <c r="HD2" s="1848"/>
      <c r="HE2" s="1848"/>
      <c r="HF2" s="1848"/>
      <c r="HG2" s="1848"/>
      <c r="HH2" s="1848"/>
      <c r="HI2" s="1848"/>
      <c r="HJ2" s="1848"/>
      <c r="HK2" s="1848"/>
      <c r="HL2" s="1848"/>
      <c r="HM2" s="1848"/>
      <c r="HN2" s="1848"/>
      <c r="HO2" s="1848"/>
      <c r="HP2" s="1848"/>
      <c r="HQ2" s="1848"/>
      <c r="HR2" s="1848"/>
      <c r="HS2" s="1848"/>
      <c r="HT2" s="1848"/>
      <c r="HU2" s="1848"/>
      <c r="HV2" s="1848"/>
      <c r="HW2" s="1848"/>
      <c r="HX2" s="1848"/>
      <c r="HY2" s="1849"/>
      <c r="HZ2" s="1834" t="s">
        <v>57</v>
      </c>
      <c r="IA2" s="1835"/>
      <c r="IB2" s="1835"/>
      <c r="IC2" s="1835"/>
      <c r="ID2" s="1835"/>
      <c r="IE2" s="1835"/>
      <c r="IF2" s="1835"/>
      <c r="IG2" s="1835"/>
      <c r="IH2" s="1835"/>
      <c r="II2" s="1835"/>
      <c r="IJ2" s="1835"/>
      <c r="IK2" s="1835"/>
      <c r="IL2" s="1835"/>
      <c r="IM2" s="1835"/>
      <c r="IN2" s="1835"/>
      <c r="IO2" s="1835"/>
      <c r="IP2" s="1835"/>
      <c r="IQ2" s="1835"/>
      <c r="IR2" s="1835"/>
      <c r="IS2" s="1835"/>
      <c r="IT2" s="1835"/>
      <c r="IU2" s="1835"/>
      <c r="IV2" s="1835"/>
      <c r="IW2" s="1836"/>
      <c r="IX2" s="1831" t="s">
        <v>58</v>
      </c>
      <c r="IY2" s="1832"/>
      <c r="IZ2" s="1832"/>
      <c r="JA2" s="1832"/>
      <c r="JB2" s="1832"/>
      <c r="JC2" s="1832"/>
      <c r="JD2" s="1832"/>
      <c r="JE2" s="1832"/>
      <c r="JF2" s="1832"/>
      <c r="JG2" s="1832"/>
      <c r="JH2" s="1832"/>
      <c r="JI2" s="1832"/>
      <c r="JJ2" s="1832"/>
      <c r="JK2" s="1832"/>
      <c r="JL2" s="1832"/>
      <c r="JM2" s="1832"/>
      <c r="JN2" s="1832"/>
      <c r="JO2" s="1832"/>
      <c r="JP2" s="1832"/>
      <c r="JQ2" s="1832"/>
      <c r="JR2" s="1832"/>
      <c r="JS2" s="1832"/>
      <c r="JT2" s="1832"/>
      <c r="JU2" s="1833"/>
      <c r="JV2" s="1851" t="s">
        <v>59</v>
      </c>
      <c r="JW2" s="1852"/>
      <c r="JX2" s="1852"/>
      <c r="JY2" s="1852"/>
      <c r="JZ2" s="1852"/>
      <c r="KA2" s="1852"/>
      <c r="KB2" s="1852"/>
      <c r="KC2" s="1852"/>
      <c r="KD2" s="1852"/>
      <c r="KE2" s="1852"/>
      <c r="KF2" s="1852"/>
      <c r="KG2" s="1852"/>
      <c r="KH2" s="1852"/>
      <c r="KI2" s="1852"/>
      <c r="KJ2" s="1852"/>
      <c r="KK2" s="1852"/>
      <c r="KL2" s="1852"/>
      <c r="KM2" s="1852"/>
      <c r="KN2" s="1852"/>
      <c r="KO2" s="1852"/>
      <c r="KP2" s="1852"/>
      <c r="KQ2" s="1852"/>
      <c r="KR2" s="1852"/>
      <c r="KS2" s="1852"/>
      <c r="KT2" s="1852"/>
      <c r="KU2" s="1852"/>
      <c r="KV2" s="1852"/>
      <c r="KW2" s="1852"/>
      <c r="KX2" s="1852"/>
      <c r="KY2" s="1883" t="s">
        <v>590</v>
      </c>
      <c r="KZ2" s="1884"/>
      <c r="LA2" s="1884"/>
      <c r="LB2" s="1885"/>
    </row>
    <row r="3" spans="1:314" ht="19.5" customHeight="1">
      <c r="A3" s="1495"/>
      <c r="B3" s="418"/>
      <c r="C3" s="1829" t="s">
        <v>175</v>
      </c>
      <c r="D3" s="1780"/>
      <c r="E3" s="1780"/>
      <c r="F3" s="1780"/>
      <c r="G3" s="1780"/>
      <c r="H3" s="1791" t="s">
        <v>176</v>
      </c>
      <c r="I3" s="1791"/>
      <c r="J3" s="1791"/>
      <c r="K3" s="1791"/>
      <c r="L3" s="1791"/>
      <c r="M3" s="1780" t="s">
        <v>177</v>
      </c>
      <c r="N3" s="1780"/>
      <c r="O3" s="1780"/>
      <c r="P3" s="1780"/>
      <c r="Q3" s="1780"/>
      <c r="R3" s="1791" t="s">
        <v>178</v>
      </c>
      <c r="S3" s="1791"/>
      <c r="T3" s="1791"/>
      <c r="U3" s="1791"/>
      <c r="V3" s="1791"/>
      <c r="W3" s="952">
        <f>AVERAGE(E35,J35,O35,T35)</f>
        <v>0.99642289404045847</v>
      </c>
      <c r="X3" s="1830" t="s">
        <v>494</v>
      </c>
      <c r="Y3" s="1830"/>
      <c r="Z3" s="1846"/>
      <c r="AA3" s="1829" t="s">
        <v>179</v>
      </c>
      <c r="AB3" s="1780"/>
      <c r="AC3" s="1780"/>
      <c r="AD3" s="1780"/>
      <c r="AE3" s="1780"/>
      <c r="AF3" s="1791" t="s">
        <v>180</v>
      </c>
      <c r="AG3" s="1791"/>
      <c r="AH3" s="1791"/>
      <c r="AI3" s="1791"/>
      <c r="AJ3" s="1791"/>
      <c r="AK3" s="1780" t="s">
        <v>181</v>
      </c>
      <c r="AL3" s="1780"/>
      <c r="AM3" s="1780"/>
      <c r="AN3" s="1780"/>
      <c r="AO3" s="1780"/>
      <c r="AP3" s="1791" t="s">
        <v>182</v>
      </c>
      <c r="AQ3" s="1791"/>
      <c r="AR3" s="1791"/>
      <c r="AS3" s="1791"/>
      <c r="AT3" s="1791"/>
      <c r="AU3" s="953">
        <f>AVERAGE(AC35,AH35,AM35,AR35)</f>
        <v>1.0017643407011398</v>
      </c>
      <c r="AV3" s="1828" t="s">
        <v>495</v>
      </c>
      <c r="AW3" s="1828"/>
      <c r="AX3" s="1847"/>
      <c r="AY3" s="1829" t="s">
        <v>183</v>
      </c>
      <c r="AZ3" s="1780"/>
      <c r="BA3" s="1780"/>
      <c r="BB3" s="1780"/>
      <c r="BC3" s="1780"/>
      <c r="BD3" s="1791" t="s">
        <v>184</v>
      </c>
      <c r="BE3" s="1791"/>
      <c r="BF3" s="1791"/>
      <c r="BG3" s="1791"/>
      <c r="BH3" s="1791"/>
      <c r="BI3" s="1780" t="s">
        <v>185</v>
      </c>
      <c r="BJ3" s="1780"/>
      <c r="BK3" s="1780"/>
      <c r="BL3" s="1780"/>
      <c r="BM3" s="1780"/>
      <c r="BN3" s="1791" t="s">
        <v>186</v>
      </c>
      <c r="BO3" s="1791"/>
      <c r="BP3" s="1791"/>
      <c r="BQ3" s="1791"/>
      <c r="BR3" s="1791"/>
      <c r="BS3" s="1780" t="s">
        <v>187</v>
      </c>
      <c r="BT3" s="1780"/>
      <c r="BU3" s="1780"/>
      <c r="BV3" s="1780"/>
      <c r="BW3" s="1780"/>
      <c r="BX3" s="952">
        <f>AVERAGE(BA35,BF35,BK35,BP35,BU35)</f>
        <v>1.0017664377825779</v>
      </c>
      <c r="BY3" s="1830" t="s">
        <v>496</v>
      </c>
      <c r="BZ3" s="1830"/>
      <c r="CA3" s="1846"/>
      <c r="CB3" s="1829" t="s">
        <v>188</v>
      </c>
      <c r="CC3" s="1780"/>
      <c r="CD3" s="1780"/>
      <c r="CE3" s="1780"/>
      <c r="CF3" s="1780"/>
      <c r="CG3" s="1791" t="s">
        <v>189</v>
      </c>
      <c r="CH3" s="1791"/>
      <c r="CI3" s="1791"/>
      <c r="CJ3" s="1791"/>
      <c r="CK3" s="1791"/>
      <c r="CL3" s="1780" t="s">
        <v>190</v>
      </c>
      <c r="CM3" s="1780"/>
      <c r="CN3" s="1780"/>
      <c r="CO3" s="1780"/>
      <c r="CP3" s="1780"/>
      <c r="CQ3" s="1791" t="s">
        <v>191</v>
      </c>
      <c r="CR3" s="1791"/>
      <c r="CS3" s="1791"/>
      <c r="CT3" s="1791"/>
      <c r="CU3" s="1791"/>
      <c r="CV3" s="953">
        <f>AVERAGE(CD35,CI35,CN35,CS35)</f>
        <v>0.99710318235620821</v>
      </c>
      <c r="CW3" s="1828" t="s">
        <v>497</v>
      </c>
      <c r="CX3" s="1828"/>
      <c r="CY3" s="1847"/>
      <c r="CZ3" s="1829" t="s">
        <v>192</v>
      </c>
      <c r="DA3" s="1780"/>
      <c r="DB3" s="1780"/>
      <c r="DC3" s="1780"/>
      <c r="DD3" s="1780"/>
      <c r="DE3" s="1791" t="s">
        <v>193</v>
      </c>
      <c r="DF3" s="1791"/>
      <c r="DG3" s="1791"/>
      <c r="DH3" s="1791"/>
      <c r="DI3" s="1791"/>
      <c r="DJ3" s="1780" t="s">
        <v>194</v>
      </c>
      <c r="DK3" s="1780"/>
      <c r="DL3" s="1780"/>
      <c r="DM3" s="1780"/>
      <c r="DN3" s="1780"/>
      <c r="DO3" s="1791" t="s">
        <v>195</v>
      </c>
      <c r="DP3" s="1791"/>
      <c r="DQ3" s="1791"/>
      <c r="DR3" s="1791"/>
      <c r="DS3" s="1791"/>
      <c r="DT3" s="952">
        <f>AVERAGE(DB35,DG35,DL35,DQ35)</f>
        <v>0.99934931854843578</v>
      </c>
      <c r="DU3" s="1830" t="s">
        <v>498</v>
      </c>
      <c r="DV3" s="1830"/>
      <c r="DW3" s="1846"/>
      <c r="DX3" s="1829" t="s">
        <v>196</v>
      </c>
      <c r="DY3" s="1780"/>
      <c r="DZ3" s="1780"/>
      <c r="EA3" s="1780"/>
      <c r="EB3" s="1780"/>
      <c r="EC3" s="1791" t="s">
        <v>197</v>
      </c>
      <c r="ED3" s="1791"/>
      <c r="EE3" s="1791"/>
      <c r="EF3" s="1791"/>
      <c r="EG3" s="1791"/>
      <c r="EH3" s="1780" t="s">
        <v>198</v>
      </c>
      <c r="EI3" s="1780"/>
      <c r="EJ3" s="1780"/>
      <c r="EK3" s="1780"/>
      <c r="EL3" s="1780"/>
      <c r="EM3" s="1791" t="s">
        <v>199</v>
      </c>
      <c r="EN3" s="1791"/>
      <c r="EO3" s="1791"/>
      <c r="EP3" s="1791"/>
      <c r="EQ3" s="1791"/>
      <c r="ER3" s="1780" t="s">
        <v>200</v>
      </c>
      <c r="ES3" s="1780"/>
      <c r="ET3" s="1780"/>
      <c r="EU3" s="1780"/>
      <c r="EV3" s="1780"/>
      <c r="EW3" s="954">
        <f>AVERAGE(DZ35,EE35,EJ35,EO35,ET35)</f>
        <v>0.99951189238214544</v>
      </c>
      <c r="EX3" s="1880" t="s">
        <v>499</v>
      </c>
      <c r="EY3" s="1880"/>
      <c r="EZ3" s="1881"/>
      <c r="FA3" s="1829" t="s">
        <v>201</v>
      </c>
      <c r="FB3" s="1780"/>
      <c r="FC3" s="1780"/>
      <c r="FD3" s="1780"/>
      <c r="FE3" s="1780"/>
      <c r="FF3" s="1791" t="s">
        <v>202</v>
      </c>
      <c r="FG3" s="1791"/>
      <c r="FH3" s="1791"/>
      <c r="FI3" s="1791"/>
      <c r="FJ3" s="1791"/>
      <c r="FK3" s="1780" t="s">
        <v>203</v>
      </c>
      <c r="FL3" s="1780"/>
      <c r="FM3" s="1780"/>
      <c r="FN3" s="1780"/>
      <c r="FO3" s="1780"/>
      <c r="FP3" s="1791" t="s">
        <v>204</v>
      </c>
      <c r="FQ3" s="1791"/>
      <c r="FR3" s="1791"/>
      <c r="FS3" s="1791"/>
      <c r="FT3" s="1791"/>
      <c r="FU3" s="952">
        <f>AVERAGE(FC35,FH35,FM35,FR35)</f>
        <v>0.99758246273116424</v>
      </c>
      <c r="FV3" s="1830" t="s">
        <v>500</v>
      </c>
      <c r="FW3" s="1830"/>
      <c r="FX3" s="1846"/>
      <c r="FY3" s="1829" t="s">
        <v>205</v>
      </c>
      <c r="FZ3" s="1780"/>
      <c r="GA3" s="1780"/>
      <c r="GB3" s="1780"/>
      <c r="GC3" s="1780"/>
      <c r="GD3" s="1791" t="s">
        <v>206</v>
      </c>
      <c r="GE3" s="1791"/>
      <c r="GF3" s="1791"/>
      <c r="GG3" s="1791"/>
      <c r="GH3" s="1791"/>
      <c r="GI3" s="1780" t="s">
        <v>207</v>
      </c>
      <c r="GJ3" s="1780"/>
      <c r="GK3" s="1780"/>
      <c r="GL3" s="1780"/>
      <c r="GM3" s="1780"/>
      <c r="GN3" s="1791" t="s">
        <v>208</v>
      </c>
      <c r="GO3" s="1791"/>
      <c r="GP3" s="1791"/>
      <c r="GQ3" s="1791"/>
      <c r="GR3" s="1791"/>
      <c r="GS3" s="953">
        <f>AVERAGE(GA35,GF35,GK35,GP35)</f>
        <v>1.0013460693377629</v>
      </c>
      <c r="GT3" s="1828" t="s">
        <v>501</v>
      </c>
      <c r="GU3" s="1828"/>
      <c r="GV3" s="1847"/>
      <c r="GW3" s="1829" t="s">
        <v>209</v>
      </c>
      <c r="GX3" s="1780"/>
      <c r="GY3" s="1780"/>
      <c r="GZ3" s="1780"/>
      <c r="HA3" s="1780"/>
      <c r="HB3" s="1791" t="s">
        <v>210</v>
      </c>
      <c r="HC3" s="1791"/>
      <c r="HD3" s="1791"/>
      <c r="HE3" s="1791"/>
      <c r="HF3" s="1791"/>
      <c r="HG3" s="1780" t="s">
        <v>211</v>
      </c>
      <c r="HH3" s="1780"/>
      <c r="HI3" s="1780"/>
      <c r="HJ3" s="1780"/>
      <c r="HK3" s="1780"/>
      <c r="HL3" s="1791" t="s">
        <v>212</v>
      </c>
      <c r="HM3" s="1791"/>
      <c r="HN3" s="1791"/>
      <c r="HO3" s="1791"/>
      <c r="HP3" s="1791"/>
      <c r="HQ3" s="1780" t="s">
        <v>213</v>
      </c>
      <c r="HR3" s="1780"/>
      <c r="HS3" s="1780"/>
      <c r="HT3" s="1780"/>
      <c r="HU3" s="1780"/>
      <c r="HV3" s="952">
        <f>AVERAGE(GY35,HD35,HI35,HN35,HS35)</f>
        <v>1.0009510144538907</v>
      </c>
      <c r="HW3" s="1830" t="s">
        <v>502</v>
      </c>
      <c r="HX3" s="1830"/>
      <c r="HY3" s="1846"/>
      <c r="HZ3" s="1829" t="s">
        <v>214</v>
      </c>
      <c r="IA3" s="1780"/>
      <c r="IB3" s="1780"/>
      <c r="IC3" s="1780"/>
      <c r="ID3" s="1780"/>
      <c r="IE3" s="1791" t="s">
        <v>215</v>
      </c>
      <c r="IF3" s="1791"/>
      <c r="IG3" s="1791"/>
      <c r="IH3" s="1791"/>
      <c r="II3" s="1791"/>
      <c r="IJ3" s="1829" t="s">
        <v>216</v>
      </c>
      <c r="IK3" s="1780"/>
      <c r="IL3" s="1780"/>
      <c r="IM3" s="1780"/>
      <c r="IN3" s="1780"/>
      <c r="IO3" s="1791" t="s">
        <v>217</v>
      </c>
      <c r="IP3" s="1791"/>
      <c r="IQ3" s="1791"/>
      <c r="IR3" s="1791"/>
      <c r="IS3" s="1791"/>
      <c r="IT3" s="953">
        <f>AVERAGE(IB35,IG35,IL35,IQ35)</f>
        <v>1.0048235380064243</v>
      </c>
      <c r="IU3" s="1828" t="s">
        <v>503</v>
      </c>
      <c r="IV3" s="1828"/>
      <c r="IW3" s="1847"/>
      <c r="IX3" s="1829" t="s">
        <v>218</v>
      </c>
      <c r="IY3" s="1780"/>
      <c r="IZ3" s="1780"/>
      <c r="JA3" s="1780"/>
      <c r="JB3" s="1780"/>
      <c r="JC3" s="1791" t="s">
        <v>219</v>
      </c>
      <c r="JD3" s="1791"/>
      <c r="JE3" s="1791"/>
      <c r="JF3" s="1791"/>
      <c r="JG3" s="1791"/>
      <c r="JH3" s="1829" t="s">
        <v>220</v>
      </c>
      <c r="JI3" s="1780"/>
      <c r="JJ3" s="1780"/>
      <c r="JK3" s="1780"/>
      <c r="JL3" s="1780"/>
      <c r="JM3" s="1791" t="s">
        <v>221</v>
      </c>
      <c r="JN3" s="1791"/>
      <c r="JO3" s="1791"/>
      <c r="JP3" s="1791"/>
      <c r="JQ3" s="1791"/>
      <c r="JR3" s="952">
        <f>AVERAGE(IZ35,JE35,JJ35,JO35)</f>
        <v>1.0010029385287584</v>
      </c>
      <c r="JS3" s="1830" t="s">
        <v>504</v>
      </c>
      <c r="JT3" s="1830"/>
      <c r="JU3" s="1846"/>
      <c r="JV3" s="1829" t="s">
        <v>222</v>
      </c>
      <c r="JW3" s="1780"/>
      <c r="JX3" s="1780"/>
      <c r="JY3" s="1780"/>
      <c r="JZ3" s="1780"/>
      <c r="KA3" s="1791" t="s">
        <v>223</v>
      </c>
      <c r="KB3" s="1791"/>
      <c r="KC3" s="1791"/>
      <c r="KD3" s="1791"/>
      <c r="KE3" s="1791"/>
      <c r="KF3" s="1829" t="s">
        <v>224</v>
      </c>
      <c r="KG3" s="1780"/>
      <c r="KH3" s="1780"/>
      <c r="KI3" s="1780"/>
      <c r="KJ3" s="1780"/>
      <c r="KK3" s="1791" t="s">
        <v>225</v>
      </c>
      <c r="KL3" s="1791"/>
      <c r="KM3" s="1791"/>
      <c r="KN3" s="1791"/>
      <c r="KO3" s="1791"/>
      <c r="KP3" s="1829" t="s">
        <v>226</v>
      </c>
      <c r="KQ3" s="1780"/>
      <c r="KR3" s="1780"/>
      <c r="KS3" s="1780"/>
      <c r="KT3" s="1780"/>
      <c r="KU3" s="954">
        <f>AVERAGE(JX35,KC35,KH35,KM35,KR35)</f>
        <v>0.99660606474036961</v>
      </c>
      <c r="KV3" s="1880" t="s">
        <v>505</v>
      </c>
      <c r="KW3" s="1880"/>
      <c r="KX3" s="1881"/>
      <c r="KY3" s="1886"/>
      <c r="KZ3" s="1887"/>
      <c r="LA3" s="1887"/>
      <c r="LB3" s="1888"/>
    </row>
    <row r="4" spans="1:314" s="922" customFormat="1" ht="15" customHeight="1">
      <c r="A4" s="923"/>
      <c r="B4" s="1895"/>
      <c r="C4" s="668" t="s">
        <v>62</v>
      </c>
      <c r="D4" s="1563" t="s">
        <v>63</v>
      </c>
      <c r="E4" s="1820" t="s">
        <v>506</v>
      </c>
      <c r="F4" s="1563" t="s">
        <v>62</v>
      </c>
      <c r="G4" s="1820" t="s">
        <v>507</v>
      </c>
      <c r="H4" s="1561" t="s">
        <v>62</v>
      </c>
      <c r="I4" s="1561" t="s">
        <v>63</v>
      </c>
      <c r="J4" s="1824" t="s">
        <v>506</v>
      </c>
      <c r="K4" s="1561" t="s">
        <v>62</v>
      </c>
      <c r="L4" s="1824" t="s">
        <v>507</v>
      </c>
      <c r="M4" s="1563" t="s">
        <v>62</v>
      </c>
      <c r="N4" s="1563" t="s">
        <v>63</v>
      </c>
      <c r="O4" s="1820" t="s">
        <v>506</v>
      </c>
      <c r="P4" s="1563" t="s">
        <v>62</v>
      </c>
      <c r="Q4" s="1820" t="s">
        <v>507</v>
      </c>
      <c r="R4" s="1561" t="s">
        <v>62</v>
      </c>
      <c r="S4" s="1561" t="s">
        <v>63</v>
      </c>
      <c r="T4" s="1824" t="s">
        <v>506</v>
      </c>
      <c r="U4" s="1561" t="s">
        <v>62</v>
      </c>
      <c r="V4" s="1824" t="s">
        <v>507</v>
      </c>
      <c r="W4" s="669" t="s">
        <v>63</v>
      </c>
      <c r="X4" s="669" t="s">
        <v>1</v>
      </c>
      <c r="Y4" s="669" t="s">
        <v>1</v>
      </c>
      <c r="Z4" s="670" t="s">
        <v>1</v>
      </c>
      <c r="AA4" s="668" t="s">
        <v>62</v>
      </c>
      <c r="AB4" s="1563" t="s">
        <v>63</v>
      </c>
      <c r="AC4" s="1820" t="s">
        <v>506</v>
      </c>
      <c r="AD4" s="1563" t="s">
        <v>62</v>
      </c>
      <c r="AE4" s="1820" t="s">
        <v>507</v>
      </c>
      <c r="AF4" s="1561" t="s">
        <v>62</v>
      </c>
      <c r="AG4" s="1561" t="s">
        <v>63</v>
      </c>
      <c r="AH4" s="1824" t="s">
        <v>506</v>
      </c>
      <c r="AI4" s="1561" t="s">
        <v>62</v>
      </c>
      <c r="AJ4" s="1824" t="s">
        <v>507</v>
      </c>
      <c r="AK4" s="1563" t="s">
        <v>62</v>
      </c>
      <c r="AL4" s="1563" t="s">
        <v>63</v>
      </c>
      <c r="AM4" s="1820" t="s">
        <v>506</v>
      </c>
      <c r="AN4" s="1563" t="s">
        <v>62</v>
      </c>
      <c r="AO4" s="1820" t="s">
        <v>507</v>
      </c>
      <c r="AP4" s="1561" t="s">
        <v>62</v>
      </c>
      <c r="AQ4" s="1561" t="s">
        <v>63</v>
      </c>
      <c r="AR4" s="1824" t="s">
        <v>506</v>
      </c>
      <c r="AS4" s="1561" t="s">
        <v>62</v>
      </c>
      <c r="AT4" s="1824" t="s">
        <v>507</v>
      </c>
      <c r="AU4" s="671" t="s">
        <v>63</v>
      </c>
      <c r="AV4" s="671" t="s">
        <v>1</v>
      </c>
      <c r="AW4" s="671" t="s">
        <v>1</v>
      </c>
      <c r="AX4" s="672" t="s">
        <v>1</v>
      </c>
      <c r="AY4" s="668" t="s">
        <v>62</v>
      </c>
      <c r="AZ4" s="1563" t="s">
        <v>63</v>
      </c>
      <c r="BA4" s="1820" t="s">
        <v>506</v>
      </c>
      <c r="BB4" s="1563" t="s">
        <v>62</v>
      </c>
      <c r="BC4" s="1820" t="s">
        <v>507</v>
      </c>
      <c r="BD4" s="1561" t="s">
        <v>62</v>
      </c>
      <c r="BE4" s="1561" t="s">
        <v>63</v>
      </c>
      <c r="BF4" s="1824" t="s">
        <v>506</v>
      </c>
      <c r="BG4" s="1561" t="s">
        <v>62</v>
      </c>
      <c r="BH4" s="1824" t="s">
        <v>507</v>
      </c>
      <c r="BI4" s="1563" t="s">
        <v>62</v>
      </c>
      <c r="BJ4" s="1563" t="s">
        <v>63</v>
      </c>
      <c r="BK4" s="1820" t="s">
        <v>506</v>
      </c>
      <c r="BL4" s="1563" t="s">
        <v>62</v>
      </c>
      <c r="BM4" s="1822" t="s">
        <v>507</v>
      </c>
      <c r="BN4" s="1561" t="s">
        <v>62</v>
      </c>
      <c r="BO4" s="1561" t="s">
        <v>63</v>
      </c>
      <c r="BP4" s="1824" t="s">
        <v>506</v>
      </c>
      <c r="BQ4" s="1561" t="s">
        <v>62</v>
      </c>
      <c r="BR4" s="1824" t="s">
        <v>507</v>
      </c>
      <c r="BS4" s="1563" t="s">
        <v>62</v>
      </c>
      <c r="BT4" s="1563" t="s">
        <v>63</v>
      </c>
      <c r="BU4" s="1820" t="s">
        <v>506</v>
      </c>
      <c r="BV4" s="1563" t="s">
        <v>62</v>
      </c>
      <c r="BW4" s="1822" t="s">
        <v>507</v>
      </c>
      <c r="BX4" s="669" t="s">
        <v>63</v>
      </c>
      <c r="BY4" s="669" t="s">
        <v>1</v>
      </c>
      <c r="BZ4" s="669" t="s">
        <v>1</v>
      </c>
      <c r="CA4" s="670" t="s">
        <v>1</v>
      </c>
      <c r="CB4" s="668" t="s">
        <v>62</v>
      </c>
      <c r="CC4" s="1563" t="s">
        <v>63</v>
      </c>
      <c r="CD4" s="1820" t="s">
        <v>506</v>
      </c>
      <c r="CE4" s="1563" t="s">
        <v>62</v>
      </c>
      <c r="CF4" s="1820" t="s">
        <v>507</v>
      </c>
      <c r="CG4" s="1561" t="s">
        <v>62</v>
      </c>
      <c r="CH4" s="1561" t="s">
        <v>63</v>
      </c>
      <c r="CI4" s="1824" t="s">
        <v>506</v>
      </c>
      <c r="CJ4" s="1561" t="s">
        <v>62</v>
      </c>
      <c r="CK4" s="1824" t="s">
        <v>507</v>
      </c>
      <c r="CL4" s="1563" t="s">
        <v>62</v>
      </c>
      <c r="CM4" s="1563" t="s">
        <v>63</v>
      </c>
      <c r="CN4" s="1820" t="s">
        <v>506</v>
      </c>
      <c r="CO4" s="1563" t="s">
        <v>62</v>
      </c>
      <c r="CP4" s="1820" t="s">
        <v>507</v>
      </c>
      <c r="CQ4" s="1561" t="s">
        <v>62</v>
      </c>
      <c r="CR4" s="1561" t="s">
        <v>63</v>
      </c>
      <c r="CS4" s="1824" t="s">
        <v>506</v>
      </c>
      <c r="CT4" s="1561" t="s">
        <v>62</v>
      </c>
      <c r="CU4" s="1824" t="s">
        <v>507</v>
      </c>
      <c r="CV4" s="671" t="s">
        <v>63</v>
      </c>
      <c r="CW4" s="671" t="s">
        <v>1</v>
      </c>
      <c r="CX4" s="671" t="s">
        <v>1</v>
      </c>
      <c r="CY4" s="672" t="s">
        <v>1</v>
      </c>
      <c r="CZ4" s="668" t="s">
        <v>62</v>
      </c>
      <c r="DA4" s="1563" t="s">
        <v>63</v>
      </c>
      <c r="DB4" s="1820" t="s">
        <v>506</v>
      </c>
      <c r="DC4" s="1563" t="s">
        <v>62</v>
      </c>
      <c r="DD4" s="1820" t="s">
        <v>507</v>
      </c>
      <c r="DE4" s="1561" t="s">
        <v>62</v>
      </c>
      <c r="DF4" s="1561" t="s">
        <v>63</v>
      </c>
      <c r="DG4" s="1824" t="s">
        <v>506</v>
      </c>
      <c r="DH4" s="1561" t="s">
        <v>62</v>
      </c>
      <c r="DI4" s="1824" t="s">
        <v>507</v>
      </c>
      <c r="DJ4" s="1563" t="s">
        <v>62</v>
      </c>
      <c r="DK4" s="1563" t="s">
        <v>63</v>
      </c>
      <c r="DL4" s="1820" t="s">
        <v>506</v>
      </c>
      <c r="DM4" s="1563" t="s">
        <v>62</v>
      </c>
      <c r="DN4" s="1820" t="s">
        <v>507</v>
      </c>
      <c r="DO4" s="1561" t="s">
        <v>62</v>
      </c>
      <c r="DP4" s="1561" t="s">
        <v>63</v>
      </c>
      <c r="DQ4" s="1824" t="s">
        <v>506</v>
      </c>
      <c r="DR4" s="1561" t="s">
        <v>62</v>
      </c>
      <c r="DS4" s="1824" t="s">
        <v>507</v>
      </c>
      <c r="DT4" s="669" t="s">
        <v>63</v>
      </c>
      <c r="DU4" s="669" t="s">
        <v>1</v>
      </c>
      <c r="DV4" s="669" t="s">
        <v>1</v>
      </c>
      <c r="DW4" s="670" t="s">
        <v>1</v>
      </c>
      <c r="DX4" s="668" t="s">
        <v>62</v>
      </c>
      <c r="DY4" s="1563" t="s">
        <v>63</v>
      </c>
      <c r="DZ4" s="1822" t="s">
        <v>506</v>
      </c>
      <c r="EA4" s="1563" t="s">
        <v>62</v>
      </c>
      <c r="EB4" s="1822" t="s">
        <v>507</v>
      </c>
      <c r="EC4" s="1561" t="s">
        <v>62</v>
      </c>
      <c r="ED4" s="1561" t="s">
        <v>63</v>
      </c>
      <c r="EE4" s="1826" t="s">
        <v>506</v>
      </c>
      <c r="EF4" s="1561" t="s">
        <v>62</v>
      </c>
      <c r="EG4" s="1826" t="s">
        <v>507</v>
      </c>
      <c r="EH4" s="1563" t="s">
        <v>62</v>
      </c>
      <c r="EI4" s="1563" t="s">
        <v>63</v>
      </c>
      <c r="EJ4" s="1822" t="s">
        <v>506</v>
      </c>
      <c r="EK4" s="1563" t="s">
        <v>62</v>
      </c>
      <c r="EL4" s="1822" t="s">
        <v>507</v>
      </c>
      <c r="EM4" s="1561" t="s">
        <v>62</v>
      </c>
      <c r="EN4" s="1561" t="s">
        <v>63</v>
      </c>
      <c r="EO4" s="1826" t="s">
        <v>506</v>
      </c>
      <c r="EP4" s="1561" t="s">
        <v>62</v>
      </c>
      <c r="EQ4" s="1826" t="s">
        <v>507</v>
      </c>
      <c r="ER4" s="1563" t="s">
        <v>62</v>
      </c>
      <c r="ES4" s="1563" t="s">
        <v>63</v>
      </c>
      <c r="ET4" s="1822" t="s">
        <v>506</v>
      </c>
      <c r="EU4" s="1563" t="s">
        <v>62</v>
      </c>
      <c r="EV4" s="1822" t="s">
        <v>507</v>
      </c>
      <c r="EW4" s="671" t="s">
        <v>63</v>
      </c>
      <c r="EX4" s="671" t="s">
        <v>1</v>
      </c>
      <c r="EY4" s="671" t="s">
        <v>1</v>
      </c>
      <c r="EZ4" s="672" t="s">
        <v>1</v>
      </c>
      <c r="FA4" s="668" t="s">
        <v>62</v>
      </c>
      <c r="FB4" s="1563" t="s">
        <v>63</v>
      </c>
      <c r="FC4" s="1820" t="s">
        <v>506</v>
      </c>
      <c r="FD4" s="1563" t="s">
        <v>62</v>
      </c>
      <c r="FE4" s="1820" t="s">
        <v>507</v>
      </c>
      <c r="FF4" s="1561" t="s">
        <v>62</v>
      </c>
      <c r="FG4" s="1561" t="s">
        <v>63</v>
      </c>
      <c r="FH4" s="1824" t="s">
        <v>506</v>
      </c>
      <c r="FI4" s="1561" t="s">
        <v>62</v>
      </c>
      <c r="FJ4" s="1824" t="s">
        <v>507</v>
      </c>
      <c r="FK4" s="1563" t="s">
        <v>62</v>
      </c>
      <c r="FL4" s="1563" t="s">
        <v>63</v>
      </c>
      <c r="FM4" s="1820" t="s">
        <v>506</v>
      </c>
      <c r="FN4" s="1563" t="s">
        <v>62</v>
      </c>
      <c r="FO4" s="1820" t="s">
        <v>507</v>
      </c>
      <c r="FP4" s="1561" t="s">
        <v>62</v>
      </c>
      <c r="FQ4" s="1561" t="s">
        <v>63</v>
      </c>
      <c r="FR4" s="1824" t="s">
        <v>506</v>
      </c>
      <c r="FS4" s="1561" t="s">
        <v>62</v>
      </c>
      <c r="FT4" s="1824" t="s">
        <v>507</v>
      </c>
      <c r="FU4" s="669" t="s">
        <v>63</v>
      </c>
      <c r="FV4" s="669" t="s">
        <v>1</v>
      </c>
      <c r="FW4" s="669" t="s">
        <v>1</v>
      </c>
      <c r="FX4" s="670" t="s">
        <v>1</v>
      </c>
      <c r="FY4" s="668" t="s">
        <v>62</v>
      </c>
      <c r="FZ4" s="1563" t="s">
        <v>63</v>
      </c>
      <c r="GA4" s="1820" t="s">
        <v>506</v>
      </c>
      <c r="GB4" s="1563" t="s">
        <v>62</v>
      </c>
      <c r="GC4" s="1820" t="s">
        <v>507</v>
      </c>
      <c r="GD4" s="1561" t="s">
        <v>62</v>
      </c>
      <c r="GE4" s="1561" t="s">
        <v>63</v>
      </c>
      <c r="GF4" s="1824" t="s">
        <v>506</v>
      </c>
      <c r="GG4" s="1561" t="s">
        <v>62</v>
      </c>
      <c r="GH4" s="1824" t="s">
        <v>507</v>
      </c>
      <c r="GI4" s="1563" t="s">
        <v>62</v>
      </c>
      <c r="GJ4" s="1563" t="s">
        <v>63</v>
      </c>
      <c r="GK4" s="1820" t="s">
        <v>506</v>
      </c>
      <c r="GL4" s="1563" t="s">
        <v>62</v>
      </c>
      <c r="GM4" s="1822" t="s">
        <v>507</v>
      </c>
      <c r="GN4" s="1561" t="s">
        <v>62</v>
      </c>
      <c r="GO4" s="1561" t="s">
        <v>63</v>
      </c>
      <c r="GP4" s="1824" t="s">
        <v>506</v>
      </c>
      <c r="GQ4" s="1561" t="s">
        <v>62</v>
      </c>
      <c r="GR4" s="1824" t="s">
        <v>507</v>
      </c>
      <c r="GS4" s="671" t="s">
        <v>63</v>
      </c>
      <c r="GT4" s="671" t="s">
        <v>1</v>
      </c>
      <c r="GU4" s="671" t="s">
        <v>1</v>
      </c>
      <c r="GV4" s="672" t="s">
        <v>1</v>
      </c>
      <c r="GW4" s="668" t="s">
        <v>62</v>
      </c>
      <c r="GX4" s="1563" t="s">
        <v>63</v>
      </c>
      <c r="GY4" s="1820" t="s">
        <v>506</v>
      </c>
      <c r="GZ4" s="1563" t="s">
        <v>62</v>
      </c>
      <c r="HA4" s="1820" t="s">
        <v>507</v>
      </c>
      <c r="HB4" s="1561" t="s">
        <v>62</v>
      </c>
      <c r="HC4" s="1561" t="s">
        <v>63</v>
      </c>
      <c r="HD4" s="1824" t="s">
        <v>506</v>
      </c>
      <c r="HE4" s="1561" t="s">
        <v>62</v>
      </c>
      <c r="HF4" s="1824" t="s">
        <v>507</v>
      </c>
      <c r="HG4" s="1563" t="s">
        <v>62</v>
      </c>
      <c r="HH4" s="1563" t="s">
        <v>63</v>
      </c>
      <c r="HI4" s="1820" t="s">
        <v>506</v>
      </c>
      <c r="HJ4" s="1563" t="s">
        <v>62</v>
      </c>
      <c r="HK4" s="1822" t="s">
        <v>507</v>
      </c>
      <c r="HL4" s="1561" t="s">
        <v>62</v>
      </c>
      <c r="HM4" s="1561" t="s">
        <v>63</v>
      </c>
      <c r="HN4" s="1824" t="s">
        <v>506</v>
      </c>
      <c r="HO4" s="1561" t="s">
        <v>62</v>
      </c>
      <c r="HP4" s="1824" t="s">
        <v>507</v>
      </c>
      <c r="HQ4" s="1563" t="s">
        <v>62</v>
      </c>
      <c r="HR4" s="1563" t="s">
        <v>63</v>
      </c>
      <c r="HS4" s="1820" t="s">
        <v>506</v>
      </c>
      <c r="HT4" s="1563" t="s">
        <v>62</v>
      </c>
      <c r="HU4" s="1822" t="s">
        <v>507</v>
      </c>
      <c r="HV4" s="669" t="s">
        <v>63</v>
      </c>
      <c r="HW4" s="669" t="s">
        <v>1</v>
      </c>
      <c r="HX4" s="669" t="s">
        <v>1</v>
      </c>
      <c r="HY4" s="670" t="s">
        <v>1</v>
      </c>
      <c r="HZ4" s="668" t="s">
        <v>62</v>
      </c>
      <c r="IA4" s="1563" t="s">
        <v>63</v>
      </c>
      <c r="IB4" s="1820" t="s">
        <v>506</v>
      </c>
      <c r="IC4" s="1563" t="s">
        <v>62</v>
      </c>
      <c r="ID4" s="1820" t="s">
        <v>507</v>
      </c>
      <c r="IE4" s="1561" t="s">
        <v>62</v>
      </c>
      <c r="IF4" s="1561" t="s">
        <v>63</v>
      </c>
      <c r="IG4" s="1824" t="s">
        <v>506</v>
      </c>
      <c r="IH4" s="1561" t="s">
        <v>62</v>
      </c>
      <c r="II4" s="1824" t="s">
        <v>507</v>
      </c>
      <c r="IJ4" s="1563" t="s">
        <v>62</v>
      </c>
      <c r="IK4" s="1563" t="s">
        <v>63</v>
      </c>
      <c r="IL4" s="1820" t="s">
        <v>506</v>
      </c>
      <c r="IM4" s="1563" t="s">
        <v>62</v>
      </c>
      <c r="IN4" s="1822" t="s">
        <v>507</v>
      </c>
      <c r="IO4" s="1561" t="s">
        <v>62</v>
      </c>
      <c r="IP4" s="1561" t="s">
        <v>63</v>
      </c>
      <c r="IQ4" s="1824" t="s">
        <v>506</v>
      </c>
      <c r="IR4" s="1561" t="s">
        <v>62</v>
      </c>
      <c r="IS4" s="1824" t="s">
        <v>507</v>
      </c>
      <c r="IT4" s="671" t="s">
        <v>63</v>
      </c>
      <c r="IU4" s="671" t="s">
        <v>1</v>
      </c>
      <c r="IV4" s="671" t="s">
        <v>1</v>
      </c>
      <c r="IW4" s="672" t="s">
        <v>1</v>
      </c>
      <c r="IX4" s="668" t="s">
        <v>62</v>
      </c>
      <c r="IY4" s="1563" t="s">
        <v>63</v>
      </c>
      <c r="IZ4" s="1820" t="s">
        <v>506</v>
      </c>
      <c r="JA4" s="1563" t="s">
        <v>62</v>
      </c>
      <c r="JB4" s="1820" t="s">
        <v>507</v>
      </c>
      <c r="JC4" s="1561" t="s">
        <v>62</v>
      </c>
      <c r="JD4" s="1561" t="s">
        <v>63</v>
      </c>
      <c r="JE4" s="1824" t="s">
        <v>506</v>
      </c>
      <c r="JF4" s="1561" t="s">
        <v>62</v>
      </c>
      <c r="JG4" s="1824" t="s">
        <v>507</v>
      </c>
      <c r="JH4" s="1563" t="s">
        <v>62</v>
      </c>
      <c r="JI4" s="1563" t="s">
        <v>63</v>
      </c>
      <c r="JJ4" s="1820" t="s">
        <v>506</v>
      </c>
      <c r="JK4" s="1563" t="s">
        <v>62</v>
      </c>
      <c r="JL4" s="1820" t="s">
        <v>507</v>
      </c>
      <c r="JM4" s="1561" t="s">
        <v>62</v>
      </c>
      <c r="JN4" s="1561" t="s">
        <v>63</v>
      </c>
      <c r="JO4" s="1824" t="s">
        <v>506</v>
      </c>
      <c r="JP4" s="1561" t="s">
        <v>62</v>
      </c>
      <c r="JQ4" s="1824" t="s">
        <v>507</v>
      </c>
      <c r="JR4" s="669" t="s">
        <v>63</v>
      </c>
      <c r="JS4" s="669" t="s">
        <v>1</v>
      </c>
      <c r="JT4" s="669" t="s">
        <v>1</v>
      </c>
      <c r="JU4" s="670" t="s">
        <v>1</v>
      </c>
      <c r="JV4" s="668" t="s">
        <v>62</v>
      </c>
      <c r="JW4" s="1563" t="s">
        <v>63</v>
      </c>
      <c r="JX4" s="1820" t="s">
        <v>506</v>
      </c>
      <c r="JY4" s="1563" t="s">
        <v>62</v>
      </c>
      <c r="JZ4" s="1820" t="s">
        <v>507</v>
      </c>
      <c r="KA4" s="1561" t="s">
        <v>62</v>
      </c>
      <c r="KB4" s="1561" t="s">
        <v>63</v>
      </c>
      <c r="KC4" s="1824" t="s">
        <v>506</v>
      </c>
      <c r="KD4" s="1561" t="s">
        <v>62</v>
      </c>
      <c r="KE4" s="1824" t="s">
        <v>507</v>
      </c>
      <c r="KF4" s="1563" t="s">
        <v>62</v>
      </c>
      <c r="KG4" s="1563" t="s">
        <v>63</v>
      </c>
      <c r="KH4" s="1820" t="s">
        <v>506</v>
      </c>
      <c r="KI4" s="1563" t="s">
        <v>62</v>
      </c>
      <c r="KJ4" s="1822" t="s">
        <v>507</v>
      </c>
      <c r="KK4" s="1561" t="s">
        <v>62</v>
      </c>
      <c r="KL4" s="1561" t="s">
        <v>63</v>
      </c>
      <c r="KM4" s="1824" t="s">
        <v>506</v>
      </c>
      <c r="KN4" s="1561" t="s">
        <v>62</v>
      </c>
      <c r="KO4" s="1824" t="s">
        <v>507</v>
      </c>
      <c r="KP4" s="1563" t="s">
        <v>62</v>
      </c>
      <c r="KQ4" s="1563" t="s">
        <v>63</v>
      </c>
      <c r="KR4" s="1820" t="s">
        <v>506</v>
      </c>
      <c r="KS4" s="1563" t="s">
        <v>62</v>
      </c>
      <c r="KT4" s="1822" t="s">
        <v>507</v>
      </c>
      <c r="KU4" s="671" t="s">
        <v>63</v>
      </c>
      <c r="KV4" s="671" t="s">
        <v>1</v>
      </c>
      <c r="KW4" s="671" t="s">
        <v>1</v>
      </c>
      <c r="KX4" s="673" t="s">
        <v>1</v>
      </c>
      <c r="KY4" s="1889" t="s">
        <v>510</v>
      </c>
      <c r="KZ4" s="1891" t="s">
        <v>591</v>
      </c>
      <c r="LA4" s="1891" t="s">
        <v>511</v>
      </c>
      <c r="LB4" s="1893" t="s">
        <v>70</v>
      </c>
    </row>
    <row r="5" spans="1:314" s="922" customFormat="1" ht="15.75" customHeight="1" thickBot="1">
      <c r="A5" s="923"/>
      <c r="B5" s="1896"/>
      <c r="C5" s="674">
        <v>2019</v>
      </c>
      <c r="D5" s="1564">
        <v>2022</v>
      </c>
      <c r="E5" s="1821"/>
      <c r="F5" s="1564">
        <v>2022</v>
      </c>
      <c r="G5" s="1821"/>
      <c r="H5" s="1562">
        <v>2019</v>
      </c>
      <c r="I5" s="1562">
        <v>2022</v>
      </c>
      <c r="J5" s="1825"/>
      <c r="K5" s="1562">
        <v>2022</v>
      </c>
      <c r="L5" s="1825"/>
      <c r="M5" s="1564">
        <v>2019</v>
      </c>
      <c r="N5" s="1564">
        <v>2022</v>
      </c>
      <c r="O5" s="1821"/>
      <c r="P5" s="1564">
        <v>2022</v>
      </c>
      <c r="Q5" s="1821"/>
      <c r="R5" s="1562">
        <v>2019</v>
      </c>
      <c r="S5" s="1562">
        <v>2022</v>
      </c>
      <c r="T5" s="1825"/>
      <c r="U5" s="1562">
        <v>2022</v>
      </c>
      <c r="V5" s="1825"/>
      <c r="W5" s="675">
        <v>2022</v>
      </c>
      <c r="X5" s="675">
        <v>2019</v>
      </c>
      <c r="Y5" s="675">
        <v>2022</v>
      </c>
      <c r="Z5" s="676" t="s">
        <v>5</v>
      </c>
      <c r="AA5" s="674">
        <v>2019</v>
      </c>
      <c r="AB5" s="1564">
        <v>2022</v>
      </c>
      <c r="AC5" s="1821"/>
      <c r="AD5" s="1564">
        <v>2022</v>
      </c>
      <c r="AE5" s="1821"/>
      <c r="AF5" s="1562">
        <v>2019</v>
      </c>
      <c r="AG5" s="1562">
        <v>2022</v>
      </c>
      <c r="AH5" s="1825"/>
      <c r="AI5" s="1562">
        <v>2022</v>
      </c>
      <c r="AJ5" s="1825"/>
      <c r="AK5" s="1564">
        <v>2019</v>
      </c>
      <c r="AL5" s="1564">
        <v>2022</v>
      </c>
      <c r="AM5" s="1821"/>
      <c r="AN5" s="1564">
        <v>2022</v>
      </c>
      <c r="AO5" s="1821"/>
      <c r="AP5" s="1562">
        <v>2019</v>
      </c>
      <c r="AQ5" s="1562">
        <v>2022</v>
      </c>
      <c r="AR5" s="1825"/>
      <c r="AS5" s="1562">
        <v>2022</v>
      </c>
      <c r="AT5" s="1825"/>
      <c r="AU5" s="677">
        <v>2022</v>
      </c>
      <c r="AV5" s="677">
        <v>2019</v>
      </c>
      <c r="AW5" s="677">
        <v>2022</v>
      </c>
      <c r="AX5" s="678" t="s">
        <v>5</v>
      </c>
      <c r="AY5" s="674">
        <v>2019</v>
      </c>
      <c r="AZ5" s="1564">
        <v>2022</v>
      </c>
      <c r="BA5" s="1821"/>
      <c r="BB5" s="1564">
        <v>2022</v>
      </c>
      <c r="BC5" s="1821"/>
      <c r="BD5" s="1562">
        <v>2019</v>
      </c>
      <c r="BE5" s="1562">
        <v>2022</v>
      </c>
      <c r="BF5" s="1825"/>
      <c r="BG5" s="1562">
        <v>2022</v>
      </c>
      <c r="BH5" s="1825"/>
      <c r="BI5" s="1564">
        <v>2019</v>
      </c>
      <c r="BJ5" s="1564">
        <v>2022</v>
      </c>
      <c r="BK5" s="1821"/>
      <c r="BL5" s="1564">
        <v>2022</v>
      </c>
      <c r="BM5" s="1823"/>
      <c r="BN5" s="1562">
        <v>2019</v>
      </c>
      <c r="BO5" s="1562">
        <v>2022</v>
      </c>
      <c r="BP5" s="1825"/>
      <c r="BQ5" s="1562">
        <v>2022</v>
      </c>
      <c r="BR5" s="1825"/>
      <c r="BS5" s="1564">
        <v>2019</v>
      </c>
      <c r="BT5" s="1564">
        <v>2022</v>
      </c>
      <c r="BU5" s="1821"/>
      <c r="BV5" s="1564">
        <v>2022</v>
      </c>
      <c r="BW5" s="1823"/>
      <c r="BX5" s="675">
        <v>2022</v>
      </c>
      <c r="BY5" s="675">
        <v>2019</v>
      </c>
      <c r="BZ5" s="675">
        <v>2022</v>
      </c>
      <c r="CA5" s="676" t="s">
        <v>5</v>
      </c>
      <c r="CB5" s="674">
        <v>2019</v>
      </c>
      <c r="CC5" s="1564">
        <v>2022</v>
      </c>
      <c r="CD5" s="1821"/>
      <c r="CE5" s="1564">
        <v>2022</v>
      </c>
      <c r="CF5" s="1821"/>
      <c r="CG5" s="1562">
        <v>2019</v>
      </c>
      <c r="CH5" s="1562">
        <v>2022</v>
      </c>
      <c r="CI5" s="1825"/>
      <c r="CJ5" s="1562">
        <v>2022</v>
      </c>
      <c r="CK5" s="1825"/>
      <c r="CL5" s="1564">
        <v>2019</v>
      </c>
      <c r="CM5" s="1564">
        <v>2022</v>
      </c>
      <c r="CN5" s="1821"/>
      <c r="CO5" s="1564">
        <v>2022</v>
      </c>
      <c r="CP5" s="1821"/>
      <c r="CQ5" s="1562">
        <v>2019</v>
      </c>
      <c r="CR5" s="1562">
        <v>2022</v>
      </c>
      <c r="CS5" s="1825"/>
      <c r="CT5" s="1562">
        <v>2022</v>
      </c>
      <c r="CU5" s="1825"/>
      <c r="CV5" s="677">
        <v>2022</v>
      </c>
      <c r="CW5" s="677">
        <v>2019</v>
      </c>
      <c r="CX5" s="677">
        <v>2022</v>
      </c>
      <c r="CY5" s="678" t="s">
        <v>5</v>
      </c>
      <c r="CZ5" s="674">
        <v>2019</v>
      </c>
      <c r="DA5" s="1564">
        <v>2022</v>
      </c>
      <c r="DB5" s="1821"/>
      <c r="DC5" s="1564">
        <v>2022</v>
      </c>
      <c r="DD5" s="1821"/>
      <c r="DE5" s="1562">
        <v>2019</v>
      </c>
      <c r="DF5" s="1562">
        <v>2022</v>
      </c>
      <c r="DG5" s="1825"/>
      <c r="DH5" s="1562">
        <v>2022</v>
      </c>
      <c r="DI5" s="1825"/>
      <c r="DJ5" s="1564">
        <v>2019</v>
      </c>
      <c r="DK5" s="1564">
        <v>2022</v>
      </c>
      <c r="DL5" s="1821"/>
      <c r="DM5" s="1564">
        <v>2022</v>
      </c>
      <c r="DN5" s="1821"/>
      <c r="DO5" s="1562">
        <v>2019</v>
      </c>
      <c r="DP5" s="1562">
        <v>2022</v>
      </c>
      <c r="DQ5" s="1825"/>
      <c r="DR5" s="1562">
        <v>2022</v>
      </c>
      <c r="DS5" s="1825"/>
      <c r="DT5" s="675">
        <v>2022</v>
      </c>
      <c r="DU5" s="675">
        <v>2019</v>
      </c>
      <c r="DV5" s="675">
        <v>2022</v>
      </c>
      <c r="DW5" s="676" t="s">
        <v>5</v>
      </c>
      <c r="DX5" s="674">
        <v>2019</v>
      </c>
      <c r="DY5" s="1564">
        <v>2022</v>
      </c>
      <c r="DZ5" s="1823"/>
      <c r="EA5" s="1564">
        <v>2022</v>
      </c>
      <c r="EB5" s="1823"/>
      <c r="EC5" s="1562">
        <v>2019</v>
      </c>
      <c r="ED5" s="1562">
        <v>2022</v>
      </c>
      <c r="EE5" s="1827"/>
      <c r="EF5" s="1562">
        <v>2022</v>
      </c>
      <c r="EG5" s="1827"/>
      <c r="EH5" s="1564">
        <v>2019</v>
      </c>
      <c r="EI5" s="1564">
        <v>2022</v>
      </c>
      <c r="EJ5" s="1823"/>
      <c r="EK5" s="1564">
        <v>2022</v>
      </c>
      <c r="EL5" s="1823"/>
      <c r="EM5" s="1562">
        <v>2019</v>
      </c>
      <c r="EN5" s="1562">
        <v>2022</v>
      </c>
      <c r="EO5" s="1827"/>
      <c r="EP5" s="1562">
        <v>2022</v>
      </c>
      <c r="EQ5" s="1827"/>
      <c r="ER5" s="1564">
        <v>2019</v>
      </c>
      <c r="ES5" s="1564">
        <v>2022</v>
      </c>
      <c r="ET5" s="1823"/>
      <c r="EU5" s="1564">
        <v>2022</v>
      </c>
      <c r="EV5" s="1823"/>
      <c r="EW5" s="677">
        <v>2022</v>
      </c>
      <c r="EX5" s="677">
        <v>2019</v>
      </c>
      <c r="EY5" s="677">
        <v>2022</v>
      </c>
      <c r="EZ5" s="678" t="s">
        <v>5</v>
      </c>
      <c r="FA5" s="674">
        <v>2019</v>
      </c>
      <c r="FB5" s="1564">
        <v>2022</v>
      </c>
      <c r="FC5" s="1821"/>
      <c r="FD5" s="1564">
        <v>2022</v>
      </c>
      <c r="FE5" s="1821"/>
      <c r="FF5" s="1562">
        <v>2019</v>
      </c>
      <c r="FG5" s="1562">
        <v>2022</v>
      </c>
      <c r="FH5" s="1825"/>
      <c r="FI5" s="1562">
        <v>2022</v>
      </c>
      <c r="FJ5" s="1825"/>
      <c r="FK5" s="1564">
        <v>2019</v>
      </c>
      <c r="FL5" s="1564">
        <v>2022</v>
      </c>
      <c r="FM5" s="1821"/>
      <c r="FN5" s="1564">
        <v>2022</v>
      </c>
      <c r="FO5" s="1821"/>
      <c r="FP5" s="1562">
        <v>2019</v>
      </c>
      <c r="FQ5" s="1562">
        <v>2022</v>
      </c>
      <c r="FR5" s="1825"/>
      <c r="FS5" s="1562">
        <v>2022</v>
      </c>
      <c r="FT5" s="1825"/>
      <c r="FU5" s="675">
        <v>2022</v>
      </c>
      <c r="FV5" s="675">
        <v>2019</v>
      </c>
      <c r="FW5" s="675">
        <v>2022</v>
      </c>
      <c r="FX5" s="676" t="s">
        <v>5</v>
      </c>
      <c r="FY5" s="674">
        <v>2019</v>
      </c>
      <c r="FZ5" s="1564">
        <v>2022</v>
      </c>
      <c r="GA5" s="1821"/>
      <c r="GB5" s="1564">
        <v>2022</v>
      </c>
      <c r="GC5" s="1821"/>
      <c r="GD5" s="1562">
        <v>2019</v>
      </c>
      <c r="GE5" s="1562">
        <v>2022</v>
      </c>
      <c r="GF5" s="1825"/>
      <c r="GG5" s="1562">
        <v>2022</v>
      </c>
      <c r="GH5" s="1825"/>
      <c r="GI5" s="1564">
        <v>2019</v>
      </c>
      <c r="GJ5" s="1564">
        <v>2022</v>
      </c>
      <c r="GK5" s="1821"/>
      <c r="GL5" s="1564">
        <v>2022</v>
      </c>
      <c r="GM5" s="1823"/>
      <c r="GN5" s="1562">
        <v>2019</v>
      </c>
      <c r="GO5" s="1562">
        <v>2022</v>
      </c>
      <c r="GP5" s="1825"/>
      <c r="GQ5" s="1562">
        <v>2022</v>
      </c>
      <c r="GR5" s="1825"/>
      <c r="GS5" s="677">
        <v>2022</v>
      </c>
      <c r="GT5" s="677">
        <v>2019</v>
      </c>
      <c r="GU5" s="677">
        <v>2022</v>
      </c>
      <c r="GV5" s="678" t="s">
        <v>5</v>
      </c>
      <c r="GW5" s="674">
        <v>2019</v>
      </c>
      <c r="GX5" s="1564">
        <v>2022</v>
      </c>
      <c r="GY5" s="1821"/>
      <c r="GZ5" s="1564">
        <v>2022</v>
      </c>
      <c r="HA5" s="1821"/>
      <c r="HB5" s="1562">
        <v>2019</v>
      </c>
      <c r="HC5" s="1562">
        <v>2022</v>
      </c>
      <c r="HD5" s="1825"/>
      <c r="HE5" s="1562">
        <v>2022</v>
      </c>
      <c r="HF5" s="1825"/>
      <c r="HG5" s="1564">
        <v>2019</v>
      </c>
      <c r="HH5" s="1564">
        <v>2022</v>
      </c>
      <c r="HI5" s="1821"/>
      <c r="HJ5" s="1564">
        <v>2022</v>
      </c>
      <c r="HK5" s="1823"/>
      <c r="HL5" s="1562">
        <v>2019</v>
      </c>
      <c r="HM5" s="1562">
        <v>2022</v>
      </c>
      <c r="HN5" s="1825"/>
      <c r="HO5" s="1562">
        <v>2022</v>
      </c>
      <c r="HP5" s="1825"/>
      <c r="HQ5" s="1564">
        <v>2019</v>
      </c>
      <c r="HR5" s="1564">
        <v>2022</v>
      </c>
      <c r="HS5" s="1821"/>
      <c r="HT5" s="1564">
        <v>2022</v>
      </c>
      <c r="HU5" s="1823"/>
      <c r="HV5" s="675">
        <v>2022</v>
      </c>
      <c r="HW5" s="675">
        <v>2019</v>
      </c>
      <c r="HX5" s="675">
        <v>2022</v>
      </c>
      <c r="HY5" s="676" t="s">
        <v>5</v>
      </c>
      <c r="HZ5" s="674">
        <v>2019</v>
      </c>
      <c r="IA5" s="1564">
        <v>2022</v>
      </c>
      <c r="IB5" s="1821"/>
      <c r="IC5" s="1564">
        <v>2022</v>
      </c>
      <c r="ID5" s="1821"/>
      <c r="IE5" s="1562">
        <v>2019</v>
      </c>
      <c r="IF5" s="1562">
        <v>2022</v>
      </c>
      <c r="IG5" s="1825"/>
      <c r="IH5" s="1562">
        <v>2022</v>
      </c>
      <c r="II5" s="1825"/>
      <c r="IJ5" s="1564">
        <v>2019</v>
      </c>
      <c r="IK5" s="1564">
        <v>2022</v>
      </c>
      <c r="IL5" s="1821"/>
      <c r="IM5" s="1564">
        <v>2022</v>
      </c>
      <c r="IN5" s="1823"/>
      <c r="IO5" s="1562">
        <v>2019</v>
      </c>
      <c r="IP5" s="1562">
        <v>2022</v>
      </c>
      <c r="IQ5" s="1825"/>
      <c r="IR5" s="1562">
        <v>2022</v>
      </c>
      <c r="IS5" s="1825"/>
      <c r="IT5" s="677">
        <v>2022</v>
      </c>
      <c r="IU5" s="677">
        <v>2019</v>
      </c>
      <c r="IV5" s="677">
        <v>2022</v>
      </c>
      <c r="IW5" s="678" t="s">
        <v>5</v>
      </c>
      <c r="IX5" s="674">
        <v>2019</v>
      </c>
      <c r="IY5" s="1564">
        <v>2022</v>
      </c>
      <c r="IZ5" s="1821"/>
      <c r="JA5" s="1564">
        <v>2022</v>
      </c>
      <c r="JB5" s="1821"/>
      <c r="JC5" s="1562">
        <v>2019</v>
      </c>
      <c r="JD5" s="1562">
        <v>2022</v>
      </c>
      <c r="JE5" s="1825"/>
      <c r="JF5" s="1562">
        <v>2022</v>
      </c>
      <c r="JG5" s="1825"/>
      <c r="JH5" s="1564">
        <v>2019</v>
      </c>
      <c r="JI5" s="1564">
        <v>2022</v>
      </c>
      <c r="JJ5" s="1821"/>
      <c r="JK5" s="1564">
        <v>2022</v>
      </c>
      <c r="JL5" s="1821"/>
      <c r="JM5" s="1562">
        <v>2019</v>
      </c>
      <c r="JN5" s="1562">
        <v>2022</v>
      </c>
      <c r="JO5" s="1825"/>
      <c r="JP5" s="1562">
        <v>202</v>
      </c>
      <c r="JQ5" s="1825"/>
      <c r="JR5" s="675">
        <v>2022</v>
      </c>
      <c r="JS5" s="675">
        <v>2019</v>
      </c>
      <c r="JT5" s="675">
        <v>2022</v>
      </c>
      <c r="JU5" s="676" t="s">
        <v>5</v>
      </c>
      <c r="JV5" s="674">
        <v>2019</v>
      </c>
      <c r="JW5" s="1564">
        <v>2022</v>
      </c>
      <c r="JX5" s="1821"/>
      <c r="JY5" s="1564">
        <v>2022</v>
      </c>
      <c r="JZ5" s="1821"/>
      <c r="KA5" s="1562">
        <v>2019</v>
      </c>
      <c r="KB5" s="1562">
        <v>2022</v>
      </c>
      <c r="KC5" s="1825"/>
      <c r="KD5" s="1562">
        <v>2022</v>
      </c>
      <c r="KE5" s="1825"/>
      <c r="KF5" s="1564">
        <v>2019</v>
      </c>
      <c r="KG5" s="1564">
        <v>2022</v>
      </c>
      <c r="KH5" s="1821"/>
      <c r="KI5" s="1564">
        <v>2022</v>
      </c>
      <c r="KJ5" s="1823"/>
      <c r="KK5" s="1562">
        <v>2019</v>
      </c>
      <c r="KL5" s="1562">
        <v>2022</v>
      </c>
      <c r="KM5" s="1825"/>
      <c r="KN5" s="1562">
        <v>2022</v>
      </c>
      <c r="KO5" s="1825"/>
      <c r="KP5" s="1564">
        <v>2019</v>
      </c>
      <c r="KQ5" s="1564">
        <v>2022</v>
      </c>
      <c r="KR5" s="1821"/>
      <c r="KS5" s="1564">
        <v>2022</v>
      </c>
      <c r="KT5" s="1823"/>
      <c r="KU5" s="677">
        <v>2022</v>
      </c>
      <c r="KV5" s="677">
        <v>2019</v>
      </c>
      <c r="KW5" s="677">
        <v>2022</v>
      </c>
      <c r="KX5" s="679" t="s">
        <v>5</v>
      </c>
      <c r="KY5" s="1890"/>
      <c r="KZ5" s="1892"/>
      <c r="LA5" s="1892"/>
      <c r="LB5" s="1894"/>
    </row>
    <row r="6" spans="1:314">
      <c r="A6" s="1495"/>
      <c r="B6" s="921" t="s">
        <v>469</v>
      </c>
      <c r="C6" s="910">
        <v>79409.39</v>
      </c>
      <c r="D6" s="909">
        <f>C6*E6</f>
        <v>70674.357099999994</v>
      </c>
      <c r="E6" s="908">
        <v>0.89</v>
      </c>
      <c r="F6" s="907"/>
      <c r="G6" s="906">
        <f>F6/C6</f>
        <v>0</v>
      </c>
      <c r="H6" s="909">
        <v>65453.27</v>
      </c>
      <c r="I6" s="909">
        <f>H6*J6</f>
        <v>58253.410299999996</v>
      </c>
      <c r="J6" s="908">
        <v>0.89</v>
      </c>
      <c r="K6" s="907"/>
      <c r="L6" s="906">
        <f>K6/H6</f>
        <v>0</v>
      </c>
      <c r="M6" s="909">
        <v>53232.959999999999</v>
      </c>
      <c r="N6" s="909">
        <f>M6*O6</f>
        <v>47377.3344</v>
      </c>
      <c r="O6" s="908">
        <v>0.89</v>
      </c>
      <c r="P6" s="907"/>
      <c r="Q6" s="906">
        <f>P6/M6</f>
        <v>0</v>
      </c>
      <c r="R6" s="909">
        <v>59990.86</v>
      </c>
      <c r="S6" s="909">
        <f>R6*T6</f>
        <v>53991.774000000005</v>
      </c>
      <c r="T6" s="908">
        <v>0.9</v>
      </c>
      <c r="U6" s="907"/>
      <c r="V6" s="906">
        <f>U6/R6</f>
        <v>0</v>
      </c>
      <c r="W6" s="909">
        <f>D6+I6+N6+S6</f>
        <v>230296.87579999998</v>
      </c>
      <c r="X6" s="909"/>
      <c r="Y6" s="920">
        <f>+F6+K6+P6+U6</f>
        <v>0</v>
      </c>
      <c r="Z6" s="919">
        <f>IFERROR(Y6/X6,0)</f>
        <v>0</v>
      </c>
      <c r="AA6" s="910">
        <v>71299.3</v>
      </c>
      <c r="AB6" s="909">
        <f>AA6*AC6</f>
        <v>63456.377</v>
      </c>
      <c r="AC6" s="908">
        <v>0.89</v>
      </c>
      <c r="AD6" s="907"/>
      <c r="AE6" s="906">
        <f>AD6/AA6</f>
        <v>0</v>
      </c>
      <c r="AF6" s="909">
        <v>87525.97</v>
      </c>
      <c r="AG6" s="909">
        <f>AF6*AH6</f>
        <v>77022.853600000002</v>
      </c>
      <c r="AH6" s="908">
        <v>0.88</v>
      </c>
      <c r="AI6" s="907"/>
      <c r="AJ6" s="906">
        <f>AI6/AF6</f>
        <v>0</v>
      </c>
      <c r="AK6" s="909">
        <v>59682.559999999998</v>
      </c>
      <c r="AL6" s="909">
        <f>AK6*AM6</f>
        <v>54311.1296</v>
      </c>
      <c r="AM6" s="908">
        <v>0.91</v>
      </c>
      <c r="AN6" s="907"/>
      <c r="AO6" s="906">
        <f>AN6/AK6</f>
        <v>0</v>
      </c>
      <c r="AP6" s="909">
        <v>64439.33</v>
      </c>
      <c r="AQ6" s="909">
        <f>AP6*AR6</f>
        <v>57351.003700000001</v>
      </c>
      <c r="AR6" s="908">
        <v>0.89</v>
      </c>
      <c r="AS6" s="907"/>
      <c r="AT6" s="906">
        <f>AS6/AP6</f>
        <v>0</v>
      </c>
      <c r="AU6" s="909">
        <f>AB6+AG6+AL6+AQ6</f>
        <v>252141.3639</v>
      </c>
      <c r="AV6" s="918"/>
      <c r="AW6" s="917">
        <f>AD6+AI6++AN6+AS6</f>
        <v>0</v>
      </c>
      <c r="AX6" s="916">
        <f>IFERROR(AW6/AV6,0)</f>
        <v>0</v>
      </c>
      <c r="AY6" s="910">
        <v>59326.86</v>
      </c>
      <c r="AZ6" s="909">
        <f>AY6*BA6</f>
        <v>52800.905400000003</v>
      </c>
      <c r="BA6" s="908">
        <v>0.89</v>
      </c>
      <c r="BB6" s="907"/>
      <c r="BC6" s="906">
        <f>BB6/AY6</f>
        <v>0</v>
      </c>
      <c r="BD6" s="909">
        <v>67611.31</v>
      </c>
      <c r="BE6" s="909">
        <f>BD6*BF6</f>
        <v>60174.065900000001</v>
      </c>
      <c r="BF6" s="908">
        <v>0.89</v>
      </c>
      <c r="BG6" s="907"/>
      <c r="BH6" s="906">
        <f>BG6/BD6</f>
        <v>0</v>
      </c>
      <c r="BI6" s="909">
        <v>74292.39</v>
      </c>
      <c r="BJ6" s="909">
        <f>BI6*BK6</f>
        <v>66120.227100000004</v>
      </c>
      <c r="BK6" s="908">
        <v>0.89</v>
      </c>
      <c r="BL6" s="907"/>
      <c r="BM6" s="906">
        <f>BL6/BI6</f>
        <v>0</v>
      </c>
      <c r="BN6" s="909">
        <v>80157.62</v>
      </c>
      <c r="BO6" s="909">
        <f>BN6*BP6</f>
        <v>69737.129399999991</v>
      </c>
      <c r="BP6" s="908">
        <v>0.87</v>
      </c>
      <c r="BQ6" s="907"/>
      <c r="BR6" s="906">
        <f>BQ6/BN6</f>
        <v>0</v>
      </c>
      <c r="BS6" s="909">
        <v>83065.11</v>
      </c>
      <c r="BT6" s="909">
        <f>BS6*BU6</f>
        <v>73927.947899999999</v>
      </c>
      <c r="BU6" s="908">
        <v>0.89</v>
      </c>
      <c r="BV6" s="907"/>
      <c r="BW6" s="906">
        <f>BV6/BS6</f>
        <v>0</v>
      </c>
      <c r="BX6" s="905">
        <f>AZ6+BE6+BJ6+BO6+BT6</f>
        <v>322760.2757</v>
      </c>
      <c r="BY6" s="905"/>
      <c r="BZ6" s="911">
        <f>BV6+BQ6+BL6+BG6+BB6</f>
        <v>0</v>
      </c>
      <c r="CA6" s="912">
        <f>IFERROR(BZ6/BY6,0)</f>
        <v>0</v>
      </c>
      <c r="CB6" s="910">
        <v>80170.649999999994</v>
      </c>
      <c r="CC6" s="909">
        <f>CB6*CD6</f>
        <v>71351.878499999992</v>
      </c>
      <c r="CD6" s="908">
        <v>0.89</v>
      </c>
      <c r="CE6" s="907"/>
      <c r="CF6" s="906">
        <f>CE6/CB6</f>
        <v>0</v>
      </c>
      <c r="CG6" s="909">
        <v>88136.87</v>
      </c>
      <c r="CH6" s="909">
        <f>CG6*CI6</f>
        <v>79323.183000000005</v>
      </c>
      <c r="CI6" s="908">
        <v>0.9</v>
      </c>
      <c r="CJ6" s="907"/>
      <c r="CK6" s="906">
        <f>CJ6/CG6</f>
        <v>0</v>
      </c>
      <c r="CL6" s="909">
        <v>80212.5</v>
      </c>
      <c r="CM6" s="909">
        <f>CL6*CN6</f>
        <v>72191.25</v>
      </c>
      <c r="CN6" s="908">
        <v>0.9</v>
      </c>
      <c r="CO6" s="907"/>
      <c r="CP6" s="906">
        <f>CO6/CL6</f>
        <v>0</v>
      </c>
      <c r="CQ6" s="909">
        <v>128953.09</v>
      </c>
      <c r="CR6" s="909">
        <f>CQ6*CS6</f>
        <v>117347.3119</v>
      </c>
      <c r="CS6" s="908">
        <v>0.91</v>
      </c>
      <c r="CT6" s="907"/>
      <c r="CU6" s="906">
        <f>CT6/CQ6</f>
        <v>0</v>
      </c>
      <c r="CV6" s="915">
        <f>CR6+CM6+CH6+CC6</f>
        <v>340213.62339999998</v>
      </c>
      <c r="CW6" s="915"/>
      <c r="CX6" s="914">
        <f>CT6+CO6+CE6+CJ6</f>
        <v>0</v>
      </c>
      <c r="CY6" s="913">
        <f>IFERROR(CX6/CW6,0)</f>
        <v>0</v>
      </c>
      <c r="CZ6" s="910">
        <v>120869.78</v>
      </c>
      <c r="DA6" s="909">
        <f>CZ6*DB6</f>
        <v>107574.1042</v>
      </c>
      <c r="DB6" s="908">
        <v>0.89</v>
      </c>
      <c r="DC6" s="907"/>
      <c r="DD6" s="906">
        <f>DC6/CZ6</f>
        <v>0</v>
      </c>
      <c r="DE6" s="909">
        <v>88488.4</v>
      </c>
      <c r="DF6" s="909">
        <f>DE6*DG6</f>
        <v>78754.675999999992</v>
      </c>
      <c r="DG6" s="908">
        <v>0.89</v>
      </c>
      <c r="DH6" s="907"/>
      <c r="DI6" s="906">
        <f>DH6/DE6</f>
        <v>0</v>
      </c>
      <c r="DJ6" s="909">
        <v>97144.66</v>
      </c>
      <c r="DK6" s="909">
        <f>DJ6*DL6</f>
        <v>86458.747400000007</v>
      </c>
      <c r="DL6" s="908">
        <v>0.89</v>
      </c>
      <c r="DM6" s="907"/>
      <c r="DN6" s="906">
        <f>DM6/DJ6</f>
        <v>0</v>
      </c>
      <c r="DO6" s="909">
        <v>70528.62</v>
      </c>
      <c r="DP6" s="909">
        <f>DO6*DQ6</f>
        <v>63475.757999999994</v>
      </c>
      <c r="DQ6" s="908">
        <v>0.9</v>
      </c>
      <c r="DR6" s="907"/>
      <c r="DS6" s="906">
        <f>DR6/DO6</f>
        <v>0</v>
      </c>
      <c r="DT6" s="915">
        <f>DP6+DK6+DF6+DA6</f>
        <v>336263.2856</v>
      </c>
      <c r="DU6" s="915"/>
      <c r="DV6" s="914">
        <f>DR6+DM6+DC6+DH6</f>
        <v>0</v>
      </c>
      <c r="DW6" s="913">
        <f>IFERROR(DV6/DU6,0)</f>
        <v>0</v>
      </c>
      <c r="DX6" s="910">
        <v>73656.45</v>
      </c>
      <c r="DY6" s="909">
        <f>DX6*DZ6</f>
        <v>65554.2405</v>
      </c>
      <c r="DZ6" s="908">
        <v>0.89</v>
      </c>
      <c r="EA6" s="907">
        <f>'Vtas Diarias 2022'!AAC7</f>
        <v>0</v>
      </c>
      <c r="EB6" s="906">
        <f>EA6/DX6</f>
        <v>0</v>
      </c>
      <c r="EC6" s="909">
        <v>82925.789999999994</v>
      </c>
      <c r="ED6" s="909">
        <f>EC6*EE6</f>
        <v>72145.437299999991</v>
      </c>
      <c r="EE6" s="908">
        <v>0.87</v>
      </c>
      <c r="EF6" s="907"/>
      <c r="EG6" s="906">
        <f>EF6/EC6</f>
        <v>0</v>
      </c>
      <c r="EH6" s="909">
        <v>103441.4</v>
      </c>
      <c r="EI6" s="909">
        <f>EH6*EJ6</f>
        <v>92062.84599999999</v>
      </c>
      <c r="EJ6" s="908">
        <v>0.89</v>
      </c>
      <c r="EK6" s="907"/>
      <c r="EL6" s="906">
        <f>EK6/EH6</f>
        <v>0</v>
      </c>
      <c r="EM6" s="909">
        <v>100805.66</v>
      </c>
      <c r="EN6" s="909">
        <f>EM6*EO6</f>
        <v>93749.263800000015</v>
      </c>
      <c r="EO6" s="908">
        <v>0.93</v>
      </c>
      <c r="EP6" s="907"/>
      <c r="EQ6" s="906">
        <f>EP6/EM6</f>
        <v>0</v>
      </c>
      <c r="ER6" s="909">
        <v>86502.45</v>
      </c>
      <c r="ES6" s="909">
        <f>ER6*ET6</f>
        <v>80447.2785</v>
      </c>
      <c r="ET6" s="908">
        <v>0.93</v>
      </c>
      <c r="EU6" s="907"/>
      <c r="EV6" s="906">
        <f>EU6/ER6</f>
        <v>0</v>
      </c>
      <c r="EW6" s="905">
        <f>ES6+EN6+EI6+ED6+DY6</f>
        <v>403959.0661</v>
      </c>
      <c r="EX6" s="905"/>
      <c r="EY6" s="904">
        <f>EU6+EP6+EK6+EF6+EA6</f>
        <v>0</v>
      </c>
      <c r="EZ6" s="913">
        <f>IFERROR(EY6/EX6,0)</f>
        <v>0</v>
      </c>
      <c r="FA6" s="910">
        <v>81083.179999999993</v>
      </c>
      <c r="FB6" s="909">
        <f>FA6*FC6</f>
        <v>71353.198399999994</v>
      </c>
      <c r="FC6" s="908">
        <v>0.88</v>
      </c>
      <c r="FD6" s="907"/>
      <c r="FE6" s="906">
        <f>FD6/FA6</f>
        <v>0</v>
      </c>
      <c r="FF6" s="909">
        <v>83830.95</v>
      </c>
      <c r="FG6" s="909">
        <f>FF6*FH6</f>
        <v>73771.236000000004</v>
      </c>
      <c r="FH6" s="908">
        <v>0.88</v>
      </c>
      <c r="FI6" s="907"/>
      <c r="FJ6" s="906">
        <f>FI6/FF6</f>
        <v>0</v>
      </c>
      <c r="FK6" s="909">
        <v>81212.63</v>
      </c>
      <c r="FL6" s="909">
        <f>FK6*FM6</f>
        <v>72279.240700000009</v>
      </c>
      <c r="FM6" s="908">
        <v>0.89</v>
      </c>
      <c r="FN6" s="907"/>
      <c r="FO6" s="906">
        <f>FN6/FK6</f>
        <v>0</v>
      </c>
      <c r="FP6" s="909">
        <v>75337.14</v>
      </c>
      <c r="FQ6" s="909">
        <f>FP6*FR6</f>
        <v>69310.168799999999</v>
      </c>
      <c r="FR6" s="908">
        <v>0.92</v>
      </c>
      <c r="FS6" s="907"/>
      <c r="FT6" s="906">
        <f>FS6/FP6</f>
        <v>0</v>
      </c>
      <c r="FU6" s="905">
        <f>FQ6+FL6+FG6+FB6</f>
        <v>286713.84389999998</v>
      </c>
      <c r="FV6" s="905"/>
      <c r="FW6" s="911">
        <f>FS6+FN6+FD6+FI6</f>
        <v>0</v>
      </c>
      <c r="FX6" s="912">
        <f>IFERROR(FW6/FV6,0)</f>
        <v>0</v>
      </c>
      <c r="FY6" s="910">
        <v>85050.38</v>
      </c>
      <c r="FZ6" s="909">
        <f>FY6*GA6</f>
        <v>80797.861000000004</v>
      </c>
      <c r="GA6" s="908">
        <v>0.95</v>
      </c>
      <c r="GB6" s="907"/>
      <c r="GC6" s="906">
        <f>GB6/FY6</f>
        <v>0</v>
      </c>
      <c r="GD6" s="909">
        <v>79767.03</v>
      </c>
      <c r="GE6" s="909">
        <f>GD6*GF6</f>
        <v>71790.327000000005</v>
      </c>
      <c r="GF6" s="908">
        <v>0.9</v>
      </c>
      <c r="GG6" s="907"/>
      <c r="GH6" s="906">
        <f>GG6/GD6</f>
        <v>0</v>
      </c>
      <c r="GI6" s="909">
        <v>76993.95</v>
      </c>
      <c r="GJ6" s="909">
        <f>GI6*GK6</f>
        <v>75454.070999999996</v>
      </c>
      <c r="GK6" s="908">
        <v>0.98</v>
      </c>
      <c r="GL6" s="907"/>
      <c r="GM6" s="906">
        <f>GL6/GI6</f>
        <v>0</v>
      </c>
      <c r="GN6" s="909">
        <v>81629.11</v>
      </c>
      <c r="GO6" s="909">
        <f>GN6*GP6</f>
        <v>79996.527799999996</v>
      </c>
      <c r="GP6" s="908">
        <v>0.98</v>
      </c>
      <c r="GQ6" s="907"/>
      <c r="GR6" s="906">
        <f>GQ6/GN6</f>
        <v>0</v>
      </c>
      <c r="GS6" s="905">
        <f>GO6+GJ6+GE6+FZ6</f>
        <v>308038.7868</v>
      </c>
      <c r="GT6" s="905"/>
      <c r="GU6" s="904">
        <f>GQ6+GL6+GB6+GG6</f>
        <v>0</v>
      </c>
      <c r="GV6" s="913">
        <f>IFERROR(GU6/GT6,0)</f>
        <v>0</v>
      </c>
      <c r="GW6" s="910">
        <v>73996</v>
      </c>
      <c r="GX6" s="909">
        <f>GW6*GY6</f>
        <v>72516.08</v>
      </c>
      <c r="GY6" s="908">
        <v>0.98</v>
      </c>
      <c r="GZ6" s="907"/>
      <c r="HA6" s="906">
        <f>GZ6/GW6</f>
        <v>0</v>
      </c>
      <c r="HB6" s="909">
        <v>75792.03</v>
      </c>
      <c r="HC6" s="909">
        <f>HB6*HD6</f>
        <v>75792.03</v>
      </c>
      <c r="HD6" s="908">
        <v>1</v>
      </c>
      <c r="HE6" s="907"/>
      <c r="HF6" s="906">
        <f>HE6/HB6</f>
        <v>0</v>
      </c>
      <c r="HG6" s="909">
        <v>73379.460000000006</v>
      </c>
      <c r="HH6" s="909">
        <f>HG6*HI6</f>
        <v>69710.487000000008</v>
      </c>
      <c r="HI6" s="908">
        <v>0.95</v>
      </c>
      <c r="HJ6" s="907"/>
      <c r="HK6" s="906">
        <f>HJ6/HG6</f>
        <v>0</v>
      </c>
      <c r="HL6" s="909">
        <v>68735.490000000005</v>
      </c>
      <c r="HM6" s="909">
        <f>HL6*HN6</f>
        <v>66673.425300000003</v>
      </c>
      <c r="HN6" s="908">
        <v>0.97</v>
      </c>
      <c r="HO6" s="907"/>
      <c r="HP6" s="906">
        <f>HO6/HL6</f>
        <v>0</v>
      </c>
      <c r="HQ6" s="909">
        <v>68708.41</v>
      </c>
      <c r="HR6" s="909">
        <f>HQ6*HS6</f>
        <v>66647.157699999996</v>
      </c>
      <c r="HS6" s="908">
        <v>0.97</v>
      </c>
      <c r="HT6" s="907"/>
      <c r="HU6" s="906">
        <f>HT6/HQ6</f>
        <v>0</v>
      </c>
      <c r="HV6" s="905">
        <f>HR6+HM6+HH6+HC6+GX6</f>
        <v>351339.18</v>
      </c>
      <c r="HW6" s="905"/>
      <c r="HX6" s="911">
        <f>HT6+HO6+HJ6+HE6+GZ6</f>
        <v>0</v>
      </c>
      <c r="HY6" s="912">
        <f>IFERROR(HX6/HW6,0)</f>
        <v>0</v>
      </c>
      <c r="HZ6" s="910">
        <v>78814.69</v>
      </c>
      <c r="IA6" s="909">
        <f>HZ6*IB6</f>
        <v>76450.249299999996</v>
      </c>
      <c r="IB6" s="908">
        <v>0.97</v>
      </c>
      <c r="IC6" s="907"/>
      <c r="ID6" s="906">
        <f>IC6/HZ6</f>
        <v>0</v>
      </c>
      <c r="IE6" s="909">
        <v>83942.2</v>
      </c>
      <c r="IF6" s="909">
        <f>IE6*IG6</f>
        <v>80584.511999999988</v>
      </c>
      <c r="IG6" s="908">
        <v>0.96</v>
      </c>
      <c r="IH6" s="907"/>
      <c r="II6" s="906">
        <f>IH6/IE6</f>
        <v>0</v>
      </c>
      <c r="IJ6" s="909">
        <v>84827.64</v>
      </c>
      <c r="IK6" s="909">
        <f>IJ6*IL6</f>
        <v>83979.363599999997</v>
      </c>
      <c r="IL6" s="908">
        <v>0.99</v>
      </c>
      <c r="IM6" s="907"/>
      <c r="IN6" s="906">
        <f>IM6/IJ6</f>
        <v>0</v>
      </c>
      <c r="IO6" s="909">
        <v>118188.23</v>
      </c>
      <c r="IP6" s="909">
        <f>IO6*IQ6</f>
        <v>113460.70079999999</v>
      </c>
      <c r="IQ6" s="908">
        <v>0.96</v>
      </c>
      <c r="IR6" s="907"/>
      <c r="IS6" s="906">
        <f>IR6/IO6</f>
        <v>0</v>
      </c>
      <c r="IT6" s="905">
        <f>IP6+IK6+IF6+IA6</f>
        <v>354474.82569999993</v>
      </c>
      <c r="IU6" s="905"/>
      <c r="IV6" s="904">
        <f>IC6+IH6+IM6+IR6</f>
        <v>0</v>
      </c>
      <c r="IW6" s="913">
        <f>IFERROR(IV6/IU6,0)</f>
        <v>0</v>
      </c>
      <c r="IX6" s="910">
        <v>75583.22</v>
      </c>
      <c r="IY6" s="909">
        <f>IX6*IZ6</f>
        <v>73315.723400000003</v>
      </c>
      <c r="IZ6" s="908">
        <v>0.97</v>
      </c>
      <c r="JA6" s="907"/>
      <c r="JB6" s="906">
        <f>JA6/IX6</f>
        <v>0</v>
      </c>
      <c r="JC6" s="909">
        <v>83311.3</v>
      </c>
      <c r="JD6" s="909">
        <f>JC6*JE6</f>
        <v>78312.622000000003</v>
      </c>
      <c r="JE6" s="908">
        <v>0.94</v>
      </c>
      <c r="JF6" s="907"/>
      <c r="JG6" s="906">
        <f>JF6/JC6</f>
        <v>0</v>
      </c>
      <c r="JH6" s="909">
        <v>99472.82</v>
      </c>
      <c r="JI6" s="909">
        <f>JH6*JJ6</f>
        <v>94499.179000000004</v>
      </c>
      <c r="JJ6" s="908">
        <v>0.95</v>
      </c>
      <c r="JK6" s="907"/>
      <c r="JL6" s="906">
        <f>JK6/JH6</f>
        <v>0</v>
      </c>
      <c r="JM6" s="909">
        <v>120724.92</v>
      </c>
      <c r="JN6" s="909">
        <f>JM6*JO6</f>
        <v>114688.674</v>
      </c>
      <c r="JO6" s="908">
        <v>0.95</v>
      </c>
      <c r="JP6" s="907"/>
      <c r="JQ6" s="906">
        <f>JP6/JM6</f>
        <v>0</v>
      </c>
      <c r="JR6" s="905">
        <f>JN6+JI6+JD6+IY6</f>
        <v>360816.19839999999</v>
      </c>
      <c r="JS6" s="905"/>
      <c r="JT6" s="911">
        <f>JP6+JK6+JA6+JF6</f>
        <v>0</v>
      </c>
      <c r="JU6" s="912">
        <f>IFERROR(JT6/JS6,0)</f>
        <v>0</v>
      </c>
      <c r="JV6" s="910">
        <v>179343.27</v>
      </c>
      <c r="JW6" s="909">
        <f>JV6*JX6</f>
        <v>168582.67379999999</v>
      </c>
      <c r="JX6" s="908">
        <v>0.94</v>
      </c>
      <c r="JY6" s="907"/>
      <c r="JZ6" s="906">
        <f>JY6/JV6</f>
        <v>0</v>
      </c>
      <c r="KA6" s="909">
        <v>233524.31</v>
      </c>
      <c r="KB6" s="909">
        <f>KA6*KC6</f>
        <v>217177.60830000002</v>
      </c>
      <c r="KC6" s="908">
        <v>0.93</v>
      </c>
      <c r="KD6" s="907"/>
      <c r="KE6" s="906">
        <f>KD6/KA6</f>
        <v>0</v>
      </c>
      <c r="KF6" s="909">
        <v>259631.66</v>
      </c>
      <c r="KG6" s="909">
        <f>KF6*KH6</f>
        <v>241457.44380000001</v>
      </c>
      <c r="KH6" s="908">
        <v>0.93</v>
      </c>
      <c r="KI6" s="907"/>
      <c r="KJ6" s="906">
        <f>KI6/KF6</f>
        <v>0</v>
      </c>
      <c r="KK6" s="909">
        <v>244801.73</v>
      </c>
      <c r="KL6" s="909">
        <f>KK6*KM6</f>
        <v>227665.60890000002</v>
      </c>
      <c r="KM6" s="908">
        <v>0.93</v>
      </c>
      <c r="KN6" s="907"/>
      <c r="KO6" s="906">
        <f>KN6/KK6</f>
        <v>0</v>
      </c>
      <c r="KP6" s="909">
        <v>65668.12</v>
      </c>
      <c r="KQ6" s="909">
        <f>KP6*KR6</f>
        <v>62384.713999999993</v>
      </c>
      <c r="KR6" s="908">
        <v>0.95</v>
      </c>
      <c r="KS6" s="907"/>
      <c r="KT6" s="906">
        <f>KS6/KP6</f>
        <v>0</v>
      </c>
      <c r="KU6" s="905">
        <f>KQ6+KL6+KG6+KB6+JW6</f>
        <v>917268.04879999999</v>
      </c>
      <c r="KV6" s="905"/>
      <c r="KW6" s="904">
        <f>KS6+KN6+KI6+KD6+JY6</f>
        <v>0</v>
      </c>
      <c r="KX6" s="903">
        <f>IFERROR(KW6/KV6,0)</f>
        <v>0</v>
      </c>
      <c r="KY6" s="894">
        <f>X6+AV6+BY6+CW6+DU6+EX6+FV6+GT6+HW6+IU6+JS6+KV6</f>
        <v>0</v>
      </c>
      <c r="KZ6" s="893">
        <f>Y6+AW6+BZ6+CX6+DV6+EY6+FW6+GU6+HX6+IV6+JT6+KW6</f>
        <v>0</v>
      </c>
      <c r="LA6" s="902">
        <f>KZ6-KY6</f>
        <v>0</v>
      </c>
      <c r="LB6" s="901">
        <f>IFERROR(LA6/KZ6,0)</f>
        <v>0</v>
      </c>
    </row>
    <row r="7" spans="1:314">
      <c r="A7" s="1495"/>
      <c r="B7" s="900" t="s">
        <v>470</v>
      </c>
      <c r="C7" s="645">
        <v>62961.45</v>
      </c>
      <c r="D7" s="639">
        <f>C7*E7</f>
        <v>56035.690499999997</v>
      </c>
      <c r="E7" s="908">
        <v>0.89</v>
      </c>
      <c r="F7" s="635"/>
      <c r="G7" s="636">
        <f>F7/C7</f>
        <v>0</v>
      </c>
      <c r="H7" s="639">
        <v>67534.77</v>
      </c>
      <c r="I7" s="639">
        <f>H7*J7</f>
        <v>60105.945300000007</v>
      </c>
      <c r="J7" s="633">
        <v>0.89</v>
      </c>
      <c r="K7" s="635"/>
      <c r="L7" s="636">
        <f>K7/H7</f>
        <v>0</v>
      </c>
      <c r="M7" s="639">
        <v>65390.81</v>
      </c>
      <c r="N7" s="639">
        <f>M7*O7</f>
        <v>58197.820899999999</v>
      </c>
      <c r="O7" s="633">
        <v>0.89</v>
      </c>
      <c r="P7" s="635"/>
      <c r="Q7" s="636">
        <f>P7/M7</f>
        <v>0</v>
      </c>
      <c r="R7" s="639">
        <v>73884.25</v>
      </c>
      <c r="S7" s="639">
        <f>R7*T7</f>
        <v>66495.824999999997</v>
      </c>
      <c r="T7" s="908">
        <v>0.9</v>
      </c>
      <c r="U7" s="635"/>
      <c r="V7" s="636">
        <f>U7/R7</f>
        <v>0</v>
      </c>
      <c r="W7" s="639">
        <f>D7+I7+N7+S7</f>
        <v>240835.28169999999</v>
      </c>
      <c r="X7" s="639"/>
      <c r="Y7" s="666">
        <f>+F7+K7+P7+U7</f>
        <v>0</v>
      </c>
      <c r="Z7" s="646">
        <f t="shared" ref="Z7:Z34" si="0">IFERROR(Y7/X7,0)</f>
        <v>0</v>
      </c>
      <c r="AA7" s="645">
        <v>74074.41</v>
      </c>
      <c r="AB7" s="639">
        <f>AA7*AC7</f>
        <v>65926.224900000001</v>
      </c>
      <c r="AC7" s="908">
        <v>0.89</v>
      </c>
      <c r="AD7" s="635"/>
      <c r="AE7" s="636">
        <f>AD7/AA7</f>
        <v>0</v>
      </c>
      <c r="AF7" s="639">
        <v>92857.51</v>
      </c>
      <c r="AG7" s="639">
        <f>AF7*AH7</f>
        <v>81714.608800000002</v>
      </c>
      <c r="AH7" s="633">
        <v>0.88</v>
      </c>
      <c r="AI7" s="635"/>
      <c r="AJ7" s="636">
        <f>AI7/AF7</f>
        <v>0</v>
      </c>
      <c r="AK7" s="639">
        <v>76111.28</v>
      </c>
      <c r="AL7" s="639">
        <f>AK7*AM7</f>
        <v>69261.264800000004</v>
      </c>
      <c r="AM7" s="908">
        <v>0.91</v>
      </c>
      <c r="AN7" s="635"/>
      <c r="AO7" s="636">
        <f>AN7/AK7</f>
        <v>0</v>
      </c>
      <c r="AP7" s="639">
        <v>74105.95</v>
      </c>
      <c r="AQ7" s="639">
        <f>AP7*AR7</f>
        <v>65954.295499999993</v>
      </c>
      <c r="AR7" s="908">
        <v>0.89</v>
      </c>
      <c r="AS7" s="635"/>
      <c r="AT7" s="636">
        <f>AS7/AP7</f>
        <v>0</v>
      </c>
      <c r="AU7" s="639">
        <f>AB7+AG7+AL7+AQ7</f>
        <v>282856.39400000003</v>
      </c>
      <c r="AV7" s="896"/>
      <c r="AW7" s="895">
        <f>AD7+AI7++AN7+AS7</f>
        <v>0</v>
      </c>
      <c r="AX7" s="665">
        <f t="shared" ref="AX7:AX34" si="1">IFERROR(AW7/AV7,0)</f>
        <v>0</v>
      </c>
      <c r="AY7" s="645">
        <v>79168.539999999994</v>
      </c>
      <c r="AZ7" s="639">
        <f>AY7*BA7</f>
        <v>70460.000599999999</v>
      </c>
      <c r="BA7" s="633">
        <v>0.89</v>
      </c>
      <c r="BB7" s="635"/>
      <c r="BC7" s="636">
        <f>BB7/AY7</f>
        <v>0</v>
      </c>
      <c r="BD7" s="639">
        <v>83720.649999999994</v>
      </c>
      <c r="BE7" s="639">
        <f>BD7*BF7</f>
        <v>74511.378499999992</v>
      </c>
      <c r="BF7" s="633">
        <v>0.89</v>
      </c>
      <c r="BG7" s="635"/>
      <c r="BH7" s="636">
        <f>BG7/BD7</f>
        <v>0</v>
      </c>
      <c r="BI7" s="639">
        <v>91129.23</v>
      </c>
      <c r="BJ7" s="639">
        <f>BI7*BK7</f>
        <v>81105.0147</v>
      </c>
      <c r="BK7" s="633">
        <v>0.89</v>
      </c>
      <c r="BL7" s="635"/>
      <c r="BM7" s="636">
        <f>BL7/BI7</f>
        <v>0</v>
      </c>
      <c r="BN7" s="639">
        <v>93421.77</v>
      </c>
      <c r="BO7" s="639">
        <f>BN7*BP7</f>
        <v>81276.939899999998</v>
      </c>
      <c r="BP7" s="908">
        <v>0.87</v>
      </c>
      <c r="BQ7" s="635"/>
      <c r="BR7" s="636">
        <f>BQ7/BN7</f>
        <v>0</v>
      </c>
      <c r="BS7" s="639">
        <v>86547.25</v>
      </c>
      <c r="BT7" s="639">
        <f>BS7*BU7</f>
        <v>77027.052500000005</v>
      </c>
      <c r="BU7" s="633">
        <v>0.89</v>
      </c>
      <c r="BV7" s="635"/>
      <c r="BW7" s="636">
        <f>BV7/BS7</f>
        <v>0</v>
      </c>
      <c r="BX7" s="661">
        <f>AZ7+BE7+BJ7+BO7+BT7</f>
        <v>384380.38619999995</v>
      </c>
      <c r="BY7" s="661"/>
      <c r="BZ7" s="663">
        <f>BV7+BQ7+BL7+BG7+BB7</f>
        <v>0</v>
      </c>
      <c r="CA7" s="651">
        <f t="shared" ref="CA7:CA34" si="2">IFERROR(BZ7/BY7,0)</f>
        <v>0</v>
      </c>
      <c r="CB7" s="645">
        <v>95478.28</v>
      </c>
      <c r="CC7" s="639">
        <f>CB7*CD7</f>
        <v>84975.669200000004</v>
      </c>
      <c r="CD7" s="633">
        <v>0.89</v>
      </c>
      <c r="CE7" s="635"/>
      <c r="CF7" s="636">
        <f>CE7/CB7</f>
        <v>0</v>
      </c>
      <c r="CG7" s="639">
        <v>101257.7</v>
      </c>
      <c r="CH7" s="639">
        <f>CG7*CI7</f>
        <v>91131.93</v>
      </c>
      <c r="CI7" s="908">
        <v>0.9</v>
      </c>
      <c r="CJ7" s="635"/>
      <c r="CK7" s="636">
        <f>CJ7/CG7</f>
        <v>0</v>
      </c>
      <c r="CL7" s="639">
        <v>101856.65</v>
      </c>
      <c r="CM7" s="639">
        <f>CL7*CN7</f>
        <v>91670.985000000001</v>
      </c>
      <c r="CN7" s="633">
        <v>0.9</v>
      </c>
      <c r="CO7" s="635"/>
      <c r="CP7" s="636">
        <f>CO7/CL7</f>
        <v>0</v>
      </c>
      <c r="CQ7" s="639">
        <v>135310.23000000001</v>
      </c>
      <c r="CR7" s="639">
        <f>CQ7*CS7</f>
        <v>123132.30930000001</v>
      </c>
      <c r="CS7" s="908">
        <v>0.91</v>
      </c>
      <c r="CT7" s="635"/>
      <c r="CU7" s="636">
        <f>CT7/CQ7</f>
        <v>0</v>
      </c>
      <c r="CV7" s="656">
        <f>CR7+CM7+CH7+CC7</f>
        <v>390910.89350000001</v>
      </c>
      <c r="CW7" s="656"/>
      <c r="CX7" s="657">
        <f>CT7+CO7+CE7+CJ7</f>
        <v>0</v>
      </c>
      <c r="CY7" s="654">
        <f t="shared" ref="CY7:CY34" si="3">IFERROR(CX7/CW7,0)</f>
        <v>0</v>
      </c>
      <c r="CZ7" s="645">
        <v>141841.79999999999</v>
      </c>
      <c r="DA7" s="639">
        <f>CZ7*DB7</f>
        <v>126239.20199999999</v>
      </c>
      <c r="DB7" s="633">
        <v>0.89</v>
      </c>
      <c r="DC7" s="635"/>
      <c r="DD7" s="636">
        <f>DC7/CZ7</f>
        <v>0</v>
      </c>
      <c r="DE7" s="639">
        <v>107933.62</v>
      </c>
      <c r="DF7" s="639">
        <f>DE7*DG7</f>
        <v>96060.921799999996</v>
      </c>
      <c r="DG7" s="633">
        <v>0.89</v>
      </c>
      <c r="DH7" s="635"/>
      <c r="DI7" s="636">
        <f>DH7/DE7</f>
        <v>0</v>
      </c>
      <c r="DJ7" s="639">
        <v>105925.81</v>
      </c>
      <c r="DK7" s="639">
        <f>DJ7*DL7</f>
        <v>94273.9709</v>
      </c>
      <c r="DL7" s="633">
        <v>0.89</v>
      </c>
      <c r="DM7" s="635"/>
      <c r="DN7" s="636">
        <f>DM7/DJ7</f>
        <v>0</v>
      </c>
      <c r="DO7" s="639">
        <v>113117.3</v>
      </c>
      <c r="DP7" s="639">
        <f>DO7*DQ7</f>
        <v>101805.57</v>
      </c>
      <c r="DQ7" s="908">
        <v>0.9</v>
      </c>
      <c r="DR7" s="635"/>
      <c r="DS7" s="636">
        <f>DR7/DO7</f>
        <v>0</v>
      </c>
      <c r="DT7" s="656">
        <f>DP7+DK7+DF7+DA7</f>
        <v>418379.66470000002</v>
      </c>
      <c r="DU7" s="656"/>
      <c r="DV7" s="657">
        <f>DR7+DM7+DC7+DH7</f>
        <v>0</v>
      </c>
      <c r="DW7" s="654">
        <f t="shared" ref="DW7:DW34" si="4">IFERROR(DV7/DU7,0)</f>
        <v>0</v>
      </c>
      <c r="DX7" s="645">
        <v>111915.94</v>
      </c>
      <c r="DY7" s="639">
        <f>DX7*DZ7</f>
        <v>99605.186600000001</v>
      </c>
      <c r="DZ7" s="633">
        <v>0.89</v>
      </c>
      <c r="EA7" s="907">
        <f>'Vtas Diarias 2022'!AAC8</f>
        <v>0</v>
      </c>
      <c r="EB7" s="636">
        <f>EA7/DX7</f>
        <v>0</v>
      </c>
      <c r="EC7" s="639">
        <v>110709.27</v>
      </c>
      <c r="ED7" s="639">
        <f>EC7*EE7</f>
        <v>96317.064899999998</v>
      </c>
      <c r="EE7" s="908">
        <v>0.87</v>
      </c>
      <c r="EF7" s="635"/>
      <c r="EG7" s="636">
        <f>EF7/EC7</f>
        <v>0</v>
      </c>
      <c r="EH7" s="639">
        <v>139120.74</v>
      </c>
      <c r="EI7" s="639">
        <f>EH7*EJ7</f>
        <v>123817.4586</v>
      </c>
      <c r="EJ7" s="633">
        <v>0.89</v>
      </c>
      <c r="EK7" s="635"/>
      <c r="EL7" s="636">
        <f>EK7/EH7</f>
        <v>0</v>
      </c>
      <c r="EM7" s="639">
        <v>117201.14</v>
      </c>
      <c r="EN7" s="639">
        <f>EM7*EO7</f>
        <v>108997.06020000001</v>
      </c>
      <c r="EO7" s="908">
        <v>0.93</v>
      </c>
      <c r="EP7" s="635"/>
      <c r="EQ7" s="636">
        <f>EP7/EM7</f>
        <v>0</v>
      </c>
      <c r="ER7" s="639">
        <v>106412.72</v>
      </c>
      <c r="ES7" s="639">
        <f>ER7*ET7</f>
        <v>98963.829600000012</v>
      </c>
      <c r="ET7" s="633">
        <v>0.93</v>
      </c>
      <c r="EU7" s="635"/>
      <c r="EV7" s="636">
        <f>EU7/ER7</f>
        <v>0</v>
      </c>
      <c r="EW7" s="661">
        <f>ES7+EN7+EI7+ED7+DY7</f>
        <v>527700.59990000003</v>
      </c>
      <c r="EX7" s="661"/>
      <c r="EY7" s="904">
        <f t="shared" ref="EY7:EY34" si="5">EU7+EP7+EK7+EF7+EA7</f>
        <v>0</v>
      </c>
      <c r="EZ7" s="654">
        <f t="shared" ref="EZ7:EZ34" si="6">IFERROR(EY7/EX7,0)</f>
        <v>0</v>
      </c>
      <c r="FA7" s="645">
        <v>101302.6</v>
      </c>
      <c r="FB7" s="639">
        <f>FA7*FC7</f>
        <v>89146.288</v>
      </c>
      <c r="FC7" s="908">
        <v>0.88</v>
      </c>
      <c r="FD7" s="635"/>
      <c r="FE7" s="636">
        <f>FD7/FA7</f>
        <v>0</v>
      </c>
      <c r="FF7" s="639">
        <v>115742.48</v>
      </c>
      <c r="FG7" s="639">
        <f>FF7*FH7</f>
        <v>101853.3824</v>
      </c>
      <c r="FH7" s="633">
        <v>0.88</v>
      </c>
      <c r="FI7" s="635"/>
      <c r="FJ7" s="636">
        <f>FI7/FF7</f>
        <v>0</v>
      </c>
      <c r="FK7" s="639">
        <v>94609.08</v>
      </c>
      <c r="FL7" s="639">
        <f>FK7*FM7</f>
        <v>84202.081200000001</v>
      </c>
      <c r="FM7" s="633">
        <v>0.89</v>
      </c>
      <c r="FN7" s="635"/>
      <c r="FO7" s="636">
        <f>FN7/FK7</f>
        <v>0</v>
      </c>
      <c r="FP7" s="639">
        <v>109312.74</v>
      </c>
      <c r="FQ7" s="639">
        <f>FP7*FR7</f>
        <v>100567.72080000001</v>
      </c>
      <c r="FR7" s="908">
        <v>0.92</v>
      </c>
      <c r="FS7" s="635"/>
      <c r="FT7" s="636">
        <f>FS7/FP7</f>
        <v>0</v>
      </c>
      <c r="FU7" s="661">
        <f>FQ7+FL7+FG7+FB7</f>
        <v>375769.47240000003</v>
      </c>
      <c r="FV7" s="661"/>
      <c r="FW7" s="663">
        <f>FS7+FN7+FD7+FI7</f>
        <v>0</v>
      </c>
      <c r="FX7" s="651">
        <f t="shared" ref="FX7:FX34" si="7">IFERROR(FW7/FV7,0)</f>
        <v>0</v>
      </c>
      <c r="FY7" s="645">
        <v>95936.46</v>
      </c>
      <c r="FZ7" s="639">
        <f>FY7*GA7</f>
        <v>91139.637000000002</v>
      </c>
      <c r="GA7" s="908">
        <v>0.95</v>
      </c>
      <c r="GB7" s="635"/>
      <c r="GC7" s="636">
        <f>GB7/FY7</f>
        <v>0</v>
      </c>
      <c r="GD7" s="639">
        <v>92966.86</v>
      </c>
      <c r="GE7" s="639">
        <f>GD7*GF7</f>
        <v>83670.173999999999</v>
      </c>
      <c r="GF7" s="908">
        <v>0.9</v>
      </c>
      <c r="GG7" s="635"/>
      <c r="GH7" s="636">
        <f>GG7/GD7</f>
        <v>0</v>
      </c>
      <c r="GI7" s="639">
        <v>94006.01</v>
      </c>
      <c r="GJ7" s="639">
        <f>GI7*GK7</f>
        <v>92125.88979999999</v>
      </c>
      <c r="GK7" s="908">
        <v>0.98</v>
      </c>
      <c r="GL7" s="635"/>
      <c r="GM7" s="636">
        <f>GL7/GI7</f>
        <v>0</v>
      </c>
      <c r="GN7" s="639">
        <v>89026.66</v>
      </c>
      <c r="GO7" s="639">
        <f>GN7*GP7</f>
        <v>87246.126799999998</v>
      </c>
      <c r="GP7" s="633">
        <v>0.98</v>
      </c>
      <c r="GQ7" s="635"/>
      <c r="GR7" s="636">
        <f>GQ7/GN7</f>
        <v>0</v>
      </c>
      <c r="GS7" s="661">
        <f>GO7+GJ7+GE7+FZ7</f>
        <v>354181.82759999996</v>
      </c>
      <c r="GT7" s="661"/>
      <c r="GU7" s="662">
        <f>GQ7+GL7+GB7+GG7</f>
        <v>0</v>
      </c>
      <c r="GV7" s="654">
        <f t="shared" ref="GV7:GV34" si="8">IFERROR(GU7/GT7,0)</f>
        <v>0</v>
      </c>
      <c r="GW7" s="645">
        <v>83326</v>
      </c>
      <c r="GX7" s="639">
        <f>GW7*GY7</f>
        <v>81659.48</v>
      </c>
      <c r="GY7" s="908">
        <v>0.98</v>
      </c>
      <c r="GZ7" s="635"/>
      <c r="HA7" s="636">
        <f>GZ7/GW7</f>
        <v>0</v>
      </c>
      <c r="HB7" s="639">
        <v>85485.83</v>
      </c>
      <c r="HC7" s="639">
        <f>HB7*HD7</f>
        <v>85485.83</v>
      </c>
      <c r="HD7" s="633">
        <v>1</v>
      </c>
      <c r="HE7" s="635"/>
      <c r="HF7" s="636">
        <f>HE7/HB7</f>
        <v>0</v>
      </c>
      <c r="HG7" s="639">
        <v>84357.78</v>
      </c>
      <c r="HH7" s="639">
        <f>HG7*HI7</f>
        <v>80139.890999999989</v>
      </c>
      <c r="HI7" s="908">
        <v>0.95</v>
      </c>
      <c r="HJ7" s="635"/>
      <c r="HK7" s="636">
        <f>HJ7/HG7</f>
        <v>0</v>
      </c>
      <c r="HL7" s="639">
        <v>79543.8</v>
      </c>
      <c r="HM7" s="639">
        <f>HL7*HN7</f>
        <v>77157.486000000004</v>
      </c>
      <c r="HN7" s="908">
        <v>0.97</v>
      </c>
      <c r="HO7" s="635"/>
      <c r="HP7" s="636">
        <f>HO7/HL7</f>
        <v>0</v>
      </c>
      <c r="HQ7" s="639">
        <v>90085.49</v>
      </c>
      <c r="HR7" s="639">
        <f>HQ7*HS7</f>
        <v>87382.925300000003</v>
      </c>
      <c r="HS7" s="908">
        <v>0.97</v>
      </c>
      <c r="HT7" s="635"/>
      <c r="HU7" s="636">
        <f>HT7/HQ7</f>
        <v>0</v>
      </c>
      <c r="HV7" s="661">
        <f>HR7+HM7+HH7+HC7+GX7</f>
        <v>411825.61229999998</v>
      </c>
      <c r="HW7" s="661"/>
      <c r="HX7" s="663">
        <f>HT7+HO7+HJ7+HE7+GZ7</f>
        <v>0</v>
      </c>
      <c r="HY7" s="651">
        <f t="shared" ref="HY7:HY34" si="9">IFERROR(HX7/HW7,0)</f>
        <v>0</v>
      </c>
      <c r="HZ7" s="645">
        <v>76707.34</v>
      </c>
      <c r="IA7" s="639">
        <f>HZ7*IB7</f>
        <v>74406.1198</v>
      </c>
      <c r="IB7" s="908">
        <v>0.97</v>
      </c>
      <c r="IC7" s="635"/>
      <c r="ID7" s="636">
        <f>IC7/HZ7</f>
        <v>0</v>
      </c>
      <c r="IE7" s="639">
        <v>83315.600000000006</v>
      </c>
      <c r="IF7" s="639">
        <f>IE7*IG7</f>
        <v>79982.97600000001</v>
      </c>
      <c r="IG7" s="908">
        <v>0.96</v>
      </c>
      <c r="IH7" s="635"/>
      <c r="II7" s="636">
        <f>IH7/IE7</f>
        <v>0</v>
      </c>
      <c r="IJ7" s="639">
        <v>88061.57</v>
      </c>
      <c r="IK7" s="639">
        <f>IJ7*IL7</f>
        <v>87180.954300000012</v>
      </c>
      <c r="IL7" s="908">
        <v>0.99</v>
      </c>
      <c r="IM7" s="635"/>
      <c r="IN7" s="636">
        <f>IM7/IJ7</f>
        <v>0</v>
      </c>
      <c r="IO7" s="639">
        <v>116200.44</v>
      </c>
      <c r="IP7" s="639">
        <f>IO7*IQ7</f>
        <v>111552.4224</v>
      </c>
      <c r="IQ7" s="908">
        <v>0.96</v>
      </c>
      <c r="IR7" s="635"/>
      <c r="IS7" s="636">
        <f>IR7/IO7</f>
        <v>0</v>
      </c>
      <c r="IT7" s="661">
        <f>IP7+IK7+IF7+IA7</f>
        <v>353122.47250000003</v>
      </c>
      <c r="IU7" s="661"/>
      <c r="IV7" s="662">
        <f>IC7+IH7+IM7+IR7</f>
        <v>0</v>
      </c>
      <c r="IW7" s="654">
        <f t="shared" ref="IW7:IW34" si="10">IFERROR(IV7/IU7,0)</f>
        <v>0</v>
      </c>
      <c r="IX7" s="645">
        <v>95311.47</v>
      </c>
      <c r="IY7" s="639">
        <f>IX7*IZ7</f>
        <v>92452.125899999999</v>
      </c>
      <c r="IZ7" s="908">
        <v>0.97</v>
      </c>
      <c r="JA7" s="635"/>
      <c r="JB7" s="636">
        <f>JA7/IX7</f>
        <v>0</v>
      </c>
      <c r="JC7" s="639">
        <v>105983.64</v>
      </c>
      <c r="JD7" s="639">
        <f>JC7*JE7</f>
        <v>99624.621599999999</v>
      </c>
      <c r="JE7" s="908">
        <v>0.94</v>
      </c>
      <c r="JF7" s="635"/>
      <c r="JG7" s="636">
        <f>JF7/JC7</f>
        <v>0</v>
      </c>
      <c r="JH7" s="639">
        <v>127377.7</v>
      </c>
      <c r="JI7" s="639">
        <f>JH7*JJ7</f>
        <v>121008.81499999999</v>
      </c>
      <c r="JJ7" s="908">
        <v>0.95</v>
      </c>
      <c r="JK7" s="635"/>
      <c r="JL7" s="636">
        <f>JK7/JH7</f>
        <v>0</v>
      </c>
      <c r="JM7" s="639">
        <v>127000.51</v>
      </c>
      <c r="JN7" s="639">
        <f>JM7*JO7</f>
        <v>120650.48449999999</v>
      </c>
      <c r="JO7" s="908">
        <v>0.95</v>
      </c>
      <c r="JP7" s="635"/>
      <c r="JQ7" s="636">
        <f>JP7/JM7</f>
        <v>0</v>
      </c>
      <c r="JR7" s="661">
        <f>JN7+JI7+JD7+IY7</f>
        <v>433736.04699999996</v>
      </c>
      <c r="JS7" s="661"/>
      <c r="JT7" s="663">
        <f>JP7+JK7+JA7+JF7</f>
        <v>0</v>
      </c>
      <c r="JU7" s="651">
        <f t="shared" ref="JU7:JU34" si="11">IFERROR(JT7/JS7,0)</f>
        <v>0</v>
      </c>
      <c r="JV7" s="645">
        <v>174798.36</v>
      </c>
      <c r="JW7" s="639">
        <f>JV7*JX7</f>
        <v>164310.45839999997</v>
      </c>
      <c r="JX7" s="908">
        <v>0.94</v>
      </c>
      <c r="JY7" s="635"/>
      <c r="JZ7" s="636">
        <f>JY7/JV7</f>
        <v>0</v>
      </c>
      <c r="KA7" s="639">
        <v>188422.17</v>
      </c>
      <c r="KB7" s="639">
        <f>KA7*KC7</f>
        <v>175232.61810000002</v>
      </c>
      <c r="KC7" s="908">
        <v>0.93</v>
      </c>
      <c r="KD7" s="635"/>
      <c r="KE7" s="636">
        <f>KD7/KA7</f>
        <v>0</v>
      </c>
      <c r="KF7" s="639">
        <v>260291.18</v>
      </c>
      <c r="KG7" s="639">
        <f>KF7*KH7</f>
        <v>242070.79740000001</v>
      </c>
      <c r="KH7" s="908">
        <v>0.93</v>
      </c>
      <c r="KI7" s="635"/>
      <c r="KJ7" s="636">
        <f>KI7/KF7</f>
        <v>0</v>
      </c>
      <c r="KK7" s="639">
        <v>268158.44</v>
      </c>
      <c r="KL7" s="639">
        <f>KK7*KM7</f>
        <v>249387.34920000003</v>
      </c>
      <c r="KM7" s="908">
        <v>0.93</v>
      </c>
      <c r="KN7" s="635"/>
      <c r="KO7" s="636">
        <f>KN7/KK7</f>
        <v>0</v>
      </c>
      <c r="KP7" s="639">
        <v>91862.36</v>
      </c>
      <c r="KQ7" s="639">
        <f>KP7*KR7</f>
        <v>87269.241999999998</v>
      </c>
      <c r="KR7" s="908">
        <v>0.95</v>
      </c>
      <c r="KS7" s="635"/>
      <c r="KT7" s="636">
        <f>KS7/KP7</f>
        <v>0</v>
      </c>
      <c r="KU7" s="661">
        <f>KQ7+KL7+KG7+KB7+JW7</f>
        <v>918270.46510000003</v>
      </c>
      <c r="KV7" s="661"/>
      <c r="KW7" s="662">
        <f>KS7+KN7+KI7+KD7+JY7</f>
        <v>0</v>
      </c>
      <c r="KX7" s="959">
        <f t="shared" ref="KX7:KX34" si="12">IFERROR(KW7/KV7,0)</f>
        <v>0</v>
      </c>
      <c r="KY7" s="894">
        <f>X7+AV7+BY7+CW7+DU7+EX7+FV7+GT7+HW7+IU7+JS7+KV7</f>
        <v>0</v>
      </c>
      <c r="KZ7" s="893">
        <f>Y7+AW7+BZ7+CX7+DV7+EY7+FW7+GU7+HX7+IV7+JT7+KW7</f>
        <v>0</v>
      </c>
      <c r="LA7" s="892">
        <f>KZ7-KY7</f>
        <v>0</v>
      </c>
      <c r="LB7" s="891">
        <f t="shared" ref="LB7:LB34" si="13">IFERROR(LA7/KZ7,0)</f>
        <v>0</v>
      </c>
    </row>
    <row r="8" spans="1:314">
      <c r="A8" s="1495"/>
      <c r="B8" s="900" t="s">
        <v>471</v>
      </c>
      <c r="C8" s="645">
        <v>48302.400000000001</v>
      </c>
      <c r="D8" s="639">
        <f>C8*E8</f>
        <v>42989.135999999999</v>
      </c>
      <c r="E8" s="908">
        <v>0.89</v>
      </c>
      <c r="F8" s="635"/>
      <c r="G8" s="636">
        <f>F8/C8</f>
        <v>0</v>
      </c>
      <c r="H8" s="639">
        <v>45414.19</v>
      </c>
      <c r="I8" s="639">
        <f>H8*J8</f>
        <v>40418.629100000006</v>
      </c>
      <c r="J8" s="633">
        <v>0.89</v>
      </c>
      <c r="K8" s="635"/>
      <c r="L8" s="636">
        <f>K8/H8</f>
        <v>0</v>
      </c>
      <c r="M8" s="639">
        <v>54193.78</v>
      </c>
      <c r="N8" s="639">
        <f>M8*O8</f>
        <v>48232.464200000002</v>
      </c>
      <c r="O8" s="633">
        <v>0.89</v>
      </c>
      <c r="P8" s="635"/>
      <c r="Q8" s="636">
        <f>P8/M8</f>
        <v>0</v>
      </c>
      <c r="R8" s="639">
        <v>53522.42</v>
      </c>
      <c r="S8" s="639">
        <f>R8*T8</f>
        <v>48170.178</v>
      </c>
      <c r="T8" s="908">
        <v>0.9</v>
      </c>
      <c r="U8" s="635"/>
      <c r="V8" s="636">
        <f>U8/R8</f>
        <v>0</v>
      </c>
      <c r="W8" s="639">
        <f>D8+I8+N8+S8</f>
        <v>179810.40730000002</v>
      </c>
      <c r="X8" s="639"/>
      <c r="Y8" s="666">
        <f>+F8+K8+P8+U8</f>
        <v>0</v>
      </c>
      <c r="Z8" s="646">
        <f t="shared" si="0"/>
        <v>0</v>
      </c>
      <c r="AA8" s="645">
        <v>62581.75</v>
      </c>
      <c r="AB8" s="639">
        <f>AA8*AC8</f>
        <v>55697.7575</v>
      </c>
      <c r="AC8" s="908">
        <v>0.89</v>
      </c>
      <c r="AD8" s="635"/>
      <c r="AE8" s="636">
        <f>AD8/AA8</f>
        <v>0</v>
      </c>
      <c r="AF8" s="639">
        <v>74318.320000000007</v>
      </c>
      <c r="AG8" s="639">
        <f>AF8*AH8</f>
        <v>65400.121600000006</v>
      </c>
      <c r="AH8" s="633">
        <v>0.88</v>
      </c>
      <c r="AI8" s="635"/>
      <c r="AJ8" s="636">
        <f>AI8/AF8</f>
        <v>0</v>
      </c>
      <c r="AK8" s="639">
        <v>55093.03</v>
      </c>
      <c r="AL8" s="639">
        <f>AK8*AM8</f>
        <v>50134.657299999999</v>
      </c>
      <c r="AM8" s="908">
        <v>0.91</v>
      </c>
      <c r="AN8" s="635"/>
      <c r="AO8" s="636">
        <f>AN8/AK8</f>
        <v>0</v>
      </c>
      <c r="AP8" s="639">
        <v>61718.02</v>
      </c>
      <c r="AQ8" s="639">
        <f>AP8*AR8</f>
        <v>54929.037799999998</v>
      </c>
      <c r="AR8" s="908">
        <v>0.89</v>
      </c>
      <c r="AS8" s="635"/>
      <c r="AT8" s="636">
        <f>AS8/AP8</f>
        <v>0</v>
      </c>
      <c r="AU8" s="639">
        <f>AB8+AG8+AL8+AQ8</f>
        <v>226161.5742</v>
      </c>
      <c r="AV8" s="896"/>
      <c r="AW8" s="895">
        <f>AD8+AI8++AN8+AS8</f>
        <v>0</v>
      </c>
      <c r="AX8" s="665">
        <f t="shared" si="1"/>
        <v>0</v>
      </c>
      <c r="AY8" s="645">
        <v>63163.09</v>
      </c>
      <c r="AZ8" s="639">
        <f>AY8*BA8</f>
        <v>56215.150099999999</v>
      </c>
      <c r="BA8" s="633">
        <v>0.89</v>
      </c>
      <c r="BB8" s="635"/>
      <c r="BC8" s="636">
        <f>BB8/AY8</f>
        <v>0</v>
      </c>
      <c r="BD8" s="639">
        <v>67007.66</v>
      </c>
      <c r="BE8" s="639">
        <f>BD8*BF8</f>
        <v>59636.817400000007</v>
      </c>
      <c r="BF8" s="633">
        <v>0.89</v>
      </c>
      <c r="BG8" s="635"/>
      <c r="BH8" s="636">
        <f>BG8/BD8</f>
        <v>0</v>
      </c>
      <c r="BI8" s="639">
        <v>76327.710000000006</v>
      </c>
      <c r="BJ8" s="639">
        <f>BI8*BK8</f>
        <v>67931.661900000006</v>
      </c>
      <c r="BK8" s="633">
        <v>0.89</v>
      </c>
      <c r="BL8" s="635"/>
      <c r="BM8" s="636">
        <f>BL8/BI8</f>
        <v>0</v>
      </c>
      <c r="BN8" s="639">
        <v>72273.08</v>
      </c>
      <c r="BO8" s="639">
        <f>BN8*BP8</f>
        <v>62877.579600000005</v>
      </c>
      <c r="BP8" s="908">
        <v>0.87</v>
      </c>
      <c r="BQ8" s="635"/>
      <c r="BR8" s="636">
        <f>BQ8/BN8</f>
        <v>0</v>
      </c>
      <c r="BS8" s="639">
        <v>71815.039999999994</v>
      </c>
      <c r="BT8" s="639">
        <f>BS8*BU8</f>
        <v>63915.385599999994</v>
      </c>
      <c r="BU8" s="633">
        <v>0.89</v>
      </c>
      <c r="BV8" s="635"/>
      <c r="BW8" s="636">
        <f>BV8/BS8</f>
        <v>0</v>
      </c>
      <c r="BX8" s="661">
        <f>AZ8+BE8+BJ8+BO8+BT8</f>
        <v>310576.59460000001</v>
      </c>
      <c r="BY8" s="661"/>
      <c r="BZ8" s="663">
        <f>BV8+BQ8+BL8+BG8+BB8</f>
        <v>0</v>
      </c>
      <c r="CA8" s="651">
        <f t="shared" si="2"/>
        <v>0</v>
      </c>
      <c r="CB8" s="645">
        <v>74694.81</v>
      </c>
      <c r="CC8" s="639">
        <f>CB8*CD8</f>
        <v>66478.380900000004</v>
      </c>
      <c r="CD8" s="633">
        <v>0.89</v>
      </c>
      <c r="CE8" s="635"/>
      <c r="CF8" s="636">
        <f>CE8/CB8</f>
        <v>0</v>
      </c>
      <c r="CG8" s="639">
        <v>73546.87</v>
      </c>
      <c r="CH8" s="639">
        <f>CG8*CI8</f>
        <v>66192.183000000005</v>
      </c>
      <c r="CI8" s="908">
        <v>0.9</v>
      </c>
      <c r="CJ8" s="635"/>
      <c r="CK8" s="636">
        <f>CJ8/CG8</f>
        <v>0</v>
      </c>
      <c r="CL8" s="639">
        <v>77311.91</v>
      </c>
      <c r="CM8" s="639">
        <f>CL8*CN8</f>
        <v>69580.719000000012</v>
      </c>
      <c r="CN8" s="633">
        <v>0.9</v>
      </c>
      <c r="CO8" s="635"/>
      <c r="CP8" s="636">
        <f>CO8/CL8</f>
        <v>0</v>
      </c>
      <c r="CQ8" s="639">
        <v>111360.03</v>
      </c>
      <c r="CR8" s="639">
        <f>CQ8*CS8</f>
        <v>101337.62730000001</v>
      </c>
      <c r="CS8" s="908">
        <v>0.91</v>
      </c>
      <c r="CT8" s="635"/>
      <c r="CU8" s="636">
        <f>CT8/CQ8</f>
        <v>0</v>
      </c>
      <c r="CV8" s="656">
        <f>CR8+CM8+CH8+CC8</f>
        <v>303588.91020000004</v>
      </c>
      <c r="CW8" s="656"/>
      <c r="CX8" s="657">
        <f>CT8+CO8+CE8+CJ8</f>
        <v>0</v>
      </c>
      <c r="CY8" s="654">
        <f t="shared" si="3"/>
        <v>0</v>
      </c>
      <c r="CZ8" s="645">
        <v>100649.29</v>
      </c>
      <c r="DA8" s="639">
        <f>CZ8*DB8</f>
        <v>89577.868099999992</v>
      </c>
      <c r="DB8" s="908">
        <v>0.89</v>
      </c>
      <c r="DC8" s="635"/>
      <c r="DD8" s="636">
        <f>DC8/CZ8</f>
        <v>0</v>
      </c>
      <c r="DE8" s="639">
        <v>79315.570000000007</v>
      </c>
      <c r="DF8" s="639">
        <f>DE8*DG8</f>
        <v>70590.857300000003</v>
      </c>
      <c r="DG8" s="633">
        <v>0.89</v>
      </c>
      <c r="DH8" s="635"/>
      <c r="DI8" s="636">
        <f>DH8/DE8</f>
        <v>0</v>
      </c>
      <c r="DJ8" s="639">
        <v>74267.03</v>
      </c>
      <c r="DK8" s="639">
        <f>DJ8*DL8</f>
        <v>66097.656700000007</v>
      </c>
      <c r="DL8" s="633">
        <v>0.89</v>
      </c>
      <c r="DM8" s="635"/>
      <c r="DN8" s="636">
        <f>DM8/DJ8</f>
        <v>0</v>
      </c>
      <c r="DO8" s="639">
        <v>75494.490000000005</v>
      </c>
      <c r="DP8" s="639">
        <f>DO8*DQ8</f>
        <v>67945.041000000012</v>
      </c>
      <c r="DQ8" s="908">
        <v>0.9</v>
      </c>
      <c r="DR8" s="635"/>
      <c r="DS8" s="636">
        <f>DR8/DO8</f>
        <v>0</v>
      </c>
      <c r="DT8" s="656">
        <f>DP8+DK8+DF8+DA8</f>
        <v>294211.42310000001</v>
      </c>
      <c r="DU8" s="656"/>
      <c r="DV8" s="657">
        <f>DR8+DM8+DC8+DH8</f>
        <v>0</v>
      </c>
      <c r="DW8" s="654">
        <f t="shared" si="4"/>
        <v>0</v>
      </c>
      <c r="DX8" s="645">
        <v>75895.5</v>
      </c>
      <c r="DY8" s="639">
        <f>DX8*DZ8</f>
        <v>67546.994999999995</v>
      </c>
      <c r="DZ8" s="633">
        <v>0.89</v>
      </c>
      <c r="EA8" s="907">
        <f>'Vtas Diarias 2022'!AAC9</f>
        <v>0</v>
      </c>
      <c r="EB8" s="636">
        <f>EA8/DX8</f>
        <v>0</v>
      </c>
      <c r="EC8" s="639">
        <v>81562.39</v>
      </c>
      <c r="ED8" s="639">
        <f>EC8*EE8</f>
        <v>70959.279299999995</v>
      </c>
      <c r="EE8" s="908">
        <v>0.87</v>
      </c>
      <c r="EF8" s="635"/>
      <c r="EG8" s="636">
        <f>EF8/EC8</f>
        <v>0</v>
      </c>
      <c r="EH8" s="639">
        <v>89530.03</v>
      </c>
      <c r="EI8" s="639">
        <f>EH8*EJ8</f>
        <v>79681.726699999999</v>
      </c>
      <c r="EJ8" s="633">
        <v>0.89</v>
      </c>
      <c r="EK8" s="635"/>
      <c r="EL8" s="636">
        <f>EK8/EH8</f>
        <v>0</v>
      </c>
      <c r="EM8" s="639">
        <v>95229.55</v>
      </c>
      <c r="EN8" s="639">
        <f>EM8*EO8</f>
        <v>88563.481500000009</v>
      </c>
      <c r="EO8" s="908">
        <v>0.93</v>
      </c>
      <c r="EP8" s="635"/>
      <c r="EQ8" s="636">
        <f>EP8/EM8</f>
        <v>0</v>
      </c>
      <c r="ER8" s="639">
        <v>89454.57</v>
      </c>
      <c r="ES8" s="639">
        <f>ER8*ET8</f>
        <v>83192.750100000005</v>
      </c>
      <c r="ET8" s="633">
        <v>0.93</v>
      </c>
      <c r="EU8" s="635"/>
      <c r="EV8" s="636">
        <f>EU8/ER8</f>
        <v>0</v>
      </c>
      <c r="EW8" s="661">
        <f>ES8+EN8+EI8+ED8+DY8</f>
        <v>389944.23259999999</v>
      </c>
      <c r="EX8" s="661"/>
      <c r="EY8" s="904">
        <f t="shared" si="5"/>
        <v>0</v>
      </c>
      <c r="EZ8" s="654">
        <f t="shared" si="6"/>
        <v>0</v>
      </c>
      <c r="FA8" s="645">
        <v>74493.119999999995</v>
      </c>
      <c r="FB8" s="639">
        <f>FA8*FC8</f>
        <v>65553.945599999992</v>
      </c>
      <c r="FC8" s="908">
        <v>0.88</v>
      </c>
      <c r="FD8" s="635"/>
      <c r="FE8" s="636">
        <f>FD8/FA8</f>
        <v>0</v>
      </c>
      <c r="FF8" s="639">
        <v>75574.460000000006</v>
      </c>
      <c r="FG8" s="639">
        <f>FF8*FH8</f>
        <v>66505.524799999999</v>
      </c>
      <c r="FH8" s="633">
        <v>0.88</v>
      </c>
      <c r="FI8" s="635"/>
      <c r="FJ8" s="636">
        <f>FI8/FF8</f>
        <v>0</v>
      </c>
      <c r="FK8" s="639">
        <v>86863.84</v>
      </c>
      <c r="FL8" s="639">
        <f>FK8*FM8</f>
        <v>76440.179199999999</v>
      </c>
      <c r="FM8" s="633">
        <v>0.88</v>
      </c>
      <c r="FN8" s="635"/>
      <c r="FO8" s="636">
        <f>FN8/FK8</f>
        <v>0</v>
      </c>
      <c r="FP8" s="639">
        <v>75127.259999999995</v>
      </c>
      <c r="FQ8" s="639">
        <f>FP8*FR8</f>
        <v>69117.079199999993</v>
      </c>
      <c r="FR8" s="908">
        <v>0.92</v>
      </c>
      <c r="FS8" s="635"/>
      <c r="FT8" s="636">
        <f>FS8/FP8</f>
        <v>0</v>
      </c>
      <c r="FU8" s="661">
        <f>FQ8+FL8+FG8+FB8</f>
        <v>277616.72879999998</v>
      </c>
      <c r="FV8" s="661"/>
      <c r="FW8" s="663">
        <f>FS8+FN8+FD8+FI8</f>
        <v>0</v>
      </c>
      <c r="FX8" s="651">
        <f t="shared" si="7"/>
        <v>0</v>
      </c>
      <c r="FY8" s="645">
        <v>73478.61</v>
      </c>
      <c r="FZ8" s="639">
        <f>FY8*GA8</f>
        <v>69804.679499999998</v>
      </c>
      <c r="GA8" s="908">
        <v>0.95</v>
      </c>
      <c r="GB8" s="635"/>
      <c r="GC8" s="636">
        <f>GB8/FY8</f>
        <v>0</v>
      </c>
      <c r="GD8" s="639">
        <v>63909.4</v>
      </c>
      <c r="GE8" s="639">
        <f>GD8*GF8</f>
        <v>57518.46</v>
      </c>
      <c r="GF8" s="908">
        <v>0.9</v>
      </c>
      <c r="GG8" s="635"/>
      <c r="GH8" s="636">
        <f>GG8/GD8</f>
        <v>0</v>
      </c>
      <c r="GI8" s="639">
        <v>54450.37</v>
      </c>
      <c r="GJ8" s="639">
        <f>GI8*GK8</f>
        <v>53361.3626</v>
      </c>
      <c r="GK8" s="908">
        <v>0.98</v>
      </c>
      <c r="GL8" s="635"/>
      <c r="GM8" s="636">
        <f>GL8/GI8</f>
        <v>0</v>
      </c>
      <c r="GN8" s="639">
        <v>62096.69</v>
      </c>
      <c r="GO8" s="639">
        <f>GN8*GP8</f>
        <v>60854.756200000003</v>
      </c>
      <c r="GP8" s="633">
        <v>0.98</v>
      </c>
      <c r="GQ8" s="635"/>
      <c r="GR8" s="636">
        <f>GQ8/GN8</f>
        <v>0</v>
      </c>
      <c r="GS8" s="661">
        <f>GO8+GJ8+GE8+FZ8</f>
        <v>241539.25829999999</v>
      </c>
      <c r="GT8" s="661"/>
      <c r="GU8" s="662">
        <f>GQ8+GL8+GB8+GG8</f>
        <v>0</v>
      </c>
      <c r="GV8" s="654">
        <f t="shared" si="8"/>
        <v>0</v>
      </c>
      <c r="GW8" s="645">
        <v>57493</v>
      </c>
      <c r="GX8" s="639">
        <f>GW8*GY8</f>
        <v>56343.14</v>
      </c>
      <c r="GY8" s="908">
        <v>0.98</v>
      </c>
      <c r="GZ8" s="635"/>
      <c r="HA8" s="636">
        <f>GZ8/GW8</f>
        <v>0</v>
      </c>
      <c r="HB8" s="639">
        <v>63632.28</v>
      </c>
      <c r="HC8" s="639">
        <f>HB8*HD8</f>
        <v>63632.28</v>
      </c>
      <c r="HD8" s="633">
        <v>1</v>
      </c>
      <c r="HE8" s="635"/>
      <c r="HF8" s="636">
        <f>HE8/HB8</f>
        <v>0</v>
      </c>
      <c r="HG8" s="639">
        <v>57026.51</v>
      </c>
      <c r="HH8" s="639">
        <f>HG8*HI8</f>
        <v>54175.184500000003</v>
      </c>
      <c r="HI8" s="908">
        <v>0.95</v>
      </c>
      <c r="HJ8" s="635"/>
      <c r="HK8" s="636">
        <f>HJ8/HG8</f>
        <v>0</v>
      </c>
      <c r="HL8" s="639">
        <v>58895.65</v>
      </c>
      <c r="HM8" s="639">
        <f>HL8*HN8</f>
        <v>57128.780500000001</v>
      </c>
      <c r="HN8" s="908">
        <v>0.97</v>
      </c>
      <c r="HO8" s="635"/>
      <c r="HP8" s="636">
        <f>HO8/HL8</f>
        <v>0</v>
      </c>
      <c r="HQ8" s="639">
        <v>60029.38</v>
      </c>
      <c r="HR8" s="639">
        <f>HQ8*HS8</f>
        <v>58228.498599999999</v>
      </c>
      <c r="HS8" s="908">
        <v>0.97</v>
      </c>
      <c r="HT8" s="635"/>
      <c r="HU8" s="636">
        <f>HT8/HQ8</f>
        <v>0</v>
      </c>
      <c r="HV8" s="661">
        <f>HR8+HM8+HH8+HC8+GX8</f>
        <v>289507.8836</v>
      </c>
      <c r="HW8" s="661"/>
      <c r="HX8" s="663">
        <f>HT8+HO8+HJ8+HE8+GZ8</f>
        <v>0</v>
      </c>
      <c r="HY8" s="651">
        <f t="shared" si="9"/>
        <v>0</v>
      </c>
      <c r="HZ8" s="645">
        <v>58638.2</v>
      </c>
      <c r="IA8" s="639">
        <f>HZ8*IB8</f>
        <v>56879.053999999996</v>
      </c>
      <c r="IB8" s="908">
        <v>0.97</v>
      </c>
      <c r="IC8" s="635"/>
      <c r="ID8" s="636">
        <f>IC8/HZ8</f>
        <v>0</v>
      </c>
      <c r="IE8" s="639">
        <v>67061.02</v>
      </c>
      <c r="IF8" s="639">
        <f>IE8*IG8</f>
        <v>64378.5792</v>
      </c>
      <c r="IG8" s="908">
        <v>0.96</v>
      </c>
      <c r="IH8" s="635"/>
      <c r="II8" s="636">
        <f>IH8/IE8</f>
        <v>0</v>
      </c>
      <c r="IJ8" s="639">
        <v>74652.92</v>
      </c>
      <c r="IK8" s="639">
        <f>IJ8*IL8</f>
        <v>73906.390799999994</v>
      </c>
      <c r="IL8" s="908">
        <v>0.99</v>
      </c>
      <c r="IM8" s="635"/>
      <c r="IN8" s="636">
        <f>IM8/IJ8</f>
        <v>0</v>
      </c>
      <c r="IO8" s="639">
        <v>91792.25</v>
      </c>
      <c r="IP8" s="639">
        <f>IO8*IQ8</f>
        <v>88120.56</v>
      </c>
      <c r="IQ8" s="908">
        <v>0.96</v>
      </c>
      <c r="IR8" s="635"/>
      <c r="IS8" s="636">
        <f>IR8/IO8</f>
        <v>0</v>
      </c>
      <c r="IT8" s="661">
        <f>IP8+IK8+IF8+IA8</f>
        <v>283284.58399999997</v>
      </c>
      <c r="IU8" s="661"/>
      <c r="IV8" s="662">
        <f>IC8+IH8+IM8+IR8</f>
        <v>0</v>
      </c>
      <c r="IW8" s="654">
        <f t="shared" si="10"/>
        <v>0</v>
      </c>
      <c r="IX8" s="645">
        <v>67344.61</v>
      </c>
      <c r="IY8" s="639">
        <f>IX8*IZ8</f>
        <v>65324.271699999998</v>
      </c>
      <c r="IZ8" s="908">
        <v>0.97</v>
      </c>
      <c r="JA8" s="635"/>
      <c r="JB8" s="636">
        <f>JA8/IX8</f>
        <v>0</v>
      </c>
      <c r="JC8" s="639">
        <v>71220.73</v>
      </c>
      <c r="JD8" s="639">
        <f>JC8*JE8</f>
        <v>66947.486199999999</v>
      </c>
      <c r="JE8" s="908">
        <v>0.94</v>
      </c>
      <c r="JF8" s="635"/>
      <c r="JG8" s="636">
        <f>JF8/JC8</f>
        <v>0</v>
      </c>
      <c r="JH8" s="639">
        <v>109688.12</v>
      </c>
      <c r="JI8" s="639">
        <f>JH8*JJ8</f>
        <v>104203.71399999999</v>
      </c>
      <c r="JJ8" s="908">
        <v>0.95</v>
      </c>
      <c r="JK8" s="635"/>
      <c r="JL8" s="636">
        <f>JK8/JH8</f>
        <v>0</v>
      </c>
      <c r="JM8" s="639">
        <v>102855.74</v>
      </c>
      <c r="JN8" s="639">
        <f>JM8*JO8</f>
        <v>97712.952999999994</v>
      </c>
      <c r="JO8" s="908">
        <v>0.95</v>
      </c>
      <c r="JP8" s="635"/>
      <c r="JQ8" s="636">
        <f>JP8/JM8</f>
        <v>0</v>
      </c>
      <c r="JR8" s="661">
        <f>JN8+JI8+JD8+IY8</f>
        <v>334188.42489999998</v>
      </c>
      <c r="JS8" s="661"/>
      <c r="JT8" s="663">
        <f>JP8+JK8+JA8+JF8</f>
        <v>0</v>
      </c>
      <c r="JU8" s="651">
        <f t="shared" si="11"/>
        <v>0</v>
      </c>
      <c r="JV8" s="645">
        <v>128437.18</v>
      </c>
      <c r="JW8" s="639">
        <f>JV8*JX8</f>
        <v>120730.94919999999</v>
      </c>
      <c r="JX8" s="908">
        <v>0.94</v>
      </c>
      <c r="JY8" s="635"/>
      <c r="JZ8" s="636">
        <f>JY8/JV8</f>
        <v>0</v>
      </c>
      <c r="KA8" s="639">
        <v>145963.01</v>
      </c>
      <c r="KB8" s="639">
        <f>KA8*KC8</f>
        <v>135745.5993</v>
      </c>
      <c r="KC8" s="908">
        <v>0.93</v>
      </c>
      <c r="KD8" s="635"/>
      <c r="KE8" s="636">
        <f>KD8/KA8</f>
        <v>0</v>
      </c>
      <c r="KF8" s="639">
        <v>177693.63</v>
      </c>
      <c r="KG8" s="639">
        <f>KF8*KH8</f>
        <v>165255.07590000003</v>
      </c>
      <c r="KH8" s="908">
        <v>0.93</v>
      </c>
      <c r="KI8" s="635"/>
      <c r="KJ8" s="636">
        <f>KI8/KF8</f>
        <v>0</v>
      </c>
      <c r="KK8" s="639">
        <v>194010.34</v>
      </c>
      <c r="KL8" s="639">
        <f>KK8*KM8</f>
        <v>180429.61620000002</v>
      </c>
      <c r="KM8" s="908">
        <v>0.93</v>
      </c>
      <c r="KN8" s="635"/>
      <c r="KO8" s="636">
        <f>KN8/KK8</f>
        <v>0</v>
      </c>
      <c r="KP8" s="639">
        <v>58782.82</v>
      </c>
      <c r="KQ8" s="639">
        <f>KP8*KR8</f>
        <v>55843.678999999996</v>
      </c>
      <c r="KR8" s="908">
        <v>0.95</v>
      </c>
      <c r="KS8" s="635"/>
      <c r="KT8" s="636">
        <f>KS8/KP8</f>
        <v>0</v>
      </c>
      <c r="KU8" s="661">
        <f>KQ8+KL8+KG8+KB8+JW8</f>
        <v>658004.91960000002</v>
      </c>
      <c r="KV8" s="661"/>
      <c r="KW8" s="662">
        <f>KS8+KN8+KI8+KD8+JY8</f>
        <v>0</v>
      </c>
      <c r="KX8" s="959">
        <f t="shared" si="12"/>
        <v>0</v>
      </c>
      <c r="KY8" s="894">
        <f>X8+AV8+BY8+CW8+DU8+EX8+FV8+GT8+HW8+IU8+JS8+KV8</f>
        <v>0</v>
      </c>
      <c r="KZ8" s="893">
        <f>Y8+AW8+BZ8+CX8+DV8+EY8+FW8+GU8+HX8+IV8+JT8+KW8</f>
        <v>0</v>
      </c>
      <c r="LA8" s="892">
        <f>KZ8-KY8</f>
        <v>0</v>
      </c>
      <c r="LB8" s="891">
        <f t="shared" si="13"/>
        <v>0</v>
      </c>
    </row>
    <row r="9" spans="1:314">
      <c r="A9" s="1495"/>
      <c r="B9" s="900" t="s">
        <v>472</v>
      </c>
      <c r="C9" s="645">
        <v>58888.28</v>
      </c>
      <c r="D9" s="639">
        <f>C9*E9</f>
        <v>52410.569199999998</v>
      </c>
      <c r="E9" s="908">
        <v>0.89</v>
      </c>
      <c r="F9" s="635"/>
      <c r="G9" s="636">
        <f>F9/C9</f>
        <v>0</v>
      </c>
      <c r="H9" s="639">
        <v>59609.72</v>
      </c>
      <c r="I9" s="639">
        <f>H9*J9</f>
        <v>53052.650800000003</v>
      </c>
      <c r="J9" s="633">
        <v>0.89</v>
      </c>
      <c r="K9" s="635"/>
      <c r="L9" s="636">
        <f>K9/H9</f>
        <v>0</v>
      </c>
      <c r="M9" s="639">
        <v>49699.6</v>
      </c>
      <c r="N9" s="639">
        <f>M9*O9</f>
        <v>44232.644</v>
      </c>
      <c r="O9" s="633">
        <v>0.89</v>
      </c>
      <c r="P9" s="635"/>
      <c r="Q9" s="636">
        <f>P9/M9</f>
        <v>0</v>
      </c>
      <c r="R9" s="639">
        <v>50568.75</v>
      </c>
      <c r="S9" s="639">
        <f>R9*T9</f>
        <v>45511.875</v>
      </c>
      <c r="T9" s="908">
        <v>0.9</v>
      </c>
      <c r="U9" s="635"/>
      <c r="V9" s="636">
        <f>U9/R9</f>
        <v>0</v>
      </c>
      <c r="W9" s="639">
        <f>D9+I9+N9+S9</f>
        <v>195207.739</v>
      </c>
      <c r="X9" s="639"/>
      <c r="Y9" s="666">
        <f>+F9+K9+P9+U9</f>
        <v>0</v>
      </c>
      <c r="Z9" s="646">
        <f t="shared" si="0"/>
        <v>0</v>
      </c>
      <c r="AA9" s="645">
        <v>47279.95</v>
      </c>
      <c r="AB9" s="639">
        <f>AA9*AC9</f>
        <v>42079.155500000001</v>
      </c>
      <c r="AC9" s="908">
        <v>0.89</v>
      </c>
      <c r="AD9" s="635"/>
      <c r="AE9" s="636">
        <f>AD9/AA9</f>
        <v>0</v>
      </c>
      <c r="AF9" s="639">
        <v>71609.490000000005</v>
      </c>
      <c r="AG9" s="639">
        <f>AF9*AH9</f>
        <v>63016.351200000005</v>
      </c>
      <c r="AH9" s="633">
        <v>0.88</v>
      </c>
      <c r="AI9" s="635"/>
      <c r="AJ9" s="636">
        <f>AI9/AF9</f>
        <v>0</v>
      </c>
      <c r="AK9" s="639">
        <v>42511.69</v>
      </c>
      <c r="AL9" s="639">
        <f>AK9*AM9</f>
        <v>38685.637900000002</v>
      </c>
      <c r="AM9" s="908">
        <v>0.91</v>
      </c>
      <c r="AN9" s="635"/>
      <c r="AO9" s="636">
        <f>AN9/AK9</f>
        <v>0</v>
      </c>
      <c r="AP9" s="639">
        <v>66854.47</v>
      </c>
      <c r="AQ9" s="639">
        <f>AP9*AR9</f>
        <v>59500.478300000002</v>
      </c>
      <c r="AR9" s="908">
        <v>0.89</v>
      </c>
      <c r="AS9" s="635"/>
      <c r="AT9" s="636">
        <f>AS9/AP9</f>
        <v>0</v>
      </c>
      <c r="AU9" s="639">
        <f>AB9+AG9+AL9+AQ9</f>
        <v>203281.62290000002</v>
      </c>
      <c r="AV9" s="896"/>
      <c r="AW9" s="895">
        <f>AD9+AI9++AN9+AS9</f>
        <v>0</v>
      </c>
      <c r="AX9" s="665">
        <f t="shared" si="1"/>
        <v>0</v>
      </c>
      <c r="AY9" s="645">
        <v>53473.58</v>
      </c>
      <c r="AZ9" s="639">
        <f>AY9*BA9</f>
        <v>47591.486199999999</v>
      </c>
      <c r="BA9" s="633">
        <v>0.89</v>
      </c>
      <c r="BB9" s="635"/>
      <c r="BC9" s="636">
        <f>BB9/AY9</f>
        <v>0</v>
      </c>
      <c r="BD9" s="639">
        <v>62641.46</v>
      </c>
      <c r="BE9" s="639">
        <f>BD9*BF9</f>
        <v>55750.899400000002</v>
      </c>
      <c r="BF9" s="633">
        <v>0.89</v>
      </c>
      <c r="BG9" s="635"/>
      <c r="BH9" s="636">
        <f>BG9/BD9</f>
        <v>0</v>
      </c>
      <c r="BI9" s="639">
        <v>59827.42</v>
      </c>
      <c r="BJ9" s="639">
        <f>BI9*BK9</f>
        <v>53246.4038</v>
      </c>
      <c r="BK9" s="633">
        <v>0.89</v>
      </c>
      <c r="BL9" s="635"/>
      <c r="BM9" s="636">
        <f>BL9/BI9</f>
        <v>0</v>
      </c>
      <c r="BN9" s="639">
        <v>58302.32</v>
      </c>
      <c r="BO9" s="639">
        <f>BN9*BP9</f>
        <v>50723.018400000001</v>
      </c>
      <c r="BP9" s="908">
        <v>0.87</v>
      </c>
      <c r="BQ9" s="635"/>
      <c r="BR9" s="636">
        <f>BQ9/BN9</f>
        <v>0</v>
      </c>
      <c r="BS9" s="639">
        <v>71239.89</v>
      </c>
      <c r="BT9" s="639">
        <f>BS9*BU9</f>
        <v>63403.502099999998</v>
      </c>
      <c r="BU9" s="633">
        <v>0.89</v>
      </c>
      <c r="BV9" s="635"/>
      <c r="BW9" s="636">
        <f>BV9/BS9</f>
        <v>0</v>
      </c>
      <c r="BX9" s="661">
        <f>AZ9+BE9+BJ9+BO9+BT9</f>
        <v>270715.30989999999</v>
      </c>
      <c r="BY9" s="661"/>
      <c r="BZ9" s="663">
        <f>BV9+BQ9+BL9+BG9+BB9</f>
        <v>0</v>
      </c>
      <c r="CA9" s="651">
        <f t="shared" si="2"/>
        <v>0</v>
      </c>
      <c r="CB9" s="645">
        <v>70373.490000000005</v>
      </c>
      <c r="CC9" s="639">
        <f>CB9*CD9</f>
        <v>62632.406100000007</v>
      </c>
      <c r="CD9" s="633">
        <v>0.89</v>
      </c>
      <c r="CE9" s="635"/>
      <c r="CF9" s="636">
        <f>CE9/CB9</f>
        <v>0</v>
      </c>
      <c r="CG9" s="639">
        <v>76334.3</v>
      </c>
      <c r="CH9" s="639">
        <f>CG9*CI9</f>
        <v>68700.87000000001</v>
      </c>
      <c r="CI9" s="908">
        <v>0.9</v>
      </c>
      <c r="CJ9" s="635"/>
      <c r="CK9" s="636">
        <f>CJ9/CG9</f>
        <v>0</v>
      </c>
      <c r="CL9" s="639">
        <v>80839.63</v>
      </c>
      <c r="CM9" s="639">
        <f>CL9*CN9</f>
        <v>72755.667000000001</v>
      </c>
      <c r="CN9" s="633">
        <v>0.9</v>
      </c>
      <c r="CO9" s="635"/>
      <c r="CP9" s="636">
        <f>CO9/CL9</f>
        <v>0</v>
      </c>
      <c r="CQ9" s="639">
        <v>68381.83</v>
      </c>
      <c r="CR9" s="639">
        <f>CQ9*CS9</f>
        <v>62227.465300000003</v>
      </c>
      <c r="CS9" s="908">
        <v>0.91</v>
      </c>
      <c r="CT9" s="635"/>
      <c r="CU9" s="636">
        <f>CT9/CQ9</f>
        <v>0</v>
      </c>
      <c r="CV9" s="656">
        <f>CR9+CM9+CH9+CC9</f>
        <v>266316.40840000001</v>
      </c>
      <c r="CW9" s="656"/>
      <c r="CX9" s="657">
        <f>CT9+CO9+CE9+CJ9</f>
        <v>0</v>
      </c>
      <c r="CY9" s="654">
        <f t="shared" si="3"/>
        <v>0</v>
      </c>
      <c r="CZ9" s="645">
        <v>100453.22</v>
      </c>
      <c r="DA9" s="639">
        <f>CZ9*DB9</f>
        <v>89403.3658</v>
      </c>
      <c r="DB9" s="633">
        <v>0.89</v>
      </c>
      <c r="DC9" s="635"/>
      <c r="DD9" s="636">
        <f>DC9/CZ9</f>
        <v>0</v>
      </c>
      <c r="DE9" s="639">
        <v>71013.850000000006</v>
      </c>
      <c r="DF9" s="639">
        <f>DE9*DG9</f>
        <v>63202.326500000003</v>
      </c>
      <c r="DG9" s="633">
        <v>0.89</v>
      </c>
      <c r="DH9" s="635"/>
      <c r="DI9" s="636">
        <f>DH9/DE9</f>
        <v>0</v>
      </c>
      <c r="DJ9" s="639">
        <v>66236.69</v>
      </c>
      <c r="DK9" s="639">
        <f>DJ9*DL9</f>
        <v>58950.6541</v>
      </c>
      <c r="DL9" s="633">
        <v>0.89</v>
      </c>
      <c r="DM9" s="635"/>
      <c r="DN9" s="636">
        <f>DM9/DJ9</f>
        <v>0</v>
      </c>
      <c r="DO9" s="639">
        <v>62406.31</v>
      </c>
      <c r="DP9" s="639">
        <f>DO9*DQ9</f>
        <v>56165.678999999996</v>
      </c>
      <c r="DQ9" s="908">
        <v>0.9</v>
      </c>
      <c r="DR9" s="635"/>
      <c r="DS9" s="636">
        <f>DR9/DO9</f>
        <v>0</v>
      </c>
      <c r="DT9" s="656">
        <f>DP9+DK9+DF9+DA9</f>
        <v>267722.02539999998</v>
      </c>
      <c r="DU9" s="656"/>
      <c r="DV9" s="657">
        <f>DR9+DM9+DC9+DH9</f>
        <v>0</v>
      </c>
      <c r="DW9" s="654">
        <f t="shared" si="4"/>
        <v>0</v>
      </c>
      <c r="DX9" s="645">
        <v>55832.37</v>
      </c>
      <c r="DY9" s="639">
        <f>DX9*DZ9</f>
        <v>49690.809300000001</v>
      </c>
      <c r="DZ9" s="633">
        <v>0.89</v>
      </c>
      <c r="EA9" s="907">
        <f>'Vtas Diarias 2022'!AAC10</f>
        <v>0</v>
      </c>
      <c r="EB9" s="636">
        <f>EA9/DX9</f>
        <v>0</v>
      </c>
      <c r="EC9" s="639">
        <v>75161.259999999995</v>
      </c>
      <c r="ED9" s="639">
        <f>EC9*EE9</f>
        <v>65390.296199999997</v>
      </c>
      <c r="EE9" s="908">
        <v>0.87</v>
      </c>
      <c r="EF9" s="635"/>
      <c r="EG9" s="636">
        <f>EF9/EC9</f>
        <v>0</v>
      </c>
      <c r="EH9" s="639">
        <v>82576.58</v>
      </c>
      <c r="EI9" s="639">
        <f>EH9*EJ9</f>
        <v>73493.156199999998</v>
      </c>
      <c r="EJ9" s="633">
        <v>0.89</v>
      </c>
      <c r="EK9" s="635"/>
      <c r="EL9" s="636">
        <f>EK9/EH9</f>
        <v>0</v>
      </c>
      <c r="EM9" s="639">
        <v>78758.289999999994</v>
      </c>
      <c r="EN9" s="639">
        <f>EM9*EO9</f>
        <v>73245.209699999992</v>
      </c>
      <c r="EO9" s="908">
        <v>0.93</v>
      </c>
      <c r="EP9" s="635"/>
      <c r="EQ9" s="636">
        <f>EP9/EM9</f>
        <v>0</v>
      </c>
      <c r="ER9" s="639">
        <v>73485.84</v>
      </c>
      <c r="ES9" s="639">
        <f>ER9*ET9</f>
        <v>68341.831200000001</v>
      </c>
      <c r="ET9" s="633">
        <v>0.93</v>
      </c>
      <c r="EU9" s="635"/>
      <c r="EV9" s="636">
        <f>EU9/ER9</f>
        <v>0</v>
      </c>
      <c r="EW9" s="661">
        <f>ES9+EN9+EI9+ED9+DY9</f>
        <v>330161.3026</v>
      </c>
      <c r="EX9" s="661"/>
      <c r="EY9" s="904">
        <f t="shared" si="5"/>
        <v>0</v>
      </c>
      <c r="EZ9" s="654">
        <f t="shared" si="6"/>
        <v>0</v>
      </c>
      <c r="FA9" s="645">
        <v>67561.45</v>
      </c>
      <c r="FB9" s="639">
        <f>FA9*FC9</f>
        <v>59454.076000000001</v>
      </c>
      <c r="FC9" s="908">
        <v>0.88</v>
      </c>
      <c r="FD9" s="635"/>
      <c r="FE9" s="636">
        <f>FD9/FA9</f>
        <v>0</v>
      </c>
      <c r="FF9" s="639">
        <v>84983.49</v>
      </c>
      <c r="FG9" s="639">
        <f>FF9*FH9</f>
        <v>74785.4712</v>
      </c>
      <c r="FH9" s="633">
        <v>0.88</v>
      </c>
      <c r="FI9" s="635"/>
      <c r="FJ9" s="636">
        <f>FI9/FF9</f>
        <v>0</v>
      </c>
      <c r="FK9" s="639">
        <v>73284.58</v>
      </c>
      <c r="FL9" s="639">
        <f>FK9*FM9</f>
        <v>64490.430400000005</v>
      </c>
      <c r="FM9" s="633">
        <v>0.88</v>
      </c>
      <c r="FN9" s="635"/>
      <c r="FO9" s="636">
        <f>FN9/FK9</f>
        <v>0</v>
      </c>
      <c r="FP9" s="639">
        <v>81673.19</v>
      </c>
      <c r="FQ9" s="639">
        <f>FP9*FR9</f>
        <v>75139.334800000011</v>
      </c>
      <c r="FR9" s="908">
        <v>0.92</v>
      </c>
      <c r="FS9" s="635"/>
      <c r="FT9" s="636">
        <f>FS9/FP9</f>
        <v>0</v>
      </c>
      <c r="FU9" s="661">
        <f>FQ9+FL9+FG9+FB9</f>
        <v>273869.31240000005</v>
      </c>
      <c r="FV9" s="661"/>
      <c r="FW9" s="663">
        <f>FS9+FN9+FD9+FI9</f>
        <v>0</v>
      </c>
      <c r="FX9" s="651">
        <f t="shared" si="7"/>
        <v>0</v>
      </c>
      <c r="FY9" s="645">
        <v>75288.11</v>
      </c>
      <c r="FZ9" s="639">
        <f>FY9*GA9</f>
        <v>71523.704499999993</v>
      </c>
      <c r="GA9" s="908">
        <v>0.95</v>
      </c>
      <c r="GB9" s="635"/>
      <c r="GC9" s="636">
        <f>GB9/FY9</f>
        <v>0</v>
      </c>
      <c r="GD9" s="639">
        <v>59636.59</v>
      </c>
      <c r="GE9" s="639">
        <f>GD9*GF9</f>
        <v>53672.930999999997</v>
      </c>
      <c r="GF9" s="908">
        <v>0.9</v>
      </c>
      <c r="GG9" s="635"/>
      <c r="GH9" s="636">
        <f>GG9/GD9</f>
        <v>0</v>
      </c>
      <c r="GI9" s="639">
        <v>62490.6</v>
      </c>
      <c r="GJ9" s="639">
        <f>GI9*GK9</f>
        <v>61240.788</v>
      </c>
      <c r="GK9" s="908">
        <v>0.98</v>
      </c>
      <c r="GL9" s="635"/>
      <c r="GM9" s="636">
        <f>GL9/GI9</f>
        <v>0</v>
      </c>
      <c r="GN9" s="639">
        <v>56382.33</v>
      </c>
      <c r="GO9" s="639">
        <f>GN9*GP9</f>
        <v>55254.683400000002</v>
      </c>
      <c r="GP9" s="633">
        <v>0.98</v>
      </c>
      <c r="GQ9" s="635"/>
      <c r="GR9" s="636">
        <f>GQ9/GN9</f>
        <v>0</v>
      </c>
      <c r="GS9" s="661">
        <f>GO9+GJ9+GE9+FZ9</f>
        <v>241692.10690000001</v>
      </c>
      <c r="GT9" s="661"/>
      <c r="GU9" s="662">
        <f>GQ9+GL9+GB9+GG9</f>
        <v>0</v>
      </c>
      <c r="GV9" s="654">
        <f t="shared" si="8"/>
        <v>0</v>
      </c>
      <c r="GW9" s="645">
        <v>50217</v>
      </c>
      <c r="GX9" s="639">
        <f>GW9*GY9</f>
        <v>49212.659999999996</v>
      </c>
      <c r="GY9" s="908">
        <v>0.98</v>
      </c>
      <c r="GZ9" s="635"/>
      <c r="HA9" s="636">
        <f>GZ9/GW9</f>
        <v>0</v>
      </c>
      <c r="HB9" s="639">
        <v>55622.57</v>
      </c>
      <c r="HC9" s="639">
        <f>HB9*HD9</f>
        <v>55622.57</v>
      </c>
      <c r="HD9" s="633">
        <v>1</v>
      </c>
      <c r="HE9" s="635"/>
      <c r="HF9" s="636">
        <f>HE9/HB9</f>
        <v>0</v>
      </c>
      <c r="HG9" s="639">
        <v>57367.71</v>
      </c>
      <c r="HH9" s="639">
        <f>HG9*HI9</f>
        <v>54499.324499999995</v>
      </c>
      <c r="HI9" s="908">
        <v>0.95</v>
      </c>
      <c r="HJ9" s="635"/>
      <c r="HK9" s="636">
        <f>HJ9/HG9</f>
        <v>0</v>
      </c>
      <c r="HL9" s="639">
        <v>49524.61</v>
      </c>
      <c r="HM9" s="639">
        <f>HL9*HN9</f>
        <v>48038.871699999996</v>
      </c>
      <c r="HN9" s="908">
        <v>0.97</v>
      </c>
      <c r="HO9" s="635"/>
      <c r="HP9" s="636">
        <f>HO9/HL9</f>
        <v>0</v>
      </c>
      <c r="HQ9" s="639">
        <v>51655.92</v>
      </c>
      <c r="HR9" s="639">
        <f>HQ9*HS9</f>
        <v>50106.242399999996</v>
      </c>
      <c r="HS9" s="908">
        <v>0.97</v>
      </c>
      <c r="HT9" s="635"/>
      <c r="HU9" s="636">
        <f>HT9/HQ9</f>
        <v>0</v>
      </c>
      <c r="HV9" s="661">
        <f>HR9+HM9+HH9+HC9+GX9</f>
        <v>257479.6686</v>
      </c>
      <c r="HW9" s="661"/>
      <c r="HX9" s="663">
        <f>HT9+HO9+HJ9+HE9+GZ9</f>
        <v>0</v>
      </c>
      <c r="HY9" s="651">
        <f t="shared" si="9"/>
        <v>0</v>
      </c>
      <c r="HZ9" s="645">
        <v>55084.69</v>
      </c>
      <c r="IA9" s="639">
        <f>HZ9*IB9</f>
        <v>53432.149299999997</v>
      </c>
      <c r="IB9" s="908">
        <v>0.97</v>
      </c>
      <c r="IC9" s="635"/>
      <c r="ID9" s="636">
        <f>IC9/HZ9</f>
        <v>0</v>
      </c>
      <c r="IE9" s="639">
        <v>53649.05</v>
      </c>
      <c r="IF9" s="639">
        <f>IE9*IG9</f>
        <v>51503.088000000003</v>
      </c>
      <c r="IG9" s="908">
        <v>0.96</v>
      </c>
      <c r="IH9" s="635"/>
      <c r="II9" s="636">
        <f>IH9/IE9</f>
        <v>0</v>
      </c>
      <c r="IJ9" s="639">
        <v>67527.72</v>
      </c>
      <c r="IK9" s="639">
        <f>IJ9*IL9</f>
        <v>66852.442800000004</v>
      </c>
      <c r="IL9" s="908">
        <v>0.99</v>
      </c>
      <c r="IM9" s="635"/>
      <c r="IN9" s="636">
        <f>IM9/IJ9</f>
        <v>0</v>
      </c>
      <c r="IO9" s="639">
        <v>78039.37</v>
      </c>
      <c r="IP9" s="639">
        <f>IO9*IQ9</f>
        <v>74917.795199999993</v>
      </c>
      <c r="IQ9" s="908">
        <v>0.96</v>
      </c>
      <c r="IR9" s="635"/>
      <c r="IS9" s="636">
        <f>IR9/IO9</f>
        <v>0</v>
      </c>
      <c r="IT9" s="661">
        <f>IP9+IK9+IF9+IA9</f>
        <v>246705.47529999999</v>
      </c>
      <c r="IU9" s="661"/>
      <c r="IV9" s="662">
        <f>IC9+IH9+IM9+IR9</f>
        <v>0</v>
      </c>
      <c r="IW9" s="654">
        <f t="shared" si="10"/>
        <v>0</v>
      </c>
      <c r="IX9" s="645">
        <v>61501.65</v>
      </c>
      <c r="IY9" s="639">
        <f>IX9*IZ9</f>
        <v>59656.6005</v>
      </c>
      <c r="IZ9" s="908">
        <v>0.97</v>
      </c>
      <c r="JA9" s="635"/>
      <c r="JB9" s="636">
        <f>JA9/IX9</f>
        <v>0</v>
      </c>
      <c r="JC9" s="639">
        <v>70528.53</v>
      </c>
      <c r="JD9" s="639">
        <f>JC9*JE9</f>
        <v>66296.818199999994</v>
      </c>
      <c r="JE9" s="908">
        <v>0.94</v>
      </c>
      <c r="JF9" s="635"/>
      <c r="JG9" s="636">
        <f>JF9/JC9</f>
        <v>0</v>
      </c>
      <c r="JH9" s="639">
        <v>81707.7</v>
      </c>
      <c r="JI9" s="639">
        <f>JH9*JJ9</f>
        <v>77622.314999999988</v>
      </c>
      <c r="JJ9" s="908">
        <v>0.95</v>
      </c>
      <c r="JK9" s="635"/>
      <c r="JL9" s="636">
        <f>JK9/JH9</f>
        <v>0</v>
      </c>
      <c r="JM9" s="639">
        <v>71261.990000000005</v>
      </c>
      <c r="JN9" s="639">
        <f>JM9*JO9</f>
        <v>67698.890500000009</v>
      </c>
      <c r="JO9" s="908">
        <v>0.95</v>
      </c>
      <c r="JP9" s="635"/>
      <c r="JQ9" s="636">
        <f>JP9/JM9</f>
        <v>0</v>
      </c>
      <c r="JR9" s="661">
        <f>JN9+JI9+JD9+IY9</f>
        <v>271274.62419999996</v>
      </c>
      <c r="JS9" s="661"/>
      <c r="JT9" s="663">
        <f>JP9+JK9+JA9+JF9</f>
        <v>0</v>
      </c>
      <c r="JU9" s="651">
        <f t="shared" si="11"/>
        <v>0</v>
      </c>
      <c r="JV9" s="645">
        <v>91207.19</v>
      </c>
      <c r="JW9" s="639">
        <f>JV9*JX9</f>
        <v>85734.758600000001</v>
      </c>
      <c r="JX9" s="908">
        <v>0.94</v>
      </c>
      <c r="JY9" s="635"/>
      <c r="JZ9" s="636">
        <f>JY9/JV9</f>
        <v>0</v>
      </c>
      <c r="KA9" s="639">
        <v>131321.75</v>
      </c>
      <c r="KB9" s="639">
        <f>KA9*KC9</f>
        <v>122129.22750000001</v>
      </c>
      <c r="KC9" s="908">
        <v>0.93</v>
      </c>
      <c r="KD9" s="635"/>
      <c r="KE9" s="636">
        <f>KD9/KA9</f>
        <v>0</v>
      </c>
      <c r="KF9" s="639">
        <v>196444.2</v>
      </c>
      <c r="KG9" s="639">
        <f>KF9*KH9</f>
        <v>182693.10600000003</v>
      </c>
      <c r="KH9" s="908">
        <v>0.93</v>
      </c>
      <c r="KI9" s="635"/>
      <c r="KJ9" s="636">
        <f>KI9/KF9</f>
        <v>0</v>
      </c>
      <c r="KK9" s="639">
        <v>195587.53</v>
      </c>
      <c r="KL9" s="639">
        <f>KK9*KM9</f>
        <v>181896.40290000002</v>
      </c>
      <c r="KM9" s="908">
        <v>0.93</v>
      </c>
      <c r="KN9" s="635"/>
      <c r="KO9" s="636">
        <f>KN9/KK9</f>
        <v>0</v>
      </c>
      <c r="KP9" s="639">
        <v>71890.91</v>
      </c>
      <c r="KQ9" s="639">
        <f>KP9*KR9</f>
        <v>68296.364499999996</v>
      </c>
      <c r="KR9" s="908">
        <v>0.95</v>
      </c>
      <c r="KS9" s="635"/>
      <c r="KT9" s="636">
        <f>KS9/KP9</f>
        <v>0</v>
      </c>
      <c r="KU9" s="661">
        <f>KQ9+KL9+KG9+KB9+JW9</f>
        <v>640749.85950000002</v>
      </c>
      <c r="KV9" s="661"/>
      <c r="KW9" s="662">
        <f>KS9+KN9+KI9+KD9+JY9</f>
        <v>0</v>
      </c>
      <c r="KX9" s="959">
        <f t="shared" si="12"/>
        <v>0</v>
      </c>
      <c r="KY9" s="894">
        <f>X9+AV9+BY9+CW9+DU9+EX9+FV9+GT9+HW9+IU9+JS9+KV9</f>
        <v>0</v>
      </c>
      <c r="KZ9" s="893">
        <f>Y9+AW9+BZ9+CX9+DV9+EY9+FW9+GU9+HX9+IV9+JT9+KW9</f>
        <v>0</v>
      </c>
      <c r="LA9" s="892">
        <f>KZ9-KY9</f>
        <v>0</v>
      </c>
      <c r="LB9" s="891">
        <f t="shared" si="13"/>
        <v>0</v>
      </c>
    </row>
    <row r="10" spans="1:314">
      <c r="A10" s="1495"/>
      <c r="B10" s="900" t="s">
        <v>473</v>
      </c>
      <c r="C10" s="645">
        <v>61018.46</v>
      </c>
      <c r="D10" s="639">
        <f>C10*E10</f>
        <v>54306.429400000001</v>
      </c>
      <c r="E10" s="908">
        <v>0.89</v>
      </c>
      <c r="F10" s="635"/>
      <c r="G10" s="636">
        <f>F10/C10</f>
        <v>0</v>
      </c>
      <c r="H10" s="639">
        <v>71646.53</v>
      </c>
      <c r="I10" s="639">
        <f>H10*J10</f>
        <v>63765.411699999997</v>
      </c>
      <c r="J10" s="633">
        <v>0.89</v>
      </c>
      <c r="K10" s="635"/>
      <c r="L10" s="636">
        <f>K10/H10</f>
        <v>0</v>
      </c>
      <c r="M10" s="639">
        <v>68143.48</v>
      </c>
      <c r="N10" s="639">
        <f>M10*O10</f>
        <v>60647.697199999995</v>
      </c>
      <c r="O10" s="633">
        <v>0.89</v>
      </c>
      <c r="P10" s="635"/>
      <c r="Q10" s="636">
        <f>P10/M10</f>
        <v>0</v>
      </c>
      <c r="R10" s="639">
        <v>73492.399999999994</v>
      </c>
      <c r="S10" s="639">
        <f>R10*T10</f>
        <v>66143.16</v>
      </c>
      <c r="T10" s="908">
        <v>0.9</v>
      </c>
      <c r="U10" s="635"/>
      <c r="V10" s="636">
        <f>U10/R10</f>
        <v>0</v>
      </c>
      <c r="W10" s="639">
        <f>D10+I10+N10+S10</f>
        <v>244862.69829999999</v>
      </c>
      <c r="X10" s="639"/>
      <c r="Y10" s="666">
        <f>+F10+K10+P10+U10</f>
        <v>0</v>
      </c>
      <c r="Z10" s="646">
        <f t="shared" si="0"/>
        <v>0</v>
      </c>
      <c r="AA10" s="645">
        <v>77159.570000000007</v>
      </c>
      <c r="AB10" s="639">
        <f>AA10*AC10</f>
        <v>68672.017300000007</v>
      </c>
      <c r="AC10" s="908">
        <v>0.89</v>
      </c>
      <c r="AD10" s="635"/>
      <c r="AE10" s="636">
        <f>AD10/AA10</f>
        <v>0</v>
      </c>
      <c r="AF10" s="639">
        <v>103439.89</v>
      </c>
      <c r="AG10" s="639">
        <f>AF10*AH10</f>
        <v>91027.103199999998</v>
      </c>
      <c r="AH10" s="633">
        <v>0.88</v>
      </c>
      <c r="AI10" s="635"/>
      <c r="AJ10" s="636">
        <f>AI10/AF10</f>
        <v>0</v>
      </c>
      <c r="AK10" s="639">
        <v>62751.87</v>
      </c>
      <c r="AL10" s="639">
        <f>AK10*AM10</f>
        <v>57104.201700000005</v>
      </c>
      <c r="AM10" s="908">
        <v>0.91</v>
      </c>
      <c r="AN10" s="635"/>
      <c r="AO10" s="636">
        <f>AN10/AK10</f>
        <v>0</v>
      </c>
      <c r="AP10" s="639">
        <v>77538.179999999993</v>
      </c>
      <c r="AQ10" s="639">
        <f>AP10*AR10</f>
        <v>69008.980199999991</v>
      </c>
      <c r="AR10" s="908">
        <v>0.89</v>
      </c>
      <c r="AS10" s="635"/>
      <c r="AT10" s="636">
        <f>AS10/AP10</f>
        <v>0</v>
      </c>
      <c r="AU10" s="639">
        <f>AB10+AG10+AL10+AQ10</f>
        <v>285812.30240000004</v>
      </c>
      <c r="AV10" s="896"/>
      <c r="AW10" s="895">
        <f>AD10+AI10++AN10+AS10</f>
        <v>0</v>
      </c>
      <c r="AX10" s="665">
        <f t="shared" si="1"/>
        <v>0</v>
      </c>
      <c r="AY10" s="645">
        <v>72580.86</v>
      </c>
      <c r="AZ10" s="639">
        <f>AY10*BA10</f>
        <v>64596.965400000001</v>
      </c>
      <c r="BA10" s="633">
        <v>0.89</v>
      </c>
      <c r="BB10" s="635"/>
      <c r="BC10" s="636">
        <f>BB10/AY10</f>
        <v>0</v>
      </c>
      <c r="BD10" s="639">
        <v>80958</v>
      </c>
      <c r="BE10" s="639">
        <f>BD10*BF10</f>
        <v>72052.62</v>
      </c>
      <c r="BF10" s="633">
        <v>0.89</v>
      </c>
      <c r="BG10" s="635"/>
      <c r="BH10" s="636">
        <f>BG10/BD10</f>
        <v>0</v>
      </c>
      <c r="BI10" s="639">
        <v>81048.149999999994</v>
      </c>
      <c r="BJ10" s="639">
        <f>BI10*BK10</f>
        <v>72132.853499999997</v>
      </c>
      <c r="BK10" s="633">
        <v>0.89</v>
      </c>
      <c r="BL10" s="635"/>
      <c r="BM10" s="636">
        <f>BL10/BI10</f>
        <v>0</v>
      </c>
      <c r="BN10" s="639">
        <v>85462.03</v>
      </c>
      <c r="BO10" s="639">
        <f>BN10*BP10</f>
        <v>74351.966100000005</v>
      </c>
      <c r="BP10" s="908">
        <v>0.87</v>
      </c>
      <c r="BQ10" s="635"/>
      <c r="BR10" s="636">
        <f>BQ10/BN10</f>
        <v>0</v>
      </c>
      <c r="BS10" s="639">
        <v>88157.07</v>
      </c>
      <c r="BT10" s="639">
        <f>BS10*BU10</f>
        <v>78459.792300000001</v>
      </c>
      <c r="BU10" s="633">
        <v>0.89</v>
      </c>
      <c r="BV10" s="635"/>
      <c r="BW10" s="636">
        <f>BV10/BS10</f>
        <v>0</v>
      </c>
      <c r="BX10" s="661">
        <f>AZ10+BE10+BJ10+BO10+BT10</f>
        <v>361594.1973</v>
      </c>
      <c r="BY10" s="661"/>
      <c r="BZ10" s="663">
        <f>BV10+BQ10+BL10+BG10+BB10</f>
        <v>0</v>
      </c>
      <c r="CA10" s="651">
        <f t="shared" si="2"/>
        <v>0</v>
      </c>
      <c r="CB10" s="645">
        <v>85240.6</v>
      </c>
      <c r="CC10" s="639">
        <f>CB10*CD10</f>
        <v>75864.134000000005</v>
      </c>
      <c r="CD10" s="633">
        <v>0.89</v>
      </c>
      <c r="CE10" s="635"/>
      <c r="CF10" s="636">
        <f>CE10/CB10</f>
        <v>0</v>
      </c>
      <c r="CG10" s="639">
        <v>85612.56</v>
      </c>
      <c r="CH10" s="639">
        <f>CG10*CI10</f>
        <v>77051.304000000004</v>
      </c>
      <c r="CI10" s="908">
        <v>0.9</v>
      </c>
      <c r="CJ10" s="635"/>
      <c r="CK10" s="636">
        <f>CJ10/CG10</f>
        <v>0</v>
      </c>
      <c r="CL10" s="639">
        <v>86824.26</v>
      </c>
      <c r="CM10" s="639">
        <f>CL10*CN10</f>
        <v>78141.834000000003</v>
      </c>
      <c r="CN10" s="633">
        <v>0.9</v>
      </c>
      <c r="CO10" s="635"/>
      <c r="CP10" s="636">
        <f>CO10/CL10</f>
        <v>0</v>
      </c>
      <c r="CQ10" s="639">
        <v>124409.63</v>
      </c>
      <c r="CR10" s="639">
        <f>CQ10*CS10</f>
        <v>113212.76330000001</v>
      </c>
      <c r="CS10" s="908">
        <v>0.91</v>
      </c>
      <c r="CT10" s="635"/>
      <c r="CU10" s="636">
        <f>CT10/CQ10</f>
        <v>0</v>
      </c>
      <c r="CV10" s="656">
        <f>CR10+CM10+CH10+CC10</f>
        <v>344270.03530000005</v>
      </c>
      <c r="CW10" s="656"/>
      <c r="CX10" s="657">
        <f>CT10+CO10+CE10+CJ10</f>
        <v>0</v>
      </c>
      <c r="CY10" s="654">
        <f t="shared" si="3"/>
        <v>0</v>
      </c>
      <c r="CZ10" s="645">
        <v>131977.91</v>
      </c>
      <c r="DA10" s="639">
        <f>CZ10*DB10</f>
        <v>117460.33990000001</v>
      </c>
      <c r="DB10" s="908">
        <v>0.89</v>
      </c>
      <c r="DC10" s="635"/>
      <c r="DD10" s="636">
        <f>DC10/CZ10</f>
        <v>0</v>
      </c>
      <c r="DE10" s="639">
        <v>104899.34</v>
      </c>
      <c r="DF10" s="639">
        <f>DE10*DG10</f>
        <v>93360.412599999996</v>
      </c>
      <c r="DG10" s="633">
        <v>0.89</v>
      </c>
      <c r="DH10" s="635"/>
      <c r="DI10" s="636">
        <f>DH10/DE10</f>
        <v>0</v>
      </c>
      <c r="DJ10" s="639">
        <v>98413.68</v>
      </c>
      <c r="DK10" s="639">
        <f>DJ10*DL10</f>
        <v>87588.175199999998</v>
      </c>
      <c r="DL10" s="633">
        <v>0.89</v>
      </c>
      <c r="DM10" s="635"/>
      <c r="DN10" s="636">
        <f>DM10/DJ10</f>
        <v>0</v>
      </c>
      <c r="DO10" s="639">
        <v>88818.53</v>
      </c>
      <c r="DP10" s="639">
        <f>DO10*DQ10</f>
        <v>79936.676999999996</v>
      </c>
      <c r="DQ10" s="908">
        <v>0.9</v>
      </c>
      <c r="DR10" s="635"/>
      <c r="DS10" s="636">
        <f>DR10/DO10</f>
        <v>0</v>
      </c>
      <c r="DT10" s="656">
        <f>DP10+DK10+DF10+DA10</f>
        <v>378345.60470000003</v>
      </c>
      <c r="DU10" s="656"/>
      <c r="DV10" s="657">
        <f>DR10+DM10+DC10+DH10</f>
        <v>0</v>
      </c>
      <c r="DW10" s="654">
        <f t="shared" si="4"/>
        <v>0</v>
      </c>
      <c r="DX10" s="645">
        <v>92821.29</v>
      </c>
      <c r="DY10" s="639">
        <f>DX10*DZ10</f>
        <v>82610.948099999994</v>
      </c>
      <c r="DZ10" s="633">
        <v>0.89</v>
      </c>
      <c r="EA10" s="907">
        <f>'Vtas Diarias 2022'!AAC11</f>
        <v>0</v>
      </c>
      <c r="EB10" s="636">
        <f>EA10/DX10</f>
        <v>0</v>
      </c>
      <c r="EC10" s="639">
        <v>88469.68</v>
      </c>
      <c r="ED10" s="639">
        <f>EC10*EE10</f>
        <v>76968.621599999999</v>
      </c>
      <c r="EE10" s="908">
        <v>0.87</v>
      </c>
      <c r="EF10" s="635"/>
      <c r="EG10" s="636">
        <f>EF10/EC10</f>
        <v>0</v>
      </c>
      <c r="EH10" s="639">
        <v>93299.5</v>
      </c>
      <c r="EI10" s="639">
        <f>EH10*EJ10</f>
        <v>83036.555000000008</v>
      </c>
      <c r="EJ10" s="633">
        <v>0.89</v>
      </c>
      <c r="EK10" s="635"/>
      <c r="EL10" s="636">
        <f>EK10/EH10</f>
        <v>0</v>
      </c>
      <c r="EM10" s="639">
        <v>104280.28</v>
      </c>
      <c r="EN10" s="639">
        <f>EM10*EO10</f>
        <v>96980.660400000008</v>
      </c>
      <c r="EO10" s="908">
        <v>0.93</v>
      </c>
      <c r="EP10" s="635"/>
      <c r="EQ10" s="636">
        <f>EP10/EM10</f>
        <v>0</v>
      </c>
      <c r="ER10" s="639">
        <v>98466.77</v>
      </c>
      <c r="ES10" s="639">
        <f>ER10*ET10</f>
        <v>91574.09610000001</v>
      </c>
      <c r="ET10" s="633">
        <v>0.93</v>
      </c>
      <c r="EU10" s="635"/>
      <c r="EV10" s="636">
        <f>EU10/ER10</f>
        <v>0</v>
      </c>
      <c r="EW10" s="661">
        <f>ES10+EN10+EI10+ED10+DY10</f>
        <v>431170.8812</v>
      </c>
      <c r="EX10" s="661"/>
      <c r="EY10" s="904">
        <f t="shared" si="5"/>
        <v>0</v>
      </c>
      <c r="EZ10" s="654">
        <f t="shared" si="6"/>
        <v>0</v>
      </c>
      <c r="FA10" s="645">
        <v>86066.23</v>
      </c>
      <c r="FB10" s="639">
        <f>FA10*FC10</f>
        <v>75738.282399999996</v>
      </c>
      <c r="FC10" s="908">
        <v>0.88</v>
      </c>
      <c r="FD10" s="635"/>
      <c r="FE10" s="636">
        <f>FD10/FA10</f>
        <v>0</v>
      </c>
      <c r="FF10" s="639">
        <v>89186.39</v>
      </c>
      <c r="FG10" s="639">
        <f>FF10*FH10</f>
        <v>78484.023199999996</v>
      </c>
      <c r="FH10" s="633">
        <v>0.88</v>
      </c>
      <c r="FI10" s="635"/>
      <c r="FJ10" s="636">
        <f>FI10/FF10</f>
        <v>0</v>
      </c>
      <c r="FK10" s="639">
        <v>78953.61</v>
      </c>
      <c r="FL10" s="639">
        <f>FK10*FM10</f>
        <v>69479.176800000001</v>
      </c>
      <c r="FM10" s="633">
        <v>0.88</v>
      </c>
      <c r="FN10" s="635"/>
      <c r="FO10" s="636">
        <f>FN10/FK10</f>
        <v>0</v>
      </c>
      <c r="FP10" s="639">
        <v>86793.72</v>
      </c>
      <c r="FQ10" s="639">
        <f>FP10*FR10</f>
        <v>79850.222399999999</v>
      </c>
      <c r="FR10" s="908">
        <v>0.92</v>
      </c>
      <c r="FS10" s="635"/>
      <c r="FT10" s="636">
        <f>FS10/FP10</f>
        <v>0</v>
      </c>
      <c r="FU10" s="661">
        <f>FQ10+FL10+FG10+FB10</f>
        <v>303551.70479999995</v>
      </c>
      <c r="FV10" s="661"/>
      <c r="FW10" s="663">
        <f>FS10+FN10+FD10+FI10</f>
        <v>0</v>
      </c>
      <c r="FX10" s="651">
        <f t="shared" si="7"/>
        <v>0</v>
      </c>
      <c r="FY10" s="645">
        <v>93142.88</v>
      </c>
      <c r="FZ10" s="639">
        <f>FY10*GA10</f>
        <v>88485.736000000004</v>
      </c>
      <c r="GA10" s="908">
        <v>0.95</v>
      </c>
      <c r="GB10" s="635"/>
      <c r="GC10" s="636">
        <f>GB10/FY10</f>
        <v>0</v>
      </c>
      <c r="GD10" s="639">
        <v>98355.16</v>
      </c>
      <c r="GE10" s="639">
        <f>GD10*GF10</f>
        <v>88519.644</v>
      </c>
      <c r="GF10" s="908">
        <v>0.9</v>
      </c>
      <c r="GG10" s="635"/>
      <c r="GH10" s="636">
        <f>GG10/GD10</f>
        <v>0</v>
      </c>
      <c r="GI10" s="639">
        <v>83229.61</v>
      </c>
      <c r="GJ10" s="639">
        <f>GI10*GK10</f>
        <v>81565.017800000001</v>
      </c>
      <c r="GK10" s="908">
        <v>0.98</v>
      </c>
      <c r="GL10" s="635"/>
      <c r="GM10" s="636">
        <f>GL10/GI10</f>
        <v>0</v>
      </c>
      <c r="GN10" s="639">
        <v>94636.160000000003</v>
      </c>
      <c r="GO10" s="639">
        <f>GN10*GP10</f>
        <v>92743.436799999996</v>
      </c>
      <c r="GP10" s="633">
        <v>0.98</v>
      </c>
      <c r="GQ10" s="635"/>
      <c r="GR10" s="636">
        <f>GQ10/GN10</f>
        <v>0</v>
      </c>
      <c r="GS10" s="661">
        <f>GO10+GJ10+GE10+FZ10</f>
        <v>351313.83460000006</v>
      </c>
      <c r="GT10" s="661"/>
      <c r="GU10" s="662">
        <f>GQ10+GL10+GB10+GG10</f>
        <v>0</v>
      </c>
      <c r="GV10" s="654">
        <f t="shared" si="8"/>
        <v>0</v>
      </c>
      <c r="GW10" s="645">
        <v>83009</v>
      </c>
      <c r="GX10" s="639">
        <f>GW10*GY10</f>
        <v>81348.819999999992</v>
      </c>
      <c r="GY10" s="908">
        <v>0.98</v>
      </c>
      <c r="GZ10" s="635"/>
      <c r="HA10" s="636">
        <f>GZ10/GW10</f>
        <v>0</v>
      </c>
      <c r="HB10" s="639">
        <v>76126.64</v>
      </c>
      <c r="HC10" s="639">
        <f>HB10*HD10</f>
        <v>76126.64</v>
      </c>
      <c r="HD10" s="633">
        <v>1</v>
      </c>
      <c r="HE10" s="635"/>
      <c r="HF10" s="636">
        <f>HE10/HB10</f>
        <v>0</v>
      </c>
      <c r="HG10" s="639">
        <v>57477.43</v>
      </c>
      <c r="HH10" s="639">
        <f>HG10*HI10</f>
        <v>54603.558499999999</v>
      </c>
      <c r="HI10" s="908">
        <v>0.95</v>
      </c>
      <c r="HJ10" s="635"/>
      <c r="HK10" s="636">
        <f>HJ10/HG10</f>
        <v>0</v>
      </c>
      <c r="HL10" s="639">
        <v>69655.320000000007</v>
      </c>
      <c r="HM10" s="639">
        <f>HL10*HN10</f>
        <v>67565.660400000008</v>
      </c>
      <c r="HN10" s="908">
        <v>0.97</v>
      </c>
      <c r="HO10" s="635"/>
      <c r="HP10" s="636">
        <f>HO10/HL10</f>
        <v>0</v>
      </c>
      <c r="HQ10" s="639">
        <v>68848.38</v>
      </c>
      <c r="HR10" s="639">
        <f>HQ10*HS10</f>
        <v>66782.928599999999</v>
      </c>
      <c r="HS10" s="908">
        <v>0.97</v>
      </c>
      <c r="HT10" s="635"/>
      <c r="HU10" s="636">
        <f>HT10/HQ10</f>
        <v>0</v>
      </c>
      <c r="HV10" s="661">
        <f>HR10+HM10+HH10+HC10+GX10</f>
        <v>346427.60750000004</v>
      </c>
      <c r="HW10" s="661"/>
      <c r="HX10" s="663">
        <f>HT10+HO10+HJ10+HE10+GZ10</f>
        <v>0</v>
      </c>
      <c r="HY10" s="651">
        <f t="shared" si="9"/>
        <v>0</v>
      </c>
      <c r="HZ10" s="645">
        <v>64573.760000000002</v>
      </c>
      <c r="IA10" s="639">
        <f>HZ10*IB10</f>
        <v>62636.547200000001</v>
      </c>
      <c r="IB10" s="908">
        <v>0.97</v>
      </c>
      <c r="IC10" s="635"/>
      <c r="ID10" s="636">
        <f>IC10/HZ10</f>
        <v>0</v>
      </c>
      <c r="IE10" s="639">
        <v>87070.74</v>
      </c>
      <c r="IF10" s="639">
        <f>IE10*IG10</f>
        <v>83587.910400000008</v>
      </c>
      <c r="IG10" s="908">
        <v>0.96</v>
      </c>
      <c r="IH10" s="635"/>
      <c r="II10" s="636">
        <f>IH10/IE10</f>
        <v>0</v>
      </c>
      <c r="IJ10" s="639">
        <v>77295.31</v>
      </c>
      <c r="IK10" s="639">
        <f>IJ10*IL10</f>
        <v>76522.356899999999</v>
      </c>
      <c r="IL10" s="908">
        <v>0.99</v>
      </c>
      <c r="IM10" s="635"/>
      <c r="IN10" s="636">
        <f>IM10/IJ10</f>
        <v>0</v>
      </c>
      <c r="IO10" s="639">
        <v>110367.25</v>
      </c>
      <c r="IP10" s="639">
        <f>IO10*IQ10</f>
        <v>105952.56</v>
      </c>
      <c r="IQ10" s="908">
        <v>0.96</v>
      </c>
      <c r="IR10" s="635"/>
      <c r="IS10" s="636">
        <f>IR10/IO10</f>
        <v>0</v>
      </c>
      <c r="IT10" s="661">
        <f>IP10+IK10+IF10+IA10</f>
        <v>328699.37450000003</v>
      </c>
      <c r="IU10" s="661"/>
      <c r="IV10" s="662">
        <f>IC10+IH10+IM10+IR10</f>
        <v>0</v>
      </c>
      <c r="IW10" s="654">
        <f t="shared" si="10"/>
        <v>0</v>
      </c>
      <c r="IX10" s="645">
        <v>83647.73</v>
      </c>
      <c r="IY10" s="639">
        <f>IX10*IZ10</f>
        <v>81138.2981</v>
      </c>
      <c r="IZ10" s="908">
        <v>0.97</v>
      </c>
      <c r="JA10" s="635"/>
      <c r="JB10" s="636">
        <f>JA10/IX10</f>
        <v>0</v>
      </c>
      <c r="JC10" s="639">
        <v>90560.36</v>
      </c>
      <c r="JD10" s="639">
        <f>JC10*JE10</f>
        <v>85126.738400000002</v>
      </c>
      <c r="JE10" s="908">
        <v>0.94</v>
      </c>
      <c r="JF10" s="635"/>
      <c r="JG10" s="636">
        <f>JF10/JC10</f>
        <v>0</v>
      </c>
      <c r="JH10" s="639">
        <v>118895.1</v>
      </c>
      <c r="JI10" s="639">
        <f>JH10*JJ10</f>
        <v>112950.345</v>
      </c>
      <c r="JJ10" s="908">
        <v>0.95</v>
      </c>
      <c r="JK10" s="635"/>
      <c r="JL10" s="636">
        <f>JK10/JH10</f>
        <v>0</v>
      </c>
      <c r="JM10" s="639">
        <v>118557.61</v>
      </c>
      <c r="JN10" s="639">
        <f>JM10*JO10</f>
        <v>112629.7295</v>
      </c>
      <c r="JO10" s="908">
        <v>0.95</v>
      </c>
      <c r="JP10" s="635"/>
      <c r="JQ10" s="636">
        <f>JP10/JM10</f>
        <v>0</v>
      </c>
      <c r="JR10" s="661">
        <f>JN10+JI10+JD10+IY10</f>
        <v>391845.11100000003</v>
      </c>
      <c r="JS10" s="661"/>
      <c r="JT10" s="663">
        <f>JP10+JK10+JA10+JF10</f>
        <v>0</v>
      </c>
      <c r="JU10" s="651">
        <f t="shared" si="11"/>
        <v>0</v>
      </c>
      <c r="JV10" s="645">
        <v>150186.12</v>
      </c>
      <c r="JW10" s="639">
        <f>JV10*JX10</f>
        <v>141174.9528</v>
      </c>
      <c r="JX10" s="908">
        <v>0.94</v>
      </c>
      <c r="JY10" s="635"/>
      <c r="JZ10" s="636">
        <f>JY10/JV10</f>
        <v>0</v>
      </c>
      <c r="KA10" s="639">
        <v>174273.21</v>
      </c>
      <c r="KB10" s="639">
        <f>KA10*KC10</f>
        <v>162074.08530000001</v>
      </c>
      <c r="KC10" s="908">
        <v>0.93</v>
      </c>
      <c r="KD10" s="635"/>
      <c r="KE10" s="636">
        <f>KD10/KA10</f>
        <v>0</v>
      </c>
      <c r="KF10" s="639">
        <v>239820.51</v>
      </c>
      <c r="KG10" s="639">
        <f>KF10*KH10</f>
        <v>223033.07430000001</v>
      </c>
      <c r="KH10" s="908">
        <v>0.93</v>
      </c>
      <c r="KI10" s="635"/>
      <c r="KJ10" s="636">
        <f>KI10/KF10</f>
        <v>0</v>
      </c>
      <c r="KK10" s="639">
        <v>227927.25</v>
      </c>
      <c r="KL10" s="639">
        <f>KK10*KM10</f>
        <v>211972.3425</v>
      </c>
      <c r="KM10" s="908">
        <v>0.93</v>
      </c>
      <c r="KN10" s="635"/>
      <c r="KO10" s="636">
        <f>KN10/KK10</f>
        <v>0</v>
      </c>
      <c r="KP10" s="639">
        <v>66032.73</v>
      </c>
      <c r="KQ10" s="639">
        <f>KP10*KR10</f>
        <v>62731.093499999995</v>
      </c>
      <c r="KR10" s="908">
        <v>0.95</v>
      </c>
      <c r="KS10" s="635"/>
      <c r="KT10" s="636">
        <f>KS10/KP10</f>
        <v>0</v>
      </c>
      <c r="KU10" s="661">
        <f>KQ10+KL10+KG10+KB10+JW10</f>
        <v>800985.54839999997</v>
      </c>
      <c r="KV10" s="661"/>
      <c r="KW10" s="662">
        <f>KS10+KN10+KI10+KD10+JY10</f>
        <v>0</v>
      </c>
      <c r="KX10" s="959">
        <f t="shared" si="12"/>
        <v>0</v>
      </c>
      <c r="KY10" s="894">
        <f>X10+AV10+BY10+CW10+DU10+EX10+FV10+GT10+HW10+IU10+JS10+KV10</f>
        <v>0</v>
      </c>
      <c r="KZ10" s="893">
        <f>Y10+AW10+BZ10+CX10+DV10+EY10+FW10+GU10+HX10+IV10+JT10+KW10</f>
        <v>0</v>
      </c>
      <c r="LA10" s="892">
        <f>KZ10-KY10</f>
        <v>0</v>
      </c>
      <c r="LB10" s="891">
        <f t="shared" si="13"/>
        <v>0</v>
      </c>
    </row>
    <row r="11" spans="1:314">
      <c r="A11" s="1495"/>
      <c r="B11" s="900" t="s">
        <v>474</v>
      </c>
      <c r="C11" s="645">
        <v>79969.960000000006</v>
      </c>
      <c r="D11" s="639">
        <f>C11*E11</f>
        <v>71173.2644</v>
      </c>
      <c r="E11" s="908">
        <v>0.89</v>
      </c>
      <c r="F11" s="635"/>
      <c r="G11" s="636">
        <f>F11/C11</f>
        <v>0</v>
      </c>
      <c r="H11" s="639">
        <v>88914.68</v>
      </c>
      <c r="I11" s="639">
        <f>H11*J11</f>
        <v>79134.065199999997</v>
      </c>
      <c r="J11" s="633">
        <v>0.89</v>
      </c>
      <c r="K11" s="635"/>
      <c r="L11" s="636">
        <f>K11/H11</f>
        <v>0</v>
      </c>
      <c r="M11" s="639">
        <v>82082.13</v>
      </c>
      <c r="N11" s="639">
        <f>M11*O11</f>
        <v>73053.095700000005</v>
      </c>
      <c r="O11" s="633">
        <v>0.89</v>
      </c>
      <c r="P11" s="635"/>
      <c r="Q11" s="636">
        <f>P11/M11</f>
        <v>0</v>
      </c>
      <c r="R11" s="639">
        <v>94513.49</v>
      </c>
      <c r="S11" s="639">
        <f>R11*T11</f>
        <v>85062.141000000003</v>
      </c>
      <c r="T11" s="908">
        <v>0.9</v>
      </c>
      <c r="U11" s="635"/>
      <c r="V11" s="636">
        <f>U11/R11</f>
        <v>0</v>
      </c>
      <c r="W11" s="639">
        <f>D11+I11+N11+S11</f>
        <v>308422.56630000001</v>
      </c>
      <c r="X11" s="639"/>
      <c r="Y11" s="666">
        <f>+F11+K11+P11+U11</f>
        <v>0</v>
      </c>
      <c r="Z11" s="646">
        <f t="shared" si="0"/>
        <v>0</v>
      </c>
      <c r="AA11" s="645">
        <v>85840.14</v>
      </c>
      <c r="AB11" s="639">
        <f>AA11*AC11</f>
        <v>76397.724600000001</v>
      </c>
      <c r="AC11" s="908">
        <v>0.89</v>
      </c>
      <c r="AD11" s="635"/>
      <c r="AE11" s="636">
        <f>AD11/AA11</f>
        <v>0</v>
      </c>
      <c r="AF11" s="639">
        <v>123037.15</v>
      </c>
      <c r="AG11" s="639">
        <f>AF11*AH11</f>
        <v>108272.692</v>
      </c>
      <c r="AH11" s="633">
        <v>0.88</v>
      </c>
      <c r="AI11" s="635"/>
      <c r="AJ11" s="636">
        <f>AI11/AF11</f>
        <v>0</v>
      </c>
      <c r="AK11" s="639">
        <v>78117.56</v>
      </c>
      <c r="AL11" s="639">
        <f>AK11*AM11</f>
        <v>71086.979600000006</v>
      </c>
      <c r="AM11" s="908">
        <v>0.91</v>
      </c>
      <c r="AN11" s="635"/>
      <c r="AO11" s="636">
        <f>AN11/AK11</f>
        <v>0</v>
      </c>
      <c r="AP11" s="639">
        <v>101341.96</v>
      </c>
      <c r="AQ11" s="639">
        <f>AP11*AR11</f>
        <v>90194.344400000002</v>
      </c>
      <c r="AR11" s="908">
        <v>0.89</v>
      </c>
      <c r="AS11" s="635"/>
      <c r="AT11" s="636">
        <f>AS11/AP11</f>
        <v>0</v>
      </c>
      <c r="AU11" s="639">
        <f>AB11+AG11+AL11+AQ11</f>
        <v>345951.74060000002</v>
      </c>
      <c r="AV11" s="896"/>
      <c r="AW11" s="895">
        <f>AD11+AI11++AN11+AS11</f>
        <v>0</v>
      </c>
      <c r="AX11" s="665">
        <f t="shared" si="1"/>
        <v>0</v>
      </c>
      <c r="AY11" s="645">
        <v>103306.08</v>
      </c>
      <c r="AZ11" s="639">
        <f>AY11*BA11</f>
        <v>91942.411200000002</v>
      </c>
      <c r="BA11" s="633">
        <v>0.89</v>
      </c>
      <c r="BB11" s="635"/>
      <c r="BC11" s="636">
        <f>BB11/AY11</f>
        <v>0</v>
      </c>
      <c r="BD11" s="639">
        <v>102573.8</v>
      </c>
      <c r="BE11" s="639">
        <f>BD11*BF11</f>
        <v>91290.682000000001</v>
      </c>
      <c r="BF11" s="633">
        <v>0.89</v>
      </c>
      <c r="BG11" s="635"/>
      <c r="BH11" s="636">
        <f>BG11/BD11</f>
        <v>0</v>
      </c>
      <c r="BI11" s="639">
        <v>129783.27</v>
      </c>
      <c r="BJ11" s="639">
        <f>BI11*BK11</f>
        <v>115507.1103</v>
      </c>
      <c r="BK11" s="633">
        <v>0.89</v>
      </c>
      <c r="BL11" s="635"/>
      <c r="BM11" s="636">
        <f>BL11/BI11</f>
        <v>0</v>
      </c>
      <c r="BN11" s="639">
        <v>112120.35</v>
      </c>
      <c r="BO11" s="639">
        <f>BN11*BP11</f>
        <v>97544.704500000007</v>
      </c>
      <c r="BP11" s="908">
        <v>0.87</v>
      </c>
      <c r="BQ11" s="635"/>
      <c r="BR11" s="636">
        <f>BQ11/BN11</f>
        <v>0</v>
      </c>
      <c r="BS11" s="639">
        <v>115154.49</v>
      </c>
      <c r="BT11" s="639">
        <f>BS11*BU11</f>
        <v>102487.4961</v>
      </c>
      <c r="BU11" s="633">
        <v>0.89</v>
      </c>
      <c r="BV11" s="635"/>
      <c r="BW11" s="636">
        <f>BV11/BS11</f>
        <v>0</v>
      </c>
      <c r="BX11" s="661">
        <f>AZ11+BE11+BJ11+BO11+BT11</f>
        <v>498772.40409999999</v>
      </c>
      <c r="BY11" s="661"/>
      <c r="BZ11" s="663">
        <f>BV11+BQ11+BL11+BG11+BB11</f>
        <v>0</v>
      </c>
      <c r="CA11" s="651">
        <f t="shared" si="2"/>
        <v>0</v>
      </c>
      <c r="CB11" s="645">
        <v>116398.85</v>
      </c>
      <c r="CC11" s="639">
        <f>CB11*CD11</f>
        <v>103594.9765</v>
      </c>
      <c r="CD11" s="633">
        <v>0.89</v>
      </c>
      <c r="CE11" s="635"/>
      <c r="CF11" s="636">
        <f>CE11/CB11</f>
        <v>0</v>
      </c>
      <c r="CG11" s="639">
        <v>133417.65</v>
      </c>
      <c r="CH11" s="639">
        <f>CG11*CI11</f>
        <v>120075.88499999999</v>
      </c>
      <c r="CI11" s="908">
        <v>0.9</v>
      </c>
      <c r="CJ11" s="635"/>
      <c r="CK11" s="636">
        <f>CJ11/CG11</f>
        <v>0</v>
      </c>
      <c r="CL11" s="639">
        <v>125711.2</v>
      </c>
      <c r="CM11" s="639">
        <f>CL11*CN11</f>
        <v>113140.08</v>
      </c>
      <c r="CN11" s="633">
        <v>0.9</v>
      </c>
      <c r="CO11" s="635"/>
      <c r="CP11" s="636">
        <f>CO11/CL11</f>
        <v>0</v>
      </c>
      <c r="CQ11" s="639">
        <v>165883.18</v>
      </c>
      <c r="CR11" s="639">
        <f>CQ11*CS11</f>
        <v>150953.69380000001</v>
      </c>
      <c r="CS11" s="908">
        <v>0.91</v>
      </c>
      <c r="CT11" s="635"/>
      <c r="CU11" s="636">
        <f>CT11/CQ11</f>
        <v>0</v>
      </c>
      <c r="CV11" s="656">
        <f>CR11+CM11+CH11+CC11</f>
        <v>487764.63530000002</v>
      </c>
      <c r="CW11" s="656"/>
      <c r="CX11" s="657">
        <f>CT11+CO11+CE11+CJ11</f>
        <v>0</v>
      </c>
      <c r="CY11" s="654">
        <f t="shared" si="3"/>
        <v>0</v>
      </c>
      <c r="CZ11" s="645">
        <v>189454.69</v>
      </c>
      <c r="DA11" s="639">
        <f>CZ11*DB11</f>
        <v>168614.6741</v>
      </c>
      <c r="DB11" s="633">
        <v>0.89</v>
      </c>
      <c r="DC11" s="635"/>
      <c r="DD11" s="636">
        <f>DC11/CZ11</f>
        <v>0</v>
      </c>
      <c r="DE11" s="639">
        <v>133036.97</v>
      </c>
      <c r="DF11" s="639">
        <f>DE11*DG11</f>
        <v>118402.90330000001</v>
      </c>
      <c r="DG11" s="633">
        <v>0.89</v>
      </c>
      <c r="DH11" s="635"/>
      <c r="DI11" s="636">
        <f>DH11/DE11</f>
        <v>0</v>
      </c>
      <c r="DJ11" s="639">
        <v>109147</v>
      </c>
      <c r="DK11" s="639">
        <f>DJ11*DL11</f>
        <v>97140.83</v>
      </c>
      <c r="DL11" s="633">
        <v>0.89</v>
      </c>
      <c r="DM11" s="635"/>
      <c r="DN11" s="636">
        <f>DM11/DJ11</f>
        <v>0</v>
      </c>
      <c r="DO11" s="639">
        <v>119670.93</v>
      </c>
      <c r="DP11" s="639">
        <f>DO11*DQ11</f>
        <v>107703.837</v>
      </c>
      <c r="DQ11" s="908">
        <v>0.9</v>
      </c>
      <c r="DR11" s="635"/>
      <c r="DS11" s="636">
        <f>DR11/DO11</f>
        <v>0</v>
      </c>
      <c r="DT11" s="656">
        <f>DP11+DK11+DF11+DA11</f>
        <v>491862.24440000003</v>
      </c>
      <c r="DU11" s="656"/>
      <c r="DV11" s="657">
        <f>DR11+DM11+DC11+DH11</f>
        <v>0</v>
      </c>
      <c r="DW11" s="654">
        <f t="shared" si="4"/>
        <v>0</v>
      </c>
      <c r="DX11" s="645">
        <v>133085.25</v>
      </c>
      <c r="DY11" s="639">
        <f>DX11*DZ11</f>
        <v>118445.8725</v>
      </c>
      <c r="DZ11" s="633">
        <v>0.89</v>
      </c>
      <c r="EA11" s="907">
        <f>'Vtas Diarias 2022'!AAC12</f>
        <v>0</v>
      </c>
      <c r="EB11" s="636">
        <f>EA11/DX11</f>
        <v>0</v>
      </c>
      <c r="EC11" s="639">
        <v>130802.37</v>
      </c>
      <c r="ED11" s="639">
        <f>EC11*EE11</f>
        <v>113798.0619</v>
      </c>
      <c r="EE11" s="908">
        <v>0.87</v>
      </c>
      <c r="EF11" s="635"/>
      <c r="EG11" s="636">
        <f>EF11/EC11</f>
        <v>0</v>
      </c>
      <c r="EH11" s="639">
        <v>143575.72</v>
      </c>
      <c r="EI11" s="639">
        <f>EH11*EJ11</f>
        <v>127782.39080000001</v>
      </c>
      <c r="EJ11" s="633">
        <v>0.89</v>
      </c>
      <c r="EK11" s="635"/>
      <c r="EL11" s="636">
        <f>EK11/EH11</f>
        <v>0</v>
      </c>
      <c r="EM11" s="639">
        <v>133954.01</v>
      </c>
      <c r="EN11" s="639">
        <f>EM11*EO11</f>
        <v>124577.22930000002</v>
      </c>
      <c r="EO11" s="908">
        <v>0.93</v>
      </c>
      <c r="EP11" s="635"/>
      <c r="EQ11" s="636">
        <f>EP11/EM11</f>
        <v>0</v>
      </c>
      <c r="ER11" s="639">
        <v>133015.85</v>
      </c>
      <c r="ES11" s="639">
        <f>ER11*ET11</f>
        <v>123704.74050000001</v>
      </c>
      <c r="ET11" s="633">
        <v>0.93</v>
      </c>
      <c r="EU11" s="635"/>
      <c r="EV11" s="636">
        <f>EU11/ER11</f>
        <v>0</v>
      </c>
      <c r="EW11" s="661">
        <f>ES11+EN11+EI11+ED11+DY11</f>
        <v>608308.29499999993</v>
      </c>
      <c r="EX11" s="661"/>
      <c r="EY11" s="904">
        <f t="shared" si="5"/>
        <v>0</v>
      </c>
      <c r="EZ11" s="654">
        <f t="shared" si="6"/>
        <v>0</v>
      </c>
      <c r="FA11" s="645">
        <v>133119.56</v>
      </c>
      <c r="FB11" s="639">
        <f>FA11*FC11</f>
        <v>117145.21279999999</v>
      </c>
      <c r="FC11" s="908">
        <v>0.88</v>
      </c>
      <c r="FD11" s="635"/>
      <c r="FE11" s="636">
        <f>FD11/FA11</f>
        <v>0</v>
      </c>
      <c r="FF11" s="639">
        <v>131844.51</v>
      </c>
      <c r="FG11" s="639">
        <f>FF11*FH11</f>
        <v>116023.16880000001</v>
      </c>
      <c r="FH11" s="633">
        <v>0.88</v>
      </c>
      <c r="FI11" s="635"/>
      <c r="FJ11" s="636">
        <f>FI11/FF11</f>
        <v>0</v>
      </c>
      <c r="FK11" s="639">
        <v>128117.69</v>
      </c>
      <c r="FL11" s="639">
        <f>FK11*FM11</f>
        <v>112743.5672</v>
      </c>
      <c r="FM11" s="633">
        <v>0.88</v>
      </c>
      <c r="FN11" s="635"/>
      <c r="FO11" s="636">
        <f>FN11/FK11</f>
        <v>0</v>
      </c>
      <c r="FP11" s="639">
        <v>104301.81</v>
      </c>
      <c r="FQ11" s="639">
        <f>FP11*FR11</f>
        <v>95957.665200000003</v>
      </c>
      <c r="FR11" s="908">
        <v>0.92</v>
      </c>
      <c r="FS11" s="635"/>
      <c r="FT11" s="636">
        <f>FS11/FP11</f>
        <v>0</v>
      </c>
      <c r="FU11" s="661">
        <f>FQ11+FL11+FG11+FB11</f>
        <v>441869.614</v>
      </c>
      <c r="FV11" s="661"/>
      <c r="FW11" s="663">
        <f>FS11+FN11+FD11+FI11</f>
        <v>0</v>
      </c>
      <c r="FX11" s="651">
        <f t="shared" si="7"/>
        <v>0</v>
      </c>
      <c r="FY11" s="645">
        <v>108434.37</v>
      </c>
      <c r="FZ11" s="639">
        <f>FY11*GA11</f>
        <v>103012.65149999999</v>
      </c>
      <c r="GA11" s="908">
        <v>0.95</v>
      </c>
      <c r="GB11" s="635"/>
      <c r="GC11" s="636">
        <f>GB11/FY11</f>
        <v>0</v>
      </c>
      <c r="GD11" s="639">
        <v>120524.24</v>
      </c>
      <c r="GE11" s="639">
        <f>GD11*GF11</f>
        <v>108471.81600000001</v>
      </c>
      <c r="GF11" s="908">
        <v>0.9</v>
      </c>
      <c r="GG11" s="635"/>
      <c r="GH11" s="636">
        <f>GG11/GD11</f>
        <v>0</v>
      </c>
      <c r="GI11" s="639">
        <v>117220.13</v>
      </c>
      <c r="GJ11" s="639">
        <f>GI11*GK11</f>
        <v>114875.7274</v>
      </c>
      <c r="GK11" s="908">
        <v>0.98</v>
      </c>
      <c r="GL11" s="635"/>
      <c r="GM11" s="636">
        <f>GL11/GI11</f>
        <v>0</v>
      </c>
      <c r="GN11" s="639">
        <v>101493.59</v>
      </c>
      <c r="GO11" s="639">
        <f>GN11*GP11</f>
        <v>99463.718199999988</v>
      </c>
      <c r="GP11" s="633">
        <v>0.98</v>
      </c>
      <c r="GQ11" s="635"/>
      <c r="GR11" s="636">
        <f>GQ11/GN11</f>
        <v>0</v>
      </c>
      <c r="GS11" s="661">
        <f>GO11+GJ11+GE11+FZ11</f>
        <v>425823.91309999995</v>
      </c>
      <c r="GT11" s="661"/>
      <c r="GU11" s="662">
        <f>GQ11+GL11+GB11+GG11</f>
        <v>0</v>
      </c>
      <c r="GV11" s="654">
        <f t="shared" si="8"/>
        <v>0</v>
      </c>
      <c r="GW11" s="645">
        <v>116431</v>
      </c>
      <c r="GX11" s="639">
        <f>GW11*GY11</f>
        <v>114102.38</v>
      </c>
      <c r="GY11" s="908">
        <v>0.98</v>
      </c>
      <c r="GZ11" s="635"/>
      <c r="HA11" s="636">
        <f>GZ11/GW11</f>
        <v>0</v>
      </c>
      <c r="HB11" s="639">
        <v>117575.93</v>
      </c>
      <c r="HC11" s="639">
        <f>HB11*HD11</f>
        <v>117575.93</v>
      </c>
      <c r="HD11" s="633">
        <v>1</v>
      </c>
      <c r="HE11" s="635"/>
      <c r="HF11" s="636">
        <f>HE11/HB11</f>
        <v>0</v>
      </c>
      <c r="HG11" s="639">
        <v>108049.88</v>
      </c>
      <c r="HH11" s="639">
        <f>HG11*HI11</f>
        <v>102647.386</v>
      </c>
      <c r="HI11" s="908">
        <v>0.95</v>
      </c>
      <c r="HJ11" s="635"/>
      <c r="HK11" s="636">
        <f>HJ11/HG11</f>
        <v>0</v>
      </c>
      <c r="HL11" s="639">
        <v>105989.38</v>
      </c>
      <c r="HM11" s="639">
        <f>HL11*HN11</f>
        <v>102809.6986</v>
      </c>
      <c r="HN11" s="908">
        <v>0.97</v>
      </c>
      <c r="HO11" s="635"/>
      <c r="HP11" s="636">
        <f>HO11/HL11</f>
        <v>0</v>
      </c>
      <c r="HQ11" s="639">
        <v>117742.49</v>
      </c>
      <c r="HR11" s="639">
        <f>HQ11*HS11</f>
        <v>114210.2153</v>
      </c>
      <c r="HS11" s="908">
        <v>0.97</v>
      </c>
      <c r="HT11" s="635"/>
      <c r="HU11" s="636">
        <f>HT11/HQ11</f>
        <v>0</v>
      </c>
      <c r="HV11" s="661">
        <f>HR11+HM11+HH11+HC11+GX11</f>
        <v>551345.60990000004</v>
      </c>
      <c r="HW11" s="661"/>
      <c r="HX11" s="663">
        <f>HT11+HO11+HJ11+HE11+GZ11</f>
        <v>0</v>
      </c>
      <c r="HY11" s="651">
        <f t="shared" si="9"/>
        <v>0</v>
      </c>
      <c r="HZ11" s="645">
        <v>121649.21</v>
      </c>
      <c r="IA11" s="639">
        <f>HZ11*IB11</f>
        <v>117999.7337</v>
      </c>
      <c r="IB11" s="908">
        <v>0.97</v>
      </c>
      <c r="IC11" s="635"/>
      <c r="ID11" s="636">
        <f>IC11/HZ11</f>
        <v>0</v>
      </c>
      <c r="IE11" s="639">
        <v>133272.38</v>
      </c>
      <c r="IF11" s="639">
        <f>IE11*IG11</f>
        <v>127941.48480000001</v>
      </c>
      <c r="IG11" s="908">
        <v>0.96</v>
      </c>
      <c r="IH11" s="635"/>
      <c r="II11" s="636">
        <f>IH11/IE11</f>
        <v>0</v>
      </c>
      <c r="IJ11" s="639">
        <v>124109.5</v>
      </c>
      <c r="IK11" s="639">
        <f>IJ11*IL11</f>
        <v>122868.405</v>
      </c>
      <c r="IL11" s="908">
        <v>0.99</v>
      </c>
      <c r="IM11" s="635"/>
      <c r="IN11" s="636">
        <f>IM11/IJ11</f>
        <v>0</v>
      </c>
      <c r="IO11" s="639">
        <v>175084.6</v>
      </c>
      <c r="IP11" s="639">
        <f>IO11*IQ11</f>
        <v>168081.21599999999</v>
      </c>
      <c r="IQ11" s="908">
        <v>0.96</v>
      </c>
      <c r="IR11" s="635"/>
      <c r="IS11" s="636">
        <f>IR11/IO11</f>
        <v>0</v>
      </c>
      <c r="IT11" s="661">
        <f>IP11+IK11+IF11+IA11</f>
        <v>536890.8395</v>
      </c>
      <c r="IU11" s="661"/>
      <c r="IV11" s="662">
        <f>IC11+IH11+IM11+IR11</f>
        <v>0</v>
      </c>
      <c r="IW11" s="654">
        <f t="shared" si="10"/>
        <v>0</v>
      </c>
      <c r="IX11" s="645">
        <v>113078.27</v>
      </c>
      <c r="IY11" s="639">
        <f>IX11*IZ11</f>
        <v>109685.9219</v>
      </c>
      <c r="IZ11" s="908">
        <v>0.97</v>
      </c>
      <c r="JA11" s="635"/>
      <c r="JB11" s="636">
        <f>JA11/IX11</f>
        <v>0</v>
      </c>
      <c r="JC11" s="639">
        <v>136471.04000000001</v>
      </c>
      <c r="JD11" s="639">
        <f>JC11*JE11</f>
        <v>128282.7776</v>
      </c>
      <c r="JE11" s="908">
        <v>0.94</v>
      </c>
      <c r="JF11" s="635"/>
      <c r="JG11" s="636">
        <f>JF11/JC11</f>
        <v>0</v>
      </c>
      <c r="JH11" s="639">
        <v>153690.03</v>
      </c>
      <c r="JI11" s="639">
        <f>JH11*JJ11</f>
        <v>146005.52849999999</v>
      </c>
      <c r="JJ11" s="908">
        <v>0.95</v>
      </c>
      <c r="JK11" s="635"/>
      <c r="JL11" s="636">
        <f>JK11/JH11</f>
        <v>0</v>
      </c>
      <c r="JM11" s="639">
        <v>185609.87</v>
      </c>
      <c r="JN11" s="639">
        <f>JM11*JO11</f>
        <v>176329.37649999998</v>
      </c>
      <c r="JO11" s="908">
        <v>0.95</v>
      </c>
      <c r="JP11" s="635"/>
      <c r="JQ11" s="636">
        <f>JP11/JM11</f>
        <v>0</v>
      </c>
      <c r="JR11" s="661">
        <f>JN11+JI11+JD11+IY11</f>
        <v>560303.6044999999</v>
      </c>
      <c r="JS11" s="661"/>
      <c r="JT11" s="663">
        <f>JP11+JK11+JA11+JF11</f>
        <v>0</v>
      </c>
      <c r="JU11" s="651">
        <f t="shared" si="11"/>
        <v>0</v>
      </c>
      <c r="JV11" s="645">
        <v>291057.09999999998</v>
      </c>
      <c r="JW11" s="639">
        <f>JV11*JX11</f>
        <v>273593.67399999994</v>
      </c>
      <c r="JX11" s="908">
        <v>0.94</v>
      </c>
      <c r="JY11" s="635"/>
      <c r="JZ11" s="636">
        <f>JY11/JV11</f>
        <v>0</v>
      </c>
      <c r="KA11" s="639">
        <v>352945.49</v>
      </c>
      <c r="KB11" s="639">
        <f>KA11*KC11</f>
        <v>328239.30570000003</v>
      </c>
      <c r="KC11" s="908">
        <v>0.93</v>
      </c>
      <c r="KD11" s="635"/>
      <c r="KE11" s="636">
        <f>KD11/KA11</f>
        <v>0</v>
      </c>
      <c r="KF11" s="639">
        <v>459461.37</v>
      </c>
      <c r="KG11" s="639">
        <f>KF11*KH11</f>
        <v>427299.07410000003</v>
      </c>
      <c r="KH11" s="908">
        <v>0.93</v>
      </c>
      <c r="KI11" s="635"/>
      <c r="KJ11" s="636">
        <f>KI11/KF11</f>
        <v>0</v>
      </c>
      <c r="KK11" s="639">
        <v>338002.66</v>
      </c>
      <c r="KL11" s="639">
        <f>KK11*KM11</f>
        <v>314342.47379999998</v>
      </c>
      <c r="KM11" s="908">
        <v>0.93</v>
      </c>
      <c r="KN11" s="635"/>
      <c r="KO11" s="636">
        <f>KN11/KK11</f>
        <v>0</v>
      </c>
      <c r="KP11" s="639">
        <v>114348.62</v>
      </c>
      <c r="KQ11" s="639">
        <f>KP11*KR11</f>
        <v>108631.18899999998</v>
      </c>
      <c r="KR11" s="908">
        <v>0.95</v>
      </c>
      <c r="KS11" s="635"/>
      <c r="KT11" s="636">
        <f>KS11/KP11</f>
        <v>0</v>
      </c>
      <c r="KU11" s="661">
        <f>KQ11+KL11+KG11+KB11+JW11</f>
        <v>1452105.7165999997</v>
      </c>
      <c r="KV11" s="661"/>
      <c r="KW11" s="662">
        <f>KS11+KN11+KI11+KD11+JY11</f>
        <v>0</v>
      </c>
      <c r="KX11" s="959">
        <f t="shared" si="12"/>
        <v>0</v>
      </c>
      <c r="KY11" s="894">
        <f>X11+AV11+BY11+CW11+DU11+EX11+FV11+GT11+HW11+IU11+JS11+KV11</f>
        <v>0</v>
      </c>
      <c r="KZ11" s="893">
        <f>Y11+AW11+BZ11+CX11+DV11+EY11+FW11+GU11+HX11+IV11+JT11+KW11</f>
        <v>0</v>
      </c>
      <c r="LA11" s="892">
        <f>KZ11-KY11</f>
        <v>0</v>
      </c>
      <c r="LB11" s="891">
        <f t="shared" si="13"/>
        <v>0</v>
      </c>
    </row>
    <row r="12" spans="1:314">
      <c r="A12" s="1495"/>
      <c r="B12" s="900" t="s">
        <v>475</v>
      </c>
      <c r="C12" s="645">
        <v>34289.550000000003</v>
      </c>
      <c r="D12" s="639">
        <f>C12*E12</f>
        <v>30517.699500000002</v>
      </c>
      <c r="E12" s="908">
        <v>0.89</v>
      </c>
      <c r="F12" s="635"/>
      <c r="G12" s="636">
        <f>F12/C12</f>
        <v>0</v>
      </c>
      <c r="H12" s="639">
        <v>41017.94</v>
      </c>
      <c r="I12" s="639">
        <f>H12*J12</f>
        <v>36505.9666</v>
      </c>
      <c r="J12" s="633">
        <v>0.89</v>
      </c>
      <c r="K12" s="635"/>
      <c r="L12" s="636">
        <f>K12/H12</f>
        <v>0</v>
      </c>
      <c r="M12" s="639">
        <v>34417.33</v>
      </c>
      <c r="N12" s="639">
        <f>M12*O12</f>
        <v>30631.423700000003</v>
      </c>
      <c r="O12" s="633">
        <v>0.89</v>
      </c>
      <c r="P12" s="635"/>
      <c r="Q12" s="636">
        <f>P12/M12</f>
        <v>0</v>
      </c>
      <c r="R12" s="639">
        <v>30809.31</v>
      </c>
      <c r="S12" s="639">
        <f>R12*T12</f>
        <v>27420.285900000003</v>
      </c>
      <c r="T12" s="633">
        <v>0.89</v>
      </c>
      <c r="U12" s="635"/>
      <c r="V12" s="636">
        <f>U12/R12</f>
        <v>0</v>
      </c>
      <c r="W12" s="639">
        <f>D12+I12+N12+S12</f>
        <v>125075.3757</v>
      </c>
      <c r="X12" s="639"/>
      <c r="Y12" s="666">
        <f>+F12+K12+P12+U12</f>
        <v>0</v>
      </c>
      <c r="Z12" s="646">
        <f t="shared" si="0"/>
        <v>0</v>
      </c>
      <c r="AA12" s="645">
        <v>39368.129999999997</v>
      </c>
      <c r="AB12" s="639">
        <f>AA12*AC12</f>
        <v>35037.635699999999</v>
      </c>
      <c r="AC12" s="633">
        <v>0.89</v>
      </c>
      <c r="AD12" s="635"/>
      <c r="AE12" s="636">
        <f>AD12/AA12</f>
        <v>0</v>
      </c>
      <c r="AF12" s="639">
        <v>45827.39</v>
      </c>
      <c r="AG12" s="639">
        <f>AF12*AH12</f>
        <v>40328.103199999998</v>
      </c>
      <c r="AH12" s="633">
        <v>0.88</v>
      </c>
      <c r="AI12" s="635"/>
      <c r="AJ12" s="636">
        <f>AI12/AF12</f>
        <v>0</v>
      </c>
      <c r="AK12" s="639">
        <v>35125.25</v>
      </c>
      <c r="AL12" s="639">
        <f>AK12*AM12</f>
        <v>31963.977500000001</v>
      </c>
      <c r="AM12" s="908">
        <v>0.91</v>
      </c>
      <c r="AN12" s="635"/>
      <c r="AO12" s="636">
        <f>AN12/AK12</f>
        <v>0</v>
      </c>
      <c r="AP12" s="639">
        <v>36876.78</v>
      </c>
      <c r="AQ12" s="639">
        <f>AP12*AR12</f>
        <v>32820.334199999998</v>
      </c>
      <c r="AR12" s="908">
        <v>0.89</v>
      </c>
      <c r="AS12" s="635"/>
      <c r="AT12" s="636">
        <f>AS12/AP12</f>
        <v>0</v>
      </c>
      <c r="AU12" s="639">
        <f>AB12+AG12+AL12+AQ12</f>
        <v>140150.05060000002</v>
      </c>
      <c r="AV12" s="896"/>
      <c r="AW12" s="895">
        <f>AD12+AI12++AN12+AS12</f>
        <v>0</v>
      </c>
      <c r="AX12" s="665">
        <f t="shared" si="1"/>
        <v>0</v>
      </c>
      <c r="AY12" s="645">
        <v>40893.269999999997</v>
      </c>
      <c r="AZ12" s="639">
        <f>AY12*BA12</f>
        <v>36395.010299999994</v>
      </c>
      <c r="BA12" s="633">
        <v>0.89</v>
      </c>
      <c r="BB12" s="635"/>
      <c r="BC12" s="636">
        <f>BB12/AY12</f>
        <v>0</v>
      </c>
      <c r="BD12" s="639">
        <v>45447</v>
      </c>
      <c r="BE12" s="639">
        <f>BD12*BF12</f>
        <v>40447.83</v>
      </c>
      <c r="BF12" s="633">
        <v>0.89</v>
      </c>
      <c r="BG12" s="635"/>
      <c r="BH12" s="636">
        <f>BG12/BD12</f>
        <v>0</v>
      </c>
      <c r="BI12" s="639">
        <v>48509.65</v>
      </c>
      <c r="BJ12" s="639">
        <f>BI12*BK12</f>
        <v>43173.588500000005</v>
      </c>
      <c r="BK12" s="633">
        <v>0.89</v>
      </c>
      <c r="BL12" s="635"/>
      <c r="BM12" s="636">
        <f>BL12/BI12</f>
        <v>0</v>
      </c>
      <c r="BN12" s="639">
        <v>42119.85</v>
      </c>
      <c r="BO12" s="639">
        <f>BN12*BP12</f>
        <v>36644.269500000002</v>
      </c>
      <c r="BP12" s="908">
        <v>0.87</v>
      </c>
      <c r="BQ12" s="635"/>
      <c r="BR12" s="636">
        <f>BQ12/BN12</f>
        <v>0</v>
      </c>
      <c r="BS12" s="639">
        <v>50103.839999999997</v>
      </c>
      <c r="BT12" s="639">
        <f>BS12*BU12</f>
        <v>44592.417600000001</v>
      </c>
      <c r="BU12" s="633">
        <v>0.89</v>
      </c>
      <c r="BV12" s="635"/>
      <c r="BW12" s="636">
        <f>BV12/BS12</f>
        <v>0</v>
      </c>
      <c r="BX12" s="661">
        <f>AZ12+BE12+BJ12+BO12+BT12</f>
        <v>201253.11589999998</v>
      </c>
      <c r="BY12" s="661"/>
      <c r="BZ12" s="663">
        <f>BV12+BQ12+BL12+BG12+BB12</f>
        <v>0</v>
      </c>
      <c r="CA12" s="651">
        <f t="shared" si="2"/>
        <v>0</v>
      </c>
      <c r="CB12" s="645">
        <v>56924.67</v>
      </c>
      <c r="CC12" s="639">
        <f>CB12*CD12</f>
        <v>50662.956299999998</v>
      </c>
      <c r="CD12" s="633">
        <v>0.89</v>
      </c>
      <c r="CE12" s="635"/>
      <c r="CF12" s="636">
        <f>CE12/CB12</f>
        <v>0</v>
      </c>
      <c r="CG12" s="639">
        <v>42353.53</v>
      </c>
      <c r="CH12" s="639">
        <f>CG12*CI12</f>
        <v>38118.177000000003</v>
      </c>
      <c r="CI12" s="908">
        <v>0.9</v>
      </c>
      <c r="CJ12" s="635"/>
      <c r="CK12" s="636">
        <f>CJ12/CG12</f>
        <v>0</v>
      </c>
      <c r="CL12" s="639">
        <v>44008.01</v>
      </c>
      <c r="CM12" s="639">
        <f>CL12*CN12</f>
        <v>39607.209000000003</v>
      </c>
      <c r="CN12" s="633">
        <v>0.9</v>
      </c>
      <c r="CO12" s="635"/>
      <c r="CP12" s="636">
        <f>CO12/CL12</f>
        <v>0</v>
      </c>
      <c r="CQ12" s="639">
        <v>76869.63</v>
      </c>
      <c r="CR12" s="639">
        <f>CQ12*CS12</f>
        <v>69951.363300000012</v>
      </c>
      <c r="CS12" s="908">
        <v>0.91</v>
      </c>
      <c r="CT12" s="635"/>
      <c r="CU12" s="636">
        <f>CT12/CQ12</f>
        <v>0</v>
      </c>
      <c r="CV12" s="656">
        <f>CR12+CM12+CH12+CC12</f>
        <v>198339.70560000002</v>
      </c>
      <c r="CW12" s="656"/>
      <c r="CX12" s="657">
        <f>CT12+CO12+CE12+CJ12</f>
        <v>0</v>
      </c>
      <c r="CY12" s="654">
        <f t="shared" si="3"/>
        <v>0</v>
      </c>
      <c r="CZ12" s="645">
        <v>72541.05</v>
      </c>
      <c r="DA12" s="639">
        <f>CZ12*DB12</f>
        <v>64561.534500000002</v>
      </c>
      <c r="DB12" s="908">
        <v>0.89</v>
      </c>
      <c r="DC12" s="635"/>
      <c r="DD12" s="636">
        <f>DC12/CZ12</f>
        <v>0</v>
      </c>
      <c r="DE12" s="639">
        <v>55611.21</v>
      </c>
      <c r="DF12" s="639">
        <f>DE12*DG12</f>
        <v>49493.976900000001</v>
      </c>
      <c r="DG12" s="633">
        <v>0.89</v>
      </c>
      <c r="DH12" s="635"/>
      <c r="DI12" s="636">
        <f>DH12/DE12</f>
        <v>0</v>
      </c>
      <c r="DJ12" s="639">
        <v>43094.22</v>
      </c>
      <c r="DK12" s="639">
        <f>DJ12*DL12</f>
        <v>38353.855800000005</v>
      </c>
      <c r="DL12" s="633">
        <v>0.89</v>
      </c>
      <c r="DM12" s="635"/>
      <c r="DN12" s="636">
        <f>DM12/DJ12</f>
        <v>0</v>
      </c>
      <c r="DO12" s="639">
        <v>44063.360000000001</v>
      </c>
      <c r="DP12" s="639">
        <f>DO12*DQ12</f>
        <v>39657.024000000005</v>
      </c>
      <c r="DQ12" s="908">
        <v>0.9</v>
      </c>
      <c r="DR12" s="635"/>
      <c r="DS12" s="636">
        <f>DR12/DO12</f>
        <v>0</v>
      </c>
      <c r="DT12" s="656">
        <f>DP12+DK12+DF12+DA12</f>
        <v>192066.39120000001</v>
      </c>
      <c r="DU12" s="656"/>
      <c r="DV12" s="657">
        <f>DR12+DM12+DC12+DH12</f>
        <v>0</v>
      </c>
      <c r="DW12" s="654">
        <f t="shared" si="4"/>
        <v>0</v>
      </c>
      <c r="DX12" s="645">
        <v>17342.18</v>
      </c>
      <c r="DY12" s="639">
        <f>DX12*DZ12</f>
        <v>15434.540200000001</v>
      </c>
      <c r="DZ12" s="633">
        <v>0.89</v>
      </c>
      <c r="EA12" s="907">
        <f>'Vtas Diarias 2022'!AAC13</f>
        <v>0</v>
      </c>
      <c r="EB12" s="636">
        <f>EA12/DX12</f>
        <v>0</v>
      </c>
      <c r="EC12" s="639">
        <v>35003.050000000003</v>
      </c>
      <c r="ED12" s="639">
        <f>EC12*EE12</f>
        <v>30452.653500000004</v>
      </c>
      <c r="EE12" s="908">
        <v>0.87</v>
      </c>
      <c r="EF12" s="635"/>
      <c r="EG12" s="636">
        <f>EF12/EC12</f>
        <v>0</v>
      </c>
      <c r="EH12" s="639">
        <v>150931.76</v>
      </c>
      <c r="EI12" s="639">
        <f>EH12*EJ12</f>
        <v>134329.26640000002</v>
      </c>
      <c r="EJ12" s="633">
        <v>0.89</v>
      </c>
      <c r="EK12" s="635"/>
      <c r="EL12" s="636">
        <f>EK12/EH12</f>
        <v>0</v>
      </c>
      <c r="EM12" s="639">
        <v>158360</v>
      </c>
      <c r="EN12" s="639">
        <f>EM12*EO12</f>
        <v>147274.80000000002</v>
      </c>
      <c r="EO12" s="908">
        <v>0.93</v>
      </c>
      <c r="EP12" s="635"/>
      <c r="EQ12" s="636">
        <f>EP12/EM12</f>
        <v>0</v>
      </c>
      <c r="ER12" s="639">
        <v>148627.56</v>
      </c>
      <c r="ES12" s="639">
        <f>ER12*ET12</f>
        <v>138223.63080000001</v>
      </c>
      <c r="ET12" s="633">
        <v>0.93</v>
      </c>
      <c r="EU12" s="635"/>
      <c r="EV12" s="636">
        <f>EU12/ER12</f>
        <v>0</v>
      </c>
      <c r="EW12" s="661">
        <f>ES12+EN12+EI12+ED12+DY12</f>
        <v>465714.89090000006</v>
      </c>
      <c r="EX12" s="661"/>
      <c r="EY12" s="904">
        <f t="shared" si="5"/>
        <v>0</v>
      </c>
      <c r="EZ12" s="654">
        <f t="shared" si="6"/>
        <v>0</v>
      </c>
      <c r="FA12" s="645">
        <v>142292.91</v>
      </c>
      <c r="FB12" s="639">
        <f>FA12*FC12</f>
        <v>125217.7608</v>
      </c>
      <c r="FC12" s="908">
        <v>0.88</v>
      </c>
      <c r="FD12" s="635"/>
      <c r="FE12" s="636">
        <f>FD12/FA12</f>
        <v>0</v>
      </c>
      <c r="FF12" s="639">
        <v>141490.71</v>
      </c>
      <c r="FG12" s="639">
        <f>FF12*FH12</f>
        <v>124511.82479999999</v>
      </c>
      <c r="FH12" s="633">
        <v>0.88</v>
      </c>
      <c r="FI12" s="635"/>
      <c r="FJ12" s="636">
        <f>FI12/FF12</f>
        <v>0</v>
      </c>
      <c r="FK12" s="639">
        <v>130944.16</v>
      </c>
      <c r="FL12" s="639">
        <f>FK12*FM12</f>
        <v>115230.86080000001</v>
      </c>
      <c r="FM12" s="633">
        <v>0.88</v>
      </c>
      <c r="FN12" s="635"/>
      <c r="FO12" s="636">
        <f>FN12/FK12</f>
        <v>0</v>
      </c>
      <c r="FP12" s="639">
        <v>134128.51</v>
      </c>
      <c r="FQ12" s="639">
        <f>FP12*FR12</f>
        <v>123398.22920000002</v>
      </c>
      <c r="FR12" s="908">
        <v>0.92</v>
      </c>
      <c r="FS12" s="635"/>
      <c r="FT12" s="636">
        <f>FS12/FP12</f>
        <v>0</v>
      </c>
      <c r="FU12" s="661">
        <f>FQ12+FL12+FG12+FB12</f>
        <v>488358.67560000002</v>
      </c>
      <c r="FV12" s="661"/>
      <c r="FW12" s="663">
        <f>FS12+FN12+FD12+FI12</f>
        <v>0</v>
      </c>
      <c r="FX12" s="651">
        <f t="shared" si="7"/>
        <v>0</v>
      </c>
      <c r="FY12" s="645">
        <v>130880.26</v>
      </c>
      <c r="FZ12" s="639">
        <f>FY12*GA12</f>
        <v>124336.24699999999</v>
      </c>
      <c r="GA12" s="908">
        <v>0.95</v>
      </c>
      <c r="GB12" s="635"/>
      <c r="GC12" s="636">
        <f>GB12/FY12</f>
        <v>0</v>
      </c>
      <c r="GD12" s="639">
        <v>117966.75</v>
      </c>
      <c r="GE12" s="639">
        <f>GD12*GF12</f>
        <v>106170.075</v>
      </c>
      <c r="GF12" s="908">
        <v>0.9</v>
      </c>
      <c r="GG12" s="635"/>
      <c r="GH12" s="636">
        <f>GG12/GD12</f>
        <v>0</v>
      </c>
      <c r="GI12" s="639">
        <v>110216.25</v>
      </c>
      <c r="GJ12" s="639">
        <f>GI12*GK12</f>
        <v>108011.925</v>
      </c>
      <c r="GK12" s="908">
        <v>0.98</v>
      </c>
      <c r="GL12" s="635"/>
      <c r="GM12" s="636">
        <f>GL12/GI12</f>
        <v>0</v>
      </c>
      <c r="GN12" s="639">
        <v>105301.12</v>
      </c>
      <c r="GO12" s="639">
        <f>GN12*GP12</f>
        <v>103195.09759999999</v>
      </c>
      <c r="GP12" s="633">
        <v>0.98</v>
      </c>
      <c r="GQ12" s="635"/>
      <c r="GR12" s="636">
        <f>GQ12/GN12</f>
        <v>0</v>
      </c>
      <c r="GS12" s="661">
        <f>GO12+GJ12+GE12+FZ12</f>
        <v>441713.34459999995</v>
      </c>
      <c r="GT12" s="661"/>
      <c r="GU12" s="662">
        <f>GQ12+GL12+GB12+GG12</f>
        <v>0</v>
      </c>
      <c r="GV12" s="654">
        <f t="shared" si="8"/>
        <v>0</v>
      </c>
      <c r="GW12" s="645">
        <v>100737</v>
      </c>
      <c r="GX12" s="639">
        <f>GW12*GY12</f>
        <v>98722.26</v>
      </c>
      <c r="GY12" s="908">
        <v>0.98</v>
      </c>
      <c r="GZ12" s="635"/>
      <c r="HA12" s="636">
        <f>GZ12/GW12</f>
        <v>0</v>
      </c>
      <c r="HB12" s="639">
        <v>115518.02</v>
      </c>
      <c r="HC12" s="639">
        <f>HB12*HD12</f>
        <v>115518.02</v>
      </c>
      <c r="HD12" s="633">
        <v>1</v>
      </c>
      <c r="HE12" s="635"/>
      <c r="HF12" s="636">
        <f>HE12/HB12</f>
        <v>0</v>
      </c>
      <c r="HG12" s="639">
        <v>93146.72</v>
      </c>
      <c r="HH12" s="639">
        <f>HG12*HI12</f>
        <v>88489.383999999991</v>
      </c>
      <c r="HI12" s="908">
        <v>0.95</v>
      </c>
      <c r="HJ12" s="635"/>
      <c r="HK12" s="636">
        <f>HJ12/HG12</f>
        <v>0</v>
      </c>
      <c r="HL12" s="639">
        <v>88742.83</v>
      </c>
      <c r="HM12" s="639">
        <f>HL12*HN12</f>
        <v>86080.545100000003</v>
      </c>
      <c r="HN12" s="908">
        <v>0.97</v>
      </c>
      <c r="HO12" s="635"/>
      <c r="HP12" s="636">
        <f>HO12/HL12</f>
        <v>0</v>
      </c>
      <c r="HQ12" s="639">
        <v>102576.36</v>
      </c>
      <c r="HR12" s="639">
        <f>HQ12*HS12</f>
        <v>99499.069199999998</v>
      </c>
      <c r="HS12" s="908">
        <v>0.97</v>
      </c>
      <c r="HT12" s="635"/>
      <c r="HU12" s="636">
        <f>HT12/HQ12</f>
        <v>0</v>
      </c>
      <c r="HV12" s="661">
        <f>HR12+HM12+HH12+HC12+GX12</f>
        <v>488309.27830000001</v>
      </c>
      <c r="HW12" s="661"/>
      <c r="HX12" s="663">
        <f>HT12+HO12+HJ12+HE12+GZ12</f>
        <v>0</v>
      </c>
      <c r="HY12" s="651">
        <f t="shared" si="9"/>
        <v>0</v>
      </c>
      <c r="HZ12" s="645">
        <v>87984.3</v>
      </c>
      <c r="IA12" s="639">
        <f>HZ12*IB12</f>
        <v>85344.770999999993</v>
      </c>
      <c r="IB12" s="908">
        <v>0.97</v>
      </c>
      <c r="IC12" s="635"/>
      <c r="ID12" s="636">
        <f>IC12/HZ12</f>
        <v>0</v>
      </c>
      <c r="IE12" s="639">
        <v>98620.24</v>
      </c>
      <c r="IF12" s="639">
        <f>IE12*IG12</f>
        <v>94675.430399999997</v>
      </c>
      <c r="IG12" s="908">
        <v>0.96</v>
      </c>
      <c r="IH12" s="635"/>
      <c r="II12" s="636">
        <f>IH12/IE12</f>
        <v>0</v>
      </c>
      <c r="IJ12" s="639">
        <v>100208</v>
      </c>
      <c r="IK12" s="639">
        <f>IJ12*IL12</f>
        <v>99205.92</v>
      </c>
      <c r="IL12" s="908">
        <v>0.99</v>
      </c>
      <c r="IM12" s="635"/>
      <c r="IN12" s="636">
        <f>IM12/IJ12</f>
        <v>0</v>
      </c>
      <c r="IO12" s="639">
        <v>149655.66</v>
      </c>
      <c r="IP12" s="639">
        <f>IO12*IQ12</f>
        <v>143669.43359999999</v>
      </c>
      <c r="IQ12" s="908">
        <v>0.96</v>
      </c>
      <c r="IR12" s="635"/>
      <c r="IS12" s="636">
        <f>IR12/IO12</f>
        <v>0</v>
      </c>
      <c r="IT12" s="661">
        <f>IP12+IK12+IF12+IA12</f>
        <v>422895.55499999999</v>
      </c>
      <c r="IU12" s="661"/>
      <c r="IV12" s="662">
        <f>IC12+IH12+IM12+IR12</f>
        <v>0</v>
      </c>
      <c r="IW12" s="654">
        <f t="shared" si="10"/>
        <v>0</v>
      </c>
      <c r="IX12" s="645">
        <v>97796.49</v>
      </c>
      <c r="IY12" s="639">
        <f>IX12*IZ12</f>
        <v>94862.595300000001</v>
      </c>
      <c r="IZ12" s="908">
        <v>0.97</v>
      </c>
      <c r="JA12" s="635"/>
      <c r="JB12" s="636">
        <f>JA12/IX12</f>
        <v>0</v>
      </c>
      <c r="JC12" s="639">
        <v>139454.65</v>
      </c>
      <c r="JD12" s="639">
        <f>JC12*JE12</f>
        <v>131087.37099999998</v>
      </c>
      <c r="JE12" s="908">
        <v>0.94</v>
      </c>
      <c r="JF12" s="635"/>
      <c r="JG12" s="636">
        <f>JF12/JC12</f>
        <v>0</v>
      </c>
      <c r="JH12" s="639">
        <v>166259.6</v>
      </c>
      <c r="JI12" s="639">
        <f>JH12*JJ12</f>
        <v>157946.62</v>
      </c>
      <c r="JJ12" s="908">
        <v>0.95</v>
      </c>
      <c r="JK12" s="635"/>
      <c r="JL12" s="636">
        <f>JK12/JH12</f>
        <v>0</v>
      </c>
      <c r="JM12" s="639">
        <v>154907.73000000001</v>
      </c>
      <c r="JN12" s="639">
        <f>JM12*JO12</f>
        <v>147162.34350000002</v>
      </c>
      <c r="JO12" s="908">
        <v>0.95</v>
      </c>
      <c r="JP12" s="635"/>
      <c r="JQ12" s="636">
        <f>JP12/JM12</f>
        <v>0</v>
      </c>
      <c r="JR12" s="661">
        <f>JN12+JI12+JD12+IY12</f>
        <v>531058.92980000004</v>
      </c>
      <c r="JS12" s="661"/>
      <c r="JT12" s="663">
        <f>JP12+JK12+JA12+JF12</f>
        <v>0</v>
      </c>
      <c r="JU12" s="651">
        <f t="shared" si="11"/>
        <v>0</v>
      </c>
      <c r="JV12" s="645">
        <v>203343.71</v>
      </c>
      <c r="JW12" s="639">
        <f>JV12*JX12</f>
        <v>191143.08739999999</v>
      </c>
      <c r="JX12" s="908">
        <v>0.94</v>
      </c>
      <c r="JY12" s="635"/>
      <c r="JZ12" s="636">
        <f>JY12/JV12</f>
        <v>0</v>
      </c>
      <c r="KA12" s="639">
        <v>261941.07</v>
      </c>
      <c r="KB12" s="639">
        <f>KA12*KC12</f>
        <v>243605.19510000001</v>
      </c>
      <c r="KC12" s="908">
        <v>0.93</v>
      </c>
      <c r="KD12" s="635"/>
      <c r="KE12" s="636">
        <f>KD12/KA12</f>
        <v>0</v>
      </c>
      <c r="KF12" s="639">
        <v>353257.18</v>
      </c>
      <c r="KG12" s="639">
        <f>KF12*KH12</f>
        <v>328529.17739999999</v>
      </c>
      <c r="KH12" s="908">
        <v>0.93</v>
      </c>
      <c r="KI12" s="635"/>
      <c r="KJ12" s="636">
        <f>KI12/KF12</f>
        <v>0</v>
      </c>
      <c r="KK12" s="639">
        <v>320072.05</v>
      </c>
      <c r="KL12" s="639">
        <f>KK12*KM12</f>
        <v>297667.00650000002</v>
      </c>
      <c r="KM12" s="908">
        <v>0.93</v>
      </c>
      <c r="KN12" s="635"/>
      <c r="KO12" s="636">
        <f>KN12/KK12</f>
        <v>0</v>
      </c>
      <c r="KP12" s="639">
        <v>107792.5</v>
      </c>
      <c r="KQ12" s="639">
        <f>KP12*KR12</f>
        <v>102402.875</v>
      </c>
      <c r="KR12" s="908">
        <v>0.95</v>
      </c>
      <c r="KS12" s="635"/>
      <c r="KT12" s="636">
        <f>KS12/KP12</f>
        <v>0</v>
      </c>
      <c r="KU12" s="661">
        <f>KQ12+KL12+KG12+KB12+JW12</f>
        <v>1163347.3414</v>
      </c>
      <c r="KV12" s="661"/>
      <c r="KW12" s="662">
        <f>KS12+KN12+KI12+KD12+JY12</f>
        <v>0</v>
      </c>
      <c r="KX12" s="959">
        <f t="shared" si="12"/>
        <v>0</v>
      </c>
      <c r="KY12" s="894">
        <f>X12+AV12+BY12+CW12+DU12+EX12+FV12+GT12+HW12+IU12+JS12+KV12</f>
        <v>0</v>
      </c>
      <c r="KZ12" s="893">
        <f>Y12+AW12+BZ12+CX12+DV12+EY12+FW12+GU12+HX12+IV12+JT12+KW12</f>
        <v>0</v>
      </c>
      <c r="LA12" s="892">
        <f>KZ12-KY12</f>
        <v>0</v>
      </c>
      <c r="LB12" s="891">
        <f t="shared" si="13"/>
        <v>0</v>
      </c>
    </row>
    <row r="13" spans="1:314">
      <c r="A13" s="1495"/>
      <c r="B13" s="900" t="s">
        <v>476</v>
      </c>
      <c r="C13" s="645">
        <v>70997.960000000006</v>
      </c>
      <c r="D13" s="639">
        <f>C13*E13</f>
        <v>63188.184400000006</v>
      </c>
      <c r="E13" s="908">
        <v>0.89</v>
      </c>
      <c r="F13" s="635"/>
      <c r="G13" s="636">
        <f>F13/C13</f>
        <v>0</v>
      </c>
      <c r="H13" s="639">
        <v>57371.67</v>
      </c>
      <c r="I13" s="639">
        <f>H13*J13</f>
        <v>51060.7863</v>
      </c>
      <c r="J13" s="633">
        <v>0.89</v>
      </c>
      <c r="K13" s="635"/>
      <c r="L13" s="636">
        <f>K13/H13</f>
        <v>0</v>
      </c>
      <c r="M13" s="639">
        <v>57817.84</v>
      </c>
      <c r="N13" s="639">
        <f>M13*O13</f>
        <v>51457.8776</v>
      </c>
      <c r="O13" s="633">
        <v>0.89</v>
      </c>
      <c r="P13" s="635"/>
      <c r="Q13" s="636">
        <f>P13/M13</f>
        <v>0</v>
      </c>
      <c r="R13" s="639">
        <v>68623.45</v>
      </c>
      <c r="S13" s="639">
        <f>R13*T13</f>
        <v>61074.870499999997</v>
      </c>
      <c r="T13" s="633">
        <v>0.89</v>
      </c>
      <c r="U13" s="635"/>
      <c r="V13" s="636">
        <f>U13/R13</f>
        <v>0</v>
      </c>
      <c r="W13" s="639">
        <f>D13+I13+N13+S13</f>
        <v>226781.7188</v>
      </c>
      <c r="X13" s="639"/>
      <c r="Y13" s="666">
        <f>+F13+K13+P13+U13</f>
        <v>0</v>
      </c>
      <c r="Z13" s="646">
        <f t="shared" si="0"/>
        <v>0</v>
      </c>
      <c r="AA13" s="645">
        <v>66540.289999999994</v>
      </c>
      <c r="AB13" s="639">
        <f>AA13*AC13</f>
        <v>59220.858099999998</v>
      </c>
      <c r="AC13" s="633">
        <v>0.89</v>
      </c>
      <c r="AD13" s="635"/>
      <c r="AE13" s="636">
        <f>AD13/AA13</f>
        <v>0</v>
      </c>
      <c r="AF13" s="639">
        <v>83753.02</v>
      </c>
      <c r="AG13" s="639">
        <f>AF13*AH13</f>
        <v>73702.657600000006</v>
      </c>
      <c r="AH13" s="633">
        <v>0.88</v>
      </c>
      <c r="AI13" s="635"/>
      <c r="AJ13" s="636">
        <f>AI13/AF13</f>
        <v>0</v>
      </c>
      <c r="AK13" s="639">
        <v>60929.42</v>
      </c>
      <c r="AL13" s="639">
        <f>AK13*AM13</f>
        <v>55445.772199999999</v>
      </c>
      <c r="AM13" s="908">
        <v>0.91</v>
      </c>
      <c r="AN13" s="635"/>
      <c r="AO13" s="636">
        <f>AN13/AK13</f>
        <v>0</v>
      </c>
      <c r="AP13" s="639">
        <v>58574.02</v>
      </c>
      <c r="AQ13" s="639">
        <f>AP13*AR13</f>
        <v>52130.877799999995</v>
      </c>
      <c r="AR13" s="908">
        <v>0.89</v>
      </c>
      <c r="AS13" s="635"/>
      <c r="AT13" s="636">
        <f>AS13/AP13</f>
        <v>0</v>
      </c>
      <c r="AU13" s="639">
        <f>AB13+AG13+AL13+AQ13</f>
        <v>240500.16569999998</v>
      </c>
      <c r="AV13" s="896"/>
      <c r="AW13" s="895">
        <f>AD13+AI13++AN13+AS13</f>
        <v>0</v>
      </c>
      <c r="AX13" s="665">
        <f t="shared" si="1"/>
        <v>0</v>
      </c>
      <c r="AY13" s="645">
        <v>71064.84</v>
      </c>
      <c r="AZ13" s="639">
        <f>AY13*BA13</f>
        <v>63247.707599999994</v>
      </c>
      <c r="BA13" s="633">
        <v>0.89</v>
      </c>
      <c r="BB13" s="635"/>
      <c r="BC13" s="636">
        <f>BB13/AY13</f>
        <v>0</v>
      </c>
      <c r="BD13" s="639">
        <v>77797.350000000006</v>
      </c>
      <c r="BE13" s="639">
        <f>BD13*BF13</f>
        <v>69239.641500000012</v>
      </c>
      <c r="BF13" s="633">
        <v>0.89</v>
      </c>
      <c r="BG13" s="635"/>
      <c r="BH13" s="636">
        <f>BG13/BD13</f>
        <v>0</v>
      </c>
      <c r="BI13" s="639">
        <v>74376.17</v>
      </c>
      <c r="BJ13" s="639">
        <f>BI13*BK13</f>
        <v>66194.791299999997</v>
      </c>
      <c r="BK13" s="633">
        <v>0.89</v>
      </c>
      <c r="BL13" s="635"/>
      <c r="BM13" s="636">
        <f>BL13/BI13</f>
        <v>0</v>
      </c>
      <c r="BN13" s="639">
        <v>73929.14</v>
      </c>
      <c r="BO13" s="639">
        <f>BN13*BP13</f>
        <v>64318.351799999997</v>
      </c>
      <c r="BP13" s="908">
        <v>0.87</v>
      </c>
      <c r="BQ13" s="635"/>
      <c r="BR13" s="636">
        <f>BQ13/BN13</f>
        <v>0</v>
      </c>
      <c r="BS13" s="639">
        <v>87206.35</v>
      </c>
      <c r="BT13" s="639">
        <f>BS13*BU13</f>
        <v>77613.651500000007</v>
      </c>
      <c r="BU13" s="633">
        <v>0.89</v>
      </c>
      <c r="BV13" s="635"/>
      <c r="BW13" s="636">
        <f>BV13/BS13</f>
        <v>0</v>
      </c>
      <c r="BX13" s="661">
        <f>AZ13+BE13+BJ13+BO13+BT13</f>
        <v>340614.14370000002</v>
      </c>
      <c r="BY13" s="661"/>
      <c r="BZ13" s="663">
        <f>BV13+BQ13+BL13+BG13+BB13</f>
        <v>0</v>
      </c>
      <c r="CA13" s="651">
        <f t="shared" si="2"/>
        <v>0</v>
      </c>
      <c r="CB13" s="645">
        <v>90199.66</v>
      </c>
      <c r="CC13" s="639">
        <f>CB13*CD13</f>
        <v>80277.697400000005</v>
      </c>
      <c r="CD13" s="633">
        <v>0.89</v>
      </c>
      <c r="CE13" s="635"/>
      <c r="CF13" s="636">
        <f>CE13/CB13</f>
        <v>0</v>
      </c>
      <c r="CG13" s="639">
        <v>86978.98</v>
      </c>
      <c r="CH13" s="639">
        <f>CG13*CI13</f>
        <v>78281.081999999995</v>
      </c>
      <c r="CI13" s="908">
        <v>0.9</v>
      </c>
      <c r="CJ13" s="635"/>
      <c r="CK13" s="636">
        <f>CJ13/CG13</f>
        <v>0</v>
      </c>
      <c r="CL13" s="639">
        <v>82302.8</v>
      </c>
      <c r="CM13" s="639">
        <f>CL13*CN13</f>
        <v>74072.52</v>
      </c>
      <c r="CN13" s="633">
        <v>0.9</v>
      </c>
      <c r="CO13" s="635"/>
      <c r="CP13" s="636">
        <f>CO13/CL13</f>
        <v>0</v>
      </c>
      <c r="CQ13" s="639">
        <v>106222.58</v>
      </c>
      <c r="CR13" s="639">
        <f>CQ13*CS13</f>
        <v>96662.5478</v>
      </c>
      <c r="CS13" s="908">
        <v>0.91</v>
      </c>
      <c r="CT13" s="635"/>
      <c r="CU13" s="636">
        <f>CT13/CQ13</f>
        <v>0</v>
      </c>
      <c r="CV13" s="656">
        <f>CR13+CM13+CH13+CC13</f>
        <v>329293.84720000002</v>
      </c>
      <c r="CW13" s="656"/>
      <c r="CX13" s="657">
        <f>CT13+CO13+CE13+CJ13</f>
        <v>0</v>
      </c>
      <c r="CY13" s="654">
        <f t="shared" si="3"/>
        <v>0</v>
      </c>
      <c r="CZ13" s="645">
        <v>119414.52</v>
      </c>
      <c r="DA13" s="639">
        <f>CZ13*DB13</f>
        <v>106278.9228</v>
      </c>
      <c r="DB13" s="908">
        <v>0.89</v>
      </c>
      <c r="DC13" s="635"/>
      <c r="DD13" s="636">
        <f>DC13/CZ13</f>
        <v>0</v>
      </c>
      <c r="DE13" s="639">
        <v>96966.06</v>
      </c>
      <c r="DF13" s="639">
        <f>DE13*DG13</f>
        <v>86299.793399999995</v>
      </c>
      <c r="DG13" s="633">
        <v>0.89</v>
      </c>
      <c r="DH13" s="635"/>
      <c r="DI13" s="636">
        <f>DH13/DE13</f>
        <v>0</v>
      </c>
      <c r="DJ13" s="639">
        <v>90696.58</v>
      </c>
      <c r="DK13" s="639">
        <f>DJ13*DL13</f>
        <v>80719.956200000001</v>
      </c>
      <c r="DL13" s="633">
        <v>0.89</v>
      </c>
      <c r="DM13" s="635"/>
      <c r="DN13" s="636">
        <f>DM13/DJ13</f>
        <v>0</v>
      </c>
      <c r="DO13" s="639">
        <v>88928.08</v>
      </c>
      <c r="DP13" s="639">
        <f>DO13*DQ13</f>
        <v>80035.271999999997</v>
      </c>
      <c r="DQ13" s="908">
        <v>0.9</v>
      </c>
      <c r="DR13" s="635"/>
      <c r="DS13" s="636">
        <f>DR13/DO13</f>
        <v>0</v>
      </c>
      <c r="DT13" s="656">
        <f>DP13+DK13+DF13+DA13</f>
        <v>353333.94440000004</v>
      </c>
      <c r="DU13" s="656"/>
      <c r="DV13" s="657">
        <f>DR13+DM13+DC13+DH13</f>
        <v>0</v>
      </c>
      <c r="DW13" s="654">
        <f t="shared" si="4"/>
        <v>0</v>
      </c>
      <c r="DX13" s="645">
        <v>94904.85</v>
      </c>
      <c r="DY13" s="639">
        <f>DX13*DZ13</f>
        <v>84465.316500000001</v>
      </c>
      <c r="DZ13" s="633">
        <v>0.89</v>
      </c>
      <c r="EA13" s="907">
        <f>'Vtas Diarias 2022'!AAC14</f>
        <v>0</v>
      </c>
      <c r="EB13" s="636">
        <f>EA13/DX13</f>
        <v>0</v>
      </c>
      <c r="EC13" s="639">
        <v>89340.37</v>
      </c>
      <c r="ED13" s="639">
        <f>EC13*EE13</f>
        <v>77726.121899999998</v>
      </c>
      <c r="EE13" s="908">
        <v>0.87</v>
      </c>
      <c r="EF13" s="635"/>
      <c r="EG13" s="636">
        <f>EF13/EC13</f>
        <v>0</v>
      </c>
      <c r="EH13" s="639">
        <v>101201.98</v>
      </c>
      <c r="EI13" s="639">
        <f>EH13*EJ13</f>
        <v>90069.762199999997</v>
      </c>
      <c r="EJ13" s="633">
        <v>0.89</v>
      </c>
      <c r="EK13" s="635"/>
      <c r="EL13" s="636">
        <f>EK13/EH13</f>
        <v>0</v>
      </c>
      <c r="EM13" s="639">
        <v>103993.3</v>
      </c>
      <c r="EN13" s="639">
        <f>EM13*EO13</f>
        <v>96713.769000000015</v>
      </c>
      <c r="EO13" s="908">
        <v>0.93</v>
      </c>
      <c r="EP13" s="635"/>
      <c r="EQ13" s="636">
        <f>EP13/EM13</f>
        <v>0</v>
      </c>
      <c r="ER13" s="639">
        <v>91907.03</v>
      </c>
      <c r="ES13" s="639">
        <f>ER13*ET13</f>
        <v>85473.53790000001</v>
      </c>
      <c r="ET13" s="633">
        <v>0.93</v>
      </c>
      <c r="EU13" s="635"/>
      <c r="EV13" s="636">
        <f>EU13/ER13</f>
        <v>0</v>
      </c>
      <c r="EW13" s="661">
        <f>ES13+EN13+EI13+ED13+DY13</f>
        <v>434448.50750000001</v>
      </c>
      <c r="EX13" s="661"/>
      <c r="EY13" s="904">
        <f t="shared" si="5"/>
        <v>0</v>
      </c>
      <c r="EZ13" s="654">
        <f t="shared" si="6"/>
        <v>0</v>
      </c>
      <c r="FA13" s="645">
        <v>91166.17</v>
      </c>
      <c r="FB13" s="639">
        <f>FA13*FC13</f>
        <v>80226.229600000006</v>
      </c>
      <c r="FC13" s="908">
        <v>0.88</v>
      </c>
      <c r="FD13" s="635"/>
      <c r="FE13" s="636">
        <f>FD13/FA13</f>
        <v>0</v>
      </c>
      <c r="FF13" s="639">
        <v>80343.92</v>
      </c>
      <c r="FG13" s="639">
        <f>FF13*FH13</f>
        <v>70702.649600000004</v>
      </c>
      <c r="FH13" s="633">
        <v>0.88</v>
      </c>
      <c r="FI13" s="635"/>
      <c r="FJ13" s="636">
        <f>FI13/FF13</f>
        <v>0</v>
      </c>
      <c r="FK13" s="639">
        <v>73076.92</v>
      </c>
      <c r="FL13" s="639">
        <f>FK13*FM13</f>
        <v>64307.689599999998</v>
      </c>
      <c r="FM13" s="633">
        <v>0.88</v>
      </c>
      <c r="FN13" s="635"/>
      <c r="FO13" s="636">
        <f>FN13/FK13</f>
        <v>0</v>
      </c>
      <c r="FP13" s="639">
        <v>88139.73</v>
      </c>
      <c r="FQ13" s="639">
        <f>FP13*FR13</f>
        <v>81088.551600000006</v>
      </c>
      <c r="FR13" s="908">
        <v>0.92</v>
      </c>
      <c r="FS13" s="635"/>
      <c r="FT13" s="636">
        <f>FS13/FP13</f>
        <v>0</v>
      </c>
      <c r="FU13" s="661">
        <f>FQ13+FL13+FG13+FB13</f>
        <v>296325.12040000001</v>
      </c>
      <c r="FV13" s="661"/>
      <c r="FW13" s="663">
        <f>FS13+FN13+FD13+FI13</f>
        <v>0</v>
      </c>
      <c r="FX13" s="651">
        <f t="shared" si="7"/>
        <v>0</v>
      </c>
      <c r="FY13" s="645">
        <v>66486.25</v>
      </c>
      <c r="FZ13" s="639">
        <f>FY13*GA13</f>
        <v>63161.9375</v>
      </c>
      <c r="GA13" s="908">
        <v>0.95</v>
      </c>
      <c r="GB13" s="635"/>
      <c r="GC13" s="636">
        <f>GB13/FY13</f>
        <v>0</v>
      </c>
      <c r="GD13" s="639">
        <v>72966.14</v>
      </c>
      <c r="GE13" s="639">
        <f>GD13*GF13</f>
        <v>65669.525999999998</v>
      </c>
      <c r="GF13" s="908">
        <v>0.9</v>
      </c>
      <c r="GG13" s="635"/>
      <c r="GH13" s="636">
        <f>GG13/GD13</f>
        <v>0</v>
      </c>
      <c r="GI13" s="639">
        <v>68853.960000000006</v>
      </c>
      <c r="GJ13" s="639">
        <f>GI13*GK13</f>
        <v>67476.880799999999</v>
      </c>
      <c r="GK13" s="908">
        <v>0.98</v>
      </c>
      <c r="GL13" s="635"/>
      <c r="GM13" s="636">
        <f>GL13/GI13</f>
        <v>0</v>
      </c>
      <c r="GN13" s="639">
        <v>73721.2</v>
      </c>
      <c r="GO13" s="639">
        <f>GN13*GP13</f>
        <v>72246.775999999998</v>
      </c>
      <c r="GP13" s="633">
        <v>0.98</v>
      </c>
      <c r="GQ13" s="635"/>
      <c r="GR13" s="636">
        <f>GQ13/GN13</f>
        <v>0</v>
      </c>
      <c r="GS13" s="661">
        <f>GO13+GJ13+GE13+FZ13</f>
        <v>268555.12030000001</v>
      </c>
      <c r="GT13" s="661"/>
      <c r="GU13" s="662">
        <f>GQ13+GL13+GB13+GG13</f>
        <v>0</v>
      </c>
      <c r="GV13" s="654">
        <f t="shared" si="8"/>
        <v>0</v>
      </c>
      <c r="GW13" s="645">
        <v>70834</v>
      </c>
      <c r="GX13" s="639">
        <f>GW13*GY13</f>
        <v>69417.319999999992</v>
      </c>
      <c r="GY13" s="908">
        <v>0.98</v>
      </c>
      <c r="GZ13" s="635"/>
      <c r="HA13" s="636">
        <f>GZ13/GW13</f>
        <v>0</v>
      </c>
      <c r="HB13" s="639">
        <v>66467.94</v>
      </c>
      <c r="HC13" s="639">
        <f>HB13*HD13</f>
        <v>66467.94</v>
      </c>
      <c r="HD13" s="633">
        <v>1</v>
      </c>
      <c r="HE13" s="635"/>
      <c r="HF13" s="636">
        <f>HE13/HB13</f>
        <v>0</v>
      </c>
      <c r="HG13" s="639">
        <v>95920.49</v>
      </c>
      <c r="HH13" s="639">
        <f>HG13*HI13</f>
        <v>91124.465500000006</v>
      </c>
      <c r="HI13" s="908">
        <v>0.95</v>
      </c>
      <c r="HJ13" s="635"/>
      <c r="HK13" s="636">
        <f>HJ13/HG13</f>
        <v>0</v>
      </c>
      <c r="HL13" s="639">
        <v>78908.34</v>
      </c>
      <c r="HM13" s="639">
        <f>HL13*HN13</f>
        <v>76541.089800000002</v>
      </c>
      <c r="HN13" s="908">
        <v>0.97</v>
      </c>
      <c r="HO13" s="635"/>
      <c r="HP13" s="636">
        <f>HO13/HL13</f>
        <v>0</v>
      </c>
      <c r="HQ13" s="639">
        <v>78367.070000000007</v>
      </c>
      <c r="HR13" s="639">
        <f>HQ13*HS13</f>
        <v>76016.0579</v>
      </c>
      <c r="HS13" s="908">
        <v>0.97</v>
      </c>
      <c r="HT13" s="635"/>
      <c r="HU13" s="636">
        <f>HT13/HQ13</f>
        <v>0</v>
      </c>
      <c r="HV13" s="661">
        <f>HR13+HM13+HH13+HC13+GX13</f>
        <v>379566.87320000003</v>
      </c>
      <c r="HW13" s="661"/>
      <c r="HX13" s="663">
        <f>HT13+HO13+HJ13+HE13+GZ13</f>
        <v>0</v>
      </c>
      <c r="HY13" s="651">
        <f t="shared" si="9"/>
        <v>0</v>
      </c>
      <c r="HZ13" s="645">
        <v>77097.94</v>
      </c>
      <c r="IA13" s="639">
        <f>HZ13*IB13</f>
        <v>74785.001799999998</v>
      </c>
      <c r="IB13" s="908">
        <v>0.97</v>
      </c>
      <c r="IC13" s="635"/>
      <c r="ID13" s="636">
        <f>IC13/HZ13</f>
        <v>0</v>
      </c>
      <c r="IE13" s="639">
        <v>95947.13</v>
      </c>
      <c r="IF13" s="639">
        <f>IE13*IG13</f>
        <v>92109.2448</v>
      </c>
      <c r="IG13" s="908">
        <v>0.96</v>
      </c>
      <c r="IH13" s="635"/>
      <c r="II13" s="636">
        <f>IH13/IE13</f>
        <v>0</v>
      </c>
      <c r="IJ13" s="639">
        <v>110828.49</v>
      </c>
      <c r="IK13" s="639">
        <f>IJ13*IL13</f>
        <v>109720.20510000001</v>
      </c>
      <c r="IL13" s="908">
        <v>0.99</v>
      </c>
      <c r="IM13" s="635"/>
      <c r="IN13" s="636">
        <f>IM13/IJ13</f>
        <v>0</v>
      </c>
      <c r="IO13" s="639">
        <v>104557.95</v>
      </c>
      <c r="IP13" s="639">
        <f>IO13*IQ13</f>
        <v>100375.632</v>
      </c>
      <c r="IQ13" s="908">
        <v>0.96</v>
      </c>
      <c r="IR13" s="635"/>
      <c r="IS13" s="636">
        <f>IR13/IO13</f>
        <v>0</v>
      </c>
      <c r="IT13" s="661">
        <f>IP13+IK13+IF13+IA13</f>
        <v>376990.08369999996</v>
      </c>
      <c r="IU13" s="661"/>
      <c r="IV13" s="662">
        <f>IC13+IH13+IM13+IR13</f>
        <v>0</v>
      </c>
      <c r="IW13" s="654">
        <f t="shared" si="10"/>
        <v>0</v>
      </c>
      <c r="IX13" s="645">
        <v>65736.149999999994</v>
      </c>
      <c r="IY13" s="639">
        <f>IX13*IZ13</f>
        <v>63764.06549999999</v>
      </c>
      <c r="IZ13" s="908">
        <v>0.97</v>
      </c>
      <c r="JA13" s="635"/>
      <c r="JB13" s="636">
        <f>JA13/IX13</f>
        <v>0</v>
      </c>
      <c r="JC13" s="639">
        <v>83021.17</v>
      </c>
      <c r="JD13" s="639">
        <f>JC13*JE13</f>
        <v>78039.899799999999</v>
      </c>
      <c r="JE13" s="908">
        <v>0.94</v>
      </c>
      <c r="JF13" s="635"/>
      <c r="JG13" s="636">
        <f>JF13/JC13</f>
        <v>0</v>
      </c>
      <c r="JH13" s="639">
        <v>108777.69</v>
      </c>
      <c r="JI13" s="639">
        <f>JH13*JJ13</f>
        <v>103338.8055</v>
      </c>
      <c r="JJ13" s="908">
        <v>0.95</v>
      </c>
      <c r="JK13" s="635"/>
      <c r="JL13" s="636">
        <f>JK13/JH13</f>
        <v>0</v>
      </c>
      <c r="JM13" s="639">
        <v>112940.71</v>
      </c>
      <c r="JN13" s="639">
        <f>JM13*JO13</f>
        <v>107293.67450000001</v>
      </c>
      <c r="JO13" s="908">
        <v>0.95</v>
      </c>
      <c r="JP13" s="635"/>
      <c r="JQ13" s="636">
        <f>JP13/JM13</f>
        <v>0</v>
      </c>
      <c r="JR13" s="661">
        <f>JN13+JI13+JD13+IY13</f>
        <v>352436.44529999996</v>
      </c>
      <c r="JS13" s="661"/>
      <c r="JT13" s="663">
        <f>JP13+JK13+JA13+JF13</f>
        <v>0</v>
      </c>
      <c r="JU13" s="651">
        <f t="shared" si="11"/>
        <v>0</v>
      </c>
      <c r="JV13" s="645">
        <v>128248.59</v>
      </c>
      <c r="JW13" s="639">
        <f>JV13*JX13</f>
        <v>120553.67459999998</v>
      </c>
      <c r="JX13" s="908">
        <v>0.94</v>
      </c>
      <c r="JY13" s="635"/>
      <c r="JZ13" s="636">
        <f>JY13/JV13</f>
        <v>0</v>
      </c>
      <c r="KA13" s="639">
        <v>180081.08</v>
      </c>
      <c r="KB13" s="639">
        <f>KA13*KC13</f>
        <v>167475.4044</v>
      </c>
      <c r="KC13" s="908">
        <v>0.93</v>
      </c>
      <c r="KD13" s="635"/>
      <c r="KE13" s="636">
        <f>KD13/KA13</f>
        <v>0</v>
      </c>
      <c r="KF13" s="639">
        <v>231869.45</v>
      </c>
      <c r="KG13" s="639">
        <f>KF13*KH13</f>
        <v>215638.58850000001</v>
      </c>
      <c r="KH13" s="908">
        <v>0.93</v>
      </c>
      <c r="KI13" s="635"/>
      <c r="KJ13" s="636">
        <f>KI13/KF13</f>
        <v>0</v>
      </c>
      <c r="KK13" s="639">
        <v>226983.42</v>
      </c>
      <c r="KL13" s="639">
        <f>KK13*KM13</f>
        <v>211094.58060000002</v>
      </c>
      <c r="KM13" s="908">
        <v>0.93</v>
      </c>
      <c r="KN13" s="635"/>
      <c r="KO13" s="636">
        <f>KN13/KK13</f>
        <v>0</v>
      </c>
      <c r="KP13" s="639">
        <v>64920.2</v>
      </c>
      <c r="KQ13" s="639">
        <f>KP13*KR13</f>
        <v>61674.189999999995</v>
      </c>
      <c r="KR13" s="908">
        <v>0.95</v>
      </c>
      <c r="KS13" s="635"/>
      <c r="KT13" s="636">
        <f>KS13/KP13</f>
        <v>0</v>
      </c>
      <c r="KU13" s="661">
        <f>KQ13+KL13+KG13+KB13+JW13</f>
        <v>776436.43810000003</v>
      </c>
      <c r="KV13" s="661"/>
      <c r="KW13" s="662">
        <f>KS13+KN13+KI13+KD13+JY13</f>
        <v>0</v>
      </c>
      <c r="KX13" s="959">
        <f t="shared" si="12"/>
        <v>0</v>
      </c>
      <c r="KY13" s="894">
        <f>X13+AV13+BY13+CW13+DU13+EX13+FV13+GT13+HW13+IU13+JS13+KV13</f>
        <v>0</v>
      </c>
      <c r="KZ13" s="893">
        <f>Y13+AW13+BZ13+CX13+DV13+EY13+FW13+GU13+HX13+IV13+JT13+KW13</f>
        <v>0</v>
      </c>
      <c r="LA13" s="892">
        <f>KZ13-KY13</f>
        <v>0</v>
      </c>
      <c r="LB13" s="891">
        <f t="shared" si="13"/>
        <v>0</v>
      </c>
    </row>
    <row r="14" spans="1:314">
      <c r="A14" s="1495"/>
      <c r="B14" s="900" t="s">
        <v>17</v>
      </c>
      <c r="C14" s="645">
        <v>106311.15</v>
      </c>
      <c r="D14" s="639">
        <f>C14*E14</f>
        <v>95680.035000000003</v>
      </c>
      <c r="E14" s="908">
        <v>0.9</v>
      </c>
      <c r="F14" s="635"/>
      <c r="G14" s="636">
        <f>F14/C14</f>
        <v>0</v>
      </c>
      <c r="H14" s="639">
        <v>100008.3</v>
      </c>
      <c r="I14" s="639">
        <f>H14*J14</f>
        <v>90007.47</v>
      </c>
      <c r="J14" s="633">
        <v>0.9</v>
      </c>
      <c r="K14" s="635"/>
      <c r="L14" s="636">
        <f>K14/H14</f>
        <v>0</v>
      </c>
      <c r="M14" s="639">
        <v>105126.13</v>
      </c>
      <c r="N14" s="639">
        <f>M14*O14</f>
        <v>94613.517000000007</v>
      </c>
      <c r="O14" s="633">
        <v>0.9</v>
      </c>
      <c r="P14" s="635"/>
      <c r="Q14" s="636">
        <f>P14/M14</f>
        <v>0</v>
      </c>
      <c r="R14" s="639">
        <v>107017.87</v>
      </c>
      <c r="S14" s="639">
        <f>R14*T14</f>
        <v>96316.082999999999</v>
      </c>
      <c r="T14" s="633">
        <v>0.9</v>
      </c>
      <c r="U14" s="635"/>
      <c r="V14" s="636">
        <f>U14/R14</f>
        <v>0</v>
      </c>
      <c r="W14" s="639">
        <f>D14+I14+N14+S14</f>
        <v>376617.10499999998</v>
      </c>
      <c r="X14" s="639"/>
      <c r="Y14" s="666">
        <f>+F14+K14+P14+U14</f>
        <v>0</v>
      </c>
      <c r="Z14" s="646">
        <f t="shared" si="0"/>
        <v>0</v>
      </c>
      <c r="AA14" s="645">
        <v>126743.57</v>
      </c>
      <c r="AB14" s="639">
        <f>AA14*AC14</f>
        <v>114069.213</v>
      </c>
      <c r="AC14" s="633">
        <v>0.9</v>
      </c>
      <c r="AD14" s="635"/>
      <c r="AE14" s="636">
        <f>AD14/AA14</f>
        <v>0</v>
      </c>
      <c r="AF14" s="639">
        <v>170553.65</v>
      </c>
      <c r="AG14" s="639">
        <f>AF14*AH14</f>
        <v>153498.285</v>
      </c>
      <c r="AH14" s="633">
        <v>0.9</v>
      </c>
      <c r="AI14" s="635"/>
      <c r="AJ14" s="636">
        <f>AI14/AF14</f>
        <v>0</v>
      </c>
      <c r="AK14" s="639">
        <v>98038.63</v>
      </c>
      <c r="AL14" s="639">
        <f>AK14*AM14</f>
        <v>93136.698499999999</v>
      </c>
      <c r="AM14" s="633">
        <v>0.95</v>
      </c>
      <c r="AN14" s="635"/>
      <c r="AO14" s="636">
        <f>AN14/AK14</f>
        <v>0</v>
      </c>
      <c r="AP14" s="639">
        <v>132708.14000000001</v>
      </c>
      <c r="AQ14" s="639">
        <f>AP14*AR14</f>
        <v>122091.48880000002</v>
      </c>
      <c r="AR14" s="633">
        <v>0.92</v>
      </c>
      <c r="AS14" s="635"/>
      <c r="AT14" s="636">
        <f>AS14/AP14</f>
        <v>0</v>
      </c>
      <c r="AU14" s="639">
        <f>AB14+AG14+AL14+AQ14</f>
        <v>482795.68530000001</v>
      </c>
      <c r="AV14" s="896"/>
      <c r="AW14" s="895">
        <f>AD14+AI14++AN14+AS14</f>
        <v>0</v>
      </c>
      <c r="AX14" s="665">
        <f t="shared" si="1"/>
        <v>0</v>
      </c>
      <c r="AY14" s="645">
        <v>122200.13</v>
      </c>
      <c r="AZ14" s="639">
        <f>AY14*BA14</f>
        <v>112424.11960000001</v>
      </c>
      <c r="BA14" s="633">
        <v>0.92</v>
      </c>
      <c r="BB14" s="635"/>
      <c r="BC14" s="636">
        <f>BB14/AY14</f>
        <v>0</v>
      </c>
      <c r="BD14" s="639">
        <v>127416.55</v>
      </c>
      <c r="BE14" s="639">
        <f>BD14*BF14</f>
        <v>117223.22600000001</v>
      </c>
      <c r="BF14" s="633">
        <v>0.92</v>
      </c>
      <c r="BG14" s="635"/>
      <c r="BH14" s="636">
        <f>BG14/BD14</f>
        <v>0</v>
      </c>
      <c r="BI14" s="639">
        <v>145283.23000000001</v>
      </c>
      <c r="BJ14" s="639">
        <f>BI14*BK14</f>
        <v>133660.57160000002</v>
      </c>
      <c r="BK14" s="633">
        <v>0.92</v>
      </c>
      <c r="BL14" s="635"/>
      <c r="BM14" s="636">
        <f>BL14/BI14</f>
        <v>0</v>
      </c>
      <c r="BN14" s="639">
        <v>161472.4</v>
      </c>
      <c r="BO14" s="639">
        <f>BN14*BP14</f>
        <v>148554.60800000001</v>
      </c>
      <c r="BP14" s="633">
        <v>0.92</v>
      </c>
      <c r="BQ14" s="635"/>
      <c r="BR14" s="636">
        <f>BQ14/BN14</f>
        <v>0</v>
      </c>
      <c r="BS14" s="639">
        <v>131803.97</v>
      </c>
      <c r="BT14" s="639">
        <f>BS14*BU14</f>
        <v>121259.65240000001</v>
      </c>
      <c r="BU14" s="633">
        <v>0.92</v>
      </c>
      <c r="BV14" s="635"/>
      <c r="BW14" s="636">
        <f>BV14/BS14</f>
        <v>0</v>
      </c>
      <c r="BX14" s="661">
        <f>AZ14+BE14+BJ14+BO14+BT14</f>
        <v>633122.17760000005</v>
      </c>
      <c r="BY14" s="661"/>
      <c r="BZ14" s="663">
        <f>BV14+BQ14+BL14+BG14+BB14</f>
        <v>0</v>
      </c>
      <c r="CA14" s="651">
        <f t="shared" si="2"/>
        <v>0</v>
      </c>
      <c r="CB14" s="645">
        <v>146884.56</v>
      </c>
      <c r="CC14" s="639">
        <f>CB14*CD14</f>
        <v>135133.79519999999</v>
      </c>
      <c r="CD14" s="633">
        <v>0.92</v>
      </c>
      <c r="CE14" s="635"/>
      <c r="CF14" s="636">
        <f>CE14/CB14</f>
        <v>0</v>
      </c>
      <c r="CG14" s="639">
        <v>169188.59</v>
      </c>
      <c r="CH14" s="639">
        <f>CG14*CI14</f>
        <v>160729.1605</v>
      </c>
      <c r="CI14" s="633">
        <v>0.95</v>
      </c>
      <c r="CJ14" s="635"/>
      <c r="CK14" s="636">
        <f>CJ14/CG14</f>
        <v>0</v>
      </c>
      <c r="CL14" s="639">
        <v>162191.96</v>
      </c>
      <c r="CM14" s="639">
        <f>CL14*CN14</f>
        <v>154082.36199999999</v>
      </c>
      <c r="CN14" s="633">
        <v>0.95</v>
      </c>
      <c r="CO14" s="635"/>
      <c r="CP14" s="636">
        <f>CO14/CL14</f>
        <v>0</v>
      </c>
      <c r="CQ14" s="639">
        <v>220777.25</v>
      </c>
      <c r="CR14" s="639">
        <f>CQ14*CS14</f>
        <v>209738.38749999998</v>
      </c>
      <c r="CS14" s="633">
        <v>0.95</v>
      </c>
      <c r="CT14" s="635"/>
      <c r="CU14" s="636">
        <f>CT14/CQ14</f>
        <v>0</v>
      </c>
      <c r="CV14" s="656">
        <f>CR14+CM14+CH14+CC14</f>
        <v>659683.70519999997</v>
      </c>
      <c r="CW14" s="656"/>
      <c r="CX14" s="657">
        <f>CT14+CO14+CE14+CJ14</f>
        <v>0</v>
      </c>
      <c r="CY14" s="654">
        <f t="shared" si="3"/>
        <v>0</v>
      </c>
      <c r="CZ14" s="645">
        <v>264137.76</v>
      </c>
      <c r="DA14" s="639">
        <f>CZ14*DB14</f>
        <v>237723.98400000003</v>
      </c>
      <c r="DB14" s="908">
        <v>0.9</v>
      </c>
      <c r="DC14" s="635"/>
      <c r="DD14" s="636">
        <f>DC14/CZ14</f>
        <v>0</v>
      </c>
      <c r="DE14" s="639">
        <v>156508.62</v>
      </c>
      <c r="DF14" s="639">
        <f>DE14*DG14</f>
        <v>148683.18899999998</v>
      </c>
      <c r="DG14" s="633">
        <v>0.95</v>
      </c>
      <c r="DH14" s="635"/>
      <c r="DI14" s="636">
        <f>DH14/DE14</f>
        <v>0</v>
      </c>
      <c r="DJ14" s="639">
        <v>174479.42</v>
      </c>
      <c r="DK14" s="639">
        <f>DJ14*DL14</f>
        <v>157031.478</v>
      </c>
      <c r="DL14" s="633">
        <v>0.9</v>
      </c>
      <c r="DM14" s="635"/>
      <c r="DN14" s="636">
        <f>DM14/DJ14</f>
        <v>0</v>
      </c>
      <c r="DO14" s="639">
        <v>143149.32999999999</v>
      </c>
      <c r="DP14" s="639">
        <f>DO14*DQ14</f>
        <v>135991.86349999998</v>
      </c>
      <c r="DQ14" s="633">
        <v>0.95</v>
      </c>
      <c r="DR14" s="635"/>
      <c r="DS14" s="636">
        <f>DR14/DO14</f>
        <v>0</v>
      </c>
      <c r="DT14" s="656">
        <f>DP14+DK14+DF14+DA14</f>
        <v>679430.51450000005</v>
      </c>
      <c r="DU14" s="656"/>
      <c r="DV14" s="657">
        <f>DR14+DM14+DC14+DH14</f>
        <v>0</v>
      </c>
      <c r="DW14" s="654">
        <f t="shared" si="4"/>
        <v>0</v>
      </c>
      <c r="DX14" s="645">
        <v>151563.57999999999</v>
      </c>
      <c r="DY14" s="639">
        <f>DX14*DZ14</f>
        <v>136407.22199999998</v>
      </c>
      <c r="DZ14" s="633">
        <v>0.9</v>
      </c>
      <c r="EA14" s="907">
        <f>'Vtas Diarias 2022'!AAC15</f>
        <v>0</v>
      </c>
      <c r="EB14" s="636">
        <f>EA14/DX14</f>
        <v>0</v>
      </c>
      <c r="EC14" s="639">
        <v>189458.56</v>
      </c>
      <c r="ED14" s="639">
        <f>EC14*EE14</f>
        <v>170512.704</v>
      </c>
      <c r="EE14" s="633">
        <v>0.9</v>
      </c>
      <c r="EF14" s="635"/>
      <c r="EG14" s="636">
        <f>EF14/EC14</f>
        <v>0</v>
      </c>
      <c r="EH14" s="639">
        <v>196592.15</v>
      </c>
      <c r="EI14" s="639">
        <f>EH14*EJ14</f>
        <v>176932.935</v>
      </c>
      <c r="EJ14" s="633">
        <v>0.9</v>
      </c>
      <c r="EK14" s="635"/>
      <c r="EL14" s="636">
        <f>EK14/EH14</f>
        <v>0</v>
      </c>
      <c r="EM14" s="639">
        <v>195778.36</v>
      </c>
      <c r="EN14" s="639">
        <f>EM14*EO14</f>
        <v>185989.44199999998</v>
      </c>
      <c r="EO14" s="633">
        <v>0.95</v>
      </c>
      <c r="EP14" s="635"/>
      <c r="EQ14" s="636">
        <f>EP14/EM14</f>
        <v>0</v>
      </c>
      <c r="ER14" s="639">
        <v>194223.96</v>
      </c>
      <c r="ES14" s="639">
        <f>ER14*ET14</f>
        <v>186455.00159999999</v>
      </c>
      <c r="ET14" s="633">
        <v>0.96</v>
      </c>
      <c r="EU14" s="635"/>
      <c r="EV14" s="636">
        <f>EU14/ER14</f>
        <v>0</v>
      </c>
      <c r="EW14" s="661">
        <f>ES14+EN14+EI14+ED14+DY14</f>
        <v>856297.30459999992</v>
      </c>
      <c r="EX14" s="661"/>
      <c r="EY14" s="904">
        <f t="shared" si="5"/>
        <v>0</v>
      </c>
      <c r="EZ14" s="654">
        <f t="shared" si="6"/>
        <v>0</v>
      </c>
      <c r="FA14" s="645">
        <v>188053.64</v>
      </c>
      <c r="FB14" s="639">
        <f>FA14*FC14</f>
        <v>165487.20320000002</v>
      </c>
      <c r="FC14" s="908">
        <v>0.88</v>
      </c>
      <c r="FD14" s="635"/>
      <c r="FE14" s="636">
        <f>FD14/FA14</f>
        <v>0</v>
      </c>
      <c r="FF14" s="639">
        <v>167766.63</v>
      </c>
      <c r="FG14" s="639">
        <f>FF14*FH14</f>
        <v>150989.967</v>
      </c>
      <c r="FH14" s="633">
        <v>0.9</v>
      </c>
      <c r="FI14" s="635"/>
      <c r="FJ14" s="636">
        <f>FI14/FF14</f>
        <v>0</v>
      </c>
      <c r="FK14" s="639">
        <v>171473.74</v>
      </c>
      <c r="FL14" s="639">
        <f>FK14*FM14</f>
        <v>154326.36600000001</v>
      </c>
      <c r="FM14" s="633">
        <v>0.9</v>
      </c>
      <c r="FN14" s="635"/>
      <c r="FO14" s="636">
        <f>FN14/FK14</f>
        <v>0</v>
      </c>
      <c r="FP14" s="639">
        <v>182784.66</v>
      </c>
      <c r="FQ14" s="639">
        <f>FP14*FR14</f>
        <v>175473.27359999999</v>
      </c>
      <c r="FR14" s="908">
        <v>0.96</v>
      </c>
      <c r="FS14" s="635"/>
      <c r="FT14" s="636">
        <f>FS14/FP14</f>
        <v>0</v>
      </c>
      <c r="FU14" s="661">
        <f>FQ14+FL14+FG14+FB14</f>
        <v>646276.80980000005</v>
      </c>
      <c r="FV14" s="661"/>
      <c r="FW14" s="663">
        <f>FS14+FN14+FD14+FI14</f>
        <v>0</v>
      </c>
      <c r="FX14" s="651">
        <f t="shared" si="7"/>
        <v>0</v>
      </c>
      <c r="FY14" s="645">
        <v>148383.93</v>
      </c>
      <c r="FZ14" s="639">
        <f>FY14*GA14</f>
        <v>145416.25139999998</v>
      </c>
      <c r="GA14" s="633">
        <v>0.98</v>
      </c>
      <c r="GB14" s="635"/>
      <c r="GC14" s="636">
        <f>GB14/FY14</f>
        <v>0</v>
      </c>
      <c r="GD14" s="639">
        <v>170185.27</v>
      </c>
      <c r="GE14" s="639">
        <f>GD14*GF14</f>
        <v>158272.30110000001</v>
      </c>
      <c r="GF14" s="633">
        <v>0.93</v>
      </c>
      <c r="GG14" s="635"/>
      <c r="GH14" s="636">
        <f>GG14/GD14</f>
        <v>0</v>
      </c>
      <c r="GI14" s="639">
        <v>172363.79</v>
      </c>
      <c r="GJ14" s="639">
        <f>GI14*GK14</f>
        <v>172363.79</v>
      </c>
      <c r="GK14" s="633">
        <v>1</v>
      </c>
      <c r="GL14" s="635"/>
      <c r="GM14" s="636">
        <f>GL14/GI14</f>
        <v>0</v>
      </c>
      <c r="GN14" s="639">
        <v>159536.66</v>
      </c>
      <c r="GO14" s="639">
        <f>GN14*GP14</f>
        <v>156345.92679999999</v>
      </c>
      <c r="GP14" s="633">
        <v>0.98</v>
      </c>
      <c r="GQ14" s="635"/>
      <c r="GR14" s="636">
        <f>GQ14/GN14</f>
        <v>0</v>
      </c>
      <c r="GS14" s="661">
        <f>GO14+GJ14+GE14+FZ14</f>
        <v>632398.26929999993</v>
      </c>
      <c r="GT14" s="661"/>
      <c r="GU14" s="662">
        <f>GQ14+GL14+GB14+GG14</f>
        <v>0</v>
      </c>
      <c r="GV14" s="654">
        <f t="shared" si="8"/>
        <v>0</v>
      </c>
      <c r="GW14" s="645">
        <v>158832</v>
      </c>
      <c r="GX14" s="639">
        <f>GW14*GY14</f>
        <v>158832</v>
      </c>
      <c r="GY14" s="633">
        <v>1</v>
      </c>
      <c r="GZ14" s="635"/>
      <c r="HA14" s="636">
        <f>GZ14/GW14</f>
        <v>0</v>
      </c>
      <c r="HB14" s="639">
        <v>141963.26</v>
      </c>
      <c r="HC14" s="639">
        <f>HB14*HD14</f>
        <v>141963.26</v>
      </c>
      <c r="HD14" s="633">
        <v>1</v>
      </c>
      <c r="HE14" s="635"/>
      <c r="HF14" s="636">
        <f>HE14/HB14</f>
        <v>0</v>
      </c>
      <c r="HG14" s="639">
        <v>133017.35</v>
      </c>
      <c r="HH14" s="639">
        <f>HG14*HI14</f>
        <v>133017.35</v>
      </c>
      <c r="HI14" s="633">
        <v>1</v>
      </c>
      <c r="HJ14" s="635"/>
      <c r="HK14" s="636">
        <f>HJ14/HG14</f>
        <v>0</v>
      </c>
      <c r="HL14" s="639">
        <v>133351.43</v>
      </c>
      <c r="HM14" s="639">
        <f>HL14*HN14</f>
        <v>133351.43</v>
      </c>
      <c r="HN14" s="633">
        <v>1</v>
      </c>
      <c r="HO14" s="635"/>
      <c r="HP14" s="636">
        <f>HO14/HL14</f>
        <v>0</v>
      </c>
      <c r="HQ14" s="639">
        <v>149254.29999999999</v>
      </c>
      <c r="HR14" s="639">
        <f>HQ14*HS14</f>
        <v>149254.29999999999</v>
      </c>
      <c r="HS14" s="633">
        <v>1</v>
      </c>
      <c r="HT14" s="635"/>
      <c r="HU14" s="636">
        <f>HT14/HQ14</f>
        <v>0</v>
      </c>
      <c r="HV14" s="661">
        <f>HR14+HM14+HH14+HC14+GX14</f>
        <v>716418.34</v>
      </c>
      <c r="HW14" s="661"/>
      <c r="HX14" s="663">
        <f>HT14+HO14+HJ14+HE14+GZ14</f>
        <v>0</v>
      </c>
      <c r="HY14" s="651">
        <f t="shared" si="9"/>
        <v>0</v>
      </c>
      <c r="HZ14" s="645">
        <v>135685.54</v>
      </c>
      <c r="IA14" s="639">
        <f>HZ14*IB14</f>
        <v>135685.54</v>
      </c>
      <c r="IB14" s="633">
        <v>1</v>
      </c>
      <c r="IC14" s="635"/>
      <c r="ID14" s="636">
        <f>IC14/HZ14</f>
        <v>0</v>
      </c>
      <c r="IE14" s="639">
        <v>158173.69</v>
      </c>
      <c r="IF14" s="639">
        <f>IE14*IG14</f>
        <v>155010.2162</v>
      </c>
      <c r="IG14" s="633">
        <v>0.98</v>
      </c>
      <c r="IH14" s="635"/>
      <c r="II14" s="636">
        <f>IH14/IE14</f>
        <v>0</v>
      </c>
      <c r="IJ14" s="639">
        <v>158127.92000000001</v>
      </c>
      <c r="IK14" s="639">
        <f>IJ14*IL14</f>
        <v>158127.92000000001</v>
      </c>
      <c r="IL14" s="633">
        <v>1</v>
      </c>
      <c r="IM14" s="635"/>
      <c r="IN14" s="636">
        <f>IM14/IJ14</f>
        <v>0</v>
      </c>
      <c r="IO14" s="639">
        <v>203616.69</v>
      </c>
      <c r="IP14" s="639">
        <f>IO14*IQ14</f>
        <v>203616.69</v>
      </c>
      <c r="IQ14" s="633">
        <v>1</v>
      </c>
      <c r="IR14" s="635"/>
      <c r="IS14" s="636">
        <f>IR14/IO14</f>
        <v>0</v>
      </c>
      <c r="IT14" s="661">
        <f>IP14+IK14+IF14+IA14</f>
        <v>652440.36620000005</v>
      </c>
      <c r="IU14" s="661"/>
      <c r="IV14" s="662">
        <f>IC14+IH14+IM14+IR14</f>
        <v>0</v>
      </c>
      <c r="IW14" s="654">
        <f t="shared" si="10"/>
        <v>0</v>
      </c>
      <c r="IX14" s="645">
        <v>132576.09</v>
      </c>
      <c r="IY14" s="639">
        <f>IX14*IZ14</f>
        <v>132576.09</v>
      </c>
      <c r="IZ14" s="633">
        <v>1</v>
      </c>
      <c r="JA14" s="635"/>
      <c r="JB14" s="636">
        <f>JA14/IX14</f>
        <v>0</v>
      </c>
      <c r="JC14" s="639">
        <v>193131.73</v>
      </c>
      <c r="JD14" s="639">
        <f>JC14*JE14</f>
        <v>185406.4608</v>
      </c>
      <c r="JE14" s="633">
        <v>0.96</v>
      </c>
      <c r="JF14" s="635"/>
      <c r="JG14" s="636">
        <f>JF14/JC14</f>
        <v>0</v>
      </c>
      <c r="JH14" s="639">
        <v>235699.8</v>
      </c>
      <c r="JI14" s="639">
        <f>JH14*JJ14</f>
        <v>230985.80399999997</v>
      </c>
      <c r="JJ14" s="633">
        <v>0.98</v>
      </c>
      <c r="JK14" s="635"/>
      <c r="JL14" s="636">
        <f>JK14/JH14</f>
        <v>0</v>
      </c>
      <c r="JM14" s="639">
        <v>267771.24</v>
      </c>
      <c r="JN14" s="639">
        <f>JM14*JO14</f>
        <v>267771.24</v>
      </c>
      <c r="JO14" s="633">
        <v>1</v>
      </c>
      <c r="JP14" s="635"/>
      <c r="JQ14" s="636">
        <f>JP14/JM14</f>
        <v>0</v>
      </c>
      <c r="JR14" s="661">
        <f>JN14+JI14+JD14+IY14</f>
        <v>816739.59479999996</v>
      </c>
      <c r="JS14" s="661"/>
      <c r="JT14" s="663">
        <f>JP14+JK14+JA14+JF14</f>
        <v>0</v>
      </c>
      <c r="JU14" s="651">
        <f t="shared" si="11"/>
        <v>0</v>
      </c>
      <c r="JV14" s="645">
        <v>414049.24</v>
      </c>
      <c r="JW14" s="639">
        <f>JV14*JX14</f>
        <v>389206.28559999994</v>
      </c>
      <c r="JX14" s="908">
        <v>0.94</v>
      </c>
      <c r="JY14" s="635"/>
      <c r="JZ14" s="636">
        <f>JY14/JV14</f>
        <v>0</v>
      </c>
      <c r="KA14" s="639">
        <v>546396.24</v>
      </c>
      <c r="KB14" s="639">
        <f>KA14*KC14</f>
        <v>508148.50320000004</v>
      </c>
      <c r="KC14" s="908">
        <v>0.93</v>
      </c>
      <c r="KD14" s="635"/>
      <c r="KE14" s="636">
        <f>KD14/KA14</f>
        <v>0</v>
      </c>
      <c r="KF14" s="639">
        <v>707920.35</v>
      </c>
      <c r="KG14" s="639">
        <f>KF14*KH14</f>
        <v>672524.3324999999</v>
      </c>
      <c r="KH14" s="908">
        <v>0.95</v>
      </c>
      <c r="KI14" s="635"/>
      <c r="KJ14" s="636">
        <f>KI14/KF14</f>
        <v>0</v>
      </c>
      <c r="KK14" s="639">
        <v>547032.98</v>
      </c>
      <c r="KL14" s="639">
        <f>KK14*KM14</f>
        <v>519681.33099999995</v>
      </c>
      <c r="KM14" s="908">
        <v>0.95</v>
      </c>
      <c r="KN14" s="635"/>
      <c r="KO14" s="636">
        <f>KN14/KK14</f>
        <v>0</v>
      </c>
      <c r="KP14" s="639">
        <v>136597.69</v>
      </c>
      <c r="KQ14" s="639">
        <f>KP14*KR14</f>
        <v>133865.73620000001</v>
      </c>
      <c r="KR14" s="908">
        <v>0.98</v>
      </c>
      <c r="KS14" s="635"/>
      <c r="KT14" s="636">
        <f>KS14/KP14</f>
        <v>0</v>
      </c>
      <c r="KU14" s="661">
        <f>KQ14+KL14+KG14+KB14+JW14</f>
        <v>2223426.1885000002</v>
      </c>
      <c r="KV14" s="661"/>
      <c r="KW14" s="662">
        <f>KS14+KN14+KI14+KD14+JY14</f>
        <v>0</v>
      </c>
      <c r="KX14" s="959">
        <f t="shared" si="12"/>
        <v>0</v>
      </c>
      <c r="KY14" s="894">
        <f>X14+AV14+BY14+CW14+DU14+EX14+FV14+GT14+HW14+IU14+JS14+KV14</f>
        <v>0</v>
      </c>
      <c r="KZ14" s="893">
        <f>Y14+AW14+BZ14+CX14+DV14+EY14+FW14+GU14+HX14+IV14+JT14+KW14</f>
        <v>0</v>
      </c>
      <c r="LA14" s="892">
        <f>KZ14-KY14</f>
        <v>0</v>
      </c>
      <c r="LB14" s="891">
        <f t="shared" si="13"/>
        <v>0</v>
      </c>
    </row>
    <row r="15" spans="1:314">
      <c r="A15" s="1495"/>
      <c r="B15" s="900" t="s">
        <v>18</v>
      </c>
      <c r="C15" s="645">
        <v>93021.67</v>
      </c>
      <c r="D15" s="639">
        <f>C15*E15</f>
        <v>82789.286299999992</v>
      </c>
      <c r="E15" s="908">
        <v>0.89</v>
      </c>
      <c r="F15" s="635"/>
      <c r="G15" s="636">
        <f>F15/C15</f>
        <v>0</v>
      </c>
      <c r="H15" s="639">
        <v>84153.75</v>
      </c>
      <c r="I15" s="639">
        <f>H15*J15</f>
        <v>74896.837499999994</v>
      </c>
      <c r="J15" s="633">
        <v>0.89</v>
      </c>
      <c r="K15" s="635"/>
      <c r="L15" s="636">
        <f>K15/H15</f>
        <v>0</v>
      </c>
      <c r="M15" s="639">
        <v>89329.12</v>
      </c>
      <c r="N15" s="639">
        <f>M15*O15</f>
        <v>79502.916799999992</v>
      </c>
      <c r="O15" s="633">
        <v>0.89</v>
      </c>
      <c r="P15" s="635"/>
      <c r="Q15" s="636">
        <f>P15/M15</f>
        <v>0</v>
      </c>
      <c r="R15" s="639">
        <v>93656.04</v>
      </c>
      <c r="S15" s="639">
        <f>R15*T15</f>
        <v>83353.875599999999</v>
      </c>
      <c r="T15" s="633">
        <v>0.89</v>
      </c>
      <c r="U15" s="635"/>
      <c r="V15" s="636">
        <f>U15/R15</f>
        <v>0</v>
      </c>
      <c r="W15" s="639">
        <f>D15+I15+N15+S15</f>
        <v>320542.91619999998</v>
      </c>
      <c r="X15" s="639"/>
      <c r="Y15" s="666">
        <f>+F15+K15+P15+U15</f>
        <v>0</v>
      </c>
      <c r="Z15" s="646">
        <f t="shared" si="0"/>
        <v>0</v>
      </c>
      <c r="AA15" s="645">
        <v>95706.87</v>
      </c>
      <c r="AB15" s="639">
        <f>AA15*AC15</f>
        <v>85179.114300000001</v>
      </c>
      <c r="AC15" s="633">
        <v>0.89</v>
      </c>
      <c r="AD15" s="635"/>
      <c r="AE15" s="636">
        <f>AD15/AA15</f>
        <v>0</v>
      </c>
      <c r="AF15" s="639">
        <v>123395.73</v>
      </c>
      <c r="AG15" s="639">
        <f>AF15*AH15</f>
        <v>108588.2424</v>
      </c>
      <c r="AH15" s="633">
        <v>0.88</v>
      </c>
      <c r="AI15" s="635"/>
      <c r="AJ15" s="636">
        <f>AI15/AF15</f>
        <v>0</v>
      </c>
      <c r="AK15" s="639">
        <v>88862.14</v>
      </c>
      <c r="AL15" s="639">
        <f>AK15*AM15</f>
        <v>79975.926000000007</v>
      </c>
      <c r="AM15" s="633">
        <v>0.9</v>
      </c>
      <c r="AN15" s="635"/>
      <c r="AO15" s="636">
        <f>AN15/AK15</f>
        <v>0</v>
      </c>
      <c r="AP15" s="639">
        <v>94488.97</v>
      </c>
      <c r="AQ15" s="639">
        <f>AP15*AR15</f>
        <v>84095.183300000004</v>
      </c>
      <c r="AR15" s="633">
        <v>0.89</v>
      </c>
      <c r="AS15" s="635"/>
      <c r="AT15" s="636">
        <f>AS15/AP15</f>
        <v>0</v>
      </c>
      <c r="AU15" s="639">
        <f>AB15+AG15+AL15+AQ15</f>
        <v>357838.46600000001</v>
      </c>
      <c r="AV15" s="896"/>
      <c r="AW15" s="895">
        <f>AD15+AI15++AN15+AS15</f>
        <v>0</v>
      </c>
      <c r="AX15" s="665">
        <f t="shared" si="1"/>
        <v>0</v>
      </c>
      <c r="AY15" s="645">
        <v>99417.75</v>
      </c>
      <c r="AZ15" s="639">
        <f>AY15*BA15</f>
        <v>88481.797500000001</v>
      </c>
      <c r="BA15" s="633">
        <v>0.89</v>
      </c>
      <c r="BB15" s="635"/>
      <c r="BC15" s="636">
        <f>BB15/AY15</f>
        <v>0</v>
      </c>
      <c r="BD15" s="639">
        <v>100361.41</v>
      </c>
      <c r="BE15" s="639">
        <f>BD15*BF15</f>
        <v>89321.654900000009</v>
      </c>
      <c r="BF15" s="633">
        <v>0.89</v>
      </c>
      <c r="BG15" s="635"/>
      <c r="BH15" s="636">
        <f>BG15/BD15</f>
        <v>0</v>
      </c>
      <c r="BI15" s="639">
        <v>109253.08</v>
      </c>
      <c r="BJ15" s="639">
        <f>BI15*BK15</f>
        <v>97235.241200000004</v>
      </c>
      <c r="BK15" s="633">
        <v>0.89</v>
      </c>
      <c r="BL15" s="635"/>
      <c r="BM15" s="636">
        <f>BL15/BI15</f>
        <v>0</v>
      </c>
      <c r="BN15" s="639">
        <v>112495.73</v>
      </c>
      <c r="BO15" s="639">
        <f>BN15*BP15</f>
        <v>97871.285099999994</v>
      </c>
      <c r="BP15" s="633">
        <v>0.87</v>
      </c>
      <c r="BQ15" s="635"/>
      <c r="BR15" s="636">
        <f>BQ15/BN15</f>
        <v>0</v>
      </c>
      <c r="BS15" s="639">
        <v>109690.64</v>
      </c>
      <c r="BT15" s="639">
        <f>BS15*BU15</f>
        <v>97624.669599999994</v>
      </c>
      <c r="BU15" s="633">
        <v>0.89</v>
      </c>
      <c r="BV15" s="635"/>
      <c r="BW15" s="636">
        <f>BV15/BS15</f>
        <v>0</v>
      </c>
      <c r="BX15" s="661">
        <f>AZ15+BE15+BJ15+BO15+BT15</f>
        <v>470534.6483</v>
      </c>
      <c r="BY15" s="661"/>
      <c r="BZ15" s="663">
        <f>BV15+BQ15+BL15+BG15+BB15</f>
        <v>0</v>
      </c>
      <c r="CA15" s="651">
        <f t="shared" si="2"/>
        <v>0</v>
      </c>
      <c r="CB15" s="645">
        <v>102492.15</v>
      </c>
      <c r="CC15" s="639">
        <f>CB15*CD15</f>
        <v>91218.013500000001</v>
      </c>
      <c r="CD15" s="633">
        <v>0.89</v>
      </c>
      <c r="CE15" s="635"/>
      <c r="CF15" s="636">
        <f>CE15/CB15</f>
        <v>0</v>
      </c>
      <c r="CG15" s="639">
        <v>117532.81</v>
      </c>
      <c r="CH15" s="639">
        <f>CG15*CI15</f>
        <v>104604.2009</v>
      </c>
      <c r="CI15" s="633">
        <v>0.89</v>
      </c>
      <c r="CJ15" s="635"/>
      <c r="CK15" s="636">
        <f>CJ15/CG15</f>
        <v>0</v>
      </c>
      <c r="CL15" s="639">
        <v>141640.93</v>
      </c>
      <c r="CM15" s="639">
        <f>CL15*CN15</f>
        <v>126060.4277</v>
      </c>
      <c r="CN15" s="633">
        <v>0.89</v>
      </c>
      <c r="CO15" s="635"/>
      <c r="CP15" s="636">
        <f>CO15/CL15</f>
        <v>0</v>
      </c>
      <c r="CQ15" s="639">
        <v>138885.68</v>
      </c>
      <c r="CR15" s="639">
        <f>CQ15*CS15</f>
        <v>124997.11199999999</v>
      </c>
      <c r="CS15" s="633">
        <v>0.9</v>
      </c>
      <c r="CT15" s="635"/>
      <c r="CU15" s="636">
        <f>CT15/CQ15</f>
        <v>0</v>
      </c>
      <c r="CV15" s="656">
        <f>CR15+CM15+CH15+CC15</f>
        <v>446879.75410000002</v>
      </c>
      <c r="CW15" s="656"/>
      <c r="CX15" s="657">
        <f>CT15+CO15+CE15+CJ15</f>
        <v>0</v>
      </c>
      <c r="CY15" s="654">
        <f t="shared" si="3"/>
        <v>0</v>
      </c>
      <c r="CZ15" s="645">
        <v>159565.76000000001</v>
      </c>
      <c r="DA15" s="639">
        <f>CZ15*DB15</f>
        <v>142013.5264</v>
      </c>
      <c r="DB15" s="633">
        <v>0.89</v>
      </c>
      <c r="DC15" s="635"/>
      <c r="DD15" s="636">
        <f>DC15/CZ15</f>
        <v>0</v>
      </c>
      <c r="DE15" s="639">
        <v>118085.69</v>
      </c>
      <c r="DF15" s="639">
        <f>DE15*DG15</f>
        <v>105096.2641</v>
      </c>
      <c r="DG15" s="633">
        <v>0.89</v>
      </c>
      <c r="DH15" s="635"/>
      <c r="DI15" s="636">
        <f>DH15/DE15</f>
        <v>0</v>
      </c>
      <c r="DJ15" s="639">
        <v>108647.73</v>
      </c>
      <c r="DK15" s="639">
        <f>DJ15*DL15</f>
        <v>96696.479699999996</v>
      </c>
      <c r="DL15" s="633">
        <v>0.89</v>
      </c>
      <c r="DM15" s="635"/>
      <c r="DN15" s="636">
        <f>DM15/DJ15</f>
        <v>0</v>
      </c>
      <c r="DO15" s="639">
        <v>106212.25</v>
      </c>
      <c r="DP15" s="639">
        <f>DO15*DQ15</f>
        <v>94528.902499999997</v>
      </c>
      <c r="DQ15" s="633">
        <v>0.89</v>
      </c>
      <c r="DR15" s="635"/>
      <c r="DS15" s="636">
        <f>DR15/DO15</f>
        <v>0</v>
      </c>
      <c r="DT15" s="656">
        <f>DP15+DK15+DF15+DA15</f>
        <v>438335.1727</v>
      </c>
      <c r="DU15" s="656"/>
      <c r="DV15" s="657">
        <f>DR15+DM15+DC15+DH15</f>
        <v>0</v>
      </c>
      <c r="DW15" s="654">
        <f t="shared" si="4"/>
        <v>0</v>
      </c>
      <c r="DX15" s="645">
        <v>108335.06</v>
      </c>
      <c r="DY15" s="639">
        <f>DX15*DZ15</f>
        <v>96418.203399999999</v>
      </c>
      <c r="DZ15" s="633">
        <v>0.89</v>
      </c>
      <c r="EA15" s="907">
        <f>'Vtas Diarias 2022'!AAC16</f>
        <v>0</v>
      </c>
      <c r="EB15" s="636">
        <f>EA15/DX15</f>
        <v>0</v>
      </c>
      <c r="EC15" s="639">
        <v>124081.82</v>
      </c>
      <c r="ED15" s="639">
        <f>EC15*EE15</f>
        <v>107951.18340000001</v>
      </c>
      <c r="EE15" s="633">
        <v>0.87</v>
      </c>
      <c r="EF15" s="635"/>
      <c r="EG15" s="636">
        <f>EF15/EC15</f>
        <v>0</v>
      </c>
      <c r="EH15" s="639">
        <v>123219.95</v>
      </c>
      <c r="EI15" s="639">
        <f>EH15*EJ15</f>
        <v>109665.7555</v>
      </c>
      <c r="EJ15" s="633">
        <v>0.89</v>
      </c>
      <c r="EK15" s="635"/>
      <c r="EL15" s="636">
        <f>EK15/EH15</f>
        <v>0</v>
      </c>
      <c r="EM15" s="639">
        <v>112480.87</v>
      </c>
      <c r="EN15" s="639">
        <f>EM15*EO15</f>
        <v>104607.20910000001</v>
      </c>
      <c r="EO15" s="633">
        <v>0.93</v>
      </c>
      <c r="EP15" s="635"/>
      <c r="EQ15" s="636">
        <f>EP15/EM15</f>
        <v>0</v>
      </c>
      <c r="ER15" s="639">
        <v>113002.93</v>
      </c>
      <c r="ES15" s="639">
        <f>ER15*ET15</f>
        <v>105092.7249</v>
      </c>
      <c r="ET15" s="633">
        <v>0.93</v>
      </c>
      <c r="EU15" s="635"/>
      <c r="EV15" s="636">
        <f>EU15/ER15</f>
        <v>0</v>
      </c>
      <c r="EW15" s="661">
        <f>ES15+EN15+EI15+ED15+DY15</f>
        <v>523735.07629999996</v>
      </c>
      <c r="EX15" s="661"/>
      <c r="EY15" s="904">
        <f t="shared" si="5"/>
        <v>0</v>
      </c>
      <c r="EZ15" s="654">
        <f t="shared" si="6"/>
        <v>0</v>
      </c>
      <c r="FA15" s="645">
        <v>108264.23</v>
      </c>
      <c r="FB15" s="639">
        <f>FA15*FC15</f>
        <v>95272.522400000002</v>
      </c>
      <c r="FC15" s="908">
        <v>0.88</v>
      </c>
      <c r="FD15" s="635"/>
      <c r="FE15" s="636">
        <f>FD15/FA15</f>
        <v>0</v>
      </c>
      <c r="FF15" s="639">
        <v>124416.59</v>
      </c>
      <c r="FG15" s="639">
        <f>FF15*FH15</f>
        <v>109486.5992</v>
      </c>
      <c r="FH15" s="633">
        <v>0.88</v>
      </c>
      <c r="FI15" s="635"/>
      <c r="FJ15" s="636">
        <f>FI15/FF15</f>
        <v>0</v>
      </c>
      <c r="FK15" s="639">
        <v>112650.96</v>
      </c>
      <c r="FL15" s="639">
        <f>FK15*FM15</f>
        <v>99132.844800000006</v>
      </c>
      <c r="FM15" s="633">
        <v>0.88</v>
      </c>
      <c r="FN15" s="635"/>
      <c r="FO15" s="636">
        <f>FN15/FK15</f>
        <v>0</v>
      </c>
      <c r="FP15" s="639">
        <v>104162.65</v>
      </c>
      <c r="FQ15" s="639">
        <f>FP15*FR15</f>
        <v>95829.637999999992</v>
      </c>
      <c r="FR15" s="908">
        <v>0.92</v>
      </c>
      <c r="FS15" s="635"/>
      <c r="FT15" s="636">
        <f>FS15/FP15</f>
        <v>0</v>
      </c>
      <c r="FU15" s="661">
        <f>FQ15+FL15+FG15+FB15</f>
        <v>399721.60440000001</v>
      </c>
      <c r="FV15" s="661"/>
      <c r="FW15" s="663">
        <f>FS15+FN15+FD15+FI15</f>
        <v>0</v>
      </c>
      <c r="FX15" s="651">
        <f t="shared" si="7"/>
        <v>0</v>
      </c>
      <c r="FY15" s="645">
        <v>121778.12</v>
      </c>
      <c r="FZ15" s="639">
        <f>FY15*GA15</f>
        <v>115689.21399999999</v>
      </c>
      <c r="GA15" s="633">
        <v>0.95</v>
      </c>
      <c r="GB15" s="635"/>
      <c r="GC15" s="636">
        <f>GB15/FY15</f>
        <v>0</v>
      </c>
      <c r="GD15" s="639">
        <v>112146.73</v>
      </c>
      <c r="GE15" s="639">
        <f>GD15*GF15</f>
        <v>100932.057</v>
      </c>
      <c r="GF15" s="633">
        <v>0.9</v>
      </c>
      <c r="GG15" s="635"/>
      <c r="GH15" s="636">
        <f>GG15/GD15</f>
        <v>0</v>
      </c>
      <c r="GI15" s="639">
        <v>96666.66</v>
      </c>
      <c r="GJ15" s="639">
        <f>GI15*GK15</f>
        <v>94733.326799999995</v>
      </c>
      <c r="GK15" s="633">
        <v>0.98</v>
      </c>
      <c r="GL15" s="635"/>
      <c r="GM15" s="636">
        <f>GL15/GI15</f>
        <v>0</v>
      </c>
      <c r="GN15" s="639">
        <v>94795.09</v>
      </c>
      <c r="GO15" s="639">
        <f>GN15*GP15</f>
        <v>92899.18819999999</v>
      </c>
      <c r="GP15" s="633">
        <v>0.98</v>
      </c>
      <c r="GQ15" s="635"/>
      <c r="GR15" s="636">
        <f>GQ15/GN15</f>
        <v>0</v>
      </c>
      <c r="GS15" s="661">
        <f>GO15+GJ15+GE15+FZ15</f>
        <v>404253.78599999996</v>
      </c>
      <c r="GT15" s="661"/>
      <c r="GU15" s="662">
        <f>GQ15+GL15+GB15+GG15</f>
        <v>0</v>
      </c>
      <c r="GV15" s="654">
        <f t="shared" si="8"/>
        <v>0</v>
      </c>
      <c r="GW15" s="645">
        <v>101141</v>
      </c>
      <c r="GX15" s="639">
        <f>GW15*GY15</f>
        <v>99118.18</v>
      </c>
      <c r="GY15" s="633">
        <v>0.98</v>
      </c>
      <c r="GZ15" s="635"/>
      <c r="HA15" s="636">
        <f>GZ15/GW15</f>
        <v>0</v>
      </c>
      <c r="HB15" s="639">
        <v>95774.96</v>
      </c>
      <c r="HC15" s="639">
        <f>HB15*HD15</f>
        <v>95774.96</v>
      </c>
      <c r="HD15" s="633">
        <v>1</v>
      </c>
      <c r="HE15" s="635"/>
      <c r="HF15" s="636">
        <f>HE15/HB15</f>
        <v>0</v>
      </c>
      <c r="HG15" s="639">
        <v>86340.73</v>
      </c>
      <c r="HH15" s="639">
        <f>HG15*HI15</f>
        <v>82023.693499999994</v>
      </c>
      <c r="HI15" s="633">
        <v>0.95</v>
      </c>
      <c r="HJ15" s="635"/>
      <c r="HK15" s="636">
        <f>HJ15/HG15</f>
        <v>0</v>
      </c>
      <c r="HL15" s="639">
        <v>91243.92</v>
      </c>
      <c r="HM15" s="639">
        <f>HL15*HN15</f>
        <v>88506.602399999989</v>
      </c>
      <c r="HN15" s="633">
        <v>0.97</v>
      </c>
      <c r="HO15" s="635"/>
      <c r="HP15" s="636">
        <f>HO15/HL15</f>
        <v>0</v>
      </c>
      <c r="HQ15" s="639">
        <v>91435.29</v>
      </c>
      <c r="HR15" s="639">
        <f>HQ15*HS15</f>
        <v>89606.584199999998</v>
      </c>
      <c r="HS15" s="633">
        <v>0.98</v>
      </c>
      <c r="HT15" s="635"/>
      <c r="HU15" s="636">
        <f>HT15/HQ15</f>
        <v>0</v>
      </c>
      <c r="HV15" s="661">
        <f>HR15+HM15+HH15+HC15+GX15</f>
        <v>455030.02009999997</v>
      </c>
      <c r="HW15" s="661"/>
      <c r="HX15" s="663">
        <f>HT15+HO15+HJ15+HE15+GZ15</f>
        <v>0</v>
      </c>
      <c r="HY15" s="651">
        <f t="shared" si="9"/>
        <v>0</v>
      </c>
      <c r="HZ15" s="645">
        <v>81270.38</v>
      </c>
      <c r="IA15" s="639">
        <f>HZ15*IB15</f>
        <v>78832.268599999996</v>
      </c>
      <c r="IB15" s="633">
        <v>0.97</v>
      </c>
      <c r="IC15" s="635"/>
      <c r="ID15" s="636">
        <f>IC15/HZ15</f>
        <v>0</v>
      </c>
      <c r="IE15" s="639">
        <v>105627.51</v>
      </c>
      <c r="IF15" s="639">
        <f>IE15*IG15</f>
        <v>101402.40959999998</v>
      </c>
      <c r="IG15" s="633">
        <v>0.96</v>
      </c>
      <c r="IH15" s="635"/>
      <c r="II15" s="636">
        <f>IH15/IE15</f>
        <v>0</v>
      </c>
      <c r="IJ15" s="639">
        <v>107079.67</v>
      </c>
      <c r="IK15" s="639">
        <f>IJ15*IL15</f>
        <v>106008.87329999999</v>
      </c>
      <c r="IL15" s="633">
        <v>0.99</v>
      </c>
      <c r="IM15" s="635"/>
      <c r="IN15" s="636">
        <f>IM15/IJ15</f>
        <v>0</v>
      </c>
      <c r="IO15" s="639">
        <v>153520.97</v>
      </c>
      <c r="IP15" s="639">
        <f>IO15*IQ15</f>
        <v>148915.34090000001</v>
      </c>
      <c r="IQ15" s="633">
        <v>0.97</v>
      </c>
      <c r="IR15" s="635"/>
      <c r="IS15" s="636">
        <f>IR15/IO15</f>
        <v>0</v>
      </c>
      <c r="IT15" s="661">
        <f>IP15+IK15+IF15+IA15</f>
        <v>435158.89239999995</v>
      </c>
      <c r="IU15" s="661"/>
      <c r="IV15" s="662">
        <f>IC15+IH15+IM15+IR15</f>
        <v>0</v>
      </c>
      <c r="IW15" s="654">
        <f t="shared" si="10"/>
        <v>0</v>
      </c>
      <c r="IX15" s="645">
        <v>103864.61</v>
      </c>
      <c r="IY15" s="639">
        <f>IX15*IZ15</f>
        <v>100748.67169999999</v>
      </c>
      <c r="IZ15" s="633">
        <v>0.97</v>
      </c>
      <c r="JA15" s="635"/>
      <c r="JB15" s="636">
        <f>JA15/IX15</f>
        <v>0</v>
      </c>
      <c r="JC15" s="639">
        <v>122498.23</v>
      </c>
      <c r="JD15" s="639">
        <f>JC15*JE15</f>
        <v>115148.33619999999</v>
      </c>
      <c r="JE15" s="633">
        <v>0.94</v>
      </c>
      <c r="JF15" s="635"/>
      <c r="JG15" s="636">
        <f>JF15/JC15</f>
        <v>0</v>
      </c>
      <c r="JH15" s="639">
        <v>152656.26</v>
      </c>
      <c r="JI15" s="639">
        <f>JH15*JJ15</f>
        <v>146550.00959999999</v>
      </c>
      <c r="JJ15" s="633">
        <v>0.96</v>
      </c>
      <c r="JK15" s="635"/>
      <c r="JL15" s="636">
        <f>JK15/JH15</f>
        <v>0</v>
      </c>
      <c r="JM15" s="639">
        <v>135485.01999999999</v>
      </c>
      <c r="JN15" s="639">
        <f>JM15*JO15</f>
        <v>128710.76899999999</v>
      </c>
      <c r="JO15" s="633">
        <v>0.95</v>
      </c>
      <c r="JP15" s="635"/>
      <c r="JQ15" s="636">
        <f>JP15/JM15</f>
        <v>0</v>
      </c>
      <c r="JR15" s="661">
        <f>JN15+JI15+JD15+IY15</f>
        <v>491157.78649999999</v>
      </c>
      <c r="JS15" s="661"/>
      <c r="JT15" s="663">
        <f>JP15+JK15+JA15+JF15</f>
        <v>0</v>
      </c>
      <c r="JU15" s="651">
        <f t="shared" si="11"/>
        <v>0</v>
      </c>
      <c r="JV15" s="645">
        <v>207250.54</v>
      </c>
      <c r="JW15" s="639">
        <f>JV15*JX15</f>
        <v>194815.50759999998</v>
      </c>
      <c r="JX15" s="908">
        <v>0.94</v>
      </c>
      <c r="JY15" s="635"/>
      <c r="JZ15" s="636">
        <f>JY15/JV15</f>
        <v>0</v>
      </c>
      <c r="KA15" s="639">
        <v>221890.38</v>
      </c>
      <c r="KB15" s="639">
        <f>KA15*KC15</f>
        <v>206358.0534</v>
      </c>
      <c r="KC15" s="908">
        <v>0.93</v>
      </c>
      <c r="KD15" s="635"/>
      <c r="KE15" s="636">
        <f>KD15/KA15</f>
        <v>0</v>
      </c>
      <c r="KF15" s="639">
        <v>529448.23</v>
      </c>
      <c r="KG15" s="639">
        <f>KF15*KH15</f>
        <v>492386.85389999999</v>
      </c>
      <c r="KH15" s="908">
        <v>0.93</v>
      </c>
      <c r="KI15" s="635"/>
      <c r="KJ15" s="636">
        <f>KI15/KF15</f>
        <v>0</v>
      </c>
      <c r="KK15" s="639">
        <v>336184.14</v>
      </c>
      <c r="KL15" s="639">
        <f>KK15*KM15</f>
        <v>312651.25020000001</v>
      </c>
      <c r="KM15" s="908">
        <v>0.93</v>
      </c>
      <c r="KN15" s="635"/>
      <c r="KO15" s="636">
        <f>KN15/KK15</f>
        <v>0</v>
      </c>
      <c r="KP15" s="639">
        <v>107939.88</v>
      </c>
      <c r="KQ15" s="639">
        <f>KP15*KR15</f>
        <v>102542.886</v>
      </c>
      <c r="KR15" s="908">
        <v>0.95</v>
      </c>
      <c r="KS15" s="635"/>
      <c r="KT15" s="636">
        <f>KS15/KP15</f>
        <v>0</v>
      </c>
      <c r="KU15" s="661">
        <f>KQ15+KL15+KG15+KB15+JW15</f>
        <v>1308754.5511</v>
      </c>
      <c r="KV15" s="661"/>
      <c r="KW15" s="662">
        <f>KS15+KN15+KI15+KD15+JY15</f>
        <v>0</v>
      </c>
      <c r="KX15" s="959">
        <f t="shared" si="12"/>
        <v>0</v>
      </c>
      <c r="KY15" s="894">
        <f>X15+AV15+BY15+CW15+DU15+EX15+FV15+GT15+HW15+IU15+JS15+KV15</f>
        <v>0</v>
      </c>
      <c r="KZ15" s="893">
        <f>Y15+AW15+BZ15+CX15+DV15+EY15+FW15+GU15+HX15+IV15+JT15+KW15</f>
        <v>0</v>
      </c>
      <c r="LA15" s="892">
        <f>KZ15-KY15</f>
        <v>0</v>
      </c>
      <c r="LB15" s="891">
        <f t="shared" si="13"/>
        <v>0</v>
      </c>
    </row>
    <row r="16" spans="1:314">
      <c r="A16" s="1495"/>
      <c r="B16" s="900" t="s">
        <v>19</v>
      </c>
      <c r="C16" s="645">
        <v>37817.599999999999</v>
      </c>
      <c r="D16" s="639">
        <f>D14*0.8</f>
        <v>76544.028000000006</v>
      </c>
      <c r="E16" s="908">
        <v>0.89</v>
      </c>
      <c r="F16" s="635"/>
      <c r="G16" s="636">
        <f>F16/C16</f>
        <v>0</v>
      </c>
      <c r="H16" s="639">
        <v>47452.04</v>
      </c>
      <c r="I16" s="639">
        <f>I14*0.8</f>
        <v>72005.97600000001</v>
      </c>
      <c r="J16" s="633">
        <v>0.89</v>
      </c>
      <c r="K16" s="635"/>
      <c r="L16" s="636">
        <f>K16/H16</f>
        <v>0</v>
      </c>
      <c r="M16" s="639">
        <v>35778.870000000003</v>
      </c>
      <c r="N16" s="639">
        <f>N14*0.8</f>
        <v>75690.813600000009</v>
      </c>
      <c r="O16" s="633">
        <v>0.89</v>
      </c>
      <c r="P16" s="635"/>
      <c r="Q16" s="636">
        <f>P16/M16</f>
        <v>0</v>
      </c>
      <c r="R16" s="639">
        <v>43576.46</v>
      </c>
      <c r="S16" s="639">
        <f>S14*0.8</f>
        <v>77052.866399999999</v>
      </c>
      <c r="T16" s="633">
        <v>0.89</v>
      </c>
      <c r="U16" s="635"/>
      <c r="V16" s="636">
        <f>U16/R16</f>
        <v>0</v>
      </c>
      <c r="W16" s="639">
        <f>D16+I16+N16+S16</f>
        <v>301293.68400000001</v>
      </c>
      <c r="X16" s="639"/>
      <c r="Y16" s="666">
        <f>+F16+K16+P16+U16</f>
        <v>0</v>
      </c>
      <c r="Z16" s="646">
        <f t="shared" si="0"/>
        <v>0</v>
      </c>
      <c r="AA16" s="645">
        <v>36693.550000000003</v>
      </c>
      <c r="AB16" s="639">
        <f>AB14*0.8</f>
        <v>91255.370400000014</v>
      </c>
      <c r="AC16" s="633">
        <v>0.89</v>
      </c>
      <c r="AD16" s="635"/>
      <c r="AE16" s="636">
        <f>AD16/AA16</f>
        <v>0</v>
      </c>
      <c r="AF16" s="639">
        <v>48403.94</v>
      </c>
      <c r="AG16" s="639">
        <f>AG14*0.8</f>
        <v>122798.62800000001</v>
      </c>
      <c r="AH16" s="633">
        <v>0.88</v>
      </c>
      <c r="AI16" s="635"/>
      <c r="AJ16" s="636">
        <f>AI16/AF16</f>
        <v>0</v>
      </c>
      <c r="AK16" s="639">
        <v>39454.959999999999</v>
      </c>
      <c r="AL16" s="639">
        <f>AL14*0.8</f>
        <v>74509.358800000002</v>
      </c>
      <c r="AM16" s="633">
        <v>0.9</v>
      </c>
      <c r="AN16" s="635"/>
      <c r="AO16" s="636">
        <f>AN16/AK16</f>
        <v>0</v>
      </c>
      <c r="AP16" s="639">
        <v>50088.21</v>
      </c>
      <c r="AQ16" s="639">
        <f>AQ14*0.8</f>
        <v>97673.19104000002</v>
      </c>
      <c r="AR16" s="633">
        <v>0.89</v>
      </c>
      <c r="AS16" s="635"/>
      <c r="AT16" s="636">
        <f>AS16/AP16</f>
        <v>0</v>
      </c>
      <c r="AU16" s="639">
        <f>AB16+AG16+AL16+AQ16</f>
        <v>386236.54824000003</v>
      </c>
      <c r="AV16" s="896"/>
      <c r="AW16" s="895">
        <f>AD16+AI16++AN16+AS16</f>
        <v>0</v>
      </c>
      <c r="AX16" s="665">
        <f t="shared" si="1"/>
        <v>0</v>
      </c>
      <c r="AY16" s="645">
        <v>39811.9</v>
      </c>
      <c r="AZ16" s="639">
        <f>AZ14*0.8</f>
        <v>89939.29568000001</v>
      </c>
      <c r="BA16" s="633">
        <v>0.89</v>
      </c>
      <c r="BB16" s="635"/>
      <c r="BC16" s="636">
        <f>BB16/AY16</f>
        <v>0</v>
      </c>
      <c r="BD16" s="639">
        <v>40918.61</v>
      </c>
      <c r="BE16" s="639">
        <f>BE14*0.8</f>
        <v>93778.580800000011</v>
      </c>
      <c r="BF16" s="633">
        <v>0.89</v>
      </c>
      <c r="BG16" s="635"/>
      <c r="BH16" s="636">
        <f>BG16/BD16</f>
        <v>0</v>
      </c>
      <c r="BI16" s="639">
        <v>56359.45</v>
      </c>
      <c r="BJ16" s="639">
        <f>BJ14*0.8</f>
        <v>106928.45728000003</v>
      </c>
      <c r="BK16" s="633">
        <v>0.89</v>
      </c>
      <c r="BL16" s="635"/>
      <c r="BM16" s="636">
        <f>BL16/BI16</f>
        <v>0</v>
      </c>
      <c r="BN16" s="639">
        <v>49157.95</v>
      </c>
      <c r="BO16" s="639">
        <f>BO14*0.8</f>
        <v>118843.68640000001</v>
      </c>
      <c r="BP16" s="633">
        <v>0.87</v>
      </c>
      <c r="BQ16" s="635"/>
      <c r="BR16" s="636">
        <f>BQ16/BN16</f>
        <v>0</v>
      </c>
      <c r="BS16" s="639">
        <v>50103.839999999997</v>
      </c>
      <c r="BT16" s="639">
        <f>BT14*0.8</f>
        <v>97007.721920000011</v>
      </c>
      <c r="BU16" s="633">
        <v>0.89</v>
      </c>
      <c r="BV16" s="635"/>
      <c r="BW16" s="636">
        <f>BV16/BS16</f>
        <v>0</v>
      </c>
      <c r="BX16" s="661">
        <f>AZ16+BE16+BJ16+BO16+BT16</f>
        <v>506497.74208000011</v>
      </c>
      <c r="BY16" s="661"/>
      <c r="BZ16" s="663">
        <f>BV16+BQ16+BL16+BG16+BB16</f>
        <v>0</v>
      </c>
      <c r="CA16" s="651">
        <f t="shared" si="2"/>
        <v>0</v>
      </c>
      <c r="CB16" s="645">
        <v>62189.19</v>
      </c>
      <c r="CC16" s="639">
        <f>CC14*0.8</f>
        <v>108107.03616</v>
      </c>
      <c r="CD16" s="633">
        <v>0.89</v>
      </c>
      <c r="CE16" s="635"/>
      <c r="CF16" s="636">
        <f>CE16/CB16</f>
        <v>0</v>
      </c>
      <c r="CG16" s="639">
        <v>63464.5</v>
      </c>
      <c r="CH16" s="639">
        <f>CH14*0.8</f>
        <v>128583.3284</v>
      </c>
      <c r="CI16" s="633">
        <v>0.89</v>
      </c>
      <c r="CJ16" s="635"/>
      <c r="CK16" s="636">
        <f>CJ16/CG16</f>
        <v>0</v>
      </c>
      <c r="CL16" s="639">
        <v>74587.789999999994</v>
      </c>
      <c r="CM16" s="639">
        <f>CM14*0.8</f>
        <v>123265.88959999999</v>
      </c>
      <c r="CN16" s="633">
        <v>0.89</v>
      </c>
      <c r="CO16" s="635"/>
      <c r="CP16" s="636">
        <f>CO16/CL16</f>
        <v>0</v>
      </c>
      <c r="CQ16" s="639">
        <v>83528.27</v>
      </c>
      <c r="CR16" s="639">
        <f>CR14*0.8</f>
        <v>167790.71</v>
      </c>
      <c r="CS16" s="633">
        <v>0.9</v>
      </c>
      <c r="CT16" s="635"/>
      <c r="CU16" s="636">
        <f>CT16/CQ16</f>
        <v>0</v>
      </c>
      <c r="CV16" s="656">
        <f>CR16+CM16+CH16+CC16</f>
        <v>527746.96415999997</v>
      </c>
      <c r="CW16" s="656"/>
      <c r="CX16" s="657">
        <f>CT16+CO16+CE16+CJ16</f>
        <v>0</v>
      </c>
      <c r="CY16" s="654">
        <f t="shared" si="3"/>
        <v>0</v>
      </c>
      <c r="CZ16" s="645">
        <v>72173.61</v>
      </c>
      <c r="DA16" s="639">
        <f>DA14*0.8</f>
        <v>190179.18720000004</v>
      </c>
      <c r="DB16" s="633">
        <v>0.89</v>
      </c>
      <c r="DC16" s="635"/>
      <c r="DD16" s="636">
        <f>DC16/CZ16</f>
        <v>0</v>
      </c>
      <c r="DE16" s="639">
        <v>61084.13</v>
      </c>
      <c r="DF16" s="639">
        <f>DF14*0.8</f>
        <v>118946.55119999999</v>
      </c>
      <c r="DG16" s="633">
        <v>0.89</v>
      </c>
      <c r="DH16" s="635"/>
      <c r="DI16" s="636">
        <f>DH16/DE16</f>
        <v>0</v>
      </c>
      <c r="DJ16" s="639">
        <v>47732.97</v>
      </c>
      <c r="DK16" s="639">
        <f>DK14*0.8</f>
        <v>125625.18240000001</v>
      </c>
      <c r="DL16" s="633">
        <v>0.89</v>
      </c>
      <c r="DM16" s="635"/>
      <c r="DN16" s="636">
        <f>DM16/DJ16</f>
        <v>0</v>
      </c>
      <c r="DO16" s="639">
        <v>36009.97</v>
      </c>
      <c r="DP16" s="639">
        <f>DP14*0.8</f>
        <v>108793.49079999999</v>
      </c>
      <c r="DQ16" s="633">
        <v>0.89</v>
      </c>
      <c r="DR16" s="635"/>
      <c r="DS16" s="636">
        <f>DR16/DO16</f>
        <v>0</v>
      </c>
      <c r="DT16" s="656">
        <f>DP16+DK16+DF16+DA16</f>
        <v>543544.41159999999</v>
      </c>
      <c r="DU16" s="656"/>
      <c r="DV16" s="657">
        <f>DR16+DM16+DC16+DH16</f>
        <v>0</v>
      </c>
      <c r="DW16" s="654">
        <f t="shared" si="4"/>
        <v>0</v>
      </c>
      <c r="DX16" s="645">
        <v>4248.16</v>
      </c>
      <c r="DY16" s="639">
        <f>DY14*0.8</f>
        <v>109125.77759999999</v>
      </c>
      <c r="DZ16" s="633">
        <v>0.89</v>
      </c>
      <c r="EA16" s="907">
        <f>'Vtas Diarias 2022'!AAC17</f>
        <v>0</v>
      </c>
      <c r="EB16" s="636">
        <f>EA16/DX16</f>
        <v>0</v>
      </c>
      <c r="EC16" s="639">
        <v>0</v>
      </c>
      <c r="ED16" s="639">
        <f>ED14*0.8</f>
        <v>136410.16320000001</v>
      </c>
      <c r="EE16" s="633">
        <v>0.87</v>
      </c>
      <c r="EF16" s="635"/>
      <c r="EG16" s="636" t="e">
        <f>EF16/EC16</f>
        <v>#DIV/0!</v>
      </c>
      <c r="EH16" s="639">
        <v>0</v>
      </c>
      <c r="EI16" s="639">
        <f>EI14*0.8</f>
        <v>141546.348</v>
      </c>
      <c r="EJ16" s="633">
        <v>0.89</v>
      </c>
      <c r="EK16" s="635"/>
      <c r="EL16" s="636" t="e">
        <f>EK16/EH16</f>
        <v>#DIV/0!</v>
      </c>
      <c r="EM16" s="639">
        <v>195778.36</v>
      </c>
      <c r="EN16" s="639">
        <f>EN14*0.8</f>
        <v>148791.55359999998</v>
      </c>
      <c r="EO16" s="633">
        <v>0.93</v>
      </c>
      <c r="EP16" s="635"/>
      <c r="EQ16" s="636">
        <f>EP16/EM16</f>
        <v>0</v>
      </c>
      <c r="ER16" s="639">
        <v>194223.96</v>
      </c>
      <c r="ES16" s="639">
        <f>ES14*0.8</f>
        <v>149164.00128</v>
      </c>
      <c r="ET16" s="633">
        <v>0.93</v>
      </c>
      <c r="EU16" s="635"/>
      <c r="EV16" s="636">
        <f>EU16/ER16</f>
        <v>0</v>
      </c>
      <c r="EW16" s="661">
        <f>ES16+EN16+EI16+ED16+DY16</f>
        <v>685037.84368000005</v>
      </c>
      <c r="EX16" s="661"/>
      <c r="EY16" s="904">
        <f t="shared" si="5"/>
        <v>0</v>
      </c>
      <c r="EZ16" s="654">
        <f t="shared" si="6"/>
        <v>0</v>
      </c>
      <c r="FA16" s="645">
        <v>0</v>
      </c>
      <c r="FB16" s="639">
        <f>FB14*0.8</f>
        <v>132389.76256000003</v>
      </c>
      <c r="FC16" s="908">
        <v>0.88</v>
      </c>
      <c r="FD16" s="635"/>
      <c r="FE16" s="636" t="e">
        <f>FD16/FA16</f>
        <v>#DIV/0!</v>
      </c>
      <c r="FF16" s="639">
        <v>0</v>
      </c>
      <c r="FG16" s="639">
        <f>FG14*0.8</f>
        <v>120791.97360000001</v>
      </c>
      <c r="FH16" s="633">
        <v>0.88</v>
      </c>
      <c r="FI16" s="635"/>
      <c r="FJ16" s="636" t="e">
        <f>FI16/FF16</f>
        <v>#DIV/0!</v>
      </c>
      <c r="FK16" s="639">
        <v>0</v>
      </c>
      <c r="FL16" s="639">
        <f>FL14*0.8</f>
        <v>123461.09280000001</v>
      </c>
      <c r="FM16" s="633">
        <v>0.88</v>
      </c>
      <c r="FN16" s="635"/>
      <c r="FO16" s="636" t="e">
        <f>FN16/FK16</f>
        <v>#DIV/0!</v>
      </c>
      <c r="FP16" s="639">
        <v>182784.66</v>
      </c>
      <c r="FQ16" s="639">
        <f>FQ14*0.8</f>
        <v>140378.61887999999</v>
      </c>
      <c r="FR16" s="908">
        <v>0.92</v>
      </c>
      <c r="FS16" s="635"/>
      <c r="FT16" s="636">
        <f>FS16/FP16</f>
        <v>0</v>
      </c>
      <c r="FU16" s="661">
        <f>FQ16+FL16+FG16+FB16</f>
        <v>517021.44784000004</v>
      </c>
      <c r="FV16" s="661"/>
      <c r="FW16" s="663">
        <f>FS16+FN16+FD16+FI16</f>
        <v>0</v>
      </c>
      <c r="FX16" s="651">
        <f t="shared" si="7"/>
        <v>0</v>
      </c>
      <c r="FY16" s="645">
        <v>148383.93</v>
      </c>
      <c r="FZ16" s="639">
        <f>FZ14*0.8</f>
        <v>116333.00111999999</v>
      </c>
      <c r="GA16" s="633">
        <v>0.95</v>
      </c>
      <c r="GB16" s="635"/>
      <c r="GC16" s="636">
        <f>GB16/FY16</f>
        <v>0</v>
      </c>
      <c r="GD16" s="639">
        <v>30823.119999999999</v>
      </c>
      <c r="GE16" s="639">
        <f>GE14*0.8</f>
        <v>126617.84088000002</v>
      </c>
      <c r="GF16" s="633">
        <v>0.9</v>
      </c>
      <c r="GG16" s="635"/>
      <c r="GH16" s="636">
        <f>GG16/GD16</f>
        <v>0</v>
      </c>
      <c r="GI16" s="639">
        <v>250560.15</v>
      </c>
      <c r="GJ16" s="639">
        <f>GJ14*0.8</f>
        <v>137891.03200000001</v>
      </c>
      <c r="GK16" s="633">
        <v>0.98</v>
      </c>
      <c r="GL16" s="635"/>
      <c r="GM16" s="636">
        <f>GL16/GI16</f>
        <v>0</v>
      </c>
      <c r="GN16" s="639">
        <v>216881.94</v>
      </c>
      <c r="GO16" s="639">
        <f>GO14*0.8</f>
        <v>125076.74144</v>
      </c>
      <c r="GP16" s="633">
        <v>0.98</v>
      </c>
      <c r="GQ16" s="635"/>
      <c r="GR16" s="636">
        <f>GQ16/GN16</f>
        <v>0</v>
      </c>
      <c r="GS16" s="661">
        <f>GO16+GJ16+GE16+FZ16</f>
        <v>505918.61544000002</v>
      </c>
      <c r="GT16" s="661"/>
      <c r="GU16" s="662">
        <f>GQ16+GL16+GB16+GG16</f>
        <v>0</v>
      </c>
      <c r="GV16" s="654">
        <f t="shared" si="8"/>
        <v>0</v>
      </c>
      <c r="GW16" s="645">
        <v>219659</v>
      </c>
      <c r="GX16" s="639">
        <f>GX14*0.8</f>
        <v>127065.60000000001</v>
      </c>
      <c r="GY16" s="633">
        <v>0.98</v>
      </c>
      <c r="GZ16" s="635"/>
      <c r="HA16" s="636">
        <f>GZ16/GW16</f>
        <v>0</v>
      </c>
      <c r="HB16" s="639">
        <v>254701.11</v>
      </c>
      <c r="HC16" s="639">
        <f>HC14*0.8</f>
        <v>113570.60800000001</v>
      </c>
      <c r="HD16" s="633">
        <v>1</v>
      </c>
      <c r="HE16" s="635"/>
      <c r="HF16" s="636">
        <f>HE16/HB16</f>
        <v>0</v>
      </c>
      <c r="HG16" s="639">
        <v>194393.86</v>
      </c>
      <c r="HH16" s="639">
        <f>HH14*0.8</f>
        <v>106413.88</v>
      </c>
      <c r="HI16" s="633">
        <v>0.95</v>
      </c>
      <c r="HJ16" s="635"/>
      <c r="HK16" s="636">
        <f>HJ16/HG16</f>
        <v>0</v>
      </c>
      <c r="HL16" s="639">
        <v>195877.8</v>
      </c>
      <c r="HM16" s="639">
        <f>HM14*0.8</f>
        <v>106681.144</v>
      </c>
      <c r="HN16" s="633">
        <v>0.97</v>
      </c>
      <c r="HO16" s="635"/>
      <c r="HP16" s="636">
        <f>HO16/HL16</f>
        <v>0</v>
      </c>
      <c r="HQ16" s="639">
        <v>212126.1</v>
      </c>
      <c r="HR16" s="639">
        <f>HR14*0.8</f>
        <v>119403.44</v>
      </c>
      <c r="HS16" s="633">
        <v>0.98</v>
      </c>
      <c r="HT16" s="635"/>
      <c r="HU16" s="636">
        <f>HT16/HQ16</f>
        <v>0</v>
      </c>
      <c r="HV16" s="661">
        <f>HR16+HM16+HH16+HC16+GX16</f>
        <v>573134.67200000002</v>
      </c>
      <c r="HW16" s="661"/>
      <c r="HX16" s="663">
        <f>HT16+HO16+HJ16+HE16+GZ16</f>
        <v>0</v>
      </c>
      <c r="HY16" s="651">
        <f t="shared" si="9"/>
        <v>0</v>
      </c>
      <c r="HZ16" s="645">
        <v>183752.17</v>
      </c>
      <c r="IA16" s="639">
        <f>IA14*0.8</f>
        <v>108548.43200000002</v>
      </c>
      <c r="IB16" s="633">
        <v>0.97</v>
      </c>
      <c r="IC16" s="635"/>
      <c r="ID16" s="636">
        <f>IC16/HZ16</f>
        <v>0</v>
      </c>
      <c r="IE16" s="639">
        <v>191781.51</v>
      </c>
      <c r="IF16" s="639">
        <f>IF14*0.8</f>
        <v>124008.17296</v>
      </c>
      <c r="IG16" s="633">
        <v>0.96</v>
      </c>
      <c r="IH16" s="635"/>
      <c r="II16" s="636">
        <f>IH16/IE16</f>
        <v>0</v>
      </c>
      <c r="IJ16" s="639">
        <v>214416.6</v>
      </c>
      <c r="IK16" s="639">
        <f>IK14*0.8</f>
        <v>126502.33600000001</v>
      </c>
      <c r="IL16" s="633">
        <v>0.99</v>
      </c>
      <c r="IM16" s="635"/>
      <c r="IN16" s="636">
        <f>IM16/IJ16</f>
        <v>0</v>
      </c>
      <c r="IO16" s="639">
        <v>231966.58</v>
      </c>
      <c r="IP16" s="639">
        <f>IP14*0.8</f>
        <v>162893.35200000001</v>
      </c>
      <c r="IQ16" s="633">
        <v>0.97</v>
      </c>
      <c r="IR16" s="635"/>
      <c r="IS16" s="636">
        <f>IR16/IO16</f>
        <v>0</v>
      </c>
      <c r="IT16" s="661">
        <f>IP16+IK16+IF16+IA16</f>
        <v>521952.29296000005</v>
      </c>
      <c r="IU16" s="661"/>
      <c r="IV16" s="662">
        <f>IC16+IH16+IM16+IR16</f>
        <v>0</v>
      </c>
      <c r="IW16" s="654">
        <f t="shared" si="10"/>
        <v>0</v>
      </c>
      <c r="IX16" s="645">
        <v>171459.01</v>
      </c>
      <c r="IY16" s="639">
        <f>IY14*0.8</f>
        <v>106060.872</v>
      </c>
      <c r="IZ16" s="633">
        <v>0.97</v>
      </c>
      <c r="JA16" s="635"/>
      <c r="JB16" s="636">
        <f>JA16/IX16</f>
        <v>0</v>
      </c>
      <c r="JC16" s="639">
        <v>204462.03</v>
      </c>
      <c r="JD16" s="639">
        <f>JD14*0.8</f>
        <v>148325.16864000002</v>
      </c>
      <c r="JE16" s="633">
        <v>0.94</v>
      </c>
      <c r="JF16" s="635"/>
      <c r="JG16" s="636">
        <f>JF16/JC16</f>
        <v>0</v>
      </c>
      <c r="JH16" s="639">
        <v>275759.34000000003</v>
      </c>
      <c r="JI16" s="639">
        <f>JI14*0.8</f>
        <v>184788.64319999999</v>
      </c>
      <c r="JJ16" s="633">
        <v>0.96</v>
      </c>
      <c r="JK16" s="635"/>
      <c r="JL16" s="636">
        <f>JK16/JH16</f>
        <v>0</v>
      </c>
      <c r="JM16" s="639">
        <v>327968.62</v>
      </c>
      <c r="JN16" s="639">
        <f>JN14*0.8</f>
        <v>214216.992</v>
      </c>
      <c r="JO16" s="633">
        <v>0.95</v>
      </c>
      <c r="JP16" s="635"/>
      <c r="JQ16" s="636">
        <f>JP16/JM16</f>
        <v>0</v>
      </c>
      <c r="JR16" s="661">
        <f>JN16+JI16+JD16+IY16</f>
        <v>653391.67584000004</v>
      </c>
      <c r="JS16" s="661"/>
      <c r="JT16" s="663">
        <f>JP16+JK16+JA16+JF16</f>
        <v>0</v>
      </c>
      <c r="JU16" s="651">
        <f t="shared" si="11"/>
        <v>0</v>
      </c>
      <c r="JV16" s="645">
        <v>422082.59</v>
      </c>
      <c r="JW16" s="639">
        <f>JW14*0.8</f>
        <v>311365.02847999998</v>
      </c>
      <c r="JX16" s="908">
        <v>0.94</v>
      </c>
      <c r="JY16" s="635"/>
      <c r="JZ16" s="636">
        <f>JY16/JV16</f>
        <v>0</v>
      </c>
      <c r="KA16" s="639">
        <v>531225.99</v>
      </c>
      <c r="KB16" s="639">
        <f>KB14*0.8</f>
        <v>406518.80256000004</v>
      </c>
      <c r="KC16" s="908">
        <v>0.93</v>
      </c>
      <c r="KD16" s="635"/>
      <c r="KE16" s="636">
        <f>KD16/KA16</f>
        <v>0</v>
      </c>
      <c r="KF16" s="639">
        <v>649827.46</v>
      </c>
      <c r="KG16" s="639">
        <f>KG14*0.8</f>
        <v>538019.4659999999</v>
      </c>
      <c r="KH16" s="908">
        <v>0.93</v>
      </c>
      <c r="KI16" s="635"/>
      <c r="KJ16" s="636">
        <f>KI16/KF16</f>
        <v>0</v>
      </c>
      <c r="KK16" s="639">
        <v>452994.96</v>
      </c>
      <c r="KL16" s="639">
        <f>KL14*0.8</f>
        <v>415745.06479999999</v>
      </c>
      <c r="KM16" s="908">
        <v>0.93</v>
      </c>
      <c r="KN16" s="635"/>
      <c r="KO16" s="636">
        <f>KN16/KK16</f>
        <v>0</v>
      </c>
      <c r="KP16" s="639">
        <v>151612.17000000001</v>
      </c>
      <c r="KQ16" s="639">
        <f>KQ14*0.8</f>
        <v>107092.58896000002</v>
      </c>
      <c r="KR16" s="908">
        <v>0.95</v>
      </c>
      <c r="KS16" s="635"/>
      <c r="KT16" s="636">
        <f>KS16/KP16</f>
        <v>0</v>
      </c>
      <c r="KU16" s="661">
        <f>KQ16+KL16+KG16+KB16+JW16</f>
        <v>1778740.9507999998</v>
      </c>
      <c r="KV16" s="661"/>
      <c r="KW16" s="662">
        <f>KS16+KN16+KI16+KD16+JY16</f>
        <v>0</v>
      </c>
      <c r="KX16" s="959">
        <f t="shared" si="12"/>
        <v>0</v>
      </c>
      <c r="KY16" s="894">
        <f>X16+AV16+BY16+CW16+DU16+EX16+FV16+GT16+HW16+IU16+JS16+KV16</f>
        <v>0</v>
      </c>
      <c r="KZ16" s="893">
        <f>Y16+AW16+BZ16+CX16+DV16+EY16+FW16+GU16+HX16+IV16+JT16+KW16</f>
        <v>0</v>
      </c>
      <c r="LA16" s="892">
        <f>KZ16-KY16</f>
        <v>0</v>
      </c>
      <c r="LB16" s="891">
        <f t="shared" si="13"/>
        <v>0</v>
      </c>
    </row>
    <row r="17" spans="1:314">
      <c r="A17" s="1495"/>
      <c r="B17" s="900" t="s">
        <v>20</v>
      </c>
      <c r="C17" s="645">
        <v>54893.11</v>
      </c>
      <c r="D17" s="639">
        <f>C17*E17</f>
        <v>48854.867900000005</v>
      </c>
      <c r="E17" s="908">
        <v>0.89</v>
      </c>
      <c r="F17" s="635"/>
      <c r="G17" s="636">
        <f>F17/C17</f>
        <v>0</v>
      </c>
      <c r="H17" s="639">
        <v>45145.84</v>
      </c>
      <c r="I17" s="639">
        <f>H17*J17</f>
        <v>40179.797599999998</v>
      </c>
      <c r="J17" s="633">
        <v>0.89</v>
      </c>
      <c r="K17" s="635"/>
      <c r="L17" s="636">
        <f>K17/H17</f>
        <v>0</v>
      </c>
      <c r="M17" s="639">
        <v>44241.3</v>
      </c>
      <c r="N17" s="639">
        <f>M17*O17</f>
        <v>39374.757000000005</v>
      </c>
      <c r="O17" s="633">
        <v>0.89</v>
      </c>
      <c r="P17" s="635"/>
      <c r="Q17" s="636">
        <f>P17/M17</f>
        <v>0</v>
      </c>
      <c r="R17" s="639">
        <v>45500.34</v>
      </c>
      <c r="S17" s="639">
        <f>R17*T17</f>
        <v>40495.302599999995</v>
      </c>
      <c r="T17" s="633">
        <v>0.89</v>
      </c>
      <c r="U17" s="635"/>
      <c r="V17" s="636">
        <f>U17/R17</f>
        <v>0</v>
      </c>
      <c r="W17" s="639">
        <f>D17+I17+N17+S17</f>
        <v>168904.72510000001</v>
      </c>
      <c r="X17" s="639"/>
      <c r="Y17" s="666">
        <f>+F17+K17+P17+U17</f>
        <v>0</v>
      </c>
      <c r="Z17" s="646">
        <f t="shared" si="0"/>
        <v>0</v>
      </c>
      <c r="AA17" s="645">
        <v>51333.18</v>
      </c>
      <c r="AB17" s="639">
        <f>AA17*AC17</f>
        <v>45686.530200000001</v>
      </c>
      <c r="AC17" s="633">
        <v>0.89</v>
      </c>
      <c r="AD17" s="635"/>
      <c r="AE17" s="636">
        <f>AD17/AA17</f>
        <v>0</v>
      </c>
      <c r="AF17" s="639">
        <v>62809.63</v>
      </c>
      <c r="AG17" s="639">
        <f>AF17*AH17</f>
        <v>55272.474399999999</v>
      </c>
      <c r="AH17" s="633">
        <v>0.88</v>
      </c>
      <c r="AI17" s="635"/>
      <c r="AJ17" s="636">
        <f>AI17/AF17</f>
        <v>0</v>
      </c>
      <c r="AK17" s="639">
        <v>44084.41</v>
      </c>
      <c r="AL17" s="639">
        <f>AK17*AM17</f>
        <v>39675.969000000005</v>
      </c>
      <c r="AM17" s="633">
        <v>0.9</v>
      </c>
      <c r="AN17" s="635"/>
      <c r="AO17" s="636">
        <f>AN17/AK17</f>
        <v>0</v>
      </c>
      <c r="AP17" s="639">
        <v>53684.86</v>
      </c>
      <c r="AQ17" s="639">
        <f>AP17*AR17</f>
        <v>47779.525399999999</v>
      </c>
      <c r="AR17" s="633">
        <v>0.89</v>
      </c>
      <c r="AS17" s="635"/>
      <c r="AT17" s="636">
        <f>AS17/AP17</f>
        <v>0</v>
      </c>
      <c r="AU17" s="639">
        <f>AB17+AG17+AL17+AQ17</f>
        <v>188414.49900000001</v>
      </c>
      <c r="AV17" s="896"/>
      <c r="AW17" s="895">
        <f>AD17+AI17++AN17+AS17</f>
        <v>0</v>
      </c>
      <c r="AX17" s="665">
        <f t="shared" si="1"/>
        <v>0</v>
      </c>
      <c r="AY17" s="645">
        <v>53638.97</v>
      </c>
      <c r="AZ17" s="639">
        <f>AY17*BA17</f>
        <v>47738.683300000004</v>
      </c>
      <c r="BA17" s="633">
        <v>0.89</v>
      </c>
      <c r="BB17" s="635"/>
      <c r="BC17" s="636">
        <f>BB17/AY17</f>
        <v>0</v>
      </c>
      <c r="BD17" s="639">
        <v>50252.41</v>
      </c>
      <c r="BE17" s="639">
        <f>BD17*BF17</f>
        <v>44724.644900000007</v>
      </c>
      <c r="BF17" s="633">
        <v>0.89</v>
      </c>
      <c r="BG17" s="635"/>
      <c r="BH17" s="636">
        <f>BG17/BD17</f>
        <v>0</v>
      </c>
      <c r="BI17" s="639">
        <v>50830.84</v>
      </c>
      <c r="BJ17" s="639">
        <f>BI17*BK17</f>
        <v>45239.4476</v>
      </c>
      <c r="BK17" s="633">
        <v>0.89</v>
      </c>
      <c r="BL17" s="635"/>
      <c r="BM17" s="636">
        <f>BL17/BI17</f>
        <v>0</v>
      </c>
      <c r="BN17" s="639">
        <v>56514.01</v>
      </c>
      <c r="BO17" s="639">
        <f>BN17*BP17</f>
        <v>49167.188699999999</v>
      </c>
      <c r="BP17" s="633">
        <v>0.87</v>
      </c>
      <c r="BQ17" s="635"/>
      <c r="BR17" s="636">
        <f>BQ17/BN17</f>
        <v>0</v>
      </c>
      <c r="BS17" s="639">
        <v>61610.26</v>
      </c>
      <c r="BT17" s="639">
        <f>BS17*BU17</f>
        <v>54833.131400000006</v>
      </c>
      <c r="BU17" s="633">
        <v>0.89</v>
      </c>
      <c r="BV17" s="635"/>
      <c r="BW17" s="636">
        <f>BV17/BS17</f>
        <v>0</v>
      </c>
      <c r="BX17" s="661">
        <f>AZ17+BE17+BJ17+BO17+BT17</f>
        <v>241703.09590000001</v>
      </c>
      <c r="BY17" s="661"/>
      <c r="BZ17" s="663">
        <f>BV17+BQ17+BL17+BG17+BB17</f>
        <v>0</v>
      </c>
      <c r="CA17" s="651">
        <f t="shared" si="2"/>
        <v>0</v>
      </c>
      <c r="CB17" s="645">
        <v>61838.62</v>
      </c>
      <c r="CC17" s="639">
        <f>CB17*CD17</f>
        <v>55036.371800000001</v>
      </c>
      <c r="CD17" s="633">
        <v>0.89</v>
      </c>
      <c r="CE17" s="635"/>
      <c r="CF17" s="636">
        <f>CE17/CB17</f>
        <v>0</v>
      </c>
      <c r="CG17" s="639">
        <v>62599.86</v>
      </c>
      <c r="CH17" s="639">
        <f>CG17*CI17</f>
        <v>55713.875400000004</v>
      </c>
      <c r="CI17" s="633">
        <v>0.89</v>
      </c>
      <c r="CJ17" s="635"/>
      <c r="CK17" s="636">
        <f>CJ17/CG17</f>
        <v>0</v>
      </c>
      <c r="CL17" s="639">
        <v>62093.32</v>
      </c>
      <c r="CM17" s="639">
        <f>CL17*CN17</f>
        <v>55263.054799999998</v>
      </c>
      <c r="CN17" s="633">
        <v>0.89</v>
      </c>
      <c r="CO17" s="635"/>
      <c r="CP17" s="636">
        <f>CO17/CL17</f>
        <v>0</v>
      </c>
      <c r="CQ17" s="639">
        <v>78715.929999999993</v>
      </c>
      <c r="CR17" s="639">
        <f>CQ17*CS17</f>
        <v>70844.337</v>
      </c>
      <c r="CS17" s="633">
        <v>0.9</v>
      </c>
      <c r="CT17" s="635"/>
      <c r="CU17" s="636">
        <f>CT17/CQ17</f>
        <v>0</v>
      </c>
      <c r="CV17" s="656">
        <f>CR17+CM17+CH17+CC17</f>
        <v>236857.639</v>
      </c>
      <c r="CW17" s="656"/>
      <c r="CX17" s="657">
        <f>CT17+CO17+CE17+CJ17</f>
        <v>0</v>
      </c>
      <c r="CY17" s="654">
        <f t="shared" si="3"/>
        <v>0</v>
      </c>
      <c r="CZ17" s="645">
        <v>79734.55</v>
      </c>
      <c r="DA17" s="639">
        <f>CZ17*DB17</f>
        <v>70963.749500000005</v>
      </c>
      <c r="DB17" s="633">
        <v>0.89</v>
      </c>
      <c r="DC17" s="635"/>
      <c r="DD17" s="636">
        <f>DC17/CZ17</f>
        <v>0</v>
      </c>
      <c r="DE17" s="639">
        <v>72469.009999999995</v>
      </c>
      <c r="DF17" s="639">
        <f>DE17*DG17</f>
        <v>64497.418899999997</v>
      </c>
      <c r="DG17" s="633">
        <v>0.89</v>
      </c>
      <c r="DH17" s="635"/>
      <c r="DI17" s="636">
        <f>DH17/DE17</f>
        <v>0</v>
      </c>
      <c r="DJ17" s="639">
        <v>55190.22</v>
      </c>
      <c r="DK17" s="639">
        <f>DJ17*DL17</f>
        <v>49119.2958</v>
      </c>
      <c r="DL17" s="633">
        <v>0.89</v>
      </c>
      <c r="DM17" s="635"/>
      <c r="DN17" s="636">
        <f>DM17/DJ17</f>
        <v>0</v>
      </c>
      <c r="DO17" s="639">
        <v>55906.78</v>
      </c>
      <c r="DP17" s="639">
        <f>DO17*DQ17</f>
        <v>49757.034200000002</v>
      </c>
      <c r="DQ17" s="633">
        <v>0.89</v>
      </c>
      <c r="DR17" s="635"/>
      <c r="DS17" s="636">
        <f>DR17/DO17</f>
        <v>0</v>
      </c>
      <c r="DT17" s="656">
        <f>DP17+DK17+DF17+DA17</f>
        <v>234337.49840000001</v>
      </c>
      <c r="DU17" s="656"/>
      <c r="DV17" s="657">
        <f>DR17+DM17+DC17+DH17</f>
        <v>0</v>
      </c>
      <c r="DW17" s="654">
        <f t="shared" si="4"/>
        <v>0</v>
      </c>
      <c r="DX17" s="645">
        <v>65382.67</v>
      </c>
      <c r="DY17" s="639">
        <f>DX17*DZ17</f>
        <v>58190.576300000001</v>
      </c>
      <c r="DZ17" s="633">
        <v>0.89</v>
      </c>
      <c r="EA17" s="907">
        <f>'Vtas Diarias 2022'!AAC18</f>
        <v>0</v>
      </c>
      <c r="EB17" s="636">
        <f>EA17/DX17</f>
        <v>0</v>
      </c>
      <c r="EC17" s="639">
        <v>58942.16</v>
      </c>
      <c r="ED17" s="639">
        <f>EC17*EE17</f>
        <v>51279.679200000006</v>
      </c>
      <c r="EE17" s="633">
        <v>0.87</v>
      </c>
      <c r="EF17" s="635"/>
      <c r="EG17" s="636">
        <f>EF17/EC17</f>
        <v>0</v>
      </c>
      <c r="EH17" s="639">
        <v>77523.27</v>
      </c>
      <c r="EI17" s="639">
        <f>EH17*EJ17</f>
        <v>68995.710300000006</v>
      </c>
      <c r="EJ17" s="633">
        <v>0.89</v>
      </c>
      <c r="EK17" s="635"/>
      <c r="EL17" s="636">
        <f>EK17/EH17</f>
        <v>0</v>
      </c>
      <c r="EM17" s="639">
        <v>61059.53</v>
      </c>
      <c r="EN17" s="639">
        <f>EM17*EO17</f>
        <v>56785.3629</v>
      </c>
      <c r="EO17" s="633">
        <v>0.93</v>
      </c>
      <c r="EP17" s="635"/>
      <c r="EQ17" s="636">
        <f>EP17/EM17</f>
        <v>0</v>
      </c>
      <c r="ER17" s="639">
        <v>64918.33</v>
      </c>
      <c r="ES17" s="639">
        <f>ER17*ET17</f>
        <v>60374.046900000001</v>
      </c>
      <c r="ET17" s="633">
        <v>0.93</v>
      </c>
      <c r="EU17" s="635"/>
      <c r="EV17" s="636">
        <f>EU17/ER17</f>
        <v>0</v>
      </c>
      <c r="EW17" s="661">
        <f>ES17+EN17+EI17+ED17+DY17</f>
        <v>295625.37560000003</v>
      </c>
      <c r="EX17" s="661"/>
      <c r="EY17" s="904">
        <f t="shared" si="5"/>
        <v>0</v>
      </c>
      <c r="EZ17" s="654">
        <f t="shared" si="6"/>
        <v>0</v>
      </c>
      <c r="FA17" s="645">
        <v>53292.44</v>
      </c>
      <c r="FB17" s="639">
        <f>FA17*FC17</f>
        <v>46897.347200000004</v>
      </c>
      <c r="FC17" s="908">
        <v>0.88</v>
      </c>
      <c r="FD17" s="635"/>
      <c r="FE17" s="636">
        <f>FD17/FA17</f>
        <v>0</v>
      </c>
      <c r="FF17" s="639">
        <v>65664.429999999993</v>
      </c>
      <c r="FG17" s="639">
        <f>FF17*FH17</f>
        <v>57784.698399999994</v>
      </c>
      <c r="FH17" s="633">
        <v>0.88</v>
      </c>
      <c r="FI17" s="635"/>
      <c r="FJ17" s="636">
        <f>FI17/FF17</f>
        <v>0</v>
      </c>
      <c r="FK17" s="639">
        <v>57561.120000000003</v>
      </c>
      <c r="FL17" s="639">
        <f>FK17*FM17</f>
        <v>50653.785600000003</v>
      </c>
      <c r="FM17" s="633">
        <v>0.88</v>
      </c>
      <c r="FN17" s="635"/>
      <c r="FO17" s="636">
        <f>FN17/FK17</f>
        <v>0</v>
      </c>
      <c r="FP17" s="639">
        <v>54284.79</v>
      </c>
      <c r="FQ17" s="639">
        <f>FP17*FR17</f>
        <v>49942.006800000003</v>
      </c>
      <c r="FR17" s="908">
        <v>0.92</v>
      </c>
      <c r="FS17" s="635"/>
      <c r="FT17" s="636">
        <f>FS17/FP17</f>
        <v>0</v>
      </c>
      <c r="FU17" s="661">
        <f>FQ17+FL17+FG17+FB17</f>
        <v>205277.83799999999</v>
      </c>
      <c r="FV17" s="661"/>
      <c r="FW17" s="663">
        <f>FS17+FN17+FD17+FI17</f>
        <v>0</v>
      </c>
      <c r="FX17" s="651">
        <f t="shared" si="7"/>
        <v>0</v>
      </c>
      <c r="FY17" s="645">
        <v>62623.75</v>
      </c>
      <c r="FZ17" s="639">
        <f>FY17*GA17</f>
        <v>59492.5625</v>
      </c>
      <c r="GA17" s="633">
        <v>0.95</v>
      </c>
      <c r="GB17" s="635"/>
      <c r="GC17" s="636">
        <f>GB17/FY17</f>
        <v>0</v>
      </c>
      <c r="GD17" s="639">
        <v>51500.58</v>
      </c>
      <c r="GE17" s="639">
        <f>GD17*GF17</f>
        <v>46350.522000000004</v>
      </c>
      <c r="GF17" s="633">
        <v>0.9</v>
      </c>
      <c r="GG17" s="635"/>
      <c r="GH17" s="636">
        <f>GG17/GD17</f>
        <v>0</v>
      </c>
      <c r="GI17" s="639">
        <v>59362.38</v>
      </c>
      <c r="GJ17" s="639">
        <f>GI17*GK17</f>
        <v>58175.132399999995</v>
      </c>
      <c r="GK17" s="633">
        <v>0.98</v>
      </c>
      <c r="GL17" s="635"/>
      <c r="GM17" s="636">
        <f>GL17/GI17</f>
        <v>0</v>
      </c>
      <c r="GN17" s="639">
        <v>53544.35</v>
      </c>
      <c r="GO17" s="639">
        <f>GN17*GP17</f>
        <v>52473.462999999996</v>
      </c>
      <c r="GP17" s="633">
        <v>0.98</v>
      </c>
      <c r="GQ17" s="635"/>
      <c r="GR17" s="636">
        <f>GQ17/GN17</f>
        <v>0</v>
      </c>
      <c r="GS17" s="661">
        <f>GO17+GJ17+GE17+FZ17</f>
        <v>216491.67989999999</v>
      </c>
      <c r="GT17" s="661"/>
      <c r="GU17" s="662">
        <f>GQ17+GL17+GB17+GG17</f>
        <v>0</v>
      </c>
      <c r="GV17" s="654">
        <f t="shared" si="8"/>
        <v>0</v>
      </c>
      <c r="GW17" s="645">
        <v>49241</v>
      </c>
      <c r="GX17" s="639">
        <f>GW17*GY17</f>
        <v>48256.18</v>
      </c>
      <c r="GY17" s="633">
        <v>0.98</v>
      </c>
      <c r="GZ17" s="635"/>
      <c r="HA17" s="636">
        <f>GZ17/GW17</f>
        <v>0</v>
      </c>
      <c r="HB17" s="639">
        <v>51878.92</v>
      </c>
      <c r="HC17" s="639">
        <f>HB17*HD17</f>
        <v>51878.92</v>
      </c>
      <c r="HD17" s="633">
        <v>1</v>
      </c>
      <c r="HE17" s="635"/>
      <c r="HF17" s="636">
        <f>HE17/HB17</f>
        <v>0</v>
      </c>
      <c r="HG17" s="639">
        <v>48666.03</v>
      </c>
      <c r="HH17" s="639">
        <f>HG17*HI17</f>
        <v>46232.728499999997</v>
      </c>
      <c r="HI17" s="633">
        <v>0.95</v>
      </c>
      <c r="HJ17" s="635"/>
      <c r="HK17" s="636">
        <f>HJ17/HG17</f>
        <v>0</v>
      </c>
      <c r="HL17" s="639">
        <v>38665.15</v>
      </c>
      <c r="HM17" s="639">
        <f>HL17*HN17</f>
        <v>37505.195500000002</v>
      </c>
      <c r="HN17" s="633">
        <v>0.97</v>
      </c>
      <c r="HO17" s="635"/>
      <c r="HP17" s="636">
        <f>HO17/HL17</f>
        <v>0</v>
      </c>
      <c r="HQ17" s="639">
        <v>40617.85</v>
      </c>
      <c r="HR17" s="639">
        <f>HQ17*HS17</f>
        <v>39805.492999999995</v>
      </c>
      <c r="HS17" s="633">
        <v>0.98</v>
      </c>
      <c r="HT17" s="635"/>
      <c r="HU17" s="636">
        <f>HT17/HQ17</f>
        <v>0</v>
      </c>
      <c r="HV17" s="661">
        <f>HR17+HM17+HH17+HC17+GX17</f>
        <v>223678.51699999999</v>
      </c>
      <c r="HW17" s="661"/>
      <c r="HX17" s="663">
        <f>HT17+HO17+HJ17+HE17+GZ17</f>
        <v>0</v>
      </c>
      <c r="HY17" s="651">
        <f t="shared" si="9"/>
        <v>0</v>
      </c>
      <c r="HZ17" s="645">
        <v>27010.49</v>
      </c>
      <c r="IA17" s="639">
        <f>HZ17*IB17</f>
        <v>26200.175300000003</v>
      </c>
      <c r="IB17" s="633">
        <v>0.97</v>
      </c>
      <c r="IC17" s="635"/>
      <c r="ID17" s="636">
        <f>IC17/HZ17</f>
        <v>0</v>
      </c>
      <c r="IE17" s="639">
        <v>13152.24</v>
      </c>
      <c r="IF17" s="639">
        <f>IE17*IG17</f>
        <v>12626.150399999999</v>
      </c>
      <c r="IG17" s="633">
        <v>0.96</v>
      </c>
      <c r="IH17" s="635"/>
      <c r="II17" s="636">
        <f>IH17/IE17</f>
        <v>0</v>
      </c>
      <c r="IJ17" s="639">
        <v>107623.25</v>
      </c>
      <c r="IK17" s="639">
        <f>IJ17*IL17</f>
        <v>106547.0175</v>
      </c>
      <c r="IL17" s="633">
        <v>0.99</v>
      </c>
      <c r="IM17" s="635"/>
      <c r="IN17" s="636">
        <f>IM17/IJ17</f>
        <v>0</v>
      </c>
      <c r="IO17" s="639">
        <v>123917.49</v>
      </c>
      <c r="IP17" s="639">
        <f>IO17*IQ17</f>
        <v>120199.9653</v>
      </c>
      <c r="IQ17" s="633">
        <v>0.97</v>
      </c>
      <c r="IR17" s="635"/>
      <c r="IS17" s="636">
        <f>IR17/IO17</f>
        <v>0</v>
      </c>
      <c r="IT17" s="661">
        <f>IP17+IK17+IF17+IA17</f>
        <v>265573.30849999998</v>
      </c>
      <c r="IU17" s="661"/>
      <c r="IV17" s="662">
        <f>IC17+IH17+IM17+IR17</f>
        <v>0</v>
      </c>
      <c r="IW17" s="654">
        <f t="shared" si="10"/>
        <v>0</v>
      </c>
      <c r="IX17" s="645">
        <v>96304.36</v>
      </c>
      <c r="IY17" s="639">
        <f>IX17*IZ17</f>
        <v>93415.229200000002</v>
      </c>
      <c r="IZ17" s="633">
        <v>0.97</v>
      </c>
      <c r="JA17" s="635"/>
      <c r="JB17" s="636">
        <f>JA17/IX17</f>
        <v>0</v>
      </c>
      <c r="JC17" s="639">
        <v>106634.21</v>
      </c>
      <c r="JD17" s="639">
        <f>JC17*JE17</f>
        <v>100236.1574</v>
      </c>
      <c r="JE17" s="633">
        <v>0.94</v>
      </c>
      <c r="JF17" s="635"/>
      <c r="JG17" s="636">
        <f>JF17/JC17</f>
        <v>0</v>
      </c>
      <c r="JH17" s="639">
        <v>121209.7</v>
      </c>
      <c r="JI17" s="639">
        <f>JH17*JJ17</f>
        <v>116361.31199999999</v>
      </c>
      <c r="JJ17" s="633">
        <v>0.96</v>
      </c>
      <c r="JK17" s="635"/>
      <c r="JL17" s="636">
        <f>JK17/JH17</f>
        <v>0</v>
      </c>
      <c r="JM17" s="639">
        <v>144598.25</v>
      </c>
      <c r="JN17" s="639">
        <f>JM17*JO17</f>
        <v>137368.33749999999</v>
      </c>
      <c r="JO17" s="633">
        <v>0.95</v>
      </c>
      <c r="JP17" s="635"/>
      <c r="JQ17" s="636">
        <f>JP17/JM17</f>
        <v>0</v>
      </c>
      <c r="JR17" s="661">
        <f>JN17+JI17+JD17+IY17</f>
        <v>447381.03609999997</v>
      </c>
      <c r="JS17" s="661"/>
      <c r="JT17" s="663">
        <f>JP17+JK17+JA17+JF17</f>
        <v>0</v>
      </c>
      <c r="JU17" s="651">
        <f t="shared" si="11"/>
        <v>0</v>
      </c>
      <c r="JV17" s="645">
        <v>196235.89</v>
      </c>
      <c r="JW17" s="639">
        <f>JV17*JX17</f>
        <v>184461.7366</v>
      </c>
      <c r="JX17" s="908">
        <v>0.94</v>
      </c>
      <c r="JY17" s="635"/>
      <c r="JZ17" s="636">
        <f>JY17/JV17</f>
        <v>0</v>
      </c>
      <c r="KA17" s="639">
        <v>285789.34000000003</v>
      </c>
      <c r="KB17" s="639">
        <f>KA17*KC17</f>
        <v>265784.08620000002</v>
      </c>
      <c r="KC17" s="908">
        <v>0.93</v>
      </c>
      <c r="KD17" s="635"/>
      <c r="KE17" s="636">
        <f>KD17/KA17</f>
        <v>0</v>
      </c>
      <c r="KF17" s="639">
        <v>385764.64</v>
      </c>
      <c r="KG17" s="639">
        <f>KF17*KH17</f>
        <v>358761.11520000006</v>
      </c>
      <c r="KH17" s="908">
        <v>0.93</v>
      </c>
      <c r="KI17" s="635"/>
      <c r="KJ17" s="636">
        <f>KI17/KF17</f>
        <v>0</v>
      </c>
      <c r="KK17" s="639">
        <v>316324.24</v>
      </c>
      <c r="KL17" s="639">
        <f>KK17*KM17</f>
        <v>294181.54320000001</v>
      </c>
      <c r="KM17" s="908">
        <v>0.93</v>
      </c>
      <c r="KN17" s="635"/>
      <c r="KO17" s="636">
        <f>KN17/KK17</f>
        <v>0</v>
      </c>
      <c r="KP17" s="639">
        <v>100445.93</v>
      </c>
      <c r="KQ17" s="639">
        <f>KP17*KR17</f>
        <v>95423.633499999982</v>
      </c>
      <c r="KR17" s="908">
        <v>0.95</v>
      </c>
      <c r="KS17" s="635"/>
      <c r="KT17" s="636">
        <f>KS17/KP17</f>
        <v>0</v>
      </c>
      <c r="KU17" s="661">
        <f>KQ17+KL17+KG17+KB17+JW17</f>
        <v>1198612.1147</v>
      </c>
      <c r="KV17" s="661"/>
      <c r="KW17" s="662">
        <f>KS17+KN17+KI17+KD17+JY17</f>
        <v>0</v>
      </c>
      <c r="KX17" s="959">
        <f t="shared" si="12"/>
        <v>0</v>
      </c>
      <c r="KY17" s="894">
        <f>X17+AV17+BY17+CW17+DU17+EX17+FV17+GT17+HW17+IU17+JS17+KV17</f>
        <v>0</v>
      </c>
      <c r="KZ17" s="893">
        <f>Y17+AW17+BZ17+CX17+DV17+EY17+FW17+GU17+HX17+IV17+JT17+KW17</f>
        <v>0</v>
      </c>
      <c r="LA17" s="892">
        <f>KZ17-KY17</f>
        <v>0</v>
      </c>
      <c r="LB17" s="891">
        <f t="shared" si="13"/>
        <v>0</v>
      </c>
    </row>
    <row r="18" spans="1:314">
      <c r="A18" s="1495"/>
      <c r="B18" s="900" t="s">
        <v>21</v>
      </c>
      <c r="C18" s="645">
        <v>65118.98</v>
      </c>
      <c r="D18" s="639">
        <f>C18*E18</f>
        <v>57955.892200000002</v>
      </c>
      <c r="E18" s="908">
        <v>0.89</v>
      </c>
      <c r="F18" s="635"/>
      <c r="G18" s="636">
        <f>F18/C18</f>
        <v>0</v>
      </c>
      <c r="H18" s="639">
        <v>62974.09</v>
      </c>
      <c r="I18" s="639">
        <f>H18*J18</f>
        <v>56046.9401</v>
      </c>
      <c r="J18" s="633">
        <v>0.89</v>
      </c>
      <c r="K18" s="635"/>
      <c r="L18" s="636">
        <f>K18/H18</f>
        <v>0</v>
      </c>
      <c r="M18" s="639">
        <v>58035.4</v>
      </c>
      <c r="N18" s="639">
        <f>M18*O18</f>
        <v>51651.506000000001</v>
      </c>
      <c r="O18" s="633">
        <v>0.89</v>
      </c>
      <c r="P18" s="635"/>
      <c r="Q18" s="636">
        <f>P18/M18</f>
        <v>0</v>
      </c>
      <c r="R18" s="639">
        <v>61708.25</v>
      </c>
      <c r="S18" s="639">
        <f>R18*T18</f>
        <v>54920.342499999999</v>
      </c>
      <c r="T18" s="633">
        <v>0.89</v>
      </c>
      <c r="U18" s="635"/>
      <c r="V18" s="636">
        <f>U18/R18</f>
        <v>0</v>
      </c>
      <c r="W18" s="639">
        <f>D18+I18+N18+S18</f>
        <v>220574.6808</v>
      </c>
      <c r="X18" s="639"/>
      <c r="Y18" s="666">
        <f>+F18+K18+P18+U18</f>
        <v>0</v>
      </c>
      <c r="Z18" s="646">
        <f t="shared" si="0"/>
        <v>0</v>
      </c>
      <c r="AA18" s="645">
        <v>59976.43</v>
      </c>
      <c r="AB18" s="639">
        <f>AA18*AC18</f>
        <v>53379.022700000001</v>
      </c>
      <c r="AC18" s="633">
        <v>0.89</v>
      </c>
      <c r="AD18" s="635"/>
      <c r="AE18" s="636">
        <f>AD18/AA18</f>
        <v>0</v>
      </c>
      <c r="AF18" s="639">
        <v>75225.320000000007</v>
      </c>
      <c r="AG18" s="639">
        <f>AF18*AH18</f>
        <v>66198.281600000002</v>
      </c>
      <c r="AH18" s="633">
        <v>0.88</v>
      </c>
      <c r="AI18" s="635"/>
      <c r="AJ18" s="636">
        <f>AI18/AF18</f>
        <v>0</v>
      </c>
      <c r="AK18" s="639">
        <v>57198.38</v>
      </c>
      <c r="AL18" s="639">
        <f>AK18*AM18</f>
        <v>51478.542000000001</v>
      </c>
      <c r="AM18" s="633">
        <v>0.9</v>
      </c>
      <c r="AN18" s="635"/>
      <c r="AO18" s="636">
        <f>AN18/AK18</f>
        <v>0</v>
      </c>
      <c r="AP18" s="639">
        <v>71706.13</v>
      </c>
      <c r="AQ18" s="639">
        <f>AP18*AR18</f>
        <v>63818.455700000006</v>
      </c>
      <c r="AR18" s="633">
        <v>0.89</v>
      </c>
      <c r="AS18" s="635"/>
      <c r="AT18" s="636">
        <f>AS18/AP18</f>
        <v>0</v>
      </c>
      <c r="AU18" s="639">
        <f>AB18+AG18+AL18+AQ18</f>
        <v>234874.30200000003</v>
      </c>
      <c r="AV18" s="896"/>
      <c r="AW18" s="895">
        <f>AD18+AI18++AN18+AS18</f>
        <v>0</v>
      </c>
      <c r="AX18" s="665">
        <f t="shared" si="1"/>
        <v>0</v>
      </c>
      <c r="AY18" s="645">
        <v>78381.350000000006</v>
      </c>
      <c r="AZ18" s="639">
        <f>AY18*BA18</f>
        <v>69759.401500000007</v>
      </c>
      <c r="BA18" s="633">
        <v>0.89</v>
      </c>
      <c r="BB18" s="635"/>
      <c r="BC18" s="636">
        <f>BB18/AY18</f>
        <v>0</v>
      </c>
      <c r="BD18" s="639">
        <v>88506.29</v>
      </c>
      <c r="BE18" s="639">
        <f>BD18*BF18</f>
        <v>78770.598099999988</v>
      </c>
      <c r="BF18" s="633">
        <v>0.89</v>
      </c>
      <c r="BG18" s="635"/>
      <c r="BH18" s="636">
        <f>BG18/BD18</f>
        <v>0</v>
      </c>
      <c r="BI18" s="639">
        <v>89542.49</v>
      </c>
      <c r="BJ18" s="639">
        <f>BI18*BK18</f>
        <v>79692.816100000011</v>
      </c>
      <c r="BK18" s="633">
        <v>0.89</v>
      </c>
      <c r="BL18" s="635"/>
      <c r="BM18" s="636">
        <f>BL18/BI18</f>
        <v>0</v>
      </c>
      <c r="BN18" s="639">
        <v>77821.649999999994</v>
      </c>
      <c r="BO18" s="639">
        <f>BN18*BP18</f>
        <v>67704.835500000001</v>
      </c>
      <c r="BP18" s="633">
        <v>0.87</v>
      </c>
      <c r="BQ18" s="635"/>
      <c r="BR18" s="636">
        <f>BQ18/BN18</f>
        <v>0</v>
      </c>
      <c r="BS18" s="639">
        <v>83667.929999999993</v>
      </c>
      <c r="BT18" s="639">
        <f>BS18*BU18</f>
        <v>74464.457699999999</v>
      </c>
      <c r="BU18" s="633">
        <v>0.89</v>
      </c>
      <c r="BV18" s="635"/>
      <c r="BW18" s="636">
        <f>BV18/BS18</f>
        <v>0</v>
      </c>
      <c r="BX18" s="661">
        <f>AZ18+BE18+BJ18+BO18+BT18</f>
        <v>370392.10889999999</v>
      </c>
      <c r="BY18" s="661"/>
      <c r="BZ18" s="663">
        <f>BV18+BQ18+BL18+BG18+BB18</f>
        <v>0</v>
      </c>
      <c r="CA18" s="651">
        <f t="shared" si="2"/>
        <v>0</v>
      </c>
      <c r="CB18" s="645">
        <v>89858.42</v>
      </c>
      <c r="CC18" s="639">
        <f>CB18*CD18</f>
        <v>79973.993799999997</v>
      </c>
      <c r="CD18" s="633">
        <v>0.89</v>
      </c>
      <c r="CE18" s="635"/>
      <c r="CF18" s="636">
        <f>CE18/CB18</f>
        <v>0</v>
      </c>
      <c r="CG18" s="639">
        <v>93657.62</v>
      </c>
      <c r="CH18" s="639">
        <f>CG18*CI18</f>
        <v>83355.281799999997</v>
      </c>
      <c r="CI18" s="633">
        <v>0.89</v>
      </c>
      <c r="CJ18" s="635"/>
      <c r="CK18" s="636">
        <f>CJ18/CG18</f>
        <v>0</v>
      </c>
      <c r="CL18" s="639">
        <v>101073.33</v>
      </c>
      <c r="CM18" s="639">
        <f>CL18*CN18</f>
        <v>89955.263699999996</v>
      </c>
      <c r="CN18" s="633">
        <v>0.89</v>
      </c>
      <c r="CO18" s="635"/>
      <c r="CP18" s="636">
        <f>CO18/CL18</f>
        <v>0</v>
      </c>
      <c r="CQ18" s="639">
        <v>124332.84</v>
      </c>
      <c r="CR18" s="639">
        <f>CQ18*CS18</f>
        <v>111899.556</v>
      </c>
      <c r="CS18" s="633">
        <v>0.9</v>
      </c>
      <c r="CT18" s="635"/>
      <c r="CU18" s="636">
        <f>CT18/CQ18</f>
        <v>0</v>
      </c>
      <c r="CV18" s="656">
        <f>CR18+CM18+CH18+CC18</f>
        <v>365184.09529999999</v>
      </c>
      <c r="CW18" s="656"/>
      <c r="CX18" s="657">
        <f>CT18+CO18+CE18+CJ18</f>
        <v>0</v>
      </c>
      <c r="CY18" s="654">
        <f t="shared" si="3"/>
        <v>0</v>
      </c>
      <c r="CZ18" s="645">
        <v>130399.38</v>
      </c>
      <c r="DA18" s="639">
        <f>CZ18*DB18</f>
        <v>116055.4482</v>
      </c>
      <c r="DB18" s="633">
        <v>0.89</v>
      </c>
      <c r="DC18" s="635"/>
      <c r="DD18" s="636">
        <f>DC18/CZ18</f>
        <v>0</v>
      </c>
      <c r="DE18" s="639">
        <v>111392.63</v>
      </c>
      <c r="DF18" s="639">
        <f>DE18*DG18</f>
        <v>99139.440700000006</v>
      </c>
      <c r="DG18" s="633">
        <v>0.89</v>
      </c>
      <c r="DH18" s="635"/>
      <c r="DI18" s="636">
        <f>DH18/DE18</f>
        <v>0</v>
      </c>
      <c r="DJ18" s="639">
        <v>91629.88</v>
      </c>
      <c r="DK18" s="639">
        <f>DJ18*DL18</f>
        <v>81550.593200000003</v>
      </c>
      <c r="DL18" s="633">
        <v>0.89</v>
      </c>
      <c r="DM18" s="635"/>
      <c r="DN18" s="636">
        <f>DM18/DJ18</f>
        <v>0</v>
      </c>
      <c r="DO18" s="639">
        <v>102653.38</v>
      </c>
      <c r="DP18" s="639">
        <f>DO18*DQ18</f>
        <v>91361.508200000011</v>
      </c>
      <c r="DQ18" s="633">
        <v>0.89</v>
      </c>
      <c r="DR18" s="635"/>
      <c r="DS18" s="636">
        <f>DR18/DO18</f>
        <v>0</v>
      </c>
      <c r="DT18" s="656">
        <f>DP18+DK18+DF18+DA18</f>
        <v>388106.9903</v>
      </c>
      <c r="DU18" s="656"/>
      <c r="DV18" s="657">
        <f>DR18+DM18+DC18+DH18</f>
        <v>0</v>
      </c>
      <c r="DW18" s="654">
        <f t="shared" si="4"/>
        <v>0</v>
      </c>
      <c r="DX18" s="645">
        <v>92677.14</v>
      </c>
      <c r="DY18" s="639">
        <f>DX18*DZ18</f>
        <v>82482.654599999994</v>
      </c>
      <c r="DZ18" s="633">
        <v>0.89</v>
      </c>
      <c r="EA18" s="907">
        <f>'Vtas Diarias 2022'!AAC19</f>
        <v>0</v>
      </c>
      <c r="EB18" s="636">
        <f>EA18/DX18</f>
        <v>0</v>
      </c>
      <c r="EC18" s="639">
        <v>107391.84</v>
      </c>
      <c r="ED18" s="639">
        <f>EC18*EE18</f>
        <v>93430.900800000003</v>
      </c>
      <c r="EE18" s="633">
        <v>0.87</v>
      </c>
      <c r="EF18" s="635"/>
      <c r="EG18" s="636">
        <f>EF18/EC18</f>
        <v>0</v>
      </c>
      <c r="EH18" s="639">
        <v>102508.13</v>
      </c>
      <c r="EI18" s="639">
        <f>EH18*EJ18</f>
        <v>91232.235700000005</v>
      </c>
      <c r="EJ18" s="633">
        <v>0.89</v>
      </c>
      <c r="EK18" s="635"/>
      <c r="EL18" s="636">
        <f>EK18/EH18</f>
        <v>0</v>
      </c>
      <c r="EM18" s="639">
        <v>81081.67</v>
      </c>
      <c r="EN18" s="639">
        <f>EM18*EO18</f>
        <v>75405.953099999999</v>
      </c>
      <c r="EO18" s="633">
        <v>0.93</v>
      </c>
      <c r="EP18" s="635"/>
      <c r="EQ18" s="636">
        <f>EP18/EM18</f>
        <v>0</v>
      </c>
      <c r="ER18" s="639">
        <v>113271.78</v>
      </c>
      <c r="ES18" s="639">
        <f>ER18*ET18</f>
        <v>105342.75540000001</v>
      </c>
      <c r="ET18" s="633">
        <v>0.93</v>
      </c>
      <c r="EU18" s="635"/>
      <c r="EV18" s="636">
        <f>EU18/ER18</f>
        <v>0</v>
      </c>
      <c r="EW18" s="661">
        <f>ES18+EN18+EI18+ED18+DY18</f>
        <v>447894.49960000004</v>
      </c>
      <c r="EX18" s="661"/>
      <c r="EY18" s="904">
        <f t="shared" si="5"/>
        <v>0</v>
      </c>
      <c r="EZ18" s="654">
        <f t="shared" si="6"/>
        <v>0</v>
      </c>
      <c r="FA18" s="645">
        <v>90007.31</v>
      </c>
      <c r="FB18" s="639">
        <f>FA18*FC18</f>
        <v>79206.432799999995</v>
      </c>
      <c r="FC18" s="908">
        <v>0.88</v>
      </c>
      <c r="FD18" s="635"/>
      <c r="FE18" s="636">
        <f>FD18/FA18</f>
        <v>0</v>
      </c>
      <c r="FF18" s="639">
        <v>94157.35</v>
      </c>
      <c r="FG18" s="639">
        <f>FF18*FH18</f>
        <v>82858.468000000008</v>
      </c>
      <c r="FH18" s="633">
        <v>0.88</v>
      </c>
      <c r="FI18" s="635"/>
      <c r="FJ18" s="636">
        <f>FI18/FF18</f>
        <v>0</v>
      </c>
      <c r="FK18" s="639">
        <v>90780.45</v>
      </c>
      <c r="FL18" s="639">
        <f>FK18*FM18</f>
        <v>79886.796000000002</v>
      </c>
      <c r="FM18" s="633">
        <v>0.88</v>
      </c>
      <c r="FN18" s="635"/>
      <c r="FO18" s="636">
        <f>FN18/FK18</f>
        <v>0</v>
      </c>
      <c r="FP18" s="639">
        <v>87494.05</v>
      </c>
      <c r="FQ18" s="639">
        <f>FP18*FR18</f>
        <v>80494.526000000013</v>
      </c>
      <c r="FR18" s="908">
        <v>0.92</v>
      </c>
      <c r="FS18" s="635"/>
      <c r="FT18" s="636">
        <f>FS18/FP18</f>
        <v>0</v>
      </c>
      <c r="FU18" s="661">
        <f>FQ18+FL18+FG18+FB18</f>
        <v>322446.22280000005</v>
      </c>
      <c r="FV18" s="661"/>
      <c r="FW18" s="663">
        <f>FS18+FN18+FD18+FI18</f>
        <v>0</v>
      </c>
      <c r="FX18" s="651">
        <f t="shared" si="7"/>
        <v>0</v>
      </c>
      <c r="FY18" s="645">
        <v>74083.12</v>
      </c>
      <c r="FZ18" s="639">
        <f>FY18*GA18</f>
        <v>70378.963999999993</v>
      </c>
      <c r="GA18" s="633">
        <v>0.95</v>
      </c>
      <c r="GB18" s="635"/>
      <c r="GC18" s="636">
        <f>GB18/FY18</f>
        <v>0</v>
      </c>
      <c r="GD18" s="639">
        <v>82731.199999999997</v>
      </c>
      <c r="GE18" s="639">
        <f>GD18*GF18</f>
        <v>74458.080000000002</v>
      </c>
      <c r="GF18" s="633">
        <v>0.9</v>
      </c>
      <c r="GG18" s="635"/>
      <c r="GH18" s="636">
        <f>GG18/GD18</f>
        <v>0</v>
      </c>
      <c r="GI18" s="639">
        <v>67196.98</v>
      </c>
      <c r="GJ18" s="639">
        <f>GI18*GK18</f>
        <v>65853.040399999998</v>
      </c>
      <c r="GK18" s="633">
        <v>0.98</v>
      </c>
      <c r="GL18" s="635"/>
      <c r="GM18" s="636">
        <f>GL18/GI18</f>
        <v>0</v>
      </c>
      <c r="GN18" s="639">
        <v>76727.25</v>
      </c>
      <c r="GO18" s="639">
        <f>GN18*GP18</f>
        <v>75192.705000000002</v>
      </c>
      <c r="GP18" s="633">
        <v>0.98</v>
      </c>
      <c r="GQ18" s="635"/>
      <c r="GR18" s="636">
        <f>GQ18/GN18</f>
        <v>0</v>
      </c>
      <c r="GS18" s="661">
        <f>GO18+GJ18+GE18+FZ18</f>
        <v>285882.78940000001</v>
      </c>
      <c r="GT18" s="661"/>
      <c r="GU18" s="662">
        <f>GQ18+GL18+GB18+GG18</f>
        <v>0</v>
      </c>
      <c r="GV18" s="654">
        <f t="shared" si="8"/>
        <v>0</v>
      </c>
      <c r="GW18" s="645">
        <v>79788</v>
      </c>
      <c r="GX18" s="639">
        <f>GW18*GY18</f>
        <v>78192.240000000005</v>
      </c>
      <c r="GY18" s="633">
        <v>0.98</v>
      </c>
      <c r="GZ18" s="635"/>
      <c r="HA18" s="636">
        <f>GZ18/GW18</f>
        <v>0</v>
      </c>
      <c r="HB18" s="639">
        <v>78594.259999999995</v>
      </c>
      <c r="HC18" s="639">
        <f>HB18*HD18</f>
        <v>78594.259999999995</v>
      </c>
      <c r="HD18" s="633">
        <v>1</v>
      </c>
      <c r="HE18" s="635"/>
      <c r="HF18" s="636">
        <f>HE18/HB18</f>
        <v>0</v>
      </c>
      <c r="HG18" s="639">
        <v>76441.509999999995</v>
      </c>
      <c r="HH18" s="639">
        <f>HG18*HI18</f>
        <v>72619.434499999988</v>
      </c>
      <c r="HI18" s="633">
        <v>0.95</v>
      </c>
      <c r="HJ18" s="635"/>
      <c r="HK18" s="636">
        <f>HJ18/HG18</f>
        <v>0</v>
      </c>
      <c r="HL18" s="639">
        <v>61919.51</v>
      </c>
      <c r="HM18" s="639">
        <f>HL18*HN18</f>
        <v>60061.924700000003</v>
      </c>
      <c r="HN18" s="633">
        <v>0.97</v>
      </c>
      <c r="HO18" s="635"/>
      <c r="HP18" s="636">
        <f>HO18/HL18</f>
        <v>0</v>
      </c>
      <c r="HQ18" s="639">
        <v>72345.509999999995</v>
      </c>
      <c r="HR18" s="639">
        <f>HQ18*HS18</f>
        <v>70898.599799999996</v>
      </c>
      <c r="HS18" s="633">
        <v>0.98</v>
      </c>
      <c r="HT18" s="635"/>
      <c r="HU18" s="636">
        <f>HT18/HQ18</f>
        <v>0</v>
      </c>
      <c r="HV18" s="661">
        <f>HR18+HM18+HH18+HC18+GX18</f>
        <v>360366.45899999997</v>
      </c>
      <c r="HW18" s="661"/>
      <c r="HX18" s="663">
        <f>HT18+HO18+HJ18+HE18+GZ18</f>
        <v>0</v>
      </c>
      <c r="HY18" s="651">
        <f t="shared" si="9"/>
        <v>0</v>
      </c>
      <c r="HZ18" s="645">
        <v>70207.3</v>
      </c>
      <c r="IA18" s="639">
        <f>HZ18*IB18</f>
        <v>68101.081000000006</v>
      </c>
      <c r="IB18" s="633">
        <v>0.97</v>
      </c>
      <c r="IC18" s="635"/>
      <c r="ID18" s="636">
        <f>IC18/HZ18</f>
        <v>0</v>
      </c>
      <c r="IE18" s="639">
        <v>65152.42</v>
      </c>
      <c r="IF18" s="639">
        <f>IE18*IG18</f>
        <v>62546.323199999999</v>
      </c>
      <c r="IG18" s="633">
        <v>0.96</v>
      </c>
      <c r="IH18" s="635"/>
      <c r="II18" s="636">
        <f>IH18/IE18</f>
        <v>0</v>
      </c>
      <c r="IJ18" s="639">
        <v>73445.59</v>
      </c>
      <c r="IK18" s="639">
        <f>IJ18*IL18</f>
        <v>72711.134099999996</v>
      </c>
      <c r="IL18" s="633">
        <v>0.99</v>
      </c>
      <c r="IM18" s="635"/>
      <c r="IN18" s="636">
        <f>IM18/IJ18</f>
        <v>0</v>
      </c>
      <c r="IO18" s="639">
        <v>107844.62</v>
      </c>
      <c r="IP18" s="639">
        <f>IO18*IQ18</f>
        <v>104609.28139999999</v>
      </c>
      <c r="IQ18" s="633">
        <v>0.97</v>
      </c>
      <c r="IR18" s="635"/>
      <c r="IS18" s="636">
        <f>IR18/IO18</f>
        <v>0</v>
      </c>
      <c r="IT18" s="661">
        <f>IP18+IK18+IF18+IA18</f>
        <v>307967.81969999999</v>
      </c>
      <c r="IU18" s="661"/>
      <c r="IV18" s="662">
        <f>IC18+IH18+IM18+IR18</f>
        <v>0</v>
      </c>
      <c r="IW18" s="654">
        <f t="shared" si="10"/>
        <v>0</v>
      </c>
      <c r="IX18" s="645">
        <v>80299.45</v>
      </c>
      <c r="IY18" s="639">
        <f>IX18*IZ18</f>
        <v>77890.466499999995</v>
      </c>
      <c r="IZ18" s="633">
        <v>0.97</v>
      </c>
      <c r="JA18" s="635"/>
      <c r="JB18" s="636">
        <f>JA18/IX18</f>
        <v>0</v>
      </c>
      <c r="JC18" s="639">
        <v>95763.58</v>
      </c>
      <c r="JD18" s="639">
        <f>JC18*JE18</f>
        <v>90017.765199999994</v>
      </c>
      <c r="JE18" s="633">
        <v>0.94</v>
      </c>
      <c r="JF18" s="635"/>
      <c r="JG18" s="636">
        <f>JF18/JC18</f>
        <v>0</v>
      </c>
      <c r="JH18" s="639">
        <v>110096.38</v>
      </c>
      <c r="JI18" s="639">
        <f>JH18*JJ18</f>
        <v>105692.5248</v>
      </c>
      <c r="JJ18" s="633">
        <v>0.96</v>
      </c>
      <c r="JK18" s="635"/>
      <c r="JL18" s="636">
        <f>JK18/JH18</f>
        <v>0</v>
      </c>
      <c r="JM18" s="639">
        <v>131324.28</v>
      </c>
      <c r="JN18" s="639">
        <f>JM18*JO18</f>
        <v>124758.06599999999</v>
      </c>
      <c r="JO18" s="633">
        <v>0.95</v>
      </c>
      <c r="JP18" s="635"/>
      <c r="JQ18" s="636">
        <f>JP18/JM18</f>
        <v>0</v>
      </c>
      <c r="JR18" s="661">
        <f>JN18+JI18+JD18+IY18</f>
        <v>398358.82250000001</v>
      </c>
      <c r="JS18" s="661"/>
      <c r="JT18" s="663">
        <f>JP18+JK18+JA18+JF18</f>
        <v>0</v>
      </c>
      <c r="JU18" s="651">
        <f t="shared" si="11"/>
        <v>0</v>
      </c>
      <c r="JV18" s="645">
        <v>156091.46</v>
      </c>
      <c r="JW18" s="639">
        <f>JV18*JX18</f>
        <v>146725.97239999997</v>
      </c>
      <c r="JX18" s="908">
        <v>0.94</v>
      </c>
      <c r="JY18" s="635"/>
      <c r="JZ18" s="636">
        <f>JY18/JV18</f>
        <v>0</v>
      </c>
      <c r="KA18" s="639">
        <v>169396.69</v>
      </c>
      <c r="KB18" s="639">
        <f>KA18*KC18</f>
        <v>157538.92170000001</v>
      </c>
      <c r="KC18" s="908">
        <v>0.93</v>
      </c>
      <c r="KD18" s="635"/>
      <c r="KE18" s="636">
        <f>KD18/KA18</f>
        <v>0</v>
      </c>
      <c r="KF18" s="639">
        <v>223427.18</v>
      </c>
      <c r="KG18" s="639">
        <f>KF18*KH18</f>
        <v>207787.27739999999</v>
      </c>
      <c r="KH18" s="908">
        <v>0.93</v>
      </c>
      <c r="KI18" s="635"/>
      <c r="KJ18" s="636">
        <f>KI18/KF18</f>
        <v>0</v>
      </c>
      <c r="KK18" s="639">
        <v>241208.79</v>
      </c>
      <c r="KL18" s="639">
        <f>KK18*KM18</f>
        <v>224324.17470000003</v>
      </c>
      <c r="KM18" s="908">
        <v>0.93</v>
      </c>
      <c r="KN18" s="635"/>
      <c r="KO18" s="636">
        <f>KN18/KK18</f>
        <v>0</v>
      </c>
      <c r="KP18" s="639">
        <v>74757.62</v>
      </c>
      <c r="KQ18" s="639">
        <f>KP18*KR18</f>
        <v>71019.738999999987</v>
      </c>
      <c r="KR18" s="908">
        <v>0.95</v>
      </c>
      <c r="KS18" s="635"/>
      <c r="KT18" s="636">
        <f>KS18/KP18</f>
        <v>0</v>
      </c>
      <c r="KU18" s="661">
        <f>KQ18+KL18+KG18+KB18+JW18</f>
        <v>807396.08519999997</v>
      </c>
      <c r="KV18" s="661"/>
      <c r="KW18" s="662">
        <f>KS18+KN18+KI18+KD18+JY18</f>
        <v>0</v>
      </c>
      <c r="KX18" s="959">
        <f t="shared" si="12"/>
        <v>0</v>
      </c>
      <c r="KY18" s="894">
        <f>X18+AV18+BY18+CW18+DU18+EX18+FV18+GT18+HW18+IU18+JS18+KV18</f>
        <v>0</v>
      </c>
      <c r="KZ18" s="893">
        <f>Y18+AW18+BZ18+CX18+DV18+EY18+FW18+GU18+HX18+IV18+JT18+KW18</f>
        <v>0</v>
      </c>
      <c r="LA18" s="892">
        <f>KZ18-KY18</f>
        <v>0</v>
      </c>
      <c r="LB18" s="891">
        <f t="shared" si="13"/>
        <v>0</v>
      </c>
    </row>
    <row r="19" spans="1:314">
      <c r="A19" s="1495"/>
      <c r="B19" s="900" t="s">
        <v>22</v>
      </c>
      <c r="C19" s="645">
        <v>59623.17</v>
      </c>
      <c r="D19" s="639">
        <f>C19*E19</f>
        <v>53064.621299999999</v>
      </c>
      <c r="E19" s="908">
        <v>0.89</v>
      </c>
      <c r="F19" s="635"/>
      <c r="G19" s="636">
        <f>F19/C19</f>
        <v>0</v>
      </c>
      <c r="H19" s="639">
        <v>57713.45</v>
      </c>
      <c r="I19" s="639">
        <f>H19*J19</f>
        <v>51364.970499999996</v>
      </c>
      <c r="J19" s="633">
        <v>0.89</v>
      </c>
      <c r="K19" s="635"/>
      <c r="L19" s="636">
        <f>K19/H19</f>
        <v>0</v>
      </c>
      <c r="M19" s="639">
        <v>68528.7</v>
      </c>
      <c r="N19" s="639">
        <f>M19*O19</f>
        <v>60990.542999999998</v>
      </c>
      <c r="O19" s="633">
        <v>0.89</v>
      </c>
      <c r="P19" s="635"/>
      <c r="Q19" s="636">
        <f>P19/M19</f>
        <v>0</v>
      </c>
      <c r="R19" s="639">
        <v>66627.75</v>
      </c>
      <c r="S19" s="639">
        <f>R19*T19</f>
        <v>59298.697500000002</v>
      </c>
      <c r="T19" s="633">
        <v>0.89</v>
      </c>
      <c r="U19" s="635"/>
      <c r="V19" s="636">
        <f>U19/R19</f>
        <v>0</v>
      </c>
      <c r="W19" s="639">
        <f>D19+I19+N19+S19</f>
        <v>224718.83230000001</v>
      </c>
      <c r="X19" s="639"/>
      <c r="Y19" s="666">
        <f>+F19+K19+P19+U19</f>
        <v>0</v>
      </c>
      <c r="Z19" s="646">
        <f t="shared" si="0"/>
        <v>0</v>
      </c>
      <c r="AA19" s="645">
        <v>72451.759999999995</v>
      </c>
      <c r="AB19" s="639">
        <f>AA19*AC19</f>
        <v>64482.066399999996</v>
      </c>
      <c r="AC19" s="633">
        <v>0.89</v>
      </c>
      <c r="AD19" s="635"/>
      <c r="AE19" s="636">
        <f>AD19/AA19</f>
        <v>0</v>
      </c>
      <c r="AF19" s="639">
        <v>102634.2</v>
      </c>
      <c r="AG19" s="639">
        <f>AF19*AH19</f>
        <v>90318.096000000005</v>
      </c>
      <c r="AH19" s="633">
        <v>0.88</v>
      </c>
      <c r="AI19" s="635"/>
      <c r="AJ19" s="636">
        <f>AI19/AF19</f>
        <v>0</v>
      </c>
      <c r="AK19" s="639">
        <v>86762.45</v>
      </c>
      <c r="AL19" s="639">
        <f>AK19*AM19</f>
        <v>78086.205000000002</v>
      </c>
      <c r="AM19" s="633">
        <v>0.9</v>
      </c>
      <c r="AN19" s="635"/>
      <c r="AO19" s="636">
        <f>AN19/AK19</f>
        <v>0</v>
      </c>
      <c r="AP19" s="639">
        <v>98404.81</v>
      </c>
      <c r="AQ19" s="639">
        <f>AP19*AR19</f>
        <v>87580.280899999998</v>
      </c>
      <c r="AR19" s="633">
        <v>0.89</v>
      </c>
      <c r="AS19" s="635"/>
      <c r="AT19" s="636">
        <f>AS19/AP19</f>
        <v>0</v>
      </c>
      <c r="AU19" s="639">
        <f>AB19+AG19+AL19+AQ19</f>
        <v>320466.6483</v>
      </c>
      <c r="AV19" s="896"/>
      <c r="AW19" s="895">
        <f>AD19+AI19++AN19+AS19</f>
        <v>0</v>
      </c>
      <c r="AX19" s="665">
        <f t="shared" si="1"/>
        <v>0</v>
      </c>
      <c r="AY19" s="645">
        <v>95156.07</v>
      </c>
      <c r="AZ19" s="639">
        <f>AY19*BA19</f>
        <v>84688.902300000002</v>
      </c>
      <c r="BA19" s="633">
        <v>0.89</v>
      </c>
      <c r="BB19" s="635"/>
      <c r="BC19" s="636">
        <f>BB19/AY19</f>
        <v>0</v>
      </c>
      <c r="BD19" s="639">
        <v>106045.66</v>
      </c>
      <c r="BE19" s="639">
        <f>BD19*BF19</f>
        <v>94380.637400000007</v>
      </c>
      <c r="BF19" s="633">
        <v>0.89</v>
      </c>
      <c r="BG19" s="635"/>
      <c r="BH19" s="636">
        <f>BG19/BD19</f>
        <v>0</v>
      </c>
      <c r="BI19" s="639">
        <v>102267.44</v>
      </c>
      <c r="BJ19" s="639">
        <f>BI19*BK19</f>
        <v>91018.021600000007</v>
      </c>
      <c r="BK19" s="633">
        <v>0.89</v>
      </c>
      <c r="BL19" s="635"/>
      <c r="BM19" s="636">
        <f>BL19/BI19</f>
        <v>0</v>
      </c>
      <c r="BN19" s="639">
        <v>90487.34</v>
      </c>
      <c r="BO19" s="639">
        <f>BN19*BP19</f>
        <v>78723.985799999995</v>
      </c>
      <c r="BP19" s="633">
        <v>0.87</v>
      </c>
      <c r="BQ19" s="635"/>
      <c r="BR19" s="636">
        <f>BQ19/BN19</f>
        <v>0</v>
      </c>
      <c r="BS19" s="639">
        <v>107925.91</v>
      </c>
      <c r="BT19" s="639">
        <f>BS19*BU19</f>
        <v>96054.059900000007</v>
      </c>
      <c r="BU19" s="633">
        <v>0.89</v>
      </c>
      <c r="BV19" s="635"/>
      <c r="BW19" s="636">
        <f>BV19/BS19</f>
        <v>0</v>
      </c>
      <c r="BX19" s="661">
        <f>AZ19+BE19+BJ19+BO19+BT19</f>
        <v>444865.60700000008</v>
      </c>
      <c r="BY19" s="661"/>
      <c r="BZ19" s="663">
        <f>BV19+BQ19+BL19+BG19+BB19</f>
        <v>0</v>
      </c>
      <c r="CA19" s="651">
        <f t="shared" si="2"/>
        <v>0</v>
      </c>
      <c r="CB19" s="645">
        <v>118866.64</v>
      </c>
      <c r="CC19" s="639">
        <f>CB19*CD19</f>
        <v>105791.30960000001</v>
      </c>
      <c r="CD19" s="633">
        <v>0.89</v>
      </c>
      <c r="CE19" s="635"/>
      <c r="CF19" s="636">
        <f>CE19/CB19</f>
        <v>0</v>
      </c>
      <c r="CG19" s="639">
        <v>136694.71</v>
      </c>
      <c r="CH19" s="639">
        <f>CG19*CI19</f>
        <v>121658.2919</v>
      </c>
      <c r="CI19" s="633">
        <v>0.89</v>
      </c>
      <c r="CJ19" s="635"/>
      <c r="CK19" s="636">
        <f>CJ19/CG19</f>
        <v>0</v>
      </c>
      <c r="CL19" s="639">
        <v>106468.75</v>
      </c>
      <c r="CM19" s="639">
        <f>CL19*CN19</f>
        <v>94757.1875</v>
      </c>
      <c r="CN19" s="633">
        <v>0.89</v>
      </c>
      <c r="CO19" s="635"/>
      <c r="CP19" s="636">
        <f>CO19/CL19</f>
        <v>0</v>
      </c>
      <c r="CQ19" s="639">
        <v>131458.74</v>
      </c>
      <c r="CR19" s="639">
        <f>CQ19*CS19</f>
        <v>118312.86599999999</v>
      </c>
      <c r="CS19" s="633">
        <v>0.9</v>
      </c>
      <c r="CT19" s="635"/>
      <c r="CU19" s="636">
        <f>CT19/CQ19</f>
        <v>0</v>
      </c>
      <c r="CV19" s="656">
        <f>CR19+CM19+CH19+CC19</f>
        <v>440519.65500000003</v>
      </c>
      <c r="CW19" s="656"/>
      <c r="CX19" s="657">
        <f>CT19+CO19+CE19+CJ19</f>
        <v>0</v>
      </c>
      <c r="CY19" s="654">
        <f t="shared" si="3"/>
        <v>0</v>
      </c>
      <c r="CZ19" s="645">
        <v>150708.93</v>
      </c>
      <c r="DA19" s="639">
        <f>CZ19*DB19</f>
        <v>134130.94769999999</v>
      </c>
      <c r="DB19" s="633">
        <v>0.89</v>
      </c>
      <c r="DC19" s="635"/>
      <c r="DD19" s="636">
        <f>DC19/CZ19</f>
        <v>0</v>
      </c>
      <c r="DE19" s="639">
        <v>111348.62</v>
      </c>
      <c r="DF19" s="639">
        <f>DE19*DG19</f>
        <v>99100.271800000002</v>
      </c>
      <c r="DG19" s="633">
        <v>0.89</v>
      </c>
      <c r="DH19" s="635"/>
      <c r="DI19" s="636">
        <f>DH19/DE19</f>
        <v>0</v>
      </c>
      <c r="DJ19" s="639">
        <v>109071.71</v>
      </c>
      <c r="DK19" s="639">
        <f>DJ19*DL19</f>
        <v>97073.82190000001</v>
      </c>
      <c r="DL19" s="633">
        <v>0.89</v>
      </c>
      <c r="DM19" s="635"/>
      <c r="DN19" s="636">
        <f>DM19/DJ19</f>
        <v>0</v>
      </c>
      <c r="DO19" s="639">
        <v>110243.23</v>
      </c>
      <c r="DP19" s="639">
        <f>DO19*DQ19</f>
        <v>98116.474699999992</v>
      </c>
      <c r="DQ19" s="633">
        <v>0.89</v>
      </c>
      <c r="DR19" s="635"/>
      <c r="DS19" s="636">
        <f>DR19/DO19</f>
        <v>0</v>
      </c>
      <c r="DT19" s="656">
        <f>DP19+DK19+DF19+DA19</f>
        <v>428421.51610000001</v>
      </c>
      <c r="DU19" s="656"/>
      <c r="DV19" s="657">
        <f>DR19+DM19+DC19+DH19</f>
        <v>0</v>
      </c>
      <c r="DW19" s="654">
        <f t="shared" si="4"/>
        <v>0</v>
      </c>
      <c r="DX19" s="645">
        <v>92281.77</v>
      </c>
      <c r="DY19" s="639">
        <f>DX19*DZ19</f>
        <v>82130.775300000008</v>
      </c>
      <c r="DZ19" s="633">
        <v>0.89</v>
      </c>
      <c r="EA19" s="907">
        <f>'Vtas Diarias 2022'!AAC20</f>
        <v>0</v>
      </c>
      <c r="EB19" s="636">
        <f>EA19/DX19</f>
        <v>0</v>
      </c>
      <c r="EC19" s="639">
        <v>124658.56</v>
      </c>
      <c r="ED19" s="639">
        <f>EC19*EE19</f>
        <v>108452.9472</v>
      </c>
      <c r="EE19" s="633">
        <v>0.87</v>
      </c>
      <c r="EF19" s="635"/>
      <c r="EG19" s="636">
        <f>EF19/EC19</f>
        <v>0</v>
      </c>
      <c r="EH19" s="639">
        <v>107608.88</v>
      </c>
      <c r="EI19" s="639">
        <f>EH19*EJ19</f>
        <v>95771.903200000001</v>
      </c>
      <c r="EJ19" s="633">
        <v>0.89</v>
      </c>
      <c r="EK19" s="635"/>
      <c r="EL19" s="636">
        <f>EK19/EH19</f>
        <v>0</v>
      </c>
      <c r="EM19" s="639">
        <v>91925.71</v>
      </c>
      <c r="EN19" s="639">
        <f>EM19*EO19</f>
        <v>85490.910300000003</v>
      </c>
      <c r="EO19" s="633">
        <v>0.93</v>
      </c>
      <c r="EP19" s="635"/>
      <c r="EQ19" s="636">
        <f>EP19/EM19</f>
        <v>0</v>
      </c>
      <c r="ER19" s="639">
        <v>100603.97</v>
      </c>
      <c r="ES19" s="639">
        <f>ER19*ET19</f>
        <v>93561.6921</v>
      </c>
      <c r="ET19" s="633">
        <v>0.93</v>
      </c>
      <c r="EU19" s="635"/>
      <c r="EV19" s="636">
        <f>EU19/ER19</f>
        <v>0</v>
      </c>
      <c r="EW19" s="661">
        <f>ES19+EN19+EI19+ED19+DY19</f>
        <v>465408.22810000007</v>
      </c>
      <c r="EX19" s="661"/>
      <c r="EY19" s="904">
        <f t="shared" si="5"/>
        <v>0</v>
      </c>
      <c r="EZ19" s="654">
        <f t="shared" si="6"/>
        <v>0</v>
      </c>
      <c r="FA19" s="645">
        <v>91837.51</v>
      </c>
      <c r="FB19" s="639">
        <f>FA19*FC19</f>
        <v>80817.008799999996</v>
      </c>
      <c r="FC19" s="908">
        <v>0.88</v>
      </c>
      <c r="FD19" s="635"/>
      <c r="FE19" s="636">
        <f>FD19/FA19</f>
        <v>0</v>
      </c>
      <c r="FF19" s="639">
        <v>97629.87</v>
      </c>
      <c r="FG19" s="639">
        <f>FF19*FH19</f>
        <v>85914.285600000003</v>
      </c>
      <c r="FH19" s="633">
        <v>0.88</v>
      </c>
      <c r="FI19" s="635"/>
      <c r="FJ19" s="636">
        <f>FI19/FF19</f>
        <v>0</v>
      </c>
      <c r="FK19" s="639">
        <v>100005.12</v>
      </c>
      <c r="FL19" s="639">
        <f>FK19*FM19</f>
        <v>88004.505599999989</v>
      </c>
      <c r="FM19" s="633">
        <v>0.88</v>
      </c>
      <c r="FN19" s="635"/>
      <c r="FO19" s="636">
        <f>FN19/FK19</f>
        <v>0</v>
      </c>
      <c r="FP19" s="639">
        <v>94681.27</v>
      </c>
      <c r="FQ19" s="639">
        <f>FP19*FR19</f>
        <v>87106.768400000001</v>
      </c>
      <c r="FR19" s="908">
        <v>0.92</v>
      </c>
      <c r="FS19" s="635"/>
      <c r="FT19" s="636">
        <f>FS19/FP19</f>
        <v>0</v>
      </c>
      <c r="FU19" s="661">
        <f>FQ19+FL19+FG19+FB19</f>
        <v>341842.56839999999</v>
      </c>
      <c r="FV19" s="661"/>
      <c r="FW19" s="663">
        <f>FS19+FN19+FD19+FI19</f>
        <v>0</v>
      </c>
      <c r="FX19" s="651">
        <f t="shared" si="7"/>
        <v>0</v>
      </c>
      <c r="FY19" s="645">
        <v>97293.75</v>
      </c>
      <c r="FZ19" s="639">
        <f>FY19*GA19</f>
        <v>92429.0625</v>
      </c>
      <c r="GA19" s="633">
        <v>0.95</v>
      </c>
      <c r="GB19" s="635"/>
      <c r="GC19" s="636">
        <f>GB19/FY19</f>
        <v>0</v>
      </c>
      <c r="GD19" s="639">
        <v>89454.41</v>
      </c>
      <c r="GE19" s="639">
        <f>GD19*GF19</f>
        <v>80508.969000000012</v>
      </c>
      <c r="GF19" s="633">
        <v>0.9</v>
      </c>
      <c r="GG19" s="635"/>
      <c r="GH19" s="636">
        <f>GG19/GD19</f>
        <v>0</v>
      </c>
      <c r="GI19" s="639">
        <v>83867.37</v>
      </c>
      <c r="GJ19" s="639">
        <f>GI19*GK19</f>
        <v>82190.022599999997</v>
      </c>
      <c r="GK19" s="633">
        <v>0.98</v>
      </c>
      <c r="GL19" s="635"/>
      <c r="GM19" s="636">
        <f>GL19/GI19</f>
        <v>0</v>
      </c>
      <c r="GN19" s="639">
        <v>98788.46</v>
      </c>
      <c r="GO19" s="639">
        <f>GN19*GP19</f>
        <v>96812.690800000011</v>
      </c>
      <c r="GP19" s="633">
        <v>0.98</v>
      </c>
      <c r="GQ19" s="635"/>
      <c r="GR19" s="636">
        <f>GQ19/GN19</f>
        <v>0</v>
      </c>
      <c r="GS19" s="661">
        <f>GO19+GJ19+GE19+FZ19</f>
        <v>351940.74490000005</v>
      </c>
      <c r="GT19" s="661"/>
      <c r="GU19" s="662">
        <f>GQ19+GL19+GB19+GG19</f>
        <v>0</v>
      </c>
      <c r="GV19" s="654">
        <f t="shared" si="8"/>
        <v>0</v>
      </c>
      <c r="GW19" s="645">
        <v>92118</v>
      </c>
      <c r="GX19" s="639">
        <f>GW19*GY19</f>
        <v>90275.64</v>
      </c>
      <c r="GY19" s="633">
        <v>0.98</v>
      </c>
      <c r="GZ19" s="635"/>
      <c r="HA19" s="636">
        <f>GZ19/GW19</f>
        <v>0</v>
      </c>
      <c r="HB19" s="639">
        <v>88719.21</v>
      </c>
      <c r="HC19" s="639">
        <f>HB19*HD19</f>
        <v>88719.21</v>
      </c>
      <c r="HD19" s="633">
        <v>1</v>
      </c>
      <c r="HE19" s="635"/>
      <c r="HF19" s="636">
        <f>HE19/HB19</f>
        <v>0</v>
      </c>
      <c r="HG19" s="639">
        <v>97943.87</v>
      </c>
      <c r="HH19" s="639">
        <f>HG19*HI19</f>
        <v>93046.676499999987</v>
      </c>
      <c r="HI19" s="633">
        <v>0.95</v>
      </c>
      <c r="HJ19" s="635"/>
      <c r="HK19" s="636">
        <f>HJ19/HG19</f>
        <v>0</v>
      </c>
      <c r="HL19" s="639">
        <v>81372.17</v>
      </c>
      <c r="HM19" s="639">
        <f>HL19*HN19</f>
        <v>78931.0049</v>
      </c>
      <c r="HN19" s="633">
        <v>0.97</v>
      </c>
      <c r="HO19" s="635"/>
      <c r="HP19" s="636">
        <f>HO19/HL19</f>
        <v>0</v>
      </c>
      <c r="HQ19" s="639">
        <v>95865.279999999999</v>
      </c>
      <c r="HR19" s="639">
        <f>HQ19*HS19</f>
        <v>93947.974399999992</v>
      </c>
      <c r="HS19" s="633">
        <v>0.98</v>
      </c>
      <c r="HT19" s="635"/>
      <c r="HU19" s="636">
        <f>HT19/HQ19</f>
        <v>0</v>
      </c>
      <c r="HV19" s="661">
        <f>HR19+HM19+HH19+HC19+GX19</f>
        <v>444920.50580000004</v>
      </c>
      <c r="HW19" s="661"/>
      <c r="HX19" s="663">
        <f>HT19+HO19+HJ19+HE19+GZ19</f>
        <v>0</v>
      </c>
      <c r="HY19" s="651">
        <f t="shared" si="9"/>
        <v>0</v>
      </c>
      <c r="HZ19" s="645">
        <v>87839.58</v>
      </c>
      <c r="IA19" s="639">
        <f>HZ19*IB19</f>
        <v>85204.392600000006</v>
      </c>
      <c r="IB19" s="633">
        <v>0.97</v>
      </c>
      <c r="IC19" s="635"/>
      <c r="ID19" s="636">
        <f>IC19/HZ19</f>
        <v>0</v>
      </c>
      <c r="IE19" s="639">
        <v>100476.13</v>
      </c>
      <c r="IF19" s="639">
        <f>IE19*IG19</f>
        <v>96457.084799999997</v>
      </c>
      <c r="IG19" s="633">
        <v>0.96</v>
      </c>
      <c r="IH19" s="635"/>
      <c r="II19" s="636">
        <f>IH19/IE19</f>
        <v>0</v>
      </c>
      <c r="IJ19" s="639">
        <v>113624.53</v>
      </c>
      <c r="IK19" s="639">
        <f>IJ19*IL19</f>
        <v>112488.2847</v>
      </c>
      <c r="IL19" s="633">
        <v>0.99</v>
      </c>
      <c r="IM19" s="635"/>
      <c r="IN19" s="636">
        <f>IM19/IJ19</f>
        <v>0</v>
      </c>
      <c r="IO19" s="639">
        <v>139039.4</v>
      </c>
      <c r="IP19" s="639">
        <f>IO19*IQ19</f>
        <v>134868.21799999999</v>
      </c>
      <c r="IQ19" s="633">
        <v>0.97</v>
      </c>
      <c r="IR19" s="635"/>
      <c r="IS19" s="636">
        <f>IR19/IO19</f>
        <v>0</v>
      </c>
      <c r="IT19" s="661">
        <f>IP19+IK19+IF19+IA19</f>
        <v>429017.98010000004</v>
      </c>
      <c r="IU19" s="661"/>
      <c r="IV19" s="662">
        <f>IC19+IH19+IM19+IR19</f>
        <v>0</v>
      </c>
      <c r="IW19" s="654">
        <f t="shared" si="10"/>
        <v>0</v>
      </c>
      <c r="IX19" s="645">
        <v>108727.71</v>
      </c>
      <c r="IY19" s="639">
        <f>IX19*IZ19</f>
        <v>105465.8787</v>
      </c>
      <c r="IZ19" s="633">
        <v>0.97</v>
      </c>
      <c r="JA19" s="635"/>
      <c r="JB19" s="636">
        <f>JA19/IX19</f>
        <v>0</v>
      </c>
      <c r="JC19" s="639">
        <v>126629.41</v>
      </c>
      <c r="JD19" s="639">
        <f>JC19*JE19</f>
        <v>119031.64539999999</v>
      </c>
      <c r="JE19" s="633">
        <v>0.94</v>
      </c>
      <c r="JF19" s="635"/>
      <c r="JG19" s="636">
        <f>JF19/JC19</f>
        <v>0</v>
      </c>
      <c r="JH19" s="639">
        <v>139550.35999999999</v>
      </c>
      <c r="JI19" s="639">
        <f>JH19*JJ19</f>
        <v>133968.34559999997</v>
      </c>
      <c r="JJ19" s="633">
        <v>0.96</v>
      </c>
      <c r="JK19" s="635"/>
      <c r="JL19" s="636">
        <f>JK19/JH19</f>
        <v>0</v>
      </c>
      <c r="JM19" s="639">
        <v>174375.36</v>
      </c>
      <c r="JN19" s="639">
        <f>JM19*JO19</f>
        <v>165656.59199999998</v>
      </c>
      <c r="JO19" s="633">
        <v>0.95</v>
      </c>
      <c r="JP19" s="635"/>
      <c r="JQ19" s="636">
        <f>JP19/JM19</f>
        <v>0</v>
      </c>
      <c r="JR19" s="661">
        <f>JN19+JI19+JD19+IY19</f>
        <v>524122.46169999993</v>
      </c>
      <c r="JS19" s="661"/>
      <c r="JT19" s="663">
        <f>JP19+JK19+JA19+JF19</f>
        <v>0</v>
      </c>
      <c r="JU19" s="651">
        <f t="shared" si="11"/>
        <v>0</v>
      </c>
      <c r="JV19" s="645">
        <v>215333.98</v>
      </c>
      <c r="JW19" s="639">
        <f>JV19*JX19</f>
        <v>202413.9412</v>
      </c>
      <c r="JX19" s="908">
        <v>0.94</v>
      </c>
      <c r="JY19" s="635"/>
      <c r="JZ19" s="636">
        <f>JY19/JV19</f>
        <v>0</v>
      </c>
      <c r="KA19" s="639">
        <v>253302.64</v>
      </c>
      <c r="KB19" s="639">
        <f>KA19*KC19</f>
        <v>235571.45520000003</v>
      </c>
      <c r="KC19" s="908">
        <v>0.93</v>
      </c>
      <c r="KD19" s="635"/>
      <c r="KE19" s="636">
        <f>KD19/KA19</f>
        <v>0</v>
      </c>
      <c r="KF19" s="639">
        <v>359387.86</v>
      </c>
      <c r="KG19" s="639">
        <f>KF19*KH19</f>
        <v>334230.70980000001</v>
      </c>
      <c r="KH19" s="908">
        <v>0.93</v>
      </c>
      <c r="KI19" s="635"/>
      <c r="KJ19" s="636">
        <f>KI19/KF19</f>
        <v>0</v>
      </c>
      <c r="KK19" s="639">
        <v>307136.87</v>
      </c>
      <c r="KL19" s="639">
        <f>KK19*KM19</f>
        <v>285637.28909999999</v>
      </c>
      <c r="KM19" s="908">
        <v>0.93</v>
      </c>
      <c r="KN19" s="635"/>
      <c r="KO19" s="636">
        <f>KN19/KK19</f>
        <v>0</v>
      </c>
      <c r="KP19" s="639">
        <v>101469.39</v>
      </c>
      <c r="KQ19" s="639">
        <f>KP19*KR19</f>
        <v>96395.920499999993</v>
      </c>
      <c r="KR19" s="908">
        <v>0.95</v>
      </c>
      <c r="KS19" s="635"/>
      <c r="KT19" s="636">
        <f>KS19/KP19</f>
        <v>0</v>
      </c>
      <c r="KU19" s="661">
        <f>KQ19+KL19+KG19+KB19+JW19</f>
        <v>1154249.3158</v>
      </c>
      <c r="KV19" s="661"/>
      <c r="KW19" s="662">
        <f>KS19+KN19+KI19+KD19+JY19</f>
        <v>0</v>
      </c>
      <c r="KX19" s="959">
        <f t="shared" si="12"/>
        <v>0</v>
      </c>
      <c r="KY19" s="894">
        <f>X19+AV19+BY19+CW19+DU19+EX19+FV19+GT19+HW19+IU19+JS19+KV19</f>
        <v>0</v>
      </c>
      <c r="KZ19" s="893">
        <f>Y19+AW19+BZ19+CX19+DV19+EY19+FW19+GU19+HX19+IV19+JT19+KW19</f>
        <v>0</v>
      </c>
      <c r="LA19" s="892">
        <f>KZ19-KY19</f>
        <v>0</v>
      </c>
      <c r="LB19" s="891">
        <f t="shared" si="13"/>
        <v>0</v>
      </c>
    </row>
    <row r="20" spans="1:314">
      <c r="A20" s="1495"/>
      <c r="B20" s="900" t="s">
        <v>23</v>
      </c>
      <c r="C20" s="645">
        <v>60752.31</v>
      </c>
      <c r="D20" s="639">
        <f>C20*E20</f>
        <v>54069.555899999999</v>
      </c>
      <c r="E20" s="908">
        <v>0.89</v>
      </c>
      <c r="F20" s="635"/>
      <c r="G20" s="636">
        <f>F20/C20</f>
        <v>0</v>
      </c>
      <c r="H20" s="639">
        <v>60921.52</v>
      </c>
      <c r="I20" s="639">
        <f>H20*J20</f>
        <v>54220.152799999996</v>
      </c>
      <c r="J20" s="633">
        <v>0.89</v>
      </c>
      <c r="K20" s="635"/>
      <c r="L20" s="636">
        <f>K20/H20</f>
        <v>0</v>
      </c>
      <c r="M20" s="639">
        <v>65939.86</v>
      </c>
      <c r="N20" s="639">
        <f>M20*O20</f>
        <v>58686.475400000003</v>
      </c>
      <c r="O20" s="633">
        <v>0.89</v>
      </c>
      <c r="P20" s="635"/>
      <c r="Q20" s="636">
        <f>P20/M20</f>
        <v>0</v>
      </c>
      <c r="R20" s="639">
        <v>61062.559999999998</v>
      </c>
      <c r="S20" s="639">
        <f>R20*T20</f>
        <v>54345.678399999997</v>
      </c>
      <c r="T20" s="633">
        <v>0.89</v>
      </c>
      <c r="U20" s="635"/>
      <c r="V20" s="636">
        <f>U20/R20</f>
        <v>0</v>
      </c>
      <c r="W20" s="639">
        <f>D20+I20+N20+S20</f>
        <v>221321.86249999999</v>
      </c>
      <c r="X20" s="639"/>
      <c r="Y20" s="666">
        <f>+F20+K20+P20+U20</f>
        <v>0</v>
      </c>
      <c r="Z20" s="646">
        <f t="shared" si="0"/>
        <v>0</v>
      </c>
      <c r="AA20" s="645">
        <v>58266.74</v>
      </c>
      <c r="AB20" s="639">
        <f>AA20*AC20</f>
        <v>51857.3986</v>
      </c>
      <c r="AC20" s="633">
        <v>0.89</v>
      </c>
      <c r="AD20" s="635"/>
      <c r="AE20" s="636">
        <f>AD20/AA20</f>
        <v>0</v>
      </c>
      <c r="AF20" s="639">
        <v>95654.43</v>
      </c>
      <c r="AG20" s="639">
        <f>AF20*AH20</f>
        <v>84175.898399999991</v>
      </c>
      <c r="AH20" s="633">
        <v>0.88</v>
      </c>
      <c r="AI20" s="635"/>
      <c r="AJ20" s="636">
        <f>AI20/AF20</f>
        <v>0</v>
      </c>
      <c r="AK20" s="639">
        <v>72941.95</v>
      </c>
      <c r="AL20" s="639">
        <f>AK20*AM20</f>
        <v>65647.755000000005</v>
      </c>
      <c r="AM20" s="633">
        <v>0.9</v>
      </c>
      <c r="AN20" s="635"/>
      <c r="AO20" s="636">
        <f>AN20/AK20</f>
        <v>0</v>
      </c>
      <c r="AP20" s="639">
        <v>71035.28</v>
      </c>
      <c r="AQ20" s="639">
        <f>AP20*AR20</f>
        <v>63221.3992</v>
      </c>
      <c r="AR20" s="633">
        <v>0.89</v>
      </c>
      <c r="AS20" s="635"/>
      <c r="AT20" s="636">
        <f>AS20/AP20</f>
        <v>0</v>
      </c>
      <c r="AU20" s="639">
        <f>AB20+AG20+AL20+AQ20</f>
        <v>264902.45120000001</v>
      </c>
      <c r="AV20" s="896"/>
      <c r="AW20" s="895">
        <f>AD20+AI20++AN20+AS20</f>
        <v>0</v>
      </c>
      <c r="AX20" s="665">
        <f t="shared" si="1"/>
        <v>0</v>
      </c>
      <c r="AY20" s="645">
        <v>78854.39</v>
      </c>
      <c r="AZ20" s="639">
        <f>AY20*BA20</f>
        <v>70180.407099999997</v>
      </c>
      <c r="BA20" s="633">
        <v>0.89</v>
      </c>
      <c r="BB20" s="635"/>
      <c r="BC20" s="636">
        <f>BB20/AY20</f>
        <v>0</v>
      </c>
      <c r="BD20" s="639">
        <v>86154.81</v>
      </c>
      <c r="BE20" s="639">
        <f>BD20*BF20</f>
        <v>76677.780899999998</v>
      </c>
      <c r="BF20" s="633">
        <v>0.89</v>
      </c>
      <c r="BG20" s="635"/>
      <c r="BH20" s="636">
        <f>BG20/BD20</f>
        <v>0</v>
      </c>
      <c r="BI20" s="639">
        <v>96156.59</v>
      </c>
      <c r="BJ20" s="639">
        <f>BI20*BK20</f>
        <v>85579.365099999995</v>
      </c>
      <c r="BK20" s="633">
        <v>0.89</v>
      </c>
      <c r="BL20" s="635"/>
      <c r="BM20" s="636">
        <f>BL20/BI20</f>
        <v>0</v>
      </c>
      <c r="BN20" s="639">
        <v>81478.5</v>
      </c>
      <c r="BO20" s="639">
        <f>BN20*BP20</f>
        <v>70886.294999999998</v>
      </c>
      <c r="BP20" s="633">
        <v>0.87</v>
      </c>
      <c r="BQ20" s="635"/>
      <c r="BR20" s="636">
        <f>BQ20/BN20</f>
        <v>0</v>
      </c>
      <c r="BS20" s="639">
        <v>92815.59</v>
      </c>
      <c r="BT20" s="639">
        <f>BS20*BU20</f>
        <v>82605.875100000005</v>
      </c>
      <c r="BU20" s="633">
        <v>0.89</v>
      </c>
      <c r="BV20" s="635"/>
      <c r="BW20" s="636">
        <f>BV20/BS20</f>
        <v>0</v>
      </c>
      <c r="BX20" s="661">
        <f>AZ20+BE20+BJ20+BO20+BT20</f>
        <v>385929.72320000001</v>
      </c>
      <c r="BY20" s="661"/>
      <c r="BZ20" s="663">
        <f>BV20+BQ20+BL20+BG20+BB20</f>
        <v>0</v>
      </c>
      <c r="CA20" s="651">
        <f t="shared" si="2"/>
        <v>0</v>
      </c>
      <c r="CB20" s="645">
        <v>97831.66</v>
      </c>
      <c r="CC20" s="639">
        <f>CB20*CD20</f>
        <v>87070.1774</v>
      </c>
      <c r="CD20" s="633">
        <v>0.89</v>
      </c>
      <c r="CE20" s="635"/>
      <c r="CF20" s="636">
        <f>CE20/CB20</f>
        <v>0</v>
      </c>
      <c r="CG20" s="639">
        <v>92258.7</v>
      </c>
      <c r="CH20" s="639">
        <f>CG20*CI20</f>
        <v>82110.243000000002</v>
      </c>
      <c r="CI20" s="633">
        <v>0.89</v>
      </c>
      <c r="CJ20" s="635"/>
      <c r="CK20" s="636">
        <f>CJ20/CG20</f>
        <v>0</v>
      </c>
      <c r="CL20" s="639">
        <v>91658.05</v>
      </c>
      <c r="CM20" s="639">
        <f>CL20*CN20</f>
        <v>81575.664499999999</v>
      </c>
      <c r="CN20" s="633">
        <v>0.89</v>
      </c>
      <c r="CO20" s="635"/>
      <c r="CP20" s="636">
        <f>CO20/CL20</f>
        <v>0</v>
      </c>
      <c r="CQ20" s="639">
        <v>127196.24</v>
      </c>
      <c r="CR20" s="639">
        <f>CQ20*CS20</f>
        <v>114476.61600000001</v>
      </c>
      <c r="CS20" s="633">
        <v>0.9</v>
      </c>
      <c r="CT20" s="635"/>
      <c r="CU20" s="636">
        <f>CT20/CQ20</f>
        <v>0</v>
      </c>
      <c r="CV20" s="656">
        <f>CR20+CM20+CH20+CC20</f>
        <v>365232.7009</v>
      </c>
      <c r="CW20" s="656"/>
      <c r="CX20" s="657">
        <f>CT20+CO20+CE20+CJ20</f>
        <v>0</v>
      </c>
      <c r="CY20" s="654">
        <f t="shared" si="3"/>
        <v>0</v>
      </c>
      <c r="CZ20" s="645">
        <v>129493.84</v>
      </c>
      <c r="DA20" s="639">
        <f>CZ20*DB20</f>
        <v>115249.51759999999</v>
      </c>
      <c r="DB20" s="633">
        <v>0.89</v>
      </c>
      <c r="DC20" s="635"/>
      <c r="DD20" s="636">
        <f>DC20/CZ20</f>
        <v>0</v>
      </c>
      <c r="DE20" s="639">
        <v>95329.84</v>
      </c>
      <c r="DF20" s="639">
        <f>DE20*DG20</f>
        <v>84843.5576</v>
      </c>
      <c r="DG20" s="633">
        <v>0.89</v>
      </c>
      <c r="DH20" s="635"/>
      <c r="DI20" s="636">
        <f>DH20/DE20</f>
        <v>0</v>
      </c>
      <c r="DJ20" s="639">
        <v>92184.21</v>
      </c>
      <c r="DK20" s="639">
        <f>DJ20*DL20</f>
        <v>82043.94690000001</v>
      </c>
      <c r="DL20" s="633">
        <v>0.89</v>
      </c>
      <c r="DM20" s="635"/>
      <c r="DN20" s="636">
        <f>DM20/DJ20</f>
        <v>0</v>
      </c>
      <c r="DO20" s="639">
        <v>90910.45</v>
      </c>
      <c r="DP20" s="639">
        <f>DO20*DQ20</f>
        <v>80910.300499999998</v>
      </c>
      <c r="DQ20" s="633">
        <v>0.89</v>
      </c>
      <c r="DR20" s="635"/>
      <c r="DS20" s="636">
        <f>DR20/DO20</f>
        <v>0</v>
      </c>
      <c r="DT20" s="656">
        <f>DP20+DK20+DF20+DA20</f>
        <v>363047.32259999996</v>
      </c>
      <c r="DU20" s="656"/>
      <c r="DV20" s="657">
        <f>DR20+DM20+DC20+DH20</f>
        <v>0</v>
      </c>
      <c r="DW20" s="654">
        <f t="shared" si="4"/>
        <v>0</v>
      </c>
      <c r="DX20" s="645">
        <v>92676.37</v>
      </c>
      <c r="DY20" s="639">
        <f>DX20*DZ20</f>
        <v>82481.969299999997</v>
      </c>
      <c r="DZ20" s="633">
        <v>0.89</v>
      </c>
      <c r="EA20" s="907">
        <f>'Vtas Diarias 2022'!AAC21</f>
        <v>0</v>
      </c>
      <c r="EB20" s="636">
        <f>EA20/DX20</f>
        <v>0</v>
      </c>
      <c r="EC20" s="639">
        <v>101457.88</v>
      </c>
      <c r="ED20" s="639">
        <f>EC20*EE20</f>
        <v>88268.35560000001</v>
      </c>
      <c r="EE20" s="633">
        <v>0.87</v>
      </c>
      <c r="EF20" s="635"/>
      <c r="EG20" s="636">
        <f>EF20/EC20</f>
        <v>0</v>
      </c>
      <c r="EH20" s="639">
        <v>102583.69</v>
      </c>
      <c r="EI20" s="639">
        <f>EH20*EJ20</f>
        <v>91299.484100000001</v>
      </c>
      <c r="EJ20" s="633">
        <v>0.89</v>
      </c>
      <c r="EK20" s="635"/>
      <c r="EL20" s="636">
        <f>EK20/EH20</f>
        <v>0</v>
      </c>
      <c r="EM20" s="639">
        <v>104877.4</v>
      </c>
      <c r="EN20" s="639">
        <f>EM20*EO20</f>
        <v>97535.982000000004</v>
      </c>
      <c r="EO20" s="633">
        <v>0.93</v>
      </c>
      <c r="EP20" s="635"/>
      <c r="EQ20" s="636">
        <f>EP20/EM20</f>
        <v>0</v>
      </c>
      <c r="ER20" s="639">
        <v>111722.5</v>
      </c>
      <c r="ES20" s="639">
        <f>ER20*ET20</f>
        <v>103901.925</v>
      </c>
      <c r="ET20" s="633">
        <v>0.93</v>
      </c>
      <c r="EU20" s="635"/>
      <c r="EV20" s="636">
        <f>EU20/ER20</f>
        <v>0</v>
      </c>
      <c r="EW20" s="661">
        <f>ES20+EN20+EI20+ED20+DY20</f>
        <v>463487.71600000001</v>
      </c>
      <c r="EX20" s="661"/>
      <c r="EY20" s="904">
        <f t="shared" si="5"/>
        <v>0</v>
      </c>
      <c r="EZ20" s="654">
        <f t="shared" si="6"/>
        <v>0</v>
      </c>
      <c r="FA20" s="645">
        <v>97503.29</v>
      </c>
      <c r="FB20" s="639">
        <f>FA20*FC20</f>
        <v>85802.895199999999</v>
      </c>
      <c r="FC20" s="908">
        <v>0.88</v>
      </c>
      <c r="FD20" s="635"/>
      <c r="FE20" s="636">
        <f>FD20/FA20</f>
        <v>0</v>
      </c>
      <c r="FF20" s="639">
        <v>110031.85</v>
      </c>
      <c r="FG20" s="639">
        <f>FF20*FH20</f>
        <v>96828.028000000006</v>
      </c>
      <c r="FH20" s="633">
        <v>0.88</v>
      </c>
      <c r="FI20" s="635"/>
      <c r="FJ20" s="636">
        <f>FI20/FF20</f>
        <v>0</v>
      </c>
      <c r="FK20" s="639">
        <v>99897.42</v>
      </c>
      <c r="FL20" s="639">
        <f>FK20*FM20</f>
        <v>87909.729600000006</v>
      </c>
      <c r="FM20" s="633">
        <v>0.88</v>
      </c>
      <c r="FN20" s="635"/>
      <c r="FO20" s="636">
        <f>FN20/FK20</f>
        <v>0</v>
      </c>
      <c r="FP20" s="639">
        <v>94310.78</v>
      </c>
      <c r="FQ20" s="639">
        <f>FP20*FR20</f>
        <v>86765.917600000001</v>
      </c>
      <c r="FR20" s="908">
        <v>0.92</v>
      </c>
      <c r="FS20" s="635"/>
      <c r="FT20" s="636">
        <f>FS20/FP20</f>
        <v>0</v>
      </c>
      <c r="FU20" s="661">
        <f>FQ20+FL20+FG20+FB20</f>
        <v>357306.57039999997</v>
      </c>
      <c r="FV20" s="661"/>
      <c r="FW20" s="663">
        <f>FS20+FN20+FD20+FI20</f>
        <v>0</v>
      </c>
      <c r="FX20" s="651">
        <f t="shared" si="7"/>
        <v>0</v>
      </c>
      <c r="FY20" s="645">
        <v>98510.96</v>
      </c>
      <c r="FZ20" s="639">
        <f>FY20*GA20</f>
        <v>93585.411999999997</v>
      </c>
      <c r="GA20" s="633">
        <v>0.95</v>
      </c>
      <c r="GB20" s="635"/>
      <c r="GC20" s="636">
        <f>GB20/FY20</f>
        <v>0</v>
      </c>
      <c r="GD20" s="639">
        <v>95254.19</v>
      </c>
      <c r="GE20" s="639">
        <f>GD20*GF20</f>
        <v>85728.771000000008</v>
      </c>
      <c r="GF20" s="633">
        <v>0.9</v>
      </c>
      <c r="GG20" s="635"/>
      <c r="GH20" s="636">
        <f>GG20/GD20</f>
        <v>0</v>
      </c>
      <c r="GI20" s="639">
        <v>85007.67</v>
      </c>
      <c r="GJ20" s="639">
        <f>GI20*GK20</f>
        <v>83307.516600000003</v>
      </c>
      <c r="GK20" s="633">
        <v>0.98</v>
      </c>
      <c r="GL20" s="635"/>
      <c r="GM20" s="636">
        <f>GL20/GI20</f>
        <v>0</v>
      </c>
      <c r="GN20" s="639">
        <v>87846.76</v>
      </c>
      <c r="GO20" s="639">
        <f>GN20*GP20</f>
        <v>86089.824799999988</v>
      </c>
      <c r="GP20" s="633">
        <v>0.98</v>
      </c>
      <c r="GQ20" s="635"/>
      <c r="GR20" s="636">
        <f>GQ20/GN20</f>
        <v>0</v>
      </c>
      <c r="GS20" s="661">
        <f>GO20+GJ20+GE20+FZ20</f>
        <v>348711.52439999999</v>
      </c>
      <c r="GT20" s="661"/>
      <c r="GU20" s="662">
        <f>GQ20+GL20+GB20+GG20</f>
        <v>0</v>
      </c>
      <c r="GV20" s="654">
        <f t="shared" si="8"/>
        <v>0</v>
      </c>
      <c r="GW20" s="645">
        <v>87633</v>
      </c>
      <c r="GX20" s="639">
        <f>GW20*GY20</f>
        <v>85880.34</v>
      </c>
      <c r="GY20" s="633">
        <v>0.98</v>
      </c>
      <c r="GZ20" s="635"/>
      <c r="HA20" s="636">
        <f>GZ20/GW20</f>
        <v>0</v>
      </c>
      <c r="HB20" s="639">
        <v>97274.02</v>
      </c>
      <c r="HC20" s="639">
        <f>HB20*HD20</f>
        <v>97274.02</v>
      </c>
      <c r="HD20" s="633">
        <v>1</v>
      </c>
      <c r="HE20" s="635"/>
      <c r="HF20" s="636">
        <f>HE20/HB20</f>
        <v>0</v>
      </c>
      <c r="HG20" s="639">
        <v>78761.13</v>
      </c>
      <c r="HH20" s="639">
        <f>HG20*HI20</f>
        <v>74823.073499999999</v>
      </c>
      <c r="HI20" s="633">
        <v>0.95</v>
      </c>
      <c r="HJ20" s="635"/>
      <c r="HK20" s="636">
        <f>HJ20/HG20</f>
        <v>0</v>
      </c>
      <c r="HL20" s="639">
        <v>77411.100000000006</v>
      </c>
      <c r="HM20" s="639">
        <f>HL20*HN20</f>
        <v>75088.767000000007</v>
      </c>
      <c r="HN20" s="633">
        <v>0.97</v>
      </c>
      <c r="HO20" s="635"/>
      <c r="HP20" s="636">
        <f>HO20/HL20</f>
        <v>0</v>
      </c>
      <c r="HQ20" s="639">
        <v>86505.279999999999</v>
      </c>
      <c r="HR20" s="639">
        <f>HQ20*HS20</f>
        <v>84775.174400000004</v>
      </c>
      <c r="HS20" s="633">
        <v>0.98</v>
      </c>
      <c r="HT20" s="635"/>
      <c r="HU20" s="636">
        <f>HT20/HQ20</f>
        <v>0</v>
      </c>
      <c r="HV20" s="661">
        <f>HR20+HM20+HH20+HC20+GX20</f>
        <v>417841.37490000005</v>
      </c>
      <c r="HW20" s="661"/>
      <c r="HX20" s="663">
        <f>HT20+HO20+HJ20+HE20+GZ20</f>
        <v>0</v>
      </c>
      <c r="HY20" s="651">
        <f t="shared" si="9"/>
        <v>0</v>
      </c>
      <c r="HZ20" s="645">
        <v>79513.820000000007</v>
      </c>
      <c r="IA20" s="639">
        <f>HZ20*IB20</f>
        <v>77128.405400000003</v>
      </c>
      <c r="IB20" s="633">
        <v>0.97</v>
      </c>
      <c r="IC20" s="635"/>
      <c r="ID20" s="636">
        <f>IC20/HZ20</f>
        <v>0</v>
      </c>
      <c r="IE20" s="639">
        <v>88248.57</v>
      </c>
      <c r="IF20" s="639">
        <f>IE20*IG20</f>
        <v>84718.627200000003</v>
      </c>
      <c r="IG20" s="633">
        <v>0.96</v>
      </c>
      <c r="IH20" s="635"/>
      <c r="II20" s="636">
        <f>IH20/IE20</f>
        <v>0</v>
      </c>
      <c r="IJ20" s="639">
        <v>92199.84</v>
      </c>
      <c r="IK20" s="639">
        <f>IJ20*IL20</f>
        <v>91277.8416</v>
      </c>
      <c r="IL20" s="633">
        <v>0.99</v>
      </c>
      <c r="IM20" s="635"/>
      <c r="IN20" s="636">
        <f>IM20/IJ20</f>
        <v>0</v>
      </c>
      <c r="IO20" s="639">
        <v>129860.18</v>
      </c>
      <c r="IP20" s="639">
        <f>IO20*IQ20</f>
        <v>125964.3746</v>
      </c>
      <c r="IQ20" s="633">
        <v>0.97</v>
      </c>
      <c r="IR20" s="635"/>
      <c r="IS20" s="636">
        <f>IR20/IO20</f>
        <v>0</v>
      </c>
      <c r="IT20" s="661">
        <f>IP20+IK20+IF20+IA20</f>
        <v>379089.2488</v>
      </c>
      <c r="IU20" s="661"/>
      <c r="IV20" s="662">
        <f>IC20+IH20+IM20+IR20</f>
        <v>0</v>
      </c>
      <c r="IW20" s="654">
        <f t="shared" si="10"/>
        <v>0</v>
      </c>
      <c r="IX20" s="645">
        <v>74861.77</v>
      </c>
      <c r="IY20" s="639">
        <f>IX20*IZ20</f>
        <v>72615.916899999997</v>
      </c>
      <c r="IZ20" s="633">
        <v>0.97</v>
      </c>
      <c r="JA20" s="635"/>
      <c r="JB20" s="636">
        <f>JA20/IX20</f>
        <v>0</v>
      </c>
      <c r="JC20" s="639">
        <v>117992.46</v>
      </c>
      <c r="JD20" s="639">
        <f>JC20*JE20</f>
        <v>110912.9124</v>
      </c>
      <c r="JE20" s="633">
        <v>0.94</v>
      </c>
      <c r="JF20" s="635"/>
      <c r="JG20" s="636">
        <f>JF20/JC20</f>
        <v>0</v>
      </c>
      <c r="JH20" s="639">
        <v>122236.75</v>
      </c>
      <c r="JI20" s="639">
        <f>JH20*JJ20</f>
        <v>117347.28</v>
      </c>
      <c r="JJ20" s="633">
        <v>0.96</v>
      </c>
      <c r="JK20" s="635"/>
      <c r="JL20" s="636">
        <f>JK20/JH20</f>
        <v>0</v>
      </c>
      <c r="JM20" s="639">
        <v>164305.46</v>
      </c>
      <c r="JN20" s="639">
        <f>JM20*JO20</f>
        <v>156090.18699999998</v>
      </c>
      <c r="JO20" s="633">
        <v>0.95</v>
      </c>
      <c r="JP20" s="635"/>
      <c r="JQ20" s="636">
        <f>JP20/JM20</f>
        <v>0</v>
      </c>
      <c r="JR20" s="661">
        <f>JN20+JI20+JD20+IY20</f>
        <v>456966.29629999999</v>
      </c>
      <c r="JS20" s="661"/>
      <c r="JT20" s="663">
        <f>JP20+JK20+JA20+JF20</f>
        <v>0</v>
      </c>
      <c r="JU20" s="651">
        <f t="shared" si="11"/>
        <v>0</v>
      </c>
      <c r="JV20" s="645">
        <v>171933.75</v>
      </c>
      <c r="JW20" s="639">
        <f>JV20*JX20</f>
        <v>161617.72499999998</v>
      </c>
      <c r="JX20" s="908">
        <v>0.94</v>
      </c>
      <c r="JY20" s="635"/>
      <c r="JZ20" s="636">
        <f>JY20/JV20</f>
        <v>0</v>
      </c>
      <c r="KA20" s="639">
        <v>211476.74</v>
      </c>
      <c r="KB20" s="639">
        <f>KA20*KC20</f>
        <v>196673.3682</v>
      </c>
      <c r="KC20" s="908">
        <v>0.93</v>
      </c>
      <c r="KD20" s="635"/>
      <c r="KE20" s="636">
        <f>KD20/KA20</f>
        <v>0</v>
      </c>
      <c r="KF20" s="639">
        <v>258210.2</v>
      </c>
      <c r="KG20" s="639">
        <f>KF20*KH20</f>
        <v>240135.48600000003</v>
      </c>
      <c r="KH20" s="908">
        <v>0.93</v>
      </c>
      <c r="KI20" s="635"/>
      <c r="KJ20" s="636">
        <f>KI20/KF20</f>
        <v>0</v>
      </c>
      <c r="KK20" s="639">
        <v>226078.91</v>
      </c>
      <c r="KL20" s="639">
        <f>KK20*KM20</f>
        <v>210253.38630000001</v>
      </c>
      <c r="KM20" s="908">
        <v>0.93</v>
      </c>
      <c r="KN20" s="635"/>
      <c r="KO20" s="636">
        <f>KN20/KK20</f>
        <v>0</v>
      </c>
      <c r="KP20" s="639">
        <v>79297.100000000006</v>
      </c>
      <c r="KQ20" s="639">
        <f>KP20*KR20</f>
        <v>75332.244999999995</v>
      </c>
      <c r="KR20" s="908">
        <v>0.95</v>
      </c>
      <c r="KS20" s="635"/>
      <c r="KT20" s="636">
        <f>KS20/KP20</f>
        <v>0</v>
      </c>
      <c r="KU20" s="661">
        <f>KQ20+KL20+KG20+KB20+JW20</f>
        <v>884012.21050000004</v>
      </c>
      <c r="KV20" s="661"/>
      <c r="KW20" s="662">
        <f>KS20+KN20+KI20+KD20+JY20</f>
        <v>0</v>
      </c>
      <c r="KX20" s="959">
        <f t="shared" si="12"/>
        <v>0</v>
      </c>
      <c r="KY20" s="894">
        <f>X20+AV20+BY20+CW20+DU20+EX20+FV20+GT20+HW20+IU20+JS20+KV20</f>
        <v>0</v>
      </c>
      <c r="KZ20" s="893">
        <f>Y20+AW20+BZ20+CX20+DV20+EY20+FW20+GU20+HX20+IV20+JT20+KW20</f>
        <v>0</v>
      </c>
      <c r="LA20" s="892">
        <f>KZ20-KY20</f>
        <v>0</v>
      </c>
      <c r="LB20" s="891">
        <f t="shared" si="13"/>
        <v>0</v>
      </c>
    </row>
    <row r="21" spans="1:314">
      <c r="A21" s="1495"/>
      <c r="B21" s="900" t="s">
        <v>24</v>
      </c>
      <c r="C21" s="645">
        <v>86355.6</v>
      </c>
      <c r="D21" s="639">
        <f>C21*E21</f>
        <v>76856.484000000011</v>
      </c>
      <c r="E21" s="908">
        <v>0.89</v>
      </c>
      <c r="F21" s="635"/>
      <c r="G21" s="636">
        <f>F21/C21</f>
        <v>0</v>
      </c>
      <c r="H21" s="639">
        <v>84833.07</v>
      </c>
      <c r="I21" s="639">
        <f>H21*J21</f>
        <v>75501.4323</v>
      </c>
      <c r="J21" s="633">
        <v>0.89</v>
      </c>
      <c r="K21" s="635"/>
      <c r="L21" s="636">
        <f>K21/H21</f>
        <v>0</v>
      </c>
      <c r="M21" s="639">
        <v>82390.25</v>
      </c>
      <c r="N21" s="639">
        <f>M21*O21</f>
        <v>73327.322499999995</v>
      </c>
      <c r="O21" s="633">
        <v>0.89</v>
      </c>
      <c r="P21" s="635"/>
      <c r="Q21" s="636">
        <f>P21/M21</f>
        <v>0</v>
      </c>
      <c r="R21" s="639">
        <v>88074.63</v>
      </c>
      <c r="S21" s="639">
        <f>R21*T21</f>
        <v>78386.420700000002</v>
      </c>
      <c r="T21" s="633">
        <v>0.89</v>
      </c>
      <c r="U21" s="635"/>
      <c r="V21" s="636">
        <f>U21/R21</f>
        <v>0</v>
      </c>
      <c r="W21" s="639">
        <f>D21+I21+N21+S21</f>
        <v>304071.65950000001</v>
      </c>
      <c r="X21" s="639"/>
      <c r="Y21" s="666">
        <f>+F21+K21+P21+U21</f>
        <v>0</v>
      </c>
      <c r="Z21" s="646">
        <f t="shared" si="0"/>
        <v>0</v>
      </c>
      <c r="AA21" s="645">
        <v>101302.3</v>
      </c>
      <c r="AB21" s="639">
        <f>AA21*AC21</f>
        <v>90159.047000000006</v>
      </c>
      <c r="AC21" s="633">
        <v>0.89</v>
      </c>
      <c r="AD21" s="635"/>
      <c r="AE21" s="636">
        <f>AD21/AA21</f>
        <v>0</v>
      </c>
      <c r="AF21" s="639">
        <v>138577.74</v>
      </c>
      <c r="AG21" s="639">
        <f>AF21*AH21</f>
        <v>121948.41119999999</v>
      </c>
      <c r="AH21" s="633">
        <v>0.88</v>
      </c>
      <c r="AI21" s="635"/>
      <c r="AJ21" s="636">
        <f>AI21/AF21</f>
        <v>0</v>
      </c>
      <c r="AK21" s="639">
        <v>105919.93</v>
      </c>
      <c r="AL21" s="639">
        <f>AK21*AM21</f>
        <v>95327.936999999991</v>
      </c>
      <c r="AM21" s="633">
        <v>0.9</v>
      </c>
      <c r="AN21" s="635"/>
      <c r="AO21" s="636">
        <f>AN21/AK21</f>
        <v>0</v>
      </c>
      <c r="AP21" s="639">
        <v>114721.95</v>
      </c>
      <c r="AQ21" s="639">
        <f>AP21*AR21</f>
        <v>102102.5355</v>
      </c>
      <c r="AR21" s="633">
        <v>0.89</v>
      </c>
      <c r="AS21" s="635"/>
      <c r="AT21" s="636">
        <f>AS21/AP21</f>
        <v>0</v>
      </c>
      <c r="AU21" s="639">
        <f>AB21+AG21+AL21+AQ21</f>
        <v>409537.93069999997</v>
      </c>
      <c r="AV21" s="896"/>
      <c r="AW21" s="895">
        <f>AD21+AI21++AN21+AS21</f>
        <v>0</v>
      </c>
      <c r="AX21" s="665">
        <f t="shared" si="1"/>
        <v>0</v>
      </c>
      <c r="AY21" s="645">
        <v>121685.07</v>
      </c>
      <c r="AZ21" s="639">
        <f>AY21*BA21</f>
        <v>108299.71230000001</v>
      </c>
      <c r="BA21" s="633">
        <v>0.89</v>
      </c>
      <c r="BB21" s="635"/>
      <c r="BC21" s="636">
        <f>BB21/AY21</f>
        <v>0</v>
      </c>
      <c r="BD21" s="639">
        <v>123370.9</v>
      </c>
      <c r="BE21" s="639">
        <f>BD21*BF21</f>
        <v>109800.101</v>
      </c>
      <c r="BF21" s="633">
        <v>0.89</v>
      </c>
      <c r="BG21" s="635"/>
      <c r="BH21" s="636">
        <f>BG21/BD21</f>
        <v>0</v>
      </c>
      <c r="BI21" s="639">
        <v>126371.65</v>
      </c>
      <c r="BJ21" s="639">
        <f>BI21*BK21</f>
        <v>112470.76849999999</v>
      </c>
      <c r="BK21" s="633">
        <v>0.89</v>
      </c>
      <c r="BL21" s="635"/>
      <c r="BM21" s="636">
        <f>BL21/BI21</f>
        <v>0</v>
      </c>
      <c r="BN21" s="639">
        <v>128797.93</v>
      </c>
      <c r="BO21" s="639">
        <f>BN21*BP21</f>
        <v>112054.1991</v>
      </c>
      <c r="BP21" s="633">
        <v>0.87</v>
      </c>
      <c r="BQ21" s="635"/>
      <c r="BR21" s="636">
        <f>BQ21/BN21</f>
        <v>0</v>
      </c>
      <c r="BS21" s="639">
        <v>136642.93</v>
      </c>
      <c r="BT21" s="639">
        <f>BS21*BU21</f>
        <v>121612.2077</v>
      </c>
      <c r="BU21" s="633">
        <v>0.89</v>
      </c>
      <c r="BV21" s="635"/>
      <c r="BW21" s="636">
        <f>BV21/BS21</f>
        <v>0</v>
      </c>
      <c r="BX21" s="661">
        <f>AZ21+BE21+BJ21+BO21+BT21</f>
        <v>564236.98860000004</v>
      </c>
      <c r="BY21" s="661"/>
      <c r="BZ21" s="663">
        <f>BV21+BQ21+BL21+BG21+BB21</f>
        <v>0</v>
      </c>
      <c r="CA21" s="651">
        <f t="shared" si="2"/>
        <v>0</v>
      </c>
      <c r="CB21" s="645">
        <v>128843.65</v>
      </c>
      <c r="CC21" s="639">
        <f>CB21*CD21</f>
        <v>114670.84849999999</v>
      </c>
      <c r="CD21" s="633">
        <v>0.89</v>
      </c>
      <c r="CE21" s="635"/>
      <c r="CF21" s="636">
        <f>CE21/CB21</f>
        <v>0</v>
      </c>
      <c r="CG21" s="639">
        <v>134527.21</v>
      </c>
      <c r="CH21" s="639">
        <f>CG21*CI21</f>
        <v>119729.2169</v>
      </c>
      <c r="CI21" s="633">
        <v>0.89</v>
      </c>
      <c r="CJ21" s="635"/>
      <c r="CK21" s="636">
        <f>CJ21/CG21</f>
        <v>0</v>
      </c>
      <c r="CL21" s="639">
        <v>129816.97</v>
      </c>
      <c r="CM21" s="639">
        <f>CL21*CN21</f>
        <v>115537.1033</v>
      </c>
      <c r="CN21" s="633">
        <v>0.89</v>
      </c>
      <c r="CO21" s="635"/>
      <c r="CP21" s="636">
        <f>CO21/CL21</f>
        <v>0</v>
      </c>
      <c r="CQ21" s="639">
        <v>155526.89000000001</v>
      </c>
      <c r="CR21" s="639">
        <f>CQ21*CS21</f>
        <v>139974.20100000003</v>
      </c>
      <c r="CS21" s="633">
        <v>0.9</v>
      </c>
      <c r="CT21" s="635"/>
      <c r="CU21" s="636">
        <f>CT21/CQ21</f>
        <v>0</v>
      </c>
      <c r="CV21" s="656">
        <f>CR21+CM21+CH21+CC21</f>
        <v>489911.36970000004</v>
      </c>
      <c r="CW21" s="656"/>
      <c r="CX21" s="657">
        <f>CT21+CO21+CE21+CJ21</f>
        <v>0</v>
      </c>
      <c r="CY21" s="654">
        <f t="shared" si="3"/>
        <v>0</v>
      </c>
      <c r="CZ21" s="645">
        <v>173293.67</v>
      </c>
      <c r="DA21" s="639">
        <f>CZ21*DB21</f>
        <v>154231.36630000002</v>
      </c>
      <c r="DB21" s="633">
        <v>0.89</v>
      </c>
      <c r="DC21" s="635"/>
      <c r="DD21" s="636">
        <f>DC21/CZ21</f>
        <v>0</v>
      </c>
      <c r="DE21" s="639">
        <v>136921.97</v>
      </c>
      <c r="DF21" s="639">
        <f>DE21*DG21</f>
        <v>121860.5533</v>
      </c>
      <c r="DG21" s="633">
        <v>0.89</v>
      </c>
      <c r="DH21" s="635"/>
      <c r="DI21" s="636">
        <f>DH21/DE21</f>
        <v>0</v>
      </c>
      <c r="DJ21" s="639">
        <v>112056.34</v>
      </c>
      <c r="DK21" s="639">
        <f>DJ21*DL21</f>
        <v>99730.142599999992</v>
      </c>
      <c r="DL21" s="633">
        <v>0.89</v>
      </c>
      <c r="DM21" s="635"/>
      <c r="DN21" s="636">
        <f>DM21/DJ21</f>
        <v>0</v>
      </c>
      <c r="DO21" s="639">
        <v>118401.18</v>
      </c>
      <c r="DP21" s="639">
        <f>DO21*DQ21</f>
        <v>105377.0502</v>
      </c>
      <c r="DQ21" s="633">
        <v>0.89</v>
      </c>
      <c r="DR21" s="635"/>
      <c r="DS21" s="636">
        <f>DR21/DO21</f>
        <v>0</v>
      </c>
      <c r="DT21" s="656">
        <f>DP21+DK21+DF21+DA21</f>
        <v>481199.11239999998</v>
      </c>
      <c r="DU21" s="656"/>
      <c r="DV21" s="657">
        <f>DR21+DM21+DC21+DH21</f>
        <v>0</v>
      </c>
      <c r="DW21" s="654">
        <f t="shared" si="4"/>
        <v>0</v>
      </c>
      <c r="DX21" s="645">
        <v>131974.10999999999</v>
      </c>
      <c r="DY21" s="639">
        <f>DX21*DZ21</f>
        <v>117456.95789999999</v>
      </c>
      <c r="DZ21" s="633">
        <v>0.89</v>
      </c>
      <c r="EA21" s="907">
        <f>'Vtas Diarias 2022'!AAC22</f>
        <v>0</v>
      </c>
      <c r="EB21" s="636">
        <f>EA21/DX21</f>
        <v>0</v>
      </c>
      <c r="EC21" s="639">
        <v>140027.07999999999</v>
      </c>
      <c r="ED21" s="639">
        <f>EC21*EE21</f>
        <v>121823.55959999999</v>
      </c>
      <c r="EE21" s="633">
        <v>0.87</v>
      </c>
      <c r="EF21" s="635"/>
      <c r="EG21" s="636">
        <f>EF21/EC21</f>
        <v>0</v>
      </c>
      <c r="EH21" s="639">
        <v>157648.82999999999</v>
      </c>
      <c r="EI21" s="639">
        <f>EH21*EJ21</f>
        <v>140307.45869999999</v>
      </c>
      <c r="EJ21" s="633">
        <v>0.89</v>
      </c>
      <c r="EK21" s="635"/>
      <c r="EL21" s="636">
        <f>EK21/EH21</f>
        <v>0</v>
      </c>
      <c r="EM21" s="639">
        <v>138517.1</v>
      </c>
      <c r="EN21" s="639">
        <f>EM21*EO21</f>
        <v>128820.90300000001</v>
      </c>
      <c r="EO21" s="633">
        <v>0.93</v>
      </c>
      <c r="EP21" s="635"/>
      <c r="EQ21" s="636">
        <f>EP21/EM21</f>
        <v>0</v>
      </c>
      <c r="ER21" s="639">
        <v>138371.54</v>
      </c>
      <c r="ES21" s="639">
        <f>ER21*ET21</f>
        <v>128685.53220000002</v>
      </c>
      <c r="ET21" s="633">
        <v>0.93</v>
      </c>
      <c r="EU21" s="635"/>
      <c r="EV21" s="636">
        <f>EU21/ER21</f>
        <v>0</v>
      </c>
      <c r="EW21" s="661">
        <f>ES21+EN21+EI21+ED21+DY21</f>
        <v>637094.41139999998</v>
      </c>
      <c r="EX21" s="661"/>
      <c r="EY21" s="904">
        <f t="shared" si="5"/>
        <v>0</v>
      </c>
      <c r="EZ21" s="654">
        <f t="shared" si="6"/>
        <v>0</v>
      </c>
      <c r="FA21" s="645">
        <v>127343.02</v>
      </c>
      <c r="FB21" s="639">
        <f>FA21*FC21</f>
        <v>112061.8576</v>
      </c>
      <c r="FC21" s="908">
        <v>0.88</v>
      </c>
      <c r="FD21" s="635"/>
      <c r="FE21" s="636">
        <f>FD21/FA21</f>
        <v>0</v>
      </c>
      <c r="FF21" s="639">
        <v>132512.92000000001</v>
      </c>
      <c r="FG21" s="639">
        <f>FF21*FH21</f>
        <v>116611.36960000001</v>
      </c>
      <c r="FH21" s="633">
        <v>0.88</v>
      </c>
      <c r="FI21" s="635"/>
      <c r="FJ21" s="636">
        <f>FI21/FF21</f>
        <v>0</v>
      </c>
      <c r="FK21" s="639">
        <v>117173.63</v>
      </c>
      <c r="FL21" s="639">
        <f>FK21*FM21</f>
        <v>103112.7944</v>
      </c>
      <c r="FM21" s="633">
        <v>0.88</v>
      </c>
      <c r="FN21" s="635"/>
      <c r="FO21" s="636">
        <f>FN21/FK21</f>
        <v>0</v>
      </c>
      <c r="FP21" s="639">
        <v>122831.97</v>
      </c>
      <c r="FQ21" s="639">
        <f>FP21*FR21</f>
        <v>113005.4124</v>
      </c>
      <c r="FR21" s="908">
        <v>0.92</v>
      </c>
      <c r="FS21" s="635"/>
      <c r="FT21" s="636">
        <f>FS21/FP21</f>
        <v>0</v>
      </c>
      <c r="FU21" s="661">
        <f>FQ21+FL21+FG21+FB21</f>
        <v>444791.43400000001</v>
      </c>
      <c r="FV21" s="661"/>
      <c r="FW21" s="663">
        <f>FS21+FN21+FD21+FI21</f>
        <v>0</v>
      </c>
      <c r="FX21" s="651">
        <f t="shared" si="7"/>
        <v>0</v>
      </c>
      <c r="FY21" s="645">
        <v>122543.58</v>
      </c>
      <c r="FZ21" s="639">
        <f>FY21*GA21</f>
        <v>116416.401</v>
      </c>
      <c r="GA21" s="633">
        <v>0.95</v>
      </c>
      <c r="GB21" s="635"/>
      <c r="GC21" s="636">
        <f>GB21/FY21</f>
        <v>0</v>
      </c>
      <c r="GD21" s="639">
        <v>112445.57</v>
      </c>
      <c r="GE21" s="639">
        <f>GD21*GF21</f>
        <v>101201.01300000001</v>
      </c>
      <c r="GF21" s="633">
        <v>0.9</v>
      </c>
      <c r="GG21" s="635"/>
      <c r="GH21" s="636">
        <f>GG21/GD21</f>
        <v>0</v>
      </c>
      <c r="GI21" s="639">
        <v>102620.84</v>
      </c>
      <c r="GJ21" s="639">
        <f>GI21*GK21</f>
        <v>100568.42319999999</v>
      </c>
      <c r="GK21" s="633">
        <v>0.98</v>
      </c>
      <c r="GL21" s="635"/>
      <c r="GM21" s="636">
        <f>GL21/GI21</f>
        <v>0</v>
      </c>
      <c r="GN21" s="639">
        <v>111048.57</v>
      </c>
      <c r="GO21" s="639">
        <f>GN21*GP21</f>
        <v>108827.59860000001</v>
      </c>
      <c r="GP21" s="633">
        <v>0.98</v>
      </c>
      <c r="GQ21" s="635"/>
      <c r="GR21" s="636">
        <f>GQ21/GN21</f>
        <v>0</v>
      </c>
      <c r="GS21" s="661">
        <f>GO21+GJ21+GE21+FZ21</f>
        <v>427013.43580000004</v>
      </c>
      <c r="GT21" s="661"/>
      <c r="GU21" s="662">
        <f>GQ21+GL21+GB21+GG21</f>
        <v>0</v>
      </c>
      <c r="GV21" s="654">
        <f t="shared" si="8"/>
        <v>0</v>
      </c>
      <c r="GW21" s="645">
        <v>104441</v>
      </c>
      <c r="GX21" s="639">
        <f>GW21*GY21</f>
        <v>102352.18</v>
      </c>
      <c r="GY21" s="633">
        <v>0.98</v>
      </c>
      <c r="GZ21" s="635"/>
      <c r="HA21" s="636">
        <f>GZ21/GW21</f>
        <v>0</v>
      </c>
      <c r="HB21" s="639">
        <v>117841.22</v>
      </c>
      <c r="HC21" s="639">
        <f>HB21*HD21</f>
        <v>117841.22</v>
      </c>
      <c r="HD21" s="633">
        <v>1</v>
      </c>
      <c r="HE21" s="635"/>
      <c r="HF21" s="636">
        <f>HE21/HB21</f>
        <v>0</v>
      </c>
      <c r="HG21" s="639">
        <v>111537.37</v>
      </c>
      <c r="HH21" s="639">
        <f>HG21*HI21</f>
        <v>105960.50149999998</v>
      </c>
      <c r="HI21" s="633">
        <v>0.95</v>
      </c>
      <c r="HJ21" s="635"/>
      <c r="HK21" s="636">
        <f>HJ21/HG21</f>
        <v>0</v>
      </c>
      <c r="HL21" s="639">
        <v>98428.25</v>
      </c>
      <c r="HM21" s="639">
        <f>HL21*HN21</f>
        <v>95475.402499999997</v>
      </c>
      <c r="HN21" s="633">
        <v>0.97</v>
      </c>
      <c r="HO21" s="635"/>
      <c r="HP21" s="636">
        <f>HO21/HL21</f>
        <v>0</v>
      </c>
      <c r="HQ21" s="639">
        <v>112469.06</v>
      </c>
      <c r="HR21" s="639">
        <f>HQ21*HS21</f>
        <v>110219.67879999999</v>
      </c>
      <c r="HS21" s="633">
        <v>0.98</v>
      </c>
      <c r="HT21" s="635"/>
      <c r="HU21" s="636">
        <f>HT21/HQ21</f>
        <v>0</v>
      </c>
      <c r="HV21" s="661">
        <f>HR21+HM21+HH21+HC21+GX21</f>
        <v>531848.98279999988</v>
      </c>
      <c r="HW21" s="661"/>
      <c r="HX21" s="663">
        <f>HT21+HO21+HJ21+HE21+GZ21</f>
        <v>0</v>
      </c>
      <c r="HY21" s="651">
        <f t="shared" si="9"/>
        <v>0</v>
      </c>
      <c r="HZ21" s="645">
        <v>92538.92</v>
      </c>
      <c r="IA21" s="639">
        <f>HZ21*IB21</f>
        <v>89762.752399999998</v>
      </c>
      <c r="IB21" s="633">
        <v>0.97</v>
      </c>
      <c r="IC21" s="635"/>
      <c r="ID21" s="636">
        <f>IC21/HZ21</f>
        <v>0</v>
      </c>
      <c r="IE21" s="639">
        <v>109222.75</v>
      </c>
      <c r="IF21" s="639">
        <f>IE21*IG21</f>
        <v>104853.84</v>
      </c>
      <c r="IG21" s="633">
        <v>0.96</v>
      </c>
      <c r="IH21" s="635"/>
      <c r="II21" s="636">
        <f>IH21/IE21</f>
        <v>0</v>
      </c>
      <c r="IJ21" s="639">
        <v>124635.68</v>
      </c>
      <c r="IK21" s="639">
        <f>IJ21*IL21</f>
        <v>123389.3232</v>
      </c>
      <c r="IL21" s="633">
        <v>0.99</v>
      </c>
      <c r="IM21" s="635"/>
      <c r="IN21" s="636">
        <f>IM21/IJ21</f>
        <v>0</v>
      </c>
      <c r="IO21" s="639">
        <v>156087.54</v>
      </c>
      <c r="IP21" s="639">
        <f>IO21*IQ21</f>
        <v>151404.91380000001</v>
      </c>
      <c r="IQ21" s="633">
        <v>0.97</v>
      </c>
      <c r="IR21" s="635"/>
      <c r="IS21" s="636">
        <f>IR21/IO21</f>
        <v>0</v>
      </c>
      <c r="IT21" s="661">
        <f>IP21+IK21+IF21+IA21</f>
        <v>469410.82940000005</v>
      </c>
      <c r="IU21" s="661"/>
      <c r="IV21" s="662">
        <f>IC21+IH21+IM21+IR21</f>
        <v>0</v>
      </c>
      <c r="IW21" s="654">
        <f t="shared" si="10"/>
        <v>0</v>
      </c>
      <c r="IX21" s="645">
        <v>107050.76</v>
      </c>
      <c r="IY21" s="639">
        <f>IX21*IZ21</f>
        <v>103839.23719999999</v>
      </c>
      <c r="IZ21" s="633">
        <v>0.97</v>
      </c>
      <c r="JA21" s="635"/>
      <c r="JB21" s="636">
        <f>JA21/IX21</f>
        <v>0</v>
      </c>
      <c r="JC21" s="639">
        <v>139677.28</v>
      </c>
      <c r="JD21" s="639">
        <f>JC21*JE21</f>
        <v>131296.64319999999</v>
      </c>
      <c r="JE21" s="633">
        <v>0.94</v>
      </c>
      <c r="JF21" s="635"/>
      <c r="JG21" s="636">
        <f>JF21/JC21</f>
        <v>0</v>
      </c>
      <c r="JH21" s="639">
        <v>149406.42000000001</v>
      </c>
      <c r="JI21" s="639">
        <f>JH21*JJ21</f>
        <v>143430.16320000001</v>
      </c>
      <c r="JJ21" s="633">
        <v>0.96</v>
      </c>
      <c r="JK21" s="635"/>
      <c r="JL21" s="636">
        <f>JK21/JH21</f>
        <v>0</v>
      </c>
      <c r="JM21" s="639">
        <v>161176.97</v>
      </c>
      <c r="JN21" s="639">
        <f>JM21*JO21</f>
        <v>153118.12150000001</v>
      </c>
      <c r="JO21" s="633">
        <v>0.95</v>
      </c>
      <c r="JP21" s="635"/>
      <c r="JQ21" s="636">
        <f>JP21/JM21</f>
        <v>0</v>
      </c>
      <c r="JR21" s="661">
        <f>JN21+JI21+JD21+IY21</f>
        <v>531684.16509999998</v>
      </c>
      <c r="JS21" s="661"/>
      <c r="JT21" s="663">
        <f>JP21+JK21+JA21+JF21</f>
        <v>0</v>
      </c>
      <c r="JU21" s="651">
        <f t="shared" si="11"/>
        <v>0</v>
      </c>
      <c r="JV21" s="645">
        <v>230310.38</v>
      </c>
      <c r="JW21" s="639">
        <f>JV21*JX21</f>
        <v>216491.75719999999</v>
      </c>
      <c r="JX21" s="908">
        <v>0.94</v>
      </c>
      <c r="JY21" s="635"/>
      <c r="JZ21" s="636">
        <f>JY21/JV21</f>
        <v>0</v>
      </c>
      <c r="KA21" s="639">
        <v>246290.31</v>
      </c>
      <c r="KB21" s="639">
        <f>KA21*KC21</f>
        <v>229049.9883</v>
      </c>
      <c r="KC21" s="908">
        <v>0.93</v>
      </c>
      <c r="KD21" s="635"/>
      <c r="KE21" s="636">
        <f>KD21/KA21</f>
        <v>0</v>
      </c>
      <c r="KF21" s="639">
        <v>291645.84999999998</v>
      </c>
      <c r="KG21" s="639">
        <f>KF21*KH21</f>
        <v>271230.64049999998</v>
      </c>
      <c r="KH21" s="908">
        <v>0.93</v>
      </c>
      <c r="KI21" s="635"/>
      <c r="KJ21" s="636">
        <f>KI21/KF21</f>
        <v>0</v>
      </c>
      <c r="KK21" s="639">
        <v>288091.98</v>
      </c>
      <c r="KL21" s="639">
        <f>KK21*KM21</f>
        <v>267925.54139999999</v>
      </c>
      <c r="KM21" s="908">
        <v>0.93</v>
      </c>
      <c r="KN21" s="635"/>
      <c r="KO21" s="636">
        <f>KN21/KK21</f>
        <v>0</v>
      </c>
      <c r="KP21" s="639">
        <v>105766.15</v>
      </c>
      <c r="KQ21" s="639">
        <f>KP21*KR21</f>
        <v>100477.84249999998</v>
      </c>
      <c r="KR21" s="908">
        <v>0.95</v>
      </c>
      <c r="KS21" s="635"/>
      <c r="KT21" s="636">
        <f>KS21/KP21</f>
        <v>0</v>
      </c>
      <c r="KU21" s="661">
        <f>KQ21+KL21+KG21+KB21+JW21</f>
        <v>1085175.7699</v>
      </c>
      <c r="KV21" s="661"/>
      <c r="KW21" s="662">
        <f>KS21+KN21+KI21+KD21+JY21</f>
        <v>0</v>
      </c>
      <c r="KX21" s="959">
        <f t="shared" si="12"/>
        <v>0</v>
      </c>
      <c r="KY21" s="894">
        <f>X21+AV21+BY21+CW21+DU21+EX21+FV21+GT21+HW21+IU21+JS21+KV21</f>
        <v>0</v>
      </c>
      <c r="KZ21" s="893">
        <f>Y21+AW21+BZ21+CX21+DV21+EY21+FW21+GU21+HX21+IV21+JT21+KW21</f>
        <v>0</v>
      </c>
      <c r="LA21" s="892">
        <f>KZ21-KY21</f>
        <v>0</v>
      </c>
      <c r="LB21" s="891">
        <f t="shared" si="13"/>
        <v>0</v>
      </c>
    </row>
    <row r="22" spans="1:314">
      <c r="A22" s="1495"/>
      <c r="B22" s="900" t="s">
        <v>25</v>
      </c>
      <c r="C22" s="645">
        <v>69387.899999999994</v>
      </c>
      <c r="D22" s="639">
        <f>C22*E22</f>
        <v>61755.230999999992</v>
      </c>
      <c r="E22" s="908">
        <v>0.89</v>
      </c>
      <c r="F22" s="635"/>
      <c r="G22" s="636">
        <f>F22/C22</f>
        <v>0</v>
      </c>
      <c r="H22" s="639">
        <v>93871.24</v>
      </c>
      <c r="I22" s="639">
        <f>H22*J22</f>
        <v>83545.403600000005</v>
      </c>
      <c r="J22" s="633">
        <v>0.89</v>
      </c>
      <c r="K22" s="635"/>
      <c r="L22" s="636">
        <f>K22/H22</f>
        <v>0</v>
      </c>
      <c r="M22" s="639">
        <v>77388.350000000006</v>
      </c>
      <c r="N22" s="639">
        <f>M22*O22</f>
        <v>68875.631500000003</v>
      </c>
      <c r="O22" s="633">
        <v>0.89</v>
      </c>
      <c r="P22" s="635"/>
      <c r="Q22" s="636">
        <f>P22/M22</f>
        <v>0</v>
      </c>
      <c r="R22" s="639">
        <v>94944.77</v>
      </c>
      <c r="S22" s="639">
        <f>R22*T22</f>
        <v>84500.845300000001</v>
      </c>
      <c r="T22" s="633">
        <v>0.89</v>
      </c>
      <c r="U22" s="635"/>
      <c r="V22" s="636">
        <f>U22/R22</f>
        <v>0</v>
      </c>
      <c r="W22" s="639">
        <f>D22+I22+N22+S22</f>
        <v>298677.11139999999</v>
      </c>
      <c r="X22" s="639"/>
      <c r="Y22" s="666">
        <f>+F22+K22+P22+U22</f>
        <v>0</v>
      </c>
      <c r="Z22" s="646">
        <f t="shared" si="0"/>
        <v>0</v>
      </c>
      <c r="AA22" s="645">
        <v>82783.25</v>
      </c>
      <c r="AB22" s="639">
        <f>AA22*AC22</f>
        <v>73677.092499999999</v>
      </c>
      <c r="AC22" s="633">
        <v>0.89</v>
      </c>
      <c r="AD22" s="635"/>
      <c r="AE22" s="636">
        <f>AD22/AA22</f>
        <v>0</v>
      </c>
      <c r="AF22" s="639">
        <v>114454.58</v>
      </c>
      <c r="AG22" s="639">
        <f>AF22*AH22</f>
        <v>100720.0304</v>
      </c>
      <c r="AH22" s="633">
        <v>0.88</v>
      </c>
      <c r="AI22" s="635"/>
      <c r="AJ22" s="636">
        <f>AI22/AF22</f>
        <v>0</v>
      </c>
      <c r="AK22" s="639">
        <v>78892.600000000006</v>
      </c>
      <c r="AL22" s="639">
        <f>AK22*AM22</f>
        <v>71003.340000000011</v>
      </c>
      <c r="AM22" s="633">
        <v>0.9</v>
      </c>
      <c r="AN22" s="635"/>
      <c r="AO22" s="636">
        <f>AN22/AK22</f>
        <v>0</v>
      </c>
      <c r="AP22" s="639">
        <v>103507.86</v>
      </c>
      <c r="AQ22" s="639">
        <f>AP22*AR22</f>
        <v>92121.9954</v>
      </c>
      <c r="AR22" s="633">
        <v>0.89</v>
      </c>
      <c r="AS22" s="635"/>
      <c r="AT22" s="636">
        <f>AS22/AP22</f>
        <v>0</v>
      </c>
      <c r="AU22" s="639">
        <f>AB22+AG22+AL22+AQ22</f>
        <v>337522.45830000006</v>
      </c>
      <c r="AV22" s="896"/>
      <c r="AW22" s="895">
        <f>AD22+AI22++AN22+AS22</f>
        <v>0</v>
      </c>
      <c r="AX22" s="665">
        <f t="shared" si="1"/>
        <v>0</v>
      </c>
      <c r="AY22" s="645">
        <v>106909.55</v>
      </c>
      <c r="AZ22" s="639">
        <f>AY22*BA22</f>
        <v>95149.499500000005</v>
      </c>
      <c r="BA22" s="633">
        <v>0.89</v>
      </c>
      <c r="BB22" s="635"/>
      <c r="BC22" s="636">
        <f>BB22/AY22</f>
        <v>0</v>
      </c>
      <c r="BD22" s="639">
        <v>100777.97</v>
      </c>
      <c r="BE22" s="639">
        <f>BD22*BF22</f>
        <v>89692.393299999996</v>
      </c>
      <c r="BF22" s="633">
        <v>0.89</v>
      </c>
      <c r="BG22" s="635"/>
      <c r="BH22" s="636">
        <f>BG22/BD22</f>
        <v>0</v>
      </c>
      <c r="BI22" s="639">
        <v>129617.83</v>
      </c>
      <c r="BJ22" s="639">
        <f>BI22*BK22</f>
        <v>115359.86870000001</v>
      </c>
      <c r="BK22" s="633">
        <v>0.89</v>
      </c>
      <c r="BL22" s="635"/>
      <c r="BM22" s="636">
        <f>BL22/BI22</f>
        <v>0</v>
      </c>
      <c r="BN22" s="639">
        <v>135123.39000000001</v>
      </c>
      <c r="BO22" s="639">
        <f>BN22*BP22</f>
        <v>117557.34930000002</v>
      </c>
      <c r="BP22" s="633">
        <v>0.87</v>
      </c>
      <c r="BQ22" s="635"/>
      <c r="BR22" s="636">
        <f>BQ22/BN22</f>
        <v>0</v>
      </c>
      <c r="BS22" s="639">
        <v>138597.99</v>
      </c>
      <c r="BT22" s="639">
        <f>BS22*BU22</f>
        <v>123352.2111</v>
      </c>
      <c r="BU22" s="633">
        <v>0.89</v>
      </c>
      <c r="BV22" s="635"/>
      <c r="BW22" s="636">
        <f>BV22/BS22</f>
        <v>0</v>
      </c>
      <c r="BX22" s="661">
        <f>AZ22+BE22+BJ22+BO22+BT22</f>
        <v>541111.32189999998</v>
      </c>
      <c r="BY22" s="661"/>
      <c r="BZ22" s="663">
        <f>BV22+BQ22+BL22+BG22+BB22</f>
        <v>0</v>
      </c>
      <c r="CA22" s="651">
        <f t="shared" si="2"/>
        <v>0</v>
      </c>
      <c r="CB22" s="645">
        <v>147428.20000000001</v>
      </c>
      <c r="CC22" s="639">
        <f>CB22*CD22</f>
        <v>131211.098</v>
      </c>
      <c r="CD22" s="633">
        <v>0.89</v>
      </c>
      <c r="CE22" s="635"/>
      <c r="CF22" s="636">
        <f>CE22/CB22</f>
        <v>0</v>
      </c>
      <c r="CG22" s="639">
        <v>148591.32999999999</v>
      </c>
      <c r="CH22" s="639">
        <f>CG22*CI22</f>
        <v>132246.2837</v>
      </c>
      <c r="CI22" s="633">
        <v>0.89</v>
      </c>
      <c r="CJ22" s="635"/>
      <c r="CK22" s="636">
        <f>CJ22/CG22</f>
        <v>0</v>
      </c>
      <c r="CL22" s="639">
        <v>147317.97</v>
      </c>
      <c r="CM22" s="639">
        <f>CL22*CN22</f>
        <v>131112.9933</v>
      </c>
      <c r="CN22" s="633">
        <v>0.89</v>
      </c>
      <c r="CO22" s="635"/>
      <c r="CP22" s="636">
        <f>CO22/CL22</f>
        <v>0</v>
      </c>
      <c r="CQ22" s="639">
        <v>164568.13</v>
      </c>
      <c r="CR22" s="639">
        <f>CQ22*CS22</f>
        <v>148111.31700000001</v>
      </c>
      <c r="CS22" s="633">
        <v>0.9</v>
      </c>
      <c r="CT22" s="635"/>
      <c r="CU22" s="636">
        <f>CT22/CQ22</f>
        <v>0</v>
      </c>
      <c r="CV22" s="656">
        <f>CR22+CM22+CH22+CC22</f>
        <v>542681.69200000004</v>
      </c>
      <c r="CW22" s="656"/>
      <c r="CX22" s="657">
        <f>CT22+CO22+CE22+CJ22</f>
        <v>0</v>
      </c>
      <c r="CY22" s="654">
        <f t="shared" si="3"/>
        <v>0</v>
      </c>
      <c r="CZ22" s="645">
        <v>178285.37</v>
      </c>
      <c r="DA22" s="639">
        <f>CZ22*DB22</f>
        <v>158673.97930000001</v>
      </c>
      <c r="DB22" s="633">
        <v>0.89</v>
      </c>
      <c r="DC22" s="635"/>
      <c r="DD22" s="636">
        <f>DC22/CZ22</f>
        <v>0</v>
      </c>
      <c r="DE22" s="639">
        <v>135095.56</v>
      </c>
      <c r="DF22" s="639">
        <f>DE22*DG22</f>
        <v>120235.0484</v>
      </c>
      <c r="DG22" s="633">
        <v>0.89</v>
      </c>
      <c r="DH22" s="635"/>
      <c r="DI22" s="636">
        <f>DH22/DE22</f>
        <v>0</v>
      </c>
      <c r="DJ22" s="639">
        <v>117239.8</v>
      </c>
      <c r="DK22" s="639">
        <f>DJ22*DL22</f>
        <v>104343.42200000001</v>
      </c>
      <c r="DL22" s="633">
        <v>0.89</v>
      </c>
      <c r="DM22" s="635"/>
      <c r="DN22" s="636">
        <f>DM22/DJ22</f>
        <v>0</v>
      </c>
      <c r="DO22" s="639">
        <v>141919.60999999999</v>
      </c>
      <c r="DP22" s="639">
        <f>DO22*DQ22</f>
        <v>126308.45289999999</v>
      </c>
      <c r="DQ22" s="633">
        <v>0.89</v>
      </c>
      <c r="DR22" s="635"/>
      <c r="DS22" s="636">
        <f>DR22/DO22</f>
        <v>0</v>
      </c>
      <c r="DT22" s="656">
        <f>DP22+DK22+DF22+DA22</f>
        <v>509560.90260000003</v>
      </c>
      <c r="DU22" s="656"/>
      <c r="DV22" s="657">
        <f>DR22+DM22+DC22+DH22</f>
        <v>0</v>
      </c>
      <c r="DW22" s="654">
        <f t="shared" si="4"/>
        <v>0</v>
      </c>
      <c r="DX22" s="645">
        <v>144918.06</v>
      </c>
      <c r="DY22" s="639">
        <f>DX22*DZ22</f>
        <v>128977.07339999999</v>
      </c>
      <c r="DZ22" s="633">
        <v>0.89</v>
      </c>
      <c r="EA22" s="907">
        <f>'Vtas Diarias 2022'!AAC23</f>
        <v>0</v>
      </c>
      <c r="EB22" s="636">
        <f>EA22/DX22</f>
        <v>0</v>
      </c>
      <c r="EC22" s="639">
        <v>174975.64</v>
      </c>
      <c r="ED22" s="639">
        <f>EC22*EE22</f>
        <v>152228.80680000002</v>
      </c>
      <c r="EE22" s="633">
        <v>0.87</v>
      </c>
      <c r="EF22" s="635"/>
      <c r="EG22" s="636">
        <f>EF22/EC22</f>
        <v>0</v>
      </c>
      <c r="EH22" s="639">
        <v>157266.5</v>
      </c>
      <c r="EI22" s="639">
        <f>EH22*EJ22</f>
        <v>139967.185</v>
      </c>
      <c r="EJ22" s="633">
        <v>0.89</v>
      </c>
      <c r="EK22" s="635"/>
      <c r="EL22" s="636">
        <f>EK22/EH22</f>
        <v>0</v>
      </c>
      <c r="EM22" s="639">
        <v>158441.85</v>
      </c>
      <c r="EN22" s="639">
        <f>EM22*EO22</f>
        <v>148935.33900000001</v>
      </c>
      <c r="EO22" s="633">
        <v>0.94</v>
      </c>
      <c r="EP22" s="635"/>
      <c r="EQ22" s="636">
        <f>EP22/EM22</f>
        <v>0</v>
      </c>
      <c r="ER22" s="639">
        <v>146791.74</v>
      </c>
      <c r="ES22" s="639">
        <f>ER22*ET22</f>
        <v>137984.23559999999</v>
      </c>
      <c r="ET22" s="633">
        <v>0.94</v>
      </c>
      <c r="EU22" s="635"/>
      <c r="EV22" s="636">
        <f>EU22/ER22</f>
        <v>0</v>
      </c>
      <c r="EW22" s="661">
        <f>ES22+EN22+EI22+ED22+DY22</f>
        <v>708092.6398</v>
      </c>
      <c r="EX22" s="661"/>
      <c r="EY22" s="904">
        <f t="shared" si="5"/>
        <v>0</v>
      </c>
      <c r="EZ22" s="654">
        <f t="shared" si="6"/>
        <v>0</v>
      </c>
      <c r="FA22" s="645">
        <v>159965.01999999999</v>
      </c>
      <c r="FB22" s="639">
        <f>FA22*FC22</f>
        <v>140769.2176</v>
      </c>
      <c r="FC22" s="908">
        <v>0.88</v>
      </c>
      <c r="FD22" s="635"/>
      <c r="FE22" s="636">
        <f>FD22/FA22</f>
        <v>0</v>
      </c>
      <c r="FF22" s="639">
        <v>163701.04</v>
      </c>
      <c r="FG22" s="639">
        <f>FF22*FH22</f>
        <v>144056.91520000002</v>
      </c>
      <c r="FH22" s="633">
        <v>0.88</v>
      </c>
      <c r="FI22" s="635"/>
      <c r="FJ22" s="636">
        <f>FI22/FF22</f>
        <v>0</v>
      </c>
      <c r="FK22" s="639">
        <v>144640.89000000001</v>
      </c>
      <c r="FL22" s="639">
        <f>FK22*FM22</f>
        <v>130176.80100000002</v>
      </c>
      <c r="FM22" s="633">
        <v>0.9</v>
      </c>
      <c r="FN22" s="635"/>
      <c r="FO22" s="636">
        <f>FN22/FK22</f>
        <v>0</v>
      </c>
      <c r="FP22" s="639">
        <v>120866.51</v>
      </c>
      <c r="FQ22" s="639">
        <f>FP22*FR22</f>
        <v>111197.18919999999</v>
      </c>
      <c r="FR22" s="908">
        <v>0.92</v>
      </c>
      <c r="FS22" s="635"/>
      <c r="FT22" s="636">
        <f>FS22/FP22</f>
        <v>0</v>
      </c>
      <c r="FU22" s="661">
        <f>FQ22+FL22+FG22+FB22</f>
        <v>526200.12300000002</v>
      </c>
      <c r="FV22" s="661"/>
      <c r="FW22" s="663">
        <f>FS22+FN22+FD22+FI22</f>
        <v>0</v>
      </c>
      <c r="FX22" s="651">
        <f t="shared" si="7"/>
        <v>0</v>
      </c>
      <c r="FY22" s="645">
        <v>126790.09</v>
      </c>
      <c r="FZ22" s="639">
        <f>FY22*GA22</f>
        <v>120450.58549999999</v>
      </c>
      <c r="GA22" s="633">
        <v>0.95</v>
      </c>
      <c r="GB22" s="635"/>
      <c r="GC22" s="636">
        <f>GB22/FY22</f>
        <v>0</v>
      </c>
      <c r="GD22" s="639">
        <v>135410.28</v>
      </c>
      <c r="GE22" s="639">
        <f>GD22*GF22</f>
        <v>121869.25200000001</v>
      </c>
      <c r="GF22" s="633">
        <v>0.9</v>
      </c>
      <c r="GG22" s="635"/>
      <c r="GH22" s="636">
        <f>GG22/GD22</f>
        <v>0</v>
      </c>
      <c r="GI22" s="639">
        <v>127403.62</v>
      </c>
      <c r="GJ22" s="639">
        <f>GI22*GK22</f>
        <v>124855.54759999999</v>
      </c>
      <c r="GK22" s="633">
        <v>0.98</v>
      </c>
      <c r="GL22" s="635"/>
      <c r="GM22" s="636">
        <f>GL22/GI22</f>
        <v>0</v>
      </c>
      <c r="GN22" s="639">
        <v>128015.27</v>
      </c>
      <c r="GO22" s="639">
        <f>GN22*GP22</f>
        <v>125454.96460000001</v>
      </c>
      <c r="GP22" s="633">
        <v>0.98</v>
      </c>
      <c r="GQ22" s="635"/>
      <c r="GR22" s="636">
        <f>GQ22/GN22</f>
        <v>0</v>
      </c>
      <c r="GS22" s="661">
        <f>GO22+GJ22+GE22+FZ22</f>
        <v>492630.34969999996</v>
      </c>
      <c r="GT22" s="661"/>
      <c r="GU22" s="662">
        <f>GQ22+GL22+GB22+GG22</f>
        <v>0</v>
      </c>
      <c r="GV22" s="654">
        <f t="shared" si="8"/>
        <v>0</v>
      </c>
      <c r="GW22" s="645">
        <v>129761</v>
      </c>
      <c r="GX22" s="639">
        <f>GW22*GY22</f>
        <v>127165.78</v>
      </c>
      <c r="GY22" s="633">
        <v>0.98</v>
      </c>
      <c r="GZ22" s="635"/>
      <c r="HA22" s="636">
        <f>GZ22/GW22</f>
        <v>0</v>
      </c>
      <c r="HB22" s="639">
        <v>119313.95</v>
      </c>
      <c r="HC22" s="639">
        <f>HB22*HD22</f>
        <v>119313.95</v>
      </c>
      <c r="HD22" s="633">
        <v>1</v>
      </c>
      <c r="HE22" s="635"/>
      <c r="HF22" s="636">
        <f>HE22/HB22</f>
        <v>0</v>
      </c>
      <c r="HG22" s="639">
        <v>127089.44</v>
      </c>
      <c r="HH22" s="639">
        <f>HG22*HI22</f>
        <v>120734.96799999999</v>
      </c>
      <c r="HI22" s="633">
        <v>0.95</v>
      </c>
      <c r="HJ22" s="635"/>
      <c r="HK22" s="636">
        <f>HJ22/HG22</f>
        <v>0</v>
      </c>
      <c r="HL22" s="639">
        <v>124277.6</v>
      </c>
      <c r="HM22" s="639">
        <f>HL22*HN22</f>
        <v>120549.272</v>
      </c>
      <c r="HN22" s="633">
        <v>0.97</v>
      </c>
      <c r="HO22" s="635"/>
      <c r="HP22" s="636">
        <f>HO22/HL22</f>
        <v>0</v>
      </c>
      <c r="HQ22" s="639">
        <v>117130.46</v>
      </c>
      <c r="HR22" s="639">
        <f>HQ22*HS22</f>
        <v>114787.8508</v>
      </c>
      <c r="HS22" s="633">
        <v>0.98</v>
      </c>
      <c r="HT22" s="635"/>
      <c r="HU22" s="636">
        <f>HT22/HQ22</f>
        <v>0</v>
      </c>
      <c r="HV22" s="661">
        <f>HR22+HM22+HH22+HC22+GX22</f>
        <v>602551.82079999999</v>
      </c>
      <c r="HW22" s="661"/>
      <c r="HX22" s="663">
        <f>HT22+HO22+HJ22+HE22+GZ22</f>
        <v>0</v>
      </c>
      <c r="HY22" s="651">
        <f t="shared" si="9"/>
        <v>0</v>
      </c>
      <c r="HZ22" s="645">
        <v>106068.18</v>
      </c>
      <c r="IA22" s="639">
        <f>HZ22*IB22</f>
        <v>102886.13459999999</v>
      </c>
      <c r="IB22" s="633">
        <v>0.97</v>
      </c>
      <c r="IC22" s="635"/>
      <c r="ID22" s="636">
        <f>IC22/HZ22</f>
        <v>0</v>
      </c>
      <c r="IE22" s="639">
        <v>102397.35</v>
      </c>
      <c r="IF22" s="639">
        <f>IE22*IG22</f>
        <v>98301.456000000006</v>
      </c>
      <c r="IG22" s="633">
        <v>0.96</v>
      </c>
      <c r="IH22" s="635"/>
      <c r="II22" s="636">
        <f>IH22/IE22</f>
        <v>0</v>
      </c>
      <c r="IJ22" s="639">
        <v>152945.03</v>
      </c>
      <c r="IK22" s="639">
        <f>IJ22*IL22</f>
        <v>151415.5797</v>
      </c>
      <c r="IL22" s="633">
        <v>0.99</v>
      </c>
      <c r="IM22" s="635"/>
      <c r="IN22" s="636">
        <f>IM22/IJ22</f>
        <v>0</v>
      </c>
      <c r="IO22" s="639">
        <v>150792.4</v>
      </c>
      <c r="IP22" s="639">
        <f>IO22*IQ22</f>
        <v>146268.628</v>
      </c>
      <c r="IQ22" s="633">
        <v>0.97</v>
      </c>
      <c r="IR22" s="635"/>
      <c r="IS22" s="636">
        <f>IR22/IO22</f>
        <v>0</v>
      </c>
      <c r="IT22" s="661">
        <f>IP22+IK22+IF22+IA22</f>
        <v>498871.79830000002</v>
      </c>
      <c r="IU22" s="661"/>
      <c r="IV22" s="662">
        <f>IC22+IH22+IM22+IR22</f>
        <v>0</v>
      </c>
      <c r="IW22" s="654">
        <f t="shared" si="10"/>
        <v>0</v>
      </c>
      <c r="IX22" s="645">
        <v>119068.96</v>
      </c>
      <c r="IY22" s="639">
        <f>IX22*IZ22</f>
        <v>115496.8912</v>
      </c>
      <c r="IZ22" s="633">
        <v>0.97</v>
      </c>
      <c r="JA22" s="635"/>
      <c r="JB22" s="636">
        <f>JA22/IX22</f>
        <v>0</v>
      </c>
      <c r="JC22" s="639">
        <v>164657.48000000001</v>
      </c>
      <c r="JD22" s="639">
        <f>JC22*JE22</f>
        <v>154778.0312</v>
      </c>
      <c r="JE22" s="633">
        <v>0.94</v>
      </c>
      <c r="JF22" s="635"/>
      <c r="JG22" s="636">
        <f>JF22/JC22</f>
        <v>0</v>
      </c>
      <c r="JH22" s="639">
        <v>201285.34</v>
      </c>
      <c r="JI22" s="639">
        <f>JH22*JJ22</f>
        <v>193233.9264</v>
      </c>
      <c r="JJ22" s="633">
        <v>0.96</v>
      </c>
      <c r="JK22" s="635"/>
      <c r="JL22" s="636">
        <f>JK22/JH22</f>
        <v>0</v>
      </c>
      <c r="JM22" s="639">
        <v>181465.8</v>
      </c>
      <c r="JN22" s="639">
        <f>JM22*JO22</f>
        <v>172392.50999999998</v>
      </c>
      <c r="JO22" s="633">
        <v>0.95</v>
      </c>
      <c r="JP22" s="635"/>
      <c r="JQ22" s="636">
        <f>JP22/JM22</f>
        <v>0</v>
      </c>
      <c r="JR22" s="661">
        <f>JN22+JI22+JD22+IY22</f>
        <v>635901.35879999993</v>
      </c>
      <c r="JS22" s="661"/>
      <c r="JT22" s="663">
        <f>JP22+JK22+JA22+JF22</f>
        <v>0</v>
      </c>
      <c r="JU22" s="651">
        <f t="shared" si="11"/>
        <v>0</v>
      </c>
      <c r="JV22" s="645">
        <v>252754.23</v>
      </c>
      <c r="JW22" s="639">
        <f>JV22*JX22</f>
        <v>237588.9762</v>
      </c>
      <c r="JX22" s="908">
        <v>0.94</v>
      </c>
      <c r="JY22" s="635"/>
      <c r="JZ22" s="636">
        <f>JY22/JV22</f>
        <v>0</v>
      </c>
      <c r="KA22" s="639">
        <v>345734.98</v>
      </c>
      <c r="KB22" s="639">
        <f>KA22*KC22</f>
        <v>321533.53139999998</v>
      </c>
      <c r="KC22" s="908">
        <v>0.93</v>
      </c>
      <c r="KD22" s="635"/>
      <c r="KE22" s="636">
        <f>KD22/KA22</f>
        <v>0</v>
      </c>
      <c r="KF22" s="639">
        <v>399441.79</v>
      </c>
      <c r="KG22" s="639">
        <f>KF22*KH22</f>
        <v>371480.86469999998</v>
      </c>
      <c r="KH22" s="908">
        <v>0.93</v>
      </c>
      <c r="KI22" s="635"/>
      <c r="KJ22" s="636">
        <f>KI22/KF22</f>
        <v>0</v>
      </c>
      <c r="KK22" s="639">
        <v>292679.69</v>
      </c>
      <c r="KL22" s="639">
        <f>KK22*KM22</f>
        <v>272192.11170000001</v>
      </c>
      <c r="KM22" s="908">
        <v>0.93</v>
      </c>
      <c r="KN22" s="635"/>
      <c r="KO22" s="636">
        <f>KN22/KK22</f>
        <v>0</v>
      </c>
      <c r="KP22" s="639">
        <v>80091.42</v>
      </c>
      <c r="KQ22" s="639">
        <f>KP22*KR22</f>
        <v>76086.849000000002</v>
      </c>
      <c r="KR22" s="908">
        <v>0.95</v>
      </c>
      <c r="KS22" s="635"/>
      <c r="KT22" s="636">
        <f>KS22/KP22</f>
        <v>0</v>
      </c>
      <c r="KU22" s="661">
        <f>KQ22+KL22+KG22+KB22+JW22</f>
        <v>1278882.3329999999</v>
      </c>
      <c r="KV22" s="661"/>
      <c r="KW22" s="662">
        <f>KS22+KN22+KI22+KD22+JY22</f>
        <v>0</v>
      </c>
      <c r="KX22" s="959">
        <f t="shared" si="12"/>
        <v>0</v>
      </c>
      <c r="KY22" s="894">
        <f>X22+AV22+BY22+CW22+DU22+EX22+FV22+GT22+HW22+IU22+JS22+KV22</f>
        <v>0</v>
      </c>
      <c r="KZ22" s="893">
        <f>Y22+AW22+BZ22+CX22+DV22+EY22+FW22+GU22+HX22+IV22+JT22+KW22</f>
        <v>0</v>
      </c>
      <c r="LA22" s="892">
        <f>KZ22-KY22</f>
        <v>0</v>
      </c>
      <c r="LB22" s="891">
        <f t="shared" si="13"/>
        <v>0</v>
      </c>
    </row>
    <row r="23" spans="1:314">
      <c r="A23" s="1495"/>
      <c r="B23" s="900" t="s">
        <v>26</v>
      </c>
      <c r="C23" s="645">
        <v>51107.45</v>
      </c>
      <c r="D23" s="639">
        <f>C23*E23</f>
        <v>45485.630499999999</v>
      </c>
      <c r="E23" s="908">
        <v>0.89</v>
      </c>
      <c r="F23" s="635"/>
      <c r="G23" s="636">
        <f>F23/C23</f>
        <v>0</v>
      </c>
      <c r="H23" s="639">
        <v>56579.88</v>
      </c>
      <c r="I23" s="639">
        <f>H23*J23</f>
        <v>50356.093199999996</v>
      </c>
      <c r="J23" s="633">
        <v>0.89</v>
      </c>
      <c r="K23" s="635"/>
      <c r="L23" s="636">
        <f>K23/H23</f>
        <v>0</v>
      </c>
      <c r="M23" s="639">
        <v>49516.160000000003</v>
      </c>
      <c r="N23" s="639">
        <f>M23*O23</f>
        <v>44069.382400000002</v>
      </c>
      <c r="O23" s="633">
        <v>0.89</v>
      </c>
      <c r="P23" s="635"/>
      <c r="Q23" s="636">
        <f>P23/M23</f>
        <v>0</v>
      </c>
      <c r="R23" s="639">
        <v>54070.15</v>
      </c>
      <c r="S23" s="639">
        <f>R23*T23</f>
        <v>48122.433499999999</v>
      </c>
      <c r="T23" s="633">
        <v>0.89</v>
      </c>
      <c r="U23" s="635"/>
      <c r="V23" s="636">
        <f>U23/R23</f>
        <v>0</v>
      </c>
      <c r="W23" s="639">
        <f>D23+I23+N23+S23</f>
        <v>188033.53960000002</v>
      </c>
      <c r="X23" s="639"/>
      <c r="Y23" s="666">
        <f>+F23+K23+P23+U23</f>
        <v>0</v>
      </c>
      <c r="Z23" s="646">
        <f t="shared" si="0"/>
        <v>0</v>
      </c>
      <c r="AA23" s="645">
        <v>58195.05</v>
      </c>
      <c r="AB23" s="639">
        <f>AA23*AC23</f>
        <v>51793.594500000007</v>
      </c>
      <c r="AC23" s="633">
        <v>0.89</v>
      </c>
      <c r="AD23" s="635"/>
      <c r="AE23" s="636">
        <f>AD23/AA23</f>
        <v>0</v>
      </c>
      <c r="AF23" s="639">
        <v>88265</v>
      </c>
      <c r="AG23" s="639">
        <f>AF23*AH23</f>
        <v>77673.2</v>
      </c>
      <c r="AH23" s="633">
        <v>0.88</v>
      </c>
      <c r="AI23" s="635"/>
      <c r="AJ23" s="636">
        <f>AI23/AF23</f>
        <v>0</v>
      </c>
      <c r="AK23" s="639">
        <v>47804.81</v>
      </c>
      <c r="AL23" s="639">
        <f>AK23*AM23</f>
        <v>43024.328999999998</v>
      </c>
      <c r="AM23" s="633">
        <v>0.9</v>
      </c>
      <c r="AN23" s="635"/>
      <c r="AO23" s="636">
        <f>AN23/AK23</f>
        <v>0</v>
      </c>
      <c r="AP23" s="639">
        <v>59954.1</v>
      </c>
      <c r="AQ23" s="639">
        <f>AP23*AR23</f>
        <v>53359.148999999998</v>
      </c>
      <c r="AR23" s="633">
        <v>0.89</v>
      </c>
      <c r="AS23" s="635"/>
      <c r="AT23" s="636">
        <f>AS23/AP23</f>
        <v>0</v>
      </c>
      <c r="AU23" s="639">
        <f>AB23+AG23+AL23+AQ23</f>
        <v>225850.27249999999</v>
      </c>
      <c r="AV23" s="896"/>
      <c r="AW23" s="895">
        <f>AD23+AI23++AN23+AS23</f>
        <v>0</v>
      </c>
      <c r="AX23" s="665">
        <f t="shared" si="1"/>
        <v>0</v>
      </c>
      <c r="AY23" s="645">
        <v>56068.42</v>
      </c>
      <c r="AZ23" s="639">
        <f>AY23*BA23</f>
        <v>49900.893799999998</v>
      </c>
      <c r="BA23" s="633">
        <v>0.89</v>
      </c>
      <c r="BB23" s="635"/>
      <c r="BC23" s="636">
        <f>BB23/AY23</f>
        <v>0</v>
      </c>
      <c r="BD23" s="639">
        <v>52270.76</v>
      </c>
      <c r="BE23" s="639">
        <f>BD23*BF23</f>
        <v>46520.9764</v>
      </c>
      <c r="BF23" s="633">
        <v>0.89</v>
      </c>
      <c r="BG23" s="635"/>
      <c r="BH23" s="636">
        <f>BG23/BD23</f>
        <v>0</v>
      </c>
      <c r="BI23" s="639">
        <v>66129.66</v>
      </c>
      <c r="BJ23" s="639">
        <f>BI23*BK23</f>
        <v>58855.397400000002</v>
      </c>
      <c r="BK23" s="633">
        <v>0.89</v>
      </c>
      <c r="BL23" s="635"/>
      <c r="BM23" s="636">
        <f>BL23/BI23</f>
        <v>0</v>
      </c>
      <c r="BN23" s="639">
        <v>73765.53</v>
      </c>
      <c r="BO23" s="639">
        <f>BN23*BP23</f>
        <v>64176.011099999996</v>
      </c>
      <c r="BP23" s="633">
        <v>0.87</v>
      </c>
      <c r="BQ23" s="635"/>
      <c r="BR23" s="636">
        <f>BQ23/BN23</f>
        <v>0</v>
      </c>
      <c r="BS23" s="639">
        <v>64561.7</v>
      </c>
      <c r="BT23" s="639">
        <f>BS23*BU23</f>
        <v>57459.913</v>
      </c>
      <c r="BU23" s="633">
        <v>0.89</v>
      </c>
      <c r="BV23" s="635"/>
      <c r="BW23" s="636">
        <f>BV23/BS23</f>
        <v>0</v>
      </c>
      <c r="BX23" s="661">
        <f>AZ23+BE23+BJ23+BO23+BT23</f>
        <v>276913.19170000002</v>
      </c>
      <c r="BY23" s="661"/>
      <c r="BZ23" s="663">
        <f>BV23+BQ23+BL23+BG23+BB23</f>
        <v>0</v>
      </c>
      <c r="CA23" s="651">
        <f t="shared" si="2"/>
        <v>0</v>
      </c>
      <c r="CB23" s="645">
        <v>67449.97</v>
      </c>
      <c r="CC23" s="639">
        <f>CB23*CD23</f>
        <v>60030.473300000005</v>
      </c>
      <c r="CD23" s="633">
        <v>0.89</v>
      </c>
      <c r="CE23" s="635"/>
      <c r="CF23" s="636">
        <f>CE23/CB23</f>
        <v>0</v>
      </c>
      <c r="CG23" s="639">
        <v>77513.100000000006</v>
      </c>
      <c r="CH23" s="639">
        <f>CG23*CI23</f>
        <v>68986.659</v>
      </c>
      <c r="CI23" s="633">
        <v>0.89</v>
      </c>
      <c r="CJ23" s="635"/>
      <c r="CK23" s="636">
        <f>CJ23/CG23</f>
        <v>0</v>
      </c>
      <c r="CL23" s="639">
        <v>75186.070000000007</v>
      </c>
      <c r="CM23" s="639">
        <f>CL23*CN23</f>
        <v>66915.602300000013</v>
      </c>
      <c r="CN23" s="633">
        <v>0.89</v>
      </c>
      <c r="CO23" s="635"/>
      <c r="CP23" s="636">
        <f>CO23/CL23</f>
        <v>0</v>
      </c>
      <c r="CQ23" s="639">
        <v>96073.2</v>
      </c>
      <c r="CR23" s="639">
        <f>CQ23*CS23</f>
        <v>86465.88</v>
      </c>
      <c r="CS23" s="633">
        <v>0.9</v>
      </c>
      <c r="CT23" s="635"/>
      <c r="CU23" s="636">
        <f>CT23/CQ23</f>
        <v>0</v>
      </c>
      <c r="CV23" s="656">
        <f>CR23+CM23+CH23+CC23</f>
        <v>282398.61460000003</v>
      </c>
      <c r="CW23" s="656"/>
      <c r="CX23" s="657">
        <f>CT23+CO23+CE23+CJ23</f>
        <v>0</v>
      </c>
      <c r="CY23" s="654">
        <f t="shared" si="3"/>
        <v>0</v>
      </c>
      <c r="CZ23" s="645">
        <v>97442.63</v>
      </c>
      <c r="DA23" s="639">
        <f>CZ23*DB23</f>
        <v>86723.940700000006</v>
      </c>
      <c r="DB23" s="633">
        <v>0.89</v>
      </c>
      <c r="DC23" s="635"/>
      <c r="DD23" s="636">
        <f>DC23/CZ23</f>
        <v>0</v>
      </c>
      <c r="DE23" s="639">
        <v>83784.52</v>
      </c>
      <c r="DF23" s="639">
        <f>DE23*DG23</f>
        <v>74568.222800000003</v>
      </c>
      <c r="DG23" s="633">
        <v>0.89</v>
      </c>
      <c r="DH23" s="635"/>
      <c r="DI23" s="636">
        <f>DH23/DE23</f>
        <v>0</v>
      </c>
      <c r="DJ23" s="639">
        <v>66438.03</v>
      </c>
      <c r="DK23" s="639">
        <f>DJ23*DL23</f>
        <v>59129.846700000002</v>
      </c>
      <c r="DL23" s="633">
        <v>0.89</v>
      </c>
      <c r="DM23" s="635"/>
      <c r="DN23" s="636">
        <f>DM23/DJ23</f>
        <v>0</v>
      </c>
      <c r="DO23" s="639">
        <v>69728.33</v>
      </c>
      <c r="DP23" s="639">
        <f>DO23*DQ23</f>
        <v>62058.2137</v>
      </c>
      <c r="DQ23" s="633">
        <v>0.89</v>
      </c>
      <c r="DR23" s="635"/>
      <c r="DS23" s="636">
        <f>DR23/DO23</f>
        <v>0</v>
      </c>
      <c r="DT23" s="656">
        <f>DP23+DK23+DF23+DA23</f>
        <v>282480.22389999998</v>
      </c>
      <c r="DU23" s="656"/>
      <c r="DV23" s="657">
        <f>DR23+DM23+DC23+DH23</f>
        <v>0</v>
      </c>
      <c r="DW23" s="654">
        <f t="shared" si="4"/>
        <v>0</v>
      </c>
      <c r="DX23" s="645">
        <v>95723.29</v>
      </c>
      <c r="DY23" s="639">
        <f>DX23*DZ23</f>
        <v>85193.728099999993</v>
      </c>
      <c r="DZ23" s="633">
        <v>0.89</v>
      </c>
      <c r="EA23" s="907">
        <f>'Vtas Diarias 2022'!AAC24</f>
        <v>0</v>
      </c>
      <c r="EB23" s="636">
        <f>EA23/DX23</f>
        <v>0</v>
      </c>
      <c r="EC23" s="639">
        <v>79155.33</v>
      </c>
      <c r="ED23" s="639">
        <f>EC23*EE23</f>
        <v>68865.137100000007</v>
      </c>
      <c r="EE23" s="633">
        <v>0.87</v>
      </c>
      <c r="EF23" s="635"/>
      <c r="EG23" s="636">
        <f>EF23/EC23</f>
        <v>0</v>
      </c>
      <c r="EH23" s="639">
        <v>80270.45</v>
      </c>
      <c r="EI23" s="639">
        <f>EH23*EJ23</f>
        <v>71440.700499999992</v>
      </c>
      <c r="EJ23" s="633">
        <v>0.89</v>
      </c>
      <c r="EK23" s="635"/>
      <c r="EL23" s="636">
        <f>EK23/EH23</f>
        <v>0</v>
      </c>
      <c r="EM23" s="639">
        <v>79668</v>
      </c>
      <c r="EN23" s="639">
        <f>EM23*EO23</f>
        <v>73294.559999999998</v>
      </c>
      <c r="EO23" s="633">
        <v>0.92</v>
      </c>
      <c r="EP23" s="635"/>
      <c r="EQ23" s="636">
        <f>EP23/EM23</f>
        <v>0</v>
      </c>
      <c r="ER23" s="639">
        <v>73337.350000000006</v>
      </c>
      <c r="ES23" s="639">
        <f>ER23*ET23</f>
        <v>67470.362000000008</v>
      </c>
      <c r="ET23" s="633">
        <v>0.92</v>
      </c>
      <c r="EU23" s="635"/>
      <c r="EV23" s="636">
        <f>EU23/ER23</f>
        <v>0</v>
      </c>
      <c r="EW23" s="661">
        <f>ES23+EN23+EI23+ED23+DY23</f>
        <v>366264.4877</v>
      </c>
      <c r="EX23" s="661"/>
      <c r="EY23" s="904">
        <f t="shared" si="5"/>
        <v>0</v>
      </c>
      <c r="EZ23" s="654">
        <f t="shared" si="6"/>
        <v>0</v>
      </c>
      <c r="FA23" s="645">
        <v>69337.19</v>
      </c>
      <c r="FB23" s="639">
        <f>FA23*FC23</f>
        <v>61016.727200000001</v>
      </c>
      <c r="FC23" s="908">
        <v>0.88</v>
      </c>
      <c r="FD23" s="635"/>
      <c r="FE23" s="636">
        <f>FD23/FA23</f>
        <v>0</v>
      </c>
      <c r="FF23" s="639">
        <v>74113.850000000006</v>
      </c>
      <c r="FG23" s="639">
        <f>FF23*FH23</f>
        <v>65220.188000000002</v>
      </c>
      <c r="FH23" s="633">
        <v>0.88</v>
      </c>
      <c r="FI23" s="635"/>
      <c r="FJ23" s="636">
        <f>FI23/FF23</f>
        <v>0</v>
      </c>
      <c r="FK23" s="639">
        <v>66658.289999999994</v>
      </c>
      <c r="FL23" s="639">
        <f>FK23*FM23</f>
        <v>58659.295199999993</v>
      </c>
      <c r="FM23" s="633">
        <v>0.88</v>
      </c>
      <c r="FN23" s="635"/>
      <c r="FO23" s="636">
        <f>FN23/FK23</f>
        <v>0</v>
      </c>
      <c r="FP23" s="639">
        <v>63156.03</v>
      </c>
      <c r="FQ23" s="639">
        <f>FP23*FR23</f>
        <v>58103.547599999998</v>
      </c>
      <c r="FR23" s="908">
        <v>0.92</v>
      </c>
      <c r="FS23" s="635"/>
      <c r="FT23" s="636">
        <f>FS23/FP23</f>
        <v>0</v>
      </c>
      <c r="FU23" s="661">
        <f>FQ23+FL23+FG23+FB23</f>
        <v>242999.75799999997</v>
      </c>
      <c r="FV23" s="661"/>
      <c r="FW23" s="663">
        <f>FS23+FN23+FD23+FI23</f>
        <v>0</v>
      </c>
      <c r="FX23" s="651">
        <f t="shared" si="7"/>
        <v>0</v>
      </c>
      <c r="FY23" s="645">
        <v>62109.36</v>
      </c>
      <c r="FZ23" s="639">
        <f>FY23*GA23</f>
        <v>59003.892</v>
      </c>
      <c r="GA23" s="633">
        <v>0.95</v>
      </c>
      <c r="GB23" s="635"/>
      <c r="GC23" s="636">
        <f>GB23/FY23</f>
        <v>0</v>
      </c>
      <c r="GD23" s="639">
        <v>64561.82</v>
      </c>
      <c r="GE23" s="639">
        <f>GD23*GF23</f>
        <v>58105.637999999999</v>
      </c>
      <c r="GF23" s="633">
        <v>0.9</v>
      </c>
      <c r="GG23" s="635"/>
      <c r="GH23" s="636">
        <f>GG23/GD23</f>
        <v>0</v>
      </c>
      <c r="GI23" s="639">
        <v>56922.49</v>
      </c>
      <c r="GJ23" s="639">
        <f>GI23*GK23</f>
        <v>55784.040199999996</v>
      </c>
      <c r="GK23" s="633">
        <v>0.98</v>
      </c>
      <c r="GL23" s="635"/>
      <c r="GM23" s="636">
        <f>GL23/GI23</f>
        <v>0</v>
      </c>
      <c r="GN23" s="639">
        <v>66518.86</v>
      </c>
      <c r="GO23" s="639">
        <f>GN23*GP23</f>
        <v>65188.482799999998</v>
      </c>
      <c r="GP23" s="633">
        <v>0.98</v>
      </c>
      <c r="GQ23" s="635"/>
      <c r="GR23" s="636">
        <f>GQ23/GN23</f>
        <v>0</v>
      </c>
      <c r="GS23" s="661">
        <f>GO23+GJ23+GE23+FZ23</f>
        <v>238082.05299999999</v>
      </c>
      <c r="GT23" s="661"/>
      <c r="GU23" s="662">
        <f>GQ23+GL23+GB23+GG23</f>
        <v>0</v>
      </c>
      <c r="GV23" s="654">
        <f t="shared" si="8"/>
        <v>0</v>
      </c>
      <c r="GW23" s="645">
        <v>70724</v>
      </c>
      <c r="GX23" s="639">
        <f>GW23*GY23</f>
        <v>69309.52</v>
      </c>
      <c r="GY23" s="633">
        <v>0.98</v>
      </c>
      <c r="GZ23" s="635"/>
      <c r="HA23" s="636">
        <f>GZ23/GW23</f>
        <v>0</v>
      </c>
      <c r="HB23" s="639">
        <v>70755.83</v>
      </c>
      <c r="HC23" s="639">
        <f>HB23*HD23</f>
        <v>70755.83</v>
      </c>
      <c r="HD23" s="633">
        <v>1</v>
      </c>
      <c r="HE23" s="635"/>
      <c r="HF23" s="636">
        <f>HE23/HB23</f>
        <v>0</v>
      </c>
      <c r="HG23" s="639">
        <v>61553.66</v>
      </c>
      <c r="HH23" s="639">
        <f>HG23*HI23</f>
        <v>58475.976999999999</v>
      </c>
      <c r="HI23" s="633">
        <v>0.95</v>
      </c>
      <c r="HJ23" s="635"/>
      <c r="HK23" s="636">
        <f>HJ23/HG23</f>
        <v>0</v>
      </c>
      <c r="HL23" s="639">
        <v>72401.710000000006</v>
      </c>
      <c r="HM23" s="639">
        <f>HL23*HN23</f>
        <v>70229.6587</v>
      </c>
      <c r="HN23" s="633">
        <v>0.97</v>
      </c>
      <c r="HO23" s="635"/>
      <c r="HP23" s="636">
        <f>HO23/HL23</f>
        <v>0</v>
      </c>
      <c r="HQ23" s="639">
        <v>66163.350000000006</v>
      </c>
      <c r="HR23" s="639">
        <f>HQ23*HS23</f>
        <v>64840.083000000006</v>
      </c>
      <c r="HS23" s="633">
        <v>0.98</v>
      </c>
      <c r="HT23" s="635"/>
      <c r="HU23" s="636">
        <f>HT23/HQ23</f>
        <v>0</v>
      </c>
      <c r="HV23" s="661">
        <f>HR23+HM23+HH23+HC23+GX23</f>
        <v>333611.06870000006</v>
      </c>
      <c r="HW23" s="661"/>
      <c r="HX23" s="663">
        <f>HT23+HO23+HJ23+HE23+GZ23</f>
        <v>0</v>
      </c>
      <c r="HY23" s="651">
        <f t="shared" si="9"/>
        <v>0</v>
      </c>
      <c r="HZ23" s="645">
        <v>66377.02</v>
      </c>
      <c r="IA23" s="639">
        <f>HZ23*IB23</f>
        <v>64385.7094</v>
      </c>
      <c r="IB23" s="633">
        <v>0.97</v>
      </c>
      <c r="IC23" s="635"/>
      <c r="ID23" s="636">
        <f>IC23/HZ23</f>
        <v>0</v>
      </c>
      <c r="IE23" s="639">
        <v>78814.5</v>
      </c>
      <c r="IF23" s="639">
        <f>IE23*IG23</f>
        <v>75661.919999999998</v>
      </c>
      <c r="IG23" s="633">
        <v>0.96</v>
      </c>
      <c r="IH23" s="635"/>
      <c r="II23" s="636">
        <f>IH23/IE23</f>
        <v>0</v>
      </c>
      <c r="IJ23" s="639">
        <v>81916.27</v>
      </c>
      <c r="IK23" s="639">
        <f>IJ23*IL23</f>
        <v>81097.107300000003</v>
      </c>
      <c r="IL23" s="633">
        <v>0.99</v>
      </c>
      <c r="IM23" s="635"/>
      <c r="IN23" s="636">
        <f>IM23/IJ23</f>
        <v>0</v>
      </c>
      <c r="IO23" s="639">
        <v>109693.29</v>
      </c>
      <c r="IP23" s="639">
        <f>IO23*IQ23</f>
        <v>106402.49129999999</v>
      </c>
      <c r="IQ23" s="633">
        <v>0.97</v>
      </c>
      <c r="IR23" s="635"/>
      <c r="IS23" s="636">
        <f>IR23/IO23</f>
        <v>0</v>
      </c>
      <c r="IT23" s="661">
        <f>IP23+IK23+IF23+IA23</f>
        <v>327547.228</v>
      </c>
      <c r="IU23" s="661"/>
      <c r="IV23" s="662">
        <f>IC23+IH23+IM23+IR23</f>
        <v>0</v>
      </c>
      <c r="IW23" s="654">
        <f t="shared" si="10"/>
        <v>0</v>
      </c>
      <c r="IX23" s="645">
        <v>67620</v>
      </c>
      <c r="IY23" s="639">
        <f>IX23*IZ23</f>
        <v>65591.399999999994</v>
      </c>
      <c r="IZ23" s="633">
        <v>0.97</v>
      </c>
      <c r="JA23" s="635"/>
      <c r="JB23" s="636">
        <f>JA23/IX23</f>
        <v>0</v>
      </c>
      <c r="JC23" s="639">
        <v>74487.91</v>
      </c>
      <c r="JD23" s="639">
        <f>JC23*JE23</f>
        <v>70018.635399999999</v>
      </c>
      <c r="JE23" s="633">
        <v>0.94</v>
      </c>
      <c r="JF23" s="635"/>
      <c r="JG23" s="636">
        <f>JF23/JC23</f>
        <v>0</v>
      </c>
      <c r="JH23" s="639">
        <v>115559.65</v>
      </c>
      <c r="JI23" s="639">
        <f>JH23*JJ23</f>
        <v>110937.264</v>
      </c>
      <c r="JJ23" s="633">
        <v>0.96</v>
      </c>
      <c r="JK23" s="635"/>
      <c r="JL23" s="636">
        <f>JK23/JH23</f>
        <v>0</v>
      </c>
      <c r="JM23" s="639">
        <v>129284.73</v>
      </c>
      <c r="JN23" s="639">
        <f>JM23*JO23</f>
        <v>122820.4935</v>
      </c>
      <c r="JO23" s="633">
        <v>0.95</v>
      </c>
      <c r="JP23" s="635"/>
      <c r="JQ23" s="636">
        <f>JP23/JM23</f>
        <v>0</v>
      </c>
      <c r="JR23" s="661">
        <f>JN23+JI23+JD23+IY23</f>
        <v>369367.7929</v>
      </c>
      <c r="JS23" s="661"/>
      <c r="JT23" s="663">
        <f>JP23+JK23+JA23+JF23</f>
        <v>0</v>
      </c>
      <c r="JU23" s="651">
        <f t="shared" si="11"/>
        <v>0</v>
      </c>
      <c r="JV23" s="645">
        <v>150931.04999999999</v>
      </c>
      <c r="JW23" s="639">
        <f>JV23*JX23</f>
        <v>141875.18699999998</v>
      </c>
      <c r="JX23" s="908">
        <v>0.94</v>
      </c>
      <c r="JY23" s="635"/>
      <c r="JZ23" s="636">
        <f>JY23/JV23</f>
        <v>0</v>
      </c>
      <c r="KA23" s="639">
        <v>180037.85</v>
      </c>
      <c r="KB23" s="639">
        <f>KA23*KC23</f>
        <v>167435.20050000001</v>
      </c>
      <c r="KC23" s="908">
        <v>0.93</v>
      </c>
      <c r="KD23" s="635"/>
      <c r="KE23" s="636">
        <f>KD23/KA23</f>
        <v>0</v>
      </c>
      <c r="KF23" s="639">
        <v>200717.13</v>
      </c>
      <c r="KG23" s="639">
        <f>KF23*KH23</f>
        <v>186666.93090000001</v>
      </c>
      <c r="KH23" s="908">
        <v>0.93</v>
      </c>
      <c r="KI23" s="635"/>
      <c r="KJ23" s="636">
        <f>KI23/KF23</f>
        <v>0</v>
      </c>
      <c r="KK23" s="639">
        <v>210731.22</v>
      </c>
      <c r="KL23" s="639">
        <f>KK23*KM23</f>
        <v>195980.03460000001</v>
      </c>
      <c r="KM23" s="908">
        <v>0.93</v>
      </c>
      <c r="KN23" s="635"/>
      <c r="KO23" s="636">
        <f>KN23/KK23</f>
        <v>0</v>
      </c>
      <c r="KP23" s="639">
        <v>57152.83</v>
      </c>
      <c r="KQ23" s="639">
        <f>KP23*KR23</f>
        <v>54295.188499999997</v>
      </c>
      <c r="KR23" s="908">
        <v>0.95</v>
      </c>
      <c r="KS23" s="635"/>
      <c r="KT23" s="636">
        <f>KS23/KP23</f>
        <v>0</v>
      </c>
      <c r="KU23" s="661">
        <f>KQ23+KL23+KG23+KB23+JW23</f>
        <v>746252.54150000005</v>
      </c>
      <c r="KV23" s="661"/>
      <c r="KW23" s="662">
        <f>KS23+KN23+KI23+KD23+JY23</f>
        <v>0</v>
      </c>
      <c r="KX23" s="959">
        <f t="shared" si="12"/>
        <v>0</v>
      </c>
      <c r="KY23" s="894">
        <f>X23+AV23+BY23+CW23+DU23+EX23+FV23+GT23+HW23+IU23+JS23+KV23</f>
        <v>0</v>
      </c>
      <c r="KZ23" s="893">
        <f>Y23+AW23+BZ23+CX23+DV23+EY23+FW23+GU23+HX23+IV23+JT23+KW23</f>
        <v>0</v>
      </c>
      <c r="LA23" s="892">
        <f>KZ23-KY23</f>
        <v>0</v>
      </c>
      <c r="LB23" s="891">
        <f t="shared" si="13"/>
        <v>0</v>
      </c>
    </row>
    <row r="24" spans="1:314" ht="15" customHeight="1" thickBot="1">
      <c r="A24" s="1495"/>
      <c r="B24" s="899" t="s">
        <v>27</v>
      </c>
      <c r="C24" s="645">
        <v>45014.45</v>
      </c>
      <c r="D24" s="639">
        <f>D14*0.85</f>
        <v>81328.029750000002</v>
      </c>
      <c r="E24" s="908">
        <v>0.89</v>
      </c>
      <c r="F24" s="635"/>
      <c r="G24" s="636">
        <f>F24/C24</f>
        <v>0</v>
      </c>
      <c r="H24" s="639">
        <v>47618.81</v>
      </c>
      <c r="I24" s="639">
        <f>I14*0.85</f>
        <v>76506.349499999997</v>
      </c>
      <c r="J24" s="633">
        <v>0.89</v>
      </c>
      <c r="K24" s="635"/>
      <c r="L24" s="636">
        <f>K24/H24</f>
        <v>0</v>
      </c>
      <c r="M24" s="639">
        <v>54045.35</v>
      </c>
      <c r="N24" s="639">
        <f>N14*0.85</f>
        <v>80421.489450000008</v>
      </c>
      <c r="O24" s="633">
        <v>0.89</v>
      </c>
      <c r="P24" s="635"/>
      <c r="Q24" s="636">
        <f>P24/M24</f>
        <v>0</v>
      </c>
      <c r="R24" s="639">
        <v>51302.46</v>
      </c>
      <c r="S24" s="639">
        <f>S14*0.85</f>
        <v>81868.670549999995</v>
      </c>
      <c r="T24" s="633">
        <v>0.89</v>
      </c>
      <c r="U24" s="635"/>
      <c r="V24" s="636">
        <f>U24/R24</f>
        <v>0</v>
      </c>
      <c r="W24" s="639">
        <f>D24+I24+N24+S24</f>
        <v>320124.53924999997</v>
      </c>
      <c r="X24" s="639"/>
      <c r="Y24" s="666">
        <f>+F24+K24+P24+U24</f>
        <v>0</v>
      </c>
      <c r="Z24" s="646">
        <f t="shared" si="0"/>
        <v>0</v>
      </c>
      <c r="AA24" s="645">
        <v>48985.13</v>
      </c>
      <c r="AB24" s="639">
        <f>AB14*0.85</f>
        <v>96958.831049999993</v>
      </c>
      <c r="AC24" s="633">
        <v>0.89</v>
      </c>
      <c r="AD24" s="635"/>
      <c r="AE24" s="636">
        <f>AD24/AA24</f>
        <v>0</v>
      </c>
      <c r="AF24" s="639">
        <v>63819.8</v>
      </c>
      <c r="AG24" s="639">
        <f>AG14*0.85</f>
        <v>130473.54225</v>
      </c>
      <c r="AH24" s="633">
        <v>0.88</v>
      </c>
      <c r="AI24" s="635"/>
      <c r="AJ24" s="636">
        <f>AI24/AF24</f>
        <v>0</v>
      </c>
      <c r="AK24" s="639">
        <v>44089.42</v>
      </c>
      <c r="AL24" s="639">
        <f>AL14*0.85</f>
        <v>79166.19372499999</v>
      </c>
      <c r="AM24" s="633">
        <v>0.9</v>
      </c>
      <c r="AN24" s="635"/>
      <c r="AO24" s="636">
        <f>AN24/AK24</f>
        <v>0</v>
      </c>
      <c r="AP24" s="639">
        <v>56252.68</v>
      </c>
      <c r="AQ24" s="639">
        <f>AQ14*0.85</f>
        <v>103777.76548000002</v>
      </c>
      <c r="AR24" s="633">
        <v>0.89</v>
      </c>
      <c r="AS24" s="635"/>
      <c r="AT24" s="636">
        <f>AS24/AP24</f>
        <v>0</v>
      </c>
      <c r="AU24" s="639">
        <f>AB24+AG24+AL24+AQ24</f>
        <v>410376.332505</v>
      </c>
      <c r="AV24" s="896"/>
      <c r="AW24" s="895">
        <f>AD24+AI24++AN24+AS24</f>
        <v>0</v>
      </c>
      <c r="AX24" s="665">
        <f t="shared" si="1"/>
        <v>0</v>
      </c>
      <c r="AY24" s="645">
        <v>53000.43</v>
      </c>
      <c r="AZ24" s="639">
        <f>AZ14*0.85</f>
        <v>95560.501660000009</v>
      </c>
      <c r="BA24" s="633">
        <v>0.89</v>
      </c>
      <c r="BB24" s="635"/>
      <c r="BC24" s="636">
        <f>BB24/AY24</f>
        <v>0</v>
      </c>
      <c r="BD24" s="639">
        <v>53389.42</v>
      </c>
      <c r="BE24" s="639">
        <f>BE14*0.85</f>
        <v>99639.742100000003</v>
      </c>
      <c r="BF24" s="633">
        <v>0.89</v>
      </c>
      <c r="BG24" s="635"/>
      <c r="BH24" s="636">
        <f>BG24/BD24</f>
        <v>0</v>
      </c>
      <c r="BI24" s="639">
        <v>57075.3</v>
      </c>
      <c r="BJ24" s="639">
        <f>BJ14*0.85</f>
        <v>113611.48586000002</v>
      </c>
      <c r="BK24" s="633">
        <v>0.89</v>
      </c>
      <c r="BL24" s="635"/>
      <c r="BM24" s="636">
        <f>BL24/BI24</f>
        <v>0</v>
      </c>
      <c r="BN24" s="639">
        <v>51210.94</v>
      </c>
      <c r="BO24" s="639">
        <f>BO14*0.85</f>
        <v>126271.41680000001</v>
      </c>
      <c r="BP24" s="633">
        <v>0.87</v>
      </c>
      <c r="BQ24" s="635"/>
      <c r="BR24" s="636">
        <f>BQ24/BN24</f>
        <v>0</v>
      </c>
      <c r="BS24" s="639">
        <v>67560.41</v>
      </c>
      <c r="BT24" s="639">
        <f>BT14*0.85</f>
        <v>103070.70454000001</v>
      </c>
      <c r="BU24" s="633">
        <v>0.89</v>
      </c>
      <c r="BV24" s="635"/>
      <c r="BW24" s="636">
        <f>BV24/BS24</f>
        <v>0</v>
      </c>
      <c r="BX24" s="661">
        <f>AZ24+BE24+BJ24+BO24+BT24</f>
        <v>538153.85095999995</v>
      </c>
      <c r="BY24" s="661"/>
      <c r="BZ24" s="663">
        <f>BV24+BQ24+BL24+BG24+BB24</f>
        <v>0</v>
      </c>
      <c r="CA24" s="651">
        <f t="shared" si="2"/>
        <v>0</v>
      </c>
      <c r="CB24" s="645">
        <v>68411.8</v>
      </c>
      <c r="CC24" s="639">
        <f>CC14*0.85</f>
        <v>114863.72592</v>
      </c>
      <c r="CD24" s="633">
        <v>0.89</v>
      </c>
      <c r="CE24" s="635"/>
      <c r="CF24" s="636">
        <f>CE24/CB24</f>
        <v>0</v>
      </c>
      <c r="CG24" s="639">
        <v>76097.83</v>
      </c>
      <c r="CH24" s="639">
        <f>CH14*0.85</f>
        <v>136619.786425</v>
      </c>
      <c r="CI24" s="633">
        <v>0.89</v>
      </c>
      <c r="CJ24" s="635"/>
      <c r="CK24" s="636">
        <f>CJ24/CG24</f>
        <v>0</v>
      </c>
      <c r="CL24" s="639">
        <v>77433.679999999993</v>
      </c>
      <c r="CM24" s="639">
        <f>CM14*0.85</f>
        <v>130970.00769999999</v>
      </c>
      <c r="CN24" s="633">
        <v>0.89</v>
      </c>
      <c r="CO24" s="635"/>
      <c r="CP24" s="636">
        <f>CO24/CL24</f>
        <v>0</v>
      </c>
      <c r="CQ24" s="639">
        <v>96203.04</v>
      </c>
      <c r="CR24" s="639">
        <f>CR14*0.85</f>
        <v>178277.62937499999</v>
      </c>
      <c r="CS24" s="633">
        <v>0.9</v>
      </c>
      <c r="CT24" s="635"/>
      <c r="CU24" s="636">
        <f>CT24/CQ24</f>
        <v>0</v>
      </c>
      <c r="CV24" s="656">
        <f>CR24+CM24+CH24+CC24</f>
        <v>560731.14941999991</v>
      </c>
      <c r="CW24" s="656"/>
      <c r="CX24" s="657">
        <f>CT24+CO24+CE24+CJ24</f>
        <v>0</v>
      </c>
      <c r="CY24" s="654">
        <f t="shared" si="3"/>
        <v>0</v>
      </c>
      <c r="CZ24" s="645">
        <v>107914.09</v>
      </c>
      <c r="DA24" s="639">
        <f>DA14*0.85</f>
        <v>202065.38640000002</v>
      </c>
      <c r="DB24" s="633">
        <v>0.89</v>
      </c>
      <c r="DC24" s="635"/>
      <c r="DD24" s="636">
        <f>DC24/CZ24</f>
        <v>0</v>
      </c>
      <c r="DE24" s="639">
        <v>73594.44</v>
      </c>
      <c r="DF24" s="639">
        <f>DF14*0.85</f>
        <v>126380.71064999998</v>
      </c>
      <c r="DG24" s="633">
        <v>0.89</v>
      </c>
      <c r="DH24" s="635"/>
      <c r="DI24" s="636">
        <f>DH24/DE24</f>
        <v>0</v>
      </c>
      <c r="DJ24" s="639">
        <v>63595.61</v>
      </c>
      <c r="DK24" s="639">
        <f>DK14*0.85</f>
        <v>133476.75630000001</v>
      </c>
      <c r="DL24" s="633">
        <v>0.89</v>
      </c>
      <c r="DM24" s="635"/>
      <c r="DN24" s="636">
        <f>DM24/DJ24</f>
        <v>0</v>
      </c>
      <c r="DO24" s="639">
        <v>71688.240000000005</v>
      </c>
      <c r="DP24" s="639">
        <f>DP14*0.85</f>
        <v>115593.08397499997</v>
      </c>
      <c r="DQ24" s="633">
        <v>0.9</v>
      </c>
      <c r="DR24" s="635"/>
      <c r="DS24" s="636">
        <f>DR24/DO24</f>
        <v>0</v>
      </c>
      <c r="DT24" s="656">
        <f>DP24+DK24+DF24+DA24</f>
        <v>577515.93732499995</v>
      </c>
      <c r="DU24" s="656"/>
      <c r="DV24" s="657">
        <f>DR24+DM24+DC24+DH24</f>
        <v>0</v>
      </c>
      <c r="DW24" s="654">
        <f t="shared" si="4"/>
        <v>0</v>
      </c>
      <c r="DX24" s="645">
        <v>65216.37</v>
      </c>
      <c r="DY24" s="639">
        <f>DY14*0.85</f>
        <v>115946.13869999998</v>
      </c>
      <c r="DZ24" s="633">
        <v>0.89</v>
      </c>
      <c r="EA24" s="907">
        <f>'Vtas Diarias 2022'!AAC25</f>
        <v>0</v>
      </c>
      <c r="EB24" s="636">
        <f>EA24/DX24</f>
        <v>0</v>
      </c>
      <c r="EC24" s="639">
        <v>82778.399999999994</v>
      </c>
      <c r="ED24" s="639">
        <f>ED14*0.85</f>
        <v>144935.7984</v>
      </c>
      <c r="EE24" s="633">
        <v>0.87</v>
      </c>
      <c r="EF24" s="635"/>
      <c r="EG24" s="636">
        <f>EF24/EC24</f>
        <v>0</v>
      </c>
      <c r="EH24" s="639">
        <v>88802.28</v>
      </c>
      <c r="EI24" s="639">
        <f>EI14*0.85</f>
        <v>150392.99474999998</v>
      </c>
      <c r="EJ24" s="633">
        <v>0.89</v>
      </c>
      <c r="EK24" s="635"/>
      <c r="EL24" s="636">
        <f>EK24/EH24</f>
        <v>0</v>
      </c>
      <c r="EM24" s="639">
        <v>84917</v>
      </c>
      <c r="EN24" s="639">
        <f>EN14*0.85</f>
        <v>158091.02569999997</v>
      </c>
      <c r="EO24" s="633">
        <v>0.92</v>
      </c>
      <c r="EP24" s="635"/>
      <c r="EQ24" s="636">
        <f>EP24/EM24</f>
        <v>0</v>
      </c>
      <c r="ER24" s="639">
        <v>78122.259999999995</v>
      </c>
      <c r="ES24" s="639">
        <f>ES14*0.85</f>
        <v>158486.75135999999</v>
      </c>
      <c r="ET24" s="633">
        <v>0.92</v>
      </c>
      <c r="EU24" s="635"/>
      <c r="EV24" s="636">
        <f>EU24/ER24</f>
        <v>0</v>
      </c>
      <c r="EW24" s="661">
        <f>ES24+EN24+EI24+ED24+DY24</f>
        <v>727852.70890999993</v>
      </c>
      <c r="EX24" s="661"/>
      <c r="EY24" s="904">
        <f t="shared" si="5"/>
        <v>0</v>
      </c>
      <c r="EZ24" s="654">
        <f t="shared" si="6"/>
        <v>0</v>
      </c>
      <c r="FA24" s="645">
        <v>68379.460000000006</v>
      </c>
      <c r="FB24" s="639">
        <f>FB14*0.85</f>
        <v>140664.12272000001</v>
      </c>
      <c r="FC24" s="908">
        <v>0.88</v>
      </c>
      <c r="FD24" s="635"/>
      <c r="FE24" s="636">
        <f>FD24/FA24</f>
        <v>0</v>
      </c>
      <c r="FF24" s="639">
        <v>77471.64</v>
      </c>
      <c r="FG24" s="639">
        <f>FG14*0.85</f>
        <v>128341.47195000001</v>
      </c>
      <c r="FH24" s="633">
        <v>0.88</v>
      </c>
      <c r="FI24" s="635"/>
      <c r="FJ24" s="636">
        <f>FI24/FF24</f>
        <v>0</v>
      </c>
      <c r="FK24" s="639">
        <v>72303.070000000007</v>
      </c>
      <c r="FL24" s="639">
        <f>FL14*0.85</f>
        <v>131177.4111</v>
      </c>
      <c r="FM24" s="633">
        <v>0.88</v>
      </c>
      <c r="FN24" s="635"/>
      <c r="FO24" s="636">
        <f>FN24/FK24</f>
        <v>0</v>
      </c>
      <c r="FP24" s="639">
        <v>72432.490000000005</v>
      </c>
      <c r="FQ24" s="639">
        <f>FQ14*0.85</f>
        <v>149152.28255999999</v>
      </c>
      <c r="FR24" s="908">
        <v>0.92</v>
      </c>
      <c r="FS24" s="635"/>
      <c r="FT24" s="636">
        <f>FS24/FP24</f>
        <v>0</v>
      </c>
      <c r="FU24" s="661">
        <f>FQ24+FL24+FG24+FB24</f>
        <v>549335.28833000001</v>
      </c>
      <c r="FV24" s="661"/>
      <c r="FW24" s="663">
        <f>FS24+FN24+FD24+FI24</f>
        <v>0</v>
      </c>
      <c r="FX24" s="651">
        <f t="shared" si="7"/>
        <v>0</v>
      </c>
      <c r="FY24" s="645">
        <v>80918.39</v>
      </c>
      <c r="FZ24" s="639">
        <f>FZ14*0.85</f>
        <v>123603.81368999998</v>
      </c>
      <c r="GA24" s="633">
        <v>0.95</v>
      </c>
      <c r="GB24" s="635"/>
      <c r="GC24" s="636">
        <f>GB24/FY24</f>
        <v>0</v>
      </c>
      <c r="GD24" s="639">
        <v>55703.26</v>
      </c>
      <c r="GE24" s="639">
        <f>GE14*0.85</f>
        <v>134531.45593500001</v>
      </c>
      <c r="GF24" s="633">
        <v>0.9</v>
      </c>
      <c r="GG24" s="635"/>
      <c r="GH24" s="636">
        <f>GG24/GD24</f>
        <v>0</v>
      </c>
      <c r="GI24" s="639">
        <v>62811.41</v>
      </c>
      <c r="GJ24" s="639">
        <f>GJ14*0.85</f>
        <v>146509.22150000001</v>
      </c>
      <c r="GK24" s="633">
        <v>0.98</v>
      </c>
      <c r="GL24" s="635"/>
      <c r="GM24" s="636">
        <f>GL24/GI24</f>
        <v>0</v>
      </c>
      <c r="GN24" s="639">
        <v>48944.2</v>
      </c>
      <c r="GO24" s="639">
        <f>GO14*0.85</f>
        <v>132894.03777999998</v>
      </c>
      <c r="GP24" s="633">
        <v>0.98</v>
      </c>
      <c r="GQ24" s="635"/>
      <c r="GR24" s="636">
        <f>GQ24/GN24</f>
        <v>0</v>
      </c>
      <c r="GS24" s="661">
        <f>GO24+GJ24+GE24+FZ24</f>
        <v>537538.52890499996</v>
      </c>
      <c r="GT24" s="661"/>
      <c r="GU24" s="662">
        <f>GQ24+GL24+GB24+GG24</f>
        <v>0</v>
      </c>
      <c r="GV24" s="654">
        <f t="shared" si="8"/>
        <v>0</v>
      </c>
      <c r="GW24" s="645">
        <v>58384</v>
      </c>
      <c r="GX24" s="639">
        <f>GX14*0.85</f>
        <v>135007.19999999998</v>
      </c>
      <c r="GY24" s="633">
        <v>0.98</v>
      </c>
      <c r="GZ24" s="635"/>
      <c r="HA24" s="636">
        <f>GZ24/GW24</f>
        <v>0</v>
      </c>
      <c r="HB24" s="639">
        <v>51318.02</v>
      </c>
      <c r="HC24" s="639">
        <f>HC14*0.85</f>
        <v>120668.77100000001</v>
      </c>
      <c r="HD24" s="633">
        <v>1</v>
      </c>
      <c r="HE24" s="635"/>
      <c r="HF24" s="636">
        <f>HE24/HB24</f>
        <v>0</v>
      </c>
      <c r="HG24" s="639">
        <v>0</v>
      </c>
      <c r="HH24" s="639">
        <f>HH14*0.85</f>
        <v>113064.7475</v>
      </c>
      <c r="HI24" s="633">
        <v>0.95</v>
      </c>
      <c r="HJ24" s="635"/>
      <c r="HK24" s="636" t="e">
        <f>HJ24/HG24</f>
        <v>#DIV/0!</v>
      </c>
      <c r="HL24" s="639">
        <v>46197.03</v>
      </c>
      <c r="HM24" s="639">
        <f>HM14*0.85</f>
        <v>113348.71549999999</v>
      </c>
      <c r="HN24" s="633">
        <v>0.97</v>
      </c>
      <c r="HO24" s="635"/>
      <c r="HP24" s="636">
        <f>HO24/HL24</f>
        <v>0</v>
      </c>
      <c r="HQ24" s="639">
        <v>48548.22</v>
      </c>
      <c r="HR24" s="639">
        <f>HR14*0.85</f>
        <v>126866.15499999998</v>
      </c>
      <c r="HS24" s="633">
        <v>0.98</v>
      </c>
      <c r="HT24" s="635"/>
      <c r="HU24" s="636">
        <f>HT24/HQ24</f>
        <v>0</v>
      </c>
      <c r="HV24" s="661">
        <f>HR24+HM24+HH24+HC24+GX24</f>
        <v>608955.58899999992</v>
      </c>
      <c r="HW24" s="661"/>
      <c r="HX24" s="663">
        <f>HT24+HO24+HJ24+HE24+GZ24</f>
        <v>0</v>
      </c>
      <c r="HY24" s="651">
        <f t="shared" si="9"/>
        <v>0</v>
      </c>
      <c r="HZ24" s="645">
        <v>46198.13</v>
      </c>
      <c r="IA24" s="639">
        <f>IA14*0.85</f>
        <v>115332.709</v>
      </c>
      <c r="IB24" s="633">
        <v>0.97</v>
      </c>
      <c r="IC24" s="635"/>
      <c r="ID24" s="636">
        <f>IC24/HZ24</f>
        <v>0</v>
      </c>
      <c r="IE24" s="639">
        <v>50955.22</v>
      </c>
      <c r="IF24" s="639">
        <f>IF14*0.85</f>
        <v>131758.68377</v>
      </c>
      <c r="IG24" s="633">
        <v>0.96</v>
      </c>
      <c r="IH24" s="635"/>
      <c r="II24" s="636">
        <f>IH24/IE24</f>
        <v>0</v>
      </c>
      <c r="IJ24" s="639">
        <v>57224.480000000003</v>
      </c>
      <c r="IK24" s="639">
        <f>IK14*0.85</f>
        <v>134408.73200000002</v>
      </c>
      <c r="IL24" s="633">
        <v>0.99</v>
      </c>
      <c r="IM24" s="635"/>
      <c r="IN24" s="636">
        <f>IM24/IJ24</f>
        <v>0</v>
      </c>
      <c r="IO24" s="639">
        <v>64148.19</v>
      </c>
      <c r="IP24" s="639">
        <f>IP14*0.85</f>
        <v>173074.18650000001</v>
      </c>
      <c r="IQ24" s="633">
        <v>0.97</v>
      </c>
      <c r="IR24" s="635"/>
      <c r="IS24" s="636">
        <f>IR24/IO24</f>
        <v>0</v>
      </c>
      <c r="IT24" s="661">
        <f>IP24+IK24+IF24+IA24</f>
        <v>554574.31127000006</v>
      </c>
      <c r="IU24" s="661"/>
      <c r="IV24" s="662">
        <f>IC24+IH24+IM24+IR24</f>
        <v>0</v>
      </c>
      <c r="IW24" s="654">
        <f t="shared" si="10"/>
        <v>0</v>
      </c>
      <c r="IX24" s="645">
        <v>43030.62</v>
      </c>
      <c r="IY24" s="639">
        <f>IY14*0.85</f>
        <v>112689.67649999999</v>
      </c>
      <c r="IZ24" s="633">
        <v>0.97</v>
      </c>
      <c r="JA24" s="635"/>
      <c r="JB24" s="636">
        <f>JA24/IX24</f>
        <v>0</v>
      </c>
      <c r="JC24" s="639">
        <v>0</v>
      </c>
      <c r="JD24" s="639">
        <f>JD14*0.85</f>
        <v>157595.49168000001</v>
      </c>
      <c r="JE24" s="633">
        <v>0.94</v>
      </c>
      <c r="JF24" s="635"/>
      <c r="JG24" s="636" t="e">
        <f>JF24/JC24</f>
        <v>#DIV/0!</v>
      </c>
      <c r="JH24" s="639">
        <v>66650.399999999994</v>
      </c>
      <c r="JI24" s="639">
        <f>JI14*0.85</f>
        <v>196337.93339999998</v>
      </c>
      <c r="JJ24" s="633">
        <v>0.96</v>
      </c>
      <c r="JK24" s="635"/>
      <c r="JL24" s="636">
        <f>JK24/JH24</f>
        <v>0</v>
      </c>
      <c r="JM24" s="639">
        <v>68464.34</v>
      </c>
      <c r="JN24" s="639">
        <f>JN14*0.85</f>
        <v>227605.55399999997</v>
      </c>
      <c r="JO24" s="633">
        <v>0.95</v>
      </c>
      <c r="JP24" s="635"/>
      <c r="JQ24" s="636">
        <f>JP24/JM24</f>
        <v>0</v>
      </c>
      <c r="JR24" s="661">
        <f>JN24+JI24+JD24+IY24</f>
        <v>694228.6555799999</v>
      </c>
      <c r="JS24" s="661"/>
      <c r="JT24" s="663">
        <f>JP24+JK24+JA24+JF24</f>
        <v>0</v>
      </c>
      <c r="JU24" s="651">
        <f t="shared" si="11"/>
        <v>0</v>
      </c>
      <c r="JV24" s="645">
        <v>106577.11</v>
      </c>
      <c r="JW24" s="639">
        <f>JW14*0.85</f>
        <v>330825.34275999997</v>
      </c>
      <c r="JX24" s="908">
        <v>0.94</v>
      </c>
      <c r="JY24" s="635"/>
      <c r="JZ24" s="636">
        <f>JY24/JV24</f>
        <v>0</v>
      </c>
      <c r="KA24" s="639">
        <v>117332.14</v>
      </c>
      <c r="KB24" s="639">
        <f>KB14*0.85</f>
        <v>431926.22772000002</v>
      </c>
      <c r="KC24" s="908">
        <v>0.93</v>
      </c>
      <c r="KD24" s="635"/>
      <c r="KE24" s="636">
        <f>KD24/KA24</f>
        <v>0</v>
      </c>
      <c r="KF24" s="639">
        <v>202758.54</v>
      </c>
      <c r="KG24" s="639">
        <f>KG14*0.85</f>
        <v>571645.6826249999</v>
      </c>
      <c r="KH24" s="908">
        <v>0.93</v>
      </c>
      <c r="KI24" s="635"/>
      <c r="KJ24" s="636">
        <f>KI24/KF24</f>
        <v>0</v>
      </c>
      <c r="KK24" s="639">
        <v>167534.21</v>
      </c>
      <c r="KL24" s="639">
        <f>KL14*0.85</f>
        <v>441729.13134999992</v>
      </c>
      <c r="KM24" s="908">
        <v>0.93</v>
      </c>
      <c r="KN24" s="635"/>
      <c r="KO24" s="636">
        <f>KN24/KK24</f>
        <v>0</v>
      </c>
      <c r="KP24" s="639">
        <v>51000.35</v>
      </c>
      <c r="KQ24" s="639">
        <f>KQ14*0.85</f>
        <v>113785.87577000001</v>
      </c>
      <c r="KR24" s="908">
        <v>0.95</v>
      </c>
      <c r="KS24" s="635"/>
      <c r="KT24" s="636">
        <f>KS24/KP24</f>
        <v>0</v>
      </c>
      <c r="KU24" s="661">
        <f>KQ24+KL24+KG24+KB24+JW24</f>
        <v>1889912.2602249999</v>
      </c>
      <c r="KV24" s="661"/>
      <c r="KW24" s="662">
        <f>KS24+KN24+KI24+KD24+JY24</f>
        <v>0</v>
      </c>
      <c r="KX24" s="959">
        <f t="shared" si="12"/>
        <v>0</v>
      </c>
      <c r="KY24" s="894">
        <f>X24+AV24+BY24+CW24+DU24+EX24+FV24+GT24+HW24+IU24+JS24+KV24</f>
        <v>0</v>
      </c>
      <c r="KZ24" s="893">
        <f>Y24+AW24+BZ24+CX24+DV24+EY24+FW24+GU24+HX24+IV24+JT24+KW24</f>
        <v>0</v>
      </c>
      <c r="LA24" s="892">
        <f>KZ24-KY24</f>
        <v>0</v>
      </c>
      <c r="LB24" s="891">
        <f t="shared" si="13"/>
        <v>0</v>
      </c>
    </row>
    <row r="25" spans="1:314">
      <c r="A25" s="1495"/>
      <c r="B25" s="898" t="s">
        <v>477</v>
      </c>
      <c r="C25" s="645">
        <v>121103.93</v>
      </c>
      <c r="D25" s="639">
        <f>C25*E25</f>
        <v>107782.49769999999</v>
      </c>
      <c r="E25" s="908">
        <v>0.89</v>
      </c>
      <c r="F25" s="635"/>
      <c r="G25" s="636">
        <f>F25/C25</f>
        <v>0</v>
      </c>
      <c r="H25" s="639">
        <v>121881.21</v>
      </c>
      <c r="I25" s="639">
        <f>H25*J25</f>
        <v>112130.71320000001</v>
      </c>
      <c r="J25" s="633">
        <v>0.92</v>
      </c>
      <c r="K25" s="638"/>
      <c r="L25" s="636">
        <f>K25/H25</f>
        <v>0</v>
      </c>
      <c r="M25" s="639">
        <v>137368.57</v>
      </c>
      <c r="N25" s="639">
        <f>M25*O25</f>
        <v>126379.08440000001</v>
      </c>
      <c r="O25" s="633">
        <v>0.92</v>
      </c>
      <c r="P25" s="635"/>
      <c r="Q25" s="636">
        <f>P25/M25</f>
        <v>0</v>
      </c>
      <c r="R25" s="639">
        <v>129538.13</v>
      </c>
      <c r="S25" s="639">
        <f>R25*T25</f>
        <v>119175.07960000001</v>
      </c>
      <c r="T25" s="633">
        <v>0.92</v>
      </c>
      <c r="U25" s="635"/>
      <c r="V25" s="636">
        <f>U25/R25</f>
        <v>0</v>
      </c>
      <c r="W25" s="639">
        <f>D25+I25+N25+S25</f>
        <v>465467.3749</v>
      </c>
      <c r="X25" s="639"/>
      <c r="Y25" s="666">
        <f>+F25+K25+P25+U25</f>
        <v>0</v>
      </c>
      <c r="Z25" s="646">
        <f t="shared" si="0"/>
        <v>0</v>
      </c>
      <c r="AA25" s="645">
        <v>128992.53</v>
      </c>
      <c r="AB25" s="639">
        <f>AA25*AC25</f>
        <v>118673.12760000001</v>
      </c>
      <c r="AC25" s="633">
        <v>0.92</v>
      </c>
      <c r="AD25" s="635"/>
      <c r="AE25" s="636">
        <f>AD25/AA25</f>
        <v>0</v>
      </c>
      <c r="AF25" s="639">
        <v>161671.63</v>
      </c>
      <c r="AG25" s="639">
        <f>AF25*AH25</f>
        <v>143887.7507</v>
      </c>
      <c r="AH25" s="633">
        <v>0.89</v>
      </c>
      <c r="AI25" s="635"/>
      <c r="AJ25" s="636">
        <f>AI25/AF25</f>
        <v>0</v>
      </c>
      <c r="AK25" s="639">
        <v>116650.72</v>
      </c>
      <c r="AL25" s="639">
        <f>AK25*AM25</f>
        <v>110818.18399999999</v>
      </c>
      <c r="AM25" s="633">
        <v>0.95</v>
      </c>
      <c r="AN25" s="635"/>
      <c r="AO25" s="636">
        <f>AN25/AK25</f>
        <v>0</v>
      </c>
      <c r="AP25" s="639">
        <v>124479.63</v>
      </c>
      <c r="AQ25" s="639">
        <f>AP25*AR25</f>
        <v>114521.2596</v>
      </c>
      <c r="AR25" s="633">
        <v>0.92</v>
      </c>
      <c r="AS25" s="638"/>
      <c r="AT25" s="636">
        <f>AS25/AP25</f>
        <v>0</v>
      </c>
      <c r="AU25" s="639">
        <f>AB25+AG25+AL25+AQ25</f>
        <v>487900.32189999998</v>
      </c>
      <c r="AV25" s="896"/>
      <c r="AW25" s="895">
        <f>AD25+AI25++AN25+AS25</f>
        <v>0</v>
      </c>
      <c r="AX25" s="665">
        <f t="shared" si="1"/>
        <v>0</v>
      </c>
      <c r="AY25" s="645">
        <v>130464.78</v>
      </c>
      <c r="AZ25" s="639">
        <f>AY25*BA25</f>
        <v>120027.59760000001</v>
      </c>
      <c r="BA25" s="633">
        <v>0.92</v>
      </c>
      <c r="BB25" s="635"/>
      <c r="BC25" s="636">
        <f>BB25/AY25</f>
        <v>0</v>
      </c>
      <c r="BD25" s="639">
        <v>153458.66</v>
      </c>
      <c r="BE25" s="639">
        <f>BD25*BF25</f>
        <v>141181.96720000001</v>
      </c>
      <c r="BF25" s="633">
        <v>0.92</v>
      </c>
      <c r="BG25" s="638"/>
      <c r="BH25" s="636">
        <f>BG25/BD25</f>
        <v>0</v>
      </c>
      <c r="BI25" s="639">
        <v>167563.95000000001</v>
      </c>
      <c r="BJ25" s="639">
        <f>BI25*BK25</f>
        <v>154158.83400000003</v>
      </c>
      <c r="BK25" s="633">
        <v>0.92</v>
      </c>
      <c r="BL25" s="635"/>
      <c r="BM25" s="636">
        <f>BL25/BI25</f>
        <v>0</v>
      </c>
      <c r="BN25" s="639">
        <v>147881.54</v>
      </c>
      <c r="BO25" s="639">
        <f>BN25*BP25</f>
        <v>136051.01680000001</v>
      </c>
      <c r="BP25" s="633">
        <v>0.92</v>
      </c>
      <c r="BQ25" s="638"/>
      <c r="BR25" s="636">
        <f>BQ25/BN25</f>
        <v>0</v>
      </c>
      <c r="BS25" s="639">
        <v>153017.04999999999</v>
      </c>
      <c r="BT25" s="639">
        <f>BS25*BU25</f>
        <v>140775.68599999999</v>
      </c>
      <c r="BU25" s="633">
        <v>0.92</v>
      </c>
      <c r="BV25" s="635"/>
      <c r="BW25" s="636">
        <f>BV25/BS25</f>
        <v>0</v>
      </c>
      <c r="BX25" s="661">
        <f>AZ25+BE25+BJ25+BO25+BT25</f>
        <v>692195.10160000005</v>
      </c>
      <c r="BY25" s="661"/>
      <c r="BZ25" s="663">
        <f>BV25+BQ25+BL25+BG25+BB25</f>
        <v>0</v>
      </c>
      <c r="CA25" s="651">
        <f t="shared" si="2"/>
        <v>0</v>
      </c>
      <c r="CB25" s="645">
        <v>172764.87</v>
      </c>
      <c r="CC25" s="639">
        <f>CB25*CD25</f>
        <v>158943.68040000001</v>
      </c>
      <c r="CD25" s="633">
        <v>0.92</v>
      </c>
      <c r="CE25" s="635"/>
      <c r="CF25" s="636">
        <f>CE25/CB25</f>
        <v>0</v>
      </c>
      <c r="CG25" s="639">
        <v>173146.3</v>
      </c>
      <c r="CH25" s="639">
        <f>CG25*CI25</f>
        <v>159294.59599999999</v>
      </c>
      <c r="CI25" s="633">
        <v>0.92</v>
      </c>
      <c r="CJ25" s="635"/>
      <c r="CK25" s="636">
        <f>CJ25/CG25</f>
        <v>0</v>
      </c>
      <c r="CL25" s="639">
        <v>175330.75</v>
      </c>
      <c r="CM25" s="639">
        <f>CL25*CN25</f>
        <v>161304.29</v>
      </c>
      <c r="CN25" s="633">
        <v>0.92</v>
      </c>
      <c r="CO25" s="635"/>
      <c r="CP25" s="636">
        <f>CO25/CL25</f>
        <v>0</v>
      </c>
      <c r="CQ25" s="639">
        <v>169264.91</v>
      </c>
      <c r="CR25" s="639">
        <f>CQ25*CS25</f>
        <v>160801.66449999998</v>
      </c>
      <c r="CS25" s="633">
        <v>0.95</v>
      </c>
      <c r="CT25" s="638"/>
      <c r="CU25" s="636">
        <f>CT25/CQ25</f>
        <v>0</v>
      </c>
      <c r="CV25" s="656">
        <f>CR25+CM25+CH25+CC25</f>
        <v>640344.23090000008</v>
      </c>
      <c r="CW25" s="656"/>
      <c r="CX25" s="657">
        <f>CT25+CO25+CE25+CJ25</f>
        <v>0</v>
      </c>
      <c r="CY25" s="654">
        <f t="shared" si="3"/>
        <v>0</v>
      </c>
      <c r="CZ25" s="645">
        <v>271420.05</v>
      </c>
      <c r="DA25" s="639">
        <f>CZ25*DB25</f>
        <v>244278.04499999998</v>
      </c>
      <c r="DB25" s="908">
        <v>0.9</v>
      </c>
      <c r="DC25" s="635"/>
      <c r="DD25" s="636">
        <f>DC25/CZ25</f>
        <v>0</v>
      </c>
      <c r="DE25" s="639">
        <v>173873.43</v>
      </c>
      <c r="DF25" s="639">
        <f>DE25*DG25</f>
        <v>165179.7585</v>
      </c>
      <c r="DG25" s="633">
        <v>0.95</v>
      </c>
      <c r="DH25" s="635"/>
      <c r="DI25" s="636">
        <f>DH25/DE25</f>
        <v>0</v>
      </c>
      <c r="DJ25" s="639">
        <v>152813.03</v>
      </c>
      <c r="DK25" s="639">
        <f>DJ25*DL25</f>
        <v>137531.72700000001</v>
      </c>
      <c r="DL25" s="633">
        <v>0.9</v>
      </c>
      <c r="DM25" s="635"/>
      <c r="DN25" s="636">
        <f>DM25/DJ25</f>
        <v>0</v>
      </c>
      <c r="DO25" s="639">
        <v>149860.54999999999</v>
      </c>
      <c r="DP25" s="639">
        <f>DO25*DQ25</f>
        <v>142367.52249999999</v>
      </c>
      <c r="DQ25" s="633">
        <v>0.95</v>
      </c>
      <c r="DR25" s="638"/>
      <c r="DS25" s="636">
        <f>DR25/DO25</f>
        <v>0</v>
      </c>
      <c r="DT25" s="656">
        <f>DP25+DK25+DF25+DA25</f>
        <v>689357.05300000007</v>
      </c>
      <c r="DU25" s="656"/>
      <c r="DV25" s="657">
        <f>DR25+DM25+DC25+DH25</f>
        <v>0</v>
      </c>
      <c r="DW25" s="654">
        <f t="shared" si="4"/>
        <v>0</v>
      </c>
      <c r="DX25" s="645">
        <v>174455.74</v>
      </c>
      <c r="DY25" s="639">
        <f>DX25*DZ25</f>
        <v>157010.166</v>
      </c>
      <c r="DZ25" s="633">
        <v>0.9</v>
      </c>
      <c r="EA25" s="907">
        <f>'Vtas Diarias 2022'!AAC26</f>
        <v>0</v>
      </c>
      <c r="EB25" s="636">
        <f>EA25/DX25</f>
        <v>0</v>
      </c>
      <c r="EC25" s="639">
        <v>233482.34</v>
      </c>
      <c r="ED25" s="639">
        <f>EC25*EE25</f>
        <v>210134.106</v>
      </c>
      <c r="EE25" s="633">
        <v>0.9</v>
      </c>
      <c r="EF25" s="638"/>
      <c r="EG25" s="636">
        <f>EF25/EC25</f>
        <v>0</v>
      </c>
      <c r="EH25" s="639">
        <v>228321.31</v>
      </c>
      <c r="EI25" s="639">
        <f>EH25*EJ25</f>
        <v>205489.179</v>
      </c>
      <c r="EJ25" s="633">
        <v>0.9</v>
      </c>
      <c r="EK25" s="635"/>
      <c r="EL25" s="636">
        <f>EK25/EH25</f>
        <v>0</v>
      </c>
      <c r="EM25" s="639">
        <v>256327.18</v>
      </c>
      <c r="EN25" s="639">
        <f>EM25*EO25</f>
        <v>243510.821</v>
      </c>
      <c r="EO25" s="633">
        <v>0.95</v>
      </c>
      <c r="EP25" s="638"/>
      <c r="EQ25" s="636">
        <f>EP25/EM25</f>
        <v>0</v>
      </c>
      <c r="ER25" s="639">
        <v>238275.06</v>
      </c>
      <c r="ES25" s="639">
        <f>ER25*ET25</f>
        <v>228744.0576</v>
      </c>
      <c r="ET25" s="633">
        <v>0.96</v>
      </c>
      <c r="EU25" s="635"/>
      <c r="EV25" s="636">
        <f>EU25/ER25</f>
        <v>0</v>
      </c>
      <c r="EW25" s="661">
        <f>ES25+EN25+EI25+ED25+DY25</f>
        <v>1044888.3295999999</v>
      </c>
      <c r="EX25" s="661"/>
      <c r="EY25" s="904">
        <f t="shared" si="5"/>
        <v>0</v>
      </c>
      <c r="EZ25" s="654">
        <f t="shared" si="6"/>
        <v>0</v>
      </c>
      <c r="FA25" s="645">
        <v>206352.72</v>
      </c>
      <c r="FB25" s="639">
        <f>FA25*FC25</f>
        <v>181590.39360000001</v>
      </c>
      <c r="FC25" s="908">
        <v>0.88</v>
      </c>
      <c r="FD25" s="635"/>
      <c r="FE25" s="636">
        <f>FD25/FA25</f>
        <v>0</v>
      </c>
      <c r="FF25" s="639">
        <v>206240.45</v>
      </c>
      <c r="FG25" s="639">
        <f>FF25*FH25</f>
        <v>181491.59600000002</v>
      </c>
      <c r="FH25" s="633">
        <v>0.88</v>
      </c>
      <c r="FI25" s="635"/>
      <c r="FJ25" s="636">
        <f>FI25/FF25</f>
        <v>0</v>
      </c>
      <c r="FK25" s="639">
        <v>195310.72</v>
      </c>
      <c r="FL25" s="639">
        <f>FK25*FM25</f>
        <v>175779.64800000002</v>
      </c>
      <c r="FM25" s="633">
        <v>0.9</v>
      </c>
      <c r="FN25" s="635"/>
      <c r="FO25" s="636">
        <f>FN25/FK25</f>
        <v>0</v>
      </c>
      <c r="FP25" s="639">
        <v>181174.77</v>
      </c>
      <c r="FQ25" s="639">
        <f>FP25*FR25</f>
        <v>173927.77919999999</v>
      </c>
      <c r="FR25" s="908">
        <v>0.96</v>
      </c>
      <c r="FS25" s="638"/>
      <c r="FT25" s="636">
        <f>FS25/FP25</f>
        <v>0</v>
      </c>
      <c r="FU25" s="661">
        <f>FQ25+FL25+FG25+FB25</f>
        <v>712789.41680000001</v>
      </c>
      <c r="FV25" s="661"/>
      <c r="FW25" s="663">
        <f>FS25+FN25+FD25+FI25</f>
        <v>0</v>
      </c>
      <c r="FX25" s="651">
        <f t="shared" si="7"/>
        <v>0</v>
      </c>
      <c r="FY25" s="645">
        <v>159914.85999999999</v>
      </c>
      <c r="FZ25" s="639">
        <f>FY25*GA25</f>
        <v>156716.56279999999</v>
      </c>
      <c r="GA25" s="633">
        <v>0.98</v>
      </c>
      <c r="GB25" s="635"/>
      <c r="GC25" s="636">
        <f>GB25/FY25</f>
        <v>0</v>
      </c>
      <c r="GD25" s="639">
        <v>158907.26</v>
      </c>
      <c r="GE25" s="639">
        <f>GD25*GF25</f>
        <v>147783.75180000003</v>
      </c>
      <c r="GF25" s="633">
        <v>0.93</v>
      </c>
      <c r="GG25" s="638"/>
      <c r="GH25" s="636">
        <f>GG25/GD25</f>
        <v>0</v>
      </c>
      <c r="GI25" s="639">
        <v>162442.04999999999</v>
      </c>
      <c r="GJ25" s="639">
        <f>GI25*GK25</f>
        <v>162442.04999999999</v>
      </c>
      <c r="GK25" s="633">
        <v>1</v>
      </c>
      <c r="GL25" s="635"/>
      <c r="GM25" s="636">
        <f>GL25/GI25</f>
        <v>0</v>
      </c>
      <c r="GN25" s="639">
        <v>156707.76999999999</v>
      </c>
      <c r="GO25" s="639">
        <f>GN25*GP25</f>
        <v>153573.6146</v>
      </c>
      <c r="GP25" s="633">
        <v>0.98</v>
      </c>
      <c r="GQ25" s="638"/>
      <c r="GR25" s="636">
        <f>GQ25/GN25</f>
        <v>0</v>
      </c>
      <c r="GS25" s="661">
        <f>GO25+GJ25+GE25+FZ25</f>
        <v>620515.97920000006</v>
      </c>
      <c r="GT25" s="661"/>
      <c r="GU25" s="662">
        <f>GQ25+GL25+GB25+GG25</f>
        <v>0</v>
      </c>
      <c r="GV25" s="654">
        <f t="shared" si="8"/>
        <v>0</v>
      </c>
      <c r="GW25" s="645">
        <v>167102</v>
      </c>
      <c r="GX25" s="639">
        <f>GW25*GY25</f>
        <v>167102</v>
      </c>
      <c r="GY25" s="633">
        <v>1</v>
      </c>
      <c r="GZ25" s="635"/>
      <c r="HA25" s="636">
        <f>GZ25/GW25</f>
        <v>0</v>
      </c>
      <c r="HB25" s="639">
        <v>143073.84</v>
      </c>
      <c r="HC25" s="639">
        <f>HB25*HD25</f>
        <v>143073.84</v>
      </c>
      <c r="HD25" s="633">
        <v>1</v>
      </c>
      <c r="HE25" s="638"/>
      <c r="HF25" s="636">
        <f>HE25/HB25</f>
        <v>0</v>
      </c>
      <c r="HG25" s="639">
        <v>152038</v>
      </c>
      <c r="HH25" s="639">
        <f>HG25*HI25</f>
        <v>152038</v>
      </c>
      <c r="HI25" s="633">
        <v>1</v>
      </c>
      <c r="HJ25" s="635"/>
      <c r="HK25" s="636">
        <f>HJ25/HG25</f>
        <v>0</v>
      </c>
      <c r="HL25" s="639">
        <v>156540.47</v>
      </c>
      <c r="HM25" s="639">
        <f>HL25*HN25</f>
        <v>156540.47</v>
      </c>
      <c r="HN25" s="633">
        <v>1</v>
      </c>
      <c r="HO25" s="638"/>
      <c r="HP25" s="636">
        <f>HO25/HL25</f>
        <v>0</v>
      </c>
      <c r="HQ25" s="639">
        <v>145588.29999999999</v>
      </c>
      <c r="HR25" s="639">
        <f>HQ25*HS25</f>
        <v>145588.29999999999</v>
      </c>
      <c r="HS25" s="633">
        <v>1</v>
      </c>
      <c r="HT25" s="635"/>
      <c r="HU25" s="636">
        <f>HT25/HQ25</f>
        <v>0</v>
      </c>
      <c r="HV25" s="661">
        <f>HR25+HM25+HH25+HC25+GX25</f>
        <v>764342.61</v>
      </c>
      <c r="HW25" s="661"/>
      <c r="HX25" s="663">
        <f>HT25+HO25+HJ25+HE25+GZ25</f>
        <v>0</v>
      </c>
      <c r="HY25" s="651">
        <f t="shared" si="9"/>
        <v>0</v>
      </c>
      <c r="HZ25" s="645">
        <v>144677.98000000001</v>
      </c>
      <c r="IA25" s="639">
        <f>HZ25*IB25</f>
        <v>144677.98000000001</v>
      </c>
      <c r="IB25" s="633">
        <v>1</v>
      </c>
      <c r="IC25" s="635"/>
      <c r="ID25" s="636">
        <f>IC25/HZ25</f>
        <v>0</v>
      </c>
      <c r="IE25" s="639">
        <v>167624.41</v>
      </c>
      <c r="IF25" s="639">
        <f>IE25*IG25</f>
        <v>164271.92180000001</v>
      </c>
      <c r="IG25" s="633">
        <v>0.98</v>
      </c>
      <c r="IH25" s="638"/>
      <c r="II25" s="636">
        <f>IH25/IE25</f>
        <v>0</v>
      </c>
      <c r="IJ25" s="639">
        <v>151570.98000000001</v>
      </c>
      <c r="IK25" s="639">
        <f>IJ25*IL25</f>
        <v>151570.98000000001</v>
      </c>
      <c r="IL25" s="633">
        <v>1</v>
      </c>
      <c r="IM25" s="635"/>
      <c r="IN25" s="636">
        <f>IM25/IJ25</f>
        <v>0</v>
      </c>
      <c r="IO25" s="639">
        <v>161119.88</v>
      </c>
      <c r="IP25" s="639">
        <f>IO25*IQ25</f>
        <v>161119.88</v>
      </c>
      <c r="IQ25" s="633">
        <v>1</v>
      </c>
      <c r="IR25" s="638"/>
      <c r="IS25" s="636">
        <f>IR25/IO25</f>
        <v>0</v>
      </c>
      <c r="IT25" s="661">
        <f>IP25+IK25+IF25+IA25</f>
        <v>621640.76179999998</v>
      </c>
      <c r="IU25" s="661"/>
      <c r="IV25" s="662">
        <f>IC25+IH25+IM25+IR25</f>
        <v>0</v>
      </c>
      <c r="IW25" s="654">
        <f t="shared" si="10"/>
        <v>0</v>
      </c>
      <c r="IX25" s="645">
        <v>128935.06</v>
      </c>
      <c r="IY25" s="639">
        <f>IX25*IZ25</f>
        <v>128935.06</v>
      </c>
      <c r="IZ25" s="633">
        <v>1</v>
      </c>
      <c r="JA25" s="635"/>
      <c r="JB25" s="636">
        <f>JA25/IX25</f>
        <v>0</v>
      </c>
      <c r="JC25" s="639">
        <v>179674.86</v>
      </c>
      <c r="JD25" s="639">
        <f>JC25*JE25</f>
        <v>172487.86559999999</v>
      </c>
      <c r="JE25" s="633">
        <v>0.96</v>
      </c>
      <c r="JF25" s="635"/>
      <c r="JG25" s="636">
        <f>JF25/JC25</f>
        <v>0</v>
      </c>
      <c r="JH25" s="639">
        <v>224434.32</v>
      </c>
      <c r="JI25" s="639">
        <f>JH25*JJ25</f>
        <v>219945.6336</v>
      </c>
      <c r="JJ25" s="633">
        <v>0.98</v>
      </c>
      <c r="JK25" s="635"/>
      <c r="JL25" s="636">
        <f>JK25/JH25</f>
        <v>0</v>
      </c>
      <c r="JM25" s="639">
        <v>244501.19</v>
      </c>
      <c r="JN25" s="639">
        <f>JM25*JO25</f>
        <v>244501.19</v>
      </c>
      <c r="JO25" s="633">
        <v>1</v>
      </c>
      <c r="JP25" s="638"/>
      <c r="JQ25" s="636">
        <f>JP25/JM25</f>
        <v>0</v>
      </c>
      <c r="JR25" s="661">
        <f>JN25+JI25+JD25+IY25</f>
        <v>765869.74919999996</v>
      </c>
      <c r="JS25" s="661"/>
      <c r="JT25" s="663">
        <f>JP25+JK25+JA25+JF25</f>
        <v>0</v>
      </c>
      <c r="JU25" s="651">
        <f t="shared" si="11"/>
        <v>0</v>
      </c>
      <c r="JV25" s="645">
        <v>336927.38</v>
      </c>
      <c r="JW25" s="639">
        <f>JV25*JX25</f>
        <v>316711.73719999997</v>
      </c>
      <c r="JX25" s="908">
        <v>0.94</v>
      </c>
      <c r="JY25" s="635"/>
      <c r="JZ25" s="636">
        <f>JY25/JV25</f>
        <v>0</v>
      </c>
      <c r="KA25" s="639">
        <v>330520.94</v>
      </c>
      <c r="KB25" s="639">
        <f>KA25*KC25</f>
        <v>307384.4742</v>
      </c>
      <c r="KC25" s="908">
        <v>0.93</v>
      </c>
      <c r="KD25" s="638"/>
      <c r="KE25" s="636">
        <f>KD25/KA25</f>
        <v>0</v>
      </c>
      <c r="KF25" s="639">
        <v>417303.14</v>
      </c>
      <c r="KG25" s="639">
        <f>KF25*KH25</f>
        <v>396437.98300000001</v>
      </c>
      <c r="KH25" s="908">
        <v>0.95</v>
      </c>
      <c r="KI25" s="635"/>
      <c r="KJ25" s="636">
        <f>KI25/KF25</f>
        <v>0</v>
      </c>
      <c r="KK25" s="639">
        <v>405678.87</v>
      </c>
      <c r="KL25" s="639">
        <f>KK25*KM25</f>
        <v>385394.9265</v>
      </c>
      <c r="KM25" s="908">
        <v>0.95</v>
      </c>
      <c r="KN25" s="638"/>
      <c r="KO25" s="636">
        <f>KN25/KK25</f>
        <v>0</v>
      </c>
      <c r="KP25" s="639">
        <v>169258.55</v>
      </c>
      <c r="KQ25" s="639">
        <f>KP25*KR25</f>
        <v>165873.37899999999</v>
      </c>
      <c r="KR25" s="908">
        <v>0.98</v>
      </c>
      <c r="KS25" s="635"/>
      <c r="KT25" s="636">
        <f>KS25/KP25</f>
        <v>0</v>
      </c>
      <c r="KU25" s="661">
        <f>KQ25+KL25+KG25+KB25+JW25</f>
        <v>1571802.4999000002</v>
      </c>
      <c r="KV25" s="661"/>
      <c r="KW25" s="662">
        <f>KS25+KN25+KI25+KD25+JY25</f>
        <v>0</v>
      </c>
      <c r="KX25" s="959">
        <f t="shared" si="12"/>
        <v>0</v>
      </c>
      <c r="KY25" s="894">
        <f>X25+AV25+BY25+CW25+DU25+EX25+FV25+GT25+HW25+IU25+JS25+KV25</f>
        <v>0</v>
      </c>
      <c r="KZ25" s="893">
        <f>Y25+AW25+BZ25+CX25+DV25+EY25+FW25+GU25+HX25+IV25+JT25+KW25</f>
        <v>0</v>
      </c>
      <c r="LA25" s="892">
        <f>KZ25-KY25</f>
        <v>0</v>
      </c>
      <c r="LB25" s="891">
        <f t="shared" si="13"/>
        <v>0</v>
      </c>
    </row>
    <row r="26" spans="1:314" ht="14.25" customHeight="1">
      <c r="A26" s="1495"/>
      <c r="B26" s="897" t="s">
        <v>478</v>
      </c>
      <c r="C26" s="645">
        <v>119193.88</v>
      </c>
      <c r="D26" s="639">
        <f>D29</f>
        <v>159206.7066</v>
      </c>
      <c r="E26" s="908">
        <v>0.89</v>
      </c>
      <c r="F26" s="635"/>
      <c r="G26" s="636">
        <f>F26/C26</f>
        <v>0</v>
      </c>
      <c r="H26" s="639">
        <v>127461.43</v>
      </c>
      <c r="I26" s="639">
        <f>I29</f>
        <v>183457.06169999999</v>
      </c>
      <c r="J26" s="633">
        <v>0.89</v>
      </c>
      <c r="K26" s="638"/>
      <c r="L26" s="636">
        <f>K26/H26</f>
        <v>0</v>
      </c>
      <c r="M26" s="639">
        <v>131450.59</v>
      </c>
      <c r="N26" s="639">
        <f>N29</f>
        <v>167542.443</v>
      </c>
      <c r="O26" s="633">
        <v>0.89</v>
      </c>
      <c r="P26" s="635"/>
      <c r="Q26" s="636">
        <f>P26/M26</f>
        <v>0</v>
      </c>
      <c r="R26" s="639">
        <v>125389.51</v>
      </c>
      <c r="S26" s="639">
        <f>S29</f>
        <v>161670.96</v>
      </c>
      <c r="T26" s="633">
        <v>0.89</v>
      </c>
      <c r="U26" s="635"/>
      <c r="V26" s="636">
        <f>U26/R26</f>
        <v>0</v>
      </c>
      <c r="W26" s="639">
        <f>D26+I26+N26+S26</f>
        <v>671877.17129999993</v>
      </c>
      <c r="X26" s="639"/>
      <c r="Y26" s="666">
        <f>+F26+K26+P26+U26</f>
        <v>0</v>
      </c>
      <c r="Z26" s="646">
        <f t="shared" si="0"/>
        <v>0</v>
      </c>
      <c r="AA26" s="645">
        <v>132716.53</v>
      </c>
      <c r="AB26" s="639">
        <f>AB29</f>
        <v>166275.58499999999</v>
      </c>
      <c r="AC26" s="633">
        <v>0.89</v>
      </c>
      <c r="AD26" s="635"/>
      <c r="AE26" s="636">
        <f>AD26/AA26</f>
        <v>0</v>
      </c>
      <c r="AF26" s="639">
        <v>140900.89000000001</v>
      </c>
      <c r="AG26" s="639">
        <f>AG29</f>
        <v>214077.60070000001</v>
      </c>
      <c r="AH26" s="633">
        <v>0.89</v>
      </c>
      <c r="AI26" s="635"/>
      <c r="AJ26" s="636">
        <f>AI26/AF26</f>
        <v>0</v>
      </c>
      <c r="AK26" s="639">
        <v>123489.61</v>
      </c>
      <c r="AL26" s="639">
        <f>AL29</f>
        <v>132361.98300000001</v>
      </c>
      <c r="AM26" s="633">
        <v>0.9</v>
      </c>
      <c r="AN26" s="635"/>
      <c r="AO26" s="636">
        <f>AN26/AK26</f>
        <v>0</v>
      </c>
      <c r="AP26" s="639">
        <v>127384.29</v>
      </c>
      <c r="AQ26" s="639">
        <f>AQ29</f>
        <v>176204.133</v>
      </c>
      <c r="AR26" s="633">
        <v>0.9</v>
      </c>
      <c r="AS26" s="638"/>
      <c r="AT26" s="636">
        <f>AS26/AP26</f>
        <v>0</v>
      </c>
      <c r="AU26" s="639">
        <f>AB26+AG26+AL26+AQ26</f>
        <v>688919.30170000007</v>
      </c>
      <c r="AV26" s="896"/>
      <c r="AW26" s="895">
        <f>AD26+AI26++AN26+AS26</f>
        <v>0</v>
      </c>
      <c r="AX26" s="665">
        <f t="shared" si="1"/>
        <v>0</v>
      </c>
      <c r="AY26" s="645">
        <v>128755.87</v>
      </c>
      <c r="AZ26" s="639">
        <f>AZ29</f>
        <v>161790.04800000001</v>
      </c>
      <c r="BA26" s="633">
        <v>0.9</v>
      </c>
      <c r="BB26" s="635"/>
      <c r="BC26" s="636">
        <f>BB26/AY26</f>
        <v>0</v>
      </c>
      <c r="BD26" s="639">
        <v>143627.54999999999</v>
      </c>
      <c r="BE26" s="639">
        <f>BE29</f>
        <v>189170.91899999999</v>
      </c>
      <c r="BF26" s="633">
        <v>0.9</v>
      </c>
      <c r="BG26" s="638"/>
      <c r="BH26" s="636">
        <f>BG26/BD26</f>
        <v>0</v>
      </c>
      <c r="BI26" s="639">
        <v>154270.59</v>
      </c>
      <c r="BJ26" s="639">
        <f>BJ29</f>
        <v>218896.31880000001</v>
      </c>
      <c r="BK26" s="633">
        <v>0.89</v>
      </c>
      <c r="BL26" s="635"/>
      <c r="BM26" s="636">
        <f>BL26/BI26</f>
        <v>0</v>
      </c>
      <c r="BN26" s="639">
        <v>139111.99</v>
      </c>
      <c r="BO26" s="639">
        <f>BO29</f>
        <v>186876.01739999998</v>
      </c>
      <c r="BP26" s="633">
        <v>0.87</v>
      </c>
      <c r="BQ26" s="638"/>
      <c r="BR26" s="636">
        <f>BQ26/BN26</f>
        <v>0</v>
      </c>
      <c r="BS26" s="639">
        <v>148078.07</v>
      </c>
      <c r="BT26" s="639">
        <f>BT29</f>
        <v>214083.14539999998</v>
      </c>
      <c r="BU26" s="633">
        <v>0.89</v>
      </c>
      <c r="BV26" s="635"/>
      <c r="BW26" s="636">
        <f>BV26/BS26</f>
        <v>0</v>
      </c>
      <c r="BX26" s="661">
        <f>AZ26+BE26+BJ26+BO26+BT26</f>
        <v>970816.4486</v>
      </c>
      <c r="BY26" s="661"/>
      <c r="BZ26" s="663">
        <f>BV26+BQ26+BL26+BG26+BB26</f>
        <v>0</v>
      </c>
      <c r="CA26" s="651">
        <f t="shared" si="2"/>
        <v>0</v>
      </c>
      <c r="CB26" s="645">
        <v>149025.81</v>
      </c>
      <c r="CC26" s="639">
        <f>CC29</f>
        <v>217449.8463</v>
      </c>
      <c r="CD26" s="633">
        <v>0.89</v>
      </c>
      <c r="CE26" s="635"/>
      <c r="CF26" s="636">
        <f>CE26/CB26</f>
        <v>0</v>
      </c>
      <c r="CG26" s="639">
        <v>196405.63</v>
      </c>
      <c r="CH26" s="639">
        <f>CH29</f>
        <v>224171.397</v>
      </c>
      <c r="CI26" s="633">
        <v>0.9</v>
      </c>
      <c r="CJ26" s="635"/>
      <c r="CK26" s="636">
        <f>CJ26/CG26</f>
        <v>0</v>
      </c>
      <c r="CL26" s="639">
        <v>148492.71</v>
      </c>
      <c r="CM26" s="639">
        <f>CM29</f>
        <v>208184.78700000001</v>
      </c>
      <c r="CN26" s="633">
        <v>0.9</v>
      </c>
      <c r="CO26" s="635"/>
      <c r="CP26" s="636">
        <f>CO26/CL26</f>
        <v>0</v>
      </c>
      <c r="CQ26" s="639">
        <v>149866.09</v>
      </c>
      <c r="CR26" s="639">
        <f>CR29</f>
        <v>207987.22490000003</v>
      </c>
      <c r="CS26" s="633">
        <v>0.91</v>
      </c>
      <c r="CT26" s="638"/>
      <c r="CU26" s="636">
        <f>CT26/CQ26</f>
        <v>0</v>
      </c>
      <c r="CV26" s="656">
        <f>CR26+CM26+CH26+CC26</f>
        <v>857793.25520000001</v>
      </c>
      <c r="CW26" s="656"/>
      <c r="CX26" s="657">
        <f>CT26+CO26+CE26+CJ26</f>
        <v>0</v>
      </c>
      <c r="CY26" s="654">
        <f t="shared" si="3"/>
        <v>0</v>
      </c>
      <c r="CZ26" s="645">
        <v>188967.19</v>
      </c>
      <c r="DA26" s="639">
        <f>DA29</f>
        <v>303712.33500000002</v>
      </c>
      <c r="DB26" s="908">
        <v>0.9</v>
      </c>
      <c r="DC26" s="635"/>
      <c r="DD26" s="636">
        <f>DC26/CZ26</f>
        <v>0</v>
      </c>
      <c r="DE26" s="639">
        <v>133164.63</v>
      </c>
      <c r="DF26" s="639">
        <f>DF29</f>
        <v>223364.96100000001</v>
      </c>
      <c r="DG26" s="633">
        <v>0.9</v>
      </c>
      <c r="DH26" s="635"/>
      <c r="DI26" s="636">
        <f>DH26/DE26</f>
        <v>0</v>
      </c>
      <c r="DJ26" s="639">
        <v>128641.03</v>
      </c>
      <c r="DK26" s="639">
        <f>DK29</f>
        <v>182307.73499999999</v>
      </c>
      <c r="DL26" s="633">
        <v>0.9</v>
      </c>
      <c r="DM26" s="635"/>
      <c r="DN26" s="636">
        <f>DM26/DJ26</f>
        <v>0</v>
      </c>
      <c r="DO26" s="639">
        <v>136691.07999999999</v>
      </c>
      <c r="DP26" s="639">
        <f>DP29</f>
        <v>189577.86300000001</v>
      </c>
      <c r="DQ26" s="633">
        <v>0.9</v>
      </c>
      <c r="DR26" s="638"/>
      <c r="DS26" s="636">
        <f>DR26/DO26</f>
        <v>0</v>
      </c>
      <c r="DT26" s="656">
        <f>DP26+DK26+DF26+DA26</f>
        <v>898962.89400000009</v>
      </c>
      <c r="DU26" s="656"/>
      <c r="DV26" s="657">
        <f>DR26+DM26+DC26+DH26</f>
        <v>0</v>
      </c>
      <c r="DW26" s="654">
        <f t="shared" si="4"/>
        <v>0</v>
      </c>
      <c r="DX26" s="645">
        <v>145621.82</v>
      </c>
      <c r="DY26" s="639">
        <f>DY29</f>
        <v>193946.625</v>
      </c>
      <c r="DZ26" s="633">
        <v>0.9</v>
      </c>
      <c r="EA26" s="907">
        <f>'Vtas Diarias 2022'!AAC27</f>
        <v>0</v>
      </c>
      <c r="EB26" s="636">
        <f>EA26/DX26</f>
        <v>0</v>
      </c>
      <c r="EC26" s="639">
        <v>157633</v>
      </c>
      <c r="ED26" s="639">
        <f>ED29</f>
        <v>245356.74239999999</v>
      </c>
      <c r="EE26" s="633">
        <v>0.88</v>
      </c>
      <c r="EF26" s="638"/>
      <c r="EG26" s="636">
        <f>EF26/EC26</f>
        <v>0</v>
      </c>
      <c r="EH26" s="639">
        <v>157299.03</v>
      </c>
      <c r="EI26" s="639">
        <f>EI29</f>
        <v>217024.16820000001</v>
      </c>
      <c r="EJ26" s="633">
        <v>0.9</v>
      </c>
      <c r="EK26" s="635"/>
      <c r="EL26" s="636">
        <f>EK26/EH26</f>
        <v>0</v>
      </c>
      <c r="EM26" s="639">
        <v>167441.47</v>
      </c>
      <c r="EN26" s="639">
        <f>EN29</f>
        <v>258370.32149999999</v>
      </c>
      <c r="EO26" s="633">
        <v>0.93</v>
      </c>
      <c r="EP26" s="638"/>
      <c r="EQ26" s="636">
        <f>EP26/EM26</f>
        <v>0</v>
      </c>
      <c r="ER26" s="639">
        <v>164956.09</v>
      </c>
      <c r="ES26" s="639">
        <f>ES29</f>
        <v>231003.78810000003</v>
      </c>
      <c r="ET26" s="633">
        <v>0.93</v>
      </c>
      <c r="EU26" s="635"/>
      <c r="EV26" s="636">
        <f>EU26/ER26</f>
        <v>0</v>
      </c>
      <c r="EW26" s="661">
        <f>ES26+EN26+EI26+ED26+DY26</f>
        <v>1145701.6452000001</v>
      </c>
      <c r="EX26" s="661"/>
      <c r="EY26" s="904">
        <f t="shared" si="5"/>
        <v>0</v>
      </c>
      <c r="EZ26" s="654">
        <f t="shared" si="6"/>
        <v>0</v>
      </c>
      <c r="FA26" s="645">
        <v>162394.10999999999</v>
      </c>
      <c r="FB26" s="639">
        <f>FB29</f>
        <v>224667.59039999999</v>
      </c>
      <c r="FC26" s="908">
        <v>0.88</v>
      </c>
      <c r="FD26" s="635"/>
      <c r="FE26" s="636">
        <f>FD26/FA26</f>
        <v>0</v>
      </c>
      <c r="FF26" s="639">
        <v>152810.1</v>
      </c>
      <c r="FG26" s="639">
        <f>FG29</f>
        <v>241550.24079999997</v>
      </c>
      <c r="FH26" s="633">
        <v>0.88</v>
      </c>
      <c r="FI26" s="635"/>
      <c r="FJ26" s="636">
        <f>FI26/FF26</f>
        <v>0</v>
      </c>
      <c r="FK26" s="639">
        <v>174012.94</v>
      </c>
      <c r="FL26" s="639">
        <f>FL29</f>
        <v>211389.23699999999</v>
      </c>
      <c r="FM26" s="633">
        <v>0.9</v>
      </c>
      <c r="FN26" s="635"/>
      <c r="FO26" s="636">
        <f>FN26/FK26</f>
        <v>0</v>
      </c>
      <c r="FP26" s="639">
        <v>152542.37</v>
      </c>
      <c r="FQ26" s="639">
        <f>FQ29</f>
        <v>236038.11990000002</v>
      </c>
      <c r="FR26" s="908">
        <v>0.93</v>
      </c>
      <c r="FS26" s="638"/>
      <c r="FT26" s="636">
        <f>FS26/FP26</f>
        <v>0</v>
      </c>
      <c r="FU26" s="661">
        <f>FQ26+FL26+FG26+FB26</f>
        <v>913645.18810000003</v>
      </c>
      <c r="FV26" s="661"/>
      <c r="FW26" s="663">
        <f>FS26+FN26+FD26+FI26</f>
        <v>0</v>
      </c>
      <c r="FX26" s="651">
        <f t="shared" si="7"/>
        <v>0</v>
      </c>
      <c r="FY26" s="645">
        <v>152624.67000000001</v>
      </c>
      <c r="FZ26" s="639">
        <f>FZ29</f>
        <v>242249.83849999998</v>
      </c>
      <c r="GA26" s="633">
        <v>0.95</v>
      </c>
      <c r="GB26" s="635"/>
      <c r="GC26" s="636">
        <f>GB26/FY26</f>
        <v>0</v>
      </c>
      <c r="GD26" s="639">
        <v>164418.75</v>
      </c>
      <c r="GE26" s="639">
        <f>GE29</f>
        <v>236629.25100000002</v>
      </c>
      <c r="GF26" s="633">
        <v>0.9</v>
      </c>
      <c r="GG26" s="638"/>
      <c r="GH26" s="636">
        <f>GG26/GD26</f>
        <v>0</v>
      </c>
      <c r="GI26" s="639">
        <v>148073.28</v>
      </c>
      <c r="GJ26" s="639">
        <f>GJ29</f>
        <v>227694.46420000002</v>
      </c>
      <c r="GK26" s="633">
        <v>0.98</v>
      </c>
      <c r="GL26" s="635"/>
      <c r="GM26" s="636">
        <f>GL26/GI26</f>
        <v>0</v>
      </c>
      <c r="GN26" s="639">
        <v>151342.35999999999</v>
      </c>
      <c r="GO26" s="639">
        <f>GO29</f>
        <v>209994.1648</v>
      </c>
      <c r="GP26" s="633">
        <v>0.98</v>
      </c>
      <c r="GQ26" s="638"/>
      <c r="GR26" s="636">
        <f>GQ26/GN26</f>
        <v>0</v>
      </c>
      <c r="GS26" s="661">
        <f>GO26+GJ26+GE26+FZ26</f>
        <v>916567.71849999996</v>
      </c>
      <c r="GT26" s="661"/>
      <c r="GU26" s="662">
        <f>GQ26+GL26+GB26+GG26</f>
        <v>0</v>
      </c>
      <c r="GV26" s="654">
        <f t="shared" si="8"/>
        <v>0</v>
      </c>
      <c r="GW26" s="645">
        <v>162860</v>
      </c>
      <c r="GX26" s="639">
        <f>GX29</f>
        <v>207825</v>
      </c>
      <c r="GY26" s="633">
        <v>1</v>
      </c>
      <c r="GZ26" s="635"/>
      <c r="HA26" s="636">
        <f>GZ26/GW26</f>
        <v>0</v>
      </c>
      <c r="HB26" s="639">
        <v>153166.95000000001</v>
      </c>
      <c r="HC26" s="639">
        <f>HC29</f>
        <v>212804.06</v>
      </c>
      <c r="HD26" s="633">
        <v>1</v>
      </c>
      <c r="HE26" s="638"/>
      <c r="HF26" s="636">
        <f>HE26/HB26</f>
        <v>0</v>
      </c>
      <c r="HG26" s="639">
        <v>148585.35</v>
      </c>
      <c r="HH26" s="639">
        <f>HH29</f>
        <v>206156.40639999998</v>
      </c>
      <c r="HI26" s="633">
        <v>0.98</v>
      </c>
      <c r="HJ26" s="635"/>
      <c r="HK26" s="636">
        <f>HJ26/HG26</f>
        <v>0</v>
      </c>
      <c r="HL26" s="639">
        <v>143190.09</v>
      </c>
      <c r="HM26" s="639">
        <f>HM29</f>
        <v>223252.38879999999</v>
      </c>
      <c r="HN26" s="633">
        <v>0.98</v>
      </c>
      <c r="HO26" s="638"/>
      <c r="HP26" s="636">
        <f>HO26/HL26</f>
        <v>0</v>
      </c>
      <c r="HQ26" s="639">
        <v>158277.73000000001</v>
      </c>
      <c r="HR26" s="639">
        <f>HR29</f>
        <v>225179.17660000001</v>
      </c>
      <c r="HS26" s="633">
        <v>0.98</v>
      </c>
      <c r="HT26" s="635"/>
      <c r="HU26" s="636">
        <f>HT26/HQ26</f>
        <v>0</v>
      </c>
      <c r="HV26" s="661">
        <f>HR26+HM26+HH26+HC26+GX26</f>
        <v>1075217.0318</v>
      </c>
      <c r="HW26" s="661"/>
      <c r="HX26" s="663">
        <f>HT26+HO26+HJ26+HE26+GZ26</f>
        <v>0</v>
      </c>
      <c r="HY26" s="651">
        <f t="shared" si="9"/>
        <v>0</v>
      </c>
      <c r="HZ26" s="645">
        <v>143793.21</v>
      </c>
      <c r="IA26" s="639">
        <f>IA29</f>
        <v>208890.90040000001</v>
      </c>
      <c r="IB26" s="633">
        <v>0.98</v>
      </c>
      <c r="IC26" s="635"/>
      <c r="ID26" s="636">
        <f>IC26/HZ26</f>
        <v>0</v>
      </c>
      <c r="IE26" s="639">
        <v>129827.55</v>
      </c>
      <c r="IF26" s="639">
        <f>IF29</f>
        <v>215311.60320000001</v>
      </c>
      <c r="IG26" s="633">
        <v>0.96</v>
      </c>
      <c r="IH26" s="638"/>
      <c r="II26" s="636">
        <f>IH26/IE26</f>
        <v>0</v>
      </c>
      <c r="IJ26" s="639">
        <v>149802.63</v>
      </c>
      <c r="IK26" s="639">
        <f>IK29</f>
        <v>196087.33979999999</v>
      </c>
      <c r="IL26" s="633">
        <v>0.99</v>
      </c>
      <c r="IM26" s="635"/>
      <c r="IN26" s="636">
        <f>IM26/IJ26</f>
        <v>0</v>
      </c>
      <c r="IO26" s="639">
        <v>145502.92000000001</v>
      </c>
      <c r="IP26" s="639">
        <f>IP29</f>
        <v>210430.37409999999</v>
      </c>
      <c r="IQ26" s="633">
        <v>0.97</v>
      </c>
      <c r="IR26" s="638"/>
      <c r="IS26" s="636">
        <f>IR26/IO26</f>
        <v>0</v>
      </c>
      <c r="IT26" s="661">
        <f>IP26+IK26+IF26+IA26</f>
        <v>830720.21750000003</v>
      </c>
      <c r="IU26" s="661"/>
      <c r="IV26" s="662">
        <f>IC26+IH26+IM26+IR26</f>
        <v>0</v>
      </c>
      <c r="IW26" s="654">
        <f t="shared" si="10"/>
        <v>0</v>
      </c>
      <c r="IX26" s="645">
        <v>117146.94</v>
      </c>
      <c r="IY26" s="639">
        <f>IY29</f>
        <v>177270.26449999999</v>
      </c>
      <c r="IZ26" s="633">
        <v>0.97</v>
      </c>
      <c r="JA26" s="635"/>
      <c r="JB26" s="636">
        <f>JA26/IX26</f>
        <v>0</v>
      </c>
      <c r="JC26" s="639">
        <v>170344.68</v>
      </c>
      <c r="JD26" s="639">
        <f>JD29</f>
        <v>236312.32459999999</v>
      </c>
      <c r="JE26" s="633">
        <v>0.94</v>
      </c>
      <c r="JF26" s="635"/>
      <c r="JG26" s="636">
        <f>JF26/JC26</f>
        <v>0</v>
      </c>
      <c r="JH26" s="639">
        <v>179656.87</v>
      </c>
      <c r="JI26" s="639">
        <f>JI29</f>
        <v>287787.20640000002</v>
      </c>
      <c r="JJ26" s="633">
        <v>0.96</v>
      </c>
      <c r="JK26" s="635"/>
      <c r="JL26" s="636">
        <f>JK26/JH26</f>
        <v>0</v>
      </c>
      <c r="JM26" s="639">
        <v>167143.01999999999</v>
      </c>
      <c r="JN26" s="639">
        <f>JN29</f>
        <v>251104.076</v>
      </c>
      <c r="JO26" s="633">
        <v>0.95</v>
      </c>
      <c r="JP26" s="638"/>
      <c r="JQ26" s="636">
        <f>JP26/JM26</f>
        <v>0</v>
      </c>
      <c r="JR26" s="661">
        <f>JN26+JI26+JD26+IY26</f>
        <v>952473.87150000012</v>
      </c>
      <c r="JS26" s="661"/>
      <c r="JT26" s="663">
        <f>JP26+JK26+JA26+JF26</f>
        <v>0</v>
      </c>
      <c r="JU26" s="651">
        <f t="shared" si="11"/>
        <v>0</v>
      </c>
      <c r="JV26" s="645">
        <v>207850.36</v>
      </c>
      <c r="JW26" s="639">
        <f>JW29</f>
        <v>365704.05779999995</v>
      </c>
      <c r="JX26" s="908">
        <v>0.94</v>
      </c>
      <c r="JY26" s="635"/>
      <c r="JZ26" s="636">
        <f>JY26/JV26</f>
        <v>0</v>
      </c>
      <c r="KA26" s="639">
        <v>294580.45</v>
      </c>
      <c r="KB26" s="639">
        <f>KB29</f>
        <v>493329.37169999996</v>
      </c>
      <c r="KC26" s="908">
        <v>0.93</v>
      </c>
      <c r="KD26" s="638"/>
      <c r="KE26" s="636">
        <f>KD26/KA26</f>
        <v>0</v>
      </c>
      <c r="KF26" s="639">
        <v>391924.1</v>
      </c>
      <c r="KG26" s="639">
        <f>KG29</f>
        <v>599023.21140000003</v>
      </c>
      <c r="KH26" s="908">
        <v>0.93</v>
      </c>
      <c r="KI26" s="635"/>
      <c r="KJ26" s="636">
        <f>KI26/KF26</f>
        <v>0</v>
      </c>
      <c r="KK26" s="639">
        <v>349892.31</v>
      </c>
      <c r="KL26" s="639">
        <f>KL29</f>
        <v>528213.31830000004</v>
      </c>
      <c r="KM26" s="908">
        <v>0.93</v>
      </c>
      <c r="KN26" s="638"/>
      <c r="KO26" s="636">
        <f>KN26/KK26</f>
        <v>0</v>
      </c>
      <c r="KP26" s="639">
        <v>165915.49</v>
      </c>
      <c r="KQ26" s="639">
        <f>KQ29</f>
        <v>244112.41800000001</v>
      </c>
      <c r="KR26" s="908">
        <v>0.95</v>
      </c>
      <c r="KS26" s="635"/>
      <c r="KT26" s="636">
        <f>KS26/KP26</f>
        <v>0</v>
      </c>
      <c r="KU26" s="661">
        <f>KQ26+KL26+KG26+KB26+JW26</f>
        <v>2230382.3772</v>
      </c>
      <c r="KV26" s="661"/>
      <c r="KW26" s="662">
        <f>KS26+KN26+KI26+KD26+JY26</f>
        <v>0</v>
      </c>
      <c r="KX26" s="959">
        <f t="shared" si="12"/>
        <v>0</v>
      </c>
      <c r="KY26" s="894">
        <f>X26+AV26+BY26+CW26+DU26+EX26+FV26+GT26+HW26+IU26+JS26+KV26</f>
        <v>0</v>
      </c>
      <c r="KZ26" s="893">
        <f>Y26+AW26+BZ26+CX26+DV26+EY26+FW26+GU26+HX26+IV26+JT26+KW26</f>
        <v>0</v>
      </c>
      <c r="LA26" s="892">
        <f>KZ26-KY26</f>
        <v>0</v>
      </c>
      <c r="LB26" s="891">
        <f t="shared" si="13"/>
        <v>0</v>
      </c>
    </row>
    <row r="27" spans="1:314">
      <c r="A27" s="1495"/>
      <c r="B27" s="897" t="s">
        <v>479</v>
      </c>
      <c r="C27" s="645">
        <v>85530.71</v>
      </c>
      <c r="D27" s="639">
        <f>C27*E27</f>
        <v>76122.331900000005</v>
      </c>
      <c r="E27" s="908">
        <v>0.89</v>
      </c>
      <c r="F27" s="635"/>
      <c r="G27" s="636">
        <f>F27/C27</f>
        <v>0</v>
      </c>
      <c r="H27" s="639">
        <v>94340.58</v>
      </c>
      <c r="I27" s="639">
        <f>H27*J27</f>
        <v>83963.116200000004</v>
      </c>
      <c r="J27" s="633">
        <v>0.89</v>
      </c>
      <c r="K27" s="638"/>
      <c r="L27" s="636">
        <f>K27/H27</f>
        <v>0</v>
      </c>
      <c r="M27" s="639">
        <v>101217.22</v>
      </c>
      <c r="N27" s="639">
        <f>M27*O27</f>
        <v>91095.498000000007</v>
      </c>
      <c r="O27" s="633">
        <v>0.9</v>
      </c>
      <c r="P27" s="635"/>
      <c r="Q27" s="636">
        <f>P27/M27</f>
        <v>0</v>
      </c>
      <c r="R27" s="639">
        <v>96848.22</v>
      </c>
      <c r="S27" s="639">
        <f>R27*T27</f>
        <v>87163.398000000001</v>
      </c>
      <c r="T27" s="633">
        <v>0.9</v>
      </c>
      <c r="U27" s="635"/>
      <c r="V27" s="636">
        <f>U27/R27</f>
        <v>0</v>
      </c>
      <c r="W27" s="639">
        <f>D27+I27+N27+S27</f>
        <v>338344.34409999999</v>
      </c>
      <c r="X27" s="639"/>
      <c r="Y27" s="666">
        <f>+F27+K27+P27+U27</f>
        <v>0</v>
      </c>
      <c r="Z27" s="646">
        <f t="shared" si="0"/>
        <v>0</v>
      </c>
      <c r="AA27" s="645">
        <v>90793.65</v>
      </c>
      <c r="AB27" s="639">
        <f>AA27*AC27</f>
        <v>81714.285000000003</v>
      </c>
      <c r="AC27" s="633">
        <v>0.9</v>
      </c>
      <c r="AD27" s="635"/>
      <c r="AE27" s="636">
        <f>AD27/AA27</f>
        <v>0</v>
      </c>
      <c r="AF27" s="639">
        <v>130370.72</v>
      </c>
      <c r="AG27" s="639">
        <f>AF27*AH27</f>
        <v>116029.9408</v>
      </c>
      <c r="AH27" s="633">
        <v>0.89</v>
      </c>
      <c r="AI27" s="635"/>
      <c r="AJ27" s="636">
        <f>AI27/AF27</f>
        <v>0</v>
      </c>
      <c r="AK27" s="639">
        <v>87661.02</v>
      </c>
      <c r="AL27" s="639">
        <f>AK27*AM27</f>
        <v>78894.918000000005</v>
      </c>
      <c r="AM27" s="633">
        <v>0.9</v>
      </c>
      <c r="AN27" s="635"/>
      <c r="AO27" s="636">
        <f>AN27/AK27</f>
        <v>0</v>
      </c>
      <c r="AP27" s="639">
        <v>99122.44</v>
      </c>
      <c r="AQ27" s="639">
        <f>AP27*AR27</f>
        <v>89210.196000000011</v>
      </c>
      <c r="AR27" s="633">
        <v>0.9</v>
      </c>
      <c r="AS27" s="638"/>
      <c r="AT27" s="636">
        <f>AS27/AP27</f>
        <v>0</v>
      </c>
      <c r="AU27" s="639">
        <f>AB27+AG27+AL27+AQ27</f>
        <v>365849.33980000002</v>
      </c>
      <c r="AV27" s="896"/>
      <c r="AW27" s="895">
        <f>AD27+AI27++AN27+AS27</f>
        <v>0</v>
      </c>
      <c r="AX27" s="665">
        <f t="shared" si="1"/>
        <v>0</v>
      </c>
      <c r="AY27" s="645">
        <v>92595.87</v>
      </c>
      <c r="AZ27" s="639">
        <f>AY27*BA27</f>
        <v>83336.282999999996</v>
      </c>
      <c r="BA27" s="633">
        <v>0.9</v>
      </c>
      <c r="BB27" s="635"/>
      <c r="BC27" s="636">
        <f>BB27/AY27</f>
        <v>0</v>
      </c>
      <c r="BD27" s="639">
        <v>94527.84</v>
      </c>
      <c r="BE27" s="639">
        <f>BD27*BF27</f>
        <v>85075.055999999997</v>
      </c>
      <c r="BF27" s="633">
        <v>0.9</v>
      </c>
      <c r="BG27" s="638"/>
      <c r="BH27" s="636">
        <f>BG27/BD27</f>
        <v>0</v>
      </c>
      <c r="BI27" s="639">
        <v>114660.98</v>
      </c>
      <c r="BJ27" s="639">
        <f>BI27*BK27</f>
        <v>102048.27219999999</v>
      </c>
      <c r="BK27" s="633">
        <v>0.89</v>
      </c>
      <c r="BL27" s="635"/>
      <c r="BM27" s="636">
        <f>BL27/BI27</f>
        <v>0</v>
      </c>
      <c r="BN27" s="639">
        <v>99294.94</v>
      </c>
      <c r="BO27" s="639">
        <f>BN27*BP27</f>
        <v>86386.597800000003</v>
      </c>
      <c r="BP27" s="633">
        <v>0.87</v>
      </c>
      <c r="BQ27" s="638"/>
      <c r="BR27" s="636">
        <f>BQ27/BN27</f>
        <v>0</v>
      </c>
      <c r="BS27" s="639">
        <v>109308.97</v>
      </c>
      <c r="BT27" s="639">
        <f>BS27*BU27</f>
        <v>97284.983300000007</v>
      </c>
      <c r="BU27" s="633">
        <v>0.89</v>
      </c>
      <c r="BV27" s="635"/>
      <c r="BW27" s="636">
        <f>BV27/BS27</f>
        <v>0</v>
      </c>
      <c r="BX27" s="661">
        <f>AZ27+BE27+BJ27+BO27+BT27</f>
        <v>454131.1923</v>
      </c>
      <c r="BY27" s="661"/>
      <c r="BZ27" s="663">
        <f>BV27+BQ27+BL27+BG27+BB27</f>
        <v>0</v>
      </c>
      <c r="CA27" s="651">
        <f t="shared" si="2"/>
        <v>0</v>
      </c>
      <c r="CB27" s="645">
        <v>143738.72</v>
      </c>
      <c r="CC27" s="639">
        <f>CB27*CD27</f>
        <v>127927.4608</v>
      </c>
      <c r="CD27" s="633">
        <v>0.89</v>
      </c>
      <c r="CE27" s="635"/>
      <c r="CF27" s="636">
        <f>CE27/CB27</f>
        <v>0</v>
      </c>
      <c r="CG27" s="639">
        <v>141604.28</v>
      </c>
      <c r="CH27" s="639">
        <f>CG27*CI27</f>
        <v>127443.852</v>
      </c>
      <c r="CI27" s="633">
        <v>0.9</v>
      </c>
      <c r="CJ27" s="635"/>
      <c r="CK27" s="636">
        <f>CJ27/CG27</f>
        <v>0</v>
      </c>
      <c r="CL27" s="639">
        <v>157771.16</v>
      </c>
      <c r="CM27" s="639">
        <f>CL27*CN27</f>
        <v>141994.04399999999</v>
      </c>
      <c r="CN27" s="633">
        <v>0.9</v>
      </c>
      <c r="CO27" s="635"/>
      <c r="CP27" s="636">
        <f>CO27/CL27</f>
        <v>0</v>
      </c>
      <c r="CQ27" s="639">
        <v>144406.64000000001</v>
      </c>
      <c r="CR27" s="639">
        <f>CQ27*CS27</f>
        <v>131410.04240000001</v>
      </c>
      <c r="CS27" s="633">
        <v>0.91</v>
      </c>
      <c r="CT27" s="638"/>
      <c r="CU27" s="636">
        <f>CT27/CQ27</f>
        <v>0</v>
      </c>
      <c r="CV27" s="656">
        <f>CR27+CM27+CH27+CC27</f>
        <v>528775.3992000001</v>
      </c>
      <c r="CW27" s="656"/>
      <c r="CX27" s="657">
        <f>CT27+CO27+CE27+CJ27</f>
        <v>0</v>
      </c>
      <c r="CY27" s="654">
        <f t="shared" si="3"/>
        <v>0</v>
      </c>
      <c r="CZ27" s="645">
        <v>234539.99</v>
      </c>
      <c r="DA27" s="639">
        <f>CZ27*DB27</f>
        <v>211085.99100000001</v>
      </c>
      <c r="DB27" s="908">
        <v>0.9</v>
      </c>
      <c r="DC27" s="635"/>
      <c r="DD27" s="636">
        <f>DC27/CZ27</f>
        <v>0</v>
      </c>
      <c r="DE27" s="639">
        <v>150124.44</v>
      </c>
      <c r="DF27" s="639">
        <f>DE27*DG27</f>
        <v>135111.99600000001</v>
      </c>
      <c r="DG27" s="633">
        <v>0.9</v>
      </c>
      <c r="DH27" s="635"/>
      <c r="DI27" s="636">
        <f>DH27/DE27</f>
        <v>0</v>
      </c>
      <c r="DJ27" s="639">
        <v>123422.43</v>
      </c>
      <c r="DK27" s="639">
        <f>DJ27*DL27</f>
        <v>111080.18699999999</v>
      </c>
      <c r="DL27" s="633">
        <v>0.9</v>
      </c>
      <c r="DM27" s="635"/>
      <c r="DN27" s="636">
        <f>DM27/DJ27</f>
        <v>0</v>
      </c>
      <c r="DO27" s="639">
        <v>120508.63</v>
      </c>
      <c r="DP27" s="639">
        <f>DO27*DQ27</f>
        <v>108457.76700000001</v>
      </c>
      <c r="DQ27" s="633">
        <v>0.9</v>
      </c>
      <c r="DR27" s="638"/>
      <c r="DS27" s="636">
        <f>DR27/DO27</f>
        <v>0</v>
      </c>
      <c r="DT27" s="656">
        <f>DP27+DK27+DF27+DA27</f>
        <v>565735.94099999999</v>
      </c>
      <c r="DU27" s="656"/>
      <c r="DV27" s="657">
        <f>DR27+DM27+DC27+DH27</f>
        <v>0</v>
      </c>
      <c r="DW27" s="654">
        <f t="shared" si="4"/>
        <v>0</v>
      </c>
      <c r="DX27" s="645">
        <v>138155.64000000001</v>
      </c>
      <c r="DY27" s="639">
        <f>DX27*DZ27</f>
        <v>124340.07600000002</v>
      </c>
      <c r="DZ27" s="633">
        <v>0.9</v>
      </c>
      <c r="EA27" s="907">
        <f>'Vtas Diarias 2022'!AAC28</f>
        <v>0</v>
      </c>
      <c r="EB27" s="636">
        <f>EA27/DX27</f>
        <v>0</v>
      </c>
      <c r="EC27" s="639">
        <v>172421.44</v>
      </c>
      <c r="ED27" s="639">
        <f>EC27*EE27</f>
        <v>151730.86720000001</v>
      </c>
      <c r="EE27" s="633">
        <v>0.88</v>
      </c>
      <c r="EF27" s="638"/>
      <c r="EG27" s="636">
        <f>EF27/EC27</f>
        <v>0</v>
      </c>
      <c r="EH27" s="639">
        <v>146371.70000000001</v>
      </c>
      <c r="EI27" s="639">
        <f>EH27*EJ27</f>
        <v>131734.53000000003</v>
      </c>
      <c r="EJ27" s="633">
        <v>0.9</v>
      </c>
      <c r="EK27" s="635"/>
      <c r="EL27" s="636">
        <f>EK27/EH27</f>
        <v>0</v>
      </c>
      <c r="EM27" s="639">
        <v>169101.68</v>
      </c>
      <c r="EN27" s="639">
        <f>EM27*EO27</f>
        <v>157264.5624</v>
      </c>
      <c r="EO27" s="633">
        <v>0.93</v>
      </c>
      <c r="EP27" s="638"/>
      <c r="EQ27" s="636">
        <f>EP27/EM27</f>
        <v>0</v>
      </c>
      <c r="ER27" s="639">
        <v>143356.57999999999</v>
      </c>
      <c r="ES27" s="639">
        <f>ER27*ET27</f>
        <v>133321.6194</v>
      </c>
      <c r="ET27" s="633">
        <v>0.93</v>
      </c>
      <c r="EU27" s="635"/>
      <c r="EV27" s="636">
        <f>EU27/ER27</f>
        <v>0</v>
      </c>
      <c r="EW27" s="661">
        <f>ES27+EN27+EI27+ED27+DY27</f>
        <v>698391.65500000003</v>
      </c>
      <c r="EX27" s="661"/>
      <c r="EY27" s="904">
        <f t="shared" si="5"/>
        <v>0</v>
      </c>
      <c r="EZ27" s="654">
        <f t="shared" si="6"/>
        <v>0</v>
      </c>
      <c r="FA27" s="645">
        <v>163555.56</v>
      </c>
      <c r="FB27" s="639">
        <f>FA27*FC27</f>
        <v>143928.8928</v>
      </c>
      <c r="FC27" s="908">
        <v>0.88</v>
      </c>
      <c r="FD27" s="635"/>
      <c r="FE27" s="636">
        <f>FD27/FA27</f>
        <v>0</v>
      </c>
      <c r="FF27" s="639">
        <v>176000.29</v>
      </c>
      <c r="FG27" s="639">
        <f>FF27*FH27</f>
        <v>154880.25520000001</v>
      </c>
      <c r="FH27" s="633">
        <v>0.88</v>
      </c>
      <c r="FI27" s="635"/>
      <c r="FJ27" s="636">
        <f>FI27/FF27</f>
        <v>0</v>
      </c>
      <c r="FK27" s="639">
        <v>173633.96</v>
      </c>
      <c r="FL27" s="639">
        <f>FK27*FM27</f>
        <v>156270.56399999998</v>
      </c>
      <c r="FM27" s="633">
        <v>0.9</v>
      </c>
      <c r="FN27" s="635"/>
      <c r="FO27" s="636">
        <f>FN27/FK27</f>
        <v>0</v>
      </c>
      <c r="FP27" s="639">
        <v>159723.79</v>
      </c>
      <c r="FQ27" s="639">
        <f>FP27*FR27</f>
        <v>148543.12470000001</v>
      </c>
      <c r="FR27" s="908">
        <v>0.93</v>
      </c>
      <c r="FS27" s="638"/>
      <c r="FT27" s="636">
        <f>FS27/FP27</f>
        <v>0</v>
      </c>
      <c r="FU27" s="661">
        <f>FQ27+FL27+FG27+FB27</f>
        <v>603622.83669999999</v>
      </c>
      <c r="FV27" s="661"/>
      <c r="FW27" s="663">
        <f>FS27+FN27+FD27+FI27</f>
        <v>0</v>
      </c>
      <c r="FX27" s="651">
        <f t="shared" si="7"/>
        <v>0</v>
      </c>
      <c r="FY27" s="645">
        <v>130131.14</v>
      </c>
      <c r="FZ27" s="639">
        <f>FY27*GA27</f>
        <v>123624.583</v>
      </c>
      <c r="GA27" s="633">
        <v>0.95</v>
      </c>
      <c r="GB27" s="635"/>
      <c r="GC27" s="636">
        <f>GB27/FY27</f>
        <v>0</v>
      </c>
      <c r="GD27" s="639">
        <v>124137.18</v>
      </c>
      <c r="GE27" s="639">
        <f>GD27*GF27</f>
        <v>111723.462</v>
      </c>
      <c r="GF27" s="633">
        <v>0.9</v>
      </c>
      <c r="GG27" s="638"/>
      <c r="GH27" s="636">
        <f>GG27/GD27</f>
        <v>0</v>
      </c>
      <c r="GI27" s="639">
        <v>129683.44</v>
      </c>
      <c r="GJ27" s="639">
        <f>GI27*GK27</f>
        <v>127089.7712</v>
      </c>
      <c r="GK27" s="633">
        <v>0.98</v>
      </c>
      <c r="GL27" s="635"/>
      <c r="GM27" s="636">
        <f>GL27/GI27</f>
        <v>0</v>
      </c>
      <c r="GN27" s="639">
        <v>103874.9</v>
      </c>
      <c r="GO27" s="639">
        <f>GN27*GP27</f>
        <v>101797.40199999999</v>
      </c>
      <c r="GP27" s="633">
        <v>0.98</v>
      </c>
      <c r="GQ27" s="638"/>
      <c r="GR27" s="636">
        <f>GQ27/GN27</f>
        <v>0</v>
      </c>
      <c r="GS27" s="661">
        <f>GO27+GJ27+GE27+FZ27</f>
        <v>464235.2182</v>
      </c>
      <c r="GT27" s="661"/>
      <c r="GU27" s="662">
        <f>GQ27+GL27+GB27+GG27</f>
        <v>0</v>
      </c>
      <c r="GV27" s="654">
        <f t="shared" si="8"/>
        <v>0</v>
      </c>
      <c r="GW27" s="645">
        <v>115126</v>
      </c>
      <c r="GX27" s="639">
        <f>GW27*GY27</f>
        <v>115126</v>
      </c>
      <c r="GY27" s="633">
        <v>1</v>
      </c>
      <c r="GZ27" s="635"/>
      <c r="HA27" s="636">
        <f>GZ27/GW27</f>
        <v>0</v>
      </c>
      <c r="HB27" s="639">
        <v>102374.19</v>
      </c>
      <c r="HC27" s="639">
        <f>HB27*HD27</f>
        <v>102374.19</v>
      </c>
      <c r="HD27" s="633">
        <v>1</v>
      </c>
      <c r="HE27" s="638"/>
      <c r="HF27" s="636">
        <f>HE27/HB27</f>
        <v>0</v>
      </c>
      <c r="HG27" s="639">
        <v>121802.1</v>
      </c>
      <c r="HH27" s="639">
        <f>HG27*HI27</f>
        <v>119366.058</v>
      </c>
      <c r="HI27" s="633">
        <v>0.98</v>
      </c>
      <c r="HJ27" s="635"/>
      <c r="HK27" s="636">
        <f>HJ27/HG27</f>
        <v>0</v>
      </c>
      <c r="HL27" s="639">
        <v>113435.14</v>
      </c>
      <c r="HM27" s="639">
        <f>HL27*HN27</f>
        <v>111166.4372</v>
      </c>
      <c r="HN27" s="633">
        <v>0.98</v>
      </c>
      <c r="HO27" s="638"/>
      <c r="HP27" s="636">
        <f>HO27/HL27</f>
        <v>0</v>
      </c>
      <c r="HQ27" s="639">
        <v>129003.34</v>
      </c>
      <c r="HR27" s="639">
        <f>HQ27*HS27</f>
        <v>126423.2732</v>
      </c>
      <c r="HS27" s="633">
        <v>0.98</v>
      </c>
      <c r="HT27" s="635"/>
      <c r="HU27" s="636">
        <f>HT27/HQ27</f>
        <v>0</v>
      </c>
      <c r="HV27" s="661">
        <f>HR27+HM27+HH27+HC27+GX27</f>
        <v>574455.9584</v>
      </c>
      <c r="HW27" s="661"/>
      <c r="HX27" s="663">
        <f>HT27+HO27+HJ27+HE27+GZ27</f>
        <v>0</v>
      </c>
      <c r="HY27" s="651">
        <f t="shared" si="9"/>
        <v>0</v>
      </c>
      <c r="HZ27" s="645">
        <v>109838.67</v>
      </c>
      <c r="IA27" s="639">
        <f>HZ27*IB27</f>
        <v>107641.89659999999</v>
      </c>
      <c r="IB27" s="633">
        <v>0.98</v>
      </c>
      <c r="IC27" s="635"/>
      <c r="ID27" s="636">
        <f>IC27/HZ27</f>
        <v>0</v>
      </c>
      <c r="IE27" s="639">
        <v>123336.01</v>
      </c>
      <c r="IF27" s="639">
        <f>IE27*IG27</f>
        <v>118402.56959999999</v>
      </c>
      <c r="IG27" s="633">
        <v>0.96</v>
      </c>
      <c r="IH27" s="638"/>
      <c r="II27" s="636">
        <f>IH27/IE27</f>
        <v>0</v>
      </c>
      <c r="IJ27" s="639">
        <v>117946.5</v>
      </c>
      <c r="IK27" s="639">
        <f>IJ27*IL27</f>
        <v>116767.035</v>
      </c>
      <c r="IL27" s="633">
        <v>0.99</v>
      </c>
      <c r="IM27" s="635"/>
      <c r="IN27" s="636">
        <f>IM27/IJ27</f>
        <v>0</v>
      </c>
      <c r="IO27" s="639">
        <v>135659</v>
      </c>
      <c r="IP27" s="639">
        <f>IO27*IQ27</f>
        <v>131589.23000000001</v>
      </c>
      <c r="IQ27" s="633">
        <v>0.97</v>
      </c>
      <c r="IR27" s="638"/>
      <c r="IS27" s="636">
        <f>IR27/IO27</f>
        <v>0</v>
      </c>
      <c r="IT27" s="661">
        <f>IP27+IK27+IF27+IA27</f>
        <v>474400.73119999998</v>
      </c>
      <c r="IU27" s="661"/>
      <c r="IV27" s="662">
        <f>IC27+IH27+IM27+IR27</f>
        <v>0</v>
      </c>
      <c r="IW27" s="654">
        <f t="shared" si="10"/>
        <v>0</v>
      </c>
      <c r="IX27" s="645">
        <v>108261.1</v>
      </c>
      <c r="IY27" s="639">
        <f>IX27*IZ27</f>
        <v>105013.26700000001</v>
      </c>
      <c r="IZ27" s="633">
        <v>0.97</v>
      </c>
      <c r="JA27" s="635"/>
      <c r="JB27" s="636">
        <f>JA27/IX27</f>
        <v>0</v>
      </c>
      <c r="JC27" s="639">
        <v>130692.53</v>
      </c>
      <c r="JD27" s="639">
        <f>JC27*JE27</f>
        <v>122850.9782</v>
      </c>
      <c r="JE27" s="633">
        <v>0.94</v>
      </c>
      <c r="JF27" s="635"/>
      <c r="JG27" s="636">
        <f>JF27/JC27</f>
        <v>0</v>
      </c>
      <c r="JH27" s="639">
        <v>143835.06</v>
      </c>
      <c r="JI27" s="639">
        <f>JH27*JJ27</f>
        <v>138081.65760000001</v>
      </c>
      <c r="JJ27" s="633">
        <v>0.96</v>
      </c>
      <c r="JK27" s="635"/>
      <c r="JL27" s="636">
        <f>JK27/JH27</f>
        <v>0</v>
      </c>
      <c r="JM27" s="639">
        <v>141210.78</v>
      </c>
      <c r="JN27" s="639">
        <f>JM27*JO27</f>
        <v>134150.24099999998</v>
      </c>
      <c r="JO27" s="633">
        <v>0.95</v>
      </c>
      <c r="JP27" s="638"/>
      <c r="JQ27" s="636">
        <f>JP27/JM27</f>
        <v>0</v>
      </c>
      <c r="JR27" s="661">
        <f>JN27+JI27+JD27+IY27</f>
        <v>500096.14379999996</v>
      </c>
      <c r="JS27" s="661"/>
      <c r="JT27" s="663">
        <f>JP27+JK27+JA27+JF27</f>
        <v>0</v>
      </c>
      <c r="JU27" s="651">
        <f t="shared" si="11"/>
        <v>0</v>
      </c>
      <c r="JV27" s="645">
        <v>193002.83</v>
      </c>
      <c r="JW27" s="639">
        <f>JV27*JX27</f>
        <v>181422.66019999998</v>
      </c>
      <c r="JX27" s="908">
        <v>0.94</v>
      </c>
      <c r="JY27" s="635"/>
      <c r="JZ27" s="636">
        <f>JY27/JV27</f>
        <v>0</v>
      </c>
      <c r="KA27" s="639">
        <v>227738.05</v>
      </c>
      <c r="KB27" s="639">
        <f>KA27*KC27</f>
        <v>211796.38649999999</v>
      </c>
      <c r="KC27" s="908">
        <v>0.93</v>
      </c>
      <c r="KD27" s="638"/>
      <c r="KE27" s="636">
        <f>KD27/KA27</f>
        <v>0</v>
      </c>
      <c r="KF27" s="639">
        <v>279210.48</v>
      </c>
      <c r="KG27" s="639">
        <f>KF27*KH27</f>
        <v>259665.7464</v>
      </c>
      <c r="KH27" s="908">
        <v>0.93</v>
      </c>
      <c r="KI27" s="635"/>
      <c r="KJ27" s="636">
        <f>KI27/KF27</f>
        <v>0</v>
      </c>
      <c r="KK27" s="639">
        <v>275314.36</v>
      </c>
      <c r="KL27" s="639">
        <f>KK27*KM27</f>
        <v>256042.3548</v>
      </c>
      <c r="KM27" s="908">
        <v>0.93</v>
      </c>
      <c r="KN27" s="638"/>
      <c r="KO27" s="636">
        <f>KN27/KK27</f>
        <v>0</v>
      </c>
      <c r="KP27" s="639">
        <v>151224.89000000001</v>
      </c>
      <c r="KQ27" s="639">
        <f>KP27*KR27</f>
        <v>143663.64550000001</v>
      </c>
      <c r="KR27" s="908">
        <v>0.95</v>
      </c>
      <c r="KS27" s="635"/>
      <c r="KT27" s="636">
        <f>KS27/KP27</f>
        <v>0</v>
      </c>
      <c r="KU27" s="661">
        <f>KQ27+KL27+KG27+KB27+JW27</f>
        <v>1052590.7934000001</v>
      </c>
      <c r="KV27" s="661"/>
      <c r="KW27" s="662">
        <f>KS27+KN27+KI27+KD27+JY27</f>
        <v>0</v>
      </c>
      <c r="KX27" s="959">
        <f t="shared" si="12"/>
        <v>0</v>
      </c>
      <c r="KY27" s="894">
        <f>X27+AV27+BY27+CW27+DU27+EX27+FV27+GT27+HW27+IU27+JS27+KV27</f>
        <v>0</v>
      </c>
      <c r="KZ27" s="893">
        <f>Y27+AW27+BZ27+CX27+DV27+EY27+FW27+GU27+HX27+IV27+JT27+KW27</f>
        <v>0</v>
      </c>
      <c r="LA27" s="892">
        <f>KZ27-KY27</f>
        <v>0</v>
      </c>
      <c r="LB27" s="891">
        <f t="shared" si="13"/>
        <v>0</v>
      </c>
    </row>
    <row r="28" spans="1:314" ht="18.75" customHeight="1">
      <c r="A28" s="1495"/>
      <c r="B28" s="897" t="s">
        <v>228</v>
      </c>
      <c r="C28" s="645">
        <v>140127.48000000001</v>
      </c>
      <c r="D28" s="639">
        <f>C28*E28</f>
        <v>124713.4572</v>
      </c>
      <c r="E28" s="908">
        <v>0.89</v>
      </c>
      <c r="F28" s="635"/>
      <c r="G28" s="636">
        <f>F28/C28</f>
        <v>0</v>
      </c>
      <c r="H28" s="639">
        <v>170117.04</v>
      </c>
      <c r="I28" s="639">
        <f>H28*J28</f>
        <v>153105.33600000001</v>
      </c>
      <c r="J28" s="633">
        <v>0.9</v>
      </c>
      <c r="K28" s="638"/>
      <c r="L28" s="636">
        <f>K28/H28</f>
        <v>0</v>
      </c>
      <c r="M28" s="639">
        <v>154237.59</v>
      </c>
      <c r="N28" s="639">
        <f>M28*O28</f>
        <v>138813.83100000001</v>
      </c>
      <c r="O28" s="633">
        <v>0.9</v>
      </c>
      <c r="P28" s="635"/>
      <c r="Q28" s="636">
        <f>P28/M28</f>
        <v>0</v>
      </c>
      <c r="R28" s="639">
        <v>144947.18</v>
      </c>
      <c r="S28" s="639">
        <f>R28*T28</f>
        <v>130452.462</v>
      </c>
      <c r="T28" s="633">
        <v>0.9</v>
      </c>
      <c r="U28" s="635"/>
      <c r="V28" s="636">
        <f>U28/R28</f>
        <v>0</v>
      </c>
      <c r="W28" s="639">
        <f>D28+I28+N28+S28</f>
        <v>547085.08620000002</v>
      </c>
      <c r="X28" s="639"/>
      <c r="Y28" s="666">
        <f>+F28+K28+P28+U28</f>
        <v>0</v>
      </c>
      <c r="Z28" s="646">
        <f t="shared" si="0"/>
        <v>0</v>
      </c>
      <c r="AA28" s="645">
        <v>141327.73000000001</v>
      </c>
      <c r="AB28" s="639">
        <f>AA28*AC28</f>
        <v>125781.67970000001</v>
      </c>
      <c r="AC28" s="633">
        <v>0.89</v>
      </c>
      <c r="AD28" s="635"/>
      <c r="AE28" s="636">
        <f>AD28/AA28</f>
        <v>0</v>
      </c>
      <c r="AF28" s="639">
        <v>195664.22</v>
      </c>
      <c r="AG28" s="639">
        <f>AF28*AH28</f>
        <v>174141.15580000001</v>
      </c>
      <c r="AH28" s="633">
        <v>0.89</v>
      </c>
      <c r="AI28" s="635"/>
      <c r="AJ28" s="636">
        <f>AI28/AF28</f>
        <v>0</v>
      </c>
      <c r="AK28" s="639">
        <v>148634.38</v>
      </c>
      <c r="AL28" s="639">
        <f>AK28*AM28</f>
        <v>133770.94200000001</v>
      </c>
      <c r="AM28" s="633">
        <v>0.9</v>
      </c>
      <c r="AN28" s="635"/>
      <c r="AO28" s="636">
        <f>AN28/AK28</f>
        <v>0</v>
      </c>
      <c r="AP28" s="639">
        <v>157437.54</v>
      </c>
      <c r="AQ28" s="639">
        <f>AP28*AR28</f>
        <v>141693.78600000002</v>
      </c>
      <c r="AR28" s="633">
        <v>0.9</v>
      </c>
      <c r="AS28" s="638"/>
      <c r="AT28" s="636">
        <f>AS28/AP28</f>
        <v>0</v>
      </c>
      <c r="AU28" s="639">
        <f>AB28+AG28+AL28+AQ28</f>
        <v>575387.56350000016</v>
      </c>
      <c r="AV28" s="896"/>
      <c r="AW28" s="895">
        <f>AD28+AI28++AN28+AS28</f>
        <v>0</v>
      </c>
      <c r="AX28" s="665">
        <f t="shared" si="1"/>
        <v>0</v>
      </c>
      <c r="AY28" s="645">
        <v>147171.14000000001</v>
      </c>
      <c r="AZ28" s="639">
        <f>AY28*BA28</f>
        <v>132454.02600000001</v>
      </c>
      <c r="BA28" s="633">
        <v>0.9</v>
      </c>
      <c r="BB28" s="635"/>
      <c r="BC28" s="636">
        <f>BB28/AY28</f>
        <v>0</v>
      </c>
      <c r="BD28" s="639">
        <v>164219.15</v>
      </c>
      <c r="BE28" s="639">
        <f>BD28*BF28</f>
        <v>147797.23499999999</v>
      </c>
      <c r="BF28" s="633">
        <v>0.9</v>
      </c>
      <c r="BG28" s="638"/>
      <c r="BH28" s="636">
        <f>BG28/BD28</f>
        <v>0</v>
      </c>
      <c r="BI28" s="639">
        <v>196670.99</v>
      </c>
      <c r="BJ28" s="639">
        <f>BI28*BK28</f>
        <v>175037.18109999999</v>
      </c>
      <c r="BK28" s="633">
        <v>0.89</v>
      </c>
      <c r="BL28" s="635"/>
      <c r="BM28" s="636">
        <f>BL28/BI28</f>
        <v>0</v>
      </c>
      <c r="BN28" s="639">
        <v>163620.35</v>
      </c>
      <c r="BO28" s="639">
        <f>BN28*BP28</f>
        <v>142349.70449999999</v>
      </c>
      <c r="BP28" s="633">
        <v>0.87</v>
      </c>
      <c r="BQ28" s="638"/>
      <c r="BR28" s="636">
        <f>BQ28/BN28</f>
        <v>0</v>
      </c>
      <c r="BS28" s="639">
        <v>166642.66</v>
      </c>
      <c r="BT28" s="639">
        <f>BS28*BU28</f>
        <v>148311.96739999999</v>
      </c>
      <c r="BU28" s="633">
        <v>0.89</v>
      </c>
      <c r="BV28" s="635"/>
      <c r="BW28" s="636">
        <f>BV28/BS28</f>
        <v>0</v>
      </c>
      <c r="BX28" s="661">
        <f>AZ28+BE28+BJ28+BO28+BT28</f>
        <v>745950.11399999994</v>
      </c>
      <c r="BY28" s="661"/>
      <c r="BZ28" s="663">
        <f>BV28+BQ28+BL28+BG28+BB28</f>
        <v>0</v>
      </c>
      <c r="CA28" s="651">
        <f t="shared" si="2"/>
        <v>0</v>
      </c>
      <c r="CB28" s="645">
        <v>185630.88</v>
      </c>
      <c r="CC28" s="639">
        <f>CB28*CD28</f>
        <v>165211.48320000002</v>
      </c>
      <c r="CD28" s="633">
        <v>0.89</v>
      </c>
      <c r="CE28" s="635"/>
      <c r="CF28" s="636">
        <f>CE28/CB28</f>
        <v>0</v>
      </c>
      <c r="CG28" s="639">
        <v>209369.2</v>
      </c>
      <c r="CH28" s="639">
        <f>CG28*CI28</f>
        <v>188432.28000000003</v>
      </c>
      <c r="CI28" s="633">
        <v>0.9</v>
      </c>
      <c r="CJ28" s="635"/>
      <c r="CK28" s="636">
        <f>CJ28/CG28</f>
        <v>0</v>
      </c>
      <c r="CL28" s="639">
        <v>190678.74</v>
      </c>
      <c r="CM28" s="639">
        <f>CL28*CN28</f>
        <v>171610.86600000001</v>
      </c>
      <c r="CN28" s="633">
        <v>0.9</v>
      </c>
      <c r="CO28" s="635"/>
      <c r="CP28" s="636">
        <f>CO28/CL28</f>
        <v>0</v>
      </c>
      <c r="CQ28" s="639">
        <v>203995.79</v>
      </c>
      <c r="CR28" s="639">
        <f>CQ28*CS28</f>
        <v>185636.16890000002</v>
      </c>
      <c r="CS28" s="633">
        <v>0.91</v>
      </c>
      <c r="CT28" s="638"/>
      <c r="CU28" s="636">
        <f>CT28/CQ28</f>
        <v>0</v>
      </c>
      <c r="CV28" s="656">
        <f>CR28+CM28+CH28+CC28</f>
        <v>710890.79810000013</v>
      </c>
      <c r="CW28" s="656"/>
      <c r="CX28" s="657">
        <f>CT28+CO28+CE28+CJ28</f>
        <v>0</v>
      </c>
      <c r="CY28" s="654">
        <f t="shared" si="3"/>
        <v>0</v>
      </c>
      <c r="CZ28" s="645">
        <v>299394.67</v>
      </c>
      <c r="DA28" s="639">
        <f>CZ28*DB28</f>
        <v>269455.20299999998</v>
      </c>
      <c r="DB28" s="908">
        <v>0.9</v>
      </c>
      <c r="DC28" s="635"/>
      <c r="DD28" s="636">
        <f>DC28/CZ28</f>
        <v>0</v>
      </c>
      <c r="DE28" s="639">
        <v>199311.01</v>
      </c>
      <c r="DF28" s="639">
        <f>DE28*DG28</f>
        <v>179379.90900000001</v>
      </c>
      <c r="DG28" s="633">
        <v>0.9</v>
      </c>
      <c r="DH28" s="635"/>
      <c r="DI28" s="636">
        <f>DH28/DE28</f>
        <v>0</v>
      </c>
      <c r="DJ28" s="639">
        <v>169858</v>
      </c>
      <c r="DK28" s="639">
        <f>DJ28*DL28</f>
        <v>152872.20000000001</v>
      </c>
      <c r="DL28" s="633">
        <v>0.9</v>
      </c>
      <c r="DM28" s="635"/>
      <c r="DN28" s="636">
        <f>DM28/DJ28</f>
        <v>0</v>
      </c>
      <c r="DO28" s="639">
        <v>174019.32</v>
      </c>
      <c r="DP28" s="639">
        <f>DO28*DQ28</f>
        <v>156617.38800000001</v>
      </c>
      <c r="DQ28" s="633">
        <v>0.9</v>
      </c>
      <c r="DR28" s="638"/>
      <c r="DS28" s="636">
        <f>DR28/DO28</f>
        <v>0</v>
      </c>
      <c r="DT28" s="656">
        <f>DP28+DK28+DF28+DA28</f>
        <v>758324.7</v>
      </c>
      <c r="DU28" s="656"/>
      <c r="DV28" s="657">
        <f>DR28+DM28+DC28+DH28</f>
        <v>0</v>
      </c>
      <c r="DW28" s="654">
        <f t="shared" si="4"/>
        <v>0</v>
      </c>
      <c r="DX28" s="645">
        <v>174491.86</v>
      </c>
      <c r="DY28" s="639">
        <f>DX28*DZ28</f>
        <v>157042.674</v>
      </c>
      <c r="DZ28" s="633">
        <v>0.9</v>
      </c>
      <c r="EA28" s="907">
        <f>'Vtas Diarias 2022'!AAC29</f>
        <v>0</v>
      </c>
      <c r="EB28" s="636">
        <f>EA28/DX28</f>
        <v>0</v>
      </c>
      <c r="EC28" s="639">
        <v>196210.74</v>
      </c>
      <c r="ED28" s="639">
        <f>EC28*EE28</f>
        <v>172665.45119999998</v>
      </c>
      <c r="EE28" s="633">
        <v>0.88</v>
      </c>
      <c r="EF28" s="638"/>
      <c r="EG28" s="636">
        <f>EF28/EC28</f>
        <v>0</v>
      </c>
      <c r="EH28" s="639">
        <v>195704.16</v>
      </c>
      <c r="EI28" s="639">
        <f>EH28*EJ28</f>
        <v>174176.70240000001</v>
      </c>
      <c r="EJ28" s="633">
        <v>0.89</v>
      </c>
      <c r="EK28" s="635"/>
      <c r="EL28" s="636">
        <f>EK28/EH28</f>
        <v>0</v>
      </c>
      <c r="EM28" s="639">
        <v>229768.35</v>
      </c>
      <c r="EN28" s="639">
        <f>EM28*EO28</f>
        <v>213684.56550000003</v>
      </c>
      <c r="EO28" s="633">
        <v>0.93</v>
      </c>
      <c r="EP28" s="638"/>
      <c r="EQ28" s="636">
        <f>EP28/EM28</f>
        <v>0</v>
      </c>
      <c r="ER28" s="639">
        <v>205266.48</v>
      </c>
      <c r="ES28" s="639">
        <f>ER28*ET28</f>
        <v>190897.82640000002</v>
      </c>
      <c r="ET28" s="633">
        <v>0.93</v>
      </c>
      <c r="EU28" s="635"/>
      <c r="EV28" s="636">
        <f>EU28/ER28</f>
        <v>0</v>
      </c>
      <c r="EW28" s="661">
        <f>ES28+EN28+EI28+ED28+DY28</f>
        <v>908467.21950000001</v>
      </c>
      <c r="EX28" s="661"/>
      <c r="EY28" s="904">
        <f t="shared" si="5"/>
        <v>0</v>
      </c>
      <c r="EZ28" s="654">
        <f t="shared" si="6"/>
        <v>0</v>
      </c>
      <c r="FA28" s="645">
        <v>191038.91</v>
      </c>
      <c r="FB28" s="639">
        <f>FA28*FC28</f>
        <v>168114.2408</v>
      </c>
      <c r="FC28" s="908">
        <v>0.88</v>
      </c>
      <c r="FD28" s="635"/>
      <c r="FE28" s="636">
        <f>FD28/FA28</f>
        <v>0</v>
      </c>
      <c r="FF28" s="639">
        <v>208830.06</v>
      </c>
      <c r="FG28" s="639">
        <f>FF28*FH28</f>
        <v>183770.4528</v>
      </c>
      <c r="FH28" s="633">
        <v>0.88</v>
      </c>
      <c r="FI28" s="635"/>
      <c r="FJ28" s="636">
        <f>FI28/FF28</f>
        <v>0</v>
      </c>
      <c r="FK28" s="639">
        <v>183236.66</v>
      </c>
      <c r="FL28" s="639">
        <f>FK28*FM28</f>
        <v>164912.99400000001</v>
      </c>
      <c r="FM28" s="633">
        <v>0.9</v>
      </c>
      <c r="FN28" s="635"/>
      <c r="FO28" s="636">
        <f>FN28/FK28</f>
        <v>0</v>
      </c>
      <c r="FP28" s="639">
        <v>185337.62</v>
      </c>
      <c r="FQ28" s="639">
        <f>FP28*FR28</f>
        <v>172363.9866</v>
      </c>
      <c r="FR28" s="908">
        <v>0.93</v>
      </c>
      <c r="FS28" s="638"/>
      <c r="FT28" s="636">
        <f>FS28/FP28</f>
        <v>0</v>
      </c>
      <c r="FU28" s="661">
        <f>FQ28+FL28+FG28+FB28</f>
        <v>689161.67420000001</v>
      </c>
      <c r="FV28" s="661"/>
      <c r="FW28" s="663">
        <f>FS28+FN28+FD28+FI28</f>
        <v>0</v>
      </c>
      <c r="FX28" s="651">
        <f t="shared" si="7"/>
        <v>0</v>
      </c>
      <c r="FY28" s="645">
        <v>177741.24</v>
      </c>
      <c r="FZ28" s="639">
        <f>FY28*GA28</f>
        <v>168854.17799999999</v>
      </c>
      <c r="GA28" s="633">
        <v>0.95</v>
      </c>
      <c r="GB28" s="635"/>
      <c r="GC28" s="636">
        <f>GB28/FY28</f>
        <v>0</v>
      </c>
      <c r="GD28" s="639">
        <v>182321.56</v>
      </c>
      <c r="GE28" s="639">
        <f>GD28*GF28</f>
        <v>164089.40400000001</v>
      </c>
      <c r="GF28" s="633">
        <v>0.9</v>
      </c>
      <c r="GG28" s="638"/>
      <c r="GH28" s="636">
        <f>GG28/GD28</f>
        <v>0</v>
      </c>
      <c r="GI28" s="639">
        <v>163051.57999999999</v>
      </c>
      <c r="GJ28" s="639">
        <f>GI28*GK28</f>
        <v>159790.54839999997</v>
      </c>
      <c r="GK28" s="633">
        <v>0.98</v>
      </c>
      <c r="GL28" s="635"/>
      <c r="GM28" s="636">
        <f>GL28/GI28</f>
        <v>0</v>
      </c>
      <c r="GN28" s="639">
        <v>171560.81</v>
      </c>
      <c r="GO28" s="639">
        <f>GN28*GP28</f>
        <v>168129.5938</v>
      </c>
      <c r="GP28" s="633">
        <v>0.98</v>
      </c>
      <c r="GQ28" s="638"/>
      <c r="GR28" s="636">
        <f>GQ28/GN28</f>
        <v>0</v>
      </c>
      <c r="GS28" s="661">
        <f>GO28+GJ28+GE28+FZ28</f>
        <v>660863.72419999994</v>
      </c>
      <c r="GT28" s="661"/>
      <c r="GU28" s="662">
        <f>GQ28+GL28+GB28+GG28</f>
        <v>0</v>
      </c>
      <c r="GV28" s="654">
        <f t="shared" si="8"/>
        <v>0</v>
      </c>
      <c r="GW28" s="645">
        <v>170181</v>
      </c>
      <c r="GX28" s="639">
        <f>GW28*GY28</f>
        <v>170181</v>
      </c>
      <c r="GY28" s="633">
        <v>1</v>
      </c>
      <c r="GZ28" s="635"/>
      <c r="HA28" s="636">
        <f>GZ28/GW28</f>
        <v>0</v>
      </c>
      <c r="HB28" s="639">
        <v>165493.95000000001</v>
      </c>
      <c r="HC28" s="639">
        <f>HB28*HD28</f>
        <v>165493.95000000001</v>
      </c>
      <c r="HD28" s="633">
        <v>1</v>
      </c>
      <c r="HE28" s="638"/>
      <c r="HF28" s="636">
        <f>HE28/HB28</f>
        <v>0</v>
      </c>
      <c r="HG28" s="639">
        <v>157156.35999999999</v>
      </c>
      <c r="HH28" s="639">
        <f>HG28*HI28</f>
        <v>154013.2328</v>
      </c>
      <c r="HI28" s="633">
        <v>0.98</v>
      </c>
      <c r="HJ28" s="635"/>
      <c r="HK28" s="636">
        <f>HJ28/HG28</f>
        <v>0</v>
      </c>
      <c r="HL28" s="639">
        <v>152459.06</v>
      </c>
      <c r="HM28" s="639">
        <f>HL28*HN28</f>
        <v>149409.87880000001</v>
      </c>
      <c r="HN28" s="633">
        <v>0.98</v>
      </c>
      <c r="HO28" s="638"/>
      <c r="HP28" s="636">
        <f>HO28/HL28</f>
        <v>0</v>
      </c>
      <c r="HQ28" s="639">
        <v>158651.24</v>
      </c>
      <c r="HR28" s="639">
        <f>HQ28*HS28</f>
        <v>155478.21519999998</v>
      </c>
      <c r="HS28" s="633">
        <v>0.98</v>
      </c>
      <c r="HT28" s="635"/>
      <c r="HU28" s="636">
        <f>HT28/HQ28</f>
        <v>0</v>
      </c>
      <c r="HV28" s="661">
        <f>HR28+HM28+HH28+HC28+GX28</f>
        <v>794576.27679999999</v>
      </c>
      <c r="HW28" s="661"/>
      <c r="HX28" s="663">
        <f>HT28+HO28+HJ28+HE28+GZ28</f>
        <v>0</v>
      </c>
      <c r="HY28" s="651">
        <f t="shared" si="9"/>
        <v>0</v>
      </c>
      <c r="HZ28" s="645">
        <v>149073.94</v>
      </c>
      <c r="IA28" s="639">
        <f>HZ28*IB28</f>
        <v>146092.46119999999</v>
      </c>
      <c r="IB28" s="633">
        <v>0.98</v>
      </c>
      <c r="IC28" s="635"/>
      <c r="ID28" s="636">
        <f>IC28/HZ28</f>
        <v>0</v>
      </c>
      <c r="IE28" s="639">
        <v>160560.54</v>
      </c>
      <c r="IF28" s="639">
        <f>IE28*IG28</f>
        <v>154138.11840000001</v>
      </c>
      <c r="IG28" s="633">
        <v>0.96</v>
      </c>
      <c r="IH28" s="638"/>
      <c r="II28" s="636">
        <f>IH28/IE28</f>
        <v>0</v>
      </c>
      <c r="IJ28" s="639">
        <v>159356.22</v>
      </c>
      <c r="IK28" s="639">
        <f>IJ28*IL28</f>
        <v>157762.65779999999</v>
      </c>
      <c r="IL28" s="633">
        <v>0.99</v>
      </c>
      <c r="IM28" s="635"/>
      <c r="IN28" s="636">
        <f>IM28/IJ28</f>
        <v>0</v>
      </c>
      <c r="IO28" s="639">
        <v>166297.70000000001</v>
      </c>
      <c r="IP28" s="639">
        <f>IO28*IQ28</f>
        <v>161308.769</v>
      </c>
      <c r="IQ28" s="633">
        <v>0.97</v>
      </c>
      <c r="IR28" s="638"/>
      <c r="IS28" s="636">
        <f>IR28/IO28</f>
        <v>0</v>
      </c>
      <c r="IT28" s="661">
        <f>IP28+IK28+IF28+IA28</f>
        <v>619302.00640000007</v>
      </c>
      <c r="IU28" s="661"/>
      <c r="IV28" s="662">
        <f>IC28+IH28+IM28+IR28</f>
        <v>0</v>
      </c>
      <c r="IW28" s="654">
        <f t="shared" si="10"/>
        <v>0</v>
      </c>
      <c r="IX28" s="645">
        <v>135534.9</v>
      </c>
      <c r="IY28" s="639">
        <f>IX28*IZ28</f>
        <v>131468.853</v>
      </c>
      <c r="IZ28" s="633">
        <v>0.97</v>
      </c>
      <c r="JA28" s="635"/>
      <c r="JB28" s="636">
        <f>JA28/IX28</f>
        <v>0</v>
      </c>
      <c r="JC28" s="639">
        <v>217036.54</v>
      </c>
      <c r="JD28" s="639">
        <f>JC28*JE28</f>
        <v>204014.34760000001</v>
      </c>
      <c r="JE28" s="633">
        <v>0.94</v>
      </c>
      <c r="JF28" s="635"/>
      <c r="JG28" s="636">
        <f>JF28/JC28</f>
        <v>0</v>
      </c>
      <c r="JH28" s="639">
        <v>214146.14</v>
      </c>
      <c r="JI28" s="639">
        <f>JH28*JJ28</f>
        <v>205580.29440000001</v>
      </c>
      <c r="JJ28" s="633">
        <v>0.96</v>
      </c>
      <c r="JK28" s="635"/>
      <c r="JL28" s="636">
        <f>JK28/JH28</f>
        <v>0</v>
      </c>
      <c r="JM28" s="639">
        <v>214501.67</v>
      </c>
      <c r="JN28" s="639">
        <f>JM28*JO28</f>
        <v>203776.5865</v>
      </c>
      <c r="JO28" s="633">
        <v>0.95</v>
      </c>
      <c r="JP28" s="638"/>
      <c r="JQ28" s="636">
        <f>JP28/JM28</f>
        <v>0</v>
      </c>
      <c r="JR28" s="661">
        <f>JN28+JI28+JD28+IY28</f>
        <v>744840.08149999997</v>
      </c>
      <c r="JS28" s="661"/>
      <c r="JT28" s="663">
        <f>JP28+JK28+JA28+JF28</f>
        <v>0</v>
      </c>
      <c r="JU28" s="651">
        <f t="shared" si="11"/>
        <v>0</v>
      </c>
      <c r="JV28" s="645">
        <v>257503.31</v>
      </c>
      <c r="JW28" s="639">
        <f>JV28*JX28</f>
        <v>242053.11139999999</v>
      </c>
      <c r="JX28" s="908">
        <v>0.94</v>
      </c>
      <c r="JY28" s="635"/>
      <c r="JZ28" s="636">
        <f>JY28/JV28</f>
        <v>0</v>
      </c>
      <c r="KA28" s="639">
        <v>357458.82</v>
      </c>
      <c r="KB28" s="639">
        <f>KA28*KC28</f>
        <v>332436.70260000002</v>
      </c>
      <c r="KC28" s="908">
        <v>0.93</v>
      </c>
      <c r="KD28" s="638"/>
      <c r="KE28" s="636">
        <f>KD28/KA28</f>
        <v>0</v>
      </c>
      <c r="KF28" s="639">
        <v>426848.2</v>
      </c>
      <c r="KG28" s="639">
        <f>KF28*KH28</f>
        <v>396968.82600000006</v>
      </c>
      <c r="KH28" s="908">
        <v>0.93</v>
      </c>
      <c r="KI28" s="635"/>
      <c r="KJ28" s="636">
        <f>KI28/KF28</f>
        <v>0</v>
      </c>
      <c r="KK28" s="639">
        <v>467527.97</v>
      </c>
      <c r="KL28" s="639">
        <f>KK28*KM28</f>
        <v>434801.01209999999</v>
      </c>
      <c r="KM28" s="908">
        <v>0.93</v>
      </c>
      <c r="KN28" s="638"/>
      <c r="KO28" s="636">
        <f>KN28/KK28</f>
        <v>0</v>
      </c>
      <c r="KP28" s="639">
        <v>200226.28</v>
      </c>
      <c r="KQ28" s="639">
        <f>KP28*KR28</f>
        <v>190214.96599999999</v>
      </c>
      <c r="KR28" s="908">
        <v>0.95</v>
      </c>
      <c r="KS28" s="635"/>
      <c r="KT28" s="636">
        <f>KS28/KP28</f>
        <v>0</v>
      </c>
      <c r="KU28" s="661">
        <f>KQ28+KL28+KG28+KB28+JW28</f>
        <v>1596474.6181000001</v>
      </c>
      <c r="KV28" s="661"/>
      <c r="KW28" s="662">
        <f>KS28+KN28+KI28+KD28+JY28</f>
        <v>0</v>
      </c>
      <c r="KX28" s="959">
        <f t="shared" si="12"/>
        <v>0</v>
      </c>
      <c r="KY28" s="894">
        <f>X28+AV28+BY28+CW28+DU28+EX28+FV28+GT28+HW28+IU28+JS28+KV28</f>
        <v>0</v>
      </c>
      <c r="KZ28" s="893">
        <f>Y28+AW28+BZ28+CX28+DV28+EY28+FW28+GU28+HX28+IV28+JT28+KW28</f>
        <v>0</v>
      </c>
      <c r="LA28" s="892">
        <f>KZ28-KY28</f>
        <v>0</v>
      </c>
      <c r="LB28" s="891">
        <f t="shared" si="13"/>
        <v>0</v>
      </c>
    </row>
    <row r="29" spans="1:314">
      <c r="A29" s="1495"/>
      <c r="B29" s="897" t="s">
        <v>229</v>
      </c>
      <c r="C29" s="645">
        <v>178883.94</v>
      </c>
      <c r="D29" s="639">
        <f>C29*E29</f>
        <v>159206.7066</v>
      </c>
      <c r="E29" s="908">
        <v>0.89</v>
      </c>
      <c r="F29" s="635"/>
      <c r="G29" s="636">
        <f>F29/C29</f>
        <v>0</v>
      </c>
      <c r="H29" s="639">
        <v>206131.53</v>
      </c>
      <c r="I29" s="639">
        <f>H29*J29</f>
        <v>183457.06169999999</v>
      </c>
      <c r="J29" s="633">
        <v>0.89</v>
      </c>
      <c r="K29" s="638"/>
      <c r="L29" s="636">
        <f>K29/H29</f>
        <v>0</v>
      </c>
      <c r="M29" s="639">
        <v>186158.27</v>
      </c>
      <c r="N29" s="639">
        <f>M29*O29</f>
        <v>167542.443</v>
      </c>
      <c r="O29" s="633">
        <v>0.9</v>
      </c>
      <c r="P29" s="635"/>
      <c r="Q29" s="636">
        <f>P29/M29</f>
        <v>0</v>
      </c>
      <c r="R29" s="639">
        <v>179634.4</v>
      </c>
      <c r="S29" s="639">
        <f>R29*T29</f>
        <v>161670.96</v>
      </c>
      <c r="T29" s="633">
        <v>0.9</v>
      </c>
      <c r="U29" s="635"/>
      <c r="V29" s="636">
        <f>U29/R29</f>
        <v>0</v>
      </c>
      <c r="W29" s="639">
        <f>D29+I29+N29+S29</f>
        <v>671877.17129999993</v>
      </c>
      <c r="X29" s="639"/>
      <c r="Y29" s="666">
        <f>+F29+K29+P29+U29</f>
        <v>0</v>
      </c>
      <c r="Z29" s="646">
        <f t="shared" si="0"/>
        <v>0</v>
      </c>
      <c r="AA29" s="645">
        <v>186826.5</v>
      </c>
      <c r="AB29" s="639">
        <f>AA29*AC29</f>
        <v>166275.58499999999</v>
      </c>
      <c r="AC29" s="633">
        <v>0.89</v>
      </c>
      <c r="AD29" s="635"/>
      <c r="AE29" s="636">
        <f>AD29/AA29</f>
        <v>0</v>
      </c>
      <c r="AF29" s="639">
        <v>240536.63</v>
      </c>
      <c r="AG29" s="639">
        <f>AF29*AH29</f>
        <v>214077.60070000001</v>
      </c>
      <c r="AH29" s="633">
        <v>0.89</v>
      </c>
      <c r="AI29" s="635"/>
      <c r="AJ29" s="636">
        <f>AI29/AF29</f>
        <v>0</v>
      </c>
      <c r="AK29" s="639">
        <v>147068.87</v>
      </c>
      <c r="AL29" s="639">
        <f>AK29*AM29</f>
        <v>132361.98300000001</v>
      </c>
      <c r="AM29" s="633">
        <v>0.9</v>
      </c>
      <c r="AN29" s="635"/>
      <c r="AO29" s="636">
        <f>AN29/AK29</f>
        <v>0</v>
      </c>
      <c r="AP29" s="639">
        <v>195782.37</v>
      </c>
      <c r="AQ29" s="639">
        <f>AP29*AR29</f>
        <v>176204.133</v>
      </c>
      <c r="AR29" s="633">
        <v>0.9</v>
      </c>
      <c r="AS29" s="638"/>
      <c r="AT29" s="636">
        <f>AS29/AP29</f>
        <v>0</v>
      </c>
      <c r="AU29" s="639">
        <f>AB29+AG29+AL29+AQ29</f>
        <v>688919.30170000007</v>
      </c>
      <c r="AV29" s="896"/>
      <c r="AW29" s="895">
        <f>AD29+AI29++AN29+AS29</f>
        <v>0</v>
      </c>
      <c r="AX29" s="665">
        <f t="shared" si="1"/>
        <v>0</v>
      </c>
      <c r="AY29" s="645">
        <v>179766.72</v>
      </c>
      <c r="AZ29" s="639">
        <f>AY29*BA29</f>
        <v>161790.04800000001</v>
      </c>
      <c r="BA29" s="633">
        <v>0.9</v>
      </c>
      <c r="BB29" s="635"/>
      <c r="BC29" s="636">
        <f>BB29/AY29</f>
        <v>0</v>
      </c>
      <c r="BD29" s="639">
        <v>210189.91</v>
      </c>
      <c r="BE29" s="639">
        <f>BD29*BF29</f>
        <v>189170.91899999999</v>
      </c>
      <c r="BF29" s="633">
        <v>0.9</v>
      </c>
      <c r="BG29" s="638"/>
      <c r="BH29" s="636">
        <f>BG29/BD29</f>
        <v>0</v>
      </c>
      <c r="BI29" s="639">
        <v>245950.92</v>
      </c>
      <c r="BJ29" s="639">
        <f>BI29*BK29</f>
        <v>218896.31880000001</v>
      </c>
      <c r="BK29" s="633">
        <v>0.89</v>
      </c>
      <c r="BL29" s="635"/>
      <c r="BM29" s="636">
        <f>BL29/BI29</f>
        <v>0</v>
      </c>
      <c r="BN29" s="639">
        <v>214800.02</v>
      </c>
      <c r="BO29" s="639">
        <f>BN29*BP29</f>
        <v>186876.01739999998</v>
      </c>
      <c r="BP29" s="633">
        <v>0.87</v>
      </c>
      <c r="BQ29" s="638"/>
      <c r="BR29" s="636">
        <f>BQ29/BN29</f>
        <v>0</v>
      </c>
      <c r="BS29" s="639">
        <v>240542.86</v>
      </c>
      <c r="BT29" s="639">
        <f>BS29*BU29</f>
        <v>214083.14539999998</v>
      </c>
      <c r="BU29" s="633">
        <v>0.89</v>
      </c>
      <c r="BV29" s="635"/>
      <c r="BW29" s="636">
        <f>BV29/BS29</f>
        <v>0</v>
      </c>
      <c r="BX29" s="661">
        <f>AZ29+BE29+BJ29+BO29+BT29</f>
        <v>970816.4486</v>
      </c>
      <c r="BY29" s="661"/>
      <c r="BZ29" s="663">
        <f>BV29+BQ29+BL29+BG29+BB29</f>
        <v>0</v>
      </c>
      <c r="CA29" s="651">
        <f t="shared" si="2"/>
        <v>0</v>
      </c>
      <c r="CB29" s="645">
        <v>244325.67</v>
      </c>
      <c r="CC29" s="639">
        <f>CB29*CD29</f>
        <v>217449.8463</v>
      </c>
      <c r="CD29" s="633">
        <v>0.89</v>
      </c>
      <c r="CE29" s="635"/>
      <c r="CF29" s="636">
        <f>CE29/CB29</f>
        <v>0</v>
      </c>
      <c r="CG29" s="639">
        <v>249079.33</v>
      </c>
      <c r="CH29" s="639">
        <f>CG29*CI29</f>
        <v>224171.397</v>
      </c>
      <c r="CI29" s="633">
        <v>0.9</v>
      </c>
      <c r="CJ29" s="635"/>
      <c r="CK29" s="636">
        <f>CJ29/CG29</f>
        <v>0</v>
      </c>
      <c r="CL29" s="639">
        <v>231316.43</v>
      </c>
      <c r="CM29" s="639">
        <f>CL29*CN29</f>
        <v>208184.78700000001</v>
      </c>
      <c r="CN29" s="633">
        <v>0.9</v>
      </c>
      <c r="CO29" s="635"/>
      <c r="CP29" s="636">
        <f>CO29/CL29</f>
        <v>0</v>
      </c>
      <c r="CQ29" s="639">
        <v>228557.39</v>
      </c>
      <c r="CR29" s="639">
        <f>CQ29*CS29</f>
        <v>207987.22490000003</v>
      </c>
      <c r="CS29" s="633">
        <v>0.91</v>
      </c>
      <c r="CT29" s="638"/>
      <c r="CU29" s="636">
        <f>CT29/CQ29</f>
        <v>0</v>
      </c>
      <c r="CV29" s="656">
        <f>CR29+CM29+CH29+CC29</f>
        <v>857793.25520000001</v>
      </c>
      <c r="CW29" s="656"/>
      <c r="CX29" s="657">
        <f>CT29+CO29+CE29+CJ29</f>
        <v>0</v>
      </c>
      <c r="CY29" s="654">
        <f t="shared" si="3"/>
        <v>0</v>
      </c>
      <c r="CZ29" s="645">
        <v>337458.15</v>
      </c>
      <c r="DA29" s="639">
        <f>CZ29*DB29</f>
        <v>303712.33500000002</v>
      </c>
      <c r="DB29" s="908">
        <v>0.9</v>
      </c>
      <c r="DC29" s="635"/>
      <c r="DD29" s="636">
        <f>DC29/CZ29</f>
        <v>0</v>
      </c>
      <c r="DE29" s="639">
        <v>248183.29</v>
      </c>
      <c r="DF29" s="639">
        <f>DE29*DG29</f>
        <v>223364.96100000001</v>
      </c>
      <c r="DG29" s="633">
        <v>0.9</v>
      </c>
      <c r="DH29" s="635"/>
      <c r="DI29" s="636">
        <f>DH29/DE29</f>
        <v>0</v>
      </c>
      <c r="DJ29" s="639">
        <v>202564.15</v>
      </c>
      <c r="DK29" s="639">
        <f>DJ29*DL29</f>
        <v>182307.73499999999</v>
      </c>
      <c r="DL29" s="633">
        <v>0.9</v>
      </c>
      <c r="DM29" s="635"/>
      <c r="DN29" s="636">
        <f>DM29/DJ29</f>
        <v>0</v>
      </c>
      <c r="DO29" s="639">
        <v>210642.07</v>
      </c>
      <c r="DP29" s="639">
        <f>DO29*DQ29</f>
        <v>189577.86300000001</v>
      </c>
      <c r="DQ29" s="633">
        <v>0.9</v>
      </c>
      <c r="DR29" s="638"/>
      <c r="DS29" s="636">
        <f>DR29/DO29</f>
        <v>0</v>
      </c>
      <c r="DT29" s="656">
        <f>DP29+DK29+DF29+DA29</f>
        <v>898962.89400000009</v>
      </c>
      <c r="DU29" s="656"/>
      <c r="DV29" s="657">
        <f>DR29+DM29+DC29+DH29</f>
        <v>0</v>
      </c>
      <c r="DW29" s="654">
        <f t="shared" si="4"/>
        <v>0</v>
      </c>
      <c r="DX29" s="645">
        <v>215496.25</v>
      </c>
      <c r="DY29" s="639">
        <f>DX29*DZ29</f>
        <v>193946.625</v>
      </c>
      <c r="DZ29" s="633">
        <v>0.9</v>
      </c>
      <c r="EA29" s="907">
        <f>'Vtas Diarias 2022'!AAC30</f>
        <v>0</v>
      </c>
      <c r="EB29" s="636">
        <f>EA29/DX29</f>
        <v>0</v>
      </c>
      <c r="EC29" s="639">
        <v>278814.48</v>
      </c>
      <c r="ED29" s="639">
        <f>EC29*EE29</f>
        <v>245356.74239999999</v>
      </c>
      <c r="EE29" s="633">
        <v>0.88</v>
      </c>
      <c r="EF29" s="638"/>
      <c r="EG29" s="636">
        <f>EF29/EC29</f>
        <v>0</v>
      </c>
      <c r="EH29" s="639">
        <v>243847.38</v>
      </c>
      <c r="EI29" s="639">
        <f>EH29*EJ29</f>
        <v>217024.16820000001</v>
      </c>
      <c r="EJ29" s="633">
        <v>0.89</v>
      </c>
      <c r="EK29" s="635"/>
      <c r="EL29" s="636">
        <f>EK29/EH29</f>
        <v>0</v>
      </c>
      <c r="EM29" s="639">
        <v>277817.55</v>
      </c>
      <c r="EN29" s="639">
        <f>EM29*EO29</f>
        <v>258370.32149999999</v>
      </c>
      <c r="EO29" s="633">
        <v>0.93</v>
      </c>
      <c r="EP29" s="638"/>
      <c r="EQ29" s="636">
        <f>EP29/EM29</f>
        <v>0</v>
      </c>
      <c r="ER29" s="639">
        <v>248391.17</v>
      </c>
      <c r="ES29" s="639">
        <f>ER29*ET29</f>
        <v>231003.78810000003</v>
      </c>
      <c r="ET29" s="633">
        <v>0.93</v>
      </c>
      <c r="EU29" s="635"/>
      <c r="EV29" s="636">
        <f>EU29/ER29</f>
        <v>0</v>
      </c>
      <c r="EW29" s="661">
        <f>ES29+EN29+EI29+ED29+DY29</f>
        <v>1145701.6452000001</v>
      </c>
      <c r="EX29" s="661"/>
      <c r="EY29" s="904">
        <f t="shared" si="5"/>
        <v>0</v>
      </c>
      <c r="EZ29" s="654">
        <f t="shared" si="6"/>
        <v>0</v>
      </c>
      <c r="FA29" s="645">
        <v>255304.08</v>
      </c>
      <c r="FB29" s="639">
        <f>FA29*FC29</f>
        <v>224667.59039999999</v>
      </c>
      <c r="FC29" s="908">
        <v>0.88</v>
      </c>
      <c r="FD29" s="635"/>
      <c r="FE29" s="636">
        <f>FD29/FA29</f>
        <v>0</v>
      </c>
      <c r="FF29" s="639">
        <v>274488.90999999997</v>
      </c>
      <c r="FG29" s="639">
        <f>FF29*FH29</f>
        <v>241550.24079999997</v>
      </c>
      <c r="FH29" s="633">
        <v>0.88</v>
      </c>
      <c r="FI29" s="635"/>
      <c r="FJ29" s="636">
        <f>FI29/FF29</f>
        <v>0</v>
      </c>
      <c r="FK29" s="639">
        <v>234876.93</v>
      </c>
      <c r="FL29" s="639">
        <f>FK29*FM29</f>
        <v>211389.23699999999</v>
      </c>
      <c r="FM29" s="633">
        <v>0.9</v>
      </c>
      <c r="FN29" s="635"/>
      <c r="FO29" s="636">
        <f>FN29/FK29</f>
        <v>0</v>
      </c>
      <c r="FP29" s="639">
        <v>253804.43</v>
      </c>
      <c r="FQ29" s="639">
        <f>FP29*FR29</f>
        <v>236038.11990000002</v>
      </c>
      <c r="FR29" s="908">
        <v>0.93</v>
      </c>
      <c r="FS29" s="638"/>
      <c r="FT29" s="636">
        <f>FS29/FP29</f>
        <v>0</v>
      </c>
      <c r="FU29" s="661">
        <f>FQ29+FL29+FG29+FB29</f>
        <v>913645.18810000003</v>
      </c>
      <c r="FV29" s="661"/>
      <c r="FW29" s="663">
        <f>FS29+FN29+FD29+FI29</f>
        <v>0</v>
      </c>
      <c r="FX29" s="651">
        <f t="shared" si="7"/>
        <v>0</v>
      </c>
      <c r="FY29" s="645">
        <v>254999.83</v>
      </c>
      <c r="FZ29" s="639">
        <f>FY29*GA29</f>
        <v>242249.83849999998</v>
      </c>
      <c r="GA29" s="633">
        <v>0.95</v>
      </c>
      <c r="GB29" s="635"/>
      <c r="GC29" s="636">
        <f>GB29/FY29</f>
        <v>0</v>
      </c>
      <c r="GD29" s="639">
        <v>262921.39</v>
      </c>
      <c r="GE29" s="639">
        <f>GD29*GF29</f>
        <v>236629.25100000002</v>
      </c>
      <c r="GF29" s="633">
        <v>0.9</v>
      </c>
      <c r="GG29" s="638"/>
      <c r="GH29" s="636">
        <f>GG29/GD29</f>
        <v>0</v>
      </c>
      <c r="GI29" s="639">
        <v>232341.29</v>
      </c>
      <c r="GJ29" s="639">
        <f>GI29*GK29</f>
        <v>227694.46420000002</v>
      </c>
      <c r="GK29" s="633">
        <v>0.98</v>
      </c>
      <c r="GL29" s="635"/>
      <c r="GM29" s="636">
        <f>GL29/GI29</f>
        <v>0</v>
      </c>
      <c r="GN29" s="639">
        <v>214279.76</v>
      </c>
      <c r="GO29" s="639">
        <f>GN29*GP29</f>
        <v>209994.1648</v>
      </c>
      <c r="GP29" s="633">
        <v>0.98</v>
      </c>
      <c r="GQ29" s="638"/>
      <c r="GR29" s="636">
        <f>GQ29/GN29</f>
        <v>0</v>
      </c>
      <c r="GS29" s="661">
        <f>GO29+GJ29+GE29+FZ29</f>
        <v>916567.71849999996</v>
      </c>
      <c r="GT29" s="661"/>
      <c r="GU29" s="662">
        <f>GQ29+GL29+GB29+GG29</f>
        <v>0</v>
      </c>
      <c r="GV29" s="654">
        <f t="shared" si="8"/>
        <v>0</v>
      </c>
      <c r="GW29" s="645">
        <v>207825</v>
      </c>
      <c r="GX29" s="639">
        <f>GW29*GY29</f>
        <v>207825</v>
      </c>
      <c r="GY29" s="633">
        <v>1</v>
      </c>
      <c r="GZ29" s="635"/>
      <c r="HA29" s="636">
        <f>GZ29/GW29</f>
        <v>0</v>
      </c>
      <c r="HB29" s="639">
        <v>212804.06</v>
      </c>
      <c r="HC29" s="639">
        <f>HB29*HD29</f>
        <v>212804.06</v>
      </c>
      <c r="HD29" s="633">
        <v>1</v>
      </c>
      <c r="HE29" s="638"/>
      <c r="HF29" s="636">
        <f>HE29/HB29</f>
        <v>0</v>
      </c>
      <c r="HG29" s="639">
        <v>210363.68</v>
      </c>
      <c r="HH29" s="639">
        <f>HG29*HI29</f>
        <v>206156.40639999998</v>
      </c>
      <c r="HI29" s="633">
        <v>0.98</v>
      </c>
      <c r="HJ29" s="635"/>
      <c r="HK29" s="636">
        <f>HJ29/HG29</f>
        <v>0</v>
      </c>
      <c r="HL29" s="639">
        <v>227808.56</v>
      </c>
      <c r="HM29" s="639">
        <f>HL29*HN29</f>
        <v>223252.38879999999</v>
      </c>
      <c r="HN29" s="633">
        <v>0.98</v>
      </c>
      <c r="HO29" s="638"/>
      <c r="HP29" s="636">
        <f>HO29/HL29</f>
        <v>0</v>
      </c>
      <c r="HQ29" s="639">
        <v>229774.67</v>
      </c>
      <c r="HR29" s="639">
        <f>HQ29*HS29</f>
        <v>225179.17660000001</v>
      </c>
      <c r="HS29" s="633">
        <v>0.98</v>
      </c>
      <c r="HT29" s="635"/>
      <c r="HU29" s="636">
        <f>HT29/HQ29</f>
        <v>0</v>
      </c>
      <c r="HV29" s="661">
        <f>HR29+HM29+HH29+HC29+GX29</f>
        <v>1075217.0318</v>
      </c>
      <c r="HW29" s="661"/>
      <c r="HX29" s="663">
        <f>HT29+HO29+HJ29+HE29+GZ29</f>
        <v>0</v>
      </c>
      <c r="HY29" s="651">
        <f t="shared" si="9"/>
        <v>0</v>
      </c>
      <c r="HZ29" s="645">
        <v>213153.98</v>
      </c>
      <c r="IA29" s="639">
        <f>HZ29*IB29</f>
        <v>208890.90040000001</v>
      </c>
      <c r="IB29" s="633">
        <v>0.98</v>
      </c>
      <c r="IC29" s="635"/>
      <c r="ID29" s="636">
        <f>IC29/HZ29</f>
        <v>0</v>
      </c>
      <c r="IE29" s="639">
        <v>224282.92</v>
      </c>
      <c r="IF29" s="639">
        <f>IE29*IG29</f>
        <v>215311.60320000001</v>
      </c>
      <c r="IG29" s="633">
        <v>0.96</v>
      </c>
      <c r="IH29" s="638"/>
      <c r="II29" s="636">
        <f>IH29/IE29</f>
        <v>0</v>
      </c>
      <c r="IJ29" s="639">
        <v>198068.02</v>
      </c>
      <c r="IK29" s="639">
        <f>IJ29*IL29</f>
        <v>196087.33979999999</v>
      </c>
      <c r="IL29" s="633">
        <v>0.99</v>
      </c>
      <c r="IM29" s="635"/>
      <c r="IN29" s="636">
        <f>IM29/IJ29</f>
        <v>0</v>
      </c>
      <c r="IO29" s="639">
        <v>216938.53</v>
      </c>
      <c r="IP29" s="639">
        <f>IO29*IQ29</f>
        <v>210430.37409999999</v>
      </c>
      <c r="IQ29" s="633">
        <v>0.97</v>
      </c>
      <c r="IR29" s="638"/>
      <c r="IS29" s="636">
        <f>IR29/IO29</f>
        <v>0</v>
      </c>
      <c r="IT29" s="661">
        <f>IP29+IK29+IF29+IA29</f>
        <v>830720.21750000003</v>
      </c>
      <c r="IU29" s="661"/>
      <c r="IV29" s="662">
        <f>IC29+IH29+IM29+IR29</f>
        <v>0</v>
      </c>
      <c r="IW29" s="654">
        <f t="shared" si="10"/>
        <v>0</v>
      </c>
      <c r="IX29" s="645">
        <v>182752.85</v>
      </c>
      <c r="IY29" s="639">
        <f>IX29*IZ29</f>
        <v>177270.26449999999</v>
      </c>
      <c r="IZ29" s="633">
        <v>0.97</v>
      </c>
      <c r="JA29" s="635"/>
      <c r="JB29" s="636">
        <f>JA29/IX29</f>
        <v>0</v>
      </c>
      <c r="JC29" s="639">
        <v>251396.09</v>
      </c>
      <c r="JD29" s="639">
        <f>JC29*JE29</f>
        <v>236312.32459999999</v>
      </c>
      <c r="JE29" s="633">
        <v>0.94</v>
      </c>
      <c r="JF29" s="635"/>
      <c r="JG29" s="636">
        <f>JF29/JC29</f>
        <v>0</v>
      </c>
      <c r="JH29" s="639">
        <v>299778.34000000003</v>
      </c>
      <c r="JI29" s="639">
        <f>JH29*JJ29</f>
        <v>287787.20640000002</v>
      </c>
      <c r="JJ29" s="633">
        <v>0.96</v>
      </c>
      <c r="JK29" s="635"/>
      <c r="JL29" s="636">
        <f>JK29/JH29</f>
        <v>0</v>
      </c>
      <c r="JM29" s="639">
        <v>264320.08</v>
      </c>
      <c r="JN29" s="639">
        <f>JM29*JO29</f>
        <v>251104.076</v>
      </c>
      <c r="JO29" s="633">
        <v>0.95</v>
      </c>
      <c r="JP29" s="638"/>
      <c r="JQ29" s="636">
        <f>JP29/JM29</f>
        <v>0</v>
      </c>
      <c r="JR29" s="661">
        <f>JN29+JI29+JD29+IY29</f>
        <v>952473.87150000012</v>
      </c>
      <c r="JS29" s="661"/>
      <c r="JT29" s="663">
        <f>JP29+JK29+JA29+JF29</f>
        <v>0</v>
      </c>
      <c r="JU29" s="651">
        <f t="shared" si="11"/>
        <v>0</v>
      </c>
      <c r="JV29" s="645">
        <v>389046.87</v>
      </c>
      <c r="JW29" s="639">
        <f>JV29*JX29</f>
        <v>365704.05779999995</v>
      </c>
      <c r="JX29" s="908">
        <v>0.94</v>
      </c>
      <c r="JY29" s="635"/>
      <c r="JZ29" s="636">
        <f>JY29/JV29</f>
        <v>0</v>
      </c>
      <c r="KA29" s="639">
        <v>530461.68999999994</v>
      </c>
      <c r="KB29" s="639">
        <f>KA29*KC29</f>
        <v>493329.37169999996</v>
      </c>
      <c r="KC29" s="908">
        <v>0.93</v>
      </c>
      <c r="KD29" s="638"/>
      <c r="KE29" s="636">
        <f>KD29/KA29</f>
        <v>0</v>
      </c>
      <c r="KF29" s="639">
        <v>644110.98</v>
      </c>
      <c r="KG29" s="639">
        <f>KF29*KH29</f>
        <v>599023.21140000003</v>
      </c>
      <c r="KH29" s="908">
        <v>0.93</v>
      </c>
      <c r="KI29" s="635"/>
      <c r="KJ29" s="636">
        <f>KI29/KF29</f>
        <v>0</v>
      </c>
      <c r="KK29" s="639">
        <v>567971.31000000006</v>
      </c>
      <c r="KL29" s="639">
        <f>KK29*KM29</f>
        <v>528213.31830000004</v>
      </c>
      <c r="KM29" s="908">
        <v>0.93</v>
      </c>
      <c r="KN29" s="638"/>
      <c r="KO29" s="636">
        <f>KN29/KK29</f>
        <v>0</v>
      </c>
      <c r="KP29" s="639">
        <v>256960.44</v>
      </c>
      <c r="KQ29" s="639">
        <f>KP29*KR29</f>
        <v>244112.41800000001</v>
      </c>
      <c r="KR29" s="908">
        <v>0.95</v>
      </c>
      <c r="KS29" s="635"/>
      <c r="KT29" s="636">
        <f>KS29/KP29</f>
        <v>0</v>
      </c>
      <c r="KU29" s="661">
        <f>KQ29+KL29+KG29+KB29+JW29</f>
        <v>2230382.3772</v>
      </c>
      <c r="KV29" s="661"/>
      <c r="KW29" s="662">
        <f>KS29+KN29+KI29+KD29+JY29</f>
        <v>0</v>
      </c>
      <c r="KX29" s="959">
        <f t="shared" si="12"/>
        <v>0</v>
      </c>
      <c r="KY29" s="894">
        <f>X29+AV29+BY29+CW29+DU29+EX29+FV29+GT29+HW29+IU29+JS29+KV29</f>
        <v>0</v>
      </c>
      <c r="KZ29" s="893">
        <f>Y29+AW29+BZ29+CX29+DV29+EY29+FW29+GU29+HX29+IV29+JT29+KW29</f>
        <v>0</v>
      </c>
      <c r="LA29" s="892">
        <f>KZ29-KY29</f>
        <v>0</v>
      </c>
      <c r="LB29" s="891">
        <f t="shared" si="13"/>
        <v>0</v>
      </c>
    </row>
    <row r="30" spans="1:314">
      <c r="A30" s="1495"/>
      <c r="B30" s="897" t="s">
        <v>230</v>
      </c>
      <c r="C30" s="645">
        <v>83971.12</v>
      </c>
      <c r="D30" s="639">
        <f>C30*E30</f>
        <v>74734.296799999996</v>
      </c>
      <c r="E30" s="908">
        <v>0.89</v>
      </c>
      <c r="F30" s="635"/>
      <c r="G30" s="636">
        <f>F30/C30</f>
        <v>0</v>
      </c>
      <c r="H30" s="639">
        <v>83934.399999999994</v>
      </c>
      <c r="I30" s="639">
        <f>H30*J30</f>
        <v>74701.615999999995</v>
      </c>
      <c r="J30" s="633">
        <v>0.89</v>
      </c>
      <c r="K30" s="638"/>
      <c r="L30" s="636">
        <f>K30/H30</f>
        <v>0</v>
      </c>
      <c r="M30" s="639">
        <v>82622.86</v>
      </c>
      <c r="N30" s="639">
        <f>M30*O30</f>
        <v>74360.574000000008</v>
      </c>
      <c r="O30" s="633">
        <v>0.9</v>
      </c>
      <c r="P30" s="635"/>
      <c r="Q30" s="636">
        <f>P30/M30</f>
        <v>0</v>
      </c>
      <c r="R30" s="639">
        <v>83125.279999999999</v>
      </c>
      <c r="S30" s="639">
        <f>R30*T30</f>
        <v>74812.752000000008</v>
      </c>
      <c r="T30" s="633">
        <v>0.9</v>
      </c>
      <c r="U30" s="635"/>
      <c r="V30" s="636">
        <f>U30/R30</f>
        <v>0</v>
      </c>
      <c r="W30" s="639">
        <f>D30+I30+N30+S30</f>
        <v>298609.23880000005</v>
      </c>
      <c r="X30" s="639"/>
      <c r="Y30" s="666">
        <f>+F30+K30+P30+U30</f>
        <v>0</v>
      </c>
      <c r="Z30" s="646">
        <f t="shared" si="0"/>
        <v>0</v>
      </c>
      <c r="AA30" s="645">
        <v>77736.34</v>
      </c>
      <c r="AB30" s="639">
        <f>AA30*AC30</f>
        <v>69185.342600000004</v>
      </c>
      <c r="AC30" s="633">
        <v>0.89</v>
      </c>
      <c r="AD30" s="635"/>
      <c r="AE30" s="636">
        <f>AD30/AA30</f>
        <v>0</v>
      </c>
      <c r="AF30" s="639">
        <v>91075.15</v>
      </c>
      <c r="AG30" s="639">
        <f>AF30*AH30</f>
        <v>81056.883499999996</v>
      </c>
      <c r="AH30" s="633">
        <v>0.89</v>
      </c>
      <c r="AI30" s="635"/>
      <c r="AJ30" s="636">
        <f>AI30/AF30</f>
        <v>0</v>
      </c>
      <c r="AK30" s="639">
        <v>76998.84</v>
      </c>
      <c r="AL30" s="639">
        <f>AK30*AM30</f>
        <v>69298.956000000006</v>
      </c>
      <c r="AM30" s="633">
        <v>0.9</v>
      </c>
      <c r="AN30" s="635"/>
      <c r="AO30" s="636">
        <f>AN30/AK30</f>
        <v>0</v>
      </c>
      <c r="AP30" s="639">
        <v>81441.34</v>
      </c>
      <c r="AQ30" s="639">
        <f>AP30*AR30</f>
        <v>73297.206000000006</v>
      </c>
      <c r="AR30" s="633">
        <v>0.9</v>
      </c>
      <c r="AS30" s="638"/>
      <c r="AT30" s="636">
        <f>AS30/AP30</f>
        <v>0</v>
      </c>
      <c r="AU30" s="639">
        <f>AB30+AG30+AL30+AQ30</f>
        <v>292838.38809999998</v>
      </c>
      <c r="AV30" s="896"/>
      <c r="AW30" s="895">
        <f>AD30+AI30++AN30+AS30</f>
        <v>0</v>
      </c>
      <c r="AX30" s="665">
        <f t="shared" si="1"/>
        <v>0</v>
      </c>
      <c r="AY30" s="645">
        <v>81953.3</v>
      </c>
      <c r="AZ30" s="639">
        <f>AY30*BA30</f>
        <v>73757.97</v>
      </c>
      <c r="BA30" s="633">
        <v>0.9</v>
      </c>
      <c r="BB30" s="635"/>
      <c r="BC30" s="636">
        <f>BB30/AY30</f>
        <v>0</v>
      </c>
      <c r="BD30" s="639">
        <v>93941.21</v>
      </c>
      <c r="BE30" s="639">
        <f>BD30*BF30</f>
        <v>84547.089000000007</v>
      </c>
      <c r="BF30" s="633">
        <v>0.9</v>
      </c>
      <c r="BG30" s="638"/>
      <c r="BH30" s="636">
        <f>BG30/BD30</f>
        <v>0</v>
      </c>
      <c r="BI30" s="639">
        <v>98416.26</v>
      </c>
      <c r="BJ30" s="639">
        <f>BI30*BK30</f>
        <v>87590.471399999995</v>
      </c>
      <c r="BK30" s="633">
        <v>0.89</v>
      </c>
      <c r="BL30" s="635"/>
      <c r="BM30" s="636">
        <f>BL30/BI30</f>
        <v>0</v>
      </c>
      <c r="BN30" s="639">
        <v>110148.54</v>
      </c>
      <c r="BO30" s="639">
        <f>BN30*BP30</f>
        <v>95829.229800000001</v>
      </c>
      <c r="BP30" s="633">
        <v>0.87</v>
      </c>
      <c r="BQ30" s="638"/>
      <c r="BR30" s="636">
        <f>BQ30/BN30</f>
        <v>0</v>
      </c>
      <c r="BS30" s="639">
        <v>123502.57</v>
      </c>
      <c r="BT30" s="639">
        <f>BS30*BU30</f>
        <v>109917.28730000001</v>
      </c>
      <c r="BU30" s="633">
        <v>0.89</v>
      </c>
      <c r="BV30" s="635"/>
      <c r="BW30" s="636">
        <f>BV30/BS30</f>
        <v>0</v>
      </c>
      <c r="BX30" s="661">
        <f>AZ30+BE30+BJ30+BO30+BT30</f>
        <v>451642.04750000004</v>
      </c>
      <c r="BY30" s="661"/>
      <c r="BZ30" s="663">
        <f>BV30+BQ30+BL30+BG30+BB30</f>
        <v>0</v>
      </c>
      <c r="CA30" s="651">
        <f t="shared" si="2"/>
        <v>0</v>
      </c>
      <c r="CB30" s="645">
        <v>111466.61</v>
      </c>
      <c r="CC30" s="639">
        <f>CB30*CD30</f>
        <v>99205.282900000006</v>
      </c>
      <c r="CD30" s="633">
        <v>0.89</v>
      </c>
      <c r="CE30" s="635"/>
      <c r="CF30" s="636">
        <f>CE30/CB30</f>
        <v>0</v>
      </c>
      <c r="CG30" s="639">
        <v>105188.35</v>
      </c>
      <c r="CH30" s="639">
        <f>CG30*CI30</f>
        <v>94669.515000000014</v>
      </c>
      <c r="CI30" s="633">
        <v>0.9</v>
      </c>
      <c r="CJ30" s="635"/>
      <c r="CK30" s="636">
        <f>CJ30/CG30</f>
        <v>0</v>
      </c>
      <c r="CL30" s="639">
        <v>91010.68</v>
      </c>
      <c r="CM30" s="639">
        <f>CL30*CN30</f>
        <v>81909.611999999994</v>
      </c>
      <c r="CN30" s="633">
        <v>0.9</v>
      </c>
      <c r="CO30" s="635"/>
      <c r="CP30" s="636">
        <f>CO30/CL30</f>
        <v>0</v>
      </c>
      <c r="CQ30" s="639">
        <v>92850.07</v>
      </c>
      <c r="CR30" s="639">
        <f>CQ30*CS30</f>
        <v>84493.563700000013</v>
      </c>
      <c r="CS30" s="633">
        <v>0.91</v>
      </c>
      <c r="CT30" s="638"/>
      <c r="CU30" s="636">
        <f>CT30/CQ30</f>
        <v>0</v>
      </c>
      <c r="CV30" s="656">
        <f>CR30+CM30+CH30+CC30</f>
        <v>360277.97360000003</v>
      </c>
      <c r="CW30" s="656"/>
      <c r="CX30" s="657">
        <f>CT30+CO30+CE30+CJ30</f>
        <v>0</v>
      </c>
      <c r="CY30" s="654">
        <f t="shared" si="3"/>
        <v>0</v>
      </c>
      <c r="CZ30" s="645">
        <v>135714.71</v>
      </c>
      <c r="DA30" s="639">
        <f>CZ30*DB30</f>
        <v>122143.239</v>
      </c>
      <c r="DB30" s="908">
        <v>0.9</v>
      </c>
      <c r="DC30" s="635"/>
      <c r="DD30" s="636">
        <f>DC30/CZ30</f>
        <v>0</v>
      </c>
      <c r="DE30" s="639">
        <v>97260.9</v>
      </c>
      <c r="DF30" s="639">
        <f>DE30*DG30</f>
        <v>87534.81</v>
      </c>
      <c r="DG30" s="633">
        <v>0.9</v>
      </c>
      <c r="DH30" s="635"/>
      <c r="DI30" s="636">
        <f>DH30/DE30</f>
        <v>0</v>
      </c>
      <c r="DJ30" s="639">
        <v>88795.07</v>
      </c>
      <c r="DK30" s="639">
        <f>DJ30*DL30</f>
        <v>79915.563000000009</v>
      </c>
      <c r="DL30" s="633">
        <v>0.9</v>
      </c>
      <c r="DM30" s="635"/>
      <c r="DN30" s="636">
        <f>DM30/DJ30</f>
        <v>0</v>
      </c>
      <c r="DO30" s="639">
        <v>88916.03</v>
      </c>
      <c r="DP30" s="639">
        <f>DO30*DQ30</f>
        <v>80024.426999999996</v>
      </c>
      <c r="DQ30" s="633">
        <v>0.9</v>
      </c>
      <c r="DR30" s="638"/>
      <c r="DS30" s="636">
        <f>DR30/DO30</f>
        <v>0</v>
      </c>
      <c r="DT30" s="656">
        <f>DP30+DK30+DF30+DA30</f>
        <v>369618.03899999999</v>
      </c>
      <c r="DU30" s="656"/>
      <c r="DV30" s="657">
        <f>DR30+DM30+DC30+DH30</f>
        <v>0</v>
      </c>
      <c r="DW30" s="654">
        <f t="shared" si="4"/>
        <v>0</v>
      </c>
      <c r="DX30" s="645">
        <v>104288.78</v>
      </c>
      <c r="DY30" s="639">
        <f>DX30*DZ30</f>
        <v>93859.902000000002</v>
      </c>
      <c r="DZ30" s="633">
        <v>0.9</v>
      </c>
      <c r="EA30" s="907">
        <f>'Vtas Diarias 2022'!AAC31</f>
        <v>0</v>
      </c>
      <c r="EB30" s="636">
        <f>EA30/DX30</f>
        <v>0</v>
      </c>
      <c r="EC30" s="639">
        <v>126119.55</v>
      </c>
      <c r="ED30" s="639">
        <f>EC30*EE30</f>
        <v>110985.204</v>
      </c>
      <c r="EE30" s="633">
        <v>0.88</v>
      </c>
      <c r="EF30" s="638"/>
      <c r="EG30" s="636">
        <f>EF30/EC30</f>
        <v>0</v>
      </c>
      <c r="EH30" s="639">
        <v>119662.67</v>
      </c>
      <c r="EI30" s="639">
        <f>EH30*EJ30</f>
        <v>106499.7763</v>
      </c>
      <c r="EJ30" s="633">
        <v>0.89</v>
      </c>
      <c r="EK30" s="635"/>
      <c r="EL30" s="636">
        <f>EK30/EH30</f>
        <v>0</v>
      </c>
      <c r="EM30" s="639">
        <v>121351.86</v>
      </c>
      <c r="EN30" s="639">
        <f>EM30*EO30</f>
        <v>112857.2298</v>
      </c>
      <c r="EO30" s="633">
        <v>0.93</v>
      </c>
      <c r="EP30" s="638"/>
      <c r="EQ30" s="636">
        <f>EP30/EM30</f>
        <v>0</v>
      </c>
      <c r="ER30" s="639">
        <v>121123.05</v>
      </c>
      <c r="ES30" s="639">
        <f>ER30*ET30</f>
        <v>112644.43650000001</v>
      </c>
      <c r="ET30" s="633">
        <v>0.93</v>
      </c>
      <c r="EU30" s="635"/>
      <c r="EV30" s="636">
        <f>EU30/ER30</f>
        <v>0</v>
      </c>
      <c r="EW30" s="661">
        <f>ES30+EN30+EI30+ED30+DY30</f>
        <v>536846.54859999998</v>
      </c>
      <c r="EX30" s="661"/>
      <c r="EY30" s="904">
        <f t="shared" si="5"/>
        <v>0</v>
      </c>
      <c r="EZ30" s="654">
        <f t="shared" si="6"/>
        <v>0</v>
      </c>
      <c r="FA30" s="645">
        <v>116043.12</v>
      </c>
      <c r="FB30" s="639">
        <f>FA30*FC30</f>
        <v>102117.94559999999</v>
      </c>
      <c r="FC30" s="908">
        <v>0.88</v>
      </c>
      <c r="FD30" s="635"/>
      <c r="FE30" s="636">
        <f>FD30/FA30</f>
        <v>0</v>
      </c>
      <c r="FF30" s="639">
        <v>119034.43</v>
      </c>
      <c r="FG30" s="639">
        <f>FF30*FH30</f>
        <v>104750.2984</v>
      </c>
      <c r="FH30" s="633">
        <v>0.88</v>
      </c>
      <c r="FI30" s="635"/>
      <c r="FJ30" s="636">
        <f>FI30/FF30</f>
        <v>0</v>
      </c>
      <c r="FK30" s="639">
        <v>96602</v>
      </c>
      <c r="FL30" s="639">
        <f>FK30*FM30</f>
        <v>86941.8</v>
      </c>
      <c r="FM30" s="633">
        <v>0.9</v>
      </c>
      <c r="FN30" s="635"/>
      <c r="FO30" s="636">
        <f>FN30/FK30</f>
        <v>0</v>
      </c>
      <c r="FP30" s="639">
        <v>102403.46</v>
      </c>
      <c r="FQ30" s="639">
        <f>FP30*FR30</f>
        <v>95235.217800000013</v>
      </c>
      <c r="FR30" s="908">
        <v>0.93</v>
      </c>
      <c r="FS30" s="638"/>
      <c r="FT30" s="636">
        <f>FS30/FP30</f>
        <v>0</v>
      </c>
      <c r="FU30" s="661">
        <f>FQ30+FL30+FG30+FB30</f>
        <v>389045.26179999998</v>
      </c>
      <c r="FV30" s="661"/>
      <c r="FW30" s="663">
        <f>FS30+FN30+FD30+FI30</f>
        <v>0</v>
      </c>
      <c r="FX30" s="651">
        <f t="shared" si="7"/>
        <v>0</v>
      </c>
      <c r="FY30" s="645">
        <v>90934.15</v>
      </c>
      <c r="FZ30" s="639">
        <f>FY30*GA30</f>
        <v>86387.44249999999</v>
      </c>
      <c r="GA30" s="633">
        <v>0.95</v>
      </c>
      <c r="GB30" s="635"/>
      <c r="GC30" s="636">
        <f>GB30/FY30</f>
        <v>0</v>
      </c>
      <c r="GD30" s="639">
        <v>109651.18</v>
      </c>
      <c r="GE30" s="639">
        <f>GD30*GF30</f>
        <v>98686.061999999991</v>
      </c>
      <c r="GF30" s="633">
        <v>0.9</v>
      </c>
      <c r="GG30" s="638"/>
      <c r="GH30" s="636">
        <f>GG30/GD30</f>
        <v>0</v>
      </c>
      <c r="GI30" s="639">
        <v>98274.36</v>
      </c>
      <c r="GJ30" s="639">
        <f>GI30*GK30</f>
        <v>96308.872799999997</v>
      </c>
      <c r="GK30" s="633">
        <v>0.98</v>
      </c>
      <c r="GL30" s="635"/>
      <c r="GM30" s="636">
        <f>GL30/GI30</f>
        <v>0</v>
      </c>
      <c r="GN30" s="639">
        <v>86956.58</v>
      </c>
      <c r="GO30" s="639">
        <f>GN30*GP30</f>
        <v>85217.448399999994</v>
      </c>
      <c r="GP30" s="633">
        <v>0.98</v>
      </c>
      <c r="GQ30" s="638"/>
      <c r="GR30" s="636">
        <f>GQ30/GN30</f>
        <v>0</v>
      </c>
      <c r="GS30" s="661">
        <f>GO30+GJ30+GE30+FZ30</f>
        <v>366599.82569999999</v>
      </c>
      <c r="GT30" s="661"/>
      <c r="GU30" s="662">
        <f>GQ30+GL30+GB30+GG30</f>
        <v>0</v>
      </c>
      <c r="GV30" s="654">
        <f t="shared" si="8"/>
        <v>0</v>
      </c>
      <c r="GW30" s="645">
        <v>97061</v>
      </c>
      <c r="GX30" s="639">
        <f>GW30*GY30</f>
        <v>97061</v>
      </c>
      <c r="GY30" s="633">
        <v>1</v>
      </c>
      <c r="GZ30" s="635"/>
      <c r="HA30" s="636">
        <f>GZ30/GW30</f>
        <v>0</v>
      </c>
      <c r="HB30" s="639">
        <v>101741.33</v>
      </c>
      <c r="HC30" s="639">
        <f>HB30*HD30</f>
        <v>101741.33</v>
      </c>
      <c r="HD30" s="633">
        <v>1</v>
      </c>
      <c r="HE30" s="638"/>
      <c r="HF30" s="636">
        <f>HE30/HB30</f>
        <v>0</v>
      </c>
      <c r="HG30" s="639">
        <v>98872.13</v>
      </c>
      <c r="HH30" s="639">
        <f>HG30*HI30</f>
        <v>96894.68740000001</v>
      </c>
      <c r="HI30" s="633">
        <v>0.98</v>
      </c>
      <c r="HJ30" s="635"/>
      <c r="HK30" s="636">
        <f>HJ30/HG30</f>
        <v>0</v>
      </c>
      <c r="HL30" s="639">
        <v>82390.460000000006</v>
      </c>
      <c r="HM30" s="639">
        <f>HL30*HN30</f>
        <v>80742.650800000003</v>
      </c>
      <c r="HN30" s="633">
        <v>0.98</v>
      </c>
      <c r="HO30" s="638"/>
      <c r="HP30" s="636">
        <f>HO30/HL30</f>
        <v>0</v>
      </c>
      <c r="HQ30" s="639">
        <v>93190.48</v>
      </c>
      <c r="HR30" s="639">
        <f>HQ30*HS30</f>
        <v>91326.670399999988</v>
      </c>
      <c r="HS30" s="633">
        <v>0.98</v>
      </c>
      <c r="HT30" s="635"/>
      <c r="HU30" s="636">
        <f>HT30/HQ30</f>
        <v>0</v>
      </c>
      <c r="HV30" s="661">
        <f>HR30+HM30+HH30+HC30+GX30</f>
        <v>467766.33860000002</v>
      </c>
      <c r="HW30" s="661"/>
      <c r="HX30" s="663">
        <f>HT30+HO30+HJ30+HE30+GZ30</f>
        <v>0</v>
      </c>
      <c r="HY30" s="651">
        <f t="shared" si="9"/>
        <v>0</v>
      </c>
      <c r="HZ30" s="645">
        <v>80124.89</v>
      </c>
      <c r="IA30" s="639">
        <f>HZ30*IB30</f>
        <v>78522.392200000002</v>
      </c>
      <c r="IB30" s="633">
        <v>0.98</v>
      </c>
      <c r="IC30" s="635"/>
      <c r="ID30" s="636">
        <f>IC30/HZ30</f>
        <v>0</v>
      </c>
      <c r="IE30" s="639">
        <v>93965.36</v>
      </c>
      <c r="IF30" s="639">
        <f>IE30*IG30</f>
        <v>90206.745599999995</v>
      </c>
      <c r="IG30" s="633">
        <v>0.96</v>
      </c>
      <c r="IH30" s="638"/>
      <c r="II30" s="636">
        <f>IH30/IE30</f>
        <v>0</v>
      </c>
      <c r="IJ30" s="639">
        <v>87512.37</v>
      </c>
      <c r="IK30" s="639">
        <f>IJ30*IL30</f>
        <v>86637.246299999999</v>
      </c>
      <c r="IL30" s="633">
        <v>0.99</v>
      </c>
      <c r="IM30" s="635"/>
      <c r="IN30" s="636">
        <f>IM30/IJ30</f>
        <v>0</v>
      </c>
      <c r="IO30" s="639">
        <v>87455.95</v>
      </c>
      <c r="IP30" s="639">
        <f>IO30*IQ30</f>
        <v>84832.271499999988</v>
      </c>
      <c r="IQ30" s="633">
        <v>0.97</v>
      </c>
      <c r="IR30" s="638"/>
      <c r="IS30" s="636">
        <f>IR30/IO30</f>
        <v>0</v>
      </c>
      <c r="IT30" s="661">
        <f>IP30+IK30+IF30+IA30</f>
        <v>340198.65559999994</v>
      </c>
      <c r="IU30" s="661"/>
      <c r="IV30" s="662">
        <f>IC30+IH30+IM30+IR30</f>
        <v>0</v>
      </c>
      <c r="IW30" s="654">
        <f t="shared" si="10"/>
        <v>0</v>
      </c>
      <c r="IX30" s="645">
        <v>76793.69</v>
      </c>
      <c r="IY30" s="639">
        <f>IX30*IZ30</f>
        <v>74489.879300000001</v>
      </c>
      <c r="IZ30" s="633">
        <v>0.97</v>
      </c>
      <c r="JA30" s="635"/>
      <c r="JB30" s="636">
        <f>JA30/IX30</f>
        <v>0</v>
      </c>
      <c r="JC30" s="639">
        <v>100681.88</v>
      </c>
      <c r="JD30" s="639">
        <f>JC30*JE30</f>
        <v>94640.967199999999</v>
      </c>
      <c r="JE30" s="633">
        <v>0.94</v>
      </c>
      <c r="JF30" s="635"/>
      <c r="JG30" s="636">
        <f>JF30/JC30</f>
        <v>0</v>
      </c>
      <c r="JH30" s="639">
        <v>105664.99</v>
      </c>
      <c r="JI30" s="639">
        <f>JH30*JJ30</f>
        <v>101438.3904</v>
      </c>
      <c r="JJ30" s="633">
        <v>0.96</v>
      </c>
      <c r="JK30" s="635"/>
      <c r="JL30" s="636">
        <f>JK30/JH30</f>
        <v>0</v>
      </c>
      <c r="JM30" s="639">
        <v>118699.84</v>
      </c>
      <c r="JN30" s="639">
        <f>JM30*JO30</f>
        <v>112764.848</v>
      </c>
      <c r="JO30" s="633">
        <v>0.95</v>
      </c>
      <c r="JP30" s="638"/>
      <c r="JQ30" s="636">
        <f>JP30/JM30</f>
        <v>0</v>
      </c>
      <c r="JR30" s="661">
        <f>JN30+JI30+JD30+IY30</f>
        <v>383334.08490000002</v>
      </c>
      <c r="JS30" s="661"/>
      <c r="JT30" s="663">
        <f>JP30+JK30+JA30+JF30</f>
        <v>0</v>
      </c>
      <c r="JU30" s="651">
        <f t="shared" si="11"/>
        <v>0</v>
      </c>
      <c r="JV30" s="645">
        <v>128464.32000000001</v>
      </c>
      <c r="JW30" s="639">
        <f>JV30*JX30</f>
        <v>120756.4608</v>
      </c>
      <c r="JX30" s="908">
        <v>0.94</v>
      </c>
      <c r="JY30" s="635"/>
      <c r="JZ30" s="636">
        <f>JY30/JV30</f>
        <v>0</v>
      </c>
      <c r="KA30" s="639">
        <v>159984</v>
      </c>
      <c r="KB30" s="639">
        <f>KA30*KC30</f>
        <v>148785.12</v>
      </c>
      <c r="KC30" s="908">
        <v>0.93</v>
      </c>
      <c r="KD30" s="638"/>
      <c r="KE30" s="636">
        <f>KD30/KA30</f>
        <v>0</v>
      </c>
      <c r="KF30" s="639">
        <v>235357.98</v>
      </c>
      <c r="KG30" s="639">
        <f>KF30*KH30</f>
        <v>218882.92140000002</v>
      </c>
      <c r="KH30" s="908">
        <v>0.93</v>
      </c>
      <c r="KI30" s="635"/>
      <c r="KJ30" s="636">
        <f>KI30/KF30</f>
        <v>0</v>
      </c>
      <c r="KK30" s="639">
        <v>199060.71</v>
      </c>
      <c r="KL30" s="639">
        <f>KK30*KM30</f>
        <v>185126.46030000001</v>
      </c>
      <c r="KM30" s="908">
        <v>0.93</v>
      </c>
      <c r="KN30" s="638"/>
      <c r="KO30" s="636">
        <f>KN30/KK30</f>
        <v>0</v>
      </c>
      <c r="KP30" s="639">
        <v>97120.23</v>
      </c>
      <c r="KQ30" s="639">
        <f>KP30*KR30</f>
        <v>92264.218499999988</v>
      </c>
      <c r="KR30" s="908">
        <v>0.95</v>
      </c>
      <c r="KS30" s="635"/>
      <c r="KT30" s="636">
        <f>KS30/KP30</f>
        <v>0</v>
      </c>
      <c r="KU30" s="661">
        <f>KQ30+KL30+KG30+KB30+JW30</f>
        <v>765815.18099999998</v>
      </c>
      <c r="KV30" s="661"/>
      <c r="KW30" s="662">
        <f>KS30+KN30+KI30+KD30+JY30</f>
        <v>0</v>
      </c>
      <c r="KX30" s="959">
        <f t="shared" si="12"/>
        <v>0</v>
      </c>
      <c r="KY30" s="894">
        <f>X30+AV30+BY30+CW30+DU30+EX30+FV30+GT30+HW30+IU30+JS30+KV30</f>
        <v>0</v>
      </c>
      <c r="KZ30" s="893">
        <f>Y30+AW30+BZ30+CX30+DV30+EY30+FW30+GU30+HX30+IV30+JT30+KW30</f>
        <v>0</v>
      </c>
      <c r="LA30" s="892">
        <f>KZ30-KY30</f>
        <v>0</v>
      </c>
      <c r="LB30" s="891">
        <f t="shared" si="13"/>
        <v>0</v>
      </c>
    </row>
    <row r="31" spans="1:314" ht="15" customHeight="1">
      <c r="A31" s="1495"/>
      <c r="B31" s="897" t="s">
        <v>231</v>
      </c>
      <c r="C31" s="645"/>
      <c r="D31" s="639"/>
      <c r="E31" s="633"/>
      <c r="F31" s="635"/>
      <c r="G31" s="636"/>
      <c r="H31" s="639"/>
      <c r="I31" s="639"/>
      <c r="J31" s="633"/>
      <c r="K31" s="638"/>
      <c r="L31" s="636"/>
      <c r="M31" s="639"/>
      <c r="N31" s="639"/>
      <c r="O31" s="633"/>
      <c r="P31" s="635"/>
      <c r="Q31" s="636"/>
      <c r="R31" s="639"/>
      <c r="S31" s="639"/>
      <c r="T31" s="633"/>
      <c r="U31" s="635"/>
      <c r="V31" s="636"/>
      <c r="W31" s="639">
        <f>D31+I31+N31+S31</f>
        <v>0</v>
      </c>
      <c r="X31" s="639"/>
      <c r="Y31" s="666">
        <f>+F31+K31+P31+U31</f>
        <v>0</v>
      </c>
      <c r="Z31" s="646">
        <f t="shared" si="0"/>
        <v>0</v>
      </c>
      <c r="AA31" s="645"/>
      <c r="AB31" s="639"/>
      <c r="AC31" s="633"/>
      <c r="AD31" s="635"/>
      <c r="AE31" s="636"/>
      <c r="AF31" s="639"/>
      <c r="AG31" s="639"/>
      <c r="AH31" s="633"/>
      <c r="AI31" s="635"/>
      <c r="AJ31" s="636"/>
      <c r="AK31" s="639"/>
      <c r="AL31" s="639"/>
      <c r="AM31" s="633"/>
      <c r="AN31" s="635"/>
      <c r="AO31" s="636"/>
      <c r="AP31" s="639"/>
      <c r="AQ31" s="639"/>
      <c r="AR31" s="633"/>
      <c r="AS31" s="638"/>
      <c r="AT31" s="636"/>
      <c r="AU31" s="639">
        <f>AB31+AG31+AL31+AQ31</f>
        <v>0</v>
      </c>
      <c r="AV31" s="896"/>
      <c r="AW31" s="895">
        <f>AD31+AI31++AN31+AS31</f>
        <v>0</v>
      </c>
      <c r="AX31" s="665">
        <f t="shared" si="1"/>
        <v>0</v>
      </c>
      <c r="AY31" s="645"/>
      <c r="AZ31" s="639"/>
      <c r="BA31" s="633"/>
      <c r="BB31" s="635"/>
      <c r="BC31" s="636"/>
      <c r="BD31" s="639"/>
      <c r="BE31" s="639"/>
      <c r="BF31" s="633"/>
      <c r="BG31" s="638"/>
      <c r="BH31" s="636"/>
      <c r="BI31" s="639"/>
      <c r="BJ31" s="639"/>
      <c r="BK31" s="633"/>
      <c r="BL31" s="635"/>
      <c r="BM31" s="636"/>
      <c r="BN31" s="639"/>
      <c r="BO31" s="639"/>
      <c r="BP31" s="633"/>
      <c r="BQ31" s="638"/>
      <c r="BR31" s="636"/>
      <c r="BS31" s="639"/>
      <c r="BT31" s="639"/>
      <c r="BU31" s="633"/>
      <c r="BV31" s="635"/>
      <c r="BW31" s="636"/>
      <c r="BX31" s="661">
        <f>AZ31+BE31+BJ31+BO31+BT31</f>
        <v>0</v>
      </c>
      <c r="BY31" s="661"/>
      <c r="BZ31" s="663">
        <f>BV31+BQ31+BL31+BG31+BB31</f>
        <v>0</v>
      </c>
      <c r="CA31" s="651">
        <f t="shared" si="2"/>
        <v>0</v>
      </c>
      <c r="CB31" s="645"/>
      <c r="CC31" s="639"/>
      <c r="CD31" s="633"/>
      <c r="CE31" s="635"/>
      <c r="CF31" s="636"/>
      <c r="CG31" s="639"/>
      <c r="CH31" s="639"/>
      <c r="CI31" s="633"/>
      <c r="CJ31" s="635"/>
      <c r="CK31" s="636"/>
      <c r="CL31" s="639"/>
      <c r="CM31" s="639"/>
      <c r="CN31" s="633"/>
      <c r="CO31" s="635"/>
      <c r="CP31" s="636"/>
      <c r="CQ31" s="639"/>
      <c r="CR31" s="639"/>
      <c r="CS31" s="633"/>
      <c r="CT31" s="638"/>
      <c r="CU31" s="636"/>
      <c r="CV31" s="656">
        <f>CR31+CM31+CH31+CC31</f>
        <v>0</v>
      </c>
      <c r="CW31" s="656"/>
      <c r="CX31" s="657">
        <f>CT31+CO31+CE31+CJ31</f>
        <v>0</v>
      </c>
      <c r="CY31" s="654">
        <f t="shared" si="3"/>
        <v>0</v>
      </c>
      <c r="CZ31" s="645"/>
      <c r="DA31" s="639"/>
      <c r="DB31" s="633"/>
      <c r="DC31" s="635"/>
      <c r="DD31" s="636"/>
      <c r="DE31" s="639"/>
      <c r="DF31" s="639"/>
      <c r="DG31" s="633"/>
      <c r="DH31" s="635"/>
      <c r="DI31" s="636"/>
      <c r="DJ31" s="639"/>
      <c r="DK31" s="639"/>
      <c r="DL31" s="633"/>
      <c r="DM31" s="635"/>
      <c r="DN31" s="636"/>
      <c r="DO31" s="639"/>
      <c r="DP31" s="639"/>
      <c r="DQ31" s="633"/>
      <c r="DR31" s="638"/>
      <c r="DS31" s="636"/>
      <c r="DT31" s="656">
        <f>DP31+DK31+DF31+DA31</f>
        <v>0</v>
      </c>
      <c r="DU31" s="656"/>
      <c r="DV31" s="657">
        <f>DR31+DM31+DC31+DH31</f>
        <v>0</v>
      </c>
      <c r="DW31" s="654">
        <f t="shared" si="4"/>
        <v>0</v>
      </c>
      <c r="DX31" s="645"/>
      <c r="DY31" s="639"/>
      <c r="DZ31" s="633"/>
      <c r="EA31" s="907">
        <f>'Vtas Diarias 2022'!AAC32</f>
        <v>0</v>
      </c>
      <c r="EB31" s="636"/>
      <c r="EC31" s="639"/>
      <c r="ED31" s="639"/>
      <c r="EE31" s="633"/>
      <c r="EF31" s="638"/>
      <c r="EG31" s="636"/>
      <c r="EH31" s="639"/>
      <c r="EI31" s="639"/>
      <c r="EJ31" s="633"/>
      <c r="EK31" s="635"/>
      <c r="EL31" s="636"/>
      <c r="EM31" s="639"/>
      <c r="EN31" s="639"/>
      <c r="EO31" s="633"/>
      <c r="EP31" s="638"/>
      <c r="EQ31" s="636"/>
      <c r="ER31" s="639"/>
      <c r="ES31" s="639"/>
      <c r="ET31" s="633"/>
      <c r="EU31" s="635"/>
      <c r="EV31" s="636"/>
      <c r="EW31" s="661">
        <f>ES31+EN31+EI31+ED31+DY31</f>
        <v>0</v>
      </c>
      <c r="EX31" s="661"/>
      <c r="EY31" s="904">
        <f t="shared" si="5"/>
        <v>0</v>
      </c>
      <c r="EZ31" s="654">
        <f t="shared" si="6"/>
        <v>0</v>
      </c>
      <c r="FA31" s="645"/>
      <c r="FB31" s="639"/>
      <c r="FC31" s="633"/>
      <c r="FD31" s="635"/>
      <c r="FE31" s="636"/>
      <c r="FF31" s="639"/>
      <c r="FG31" s="639"/>
      <c r="FH31" s="633"/>
      <c r="FI31" s="635"/>
      <c r="FJ31" s="636"/>
      <c r="FK31" s="639"/>
      <c r="FL31" s="639"/>
      <c r="FM31" s="633"/>
      <c r="FN31" s="635"/>
      <c r="FO31" s="636"/>
      <c r="FP31" s="639"/>
      <c r="FQ31" s="639"/>
      <c r="FR31" s="633"/>
      <c r="FS31" s="638"/>
      <c r="FT31" s="636"/>
      <c r="FU31" s="661">
        <f>FQ31+FL31+FG31+FB31</f>
        <v>0</v>
      </c>
      <c r="FV31" s="661"/>
      <c r="FW31" s="663">
        <f>FS31+FN31+FD31+FI31</f>
        <v>0</v>
      </c>
      <c r="FX31" s="651">
        <f t="shared" si="7"/>
        <v>0</v>
      </c>
      <c r="FY31" s="645"/>
      <c r="FZ31" s="639"/>
      <c r="GA31" s="633"/>
      <c r="GB31" s="635"/>
      <c r="GC31" s="636"/>
      <c r="GD31" s="639"/>
      <c r="GE31" s="639"/>
      <c r="GF31" s="633"/>
      <c r="GG31" s="638"/>
      <c r="GH31" s="636"/>
      <c r="GI31" s="639"/>
      <c r="GJ31" s="639"/>
      <c r="GK31" s="633"/>
      <c r="GL31" s="635"/>
      <c r="GM31" s="636"/>
      <c r="GN31" s="639"/>
      <c r="GO31" s="639"/>
      <c r="GP31" s="633"/>
      <c r="GQ31" s="638"/>
      <c r="GR31" s="636"/>
      <c r="GS31" s="661">
        <f>GO31+GJ31+GE31+FZ31</f>
        <v>0</v>
      </c>
      <c r="GT31" s="661"/>
      <c r="GU31" s="662">
        <f>GQ31+GL31+GB31+GG31</f>
        <v>0</v>
      </c>
      <c r="GV31" s="654">
        <f t="shared" si="8"/>
        <v>0</v>
      </c>
      <c r="GW31" s="645"/>
      <c r="GX31" s="639"/>
      <c r="GY31" s="633"/>
      <c r="GZ31" s="635"/>
      <c r="HA31" s="636"/>
      <c r="HB31" s="639"/>
      <c r="HC31" s="639"/>
      <c r="HD31" s="633"/>
      <c r="HE31" s="638"/>
      <c r="HF31" s="636"/>
      <c r="HG31" s="639"/>
      <c r="HH31" s="639"/>
      <c r="HI31" s="633"/>
      <c r="HJ31" s="635"/>
      <c r="HK31" s="636"/>
      <c r="HL31" s="639"/>
      <c r="HM31" s="639"/>
      <c r="HN31" s="633"/>
      <c r="HO31" s="638"/>
      <c r="HP31" s="636"/>
      <c r="HQ31" s="639"/>
      <c r="HR31" s="639"/>
      <c r="HS31" s="633"/>
      <c r="HT31" s="635"/>
      <c r="HU31" s="636"/>
      <c r="HV31" s="661">
        <f>HR31+HM31+HH31+HC31+GX31</f>
        <v>0</v>
      </c>
      <c r="HW31" s="661"/>
      <c r="HX31" s="663">
        <f>HT31+HO31+HJ31+HE31+GZ31</f>
        <v>0</v>
      </c>
      <c r="HY31" s="651">
        <f t="shared" si="9"/>
        <v>0</v>
      </c>
      <c r="HZ31" s="645"/>
      <c r="IA31" s="639"/>
      <c r="IB31" s="633"/>
      <c r="IC31" s="635"/>
      <c r="ID31" s="636"/>
      <c r="IE31" s="639"/>
      <c r="IF31" s="639"/>
      <c r="IG31" s="633"/>
      <c r="IH31" s="638"/>
      <c r="II31" s="636"/>
      <c r="IJ31" s="639"/>
      <c r="IK31" s="639"/>
      <c r="IL31" s="633"/>
      <c r="IM31" s="635"/>
      <c r="IN31" s="636"/>
      <c r="IO31" s="639"/>
      <c r="IP31" s="639"/>
      <c r="IQ31" s="633"/>
      <c r="IR31" s="638"/>
      <c r="IS31" s="636"/>
      <c r="IT31" s="661">
        <f>IP31+IK31+IF31+IA31</f>
        <v>0</v>
      </c>
      <c r="IU31" s="661"/>
      <c r="IV31" s="662">
        <f>IC31+IH31+IM31+IR31</f>
        <v>0</v>
      </c>
      <c r="IW31" s="654">
        <f t="shared" si="10"/>
        <v>0</v>
      </c>
      <c r="IX31" s="645"/>
      <c r="IY31" s="639"/>
      <c r="IZ31" s="633"/>
      <c r="JA31" s="635"/>
      <c r="JB31" s="636"/>
      <c r="JC31" s="639"/>
      <c r="JD31" s="639"/>
      <c r="JE31" s="633"/>
      <c r="JF31" s="635"/>
      <c r="JG31" s="636"/>
      <c r="JH31" s="639"/>
      <c r="JI31" s="639"/>
      <c r="JJ31" s="633"/>
      <c r="JK31" s="635"/>
      <c r="JL31" s="636"/>
      <c r="JM31" s="639"/>
      <c r="JN31" s="639"/>
      <c r="JO31" s="633"/>
      <c r="JP31" s="638"/>
      <c r="JQ31" s="636"/>
      <c r="JR31" s="661">
        <f>JN31+JI31+JD31+IY31</f>
        <v>0</v>
      </c>
      <c r="JS31" s="661"/>
      <c r="JT31" s="663">
        <f>JP31+JK31+JA31+JF31</f>
        <v>0</v>
      </c>
      <c r="JU31" s="651">
        <f t="shared" si="11"/>
        <v>0</v>
      </c>
      <c r="JV31" s="645"/>
      <c r="JW31" s="639"/>
      <c r="JX31" s="633"/>
      <c r="JY31" s="635"/>
      <c r="JZ31" s="636"/>
      <c r="KA31" s="639"/>
      <c r="KB31" s="639"/>
      <c r="KC31" s="633"/>
      <c r="KD31" s="638"/>
      <c r="KE31" s="636"/>
      <c r="KF31" s="639"/>
      <c r="KG31" s="639"/>
      <c r="KH31" s="633"/>
      <c r="KI31" s="635"/>
      <c r="KJ31" s="636"/>
      <c r="KK31" s="639"/>
      <c r="KL31" s="639"/>
      <c r="KM31" s="633"/>
      <c r="KN31" s="638"/>
      <c r="KO31" s="636"/>
      <c r="KP31" s="639"/>
      <c r="KQ31" s="639"/>
      <c r="KR31" s="633"/>
      <c r="KS31" s="635"/>
      <c r="KT31" s="636"/>
      <c r="KU31" s="661">
        <f>KQ31+KL31+KG31+KB31+JW31</f>
        <v>0</v>
      </c>
      <c r="KV31" s="661"/>
      <c r="KW31" s="662">
        <f>KS31+KN31+KI31+KD31+JY31</f>
        <v>0</v>
      </c>
      <c r="KX31" s="959">
        <f t="shared" si="12"/>
        <v>0</v>
      </c>
      <c r="KY31" s="894">
        <f>X31+AV31+BY31+CW31+DU31+EX31+FV31+GT31+HW31+IU31+JS31+KV31</f>
        <v>0</v>
      </c>
      <c r="KZ31" s="893">
        <f>Y31+AW31+BZ31+CX31+DV31+EY31+FW31+GU31+HX31+IV31+JT31+KW31</f>
        <v>0</v>
      </c>
      <c r="LA31" s="892">
        <f>KZ31-KY31</f>
        <v>0</v>
      </c>
      <c r="LB31" s="891">
        <f t="shared" si="13"/>
        <v>0</v>
      </c>
    </row>
    <row r="32" spans="1:314">
      <c r="A32" s="1495"/>
      <c r="B32" s="897" t="s">
        <v>232</v>
      </c>
      <c r="C32" s="645" t="s">
        <v>513</v>
      </c>
      <c r="D32" s="639"/>
      <c r="E32" s="474"/>
      <c r="F32" s="635"/>
      <c r="G32" s="637"/>
      <c r="H32" s="639"/>
      <c r="I32" s="639"/>
      <c r="J32" s="633"/>
      <c r="K32" s="638"/>
      <c r="L32" s="636"/>
      <c r="M32" s="639"/>
      <c r="N32" s="639"/>
      <c r="O32" s="474"/>
      <c r="P32" s="635"/>
      <c r="Q32" s="636"/>
      <c r="R32" s="639"/>
      <c r="S32" s="639"/>
      <c r="T32" s="633"/>
      <c r="U32" s="635"/>
      <c r="V32" s="636"/>
      <c r="W32" s="639">
        <f>D32+I32+N32+S32</f>
        <v>0</v>
      </c>
      <c r="X32" s="639"/>
      <c r="Y32" s="666">
        <f>+F32+K32+P32+U32</f>
        <v>0</v>
      </c>
      <c r="Z32" s="646">
        <f t="shared" si="0"/>
        <v>0</v>
      </c>
      <c r="AA32" s="645"/>
      <c r="AB32" s="639"/>
      <c r="AC32" s="474"/>
      <c r="AD32" s="635"/>
      <c r="AE32" s="636"/>
      <c r="AF32" s="639"/>
      <c r="AG32" s="639"/>
      <c r="AH32" s="633"/>
      <c r="AI32" s="635"/>
      <c r="AJ32" s="636"/>
      <c r="AK32" s="639"/>
      <c r="AL32" s="639"/>
      <c r="AM32" s="474"/>
      <c r="AN32" s="635"/>
      <c r="AO32" s="636"/>
      <c r="AP32" s="639"/>
      <c r="AQ32" s="639"/>
      <c r="AR32" s="633"/>
      <c r="AS32" s="638"/>
      <c r="AT32" s="636"/>
      <c r="AU32" s="639">
        <f>AB32+AG32+AL32+AQ32</f>
        <v>0</v>
      </c>
      <c r="AV32" s="896"/>
      <c r="AW32" s="895">
        <f>AD32+AI32++AN32+AS32</f>
        <v>0</v>
      </c>
      <c r="AX32" s="665">
        <f t="shared" si="1"/>
        <v>0</v>
      </c>
      <c r="AY32" s="645"/>
      <c r="AZ32" s="639"/>
      <c r="BA32" s="474"/>
      <c r="BB32" s="635"/>
      <c r="BC32" s="636"/>
      <c r="BD32" s="639"/>
      <c r="BE32" s="639"/>
      <c r="BF32" s="633"/>
      <c r="BG32" s="638"/>
      <c r="BH32" s="636"/>
      <c r="BI32" s="639"/>
      <c r="BJ32" s="639"/>
      <c r="BK32" s="474"/>
      <c r="BL32" s="635"/>
      <c r="BM32" s="636"/>
      <c r="BN32" s="639"/>
      <c r="BO32" s="639"/>
      <c r="BP32" s="633"/>
      <c r="BQ32" s="638"/>
      <c r="BR32" s="636"/>
      <c r="BS32" s="639"/>
      <c r="BT32" s="639"/>
      <c r="BU32" s="648"/>
      <c r="BV32" s="635"/>
      <c r="BW32" s="636"/>
      <c r="BX32" s="661">
        <f>AZ32+BE32+BJ32+BO32+BT32</f>
        <v>0</v>
      </c>
      <c r="BY32" s="661"/>
      <c r="BZ32" s="663">
        <f>BV32+BQ32+BL32+BG32+BB32</f>
        <v>0</v>
      </c>
      <c r="CA32" s="651">
        <f t="shared" si="2"/>
        <v>0</v>
      </c>
      <c r="CB32" s="645"/>
      <c r="CC32" s="639"/>
      <c r="CD32" s="648"/>
      <c r="CE32" s="635"/>
      <c r="CF32" s="636"/>
      <c r="CG32" s="639"/>
      <c r="CH32" s="639"/>
      <c r="CI32" s="633"/>
      <c r="CJ32" s="635"/>
      <c r="CK32" s="636"/>
      <c r="CL32" s="639"/>
      <c r="CM32" s="639"/>
      <c r="CN32" s="648"/>
      <c r="CO32" s="635"/>
      <c r="CP32" s="636"/>
      <c r="CQ32" s="639"/>
      <c r="CR32" s="639"/>
      <c r="CS32" s="633"/>
      <c r="CT32" s="638"/>
      <c r="CU32" s="636"/>
      <c r="CV32" s="656">
        <f>CR32+CM32+CH32+CC32</f>
        <v>0</v>
      </c>
      <c r="CW32" s="656"/>
      <c r="CX32" s="657">
        <f>CT32+CO32+CE32+CJ32</f>
        <v>0</v>
      </c>
      <c r="CY32" s="654">
        <f t="shared" si="3"/>
        <v>0</v>
      </c>
      <c r="CZ32" s="645"/>
      <c r="DA32" s="639"/>
      <c r="DB32" s="648"/>
      <c r="DC32" s="635"/>
      <c r="DD32" s="636"/>
      <c r="DE32" s="639"/>
      <c r="DF32" s="639"/>
      <c r="DG32" s="633"/>
      <c r="DH32" s="635"/>
      <c r="DI32" s="636"/>
      <c r="DJ32" s="639"/>
      <c r="DK32" s="639"/>
      <c r="DL32" s="648"/>
      <c r="DM32" s="635"/>
      <c r="DN32" s="636"/>
      <c r="DO32" s="639"/>
      <c r="DP32" s="639"/>
      <c r="DQ32" s="633"/>
      <c r="DR32" s="638"/>
      <c r="DS32" s="636"/>
      <c r="DT32" s="656">
        <f>DP32+DK32+DF32+DA32</f>
        <v>0</v>
      </c>
      <c r="DU32" s="656"/>
      <c r="DV32" s="657">
        <f>DR32+DM32+DC32+DH32</f>
        <v>0</v>
      </c>
      <c r="DW32" s="654">
        <f t="shared" si="4"/>
        <v>0</v>
      </c>
      <c r="DX32" s="645"/>
      <c r="DY32" s="639"/>
      <c r="DZ32" s="648"/>
      <c r="EA32" s="907">
        <f>'Vtas Diarias 2022'!AAC33</f>
        <v>0</v>
      </c>
      <c r="EB32" s="636"/>
      <c r="EC32" s="639"/>
      <c r="ED32" s="639"/>
      <c r="EE32" s="633"/>
      <c r="EF32" s="638"/>
      <c r="EG32" s="636"/>
      <c r="EH32" s="639"/>
      <c r="EI32" s="639"/>
      <c r="EJ32" s="648"/>
      <c r="EK32" s="635"/>
      <c r="EL32" s="636"/>
      <c r="EM32" s="639"/>
      <c r="EN32" s="639"/>
      <c r="EO32" s="633"/>
      <c r="EP32" s="638"/>
      <c r="EQ32" s="636"/>
      <c r="ER32" s="639"/>
      <c r="ES32" s="639"/>
      <c r="ET32" s="648"/>
      <c r="EU32" s="635"/>
      <c r="EV32" s="636"/>
      <c r="EW32" s="661">
        <f>ES32+EN32+EI32+ED32+DY32</f>
        <v>0</v>
      </c>
      <c r="EX32" s="661"/>
      <c r="EY32" s="904">
        <f t="shared" si="5"/>
        <v>0</v>
      </c>
      <c r="EZ32" s="654">
        <f t="shared" si="6"/>
        <v>0</v>
      </c>
      <c r="FA32" s="645"/>
      <c r="FB32" s="639"/>
      <c r="FC32" s="648"/>
      <c r="FD32" s="635"/>
      <c r="FE32" s="636"/>
      <c r="FF32" s="639"/>
      <c r="FG32" s="639"/>
      <c r="FH32" s="633"/>
      <c r="FI32" s="635"/>
      <c r="FJ32" s="636"/>
      <c r="FK32" s="639"/>
      <c r="FL32" s="639"/>
      <c r="FM32" s="648"/>
      <c r="FN32" s="635"/>
      <c r="FO32" s="636"/>
      <c r="FP32" s="639"/>
      <c r="FQ32" s="639"/>
      <c r="FR32" s="633"/>
      <c r="FS32" s="638"/>
      <c r="FT32" s="636"/>
      <c r="FU32" s="661">
        <f>FQ32+FL32+FG32+FB32</f>
        <v>0</v>
      </c>
      <c r="FV32" s="661"/>
      <c r="FW32" s="663">
        <f>FS32+FN32+FD32+FI32</f>
        <v>0</v>
      </c>
      <c r="FX32" s="651">
        <f t="shared" si="7"/>
        <v>0</v>
      </c>
      <c r="FY32" s="645"/>
      <c r="FZ32" s="639"/>
      <c r="GA32" s="648"/>
      <c r="GB32" s="635"/>
      <c r="GC32" s="636"/>
      <c r="GD32" s="639"/>
      <c r="GE32" s="639"/>
      <c r="GF32" s="633"/>
      <c r="GG32" s="638"/>
      <c r="GH32" s="636"/>
      <c r="GI32" s="639"/>
      <c r="GJ32" s="639"/>
      <c r="GK32" s="648"/>
      <c r="GL32" s="635"/>
      <c r="GM32" s="636"/>
      <c r="GN32" s="639"/>
      <c r="GO32" s="639"/>
      <c r="GP32" s="633"/>
      <c r="GQ32" s="638"/>
      <c r="GR32" s="636"/>
      <c r="GS32" s="661">
        <f>GO32+GJ32+GE32+FZ32</f>
        <v>0</v>
      </c>
      <c r="GT32" s="661"/>
      <c r="GU32" s="662">
        <f>GQ32+GL32+GB32+GG32</f>
        <v>0</v>
      </c>
      <c r="GV32" s="654">
        <f t="shared" si="8"/>
        <v>0</v>
      </c>
      <c r="GW32" s="645"/>
      <c r="GX32" s="639"/>
      <c r="GY32" s="474"/>
      <c r="GZ32" s="635"/>
      <c r="HA32" s="636"/>
      <c r="HB32" s="639"/>
      <c r="HC32" s="639"/>
      <c r="HD32" s="633"/>
      <c r="HE32" s="638"/>
      <c r="HF32" s="636"/>
      <c r="HG32" s="639"/>
      <c r="HH32" s="639"/>
      <c r="HI32" s="474"/>
      <c r="HJ32" s="635"/>
      <c r="HK32" s="636"/>
      <c r="HL32" s="639"/>
      <c r="HM32" s="639"/>
      <c r="HN32" s="633"/>
      <c r="HO32" s="638"/>
      <c r="HP32" s="636"/>
      <c r="HQ32" s="639"/>
      <c r="HR32" s="639"/>
      <c r="HS32" s="648"/>
      <c r="HT32" s="635"/>
      <c r="HU32" s="636"/>
      <c r="HV32" s="661">
        <f>HR32+HM32+HH32+HC32+GX32</f>
        <v>0</v>
      </c>
      <c r="HW32" s="661"/>
      <c r="HX32" s="663">
        <f>HT32+HO32+HJ32+HE32+GZ32</f>
        <v>0</v>
      </c>
      <c r="HY32" s="651">
        <f t="shared" si="9"/>
        <v>0</v>
      </c>
      <c r="HZ32" s="645"/>
      <c r="IA32" s="639"/>
      <c r="IB32" s="648"/>
      <c r="IC32" s="635"/>
      <c r="ID32" s="636"/>
      <c r="IE32" s="639"/>
      <c r="IF32" s="639"/>
      <c r="IG32" s="633"/>
      <c r="IH32" s="638"/>
      <c r="II32" s="636"/>
      <c r="IJ32" s="639"/>
      <c r="IK32" s="639"/>
      <c r="IL32" s="648"/>
      <c r="IM32" s="635"/>
      <c r="IN32" s="636"/>
      <c r="IO32" s="639"/>
      <c r="IP32" s="639"/>
      <c r="IQ32" s="633"/>
      <c r="IR32" s="638"/>
      <c r="IS32" s="636"/>
      <c r="IT32" s="661">
        <f>IP32+IK32+IF32+IA32</f>
        <v>0</v>
      </c>
      <c r="IU32" s="661"/>
      <c r="IV32" s="662">
        <f>IC32+IH32+IM32+IR32</f>
        <v>0</v>
      </c>
      <c r="IW32" s="654">
        <f t="shared" si="10"/>
        <v>0</v>
      </c>
      <c r="IX32" s="645"/>
      <c r="IY32" s="639"/>
      <c r="IZ32" s="648"/>
      <c r="JA32" s="635"/>
      <c r="JB32" s="636"/>
      <c r="JC32" s="639"/>
      <c r="JD32" s="639"/>
      <c r="JE32" s="633"/>
      <c r="JF32" s="635"/>
      <c r="JG32" s="636"/>
      <c r="JH32" s="639"/>
      <c r="JI32" s="639"/>
      <c r="JJ32" s="648"/>
      <c r="JK32" s="635"/>
      <c r="JL32" s="636"/>
      <c r="JM32" s="639"/>
      <c r="JN32" s="639"/>
      <c r="JO32" s="633"/>
      <c r="JP32" s="638"/>
      <c r="JQ32" s="636"/>
      <c r="JR32" s="661">
        <f>JN32+JI32+JD32+IY32</f>
        <v>0</v>
      </c>
      <c r="JS32" s="661"/>
      <c r="JT32" s="663">
        <f>JP32+JK32+JA32+JF32</f>
        <v>0</v>
      </c>
      <c r="JU32" s="651">
        <f t="shared" si="11"/>
        <v>0</v>
      </c>
      <c r="JV32" s="645"/>
      <c r="JW32" s="639"/>
      <c r="JX32" s="648"/>
      <c r="JY32" s="635"/>
      <c r="JZ32" s="636"/>
      <c r="KA32" s="639"/>
      <c r="KB32" s="639"/>
      <c r="KC32" s="633"/>
      <c r="KD32" s="638"/>
      <c r="KE32" s="636"/>
      <c r="KF32" s="639"/>
      <c r="KG32" s="639"/>
      <c r="KH32" s="648"/>
      <c r="KI32" s="635"/>
      <c r="KJ32" s="636"/>
      <c r="KK32" s="639"/>
      <c r="KL32" s="639"/>
      <c r="KM32" s="633"/>
      <c r="KN32" s="638"/>
      <c r="KO32" s="636"/>
      <c r="KP32" s="639"/>
      <c r="KQ32" s="639"/>
      <c r="KR32" s="648"/>
      <c r="KS32" s="635"/>
      <c r="KT32" s="636"/>
      <c r="KU32" s="661">
        <f>KQ32+KL32+KG32+KB32+JW32</f>
        <v>0</v>
      </c>
      <c r="KV32" s="661"/>
      <c r="KW32" s="662">
        <f>KS32+KN32+KI32+KD32+JY32</f>
        <v>0</v>
      </c>
      <c r="KX32" s="959">
        <f t="shared" si="12"/>
        <v>0</v>
      </c>
      <c r="KY32" s="894">
        <f>X32+AV32+BY32+CW32+DU32+EX32+FV32+GT32+HW32+IU32+JS32+KV32</f>
        <v>0</v>
      </c>
      <c r="KZ32" s="893">
        <f>Y32+AW32+BZ32+CX32+DV32+EY32+FW32+GU32+HX32+IV32+JT32+KW32</f>
        <v>0</v>
      </c>
      <c r="LA32" s="892">
        <f>KZ32-KY32</f>
        <v>0</v>
      </c>
      <c r="LB32" s="891">
        <f t="shared" si="13"/>
        <v>0</v>
      </c>
    </row>
    <row r="33" spans="1:314" ht="15.75" customHeight="1">
      <c r="A33" s="1495"/>
      <c r="B33" s="897" t="s">
        <v>233</v>
      </c>
      <c r="C33" s="645" t="s">
        <v>513</v>
      </c>
      <c r="D33" s="639">
        <f>D30*0.4</f>
        <v>29893.718720000001</v>
      </c>
      <c r="E33" s="474" t="s">
        <v>513</v>
      </c>
      <c r="F33" s="635"/>
      <c r="G33" s="637" t="s">
        <v>513</v>
      </c>
      <c r="H33" s="639" t="s">
        <v>513</v>
      </c>
      <c r="I33" s="639">
        <f>I30*0.4</f>
        <v>29880.646399999998</v>
      </c>
      <c r="J33" s="633">
        <v>1</v>
      </c>
      <c r="K33" s="638"/>
      <c r="L33" s="637" t="s">
        <v>513</v>
      </c>
      <c r="M33" s="639" t="s">
        <v>513</v>
      </c>
      <c r="N33" s="639">
        <f>N30*0.4</f>
        <v>29744.229600000006</v>
      </c>
      <c r="O33" s="474" t="s">
        <v>513</v>
      </c>
      <c r="P33" s="635"/>
      <c r="Q33" s="636"/>
      <c r="R33" s="639" t="s">
        <v>513</v>
      </c>
      <c r="S33" s="639">
        <f>S30*0.4</f>
        <v>29925.100800000004</v>
      </c>
      <c r="T33" s="474" t="s">
        <v>513</v>
      </c>
      <c r="U33" s="635"/>
      <c r="V33" s="636"/>
      <c r="W33" s="639">
        <f>D33+I33+N33+S33</f>
        <v>119443.69552000001</v>
      </c>
      <c r="X33" s="639"/>
      <c r="Y33" s="666">
        <f>+F33+K33+P33+U33</f>
        <v>0</v>
      </c>
      <c r="Z33" s="646">
        <f t="shared" si="0"/>
        <v>0</v>
      </c>
      <c r="AA33" s="645" t="s">
        <v>513</v>
      </c>
      <c r="AB33" s="639">
        <f>AB30*0.4</f>
        <v>27674.137040000001</v>
      </c>
      <c r="AC33" s="474" t="s">
        <v>513</v>
      </c>
      <c r="AD33" s="635"/>
      <c r="AE33" s="636"/>
      <c r="AF33" s="639" t="s">
        <v>513</v>
      </c>
      <c r="AG33" s="639">
        <f>AG30*0.4</f>
        <v>32422.753400000001</v>
      </c>
      <c r="AH33" s="474" t="s">
        <v>513</v>
      </c>
      <c r="AI33" s="635"/>
      <c r="AJ33" s="636"/>
      <c r="AK33" s="639" t="s">
        <v>513</v>
      </c>
      <c r="AL33" s="639">
        <f>AL30*0.4</f>
        <v>27719.582400000003</v>
      </c>
      <c r="AM33" s="474" t="s">
        <v>513</v>
      </c>
      <c r="AN33" s="635"/>
      <c r="AO33" s="636"/>
      <c r="AP33" s="639" t="s">
        <v>513</v>
      </c>
      <c r="AQ33" s="639">
        <f>AQ30*0.4</f>
        <v>29318.882400000002</v>
      </c>
      <c r="AR33" s="474" t="s">
        <v>513</v>
      </c>
      <c r="AS33" s="638"/>
      <c r="AT33" s="636"/>
      <c r="AU33" s="639">
        <f>AB33+AG33+AL33+AQ33</f>
        <v>117135.35524</v>
      </c>
      <c r="AV33" s="896"/>
      <c r="AW33" s="895">
        <f>AD33+AI33++AN33+AS33</f>
        <v>0</v>
      </c>
      <c r="AX33" s="665">
        <f t="shared" si="1"/>
        <v>0</v>
      </c>
      <c r="AY33" s="645" t="s">
        <v>513</v>
      </c>
      <c r="AZ33" s="639">
        <f>AZ30*0.4</f>
        <v>29503.188000000002</v>
      </c>
      <c r="BA33" s="474" t="s">
        <v>513</v>
      </c>
      <c r="BB33" s="635"/>
      <c r="BC33" s="636"/>
      <c r="BD33" s="639" t="s">
        <v>513</v>
      </c>
      <c r="BE33" s="639">
        <f>BE30*0.4</f>
        <v>33818.835600000006</v>
      </c>
      <c r="BF33" s="474" t="s">
        <v>513</v>
      </c>
      <c r="BG33" s="638"/>
      <c r="BH33" s="636"/>
      <c r="BI33" s="639" t="s">
        <v>513</v>
      </c>
      <c r="BJ33" s="639">
        <f>BJ30*0.4</f>
        <v>35036.188560000002</v>
      </c>
      <c r="BK33" s="474" t="s">
        <v>513</v>
      </c>
      <c r="BL33" s="635"/>
      <c r="BM33" s="636"/>
      <c r="BN33" s="639" t="s">
        <v>513</v>
      </c>
      <c r="BO33" s="639">
        <f>BO30*0.4</f>
        <v>38331.691920000005</v>
      </c>
      <c r="BP33" s="648"/>
      <c r="BQ33" s="638"/>
      <c r="BR33" s="636">
        <v>0</v>
      </c>
      <c r="BS33" s="639" t="s">
        <v>513</v>
      </c>
      <c r="BT33" s="639">
        <f>BT30*0.4</f>
        <v>43966.91492000001</v>
      </c>
      <c r="BU33" s="648"/>
      <c r="BV33" s="635"/>
      <c r="BW33" s="636">
        <v>0</v>
      </c>
      <c r="BX33" s="661">
        <f>AZ33+BE33+BJ33+BO33+BT33</f>
        <v>180656.81900000002</v>
      </c>
      <c r="BY33" s="661"/>
      <c r="BZ33" s="663">
        <f>BV33+BQ33+BL33+BG33+BB33</f>
        <v>0</v>
      </c>
      <c r="CA33" s="651">
        <f t="shared" si="2"/>
        <v>0</v>
      </c>
      <c r="CB33" s="645" t="s">
        <v>513</v>
      </c>
      <c r="CC33" s="639">
        <f>CC30*0.4</f>
        <v>39682.113160000008</v>
      </c>
      <c r="CD33" s="648"/>
      <c r="CE33" s="635"/>
      <c r="CF33" s="636">
        <f>CE33/CC33</f>
        <v>0</v>
      </c>
      <c r="CG33" s="639" t="s">
        <v>513</v>
      </c>
      <c r="CH33" s="639">
        <f>CH30*0.4</f>
        <v>37867.806000000004</v>
      </c>
      <c r="CI33" s="648">
        <v>0.75</v>
      </c>
      <c r="CJ33" s="635"/>
      <c r="CK33" s="636">
        <f>CJ33/CH33</f>
        <v>0</v>
      </c>
      <c r="CL33" s="639" t="s">
        <v>513</v>
      </c>
      <c r="CM33" s="639">
        <f>CM30*0.4</f>
        <v>32763.844799999999</v>
      </c>
      <c r="CN33" s="648">
        <v>0.5</v>
      </c>
      <c r="CO33" s="635"/>
      <c r="CP33" s="636">
        <f>CO33/CM33</f>
        <v>0</v>
      </c>
      <c r="CQ33" s="639">
        <v>60433</v>
      </c>
      <c r="CR33" s="639">
        <f>CR30*0.4</f>
        <v>33797.425480000005</v>
      </c>
      <c r="CS33" s="474"/>
      <c r="CT33" s="638"/>
      <c r="CU33" s="636">
        <f>CT33/CQ33</f>
        <v>0</v>
      </c>
      <c r="CV33" s="656">
        <f>CR33+CM33+CH33+CC33</f>
        <v>144111.18944000002</v>
      </c>
      <c r="CW33" s="656"/>
      <c r="CX33" s="657">
        <f>CT33+CO33+CE33+CJ33</f>
        <v>0</v>
      </c>
      <c r="CY33" s="654">
        <f t="shared" si="3"/>
        <v>0</v>
      </c>
      <c r="CZ33" s="645"/>
      <c r="DA33" s="639"/>
      <c r="DB33" s="648"/>
      <c r="DC33" s="635"/>
      <c r="DD33" s="636"/>
      <c r="DE33" s="639"/>
      <c r="DF33" s="639"/>
      <c r="DG33" s="648"/>
      <c r="DH33" s="635"/>
      <c r="DI33" s="636"/>
      <c r="DJ33" s="639"/>
      <c r="DK33" s="639"/>
      <c r="DL33" s="648"/>
      <c r="DM33" s="635"/>
      <c r="DN33" s="636"/>
      <c r="DO33" s="639"/>
      <c r="DP33" s="639"/>
      <c r="DQ33" s="648"/>
      <c r="DR33" s="638"/>
      <c r="DS33" s="636"/>
      <c r="DT33" s="656">
        <f>DP33+DK33+DF33+DA33</f>
        <v>0</v>
      </c>
      <c r="DU33" s="656"/>
      <c r="DV33" s="657">
        <f>DR33+DM33+DC33+DH33</f>
        <v>0</v>
      </c>
      <c r="DW33" s="654">
        <f t="shared" si="4"/>
        <v>0</v>
      </c>
      <c r="DX33" s="645"/>
      <c r="DY33" s="639"/>
      <c r="DZ33" s="648"/>
      <c r="EA33" s="907">
        <f>'Vtas Diarias 2022'!AAC34</f>
        <v>0</v>
      </c>
      <c r="EB33" s="636"/>
      <c r="EC33" s="639"/>
      <c r="ED33" s="639"/>
      <c r="EE33" s="648"/>
      <c r="EF33" s="638"/>
      <c r="EG33" s="636"/>
      <c r="EH33" s="639"/>
      <c r="EI33" s="639"/>
      <c r="EJ33" s="648"/>
      <c r="EK33" s="635"/>
      <c r="EL33" s="636"/>
      <c r="EM33" s="639"/>
      <c r="EN33" s="639"/>
      <c r="EO33" s="648"/>
      <c r="EP33" s="638"/>
      <c r="EQ33" s="636"/>
      <c r="ER33" s="639"/>
      <c r="ES33" s="639"/>
      <c r="ET33" s="648"/>
      <c r="EU33" s="635"/>
      <c r="EV33" s="636"/>
      <c r="EW33" s="661">
        <f>ES33+EN33+EI33+ED33+DY33</f>
        <v>0</v>
      </c>
      <c r="EX33" s="661"/>
      <c r="EY33" s="904">
        <f t="shared" si="5"/>
        <v>0</v>
      </c>
      <c r="EZ33" s="654">
        <f t="shared" si="6"/>
        <v>0</v>
      </c>
      <c r="FA33" s="645"/>
      <c r="FB33" s="639"/>
      <c r="FC33" s="648"/>
      <c r="FD33" s="635"/>
      <c r="FE33" s="636"/>
      <c r="FF33" s="639"/>
      <c r="FG33" s="639"/>
      <c r="FH33" s="648"/>
      <c r="FI33" s="635"/>
      <c r="FJ33" s="636"/>
      <c r="FK33" s="639"/>
      <c r="FL33" s="639"/>
      <c r="FM33" s="648"/>
      <c r="FN33" s="635"/>
      <c r="FO33" s="636"/>
      <c r="FP33" s="639"/>
      <c r="FQ33" s="639"/>
      <c r="FR33" s="648"/>
      <c r="FS33" s="638"/>
      <c r="FT33" s="636"/>
      <c r="FU33" s="661">
        <f>FQ33+FL33+FG33+FB33</f>
        <v>0</v>
      </c>
      <c r="FV33" s="661"/>
      <c r="FW33" s="663">
        <f>FS33+FN33+FD33+FI33</f>
        <v>0</v>
      </c>
      <c r="FX33" s="651">
        <f t="shared" si="7"/>
        <v>0</v>
      </c>
      <c r="FY33" s="645"/>
      <c r="FZ33" s="639"/>
      <c r="GA33" s="648"/>
      <c r="GB33" s="635"/>
      <c r="GC33" s="636"/>
      <c r="GD33" s="639"/>
      <c r="GE33" s="639"/>
      <c r="GF33" s="648"/>
      <c r="GG33" s="638"/>
      <c r="GH33" s="636"/>
      <c r="GI33" s="639"/>
      <c r="GJ33" s="639"/>
      <c r="GK33" s="648"/>
      <c r="GL33" s="635"/>
      <c r="GM33" s="636"/>
      <c r="GN33" s="639"/>
      <c r="GO33" s="639"/>
      <c r="GP33" s="648"/>
      <c r="GQ33" s="638"/>
      <c r="GR33" s="636"/>
      <c r="GS33" s="661">
        <f>GO33+GJ33+GE33+FZ33</f>
        <v>0</v>
      </c>
      <c r="GT33" s="661"/>
      <c r="GU33" s="662">
        <f>GQ33+GL33+GB33+GG33</f>
        <v>0</v>
      </c>
      <c r="GV33" s="654">
        <f t="shared" si="8"/>
        <v>0</v>
      </c>
      <c r="GW33" s="645"/>
      <c r="GX33" s="639"/>
      <c r="GY33" s="474"/>
      <c r="GZ33" s="635"/>
      <c r="HA33" s="636"/>
      <c r="HB33" s="639"/>
      <c r="HC33" s="639"/>
      <c r="HD33" s="474"/>
      <c r="HE33" s="638"/>
      <c r="HF33" s="636"/>
      <c r="HG33" s="639"/>
      <c r="HH33" s="639"/>
      <c r="HI33" s="474"/>
      <c r="HJ33" s="635"/>
      <c r="HK33" s="636"/>
      <c r="HL33" s="639"/>
      <c r="HM33" s="639"/>
      <c r="HN33" s="648"/>
      <c r="HO33" s="638"/>
      <c r="HP33" s="636"/>
      <c r="HQ33" s="639"/>
      <c r="HR33" s="639"/>
      <c r="HS33" s="648"/>
      <c r="HT33" s="635"/>
      <c r="HU33" s="636"/>
      <c r="HV33" s="661">
        <f>HR33+HM33+HH33+HC33+GX33</f>
        <v>0</v>
      </c>
      <c r="HW33" s="661"/>
      <c r="HX33" s="663">
        <f>HT33+HO33+HJ33+HE33+GZ33</f>
        <v>0</v>
      </c>
      <c r="HY33" s="651">
        <f t="shared" si="9"/>
        <v>0</v>
      </c>
      <c r="HZ33" s="645"/>
      <c r="IA33" s="639"/>
      <c r="IB33" s="648"/>
      <c r="IC33" s="635"/>
      <c r="ID33" s="636"/>
      <c r="IE33" s="639"/>
      <c r="IF33" s="639"/>
      <c r="IG33" s="648"/>
      <c r="IH33" s="638"/>
      <c r="II33" s="636"/>
      <c r="IJ33" s="639"/>
      <c r="IK33" s="639"/>
      <c r="IL33" s="648"/>
      <c r="IM33" s="635"/>
      <c r="IN33" s="636"/>
      <c r="IO33" s="639"/>
      <c r="IP33" s="639"/>
      <c r="IQ33" s="648"/>
      <c r="IR33" s="638"/>
      <c r="IS33" s="636"/>
      <c r="IT33" s="661">
        <f>IP33+IK33+IF33+IA33</f>
        <v>0</v>
      </c>
      <c r="IU33" s="661"/>
      <c r="IV33" s="662">
        <f>IC33+IH33+IM33+IR33</f>
        <v>0</v>
      </c>
      <c r="IW33" s="654">
        <f t="shared" si="10"/>
        <v>0</v>
      </c>
      <c r="IX33" s="645"/>
      <c r="IY33" s="639"/>
      <c r="IZ33" s="648"/>
      <c r="JA33" s="635"/>
      <c r="JB33" s="636"/>
      <c r="JC33" s="639"/>
      <c r="JD33" s="639"/>
      <c r="JE33" s="648"/>
      <c r="JF33" s="635"/>
      <c r="JG33" s="636"/>
      <c r="JH33" s="639"/>
      <c r="JI33" s="639"/>
      <c r="JJ33" s="648"/>
      <c r="JK33" s="635"/>
      <c r="JL33" s="636"/>
      <c r="JM33" s="639"/>
      <c r="JN33" s="639"/>
      <c r="JO33" s="648"/>
      <c r="JP33" s="638"/>
      <c r="JQ33" s="636"/>
      <c r="JR33" s="661">
        <f>JN33+JI33+JD33+IY33</f>
        <v>0</v>
      </c>
      <c r="JS33" s="661"/>
      <c r="JT33" s="663">
        <f>JP33+JK33+JA33+JF33</f>
        <v>0</v>
      </c>
      <c r="JU33" s="651">
        <f t="shared" si="11"/>
        <v>0</v>
      </c>
      <c r="JV33" s="645"/>
      <c r="JW33" s="639"/>
      <c r="JX33" s="648"/>
      <c r="JY33" s="635"/>
      <c r="JZ33" s="636"/>
      <c r="KA33" s="639"/>
      <c r="KB33" s="639"/>
      <c r="KC33" s="648"/>
      <c r="KD33" s="638"/>
      <c r="KE33" s="636"/>
      <c r="KF33" s="639"/>
      <c r="KG33" s="639"/>
      <c r="KH33" s="648"/>
      <c r="KI33" s="635"/>
      <c r="KJ33" s="636"/>
      <c r="KK33" s="639"/>
      <c r="KL33" s="639"/>
      <c r="KM33" s="648"/>
      <c r="KN33" s="638"/>
      <c r="KO33" s="636"/>
      <c r="KP33" s="639"/>
      <c r="KQ33" s="639"/>
      <c r="KR33" s="648"/>
      <c r="KS33" s="635"/>
      <c r="KT33" s="636"/>
      <c r="KU33" s="661">
        <f>KQ33+KL33+KG33+KB33+JW33</f>
        <v>0</v>
      </c>
      <c r="KV33" s="661"/>
      <c r="KW33" s="662">
        <f>KS33+KN33+KI33+KD33+JY33</f>
        <v>0</v>
      </c>
      <c r="KX33" s="959">
        <f t="shared" si="12"/>
        <v>0</v>
      </c>
      <c r="KY33" s="894">
        <f>X33+AV33+BY33+CW33+DU33+EX33+FV33+GT33+HW33+IU33+JS33+KV33</f>
        <v>0</v>
      </c>
      <c r="KZ33" s="893">
        <f>Y33+AW33+BZ33+CX33+DV33+EY33+FW33+GU33+HX33+IV33+JT33+KW33</f>
        <v>0</v>
      </c>
      <c r="LA33" s="892">
        <f>KZ33-KY33</f>
        <v>0</v>
      </c>
      <c r="LB33" s="891">
        <f t="shared" si="13"/>
        <v>0</v>
      </c>
    </row>
    <row r="34" spans="1:314">
      <c r="A34" s="1495"/>
      <c r="B34" s="897" t="s">
        <v>37</v>
      </c>
      <c r="C34" s="645" t="s">
        <v>513</v>
      </c>
      <c r="D34" s="639">
        <f>D30*0.6</f>
        <v>44840.578079999999</v>
      </c>
      <c r="E34" s="474" t="s">
        <v>513</v>
      </c>
      <c r="F34" s="635"/>
      <c r="G34" s="637" t="s">
        <v>513</v>
      </c>
      <c r="H34" s="639" t="s">
        <v>513</v>
      </c>
      <c r="I34" s="639">
        <f>I30*0.6</f>
        <v>44820.969599999997</v>
      </c>
      <c r="J34" s="633">
        <v>1</v>
      </c>
      <c r="K34" s="638"/>
      <c r="L34" s="637" t="s">
        <v>513</v>
      </c>
      <c r="M34" s="639" t="s">
        <v>513</v>
      </c>
      <c r="N34" s="639">
        <f>N30*0.6</f>
        <v>44616.344400000002</v>
      </c>
      <c r="O34" s="474" t="s">
        <v>513</v>
      </c>
      <c r="P34" s="635"/>
      <c r="Q34" s="636"/>
      <c r="R34" s="639" t="s">
        <v>513</v>
      </c>
      <c r="S34" s="639">
        <f>S30*0.6</f>
        <v>44887.6512</v>
      </c>
      <c r="T34" s="474" t="s">
        <v>513</v>
      </c>
      <c r="U34" s="635"/>
      <c r="V34" s="636"/>
      <c r="W34" s="639">
        <f>D34+I34+N34+S34</f>
        <v>179165.54327999998</v>
      </c>
      <c r="X34" s="639"/>
      <c r="Y34" s="666">
        <f>+F34+K34+P34+U34</f>
        <v>0</v>
      </c>
      <c r="Z34" s="646">
        <f t="shared" si="0"/>
        <v>0</v>
      </c>
      <c r="AA34" s="645" t="s">
        <v>513</v>
      </c>
      <c r="AB34" s="639">
        <f>AB30*0.6</f>
        <v>41511.205560000002</v>
      </c>
      <c r="AC34" s="474" t="s">
        <v>513</v>
      </c>
      <c r="AD34" s="635"/>
      <c r="AE34" s="636"/>
      <c r="AF34" s="639" t="s">
        <v>513</v>
      </c>
      <c r="AG34" s="639">
        <f>AG30*0.6</f>
        <v>48634.130099999995</v>
      </c>
      <c r="AH34" s="474" t="s">
        <v>513</v>
      </c>
      <c r="AI34" s="635"/>
      <c r="AJ34" s="636"/>
      <c r="AK34" s="639" t="s">
        <v>513</v>
      </c>
      <c r="AL34" s="639">
        <f>AL30*0.6</f>
        <v>41579.373599999999</v>
      </c>
      <c r="AM34" s="474" t="s">
        <v>513</v>
      </c>
      <c r="AN34" s="635"/>
      <c r="AO34" s="636"/>
      <c r="AP34" s="639" t="s">
        <v>513</v>
      </c>
      <c r="AQ34" s="639">
        <f>AQ30*0.6</f>
        <v>43978.323600000003</v>
      </c>
      <c r="AR34" s="474" t="s">
        <v>513</v>
      </c>
      <c r="AS34" s="638"/>
      <c r="AT34" s="636"/>
      <c r="AU34" s="639">
        <f>AB34+AG34+AL34+AQ34</f>
        <v>175703.03286000001</v>
      </c>
      <c r="AV34" s="896"/>
      <c r="AW34" s="895">
        <f>AD34+AI34++AN34+AS34</f>
        <v>0</v>
      </c>
      <c r="AX34" s="665">
        <f t="shared" si="1"/>
        <v>0</v>
      </c>
      <c r="AY34" s="645" t="s">
        <v>513</v>
      </c>
      <c r="AZ34" s="639">
        <f>AZ30*0.6</f>
        <v>44254.781999999999</v>
      </c>
      <c r="BA34" s="474" t="s">
        <v>513</v>
      </c>
      <c r="BB34" s="635"/>
      <c r="BC34" s="636"/>
      <c r="BD34" s="639" t="s">
        <v>513</v>
      </c>
      <c r="BE34" s="639">
        <f>BE30*0.6</f>
        <v>50728.253400000001</v>
      </c>
      <c r="BF34" s="474" t="s">
        <v>513</v>
      </c>
      <c r="BG34" s="638"/>
      <c r="BH34" s="636"/>
      <c r="BI34" s="639" t="s">
        <v>513</v>
      </c>
      <c r="BJ34" s="639">
        <f>BJ30*0.6</f>
        <v>52554.282839999993</v>
      </c>
      <c r="BK34" s="474" t="s">
        <v>513</v>
      </c>
      <c r="BL34" s="635"/>
      <c r="BM34" s="636"/>
      <c r="BN34" s="639" t="s">
        <v>513</v>
      </c>
      <c r="BO34" s="639">
        <f>BO30*0.6</f>
        <v>57497.537879999996</v>
      </c>
      <c r="BP34" s="648"/>
      <c r="BQ34" s="638"/>
      <c r="BR34" s="636">
        <v>0</v>
      </c>
      <c r="BS34" s="639" t="s">
        <v>513</v>
      </c>
      <c r="BT34" s="639">
        <f>BT30*0.6</f>
        <v>65950.372380000001</v>
      </c>
      <c r="BU34" s="648"/>
      <c r="BV34" s="635"/>
      <c r="BW34" s="636">
        <v>0</v>
      </c>
      <c r="BX34" s="661">
        <f>AZ34+BE34+BJ34+BO34+BT34</f>
        <v>270985.22849999997</v>
      </c>
      <c r="BY34" s="661"/>
      <c r="BZ34" s="663">
        <f>BV34+BQ34+BL34+BG34+BB34</f>
        <v>0</v>
      </c>
      <c r="CA34" s="651">
        <f t="shared" si="2"/>
        <v>0</v>
      </c>
      <c r="CB34" s="645" t="s">
        <v>513</v>
      </c>
      <c r="CC34" s="639">
        <f>CC30*0.6</f>
        <v>59523.169739999998</v>
      </c>
      <c r="CD34" s="648"/>
      <c r="CE34" s="635"/>
      <c r="CF34" s="636">
        <f>CE34/CC34</f>
        <v>0</v>
      </c>
      <c r="CG34" s="639" t="s">
        <v>513</v>
      </c>
      <c r="CH34" s="639">
        <f>CH30*0.6</f>
        <v>56801.70900000001</v>
      </c>
      <c r="CI34" s="648">
        <v>0.75</v>
      </c>
      <c r="CJ34" s="635"/>
      <c r="CK34" s="636">
        <f>CJ34/CH34</f>
        <v>0</v>
      </c>
      <c r="CL34" s="639" t="s">
        <v>513</v>
      </c>
      <c r="CM34" s="639">
        <f>CM30*0.6</f>
        <v>49145.767199999995</v>
      </c>
      <c r="CN34" s="648">
        <v>0.5</v>
      </c>
      <c r="CO34" s="635"/>
      <c r="CP34" s="636">
        <f>CO34/CM34</f>
        <v>0</v>
      </c>
      <c r="CQ34" s="639" t="s">
        <v>513</v>
      </c>
      <c r="CR34" s="639">
        <f>CR30*0.6</f>
        <v>50696.138220000008</v>
      </c>
      <c r="CS34" s="474"/>
      <c r="CT34" s="638"/>
      <c r="CU34" s="636">
        <f>CT34/CR34</f>
        <v>0</v>
      </c>
      <c r="CV34" s="656">
        <f>CR34+CM34+CH34+CC34</f>
        <v>216166.78415999998</v>
      </c>
      <c r="CW34" s="656"/>
      <c r="CX34" s="657">
        <f>CT34+CO34+CE34+CJ34</f>
        <v>0</v>
      </c>
      <c r="CY34" s="654">
        <f t="shared" si="3"/>
        <v>0</v>
      </c>
      <c r="CZ34" s="645" t="s">
        <v>513</v>
      </c>
      <c r="DA34" s="639">
        <f>DA30*0.6</f>
        <v>73285.943400000004</v>
      </c>
      <c r="DB34" s="648"/>
      <c r="DC34" s="635"/>
      <c r="DD34" s="636">
        <f>DC34/DA34</f>
        <v>0</v>
      </c>
      <c r="DE34" s="639" t="s">
        <v>513</v>
      </c>
      <c r="DF34" s="639">
        <f>DF30*0.6</f>
        <v>52520.885999999999</v>
      </c>
      <c r="DG34" s="648"/>
      <c r="DH34" s="635"/>
      <c r="DI34" s="636">
        <f>DH34/DF34</f>
        <v>0</v>
      </c>
      <c r="DJ34" s="639" t="s">
        <v>513</v>
      </c>
      <c r="DK34" s="639">
        <f>DK30*0.6</f>
        <v>47949.337800000001</v>
      </c>
      <c r="DL34" s="648"/>
      <c r="DM34" s="635"/>
      <c r="DN34" s="636">
        <f>DM34/DK34</f>
        <v>0</v>
      </c>
      <c r="DO34" s="639" t="s">
        <v>513</v>
      </c>
      <c r="DP34" s="639">
        <f>DP30*0.6</f>
        <v>48014.656199999998</v>
      </c>
      <c r="DQ34" s="648"/>
      <c r="DR34" s="638"/>
      <c r="DS34" s="636"/>
      <c r="DT34" s="656">
        <f>DP34+DK34+DF34+DA34</f>
        <v>221770.82339999999</v>
      </c>
      <c r="DU34" s="656"/>
      <c r="DV34" s="657">
        <f>DR34+DM34+DC34+DH34</f>
        <v>0</v>
      </c>
      <c r="DW34" s="654">
        <f t="shared" si="4"/>
        <v>0</v>
      </c>
      <c r="DX34" s="645" t="s">
        <v>513</v>
      </c>
      <c r="DY34" s="639">
        <f>DY30*0.6</f>
        <v>56315.941200000001</v>
      </c>
      <c r="DZ34" s="648"/>
      <c r="EA34" s="907">
        <f>'Vtas Diarias 2022'!AAC35</f>
        <v>0</v>
      </c>
      <c r="EB34" s="636"/>
      <c r="EC34" s="639" t="s">
        <v>513</v>
      </c>
      <c r="ED34" s="639">
        <f>ED30*0.6</f>
        <v>66591.122399999993</v>
      </c>
      <c r="EE34" s="648"/>
      <c r="EF34" s="638"/>
      <c r="EG34" s="636"/>
      <c r="EH34" s="639" t="s">
        <v>513</v>
      </c>
      <c r="EI34" s="639">
        <f>EI30*0.6</f>
        <v>63899.865779999993</v>
      </c>
      <c r="EJ34" s="648"/>
      <c r="EK34" s="635"/>
      <c r="EL34" s="636"/>
      <c r="EM34" s="639" t="s">
        <v>513</v>
      </c>
      <c r="EN34" s="639">
        <f>EN30*0.6</f>
        <v>67714.337879999992</v>
      </c>
      <c r="EO34" s="648"/>
      <c r="EP34" s="638"/>
      <c r="EQ34" s="636"/>
      <c r="ER34" s="639" t="s">
        <v>513</v>
      </c>
      <c r="ES34" s="639">
        <f>ES30*0.6</f>
        <v>67586.661900000006</v>
      </c>
      <c r="ET34" s="648"/>
      <c r="EU34" s="635"/>
      <c r="EV34" s="636"/>
      <c r="EW34" s="661">
        <f>ES34+EN34+EI34+ED34+DY34</f>
        <v>322107.92916</v>
      </c>
      <c r="EX34" s="661"/>
      <c r="EY34" s="904">
        <f t="shared" si="5"/>
        <v>0</v>
      </c>
      <c r="EZ34" s="654">
        <f t="shared" si="6"/>
        <v>0</v>
      </c>
      <c r="FA34" s="645" t="s">
        <v>513</v>
      </c>
      <c r="FB34" s="639">
        <f>FB30*0.6</f>
        <v>61270.767359999991</v>
      </c>
      <c r="FC34" s="648"/>
      <c r="FD34" s="635"/>
      <c r="FE34" s="636"/>
      <c r="FF34" s="639" t="s">
        <v>513</v>
      </c>
      <c r="FG34" s="639">
        <f>FG30*0.6</f>
        <v>62850.179039999995</v>
      </c>
      <c r="FH34" s="648"/>
      <c r="FI34" s="635"/>
      <c r="FJ34" s="636"/>
      <c r="FK34" s="639" t="s">
        <v>513</v>
      </c>
      <c r="FL34" s="639">
        <f>FL30*0.6</f>
        <v>52165.08</v>
      </c>
      <c r="FM34" s="648"/>
      <c r="FN34" s="635"/>
      <c r="FO34" s="636"/>
      <c r="FP34" s="639"/>
      <c r="FQ34" s="639">
        <f>FQ30*0.6</f>
        <v>57141.130680000009</v>
      </c>
      <c r="FR34" s="648"/>
      <c r="FS34" s="638"/>
      <c r="FT34" s="636"/>
      <c r="FU34" s="661">
        <f>FQ34+FL34+FG34+FB34</f>
        <v>233427.15708</v>
      </c>
      <c r="FV34" s="661"/>
      <c r="FW34" s="663">
        <f>FS34+FN34+FD34+FI34</f>
        <v>0</v>
      </c>
      <c r="FX34" s="651">
        <f t="shared" si="7"/>
        <v>0</v>
      </c>
      <c r="FY34" s="645"/>
      <c r="FZ34" s="639"/>
      <c r="GA34" s="648"/>
      <c r="GB34" s="635"/>
      <c r="GC34" s="636"/>
      <c r="GD34" s="639"/>
      <c r="GE34" s="639"/>
      <c r="GF34" s="648"/>
      <c r="GG34" s="638"/>
      <c r="GH34" s="636"/>
      <c r="GI34" s="639"/>
      <c r="GJ34" s="639"/>
      <c r="GK34" s="648"/>
      <c r="GL34" s="635"/>
      <c r="GM34" s="636"/>
      <c r="GN34" s="639"/>
      <c r="GO34" s="639"/>
      <c r="GP34" s="648"/>
      <c r="GQ34" s="638"/>
      <c r="GR34" s="636"/>
      <c r="GS34" s="661">
        <f>GO34+GJ34+GE34+FZ34</f>
        <v>0</v>
      </c>
      <c r="GT34" s="661"/>
      <c r="GU34" s="662">
        <f>GQ34+GL34+GB34+GG34</f>
        <v>0</v>
      </c>
      <c r="GV34" s="654">
        <f t="shared" si="8"/>
        <v>0</v>
      </c>
      <c r="GW34" s="645"/>
      <c r="GX34" s="639"/>
      <c r="GY34" s="474"/>
      <c r="GZ34" s="635"/>
      <c r="HA34" s="636"/>
      <c r="HB34" s="639"/>
      <c r="HC34" s="639"/>
      <c r="HD34" s="474"/>
      <c r="HE34" s="638"/>
      <c r="HF34" s="636"/>
      <c r="HG34" s="639"/>
      <c r="HH34" s="639"/>
      <c r="HI34" s="474"/>
      <c r="HJ34" s="635"/>
      <c r="HK34" s="636"/>
      <c r="HL34" s="639"/>
      <c r="HM34" s="639"/>
      <c r="HN34" s="648"/>
      <c r="HO34" s="638"/>
      <c r="HP34" s="636"/>
      <c r="HQ34" s="639"/>
      <c r="HR34" s="639"/>
      <c r="HS34" s="648"/>
      <c r="HT34" s="635"/>
      <c r="HU34" s="636"/>
      <c r="HV34" s="661">
        <f>HR34+HM34+HH34+HC34+GX34</f>
        <v>0</v>
      </c>
      <c r="HW34" s="661"/>
      <c r="HX34" s="663">
        <f>HT34+HO34+HJ34+HE34+GZ34</f>
        <v>0</v>
      </c>
      <c r="HY34" s="651">
        <f t="shared" si="9"/>
        <v>0</v>
      </c>
      <c r="HZ34" s="645"/>
      <c r="IA34" s="639"/>
      <c r="IB34" s="648"/>
      <c r="IC34" s="635"/>
      <c r="ID34" s="636"/>
      <c r="IE34" s="639"/>
      <c r="IF34" s="639"/>
      <c r="IG34" s="648"/>
      <c r="IH34" s="638"/>
      <c r="II34" s="636"/>
      <c r="IJ34" s="639"/>
      <c r="IK34" s="639"/>
      <c r="IL34" s="648"/>
      <c r="IM34" s="635"/>
      <c r="IN34" s="636"/>
      <c r="IO34" s="639"/>
      <c r="IP34" s="639"/>
      <c r="IQ34" s="648"/>
      <c r="IR34" s="638"/>
      <c r="IS34" s="636"/>
      <c r="IT34" s="661">
        <f>IP34+IK34+IF34+IA34</f>
        <v>0</v>
      </c>
      <c r="IU34" s="661"/>
      <c r="IV34" s="662">
        <f>IC34+IH34+IM34+IR34</f>
        <v>0</v>
      </c>
      <c r="IW34" s="654">
        <f t="shared" si="10"/>
        <v>0</v>
      </c>
      <c r="IX34" s="645"/>
      <c r="IY34" s="639"/>
      <c r="IZ34" s="648"/>
      <c r="JA34" s="635"/>
      <c r="JB34" s="636"/>
      <c r="JC34" s="639"/>
      <c r="JD34" s="639"/>
      <c r="JE34" s="648"/>
      <c r="JF34" s="635"/>
      <c r="JG34" s="636"/>
      <c r="JH34" s="639"/>
      <c r="JI34" s="639"/>
      <c r="JJ34" s="648"/>
      <c r="JK34" s="635"/>
      <c r="JL34" s="636"/>
      <c r="JM34" s="639"/>
      <c r="JN34" s="639"/>
      <c r="JO34" s="648"/>
      <c r="JP34" s="638"/>
      <c r="JQ34" s="636"/>
      <c r="JR34" s="661">
        <f>JN34+JI34+JD34+IY34</f>
        <v>0</v>
      </c>
      <c r="JS34" s="661"/>
      <c r="JT34" s="663">
        <f>JP34+JK34+JA34+JF34</f>
        <v>0</v>
      </c>
      <c r="JU34" s="651">
        <f t="shared" si="11"/>
        <v>0</v>
      </c>
      <c r="JV34" s="645"/>
      <c r="JW34" s="639"/>
      <c r="JX34" s="648"/>
      <c r="JY34" s="635"/>
      <c r="JZ34" s="636"/>
      <c r="KA34" s="639"/>
      <c r="KB34" s="639"/>
      <c r="KC34" s="648"/>
      <c r="KD34" s="638"/>
      <c r="KE34" s="636"/>
      <c r="KF34" s="639"/>
      <c r="KG34" s="639"/>
      <c r="KH34" s="648"/>
      <c r="KI34" s="635"/>
      <c r="KJ34" s="636"/>
      <c r="KK34" s="639"/>
      <c r="KL34" s="639"/>
      <c r="KM34" s="648"/>
      <c r="KN34" s="638"/>
      <c r="KO34" s="636"/>
      <c r="KP34" s="639"/>
      <c r="KQ34" s="639"/>
      <c r="KR34" s="648"/>
      <c r="KS34" s="635"/>
      <c r="KT34" s="636"/>
      <c r="KU34" s="661">
        <f>KQ34+KL34+KG34+KB34+JW34</f>
        <v>0</v>
      </c>
      <c r="KV34" s="661"/>
      <c r="KW34" s="662">
        <f>KS34+KN34+KI34+KD34+JY34</f>
        <v>0</v>
      </c>
      <c r="KX34" s="959">
        <f t="shared" si="12"/>
        <v>0</v>
      </c>
      <c r="KY34" s="894">
        <f>X34+AV34+BY34+CW34+DU34+EX34+FV34+GT34+HW34+IU34+JS34+KV34</f>
        <v>0</v>
      </c>
      <c r="KZ34" s="893">
        <f>Y34+AW34+BZ34+CX34+DV34+EY34+FW34+GU34+HX34+IV34+JT34+KW34</f>
        <v>0</v>
      </c>
      <c r="LA34" s="892">
        <f>KZ34-KY34</f>
        <v>0</v>
      </c>
      <c r="LB34" s="891">
        <f t="shared" si="13"/>
        <v>0</v>
      </c>
    </row>
    <row r="35" spans="1:314" s="629" customFormat="1" ht="24.75" customHeight="1">
      <c r="A35" s="613"/>
      <c r="B35" s="667" t="s">
        <v>38</v>
      </c>
      <c r="C35" s="631">
        <f>SUM(C6:C34)</f>
        <v>1954051.9</v>
      </c>
      <c r="D35" s="632">
        <f>SUM(D6:D34)</f>
        <v>1952179.2859499997</v>
      </c>
      <c r="E35" s="630">
        <f>D35/C35</f>
        <v>0.99904167640071373</v>
      </c>
      <c r="F35" s="890">
        <f>SUM(F6:F34)</f>
        <v>0</v>
      </c>
      <c r="G35" s="634">
        <f>F35/C35</f>
        <v>0</v>
      </c>
      <c r="H35" s="632">
        <f>SUM(H6:H34)</f>
        <v>2042100.9499999997</v>
      </c>
      <c r="I35" s="632">
        <f>SUM(I6:I34)</f>
        <v>2032444.8092</v>
      </c>
      <c r="J35" s="630">
        <f>I35/H35</f>
        <v>0.99527146745610218</v>
      </c>
      <c r="K35" s="641">
        <f>SUM(K6:K34)</f>
        <v>0</v>
      </c>
      <c r="L35" s="642">
        <f>K35/H35</f>
        <v>0</v>
      </c>
      <c r="M35" s="632">
        <f>SUM(M6:M34)</f>
        <v>1988352.5200000005</v>
      </c>
      <c r="N35" s="632">
        <f>SUM(N6:N34)</f>
        <v>1981129.1597499999</v>
      </c>
      <c r="O35" s="630">
        <f>N35/M35</f>
        <v>0.99636716317788532</v>
      </c>
      <c r="P35" s="890">
        <f>SUM(P6:P34)</f>
        <v>0</v>
      </c>
      <c r="Q35" s="634">
        <f>P35/M35</f>
        <v>0</v>
      </c>
      <c r="R35" s="632">
        <f>SUM(R6:R34)</f>
        <v>2032428.9299999997</v>
      </c>
      <c r="S35" s="632">
        <f>SUM(S6:S34)</f>
        <v>2022289.6890500002</v>
      </c>
      <c r="T35" s="630">
        <f>S35/R35</f>
        <v>0.99501126912713278</v>
      </c>
      <c r="U35" s="641">
        <f>SUM(U6:U34)</f>
        <v>0</v>
      </c>
      <c r="V35" s="642">
        <f>U35/R35</f>
        <v>0</v>
      </c>
      <c r="W35" s="649">
        <f>SUM(W6:W34)</f>
        <v>7988042.9439499993</v>
      </c>
      <c r="X35" s="649">
        <f>SUM(X6:X34)</f>
        <v>0</v>
      </c>
      <c r="Y35" s="649">
        <f>SUM(Y6:Y34)</f>
        <v>0</v>
      </c>
      <c r="Z35" s="650">
        <f>IFERROR(Y35/X35,0)</f>
        <v>0</v>
      </c>
      <c r="AA35" s="631">
        <f>SUM(AA6:AA34)</f>
        <v>2074974.6500000001</v>
      </c>
      <c r="AB35" s="632">
        <f>SUM(AB6:AB34)</f>
        <v>2082075.9787499995</v>
      </c>
      <c r="AC35" s="630">
        <f>AB35/AA35</f>
        <v>1.0034223689190609</v>
      </c>
      <c r="AD35" s="890">
        <f>SUM(AD6:AD34)</f>
        <v>0</v>
      </c>
      <c r="AE35" s="634">
        <f>AD35/AA35</f>
        <v>0</v>
      </c>
      <c r="AF35" s="632">
        <f>SUM(AF6:AF34)</f>
        <v>2726382.0000000005</v>
      </c>
      <c r="AG35" s="632">
        <f>SUM(AG6:AG34)</f>
        <v>2736477.3965499997</v>
      </c>
      <c r="AH35" s="630">
        <f>AG35/AF35</f>
        <v>1.003702854754029</v>
      </c>
      <c r="AI35" s="641">
        <f>SUM(AI6:AI34)</f>
        <v>0</v>
      </c>
      <c r="AJ35" s="642">
        <f>AI35/AF35</f>
        <v>0</v>
      </c>
      <c r="AK35" s="632">
        <f>SUM(AK6:AK34)</f>
        <v>1934875.7800000005</v>
      </c>
      <c r="AL35" s="632">
        <f>SUM(AL6:AL34)</f>
        <v>1925831.796625</v>
      </c>
      <c r="AM35" s="630">
        <f>AL35/AK35</f>
        <v>0.99532580671664594</v>
      </c>
      <c r="AN35" s="890">
        <f>SUM(AN6:AN34)</f>
        <v>0</v>
      </c>
      <c r="AO35" s="634">
        <f>AN35/AK35</f>
        <v>0</v>
      </c>
      <c r="AP35" s="632">
        <f>SUM(AP6:AP34)</f>
        <v>2233649.31</v>
      </c>
      <c r="AQ35" s="632">
        <f>SUM(AQ6:AQ34)</f>
        <v>2243938.2412200002</v>
      </c>
      <c r="AR35" s="630">
        <f>AQ35/AP35</f>
        <v>1.0046063324148231</v>
      </c>
      <c r="AS35" s="641">
        <f>SUM(AS6:AS34)</f>
        <v>0</v>
      </c>
      <c r="AT35" s="642">
        <f>AS35/AP35</f>
        <v>0</v>
      </c>
      <c r="AU35" s="664">
        <f>SUM(AU6:AU34)</f>
        <v>8988323.4131450001</v>
      </c>
      <c r="AV35" s="664">
        <f>SUM(AV6:AV34)</f>
        <v>0</v>
      </c>
      <c r="AW35" s="664">
        <f>SUM(AW6:AW34)</f>
        <v>0</v>
      </c>
      <c r="AX35" s="660">
        <f>IFERROR(AW35/AV35,0)</f>
        <v>0</v>
      </c>
      <c r="AY35" s="631">
        <f>SUM(AY6:AY34)</f>
        <v>2208808.83</v>
      </c>
      <c r="AZ35" s="631">
        <f>SUM(AZ6:AZ34)</f>
        <v>2202286.7936400003</v>
      </c>
      <c r="BA35" s="630">
        <f>AZ35/AY35</f>
        <v>0.99704726082609885</v>
      </c>
      <c r="BB35" s="890">
        <f>SUM(BB6:BB34)</f>
        <v>0</v>
      </c>
      <c r="BC35" s="634">
        <f>BB35/AY35</f>
        <v>0</v>
      </c>
      <c r="BD35" s="632">
        <f>SUM(BD6:BD34)</f>
        <v>2377186.34</v>
      </c>
      <c r="BE35" s="632">
        <f>SUM(BE6:BE34)</f>
        <v>2385124.5447</v>
      </c>
      <c r="BF35" s="630">
        <f>BE35/BD35</f>
        <v>1.0033393279131833</v>
      </c>
      <c r="BG35" s="641">
        <f>SUM(BG6:BG34)</f>
        <v>0</v>
      </c>
      <c r="BH35" s="642">
        <f>BG35/BD35</f>
        <v>0</v>
      </c>
      <c r="BI35" s="632">
        <f>SUM(BI6:BI34)</f>
        <v>2641715.2400000002</v>
      </c>
      <c r="BJ35" s="632">
        <f>SUM(BJ6:BJ34)</f>
        <v>2649280.9597400003</v>
      </c>
      <c r="BK35" s="630">
        <f>BJ35/BI35</f>
        <v>1.0028639421938603</v>
      </c>
      <c r="BL35" s="890">
        <f>SUM(BL6:BL34)</f>
        <v>0</v>
      </c>
      <c r="BM35" s="634">
        <f>BL35/BI35</f>
        <v>0</v>
      </c>
      <c r="BN35" s="632">
        <f>SUM(BN6:BN34)</f>
        <v>2510968.91</v>
      </c>
      <c r="BO35" s="632">
        <f>SUM(BO6:BO34)</f>
        <v>2519482.6335000005</v>
      </c>
      <c r="BP35" s="630">
        <f>BO35/BN35</f>
        <v>1.003390612869038</v>
      </c>
      <c r="BQ35" s="641">
        <f>SUM(BQ6:BQ34)</f>
        <v>0</v>
      </c>
      <c r="BR35" s="642">
        <f>BQ35/BN35</f>
        <v>0</v>
      </c>
      <c r="BS35" s="632">
        <f>SUM(BS6:BS34)</f>
        <v>2639362.3899999997</v>
      </c>
      <c r="BT35" s="632">
        <f>SUM(BT6:BT34)</f>
        <v>2645145.3520599999</v>
      </c>
      <c r="BU35" s="630">
        <f>BT35/BS35</f>
        <v>1.0021910451107097</v>
      </c>
      <c r="BV35" s="890">
        <f>SUM(BV6:BV34)</f>
        <v>0</v>
      </c>
      <c r="BW35" s="634">
        <f>BV35/BS35</f>
        <v>0</v>
      </c>
      <c r="BX35" s="649">
        <f>SUM(BX6:BX34)</f>
        <v>12401320.283639999</v>
      </c>
      <c r="BY35" s="649">
        <f>SUM(BY6:BY34)</f>
        <v>0</v>
      </c>
      <c r="BZ35" s="649">
        <f>SUM(BZ6:BZ34)</f>
        <v>0</v>
      </c>
      <c r="CA35" s="650">
        <f>IFERROR(BZ35/BY35,0)</f>
        <v>0</v>
      </c>
      <c r="CB35" s="631">
        <f>SUM(CB6:CB34)</f>
        <v>2768528.4299999997</v>
      </c>
      <c r="CC35" s="632">
        <f>SUM(CC6:CC34)</f>
        <v>2764337.8248800002</v>
      </c>
      <c r="CD35" s="630">
        <f>CC35/CB35</f>
        <v>0.99848634203117093</v>
      </c>
      <c r="CE35" s="890">
        <f>SUM(CE6:CE34)</f>
        <v>0</v>
      </c>
      <c r="CF35" s="634">
        <f>CE35/CB35</f>
        <v>0</v>
      </c>
      <c r="CG35" s="632">
        <f>SUM(CG6:CG34)</f>
        <v>2934557.81</v>
      </c>
      <c r="CH35" s="632">
        <f>SUM(CH6:CH34)</f>
        <v>2926063.4939250001</v>
      </c>
      <c r="CI35" s="630">
        <f>CH35/CG35</f>
        <v>0.99710541872916791</v>
      </c>
      <c r="CJ35" s="641">
        <f>SUM(CJ6:CJ34)</f>
        <v>0</v>
      </c>
      <c r="CK35" s="642">
        <f>CJ35/CG35</f>
        <v>0</v>
      </c>
      <c r="CL35" s="632">
        <f>SUM(CL6:CL34)</f>
        <v>2843136.2500000009</v>
      </c>
      <c r="CM35" s="632">
        <f>SUM(CM6:CM34)</f>
        <v>2835753.8184000002</v>
      </c>
      <c r="CN35" s="630">
        <f>CM35/CL35</f>
        <v>0.99740341969189805</v>
      </c>
      <c r="CO35" s="890">
        <f>SUM(CO6:CO34)</f>
        <v>0</v>
      </c>
      <c r="CP35" s="634">
        <f>CO35/CL35</f>
        <v>0</v>
      </c>
      <c r="CQ35" s="632">
        <f>SUM(CQ6:CQ34)</f>
        <v>3384030.3000000003</v>
      </c>
      <c r="CR35" s="632">
        <f>SUM(CR6:CR34)</f>
        <v>3368523.1468750001</v>
      </c>
      <c r="CS35" s="630">
        <f>CR35/CQ35</f>
        <v>0.99541754897259627</v>
      </c>
      <c r="CT35" s="641">
        <f>SUM(CT6:CT34)</f>
        <v>0</v>
      </c>
      <c r="CU35" s="642">
        <f>CT35/CQ35</f>
        <v>0</v>
      </c>
      <c r="CV35" s="652">
        <f>SUM(CV6:CV34)</f>
        <v>11894678.284080001</v>
      </c>
      <c r="CW35" s="653">
        <f>SUM(CW6:CW34)</f>
        <v>0</v>
      </c>
      <c r="CX35" s="653">
        <f>SUM(CX6:CX34)</f>
        <v>0</v>
      </c>
      <c r="CY35" s="647">
        <f>IFERROR(CX35/CW35,0)</f>
        <v>0</v>
      </c>
      <c r="CZ35" s="631">
        <f>SUM(CZ6:CZ34)</f>
        <v>3987846.61</v>
      </c>
      <c r="DA35" s="632">
        <f>SUM(DA6:DA34)</f>
        <v>4005394.1361000007</v>
      </c>
      <c r="DB35" s="630">
        <f>DA35/CZ35</f>
        <v>1.0044002510166761</v>
      </c>
      <c r="DC35" s="890">
        <f>SUM(DC6:DC34)</f>
        <v>0</v>
      </c>
      <c r="DD35" s="634">
        <f>DC35/CZ35</f>
        <v>0</v>
      </c>
      <c r="DE35" s="632">
        <f>SUM(DE6:DE34)</f>
        <v>2894797.7499999995</v>
      </c>
      <c r="DF35" s="632">
        <f>SUM(DF6:DF34)</f>
        <v>2885974.37775</v>
      </c>
      <c r="DG35" s="630">
        <f>DF35/DE35</f>
        <v>0.9969519900828997</v>
      </c>
      <c r="DH35" s="641">
        <f>SUM(DH6:DH34)</f>
        <v>0</v>
      </c>
      <c r="DI35" s="642">
        <f>DH35/DE35</f>
        <v>0</v>
      </c>
      <c r="DJ35" s="632">
        <f>SUM(DJ6:DJ34)</f>
        <v>2589285.3000000003</v>
      </c>
      <c r="DK35" s="632">
        <f>SUM(DK6:DK34)</f>
        <v>2589369.2966</v>
      </c>
      <c r="DL35" s="630">
        <f>DK35/DJ35</f>
        <v>1.0000324400713971</v>
      </c>
      <c r="DM35" s="890">
        <f>SUM(DM6:DM34)</f>
        <v>0</v>
      </c>
      <c r="DN35" s="634">
        <f>DM35/DJ35</f>
        <v>0</v>
      </c>
      <c r="DO35" s="632">
        <f>SUM(DO6:DO34)</f>
        <v>2590488.0499999993</v>
      </c>
      <c r="DP35" s="632">
        <f>SUM(DP6:DP34)</f>
        <v>2580158.7198749995</v>
      </c>
      <c r="DQ35" s="630">
        <f>DP35/DO35</f>
        <v>0.99601259302277045</v>
      </c>
      <c r="DR35" s="641">
        <f>SUM(DR6:DR34)</f>
        <v>0</v>
      </c>
      <c r="DS35" s="642">
        <f>DR35/DO35</f>
        <v>0</v>
      </c>
      <c r="DT35" s="658">
        <f>SUM(DT6:DT34)</f>
        <v>12060896.530324997</v>
      </c>
      <c r="DU35" s="649">
        <f>SUM(DU6:DU34)</f>
        <v>0</v>
      </c>
      <c r="DV35" s="649">
        <f>SUM(DV6:DV34)</f>
        <v>0</v>
      </c>
      <c r="DW35" s="659">
        <f>IFERROR(DV35/DU35,0)</f>
        <v>0</v>
      </c>
      <c r="DX35" s="631">
        <f>SUM(DX6:DX34)</f>
        <v>2652960.5</v>
      </c>
      <c r="DY35" s="631">
        <f>SUM(DY6:DY34)</f>
        <v>2654626.9945</v>
      </c>
      <c r="DZ35" s="630">
        <f>DY35/DX35</f>
        <v>1.0006281640831065</v>
      </c>
      <c r="EA35" s="890">
        <f>SUM(EA6:EA34)</f>
        <v>0</v>
      </c>
      <c r="EB35" s="634">
        <f>EA35/DX35</f>
        <v>0</v>
      </c>
      <c r="EC35" s="632">
        <f>SUM(EC6:EC34)</f>
        <v>3041582.9999999995</v>
      </c>
      <c r="ED35" s="632">
        <f>SUM(ED6:ED34)</f>
        <v>3050737.0074999994</v>
      </c>
      <c r="EE35" s="630">
        <f>ED35/EC35</f>
        <v>1.0030096194974787</v>
      </c>
      <c r="EF35" s="641">
        <f>SUM(EF6:EF34)</f>
        <v>0</v>
      </c>
      <c r="EG35" s="642">
        <f>EF35/EC35</f>
        <v>0</v>
      </c>
      <c r="EH35" s="632">
        <f>SUM(EH6:EH34)</f>
        <v>3188908.09</v>
      </c>
      <c r="EI35" s="632">
        <f>SUM(EI6:EI34)</f>
        <v>3197674.2625300004</v>
      </c>
      <c r="EJ35" s="630">
        <f>EI35/EH35</f>
        <v>1.0027489574119399</v>
      </c>
      <c r="EK35" s="890">
        <f>SUM(EK6:EK34)</f>
        <v>0</v>
      </c>
      <c r="EL35" s="634">
        <f>EK35/EH35</f>
        <v>0</v>
      </c>
      <c r="EM35" s="632">
        <f>SUM(EM6:EM34)</f>
        <v>3418916.1700000004</v>
      </c>
      <c r="EN35" s="632">
        <f>SUM(EN6:EN34)</f>
        <v>3405621.8741800003</v>
      </c>
      <c r="EO35" s="630">
        <f>EN35/EM35</f>
        <v>0.99611154671277002</v>
      </c>
      <c r="EP35" s="641">
        <f>SUM(EP6:EP34)</f>
        <v>0</v>
      </c>
      <c r="EQ35" s="642">
        <f>EP35/EM35</f>
        <v>0</v>
      </c>
      <c r="ER35" s="632">
        <f>SUM(ER6:ER34)</f>
        <v>3277831.5399999996</v>
      </c>
      <c r="ES35" s="632">
        <f>SUM(ES6:ES34)</f>
        <v>3261642.9010400004</v>
      </c>
      <c r="ET35" s="630">
        <f>ES35/ER35</f>
        <v>0.99506117420543239</v>
      </c>
      <c r="EU35" s="890">
        <f>SUM(EU6:EU34)</f>
        <v>0</v>
      </c>
      <c r="EV35" s="634">
        <f>EU35/ER35</f>
        <v>0</v>
      </c>
      <c r="EW35" s="652">
        <f>SUM(EW6:EW34)</f>
        <v>15570303.039749997</v>
      </c>
      <c r="EX35" s="653">
        <f>SUM(EX6:EX34)</f>
        <v>0</v>
      </c>
      <c r="EY35" s="653">
        <f>SUM(EY6:EY34)</f>
        <v>0</v>
      </c>
      <c r="EZ35" s="660">
        <f>IFERROR(EY35/EX35,0)</f>
        <v>0</v>
      </c>
      <c r="FA35" s="631">
        <f>SUM(FA6:FA34)</f>
        <v>2925756.8300000005</v>
      </c>
      <c r="FB35" s="632">
        <f>SUM(FB6:FB34)</f>
        <v>2930577.5118400003</v>
      </c>
      <c r="FC35" s="630">
        <f>FB35/FA35</f>
        <v>1.0016476700286809</v>
      </c>
      <c r="FD35" s="890">
        <f>SUM(FD6:FD34)</f>
        <v>0</v>
      </c>
      <c r="FE35" s="634">
        <f>FD35/FA35</f>
        <v>0</v>
      </c>
      <c r="FF35" s="632">
        <f>SUM(FF6:FF34)</f>
        <v>3047867.3200000008</v>
      </c>
      <c r="FG35" s="632">
        <f>SUM(FG6:FG34)</f>
        <v>3036364.5083899996</v>
      </c>
      <c r="FH35" s="630">
        <f>FG35/FF35</f>
        <v>0.99622594739130532</v>
      </c>
      <c r="FI35" s="641">
        <f>SUM(FI6:FI34)</f>
        <v>0</v>
      </c>
      <c r="FJ35" s="642">
        <f>FI35/FF35</f>
        <v>0</v>
      </c>
      <c r="FK35" s="632">
        <f>SUM(FK6:FK34)</f>
        <v>2837880.41</v>
      </c>
      <c r="FL35" s="632">
        <f>SUM(FL6:FL34)</f>
        <v>2824523.2080000001</v>
      </c>
      <c r="FM35" s="630">
        <f>FL35/FK35</f>
        <v>0.99529324704700994</v>
      </c>
      <c r="FN35" s="890">
        <f>SUM(FN6:FN34)</f>
        <v>0</v>
      </c>
      <c r="FO35" s="634">
        <f>FN35/FK35</f>
        <v>0</v>
      </c>
      <c r="FP35" s="632">
        <f>SUM(FP6:FP34)</f>
        <v>2969590.4000000004</v>
      </c>
      <c r="FQ35" s="632">
        <f>SUM(FQ6:FQ34)</f>
        <v>2961165.6318199998</v>
      </c>
      <c r="FR35" s="630">
        <f>FQ35/FP35</f>
        <v>0.99716298645766077</v>
      </c>
      <c r="FS35" s="641">
        <f>SUM(FS6:FS34)</f>
        <v>0</v>
      </c>
      <c r="FT35" s="642">
        <f>FS35/FP35</f>
        <v>0</v>
      </c>
      <c r="FU35" s="658">
        <f>SUM(FU6:FU34)</f>
        <v>11752630.860050002</v>
      </c>
      <c r="FV35" s="649">
        <f>SUM(FV6:FV34)</f>
        <v>0</v>
      </c>
      <c r="FW35" s="649">
        <f>SUM(FW6:FW34)</f>
        <v>0</v>
      </c>
      <c r="FX35" s="650">
        <f>IFERROR(FW35/FV35,0)</f>
        <v>0</v>
      </c>
      <c r="FY35" s="631">
        <f>SUM(FY6:FY34)</f>
        <v>2838462.19</v>
      </c>
      <c r="FZ35" s="631">
        <f>SUM(FZ6:FZ34)</f>
        <v>2825144.0570099996</v>
      </c>
      <c r="GA35" s="630">
        <f>FZ35/FY35</f>
        <v>0.99530797590437503</v>
      </c>
      <c r="GB35" s="890">
        <f>SUM(GB6:GB34)</f>
        <v>0</v>
      </c>
      <c r="GC35" s="634">
        <f>GB35/FY35</f>
        <v>0</v>
      </c>
      <c r="GD35" s="632">
        <f>SUM(GD6:GD34)</f>
        <v>2708665.9200000004</v>
      </c>
      <c r="GE35" s="632">
        <f>SUM(GE6:GE34)</f>
        <v>2719600.0347150001</v>
      </c>
      <c r="GF35" s="630">
        <f>GE35/GD35</f>
        <v>1.0040367158733994</v>
      </c>
      <c r="GG35" s="641">
        <f>SUM(GG6:GG34)</f>
        <v>0</v>
      </c>
      <c r="GH35" s="642">
        <f>GG35/GD35</f>
        <v>0</v>
      </c>
      <c r="GI35" s="632">
        <f>SUM(GI6:GI34)</f>
        <v>2766110.2399999998</v>
      </c>
      <c r="GJ35" s="632">
        <f>SUM(GJ6:GJ34)</f>
        <v>2777362.9264999996</v>
      </c>
      <c r="GK35" s="630">
        <f>GJ35/GI35</f>
        <v>1.0040680542435647</v>
      </c>
      <c r="GL35" s="890">
        <f>SUM(GL6:GL34)</f>
        <v>0</v>
      </c>
      <c r="GM35" s="634">
        <f>GL35/GI35</f>
        <v>0</v>
      </c>
      <c r="GN35" s="632">
        <f>SUM(GN6:GN34)</f>
        <v>2691656.45</v>
      </c>
      <c r="GO35" s="632">
        <f>SUM(GO6:GO34)</f>
        <v>2696963.1350199995</v>
      </c>
      <c r="GP35" s="630">
        <f>GO35/GN35</f>
        <v>1.0019715313297131</v>
      </c>
      <c r="GQ35" s="641">
        <f>SUM(GQ6:GQ34)</f>
        <v>0</v>
      </c>
      <c r="GR35" s="642">
        <f>GQ35/GN35</f>
        <v>0</v>
      </c>
      <c r="GS35" s="652">
        <f>SUM(GS6:GS34)</f>
        <v>11019070.153244998</v>
      </c>
      <c r="GT35" s="653">
        <f>SUM(GT6:GT34)</f>
        <v>0</v>
      </c>
      <c r="GU35" s="653">
        <f>SUM(GU6:GU34)</f>
        <v>0</v>
      </c>
      <c r="GV35" s="647">
        <f>IFERROR(GU35/GT35,0)</f>
        <v>0</v>
      </c>
      <c r="GW35" s="631">
        <f>SUM(GW6:GW34)</f>
        <v>2707920</v>
      </c>
      <c r="GX35" s="631">
        <f>SUM(GX6:GX34)</f>
        <v>2709897</v>
      </c>
      <c r="GY35" s="630">
        <f>GX35/GW35</f>
        <v>1.0007300806523087</v>
      </c>
      <c r="GZ35" s="890">
        <f>SUM(GZ6:GZ34)</f>
        <v>0</v>
      </c>
      <c r="HA35" s="634">
        <f>GZ35/GW35</f>
        <v>0</v>
      </c>
      <c r="HB35" s="632">
        <f>SUM(HB6:HB34)</f>
        <v>2703010.3200000003</v>
      </c>
      <c r="HC35" s="632">
        <f>SUM(HC6:HC34)</f>
        <v>2690867.679</v>
      </c>
      <c r="HD35" s="630">
        <f>HC35/HB35</f>
        <v>0.99550773413251326</v>
      </c>
      <c r="HE35" s="641">
        <f>SUM(HE6:HE34)</f>
        <v>0</v>
      </c>
      <c r="HF35" s="642">
        <f>HE35/HB35</f>
        <v>0</v>
      </c>
      <c r="HG35" s="632">
        <f>SUM(HG6:HG34)</f>
        <v>2531288.5500000003</v>
      </c>
      <c r="HH35" s="632">
        <f>SUM(HH6:HH34)</f>
        <v>2536427.5024999995</v>
      </c>
      <c r="HI35" s="630">
        <f>HH35/HG35</f>
        <v>1.0020301725380141</v>
      </c>
      <c r="HJ35" s="890">
        <f>SUM(HJ6:HJ34)</f>
        <v>0</v>
      </c>
      <c r="HK35" s="634">
        <f>HJ35/HG35</f>
        <v>0</v>
      </c>
      <c r="HL35" s="632">
        <f>SUM(HL6:HL34)</f>
        <v>2496964.87</v>
      </c>
      <c r="HM35" s="632">
        <f>SUM(HM6:HM34)</f>
        <v>2506088.889</v>
      </c>
      <c r="HN35" s="630">
        <f>HM35/HL35</f>
        <v>1.0036540437991823</v>
      </c>
      <c r="HO35" s="641">
        <f>SUM(HO6:HO34)</f>
        <v>0</v>
      </c>
      <c r="HP35" s="642">
        <f>HO35/HL35</f>
        <v>0</v>
      </c>
      <c r="HQ35" s="632">
        <f>SUM(HQ6:HQ34)</f>
        <v>2644959.9600000004</v>
      </c>
      <c r="HR35" s="632">
        <f>SUM(HR6:HR34)</f>
        <v>2652453.2404000005</v>
      </c>
      <c r="HS35" s="630">
        <f>HR35/HQ35</f>
        <v>1.0028330411474358</v>
      </c>
      <c r="HT35" s="890">
        <f>SUM(HT6:HT34)</f>
        <v>0</v>
      </c>
      <c r="HU35" s="634">
        <f>HT35/HQ35</f>
        <v>0</v>
      </c>
      <c r="HV35" s="649">
        <f>SUM(HV6:HV34)</f>
        <v>13095734.310899999</v>
      </c>
      <c r="HW35" s="649">
        <f>SUM(HW6:HW34)</f>
        <v>0</v>
      </c>
      <c r="HX35" s="649">
        <f>SUM(HX6:HX34)</f>
        <v>0</v>
      </c>
      <c r="HY35" s="650">
        <f>IFERROR(HX35/HW35,0)</f>
        <v>0</v>
      </c>
      <c r="HZ35" s="631">
        <f>SUM(HZ6:HZ34)</f>
        <v>2437674.33</v>
      </c>
      <c r="IA35" s="631">
        <f>SUM(IA6:IA34)</f>
        <v>2448717.7571999999</v>
      </c>
      <c r="IB35" s="630">
        <f>IA35/HZ35</f>
        <v>1.0045303127920291</v>
      </c>
      <c r="IC35" s="890">
        <f>SUM(IC6:IC34)</f>
        <v>0</v>
      </c>
      <c r="ID35" s="634">
        <f>IC35/HZ35</f>
        <v>0</v>
      </c>
      <c r="IE35" s="632">
        <f>SUM(IE6:IE34)</f>
        <v>2666477.0399999996</v>
      </c>
      <c r="IF35" s="632">
        <f>SUM(IF6:IF34)</f>
        <v>2679750.6715299999</v>
      </c>
      <c r="IG35" s="630">
        <f>IF35/IE35</f>
        <v>1.0049779658068987</v>
      </c>
      <c r="IH35" s="641">
        <f>SUM(IH6:IH34)</f>
        <v>0</v>
      </c>
      <c r="II35" s="642">
        <f>IH35/IE35</f>
        <v>0</v>
      </c>
      <c r="IJ35" s="632">
        <f>SUM(IJ6:IJ34)</f>
        <v>2875006.7300000004</v>
      </c>
      <c r="IK35" s="632">
        <f>SUM(IK6:IK34)</f>
        <v>2889122.7866000012</v>
      </c>
      <c r="IL35" s="630">
        <f>IK35/IJ35</f>
        <v>1.0049099212369499</v>
      </c>
      <c r="IM35" s="890">
        <f>SUM(IM6:IM34)</f>
        <v>0</v>
      </c>
      <c r="IN35" s="634">
        <f>IM35/IJ35</f>
        <v>0</v>
      </c>
      <c r="IO35" s="632">
        <f>SUM(IO6:IO34)</f>
        <v>3427347.0799999996</v>
      </c>
      <c r="IP35" s="632">
        <f>SUM(IP6:IP34)</f>
        <v>3444058.6604999993</v>
      </c>
      <c r="IQ35" s="630">
        <f>IP35/IO35</f>
        <v>1.0048759521898201</v>
      </c>
      <c r="IR35" s="641">
        <f>SUM(IR6:IR34)</f>
        <v>0</v>
      </c>
      <c r="IS35" s="642">
        <f>IR35/IO35</f>
        <v>0</v>
      </c>
      <c r="IT35" s="652">
        <f>SUM(IT6:IT34)</f>
        <v>11461649.87583</v>
      </c>
      <c r="IU35" s="653">
        <f>SUM(IU6:IU34)</f>
        <v>0</v>
      </c>
      <c r="IV35" s="653">
        <f>SUM(IV6:IV34)</f>
        <v>0</v>
      </c>
      <c r="IW35" s="647">
        <f>IFERROR(IV35/IU35,0)</f>
        <v>0</v>
      </c>
      <c r="IX35" s="631">
        <f>SUM(IX6:IX34)</f>
        <v>2514287.4700000002</v>
      </c>
      <c r="IY35" s="632">
        <f>SUM(IY6:IY34)</f>
        <v>2521037.5205000006</v>
      </c>
      <c r="IZ35" s="630">
        <f>IY35/IX35</f>
        <v>1.0026846773014386</v>
      </c>
      <c r="JA35" s="890">
        <f>SUM(JA6:JA34)</f>
        <v>0</v>
      </c>
      <c r="JB35" s="634">
        <f>JA35/IX35</f>
        <v>0</v>
      </c>
      <c r="JC35" s="632">
        <f>SUM(JC6:JC34)</f>
        <v>3176312.32</v>
      </c>
      <c r="JD35" s="632">
        <f>SUM(JD6:JD34)</f>
        <v>3183104.3901200001</v>
      </c>
      <c r="JE35" s="630">
        <f>JD35/JC35</f>
        <v>1.0021383508407637</v>
      </c>
      <c r="JF35" s="641">
        <f>SUM(JF6:JF34)</f>
        <v>0</v>
      </c>
      <c r="JG35" s="642">
        <f>JF35/JC35</f>
        <v>0</v>
      </c>
      <c r="JH35" s="632">
        <f>SUM(JH6:JH34)</f>
        <v>3823494.88</v>
      </c>
      <c r="JI35" s="632">
        <f>SUM(JI6:JI34)</f>
        <v>3837828.9169999994</v>
      </c>
      <c r="JJ35" s="630">
        <f>JI35/JH35</f>
        <v>1.0037489358426968</v>
      </c>
      <c r="JK35" s="890">
        <f>SUM(JK6:JK34)</f>
        <v>0</v>
      </c>
      <c r="JL35" s="634">
        <f>JK35/JH35</f>
        <v>0</v>
      </c>
      <c r="JM35" s="632">
        <f>SUM(JM6:JM34)</f>
        <v>4030455.7299999995</v>
      </c>
      <c r="JN35" s="632">
        <f>SUM(JN6:JN34)</f>
        <v>4012076.0059999991</v>
      </c>
      <c r="JO35" s="630">
        <f>JN35/JM35</f>
        <v>0.99543979013013484</v>
      </c>
      <c r="JP35" s="641">
        <f>SUM(JP6:JP34)</f>
        <v>0</v>
      </c>
      <c r="JQ35" s="642">
        <f>JP35/JM35</f>
        <v>0</v>
      </c>
      <c r="JR35" s="658">
        <f>SUM(JR6:JR34)</f>
        <v>13554046.833619997</v>
      </c>
      <c r="JS35" s="649">
        <f>SUM(JS6:JS34)</f>
        <v>0</v>
      </c>
      <c r="JT35" s="649">
        <f>SUM(JT6:JT34)</f>
        <v>0</v>
      </c>
      <c r="JU35" s="650">
        <f>IFERROR(JT35/JS35,0)</f>
        <v>0</v>
      </c>
      <c r="JV35" s="631">
        <f>SUM(JV6:JV34)</f>
        <v>5382966.8100000005</v>
      </c>
      <c r="JW35" s="631">
        <f>SUM(JW6:JW34)</f>
        <v>5375563.7740399987</v>
      </c>
      <c r="JX35" s="630">
        <f>JW35/JV35</f>
        <v>0.99862472940642155</v>
      </c>
      <c r="JY35" s="890">
        <f>SUM(JY6:JY34)</f>
        <v>0</v>
      </c>
      <c r="JZ35" s="634">
        <f>JY35/JV35</f>
        <v>0</v>
      </c>
      <c r="KA35" s="632">
        <f>SUM(KA6:KA34)</f>
        <v>6678089.3399999999</v>
      </c>
      <c r="KB35" s="632">
        <f>SUM(KB6:KB34)</f>
        <v>6665278.6087800013</v>
      </c>
      <c r="KC35" s="630">
        <f>KB35/KA35</f>
        <v>0.99808167717324991</v>
      </c>
      <c r="KD35" s="641">
        <f>SUM(KD6:KD34)</f>
        <v>0</v>
      </c>
      <c r="KE35" s="642">
        <f>KD35/KA35</f>
        <v>0</v>
      </c>
      <c r="KF35" s="632">
        <f>SUM(KF6:KF34)</f>
        <v>8781773.2899999991</v>
      </c>
      <c r="KG35" s="632">
        <f>SUM(KG6:KG34)</f>
        <v>8740847.5965249985</v>
      </c>
      <c r="KH35" s="630">
        <f>KG35/KF35</f>
        <v>0.99533970052248977</v>
      </c>
      <c r="KI35" s="890">
        <f>SUM(KI6:KI34)</f>
        <v>0</v>
      </c>
      <c r="KJ35" s="634">
        <f>KI35/KF35</f>
        <v>0</v>
      </c>
      <c r="KK35" s="632">
        <f>SUM(KK6:KK34)</f>
        <v>7666986.9400000004</v>
      </c>
      <c r="KL35" s="632">
        <f>SUM(KL6:KL34)</f>
        <v>7632547.6292500021</v>
      </c>
      <c r="KM35" s="630">
        <f>KL35/KK35</f>
        <v>0.99550810363712472</v>
      </c>
      <c r="KN35" s="641">
        <f>SUM(KN6:KN34)</f>
        <v>0</v>
      </c>
      <c r="KO35" s="642">
        <f>KN35/KK35</f>
        <v>0</v>
      </c>
      <c r="KP35" s="632">
        <f>SUM(KP6:KP34)</f>
        <v>2728134.6699999995</v>
      </c>
      <c r="KQ35" s="632">
        <f>SUM(KQ6:KQ34)</f>
        <v>2715792.8969300003</v>
      </c>
      <c r="KR35" s="630">
        <f>KQ35/KP35</f>
        <v>0.99547611296256167</v>
      </c>
      <c r="KS35" s="890">
        <f>SUM(KS6:KS34)</f>
        <v>0</v>
      </c>
      <c r="KT35" s="634">
        <f>KS35/KP35</f>
        <v>0</v>
      </c>
      <c r="KU35" s="652">
        <f>SUM(KU6:KU34)</f>
        <v>31130030.505525</v>
      </c>
      <c r="KV35" s="653">
        <f>SUM(KV6:KV34)</f>
        <v>0</v>
      </c>
      <c r="KW35" s="653">
        <f>SUM(KW6:KW34)</f>
        <v>0</v>
      </c>
      <c r="KX35" s="683">
        <f>IFERROR(KW35/KV35,0)</f>
        <v>0</v>
      </c>
      <c r="KY35" s="889">
        <f>SUM(KY6:KY34)</f>
        <v>0</v>
      </c>
      <c r="KZ35" s="889">
        <f>SUM(KZ6:KZ34)</f>
        <v>0</v>
      </c>
      <c r="LA35" s="888">
        <f>KZ35-KY35</f>
        <v>0</v>
      </c>
      <c r="LB35" s="887">
        <f>IFERROR(LA35/KZ35,0)</f>
        <v>0</v>
      </c>
    </row>
    <row r="36" spans="1:314" ht="9" customHeight="1">
      <c r="A36" s="1495"/>
      <c r="B36" s="444"/>
      <c r="C36" s="439"/>
      <c r="D36" s="440"/>
      <c r="E36" s="440"/>
      <c r="F36" s="441"/>
      <c r="G36" s="439"/>
      <c r="H36" s="439"/>
      <c r="I36" s="440"/>
      <c r="J36" s="440"/>
      <c r="K36" s="441"/>
      <c r="L36" s="440"/>
      <c r="M36" s="440"/>
      <c r="N36" s="440"/>
      <c r="O36" s="440"/>
      <c r="P36" s="441"/>
      <c r="Q36" s="440"/>
      <c r="R36" s="440"/>
      <c r="S36" s="440"/>
      <c r="T36" s="440"/>
      <c r="U36" s="441"/>
      <c r="V36" s="440"/>
      <c r="W36" s="440"/>
      <c r="X36" s="440"/>
      <c r="Y36" s="440"/>
      <c r="Z36" s="440"/>
      <c r="AA36" s="439"/>
      <c r="AB36" s="440"/>
      <c r="AC36" s="440"/>
      <c r="AD36" s="441"/>
      <c r="AE36" s="440"/>
      <c r="AF36" s="439"/>
      <c r="AG36" s="440"/>
      <c r="AH36" s="440"/>
      <c r="AI36" s="441"/>
      <c r="AJ36" s="440"/>
      <c r="AK36" s="439"/>
      <c r="AL36" s="440"/>
      <c r="AM36" s="440"/>
      <c r="AN36" s="441"/>
      <c r="AO36" s="440"/>
      <c r="AP36" s="439"/>
      <c r="AQ36" s="440"/>
      <c r="AR36" s="440"/>
      <c r="AS36" s="441"/>
      <c r="AT36" s="440"/>
      <c r="AU36" s="440"/>
      <c r="AV36" s="440"/>
      <c r="AW36" s="440"/>
      <c r="AX36" s="440"/>
      <c r="AY36" s="439"/>
      <c r="AZ36" s="440"/>
      <c r="BA36" s="440"/>
      <c r="BB36" s="441"/>
      <c r="BC36" s="440"/>
      <c r="BD36" s="439"/>
      <c r="BE36" s="440"/>
      <c r="BF36" s="440"/>
      <c r="BG36" s="441"/>
      <c r="BH36" s="440"/>
      <c r="BI36" s="439"/>
      <c r="BJ36" s="440"/>
      <c r="BK36" s="440"/>
      <c r="BL36" s="442"/>
      <c r="BM36" s="440"/>
      <c r="BN36" s="443"/>
      <c r="BO36" s="443"/>
      <c r="BP36" s="417"/>
      <c r="BQ36" s="443"/>
      <c r="BR36" s="473"/>
      <c r="BS36" s="443"/>
      <c r="BT36" s="443"/>
      <c r="BU36" s="417"/>
      <c r="BV36" s="443"/>
      <c r="BW36" s="473"/>
      <c r="BX36" s="473"/>
      <c r="BY36" s="473"/>
      <c r="BZ36" s="473"/>
      <c r="CA36" s="473"/>
      <c r="CB36" s="443"/>
      <c r="CC36" s="443"/>
      <c r="CD36" s="417"/>
      <c r="CE36" s="443"/>
      <c r="CF36" s="473"/>
      <c r="CG36" s="443"/>
      <c r="CH36" s="443"/>
      <c r="CI36" s="417"/>
      <c r="CJ36" s="443"/>
      <c r="CK36" s="473"/>
      <c r="CL36" s="443"/>
      <c r="CM36" s="443"/>
      <c r="CN36" s="417"/>
      <c r="CO36" s="443"/>
      <c r="CP36" s="473"/>
      <c r="CQ36" s="443"/>
      <c r="CR36" s="443"/>
      <c r="CS36" s="655"/>
      <c r="CT36" s="443"/>
      <c r="CU36" s="473"/>
      <c r="CV36" s="443"/>
      <c r="CW36" s="443"/>
      <c r="CX36" s="443"/>
      <c r="CY36" s="489"/>
      <c r="CZ36" s="475"/>
      <c r="DA36" s="475"/>
      <c r="DB36" s="417"/>
      <c r="DC36" s="443"/>
      <c r="DD36" s="473"/>
      <c r="DE36" s="475"/>
      <c r="DF36" s="475"/>
      <c r="DG36" s="417"/>
      <c r="DH36" s="443"/>
      <c r="DI36" s="473"/>
      <c r="DJ36" s="475"/>
      <c r="DK36" s="475"/>
      <c r="DL36" s="417"/>
      <c r="DM36" s="443"/>
      <c r="DN36" s="473"/>
      <c r="DO36" s="475"/>
      <c r="DP36" s="475"/>
      <c r="DQ36" s="417"/>
      <c r="DR36" s="443"/>
      <c r="DS36" s="473"/>
      <c r="DT36" s="443"/>
      <c r="DU36" s="443"/>
      <c r="DV36" s="443"/>
      <c r="DW36" s="417"/>
      <c r="DX36" s="475"/>
      <c r="DY36" s="475"/>
      <c r="DZ36" s="417"/>
      <c r="EA36" s="443"/>
      <c r="EB36" s="473"/>
      <c r="EC36" s="475"/>
      <c r="ED36" s="475"/>
      <c r="EE36" s="417"/>
      <c r="EF36" s="443"/>
      <c r="EG36" s="473"/>
      <c r="EH36" s="475"/>
      <c r="EI36" s="475"/>
      <c r="EJ36" s="417"/>
      <c r="EK36" s="443"/>
      <c r="EL36" s="473"/>
      <c r="EM36" s="475"/>
      <c r="EN36" s="475"/>
      <c r="EO36" s="417"/>
      <c r="EP36" s="443"/>
      <c r="EQ36" s="473"/>
      <c r="ER36" s="475"/>
      <c r="ES36" s="475"/>
      <c r="ET36" s="417"/>
      <c r="EU36" s="443"/>
      <c r="EV36" s="473"/>
      <c r="EW36" s="342"/>
      <c r="EX36" s="342"/>
      <c r="EY36" s="342"/>
      <c r="EZ36" s="342"/>
      <c r="FA36" s="475"/>
      <c r="FB36" s="475"/>
      <c r="FC36" s="417"/>
      <c r="FD36" s="443"/>
      <c r="FE36" s="473"/>
      <c r="FF36" s="475"/>
      <c r="FG36" s="475"/>
      <c r="FH36" s="417"/>
      <c r="FI36" s="443"/>
      <c r="FJ36" s="473"/>
      <c r="FK36" s="475"/>
      <c r="FL36" s="475"/>
      <c r="FM36" s="417"/>
      <c r="FN36" s="443"/>
      <c r="FO36" s="473"/>
      <c r="FP36" s="475"/>
      <c r="FQ36" s="475"/>
      <c r="FR36" s="417"/>
      <c r="FS36" s="443"/>
      <c r="FT36" s="473"/>
      <c r="FU36" s="342"/>
      <c r="FV36" s="342"/>
      <c r="FW36" s="342"/>
      <c r="FX36" s="342"/>
      <c r="FY36" s="406"/>
      <c r="FZ36" s="342"/>
      <c r="GA36" s="342"/>
      <c r="GB36" s="422"/>
      <c r="GC36" s="342"/>
      <c r="GD36" s="406"/>
      <c r="GE36" s="342"/>
      <c r="GF36" s="342"/>
      <c r="GG36" s="422"/>
      <c r="GH36" s="342"/>
      <c r="GI36" s="406"/>
      <c r="GJ36" s="342"/>
      <c r="GK36" s="342"/>
      <c r="GL36" s="422"/>
      <c r="GM36" s="342"/>
      <c r="GN36" s="406"/>
      <c r="GO36" s="342"/>
      <c r="GP36" s="342"/>
      <c r="GQ36" s="422"/>
      <c r="GR36" s="342"/>
      <c r="GS36" s="342"/>
      <c r="GT36" s="342"/>
      <c r="GU36" s="342"/>
      <c r="GV36" s="342"/>
      <c r="GW36" s="411"/>
      <c r="GX36" s="342"/>
      <c r="GY36" s="342"/>
      <c r="GZ36" s="1495"/>
      <c r="HA36" s="342"/>
      <c r="HB36" s="1495"/>
      <c r="HC36" s="342"/>
      <c r="HD36" s="342"/>
      <c r="HE36" s="1495"/>
      <c r="HF36" s="342"/>
      <c r="HG36" s="1495"/>
      <c r="HH36" s="342"/>
      <c r="HI36" s="342"/>
      <c r="HJ36" s="1495"/>
      <c r="HK36" s="342"/>
      <c r="HL36" s="1495"/>
      <c r="HM36" s="342"/>
      <c r="HN36" s="342"/>
      <c r="HO36" s="1495"/>
      <c r="HP36" s="342"/>
      <c r="HQ36" s="1495"/>
      <c r="HR36" s="342"/>
      <c r="HS36" s="342"/>
      <c r="HT36" s="1495"/>
      <c r="HU36" s="342"/>
      <c r="HV36" s="342"/>
      <c r="HW36" s="342"/>
      <c r="HX36" s="342"/>
      <c r="HY36" s="342"/>
      <c r="HZ36" s="1495"/>
      <c r="IA36" s="342"/>
      <c r="IB36" s="342"/>
      <c r="IC36" s="1495"/>
      <c r="ID36" s="342"/>
      <c r="IE36" s="1495"/>
      <c r="IF36" s="342"/>
      <c r="IG36" s="342"/>
      <c r="IH36" s="1495"/>
      <c r="II36" s="342"/>
      <c r="IJ36" s="1495"/>
      <c r="IK36" s="342"/>
      <c r="IL36" s="342"/>
      <c r="IM36" s="1495"/>
      <c r="IN36" s="342"/>
      <c r="IO36" s="1495"/>
      <c r="IP36" s="342"/>
      <c r="IQ36" s="342"/>
      <c r="IR36" s="1495"/>
      <c r="IS36" s="342"/>
      <c r="IT36" s="342"/>
      <c r="IU36" s="342"/>
      <c r="IV36" s="342"/>
      <c r="IW36" s="342"/>
      <c r="IX36" s="1495"/>
      <c r="IY36" s="342"/>
      <c r="IZ36" s="342"/>
      <c r="JA36" s="1495"/>
      <c r="JB36" s="342"/>
      <c r="JC36" s="1495"/>
      <c r="JD36" s="342"/>
      <c r="JE36" s="342"/>
      <c r="JF36" s="1495"/>
      <c r="JG36" s="342"/>
      <c r="JH36" s="1495"/>
      <c r="JI36" s="342"/>
      <c r="JJ36" s="342"/>
      <c r="JK36" s="1495"/>
      <c r="JL36" s="342"/>
      <c r="JM36" s="1495"/>
      <c r="JN36" s="342"/>
      <c r="JO36" s="342"/>
      <c r="JP36" s="1495"/>
      <c r="JQ36" s="342"/>
      <c r="JR36" s="342"/>
      <c r="JS36" s="342"/>
      <c r="JT36" s="342"/>
      <c r="JU36" s="342"/>
      <c r="JV36" s="1495"/>
      <c r="JW36" s="342"/>
      <c r="JX36" s="342"/>
      <c r="JY36" s="1495"/>
      <c r="JZ36" s="342"/>
      <c r="KA36" s="1495"/>
      <c r="KB36" s="342"/>
      <c r="KC36" s="342"/>
      <c r="KD36" s="1495"/>
      <c r="KE36" s="342"/>
      <c r="KF36" s="1495"/>
      <c r="KG36" s="342"/>
      <c r="KH36" s="342"/>
      <c r="KI36" s="1495"/>
      <c r="KJ36" s="342"/>
      <c r="KK36" s="1495"/>
      <c r="KL36" s="342"/>
      <c r="KM36" s="342"/>
      <c r="KN36" s="1495"/>
      <c r="KO36" s="342"/>
      <c r="KP36" s="1495"/>
      <c r="KQ36" s="342"/>
      <c r="KR36" s="342"/>
      <c r="KS36" s="1495"/>
      <c r="KT36" s="342"/>
      <c r="KU36" s="342"/>
      <c r="KV36" s="342"/>
      <c r="KW36" s="342"/>
      <c r="KX36" s="342"/>
      <c r="KY36" s="1495"/>
      <c r="KZ36" s="1495"/>
      <c r="LA36" s="1495"/>
      <c r="LB36" s="1495"/>
    </row>
    <row r="37" spans="1:314" s="1369" customFormat="1" ht="17.25">
      <c r="A37" s="1361"/>
      <c r="B37" s="1362"/>
      <c r="C37" s="1363"/>
      <c r="D37" s="1359"/>
      <c r="E37" s="1359"/>
      <c r="F37" s="1359"/>
      <c r="G37" s="1363"/>
      <c r="H37" s="1363"/>
      <c r="I37" s="1359"/>
      <c r="J37" s="1359"/>
      <c r="K37" s="1359"/>
      <c r="L37" s="1359"/>
      <c r="M37" s="1359"/>
      <c r="N37" s="1359"/>
      <c r="O37" s="1359"/>
      <c r="P37" s="1359"/>
      <c r="Q37" s="1359"/>
      <c r="R37" s="1359"/>
      <c r="S37" s="1359"/>
      <c r="T37" s="1359"/>
      <c r="U37" s="1359"/>
      <c r="V37" s="1359"/>
      <c r="W37" s="1359">
        <f>(C35+H35+M35+R35)/1000</f>
        <v>8016.9342999999999</v>
      </c>
      <c r="X37" s="1359"/>
      <c r="Y37" s="1359"/>
      <c r="Z37" s="1359"/>
      <c r="AA37" s="1363"/>
      <c r="AB37" s="1359"/>
      <c r="AC37" s="1359"/>
      <c r="AD37" s="1359"/>
      <c r="AE37" s="1359"/>
      <c r="AF37" s="1363"/>
      <c r="AG37" s="1359"/>
      <c r="AH37" s="1359"/>
      <c r="AI37" s="1359"/>
      <c r="AJ37" s="1359"/>
      <c r="AK37" s="1363"/>
      <c r="AL37" s="1359"/>
      <c r="AM37" s="1359"/>
      <c r="AN37" s="1359"/>
      <c r="AO37" s="1359"/>
      <c r="AP37" s="1363"/>
      <c r="AQ37" s="1359"/>
      <c r="AR37" s="1359"/>
      <c r="AS37" s="1359"/>
      <c r="AT37" s="1359"/>
      <c r="AU37" s="1359">
        <f>(AA35+AF35+AK35+AP35)/1000</f>
        <v>8969.8817400000007</v>
      </c>
      <c r="AV37" s="1359"/>
      <c r="AW37" s="1359"/>
      <c r="AX37" s="1359"/>
      <c r="AY37" s="1363"/>
      <c r="AZ37" s="1359"/>
      <c r="BA37" s="1359"/>
      <c r="BB37" s="1359"/>
      <c r="BC37" s="1359"/>
      <c r="BD37" s="1363"/>
      <c r="BE37" s="1359"/>
      <c r="BF37" s="1359"/>
      <c r="BG37" s="1359"/>
      <c r="BH37" s="1359"/>
      <c r="BI37" s="1363"/>
      <c r="BJ37" s="1359"/>
      <c r="BK37" s="1359"/>
      <c r="BL37" s="1364"/>
      <c r="BM37" s="1359"/>
      <c r="BN37" s="1363"/>
      <c r="BO37" s="1363"/>
      <c r="BP37" s="1360"/>
      <c r="BQ37" s="1363"/>
      <c r="BR37" s="1360"/>
      <c r="BS37" s="1363"/>
      <c r="BT37" s="1363"/>
      <c r="BU37" s="1360"/>
      <c r="BV37" s="1363"/>
      <c r="BW37" s="1360"/>
      <c r="BX37" s="1360">
        <f>(AY35+BD35+BI35+BN35+BS35)/1000</f>
        <v>12378.041710000001</v>
      </c>
      <c r="BY37" s="1360"/>
      <c r="BZ37" s="1360"/>
      <c r="CA37" s="1360"/>
      <c r="CB37" s="1363"/>
      <c r="CC37" s="1363"/>
      <c r="CD37" s="1360"/>
      <c r="CE37" s="1363"/>
      <c r="CF37" s="1360"/>
      <c r="CG37" s="1363"/>
      <c r="CH37" s="1363"/>
      <c r="CI37" s="1360"/>
      <c r="CJ37" s="1363"/>
      <c r="CK37" s="1360"/>
      <c r="CL37" s="1363"/>
      <c r="CM37" s="1363"/>
      <c r="CN37" s="1360"/>
      <c r="CO37" s="1363"/>
      <c r="CP37" s="1360"/>
      <c r="CQ37" s="1363"/>
      <c r="CR37" s="1363"/>
      <c r="CS37" s="1360"/>
      <c r="CT37" s="1363"/>
      <c r="CU37" s="1360"/>
      <c r="CV37" s="1363">
        <f>(CB35+CG35+CL35+CQ35)/1000</f>
        <v>11930.252790000002</v>
      </c>
      <c r="CW37" s="1363"/>
      <c r="CX37" s="1363"/>
      <c r="CY37" s="1365"/>
      <c r="CZ37" s="1363"/>
      <c r="DA37" s="1363"/>
      <c r="DB37" s="1360"/>
      <c r="DC37" s="1363"/>
      <c r="DD37" s="1360"/>
      <c r="DE37" s="1363"/>
      <c r="DF37" s="1363"/>
      <c r="DG37" s="1360"/>
      <c r="DH37" s="1363"/>
      <c r="DI37" s="1360"/>
      <c r="DJ37" s="1363"/>
      <c r="DK37" s="1363"/>
      <c r="DL37" s="1360"/>
      <c r="DM37" s="1363"/>
      <c r="DN37" s="1360"/>
      <c r="DO37" s="1363"/>
      <c r="DP37" s="1363"/>
      <c r="DQ37" s="1360"/>
      <c r="DR37" s="1363"/>
      <c r="DS37" s="1360"/>
      <c r="DT37" s="1363">
        <f>(CZ35+DE35+DJ35+DO35)/1000</f>
        <v>12062.41771</v>
      </c>
      <c r="DU37" s="1363"/>
      <c r="DV37" s="1363"/>
      <c r="DW37" s="1360"/>
      <c r="DX37" s="1363"/>
      <c r="DY37" s="1363"/>
      <c r="DZ37" s="1360"/>
      <c r="EA37" s="1363"/>
      <c r="EB37" s="1360"/>
      <c r="EC37" s="1363"/>
      <c r="ED37" s="1363"/>
      <c r="EE37" s="1360"/>
      <c r="EF37" s="1363"/>
      <c r="EG37" s="1360"/>
      <c r="EH37" s="1363"/>
      <c r="EI37" s="1363"/>
      <c r="EJ37" s="1360"/>
      <c r="EK37" s="1363"/>
      <c r="EL37" s="1360"/>
      <c r="EM37" s="1363"/>
      <c r="EN37" s="1363"/>
      <c r="EO37" s="1360"/>
      <c r="EP37" s="1363"/>
      <c r="EQ37" s="1360"/>
      <c r="ER37" s="1363"/>
      <c r="ES37" s="1363"/>
      <c r="ET37" s="1360"/>
      <c r="EU37" s="1363"/>
      <c r="EV37" s="1360"/>
      <c r="EW37" s="1361">
        <f>(DX35+EC35+EH35+EM35+ER35)/1000</f>
        <v>15580.199299999998</v>
      </c>
      <c r="EX37" s="1361"/>
      <c r="EY37" s="1361"/>
      <c r="EZ37" s="1361"/>
      <c r="FA37" s="1363"/>
      <c r="FB37" s="1363"/>
      <c r="FC37" s="1360"/>
      <c r="FD37" s="1363"/>
      <c r="FE37" s="1360"/>
      <c r="FF37" s="1363"/>
      <c r="FG37" s="1363"/>
      <c r="FH37" s="1360"/>
      <c r="FI37" s="1363"/>
      <c r="FJ37" s="1360"/>
      <c r="FK37" s="1363"/>
      <c r="FL37" s="1363"/>
      <c r="FM37" s="1360"/>
      <c r="FN37" s="1363"/>
      <c r="FO37" s="1360"/>
      <c r="FP37" s="1363"/>
      <c r="FQ37" s="1363"/>
      <c r="FR37" s="1360"/>
      <c r="FS37" s="1363"/>
      <c r="FT37" s="1360"/>
      <c r="FU37" s="1361">
        <f>(FA35+FF35+FK35+FP35)/1000</f>
        <v>11781.094960000002</v>
      </c>
      <c r="FV37" s="1361"/>
      <c r="FW37" s="1361"/>
      <c r="FX37" s="1361"/>
      <c r="FY37" s="1366"/>
      <c r="FZ37" s="1361"/>
      <c r="GA37" s="1361"/>
      <c r="GB37" s="1367"/>
      <c r="GC37" s="1361"/>
      <c r="GD37" s="1366"/>
      <c r="GE37" s="1361"/>
      <c r="GF37" s="1361"/>
      <c r="GG37" s="1367"/>
      <c r="GH37" s="1361"/>
      <c r="GI37" s="1366"/>
      <c r="GJ37" s="1361"/>
      <c r="GK37" s="1361"/>
      <c r="GL37" s="1367"/>
      <c r="GM37" s="1361"/>
      <c r="GN37" s="1366"/>
      <c r="GO37" s="1361"/>
      <c r="GP37" s="1361"/>
      <c r="GQ37" s="1367"/>
      <c r="GR37" s="1361"/>
      <c r="GS37" s="1361">
        <f>(FY35+GD35+GI35+GN35)/1000</f>
        <v>11004.8948</v>
      </c>
      <c r="GT37" s="1361"/>
      <c r="GU37" s="1361"/>
      <c r="GV37" s="1361"/>
      <c r="GW37" s="1368"/>
      <c r="GX37" s="1361"/>
      <c r="GY37" s="1361"/>
      <c r="GZ37" s="1361"/>
      <c r="HA37" s="1361"/>
      <c r="HB37" s="1361"/>
      <c r="HC37" s="1361"/>
      <c r="HD37" s="1361"/>
      <c r="HE37" s="1361"/>
      <c r="HF37" s="1361"/>
      <c r="HG37" s="1361"/>
      <c r="HH37" s="1361"/>
      <c r="HI37" s="1361"/>
      <c r="HJ37" s="1361"/>
      <c r="HK37" s="1361"/>
      <c r="HL37" s="1361"/>
      <c r="HM37" s="1361"/>
      <c r="HN37" s="1361"/>
      <c r="HO37" s="1361"/>
      <c r="HP37" s="1361"/>
      <c r="HQ37" s="1361"/>
      <c r="HR37" s="1361"/>
      <c r="HS37" s="1361"/>
      <c r="HT37" s="1361"/>
      <c r="HU37" s="1361"/>
      <c r="HV37" s="1361">
        <f>(GW35+HB35+HG35+HL35+HQ35)/1000</f>
        <v>13084.143700000002</v>
      </c>
      <c r="HW37" s="1361"/>
      <c r="HX37" s="1361"/>
      <c r="HY37" s="1361"/>
      <c r="HZ37" s="1361"/>
      <c r="IA37" s="1361"/>
      <c r="IB37" s="1361"/>
      <c r="IC37" s="1361"/>
      <c r="ID37" s="1361"/>
      <c r="IE37" s="1361"/>
      <c r="IF37" s="1361"/>
      <c r="IG37" s="1361"/>
      <c r="IH37" s="1361"/>
      <c r="II37" s="1361"/>
      <c r="IJ37" s="1361"/>
      <c r="IK37" s="1361"/>
      <c r="IL37" s="1361"/>
      <c r="IM37" s="1361"/>
      <c r="IN37" s="1361"/>
      <c r="IO37" s="1361"/>
      <c r="IP37" s="1361"/>
      <c r="IQ37" s="1361"/>
      <c r="IR37" s="1361"/>
      <c r="IS37" s="1361"/>
      <c r="IT37" s="1361">
        <f>(HZ35+IE35+IJ35+IO35)/1000</f>
        <v>11406.50518</v>
      </c>
      <c r="IU37" s="1361"/>
      <c r="IV37" s="1361"/>
      <c r="IW37" s="1361"/>
      <c r="IX37" s="1361"/>
      <c r="IY37" s="1361"/>
      <c r="IZ37" s="1361"/>
      <c r="JA37" s="1361"/>
      <c r="JB37" s="1361"/>
      <c r="JC37" s="1361"/>
      <c r="JD37" s="1361"/>
      <c r="JE37" s="1361"/>
      <c r="JF37" s="1361"/>
      <c r="JG37" s="1361"/>
      <c r="JH37" s="1361"/>
      <c r="JI37" s="1361"/>
      <c r="JJ37" s="1361"/>
      <c r="JK37" s="1361"/>
      <c r="JL37" s="1361"/>
      <c r="JM37" s="1361"/>
      <c r="JN37" s="1361"/>
      <c r="JO37" s="1361"/>
      <c r="JP37" s="1361"/>
      <c r="JQ37" s="1361"/>
      <c r="JR37" s="1361">
        <f>(IX35+JC35+JH35+JM35)/1000</f>
        <v>13544.550399999998</v>
      </c>
      <c r="JS37" s="1361"/>
      <c r="JT37" s="1361"/>
      <c r="JU37" s="1361"/>
      <c r="JV37" s="1361"/>
      <c r="JW37" s="1361"/>
      <c r="JX37" s="1361"/>
      <c r="JY37" s="1361"/>
      <c r="JZ37" s="1361"/>
      <c r="KA37" s="1361"/>
      <c r="KB37" s="1361"/>
      <c r="KC37" s="1361"/>
      <c r="KD37" s="1361"/>
      <c r="KE37" s="1361"/>
      <c r="KF37" s="1361"/>
      <c r="KG37" s="1361"/>
      <c r="KH37" s="1361"/>
      <c r="KI37" s="1361"/>
      <c r="KJ37" s="1361"/>
      <c r="KK37" s="1361"/>
      <c r="KL37" s="1361"/>
      <c r="KM37" s="1361"/>
      <c r="KN37" s="1361"/>
      <c r="KO37" s="1361"/>
      <c r="KP37" s="1361"/>
      <c r="KQ37" s="1361"/>
      <c r="KR37" s="1361"/>
      <c r="KS37" s="1361"/>
      <c r="KT37" s="1361"/>
      <c r="KU37" s="1361">
        <f>(JV35+KA35+KF35+KK35+KP35)/1000</f>
        <v>31237.951049999996</v>
      </c>
      <c r="KV37" s="1361"/>
      <c r="KW37" s="1361"/>
      <c r="KX37" s="1361"/>
      <c r="KY37" s="1361"/>
      <c r="KZ37" s="1361"/>
      <c r="LA37" s="1361"/>
      <c r="LB37" s="1361"/>
    </row>
    <row r="38" spans="1:314" ht="7.5" customHeight="1">
      <c r="A38" s="1495"/>
      <c r="B38" s="444"/>
      <c r="C38" s="406"/>
      <c r="D38" s="342"/>
      <c r="E38" s="342"/>
      <c r="F38" s="1495"/>
      <c r="G38" s="406"/>
      <c r="H38" s="406"/>
      <c r="I38" s="342"/>
      <c r="J38" s="342"/>
      <c r="K38" s="1495"/>
      <c r="L38" s="342"/>
      <c r="M38" s="342"/>
      <c r="N38" s="342"/>
      <c r="O38" s="342"/>
      <c r="P38" s="1495"/>
      <c r="Q38" s="342"/>
      <c r="R38" s="342"/>
      <c r="S38" s="342"/>
      <c r="T38" s="342"/>
      <c r="U38" s="1495"/>
      <c r="V38" s="342"/>
      <c r="W38" s="342"/>
      <c r="X38" s="342"/>
      <c r="Y38" s="342"/>
      <c r="Z38" s="342"/>
      <c r="AA38" s="406"/>
      <c r="AB38" s="342"/>
      <c r="AC38" s="342"/>
      <c r="AD38" s="1495"/>
      <c r="AE38" s="342"/>
      <c r="AF38" s="406"/>
      <c r="AG38" s="342"/>
      <c r="AH38" s="342"/>
      <c r="AI38" s="1495"/>
      <c r="AJ38" s="342"/>
      <c r="AK38" s="406"/>
      <c r="AL38" s="342"/>
      <c r="AM38" s="342"/>
      <c r="AN38" s="1495"/>
      <c r="AO38" s="342"/>
      <c r="AP38" s="406"/>
      <c r="AQ38" s="342"/>
      <c r="AR38" s="342"/>
      <c r="AS38" s="1495"/>
      <c r="AT38" s="342"/>
      <c r="AU38" s="342"/>
      <c r="AV38" s="342"/>
      <c r="AW38" s="342"/>
      <c r="AX38" s="342"/>
      <c r="AY38" s="406"/>
      <c r="AZ38" s="342"/>
      <c r="BA38" s="342"/>
      <c r="BB38" s="1495"/>
      <c r="BC38" s="342"/>
      <c r="BD38" s="406"/>
      <c r="BE38" s="342"/>
      <c r="BF38" s="342"/>
      <c r="BG38" s="1495"/>
      <c r="BH38" s="342"/>
      <c r="BI38" s="406"/>
      <c r="BJ38" s="342"/>
      <c r="BK38" s="342"/>
      <c r="BL38" s="411"/>
      <c r="BM38" s="342"/>
      <c r="BN38" s="406"/>
      <c r="BO38" s="342"/>
      <c r="BP38" s="417"/>
      <c r="BQ38" s="411"/>
      <c r="BR38" s="342"/>
      <c r="BS38" s="406"/>
      <c r="BT38" s="342"/>
      <c r="BU38" s="342"/>
      <c r="BV38" s="406"/>
      <c r="BW38" s="342"/>
      <c r="BX38" s="342"/>
      <c r="BY38" s="342"/>
      <c r="BZ38" s="342"/>
      <c r="CA38" s="342"/>
      <c r="CB38" s="406"/>
      <c r="CC38" s="342"/>
      <c r="CD38" s="342"/>
      <c r="CE38" s="406"/>
      <c r="CF38" s="342"/>
      <c r="CG38" s="406"/>
      <c r="CH38" s="342"/>
      <c r="CI38" s="342"/>
      <c r="CJ38" s="412"/>
      <c r="CK38" s="342"/>
      <c r="CL38" s="406"/>
      <c r="CM38" s="342"/>
      <c r="CN38" s="342"/>
      <c r="CO38" s="411"/>
      <c r="CP38" s="342"/>
      <c r="CQ38" s="406"/>
      <c r="CR38" s="342"/>
      <c r="CS38" s="342"/>
      <c r="CT38" s="411"/>
      <c r="CU38" s="342"/>
      <c r="CV38" s="342"/>
      <c r="CW38" s="342"/>
      <c r="CX38" s="342"/>
      <c r="CY38" s="489"/>
      <c r="CZ38" s="475"/>
      <c r="DA38" s="482"/>
      <c r="DB38" s="342"/>
      <c r="DC38" s="411"/>
      <c r="DD38" s="342"/>
      <c r="DE38" s="475"/>
      <c r="DF38" s="482"/>
      <c r="DG38" s="342"/>
      <c r="DH38" s="411"/>
      <c r="DI38" s="342"/>
      <c r="DJ38" s="475"/>
      <c r="DK38" s="482"/>
      <c r="DL38" s="342"/>
      <c r="DM38" s="411"/>
      <c r="DN38" s="342"/>
      <c r="DO38" s="475"/>
      <c r="DP38" s="482"/>
      <c r="DQ38" s="342"/>
      <c r="DR38" s="411"/>
      <c r="DS38" s="342"/>
      <c r="DT38" s="342"/>
      <c r="DU38" s="342"/>
      <c r="DV38" s="342"/>
      <c r="DW38" s="342"/>
      <c r="DX38" s="475"/>
      <c r="DY38" s="482"/>
      <c r="DZ38" s="342"/>
      <c r="EA38" s="411"/>
      <c r="EB38" s="342"/>
      <c r="EC38" s="475"/>
      <c r="ED38" s="482"/>
      <c r="EE38" s="342"/>
      <c r="EF38" s="411"/>
      <c r="EG38" s="342"/>
      <c r="EH38" s="475"/>
      <c r="EI38" s="482"/>
      <c r="EJ38" s="342"/>
      <c r="EK38" s="411"/>
      <c r="EL38" s="342"/>
      <c r="EM38" s="475"/>
      <c r="EN38" s="482"/>
      <c r="EO38" s="342"/>
      <c r="EP38" s="411"/>
      <c r="EQ38" s="342"/>
      <c r="ER38" s="475"/>
      <c r="ES38" s="482"/>
      <c r="ET38" s="342"/>
      <c r="EU38" s="411"/>
      <c r="EV38" s="342"/>
      <c r="EW38" s="342"/>
      <c r="EX38" s="342"/>
      <c r="EY38" s="342"/>
      <c r="EZ38" s="342"/>
      <c r="FA38" s="475"/>
      <c r="FB38" s="482"/>
      <c r="FC38" s="342"/>
      <c r="FD38" s="411"/>
      <c r="FE38" s="342"/>
      <c r="FF38" s="475"/>
      <c r="FG38" s="482"/>
      <c r="FH38" s="342"/>
      <c r="FI38" s="411"/>
      <c r="FJ38" s="342"/>
      <c r="FK38" s="475"/>
      <c r="FL38" s="482"/>
      <c r="FM38" s="342"/>
      <c r="FN38" s="411"/>
      <c r="FO38" s="342"/>
      <c r="FP38" s="475"/>
      <c r="FQ38" s="482"/>
      <c r="FR38" s="342"/>
      <c r="FS38" s="411"/>
      <c r="FT38" s="342"/>
      <c r="FU38" s="342"/>
      <c r="FV38" s="342"/>
      <c r="FW38" s="342"/>
      <c r="FX38" s="342"/>
      <c r="FY38" s="406"/>
      <c r="FZ38" s="342"/>
      <c r="GA38" s="342"/>
      <c r="GB38" s="422"/>
      <c r="GC38" s="342"/>
      <c r="GD38" s="406"/>
      <c r="GE38" s="342"/>
      <c r="GF38" s="342"/>
      <c r="GG38" s="422"/>
      <c r="GH38" s="342"/>
      <c r="GI38" s="406"/>
      <c r="GJ38" s="342"/>
      <c r="GK38" s="342"/>
      <c r="GL38" s="422"/>
      <c r="GM38" s="342"/>
      <c r="GN38" s="406"/>
      <c r="GO38" s="342"/>
      <c r="GP38" s="342"/>
      <c r="GQ38" s="422"/>
      <c r="GR38" s="342"/>
      <c r="GS38" s="342"/>
      <c r="GT38" s="342"/>
      <c r="GU38" s="342"/>
      <c r="GV38" s="342"/>
      <c r="GW38" s="411"/>
      <c r="GX38" s="342"/>
      <c r="GY38" s="342"/>
      <c r="GZ38" s="1495"/>
      <c r="HA38" s="342"/>
      <c r="HB38" s="1495"/>
      <c r="HC38" s="342"/>
      <c r="HD38" s="342"/>
      <c r="HE38" s="1495"/>
      <c r="HF38" s="342"/>
      <c r="HG38" s="1495"/>
      <c r="HH38" s="342"/>
      <c r="HI38" s="342"/>
      <c r="HJ38" s="1495"/>
      <c r="HK38" s="342"/>
      <c r="HL38" s="1495"/>
      <c r="HM38" s="342"/>
      <c r="HN38" s="342"/>
      <c r="HO38" s="1495"/>
      <c r="HP38" s="342"/>
      <c r="HQ38" s="1495"/>
      <c r="HR38" s="342"/>
      <c r="HS38" s="342"/>
      <c r="HT38" s="1495"/>
      <c r="HU38" s="342"/>
      <c r="HV38" s="342"/>
      <c r="HW38" s="342"/>
      <c r="HX38" s="342"/>
      <c r="HY38" s="342"/>
      <c r="HZ38" s="1495"/>
      <c r="IA38" s="342"/>
      <c r="IB38" s="342"/>
      <c r="IC38" s="1495"/>
      <c r="ID38" s="342"/>
      <c r="IE38" s="1495"/>
      <c r="IF38" s="342"/>
      <c r="IG38" s="342"/>
      <c r="IH38" s="1495"/>
      <c r="II38" s="342"/>
      <c r="IJ38" s="1495"/>
      <c r="IK38" s="342"/>
      <c r="IL38" s="342"/>
      <c r="IM38" s="1495"/>
      <c r="IN38" s="342"/>
      <c r="IO38" s="1495"/>
      <c r="IP38" s="342"/>
      <c r="IQ38" s="342"/>
      <c r="IR38" s="1495"/>
      <c r="IS38" s="342"/>
      <c r="IT38" s="342"/>
      <c r="IU38" s="342"/>
      <c r="IV38" s="342"/>
      <c r="IW38" s="342"/>
      <c r="IX38" s="1495"/>
      <c r="IY38" s="342"/>
      <c r="IZ38" s="342"/>
      <c r="JA38" s="1495"/>
      <c r="JB38" s="342"/>
      <c r="JC38" s="1495"/>
      <c r="JD38" s="342"/>
      <c r="JE38" s="342"/>
      <c r="JF38" s="1495"/>
      <c r="JG38" s="342"/>
      <c r="JH38" s="1495"/>
      <c r="JI38" s="342"/>
      <c r="JJ38" s="342"/>
      <c r="JK38" s="1495"/>
      <c r="JL38" s="342"/>
      <c r="JM38" s="1495"/>
      <c r="JN38" s="342"/>
      <c r="JO38" s="342"/>
      <c r="JP38" s="1495"/>
      <c r="JQ38" s="342"/>
      <c r="JR38" s="342"/>
      <c r="JS38" s="342"/>
      <c r="JT38" s="342"/>
      <c r="JU38" s="342"/>
      <c r="JV38" s="1495"/>
      <c r="JW38" s="342"/>
      <c r="JX38" s="342"/>
      <c r="JY38" s="1495"/>
      <c r="JZ38" s="342"/>
      <c r="KA38" s="1495"/>
      <c r="KB38" s="342"/>
      <c r="KC38" s="342"/>
      <c r="KD38" s="1495"/>
      <c r="KE38" s="342"/>
      <c r="KF38" s="1495"/>
      <c r="KG38" s="342"/>
      <c r="KH38" s="342"/>
      <c r="KI38" s="1495"/>
      <c r="KJ38" s="342"/>
      <c r="KK38" s="1495"/>
      <c r="KL38" s="342"/>
      <c r="KM38" s="342"/>
      <c r="KN38" s="1495"/>
      <c r="KO38" s="342"/>
      <c r="KP38" s="1495"/>
      <c r="KQ38" s="342"/>
      <c r="KR38" s="342"/>
      <c r="KS38" s="1495"/>
      <c r="KT38" s="342"/>
      <c r="KU38" s="342"/>
      <c r="KV38" s="342"/>
      <c r="KW38" s="342"/>
      <c r="KX38" s="342"/>
      <c r="KY38" s="1495"/>
      <c r="KZ38" s="1495"/>
      <c r="LA38" s="1495"/>
      <c r="LB38" s="1495"/>
    </row>
    <row r="39" spans="1:314" ht="21" customHeight="1" thickBot="1">
      <c r="A39" s="1495"/>
      <c r="B39" s="428" t="s">
        <v>42</v>
      </c>
      <c r="C39" s="432"/>
      <c r="D39" s="432"/>
      <c r="E39" s="433"/>
      <c r="F39" s="432"/>
      <c r="G39" s="433"/>
      <c r="H39" s="432"/>
      <c r="I39" s="432"/>
      <c r="J39" s="433"/>
      <c r="K39" s="432"/>
      <c r="L39" s="433"/>
      <c r="M39" s="432"/>
      <c r="N39" s="432"/>
      <c r="O39" s="433"/>
      <c r="P39" s="432"/>
      <c r="Q39" s="433"/>
      <c r="R39" s="432"/>
      <c r="S39" s="432"/>
      <c r="T39" s="433"/>
      <c r="U39" s="432"/>
      <c r="V39" s="433"/>
      <c r="W39" s="1415">
        <f>W6+W7+W9+W13+W14+W15+W17</f>
        <v>1759186.3615999999</v>
      </c>
      <c r="X39" s="433"/>
      <c r="Y39" s="433"/>
      <c r="Z39" s="433"/>
      <c r="AA39" s="432"/>
      <c r="AB39" s="432"/>
      <c r="AC39" s="433"/>
      <c r="AD39" s="432"/>
      <c r="AE39" s="433"/>
      <c r="AF39" s="432"/>
      <c r="AG39" s="432"/>
      <c r="AH39" s="433"/>
      <c r="AI39" s="432"/>
      <c r="AJ39" s="433"/>
      <c r="AK39" s="432"/>
      <c r="AL39" s="432"/>
      <c r="AM39" s="433"/>
      <c r="AN39" s="432"/>
      <c r="AO39" s="433"/>
      <c r="AP39" s="432"/>
      <c r="AQ39" s="432"/>
      <c r="AR39" s="433"/>
      <c r="AS39" s="432"/>
      <c r="AT39" s="433"/>
      <c r="AU39" s="1415">
        <f>AU6+AU7+AU9+AU13+AU14+AU15+AU17</f>
        <v>2007828.1968000003</v>
      </c>
      <c r="AV39" s="433"/>
      <c r="AW39" s="433"/>
      <c r="AX39" s="433"/>
      <c r="AY39" s="432"/>
      <c r="AZ39" s="432"/>
      <c r="BA39" s="433"/>
      <c r="BB39" s="432"/>
      <c r="BC39" s="433"/>
      <c r="BD39" s="432"/>
      <c r="BE39" s="432"/>
      <c r="BF39" s="433"/>
      <c r="BG39" s="432"/>
      <c r="BH39" s="433"/>
      <c r="BI39" s="432"/>
      <c r="BJ39" s="432"/>
      <c r="BK39" s="433"/>
      <c r="BL39" s="432"/>
      <c r="BM39" s="448"/>
      <c r="BN39" s="451">
        <f>BN6+BN7+BN9+BN13+BN14+BN15+BN17</f>
        <v>636292.99</v>
      </c>
      <c r="BO39" s="432">
        <f>BO6+BO7+BO9+BO13+BO14+BO15+BO17</f>
        <v>561648.52129999991</v>
      </c>
      <c r="BP39" s="433">
        <f>BO39/BN39</f>
        <v>0.88268852576860846</v>
      </c>
      <c r="BQ39" s="432">
        <f>BQ6+BQ7+BQ9+BQ13+BQ14+BQ15+BQ17</f>
        <v>0</v>
      </c>
      <c r="BR39" s="425">
        <f>BQ39/BN39</f>
        <v>0</v>
      </c>
      <c r="BS39" s="451">
        <f>BS6+BS7+BS9+BS13+BS14+BS15+BS17</f>
        <v>631163.47</v>
      </c>
      <c r="BT39" s="432">
        <f>BT6+BT7+BT9+BT13+BT14+BT15+BT17</f>
        <v>565689.60739999998</v>
      </c>
      <c r="BU39" s="433">
        <f>BT39/BS39</f>
        <v>0.89626480981226619</v>
      </c>
      <c r="BV39" s="432">
        <f>BV6+BV7+BV9+BV13+BV14+BV17</f>
        <v>0</v>
      </c>
      <c r="BW39" s="425">
        <f>BV39/BS39</f>
        <v>0</v>
      </c>
      <c r="BX39" s="1419">
        <f>BX6+BX7+BX9+BX13+BX14+BX15+BX17</f>
        <v>2663830.0373</v>
      </c>
      <c r="BY39" s="432">
        <f>BY6+BY7+BY9+BY13+BY14+BY15+BY17</f>
        <v>0</v>
      </c>
      <c r="BZ39" s="432">
        <f>BZ6+BZ7+BZ9+BZ13+BZ14+BZ15+BZ17</f>
        <v>0</v>
      </c>
      <c r="CA39" s="425" t="e">
        <f>BZ39/BY39</f>
        <v>#DIV/0!</v>
      </c>
      <c r="CB39" s="451">
        <f>CB6+CB7+CB9+CB13+CB14+CB15+CB17</f>
        <v>647437.40999999992</v>
      </c>
      <c r="CC39" s="432">
        <f>CC6+CC7+CC9+CC13+CC14+CC15+CC17</f>
        <v>580625.83169999998</v>
      </c>
      <c r="CD39" s="433">
        <f>CC39/CB39</f>
        <v>0.89680612014681083</v>
      </c>
      <c r="CE39" s="432">
        <f>CE6+CE7+CE9+CE13+CE14+CE17</f>
        <v>0</v>
      </c>
      <c r="CF39" s="425">
        <f>CE39/CB39</f>
        <v>0</v>
      </c>
      <c r="CG39" s="451">
        <f>CG6+CG7+CG9+CG13+CG14+CG15+CG17</f>
        <v>702029.11</v>
      </c>
      <c r="CH39" s="432">
        <f>CH6+CH7+CH9+CH13+CH14+CH15+CH17</f>
        <v>638484.30180000002</v>
      </c>
      <c r="CI39" s="433">
        <f>CH39/CG39</f>
        <v>0.90948408364433786</v>
      </c>
      <c r="CJ39" s="432">
        <f>CJ6+CJ7+CJ9+CJ13+CJ14+CJ17+CJ15</f>
        <v>0</v>
      </c>
      <c r="CK39" s="425">
        <f>CJ39/CG39</f>
        <v>0</v>
      </c>
      <c r="CL39" s="451">
        <f>CL6+CL7+CL9+CL13+CL14+CL15+CL17</f>
        <v>711137.78999999992</v>
      </c>
      <c r="CM39" s="432">
        <f>CM6+CM7+CM9+CM13+CM14+CM17+CM15</f>
        <v>646096.26649999991</v>
      </c>
      <c r="CN39" s="433">
        <f>CM39/CL39</f>
        <v>0.90853878894552909</v>
      </c>
      <c r="CO39" s="432">
        <f>CO6+CO7+CO9+CO13+CO14+CO17+CO15</f>
        <v>0</v>
      </c>
      <c r="CP39" s="425">
        <f>CO39/CL39</f>
        <v>0</v>
      </c>
      <c r="CQ39" s="451">
        <f>CQ6+CQ7+CQ9+CQ13+CQ14+CQ15+CQ17</f>
        <v>877246.58999999985</v>
      </c>
      <c r="CR39" s="432">
        <f>CR6+CR7+CR9+CR13+CR14+CR15+CR17</f>
        <v>804949.47080000001</v>
      </c>
      <c r="CS39" s="433">
        <f>CR39/CQ39</f>
        <v>0.91758632062622225</v>
      </c>
      <c r="CT39" s="432">
        <f>CT6+CT7+CT9+CT13+CT14+CT17+CT15</f>
        <v>0</v>
      </c>
      <c r="CU39" s="448">
        <f>CT39/CQ39</f>
        <v>0</v>
      </c>
      <c r="CV39" s="451">
        <f>CV6+CV7+CV9+CV13+CV14+CV15+CV17</f>
        <v>2670155.8708000001</v>
      </c>
      <c r="CW39" s="432">
        <f>CW6+CW7+CW9+CW13+CW14+CW17+CW15</f>
        <v>0</v>
      </c>
      <c r="CX39" s="432">
        <f>CX6+CX7+CX9+CX13+CX14+CX17+CX15</f>
        <v>0</v>
      </c>
      <c r="CY39" s="489" t="e">
        <f>CX39/CW39</f>
        <v>#DIV/0!</v>
      </c>
      <c r="CZ39" s="476">
        <f>CZ6+CZ7+CZ9+CZ13+CZ14+CZ15+CZ17</f>
        <v>986017.39</v>
      </c>
      <c r="DA39" s="477">
        <f>DA6+DA7+DA9+DA13+DA14+DA15+DA17</f>
        <v>880196.85470000003</v>
      </c>
      <c r="DB39" s="433">
        <f>DA39/CZ39</f>
        <v>0.89267883470087683</v>
      </c>
      <c r="DC39" s="432">
        <f>DC6+DC7+DC9+DC13+DC14+DC17+DC15</f>
        <v>0</v>
      </c>
      <c r="DD39" s="448">
        <f>DC39/CZ39</f>
        <v>0</v>
      </c>
      <c r="DE39" s="476">
        <f>DE6+DE7+DE9+DE13+DE14+DE15+DE17</f>
        <v>711465.25</v>
      </c>
      <c r="DF39" s="477">
        <f>DF6+DF7+DF9+DF13+DF14+DF15+DF17</f>
        <v>642594.58970000001</v>
      </c>
      <c r="DG39" s="433">
        <f>DF39/DE39</f>
        <v>0.90319884168622433</v>
      </c>
      <c r="DH39" s="432">
        <f>DH6+DH7+DH9+DH13+DH14+DH17+DH15</f>
        <v>0</v>
      </c>
      <c r="DI39" s="448">
        <f>DH39/DE39</f>
        <v>0</v>
      </c>
      <c r="DJ39" s="476">
        <f>DJ6+DJ7+DJ9+DJ13+DJ14+DJ15+DJ17</f>
        <v>698321.11</v>
      </c>
      <c r="DK39" s="477">
        <f>DK6+DK7+DK9+DK13+DK14+DK15+DK17</f>
        <v>623250.5821</v>
      </c>
      <c r="DL39" s="433">
        <f>DK39/DJ39</f>
        <v>0.8924985557145767</v>
      </c>
      <c r="DM39" s="432">
        <f>DM6+DM7+DM9+DM13+DM14+DM17+DM15</f>
        <v>0</v>
      </c>
      <c r="DN39" s="448">
        <f>DM39/DJ39</f>
        <v>0</v>
      </c>
      <c r="DO39" s="476">
        <f>DO6+DO7+DO9+DO13+DO14+DO15+DO17</f>
        <v>640248.67000000004</v>
      </c>
      <c r="DP39" s="477">
        <f>DP6+DP7+DP9+DP13+DP14+DP15+DP17</f>
        <v>581760.07919999992</v>
      </c>
      <c r="DQ39" s="433">
        <f>DP39/DO39</f>
        <v>0.90864707176978576</v>
      </c>
      <c r="DR39" s="432">
        <f>DR6+DR7+DR9+DR13+DR14+DR17+DR15</f>
        <v>0</v>
      </c>
      <c r="DS39" s="448">
        <f>DR39/DO39</f>
        <v>0</v>
      </c>
      <c r="DT39" s="451">
        <f>DT6+DT7+DT9+DT13+DT14+DT15+DT17</f>
        <v>2727802.1057000002</v>
      </c>
      <c r="DU39" s="432">
        <f>DU6+DU7+DU9+DU13+DU14+DU15+DU17</f>
        <v>0</v>
      </c>
      <c r="DV39" s="432">
        <f>DV6+DV7+DV9+DV13+DV14+DV15+DV17</f>
        <v>0</v>
      </c>
      <c r="DW39" s="419" t="e">
        <f>DV39/DU39</f>
        <v>#DIV/0!</v>
      </c>
      <c r="DX39" s="476">
        <f>DX6+DX7+DX9+DX13+DX14+DX15+DX17</f>
        <v>661590.92000000004</v>
      </c>
      <c r="DY39" s="477">
        <f>DY6+DY7+DY9+DY13+DY14+DY15+DY17</f>
        <v>590331.55459999992</v>
      </c>
      <c r="DZ39" s="433">
        <f>DY39/DX39</f>
        <v>0.8922908957093908</v>
      </c>
      <c r="EA39" s="432">
        <f>EA6+EA7+EA9+EA13+EA14+EA17</f>
        <v>0</v>
      </c>
      <c r="EB39" s="448">
        <f>EA39/DX39</f>
        <v>0</v>
      </c>
      <c r="EC39" s="476">
        <f>EC6+EC7+EC9+EC13+EC14+EC15+EC17</f>
        <v>730619.2300000001</v>
      </c>
      <c r="ED39" s="477">
        <f>ED6+ED7+ED9+ED13+ED14+ED15+ED17</f>
        <v>641322.48690000002</v>
      </c>
      <c r="EE39" s="433">
        <f>ED39/EC39</f>
        <v>0.87777936928925338</v>
      </c>
      <c r="EF39" s="432">
        <f>EF6+EF7+EF9+EF13+EF14+EF17</f>
        <v>0</v>
      </c>
      <c r="EG39" s="448">
        <f>EF39/EC39</f>
        <v>0</v>
      </c>
      <c r="EH39" s="476">
        <f>EH6+EH7+EH9+EH13+EH14+EH15+EH17</f>
        <v>823676.07</v>
      </c>
      <c r="EI39" s="477">
        <f>EI6+EI7+EI9+EI13+EI14+EI15+EI17</f>
        <v>735037.62380000006</v>
      </c>
      <c r="EJ39" s="433">
        <f>EI39/EH39</f>
        <v>0.89238676534575068</v>
      </c>
      <c r="EK39" s="432">
        <f>EK6+EK7+EK9+EK13+EK14+EK17</f>
        <v>0</v>
      </c>
      <c r="EL39" s="448">
        <f>EK39/EH39</f>
        <v>0</v>
      </c>
      <c r="EM39" s="476">
        <f>EM6+EM7+EM9+EM13+EM14+EM15+EM17</f>
        <v>770077.15</v>
      </c>
      <c r="EN39" s="477">
        <f>EN6+EN7+EN9+EN13+EN14+EN15+EN17</f>
        <v>720087.31669999997</v>
      </c>
      <c r="EO39" s="433">
        <f>EN39/EM39</f>
        <v>0.93508464275300196</v>
      </c>
      <c r="EP39" s="432">
        <f>EP6+EP7+EP9+EP13+EP14+EP17</f>
        <v>0</v>
      </c>
      <c r="EQ39" s="448">
        <f>EP39/EM39</f>
        <v>0</v>
      </c>
      <c r="ER39" s="476">
        <f>ER6+ER7+ER9+ER13+ER14+ER15+ER17</f>
        <v>730453.25999999989</v>
      </c>
      <c r="ES39" s="477">
        <f>ES6+ES7+ES9+ES13+ES14+ES15+ES17</f>
        <v>685148.25060000003</v>
      </c>
      <c r="ET39" s="433">
        <f>ES39/ER39</f>
        <v>0.93797685371409001</v>
      </c>
      <c r="EU39" s="432">
        <f>EU6+EU7+EU9+EU13+EU14+EU17</f>
        <v>0</v>
      </c>
      <c r="EV39" s="448">
        <f>EU39/ER39</f>
        <v>0</v>
      </c>
      <c r="EW39" s="451">
        <f>EW6+EW7+EW9+EW13+EW14+EW15+EW17</f>
        <v>3371927.2325999998</v>
      </c>
      <c r="EX39" s="432">
        <f>EX6+EX7+EX9+EX13+EX14+EX15+EX17</f>
        <v>0</v>
      </c>
      <c r="EY39" s="432">
        <f>EY6+EY7+EY9+EY13+EY14+EY15+EY17</f>
        <v>0</v>
      </c>
      <c r="EZ39" s="454" t="e">
        <f>EY39/EX39</f>
        <v>#DIV/0!</v>
      </c>
      <c r="FA39" s="476">
        <f>FA6+FA7+FA9+FA13+FA14+FA15+FA17</f>
        <v>690723.71</v>
      </c>
      <c r="FB39" s="477">
        <f>FB6+FB7+FB9+FB13+FB14+FB15+FB17</f>
        <v>607836.86479999998</v>
      </c>
      <c r="FC39" s="433">
        <f>FB39/FA39</f>
        <v>0.88</v>
      </c>
      <c r="FD39" s="432">
        <f>FD6+FD7+FD9+FD13+FD14+FD17</f>
        <v>0</v>
      </c>
      <c r="FE39" s="448">
        <f>FD39/FA39</f>
        <v>0</v>
      </c>
      <c r="FF39" s="476">
        <f>FF6+FF7+FF9+FF13+FF14+FF15+FF17</f>
        <v>722748.49</v>
      </c>
      <c r="FG39" s="477">
        <f>FG6+FG7+FG9+FG13+FG14+FG15+FG17</f>
        <v>639374.00379999995</v>
      </c>
      <c r="FH39" s="433">
        <f>FG39/FF39</f>
        <v>0.88464246227619237</v>
      </c>
      <c r="FI39" s="432">
        <f>FI6+FI7+FI9+FI13+FI14+FI17</f>
        <v>0</v>
      </c>
      <c r="FJ39" s="448">
        <f>FI39/FF39</f>
        <v>0</v>
      </c>
      <c r="FK39" s="476">
        <f>FK6+FK7+FK9+FK13+FK14+FK15+FK17</f>
        <v>663869.03</v>
      </c>
      <c r="FL39" s="477">
        <f>FL6+FL7+FL9+FL13+FL14+FL15+FL17</f>
        <v>589392.43830000004</v>
      </c>
      <c r="FM39" s="433">
        <f>FL39/FK39</f>
        <v>0.88781433033560853</v>
      </c>
      <c r="FN39" s="432">
        <f>FN6+FN7+FN9+FN13+FN14+FN17</f>
        <v>0</v>
      </c>
      <c r="FO39" s="448">
        <f>FN39/FK39</f>
        <v>0</v>
      </c>
      <c r="FP39" s="476">
        <f>FP6+FP7+FP9+FP13+FP14+FP15+FP17</f>
        <v>695694.9</v>
      </c>
      <c r="FQ39" s="477">
        <f>FQ6+FQ7+FQ9+FQ13+FQ14+FQ15+FQ17</f>
        <v>647350.69440000004</v>
      </c>
      <c r="FR39" s="433">
        <f>FQ39/FP39</f>
        <v>0.93050947247133764</v>
      </c>
      <c r="FS39" s="432">
        <f>FS6+FS7+FS9+FS13+FS14+FS17</f>
        <v>0</v>
      </c>
      <c r="FT39" s="448">
        <f>FS39/FP39</f>
        <v>0</v>
      </c>
      <c r="FU39" s="451">
        <f>FU6+FU7+FU9+FU13+FU14+FU15+FU17</f>
        <v>2483954.0013000001</v>
      </c>
      <c r="FV39" s="432">
        <f>FV6+FV7+FV9+FV13+FV14+FV15+FV17</f>
        <v>0</v>
      </c>
      <c r="FW39" s="432">
        <f>FW6+FW7+FW9+FW13+FW14+FW15+FW17</f>
        <v>0</v>
      </c>
      <c r="FX39" s="454" t="e">
        <f>FW39/FV39</f>
        <v>#DIV/0!</v>
      </c>
      <c r="FY39" s="476">
        <f>FY6+FY7+FY9+FY13+FY14+FY15+FY17</f>
        <v>655547</v>
      </c>
      <c r="FZ39" s="477">
        <f>FZ6+FZ7+FZ9+FZ13+FZ14+FZ15+FZ17</f>
        <v>627221.1679</v>
      </c>
      <c r="GA39" s="433">
        <f>FZ39/FY39</f>
        <v>0.95679053965619554</v>
      </c>
      <c r="GB39" s="432">
        <f>GB6+GB7+GB9+GB13+GB14+GB17</f>
        <v>0</v>
      </c>
      <c r="GC39" s="448">
        <f>GB39/FY39</f>
        <v>0</v>
      </c>
      <c r="GD39" s="476">
        <f>GD6+GD7+GD9+GD13+GD14+GD15+GD17</f>
        <v>639169.19999999995</v>
      </c>
      <c r="GE39" s="477">
        <f>GE6+GE7+GE9+GE13+GE14+GE15+GE17</f>
        <v>580357.83810000005</v>
      </c>
      <c r="GF39" s="433">
        <f>GE39/GD39</f>
        <v>0.90798780369892684</v>
      </c>
      <c r="GG39" s="432">
        <f>GG6+GG7+GG9+GG13+GG14+GG17</f>
        <v>0</v>
      </c>
      <c r="GH39" s="448">
        <f>GG39/GD39</f>
        <v>0</v>
      </c>
      <c r="GI39" s="476">
        <f>GI6+GI7+GI9+GI13+GI14+GI15+GI17</f>
        <v>630737.35000000009</v>
      </c>
      <c r="GJ39" s="477">
        <f>GJ6+GJ7+GJ9+GJ13+GJ14+GJ15+GJ17</f>
        <v>621569.87880000006</v>
      </c>
      <c r="GK39" s="433">
        <f>GJ39/GI39</f>
        <v>0.98546546958095949</v>
      </c>
      <c r="GL39" s="432">
        <f>GL6+GL7+GL9+GL13+GL14+GL17</f>
        <v>0</v>
      </c>
      <c r="GM39" s="448">
        <f>GL39/GI39</f>
        <v>0</v>
      </c>
      <c r="GN39" s="476">
        <f>GN6+GN7+GN9+GN13+GN14+GN15+GN17</f>
        <v>608635.4</v>
      </c>
      <c r="GO39" s="477">
        <f>GO6+GO7+GO9+GO13+GO14+GO15+GO17</f>
        <v>596462.69199999992</v>
      </c>
      <c r="GP39" s="433">
        <f>GO39/GN39</f>
        <v>0.97999999999999987</v>
      </c>
      <c r="GQ39" s="432">
        <f>GQ6+GQ7+GQ9+GQ13+GQ14+GQ17</f>
        <v>0</v>
      </c>
      <c r="GR39" s="448">
        <f>GQ39/GN39</f>
        <v>0</v>
      </c>
      <c r="GS39" s="451">
        <f>GS6+GS7+GS9+GS13+GS14+GS15+GS17</f>
        <v>2425611.5767999995</v>
      </c>
      <c r="GT39" s="432">
        <f>GT6+GT7+GT9+GT13+GT14+GT15+GT17</f>
        <v>0</v>
      </c>
      <c r="GU39" s="432">
        <f>GU6+GU7+GU9+GU13+GU14+GU15+GU17</f>
        <v>0</v>
      </c>
      <c r="GV39" s="454" t="e">
        <f>GU39/GT39</f>
        <v>#DIV/0!</v>
      </c>
      <c r="GW39" s="476">
        <f>GW6+GW7+GW9+GW13+GW14+GW15+GW17</f>
        <v>587587</v>
      </c>
      <c r="GX39" s="477">
        <f>GX6+GX7+GX9+GX13+GX14+GX15+GX17</f>
        <v>579011.9</v>
      </c>
      <c r="GY39" s="433">
        <f>GX39/GW39</f>
        <v>0.98540624622396344</v>
      </c>
      <c r="GZ39" s="432">
        <f>GZ6+GZ7+GZ9+GZ13+GZ14+GZ17</f>
        <v>0</v>
      </c>
      <c r="HA39" s="448">
        <f>GZ39/GW39</f>
        <v>0</v>
      </c>
      <c r="HB39" s="476">
        <f>HB6+HB7+HB9+HB13+HB14+HB15+HB17</f>
        <v>572985.51</v>
      </c>
      <c r="HC39" s="477">
        <f>HC6+HC7+HC9+HC13+HC14+HC15+HC17</f>
        <v>572985.51</v>
      </c>
      <c r="HD39" s="433">
        <f>HC39/HB39</f>
        <v>1</v>
      </c>
      <c r="HE39" s="432">
        <f>HE6+HE7+HE9+HE13+HE14+HE17</f>
        <v>0</v>
      </c>
      <c r="HF39" s="448">
        <f>HE39/HB39</f>
        <v>0</v>
      </c>
      <c r="HG39" s="476">
        <f>HG6+HG7+HG9+HG13+HG14+HG15+HG17</f>
        <v>579049.55000000005</v>
      </c>
      <c r="HH39" s="477">
        <f>HH6+HH7+HH9+HH13+HH14+HH15+HH17</f>
        <v>556747.94000000006</v>
      </c>
      <c r="HI39" s="433">
        <f>HH39/HG39</f>
        <v>0.96148583484781225</v>
      </c>
      <c r="HJ39" s="432">
        <f>HJ6+HJ7+HJ9+HJ13+HJ14+HJ17</f>
        <v>0</v>
      </c>
      <c r="HK39" s="448">
        <f>HJ39/HG39</f>
        <v>0</v>
      </c>
      <c r="HL39" s="476">
        <f>HL6+HL7+HL9+HL13+HL14+HL15+HL17</f>
        <v>539972.74</v>
      </c>
      <c r="HM39" s="477">
        <f>HM6+HM7+HM9+HM13+HM14+HM15+HM17</f>
        <v>527774.10069999995</v>
      </c>
      <c r="HN39" s="433">
        <f>HM39/HL39</f>
        <v>0.97740878678431053</v>
      </c>
      <c r="HO39" s="432">
        <f>HO6+HO7+HO9+HO13+HO14+HO17</f>
        <v>0</v>
      </c>
      <c r="HP39" s="448">
        <f>HO39/HL39</f>
        <v>0</v>
      </c>
      <c r="HQ39" s="476">
        <f>HQ6+HQ7+HQ9+HQ13+HQ14+HQ15+HQ17</f>
        <v>570124.32999999996</v>
      </c>
      <c r="HR39" s="477">
        <f>HR6+HR7+HR9+HR13+HR14+HR15+HR17</f>
        <v>558818.76049999997</v>
      </c>
      <c r="HS39" s="433">
        <f>HR39/HQ39</f>
        <v>0.98016999292066698</v>
      </c>
      <c r="HT39" s="432">
        <f>HT6+HT7+HT9+HT13+HT14+HT17</f>
        <v>0</v>
      </c>
      <c r="HU39" s="448">
        <f>HT39/HQ39</f>
        <v>0</v>
      </c>
      <c r="HV39" s="451">
        <f>HV6+HV7+HV9+HV13+HV14+HV15+HV17</f>
        <v>2795338.2111999998</v>
      </c>
      <c r="HW39" s="432">
        <f>HW6+HW7+HW9+HW13+HW14+HW15+HW17</f>
        <v>0</v>
      </c>
      <c r="HX39" s="432">
        <f>HX6+HX7+HX9+HX13+HX14+HX15+HX17</f>
        <v>0</v>
      </c>
      <c r="HY39" s="454" t="e">
        <f>HX39/HW39</f>
        <v>#DIV/0!</v>
      </c>
      <c r="HZ39" s="476">
        <f>HZ6+HZ7+HZ9+HZ13+HZ14+HZ15+HZ17</f>
        <v>531671.07000000007</v>
      </c>
      <c r="IA39" s="477">
        <f>IA6+IA7+IA9+IA13+IA14+IA15+IA17</f>
        <v>519791.50410000008</v>
      </c>
      <c r="IB39" s="433">
        <f>IA39/HZ39</f>
        <v>0.9776561739573304</v>
      </c>
      <c r="IC39" s="432">
        <f>IC6+IC7+IC9+IC13+IC14+IC17</f>
        <v>0</v>
      </c>
      <c r="ID39" s="448">
        <f>IC39/HZ39</f>
        <v>0</v>
      </c>
      <c r="IE39" s="476">
        <f>IE6+IE7+IE9+IE13+IE14+IE15+IE17</f>
        <v>593807.41999999993</v>
      </c>
      <c r="IF39" s="477">
        <f>IF6+IF7+IF9+IF13+IF14+IF15+IF17</f>
        <v>573218.59700000007</v>
      </c>
      <c r="IG39" s="433">
        <f>IF39/IE39</f>
        <v>0.96532744067091669</v>
      </c>
      <c r="IH39" s="432">
        <f>IH6+IH7+IH9+IH13+IH14+IH17</f>
        <v>0</v>
      </c>
      <c r="II39" s="448">
        <f>IH39/IE39</f>
        <v>0</v>
      </c>
      <c r="IJ39" s="476">
        <f>IJ6+IJ7+IJ9+IJ13+IJ14+IJ15+IJ17</f>
        <v>724076.26000000013</v>
      </c>
      <c r="IK39" s="477">
        <f>IK6+IK7+IK9+IK13+IK14+IK15+IK17</f>
        <v>718416.77659999998</v>
      </c>
      <c r="IL39" s="433">
        <f>IK39/IJ39</f>
        <v>0.99218385726387415</v>
      </c>
      <c r="IM39" s="432">
        <f>IM6+IM7+IM9+IM13+IM14+IM17</f>
        <v>0</v>
      </c>
      <c r="IN39" s="448">
        <f>IM39/IJ39</f>
        <v>0</v>
      </c>
      <c r="IO39" s="476">
        <f>IO6+IO7+IO9+IO13+IO14+IO15+IO17</f>
        <v>898041.1399999999</v>
      </c>
      <c r="IP39" s="477">
        <f>IP6+IP7+IP9+IP13+IP14+IP15+IP17</f>
        <v>873038.5466</v>
      </c>
      <c r="IQ39" s="433">
        <f>IP39/IO39</f>
        <v>0.972158743863338</v>
      </c>
      <c r="IR39" s="432">
        <f>IR6+IR7+IR9+IR13+IR14+IR17</f>
        <v>0</v>
      </c>
      <c r="IS39" s="448">
        <f>IR39/IO39</f>
        <v>0</v>
      </c>
      <c r="IT39" s="451">
        <f>IT6+IT7+IT9+IT13+IT14+IT15+IT17</f>
        <v>2684465.4242999996</v>
      </c>
      <c r="IU39" s="432">
        <f>IU6+IU7+IU9+IU13+IU14+IU15+IU17</f>
        <v>0</v>
      </c>
      <c r="IV39" s="432">
        <f>IV6+IV7+IV9+IV13+IV14+IV15+IV17</f>
        <v>0</v>
      </c>
      <c r="IW39" s="454" t="e">
        <f>IV39/IU39</f>
        <v>#DIV/0!</v>
      </c>
      <c r="IX39" s="476">
        <f>IX6+IX7+IX9+IX13+IX14+IX15+IX17</f>
        <v>630877.54999999993</v>
      </c>
      <c r="IY39" s="477">
        <f>IY6+IY7+IY9+IY13+IY14+IY15+IY17</f>
        <v>615928.50619999995</v>
      </c>
      <c r="IZ39" s="433">
        <f>IY39/IX39</f>
        <v>0.97630436556190658</v>
      </c>
      <c r="JA39" s="432">
        <f>JA6+JA7+JA9+JA13+JA14+JA17</f>
        <v>0</v>
      </c>
      <c r="JB39" s="448">
        <f>JA39/IX39</f>
        <v>0</v>
      </c>
      <c r="JC39" s="476">
        <f>JC6+JC7+JC9+JC13+JC14+JC15+JC17</f>
        <v>765108.80999999994</v>
      </c>
      <c r="JD39" s="477">
        <f>JD6+JD7+JD9+JD13+JD14+JD15+JD17</f>
        <v>723064.91599999997</v>
      </c>
      <c r="JE39" s="433">
        <f>JD39/JC39</f>
        <v>0.94504847748387577</v>
      </c>
      <c r="JF39" s="432">
        <f>JF6+JF7+JF9+JF13+JF14+JF17</f>
        <v>0</v>
      </c>
      <c r="JG39" s="448">
        <f>JF39/JC39</f>
        <v>0</v>
      </c>
      <c r="JH39" s="476">
        <f>JH6+JH7+JH9+JH13+JH14+JH15+JH17</f>
        <v>926901.66999999993</v>
      </c>
      <c r="JI39" s="477">
        <f>JI6+JI7+JI9+JI13+JI14+JI15+JI17</f>
        <v>890366.24010000005</v>
      </c>
      <c r="JJ39" s="433">
        <f>JI39/JH39</f>
        <v>0.96058327319660575</v>
      </c>
      <c r="JK39" s="432">
        <f>JK6+JK7+JK9+JK13+JK14+JK17</f>
        <v>0</v>
      </c>
      <c r="JL39" s="448">
        <f>JK39/JH39</f>
        <v>0</v>
      </c>
      <c r="JM39" s="476">
        <f>JM6+JM7+JM9+JM13+JM14+JM15+JM17</f>
        <v>979782.64</v>
      </c>
      <c r="JN39" s="477">
        <f>JN6+JN7+JN9+JN13+JN14+JN15+JN17</f>
        <v>944182.07000000007</v>
      </c>
      <c r="JO39" s="433">
        <f>JN39/JM39</f>
        <v>0.96366482876242843</v>
      </c>
      <c r="JP39" s="432">
        <f>JP6+JP7+JP9+JP13+JP14+JP17</f>
        <v>0</v>
      </c>
      <c r="JQ39" s="448">
        <f>JP39/JM39</f>
        <v>0</v>
      </c>
      <c r="JR39" s="451">
        <f>JR6+JR7+JR9+JR13+JR14+JR15+JR17</f>
        <v>3173541.7322999998</v>
      </c>
      <c r="JS39" s="432">
        <f>JS6+JS7+JS9+JS13+JS14+JS15+JS17</f>
        <v>0</v>
      </c>
      <c r="JT39" s="432">
        <f>JT6+JT7+JT9+JT13+JT14+JT15+JT17</f>
        <v>0</v>
      </c>
      <c r="JU39" s="454" t="e">
        <f>JT39/JS39</f>
        <v>#DIV/0!</v>
      </c>
      <c r="JV39" s="476">
        <f>JV6+JV7+JV9+JV13+JV14+JV15+JV17</f>
        <v>1391133.08</v>
      </c>
      <c r="JW39" s="477">
        <f>JW6+JW7+JW9+JW13+JW14+JW15+JW17</f>
        <v>1307665.0951999999</v>
      </c>
      <c r="JX39" s="433">
        <f>JW39/JV39</f>
        <v>0.93999999999999984</v>
      </c>
      <c r="JY39" s="432">
        <f>JY6+JY7+JY9+JY13+JY14+JY17</f>
        <v>0</v>
      </c>
      <c r="JZ39" s="448">
        <f>JY39/JV39</f>
        <v>0</v>
      </c>
      <c r="KA39" s="476">
        <f>KA6+KA7+KA9+KA13+KA14+KA15+KA17</f>
        <v>1787425.2699999998</v>
      </c>
      <c r="KB39" s="477">
        <f>KB6+KB7+KB9+KB13+KB14+KB15+KB17</f>
        <v>1662305.5011000002</v>
      </c>
      <c r="KC39" s="433">
        <f>KB39/KA39</f>
        <v>0.93000000000000027</v>
      </c>
      <c r="KD39" s="432">
        <f>KD6+KD7+KD9+KD13+KD14+KD17</f>
        <v>0</v>
      </c>
      <c r="KE39" s="448">
        <f>KD39/KA39</f>
        <v>0</v>
      </c>
      <c r="KF39" s="476">
        <f>KF6+KF7+KF9+KF13+KF14+KF15+KF17</f>
        <v>2571369.71</v>
      </c>
      <c r="KG39" s="477">
        <f>KG6+KG7+KG9+KG13+KG14+KG15+KG17</f>
        <v>2405532.2372999997</v>
      </c>
      <c r="KH39" s="433">
        <f>KG39/KF39</f>
        <v>0.93550617320603024</v>
      </c>
      <c r="KI39" s="432">
        <f>KI6+KI7+KI9+KI13+KI14+KI17</f>
        <v>0</v>
      </c>
      <c r="KJ39" s="448">
        <f>KI39/KF39</f>
        <v>0</v>
      </c>
      <c r="KK39" s="476">
        <f>KK6+KK7+KK9+KK13+KK14+KK15+KK17</f>
        <v>2135072.4800000004</v>
      </c>
      <c r="KL39" s="477">
        <f>KL6+KL7+KL9+KL13+KL14+KL15+KL17</f>
        <v>1996558.0659999999</v>
      </c>
      <c r="KM39" s="433">
        <f>KL39/KK39</f>
        <v>0.93512425676527822</v>
      </c>
      <c r="KN39" s="432">
        <f>KN6+KN7+KN9+KN13+KN14+KN17</f>
        <v>0</v>
      </c>
      <c r="KO39" s="448">
        <f>KN39/KK39</f>
        <v>0</v>
      </c>
      <c r="KP39" s="476">
        <f>KP6+KP7+KP9+KP13+KP14+KP15+KP17</f>
        <v>639325.08999999985</v>
      </c>
      <c r="KQ39" s="477">
        <f>KQ6+KQ7+KQ9+KQ13+KQ14+KQ15+KQ17</f>
        <v>611456.76619999995</v>
      </c>
      <c r="KR39" s="433">
        <f>KQ39/KP39</f>
        <v>0.95640977612813549</v>
      </c>
      <c r="KS39" s="432">
        <f>KS6+KS7+KS9+KS13+KS14+KS17</f>
        <v>0</v>
      </c>
      <c r="KT39" s="448">
        <f>KS39/KP39</f>
        <v>0</v>
      </c>
      <c r="KU39" s="451">
        <f>KU6+KU7+KU9+KU13+KU14+KU15+KU17</f>
        <v>7983517.6657999996</v>
      </c>
      <c r="KV39" s="432">
        <f>KV6+KV7+KV9+KV13+KV14+KV15+KV17</f>
        <v>0</v>
      </c>
      <c r="KW39" s="432">
        <f>KW6+KW7+KW9+KW13+KW14+KW15+KW17</f>
        <v>0</v>
      </c>
      <c r="KX39" s="454" t="e">
        <f>KW39/KV39</f>
        <v>#DIV/0!</v>
      </c>
      <c r="KY39" s="451">
        <f>KY6+KY7+KY9+KY13+KY14+KY15+KY17</f>
        <v>0</v>
      </c>
      <c r="KZ39" s="451">
        <f>KZ6+KZ7+KZ9+KZ13+KZ14+KZ15+KZ17</f>
        <v>0</v>
      </c>
      <c r="LA39" s="492">
        <f>KZ39-KY39</f>
        <v>0</v>
      </c>
      <c r="LB39" s="493" t="e">
        <f>KZ39/KY39</f>
        <v>#DIV/0!</v>
      </c>
    </row>
    <row r="40" spans="1:314" ht="21" customHeight="1" thickBot="1">
      <c r="A40" s="1495"/>
      <c r="B40" s="429" t="s">
        <v>43</v>
      </c>
      <c r="C40" s="435"/>
      <c r="D40" s="435"/>
      <c r="E40" s="424"/>
      <c r="F40" s="435"/>
      <c r="G40" s="424"/>
      <c r="H40" s="435"/>
      <c r="I40" s="435"/>
      <c r="J40" s="424"/>
      <c r="K40" s="435"/>
      <c r="L40" s="424"/>
      <c r="M40" s="435"/>
      <c r="N40" s="435"/>
      <c r="O40" s="424"/>
      <c r="P40" s="435"/>
      <c r="Q40" s="424"/>
      <c r="R40" s="435"/>
      <c r="S40" s="435"/>
      <c r="T40" s="424"/>
      <c r="U40" s="435"/>
      <c r="V40" s="424"/>
      <c r="W40" s="1416">
        <f>W8+W10+W12+W16+W20+W23+W24</f>
        <v>1580522.10665</v>
      </c>
      <c r="X40" s="424"/>
      <c r="Y40" s="424"/>
      <c r="Z40" s="424"/>
      <c r="AA40" s="435"/>
      <c r="AB40" s="435"/>
      <c r="AC40" s="424"/>
      <c r="AD40" s="435"/>
      <c r="AE40" s="424"/>
      <c r="AF40" s="435"/>
      <c r="AG40" s="435"/>
      <c r="AH40" s="424"/>
      <c r="AI40" s="435"/>
      <c r="AJ40" s="424"/>
      <c r="AK40" s="435"/>
      <c r="AL40" s="435"/>
      <c r="AM40" s="424"/>
      <c r="AN40" s="435"/>
      <c r="AO40" s="424"/>
      <c r="AP40" s="435"/>
      <c r="AQ40" s="435"/>
      <c r="AR40" s="424"/>
      <c r="AS40" s="435"/>
      <c r="AT40" s="424"/>
      <c r="AU40" s="1416">
        <f>AU8+AU10+AU12+AU16+AU20+AU23+AU24</f>
        <v>1939489.5316450002</v>
      </c>
      <c r="AV40" s="424"/>
      <c r="AW40" s="424"/>
      <c r="AX40" s="424"/>
      <c r="AY40" s="435"/>
      <c r="AZ40" s="435"/>
      <c r="BA40" s="424"/>
      <c r="BB40" s="435"/>
      <c r="BC40" s="424"/>
      <c r="BD40" s="435"/>
      <c r="BE40" s="435"/>
      <c r="BF40" s="424"/>
      <c r="BG40" s="435"/>
      <c r="BH40" s="424"/>
      <c r="BI40" s="435"/>
      <c r="BJ40" s="435"/>
      <c r="BK40" s="424"/>
      <c r="BL40" s="435"/>
      <c r="BM40" s="449"/>
      <c r="BN40" s="452">
        <f>BN8+BN10+BN12+BN16+BN20+BN23+BN24</f>
        <v>455467.87999999995</v>
      </c>
      <c r="BO40" s="435">
        <f>BO8+BO10+BO12+BO16+BO20+BO23+BO24</f>
        <v>554051.22450000001</v>
      </c>
      <c r="BP40" s="424">
        <f>BO40/BN40</f>
        <v>1.2164441200551839</v>
      </c>
      <c r="BQ40" s="435">
        <f>BQ8+BQ10+BQ12+BQ16+BQ20+BQ23+BQ24</f>
        <v>0</v>
      </c>
      <c r="BR40" s="426">
        <f>BQ40/BN40</f>
        <v>0</v>
      </c>
      <c r="BS40" s="452">
        <f>BS8+BS10+BS12+BS16+BS20+BS23+BS24</f>
        <v>485117.49</v>
      </c>
      <c r="BT40" s="435">
        <f>BT8+BT10+BT12+BT16+BT20+BT23+BT24</f>
        <v>527111.81006000005</v>
      </c>
      <c r="BU40" s="424">
        <f>BT40/BS40</f>
        <v>1.0865652567175017</v>
      </c>
      <c r="BV40" s="435">
        <f>BV8+BV10+BV12+BV16+BV20+BV23+BV24</f>
        <v>0</v>
      </c>
      <c r="BW40" s="426">
        <f>BV40/BS40</f>
        <v>0</v>
      </c>
      <c r="BX40" s="1420">
        <f>BX8+BX10+BX12+BX16+BX20+BX23+BX24</f>
        <v>2580918.4157400001</v>
      </c>
      <c r="BY40" s="435">
        <f>BY8+BY10+BY12+BY16+BY20+BY23+BY24</f>
        <v>0</v>
      </c>
      <c r="BZ40" s="435">
        <f>BZ8+BZ10+BZ12+BZ16+BZ20+BZ23+BZ24</f>
        <v>0</v>
      </c>
      <c r="CA40" s="426" t="e">
        <f>BZ40/BY40</f>
        <v>#DIV/0!</v>
      </c>
      <c r="CB40" s="452">
        <f>CB8+CB10+CB12+CB16+CB20+CB23+CB24</f>
        <v>512742.7</v>
      </c>
      <c r="CC40" s="435">
        <f>CC8+CC10+CC12+CC16+CC20+CC23+CC24</f>
        <v>563076.88397999993</v>
      </c>
      <c r="CD40" s="424">
        <f>CC40/CB40</f>
        <v>1.0981665540630805</v>
      </c>
      <c r="CE40" s="435">
        <f>CE8+CE10+CE12+CE16+CE20+CE23+CE24</f>
        <v>0</v>
      </c>
      <c r="CF40" s="426">
        <f>CE40/CB40</f>
        <v>0</v>
      </c>
      <c r="CG40" s="452">
        <f>CG8+CG10+CG12+CG16+CG20+CG23+CG24</f>
        <v>510847.09</v>
      </c>
      <c r="CH40" s="435">
        <f>CH8+CH10+CH12+CH16+CH20+CH23+CH24</f>
        <v>597661.68082499993</v>
      </c>
      <c r="CI40" s="424">
        <f>CH40/CG40</f>
        <v>1.1699424201966186</v>
      </c>
      <c r="CJ40" s="435">
        <f>CJ8+CJ10+CJ12+CJ16+CJ20+CJ23+CJ24</f>
        <v>0</v>
      </c>
      <c r="CK40" s="426">
        <f>CJ40/CG40</f>
        <v>0</v>
      </c>
      <c r="CL40" s="452">
        <f>CL8+CL10+CL12+CL16+CL20+CL23+CL24</f>
        <v>527009.77</v>
      </c>
      <c r="CM40" s="435">
        <f>CM8+CM10+CM12+CM16+CM20+CM23+CM24</f>
        <v>590056.92610000004</v>
      </c>
      <c r="CN40" s="424">
        <f>CM40/CL40</f>
        <v>1.1196318544530968</v>
      </c>
      <c r="CO40" s="435">
        <f>CO8+CO10+CO12+CO16+CO20+CO23+CO24</f>
        <v>0</v>
      </c>
      <c r="CP40" s="426">
        <f>CO40/CL40</f>
        <v>0</v>
      </c>
      <c r="CQ40" s="452">
        <f>CQ8+CQ10+CQ12+CQ16+CQ20+CQ23+CQ24</f>
        <v>715640.04</v>
      </c>
      <c r="CR40" s="435">
        <f>CR8+CR10+CR12+CR16+CR20+CR23+CR24</f>
        <v>831512.58927500003</v>
      </c>
      <c r="CS40" s="424">
        <f>CR40/CQ40</f>
        <v>1.1619145698932665</v>
      </c>
      <c r="CT40" s="435">
        <f>CT8+CT10+CT12+CT16+CT20+CT23+CT24</f>
        <v>0</v>
      </c>
      <c r="CU40" s="449">
        <f>CT40/CQ40</f>
        <v>0</v>
      </c>
      <c r="CV40" s="452">
        <f>CV8+CV10+CV12+CV16+CV20+CV23+CV24</f>
        <v>2582308.08018</v>
      </c>
      <c r="CW40" s="435">
        <f>CW8+CW10+CW12+CW16+CW20+CW23+CW24</f>
        <v>0</v>
      </c>
      <c r="CX40" s="435">
        <f>CX8+CX10+CX12+CX16+CX20+CX23+CX24</f>
        <v>0</v>
      </c>
      <c r="CY40" s="489" t="e">
        <f>CX40/CW40</f>
        <v>#DIV/0!</v>
      </c>
      <c r="CZ40" s="478">
        <f>CZ8+CZ10+CZ12+CZ16+CZ20+CZ23+CZ24</f>
        <v>712192.41999999993</v>
      </c>
      <c r="DA40" s="479">
        <f>DA8+DA10+DA12+DA16+DA20+DA23+DA24</f>
        <v>865817.77439999999</v>
      </c>
      <c r="DB40" s="424">
        <f>DA40/CZ40</f>
        <v>1.2157076515922483</v>
      </c>
      <c r="DC40" s="435">
        <f>DC8+DC10+DC12+DC16+DC20+DC23+DC24</f>
        <v>0</v>
      </c>
      <c r="DD40" s="449">
        <f>DC40/CZ40</f>
        <v>0</v>
      </c>
      <c r="DE40" s="478">
        <f>DE8+DE10+DE12+DE16+DE20+DE23+DE24</f>
        <v>553619.05000000005</v>
      </c>
      <c r="DF40" s="479">
        <f>DF8+DF10+DF12+DF16+DF20+DF23+DF24</f>
        <v>618184.28905000002</v>
      </c>
      <c r="DG40" s="424">
        <f>DF40/DE40</f>
        <v>1.1166239475502151</v>
      </c>
      <c r="DH40" s="435">
        <f>DH8+DH10+DH12+DH16+DH20+DH23+DH24</f>
        <v>0</v>
      </c>
      <c r="DI40" s="449">
        <f>DH40/DE40</f>
        <v>0</v>
      </c>
      <c r="DJ40" s="478">
        <f>DJ8+DJ10+DJ12+DJ16+DJ20+DJ23+DJ24</f>
        <v>485725.75</v>
      </c>
      <c r="DK40" s="479">
        <f>DK8+DK10+DK12+DK16+DK20+DK23+DK24</f>
        <v>592315.42000000004</v>
      </c>
      <c r="DL40" s="424">
        <f>DK40/DJ40</f>
        <v>1.2194441410610823</v>
      </c>
      <c r="DM40" s="435">
        <f>DM8+DM10+DM12+DM16+DM20+DM23+DM24</f>
        <v>0</v>
      </c>
      <c r="DN40" s="449">
        <f>DM40/DJ40</f>
        <v>0</v>
      </c>
      <c r="DO40" s="478">
        <f>DO8+DO10+DO12+DO16+DO20+DO23+DO24</f>
        <v>476713.37</v>
      </c>
      <c r="DP40" s="479">
        <f>DP8+DP10+DP12+DP16+DP20+DP23+DP24</f>
        <v>554893.83097500005</v>
      </c>
      <c r="DQ40" s="424">
        <f>DP40/DO40</f>
        <v>1.1639988846442466</v>
      </c>
      <c r="DR40" s="435">
        <f>DR8+DR10+DR12+DR16+DR20+DR23+DR24</f>
        <v>0</v>
      </c>
      <c r="DS40" s="449">
        <f>DR40/DO40</f>
        <v>0</v>
      </c>
      <c r="DT40" s="452">
        <f>DT8+DT10+DT12+DT16+DT20+DT23+DT24</f>
        <v>2631211.314425</v>
      </c>
      <c r="DU40" s="435">
        <f>DU8+DU10+DU12+DU16+DU20+DU23+DU24</f>
        <v>0</v>
      </c>
      <c r="DV40" s="435">
        <f>DV8+DV10+DV12+DV16+DV20+DV23+DV24</f>
        <v>0</v>
      </c>
      <c r="DW40" s="419" t="e">
        <f>DV40/DU40</f>
        <v>#DIV/0!</v>
      </c>
      <c r="DX40" s="478">
        <f>DX8+DX10+DX12+DX16+DX20+DX23+DX24</f>
        <v>443923.16</v>
      </c>
      <c r="DY40" s="479">
        <f>DY8+DY10+DY12+DY16+DY20+DY23+DY24</f>
        <v>558340.09699999995</v>
      </c>
      <c r="DZ40" s="424">
        <f>DY40/DX40</f>
        <v>1.2577404093987796</v>
      </c>
      <c r="EA40" s="435">
        <f>EA8+EA10+EA12+EA16+EA20+EA23+EA24</f>
        <v>0</v>
      </c>
      <c r="EB40" s="449">
        <f>EA40/DX40</f>
        <v>0</v>
      </c>
      <c r="EC40" s="478">
        <f>EC8+EC10+EC12+EC16+EC20+EC23+EC24</f>
        <v>468426.73</v>
      </c>
      <c r="ED40" s="479">
        <f>ED8+ED10+ED12+ED16+ED20+ED23+ED24</f>
        <v>616860.00870000001</v>
      </c>
      <c r="EE40" s="424">
        <f>ED40/EC40</f>
        <v>1.3168761925691133</v>
      </c>
      <c r="EF40" s="435">
        <f>EF8+EF10+EF12+EF16+EF20+EF23+EF24</f>
        <v>0</v>
      </c>
      <c r="EG40" s="449">
        <f>EF40/EC40</f>
        <v>0</v>
      </c>
      <c r="EH40" s="478">
        <f>EH8+EH10+EH12+EH16+EH20+EH23+EH24</f>
        <v>605417.71000000008</v>
      </c>
      <c r="EI40" s="479">
        <f>EI8+EI10+EI12+EI16+EI20+EI23+EI24</f>
        <v>751727.07545</v>
      </c>
      <c r="EJ40" s="424">
        <f>EI40/EH40</f>
        <v>1.2416668079465332</v>
      </c>
      <c r="EK40" s="435">
        <f>EK8+EK10+EK12+EK16+EK20+EK23+EK24</f>
        <v>0</v>
      </c>
      <c r="EL40" s="449">
        <f>EK40/EH40</f>
        <v>0</v>
      </c>
      <c r="EM40" s="478">
        <f>EM8+EM10+EM12+EM16+EM20+EM23+EM24</f>
        <v>823110.59</v>
      </c>
      <c r="EN40" s="479">
        <f>EN8+EN10+EN12+EN16+EN20+EN23+EN24</f>
        <v>810532.06320000009</v>
      </c>
      <c r="EO40" s="424">
        <f>EN40/EM40</f>
        <v>0.98471830279816974</v>
      </c>
      <c r="EP40" s="435">
        <f>EP8+EP10+EP12+EP16+EP20+EP23+EP24</f>
        <v>0</v>
      </c>
      <c r="EQ40" s="449">
        <f>EP40/EM40</f>
        <v>0</v>
      </c>
      <c r="ER40" s="478">
        <f>ER8+ER10+ER12+ER16+ER20+ER23+ER24</f>
        <v>793954.97</v>
      </c>
      <c r="ES40" s="479">
        <f>ES8+ES10+ES12+ES16+ES20+ES23+ES24</f>
        <v>792013.51664000005</v>
      </c>
      <c r="ET40" s="424">
        <f>ES40/ER40</f>
        <v>0.99755470595517537</v>
      </c>
      <c r="EU40" s="435">
        <f>EU8+EU10+EU12+EU16+EU20+EU23+EU24</f>
        <v>0</v>
      </c>
      <c r="EV40" s="449">
        <f>EU40/ER40</f>
        <v>0</v>
      </c>
      <c r="EW40" s="452">
        <f>EW8+EW10+EW12+EW16+EW20+EW23+EW24</f>
        <v>3529472.7609899999</v>
      </c>
      <c r="EX40" s="435">
        <f>EX8+EX10+EX12+EX16+EX20+EX23+EX24</f>
        <v>0</v>
      </c>
      <c r="EY40" s="435">
        <f>EY8+EY10+EY12+EY16+EY20+EY23+EY24</f>
        <v>0</v>
      </c>
      <c r="EZ40" s="455" t="e">
        <f>EY40/EX40</f>
        <v>#DIV/0!</v>
      </c>
      <c r="FA40" s="478">
        <f>FA8+FA10+FA12+FA16+FA20+FA23+FA24</f>
        <v>538072.19999999995</v>
      </c>
      <c r="FB40" s="479">
        <f>FB8+FB10+FB12+FB16+FB20+FB23+FB24</f>
        <v>686383.49647999997</v>
      </c>
      <c r="FC40" s="424">
        <f>FB40/FA40</f>
        <v>1.2756345644320595</v>
      </c>
      <c r="FD40" s="435">
        <f>FD8+FD10+FD12+FD16+FD20+FD23+FD24</f>
        <v>0</v>
      </c>
      <c r="FE40" s="449">
        <f>FD40/FA40</f>
        <v>0</v>
      </c>
      <c r="FF40" s="478">
        <f>FF8+FF10+FF12+FF16+FF20+FF23+FF24</f>
        <v>567868.9</v>
      </c>
      <c r="FG40" s="479">
        <f>FG8+FG10+FG12+FG16+FG20+FG23+FG24</f>
        <v>680683.03435000009</v>
      </c>
      <c r="FH40" s="424">
        <f>FG40/FF40</f>
        <v>1.1986622869292545</v>
      </c>
      <c r="FI40" s="435">
        <f>FI8+FI10+FI12+FI16+FI20+FI23+FI24</f>
        <v>0</v>
      </c>
      <c r="FJ40" s="449">
        <f>FI40/FF40</f>
        <v>0</v>
      </c>
      <c r="FK40" s="478">
        <f>FK8+FK10+FK12+FK16+FK20+FK23+FK24</f>
        <v>535620.3899999999</v>
      </c>
      <c r="FL40" s="479">
        <f>FL8+FL10+FL12+FL16+FL20+FL23+FL24</f>
        <v>662357.74550000008</v>
      </c>
      <c r="FM40" s="424">
        <f>FL40/FK40</f>
        <v>1.2366178694205427</v>
      </c>
      <c r="FN40" s="435">
        <f>FN8+FN10+FN12+FN16+FN20+FN23+FN24</f>
        <v>0</v>
      </c>
      <c r="FO40" s="449">
        <f>FN40/FK40</f>
        <v>0</v>
      </c>
      <c r="FP40" s="478">
        <f>FP8+FP10+FP12+FP16+FP20+FP23+FP24</f>
        <v>708733.45000000007</v>
      </c>
      <c r="FQ40" s="479">
        <f>FQ8+FQ10+FQ12+FQ16+FQ20+FQ23+FQ24</f>
        <v>706765.89743999997</v>
      </c>
      <c r="FR40" s="424">
        <f>FQ40/FP40</f>
        <v>0.99722384690605459</v>
      </c>
      <c r="FS40" s="435">
        <f>FS8+FS10+FS12+FS16+FS20+FS23+FS24</f>
        <v>0</v>
      </c>
      <c r="FT40" s="449">
        <f>FS40/FP40</f>
        <v>0</v>
      </c>
      <c r="FU40" s="452">
        <f>FU8+FU10+FU12+FU16+FU20+FU23+FU24</f>
        <v>2736190.1737699998</v>
      </c>
      <c r="FV40" s="435">
        <f>FV8+FV10+FV12+FV16+FV20+FV23+FV24</f>
        <v>0</v>
      </c>
      <c r="FW40" s="435">
        <f>FW8+FW10+FW12+FW16+FW20+FW23+FW24</f>
        <v>0</v>
      </c>
      <c r="FX40" s="455" t="e">
        <f>FW40/FV40</f>
        <v>#DIV/0!</v>
      </c>
      <c r="FY40" s="478">
        <f>FY8+FY10+FY12+FY16+FY20+FY23+FY24</f>
        <v>687424.39</v>
      </c>
      <c r="FZ40" s="479">
        <f>FZ8+FZ10+FZ12+FZ16+FZ20+FZ23+FZ24</f>
        <v>675152.78130999999</v>
      </c>
      <c r="GA40" s="424">
        <f>FZ40/FY40</f>
        <v>0.98214842407613723</v>
      </c>
      <c r="GB40" s="435">
        <f>GB8+GB10+GB12+GB16+GB20+GB23+GB24</f>
        <v>0</v>
      </c>
      <c r="GC40" s="449">
        <f>GB40/FY40</f>
        <v>0</v>
      </c>
      <c r="GD40" s="478">
        <f>GD8+GD10+GD12+GD16+GD20+GD23+GD24</f>
        <v>526573.69999999995</v>
      </c>
      <c r="GE40" s="479">
        <f>GE8+GE10+GE12+GE16+GE20+GE23+GE24</f>
        <v>657191.884815</v>
      </c>
      <c r="GF40" s="424">
        <f>GE40/GD40</f>
        <v>1.2480529977380186</v>
      </c>
      <c r="GG40" s="435">
        <f>GG8+GG10+GG12+GG16+GG20+GG23+GG24</f>
        <v>0</v>
      </c>
      <c r="GH40" s="449">
        <f>GG40/GD40</f>
        <v>0</v>
      </c>
      <c r="GI40" s="478">
        <f>GI8+GI10+GI12+GI16+GI20+GI23+GI24</f>
        <v>703197.95000000007</v>
      </c>
      <c r="GJ40" s="479">
        <f>GJ8+GJ10+GJ12+GJ16+GJ20+GJ23+GJ24</f>
        <v>666430.11570000008</v>
      </c>
      <c r="GK40" s="424">
        <f>GJ40/GI40</f>
        <v>0.94771339378904618</v>
      </c>
      <c r="GL40" s="435">
        <f>GL8+GL10+GL12+GL16+GL20+GL23+GL24</f>
        <v>0</v>
      </c>
      <c r="GM40" s="449">
        <f>GL40/GI40</f>
        <v>0</v>
      </c>
      <c r="GN40" s="478">
        <f>GN8+GN10+GN12+GN16+GN20+GN23+GN24</f>
        <v>682225.73</v>
      </c>
      <c r="GO40" s="479">
        <f>GO8+GO10+GO12+GO16+GO20+GO23+GO24</f>
        <v>666042.37742000003</v>
      </c>
      <c r="GP40" s="424">
        <f>GO40/GN40</f>
        <v>0.9762785953851375</v>
      </c>
      <c r="GQ40" s="435">
        <f>GQ8+GQ10+GQ12+GQ16+GQ20+GQ23+GQ24</f>
        <v>0</v>
      </c>
      <c r="GR40" s="449">
        <f>GQ40/GN40</f>
        <v>0</v>
      </c>
      <c r="GS40" s="452">
        <f>GS8+GS10+GS12+GS16+GS20+GS23+GS24</f>
        <v>2664817.1592450002</v>
      </c>
      <c r="GT40" s="435">
        <f>GT8+GT10+GT12+GT16+GT20+GT23+GT24</f>
        <v>0</v>
      </c>
      <c r="GU40" s="435">
        <f>GU8+GU10+GU12+GU16+GU20+GU23+GU24</f>
        <v>0</v>
      </c>
      <c r="GV40" s="455" t="e">
        <f>GU40/GT40</f>
        <v>#DIV/0!</v>
      </c>
      <c r="GW40" s="478">
        <f>GW8+GW10+GW12+GW16+GW20+GW23+GW24</f>
        <v>677639</v>
      </c>
      <c r="GX40" s="479">
        <f>GX8+GX10+GX12+GX16+GX20+GX23+GX24</f>
        <v>653676.87999999989</v>
      </c>
      <c r="GY40" s="424">
        <f>GX40/GW40</f>
        <v>0.96463881211087299</v>
      </c>
      <c r="GZ40" s="435">
        <f>GZ8+GZ10+GZ12+GZ16+GZ20+GZ23+GZ24</f>
        <v>0</v>
      </c>
      <c r="HA40" s="449">
        <f>GZ40/GW40</f>
        <v>0</v>
      </c>
      <c r="HB40" s="478">
        <f>HB8+HB10+HB12+HB16+HB20+HB23+HB24</f>
        <v>729325.91999999993</v>
      </c>
      <c r="HC40" s="479">
        <f>HC8+HC10+HC12+HC16+HC20+HC23+HC24</f>
        <v>657546.16899999999</v>
      </c>
      <c r="HD40" s="424">
        <f>HC40/HB40</f>
        <v>0.90158069385495043</v>
      </c>
      <c r="HE40" s="435">
        <f>HE8+HE10+HE12+HE16+HE20+HE23+HE24</f>
        <v>0</v>
      </c>
      <c r="HF40" s="449">
        <f>HE40/HB40</f>
        <v>0</v>
      </c>
      <c r="HG40" s="478">
        <f>HG8+HG10+HG12+HG16+HG20+HG23+HG24</f>
        <v>542359.31000000006</v>
      </c>
      <c r="HH40" s="479">
        <f>HH8+HH10+HH12+HH16+HH20+HH23+HH24</f>
        <v>550045.80499999993</v>
      </c>
      <c r="HI40" s="424">
        <f>HH40/HG40</f>
        <v>1.0141723297789429</v>
      </c>
      <c r="HJ40" s="435">
        <f>HJ8+HJ10+HJ12+HJ16+HJ20+HJ23+HJ24</f>
        <v>0</v>
      </c>
      <c r="HK40" s="449">
        <f>HJ40/HG40</f>
        <v>0</v>
      </c>
      <c r="HL40" s="478">
        <f>HL8+HL10+HL12+HL16+HL20+HL23+HL24</f>
        <v>609181.43999999994</v>
      </c>
      <c r="HM40" s="479">
        <f>HM8+HM10+HM12+HM16+HM20+HM23+HM24</f>
        <v>576123.27120000008</v>
      </c>
      <c r="HN40" s="424">
        <f>HM40/HL40</f>
        <v>0.94573346029714911</v>
      </c>
      <c r="HO40" s="435">
        <f>HO8+HO10+HO12+HO16+HO20+HO23+HO24</f>
        <v>0</v>
      </c>
      <c r="HP40" s="449">
        <f>HO40/HL40</f>
        <v>0</v>
      </c>
      <c r="HQ40" s="478">
        <f>HQ8+HQ10+HQ12+HQ16+HQ20+HQ23+HQ24</f>
        <v>644797.06999999995</v>
      </c>
      <c r="HR40" s="479">
        <f>HR8+HR10+HR12+HR16+HR20+HR23+HR24</f>
        <v>620395.34880000004</v>
      </c>
      <c r="HS40" s="424">
        <f>HR40/HQ40</f>
        <v>0.96215596761319044</v>
      </c>
      <c r="HT40" s="435">
        <f>HT8+HT10+HT12+HT16+HT20+HT23+HT24</f>
        <v>0</v>
      </c>
      <c r="HU40" s="449">
        <f>HT40/HQ40</f>
        <v>0</v>
      </c>
      <c r="HV40" s="452">
        <f>HV8+HV10+HV12+HV16+HV20+HV23+HV24</f>
        <v>3057787.4740000004</v>
      </c>
      <c r="HW40" s="435">
        <f>HW8+HW10+HW12+HW16+HW20+HW23+HW24</f>
        <v>0</v>
      </c>
      <c r="HX40" s="435">
        <f>HX8+HX10+HX12+HX16+HX20+HX23+HX24</f>
        <v>0</v>
      </c>
      <c r="HY40" s="455" t="e">
        <f>HX40/HW40</f>
        <v>#DIV/0!</v>
      </c>
      <c r="HZ40" s="478">
        <f>HZ8+HZ10+HZ12+HZ16+HZ20+HZ23+HZ24</f>
        <v>587037.4</v>
      </c>
      <c r="IA40" s="479">
        <f>IA8+IA10+IA12+IA16+IA20+IA23+IA24</f>
        <v>570255.62800000003</v>
      </c>
      <c r="IB40" s="424">
        <f>IA40/HZ40</f>
        <v>0.97141277199715048</v>
      </c>
      <c r="IC40" s="435">
        <f>IC8+IC10+IC12+IC16+IC20+IC23+IC24</f>
        <v>0</v>
      </c>
      <c r="ID40" s="449">
        <f>IC40/HZ40</f>
        <v>0</v>
      </c>
      <c r="IE40" s="478">
        <f>IE8+IE10+IE12+IE16+IE20+IE23+IE24</f>
        <v>662551.80000000005</v>
      </c>
      <c r="IF40" s="479">
        <f>IF8+IF10+IF12+IF16+IF20+IF23+IF24</f>
        <v>658789.32392999995</v>
      </c>
      <c r="IG40" s="424">
        <f>IF40/IE40</f>
        <v>0.99432123485288226</v>
      </c>
      <c r="IH40" s="435">
        <f>IH8+IH10+IH12+IH16+IH20+IH23+IH24</f>
        <v>0</v>
      </c>
      <c r="II40" s="449">
        <f>IH40/IE40</f>
        <v>0</v>
      </c>
      <c r="IJ40" s="478">
        <f>IJ8+IJ10+IJ12+IJ16+IJ20+IJ23+IJ24</f>
        <v>697913.41999999993</v>
      </c>
      <c r="IK40" s="479">
        <f>IK8+IK10+IK12+IK16+IK20+IK23+IK24</f>
        <v>682920.68460000004</v>
      </c>
      <c r="IL40" s="424">
        <f>IK40/IJ40</f>
        <v>0.97851777173162846</v>
      </c>
      <c r="IM40" s="435">
        <f>IM8+IM10+IM12+IM16+IM20+IM23+IM24</f>
        <v>0</v>
      </c>
      <c r="IN40" s="449">
        <f>IM40/IJ40</f>
        <v>0</v>
      </c>
      <c r="IO40" s="478">
        <f>IO8+IO10+IO12+IO16+IO20+IO23+IO24</f>
        <v>887483.39999999991</v>
      </c>
      <c r="IP40" s="479">
        <f>IP8+IP10+IP12+IP16+IP20+IP23+IP24</f>
        <v>906076.9580000001</v>
      </c>
      <c r="IQ40" s="424">
        <f>IP40/IO40</f>
        <v>1.0209508797573004</v>
      </c>
      <c r="IR40" s="435">
        <f>IR8+IR10+IR12+IR16+IR20+IR23+IR24</f>
        <v>0</v>
      </c>
      <c r="IS40" s="449">
        <f>IR40/IO40</f>
        <v>0</v>
      </c>
      <c r="IT40" s="452">
        <f>IT8+IT10+IT12+IT16+IT20+IT23+IT24</f>
        <v>2818042.5945299999</v>
      </c>
      <c r="IU40" s="435">
        <f>IU8+IU10+IU12+IU16+IU20+IU23+IU24</f>
        <v>0</v>
      </c>
      <c r="IV40" s="435">
        <f>IV8+IV10+IV12+IV16+IV20+IV23+IV24</f>
        <v>0</v>
      </c>
      <c r="IW40" s="455" t="e">
        <f>IV40/IU40</f>
        <v>#DIV/0!</v>
      </c>
      <c r="IX40" s="478">
        <f>IX8+IX10+IX12+IX16+IX20+IX23+IX24</f>
        <v>605760.2300000001</v>
      </c>
      <c r="IY40" s="479">
        <f>IY8+IY10+IY12+IY16+IY20+IY23+IY24</f>
        <v>598283.03049999988</v>
      </c>
      <c r="IZ40" s="424">
        <f>IY40/IX40</f>
        <v>0.9876565031349116</v>
      </c>
      <c r="JA40" s="435">
        <f>JA8+JA10+JA12+JA16+JA20+JA23+JA24</f>
        <v>0</v>
      </c>
      <c r="JB40" s="449">
        <f>JA40/IX40</f>
        <v>0</v>
      </c>
      <c r="JC40" s="478">
        <f>JC8+JC10+JC12+JC16+JC20+JC23+JC24</f>
        <v>698178.14</v>
      </c>
      <c r="JD40" s="479">
        <f>JD8+JD10+JD12+JD16+JD20+JD23+JD24</f>
        <v>770013.80372000008</v>
      </c>
      <c r="JE40" s="424">
        <f>JD40/JC40</f>
        <v>1.102890164564591</v>
      </c>
      <c r="JF40" s="435">
        <f>JF8+JF10+JF12+JF16+JF20+JF23+JF24</f>
        <v>0</v>
      </c>
      <c r="JG40" s="449">
        <f>JF40/JC40</f>
        <v>0</v>
      </c>
      <c r="JH40" s="478">
        <f>JH8+JH10+JH12+JH16+JH20+JH23+JH24</f>
        <v>975048.96000000008</v>
      </c>
      <c r="JI40" s="479">
        <f>JI8+JI10+JI12+JI16+JI20+JI23+JI24</f>
        <v>984511.79960000003</v>
      </c>
      <c r="JJ40" s="424">
        <f>JI40/JH40</f>
        <v>1.0097049891730565</v>
      </c>
      <c r="JK40" s="435">
        <f>JK8+JK10+JK12+JK16+JK20+JK23+JK24</f>
        <v>0</v>
      </c>
      <c r="JL40" s="449">
        <f>JK40/JH40</f>
        <v>0</v>
      </c>
      <c r="JM40" s="478">
        <f>JM8+JM10+JM12+JM16+JM20+JM23+JM24</f>
        <v>1066344.23</v>
      </c>
      <c r="JN40" s="479">
        <f>JN8+JN10+JN12+JN16+JN20+JN23+JN24</f>
        <v>1078238.2524999999</v>
      </c>
      <c r="JO40" s="424">
        <f>JN40/JM40</f>
        <v>1.011154017779043</v>
      </c>
      <c r="JP40" s="435">
        <f>JP8+JP10+JP12+JP16+JP20+JP23+JP24</f>
        <v>0</v>
      </c>
      <c r="JQ40" s="449">
        <f>JP40/JM40</f>
        <v>0</v>
      </c>
      <c r="JR40" s="452">
        <f>JR8+JR10+JR12+JR16+JR20+JR23+JR24</f>
        <v>3431046.8863200005</v>
      </c>
      <c r="JS40" s="435">
        <f>JS8+JS10+JS12+JS16+JS20+JS23+JS24</f>
        <v>0</v>
      </c>
      <c r="JT40" s="435">
        <f>JT8+JT10+JT12+JT16+JT20+JT23+JT24</f>
        <v>0</v>
      </c>
      <c r="JU40" s="455" t="e">
        <f>JT40/JS40</f>
        <v>#DIV/0!</v>
      </c>
      <c r="JV40" s="478">
        <f>JV8+JV10+JV12+JV16+JV20+JV23+JV24</f>
        <v>1333491.5100000002</v>
      </c>
      <c r="JW40" s="479">
        <f>JW8+JW10+JW12+JW16+JW20+JW23+JW24</f>
        <v>1398732.2726399999</v>
      </c>
      <c r="JX40" s="424">
        <f>JW40/JV40</f>
        <v>1.0489247679124702</v>
      </c>
      <c r="JY40" s="435">
        <f>JY8+JY10+JY12+JY16+JY20+JY23+JY24</f>
        <v>0</v>
      </c>
      <c r="JZ40" s="449">
        <f>JY40/JV40</f>
        <v>0</v>
      </c>
      <c r="KA40" s="478">
        <f>KA8+KA10+KA12+KA16+KA20+KA23+KA24</f>
        <v>1622250.01</v>
      </c>
      <c r="KB40" s="479">
        <f>KB8+KB10+KB12+KB16+KB20+KB23+KB24</f>
        <v>1743978.4786800002</v>
      </c>
      <c r="KC40" s="424">
        <f>KB40/KA40</f>
        <v>1.075036811792037</v>
      </c>
      <c r="KD40" s="435">
        <f>KD8+KD10+KD12+KD16+KD20+KD23+KD24</f>
        <v>0</v>
      </c>
      <c r="KE40" s="449">
        <f>KD40/KA40</f>
        <v>0</v>
      </c>
      <c r="KF40" s="478">
        <f>KF8+KF10+KF12+KF16+KF20+KF23+KF24</f>
        <v>2082284.65</v>
      </c>
      <c r="KG40" s="479">
        <f>KG8+KG10+KG12+KG16+KG20+KG23+KG24</f>
        <v>2253284.8931249999</v>
      </c>
      <c r="KH40" s="424">
        <f>KG40/KF40</f>
        <v>1.0821214540120632</v>
      </c>
      <c r="KI40" s="435">
        <f>KI8+KI10+KI12+KI16+KI20+KI23+KI24</f>
        <v>0</v>
      </c>
      <c r="KJ40" s="449">
        <f>KI40/KF40</f>
        <v>0</v>
      </c>
      <c r="KK40" s="478">
        <f>KK8+KK10+KK12+KK16+KK20+KK23+KK24</f>
        <v>1799348.9399999997</v>
      </c>
      <c r="KL40" s="479">
        <f>KL8+KL10+KL12+KL16+KL20+KL23+KL24</f>
        <v>1953776.58225</v>
      </c>
      <c r="KM40" s="424">
        <f>KL40/KK40</f>
        <v>1.0858241771882224</v>
      </c>
      <c r="KN40" s="435">
        <f>KN8+KN10+KN12+KN16+KN20+KN23+KN24</f>
        <v>0</v>
      </c>
      <c r="KO40" s="449">
        <f>KN40/KK40</f>
        <v>0</v>
      </c>
      <c r="KP40" s="478">
        <f>KP8+KP10+KP12+KP16+KP20+KP23+KP24</f>
        <v>571670.5</v>
      </c>
      <c r="KQ40" s="479">
        <f>KQ8+KQ10+KQ12+KQ16+KQ20+KQ23+KQ24</f>
        <v>571483.54573000001</v>
      </c>
      <c r="KR40" s="424">
        <f>KQ40/KP40</f>
        <v>0.99967296848446796</v>
      </c>
      <c r="KS40" s="435">
        <f>KS8+KS10+KS12+KS16+KS20+KS23+KS24</f>
        <v>0</v>
      </c>
      <c r="KT40" s="449">
        <f>KS40/KP40</f>
        <v>0</v>
      </c>
      <c r="KU40" s="452">
        <f>KU8+KU10+KU12+KU16+KU20+KU23+KU24</f>
        <v>7921255.7724249996</v>
      </c>
      <c r="KV40" s="435">
        <f>KV8+KV10+KV12+KV16+KV20+KV23+KV24</f>
        <v>0</v>
      </c>
      <c r="KW40" s="435">
        <f>KW8+KW10+KW12+KW16+KW20+KW23+KW24</f>
        <v>0</v>
      </c>
      <c r="KX40" s="455" t="e">
        <f>KW40/KV40</f>
        <v>#DIV/0!</v>
      </c>
      <c r="KY40" s="452">
        <f>KY8+KY10+KY12+KY16+KY20+KY23+KY24</f>
        <v>0</v>
      </c>
      <c r="KZ40" s="452">
        <f>KZ8+KZ10+KZ12+KZ16+KZ20+KZ23+KZ24</f>
        <v>0</v>
      </c>
      <c r="LA40" s="492">
        <f>KZ40-KY40</f>
        <v>0</v>
      </c>
      <c r="LB40" s="493" t="e">
        <f>KZ40/KY40</f>
        <v>#DIV/0!</v>
      </c>
    </row>
    <row r="41" spans="1:314" ht="21" customHeight="1" thickBot="1">
      <c r="A41" s="1495"/>
      <c r="B41" s="429" t="s">
        <v>44</v>
      </c>
      <c r="C41" s="435"/>
      <c r="D41" s="435"/>
      <c r="E41" s="424"/>
      <c r="F41" s="435"/>
      <c r="G41" s="424"/>
      <c r="H41" s="435"/>
      <c r="I41" s="479"/>
      <c r="J41" s="424"/>
      <c r="K41" s="435"/>
      <c r="L41" s="424"/>
      <c r="M41" s="435"/>
      <c r="N41" s="435"/>
      <c r="O41" s="424"/>
      <c r="P41" s="435"/>
      <c r="Q41" s="424"/>
      <c r="R41" s="435"/>
      <c r="S41" s="435"/>
      <c r="T41" s="424"/>
      <c r="U41" s="435"/>
      <c r="V41" s="424"/>
      <c r="W41" s="1416">
        <f>W11+W18+W19+W21+W22</f>
        <v>1356464.8503</v>
      </c>
      <c r="X41" s="424"/>
      <c r="Y41" s="424"/>
      <c r="Z41" s="424"/>
      <c r="AA41" s="435"/>
      <c r="AB41" s="435"/>
      <c r="AC41" s="424"/>
      <c r="AD41" s="435"/>
      <c r="AE41" s="424"/>
      <c r="AF41" s="435"/>
      <c r="AG41" s="435"/>
      <c r="AH41" s="424"/>
      <c r="AI41" s="435"/>
      <c r="AJ41" s="424"/>
      <c r="AK41" s="435"/>
      <c r="AL41" s="435"/>
      <c r="AM41" s="424"/>
      <c r="AN41" s="435"/>
      <c r="AO41" s="424"/>
      <c r="AP41" s="435"/>
      <c r="AQ41" s="435"/>
      <c r="AR41" s="424"/>
      <c r="AS41" s="435"/>
      <c r="AT41" s="424"/>
      <c r="AU41" s="1416">
        <f>AU11+AU18+AU19+AU21+AU22</f>
        <v>1648353.0799</v>
      </c>
      <c r="AV41" s="424"/>
      <c r="AW41" s="424"/>
      <c r="AX41" s="424"/>
      <c r="AY41" s="435"/>
      <c r="AZ41" s="435"/>
      <c r="BA41" s="424"/>
      <c r="BB41" s="435"/>
      <c r="BC41" s="424"/>
      <c r="BD41" s="435"/>
      <c r="BE41" s="435"/>
      <c r="BF41" s="424"/>
      <c r="BG41" s="435"/>
      <c r="BH41" s="424"/>
      <c r="BI41" s="435"/>
      <c r="BJ41" s="435"/>
      <c r="BK41" s="424"/>
      <c r="BL41" s="435"/>
      <c r="BM41" s="449"/>
      <c r="BN41" s="452">
        <f>BN11+BN18+BN19+BN21+BN22</f>
        <v>544350.65999999992</v>
      </c>
      <c r="BO41" s="435">
        <f>BO11+BO18+BO19+BO21+BO22</f>
        <v>473585.07420000003</v>
      </c>
      <c r="BP41" s="424">
        <f>BO41/BN41</f>
        <v>0.87000000000000022</v>
      </c>
      <c r="BQ41" s="435">
        <f>BQ11+BQ18+BQ19+BQ21+BQ22</f>
        <v>0</v>
      </c>
      <c r="BR41" s="426">
        <f>BQ41/BN41</f>
        <v>0</v>
      </c>
      <c r="BS41" s="452">
        <f>BS11+BS18+BS19+BS21+BS22</f>
        <v>581989.25</v>
      </c>
      <c r="BT41" s="435">
        <f>BT11+BT18+BT19+BT21+BT22</f>
        <v>517970.43250000005</v>
      </c>
      <c r="BU41" s="424">
        <f>BT41/BS41</f>
        <v>0.89000000000000012</v>
      </c>
      <c r="BV41" s="435">
        <f>BV11+BV18+BV19+BV22+BV21</f>
        <v>0</v>
      </c>
      <c r="BW41" s="426">
        <f>BV41/BS41</f>
        <v>0</v>
      </c>
      <c r="BX41" s="1420">
        <f>BX11+BX18+BX19+BX21+BX22</f>
        <v>2419378.4305000002</v>
      </c>
      <c r="BY41" s="435">
        <f>BY11+BY18+BY19+BY21+BY22</f>
        <v>0</v>
      </c>
      <c r="BZ41" s="435">
        <f>BZ11+BZ18+BZ19+BZ21+BZ22</f>
        <v>0</v>
      </c>
      <c r="CA41" s="426" t="e">
        <f>BZ41/BY41</f>
        <v>#DIV/0!</v>
      </c>
      <c r="CB41" s="452">
        <f>CB11+CB18+CB19+CB21+CB22</f>
        <v>601395.76</v>
      </c>
      <c r="CC41" s="435">
        <f>CC11+CC18+CC19+CC21+CC22</f>
        <v>535242.22639999993</v>
      </c>
      <c r="CD41" s="424">
        <f>CC41/CB41</f>
        <v>0.8899999999999999</v>
      </c>
      <c r="CE41" s="435">
        <f>CE11+CE18+CE19+CE22+CE21</f>
        <v>0</v>
      </c>
      <c r="CF41" s="426">
        <f>CE41/CB41</f>
        <v>0</v>
      </c>
      <c r="CG41" s="452">
        <f>CG11+CG18+CG19+CG21+CG22</f>
        <v>646888.5199999999</v>
      </c>
      <c r="CH41" s="435">
        <f>CH11+CH18+CH19+CH21+CH22</f>
        <v>577064.95929999999</v>
      </c>
      <c r="CI41" s="424">
        <f>CH41/CG41</f>
        <v>0.89206245196622147</v>
      </c>
      <c r="CJ41" s="435">
        <f>CJ11+CJ18+CJ19+CJ22+CJ21</f>
        <v>0</v>
      </c>
      <c r="CK41" s="426">
        <f>CJ41/CG41</f>
        <v>0</v>
      </c>
      <c r="CL41" s="452">
        <f>CL11+CL18+CL19+CL21+CL22</f>
        <v>610388.22</v>
      </c>
      <c r="CM41" s="435">
        <f>CM11+CM18+CM19+CM21+CM22</f>
        <v>544502.62780000002</v>
      </c>
      <c r="CN41" s="424">
        <f>CM41/CL41</f>
        <v>0.89205952860623694</v>
      </c>
      <c r="CO41" s="435">
        <f>CO11+CO18+CO19+CO22+CO21</f>
        <v>0</v>
      </c>
      <c r="CP41" s="426">
        <f>CO41/CL41</f>
        <v>0</v>
      </c>
      <c r="CQ41" s="452">
        <f>CQ11+CQ18+CQ19+CQ21+CQ22</f>
        <v>741769.78</v>
      </c>
      <c r="CR41" s="435">
        <f>CR11+CR18+CR19+CR21+CR22</f>
        <v>669251.63380000007</v>
      </c>
      <c r="CS41" s="424">
        <f>CR41/CQ41</f>
        <v>0.90223631623278056</v>
      </c>
      <c r="CT41" s="435">
        <f>CT11+CT18+CT19+CT22+CT21</f>
        <v>0</v>
      </c>
      <c r="CU41" s="449">
        <f>CT41/CQ41</f>
        <v>0</v>
      </c>
      <c r="CV41" s="452">
        <f>CV11+CV18+CV19+CV21+CV22</f>
        <v>2326061.4473000001</v>
      </c>
      <c r="CW41" s="435">
        <f>CW11+CW18+CW19+CW22+CW21</f>
        <v>0</v>
      </c>
      <c r="CX41" s="435">
        <f>CX11+CX18+CX19+CX22+CX21</f>
        <v>0</v>
      </c>
      <c r="CY41" s="489" t="e">
        <f>CX41/CW41</f>
        <v>#DIV/0!</v>
      </c>
      <c r="CZ41" s="478">
        <f>CZ11+CZ18+CZ19+CZ21+CZ22</f>
        <v>822142.04</v>
      </c>
      <c r="DA41" s="479">
        <f>DA11+DA18+DA19+DA21+DA22</f>
        <v>731706.41559999995</v>
      </c>
      <c r="DB41" s="424">
        <f>DA41/CZ41</f>
        <v>0.8899999999999999</v>
      </c>
      <c r="DC41" s="435">
        <f>DC11+DC18+DC19+DC22+DC21</f>
        <v>0</v>
      </c>
      <c r="DD41" s="449">
        <f>DC41/CZ41</f>
        <v>0</v>
      </c>
      <c r="DE41" s="478">
        <f>DE11+DE18+DE19+DE21+DE22</f>
        <v>627795.75</v>
      </c>
      <c r="DF41" s="479">
        <f>DF11+DF18+DF19+DF21+DF22</f>
        <v>558738.21750000003</v>
      </c>
      <c r="DG41" s="424">
        <f>DF41/DE41</f>
        <v>0.89</v>
      </c>
      <c r="DH41" s="435">
        <f>DH11+DH18+DH19+DH22+DH21</f>
        <v>0</v>
      </c>
      <c r="DI41" s="449">
        <f>DH41/DE41</f>
        <v>0</v>
      </c>
      <c r="DJ41" s="478">
        <f>DJ11+DJ18+DJ19+DJ21+DJ22</f>
        <v>539144.7300000001</v>
      </c>
      <c r="DK41" s="479">
        <f>DK11+DK18+DK19+DK21+DK22</f>
        <v>479838.8097000001</v>
      </c>
      <c r="DL41" s="424">
        <f>DK41/DJ41</f>
        <v>0.89</v>
      </c>
      <c r="DM41" s="435">
        <f>DM11+DM18+DM19+DM22+DM21</f>
        <v>0</v>
      </c>
      <c r="DN41" s="449">
        <f>DM41/DJ41</f>
        <v>0</v>
      </c>
      <c r="DO41" s="478">
        <f>DO11+DO18+DO19+DO21+DO22</f>
        <v>592888.32999999996</v>
      </c>
      <c r="DP41" s="479">
        <f>DP11+DP18+DP19+DP21+DP22</f>
        <v>528867.32299999997</v>
      </c>
      <c r="DQ41" s="424">
        <f>DP41/DO41</f>
        <v>0.8920184396275771</v>
      </c>
      <c r="DR41" s="435">
        <f>DR11+DR18+DR19+DR22+DR21</f>
        <v>0</v>
      </c>
      <c r="DS41" s="449">
        <f>DR41/DO41</f>
        <v>0</v>
      </c>
      <c r="DT41" s="452">
        <f>DT11+DT18+DT19+DT21+DT22</f>
        <v>2299150.7658000002</v>
      </c>
      <c r="DU41" s="435">
        <f>DU11+DU18+DU19+DU21+DU22</f>
        <v>0</v>
      </c>
      <c r="DV41" s="435">
        <f>DV11+DV18+DV19+DV21+DV22</f>
        <v>0</v>
      </c>
      <c r="DW41" s="419" t="e">
        <f>DV41/DU41</f>
        <v>#DIV/0!</v>
      </c>
      <c r="DX41" s="478">
        <f>DX11+DX18+DX19+DX21+DX22</f>
        <v>594936.33000000007</v>
      </c>
      <c r="DY41" s="479">
        <f>DY11+DY18+DY19+DY21+DY22</f>
        <v>529493.33370000008</v>
      </c>
      <c r="DZ41" s="424">
        <f>DY41/DX41</f>
        <v>0.89</v>
      </c>
      <c r="EA41" s="435">
        <f>EA11+EA18+EA19+EA22+EA21</f>
        <v>0</v>
      </c>
      <c r="EB41" s="449">
        <f>EA41/DX41</f>
        <v>0</v>
      </c>
      <c r="EC41" s="478">
        <f>EC11+EC18+EC19+EC21+EC22</f>
        <v>677855.49</v>
      </c>
      <c r="ED41" s="479">
        <f>ED11+ED18+ED19+ED21+ED22</f>
        <v>589734.27630000003</v>
      </c>
      <c r="EE41" s="424">
        <f>ED41/EC41</f>
        <v>0.87000000000000011</v>
      </c>
      <c r="EF41" s="435">
        <f>EF11+EF18+EF19+EF22+EF21</f>
        <v>0</v>
      </c>
      <c r="EG41" s="449">
        <f>EF41/EC41</f>
        <v>0</v>
      </c>
      <c r="EH41" s="478">
        <f>EH11+EH18+EH19+EH21+EH22</f>
        <v>668608.05999999994</v>
      </c>
      <c r="EI41" s="479">
        <f>EI11+EI18+EI19+EI21+EI22</f>
        <v>595061.17339999997</v>
      </c>
      <c r="EJ41" s="424">
        <f>EI41/EH41</f>
        <v>0.89</v>
      </c>
      <c r="EK41" s="435">
        <f>EK11+EK18+EK19+EK22+EK21</f>
        <v>0</v>
      </c>
      <c r="EL41" s="449">
        <f>EK41/EH41</f>
        <v>0</v>
      </c>
      <c r="EM41" s="478">
        <f>EM11+EM18+EM19+EM21+EM22</f>
        <v>603920.34</v>
      </c>
      <c r="EN41" s="479">
        <f>EN11+EN18+EN19+EN21+EN22</f>
        <v>563230.33470000001</v>
      </c>
      <c r="EO41" s="424">
        <f>EN41/EM41</f>
        <v>0.93262355545103848</v>
      </c>
      <c r="EP41" s="435">
        <f>EP11+EP18+EP19+EP22+EP21</f>
        <v>0</v>
      </c>
      <c r="EQ41" s="449">
        <f>EP41/EM41</f>
        <v>0</v>
      </c>
      <c r="ER41" s="478">
        <f>ER11+ER18+ER19+ER21+ER22</f>
        <v>632054.88</v>
      </c>
      <c r="ES41" s="479">
        <f>ES11+ES18+ES19+ES21+ES22</f>
        <v>589278.9558</v>
      </c>
      <c r="ET41" s="424">
        <f>ES41/ER41</f>
        <v>0.93232245244273726</v>
      </c>
      <c r="EU41" s="435">
        <f>EU11+EU18+EU19+EU22+EU21</f>
        <v>0</v>
      </c>
      <c r="EV41" s="449">
        <f>EU41/ER41</f>
        <v>0</v>
      </c>
      <c r="EW41" s="452">
        <f>EW11+EW18+EW19+EW21+EW22</f>
        <v>2866798.0739000002</v>
      </c>
      <c r="EX41" s="435">
        <f>EX11+EX18+EX19+EX21+EX22</f>
        <v>0</v>
      </c>
      <c r="EY41" s="435">
        <f>EY11+EY18+EY19+EY21+EY22</f>
        <v>0</v>
      </c>
      <c r="EZ41" s="455" t="e">
        <f>EY41/EX41</f>
        <v>#DIV/0!</v>
      </c>
      <c r="FA41" s="478">
        <f>FA11+FA18+FA19+FA21+FA22</f>
        <v>602272.42000000004</v>
      </c>
      <c r="FB41" s="479">
        <f>FB11+FB18+FB19+FB21+FB22</f>
        <v>529999.72959999996</v>
      </c>
      <c r="FC41" s="424">
        <f>FB41/FA41</f>
        <v>0.87999999999999989</v>
      </c>
      <c r="FD41" s="435">
        <f>FD11+FD18+FD19+FD22+FD21</f>
        <v>0</v>
      </c>
      <c r="FE41" s="449">
        <f>FD41/FA41</f>
        <v>0</v>
      </c>
      <c r="FF41" s="478">
        <f>FF11+FF18+FF19+FF21+FF22</f>
        <v>619845.69000000006</v>
      </c>
      <c r="FG41" s="479">
        <f>FG11+FG18+FG19+FG21+FG22</f>
        <v>545464.20720000006</v>
      </c>
      <c r="FH41" s="424">
        <f>FG41/FF41</f>
        <v>0.88</v>
      </c>
      <c r="FI41" s="435">
        <f>FI11+FI18+FI19+FI22+FI21</f>
        <v>0</v>
      </c>
      <c r="FJ41" s="449">
        <f>FI41/FF41</f>
        <v>0</v>
      </c>
      <c r="FK41" s="478">
        <f>FK11+FK18+FK19+FK21+FK22</f>
        <v>580717.78</v>
      </c>
      <c r="FL41" s="479">
        <f>FL11+FL18+FL19+FL21+FL22</f>
        <v>513924.46420000005</v>
      </c>
      <c r="FM41" s="424">
        <f>FL41/FK41</f>
        <v>0.88498145209192669</v>
      </c>
      <c r="FN41" s="435">
        <f>FN11+FN18+FN19+FN22+FN21</f>
        <v>0</v>
      </c>
      <c r="FO41" s="449">
        <f>FN41/FK41</f>
        <v>0</v>
      </c>
      <c r="FP41" s="478">
        <f>FP11+FP18+FP19+FP21+FP22</f>
        <v>530175.61</v>
      </c>
      <c r="FQ41" s="479">
        <f>FQ11+FQ18+FQ19+FQ21+FQ22</f>
        <v>487761.5612</v>
      </c>
      <c r="FR41" s="424">
        <f>FQ41/FP41</f>
        <v>0.92</v>
      </c>
      <c r="FS41" s="435">
        <f>FS11+FS18+FS19+FS22+FS21</f>
        <v>0</v>
      </c>
      <c r="FT41" s="449">
        <f>FS41/FP41</f>
        <v>0</v>
      </c>
      <c r="FU41" s="452">
        <f>FU11+FU18+FU19+FU21+FU22</f>
        <v>2077149.9622</v>
      </c>
      <c r="FV41" s="435">
        <f>FV11+FV18+FV19+FV21+FV22</f>
        <v>0</v>
      </c>
      <c r="FW41" s="435">
        <f>FW11+FW18+FW19+FW21+FW22</f>
        <v>0</v>
      </c>
      <c r="FX41" s="455" t="e">
        <f>FW41/FV41</f>
        <v>#DIV/0!</v>
      </c>
      <c r="FY41" s="478">
        <f>FY11+FY18+FY19+FY21+FY22</f>
        <v>529144.91</v>
      </c>
      <c r="FZ41" s="479">
        <f>FZ11+FZ18+FZ19+FZ21+FZ22</f>
        <v>502687.66449999996</v>
      </c>
      <c r="GA41" s="424">
        <f>FZ41/FY41</f>
        <v>0.94999999999999984</v>
      </c>
      <c r="GB41" s="435">
        <f>GB11+GB18+GB19+GB22+GB21</f>
        <v>0</v>
      </c>
      <c r="GC41" s="449">
        <f>GB41/FY41</f>
        <v>0</v>
      </c>
      <c r="GD41" s="478">
        <f>GD11+GD18+GD19+GD21+GD22</f>
        <v>540565.69999999995</v>
      </c>
      <c r="GE41" s="479">
        <f>GE11+GE18+GE19+GE21+GE22</f>
        <v>486509.13</v>
      </c>
      <c r="GF41" s="424">
        <f>GE41/GD41</f>
        <v>0.90000000000000013</v>
      </c>
      <c r="GG41" s="435">
        <f>GG11+GG18+GG19+GG22+GG21</f>
        <v>0</v>
      </c>
      <c r="GH41" s="449">
        <f>GG41/GD41</f>
        <v>0</v>
      </c>
      <c r="GI41" s="478">
        <f>GI11+GI18+GI19+GI21+GI22</f>
        <v>498308.93999999994</v>
      </c>
      <c r="GJ41" s="479">
        <f>GJ11+GJ18+GJ19+GJ21+GJ22</f>
        <v>488342.76120000001</v>
      </c>
      <c r="GK41" s="424">
        <f>GJ41/GI41</f>
        <v>0.98000000000000009</v>
      </c>
      <c r="GL41" s="435">
        <f>GL11+GL18+GL19+GL22+GL21</f>
        <v>0</v>
      </c>
      <c r="GM41" s="449">
        <f>GL41/GI41</f>
        <v>0</v>
      </c>
      <c r="GN41" s="478">
        <f>GN11+GN18+GN19+GN21+GN22</f>
        <v>516073.14</v>
      </c>
      <c r="GO41" s="479">
        <f>GO11+GO18+GO19+GO21+GO22</f>
        <v>505751.67720000003</v>
      </c>
      <c r="GP41" s="424">
        <f>GO41/GN41</f>
        <v>0.98000000000000009</v>
      </c>
      <c r="GQ41" s="435">
        <f>GQ11+GQ18+GQ19+GQ22+GQ21</f>
        <v>0</v>
      </c>
      <c r="GR41" s="449">
        <f>GQ41/GN41</f>
        <v>0</v>
      </c>
      <c r="GS41" s="452">
        <f>GS11+GS18+GS19+GS21+GS22</f>
        <v>1983291.2328999999</v>
      </c>
      <c r="GT41" s="435">
        <f>GT11+GT18+GT19+GT21+GT22</f>
        <v>0</v>
      </c>
      <c r="GU41" s="435">
        <f>GU11+GU18+GU19+GU21+GU22</f>
        <v>0</v>
      </c>
      <c r="GV41" s="455" t="e">
        <f>GU41/GT41</f>
        <v>#DIV/0!</v>
      </c>
      <c r="GW41" s="478">
        <f>GW11+GW18+GW19+GW21+GW22</f>
        <v>522539</v>
      </c>
      <c r="GX41" s="479">
        <f>GX11+GX18+GX19+GX21+GX22</f>
        <v>512088.22</v>
      </c>
      <c r="GY41" s="424">
        <f>GX41/GW41</f>
        <v>0.98</v>
      </c>
      <c r="GZ41" s="435">
        <f>GZ11+GZ18+GZ19+GZ22+GZ21</f>
        <v>0</v>
      </c>
      <c r="HA41" s="449">
        <f>GZ41/GW41</f>
        <v>0</v>
      </c>
      <c r="HB41" s="478">
        <f>HB11+HB18+HB19+HB21+HB22</f>
        <v>522044.57</v>
      </c>
      <c r="HC41" s="479">
        <f>HC11+HC18+HC19+HC21+HC22</f>
        <v>522044.57</v>
      </c>
      <c r="HD41" s="424">
        <f>HC41/HB41</f>
        <v>1</v>
      </c>
      <c r="HE41" s="435">
        <f>HE11+HE18+HE19+HE22+HE21</f>
        <v>0</v>
      </c>
      <c r="HF41" s="449">
        <f>HE41/HB41</f>
        <v>0</v>
      </c>
      <c r="HG41" s="478">
        <f>HG11+HG18+HG19+HG21+HG22</f>
        <v>521062.07</v>
      </c>
      <c r="HH41" s="479">
        <f>HH11+HH18+HH19+HH21+HH22</f>
        <v>495008.96649999998</v>
      </c>
      <c r="HI41" s="424">
        <f>HH41/HG41</f>
        <v>0.95</v>
      </c>
      <c r="HJ41" s="435">
        <f>HJ11+HJ18+HJ19+HJ22+HJ21</f>
        <v>0</v>
      </c>
      <c r="HK41" s="449">
        <f>HJ41/HG41</f>
        <v>0</v>
      </c>
      <c r="HL41" s="478">
        <f>HL11+HL18+HL19+HL21+HL22</f>
        <v>471986.91000000003</v>
      </c>
      <c r="HM41" s="479">
        <f>HM11+HM18+HM19+HM21+HM22</f>
        <v>457827.3027</v>
      </c>
      <c r="HN41" s="424">
        <f>HM41/HL41</f>
        <v>0.97</v>
      </c>
      <c r="HO41" s="435">
        <f>HO11+HO18+HO19+HO22+HO21</f>
        <v>0</v>
      </c>
      <c r="HP41" s="449">
        <f>HO41/HL41</f>
        <v>0</v>
      </c>
      <c r="HQ41" s="478">
        <f>HQ11+HQ18+HQ19+HQ21+HQ22</f>
        <v>515552.80000000005</v>
      </c>
      <c r="HR41" s="479">
        <f>HR11+HR18+HR19+HR21+HR22</f>
        <v>504064.31910000002</v>
      </c>
      <c r="HS41" s="424">
        <f>HR41/HQ41</f>
        <v>0.9777161894960128</v>
      </c>
      <c r="HT41" s="435">
        <f>HT11+HT18+HT19+HT22+HT21</f>
        <v>0</v>
      </c>
      <c r="HU41" s="449">
        <f>HT41/HQ41</f>
        <v>0</v>
      </c>
      <c r="HV41" s="452">
        <f>HV11+HV18+HV19+HV21+HV22</f>
        <v>2491033.3783</v>
      </c>
      <c r="HW41" s="435">
        <f>HW11+HW18+HW19+HW21+HW22</f>
        <v>0</v>
      </c>
      <c r="HX41" s="435">
        <f>HX11+HX18+HX19+HX21+HX22</f>
        <v>0</v>
      </c>
      <c r="HY41" s="455" t="e">
        <f>HX41/HW41</f>
        <v>#DIV/0!</v>
      </c>
      <c r="HZ41" s="478">
        <f>HZ11+HZ18+HZ19+HZ21+HZ22</f>
        <v>478303.19</v>
      </c>
      <c r="IA41" s="479">
        <f>IA11+IA18+IA19+IA21+IA22</f>
        <v>463954.0943</v>
      </c>
      <c r="IB41" s="424">
        <f>IA41/HZ41</f>
        <v>0.97</v>
      </c>
      <c r="IC41" s="435">
        <f>IC11+IC18+IC19+IC22+IC21</f>
        <v>0</v>
      </c>
      <c r="ID41" s="449">
        <f>IC41/HZ41</f>
        <v>0</v>
      </c>
      <c r="IE41" s="478">
        <f>IE11+IE18+IE19+IE21+IE22</f>
        <v>510521.03</v>
      </c>
      <c r="IF41" s="479">
        <f>IF11+IF18+IF19+IF21+IF22</f>
        <v>490100.1888</v>
      </c>
      <c r="IG41" s="424">
        <f>IF41/IE41</f>
        <v>0.96</v>
      </c>
      <c r="IH41" s="435">
        <f>IH11+IH18+IH19+IH22+IH21</f>
        <v>0</v>
      </c>
      <c r="II41" s="449">
        <f>IH41/IE41</f>
        <v>0</v>
      </c>
      <c r="IJ41" s="478">
        <f>IJ11+IJ18+IJ19+IJ21+IJ22</f>
        <v>588760.32999999996</v>
      </c>
      <c r="IK41" s="479">
        <f>IK11+IK18+IK19+IK21+IK22</f>
        <v>582872.7267</v>
      </c>
      <c r="IL41" s="424">
        <f>IK41/IJ41</f>
        <v>0.9900000000000001</v>
      </c>
      <c r="IM41" s="435">
        <f>IM11+IM18+IM19+IM22+IM21</f>
        <v>0</v>
      </c>
      <c r="IN41" s="449">
        <f>IM41/IJ41</f>
        <v>0</v>
      </c>
      <c r="IO41" s="478">
        <f>IO11+IO18+IO19+IO21+IO22</f>
        <v>728848.56</v>
      </c>
      <c r="IP41" s="479">
        <f>IP11+IP18+IP19+IP21+IP22</f>
        <v>705232.25719999999</v>
      </c>
      <c r="IQ41" s="424">
        <f>IP41/IO41</f>
        <v>0.96759779178269889</v>
      </c>
      <c r="IR41" s="435">
        <f>IR11+IR18+IR19+IR22+IR21</f>
        <v>0</v>
      </c>
      <c r="IS41" s="449">
        <f>IR41/IO41</f>
        <v>0</v>
      </c>
      <c r="IT41" s="452">
        <f>IT11+IT18+IT19+IT21+IT22</f>
        <v>2242159.267</v>
      </c>
      <c r="IU41" s="435">
        <f>IU11+IU18+IU19+IU21+IU22</f>
        <v>0</v>
      </c>
      <c r="IV41" s="435">
        <f>IV11+IV18+IV19+IV21+IV22</f>
        <v>0</v>
      </c>
      <c r="IW41" s="455" t="e">
        <f>IV41/IU41</f>
        <v>#DIV/0!</v>
      </c>
      <c r="IX41" s="478">
        <f>IX11+IX18+IX19+IX21+IX22</f>
        <v>528225.15</v>
      </c>
      <c r="IY41" s="479">
        <f>IY11+IY18+IY19+IY21+IY22</f>
        <v>512378.39549999998</v>
      </c>
      <c r="IZ41" s="424">
        <f>IY41/IX41</f>
        <v>0.97</v>
      </c>
      <c r="JA41" s="435">
        <f>JA11+JA18+JA19+JA22+JA21</f>
        <v>0</v>
      </c>
      <c r="JB41" s="449">
        <f>JA41/IX41</f>
        <v>0</v>
      </c>
      <c r="JC41" s="478">
        <f>JC11+JC18+JC19+JC21+JC22</f>
        <v>663198.79</v>
      </c>
      <c r="JD41" s="479">
        <f>JD11+JD18+JD19+JD21+JD22</f>
        <v>623406.86259999999</v>
      </c>
      <c r="JE41" s="424">
        <f>JD41/JC41</f>
        <v>0.94</v>
      </c>
      <c r="JF41" s="435">
        <f>JF11+JF18+JF19+JF22+JF21</f>
        <v>0</v>
      </c>
      <c r="JG41" s="449">
        <f>JF41/JC41</f>
        <v>0</v>
      </c>
      <c r="JH41" s="478">
        <f>JH11+JH18+JH19+JH21+JH22</f>
        <v>754028.53</v>
      </c>
      <c r="JI41" s="479">
        <f>JI11+JI18+JI19+JI21+JI22</f>
        <v>722330.48849999998</v>
      </c>
      <c r="JJ41" s="424">
        <f>JI41/JH41</f>
        <v>0.95796174781344146</v>
      </c>
      <c r="JK41" s="435">
        <f>JK11+JK18+JK19+JK22+JK21</f>
        <v>0</v>
      </c>
      <c r="JL41" s="449">
        <f>JK41/JH41</f>
        <v>0</v>
      </c>
      <c r="JM41" s="478">
        <f>JM11+JM18+JM19+JM21+JM22</f>
        <v>833952.28</v>
      </c>
      <c r="JN41" s="479">
        <f>JN11+JN18+JN19+JN21+JN22</f>
        <v>792254.66599999997</v>
      </c>
      <c r="JO41" s="424">
        <f>JN41/JM41</f>
        <v>0.95</v>
      </c>
      <c r="JP41" s="435">
        <f>JP11+JP18+JP19+JP22+JP21</f>
        <v>0</v>
      </c>
      <c r="JQ41" s="449">
        <f>JP41/JM41</f>
        <v>0</v>
      </c>
      <c r="JR41" s="452">
        <f>JR11+JR18+JR19+JR21+JR22</f>
        <v>2650370.4125999999</v>
      </c>
      <c r="JS41" s="435">
        <f>JS11+JS18+JS19+JS21+JS22</f>
        <v>0</v>
      </c>
      <c r="JT41" s="435">
        <f>JT11+JT18+JT19+JT21+JT22</f>
        <v>0</v>
      </c>
      <c r="JU41" s="455" t="e">
        <f>JT41/JS41</f>
        <v>#DIV/0!</v>
      </c>
      <c r="JV41" s="478">
        <f>JV11+JV18+JV19+JV21+JV22</f>
        <v>1145547.1499999999</v>
      </c>
      <c r="JW41" s="479">
        <f>JW11+JW18+JW19+JW21+JW22</f>
        <v>1076814.321</v>
      </c>
      <c r="JX41" s="424">
        <f>JW41/JV41</f>
        <v>0.94000000000000006</v>
      </c>
      <c r="JY41" s="435">
        <f>JY11+JY18+JY19+JY22+JY21</f>
        <v>0</v>
      </c>
      <c r="JZ41" s="449">
        <f>JY41/JV41</f>
        <v>0</v>
      </c>
      <c r="KA41" s="478">
        <f>KA11+KA18+KA19+KA21+KA22</f>
        <v>1367670.11</v>
      </c>
      <c r="KB41" s="479">
        <f>KB11+KB18+KB19+KB21+KB22</f>
        <v>1271933.2023</v>
      </c>
      <c r="KC41" s="424">
        <f>KB41/KA41</f>
        <v>0.92999999999999994</v>
      </c>
      <c r="KD41" s="435">
        <f>KD11+KD18+KD19+KD22+KD21</f>
        <v>0</v>
      </c>
      <c r="KE41" s="449">
        <f>KD41/KA41</f>
        <v>0</v>
      </c>
      <c r="KF41" s="478">
        <f>KF11+KF18+KF19+KF21+KF22</f>
        <v>1733364.05</v>
      </c>
      <c r="KG41" s="479">
        <f>KG11+KG18+KG19+KG21+KG22</f>
        <v>1612028.5665</v>
      </c>
      <c r="KH41" s="424">
        <f>KG41/KF41</f>
        <v>0.92999999999999994</v>
      </c>
      <c r="KI41" s="435">
        <f>KI11+KI18+KI19+KI22+KI21</f>
        <v>0</v>
      </c>
      <c r="KJ41" s="449">
        <f>KI41/KF41</f>
        <v>0</v>
      </c>
      <c r="KK41" s="478">
        <f>KK11+KK18+KK19+KK21+KK22</f>
        <v>1467119.9899999998</v>
      </c>
      <c r="KL41" s="479">
        <f>KL11+KL18+KL19+KL21+KL22</f>
        <v>1364421.5907000001</v>
      </c>
      <c r="KM41" s="424">
        <f>KL41/KK41</f>
        <v>0.93000000000000016</v>
      </c>
      <c r="KN41" s="435">
        <f>KN11+KN18+KN19+KN22+KN21</f>
        <v>0</v>
      </c>
      <c r="KO41" s="449">
        <f>KN41/KK41</f>
        <v>0</v>
      </c>
      <c r="KP41" s="478">
        <f>KP11+KP18+KP19+KP21+KP22</f>
        <v>476433.2</v>
      </c>
      <c r="KQ41" s="479">
        <f>KQ11+KQ18+KQ19+KQ21+KQ22</f>
        <v>452611.53999999992</v>
      </c>
      <c r="KR41" s="424">
        <f>KQ41/KP41</f>
        <v>0.94999999999999984</v>
      </c>
      <c r="KS41" s="435">
        <f>KS11+KS18+KS19+KS22+KS21</f>
        <v>0</v>
      </c>
      <c r="KT41" s="449">
        <f>KS41/KP41</f>
        <v>0</v>
      </c>
      <c r="KU41" s="452">
        <f>KU11+KU18+KU19+KU21+KU22</f>
        <v>5777809.2204999989</v>
      </c>
      <c r="KV41" s="435">
        <f>KV11+KV18+KV19+KV21+KV22</f>
        <v>0</v>
      </c>
      <c r="KW41" s="435">
        <f>KW11+KW18+KW19+KW21+KW22</f>
        <v>0</v>
      </c>
      <c r="KX41" s="455" t="e">
        <f>KW41/KV41</f>
        <v>#DIV/0!</v>
      </c>
      <c r="KY41" s="452">
        <f>KY11+KY18+KY19+KY21+KY22</f>
        <v>0</v>
      </c>
      <c r="KZ41" s="452">
        <f>KZ11+KZ18+KZ19+KZ21+KZ22</f>
        <v>0</v>
      </c>
      <c r="LA41" s="492">
        <f>KZ41-KY41</f>
        <v>0</v>
      </c>
      <c r="LB41" s="493" t="e">
        <f>KZ41/KY41</f>
        <v>#DIV/0!</v>
      </c>
    </row>
    <row r="42" spans="1:314" ht="21" customHeight="1" thickBot="1">
      <c r="A42" s="1495"/>
      <c r="B42" s="430" t="s">
        <v>301</v>
      </c>
      <c r="C42" s="437"/>
      <c r="D42" s="437"/>
      <c r="E42" s="438"/>
      <c r="F42" s="437"/>
      <c r="G42" s="438"/>
      <c r="H42" s="437"/>
      <c r="I42" s="437"/>
      <c r="J42" s="438"/>
      <c r="K42" s="437"/>
      <c r="L42" s="438"/>
      <c r="M42" s="437"/>
      <c r="N42" s="437"/>
      <c r="O42" s="438"/>
      <c r="P42" s="437"/>
      <c r="Q42" s="438"/>
      <c r="R42" s="437"/>
      <c r="S42" s="437"/>
      <c r="T42" s="438"/>
      <c r="U42" s="437"/>
      <c r="V42" s="438"/>
      <c r="W42" s="1417">
        <f>W39+W40+W41</f>
        <v>4696173.31855</v>
      </c>
      <c r="X42" s="438"/>
      <c r="Y42" s="438"/>
      <c r="Z42" s="438"/>
      <c r="AA42" s="437"/>
      <c r="AB42" s="437"/>
      <c r="AC42" s="438"/>
      <c r="AD42" s="437"/>
      <c r="AE42" s="438"/>
      <c r="AF42" s="437"/>
      <c r="AG42" s="437"/>
      <c r="AH42" s="438"/>
      <c r="AI42" s="437"/>
      <c r="AJ42" s="438"/>
      <c r="AK42" s="437"/>
      <c r="AL42" s="437"/>
      <c r="AM42" s="438"/>
      <c r="AN42" s="437"/>
      <c r="AO42" s="438"/>
      <c r="AP42" s="437"/>
      <c r="AQ42" s="437"/>
      <c r="AR42" s="438"/>
      <c r="AS42" s="437"/>
      <c r="AT42" s="438"/>
      <c r="AU42" s="1417">
        <f>AU39+AU40+AU41</f>
        <v>5595670.8083450003</v>
      </c>
      <c r="AV42" s="438"/>
      <c r="AW42" s="438"/>
      <c r="AX42" s="438"/>
      <c r="AY42" s="437"/>
      <c r="AZ42" s="437"/>
      <c r="BA42" s="438"/>
      <c r="BB42" s="437"/>
      <c r="BC42" s="438"/>
      <c r="BD42" s="437"/>
      <c r="BE42" s="437"/>
      <c r="BF42" s="438"/>
      <c r="BG42" s="437"/>
      <c r="BH42" s="438"/>
      <c r="BI42" s="437"/>
      <c r="BJ42" s="437"/>
      <c r="BK42" s="438"/>
      <c r="BL42" s="437"/>
      <c r="BM42" s="450"/>
      <c r="BN42" s="453">
        <f>BN39+BN40+BN41</f>
        <v>1636111.5299999998</v>
      </c>
      <c r="BO42" s="437">
        <f>BO39+BO40+BO41</f>
        <v>1589284.8199999998</v>
      </c>
      <c r="BP42" s="438">
        <f>BO42/BN42</f>
        <v>0.9713792677691111</v>
      </c>
      <c r="BQ42" s="437">
        <f>BQ39+BQ40+BQ41</f>
        <v>0</v>
      </c>
      <c r="BR42" s="426">
        <f>BQ42/BN42</f>
        <v>0</v>
      </c>
      <c r="BS42" s="453">
        <f>BS39+BS40+BS41</f>
        <v>1698270.21</v>
      </c>
      <c r="BT42" s="437">
        <f>BT39+BT40+BT41</f>
        <v>1610771.8499600003</v>
      </c>
      <c r="BU42" s="438">
        <f>BT42/BS42</f>
        <v>0.94847795155047809</v>
      </c>
      <c r="BV42" s="437">
        <f>BV39+BV40+BV41</f>
        <v>0</v>
      </c>
      <c r="BW42" s="426">
        <f>BV42/BS42</f>
        <v>0</v>
      </c>
      <c r="BX42" s="1421">
        <f>BX39+BX40+BX41</f>
        <v>7664126.8835400008</v>
      </c>
      <c r="BY42" s="437">
        <f>BY39+BY40+BY41</f>
        <v>0</v>
      </c>
      <c r="BZ42" s="437">
        <f>BZ39+BZ40+BZ41</f>
        <v>0</v>
      </c>
      <c r="CA42" s="427" t="e">
        <f>BZ42/BY42</f>
        <v>#DIV/0!</v>
      </c>
      <c r="CB42" s="453">
        <f>CB39+CB40+CB41</f>
        <v>1761575.8699999999</v>
      </c>
      <c r="CC42" s="437">
        <f>CC39+CC40+CC41</f>
        <v>1678944.9420799999</v>
      </c>
      <c r="CD42" s="438">
        <f>CC42/CB42</f>
        <v>0.95309260910800286</v>
      </c>
      <c r="CE42" s="437">
        <f>CE39+CE40+CE41</f>
        <v>0</v>
      </c>
      <c r="CF42" s="426">
        <f>CE42/CB42</f>
        <v>0</v>
      </c>
      <c r="CG42" s="453">
        <f>CG39+CG40+CG41</f>
        <v>1859764.7199999997</v>
      </c>
      <c r="CH42" s="437">
        <f>CH39+CH40+CH41</f>
        <v>1813210.9419249999</v>
      </c>
      <c r="CI42" s="438">
        <f>CH42/CG42</f>
        <v>0.97496792063299287</v>
      </c>
      <c r="CJ42" s="437">
        <f>CJ39+CJ40+CJ41</f>
        <v>0</v>
      </c>
      <c r="CK42" s="427">
        <f>CJ42/CG42</f>
        <v>0</v>
      </c>
      <c r="CL42" s="453">
        <f>CL39+CL40+CL41</f>
        <v>1848535.78</v>
      </c>
      <c r="CM42" s="437">
        <f>CM39+CM40+CM41</f>
        <v>1780655.8204000001</v>
      </c>
      <c r="CN42" s="438">
        <f>CM42/CL42</f>
        <v>0.96327906641871985</v>
      </c>
      <c r="CO42" s="437">
        <f>CO39+CO40+CO41</f>
        <v>0</v>
      </c>
      <c r="CP42" s="427">
        <f>CO42/CL42</f>
        <v>0</v>
      </c>
      <c r="CQ42" s="453">
        <f>CQ39+CQ40+CQ41</f>
        <v>2334656.41</v>
      </c>
      <c r="CR42" s="437">
        <f>CR39+CR40+CR41</f>
        <v>2305713.6938749999</v>
      </c>
      <c r="CS42" s="438">
        <f>CR42/CQ42</f>
        <v>0.98760300830519199</v>
      </c>
      <c r="CT42" s="437">
        <f>CT39+CT40+CT41</f>
        <v>0</v>
      </c>
      <c r="CU42" s="450">
        <f>CT42/CQ42</f>
        <v>0</v>
      </c>
      <c r="CV42" s="453">
        <f>CV39+CV40+CV41</f>
        <v>7578525.3982800003</v>
      </c>
      <c r="CW42" s="437">
        <f>CW39+CW40+CW41</f>
        <v>0</v>
      </c>
      <c r="CX42" s="437">
        <f>CX39+CX40+CX41</f>
        <v>0</v>
      </c>
      <c r="CY42" s="489" t="e">
        <f>CX42/CW42</f>
        <v>#DIV/0!</v>
      </c>
      <c r="CZ42" s="480">
        <f>CZ39+CZ40+CZ41</f>
        <v>2520351.85</v>
      </c>
      <c r="DA42" s="481">
        <f>DA39+DA40+DA41</f>
        <v>2477721.0447</v>
      </c>
      <c r="DB42" s="438">
        <f>DA42/CZ42</f>
        <v>0.9830853754407346</v>
      </c>
      <c r="DC42" s="437">
        <f>DC39+DC40+DC41</f>
        <v>0</v>
      </c>
      <c r="DD42" s="450">
        <f>DC42/CZ42</f>
        <v>0</v>
      </c>
      <c r="DE42" s="480">
        <f>DE39+DE40+DE41</f>
        <v>1892880.05</v>
      </c>
      <c r="DF42" s="481">
        <f>DF39+DF40+DF41</f>
        <v>1819517.0962500002</v>
      </c>
      <c r="DG42" s="438">
        <f>DF42/DE42</f>
        <v>0.96124268214988062</v>
      </c>
      <c r="DH42" s="437">
        <f>DH39+DH40+DH41</f>
        <v>0</v>
      </c>
      <c r="DI42" s="450">
        <f>DH42/DE42</f>
        <v>0</v>
      </c>
      <c r="DJ42" s="480">
        <f>DJ39+DJ40+DJ41</f>
        <v>1723191.5899999999</v>
      </c>
      <c r="DK42" s="481">
        <f>DK39+DK40+DK41</f>
        <v>1695404.8118000003</v>
      </c>
      <c r="DL42" s="438">
        <f>DK42/DJ42</f>
        <v>0.9838748178895188</v>
      </c>
      <c r="DM42" s="437">
        <f>DM39+DM40+DM41</f>
        <v>0</v>
      </c>
      <c r="DN42" s="450">
        <f>DM42/DJ42</f>
        <v>0</v>
      </c>
      <c r="DO42" s="480">
        <f>DO39+DO40+DO41</f>
        <v>1709850.37</v>
      </c>
      <c r="DP42" s="481">
        <f>DP39+DP40+DP41</f>
        <v>1665521.2331749997</v>
      </c>
      <c r="DQ42" s="438">
        <f>DP42/DO42</f>
        <v>0.97407425959442262</v>
      </c>
      <c r="DR42" s="437">
        <f>DR39+DR40+DR41</f>
        <v>0</v>
      </c>
      <c r="DS42" s="450">
        <f>DR42/DO42</f>
        <v>0</v>
      </c>
      <c r="DT42" s="453">
        <f>DT39+DT40+DT41</f>
        <v>7658164.1859250003</v>
      </c>
      <c r="DU42" s="437">
        <f>DU39+DU40+DU41</f>
        <v>0</v>
      </c>
      <c r="DV42" s="437">
        <f>DV39+DV40+DV41</f>
        <v>0</v>
      </c>
      <c r="DW42" s="419" t="e">
        <f>DV42/DU42</f>
        <v>#DIV/0!</v>
      </c>
      <c r="DX42" s="480">
        <f>DX39+DX40+DX41</f>
        <v>1700450.4100000001</v>
      </c>
      <c r="DY42" s="481">
        <f>DY39+DY40+DY41</f>
        <v>1678164.9853000001</v>
      </c>
      <c r="DZ42" s="438">
        <f>DY42/DX42</f>
        <v>0.98689439893751441</v>
      </c>
      <c r="EA42" s="437">
        <f>EA39+EA40+EA41</f>
        <v>0</v>
      </c>
      <c r="EB42" s="450">
        <f>EA42/DX42</f>
        <v>0</v>
      </c>
      <c r="EC42" s="480">
        <f>EC39+EC40+EC41</f>
        <v>1876901.45</v>
      </c>
      <c r="ED42" s="481">
        <f>ED39+ED40+ED41</f>
        <v>1847916.7719000001</v>
      </c>
      <c r="EE42" s="438">
        <f>ED42/EC42</f>
        <v>0.98455716569455476</v>
      </c>
      <c r="EF42" s="437">
        <f>EF39+EF40+EF41</f>
        <v>0</v>
      </c>
      <c r="EG42" s="450">
        <f>EF42/EC42</f>
        <v>0</v>
      </c>
      <c r="EH42" s="480">
        <f>EH39+EH40+EH41</f>
        <v>2097701.84</v>
      </c>
      <c r="EI42" s="481">
        <f>EI39+EI40+EI41</f>
        <v>2081825.87265</v>
      </c>
      <c r="EJ42" s="438">
        <f>EI42/EH42</f>
        <v>0.9924317331246657</v>
      </c>
      <c r="EK42" s="437">
        <f>EK39+EK40+EK41</f>
        <v>0</v>
      </c>
      <c r="EL42" s="450">
        <f>EK42/EH42</f>
        <v>0</v>
      </c>
      <c r="EM42" s="480">
        <f>EM39+EM40+EM41</f>
        <v>2197108.08</v>
      </c>
      <c r="EN42" s="481">
        <f>EN39+EN40+EN41</f>
        <v>2093849.7146000001</v>
      </c>
      <c r="EO42" s="438">
        <f>EN42/EM42</f>
        <v>0.95300260085521149</v>
      </c>
      <c r="EP42" s="437">
        <f>EP39+EP40+EP41</f>
        <v>0</v>
      </c>
      <c r="EQ42" s="450">
        <f>EP42/EM42</f>
        <v>0</v>
      </c>
      <c r="ER42" s="480">
        <f>ER39+ER40+ER41</f>
        <v>2156463.11</v>
      </c>
      <c r="ES42" s="481">
        <f>ES39+ES40+ES41</f>
        <v>2066440.7230400001</v>
      </c>
      <c r="ET42" s="438">
        <f>ES42/ER42</f>
        <v>0.95825461305479975</v>
      </c>
      <c r="EU42" s="437">
        <f>EU39+EU40+EU41</f>
        <v>0</v>
      </c>
      <c r="EV42" s="450">
        <f>EU42/ER42</f>
        <v>0</v>
      </c>
      <c r="EW42" s="453">
        <f>EW39+EW40+EW41</f>
        <v>9768198.0674900003</v>
      </c>
      <c r="EX42" s="437">
        <f>EX39+EX40+EX41</f>
        <v>0</v>
      </c>
      <c r="EY42" s="437">
        <f>EY39+EY40+EY41</f>
        <v>0</v>
      </c>
      <c r="EZ42" s="456" t="e">
        <f>EY42/EX42</f>
        <v>#DIV/0!</v>
      </c>
      <c r="FA42" s="480">
        <f>FA39+FA40+FA41</f>
        <v>1831068.33</v>
      </c>
      <c r="FB42" s="481">
        <f>FB39+FB40+FB41</f>
        <v>1824220.0908799998</v>
      </c>
      <c r="FC42" s="438">
        <f>FB42/FA42</f>
        <v>0.99625997620744156</v>
      </c>
      <c r="FD42" s="437">
        <f>FD39+FD40+FD41</f>
        <v>0</v>
      </c>
      <c r="FE42" s="450">
        <f>FD42/FA42</f>
        <v>0</v>
      </c>
      <c r="FF42" s="480">
        <f>FF39+FF40+FF41</f>
        <v>1910463.08</v>
      </c>
      <c r="FG42" s="481">
        <f>FG39+FG40+FG41</f>
        <v>1865521.24535</v>
      </c>
      <c r="FH42" s="438">
        <f>FG42/FF42</f>
        <v>0.97647594705153884</v>
      </c>
      <c r="FI42" s="437">
        <f>FI39+FI40+FI41</f>
        <v>0</v>
      </c>
      <c r="FJ42" s="450">
        <f>FI42/FF42</f>
        <v>0</v>
      </c>
      <c r="FK42" s="480">
        <f>FK39+FK40+FK41</f>
        <v>1780207.2</v>
      </c>
      <c r="FL42" s="481">
        <f>FL39+FL40+FL41</f>
        <v>1765674.6480000003</v>
      </c>
      <c r="FM42" s="438">
        <f>FL42/FK42</f>
        <v>0.99183659520082845</v>
      </c>
      <c r="FN42" s="437">
        <f>FN39+FN40+FN41</f>
        <v>0</v>
      </c>
      <c r="FO42" s="450">
        <f>FN42/FK42</f>
        <v>0</v>
      </c>
      <c r="FP42" s="480">
        <f>FP39+FP40+FP41</f>
        <v>1934603.96</v>
      </c>
      <c r="FQ42" s="481">
        <f>FQ39+FQ40+FQ41</f>
        <v>1841878.1530399998</v>
      </c>
      <c r="FR42" s="438">
        <f>FQ42/FP42</f>
        <v>0.95206987637924601</v>
      </c>
      <c r="FS42" s="437">
        <f>FS39+FS40+FS41</f>
        <v>0</v>
      </c>
      <c r="FT42" s="450">
        <f>FS42/FP42</f>
        <v>0</v>
      </c>
      <c r="FU42" s="453">
        <f>FU39+FU40+FU41</f>
        <v>7297294.1372699998</v>
      </c>
      <c r="FV42" s="437">
        <f>FV39+FV40+FV41</f>
        <v>0</v>
      </c>
      <c r="FW42" s="437">
        <f>FW39+FW40+FW41</f>
        <v>0</v>
      </c>
      <c r="FX42" s="456" t="e">
        <f>FW42/FV42</f>
        <v>#DIV/0!</v>
      </c>
      <c r="FY42" s="480">
        <f>FY39+FY40+FY41</f>
        <v>1872116.3000000003</v>
      </c>
      <c r="FZ42" s="481">
        <f>FZ39+FZ40+FZ41</f>
        <v>1805061.6137099999</v>
      </c>
      <c r="GA42" s="438">
        <f>FZ42/FY42</f>
        <v>0.96418241415343675</v>
      </c>
      <c r="GB42" s="437">
        <f>GB39+GB40+GB41</f>
        <v>0</v>
      </c>
      <c r="GC42" s="450">
        <f>GB42/FY42</f>
        <v>0</v>
      </c>
      <c r="GD42" s="480">
        <f>GD39+GD40+GD41</f>
        <v>1706308.5999999999</v>
      </c>
      <c r="GE42" s="481">
        <f>GE39+GE40+GE41</f>
        <v>1724058.8529150002</v>
      </c>
      <c r="GF42" s="438">
        <f>GE42/GD42</f>
        <v>1.0104027213570865</v>
      </c>
      <c r="GG42" s="437">
        <f>GG39+GG40+GG41</f>
        <v>0</v>
      </c>
      <c r="GH42" s="450">
        <f>GG42/GD42</f>
        <v>0</v>
      </c>
      <c r="GI42" s="480">
        <f>GI39+GI40+GI41</f>
        <v>1832244.2400000002</v>
      </c>
      <c r="GJ42" s="481">
        <f>GJ39+GJ40+GJ41</f>
        <v>1776342.7557000001</v>
      </c>
      <c r="GK42" s="438">
        <f>GJ42/GI42</f>
        <v>0.96949015689087381</v>
      </c>
      <c r="GL42" s="437">
        <f>GL39+GL40+GL41</f>
        <v>0</v>
      </c>
      <c r="GM42" s="450">
        <f>GL42/GI42</f>
        <v>0</v>
      </c>
      <c r="GN42" s="480">
        <f>GN39+GN40+GN41</f>
        <v>1806934.27</v>
      </c>
      <c r="GO42" s="481">
        <f>GO39+GO40+GO41</f>
        <v>1768256.7466200001</v>
      </c>
      <c r="GP42" s="438">
        <f>GO42/GN42</f>
        <v>0.97859494724177221</v>
      </c>
      <c r="GQ42" s="437">
        <f>GQ39+GQ40+GQ41</f>
        <v>0</v>
      </c>
      <c r="GR42" s="450">
        <f>GQ42/GN42</f>
        <v>0</v>
      </c>
      <c r="GS42" s="453">
        <f>GS39+GS40+GS41</f>
        <v>7073719.9689449994</v>
      </c>
      <c r="GT42" s="437">
        <f>GT39+GT40+GT41</f>
        <v>0</v>
      </c>
      <c r="GU42" s="437">
        <f>GU39+GU40+GU41</f>
        <v>0</v>
      </c>
      <c r="GV42" s="456" t="e">
        <f>GU42/GT42</f>
        <v>#DIV/0!</v>
      </c>
      <c r="GW42" s="480">
        <f>GW39+GW40+GW41</f>
        <v>1787765</v>
      </c>
      <c r="GX42" s="481">
        <f>GX39+GX40+GX41</f>
        <v>1744776.9999999998</v>
      </c>
      <c r="GY42" s="438">
        <f>GX42/GW42</f>
        <v>0.97595433404278509</v>
      </c>
      <c r="GZ42" s="437">
        <f>GZ39+GZ40+GZ41</f>
        <v>0</v>
      </c>
      <c r="HA42" s="450">
        <f>GZ42/GW42</f>
        <v>0</v>
      </c>
      <c r="HB42" s="480">
        <f>HB39+HB40+HB41</f>
        <v>1824356</v>
      </c>
      <c r="HC42" s="481">
        <f>HC39+HC40+HC41</f>
        <v>1752576.2490000001</v>
      </c>
      <c r="HD42" s="438">
        <f>HC42/HB42</f>
        <v>0.9606547455650104</v>
      </c>
      <c r="HE42" s="437">
        <f>HE39+HE40+HE41</f>
        <v>0</v>
      </c>
      <c r="HF42" s="450">
        <f>HE42/HB42</f>
        <v>0</v>
      </c>
      <c r="HG42" s="480">
        <f>HG39+HG40+HG41</f>
        <v>1642470.9300000002</v>
      </c>
      <c r="HH42" s="481">
        <f>HH39+HH40+HH41</f>
        <v>1601802.7115000002</v>
      </c>
      <c r="HI42" s="438">
        <f>HH42/HG42</f>
        <v>0.97523961139452253</v>
      </c>
      <c r="HJ42" s="437">
        <f>HJ39+HJ40+HJ41</f>
        <v>0</v>
      </c>
      <c r="HK42" s="450">
        <f>HJ42/HG42</f>
        <v>0</v>
      </c>
      <c r="HL42" s="480">
        <f>HL39+HL40+HL41</f>
        <v>1621141.0899999999</v>
      </c>
      <c r="HM42" s="481">
        <f>HM39+HM40+HM41</f>
        <v>1561724.6746</v>
      </c>
      <c r="HN42" s="438">
        <f>HM42/HL42</f>
        <v>0.96334901646345916</v>
      </c>
      <c r="HO42" s="437">
        <f>HO39+HO40+HO41</f>
        <v>0</v>
      </c>
      <c r="HP42" s="450">
        <f>HO42/HL42</f>
        <v>0</v>
      </c>
      <c r="HQ42" s="480">
        <f>HQ39+HQ40+HQ41</f>
        <v>1730474.2</v>
      </c>
      <c r="HR42" s="481">
        <f>HR39+HR40+HR41</f>
        <v>1683278.4284000001</v>
      </c>
      <c r="HS42" s="438">
        <f>HR42/HQ42</f>
        <v>0.97272668289420328</v>
      </c>
      <c r="HT42" s="437">
        <f>HT39+HT40+HT41</f>
        <v>0</v>
      </c>
      <c r="HU42" s="450">
        <f>HT42/HQ42</f>
        <v>0</v>
      </c>
      <c r="HV42" s="453">
        <f>HV39+HV40+HV41</f>
        <v>8344159.0635000002</v>
      </c>
      <c r="HW42" s="437">
        <f>HW39+HW40+HW41</f>
        <v>0</v>
      </c>
      <c r="HX42" s="437">
        <f>HX39+HX40+HX41</f>
        <v>0</v>
      </c>
      <c r="HY42" s="456" t="e">
        <f>HX42/HW42</f>
        <v>#DIV/0!</v>
      </c>
      <c r="HZ42" s="480">
        <f>HZ39+HZ40+HZ41</f>
        <v>1597011.6600000001</v>
      </c>
      <c r="IA42" s="481">
        <f>IA39+IA40+IA41</f>
        <v>1554001.2264</v>
      </c>
      <c r="IB42" s="438">
        <f>IA42/HZ42</f>
        <v>0.97306817809958879</v>
      </c>
      <c r="IC42" s="437">
        <f>IC39+IC40+IC41</f>
        <v>0</v>
      </c>
      <c r="ID42" s="450">
        <f>IC42/HZ42</f>
        <v>0</v>
      </c>
      <c r="IE42" s="480">
        <f>IE39+IE40+IE41</f>
        <v>1766880.25</v>
      </c>
      <c r="IF42" s="481">
        <f>IF39+IF40+IF41</f>
        <v>1722108.1097300001</v>
      </c>
      <c r="IG42" s="438">
        <f>IF42/IE42</f>
        <v>0.97466034256141587</v>
      </c>
      <c r="IH42" s="437">
        <f>IH39+IH40+IH41</f>
        <v>0</v>
      </c>
      <c r="II42" s="450">
        <f>IH42/IE42</f>
        <v>0</v>
      </c>
      <c r="IJ42" s="480">
        <f>IJ39+IJ40+IJ41</f>
        <v>2010750.0100000002</v>
      </c>
      <c r="IK42" s="481">
        <f>IK39+IK40+IK41</f>
        <v>1984210.1879</v>
      </c>
      <c r="IL42" s="438">
        <f>IK42/IJ42</f>
        <v>0.98680103346114112</v>
      </c>
      <c r="IM42" s="437">
        <f>IM39+IM40+IM41</f>
        <v>0</v>
      </c>
      <c r="IN42" s="450">
        <f>IM42/IJ42</f>
        <v>0</v>
      </c>
      <c r="IO42" s="480">
        <f>IO39+IO40+IO41</f>
        <v>2514373.0999999996</v>
      </c>
      <c r="IP42" s="481">
        <f>IP39+IP40+IP41</f>
        <v>2484347.7618</v>
      </c>
      <c r="IQ42" s="438">
        <f>IP42/IO42</f>
        <v>0.98805851915930865</v>
      </c>
      <c r="IR42" s="437">
        <f>IR39+IR40+IR41</f>
        <v>0</v>
      </c>
      <c r="IS42" s="450">
        <f>IR42/IO42</f>
        <v>0</v>
      </c>
      <c r="IT42" s="453">
        <f>IT39+IT40+IT41</f>
        <v>7744667.2858299995</v>
      </c>
      <c r="IU42" s="437">
        <f>IU39+IU40+IU41</f>
        <v>0</v>
      </c>
      <c r="IV42" s="437">
        <f>IV39+IV40+IV41</f>
        <v>0</v>
      </c>
      <c r="IW42" s="456" t="e">
        <f>IV42/IU42</f>
        <v>#DIV/0!</v>
      </c>
      <c r="IX42" s="480">
        <f>IX39+IX40+IX41</f>
        <v>1764862.9300000002</v>
      </c>
      <c r="IY42" s="481">
        <f>IY39+IY40+IY41</f>
        <v>1726589.9321999997</v>
      </c>
      <c r="IZ42" s="438">
        <f>IY42/IX42</f>
        <v>0.97831389783908007</v>
      </c>
      <c r="JA42" s="437">
        <f>JA39+JA40+JA41</f>
        <v>0</v>
      </c>
      <c r="JB42" s="450">
        <f>JA42/IX42</f>
        <v>0</v>
      </c>
      <c r="JC42" s="480">
        <f>JC39+JC40+JC41</f>
        <v>2126485.7400000002</v>
      </c>
      <c r="JD42" s="481">
        <f>JD39+JD40+JD41</f>
        <v>2116485.58232</v>
      </c>
      <c r="JE42" s="438">
        <f>JD42/JC42</f>
        <v>0.99529733141779719</v>
      </c>
      <c r="JF42" s="437">
        <f>JF39+JF40+JF41</f>
        <v>0</v>
      </c>
      <c r="JG42" s="450">
        <f>JF42/JC42</f>
        <v>0</v>
      </c>
      <c r="JH42" s="480">
        <f>JH39+JH40+JH41</f>
        <v>2655979.16</v>
      </c>
      <c r="JI42" s="481">
        <f>JI39+JI40+JI41</f>
        <v>2597208.5282000001</v>
      </c>
      <c r="JJ42" s="438">
        <f>JI42/JH42</f>
        <v>0.97787232946511515</v>
      </c>
      <c r="JK42" s="437">
        <f>JK39+JK40+JK41</f>
        <v>0</v>
      </c>
      <c r="JL42" s="450">
        <f>JK42/JH42</f>
        <v>0</v>
      </c>
      <c r="JM42" s="480">
        <f>JM39+JM40+JM41</f>
        <v>2880079.1500000004</v>
      </c>
      <c r="JN42" s="481">
        <f>JN39+JN40+JN41</f>
        <v>2814674.9885</v>
      </c>
      <c r="JO42" s="438">
        <f>JN42/JM42</f>
        <v>0.97729084580887282</v>
      </c>
      <c r="JP42" s="437">
        <f>JP39+JP40+JP41</f>
        <v>0</v>
      </c>
      <c r="JQ42" s="450">
        <f>JP42/JM42</f>
        <v>0</v>
      </c>
      <c r="JR42" s="453">
        <f>JR39+JR40+JR41</f>
        <v>9254959.0312200002</v>
      </c>
      <c r="JS42" s="437">
        <f>JS39+JS40+JS41</f>
        <v>0</v>
      </c>
      <c r="JT42" s="437">
        <f>JT39+JT40+JT41</f>
        <v>0</v>
      </c>
      <c r="JU42" s="456" t="e">
        <f>JT42/JS42</f>
        <v>#DIV/0!</v>
      </c>
      <c r="JV42" s="480">
        <f>JV39+JV40+JV41</f>
        <v>3870171.74</v>
      </c>
      <c r="JW42" s="481">
        <f>JW39+JW40+JW41</f>
        <v>3783211.6888399995</v>
      </c>
      <c r="JX42" s="438">
        <f>JW42/JV42</f>
        <v>0.97753069966864037</v>
      </c>
      <c r="JY42" s="437">
        <f>JY39+JY40+JY41</f>
        <v>0</v>
      </c>
      <c r="JZ42" s="450">
        <f>JY42/JV42</f>
        <v>0</v>
      </c>
      <c r="KA42" s="480">
        <f>KA39+KA40+KA41</f>
        <v>4777345.3899999997</v>
      </c>
      <c r="KB42" s="481">
        <f>KB39+KB40+KB41</f>
        <v>4678217.1820800006</v>
      </c>
      <c r="KC42" s="438">
        <f>KB42/KA42</f>
        <v>0.97925035771382674</v>
      </c>
      <c r="KD42" s="437">
        <f>KD39+KD40+KD41</f>
        <v>0</v>
      </c>
      <c r="KE42" s="450">
        <f>KD42/KA42</f>
        <v>0</v>
      </c>
      <c r="KF42" s="480">
        <f>KF39+KF40+KF41</f>
        <v>6387018.4099999992</v>
      </c>
      <c r="KG42" s="481">
        <f>KG39+KG40+KG41</f>
        <v>6270845.6969249994</v>
      </c>
      <c r="KH42" s="438">
        <f>KG42/KF42</f>
        <v>0.98181111974045499</v>
      </c>
      <c r="KI42" s="437">
        <f>KI39+KI40+KI41</f>
        <v>0</v>
      </c>
      <c r="KJ42" s="450">
        <f>KI42/KF42</f>
        <v>0</v>
      </c>
      <c r="KK42" s="480">
        <f>KK39+KK40+KK41</f>
        <v>5401541.4100000001</v>
      </c>
      <c r="KL42" s="481">
        <f>KL39+KL40+KL41</f>
        <v>5314756.2389499992</v>
      </c>
      <c r="KM42" s="438">
        <f>KL42/KK42</f>
        <v>0.98393325821971234</v>
      </c>
      <c r="KN42" s="437">
        <f>KN39+KN40+KN41</f>
        <v>0</v>
      </c>
      <c r="KO42" s="450">
        <f>KN42/KK42</f>
        <v>0</v>
      </c>
      <c r="KP42" s="480">
        <f>KP39+KP40+KP41</f>
        <v>1687428.7899999998</v>
      </c>
      <c r="KQ42" s="481">
        <f>KQ39+KQ40+KQ41</f>
        <v>1635551.8519299999</v>
      </c>
      <c r="KR42" s="438">
        <f>KQ42/KP42</f>
        <v>0.96925681345640669</v>
      </c>
      <c r="KS42" s="437">
        <f>KS39+KS40+KS41</f>
        <v>0</v>
      </c>
      <c r="KT42" s="450">
        <f>KS42/KP42</f>
        <v>0</v>
      </c>
      <c r="KU42" s="453">
        <f>KU39+KU40+KU41</f>
        <v>21682582.658724997</v>
      </c>
      <c r="KV42" s="437">
        <f>KV39+KV40+KV41</f>
        <v>0</v>
      </c>
      <c r="KW42" s="437">
        <f>KW39+KW40+KW41</f>
        <v>0</v>
      </c>
      <c r="KX42" s="456" t="e">
        <f>KW42/KV42</f>
        <v>#DIV/0!</v>
      </c>
      <c r="KY42" s="453">
        <f>KY39+KY40+KY41</f>
        <v>0</v>
      </c>
      <c r="KZ42" s="453">
        <f>KZ39+KZ40+KZ41</f>
        <v>0</v>
      </c>
      <c r="LA42" s="492">
        <f>KZ42-KY42</f>
        <v>0</v>
      </c>
      <c r="LB42" s="493" t="e">
        <f>KZ42/KY42</f>
        <v>#DIV/0!</v>
      </c>
    </row>
    <row r="43" spans="1:314" ht="11.25" customHeight="1" thickBot="1">
      <c r="A43" s="1495"/>
      <c r="B43" s="445"/>
      <c r="C43" s="408"/>
      <c r="D43" s="408"/>
      <c r="E43" s="363"/>
      <c r="F43" s="408"/>
      <c r="G43" s="363"/>
      <c r="H43" s="408"/>
      <c r="I43" s="408"/>
      <c r="J43" s="363"/>
      <c r="K43" s="408"/>
      <c r="L43" s="363"/>
      <c r="M43" s="408"/>
      <c r="N43" s="408"/>
      <c r="O43" s="363"/>
      <c r="P43" s="408"/>
      <c r="Q43" s="363"/>
      <c r="R43" s="408"/>
      <c r="S43" s="408"/>
      <c r="T43" s="363"/>
      <c r="U43" s="408"/>
      <c r="V43" s="363"/>
      <c r="W43" s="1418"/>
      <c r="X43" s="363"/>
      <c r="Y43" s="363"/>
      <c r="Z43" s="363"/>
      <c r="AA43" s="408"/>
      <c r="AB43" s="408"/>
      <c r="AC43" s="363"/>
      <c r="AD43" s="408"/>
      <c r="AE43" s="363"/>
      <c r="AF43" s="408"/>
      <c r="AG43" s="408"/>
      <c r="AH43" s="363"/>
      <c r="AI43" s="408"/>
      <c r="AJ43" s="363"/>
      <c r="AK43" s="408"/>
      <c r="AL43" s="408"/>
      <c r="AM43" s="363"/>
      <c r="AN43" s="408"/>
      <c r="AO43" s="363"/>
      <c r="AP43" s="408"/>
      <c r="AQ43" s="408"/>
      <c r="AR43" s="363"/>
      <c r="AS43" s="408"/>
      <c r="AT43" s="363"/>
      <c r="AU43" s="1418"/>
      <c r="AV43" s="363"/>
      <c r="AW43" s="363"/>
      <c r="AX43" s="363"/>
      <c r="AY43" s="408"/>
      <c r="AZ43" s="408"/>
      <c r="BA43" s="363"/>
      <c r="BB43" s="408"/>
      <c r="BC43" s="363"/>
      <c r="BD43" s="408"/>
      <c r="BE43" s="408"/>
      <c r="BF43" s="363"/>
      <c r="BG43" s="408"/>
      <c r="BH43" s="363"/>
      <c r="BI43" s="408"/>
      <c r="BJ43" s="408"/>
      <c r="BK43" s="363"/>
      <c r="BL43" s="408"/>
      <c r="BM43" s="363"/>
      <c r="BN43" s="408"/>
      <c r="BO43" s="408"/>
      <c r="BP43" s="446"/>
      <c r="BQ43" s="408"/>
      <c r="BR43" s="447"/>
      <c r="BS43" s="408"/>
      <c r="BT43" s="408"/>
      <c r="BU43" s="446"/>
      <c r="BV43" s="408"/>
      <c r="BW43" s="447"/>
      <c r="BX43" s="1422"/>
      <c r="BY43" s="408"/>
      <c r="BZ43" s="408"/>
      <c r="CA43" s="491"/>
      <c r="CB43" s="408"/>
      <c r="CC43" s="408"/>
      <c r="CD43" s="446"/>
      <c r="CE43" s="408"/>
      <c r="CF43" s="447"/>
      <c r="CG43" s="408"/>
      <c r="CH43" s="408"/>
      <c r="CI43" s="446"/>
      <c r="CJ43" s="408"/>
      <c r="CK43" s="447"/>
      <c r="CL43" s="408"/>
      <c r="CM43" s="408"/>
      <c r="CN43" s="446"/>
      <c r="CO43" s="408"/>
      <c r="CP43" s="447"/>
      <c r="CQ43" s="408"/>
      <c r="CR43" s="408"/>
      <c r="CS43" s="446"/>
      <c r="CT43" s="408"/>
      <c r="CU43" s="447"/>
      <c r="CV43" s="408"/>
      <c r="CW43" s="408"/>
      <c r="CX43" s="408"/>
      <c r="CY43" s="489"/>
      <c r="CZ43" s="483"/>
      <c r="DA43" s="483"/>
      <c r="DB43" s="446"/>
      <c r="DC43" s="408"/>
      <c r="DD43" s="447"/>
      <c r="DE43" s="483"/>
      <c r="DF43" s="483"/>
      <c r="DG43" s="446"/>
      <c r="DH43" s="408"/>
      <c r="DI43" s="447"/>
      <c r="DJ43" s="483"/>
      <c r="DK43" s="483"/>
      <c r="DL43" s="446"/>
      <c r="DM43" s="408"/>
      <c r="DN43" s="447"/>
      <c r="DO43" s="483"/>
      <c r="DP43" s="483"/>
      <c r="DQ43" s="446"/>
      <c r="DR43" s="408"/>
      <c r="DS43" s="447"/>
      <c r="DT43" s="408"/>
      <c r="DU43" s="408"/>
      <c r="DV43" s="408"/>
      <c r="DW43" s="457"/>
      <c r="DX43" s="483"/>
      <c r="DY43" s="483"/>
      <c r="DZ43" s="446"/>
      <c r="EA43" s="408"/>
      <c r="EB43" s="447"/>
      <c r="EC43" s="483"/>
      <c r="ED43" s="483"/>
      <c r="EE43" s="446"/>
      <c r="EF43" s="408"/>
      <c r="EG43" s="447"/>
      <c r="EH43" s="483"/>
      <c r="EI43" s="483"/>
      <c r="EJ43" s="446"/>
      <c r="EK43" s="408"/>
      <c r="EL43" s="447"/>
      <c r="EM43" s="483"/>
      <c r="EN43" s="483"/>
      <c r="EO43" s="446"/>
      <c r="EP43" s="408"/>
      <c r="EQ43" s="447"/>
      <c r="ER43" s="483"/>
      <c r="ES43" s="483"/>
      <c r="ET43" s="446"/>
      <c r="EU43" s="408"/>
      <c r="EV43" s="447"/>
      <c r="EW43" s="408"/>
      <c r="EX43" s="408"/>
      <c r="EY43" s="408"/>
      <c r="EZ43" s="457"/>
      <c r="FA43" s="483"/>
      <c r="FB43" s="483"/>
      <c r="FC43" s="446"/>
      <c r="FD43" s="408"/>
      <c r="FE43" s="447"/>
      <c r="FF43" s="483"/>
      <c r="FG43" s="483"/>
      <c r="FH43" s="446"/>
      <c r="FI43" s="408"/>
      <c r="FJ43" s="447"/>
      <c r="FK43" s="483"/>
      <c r="FL43" s="483"/>
      <c r="FM43" s="446"/>
      <c r="FN43" s="408"/>
      <c r="FO43" s="447"/>
      <c r="FP43" s="483"/>
      <c r="FQ43" s="483"/>
      <c r="FR43" s="446"/>
      <c r="FS43" s="408"/>
      <c r="FT43" s="447"/>
      <c r="FU43" s="408"/>
      <c r="FV43" s="408"/>
      <c r="FW43" s="408"/>
      <c r="FX43" s="457"/>
      <c r="FY43" s="483"/>
      <c r="FZ43" s="483"/>
      <c r="GA43" s="446"/>
      <c r="GB43" s="408"/>
      <c r="GC43" s="447"/>
      <c r="GD43" s="483"/>
      <c r="GE43" s="483"/>
      <c r="GF43" s="446"/>
      <c r="GG43" s="408"/>
      <c r="GH43" s="447"/>
      <c r="GI43" s="483"/>
      <c r="GJ43" s="483"/>
      <c r="GK43" s="446"/>
      <c r="GL43" s="408"/>
      <c r="GM43" s="447"/>
      <c r="GN43" s="483"/>
      <c r="GO43" s="483"/>
      <c r="GP43" s="446"/>
      <c r="GQ43" s="408"/>
      <c r="GR43" s="447"/>
      <c r="GS43" s="408"/>
      <c r="GT43" s="408"/>
      <c r="GU43" s="408"/>
      <c r="GV43" s="457"/>
      <c r="GW43" s="483"/>
      <c r="GX43" s="483"/>
      <c r="GY43" s="446"/>
      <c r="GZ43" s="408"/>
      <c r="HA43" s="447"/>
      <c r="HB43" s="483"/>
      <c r="HC43" s="483"/>
      <c r="HD43" s="446"/>
      <c r="HE43" s="408"/>
      <c r="HF43" s="447"/>
      <c r="HG43" s="483"/>
      <c r="HH43" s="483"/>
      <c r="HI43" s="446"/>
      <c r="HJ43" s="408"/>
      <c r="HK43" s="447"/>
      <c r="HL43" s="483"/>
      <c r="HM43" s="483"/>
      <c r="HN43" s="446"/>
      <c r="HO43" s="408"/>
      <c r="HP43" s="447"/>
      <c r="HQ43" s="483"/>
      <c r="HR43" s="483"/>
      <c r="HS43" s="446"/>
      <c r="HT43" s="408"/>
      <c r="HU43" s="447"/>
      <c r="HV43" s="408"/>
      <c r="HW43" s="408"/>
      <c r="HX43" s="408"/>
      <c r="HY43" s="457"/>
      <c r="HZ43" s="483"/>
      <c r="IA43" s="483"/>
      <c r="IB43" s="446"/>
      <c r="IC43" s="408"/>
      <c r="ID43" s="447"/>
      <c r="IE43" s="483"/>
      <c r="IF43" s="483"/>
      <c r="IG43" s="446"/>
      <c r="IH43" s="408"/>
      <c r="II43" s="447"/>
      <c r="IJ43" s="483"/>
      <c r="IK43" s="483"/>
      <c r="IL43" s="446"/>
      <c r="IM43" s="408"/>
      <c r="IN43" s="447"/>
      <c r="IO43" s="483"/>
      <c r="IP43" s="483"/>
      <c r="IQ43" s="446"/>
      <c r="IR43" s="408"/>
      <c r="IS43" s="447"/>
      <c r="IT43" s="408"/>
      <c r="IU43" s="408"/>
      <c r="IV43" s="408"/>
      <c r="IW43" s="457"/>
      <c r="IX43" s="483"/>
      <c r="IY43" s="483"/>
      <c r="IZ43" s="446"/>
      <c r="JA43" s="408"/>
      <c r="JB43" s="447"/>
      <c r="JC43" s="483"/>
      <c r="JD43" s="483"/>
      <c r="JE43" s="446"/>
      <c r="JF43" s="408"/>
      <c r="JG43" s="447"/>
      <c r="JH43" s="483"/>
      <c r="JI43" s="483"/>
      <c r="JJ43" s="446"/>
      <c r="JK43" s="408"/>
      <c r="JL43" s="447"/>
      <c r="JM43" s="483"/>
      <c r="JN43" s="483"/>
      <c r="JO43" s="446"/>
      <c r="JP43" s="408"/>
      <c r="JQ43" s="447"/>
      <c r="JR43" s="408"/>
      <c r="JS43" s="408"/>
      <c r="JT43" s="408"/>
      <c r="JU43" s="457"/>
      <c r="JV43" s="483"/>
      <c r="JW43" s="483"/>
      <c r="JX43" s="446"/>
      <c r="JY43" s="408"/>
      <c r="JZ43" s="447"/>
      <c r="KA43" s="483"/>
      <c r="KB43" s="483"/>
      <c r="KC43" s="446"/>
      <c r="KD43" s="408"/>
      <c r="KE43" s="447"/>
      <c r="KF43" s="483"/>
      <c r="KG43" s="483"/>
      <c r="KH43" s="446"/>
      <c r="KI43" s="408"/>
      <c r="KJ43" s="447"/>
      <c r="KK43" s="483"/>
      <c r="KL43" s="483"/>
      <c r="KM43" s="446"/>
      <c r="KN43" s="408"/>
      <c r="KO43" s="447"/>
      <c r="KP43" s="483"/>
      <c r="KQ43" s="483"/>
      <c r="KR43" s="446"/>
      <c r="KS43" s="408"/>
      <c r="KT43" s="447"/>
      <c r="KU43" s="408"/>
      <c r="KV43" s="408"/>
      <c r="KW43" s="408"/>
      <c r="KX43" s="457"/>
      <c r="KY43" s="408"/>
      <c r="KZ43" s="408"/>
      <c r="LA43" s="409"/>
      <c r="LB43" s="410"/>
    </row>
    <row r="44" spans="1:314">
      <c r="A44" s="1495"/>
      <c r="B44" s="431" t="s">
        <v>42</v>
      </c>
      <c r="C44" s="432"/>
      <c r="D44" s="432"/>
      <c r="E44" s="433"/>
      <c r="F44" s="432"/>
      <c r="G44" s="433"/>
      <c r="H44" s="432"/>
      <c r="I44" s="432"/>
      <c r="J44" s="433"/>
      <c r="K44" s="432"/>
      <c r="L44" s="433"/>
      <c r="M44" s="432"/>
      <c r="N44" s="432"/>
      <c r="O44" s="433"/>
      <c r="P44" s="432"/>
      <c r="Q44" s="433"/>
      <c r="R44" s="432"/>
      <c r="S44" s="432"/>
      <c r="T44" s="433"/>
      <c r="U44" s="432"/>
      <c r="V44" s="433"/>
      <c r="W44" s="1415">
        <f>SUM(W25:W29)</f>
        <v>2694651.1477999999</v>
      </c>
      <c r="X44" s="433"/>
      <c r="Y44" s="433"/>
      <c r="Z44" s="433"/>
      <c r="AA44" s="432"/>
      <c r="AB44" s="432"/>
      <c r="AC44" s="433"/>
      <c r="AD44" s="432"/>
      <c r="AE44" s="433"/>
      <c r="AF44" s="432"/>
      <c r="AG44" s="432"/>
      <c r="AH44" s="433"/>
      <c r="AI44" s="432"/>
      <c r="AJ44" s="433"/>
      <c r="AK44" s="432"/>
      <c r="AL44" s="432"/>
      <c r="AM44" s="433"/>
      <c r="AN44" s="432"/>
      <c r="AO44" s="433"/>
      <c r="AP44" s="432"/>
      <c r="AQ44" s="432"/>
      <c r="AR44" s="433"/>
      <c r="AS44" s="432"/>
      <c r="AT44" s="433"/>
      <c r="AU44" s="1415">
        <f>SUM(AU25:AU29)</f>
        <v>2806975.8286000001</v>
      </c>
      <c r="AV44" s="433"/>
      <c r="AW44" s="433"/>
      <c r="AX44" s="433"/>
      <c r="AY44" s="432"/>
      <c r="AZ44" s="432"/>
      <c r="BA44" s="433"/>
      <c r="BB44" s="432"/>
      <c r="BC44" s="433"/>
      <c r="BD44" s="432"/>
      <c r="BE44" s="432"/>
      <c r="BF44" s="433"/>
      <c r="BG44" s="432"/>
      <c r="BH44" s="433"/>
      <c r="BI44" s="432"/>
      <c r="BJ44" s="432"/>
      <c r="BK44" s="433"/>
      <c r="BL44" s="432"/>
      <c r="BM44" s="448"/>
      <c r="BN44" s="451">
        <f>SUM(BN25:BN29)</f>
        <v>764708.84000000008</v>
      </c>
      <c r="BO44" s="432">
        <f>SUM(BO25:BO29)</f>
        <v>738539.35389999999</v>
      </c>
      <c r="BP44" s="433">
        <f>BO44/BN44</f>
        <v>0.96577849668901428</v>
      </c>
      <c r="BQ44" s="432">
        <f>SUM(BQ25:BQ29)</f>
        <v>0</v>
      </c>
      <c r="BR44" s="425">
        <f>BQ44/BN44</f>
        <v>0</v>
      </c>
      <c r="BS44" s="451">
        <f>SUM(BS25:BS29)</f>
        <v>817589.61</v>
      </c>
      <c r="BT44" s="432">
        <f>SUM(BT25:BT29)</f>
        <v>814538.92749999999</v>
      </c>
      <c r="BU44" s="433">
        <f>BT44/BS44</f>
        <v>0.99626868729410589</v>
      </c>
      <c r="BV44" s="432">
        <f>SUM(BV25:BV29)</f>
        <v>0</v>
      </c>
      <c r="BW44" s="425">
        <f>BV44/BS44</f>
        <v>0</v>
      </c>
      <c r="BX44" s="1419">
        <f>SUM(BX25:BX29)</f>
        <v>3833909.3050999995</v>
      </c>
      <c r="BY44" s="432">
        <f>SUM(BY25:BY29)</f>
        <v>0</v>
      </c>
      <c r="BZ44" s="432">
        <f>SUM(BZ25:BZ29)</f>
        <v>0</v>
      </c>
      <c r="CA44" s="425" t="e">
        <f>BZ44/BY44</f>
        <v>#DIV/0!</v>
      </c>
      <c r="CB44" s="451">
        <f>SUM(CB25:CB29)</f>
        <v>895485.95000000007</v>
      </c>
      <c r="CC44" s="432">
        <f>SUM(CC25:CC29)</f>
        <v>886982.31700000004</v>
      </c>
      <c r="CD44" s="433">
        <f>CC44/CB44</f>
        <v>0.99050389009453466</v>
      </c>
      <c r="CE44" s="432">
        <f>SUM(CE25:CE29)</f>
        <v>0</v>
      </c>
      <c r="CF44" s="425">
        <f>CE44/CB44</f>
        <v>0</v>
      </c>
      <c r="CG44" s="451">
        <f>SUM(CG25:CG29)</f>
        <v>969604.73999999987</v>
      </c>
      <c r="CH44" s="432">
        <f>SUM(CH25:CH29)</f>
        <v>923513.522</v>
      </c>
      <c r="CI44" s="433">
        <f>CH44/CG44</f>
        <v>0.95246391019086818</v>
      </c>
      <c r="CJ44" s="432">
        <f>SUM(CJ25:CJ29)</f>
        <v>0</v>
      </c>
      <c r="CK44" s="425">
        <f>CJ44/CG44</f>
        <v>0</v>
      </c>
      <c r="CL44" s="451">
        <f>SUM(CL25:CL29)</f>
        <v>903589.79</v>
      </c>
      <c r="CM44" s="432">
        <f>SUM(CM25:CM29)</f>
        <v>891278.77400000009</v>
      </c>
      <c r="CN44" s="433">
        <f>CM44/CL44</f>
        <v>0.98637543702214703</v>
      </c>
      <c r="CO44" s="432">
        <f>SUM(CO25:CO29)</f>
        <v>0</v>
      </c>
      <c r="CP44" s="425">
        <f>CO44/CL44</f>
        <v>0</v>
      </c>
      <c r="CQ44" s="451">
        <f>SUM(CQ25:CQ29)</f>
        <v>896090.82000000007</v>
      </c>
      <c r="CR44" s="432">
        <f>SUM(CR25:CR29)</f>
        <v>893822.3256000001</v>
      </c>
      <c r="CS44" s="433">
        <f>CR44/CQ44</f>
        <v>0.99746845481577417</v>
      </c>
      <c r="CT44" s="432">
        <f>SUM(CT25:CT29)</f>
        <v>0</v>
      </c>
      <c r="CU44" s="448">
        <f>CT44/CQ44</f>
        <v>0</v>
      </c>
      <c r="CV44" s="451">
        <f>SUM(CV25:CV29)</f>
        <v>3595596.9386000005</v>
      </c>
      <c r="CW44" s="432">
        <f>SUM(CW25:CW29)</f>
        <v>0</v>
      </c>
      <c r="CX44" s="432">
        <f>SUM(CX25:CX29)</f>
        <v>0</v>
      </c>
      <c r="CY44" s="489" t="e">
        <f>CX44/CW44</f>
        <v>#DIV/0!</v>
      </c>
      <c r="CZ44" s="476">
        <f>SUM(CZ25:CZ29)</f>
        <v>1331780.0499999998</v>
      </c>
      <c r="DA44" s="477">
        <f>SUM(DA25:DA29)</f>
        <v>1332243.909</v>
      </c>
      <c r="DB44" s="433">
        <f>DA44/CZ44</f>
        <v>1.0003483000064464</v>
      </c>
      <c r="DC44" s="432">
        <f>SUM(DC25:DC29)</f>
        <v>0</v>
      </c>
      <c r="DD44" s="448">
        <f>DC44/CZ44</f>
        <v>0</v>
      </c>
      <c r="DE44" s="476">
        <f>SUM(DE25:DE29)</f>
        <v>904656.8</v>
      </c>
      <c r="DF44" s="477">
        <f>SUM(DF25:DF29)</f>
        <v>926401.58550000004</v>
      </c>
      <c r="DG44" s="433">
        <f>DF44/DE44</f>
        <v>1.0240365025720251</v>
      </c>
      <c r="DH44" s="432">
        <f>SUM(DH25:DH29)</f>
        <v>0</v>
      </c>
      <c r="DI44" s="448">
        <f>DH44/DE44</f>
        <v>0</v>
      </c>
      <c r="DJ44" s="476">
        <f>SUM(DJ25:DJ29)</f>
        <v>777298.64</v>
      </c>
      <c r="DK44" s="477">
        <f>SUM(DK25:DK29)</f>
        <v>766099.58399999992</v>
      </c>
      <c r="DL44" s="433">
        <f>DK44/DJ44</f>
        <v>0.98559233810057856</v>
      </c>
      <c r="DM44" s="432">
        <f>SUM(DM25:DM29)</f>
        <v>0</v>
      </c>
      <c r="DN44" s="448">
        <f>DM44/DJ44</f>
        <v>0</v>
      </c>
      <c r="DO44" s="476">
        <f>SUM(DO25:DO29)</f>
        <v>791721.65000000014</v>
      </c>
      <c r="DP44" s="477">
        <f>SUM(DP25:DP29)</f>
        <v>786598.40350000001</v>
      </c>
      <c r="DQ44" s="433">
        <f>DP44/DO44</f>
        <v>0.99352898016619839</v>
      </c>
      <c r="DR44" s="432">
        <f>SUM(DR25:DR29)</f>
        <v>0</v>
      </c>
      <c r="DS44" s="448">
        <f>DR44/DO44</f>
        <v>0</v>
      </c>
      <c r="DT44" s="451">
        <f>SUM(DT25:DT29)</f>
        <v>3811343.4820000008</v>
      </c>
      <c r="DU44" s="432">
        <f>SUM(DU25:DU29)</f>
        <v>0</v>
      </c>
      <c r="DV44" s="432">
        <f>SUM(DV25:DV29)</f>
        <v>0</v>
      </c>
      <c r="DW44" s="419" t="e">
        <f>DV44/DU44</f>
        <v>#DIV/0!</v>
      </c>
      <c r="DX44" s="476">
        <f>SUM(DX25:DX29)</f>
        <v>848221.31</v>
      </c>
      <c r="DY44" s="477">
        <f>SUM(DY25:DY29)</f>
        <v>826286.16599999997</v>
      </c>
      <c r="DZ44" s="433">
        <f>DY44/DX44</f>
        <v>0.97413983386010417</v>
      </c>
      <c r="EA44" s="432">
        <f>SUM(EA25:EA29)</f>
        <v>0</v>
      </c>
      <c r="EB44" s="448">
        <f>EA44/DX44</f>
        <v>0</v>
      </c>
      <c r="EC44" s="476">
        <f>SUM(EC25:EC29)</f>
        <v>1038562</v>
      </c>
      <c r="ED44" s="477">
        <f>SUM(ED25:ED29)</f>
        <v>1025243.9092</v>
      </c>
      <c r="EE44" s="433">
        <f>ED44/EC44</f>
        <v>0.98717641238558695</v>
      </c>
      <c r="EF44" s="432">
        <f>SUM(EF25:EF29)</f>
        <v>0</v>
      </c>
      <c r="EG44" s="448">
        <f>EF44/EC44</f>
        <v>0</v>
      </c>
      <c r="EH44" s="476">
        <f>SUM(EH25:EH29)</f>
        <v>971543.58000000007</v>
      </c>
      <c r="EI44" s="477">
        <f>SUM(EI25:EI29)</f>
        <v>945448.74780000001</v>
      </c>
      <c r="EJ44" s="433">
        <f>EI44/EH44</f>
        <v>0.97314085262135119</v>
      </c>
      <c r="EK44" s="432">
        <f>SUM(EK25:EK29)</f>
        <v>0</v>
      </c>
      <c r="EL44" s="448">
        <f>EK44/EH44</f>
        <v>0</v>
      </c>
      <c r="EM44" s="476">
        <f>SUM(EM25:EM29)</f>
        <v>1100456.23</v>
      </c>
      <c r="EN44" s="477">
        <f>SUM(EN25:EN29)</f>
        <v>1131200.5919000001</v>
      </c>
      <c r="EO44" s="433">
        <f>EN44/EM44</f>
        <v>1.0279378325660442</v>
      </c>
      <c r="EP44" s="432">
        <f>SUM(EP25:EP29)</f>
        <v>0</v>
      </c>
      <c r="EQ44" s="448">
        <f>EP44/EM44</f>
        <v>0</v>
      </c>
      <c r="ER44" s="476">
        <f>SUM(ER25:ER29)</f>
        <v>1000245.38</v>
      </c>
      <c r="ES44" s="477">
        <f>SUM(ES25:ES29)</f>
        <v>1014971.0796000001</v>
      </c>
      <c r="ET44" s="433">
        <f>ES44/ER44</f>
        <v>1.0147220870942688</v>
      </c>
      <c r="EU44" s="432">
        <f>SUM(EU25:EU29)</f>
        <v>0</v>
      </c>
      <c r="EV44" s="448">
        <f>EU44/ER44</f>
        <v>0</v>
      </c>
      <c r="EW44" s="451">
        <f>SUM(EW25:EW29)</f>
        <v>4943150.4945</v>
      </c>
      <c r="EX44" s="432">
        <f>SUM(EX25:EX29)</f>
        <v>0</v>
      </c>
      <c r="EY44" s="432">
        <f>SUM(EY25:EY29)</f>
        <v>0</v>
      </c>
      <c r="EZ44" s="454" t="e">
        <f>EY44/EX44</f>
        <v>#DIV/0!</v>
      </c>
      <c r="FA44" s="476">
        <f>SUM(FA25:FA29)</f>
        <v>978645.37999999989</v>
      </c>
      <c r="FB44" s="477">
        <f>SUM(FB25:FB29)</f>
        <v>942968.70799999998</v>
      </c>
      <c r="FC44" s="433">
        <f>FB44/FA44</f>
        <v>0.9635448419528635</v>
      </c>
      <c r="FD44" s="432">
        <f>SUM(FD25:FD29)</f>
        <v>0</v>
      </c>
      <c r="FE44" s="448">
        <f>FD44/FA44</f>
        <v>0</v>
      </c>
      <c r="FF44" s="476">
        <f>SUM(FF25:FF29)</f>
        <v>1018369.81</v>
      </c>
      <c r="FG44" s="477">
        <f>SUM(FG25:FG29)</f>
        <v>1003242.7855999998</v>
      </c>
      <c r="FH44" s="433">
        <f>FG44/FF44</f>
        <v>0.98514584363022284</v>
      </c>
      <c r="FI44" s="432">
        <f>SUM(FI25:FI29)</f>
        <v>0</v>
      </c>
      <c r="FJ44" s="448">
        <f>FI44/FF44</f>
        <v>0</v>
      </c>
      <c r="FK44" s="476">
        <f>SUM(FK25:FK29)</f>
        <v>961071.21</v>
      </c>
      <c r="FL44" s="477">
        <f>SUM(FL25:FL29)</f>
        <v>919741.67999999993</v>
      </c>
      <c r="FM44" s="433">
        <f>FL44/FK44</f>
        <v>0.95699639155770777</v>
      </c>
      <c r="FN44" s="432">
        <f>SUM(FN25:FN29)</f>
        <v>0</v>
      </c>
      <c r="FO44" s="448">
        <f>FN44/FK44</f>
        <v>0</v>
      </c>
      <c r="FP44" s="476">
        <f>SUM(FP25:FP29)</f>
        <v>932582.98</v>
      </c>
      <c r="FQ44" s="477">
        <f>SUM(FQ25:FQ29)</f>
        <v>966911.13030000008</v>
      </c>
      <c r="FR44" s="433">
        <f>FQ44/FP44</f>
        <v>1.0368097542376338</v>
      </c>
      <c r="FS44" s="432">
        <f>SUM(FS25:FS29)</f>
        <v>0</v>
      </c>
      <c r="FT44" s="448">
        <f>FS44/FP44</f>
        <v>0</v>
      </c>
      <c r="FU44" s="451">
        <f>SUM(FU25:FU29)</f>
        <v>3832864.3038999997</v>
      </c>
      <c r="FV44" s="432">
        <f>SUM(FV25:FV29)</f>
        <v>0</v>
      </c>
      <c r="FW44" s="432">
        <f>SUM(FW25:FW29)</f>
        <v>0</v>
      </c>
      <c r="FX44" s="454" t="e">
        <f>FW44/FV44</f>
        <v>#DIV/0!</v>
      </c>
      <c r="FY44" s="476">
        <f>SUM(FY25:FY29)</f>
        <v>875411.74</v>
      </c>
      <c r="FZ44" s="477">
        <f>SUM(FZ25:FZ29)</f>
        <v>933695.00079999992</v>
      </c>
      <c r="GA44" s="433">
        <f>FZ44/FY44</f>
        <v>1.0665781119179416</v>
      </c>
      <c r="GB44" s="432">
        <f>SUM(GB25:GB29)</f>
        <v>0</v>
      </c>
      <c r="GC44" s="448">
        <f>GB44/FY44</f>
        <v>0</v>
      </c>
      <c r="GD44" s="476">
        <f>SUM(GD25:GD29)</f>
        <v>892706.14</v>
      </c>
      <c r="GE44" s="477">
        <f>SUM(GE25:GE29)</f>
        <v>896855.1198000001</v>
      </c>
      <c r="GF44" s="433">
        <f>GE44/GD44</f>
        <v>1.0046476434003244</v>
      </c>
      <c r="GG44" s="432">
        <f>SUM(GG25:GG29)</f>
        <v>0</v>
      </c>
      <c r="GH44" s="448">
        <f>GG44/GD44</f>
        <v>0</v>
      </c>
      <c r="GI44" s="476">
        <f>SUM(GI25:GI29)</f>
        <v>835591.64</v>
      </c>
      <c r="GJ44" s="477">
        <f>SUM(GJ25:GJ29)</f>
        <v>904711.29799999995</v>
      </c>
      <c r="GK44" s="433">
        <f>GJ44/GI44</f>
        <v>1.0827194226117436</v>
      </c>
      <c r="GL44" s="432">
        <f>SUM(GL25:GL29)</f>
        <v>0</v>
      </c>
      <c r="GM44" s="448">
        <f>GL44/GI44</f>
        <v>0</v>
      </c>
      <c r="GN44" s="476">
        <f>SUM(GN25:GN29)</f>
        <v>797765.60000000009</v>
      </c>
      <c r="GO44" s="477">
        <f>SUM(GO25:GO29)</f>
        <v>843488.94000000006</v>
      </c>
      <c r="GP44" s="433">
        <f>GO44/GN44</f>
        <v>1.0573142537106137</v>
      </c>
      <c r="GQ44" s="432">
        <f>SUM(GQ25:GQ29)</f>
        <v>0</v>
      </c>
      <c r="GR44" s="448">
        <f>GQ44/GN44</f>
        <v>0</v>
      </c>
      <c r="GS44" s="451">
        <f>SUM(GS25:GS29)</f>
        <v>3578750.3585999999</v>
      </c>
      <c r="GT44" s="432">
        <f>SUM(GT25:GT29)</f>
        <v>0</v>
      </c>
      <c r="GU44" s="432">
        <f>SUM(GU25:GU29)</f>
        <v>0</v>
      </c>
      <c r="GV44" s="454" t="e">
        <f>GU44/GT44</f>
        <v>#DIV/0!</v>
      </c>
      <c r="GW44" s="476">
        <f>SUM(GW25:GW29)</f>
        <v>823094</v>
      </c>
      <c r="GX44" s="477">
        <f>SUM(GX25:GX29)</f>
        <v>868059</v>
      </c>
      <c r="GY44" s="433">
        <f>GX44/GW44</f>
        <v>1.0546292404026758</v>
      </c>
      <c r="GZ44" s="432">
        <f>SUM(GZ25:GZ29)</f>
        <v>0</v>
      </c>
      <c r="HA44" s="448">
        <f>GZ44/GW44</f>
        <v>0</v>
      </c>
      <c r="HB44" s="476">
        <f>SUM(HB25:HB29)</f>
        <v>776912.99</v>
      </c>
      <c r="HC44" s="477">
        <f>SUM(HC25:HC29)</f>
        <v>836550.10000000009</v>
      </c>
      <c r="HD44" s="433">
        <f>HC44/HB44</f>
        <v>1.0767616332428682</v>
      </c>
      <c r="HE44" s="432">
        <f>SUM(HE25:HE29)</f>
        <v>0</v>
      </c>
      <c r="HF44" s="448">
        <f>HE44/HB44</f>
        <v>0</v>
      </c>
      <c r="HG44" s="476">
        <f>SUM(HG25:HG29)</f>
        <v>789945.49</v>
      </c>
      <c r="HH44" s="477">
        <f>SUM(HH25:HH29)</f>
        <v>837730.10360000003</v>
      </c>
      <c r="HI44" s="433">
        <f>HH44/HG44</f>
        <v>1.060491026539059</v>
      </c>
      <c r="HJ44" s="432">
        <f>SUM(HJ25:HJ29)</f>
        <v>0</v>
      </c>
      <c r="HK44" s="448">
        <f>HJ44/HG44</f>
        <v>0</v>
      </c>
      <c r="HL44" s="476">
        <f>SUM(HL25:HL29)</f>
        <v>793433.32000000007</v>
      </c>
      <c r="HM44" s="477">
        <f>SUM(HM25:HM29)</f>
        <v>863621.56359999988</v>
      </c>
      <c r="HN44" s="433">
        <f>HM44/HL44</f>
        <v>1.0884614268531094</v>
      </c>
      <c r="HO44" s="432">
        <f>SUM(HO25:HO29)</f>
        <v>0</v>
      </c>
      <c r="HP44" s="448">
        <f>HO44/HL44</f>
        <v>0</v>
      </c>
      <c r="HQ44" s="476">
        <f>SUM(HQ25:HQ29)</f>
        <v>821295.28</v>
      </c>
      <c r="HR44" s="477">
        <f>SUM(HR25:HR29)</f>
        <v>877848.14159999997</v>
      </c>
      <c r="HS44" s="433">
        <f>HR44/HQ44</f>
        <v>1.0688581354077671</v>
      </c>
      <c r="HT44" s="432">
        <f>SUM(HT25:HT29)</f>
        <v>0</v>
      </c>
      <c r="HU44" s="448">
        <f>HT44/HQ44</f>
        <v>0</v>
      </c>
      <c r="HV44" s="451">
        <f>SUM(HV25:HV29)</f>
        <v>4283808.9088000003</v>
      </c>
      <c r="HW44" s="432">
        <f>SUM(HW25:HW29)</f>
        <v>0</v>
      </c>
      <c r="HX44" s="432">
        <f>SUM(HX25:HX29)</f>
        <v>0</v>
      </c>
      <c r="HY44" s="454" t="e">
        <f>HX44/HW44</f>
        <v>#DIV/0!</v>
      </c>
      <c r="HZ44" s="476">
        <f>SUM(HZ25:HZ29)</f>
        <v>760537.78</v>
      </c>
      <c r="IA44" s="477">
        <f>SUM(IA25:IA29)</f>
        <v>816194.13860000006</v>
      </c>
      <c r="IB44" s="433">
        <f>IA44/HZ44</f>
        <v>1.0731802680466447</v>
      </c>
      <c r="IC44" s="432">
        <f>SUM(IC25:IC29)</f>
        <v>0</v>
      </c>
      <c r="ID44" s="448">
        <f>IC44/HZ44</f>
        <v>0</v>
      </c>
      <c r="IE44" s="476">
        <f>SUM(IE25:IE29)</f>
        <v>805631.43</v>
      </c>
      <c r="IF44" s="477">
        <f>SUM(IF25:IF29)</f>
        <v>867435.8162</v>
      </c>
      <c r="IG44" s="433">
        <f>IF44/IE44</f>
        <v>1.0767154605673712</v>
      </c>
      <c r="IH44" s="432">
        <f>SUM(IH25:IH29)</f>
        <v>0</v>
      </c>
      <c r="II44" s="448">
        <f>IH44/IE44</f>
        <v>0</v>
      </c>
      <c r="IJ44" s="476">
        <f>SUM(IJ25:IJ29)</f>
        <v>776744.35</v>
      </c>
      <c r="IK44" s="477">
        <f>SUM(IK25:IK29)</f>
        <v>818275.35239999997</v>
      </c>
      <c r="IL44" s="433">
        <f>IK44/IJ44</f>
        <v>1.0534680456961161</v>
      </c>
      <c r="IM44" s="432">
        <f>SUM(IM25:IM29)</f>
        <v>0</v>
      </c>
      <c r="IN44" s="448">
        <f>IM44/IJ44</f>
        <v>0</v>
      </c>
      <c r="IO44" s="476">
        <f>SUM(IO25:IO29)</f>
        <v>825518.03</v>
      </c>
      <c r="IP44" s="477">
        <f>SUM(IP25:IP29)</f>
        <v>874878.62719999999</v>
      </c>
      <c r="IQ44" s="433">
        <f>IP44/IO44</f>
        <v>1.0597934816759846</v>
      </c>
      <c r="IR44" s="432">
        <f>SUM(IR25:IR29)</f>
        <v>0</v>
      </c>
      <c r="IS44" s="448">
        <f>IR44/IO44</f>
        <v>0</v>
      </c>
      <c r="IT44" s="451">
        <f>SUM(IT25:IT29)</f>
        <v>3376783.9344000006</v>
      </c>
      <c r="IU44" s="432">
        <f>SUM(IU25:IU29)</f>
        <v>0</v>
      </c>
      <c r="IV44" s="432">
        <f>SUM(IV25:IV29)</f>
        <v>0</v>
      </c>
      <c r="IW44" s="454" t="e">
        <f>IV44/IU44</f>
        <v>#DIV/0!</v>
      </c>
      <c r="IX44" s="476">
        <f>SUM(IX25:IX29)</f>
        <v>672630.85</v>
      </c>
      <c r="IY44" s="477">
        <f>SUM(IY25:IY29)</f>
        <v>719957.70900000003</v>
      </c>
      <c r="IZ44" s="433">
        <f>IY44/IX44</f>
        <v>1.0703608212439262</v>
      </c>
      <c r="JA44" s="432">
        <f>SUM(JA25:JA29)</f>
        <v>0</v>
      </c>
      <c r="JB44" s="448">
        <f>JA44/IX44</f>
        <v>0</v>
      </c>
      <c r="JC44" s="476">
        <f>SUM(JC25:JC29)</f>
        <v>949144.7</v>
      </c>
      <c r="JD44" s="477">
        <f>SUM(JD25:JD29)</f>
        <v>971977.8406</v>
      </c>
      <c r="JE44" s="433">
        <f>JD44/JC44</f>
        <v>1.0240565433279036</v>
      </c>
      <c r="JF44" s="432">
        <f>SUM(JF25:JF29)</f>
        <v>0</v>
      </c>
      <c r="JG44" s="448">
        <f>JF44/JC44</f>
        <v>0</v>
      </c>
      <c r="JH44" s="476">
        <f>SUM(JH25:JH29)</f>
        <v>1061850.73</v>
      </c>
      <c r="JI44" s="477">
        <f>SUM(JI25:JI29)</f>
        <v>1139181.9983999999</v>
      </c>
      <c r="JJ44" s="433">
        <f>JI44/JH44</f>
        <v>1.0728268731331003</v>
      </c>
      <c r="JK44" s="432">
        <f>SUM(JK25:JK29)</f>
        <v>0</v>
      </c>
      <c r="JL44" s="448">
        <f>JK44/JH44</f>
        <v>0</v>
      </c>
      <c r="JM44" s="476">
        <f>SUM(JM25:JM29)</f>
        <v>1031676.74</v>
      </c>
      <c r="JN44" s="477">
        <f>SUM(JN25:JN29)</f>
        <v>1084636.1694999998</v>
      </c>
      <c r="JO44" s="433">
        <f>JN44/JM44</f>
        <v>1.05133335612471</v>
      </c>
      <c r="JP44" s="432">
        <f>SUM(JP25:JP29)</f>
        <v>0</v>
      </c>
      <c r="JQ44" s="448">
        <f>JP44/JM44</f>
        <v>0</v>
      </c>
      <c r="JR44" s="451">
        <f>SUM(JR25:JR29)</f>
        <v>3915753.7175000003</v>
      </c>
      <c r="JS44" s="432">
        <f>SUM(JS25:JS29)</f>
        <v>0</v>
      </c>
      <c r="JT44" s="432">
        <f>SUM(JT25:JT29)</f>
        <v>0</v>
      </c>
      <c r="JU44" s="454" t="e">
        <f>JT44/JS44</f>
        <v>#DIV/0!</v>
      </c>
      <c r="JV44" s="476">
        <f>SUM(JV25:JV29)</f>
        <v>1384330.75</v>
      </c>
      <c r="JW44" s="477">
        <f>SUM(JW25:JW29)</f>
        <v>1471595.6244000001</v>
      </c>
      <c r="JX44" s="433">
        <f>JW44/JV44</f>
        <v>1.0630375901134899</v>
      </c>
      <c r="JY44" s="432">
        <f>SUM(JY25:JY29)</f>
        <v>0</v>
      </c>
      <c r="JZ44" s="448">
        <f>JY44/JV44</f>
        <v>0</v>
      </c>
      <c r="KA44" s="476">
        <f>SUM(KA25:KA29)</f>
        <v>1740759.95</v>
      </c>
      <c r="KB44" s="477">
        <f>SUM(KB25:KB29)</f>
        <v>1838276.3067000001</v>
      </c>
      <c r="KC44" s="433">
        <f>KB44/KA44</f>
        <v>1.0560194165197792</v>
      </c>
      <c r="KD44" s="432">
        <f>SUM(KD25:KD29)</f>
        <v>0</v>
      </c>
      <c r="KE44" s="448">
        <f>KD44/KA44</f>
        <v>0</v>
      </c>
      <c r="KF44" s="476">
        <f>SUM(KF25:KF29)</f>
        <v>2159396.9</v>
      </c>
      <c r="KG44" s="477">
        <f>SUM(KG25:KG29)</f>
        <v>2251118.9782000002</v>
      </c>
      <c r="KH44" s="433">
        <f>KG44/KF44</f>
        <v>1.0424757848823438</v>
      </c>
      <c r="KI44" s="432">
        <f>SUM(KI25:KI29)</f>
        <v>0</v>
      </c>
      <c r="KJ44" s="448">
        <f>KI44/KF44</f>
        <v>0</v>
      </c>
      <c r="KK44" s="476">
        <f>SUM(KK25:KK29)</f>
        <v>2066384.8199999998</v>
      </c>
      <c r="KL44" s="477">
        <f>SUM(KL25:KL29)</f>
        <v>2132664.9300000002</v>
      </c>
      <c r="KM44" s="433">
        <f>KL44/KK44</f>
        <v>1.0320753953273816</v>
      </c>
      <c r="KN44" s="432">
        <f>SUM(KN25:KN29)</f>
        <v>0</v>
      </c>
      <c r="KO44" s="448">
        <f>KN44/KK44</f>
        <v>0</v>
      </c>
      <c r="KP44" s="476">
        <f>SUM(KP25:KP29)</f>
        <v>943585.64999999991</v>
      </c>
      <c r="KQ44" s="477">
        <f>SUM(KQ25:KQ29)</f>
        <v>987976.82649999997</v>
      </c>
      <c r="KR44" s="433">
        <f>KQ44/KP44</f>
        <v>1.0470452009311504</v>
      </c>
      <c r="KS44" s="432">
        <f>SUM(KS25:KS29)</f>
        <v>0</v>
      </c>
      <c r="KT44" s="448">
        <f>KS44/KP44</f>
        <v>0</v>
      </c>
      <c r="KU44" s="451">
        <f>SUM(KU25:KU29)</f>
        <v>8681632.6657999996</v>
      </c>
      <c r="KV44" s="432">
        <f>SUM(KV25:KV29)</f>
        <v>0</v>
      </c>
      <c r="KW44" s="432">
        <f>SUM(KW25:KW29)</f>
        <v>0</v>
      </c>
      <c r="KX44" s="454" t="e">
        <f>KW44/KV44</f>
        <v>#DIV/0!</v>
      </c>
      <c r="KY44" s="451">
        <f>SUM(KY25:KY29)</f>
        <v>0</v>
      </c>
      <c r="KZ44" s="451">
        <f>SUM(KZ25:KZ29)</f>
        <v>0</v>
      </c>
      <c r="LA44" s="492">
        <f>KZ44-KY44</f>
        <v>0</v>
      </c>
      <c r="LB44" s="493" t="e">
        <f>KZ44/KY44</f>
        <v>#DIV/0!</v>
      </c>
    </row>
    <row r="45" spans="1:314">
      <c r="A45" s="1495"/>
      <c r="B45" s="434" t="s">
        <v>43</v>
      </c>
      <c r="C45" s="435"/>
      <c r="D45" s="435"/>
      <c r="E45" s="424"/>
      <c r="F45" s="435"/>
      <c r="G45" s="424"/>
      <c r="H45" s="435"/>
      <c r="I45" s="435"/>
      <c r="J45" s="424"/>
      <c r="K45" s="435"/>
      <c r="L45" s="424"/>
      <c r="M45" s="435"/>
      <c r="N45" s="435"/>
      <c r="O45" s="424"/>
      <c r="P45" s="435"/>
      <c r="Q45" s="424"/>
      <c r="R45" s="435"/>
      <c r="S45" s="435"/>
      <c r="T45" s="424"/>
      <c r="U45" s="435"/>
      <c r="V45" s="424"/>
      <c r="W45" s="1416">
        <f>SUM(W30:W34)</f>
        <v>597218.4776000001</v>
      </c>
      <c r="X45" s="424"/>
      <c r="Y45" s="424"/>
      <c r="Z45" s="424"/>
      <c r="AA45" s="435"/>
      <c r="AB45" s="435"/>
      <c r="AC45" s="424"/>
      <c r="AD45" s="435"/>
      <c r="AE45" s="424"/>
      <c r="AF45" s="435"/>
      <c r="AG45" s="435"/>
      <c r="AH45" s="424"/>
      <c r="AI45" s="435"/>
      <c r="AJ45" s="424"/>
      <c r="AK45" s="435"/>
      <c r="AL45" s="435"/>
      <c r="AM45" s="424"/>
      <c r="AN45" s="435"/>
      <c r="AO45" s="424"/>
      <c r="AP45" s="435"/>
      <c r="AQ45" s="435"/>
      <c r="AR45" s="424"/>
      <c r="AS45" s="435"/>
      <c r="AT45" s="424"/>
      <c r="AU45" s="1416">
        <f>SUM(AU30:AU34)</f>
        <v>585676.77619999996</v>
      </c>
      <c r="AV45" s="424"/>
      <c r="AW45" s="424"/>
      <c r="AX45" s="424"/>
      <c r="AY45" s="435"/>
      <c r="AZ45" s="435"/>
      <c r="BA45" s="424"/>
      <c r="BB45" s="435"/>
      <c r="BC45" s="424"/>
      <c r="BD45" s="435"/>
      <c r="BE45" s="435"/>
      <c r="BF45" s="424"/>
      <c r="BG45" s="435"/>
      <c r="BH45" s="424"/>
      <c r="BI45" s="435"/>
      <c r="BJ45" s="435"/>
      <c r="BK45" s="424"/>
      <c r="BL45" s="435"/>
      <c r="BM45" s="449"/>
      <c r="BN45" s="452">
        <f>SUM(BN30:BN34)</f>
        <v>110148.54</v>
      </c>
      <c r="BO45" s="435">
        <f>SUM(BO30:BO34)</f>
        <v>191658.4596</v>
      </c>
      <c r="BP45" s="424">
        <f>BO45/BN45</f>
        <v>1.7400000000000002</v>
      </c>
      <c r="BQ45" s="435">
        <f>SUM(BQ30:BQ34)</f>
        <v>0</v>
      </c>
      <c r="BR45" s="426">
        <f>BQ45/BN45</f>
        <v>0</v>
      </c>
      <c r="BS45" s="452">
        <f>SUM(BS30:BS34)</f>
        <v>123502.57</v>
      </c>
      <c r="BT45" s="435">
        <f>SUM(BT30:BT34)</f>
        <v>219834.57460000005</v>
      </c>
      <c r="BU45" s="424">
        <f>BT45/BS45</f>
        <v>1.7800000000000002</v>
      </c>
      <c r="BV45" s="435">
        <f>SUM(BV30:BV34)</f>
        <v>0</v>
      </c>
      <c r="BW45" s="426">
        <f>BV45/BS45</f>
        <v>0</v>
      </c>
      <c r="BX45" s="1420">
        <f>SUM(BX30:BX34)</f>
        <v>903284.09499999997</v>
      </c>
      <c r="BY45" s="435">
        <f>SUM(BY30:BY34)</f>
        <v>0</v>
      </c>
      <c r="BZ45" s="435">
        <f>SUM(BZ30:BZ34)</f>
        <v>0</v>
      </c>
      <c r="CA45" s="426" t="e">
        <f>BZ45/BY45</f>
        <v>#DIV/0!</v>
      </c>
      <c r="CB45" s="452">
        <f>SUM(CB30:CB34)</f>
        <v>111466.61</v>
      </c>
      <c r="CC45" s="435">
        <f>SUM(CC30:CC34)</f>
        <v>198410.56579999998</v>
      </c>
      <c r="CD45" s="424">
        <f>CC45/CB45</f>
        <v>1.7799999999999998</v>
      </c>
      <c r="CE45" s="435">
        <f>SUM(CE30:CE34)</f>
        <v>0</v>
      </c>
      <c r="CF45" s="426">
        <f>CE45/CB45</f>
        <v>0</v>
      </c>
      <c r="CG45" s="452">
        <f>SUM(CG30:CG34)</f>
        <v>105188.35</v>
      </c>
      <c r="CH45" s="435">
        <f>SUM(CH30:CH34)</f>
        <v>189339.03000000003</v>
      </c>
      <c r="CI45" s="424">
        <f>CH45/CG45</f>
        <v>1.8000000000000003</v>
      </c>
      <c r="CJ45" s="435">
        <f>SUM(CJ30:CJ34)</f>
        <v>0</v>
      </c>
      <c r="CK45" s="426">
        <f>CJ45/CG45</f>
        <v>0</v>
      </c>
      <c r="CL45" s="452">
        <f>SUM(CL30:CL34)</f>
        <v>91010.68</v>
      </c>
      <c r="CM45" s="435">
        <f>SUM(CM30:CM34)</f>
        <v>163819.22399999999</v>
      </c>
      <c r="CN45" s="424">
        <f>CM45/CL45</f>
        <v>1.8</v>
      </c>
      <c r="CO45" s="435">
        <f>SUM(CO30:CO34)</f>
        <v>0</v>
      </c>
      <c r="CP45" s="426">
        <f>CO45/CL45</f>
        <v>0</v>
      </c>
      <c r="CQ45" s="452">
        <f>SUM(CQ30:CQ34)</f>
        <v>153283.07</v>
      </c>
      <c r="CR45" s="435">
        <f>SUM(CR30:CR34)</f>
        <v>168987.12740000003</v>
      </c>
      <c r="CS45" s="424">
        <f>CR45/CQ45</f>
        <v>1.1024513496500299</v>
      </c>
      <c r="CT45" s="435">
        <f>SUM(CT30:CT34)</f>
        <v>0</v>
      </c>
      <c r="CU45" s="449">
        <f>CT45/CQ45</f>
        <v>0</v>
      </c>
      <c r="CV45" s="452">
        <f>SUM(CV30:CV34)</f>
        <v>720555.94720000005</v>
      </c>
      <c r="CW45" s="435">
        <f>SUM(CW30:CW34)</f>
        <v>0</v>
      </c>
      <c r="CX45" s="435">
        <f>SUM(CX30:CX34)</f>
        <v>0</v>
      </c>
      <c r="CY45" s="489" t="e">
        <f>CX45/CW45</f>
        <v>#DIV/0!</v>
      </c>
      <c r="CZ45" s="478">
        <f>SUM(CZ30:CZ34)</f>
        <v>135714.71</v>
      </c>
      <c r="DA45" s="479">
        <f>SUM(DA30:DA34)</f>
        <v>195429.18239999999</v>
      </c>
      <c r="DB45" s="424">
        <f>DA45/CZ45</f>
        <v>1.44</v>
      </c>
      <c r="DC45" s="435">
        <f>SUM(DC30:DC34)</f>
        <v>0</v>
      </c>
      <c r="DD45" s="449">
        <f>DC45/CZ45</f>
        <v>0</v>
      </c>
      <c r="DE45" s="478">
        <f>SUM(DE30:DE34)</f>
        <v>97260.9</v>
      </c>
      <c r="DF45" s="479">
        <f>SUM(DF30:DF34)</f>
        <v>140055.696</v>
      </c>
      <c r="DG45" s="424">
        <f>DF45/DE45</f>
        <v>1.44</v>
      </c>
      <c r="DH45" s="435">
        <f>SUM(DH30:DH34)</f>
        <v>0</v>
      </c>
      <c r="DI45" s="449">
        <f>DH45/DE45</f>
        <v>0</v>
      </c>
      <c r="DJ45" s="478">
        <f>SUM(DJ30:DJ34)</f>
        <v>88795.07</v>
      </c>
      <c r="DK45" s="479">
        <f>SUM(DK30:DK34)</f>
        <v>127864.9008</v>
      </c>
      <c r="DL45" s="424">
        <f>DK45/DJ45</f>
        <v>1.44</v>
      </c>
      <c r="DM45" s="435">
        <f>SUM(DM30:DM34)</f>
        <v>0</v>
      </c>
      <c r="DN45" s="449">
        <f>DM45/DJ45</f>
        <v>0</v>
      </c>
      <c r="DO45" s="478">
        <f>SUM(DO30:DO34)</f>
        <v>88916.03</v>
      </c>
      <c r="DP45" s="479">
        <f>SUM(DP30:DP34)</f>
        <v>128039.08319999999</v>
      </c>
      <c r="DQ45" s="424">
        <f>DP45/DO45</f>
        <v>1.44</v>
      </c>
      <c r="DR45" s="435">
        <f>SUM(DR30:DR34)</f>
        <v>0</v>
      </c>
      <c r="DS45" s="449">
        <f>DR45/DO45</f>
        <v>0</v>
      </c>
      <c r="DT45" s="452">
        <f>SUM(DT30:DT34)</f>
        <v>591388.86239999998</v>
      </c>
      <c r="DU45" s="435">
        <f>SUM(DU30:DU34)</f>
        <v>0</v>
      </c>
      <c r="DV45" s="435">
        <f>SUM(DV30:DV34)</f>
        <v>0</v>
      </c>
      <c r="DW45" s="419" t="e">
        <f>DV45/DU45</f>
        <v>#DIV/0!</v>
      </c>
      <c r="DX45" s="478">
        <f>SUM(DX30:DX34)</f>
        <v>104288.78</v>
      </c>
      <c r="DY45" s="479">
        <f>SUM(DY30:DY34)</f>
        <v>150175.8432</v>
      </c>
      <c r="DZ45" s="424">
        <f>DY45/DX45</f>
        <v>1.44</v>
      </c>
      <c r="EA45" s="435">
        <f>SUM(EA30:EA34)</f>
        <v>0</v>
      </c>
      <c r="EB45" s="449">
        <f>EA45/DX45</f>
        <v>0</v>
      </c>
      <c r="EC45" s="478">
        <f>SUM(EC30:EC34)</f>
        <v>126119.55</v>
      </c>
      <c r="ED45" s="479">
        <f>SUM(ED30:ED34)</f>
        <v>177576.32639999999</v>
      </c>
      <c r="EE45" s="424">
        <f>ED45/EC45</f>
        <v>1.4079999999999999</v>
      </c>
      <c r="EF45" s="435">
        <f>SUM(EF30:EF34)</f>
        <v>0</v>
      </c>
      <c r="EG45" s="449">
        <f>EF45/EC45</f>
        <v>0</v>
      </c>
      <c r="EH45" s="478">
        <f>SUM(EH30:EH34)</f>
        <v>119662.67</v>
      </c>
      <c r="EI45" s="479">
        <f>SUM(EI30:EI34)</f>
        <v>170399.64207999999</v>
      </c>
      <c r="EJ45" s="424">
        <f>EI45/EH45</f>
        <v>1.4239999999999999</v>
      </c>
      <c r="EK45" s="435">
        <f>SUM(EK30:EK34)</f>
        <v>0</v>
      </c>
      <c r="EL45" s="449">
        <f>EK45/EH45</f>
        <v>0</v>
      </c>
      <c r="EM45" s="478">
        <f>SUM(EM30:EM34)</f>
        <v>121351.86</v>
      </c>
      <c r="EN45" s="479">
        <f>SUM(EN30:EN34)</f>
        <v>180571.56767999998</v>
      </c>
      <c r="EO45" s="424">
        <f>EN45/EM45</f>
        <v>1.4879999999999998</v>
      </c>
      <c r="EP45" s="435">
        <f>SUM(EP30:EP34)</f>
        <v>0</v>
      </c>
      <c r="EQ45" s="449">
        <f>EP45/EM45</f>
        <v>0</v>
      </c>
      <c r="ER45" s="478">
        <f>SUM(ER30:ER34)</f>
        <v>121123.05</v>
      </c>
      <c r="ES45" s="479">
        <f>SUM(ES30:ES34)</f>
        <v>180231.09840000002</v>
      </c>
      <c r="ET45" s="424">
        <f>ES45/ER45</f>
        <v>1.4880000000000002</v>
      </c>
      <c r="EU45" s="435">
        <f>SUM(EU30:EU34)</f>
        <v>0</v>
      </c>
      <c r="EV45" s="449">
        <f>EU45/ER45</f>
        <v>0</v>
      </c>
      <c r="EW45" s="452">
        <f>SUM(EW30:EW34)</f>
        <v>858954.47775999992</v>
      </c>
      <c r="EX45" s="435">
        <f>SUM(EX30:EX34)</f>
        <v>0</v>
      </c>
      <c r="EY45" s="435">
        <f>SUM(EY30:EY34)</f>
        <v>0</v>
      </c>
      <c r="EZ45" s="455" t="e">
        <f>EY45/EX45</f>
        <v>#DIV/0!</v>
      </c>
      <c r="FA45" s="478">
        <f>SUM(FA30:FA34)</f>
        <v>116043.12</v>
      </c>
      <c r="FB45" s="479">
        <f>SUM(FB30:FB34)</f>
        <v>163388.71295999998</v>
      </c>
      <c r="FC45" s="424">
        <f>FB45/FA45</f>
        <v>1.4079999999999999</v>
      </c>
      <c r="FD45" s="435">
        <f>SUM(FD30:FD34)</f>
        <v>0</v>
      </c>
      <c r="FE45" s="449">
        <f>FD45/FA45</f>
        <v>0</v>
      </c>
      <c r="FF45" s="478">
        <f>SUM(FF30:FF34)</f>
        <v>119034.43</v>
      </c>
      <c r="FG45" s="479">
        <f>SUM(FG30:FG34)</f>
        <v>167600.47743999999</v>
      </c>
      <c r="FH45" s="424">
        <f>FG45/FF45</f>
        <v>1.4079999999999999</v>
      </c>
      <c r="FI45" s="435">
        <f>SUM(FI30:FI34)</f>
        <v>0</v>
      </c>
      <c r="FJ45" s="449">
        <f>FI45/FF45</f>
        <v>0</v>
      </c>
      <c r="FK45" s="478">
        <f>SUM(FK30:FK34)</f>
        <v>96602</v>
      </c>
      <c r="FL45" s="479">
        <f>SUM(FL30:FL34)</f>
        <v>139106.88</v>
      </c>
      <c r="FM45" s="424">
        <f>FL45/FK45</f>
        <v>1.44</v>
      </c>
      <c r="FN45" s="435">
        <f>SUM(FN30:FN34)</f>
        <v>0</v>
      </c>
      <c r="FO45" s="449">
        <f>FN45/FK45</f>
        <v>0</v>
      </c>
      <c r="FP45" s="478">
        <f>SUM(FP30:FP34)</f>
        <v>102403.46</v>
      </c>
      <c r="FQ45" s="479">
        <f>SUM(FQ30:FQ34)</f>
        <v>152376.34848000002</v>
      </c>
      <c r="FR45" s="424">
        <f>FQ45/FP45</f>
        <v>1.488</v>
      </c>
      <c r="FS45" s="435">
        <f>SUM(FS30:FS34)</f>
        <v>0</v>
      </c>
      <c r="FT45" s="449">
        <f>FS45/FP45</f>
        <v>0</v>
      </c>
      <c r="FU45" s="452">
        <f>SUM(FU30:FU34)</f>
        <v>622472.41888000001</v>
      </c>
      <c r="FV45" s="435">
        <f>SUM(FV30:FV34)</f>
        <v>0</v>
      </c>
      <c r="FW45" s="435">
        <f>SUM(FW30:FW34)</f>
        <v>0</v>
      </c>
      <c r="FX45" s="455" t="e">
        <f>FW45/FV45</f>
        <v>#DIV/0!</v>
      </c>
      <c r="FY45" s="478">
        <f>SUM(FY30:FY34)</f>
        <v>90934.15</v>
      </c>
      <c r="FZ45" s="479">
        <f>SUM(FZ30:FZ34)</f>
        <v>86387.44249999999</v>
      </c>
      <c r="GA45" s="424">
        <f>FZ45/FY45</f>
        <v>0.95</v>
      </c>
      <c r="GB45" s="435">
        <f>SUM(GB30:GB34)</f>
        <v>0</v>
      </c>
      <c r="GC45" s="449">
        <f>GB45/FY45</f>
        <v>0</v>
      </c>
      <c r="GD45" s="478">
        <f>SUM(GD30:GD34)</f>
        <v>109651.18</v>
      </c>
      <c r="GE45" s="479">
        <f>SUM(GE30:GE34)</f>
        <v>98686.061999999991</v>
      </c>
      <c r="GF45" s="424">
        <f>GE45/GD45</f>
        <v>0.9</v>
      </c>
      <c r="GG45" s="435">
        <f>SUM(GG30:GG34)</f>
        <v>0</v>
      </c>
      <c r="GH45" s="449">
        <f>GG45/GD45</f>
        <v>0</v>
      </c>
      <c r="GI45" s="478">
        <f>SUM(GI30:GI34)</f>
        <v>98274.36</v>
      </c>
      <c r="GJ45" s="479">
        <f>SUM(GJ30:GJ34)</f>
        <v>96308.872799999997</v>
      </c>
      <c r="GK45" s="424">
        <f>GJ45/GI45</f>
        <v>0.98</v>
      </c>
      <c r="GL45" s="435">
        <f>SUM(GL30:GL34)</f>
        <v>0</v>
      </c>
      <c r="GM45" s="449">
        <f>GL45/GI45</f>
        <v>0</v>
      </c>
      <c r="GN45" s="478">
        <f>SUM(GN30:GN34)</f>
        <v>86956.58</v>
      </c>
      <c r="GO45" s="479">
        <f>SUM(GO30:GO34)</f>
        <v>85217.448399999994</v>
      </c>
      <c r="GP45" s="424">
        <f>GO45/GN45</f>
        <v>0.97999999999999987</v>
      </c>
      <c r="GQ45" s="435">
        <f>SUM(GQ30:GQ34)</f>
        <v>0</v>
      </c>
      <c r="GR45" s="449">
        <f>GQ45/GN45</f>
        <v>0</v>
      </c>
      <c r="GS45" s="452">
        <f>SUM(GS30:GS34)</f>
        <v>366599.82569999999</v>
      </c>
      <c r="GT45" s="435">
        <f>SUM(GT30:GT34)</f>
        <v>0</v>
      </c>
      <c r="GU45" s="435">
        <f>SUM(GU30:GU34)</f>
        <v>0</v>
      </c>
      <c r="GV45" s="455" t="e">
        <f>GU45/GT45</f>
        <v>#DIV/0!</v>
      </c>
      <c r="GW45" s="478">
        <f>SUM(GW30:GW34)</f>
        <v>97061</v>
      </c>
      <c r="GX45" s="479">
        <f>SUM(GX30:GX34)</f>
        <v>97061</v>
      </c>
      <c r="GY45" s="424">
        <f>GX45/GW45</f>
        <v>1</v>
      </c>
      <c r="GZ45" s="435">
        <f>SUM(GZ30:GZ34)</f>
        <v>0</v>
      </c>
      <c r="HA45" s="449">
        <f>GZ45/GW45</f>
        <v>0</v>
      </c>
      <c r="HB45" s="478">
        <f>SUM(HB30:HB34)</f>
        <v>101741.33</v>
      </c>
      <c r="HC45" s="479">
        <f>SUM(HC30:HC34)</f>
        <v>101741.33</v>
      </c>
      <c r="HD45" s="424">
        <f>HC45/HB45</f>
        <v>1</v>
      </c>
      <c r="HE45" s="435">
        <f>SUM(HE30:HE34)</f>
        <v>0</v>
      </c>
      <c r="HF45" s="449">
        <f>HE45/HB45</f>
        <v>0</v>
      </c>
      <c r="HG45" s="478">
        <f>SUM(HG30:HG34)</f>
        <v>98872.13</v>
      </c>
      <c r="HH45" s="479">
        <f>SUM(HH30:HH34)</f>
        <v>96894.68740000001</v>
      </c>
      <c r="HI45" s="424">
        <f>HH45/HG45</f>
        <v>0.98000000000000009</v>
      </c>
      <c r="HJ45" s="435">
        <f>SUM(HJ30:HJ34)</f>
        <v>0</v>
      </c>
      <c r="HK45" s="449">
        <f>HJ45/HG45</f>
        <v>0</v>
      </c>
      <c r="HL45" s="478">
        <f>SUM(HL30:HL34)</f>
        <v>82390.460000000006</v>
      </c>
      <c r="HM45" s="479">
        <f>SUM(HM30:HM34)</f>
        <v>80742.650800000003</v>
      </c>
      <c r="HN45" s="424">
        <f>HM45/HL45</f>
        <v>0.98</v>
      </c>
      <c r="HO45" s="435">
        <f>SUM(HO30:HO34)</f>
        <v>0</v>
      </c>
      <c r="HP45" s="449">
        <f>HO45/HL45</f>
        <v>0</v>
      </c>
      <c r="HQ45" s="478">
        <f>SUM(HQ30:HQ34)</f>
        <v>93190.48</v>
      </c>
      <c r="HR45" s="479">
        <f>SUM(HR30:HR34)</f>
        <v>91326.670399999988</v>
      </c>
      <c r="HS45" s="424">
        <f>HR45/HQ45</f>
        <v>0.97999999999999987</v>
      </c>
      <c r="HT45" s="435">
        <f>SUM(HT30:HT34)</f>
        <v>0</v>
      </c>
      <c r="HU45" s="449">
        <f>HT45/HQ45</f>
        <v>0</v>
      </c>
      <c r="HV45" s="452">
        <f>SUM(HV30:HV34)</f>
        <v>467766.33860000002</v>
      </c>
      <c r="HW45" s="435">
        <f>SUM(HW30:HW34)</f>
        <v>0</v>
      </c>
      <c r="HX45" s="435">
        <f>SUM(HX30:HX34)</f>
        <v>0</v>
      </c>
      <c r="HY45" s="455" t="e">
        <f>HX45/HW45</f>
        <v>#DIV/0!</v>
      </c>
      <c r="HZ45" s="478">
        <f>SUM(HZ30:HZ34)</f>
        <v>80124.89</v>
      </c>
      <c r="IA45" s="479">
        <f>SUM(IA30:IA34)</f>
        <v>78522.392200000002</v>
      </c>
      <c r="IB45" s="424">
        <f>IA45/HZ45</f>
        <v>0.98</v>
      </c>
      <c r="IC45" s="435">
        <f>SUM(IC30:IC34)</f>
        <v>0</v>
      </c>
      <c r="ID45" s="449">
        <f>IC45/HZ45</f>
        <v>0</v>
      </c>
      <c r="IE45" s="478">
        <f>SUM(IE30:IE34)</f>
        <v>93965.36</v>
      </c>
      <c r="IF45" s="479">
        <f>SUM(IF30:IF34)</f>
        <v>90206.745599999995</v>
      </c>
      <c r="IG45" s="424">
        <f>IF45/IE45</f>
        <v>0.96</v>
      </c>
      <c r="IH45" s="435">
        <f>SUM(IH30:IH34)</f>
        <v>0</v>
      </c>
      <c r="II45" s="449">
        <f>IH45/IE45</f>
        <v>0</v>
      </c>
      <c r="IJ45" s="478">
        <f>SUM(IJ30:IJ34)</f>
        <v>87512.37</v>
      </c>
      <c r="IK45" s="479">
        <f>SUM(IK30:IK34)</f>
        <v>86637.246299999999</v>
      </c>
      <c r="IL45" s="424">
        <f>IK45/IJ45</f>
        <v>0.99</v>
      </c>
      <c r="IM45" s="435">
        <f>SUM(IM30:IM34)</f>
        <v>0</v>
      </c>
      <c r="IN45" s="449">
        <f>IM45/IJ45</f>
        <v>0</v>
      </c>
      <c r="IO45" s="478">
        <f>SUM(IO30:IO34)</f>
        <v>87455.95</v>
      </c>
      <c r="IP45" s="479">
        <f>SUM(IP30:IP34)</f>
        <v>84832.271499999988</v>
      </c>
      <c r="IQ45" s="424">
        <f>IP45/IO45</f>
        <v>0.96999999999999986</v>
      </c>
      <c r="IR45" s="435">
        <f>SUM(IR30:IR34)</f>
        <v>0</v>
      </c>
      <c r="IS45" s="449">
        <f>IR45/IO45</f>
        <v>0</v>
      </c>
      <c r="IT45" s="452">
        <f>SUM(IT30:IT34)</f>
        <v>340198.65559999994</v>
      </c>
      <c r="IU45" s="435">
        <f>SUM(IU30:IU34)</f>
        <v>0</v>
      </c>
      <c r="IV45" s="435">
        <f>SUM(IV30:IV34)</f>
        <v>0</v>
      </c>
      <c r="IW45" s="455" t="e">
        <f>IV45/IU45</f>
        <v>#DIV/0!</v>
      </c>
      <c r="IX45" s="478">
        <f>SUM(IX30:IX34)</f>
        <v>76793.69</v>
      </c>
      <c r="IY45" s="479">
        <f>SUM(IY30:IY34)</f>
        <v>74489.879300000001</v>
      </c>
      <c r="IZ45" s="424">
        <f>IY45/IX45</f>
        <v>0.97</v>
      </c>
      <c r="JA45" s="435">
        <f>SUM(JA30:JA34)</f>
        <v>0</v>
      </c>
      <c r="JB45" s="449">
        <f>JA45/IX45</f>
        <v>0</v>
      </c>
      <c r="JC45" s="478">
        <f>SUM(JC30:JC34)</f>
        <v>100681.88</v>
      </c>
      <c r="JD45" s="479">
        <f>SUM(JD30:JD34)</f>
        <v>94640.967199999999</v>
      </c>
      <c r="JE45" s="424">
        <f>JD45/JC45</f>
        <v>0.94</v>
      </c>
      <c r="JF45" s="435">
        <f>SUM(JF30:JF34)</f>
        <v>0</v>
      </c>
      <c r="JG45" s="449">
        <f>JF45/JC45</f>
        <v>0</v>
      </c>
      <c r="JH45" s="478">
        <f>SUM(JH30:JH34)</f>
        <v>105664.99</v>
      </c>
      <c r="JI45" s="479">
        <f>SUM(JI30:JI34)</f>
        <v>101438.3904</v>
      </c>
      <c r="JJ45" s="424">
        <f>JI45/JH45</f>
        <v>0.96</v>
      </c>
      <c r="JK45" s="435">
        <f>SUM(JK30:JK34)</f>
        <v>0</v>
      </c>
      <c r="JL45" s="449">
        <f>JK45/JH45</f>
        <v>0</v>
      </c>
      <c r="JM45" s="478">
        <f>SUM(JM30:JM34)</f>
        <v>118699.84</v>
      </c>
      <c r="JN45" s="479">
        <f>SUM(JN30:JN34)</f>
        <v>112764.848</v>
      </c>
      <c r="JO45" s="424">
        <f>JN45/JM45</f>
        <v>0.95000000000000007</v>
      </c>
      <c r="JP45" s="435">
        <f>SUM(JP30:JP34)</f>
        <v>0</v>
      </c>
      <c r="JQ45" s="449">
        <f>JP45/JM45</f>
        <v>0</v>
      </c>
      <c r="JR45" s="452">
        <f>SUM(JR30:JR34)</f>
        <v>383334.08490000002</v>
      </c>
      <c r="JS45" s="435">
        <f>SUM(JS30:JS34)</f>
        <v>0</v>
      </c>
      <c r="JT45" s="435">
        <f>SUM(JT30:JT34)</f>
        <v>0</v>
      </c>
      <c r="JU45" s="455" t="e">
        <f>JT45/JS45</f>
        <v>#DIV/0!</v>
      </c>
      <c r="JV45" s="478">
        <f>SUM(JV30:JV34)</f>
        <v>128464.32000000001</v>
      </c>
      <c r="JW45" s="479">
        <f>SUM(JW30:JW34)</f>
        <v>120756.4608</v>
      </c>
      <c r="JX45" s="424">
        <f>JW45/JV45</f>
        <v>0.94</v>
      </c>
      <c r="JY45" s="435">
        <f>SUM(JY30:JY34)</f>
        <v>0</v>
      </c>
      <c r="JZ45" s="449">
        <f>JY45/JV45</f>
        <v>0</v>
      </c>
      <c r="KA45" s="478">
        <f>SUM(KA30:KA34)</f>
        <v>159984</v>
      </c>
      <c r="KB45" s="479">
        <f>SUM(KB30:KB34)</f>
        <v>148785.12</v>
      </c>
      <c r="KC45" s="424">
        <f>KB45/KA45</f>
        <v>0.92999999999999994</v>
      </c>
      <c r="KD45" s="435">
        <f>SUM(KD30:KD34)</f>
        <v>0</v>
      </c>
      <c r="KE45" s="449">
        <f>KD45/KA45</f>
        <v>0</v>
      </c>
      <c r="KF45" s="478">
        <f>SUM(KF30:KF34)</f>
        <v>235357.98</v>
      </c>
      <c r="KG45" s="479">
        <f>SUM(KG30:KG34)</f>
        <v>218882.92140000002</v>
      </c>
      <c r="KH45" s="424">
        <f>KG45/KF45</f>
        <v>0.93</v>
      </c>
      <c r="KI45" s="435">
        <f>SUM(KI30:KI34)</f>
        <v>0</v>
      </c>
      <c r="KJ45" s="449">
        <f>KI45/KF45</f>
        <v>0</v>
      </c>
      <c r="KK45" s="478">
        <f>SUM(KK30:KK34)</f>
        <v>199060.71</v>
      </c>
      <c r="KL45" s="479">
        <f>SUM(KL30:KL34)</f>
        <v>185126.46030000001</v>
      </c>
      <c r="KM45" s="424">
        <f>KL45/KK45</f>
        <v>0.93</v>
      </c>
      <c r="KN45" s="435">
        <f>SUM(KN30:KN34)</f>
        <v>0</v>
      </c>
      <c r="KO45" s="449">
        <f>KN45/KK45</f>
        <v>0</v>
      </c>
      <c r="KP45" s="478">
        <f>SUM(KP30:KP34)</f>
        <v>97120.23</v>
      </c>
      <c r="KQ45" s="479">
        <f>SUM(KQ30:KQ34)</f>
        <v>92264.218499999988</v>
      </c>
      <c r="KR45" s="424">
        <f>KQ45/KP45</f>
        <v>0.95</v>
      </c>
      <c r="KS45" s="435">
        <f>SUM(KS30:KS34)</f>
        <v>0</v>
      </c>
      <c r="KT45" s="449">
        <f>KS45/KP45</f>
        <v>0</v>
      </c>
      <c r="KU45" s="452">
        <f>SUM(KU30:KU34)</f>
        <v>765815.18099999998</v>
      </c>
      <c r="KV45" s="435">
        <f>SUM(KV30:KV34)</f>
        <v>0</v>
      </c>
      <c r="KW45" s="435">
        <f>SUM(KW30:KW34)</f>
        <v>0</v>
      </c>
      <c r="KX45" s="455" t="e">
        <f>KW45/KV45</f>
        <v>#DIV/0!</v>
      </c>
      <c r="KY45" s="452">
        <f>SUM(KY30:KY34)</f>
        <v>0</v>
      </c>
      <c r="KZ45" s="452">
        <f>SUM(KZ30:KZ34)</f>
        <v>0</v>
      </c>
      <c r="LA45" s="492">
        <f>KZ45-KY45</f>
        <v>0</v>
      </c>
      <c r="LB45" s="493" t="e">
        <f>KZ45/KY45</f>
        <v>#DIV/0!</v>
      </c>
    </row>
    <row r="46" spans="1:314">
      <c r="A46" s="1495"/>
      <c r="B46" s="436" t="s">
        <v>514</v>
      </c>
      <c r="C46" s="437"/>
      <c r="D46" s="437"/>
      <c r="E46" s="438"/>
      <c r="F46" s="437"/>
      <c r="G46" s="438"/>
      <c r="H46" s="437"/>
      <c r="I46" s="437"/>
      <c r="J46" s="438"/>
      <c r="K46" s="437"/>
      <c r="L46" s="438"/>
      <c r="M46" s="437"/>
      <c r="N46" s="437"/>
      <c r="O46" s="438"/>
      <c r="P46" s="437"/>
      <c r="Q46" s="438"/>
      <c r="R46" s="437"/>
      <c r="S46" s="437"/>
      <c r="T46" s="438"/>
      <c r="U46" s="437"/>
      <c r="V46" s="438"/>
      <c r="W46" s="1417">
        <f>W44+W45</f>
        <v>3291869.6254000003</v>
      </c>
      <c r="X46" s="438"/>
      <c r="Y46" s="438"/>
      <c r="Z46" s="438"/>
      <c r="AA46" s="437"/>
      <c r="AB46" s="437"/>
      <c r="AC46" s="438"/>
      <c r="AD46" s="437"/>
      <c r="AE46" s="438"/>
      <c r="AF46" s="437"/>
      <c r="AG46" s="437"/>
      <c r="AH46" s="438"/>
      <c r="AI46" s="437"/>
      <c r="AJ46" s="438"/>
      <c r="AK46" s="437"/>
      <c r="AL46" s="437"/>
      <c r="AM46" s="438"/>
      <c r="AN46" s="437"/>
      <c r="AO46" s="438"/>
      <c r="AP46" s="437"/>
      <c r="AQ46" s="437"/>
      <c r="AR46" s="438"/>
      <c r="AS46" s="437"/>
      <c r="AT46" s="438"/>
      <c r="AU46" s="1417">
        <f>AU44+AU45</f>
        <v>3392652.6047999999</v>
      </c>
      <c r="AV46" s="438"/>
      <c r="AW46" s="438"/>
      <c r="AX46" s="438"/>
      <c r="AY46" s="437"/>
      <c r="AZ46" s="437"/>
      <c r="BA46" s="438"/>
      <c r="BB46" s="437"/>
      <c r="BC46" s="438"/>
      <c r="BD46" s="437"/>
      <c r="BE46" s="437"/>
      <c r="BF46" s="438"/>
      <c r="BG46" s="437"/>
      <c r="BH46" s="438"/>
      <c r="BI46" s="437"/>
      <c r="BJ46" s="437"/>
      <c r="BK46" s="438"/>
      <c r="BL46" s="437"/>
      <c r="BM46" s="450"/>
      <c r="BN46" s="453">
        <f>BN44+BN45</f>
        <v>874857.38000000012</v>
      </c>
      <c r="BO46" s="437">
        <f>BO44+BO45</f>
        <v>930197.81349999993</v>
      </c>
      <c r="BP46" s="438">
        <f>BO46/BN46</f>
        <v>1.0632565201656066</v>
      </c>
      <c r="BQ46" s="437">
        <f>BQ44+BQ45</f>
        <v>0</v>
      </c>
      <c r="BR46" s="427">
        <f>BQ46/BN46</f>
        <v>0</v>
      </c>
      <c r="BS46" s="453">
        <f>BS44+BS45</f>
        <v>941092.17999999993</v>
      </c>
      <c r="BT46" s="437">
        <f>BT44+BT45</f>
        <v>1034373.5021</v>
      </c>
      <c r="BU46" s="438">
        <f>BT46/BS46</f>
        <v>1.0991202818197896</v>
      </c>
      <c r="BV46" s="437">
        <f>BV44+BV45</f>
        <v>0</v>
      </c>
      <c r="BW46" s="427">
        <f>BV46/BS46</f>
        <v>0</v>
      </c>
      <c r="BX46" s="1423">
        <f>BX44+BX45</f>
        <v>4737193.4000999993</v>
      </c>
      <c r="BY46" s="437">
        <f>BY44+BY45</f>
        <v>0</v>
      </c>
      <c r="BZ46" s="437">
        <f>BZ44+BZ45</f>
        <v>0</v>
      </c>
      <c r="CA46" s="427" t="e">
        <f>BZ46/BY46</f>
        <v>#DIV/0!</v>
      </c>
      <c r="CB46" s="453">
        <f>CB44+CB45</f>
        <v>1006952.56</v>
      </c>
      <c r="CC46" s="437">
        <f>CC44+CC45</f>
        <v>1085392.8828</v>
      </c>
      <c r="CD46" s="438">
        <f>CC46/CB46</f>
        <v>1.0778987272250442</v>
      </c>
      <c r="CE46" s="437">
        <f>CE44+CE45</f>
        <v>0</v>
      </c>
      <c r="CF46" s="427">
        <f>CE46/CB46</f>
        <v>0</v>
      </c>
      <c r="CG46" s="453">
        <f>CG44+CG45</f>
        <v>1074793.0899999999</v>
      </c>
      <c r="CH46" s="437">
        <f>CH44+CH45</f>
        <v>1112852.5520000001</v>
      </c>
      <c r="CI46" s="438">
        <f>CH46/CG46</f>
        <v>1.0354109664028452</v>
      </c>
      <c r="CJ46" s="437">
        <f>CJ44+CJ45</f>
        <v>0</v>
      </c>
      <c r="CK46" s="427">
        <f>CJ46/CG46</f>
        <v>0</v>
      </c>
      <c r="CL46" s="453">
        <f>CL44+CL45</f>
        <v>994600.47</v>
      </c>
      <c r="CM46" s="437">
        <f>CM44+CM45</f>
        <v>1055097.9980000001</v>
      </c>
      <c r="CN46" s="438">
        <f>CM46/CL46</f>
        <v>1.0608259595936047</v>
      </c>
      <c r="CO46" s="437">
        <f>CO44+CO45</f>
        <v>0</v>
      </c>
      <c r="CP46" s="427">
        <f>CO46/CL46</f>
        <v>0</v>
      </c>
      <c r="CQ46" s="453">
        <f>CQ44+CQ45</f>
        <v>1049373.8900000001</v>
      </c>
      <c r="CR46" s="437">
        <f>CR44+CR45</f>
        <v>1062809.4530000002</v>
      </c>
      <c r="CS46" s="438">
        <f>CR46/CQ46</f>
        <v>1.0128034088974713</v>
      </c>
      <c r="CT46" s="437">
        <f>CT44+CT45</f>
        <v>0</v>
      </c>
      <c r="CU46" s="450">
        <f>CT46/CQ46</f>
        <v>0</v>
      </c>
      <c r="CV46" s="453">
        <f>CV44+CV45</f>
        <v>4316152.8858000003</v>
      </c>
      <c r="CW46" s="437">
        <f>CW44+CW45</f>
        <v>0</v>
      </c>
      <c r="CX46" s="437">
        <f>CX44+CX45</f>
        <v>0</v>
      </c>
      <c r="CY46" s="489" t="e">
        <f>CX46/CW46</f>
        <v>#DIV/0!</v>
      </c>
      <c r="CZ46" s="480">
        <f>CZ44+CZ45</f>
        <v>1467494.7599999998</v>
      </c>
      <c r="DA46" s="481">
        <f>DA44+DA45</f>
        <v>1527673.0914</v>
      </c>
      <c r="DB46" s="438">
        <f>DA46/CZ46</f>
        <v>1.0410075272773036</v>
      </c>
      <c r="DC46" s="437">
        <f>DC44+DC45</f>
        <v>0</v>
      </c>
      <c r="DD46" s="450">
        <f>DC46/CZ46</f>
        <v>0</v>
      </c>
      <c r="DE46" s="480">
        <f>DE44+DE45</f>
        <v>1001917.7000000001</v>
      </c>
      <c r="DF46" s="481">
        <f>DF44+DF45</f>
        <v>1066457.2815</v>
      </c>
      <c r="DG46" s="438">
        <f>DF46/DE46</f>
        <v>1.0644160508393055</v>
      </c>
      <c r="DH46" s="437">
        <f>DH44+DH45</f>
        <v>0</v>
      </c>
      <c r="DI46" s="450">
        <f>DH46/DE46</f>
        <v>0</v>
      </c>
      <c r="DJ46" s="480">
        <f>DJ44+DJ45</f>
        <v>866093.71</v>
      </c>
      <c r="DK46" s="481">
        <f>DK44+DK45</f>
        <v>893964.48479999998</v>
      </c>
      <c r="DL46" s="438">
        <f>DK46/DJ46</f>
        <v>1.0321798605372623</v>
      </c>
      <c r="DM46" s="437">
        <f>DM44+DM45</f>
        <v>0</v>
      </c>
      <c r="DN46" s="450">
        <f>DM46/DJ46</f>
        <v>0</v>
      </c>
      <c r="DO46" s="480">
        <f>DO44+DO45</f>
        <v>880637.68000000017</v>
      </c>
      <c r="DP46" s="481">
        <f>DP44+DP45</f>
        <v>914637.48670000001</v>
      </c>
      <c r="DQ46" s="438">
        <f>DP46/DO46</f>
        <v>1.0386081670954619</v>
      </c>
      <c r="DR46" s="437">
        <f>DR44+DR45</f>
        <v>0</v>
      </c>
      <c r="DS46" s="450">
        <f>DR46/DO46</f>
        <v>0</v>
      </c>
      <c r="DT46" s="453">
        <f>DT44+DT45</f>
        <v>4402732.3444000008</v>
      </c>
      <c r="DU46" s="437">
        <f>DU44+DU45</f>
        <v>0</v>
      </c>
      <c r="DV46" s="437">
        <f>DV44+DV45</f>
        <v>0</v>
      </c>
      <c r="DW46" s="419" t="e">
        <f>DV46/DU46</f>
        <v>#DIV/0!</v>
      </c>
      <c r="DX46" s="480">
        <f>DX44+DX45</f>
        <v>952510.09000000008</v>
      </c>
      <c r="DY46" s="481">
        <f>DY44+DY45</f>
        <v>976462.00919999997</v>
      </c>
      <c r="DZ46" s="438">
        <f>DY46/DX46</f>
        <v>1.0251461054863995</v>
      </c>
      <c r="EA46" s="437">
        <f>EA44+EA45</f>
        <v>0</v>
      </c>
      <c r="EB46" s="450">
        <f>EA46/DX46</f>
        <v>0</v>
      </c>
      <c r="EC46" s="480">
        <f>EC44+EC45</f>
        <v>1164681.55</v>
      </c>
      <c r="ED46" s="481">
        <f>ED44+ED45</f>
        <v>1202820.2356</v>
      </c>
      <c r="EE46" s="438">
        <f>ED46/EC46</f>
        <v>1.0327460202318823</v>
      </c>
      <c r="EF46" s="437">
        <f>EF44+EF45</f>
        <v>0</v>
      </c>
      <c r="EG46" s="450">
        <f>EF46/EC46</f>
        <v>0</v>
      </c>
      <c r="EH46" s="480">
        <f>EH44+EH45</f>
        <v>1091206.25</v>
      </c>
      <c r="EI46" s="481">
        <f>EI44+EI45</f>
        <v>1115848.3898799999</v>
      </c>
      <c r="EJ46" s="438">
        <f>EI46/EH46</f>
        <v>1.0225824768507328</v>
      </c>
      <c r="EK46" s="437">
        <f>EK44+EK45</f>
        <v>0</v>
      </c>
      <c r="EL46" s="450">
        <f>EK46/EH46</f>
        <v>0</v>
      </c>
      <c r="EM46" s="480">
        <f>EM44+EM45</f>
        <v>1221808.0900000001</v>
      </c>
      <c r="EN46" s="481">
        <f>EN44+EN45</f>
        <v>1311772.1595800002</v>
      </c>
      <c r="EO46" s="438">
        <f>EN46/EM46</f>
        <v>1.0736319151234299</v>
      </c>
      <c r="EP46" s="437">
        <f>EP44+EP45</f>
        <v>0</v>
      </c>
      <c r="EQ46" s="450">
        <f>EP46/EM46</f>
        <v>0</v>
      </c>
      <c r="ER46" s="480">
        <f>ER44+ER45</f>
        <v>1121368.43</v>
      </c>
      <c r="ES46" s="481">
        <f>ES44+ES45</f>
        <v>1195202.1780000001</v>
      </c>
      <c r="ET46" s="438">
        <f>ES46/ER46</f>
        <v>1.0658425420448123</v>
      </c>
      <c r="EU46" s="437">
        <f>EU44+EU45</f>
        <v>0</v>
      </c>
      <c r="EV46" s="450">
        <f>EU46/ER46</f>
        <v>0</v>
      </c>
      <c r="EW46" s="453">
        <f>EW44+EW45</f>
        <v>5802104.9722600002</v>
      </c>
      <c r="EX46" s="437">
        <f>EX44+EX45</f>
        <v>0</v>
      </c>
      <c r="EY46" s="437">
        <f>EY44+EY45</f>
        <v>0</v>
      </c>
      <c r="EZ46" s="456" t="e">
        <f>EY46/EX46</f>
        <v>#DIV/0!</v>
      </c>
      <c r="FA46" s="480">
        <f>FA44+FA45</f>
        <v>1094688.5</v>
      </c>
      <c r="FB46" s="481">
        <f>FB44+FB45</f>
        <v>1106357.42096</v>
      </c>
      <c r="FC46" s="438">
        <f>FB46/FA46</f>
        <v>1.0106595812050643</v>
      </c>
      <c r="FD46" s="437">
        <f>FD44+FD45</f>
        <v>0</v>
      </c>
      <c r="FE46" s="450">
        <f>FD46/FA46</f>
        <v>0</v>
      </c>
      <c r="FF46" s="480">
        <f>FF44+FF45</f>
        <v>1137404.24</v>
      </c>
      <c r="FG46" s="481">
        <f>FG44+FG45</f>
        <v>1170843.2630399999</v>
      </c>
      <c r="FH46" s="438">
        <f>FG46/FF46</f>
        <v>1.029399418310591</v>
      </c>
      <c r="FI46" s="437">
        <f>FI44+FI45</f>
        <v>0</v>
      </c>
      <c r="FJ46" s="450">
        <f>FI46/FF46</f>
        <v>0</v>
      </c>
      <c r="FK46" s="480">
        <f>FK44+FK45</f>
        <v>1057673.21</v>
      </c>
      <c r="FL46" s="481">
        <f>FL44+FL45</f>
        <v>1058848.56</v>
      </c>
      <c r="FM46" s="438">
        <f>FL46/FK46</f>
        <v>1.0011112600649119</v>
      </c>
      <c r="FN46" s="437">
        <f>FN44+FN45</f>
        <v>0</v>
      </c>
      <c r="FO46" s="450">
        <f>FN46/FK46</f>
        <v>0</v>
      </c>
      <c r="FP46" s="480">
        <f>FP44+FP45</f>
        <v>1034986.44</v>
      </c>
      <c r="FQ46" s="481">
        <f>FQ44+FQ45</f>
        <v>1119287.47878</v>
      </c>
      <c r="FR46" s="438">
        <f>FQ46/FP46</f>
        <v>1.0814513461451727</v>
      </c>
      <c r="FS46" s="437">
        <f>FS44+FS45</f>
        <v>0</v>
      </c>
      <c r="FT46" s="450">
        <f>FS46/FP46</f>
        <v>0</v>
      </c>
      <c r="FU46" s="453">
        <f>FU44+FU45</f>
        <v>4455336.7227799995</v>
      </c>
      <c r="FV46" s="437">
        <f>FV44+FV45</f>
        <v>0</v>
      </c>
      <c r="FW46" s="437">
        <f>FW44+FW45</f>
        <v>0</v>
      </c>
      <c r="FX46" s="456" t="e">
        <f>FW46/FV46</f>
        <v>#DIV/0!</v>
      </c>
      <c r="FY46" s="480">
        <f>FY44+FY45</f>
        <v>966345.89</v>
      </c>
      <c r="FZ46" s="481">
        <f>FZ44+FZ45</f>
        <v>1020082.4432999999</v>
      </c>
      <c r="GA46" s="438">
        <f>FZ46/FY46</f>
        <v>1.0556079907371467</v>
      </c>
      <c r="GB46" s="437">
        <f>GB44+GB45</f>
        <v>0</v>
      </c>
      <c r="GC46" s="450">
        <f>GB46/FY46</f>
        <v>0</v>
      </c>
      <c r="GD46" s="480">
        <f>GD44+GD45</f>
        <v>1002357.3200000001</v>
      </c>
      <c r="GE46" s="481">
        <f>GE44+GE45</f>
        <v>995541.18180000014</v>
      </c>
      <c r="GF46" s="438">
        <f>GE46/GD46</f>
        <v>0.993199891830989</v>
      </c>
      <c r="GG46" s="437">
        <f>GG44+GG45</f>
        <v>0</v>
      </c>
      <c r="GH46" s="450">
        <f>GG46/GD46</f>
        <v>0</v>
      </c>
      <c r="GI46" s="480">
        <f>GI44+GI45</f>
        <v>933866</v>
      </c>
      <c r="GJ46" s="481">
        <f>GJ44+GJ45</f>
        <v>1001020.1708</v>
      </c>
      <c r="GK46" s="438">
        <f>GJ46/GI46</f>
        <v>1.0719098573028678</v>
      </c>
      <c r="GL46" s="437">
        <f>GL44+GL45</f>
        <v>0</v>
      </c>
      <c r="GM46" s="450">
        <f>GL46/GI46</f>
        <v>0</v>
      </c>
      <c r="GN46" s="480">
        <f>GN44+GN45</f>
        <v>884722.18</v>
      </c>
      <c r="GO46" s="481">
        <f>GO44+GO45</f>
        <v>928706.38840000005</v>
      </c>
      <c r="GP46" s="438">
        <f>GO46/GN46</f>
        <v>1.0497152771732252</v>
      </c>
      <c r="GQ46" s="437">
        <f>GQ44+GQ45</f>
        <v>0</v>
      </c>
      <c r="GR46" s="450">
        <f>GQ46/GN46</f>
        <v>0</v>
      </c>
      <c r="GS46" s="453">
        <f>GS44+GS45</f>
        <v>3945350.1842999998</v>
      </c>
      <c r="GT46" s="437">
        <f>GT44+GT45</f>
        <v>0</v>
      </c>
      <c r="GU46" s="437">
        <f>GU44+GU45</f>
        <v>0</v>
      </c>
      <c r="GV46" s="456" t="e">
        <f>GU46/GT46</f>
        <v>#DIV/0!</v>
      </c>
      <c r="GW46" s="480">
        <f>GW44+GW45</f>
        <v>920155</v>
      </c>
      <c r="GX46" s="481">
        <f>GX44+GX45</f>
        <v>965120</v>
      </c>
      <c r="GY46" s="438">
        <f>GX46/GW46</f>
        <v>1.0488667670120795</v>
      </c>
      <c r="GZ46" s="437">
        <f>GZ44+GZ45</f>
        <v>0</v>
      </c>
      <c r="HA46" s="450">
        <f>GZ46/GW46</f>
        <v>0</v>
      </c>
      <c r="HB46" s="480">
        <f>HB44+HB45</f>
        <v>878654.32</v>
      </c>
      <c r="HC46" s="481">
        <f>HC44+HC45</f>
        <v>938291.43</v>
      </c>
      <c r="HD46" s="438">
        <f>HC46/HB46</f>
        <v>1.0678732336967285</v>
      </c>
      <c r="HE46" s="437">
        <f>HE44+HE45</f>
        <v>0</v>
      </c>
      <c r="HF46" s="450">
        <f>HE46/HB46</f>
        <v>0</v>
      </c>
      <c r="HG46" s="480">
        <f>HG44+HG45</f>
        <v>888817.62</v>
      </c>
      <c r="HH46" s="481">
        <f>HH44+HH45</f>
        <v>934624.79100000008</v>
      </c>
      <c r="HI46" s="438">
        <f>HH46/HG46</f>
        <v>1.051537199498813</v>
      </c>
      <c r="HJ46" s="437">
        <f>HJ44+HJ45</f>
        <v>0</v>
      </c>
      <c r="HK46" s="450">
        <f>HJ46/HG46</f>
        <v>0</v>
      </c>
      <c r="HL46" s="480">
        <f>HL44+HL45</f>
        <v>875823.78</v>
      </c>
      <c r="HM46" s="481">
        <f>HM44+HM45</f>
        <v>944364.21439999994</v>
      </c>
      <c r="HN46" s="438">
        <f>HM46/HL46</f>
        <v>1.0782582477950073</v>
      </c>
      <c r="HO46" s="437">
        <f>HO44+HO45</f>
        <v>0</v>
      </c>
      <c r="HP46" s="450">
        <f>HO46/HL46</f>
        <v>0</v>
      </c>
      <c r="HQ46" s="480">
        <f>HQ44+HQ45</f>
        <v>914485.76000000001</v>
      </c>
      <c r="HR46" s="481">
        <f>HR44+HR45</f>
        <v>969174.81199999992</v>
      </c>
      <c r="HS46" s="438">
        <f>HR46/HQ46</f>
        <v>1.0598030657142217</v>
      </c>
      <c r="HT46" s="437">
        <f>HT44+HT45</f>
        <v>0</v>
      </c>
      <c r="HU46" s="450">
        <f>HT46/HQ46</f>
        <v>0</v>
      </c>
      <c r="HV46" s="453">
        <f>HV44+HV45</f>
        <v>4751575.2474000007</v>
      </c>
      <c r="HW46" s="437">
        <f>HW44+HW45</f>
        <v>0</v>
      </c>
      <c r="HX46" s="437">
        <f>HX44+HX45</f>
        <v>0</v>
      </c>
      <c r="HY46" s="456" t="e">
        <f>HX46/HW46</f>
        <v>#DIV/0!</v>
      </c>
      <c r="HZ46" s="480">
        <f>HZ44+HZ45</f>
        <v>840662.67</v>
      </c>
      <c r="IA46" s="481">
        <f>IA44+IA45</f>
        <v>894716.53080000007</v>
      </c>
      <c r="IB46" s="438">
        <f>IA46/HZ46</f>
        <v>1.0642991091777634</v>
      </c>
      <c r="IC46" s="437">
        <f>IC44+IC45</f>
        <v>0</v>
      </c>
      <c r="ID46" s="450">
        <f>IC46/HZ46</f>
        <v>0</v>
      </c>
      <c r="IE46" s="480">
        <f>IE44+IE45</f>
        <v>899596.79</v>
      </c>
      <c r="IF46" s="481">
        <f>IF44+IF45</f>
        <v>957642.56180000002</v>
      </c>
      <c r="IG46" s="438">
        <f>IF46/IE46</f>
        <v>1.0645242095628198</v>
      </c>
      <c r="IH46" s="437">
        <f>IH44+IH45</f>
        <v>0</v>
      </c>
      <c r="II46" s="450">
        <f>IH46/IE46</f>
        <v>0</v>
      </c>
      <c r="IJ46" s="480">
        <f>IJ44+IJ45</f>
        <v>864256.72</v>
      </c>
      <c r="IK46" s="481">
        <f>IK44+IK45</f>
        <v>904912.59869999997</v>
      </c>
      <c r="IL46" s="438">
        <f>IK46/IJ46</f>
        <v>1.0470414377570589</v>
      </c>
      <c r="IM46" s="437">
        <f>IM44+IM45</f>
        <v>0</v>
      </c>
      <c r="IN46" s="450">
        <f>IM46/IJ46</f>
        <v>0</v>
      </c>
      <c r="IO46" s="480">
        <f>IO44+IO45</f>
        <v>912973.98</v>
      </c>
      <c r="IP46" s="481">
        <f>IP44+IP45</f>
        <v>959710.89870000002</v>
      </c>
      <c r="IQ46" s="438">
        <f>IP46/IO46</f>
        <v>1.0511919503992875</v>
      </c>
      <c r="IR46" s="437">
        <f>IR44+IR45</f>
        <v>0</v>
      </c>
      <c r="IS46" s="450">
        <f>IR46/IO46</f>
        <v>0</v>
      </c>
      <c r="IT46" s="453">
        <f>IT44+IT45</f>
        <v>3716982.5900000008</v>
      </c>
      <c r="IU46" s="437">
        <f>IU44+IU45</f>
        <v>0</v>
      </c>
      <c r="IV46" s="437">
        <f>IV44+IV45</f>
        <v>0</v>
      </c>
      <c r="IW46" s="456" t="e">
        <f>IV46/IU46</f>
        <v>#DIV/0!</v>
      </c>
      <c r="IX46" s="480">
        <f>IX44+IX45</f>
        <v>749424.54</v>
      </c>
      <c r="IY46" s="481">
        <f>IY44+IY45</f>
        <v>794447.58830000006</v>
      </c>
      <c r="IZ46" s="438">
        <f>IY46/IX46</f>
        <v>1.0600768268143448</v>
      </c>
      <c r="JA46" s="437">
        <f>JA44+JA45</f>
        <v>0</v>
      </c>
      <c r="JB46" s="450">
        <f>JA46/IX46</f>
        <v>0</v>
      </c>
      <c r="JC46" s="480">
        <f>JC44+JC45</f>
        <v>1049826.58</v>
      </c>
      <c r="JD46" s="481">
        <f>JD44+JD45</f>
        <v>1066618.8078000001</v>
      </c>
      <c r="JE46" s="438">
        <f>JD46/JC46</f>
        <v>1.0159952397090193</v>
      </c>
      <c r="JF46" s="437">
        <f>JF44+JF45</f>
        <v>0</v>
      </c>
      <c r="JG46" s="450">
        <f>JF46/JC46</f>
        <v>0</v>
      </c>
      <c r="JH46" s="480">
        <f>JH44+JH45</f>
        <v>1167515.72</v>
      </c>
      <c r="JI46" s="481">
        <f>JI44+JI45</f>
        <v>1240620.3887999998</v>
      </c>
      <c r="JJ46" s="438">
        <f>JI46/JH46</f>
        <v>1.0626155755744342</v>
      </c>
      <c r="JK46" s="437">
        <f>JK44+JK45</f>
        <v>0</v>
      </c>
      <c r="JL46" s="450">
        <f>JK46/JH46</f>
        <v>0</v>
      </c>
      <c r="JM46" s="480">
        <f>JM44+JM45</f>
        <v>1150376.58</v>
      </c>
      <c r="JN46" s="481">
        <f>JN44+JN45</f>
        <v>1197401.0174999998</v>
      </c>
      <c r="JO46" s="438">
        <f>JN46/JM46</f>
        <v>1.040877429458795</v>
      </c>
      <c r="JP46" s="437">
        <f>JP44+JP45</f>
        <v>0</v>
      </c>
      <c r="JQ46" s="450">
        <f>JP46/JM46</f>
        <v>0</v>
      </c>
      <c r="JR46" s="453">
        <f>JR44+JR45</f>
        <v>4299087.8024000004</v>
      </c>
      <c r="JS46" s="437">
        <f>JS44+JS45</f>
        <v>0</v>
      </c>
      <c r="JT46" s="437">
        <f>JT44+JT45</f>
        <v>0</v>
      </c>
      <c r="JU46" s="456" t="e">
        <f>JT46/JS46</f>
        <v>#DIV/0!</v>
      </c>
      <c r="JV46" s="480">
        <f>JV44+JV45</f>
        <v>1512795.07</v>
      </c>
      <c r="JW46" s="481">
        <f>JW44+JW45</f>
        <v>1592352.0852000001</v>
      </c>
      <c r="JX46" s="438">
        <f>JW46/JV46</f>
        <v>1.0525894199271815</v>
      </c>
      <c r="JY46" s="437">
        <f>JY44+JY45</f>
        <v>0</v>
      </c>
      <c r="JZ46" s="450">
        <f>JY46/JV46</f>
        <v>0</v>
      </c>
      <c r="KA46" s="480">
        <f>KA44+KA45</f>
        <v>1900743.95</v>
      </c>
      <c r="KB46" s="481">
        <f>KB44+KB45</f>
        <v>1987061.4267000002</v>
      </c>
      <c r="KC46" s="438">
        <f>KB46/KA46</f>
        <v>1.0454124695227889</v>
      </c>
      <c r="KD46" s="437">
        <f>KD44+KD45</f>
        <v>0</v>
      </c>
      <c r="KE46" s="450">
        <f>KD46/KA46</f>
        <v>0</v>
      </c>
      <c r="KF46" s="480">
        <f>KF44+KF45</f>
        <v>2394754.88</v>
      </c>
      <c r="KG46" s="481">
        <f>KG44+KG45</f>
        <v>2470001.8996000001</v>
      </c>
      <c r="KH46" s="438">
        <f>KG46/KF46</f>
        <v>1.0314215956833128</v>
      </c>
      <c r="KI46" s="437">
        <f>KI44+KI45</f>
        <v>0</v>
      </c>
      <c r="KJ46" s="450">
        <f>KI46/KF46</f>
        <v>0</v>
      </c>
      <c r="KK46" s="480">
        <f>KK44+KK45</f>
        <v>2265445.5299999998</v>
      </c>
      <c r="KL46" s="481">
        <f>KL44+KL45</f>
        <v>2317791.3903000001</v>
      </c>
      <c r="KM46" s="438">
        <f>KL46/KK46</f>
        <v>1.0231062100619124</v>
      </c>
      <c r="KN46" s="437">
        <f>KN44+KN45</f>
        <v>0</v>
      </c>
      <c r="KO46" s="450">
        <f>KN46/KK46</f>
        <v>0</v>
      </c>
      <c r="KP46" s="480">
        <f>KP44+KP45</f>
        <v>1040705.8799999999</v>
      </c>
      <c r="KQ46" s="481">
        <f>KQ44+KQ45</f>
        <v>1080241.0449999999</v>
      </c>
      <c r="KR46" s="438">
        <f>KQ46/KP46</f>
        <v>1.0379887975649758</v>
      </c>
      <c r="KS46" s="437">
        <f>KS44+KS45</f>
        <v>0</v>
      </c>
      <c r="KT46" s="450">
        <f>KS46/KP46</f>
        <v>0</v>
      </c>
      <c r="KU46" s="453">
        <f>KU44+KU45</f>
        <v>9447447.8467999995</v>
      </c>
      <c r="KV46" s="437">
        <f>KV44+KV45</f>
        <v>0</v>
      </c>
      <c r="KW46" s="437">
        <f>KW44+KW45</f>
        <v>0</v>
      </c>
      <c r="KX46" s="456" t="e">
        <f>KW46/KV46</f>
        <v>#DIV/0!</v>
      </c>
      <c r="KY46" s="453">
        <f>KY44+KY45</f>
        <v>0</v>
      </c>
      <c r="KZ46" s="453">
        <f>KZ44+KZ45</f>
        <v>0</v>
      </c>
      <c r="LA46" s="492">
        <f>KZ46-KY46</f>
        <v>0</v>
      </c>
      <c r="LB46" s="493" t="e">
        <f>KZ46/KY46</f>
        <v>#DIV/0!</v>
      </c>
    </row>
    <row r="47" spans="1:314" ht="12" customHeight="1" thickBot="1">
      <c r="A47" s="1495"/>
      <c r="B47" s="445"/>
      <c r="C47" s="408"/>
      <c r="D47" s="408"/>
      <c r="E47" s="363"/>
      <c r="F47" s="408"/>
      <c r="G47" s="363"/>
      <c r="H47" s="408"/>
      <c r="I47" s="408"/>
      <c r="J47" s="363"/>
      <c r="K47" s="408"/>
      <c r="L47" s="363"/>
      <c r="M47" s="408"/>
      <c r="N47" s="408"/>
      <c r="O47" s="363"/>
      <c r="P47" s="408"/>
      <c r="Q47" s="363"/>
      <c r="R47" s="408"/>
      <c r="S47" s="408"/>
      <c r="T47" s="363"/>
      <c r="U47" s="408"/>
      <c r="V47" s="363"/>
      <c r="W47" s="363"/>
      <c r="X47" s="363"/>
      <c r="Y47" s="363"/>
      <c r="Z47" s="363"/>
      <c r="AA47" s="408"/>
      <c r="AB47" s="408"/>
      <c r="AC47" s="363"/>
      <c r="AD47" s="408"/>
      <c r="AE47" s="363"/>
      <c r="AF47" s="408"/>
      <c r="AG47" s="408"/>
      <c r="AH47" s="363"/>
      <c r="AI47" s="408"/>
      <c r="AJ47" s="363"/>
      <c r="AK47" s="408"/>
      <c r="AL47" s="408"/>
      <c r="AM47" s="363"/>
      <c r="AN47" s="408"/>
      <c r="AO47" s="363"/>
      <c r="AP47" s="408"/>
      <c r="AQ47" s="408"/>
      <c r="AR47" s="363"/>
      <c r="AS47" s="408"/>
      <c r="AT47" s="363"/>
      <c r="AU47" s="363"/>
      <c r="AV47" s="363"/>
      <c r="AW47" s="363"/>
      <c r="AX47" s="363"/>
      <c r="AY47" s="408"/>
      <c r="AZ47" s="408"/>
      <c r="BA47" s="363"/>
      <c r="BB47" s="408"/>
      <c r="BC47" s="363"/>
      <c r="BD47" s="408"/>
      <c r="BE47" s="408"/>
      <c r="BF47" s="363"/>
      <c r="BG47" s="408"/>
      <c r="BH47" s="363"/>
      <c r="BI47" s="408"/>
      <c r="BJ47" s="408"/>
      <c r="BK47" s="363"/>
      <c r="BL47" s="408"/>
      <c r="BM47" s="363"/>
      <c r="BN47" s="408"/>
      <c r="BO47" s="408"/>
      <c r="BP47" s="446"/>
      <c r="BQ47" s="408"/>
      <c r="BR47" s="447"/>
      <c r="BS47" s="408"/>
      <c r="BT47" s="408"/>
      <c r="BU47" s="446"/>
      <c r="BV47" s="408"/>
      <c r="BW47" s="447"/>
      <c r="BX47" s="447"/>
      <c r="BY47" s="408"/>
      <c r="BZ47" s="408"/>
      <c r="CA47" s="491"/>
      <c r="CB47" s="408"/>
      <c r="CC47" s="408"/>
      <c r="CD47" s="446"/>
      <c r="CE47" s="408"/>
      <c r="CF47" s="447"/>
      <c r="CG47" s="408"/>
      <c r="CH47" s="408"/>
      <c r="CI47" s="446"/>
      <c r="CJ47" s="408"/>
      <c r="CK47" s="447"/>
      <c r="CL47" s="408"/>
      <c r="CM47" s="408"/>
      <c r="CN47" s="446"/>
      <c r="CO47" s="408"/>
      <c r="CP47" s="447"/>
      <c r="CQ47" s="408"/>
      <c r="CR47" s="408"/>
      <c r="CS47" s="446"/>
      <c r="CT47" s="408"/>
      <c r="CU47" s="447"/>
      <c r="CV47" s="408"/>
      <c r="CW47" s="408"/>
      <c r="CX47" s="408"/>
      <c r="CY47" s="457"/>
      <c r="CZ47" s="483"/>
      <c r="DA47" s="483"/>
      <c r="DB47" s="446"/>
      <c r="DC47" s="408"/>
      <c r="DD47" s="447"/>
      <c r="DE47" s="483"/>
      <c r="DF47" s="483"/>
      <c r="DG47" s="446"/>
      <c r="DH47" s="408"/>
      <c r="DI47" s="447"/>
      <c r="DJ47" s="483"/>
      <c r="DK47" s="483"/>
      <c r="DL47" s="446"/>
      <c r="DM47" s="408"/>
      <c r="DN47" s="447"/>
      <c r="DO47" s="483"/>
      <c r="DP47" s="483"/>
      <c r="DQ47" s="446"/>
      <c r="DR47" s="408"/>
      <c r="DS47" s="447"/>
      <c r="DT47" s="408"/>
      <c r="DU47" s="408"/>
      <c r="DV47" s="408"/>
      <c r="DW47" s="419"/>
      <c r="DX47" s="483"/>
      <c r="DY47" s="483"/>
      <c r="DZ47" s="446"/>
      <c r="EA47" s="408"/>
      <c r="EB47" s="447"/>
      <c r="EC47" s="483"/>
      <c r="ED47" s="483"/>
      <c r="EE47" s="446"/>
      <c r="EF47" s="408"/>
      <c r="EG47" s="447"/>
      <c r="EH47" s="483"/>
      <c r="EI47" s="483"/>
      <c r="EJ47" s="446"/>
      <c r="EK47" s="408"/>
      <c r="EL47" s="447"/>
      <c r="EM47" s="483"/>
      <c r="EN47" s="483"/>
      <c r="EO47" s="446"/>
      <c r="EP47" s="408"/>
      <c r="EQ47" s="447"/>
      <c r="ER47" s="483"/>
      <c r="ES47" s="483"/>
      <c r="ET47" s="446"/>
      <c r="EU47" s="408"/>
      <c r="EV47" s="447"/>
      <c r="EW47" s="408"/>
      <c r="EX47" s="408"/>
      <c r="EY47" s="408"/>
      <c r="EZ47" s="457"/>
      <c r="FA47" s="483"/>
      <c r="FB47" s="483"/>
      <c r="FC47" s="446"/>
      <c r="FD47" s="408"/>
      <c r="FE47" s="447"/>
      <c r="FF47" s="483"/>
      <c r="FG47" s="483"/>
      <c r="FH47" s="446"/>
      <c r="FI47" s="408"/>
      <c r="FJ47" s="447"/>
      <c r="FK47" s="483"/>
      <c r="FL47" s="483"/>
      <c r="FM47" s="446"/>
      <c r="FN47" s="408"/>
      <c r="FO47" s="447"/>
      <c r="FP47" s="483"/>
      <c r="FQ47" s="483"/>
      <c r="FR47" s="446"/>
      <c r="FS47" s="408"/>
      <c r="FT47" s="447"/>
      <c r="FU47" s="408"/>
      <c r="FV47" s="408"/>
      <c r="FW47" s="408"/>
      <c r="FX47" s="457"/>
      <c r="FY47" s="483"/>
      <c r="FZ47" s="483"/>
      <c r="GA47" s="446"/>
      <c r="GB47" s="408"/>
      <c r="GC47" s="447"/>
      <c r="GD47" s="483"/>
      <c r="GE47" s="483"/>
      <c r="GF47" s="446"/>
      <c r="GG47" s="408"/>
      <c r="GH47" s="447"/>
      <c r="GI47" s="483"/>
      <c r="GJ47" s="483"/>
      <c r="GK47" s="446"/>
      <c r="GL47" s="408"/>
      <c r="GM47" s="447"/>
      <c r="GN47" s="483"/>
      <c r="GO47" s="483"/>
      <c r="GP47" s="446"/>
      <c r="GQ47" s="408"/>
      <c r="GR47" s="447"/>
      <c r="GS47" s="408"/>
      <c r="GT47" s="408"/>
      <c r="GU47" s="408"/>
      <c r="GV47" s="457"/>
      <c r="GW47" s="483"/>
      <c r="GX47" s="483"/>
      <c r="GY47" s="446"/>
      <c r="GZ47" s="408"/>
      <c r="HA47" s="447"/>
      <c r="HB47" s="483"/>
      <c r="HC47" s="483"/>
      <c r="HD47" s="446"/>
      <c r="HE47" s="408"/>
      <c r="HF47" s="447"/>
      <c r="HG47" s="483"/>
      <c r="HH47" s="483"/>
      <c r="HI47" s="446"/>
      <c r="HJ47" s="408"/>
      <c r="HK47" s="447"/>
      <c r="HL47" s="483"/>
      <c r="HM47" s="483"/>
      <c r="HN47" s="446"/>
      <c r="HO47" s="408"/>
      <c r="HP47" s="447"/>
      <c r="HQ47" s="483"/>
      <c r="HR47" s="483"/>
      <c r="HS47" s="446"/>
      <c r="HT47" s="408"/>
      <c r="HU47" s="447"/>
      <c r="HV47" s="408"/>
      <c r="HW47" s="408"/>
      <c r="HX47" s="408"/>
      <c r="HY47" s="457"/>
      <c r="HZ47" s="483"/>
      <c r="IA47" s="483"/>
      <c r="IB47" s="446"/>
      <c r="IC47" s="408"/>
      <c r="ID47" s="447"/>
      <c r="IE47" s="483"/>
      <c r="IF47" s="483"/>
      <c r="IG47" s="446"/>
      <c r="IH47" s="408"/>
      <c r="II47" s="447"/>
      <c r="IJ47" s="483"/>
      <c r="IK47" s="483"/>
      <c r="IL47" s="446"/>
      <c r="IM47" s="408"/>
      <c r="IN47" s="447"/>
      <c r="IO47" s="483"/>
      <c r="IP47" s="483"/>
      <c r="IQ47" s="446"/>
      <c r="IR47" s="408"/>
      <c r="IS47" s="447"/>
      <c r="IT47" s="408"/>
      <c r="IU47" s="408"/>
      <c r="IV47" s="408"/>
      <c r="IW47" s="457"/>
      <c r="IX47" s="483"/>
      <c r="IY47" s="483"/>
      <c r="IZ47" s="446"/>
      <c r="JA47" s="408"/>
      <c r="JB47" s="447"/>
      <c r="JC47" s="483"/>
      <c r="JD47" s="483"/>
      <c r="JE47" s="446"/>
      <c r="JF47" s="408"/>
      <c r="JG47" s="447"/>
      <c r="JH47" s="483"/>
      <c r="JI47" s="483"/>
      <c r="JJ47" s="446"/>
      <c r="JK47" s="408"/>
      <c r="JL47" s="447"/>
      <c r="JM47" s="483"/>
      <c r="JN47" s="483"/>
      <c r="JO47" s="446"/>
      <c r="JP47" s="408"/>
      <c r="JQ47" s="447"/>
      <c r="JR47" s="408"/>
      <c r="JS47" s="408"/>
      <c r="JT47" s="408"/>
      <c r="JU47" s="457"/>
      <c r="JV47" s="483"/>
      <c r="JW47" s="483"/>
      <c r="JX47" s="446"/>
      <c r="JY47" s="408"/>
      <c r="JZ47" s="447"/>
      <c r="KA47" s="483"/>
      <c r="KB47" s="483"/>
      <c r="KC47" s="446"/>
      <c r="KD47" s="408"/>
      <c r="KE47" s="447"/>
      <c r="KF47" s="483"/>
      <c r="KG47" s="483"/>
      <c r="KH47" s="446"/>
      <c r="KI47" s="408"/>
      <c r="KJ47" s="447"/>
      <c r="KK47" s="483"/>
      <c r="KL47" s="483"/>
      <c r="KM47" s="446"/>
      <c r="KN47" s="408"/>
      <c r="KO47" s="447"/>
      <c r="KP47" s="483"/>
      <c r="KQ47" s="483"/>
      <c r="KR47" s="446"/>
      <c r="KS47" s="408"/>
      <c r="KT47" s="447"/>
      <c r="KU47" s="408"/>
      <c r="KV47" s="408"/>
      <c r="KW47" s="408"/>
      <c r="KX47" s="457"/>
      <c r="KY47" s="408"/>
      <c r="KZ47" s="408"/>
      <c r="LA47" s="409"/>
      <c r="LB47" s="420"/>
    </row>
    <row r="48" spans="1:314" s="629" customFormat="1" ht="24.75" customHeight="1" thickBot="1">
      <c r="A48" s="613"/>
      <c r="B48" s="614" t="s">
        <v>237</v>
      </c>
      <c r="C48" s="620">
        <v>1987342.23</v>
      </c>
      <c r="D48" s="620">
        <v>2436011.59</v>
      </c>
      <c r="E48" s="616">
        <v>1.23</v>
      </c>
      <c r="F48" s="620">
        <v>2492958.63</v>
      </c>
      <c r="G48" s="616">
        <v>1.25</v>
      </c>
      <c r="H48" s="620">
        <v>2095621.06</v>
      </c>
      <c r="I48" s="620">
        <v>2596035.11</v>
      </c>
      <c r="J48" s="616">
        <v>1.24</v>
      </c>
      <c r="K48" s="617" t="s">
        <v>515</v>
      </c>
      <c r="L48" s="616">
        <v>1.1599999999999999</v>
      </c>
      <c r="M48" s="617" t="s">
        <v>516</v>
      </c>
      <c r="N48" s="617" t="s">
        <v>517</v>
      </c>
      <c r="O48" s="616">
        <v>1.18</v>
      </c>
      <c r="P48" s="617" t="s">
        <v>515</v>
      </c>
      <c r="Q48" s="616">
        <v>1.08</v>
      </c>
      <c r="R48" s="617" t="s">
        <v>516</v>
      </c>
      <c r="S48" s="617" t="s">
        <v>517</v>
      </c>
      <c r="T48" s="616">
        <v>1.17</v>
      </c>
      <c r="U48" s="617" t="s">
        <v>515</v>
      </c>
      <c r="V48" s="616">
        <v>1.07</v>
      </c>
      <c r="W48" s="616"/>
      <c r="X48" s="616"/>
      <c r="Y48" s="616"/>
      <c r="Z48" s="616"/>
      <c r="AA48" s="617" t="s">
        <v>517</v>
      </c>
      <c r="AB48" s="617" t="s">
        <v>517</v>
      </c>
      <c r="AC48" s="616">
        <v>1.1399999999999999</v>
      </c>
      <c r="AD48" s="615">
        <v>2388770.4500000002</v>
      </c>
      <c r="AE48" s="616">
        <v>1.1000000000000001</v>
      </c>
      <c r="AF48" s="617" t="s">
        <v>515</v>
      </c>
      <c r="AG48" s="617" t="s">
        <v>517</v>
      </c>
      <c r="AH48" s="616">
        <v>1.1399999999999999</v>
      </c>
      <c r="AI48" s="617" t="s">
        <v>515</v>
      </c>
      <c r="AJ48" s="616">
        <v>1.3</v>
      </c>
      <c r="AK48" s="617" t="s">
        <v>515</v>
      </c>
      <c r="AL48" s="617" t="s">
        <v>517</v>
      </c>
      <c r="AM48" s="616">
        <v>1.1499999999999999</v>
      </c>
      <c r="AN48" s="617" t="s">
        <v>515</v>
      </c>
      <c r="AO48" s="616">
        <v>1.1499999999999999</v>
      </c>
      <c r="AP48" s="617" t="s">
        <v>515</v>
      </c>
      <c r="AQ48" s="617" t="s">
        <v>517</v>
      </c>
      <c r="AR48" s="616">
        <v>1.1399999999999999</v>
      </c>
      <c r="AS48" s="617" t="s">
        <v>515</v>
      </c>
      <c r="AT48" s="616">
        <v>0.98</v>
      </c>
      <c r="AU48" s="616"/>
      <c r="AV48" s="616"/>
      <c r="AW48" s="616"/>
      <c r="AX48" s="616"/>
      <c r="AY48" s="617" t="s">
        <v>517</v>
      </c>
      <c r="AZ48" s="617" t="s">
        <v>517</v>
      </c>
      <c r="BA48" s="616">
        <v>1.1399999999999999</v>
      </c>
      <c r="BB48" s="615">
        <v>2425678.88</v>
      </c>
      <c r="BC48" s="616">
        <v>1.06</v>
      </c>
      <c r="BD48" s="617" t="s">
        <v>517</v>
      </c>
      <c r="BE48" s="617" t="s">
        <v>517</v>
      </c>
      <c r="BF48" s="616">
        <v>1.1100000000000001</v>
      </c>
      <c r="BG48" s="617" t="s">
        <v>515</v>
      </c>
      <c r="BH48" s="616">
        <v>1.07</v>
      </c>
      <c r="BI48" s="617" t="s">
        <v>517</v>
      </c>
      <c r="BJ48" s="617" t="s">
        <v>517</v>
      </c>
      <c r="BK48" s="616">
        <v>0.41</v>
      </c>
      <c r="BL48" s="615">
        <v>1839212.41</v>
      </c>
      <c r="BM48" s="618">
        <v>0.67</v>
      </c>
      <c r="BN48" s="619">
        <f>BN42+BN46</f>
        <v>2510968.91</v>
      </c>
      <c r="BO48" s="620">
        <f>BO42+BO46</f>
        <v>2519482.6334999995</v>
      </c>
      <c r="BP48" s="621">
        <f>BO48/BN48</f>
        <v>1.0033906128690375</v>
      </c>
      <c r="BQ48" s="620">
        <f>BQ42+BQ46</f>
        <v>0</v>
      </c>
      <c r="BR48" s="622">
        <f>BQ48/BN48</f>
        <v>0</v>
      </c>
      <c r="BS48" s="619">
        <f>BS42+BS46</f>
        <v>2639362.3899999997</v>
      </c>
      <c r="BT48" s="620">
        <f>BT42+BT46</f>
        <v>2645145.3520600004</v>
      </c>
      <c r="BU48" s="621">
        <f>BT48/BS48</f>
        <v>1.0021910451107097</v>
      </c>
      <c r="BV48" s="620">
        <f>BV42+BV46</f>
        <v>0</v>
      </c>
      <c r="BW48" s="622">
        <f>BV48/BS48</f>
        <v>0</v>
      </c>
      <c r="BX48" s="623"/>
      <c r="BY48" s="620">
        <f>BY42+BY46</f>
        <v>0</v>
      </c>
      <c r="BZ48" s="620">
        <f>BZ42+BZ46</f>
        <v>0</v>
      </c>
      <c r="CA48" s="624" t="e">
        <f>BZ48/BY48</f>
        <v>#DIV/0!</v>
      </c>
      <c r="CB48" s="619">
        <f>CB42+CB46</f>
        <v>2768528.4299999997</v>
      </c>
      <c r="CC48" s="620">
        <f>CC42+CC46</f>
        <v>2764337.8248800002</v>
      </c>
      <c r="CD48" s="621">
        <f>CC48/CB48</f>
        <v>0.99848634203117093</v>
      </c>
      <c r="CE48" s="620">
        <f>CE42+CE46</f>
        <v>0</v>
      </c>
      <c r="CF48" s="624">
        <f>CE48/CB48</f>
        <v>0</v>
      </c>
      <c r="CG48" s="619">
        <f>CG42+CG46</f>
        <v>2934557.8099999996</v>
      </c>
      <c r="CH48" s="620">
        <f>CH42+CH46</f>
        <v>2926063.4939250001</v>
      </c>
      <c r="CI48" s="621">
        <f>CH48/CG48</f>
        <v>0.99710541872916814</v>
      </c>
      <c r="CJ48" s="620">
        <f>CJ42+CJ46</f>
        <v>0</v>
      </c>
      <c r="CK48" s="622">
        <f>CJ48/CG48</f>
        <v>0</v>
      </c>
      <c r="CL48" s="619">
        <f>CL42+CL46</f>
        <v>2843136.25</v>
      </c>
      <c r="CM48" s="620">
        <f>CM42+CM46</f>
        <v>2835753.8184000002</v>
      </c>
      <c r="CN48" s="621">
        <f>CM48/CL48</f>
        <v>0.99740341969189839</v>
      </c>
      <c r="CO48" s="620">
        <f>CO42+CO46</f>
        <v>0</v>
      </c>
      <c r="CP48" s="622">
        <f>CO48/CL48</f>
        <v>0</v>
      </c>
      <c r="CQ48" s="619">
        <f>CQ42+CQ46</f>
        <v>3384030.3000000003</v>
      </c>
      <c r="CR48" s="620">
        <f>CR42+CR46</f>
        <v>3368523.1468750001</v>
      </c>
      <c r="CS48" s="621">
        <f>CR48/CQ48</f>
        <v>0.99541754897259627</v>
      </c>
      <c r="CT48" s="620">
        <f>CT42+CT46</f>
        <v>0</v>
      </c>
      <c r="CU48" s="623">
        <f>CT48/CQ48</f>
        <v>0</v>
      </c>
      <c r="CV48" s="619">
        <f>CV42+CV46</f>
        <v>11894678.284080001</v>
      </c>
      <c r="CW48" s="620">
        <f>CW42+CW46</f>
        <v>0</v>
      </c>
      <c r="CX48" s="620">
        <f>CX42+CX46</f>
        <v>0</v>
      </c>
      <c r="CY48" s="624" t="e">
        <f>CX48/CW48</f>
        <v>#DIV/0!</v>
      </c>
      <c r="CZ48" s="619">
        <f>CZ42+CZ46</f>
        <v>3987846.61</v>
      </c>
      <c r="DA48" s="620">
        <f>DA42+DA46</f>
        <v>4005394.1360999998</v>
      </c>
      <c r="DB48" s="621">
        <f>DA48/CZ48</f>
        <v>1.0044002510166758</v>
      </c>
      <c r="DC48" s="620">
        <f>DC42+DC46</f>
        <v>0</v>
      </c>
      <c r="DD48" s="623">
        <f>DC48/CZ48</f>
        <v>0</v>
      </c>
      <c r="DE48" s="619">
        <f>DE42+DE46</f>
        <v>2894797.75</v>
      </c>
      <c r="DF48" s="620">
        <f>DF42+DF46</f>
        <v>2885974.37775</v>
      </c>
      <c r="DG48" s="621">
        <f>DF48/DE48</f>
        <v>0.99695199008289959</v>
      </c>
      <c r="DH48" s="620">
        <f>DH42+DH46</f>
        <v>0</v>
      </c>
      <c r="DI48" s="623">
        <f>DH48/DE48</f>
        <v>0</v>
      </c>
      <c r="DJ48" s="619">
        <f>DJ42+DJ46</f>
        <v>2589285.2999999998</v>
      </c>
      <c r="DK48" s="620">
        <f>DK42+DK46</f>
        <v>2589369.2966</v>
      </c>
      <c r="DL48" s="621">
        <f>DK48/DJ48</f>
        <v>1.0000324400713974</v>
      </c>
      <c r="DM48" s="620">
        <f>DM42+DM46</f>
        <v>0</v>
      </c>
      <c r="DN48" s="623">
        <f>DM48/DJ48</f>
        <v>0</v>
      </c>
      <c r="DO48" s="619">
        <f>DO42+DO46</f>
        <v>2590488.0500000003</v>
      </c>
      <c r="DP48" s="620">
        <f>DP42+DP46</f>
        <v>2580158.7198749995</v>
      </c>
      <c r="DQ48" s="621">
        <f>DP48/DO48</f>
        <v>0.99601259302277001</v>
      </c>
      <c r="DR48" s="620">
        <f>DR42+DR46</f>
        <v>0</v>
      </c>
      <c r="DS48" s="623">
        <f>DR48/DO48</f>
        <v>0</v>
      </c>
      <c r="DT48" s="619">
        <f>DT42+DT46</f>
        <v>12060896.530325001</v>
      </c>
      <c r="DU48" s="620">
        <f>DU42+DU46</f>
        <v>0</v>
      </c>
      <c r="DV48" s="620">
        <f>DV42+DV46</f>
        <v>0</v>
      </c>
      <c r="DW48" s="625" t="e">
        <f>DV48/DU48</f>
        <v>#DIV/0!</v>
      </c>
      <c r="DX48" s="619">
        <f>DX42+DX46</f>
        <v>2652960.5</v>
      </c>
      <c r="DY48" s="620">
        <f>DY42+DY46</f>
        <v>2654626.9945</v>
      </c>
      <c r="DZ48" s="621">
        <f>DY48/DX48</f>
        <v>1.0006281640831065</v>
      </c>
      <c r="EA48" s="620">
        <f>EA42+EA46</f>
        <v>0</v>
      </c>
      <c r="EB48" s="623">
        <f>EA48/DX48</f>
        <v>0</v>
      </c>
      <c r="EC48" s="619">
        <f>EC42+EC46</f>
        <v>3041583</v>
      </c>
      <c r="ED48" s="620">
        <f>ED42+ED46</f>
        <v>3050737.0075000003</v>
      </c>
      <c r="EE48" s="621">
        <f>ED48/EC48</f>
        <v>1.0030096194974789</v>
      </c>
      <c r="EF48" s="620">
        <f>EF42+EF46</f>
        <v>0</v>
      </c>
      <c r="EG48" s="623">
        <f>EF48/EC48</f>
        <v>0</v>
      </c>
      <c r="EH48" s="619">
        <f>EH42+EH46</f>
        <v>3188908.09</v>
      </c>
      <c r="EI48" s="620">
        <f>EI42+EI46</f>
        <v>3197674.2625299999</v>
      </c>
      <c r="EJ48" s="621">
        <f>EI48/EH48</f>
        <v>1.0027489574119397</v>
      </c>
      <c r="EK48" s="620">
        <f>EK42+EK46</f>
        <v>0</v>
      </c>
      <c r="EL48" s="623">
        <f>EK48/EH48</f>
        <v>0</v>
      </c>
      <c r="EM48" s="619">
        <f>EM42+EM46</f>
        <v>3418916.17</v>
      </c>
      <c r="EN48" s="620">
        <f>EN42+EN46</f>
        <v>3405621.8741800003</v>
      </c>
      <c r="EO48" s="621">
        <f>EN48/EM48</f>
        <v>0.99611154671277014</v>
      </c>
      <c r="EP48" s="620">
        <f>EP42+EP46</f>
        <v>0</v>
      </c>
      <c r="EQ48" s="623">
        <f>EP48/EM48</f>
        <v>0</v>
      </c>
      <c r="ER48" s="619">
        <f>ER42+ER46</f>
        <v>3277831.54</v>
      </c>
      <c r="ES48" s="620">
        <f>ES42+ES46</f>
        <v>3261642.9010399999</v>
      </c>
      <c r="ET48" s="621">
        <f>ES48/ER48</f>
        <v>0.99506117420543216</v>
      </c>
      <c r="EU48" s="620">
        <f>EU42+EU46</f>
        <v>0</v>
      </c>
      <c r="EV48" s="623">
        <f>EU48/ER48</f>
        <v>0</v>
      </c>
      <c r="EW48" s="619">
        <f>EW42+EW46</f>
        <v>15570303.03975</v>
      </c>
      <c r="EX48" s="620">
        <f>EX42+EX46</f>
        <v>0</v>
      </c>
      <c r="EY48" s="620">
        <f>EY42+EY46</f>
        <v>0</v>
      </c>
      <c r="EZ48" s="626" t="e">
        <f>EY48/EX48</f>
        <v>#DIV/0!</v>
      </c>
      <c r="FA48" s="619">
        <f>FA42+FA46</f>
        <v>2925756.83</v>
      </c>
      <c r="FB48" s="620">
        <f>FB42+FB46</f>
        <v>2930577.5118399998</v>
      </c>
      <c r="FC48" s="621">
        <f>FB48/FA48</f>
        <v>1.0016476700286809</v>
      </c>
      <c r="FD48" s="620">
        <f>FD42+FD46</f>
        <v>0</v>
      </c>
      <c r="FE48" s="623">
        <f>FD48/FA48</f>
        <v>0</v>
      </c>
      <c r="FF48" s="619">
        <f>FF42+FF46</f>
        <v>3047867.3200000003</v>
      </c>
      <c r="FG48" s="620">
        <f>FG42+FG46</f>
        <v>3036364.5083900001</v>
      </c>
      <c r="FH48" s="621">
        <f>FG48/FF48</f>
        <v>0.99622594739130566</v>
      </c>
      <c r="FI48" s="620">
        <f>FI42+FI46</f>
        <v>0</v>
      </c>
      <c r="FJ48" s="623">
        <f>FI48/FF48</f>
        <v>0</v>
      </c>
      <c r="FK48" s="619">
        <f>FK42+FK46</f>
        <v>2837880.41</v>
      </c>
      <c r="FL48" s="620">
        <f>FL42+FL46</f>
        <v>2824523.2080000006</v>
      </c>
      <c r="FM48" s="621">
        <f>FL48/FK48</f>
        <v>0.99529324704701017</v>
      </c>
      <c r="FN48" s="620">
        <f>FN42+FN46</f>
        <v>0</v>
      </c>
      <c r="FO48" s="623">
        <f>FN48/FK48</f>
        <v>0</v>
      </c>
      <c r="FP48" s="619">
        <f>FP42+FP46</f>
        <v>2969590.4</v>
      </c>
      <c r="FQ48" s="620">
        <f>FQ42+FQ46</f>
        <v>2961165.6318199998</v>
      </c>
      <c r="FR48" s="621">
        <f>FQ48/FP48</f>
        <v>0.99716298645766088</v>
      </c>
      <c r="FS48" s="620">
        <f>FS42+FS46</f>
        <v>0</v>
      </c>
      <c r="FT48" s="623">
        <f>FS48/FP48</f>
        <v>0</v>
      </c>
      <c r="FU48" s="619">
        <f>FU42+FU46</f>
        <v>11752630.86005</v>
      </c>
      <c r="FV48" s="620">
        <f>FV42+FV46</f>
        <v>0</v>
      </c>
      <c r="FW48" s="620">
        <f>FW42+FW46</f>
        <v>0</v>
      </c>
      <c r="FX48" s="626" t="e">
        <f>FW48/FV48</f>
        <v>#DIV/0!</v>
      </c>
      <c r="FY48" s="619">
        <f>FY42+FY46</f>
        <v>2838462.1900000004</v>
      </c>
      <c r="FZ48" s="620">
        <f>FZ42+FZ46</f>
        <v>2825144.0570099996</v>
      </c>
      <c r="GA48" s="621">
        <f>FZ48/FY48</f>
        <v>0.99530797590437492</v>
      </c>
      <c r="GB48" s="620">
        <f>GB42+GB46</f>
        <v>0</v>
      </c>
      <c r="GC48" s="623">
        <f>GB48/FY48</f>
        <v>0</v>
      </c>
      <c r="GD48" s="619">
        <f>GD42+GD46</f>
        <v>2708665.92</v>
      </c>
      <c r="GE48" s="620">
        <f>GE42+GE46</f>
        <v>2719600.0347150005</v>
      </c>
      <c r="GF48" s="621">
        <f>GE48/GD48</f>
        <v>1.0040367158733996</v>
      </c>
      <c r="GG48" s="620">
        <f>GG42+GG46</f>
        <v>0</v>
      </c>
      <c r="GH48" s="623">
        <f>GG48/GD48</f>
        <v>0</v>
      </c>
      <c r="GI48" s="619">
        <f>GI42+GI46</f>
        <v>2766110.24</v>
      </c>
      <c r="GJ48" s="620">
        <f>GJ42+GJ46</f>
        <v>2777362.9265000001</v>
      </c>
      <c r="GK48" s="621">
        <f>GJ48/GI48</f>
        <v>1.0040680542435647</v>
      </c>
      <c r="GL48" s="620">
        <f>GL42+GL46</f>
        <v>0</v>
      </c>
      <c r="GM48" s="623">
        <f>GL48/GI48</f>
        <v>0</v>
      </c>
      <c r="GN48" s="619">
        <f>GN42+GN46</f>
        <v>2691656.45</v>
      </c>
      <c r="GO48" s="620">
        <f>GO42+GO46</f>
        <v>2696963.1350199999</v>
      </c>
      <c r="GP48" s="621">
        <f>GO48/GN48</f>
        <v>1.0019715313297133</v>
      </c>
      <c r="GQ48" s="620">
        <f>GQ42+GQ46</f>
        <v>0</v>
      </c>
      <c r="GR48" s="623">
        <f>GQ48/GN48</f>
        <v>0</v>
      </c>
      <c r="GS48" s="619">
        <f>GS42+GS46</f>
        <v>11019070.153244998</v>
      </c>
      <c r="GT48" s="620">
        <f>GT42+GT46</f>
        <v>0</v>
      </c>
      <c r="GU48" s="620">
        <f>GU42+GU46</f>
        <v>0</v>
      </c>
      <c r="GV48" s="626" t="e">
        <f>GU48/GT48</f>
        <v>#DIV/0!</v>
      </c>
      <c r="GW48" s="619">
        <f>GW42+GW46</f>
        <v>2707920</v>
      </c>
      <c r="GX48" s="620">
        <f>GX42+GX46</f>
        <v>2709897</v>
      </c>
      <c r="GY48" s="621">
        <f>GX48/GW48</f>
        <v>1.0007300806523087</v>
      </c>
      <c r="GZ48" s="620">
        <f>GZ42+GZ46</f>
        <v>0</v>
      </c>
      <c r="HA48" s="623">
        <f>GZ48/GW48</f>
        <v>0</v>
      </c>
      <c r="HB48" s="619">
        <f>HB42+HB46</f>
        <v>2703010.32</v>
      </c>
      <c r="HC48" s="620">
        <f>HC42+HC46</f>
        <v>2690867.679</v>
      </c>
      <c r="HD48" s="621">
        <f>HC48/HB48</f>
        <v>0.99550773413251348</v>
      </c>
      <c r="HE48" s="620">
        <f>HE42+HE46</f>
        <v>0</v>
      </c>
      <c r="HF48" s="623">
        <f>HE48/HB48</f>
        <v>0</v>
      </c>
      <c r="HG48" s="619">
        <f>HG42+HG46</f>
        <v>2531288.5500000003</v>
      </c>
      <c r="HH48" s="620">
        <f>HH42+HH46</f>
        <v>2536427.5025000004</v>
      </c>
      <c r="HI48" s="621">
        <f>HH48/HG48</f>
        <v>1.0020301725380143</v>
      </c>
      <c r="HJ48" s="620">
        <f>HJ42+HJ46</f>
        <v>0</v>
      </c>
      <c r="HK48" s="623">
        <f>HJ48/HG48</f>
        <v>0</v>
      </c>
      <c r="HL48" s="619">
        <f>HL42+HL46</f>
        <v>2496964.87</v>
      </c>
      <c r="HM48" s="620">
        <f>HM42+HM46</f>
        <v>2506088.889</v>
      </c>
      <c r="HN48" s="621">
        <f>HM48/HL48</f>
        <v>1.0036540437991823</v>
      </c>
      <c r="HO48" s="620">
        <f>HO42+HO46</f>
        <v>0</v>
      </c>
      <c r="HP48" s="623">
        <f>HO48/HL48</f>
        <v>0</v>
      </c>
      <c r="HQ48" s="619">
        <f>HQ42+HQ46</f>
        <v>2644959.96</v>
      </c>
      <c r="HR48" s="620">
        <f>HR42+HR46</f>
        <v>2652453.2404</v>
      </c>
      <c r="HS48" s="621">
        <f>HR48/HQ48</f>
        <v>1.0028330411474358</v>
      </c>
      <c r="HT48" s="620">
        <f>HT42+HT46</f>
        <v>0</v>
      </c>
      <c r="HU48" s="623">
        <f>HT48/HQ48</f>
        <v>0</v>
      </c>
      <c r="HV48" s="619">
        <f>HV42+HV46</f>
        <v>13095734.310900001</v>
      </c>
      <c r="HW48" s="620">
        <f>HW42+HW46</f>
        <v>0</v>
      </c>
      <c r="HX48" s="620">
        <f>HX42+HX46</f>
        <v>0</v>
      </c>
      <c r="HY48" s="626" t="e">
        <f>HX48/HW48</f>
        <v>#DIV/0!</v>
      </c>
      <c r="HZ48" s="619">
        <f>HZ42+HZ46</f>
        <v>2437674.33</v>
      </c>
      <c r="IA48" s="620">
        <f>IA42+IA46</f>
        <v>2448717.7571999999</v>
      </c>
      <c r="IB48" s="621">
        <f>IA48/HZ48</f>
        <v>1.0045303127920291</v>
      </c>
      <c r="IC48" s="620">
        <f>IC42+IC46</f>
        <v>0</v>
      </c>
      <c r="ID48" s="623">
        <f>IC48/HZ48</f>
        <v>0</v>
      </c>
      <c r="IE48" s="619">
        <f>IE42+IE46</f>
        <v>2666477.04</v>
      </c>
      <c r="IF48" s="620">
        <f>IF42+IF46</f>
        <v>2679750.6715299999</v>
      </c>
      <c r="IG48" s="621">
        <f>IF48/IE48</f>
        <v>1.0049779658068985</v>
      </c>
      <c r="IH48" s="620">
        <f>IH42+IH46</f>
        <v>0</v>
      </c>
      <c r="II48" s="623">
        <f>IH48/IE48</f>
        <v>0</v>
      </c>
      <c r="IJ48" s="619">
        <f>IJ42+IJ46</f>
        <v>2875006.7300000004</v>
      </c>
      <c r="IK48" s="620">
        <f>IK42+IK46</f>
        <v>2889122.7866000002</v>
      </c>
      <c r="IL48" s="621">
        <f>IK48/IJ48</f>
        <v>1.0049099212369494</v>
      </c>
      <c r="IM48" s="620">
        <f>IM42+IM46</f>
        <v>0</v>
      </c>
      <c r="IN48" s="623">
        <f>IM48/IJ48</f>
        <v>0</v>
      </c>
      <c r="IO48" s="619">
        <f>IO42+IO46</f>
        <v>3427347.0799999996</v>
      </c>
      <c r="IP48" s="620">
        <f>IP42+IP46</f>
        <v>3444058.6605000002</v>
      </c>
      <c r="IQ48" s="621">
        <f>IP48/IO48</f>
        <v>1.0048759521898205</v>
      </c>
      <c r="IR48" s="620">
        <f>IR42+IR46</f>
        <v>0</v>
      </c>
      <c r="IS48" s="623">
        <f>IR48/IO48</f>
        <v>0</v>
      </c>
      <c r="IT48" s="619">
        <f>IT42+IT46</f>
        <v>11461649.87583</v>
      </c>
      <c r="IU48" s="620">
        <f>IU42+IU46</f>
        <v>0</v>
      </c>
      <c r="IV48" s="620">
        <f>IV42+IV46</f>
        <v>0</v>
      </c>
      <c r="IW48" s="626" t="e">
        <f>IV48/IU48</f>
        <v>#DIV/0!</v>
      </c>
      <c r="IX48" s="619">
        <f>IX42+IX46</f>
        <v>2514287.4700000002</v>
      </c>
      <c r="IY48" s="620">
        <f>IY42+IY46</f>
        <v>2521037.5204999996</v>
      </c>
      <c r="IZ48" s="621">
        <f>IY48/IX48</f>
        <v>1.0026846773014382</v>
      </c>
      <c r="JA48" s="620">
        <f>JA42+JA46</f>
        <v>0</v>
      </c>
      <c r="JB48" s="623">
        <f>JA48/IX48</f>
        <v>0</v>
      </c>
      <c r="JC48" s="619">
        <f>JC42+JC46</f>
        <v>3176312.3200000003</v>
      </c>
      <c r="JD48" s="620">
        <f>JD42+JD46</f>
        <v>3183104.3901200001</v>
      </c>
      <c r="JE48" s="621">
        <f>JD48/JC48</f>
        <v>1.0021383508407635</v>
      </c>
      <c r="JF48" s="620">
        <f>JF42+JF46</f>
        <v>0</v>
      </c>
      <c r="JG48" s="623">
        <f>JF48/JC48</f>
        <v>0</v>
      </c>
      <c r="JH48" s="619">
        <f>JH42+JH46</f>
        <v>3823494.88</v>
      </c>
      <c r="JI48" s="620">
        <f>JI42+JI46</f>
        <v>3837828.9169999999</v>
      </c>
      <c r="JJ48" s="621">
        <f>JI48/JH48</f>
        <v>1.003748935842697</v>
      </c>
      <c r="JK48" s="620">
        <f>JK42+JK46</f>
        <v>0</v>
      </c>
      <c r="JL48" s="623">
        <f>JK48/JH48</f>
        <v>0</v>
      </c>
      <c r="JM48" s="619">
        <f>JM42+JM46</f>
        <v>4030455.7300000004</v>
      </c>
      <c r="JN48" s="620">
        <f>JN42+JN46</f>
        <v>4012076.0060000001</v>
      </c>
      <c r="JO48" s="621">
        <f>JN48/JM48</f>
        <v>0.99543979013013484</v>
      </c>
      <c r="JP48" s="620">
        <f>JP42+JP46</f>
        <v>0</v>
      </c>
      <c r="JQ48" s="623">
        <f>JP48/JM48</f>
        <v>0</v>
      </c>
      <c r="JR48" s="619">
        <f>JR42+JR46</f>
        <v>13554046.833620001</v>
      </c>
      <c r="JS48" s="620">
        <f>JS42+JS46</f>
        <v>0</v>
      </c>
      <c r="JT48" s="620">
        <f>JT42+JT46</f>
        <v>0</v>
      </c>
      <c r="JU48" s="626" t="e">
        <f>JT48/JS48</f>
        <v>#DIV/0!</v>
      </c>
      <c r="JV48" s="619">
        <f>JV42+JV46</f>
        <v>5382966.8100000005</v>
      </c>
      <c r="JW48" s="620">
        <f>JW42+JW46</f>
        <v>5375563.7740399996</v>
      </c>
      <c r="JX48" s="621">
        <f>JW48/JV48</f>
        <v>0.99862472940642166</v>
      </c>
      <c r="JY48" s="620">
        <f>JY42+JY46</f>
        <v>0</v>
      </c>
      <c r="JZ48" s="623">
        <f>JY48/JV48</f>
        <v>0</v>
      </c>
      <c r="KA48" s="619">
        <f>KA42+KA46</f>
        <v>6678089.3399999999</v>
      </c>
      <c r="KB48" s="620">
        <f>KB42+KB46</f>
        <v>6665278.6087800004</v>
      </c>
      <c r="KC48" s="621">
        <f>KB48/KA48</f>
        <v>0.9980816771732498</v>
      </c>
      <c r="KD48" s="620">
        <f>KD42+KD46</f>
        <v>0</v>
      </c>
      <c r="KE48" s="623">
        <f>KD48/KA48</f>
        <v>0</v>
      </c>
      <c r="KF48" s="619">
        <f>KF42+KF46</f>
        <v>8781773.2899999991</v>
      </c>
      <c r="KG48" s="620">
        <f>KG42+KG46</f>
        <v>8740847.5965249985</v>
      </c>
      <c r="KH48" s="621">
        <f>KG48/KF48</f>
        <v>0.99533970052248977</v>
      </c>
      <c r="KI48" s="620">
        <f>KI42+KI46</f>
        <v>0</v>
      </c>
      <c r="KJ48" s="623">
        <f>KI48/KF48</f>
        <v>0</v>
      </c>
      <c r="KK48" s="619">
        <f>KK42+KK46</f>
        <v>7666986.9399999995</v>
      </c>
      <c r="KL48" s="620">
        <f>KL42+KL46</f>
        <v>7632547.6292499993</v>
      </c>
      <c r="KM48" s="621">
        <f>KL48/KK48</f>
        <v>0.9955081036371245</v>
      </c>
      <c r="KN48" s="620">
        <f>KN42+KN46</f>
        <v>0</v>
      </c>
      <c r="KO48" s="623">
        <f>KN48/KK48</f>
        <v>0</v>
      </c>
      <c r="KP48" s="619">
        <f>KP42+KP46</f>
        <v>2728134.67</v>
      </c>
      <c r="KQ48" s="620">
        <f>KQ42+KQ46</f>
        <v>2715792.8969299998</v>
      </c>
      <c r="KR48" s="621">
        <f>KQ48/KP48</f>
        <v>0.99547611296256133</v>
      </c>
      <c r="KS48" s="620">
        <f>KS42+KS46</f>
        <v>0</v>
      </c>
      <c r="KT48" s="623">
        <f>KS48/KP48</f>
        <v>0</v>
      </c>
      <c r="KU48" s="619">
        <f>KU42+KU46</f>
        <v>31130030.505524997</v>
      </c>
      <c r="KV48" s="620">
        <f>KV42+KV46</f>
        <v>0</v>
      </c>
      <c r="KW48" s="620">
        <f>KW42+KW46</f>
        <v>0</v>
      </c>
      <c r="KX48" s="626" t="e">
        <f>KW48/KV48</f>
        <v>#DIV/0!</v>
      </c>
      <c r="KY48" s="619">
        <f>KY42+KY46</f>
        <v>0</v>
      </c>
      <c r="KZ48" s="619">
        <f>KZ42+KZ46</f>
        <v>0</v>
      </c>
      <c r="LA48" s="627">
        <f>KZ48-KY48</f>
        <v>0</v>
      </c>
      <c r="LB48" s="628" t="e">
        <f>KZ48/KY48</f>
        <v>#DIV/0!</v>
      </c>
    </row>
    <row r="49" spans="1:314" ht="15.75" thickBot="1">
      <c r="A49" s="1495"/>
      <c r="B49" s="418"/>
      <c r="C49" s="1495"/>
      <c r="D49" s="1495"/>
      <c r="E49" s="1495"/>
      <c r="F49" s="1495"/>
      <c r="G49" s="1495"/>
      <c r="H49" s="1495"/>
      <c r="I49" s="1495"/>
      <c r="J49" s="1495"/>
      <c r="K49" s="1495"/>
      <c r="L49" s="1495"/>
      <c r="M49" s="1495"/>
      <c r="N49" s="1495"/>
      <c r="O49" s="1495"/>
      <c r="P49" s="1495"/>
      <c r="Q49" s="1495"/>
      <c r="R49" s="1495"/>
      <c r="S49" s="1495"/>
      <c r="T49" s="1495"/>
      <c r="U49" s="1495"/>
      <c r="V49" s="1495"/>
      <c r="W49" s="1495"/>
      <c r="X49" s="1495"/>
      <c r="Y49" s="1495"/>
      <c r="Z49" s="1495"/>
      <c r="AA49" s="1495"/>
      <c r="AB49" s="1495"/>
      <c r="AC49" s="1495"/>
      <c r="AD49" s="1495"/>
      <c r="AE49" s="1495"/>
      <c r="AF49" s="1495"/>
      <c r="AG49" s="1495"/>
      <c r="AH49" s="1495"/>
      <c r="AI49" s="1495"/>
      <c r="AJ49" s="1495"/>
      <c r="AK49" s="1495"/>
      <c r="AL49" s="1495"/>
      <c r="AM49" s="1495"/>
      <c r="AN49" s="1495"/>
      <c r="AO49" s="1495"/>
      <c r="AP49" s="1495"/>
      <c r="AQ49" s="1495"/>
      <c r="AR49" s="1495"/>
      <c r="AS49" s="1495"/>
      <c r="AT49" s="1495"/>
      <c r="AU49" s="1495"/>
      <c r="AV49" s="1495"/>
      <c r="AW49" s="1495"/>
      <c r="AX49" s="1495"/>
      <c r="AY49" s="1495"/>
      <c r="AZ49" s="1495"/>
      <c r="BA49" s="1495"/>
      <c r="BB49" s="1495"/>
      <c r="BC49" s="1495"/>
      <c r="BD49" s="1495"/>
      <c r="BE49" s="1495"/>
      <c r="BF49" s="1495"/>
      <c r="BG49" s="1495"/>
      <c r="BH49" s="1495"/>
      <c r="BI49" s="1495"/>
      <c r="BJ49" s="1495"/>
      <c r="BK49" s="1495"/>
      <c r="BL49" s="1495"/>
      <c r="BM49" s="1495"/>
      <c r="BN49" s="1495"/>
      <c r="BO49" s="1495"/>
      <c r="BP49" s="418"/>
      <c r="BQ49" s="1495"/>
      <c r="BR49" s="1495"/>
      <c r="BS49" s="1495"/>
      <c r="BT49" s="1495"/>
      <c r="BU49" s="1495"/>
      <c r="BV49" s="1495"/>
      <c r="BW49" s="1495"/>
      <c r="BX49" s="1495"/>
      <c r="BY49" s="1495"/>
      <c r="BZ49" s="1495"/>
      <c r="CA49" s="1495"/>
      <c r="CB49" s="1495"/>
      <c r="CC49" s="1495"/>
      <c r="CD49" s="1495"/>
      <c r="CE49" s="1495"/>
      <c r="CF49" s="1495"/>
      <c r="CG49" s="1495"/>
      <c r="CH49" s="1495"/>
      <c r="CI49" s="1495"/>
      <c r="CJ49" s="1495"/>
      <c r="CK49" s="1495"/>
      <c r="CL49" s="1495"/>
      <c r="CM49" s="1495"/>
      <c r="CN49" s="1495"/>
      <c r="CO49" s="1495"/>
      <c r="CP49" s="1495"/>
      <c r="CQ49" s="1495"/>
      <c r="CR49" s="1495"/>
      <c r="CS49" s="1495"/>
      <c r="CT49" s="1495"/>
      <c r="CU49" s="1495"/>
      <c r="CV49" s="1495"/>
      <c r="CW49" s="1495"/>
      <c r="CX49" s="1495"/>
      <c r="CY49" s="1495"/>
      <c r="CZ49" s="483"/>
      <c r="DA49" s="483"/>
      <c r="DB49" s="1495"/>
      <c r="DC49" s="1495"/>
      <c r="DD49" s="1495"/>
      <c r="DE49" s="483"/>
      <c r="DF49" s="483"/>
      <c r="DG49" s="1495"/>
      <c r="DH49" s="1495"/>
      <c r="DI49" s="1495"/>
      <c r="DJ49" s="483"/>
      <c r="DK49" s="483"/>
      <c r="DL49" s="1495"/>
      <c r="DM49" s="1495"/>
      <c r="DN49" s="1495"/>
      <c r="DO49" s="483"/>
      <c r="DP49" s="483"/>
      <c r="DQ49" s="1495"/>
      <c r="DR49" s="1495"/>
      <c r="DS49" s="1495"/>
      <c r="DT49" s="1495"/>
      <c r="DU49" s="1495"/>
      <c r="DV49" s="1495"/>
      <c r="DW49" s="1495"/>
      <c r="DX49" s="483"/>
      <c r="DY49" s="483"/>
      <c r="DZ49" s="1495"/>
      <c r="EA49" s="1495"/>
      <c r="EB49" s="1495"/>
      <c r="EC49" s="483"/>
      <c r="ED49" s="483"/>
      <c r="EE49" s="1495"/>
      <c r="EF49" s="1495"/>
      <c r="EG49" s="1495"/>
      <c r="EH49" s="483"/>
      <c r="EI49" s="483"/>
      <c r="EJ49" s="1495"/>
      <c r="EK49" s="1495"/>
      <c r="EL49" s="1495"/>
      <c r="EM49" s="483"/>
      <c r="EN49" s="483"/>
      <c r="EO49" s="1495"/>
      <c r="EP49" s="1495"/>
      <c r="EQ49" s="1495"/>
      <c r="ER49" s="483"/>
      <c r="ES49" s="483"/>
      <c r="ET49" s="1495"/>
      <c r="EU49" s="1495"/>
      <c r="EV49" s="1495"/>
      <c r="EW49" s="1495"/>
      <c r="EX49" s="1495"/>
      <c r="EY49" s="1495"/>
      <c r="EZ49" s="1495"/>
      <c r="FA49" s="483"/>
      <c r="FB49" s="483"/>
      <c r="FC49" s="1495"/>
      <c r="FD49" s="1495"/>
      <c r="FE49" s="1495"/>
      <c r="FF49" s="483"/>
      <c r="FG49" s="483"/>
      <c r="FH49" s="1495"/>
      <c r="FI49" s="1495"/>
      <c r="FJ49" s="1495"/>
      <c r="FK49" s="483"/>
      <c r="FL49" s="483"/>
      <c r="FM49" s="1495"/>
      <c r="FN49" s="1495"/>
      <c r="FO49" s="1495"/>
      <c r="FP49" s="483"/>
      <c r="FQ49" s="483"/>
      <c r="FR49" s="1495"/>
      <c r="FS49" s="1495"/>
      <c r="FT49" s="1495"/>
      <c r="FU49" s="1495"/>
      <c r="FV49" s="1495"/>
      <c r="FW49" s="1495"/>
      <c r="FX49" s="1495"/>
      <c r="FY49" s="483"/>
      <c r="FZ49" s="483"/>
      <c r="GA49" s="1495"/>
      <c r="GB49" s="1495"/>
      <c r="GC49" s="1495"/>
      <c r="GD49" s="483"/>
      <c r="GE49" s="483"/>
      <c r="GF49" s="1495"/>
      <c r="GG49" s="1495"/>
      <c r="GH49" s="1495"/>
      <c r="GI49" s="483"/>
      <c r="GJ49" s="483"/>
      <c r="GK49" s="1495"/>
      <c r="GL49" s="1495"/>
      <c r="GM49" s="1495"/>
      <c r="GN49" s="483"/>
      <c r="GO49" s="483"/>
      <c r="GP49" s="1495"/>
      <c r="GQ49" s="1495"/>
      <c r="GR49" s="1495"/>
      <c r="GS49" s="1495"/>
      <c r="GT49" s="1495"/>
      <c r="GU49" s="1495"/>
      <c r="GV49" s="1495"/>
      <c r="GW49" s="483"/>
      <c r="GX49" s="483"/>
      <c r="GY49" s="1495"/>
      <c r="GZ49" s="1495"/>
      <c r="HA49" s="1495"/>
      <c r="HB49" s="483"/>
      <c r="HC49" s="483"/>
      <c r="HD49" s="1495"/>
      <c r="HE49" s="1495"/>
      <c r="HF49" s="1495"/>
      <c r="HG49" s="483"/>
      <c r="HH49" s="483"/>
      <c r="HI49" s="1495"/>
      <c r="HJ49" s="1495"/>
      <c r="HK49" s="1495"/>
      <c r="HL49" s="483"/>
      <c r="HM49" s="483"/>
      <c r="HN49" s="1495"/>
      <c r="HO49" s="1495"/>
      <c r="HP49" s="1495"/>
      <c r="HQ49" s="483"/>
      <c r="HR49" s="483"/>
      <c r="HS49" s="1495"/>
      <c r="HT49" s="1495"/>
      <c r="HU49" s="1495"/>
      <c r="HV49" s="1495"/>
      <c r="HW49" s="1495"/>
      <c r="HX49" s="1495"/>
      <c r="HY49" s="1495"/>
      <c r="HZ49" s="483"/>
      <c r="IA49" s="483"/>
      <c r="IB49" s="1495"/>
      <c r="IC49" s="1495"/>
      <c r="ID49" s="1495"/>
      <c r="IE49" s="483"/>
      <c r="IF49" s="483"/>
      <c r="IG49" s="1495"/>
      <c r="IH49" s="1495"/>
      <c r="II49" s="1495"/>
      <c r="IJ49" s="483"/>
      <c r="IK49" s="483"/>
      <c r="IL49" s="1495"/>
      <c r="IM49" s="1495"/>
      <c r="IN49" s="1495"/>
      <c r="IO49" s="483"/>
      <c r="IP49" s="483"/>
      <c r="IQ49" s="1495"/>
      <c r="IR49" s="1495"/>
      <c r="IS49" s="1495"/>
      <c r="IT49" s="1495"/>
      <c r="IU49" s="1495"/>
      <c r="IV49" s="1495"/>
      <c r="IW49" s="1495"/>
      <c r="IX49" s="483"/>
      <c r="IY49" s="483"/>
      <c r="IZ49" s="1495"/>
      <c r="JA49" s="1495"/>
      <c r="JB49" s="1495"/>
      <c r="JC49" s="483"/>
      <c r="JD49" s="483"/>
      <c r="JE49" s="1495"/>
      <c r="JF49" s="1495"/>
      <c r="JG49" s="1495"/>
      <c r="JH49" s="483"/>
      <c r="JI49" s="483"/>
      <c r="JJ49" s="1495"/>
      <c r="JK49" s="1495"/>
      <c r="JL49" s="1495"/>
      <c r="JM49" s="483"/>
      <c r="JN49" s="483"/>
      <c r="JO49" s="1495"/>
      <c r="JP49" s="1495"/>
      <c r="JQ49" s="1495"/>
      <c r="JR49" s="1495"/>
      <c r="JS49" s="1495"/>
      <c r="JT49" s="1495"/>
      <c r="JU49" s="1495"/>
      <c r="JV49" s="483"/>
      <c r="JW49" s="483"/>
      <c r="JX49" s="1495"/>
      <c r="JY49" s="1495"/>
      <c r="JZ49" s="1495"/>
      <c r="KA49" s="483"/>
      <c r="KB49" s="483"/>
      <c r="KC49" s="1495"/>
      <c r="KD49" s="1495"/>
      <c r="KE49" s="1495"/>
      <c r="KF49" s="483"/>
      <c r="KG49" s="483"/>
      <c r="KH49" s="1495"/>
      <c r="KI49" s="1495"/>
      <c r="KJ49" s="1495"/>
      <c r="KK49" s="483"/>
      <c r="KL49" s="483"/>
      <c r="KM49" s="1495"/>
      <c r="KN49" s="1495"/>
      <c r="KO49" s="1495"/>
      <c r="KP49" s="483"/>
      <c r="KQ49" s="483"/>
      <c r="KR49" s="1495"/>
      <c r="KS49" s="1495"/>
      <c r="KT49" s="1495"/>
      <c r="KU49" s="1495"/>
      <c r="KV49" s="1495"/>
      <c r="KW49" s="1495"/>
      <c r="KX49" s="1495"/>
      <c r="KY49" s="1495"/>
      <c r="KZ49" s="1495"/>
      <c r="LA49" s="1495"/>
      <c r="LB49" s="1495"/>
    </row>
    <row r="50" spans="1:314" ht="15.75" thickBot="1">
      <c r="A50" s="1495"/>
      <c r="B50" s="470" t="s">
        <v>488</v>
      </c>
      <c r="C50" s="1495"/>
      <c r="D50" s="1495"/>
      <c r="E50" s="1495"/>
      <c r="F50" s="1495"/>
      <c r="G50" s="1495"/>
      <c r="H50" s="1495"/>
      <c r="I50" s="1495"/>
      <c r="J50" s="1495"/>
      <c r="K50" s="1495"/>
      <c r="L50" s="1495"/>
      <c r="M50" s="1495"/>
      <c r="N50" s="1495"/>
      <c r="O50" s="1495"/>
      <c r="P50" s="1495"/>
      <c r="Q50" s="1495"/>
      <c r="R50" s="1495"/>
      <c r="S50" s="1495"/>
      <c r="T50" s="1495"/>
      <c r="U50" s="1495"/>
      <c r="V50" s="1495"/>
      <c r="W50" s="1495"/>
      <c r="X50" s="1495"/>
      <c r="Y50" s="1495"/>
      <c r="Z50" s="1495"/>
      <c r="AA50" s="1495"/>
      <c r="AB50" s="1495"/>
      <c r="AC50" s="1495"/>
      <c r="AD50" s="1495"/>
      <c r="AE50" s="1495"/>
      <c r="AF50" s="1495"/>
      <c r="AG50" s="1495"/>
      <c r="AH50" s="1495"/>
      <c r="AI50" s="1495"/>
      <c r="AJ50" s="1495"/>
      <c r="AK50" s="1495"/>
      <c r="AL50" s="1495"/>
      <c r="AM50" s="1495"/>
      <c r="AN50" s="1495"/>
      <c r="AO50" s="1495"/>
      <c r="AP50" s="1495"/>
      <c r="AQ50" s="1495"/>
      <c r="AR50" s="1495"/>
      <c r="AS50" s="1495"/>
      <c r="AT50" s="1495"/>
      <c r="AU50" s="1495"/>
      <c r="AV50" s="1495"/>
      <c r="AW50" s="1495"/>
      <c r="AX50" s="1495"/>
      <c r="AY50" s="1495"/>
      <c r="AZ50" s="1495"/>
      <c r="BA50" s="1495"/>
      <c r="BB50" s="1495"/>
      <c r="BC50" s="1495"/>
      <c r="BD50" s="1495"/>
      <c r="BE50" s="1495"/>
      <c r="BF50" s="1495"/>
      <c r="BG50" s="1495"/>
      <c r="BH50" s="1495"/>
      <c r="BI50" s="1495"/>
      <c r="BJ50" s="1495"/>
      <c r="BK50" s="1495"/>
      <c r="BL50" s="1495"/>
      <c r="BM50" s="1495"/>
      <c r="BN50" s="886"/>
      <c r="BO50" s="461"/>
      <c r="BP50" s="461"/>
      <c r="BQ50" s="461"/>
      <c r="BR50" s="883"/>
      <c r="BS50" s="886"/>
      <c r="BT50" s="461"/>
      <c r="BU50" s="461"/>
      <c r="BV50" s="461"/>
      <c r="BW50" s="883"/>
      <c r="BX50" s="461"/>
      <c r="BY50" s="461"/>
      <c r="BZ50" s="461"/>
      <c r="CA50" s="461"/>
      <c r="CB50" s="886"/>
      <c r="CC50" s="461"/>
      <c r="CD50" s="461"/>
      <c r="CE50" s="461"/>
      <c r="CF50" s="883"/>
      <c r="CG50" s="886"/>
      <c r="CH50" s="461"/>
      <c r="CI50" s="461"/>
      <c r="CJ50" s="461"/>
      <c r="CK50" s="883"/>
      <c r="CL50" s="886"/>
      <c r="CM50" s="461"/>
      <c r="CN50" s="461"/>
      <c r="CO50" s="461"/>
      <c r="CP50" s="883"/>
      <c r="CQ50" s="886"/>
      <c r="CR50" s="461"/>
      <c r="CS50" s="461"/>
      <c r="CT50" s="461"/>
      <c r="CU50" s="883"/>
      <c r="CV50" s="882" t="s">
        <v>63</v>
      </c>
      <c r="CW50" s="882" t="s">
        <v>592</v>
      </c>
      <c r="CX50" s="882" t="s">
        <v>593</v>
      </c>
      <c r="CY50" s="882" t="s">
        <v>594</v>
      </c>
      <c r="CZ50" s="885"/>
      <c r="DA50" s="884"/>
      <c r="DB50" s="461"/>
      <c r="DC50" s="461"/>
      <c r="DD50" s="883"/>
      <c r="DE50" s="885"/>
      <c r="DF50" s="884"/>
      <c r="DG50" s="461"/>
      <c r="DH50" s="461"/>
      <c r="DI50" s="883"/>
      <c r="DJ50" s="885"/>
      <c r="DK50" s="884"/>
      <c r="DL50" s="461"/>
      <c r="DM50" s="461"/>
      <c r="DN50" s="883"/>
      <c r="DO50" s="885"/>
      <c r="DP50" s="884"/>
      <c r="DQ50" s="461"/>
      <c r="DR50" s="461"/>
      <c r="DS50" s="883"/>
      <c r="DT50" s="882" t="s">
        <v>63</v>
      </c>
      <c r="DU50" s="882" t="s">
        <v>592</v>
      </c>
      <c r="DV50" s="882" t="s">
        <v>593</v>
      </c>
      <c r="DW50" s="882" t="s">
        <v>594</v>
      </c>
      <c r="DX50" s="885"/>
      <c r="DY50" s="884"/>
      <c r="DZ50" s="461"/>
      <c r="EA50" s="461"/>
      <c r="EB50" s="883"/>
      <c r="EC50" s="885"/>
      <c r="ED50" s="884"/>
      <c r="EE50" s="461"/>
      <c r="EF50" s="461"/>
      <c r="EG50" s="883"/>
      <c r="EH50" s="885"/>
      <c r="EI50" s="884"/>
      <c r="EJ50" s="461"/>
      <c r="EK50" s="461"/>
      <c r="EL50" s="883"/>
      <c r="EM50" s="885"/>
      <c r="EN50" s="884"/>
      <c r="EO50" s="461"/>
      <c r="EP50" s="461"/>
      <c r="EQ50" s="883"/>
      <c r="ER50" s="885"/>
      <c r="ES50" s="884"/>
      <c r="ET50" s="461"/>
      <c r="EU50" s="461"/>
      <c r="EV50" s="883"/>
      <c r="EW50" s="882" t="s">
        <v>63</v>
      </c>
      <c r="EX50" s="882" t="s">
        <v>592</v>
      </c>
      <c r="EY50" s="882" t="s">
        <v>593</v>
      </c>
      <c r="EZ50" s="882" t="s">
        <v>594</v>
      </c>
      <c r="FA50" s="885"/>
      <c r="FB50" s="884"/>
      <c r="FC50" s="461"/>
      <c r="FD50" s="461"/>
      <c r="FE50" s="883"/>
      <c r="FF50" s="885"/>
      <c r="FG50" s="884"/>
      <c r="FH50" s="461"/>
      <c r="FI50" s="461"/>
      <c r="FJ50" s="883"/>
      <c r="FK50" s="885"/>
      <c r="FL50" s="884"/>
      <c r="FM50" s="461"/>
      <c r="FN50" s="461"/>
      <c r="FO50" s="883"/>
      <c r="FP50" s="885"/>
      <c r="FQ50" s="884"/>
      <c r="FR50" s="461"/>
      <c r="FS50" s="461"/>
      <c r="FT50" s="883"/>
      <c r="FU50" s="882" t="s">
        <v>63</v>
      </c>
      <c r="FV50" s="882" t="s">
        <v>592</v>
      </c>
      <c r="FW50" s="882" t="s">
        <v>593</v>
      </c>
      <c r="FX50" s="882" t="s">
        <v>594</v>
      </c>
      <c r="FY50" s="885"/>
      <c r="FZ50" s="884"/>
      <c r="GA50" s="461"/>
      <c r="GB50" s="461"/>
      <c r="GC50" s="883"/>
      <c r="GD50" s="885"/>
      <c r="GE50" s="884"/>
      <c r="GF50" s="461"/>
      <c r="GG50" s="461"/>
      <c r="GH50" s="883"/>
      <c r="GI50" s="885"/>
      <c r="GJ50" s="884"/>
      <c r="GK50" s="461"/>
      <c r="GL50" s="461"/>
      <c r="GM50" s="883"/>
      <c r="GN50" s="885"/>
      <c r="GO50" s="884"/>
      <c r="GP50" s="461"/>
      <c r="GQ50" s="461"/>
      <c r="GR50" s="883"/>
      <c r="GS50" s="882" t="s">
        <v>63</v>
      </c>
      <c r="GT50" s="882" t="s">
        <v>592</v>
      </c>
      <c r="GU50" s="882" t="s">
        <v>593</v>
      </c>
      <c r="GV50" s="882" t="s">
        <v>594</v>
      </c>
      <c r="GW50" s="885"/>
      <c r="GX50" s="884"/>
      <c r="GY50" s="461"/>
      <c r="GZ50" s="461"/>
      <c r="HA50" s="883"/>
      <c r="HB50" s="885"/>
      <c r="HC50" s="884"/>
      <c r="HD50" s="461"/>
      <c r="HE50" s="461"/>
      <c r="HF50" s="883"/>
      <c r="HG50" s="885"/>
      <c r="HH50" s="884"/>
      <c r="HI50" s="461"/>
      <c r="HJ50" s="461"/>
      <c r="HK50" s="883"/>
      <c r="HL50" s="885"/>
      <c r="HM50" s="884"/>
      <c r="HN50" s="461"/>
      <c r="HO50" s="461"/>
      <c r="HP50" s="883"/>
      <c r="HQ50" s="885"/>
      <c r="HR50" s="884"/>
      <c r="HS50" s="461"/>
      <c r="HT50" s="461"/>
      <c r="HU50" s="883"/>
      <c r="HV50" s="882" t="s">
        <v>63</v>
      </c>
      <c r="HW50" s="882" t="s">
        <v>592</v>
      </c>
      <c r="HX50" s="882" t="s">
        <v>593</v>
      </c>
      <c r="HY50" s="882" t="s">
        <v>594</v>
      </c>
      <c r="HZ50" s="885"/>
      <c r="IA50" s="884"/>
      <c r="IB50" s="461"/>
      <c r="IC50" s="461"/>
      <c r="ID50" s="883"/>
      <c r="IE50" s="885"/>
      <c r="IF50" s="884"/>
      <c r="IG50" s="461"/>
      <c r="IH50" s="461"/>
      <c r="II50" s="883"/>
      <c r="IJ50" s="885"/>
      <c r="IK50" s="884"/>
      <c r="IL50" s="461"/>
      <c r="IM50" s="461"/>
      <c r="IN50" s="883"/>
      <c r="IO50" s="885"/>
      <c r="IP50" s="884"/>
      <c r="IQ50" s="461"/>
      <c r="IR50" s="461"/>
      <c r="IS50" s="883"/>
      <c r="IT50" s="882" t="s">
        <v>63</v>
      </c>
      <c r="IU50" s="882" t="s">
        <v>592</v>
      </c>
      <c r="IV50" s="882" t="s">
        <v>593</v>
      </c>
      <c r="IW50" s="882" t="s">
        <v>594</v>
      </c>
      <c r="IX50" s="885"/>
      <c r="IY50" s="884"/>
      <c r="IZ50" s="461"/>
      <c r="JA50" s="461"/>
      <c r="JB50" s="883"/>
      <c r="JC50" s="885"/>
      <c r="JD50" s="884"/>
      <c r="JE50" s="461"/>
      <c r="JF50" s="461"/>
      <c r="JG50" s="883"/>
      <c r="JH50" s="885"/>
      <c r="JI50" s="884"/>
      <c r="JJ50" s="461"/>
      <c r="JK50" s="461"/>
      <c r="JL50" s="883"/>
      <c r="JM50" s="885"/>
      <c r="JN50" s="884"/>
      <c r="JO50" s="461"/>
      <c r="JP50" s="461"/>
      <c r="JQ50" s="883"/>
      <c r="JR50" s="882" t="s">
        <v>63</v>
      </c>
      <c r="JS50" s="882" t="s">
        <v>592</v>
      </c>
      <c r="JT50" s="882" t="s">
        <v>593</v>
      </c>
      <c r="JU50" s="882" t="s">
        <v>594</v>
      </c>
      <c r="JV50" s="885"/>
      <c r="JW50" s="884"/>
      <c r="JX50" s="461"/>
      <c r="JY50" s="461"/>
      <c r="JZ50" s="883"/>
      <c r="KA50" s="885"/>
      <c r="KB50" s="884"/>
      <c r="KC50" s="461"/>
      <c r="KD50" s="461"/>
      <c r="KE50" s="883"/>
      <c r="KF50" s="885"/>
      <c r="KG50" s="884"/>
      <c r="KH50" s="461"/>
      <c r="KI50" s="461"/>
      <c r="KJ50" s="883"/>
      <c r="KK50" s="885"/>
      <c r="KL50" s="884"/>
      <c r="KM50" s="461"/>
      <c r="KN50" s="461"/>
      <c r="KO50" s="883"/>
      <c r="KP50" s="885"/>
      <c r="KQ50" s="884"/>
      <c r="KR50" s="461"/>
      <c r="KS50" s="461"/>
      <c r="KT50" s="883"/>
      <c r="KU50" s="882" t="s">
        <v>63</v>
      </c>
      <c r="KV50" s="882" t="s">
        <v>592</v>
      </c>
      <c r="KW50" s="882" t="s">
        <v>593</v>
      </c>
      <c r="KX50" s="881" t="s">
        <v>594</v>
      </c>
      <c r="KY50" s="880" t="s">
        <v>510</v>
      </c>
      <c r="KZ50" s="879" t="s">
        <v>68</v>
      </c>
      <c r="LA50" s="879" t="s">
        <v>594</v>
      </c>
      <c r="LB50" s="879" t="s">
        <v>5</v>
      </c>
    </row>
    <row r="51" spans="1:314">
      <c r="A51" s="1495"/>
      <c r="B51" s="471" t="s">
        <v>489</v>
      </c>
      <c r="C51" s="1495"/>
      <c r="D51" s="1495"/>
      <c r="E51" s="1495"/>
      <c r="F51" s="1495"/>
      <c r="G51" s="1495"/>
      <c r="H51" s="1495"/>
      <c r="I51" s="1495"/>
      <c r="J51" s="1495"/>
      <c r="K51" s="1495"/>
      <c r="L51" s="1495"/>
      <c r="M51" s="1495"/>
      <c r="N51" s="1495"/>
      <c r="O51" s="1495"/>
      <c r="P51" s="1495"/>
      <c r="Q51" s="1495"/>
      <c r="R51" s="1495"/>
      <c r="S51" s="1495"/>
      <c r="T51" s="1495"/>
      <c r="U51" s="1495"/>
      <c r="V51" s="1495"/>
      <c r="W51" s="1495"/>
      <c r="X51" s="1495"/>
      <c r="Y51" s="1495"/>
      <c r="Z51" s="1495"/>
      <c r="AA51" s="1495"/>
      <c r="AB51" s="1495"/>
      <c r="AC51" s="1495"/>
      <c r="AD51" s="1495"/>
      <c r="AE51" s="1495"/>
      <c r="AF51" s="1495"/>
      <c r="AG51" s="1495"/>
      <c r="AH51" s="1495"/>
      <c r="AI51" s="1495"/>
      <c r="AJ51" s="1495"/>
      <c r="AK51" s="1495"/>
      <c r="AL51" s="1495"/>
      <c r="AM51" s="1495"/>
      <c r="AN51" s="1495"/>
      <c r="AO51" s="1495"/>
      <c r="AP51" s="1495"/>
      <c r="AQ51" s="1495"/>
      <c r="AR51" s="1495"/>
      <c r="AS51" s="1495"/>
      <c r="AT51" s="1495"/>
      <c r="AU51" s="1495"/>
      <c r="AV51" s="1495"/>
      <c r="AW51" s="1495"/>
      <c r="AX51" s="1495"/>
      <c r="AY51" s="1495"/>
      <c r="AZ51" s="1495"/>
      <c r="BA51" s="1495"/>
      <c r="BB51" s="1495"/>
      <c r="BC51" s="1495"/>
      <c r="BD51" s="1495"/>
      <c r="BE51" s="1495"/>
      <c r="BF51" s="1495"/>
      <c r="BG51" s="1495"/>
      <c r="BH51" s="1495"/>
      <c r="BI51" s="1495"/>
      <c r="BJ51" s="1495"/>
      <c r="BK51" s="1495"/>
      <c r="BL51" s="1495"/>
      <c r="BM51" s="1495"/>
      <c r="BN51" s="466">
        <f>BN48*0.5</f>
        <v>1255484.4550000001</v>
      </c>
      <c r="BO51" s="460">
        <f>BO48*0.5</f>
        <v>1259741.3167499998</v>
      </c>
      <c r="BP51" s="458"/>
      <c r="BQ51" s="460">
        <f>BQ48*0.5</f>
        <v>0</v>
      </c>
      <c r="BR51" s="467">
        <f>BQ51-BO51</f>
        <v>-1259741.3167499998</v>
      </c>
      <c r="BS51" s="466">
        <f>BS48*0.5</f>
        <v>1319681.1949999998</v>
      </c>
      <c r="BT51" s="460">
        <f>BT48*0.5</f>
        <v>1322572.6760300002</v>
      </c>
      <c r="BU51" s="458"/>
      <c r="BV51" s="460">
        <f>BV48*0.5</f>
        <v>0</v>
      </c>
      <c r="BW51" s="467">
        <f>BV51-BT51</f>
        <v>-1322572.6760300002</v>
      </c>
      <c r="BX51" s="803"/>
      <c r="BY51" s="803"/>
      <c r="BZ51" s="803"/>
      <c r="CA51" s="803"/>
      <c r="CB51" s="466">
        <f>CB48*0.5</f>
        <v>1384264.2149999999</v>
      </c>
      <c r="CC51" s="460">
        <f>CC48*0.5</f>
        <v>1382168.9124400001</v>
      </c>
      <c r="CD51" s="458"/>
      <c r="CE51" s="460">
        <f>CE48*0.5</f>
        <v>0</v>
      </c>
      <c r="CF51" s="467">
        <f>CE51-CC51</f>
        <v>-1382168.9124400001</v>
      </c>
      <c r="CG51" s="466">
        <f>CG48*0.5</f>
        <v>1467278.9049999998</v>
      </c>
      <c r="CH51" s="460">
        <f>CH48*0.5</f>
        <v>1463031.7469625</v>
      </c>
      <c r="CI51" s="458"/>
      <c r="CJ51" s="460">
        <f>CJ48*0.5</f>
        <v>0</v>
      </c>
      <c r="CK51" s="467">
        <f>CJ51-CH51</f>
        <v>-1463031.7469625</v>
      </c>
      <c r="CL51" s="466">
        <f>CL48*0.5</f>
        <v>1421568.125</v>
      </c>
      <c r="CM51" s="460">
        <f>CM48*0.5</f>
        <v>1417876.9092000001</v>
      </c>
      <c r="CN51" s="458"/>
      <c r="CO51" s="460">
        <f>CO48*0.5</f>
        <v>0</v>
      </c>
      <c r="CP51" s="467">
        <f>CO51-CM51</f>
        <v>-1417876.9092000001</v>
      </c>
      <c r="CQ51" s="466">
        <f>CQ48*0.5</f>
        <v>1692015.1500000001</v>
      </c>
      <c r="CR51" s="460">
        <f>CR48*0.5</f>
        <v>1684261.5734375</v>
      </c>
      <c r="CS51" s="458"/>
      <c r="CT51" s="460">
        <f>CT48*0.5</f>
        <v>0</v>
      </c>
      <c r="CU51" s="465">
        <f>CT51-CR51</f>
        <v>-1684261.5734375</v>
      </c>
      <c r="CV51" s="878">
        <f>CC51+CH51+CM51+CR51</f>
        <v>5947339.1420400003</v>
      </c>
      <c r="CW51" s="877"/>
      <c r="CX51" s="876">
        <f>CT51+CO51+CJ51+CE51</f>
        <v>0</v>
      </c>
      <c r="CY51" s="875">
        <f>CX51-CW51</f>
        <v>0</v>
      </c>
      <c r="CZ51" s="484">
        <f>CZ48*0.5</f>
        <v>1993923.3049999999</v>
      </c>
      <c r="DA51" s="485">
        <f>DA48*0.5</f>
        <v>2002697.0680499999</v>
      </c>
      <c r="DB51" s="458"/>
      <c r="DC51" s="460">
        <f>DC48*0.5</f>
        <v>0</v>
      </c>
      <c r="DD51" s="465">
        <f>DC51-DA51</f>
        <v>-2002697.0680499999</v>
      </c>
      <c r="DE51" s="484">
        <f>DE48*0.5</f>
        <v>1447398.875</v>
      </c>
      <c r="DF51" s="485">
        <f>DF48*0.5</f>
        <v>1442987.188875</v>
      </c>
      <c r="DG51" s="458"/>
      <c r="DH51" s="460">
        <f>DH48*0.5</f>
        <v>0</v>
      </c>
      <c r="DI51" s="465">
        <f>DH51-DF51</f>
        <v>-1442987.188875</v>
      </c>
      <c r="DJ51" s="484">
        <f>DJ48*0.5</f>
        <v>1294642.6499999999</v>
      </c>
      <c r="DK51" s="485">
        <f>DK48*0.5</f>
        <v>1294684.6483</v>
      </c>
      <c r="DL51" s="458"/>
      <c r="DM51" s="460">
        <f>DM48*0.5</f>
        <v>0</v>
      </c>
      <c r="DN51" s="465">
        <f>DM51-DK51</f>
        <v>-1294684.6483</v>
      </c>
      <c r="DO51" s="484">
        <f>DO48*0.5</f>
        <v>1295244.0250000001</v>
      </c>
      <c r="DP51" s="485">
        <f>DP48*0.5</f>
        <v>1290079.3599374997</v>
      </c>
      <c r="DQ51" s="458"/>
      <c r="DR51" s="460">
        <f>DR48*0.5</f>
        <v>0</v>
      </c>
      <c r="DS51" s="465">
        <f>DR51-DP51</f>
        <v>-1290079.3599374997</v>
      </c>
      <c r="DT51" s="878">
        <f>DA51+DF51+DK51+DP51</f>
        <v>6030448.2651624996</v>
      </c>
      <c r="DU51" s="877"/>
      <c r="DV51" s="876">
        <f>DR51+DM51+DH51+DC51</f>
        <v>0</v>
      </c>
      <c r="DW51" s="875">
        <f>DV51-DU51</f>
        <v>0</v>
      </c>
      <c r="DX51" s="484">
        <f>DX48*0.5</f>
        <v>1326480.25</v>
      </c>
      <c r="DY51" s="485">
        <f>DY48*0.5</f>
        <v>1327313.49725</v>
      </c>
      <c r="DZ51" s="458"/>
      <c r="EA51" s="460">
        <f>EA48*0.5</f>
        <v>0</v>
      </c>
      <c r="EB51" s="465">
        <f>EA51-DY51</f>
        <v>-1327313.49725</v>
      </c>
      <c r="EC51" s="484">
        <f>EC48*0.5</f>
        <v>1520791.5</v>
      </c>
      <c r="ED51" s="485">
        <f>ED48*0.5</f>
        <v>1525368.5037500001</v>
      </c>
      <c r="EE51" s="458"/>
      <c r="EF51" s="460">
        <f>EF48*0.5</f>
        <v>0</v>
      </c>
      <c r="EG51" s="465">
        <f>EF51-ED51</f>
        <v>-1525368.5037500001</v>
      </c>
      <c r="EH51" s="484">
        <f>EH48*0.5</f>
        <v>1594454.0449999999</v>
      </c>
      <c r="EI51" s="485">
        <f>EI48*0.5</f>
        <v>1598837.131265</v>
      </c>
      <c r="EJ51" s="458"/>
      <c r="EK51" s="460">
        <f>EK48*0.5</f>
        <v>0</v>
      </c>
      <c r="EL51" s="465">
        <f>EK51-EI51</f>
        <v>-1598837.131265</v>
      </c>
      <c r="EM51" s="484">
        <f>EM48*0.5</f>
        <v>1709458.085</v>
      </c>
      <c r="EN51" s="485">
        <f>EN48*0.5</f>
        <v>1702810.9370900001</v>
      </c>
      <c r="EO51" s="458"/>
      <c r="EP51" s="460">
        <f>EP48*0.5</f>
        <v>0</v>
      </c>
      <c r="EQ51" s="465">
        <f>EP51-EN51</f>
        <v>-1702810.9370900001</v>
      </c>
      <c r="ER51" s="484">
        <f>ER48*0.5</f>
        <v>1638915.77</v>
      </c>
      <c r="ES51" s="485">
        <f>ES48*0.5</f>
        <v>1630821.45052</v>
      </c>
      <c r="ET51" s="458"/>
      <c r="EU51" s="460">
        <f>EU48*0.5</f>
        <v>0</v>
      </c>
      <c r="EV51" s="465">
        <f>EU51-ES51</f>
        <v>-1630821.45052</v>
      </c>
      <c r="EW51" s="878">
        <f>ED51+EI51+EN51+ES51</f>
        <v>6457838.0226249993</v>
      </c>
      <c r="EX51" s="877"/>
      <c r="EY51" s="876">
        <f>EU51+EP51+EK51+EF51</f>
        <v>0</v>
      </c>
      <c r="EZ51" s="875">
        <f>EY51-EX51</f>
        <v>0</v>
      </c>
      <c r="FA51" s="484">
        <f>FA48*0.5</f>
        <v>1462878.415</v>
      </c>
      <c r="FB51" s="485">
        <f>FB48*0.5</f>
        <v>1465288.7559199999</v>
      </c>
      <c r="FC51" s="458"/>
      <c r="FD51" s="460">
        <f>FD48*0.5</f>
        <v>0</v>
      </c>
      <c r="FE51" s="465">
        <f>FD51-FB51</f>
        <v>-1465288.7559199999</v>
      </c>
      <c r="FF51" s="484">
        <f>FF48*0.5</f>
        <v>1523933.6600000001</v>
      </c>
      <c r="FG51" s="485">
        <f>FG48*0.5</f>
        <v>1518182.254195</v>
      </c>
      <c r="FH51" s="458"/>
      <c r="FI51" s="460">
        <f>FI48*0.5</f>
        <v>0</v>
      </c>
      <c r="FJ51" s="465">
        <f>FI51-FG51</f>
        <v>-1518182.254195</v>
      </c>
      <c r="FK51" s="484">
        <f>FK48*0.5</f>
        <v>1418940.2050000001</v>
      </c>
      <c r="FL51" s="485">
        <f>FL48*0.5</f>
        <v>1412261.6040000003</v>
      </c>
      <c r="FM51" s="458"/>
      <c r="FN51" s="460">
        <f>FN48*0.5</f>
        <v>0</v>
      </c>
      <c r="FO51" s="465">
        <f>FN51-FL51</f>
        <v>-1412261.6040000003</v>
      </c>
      <c r="FP51" s="484">
        <f>FP48*0.5</f>
        <v>1484795.2</v>
      </c>
      <c r="FQ51" s="485">
        <f>FQ48*0.5</f>
        <v>1480582.8159099999</v>
      </c>
      <c r="FR51" s="458"/>
      <c r="FS51" s="460">
        <f>FS48*0.5</f>
        <v>0</v>
      </c>
      <c r="FT51" s="465">
        <f>FS51-FQ51</f>
        <v>-1480582.8159099999</v>
      </c>
      <c r="FU51" s="878">
        <f>FB51+FG51+FL51+FQ51</f>
        <v>5876315.4300250001</v>
      </c>
      <c r="FV51" s="877"/>
      <c r="FW51" s="876">
        <f>FS51+FN51+FI51+FD51</f>
        <v>0</v>
      </c>
      <c r="FX51" s="875">
        <f>FW51-FV51</f>
        <v>0</v>
      </c>
      <c r="FY51" s="484">
        <f>FY48*0.5</f>
        <v>1419231.0950000002</v>
      </c>
      <c r="FZ51" s="485">
        <f>FZ48*0.5</f>
        <v>1412572.0285049998</v>
      </c>
      <c r="GA51" s="458"/>
      <c r="GB51" s="460">
        <f>GB48*0.5</f>
        <v>0</v>
      </c>
      <c r="GC51" s="465">
        <f>GB51-FZ51</f>
        <v>-1412572.0285049998</v>
      </c>
      <c r="GD51" s="484">
        <f>GD48*0.5</f>
        <v>1354332.96</v>
      </c>
      <c r="GE51" s="485">
        <f>GE48*0.5</f>
        <v>1359800.0173575003</v>
      </c>
      <c r="GF51" s="458"/>
      <c r="GG51" s="460">
        <f>GG48*0.5</f>
        <v>0</v>
      </c>
      <c r="GH51" s="465">
        <f>GG51-GE51</f>
        <v>-1359800.0173575003</v>
      </c>
      <c r="GI51" s="484">
        <f>GI48*0.5</f>
        <v>1383055.12</v>
      </c>
      <c r="GJ51" s="485">
        <f>GJ48*0.5</f>
        <v>1388681.46325</v>
      </c>
      <c r="GK51" s="458"/>
      <c r="GL51" s="460">
        <f>GL48*0.5</f>
        <v>0</v>
      </c>
      <c r="GM51" s="465">
        <f>GL51-GJ51</f>
        <v>-1388681.46325</v>
      </c>
      <c r="GN51" s="484">
        <f>GN48*0.5</f>
        <v>1345828.2250000001</v>
      </c>
      <c r="GO51" s="485">
        <f>GO48*0.5</f>
        <v>1348481.56751</v>
      </c>
      <c r="GP51" s="458"/>
      <c r="GQ51" s="460">
        <f>GQ48*0.5</f>
        <v>0</v>
      </c>
      <c r="GR51" s="465">
        <f>GQ51-GO51</f>
        <v>-1348481.56751</v>
      </c>
      <c r="GS51" s="878">
        <f>FZ51+GE51+GJ51+GO51</f>
        <v>5509535.0766225001</v>
      </c>
      <c r="GT51" s="877"/>
      <c r="GU51" s="876">
        <f>GQ51+GL51+GG51+GB51</f>
        <v>0</v>
      </c>
      <c r="GV51" s="875">
        <f>GU51-GT51</f>
        <v>0</v>
      </c>
      <c r="GW51" s="484">
        <f>GW48*0.5</f>
        <v>1353960</v>
      </c>
      <c r="GX51" s="485">
        <f>GX48*0.5</f>
        <v>1354948.5</v>
      </c>
      <c r="GY51" s="458"/>
      <c r="GZ51" s="460">
        <f>GZ48*0.5</f>
        <v>0</v>
      </c>
      <c r="HA51" s="465">
        <f>GZ51-GX51</f>
        <v>-1354948.5</v>
      </c>
      <c r="HB51" s="484">
        <f>HB48*0.5</f>
        <v>1351505.16</v>
      </c>
      <c r="HC51" s="485">
        <f>HC48*0.5</f>
        <v>1345433.8395</v>
      </c>
      <c r="HD51" s="458"/>
      <c r="HE51" s="460">
        <f>HE48*0.5</f>
        <v>0</v>
      </c>
      <c r="HF51" s="465">
        <f>HE51-HC51</f>
        <v>-1345433.8395</v>
      </c>
      <c r="HG51" s="484">
        <f>HG48*0.5</f>
        <v>1265644.2750000001</v>
      </c>
      <c r="HH51" s="485">
        <f>HH48*0.5</f>
        <v>1268213.7512500002</v>
      </c>
      <c r="HI51" s="458"/>
      <c r="HJ51" s="460">
        <f>HJ48*0.5</f>
        <v>0</v>
      </c>
      <c r="HK51" s="465">
        <f>HJ51-HH51</f>
        <v>-1268213.7512500002</v>
      </c>
      <c r="HL51" s="484">
        <f>HL48*0.5</f>
        <v>1248482.4350000001</v>
      </c>
      <c r="HM51" s="485">
        <f>HM48*0.5</f>
        <v>1253044.4445</v>
      </c>
      <c r="HN51" s="458"/>
      <c r="HO51" s="460">
        <f>HO48*0.5</f>
        <v>0</v>
      </c>
      <c r="HP51" s="465">
        <f>HO51-HM51</f>
        <v>-1253044.4445</v>
      </c>
      <c r="HQ51" s="484">
        <f>HQ48*0.5</f>
        <v>1322479.98</v>
      </c>
      <c r="HR51" s="485">
        <f>HR48*0.5</f>
        <v>1326226.6202</v>
      </c>
      <c r="HS51" s="458"/>
      <c r="HT51" s="460">
        <f>HT48*0.5</f>
        <v>0</v>
      </c>
      <c r="HU51" s="465">
        <f>HT51-HR51</f>
        <v>-1326226.6202</v>
      </c>
      <c r="HV51" s="878">
        <f>HC51+HH51+HM51+HR51</f>
        <v>5192918.6554500004</v>
      </c>
      <c r="HW51" s="877"/>
      <c r="HX51" s="876">
        <f>HT51+HO51+HJ51+HE51</f>
        <v>0</v>
      </c>
      <c r="HY51" s="875">
        <f>HX51-HW51</f>
        <v>0</v>
      </c>
      <c r="HZ51" s="484">
        <f>HZ48*0.5</f>
        <v>1218837.165</v>
      </c>
      <c r="IA51" s="485">
        <f>IA48*0.5</f>
        <v>1224358.8785999999</v>
      </c>
      <c r="IB51" s="458"/>
      <c r="IC51" s="460">
        <f>IC48*0.5</f>
        <v>0</v>
      </c>
      <c r="ID51" s="465">
        <f>IC51-IA51</f>
        <v>-1224358.8785999999</v>
      </c>
      <c r="IE51" s="484">
        <f>IE48*0.5</f>
        <v>1333238.52</v>
      </c>
      <c r="IF51" s="485">
        <f>IF48*0.5</f>
        <v>1339875.335765</v>
      </c>
      <c r="IG51" s="458"/>
      <c r="IH51" s="460">
        <f>IH48*0.5</f>
        <v>0</v>
      </c>
      <c r="II51" s="465">
        <f>IH51-IF51</f>
        <v>-1339875.335765</v>
      </c>
      <c r="IJ51" s="484">
        <f>IJ48*0.5</f>
        <v>1437503.3650000002</v>
      </c>
      <c r="IK51" s="485">
        <f>IK48*0.5</f>
        <v>1444561.3933000001</v>
      </c>
      <c r="IL51" s="458"/>
      <c r="IM51" s="460">
        <f>IM48*0.5</f>
        <v>0</v>
      </c>
      <c r="IN51" s="465">
        <f>IM51-IK51</f>
        <v>-1444561.3933000001</v>
      </c>
      <c r="IO51" s="484">
        <f>IO48*0.5</f>
        <v>1713673.5399999998</v>
      </c>
      <c r="IP51" s="485">
        <f>IP48*0.5</f>
        <v>1722029.3302500001</v>
      </c>
      <c r="IQ51" s="458"/>
      <c r="IR51" s="460">
        <f>IR48*0.5</f>
        <v>0</v>
      </c>
      <c r="IS51" s="465">
        <f>IR51-IP51</f>
        <v>-1722029.3302500001</v>
      </c>
      <c r="IT51" s="878">
        <f>IA51+IF51+IK51+IP51</f>
        <v>5730824.9379150001</v>
      </c>
      <c r="IU51" s="877"/>
      <c r="IV51" s="876">
        <f>IR51+IM51+IH51+IC51</f>
        <v>0</v>
      </c>
      <c r="IW51" s="875">
        <f>IV51-IU51</f>
        <v>0</v>
      </c>
      <c r="IX51" s="484">
        <f>IX48*0.5</f>
        <v>1257143.7350000001</v>
      </c>
      <c r="IY51" s="485">
        <f>IY48*0.5</f>
        <v>1260518.7602499998</v>
      </c>
      <c r="IZ51" s="458"/>
      <c r="JA51" s="460">
        <f>JA48*0.5</f>
        <v>0</v>
      </c>
      <c r="JB51" s="465">
        <f>JA51-IY51</f>
        <v>-1260518.7602499998</v>
      </c>
      <c r="JC51" s="484">
        <f>JC48*0.5</f>
        <v>1588156.1600000001</v>
      </c>
      <c r="JD51" s="485">
        <f>JD48*0.5</f>
        <v>1591552.1950600001</v>
      </c>
      <c r="JE51" s="458"/>
      <c r="JF51" s="460">
        <f>JF48*0.5</f>
        <v>0</v>
      </c>
      <c r="JG51" s="465">
        <f>JF51-JD51</f>
        <v>-1591552.1950600001</v>
      </c>
      <c r="JH51" s="484">
        <f>JH48*0.5</f>
        <v>1911747.44</v>
      </c>
      <c r="JI51" s="485">
        <f>JI48*0.5</f>
        <v>1918914.4584999999</v>
      </c>
      <c r="JJ51" s="458"/>
      <c r="JK51" s="460">
        <f>JK48*0.5</f>
        <v>0</v>
      </c>
      <c r="JL51" s="465">
        <f>JK51-JI51</f>
        <v>-1918914.4584999999</v>
      </c>
      <c r="JM51" s="484">
        <f>JM48*0.5</f>
        <v>2015227.8650000002</v>
      </c>
      <c r="JN51" s="485">
        <f>JN48*0.5</f>
        <v>2006038.003</v>
      </c>
      <c r="JO51" s="458"/>
      <c r="JP51" s="460">
        <f>JP48*0.5</f>
        <v>0</v>
      </c>
      <c r="JQ51" s="465">
        <f>JP51-JN51</f>
        <v>-2006038.003</v>
      </c>
      <c r="JR51" s="878">
        <f>IY51+JD51+JI51+JN51</f>
        <v>6777023.4168100003</v>
      </c>
      <c r="JS51" s="877"/>
      <c r="JT51" s="876">
        <f>JP51+JK51+JF51+JA51</f>
        <v>0</v>
      </c>
      <c r="JU51" s="875">
        <f>JT51-JS51</f>
        <v>0</v>
      </c>
      <c r="JV51" s="484">
        <f>JV48*0.5</f>
        <v>2691483.4050000003</v>
      </c>
      <c r="JW51" s="485">
        <f>JW48*0.5</f>
        <v>2687781.8870199998</v>
      </c>
      <c r="JX51" s="458"/>
      <c r="JY51" s="460">
        <f>JY48*0.5</f>
        <v>0</v>
      </c>
      <c r="JZ51" s="465">
        <f>JY51-JW51</f>
        <v>-2687781.8870199998</v>
      </c>
      <c r="KA51" s="484">
        <f>KA48*0.5</f>
        <v>3339044.67</v>
      </c>
      <c r="KB51" s="485">
        <f>KB48*0.5</f>
        <v>3332639.3043900002</v>
      </c>
      <c r="KC51" s="458"/>
      <c r="KD51" s="460">
        <f>KD48*0.5</f>
        <v>0</v>
      </c>
      <c r="KE51" s="465">
        <f>KD51-KB51</f>
        <v>-3332639.3043900002</v>
      </c>
      <c r="KF51" s="484">
        <f>KF48*0.5</f>
        <v>4390886.6449999996</v>
      </c>
      <c r="KG51" s="485">
        <f>KG48*0.5</f>
        <v>4370423.7982624993</v>
      </c>
      <c r="KH51" s="458"/>
      <c r="KI51" s="460">
        <f>KI48*0.5</f>
        <v>0</v>
      </c>
      <c r="KJ51" s="465">
        <f>KI51-KG51</f>
        <v>-4370423.7982624993</v>
      </c>
      <c r="KK51" s="484">
        <f>KK48*0.5</f>
        <v>3833493.4699999997</v>
      </c>
      <c r="KL51" s="485">
        <f>KL48*0.5</f>
        <v>3816273.8146249996</v>
      </c>
      <c r="KM51" s="458"/>
      <c r="KN51" s="460">
        <f>KN48*0.5</f>
        <v>0</v>
      </c>
      <c r="KO51" s="465">
        <f>KN51-KL51</f>
        <v>-3816273.8146249996</v>
      </c>
      <c r="KP51" s="484">
        <f>KP48*0.5</f>
        <v>1364067.335</v>
      </c>
      <c r="KQ51" s="485">
        <f>KQ48*0.5</f>
        <v>1357896.4484649999</v>
      </c>
      <c r="KR51" s="458"/>
      <c r="KS51" s="460">
        <f>KS48*0.5</f>
        <v>0</v>
      </c>
      <c r="KT51" s="465">
        <f>KS51-KQ51</f>
        <v>-1357896.4484649999</v>
      </c>
      <c r="KU51" s="484">
        <f>KU48*0.5</f>
        <v>15565015.252762498</v>
      </c>
      <c r="KV51" s="485">
        <f>KV48*0.5</f>
        <v>0</v>
      </c>
      <c r="KW51" s="485">
        <f>KW48*0.5</f>
        <v>0</v>
      </c>
      <c r="KX51" s="494" t="e">
        <f>KX48*0.5</f>
        <v>#DIV/0!</v>
      </c>
      <c r="KY51" s="486">
        <f>KY48*0.5</f>
        <v>0</v>
      </c>
      <c r="KZ51" s="487">
        <f>KZ48*0.5</f>
        <v>0</v>
      </c>
      <c r="LA51" s="492">
        <f>KZ51-KY51</f>
        <v>0</v>
      </c>
      <c r="LB51" s="493" t="e">
        <f>KZ51/KY51</f>
        <v>#DIV/0!</v>
      </c>
    </row>
    <row r="52" spans="1:314" ht="12.75" customHeight="1">
      <c r="A52" s="1495"/>
      <c r="B52" s="471" t="s">
        <v>490</v>
      </c>
      <c r="C52" s="1495"/>
      <c r="D52" s="1495"/>
      <c r="E52" s="1495"/>
      <c r="F52" s="1495"/>
      <c r="G52" s="1495"/>
      <c r="H52" s="1495"/>
      <c r="I52" s="1495"/>
      <c r="J52" s="1495"/>
      <c r="K52" s="1495"/>
      <c r="L52" s="1495"/>
      <c r="M52" s="1495"/>
      <c r="N52" s="1495"/>
      <c r="O52" s="1495"/>
      <c r="P52" s="1495"/>
      <c r="Q52" s="1495"/>
      <c r="R52" s="1495"/>
      <c r="S52" s="1495"/>
      <c r="T52" s="1495"/>
      <c r="U52" s="1495"/>
      <c r="V52" s="1495"/>
      <c r="W52" s="1495"/>
      <c r="X52" s="1495"/>
      <c r="Y52" s="1495"/>
      <c r="Z52" s="1495"/>
      <c r="AA52" s="1495"/>
      <c r="AB52" s="1495"/>
      <c r="AC52" s="1495"/>
      <c r="AD52" s="1495"/>
      <c r="AE52" s="1495"/>
      <c r="AF52" s="1495"/>
      <c r="AG52" s="1495"/>
      <c r="AH52" s="1495"/>
      <c r="AI52" s="1495"/>
      <c r="AJ52" s="1495"/>
      <c r="AK52" s="1495"/>
      <c r="AL52" s="1495"/>
      <c r="AM52" s="1495"/>
      <c r="AN52" s="1495"/>
      <c r="AO52" s="1495"/>
      <c r="AP52" s="1495"/>
      <c r="AQ52" s="1495"/>
      <c r="AR52" s="1495"/>
      <c r="AS52" s="1495"/>
      <c r="AT52" s="1495"/>
      <c r="AU52" s="1495"/>
      <c r="AV52" s="1495"/>
      <c r="AW52" s="1495"/>
      <c r="AX52" s="1495"/>
      <c r="AY52" s="1495"/>
      <c r="AZ52" s="1495"/>
      <c r="BA52" s="1495"/>
      <c r="BB52" s="1495"/>
      <c r="BC52" s="1495"/>
      <c r="BD52" s="1495"/>
      <c r="BE52" s="1495"/>
      <c r="BF52" s="1495"/>
      <c r="BG52" s="1495"/>
      <c r="BH52" s="1495"/>
      <c r="BI52" s="1495"/>
      <c r="BJ52" s="1495"/>
      <c r="BK52" s="1495"/>
      <c r="BL52" s="1495"/>
      <c r="BM52" s="1495"/>
      <c r="BN52" s="463">
        <f>(BN48*0.5)*0.1</f>
        <v>125548.44550000002</v>
      </c>
      <c r="BO52" s="459">
        <f>(BO48*0.5)*0.1</f>
        <v>125974.13167499998</v>
      </c>
      <c r="BP52" s="22"/>
      <c r="BQ52" s="459">
        <f>(BQ48*0.5)*0.1</f>
        <v>0</v>
      </c>
      <c r="BR52" s="467">
        <f>BQ52-BO52</f>
        <v>-125974.13167499998</v>
      </c>
      <c r="BS52" s="463">
        <f>(BS48*0.5)*0.1</f>
        <v>131968.1195</v>
      </c>
      <c r="BT52" s="459">
        <f>(BT48*0.5)*0.1</f>
        <v>132257.26760300001</v>
      </c>
      <c r="BU52" s="22"/>
      <c r="BV52" s="459">
        <f>(BV48*0.5)*0.1</f>
        <v>0</v>
      </c>
      <c r="BW52" s="467">
        <f>BV52-BT52</f>
        <v>-132257.26760300001</v>
      </c>
      <c r="BX52" s="803"/>
      <c r="BY52" s="803"/>
      <c r="BZ52" s="803"/>
      <c r="CA52" s="803"/>
      <c r="CB52" s="463">
        <f>(CB48*0.5)*0.1</f>
        <v>138426.4215</v>
      </c>
      <c r="CC52" s="459">
        <f>(CC48*0.5)*0.1</f>
        <v>138216.89124400003</v>
      </c>
      <c r="CD52" s="22"/>
      <c r="CE52" s="459">
        <f>(CE48*0.5)*0.1</f>
        <v>0</v>
      </c>
      <c r="CF52" s="467">
        <f>CE52-CC52</f>
        <v>-138216.89124400003</v>
      </c>
      <c r="CG52" s="463">
        <f>(CG48*0.5)*0.1</f>
        <v>146727.89049999998</v>
      </c>
      <c r="CH52" s="459">
        <f>(CH48*0.5)*0.1</f>
        <v>146303.17469625</v>
      </c>
      <c r="CI52" s="22"/>
      <c r="CJ52" s="459">
        <f>(CJ48*0.5)*0.1</f>
        <v>0</v>
      </c>
      <c r="CK52" s="467">
        <f>CJ52-CH52</f>
        <v>-146303.17469625</v>
      </c>
      <c r="CL52" s="463">
        <f>(CL48*0.5)*0.1</f>
        <v>142156.8125</v>
      </c>
      <c r="CM52" s="459">
        <f>(CM48*0.5)*0.1</f>
        <v>141787.69092000002</v>
      </c>
      <c r="CN52" s="22"/>
      <c r="CO52" s="459">
        <f>(CO48*0.5)*0.1</f>
        <v>0</v>
      </c>
      <c r="CP52" s="467">
        <f>CO52-CM52</f>
        <v>-141787.69092000002</v>
      </c>
      <c r="CQ52" s="463">
        <f>(CQ48*0.5)*0.1</f>
        <v>169201.51500000001</v>
      </c>
      <c r="CR52" s="459">
        <f>(CR48*0.5)*0.1</f>
        <v>168426.15734375</v>
      </c>
      <c r="CS52" s="22"/>
      <c r="CT52" s="459">
        <f>(CT48*0.5)*0.1</f>
        <v>0</v>
      </c>
      <c r="CU52" s="465">
        <f>CT52-CR52</f>
        <v>-168426.15734375</v>
      </c>
      <c r="CV52" s="830">
        <f>CC52+CH52+CM52+CR52</f>
        <v>594733.91420400003</v>
      </c>
      <c r="CW52" s="474"/>
      <c r="CX52" s="829">
        <f>CT52+CO52+CJ52+CE52</f>
        <v>0</v>
      </c>
      <c r="CY52" s="828">
        <f>CX52-CW52</f>
        <v>0</v>
      </c>
      <c r="CZ52" s="486">
        <f>(CZ48*0.5)*0.1</f>
        <v>199392.33050000001</v>
      </c>
      <c r="DA52" s="487">
        <f>(DA48*0.5)*0.1</f>
        <v>200269.70680499999</v>
      </c>
      <c r="DB52" s="22"/>
      <c r="DC52" s="459">
        <f>(DC48*0.5)*0.1</f>
        <v>0</v>
      </c>
      <c r="DD52" s="465">
        <f>DC52-DA52</f>
        <v>-200269.70680499999</v>
      </c>
      <c r="DE52" s="486">
        <f>(DE48*0.5)*0.1</f>
        <v>144739.88750000001</v>
      </c>
      <c r="DF52" s="487">
        <f>(DF48*0.5)*0.1</f>
        <v>144298.7188875</v>
      </c>
      <c r="DG52" s="22"/>
      <c r="DH52" s="459">
        <f>(DH48*0.5)*0.1</f>
        <v>0</v>
      </c>
      <c r="DI52" s="465">
        <f>DH52-DF52</f>
        <v>-144298.7188875</v>
      </c>
      <c r="DJ52" s="486">
        <f>(DJ48*0.5)*0.1</f>
        <v>129464.265</v>
      </c>
      <c r="DK52" s="487">
        <f>(DK48*0.5)*0.1</f>
        <v>129468.46483000001</v>
      </c>
      <c r="DL52" s="22"/>
      <c r="DM52" s="459">
        <f>(DM48*0.5)*0.1</f>
        <v>0</v>
      </c>
      <c r="DN52" s="465">
        <f>DM52-DK52</f>
        <v>-129468.46483000001</v>
      </c>
      <c r="DO52" s="486">
        <f>(DO48*0.5)*0.1</f>
        <v>129524.40250000003</v>
      </c>
      <c r="DP52" s="487">
        <f>(DP48*0.5)*0.1</f>
        <v>129007.93599374998</v>
      </c>
      <c r="DQ52" s="22"/>
      <c r="DR52" s="459">
        <f>(DR48*0.5)*0.1</f>
        <v>0</v>
      </c>
      <c r="DS52" s="465">
        <f>DR52-DP52</f>
        <v>-129007.93599374998</v>
      </c>
      <c r="DT52" s="830">
        <f>DA52+DF52+DK52+DP52</f>
        <v>603044.82651624992</v>
      </c>
      <c r="DU52" s="474"/>
      <c r="DV52" s="829">
        <f>DR52+DM52+DH52+DC52</f>
        <v>0</v>
      </c>
      <c r="DW52" s="828">
        <f>DV52-DU52</f>
        <v>0</v>
      </c>
      <c r="DX52" s="486">
        <f>(DX48*0.5)*0.1</f>
        <v>132648.02499999999</v>
      </c>
      <c r="DY52" s="487">
        <f>(DY48*0.5)*0.1</f>
        <v>132731.34972500001</v>
      </c>
      <c r="DZ52" s="22"/>
      <c r="EA52" s="459">
        <f>(EA48*0.5)*0.1</f>
        <v>0</v>
      </c>
      <c r="EB52" s="465">
        <f>EA52-DY52</f>
        <v>-132731.34972500001</v>
      </c>
      <c r="EC52" s="486">
        <f>(EC48*0.5)*0.1</f>
        <v>152079.15</v>
      </c>
      <c r="ED52" s="487">
        <f>(ED48*0.5)*0.1</f>
        <v>152536.85037500001</v>
      </c>
      <c r="EE52" s="22"/>
      <c r="EF52" s="459">
        <f>(EF48*0.5)*0.1</f>
        <v>0</v>
      </c>
      <c r="EG52" s="465">
        <f>EF52-ED52</f>
        <v>-152536.85037500001</v>
      </c>
      <c r="EH52" s="486">
        <f>(EH48*0.5)*0.1</f>
        <v>159445.4045</v>
      </c>
      <c r="EI52" s="487">
        <f>(EI48*0.5)*0.1</f>
        <v>159883.71312650002</v>
      </c>
      <c r="EJ52" s="22"/>
      <c r="EK52" s="459">
        <f>(EK48*0.5)*0.1</f>
        <v>0</v>
      </c>
      <c r="EL52" s="465">
        <f>EK52-EI52</f>
        <v>-159883.71312650002</v>
      </c>
      <c r="EM52" s="486">
        <f>(EM48*0.5)*0.1</f>
        <v>170945.80850000001</v>
      </c>
      <c r="EN52" s="487">
        <f>(EN48*0.5)*0.1</f>
        <v>170281.09370900004</v>
      </c>
      <c r="EO52" s="22"/>
      <c r="EP52" s="459">
        <f>(EP48*0.5)*0.1</f>
        <v>0</v>
      </c>
      <c r="EQ52" s="465">
        <f>EP52-EN52</f>
        <v>-170281.09370900004</v>
      </c>
      <c r="ER52" s="486">
        <f>(ER48*0.5)*0.1</f>
        <v>163891.57700000002</v>
      </c>
      <c r="ES52" s="487">
        <f>(ES48*0.5)*0.1</f>
        <v>163082.14505200001</v>
      </c>
      <c r="ET52" s="22"/>
      <c r="EU52" s="459">
        <f>(EU48*0.5)*0.1</f>
        <v>0</v>
      </c>
      <c r="EV52" s="465">
        <f>EU52-ES52</f>
        <v>-163082.14505200001</v>
      </c>
      <c r="EW52" s="830">
        <f>ED52+EI52+EN52+ES52</f>
        <v>645783.80226250016</v>
      </c>
      <c r="EX52" s="474"/>
      <c r="EY52" s="829">
        <f>EU52+EP52+EK52+EF52</f>
        <v>0</v>
      </c>
      <c r="EZ52" s="828">
        <f>EY52-EX52</f>
        <v>0</v>
      </c>
      <c r="FA52" s="486">
        <f>(FA48*0.5)*0.1</f>
        <v>146287.84150000001</v>
      </c>
      <c r="FB52" s="487">
        <f>(FB48*0.5)*0.1</f>
        <v>146528.875592</v>
      </c>
      <c r="FC52" s="22"/>
      <c r="FD52" s="459">
        <f>(FD48*0.5)*0.1</f>
        <v>0</v>
      </c>
      <c r="FE52" s="465">
        <f>FD52-FB52</f>
        <v>-146528.875592</v>
      </c>
      <c r="FF52" s="486">
        <f>(FF48*0.5)*0.1</f>
        <v>152393.36600000001</v>
      </c>
      <c r="FG52" s="487">
        <f>(FG48*0.5)*0.1</f>
        <v>151818.2254195</v>
      </c>
      <c r="FH52" s="22"/>
      <c r="FI52" s="459">
        <f>(FI48*0.5)*0.1</f>
        <v>0</v>
      </c>
      <c r="FJ52" s="465">
        <f>FI52-FG52</f>
        <v>-151818.2254195</v>
      </c>
      <c r="FK52" s="486">
        <f>(FK48*0.5)*0.1</f>
        <v>141894.02050000001</v>
      </c>
      <c r="FL52" s="487">
        <f>(FL48*0.5)*0.1</f>
        <v>141226.16040000002</v>
      </c>
      <c r="FM52" s="22"/>
      <c r="FN52" s="459">
        <f>(FN48*0.5)*0.1</f>
        <v>0</v>
      </c>
      <c r="FO52" s="465">
        <f>FN52-FL52</f>
        <v>-141226.16040000002</v>
      </c>
      <c r="FP52" s="486">
        <f>(FP48*0.5)*0.1</f>
        <v>148479.51999999999</v>
      </c>
      <c r="FQ52" s="487">
        <f>(FQ48*0.5)*0.1</f>
        <v>148058.28159100001</v>
      </c>
      <c r="FR52" s="22"/>
      <c r="FS52" s="459">
        <f>(FS48*0.5)*0.1</f>
        <v>0</v>
      </c>
      <c r="FT52" s="465">
        <f>FS52-FQ52</f>
        <v>-148058.28159100001</v>
      </c>
      <c r="FU52" s="830">
        <f>FB52+FG52+FL52+FQ52</f>
        <v>587631.54300250008</v>
      </c>
      <c r="FV52" s="474"/>
      <c r="FW52" s="829">
        <f>FS52+FN52+FI52+FD52</f>
        <v>0</v>
      </c>
      <c r="FX52" s="828">
        <f>FW52-FV52</f>
        <v>0</v>
      </c>
      <c r="FY52" s="486">
        <f>(FY48*0.5)*0.1</f>
        <v>141923.10950000002</v>
      </c>
      <c r="FZ52" s="487">
        <f>(FZ48*0.5)*0.1</f>
        <v>141257.20285049998</v>
      </c>
      <c r="GA52" s="22"/>
      <c r="GB52" s="459">
        <f>(GB48*0.5)*0.1</f>
        <v>0</v>
      </c>
      <c r="GC52" s="465">
        <f>GB52-FZ52</f>
        <v>-141257.20285049998</v>
      </c>
      <c r="GD52" s="486">
        <f>(GD48*0.5)*0.1</f>
        <v>135433.296</v>
      </c>
      <c r="GE52" s="487">
        <f>(GE48*0.5)*0.1</f>
        <v>135980.00173575003</v>
      </c>
      <c r="GF52" s="22"/>
      <c r="GG52" s="459">
        <f>(GG48*0.5)*0.1</f>
        <v>0</v>
      </c>
      <c r="GH52" s="465">
        <f>GG52-GE52</f>
        <v>-135980.00173575003</v>
      </c>
      <c r="GI52" s="486">
        <f>(GI48*0.5)*0.1</f>
        <v>138305.51200000002</v>
      </c>
      <c r="GJ52" s="487">
        <f>(GJ48*0.5)*0.1</f>
        <v>138868.14632500001</v>
      </c>
      <c r="GK52" s="22"/>
      <c r="GL52" s="459">
        <f>(GL48*0.5)*0.1</f>
        <v>0</v>
      </c>
      <c r="GM52" s="465">
        <f>GL52-GJ52</f>
        <v>-138868.14632500001</v>
      </c>
      <c r="GN52" s="486">
        <f>(GN48*0.5)*0.1</f>
        <v>134582.82250000001</v>
      </c>
      <c r="GO52" s="487">
        <f>(GO48*0.5)*0.1</f>
        <v>134848.156751</v>
      </c>
      <c r="GP52" s="22"/>
      <c r="GQ52" s="459">
        <f>(GQ48*0.5)*0.1</f>
        <v>0</v>
      </c>
      <c r="GR52" s="465">
        <f>GQ52-GO52</f>
        <v>-134848.156751</v>
      </c>
      <c r="GS52" s="830">
        <f>FZ52+GE52+GJ52+GO52</f>
        <v>550953.50766224996</v>
      </c>
      <c r="GT52" s="474"/>
      <c r="GU52" s="829">
        <f>GQ52+GL52+GG52+GB52</f>
        <v>0</v>
      </c>
      <c r="GV52" s="828">
        <f>GU52-GT52</f>
        <v>0</v>
      </c>
      <c r="GW52" s="486">
        <f>(GW48*0.5)*0.1</f>
        <v>135396</v>
      </c>
      <c r="GX52" s="487">
        <f>(GX48*0.5)*0.1</f>
        <v>135494.85</v>
      </c>
      <c r="GY52" s="22"/>
      <c r="GZ52" s="459">
        <f>(GZ48*0.5)*0.1</f>
        <v>0</v>
      </c>
      <c r="HA52" s="465">
        <f>GZ52-GX52</f>
        <v>-135494.85</v>
      </c>
      <c r="HB52" s="486">
        <f>(HB48*0.5)*0.1</f>
        <v>135150.516</v>
      </c>
      <c r="HC52" s="487">
        <f>(HC48*0.5)*0.1</f>
        <v>134543.38395000002</v>
      </c>
      <c r="HD52" s="22"/>
      <c r="HE52" s="459">
        <f>(HE48*0.5)*0.1</f>
        <v>0</v>
      </c>
      <c r="HF52" s="465">
        <f>HE52-HC52</f>
        <v>-134543.38395000002</v>
      </c>
      <c r="HG52" s="486">
        <f>(HG48*0.5)*0.1</f>
        <v>126564.42750000002</v>
      </c>
      <c r="HH52" s="487">
        <f>(HH48*0.5)*0.1</f>
        <v>126821.37512500002</v>
      </c>
      <c r="HI52" s="22"/>
      <c r="HJ52" s="459">
        <f>(HJ48*0.5)*0.1</f>
        <v>0</v>
      </c>
      <c r="HK52" s="465">
        <f>HJ52-HH52</f>
        <v>-126821.37512500002</v>
      </c>
      <c r="HL52" s="486">
        <f>(HL48*0.5)*0.1</f>
        <v>124848.24350000001</v>
      </c>
      <c r="HM52" s="487">
        <f>(HM48*0.5)*0.1</f>
        <v>125304.44445000001</v>
      </c>
      <c r="HN52" s="22"/>
      <c r="HO52" s="459">
        <f>(HO48*0.5)*0.1</f>
        <v>0</v>
      </c>
      <c r="HP52" s="465">
        <f>HO52-HM52</f>
        <v>-125304.44445000001</v>
      </c>
      <c r="HQ52" s="486">
        <f>(HQ48*0.5)*0.1</f>
        <v>132247.99799999999</v>
      </c>
      <c r="HR52" s="487">
        <f>(HR48*0.5)*0.1</f>
        <v>132622.66202000002</v>
      </c>
      <c r="HS52" s="22"/>
      <c r="HT52" s="459">
        <f>(HT48*0.5)*0.1</f>
        <v>0</v>
      </c>
      <c r="HU52" s="465">
        <f>HT52-HR52</f>
        <v>-132622.66202000002</v>
      </c>
      <c r="HV52" s="830">
        <f>HC52+HH52+HM52+HR52</f>
        <v>519291.86554500007</v>
      </c>
      <c r="HW52" s="474"/>
      <c r="HX52" s="829">
        <f>HT52+HO52+HJ52+HE52</f>
        <v>0</v>
      </c>
      <c r="HY52" s="828">
        <f>HX52-HW52</f>
        <v>0</v>
      </c>
      <c r="HZ52" s="486">
        <f>(HZ48*0.5)*0.1</f>
        <v>121883.71650000001</v>
      </c>
      <c r="IA52" s="487">
        <f>(IA48*0.5)*0.1</f>
        <v>122435.88786</v>
      </c>
      <c r="IB52" s="22"/>
      <c r="IC52" s="459">
        <f>(IC48*0.5)*0.1</f>
        <v>0</v>
      </c>
      <c r="ID52" s="465">
        <f>IC52-IA52</f>
        <v>-122435.88786</v>
      </c>
      <c r="IE52" s="486">
        <f>(IE48*0.5)*0.1</f>
        <v>133323.85200000001</v>
      </c>
      <c r="IF52" s="487">
        <f>(IF48*0.5)*0.1</f>
        <v>133987.53357649999</v>
      </c>
      <c r="IG52" s="22"/>
      <c r="IH52" s="459">
        <f>(IH48*0.5)*0.1</f>
        <v>0</v>
      </c>
      <c r="II52" s="465">
        <f>IH52-IF52</f>
        <v>-133987.53357649999</v>
      </c>
      <c r="IJ52" s="486">
        <f>(IJ48*0.5)*0.1</f>
        <v>143750.33650000003</v>
      </c>
      <c r="IK52" s="487">
        <f>(IK48*0.5)*0.1</f>
        <v>144456.13933000001</v>
      </c>
      <c r="IL52" s="22"/>
      <c r="IM52" s="459">
        <f>(IM48*0.5)*0.1</f>
        <v>0</v>
      </c>
      <c r="IN52" s="465">
        <f>IM52-IK52</f>
        <v>-144456.13933000001</v>
      </c>
      <c r="IO52" s="486">
        <f>(IO48*0.5)*0.1</f>
        <v>171367.35399999999</v>
      </c>
      <c r="IP52" s="487">
        <f>(IP48*0.5)*0.1</f>
        <v>172202.93302500003</v>
      </c>
      <c r="IQ52" s="22"/>
      <c r="IR52" s="459">
        <f>(IR48*0.5)*0.1</f>
        <v>0</v>
      </c>
      <c r="IS52" s="465">
        <f>IR52-IP52</f>
        <v>-172202.93302500003</v>
      </c>
      <c r="IT52" s="830">
        <f>IA52+IF52+IK52+IP52</f>
        <v>573082.49379149999</v>
      </c>
      <c r="IU52" s="474"/>
      <c r="IV52" s="829">
        <f>IR52+IM52+IH52+IC52</f>
        <v>0</v>
      </c>
      <c r="IW52" s="828">
        <f>IV52-IU52</f>
        <v>0</v>
      </c>
      <c r="IX52" s="486">
        <f>(IX48*0.5)*0.1</f>
        <v>125714.37350000002</v>
      </c>
      <c r="IY52" s="487">
        <f>(IY48*0.5)*0.1</f>
        <v>126051.87602499999</v>
      </c>
      <c r="IZ52" s="22"/>
      <c r="JA52" s="459">
        <f>(JA48*0.5)*0.1</f>
        <v>0</v>
      </c>
      <c r="JB52" s="465">
        <f>JA52-IY52</f>
        <v>-126051.87602499999</v>
      </c>
      <c r="JC52" s="486">
        <f>(JC48*0.5)*0.1</f>
        <v>158815.61600000004</v>
      </c>
      <c r="JD52" s="487">
        <f>(JD48*0.5)*0.1</f>
        <v>159155.21950600002</v>
      </c>
      <c r="JE52" s="22"/>
      <c r="JF52" s="459">
        <f>(JF48*0.5)*0.1</f>
        <v>0</v>
      </c>
      <c r="JG52" s="465">
        <f>JF52-JD52</f>
        <v>-159155.21950600002</v>
      </c>
      <c r="JH52" s="486">
        <f>(JH48*0.5)*0.1</f>
        <v>191174.74400000001</v>
      </c>
      <c r="JI52" s="487">
        <f>(JI48*0.5)*0.1</f>
        <v>191891.44585000002</v>
      </c>
      <c r="JJ52" s="22"/>
      <c r="JK52" s="459">
        <f>(JK48*0.5)*0.1</f>
        <v>0</v>
      </c>
      <c r="JL52" s="465">
        <f>JK52-JI52</f>
        <v>-191891.44585000002</v>
      </c>
      <c r="JM52" s="486">
        <f>(JM48*0.5)*0.1</f>
        <v>201522.78650000005</v>
      </c>
      <c r="JN52" s="487">
        <f>(JN48*0.5)*0.1</f>
        <v>200603.8003</v>
      </c>
      <c r="JO52" s="22"/>
      <c r="JP52" s="459">
        <f>(JP48*0.5)*0.1</f>
        <v>0</v>
      </c>
      <c r="JQ52" s="465">
        <f>JP52-JN52</f>
        <v>-200603.8003</v>
      </c>
      <c r="JR52" s="830">
        <f>IY52+JD52+JI52+JN52</f>
        <v>677702.34168100008</v>
      </c>
      <c r="JS52" s="474"/>
      <c r="JT52" s="829">
        <f>JP52+JK52+JF52+JA52</f>
        <v>0</v>
      </c>
      <c r="JU52" s="828">
        <f>JT52-JS52</f>
        <v>0</v>
      </c>
      <c r="JV52" s="486">
        <f>(JV48*0.5)*0.1</f>
        <v>269148.34050000005</v>
      </c>
      <c r="JW52" s="487">
        <f>(JW48*0.5)*0.1</f>
        <v>268778.18870200001</v>
      </c>
      <c r="JX52" s="22"/>
      <c r="JY52" s="459">
        <f>(JY48*0.5)*0.1</f>
        <v>0</v>
      </c>
      <c r="JZ52" s="465">
        <f>JY52-JW52</f>
        <v>-268778.18870200001</v>
      </c>
      <c r="KA52" s="486">
        <f>(KA48*0.5)*0.1</f>
        <v>333904.467</v>
      </c>
      <c r="KB52" s="487">
        <f>(KB48*0.5)*0.1</f>
        <v>333263.93043900002</v>
      </c>
      <c r="KC52" s="22"/>
      <c r="KD52" s="459">
        <f>(KD48*0.5)*0.1</f>
        <v>0</v>
      </c>
      <c r="KE52" s="465">
        <f>KD52-KB52</f>
        <v>-333263.93043900002</v>
      </c>
      <c r="KF52" s="486">
        <f>(KF48*0.5)*0.1</f>
        <v>439088.66449999996</v>
      </c>
      <c r="KG52" s="487">
        <f>(KG48*0.5)*0.1</f>
        <v>437042.37982624996</v>
      </c>
      <c r="KH52" s="22"/>
      <c r="KI52" s="459">
        <f>(KI48*0.5)*0.1</f>
        <v>0</v>
      </c>
      <c r="KJ52" s="465">
        <f>KI52-KG52</f>
        <v>-437042.37982624996</v>
      </c>
      <c r="KK52" s="486">
        <f>(KK48*0.5)*0.1</f>
        <v>383349.34700000001</v>
      </c>
      <c r="KL52" s="487">
        <f>(KL48*0.5)*0.1</f>
        <v>381627.38146249996</v>
      </c>
      <c r="KM52" s="22"/>
      <c r="KN52" s="459">
        <f>(KN48*0.5)*0.1</f>
        <v>0</v>
      </c>
      <c r="KO52" s="465">
        <f>KN52-KL52</f>
        <v>-381627.38146249996</v>
      </c>
      <c r="KP52" s="486">
        <f>(KP48*0.5)*0.1</f>
        <v>136406.7335</v>
      </c>
      <c r="KQ52" s="487">
        <f>(KQ48*0.5)*0.1</f>
        <v>135789.64484649998</v>
      </c>
      <c r="KR52" s="22"/>
      <c r="KS52" s="459">
        <f>(KS48*0.5)*0.1</f>
        <v>0</v>
      </c>
      <c r="KT52" s="465">
        <f>KS52-KQ52</f>
        <v>-135789.64484649998</v>
      </c>
      <c r="KU52" s="486">
        <f>(KU48*0.5)*0.1</f>
        <v>1556501.52527625</v>
      </c>
      <c r="KV52" s="487">
        <f>(KV48*0.5)*0.1</f>
        <v>0</v>
      </c>
      <c r="KW52" s="487">
        <f>(KW48*0.5)*0.1</f>
        <v>0</v>
      </c>
      <c r="KX52" s="495" t="e">
        <f>(KX48*0.5)*0.1</f>
        <v>#DIV/0!</v>
      </c>
      <c r="KY52" s="486">
        <f>(KY48*0.5)*0.1</f>
        <v>0</v>
      </c>
      <c r="KZ52" s="487">
        <f>(KZ48*0.5)*0.1</f>
        <v>0</v>
      </c>
      <c r="LA52" s="492">
        <f>KZ52-KY52</f>
        <v>0</v>
      </c>
      <c r="LB52" s="493" t="e">
        <f>KZ52/KY52</f>
        <v>#DIV/0!</v>
      </c>
    </row>
    <row r="53" spans="1:314" ht="19.5" customHeight="1">
      <c r="A53" s="1495"/>
      <c r="B53" s="471" t="s">
        <v>491</v>
      </c>
      <c r="C53" s="1495"/>
      <c r="D53" s="1495"/>
      <c r="E53" s="1495"/>
      <c r="F53" s="1495"/>
      <c r="G53" s="1495"/>
      <c r="H53" s="1495"/>
      <c r="I53" s="1495"/>
      <c r="J53" s="1495"/>
      <c r="K53" s="1495"/>
      <c r="L53" s="1495"/>
      <c r="M53" s="1495"/>
      <c r="N53" s="1495"/>
      <c r="O53" s="1495"/>
      <c r="P53" s="1495"/>
      <c r="Q53" s="1495"/>
      <c r="R53" s="1495"/>
      <c r="S53" s="1495"/>
      <c r="T53" s="1495"/>
      <c r="U53" s="1495"/>
      <c r="V53" s="1495"/>
      <c r="W53" s="1495"/>
      <c r="X53" s="1495"/>
      <c r="Y53" s="1495"/>
      <c r="Z53" s="1495"/>
      <c r="AA53" s="1495"/>
      <c r="AB53" s="1495"/>
      <c r="AC53" s="1495"/>
      <c r="AD53" s="1495"/>
      <c r="AE53" s="1495"/>
      <c r="AF53" s="1495"/>
      <c r="AG53" s="1495"/>
      <c r="AH53" s="1495"/>
      <c r="AI53" s="1495"/>
      <c r="AJ53" s="1495"/>
      <c r="AK53" s="1495"/>
      <c r="AL53" s="1495"/>
      <c r="AM53" s="1495"/>
      <c r="AN53" s="1495"/>
      <c r="AO53" s="1495"/>
      <c r="AP53" s="1495"/>
      <c r="AQ53" s="1495"/>
      <c r="AR53" s="1495"/>
      <c r="AS53" s="1495"/>
      <c r="AT53" s="1495"/>
      <c r="AU53" s="1495"/>
      <c r="AV53" s="1495"/>
      <c r="AW53" s="1495"/>
      <c r="AX53" s="1495"/>
      <c r="AY53" s="1495"/>
      <c r="AZ53" s="1495"/>
      <c r="BA53" s="1495"/>
      <c r="BB53" s="1495"/>
      <c r="BC53" s="1495"/>
      <c r="BD53" s="1495"/>
      <c r="BE53" s="1495"/>
      <c r="BF53" s="1495"/>
      <c r="BG53" s="1495"/>
      <c r="BH53" s="1495"/>
      <c r="BI53" s="1495"/>
      <c r="BJ53" s="1495"/>
      <c r="BK53" s="1495"/>
      <c r="BL53" s="1495"/>
      <c r="BM53" s="1495"/>
      <c r="BN53" s="463">
        <f>(BN48*0.5)*0.15</f>
        <v>188322.66825000002</v>
      </c>
      <c r="BO53" s="459">
        <f>(BO48*0.5)*0.15</f>
        <v>188961.19751249996</v>
      </c>
      <c r="BP53" s="22"/>
      <c r="BQ53" s="459">
        <f>(BQ48*0.5)*0.15</f>
        <v>0</v>
      </c>
      <c r="BR53" s="467">
        <f>BQ53-BO53</f>
        <v>-188961.19751249996</v>
      </c>
      <c r="BS53" s="463">
        <f>(BS48*0.5)*0.15</f>
        <v>197952.17924999996</v>
      </c>
      <c r="BT53" s="459">
        <f>(BT48*0.5)*0.15</f>
        <v>198385.90140450004</v>
      </c>
      <c r="BU53" s="22"/>
      <c r="BV53" s="459">
        <f>(BV48*0.5)*0.15</f>
        <v>0</v>
      </c>
      <c r="BW53" s="467">
        <f>BV53-BT53</f>
        <v>-198385.90140450004</v>
      </c>
      <c r="BX53" s="803"/>
      <c r="BY53" s="803"/>
      <c r="BZ53" s="803"/>
      <c r="CA53" s="803"/>
      <c r="CB53" s="463">
        <f>(CB48*0.5)*0.15</f>
        <v>207639.63224999997</v>
      </c>
      <c r="CC53" s="459">
        <f>(CC48*0.5)*0.15</f>
        <v>207325.336866</v>
      </c>
      <c r="CD53" s="22"/>
      <c r="CE53" s="459">
        <f>(CE48*0.5)*0.15</f>
        <v>0</v>
      </c>
      <c r="CF53" s="467">
        <f>CE53-CC53</f>
        <v>-207325.336866</v>
      </c>
      <c r="CG53" s="463">
        <f>(CG48*0.5)*0.15</f>
        <v>220091.83574999997</v>
      </c>
      <c r="CH53" s="459">
        <f>(CH48*0.5)*0.15</f>
        <v>219454.76204437501</v>
      </c>
      <c r="CI53" s="22"/>
      <c r="CJ53" s="459">
        <f>(CJ48*0.5)*0.15</f>
        <v>0</v>
      </c>
      <c r="CK53" s="467">
        <f>CJ53-CH53</f>
        <v>-219454.76204437501</v>
      </c>
      <c r="CL53" s="463">
        <f>(CL48*0.5)*0.15</f>
        <v>213235.21875</v>
      </c>
      <c r="CM53" s="459">
        <f>(CM48*0.5)*0.15</f>
        <v>212681.53638000001</v>
      </c>
      <c r="CN53" s="22"/>
      <c r="CO53" s="459">
        <f>(CO48*0.5)*0.15</f>
        <v>0</v>
      </c>
      <c r="CP53" s="467">
        <f>CO53-CM53</f>
        <v>-212681.53638000001</v>
      </c>
      <c r="CQ53" s="463">
        <f>(CQ48*0.5)*0.15</f>
        <v>253802.27250000002</v>
      </c>
      <c r="CR53" s="459">
        <f>(CR48*0.5)*0.15</f>
        <v>252639.23601562501</v>
      </c>
      <c r="CS53" s="22"/>
      <c r="CT53" s="459">
        <f>(CT48*0.5)*0.15</f>
        <v>0</v>
      </c>
      <c r="CU53" s="465">
        <f>CT53-CR53</f>
        <v>-252639.23601562501</v>
      </c>
      <c r="CV53" s="830">
        <f>CC53+CH53+CM53+CR53</f>
        <v>892100.87130600004</v>
      </c>
      <c r="CW53" s="474"/>
      <c r="CX53" s="829">
        <f>CT53+CO53+CJ53+CE53</f>
        <v>0</v>
      </c>
      <c r="CY53" s="828">
        <f>CX53-CW53</f>
        <v>0</v>
      </c>
      <c r="CZ53" s="486">
        <f>(CZ48*0.5)*0.15</f>
        <v>299088.49575</v>
      </c>
      <c r="DA53" s="487">
        <f>(DA48*0.5)*0.15</f>
        <v>300404.56020749995</v>
      </c>
      <c r="DB53" s="22"/>
      <c r="DC53" s="459">
        <f>(DC48*0.5)*0.15</f>
        <v>0</v>
      </c>
      <c r="DD53" s="465">
        <f>DC53-DA53</f>
        <v>-300404.56020749995</v>
      </c>
      <c r="DE53" s="486">
        <f>(DE48*0.5)*0.15</f>
        <v>217109.83124999999</v>
      </c>
      <c r="DF53" s="487">
        <f>(DF48*0.5)*0.15</f>
        <v>216448.07833125</v>
      </c>
      <c r="DG53" s="22"/>
      <c r="DH53" s="459">
        <f>(DH48*0.5)*0.15</f>
        <v>0</v>
      </c>
      <c r="DI53" s="465">
        <f>DH53-DF53</f>
        <v>-216448.07833125</v>
      </c>
      <c r="DJ53" s="486">
        <f>(DJ48*0.5)*0.15</f>
        <v>194196.39749999999</v>
      </c>
      <c r="DK53" s="487">
        <f>(DK48*0.5)*0.15</f>
        <v>194202.69724499999</v>
      </c>
      <c r="DL53" s="22"/>
      <c r="DM53" s="459">
        <f>(DM48*0.5)*0.15</f>
        <v>0</v>
      </c>
      <c r="DN53" s="465">
        <f>DM53-DK53</f>
        <v>-194202.69724499999</v>
      </c>
      <c r="DO53" s="486">
        <f>(DO48*0.5)*0.15</f>
        <v>194286.60375000001</v>
      </c>
      <c r="DP53" s="487">
        <f>(DP48*0.5)*0.15</f>
        <v>193511.90399062497</v>
      </c>
      <c r="DQ53" s="22"/>
      <c r="DR53" s="459">
        <f>(DR48*0.5)*0.15</f>
        <v>0</v>
      </c>
      <c r="DS53" s="465">
        <f>DR53-DP53</f>
        <v>-193511.90399062497</v>
      </c>
      <c r="DT53" s="830">
        <f>DA53+DF53+DK53+DP53</f>
        <v>904567.23977437487</v>
      </c>
      <c r="DU53" s="474"/>
      <c r="DV53" s="829">
        <f>DR53+DM53+DH53+DC53</f>
        <v>0</v>
      </c>
      <c r="DW53" s="828">
        <f>DV53-DU53</f>
        <v>0</v>
      </c>
      <c r="DX53" s="486">
        <f>(DX48*0.5)*0.15</f>
        <v>198972.03750000001</v>
      </c>
      <c r="DY53" s="487">
        <f>(DY48*0.5)*0.15</f>
        <v>199097.0245875</v>
      </c>
      <c r="DZ53" s="22"/>
      <c r="EA53" s="459">
        <f>(EA48*0.5)*0.15</f>
        <v>0</v>
      </c>
      <c r="EB53" s="465">
        <f>EA53-DY53</f>
        <v>-199097.0245875</v>
      </c>
      <c r="EC53" s="486">
        <f>(EC48*0.5)*0.15</f>
        <v>228118.72500000001</v>
      </c>
      <c r="ED53" s="487">
        <f>(ED48*0.5)*0.15</f>
        <v>228805.27556250003</v>
      </c>
      <c r="EE53" s="22"/>
      <c r="EF53" s="459">
        <f>(EF48*0.5)*0.15</f>
        <v>0</v>
      </c>
      <c r="EG53" s="465">
        <f>EF53-ED53</f>
        <v>-228805.27556250003</v>
      </c>
      <c r="EH53" s="486">
        <f>(EH48*0.5)*0.15</f>
        <v>239168.10674999998</v>
      </c>
      <c r="EI53" s="487">
        <f>(EI48*0.5)*0.15</f>
        <v>239825.56968974997</v>
      </c>
      <c r="EJ53" s="22"/>
      <c r="EK53" s="459">
        <f>(EK48*0.5)*0.15</f>
        <v>0</v>
      </c>
      <c r="EL53" s="465">
        <f>EK53-EI53</f>
        <v>-239825.56968974997</v>
      </c>
      <c r="EM53" s="486">
        <f>(EM48*0.5)*0.15</f>
        <v>256418.71274999998</v>
      </c>
      <c r="EN53" s="487">
        <f>(EN48*0.5)*0.15</f>
        <v>255421.6405635</v>
      </c>
      <c r="EO53" s="22"/>
      <c r="EP53" s="459">
        <f>(EP48*0.5)*0.15</f>
        <v>0</v>
      </c>
      <c r="EQ53" s="465">
        <f>EP53-EN53</f>
        <v>-255421.6405635</v>
      </c>
      <c r="ER53" s="486">
        <f>(ER48*0.5)*0.15</f>
        <v>245837.36549999999</v>
      </c>
      <c r="ES53" s="487">
        <f>(ES48*0.5)*0.15</f>
        <v>244623.21757799998</v>
      </c>
      <c r="ET53" s="22"/>
      <c r="EU53" s="459">
        <f>(EU48*0.5)*0.15</f>
        <v>0</v>
      </c>
      <c r="EV53" s="465">
        <f>EU53-ES53</f>
        <v>-244623.21757799998</v>
      </c>
      <c r="EW53" s="830">
        <f>ED53+EI53+EN53+ES53</f>
        <v>968675.70339374989</v>
      </c>
      <c r="EX53" s="474"/>
      <c r="EY53" s="829">
        <f>EU53+EP53+EK53+EF53</f>
        <v>0</v>
      </c>
      <c r="EZ53" s="828">
        <f>EY53-EX53</f>
        <v>0</v>
      </c>
      <c r="FA53" s="486">
        <f>(FA48*0.5)*0.15</f>
        <v>219431.76225</v>
      </c>
      <c r="FB53" s="487">
        <f>(FB48*0.5)*0.15</f>
        <v>219793.31338799998</v>
      </c>
      <c r="FC53" s="22"/>
      <c r="FD53" s="459">
        <f>(FD48*0.5)*0.15</f>
        <v>0</v>
      </c>
      <c r="FE53" s="465">
        <f>FD53-FB53</f>
        <v>-219793.31338799998</v>
      </c>
      <c r="FF53" s="486">
        <f>(FF48*0.5)*0.15</f>
        <v>228590.04900000003</v>
      </c>
      <c r="FG53" s="487">
        <f>(FG48*0.5)*0.15</f>
        <v>227727.33812925001</v>
      </c>
      <c r="FH53" s="22"/>
      <c r="FI53" s="459">
        <f>(FI48*0.5)*0.15</f>
        <v>0</v>
      </c>
      <c r="FJ53" s="465">
        <f>FI53-FG53</f>
        <v>-227727.33812925001</v>
      </c>
      <c r="FK53" s="486">
        <f>(FK48*0.5)*0.15</f>
        <v>212841.03075000001</v>
      </c>
      <c r="FL53" s="487">
        <f>(FL48*0.5)*0.15</f>
        <v>211839.24060000005</v>
      </c>
      <c r="FM53" s="22"/>
      <c r="FN53" s="459">
        <f>(FN48*0.5)*0.15</f>
        <v>0</v>
      </c>
      <c r="FO53" s="465">
        <f>FN53-FL53</f>
        <v>-211839.24060000005</v>
      </c>
      <c r="FP53" s="486">
        <f>(FP48*0.5)*0.15</f>
        <v>222719.28</v>
      </c>
      <c r="FQ53" s="487">
        <f>(FQ48*0.5)*0.15</f>
        <v>222087.42238649997</v>
      </c>
      <c r="FR53" s="22"/>
      <c r="FS53" s="459">
        <f>(FS48*0.5)*0.15</f>
        <v>0</v>
      </c>
      <c r="FT53" s="465">
        <f>FS53-FQ53</f>
        <v>-222087.42238649997</v>
      </c>
      <c r="FU53" s="830">
        <f>FB53+FG53+FL53+FQ53</f>
        <v>881447.31450374995</v>
      </c>
      <c r="FV53" s="474"/>
      <c r="FW53" s="829">
        <f>FS53+FN53+FI53+FD53</f>
        <v>0</v>
      </c>
      <c r="FX53" s="828">
        <f>FW53-FV53</f>
        <v>0</v>
      </c>
      <c r="FY53" s="486">
        <f>(FY48*0.5)*0.15</f>
        <v>212884.66425000003</v>
      </c>
      <c r="FZ53" s="487">
        <f>(FZ48*0.5)*0.15</f>
        <v>211885.80427574998</v>
      </c>
      <c r="GA53" s="22"/>
      <c r="GB53" s="459">
        <f>(GB48*0.5)*0.15</f>
        <v>0</v>
      </c>
      <c r="GC53" s="465">
        <f>GB53-FZ53</f>
        <v>-211885.80427574998</v>
      </c>
      <c r="GD53" s="486">
        <f>(GD48*0.5)*0.15</f>
        <v>203149.94399999999</v>
      </c>
      <c r="GE53" s="487">
        <f>(GE48*0.5)*0.15</f>
        <v>203970.00260362503</v>
      </c>
      <c r="GF53" s="22"/>
      <c r="GG53" s="459">
        <f>(GG48*0.5)*0.15</f>
        <v>0</v>
      </c>
      <c r="GH53" s="465">
        <f>GG53-GE53</f>
        <v>-203970.00260362503</v>
      </c>
      <c r="GI53" s="486">
        <f>(GI48*0.5)*0.15</f>
        <v>207458.26800000001</v>
      </c>
      <c r="GJ53" s="487">
        <f>(GJ48*0.5)*0.15</f>
        <v>208302.2194875</v>
      </c>
      <c r="GK53" s="22"/>
      <c r="GL53" s="459">
        <f>(GL48*0.5)*0.15</f>
        <v>0</v>
      </c>
      <c r="GM53" s="465">
        <f>GL53-GJ53</f>
        <v>-208302.2194875</v>
      </c>
      <c r="GN53" s="486">
        <f>(GN48*0.5)*0.15</f>
        <v>201874.23375000001</v>
      </c>
      <c r="GO53" s="487">
        <f>(GO48*0.5)*0.15</f>
        <v>202272.23512649999</v>
      </c>
      <c r="GP53" s="22"/>
      <c r="GQ53" s="459">
        <f>(GQ48*0.5)*0.15</f>
        <v>0</v>
      </c>
      <c r="GR53" s="465">
        <f>GQ53-GO53</f>
        <v>-202272.23512649999</v>
      </c>
      <c r="GS53" s="830">
        <f>FZ53+GE53+GJ53+GO53</f>
        <v>826430.26149337506</v>
      </c>
      <c r="GT53" s="474"/>
      <c r="GU53" s="829">
        <f>GQ53+GL53+GG53+GB53</f>
        <v>0</v>
      </c>
      <c r="GV53" s="828">
        <f>GU53-GT53</f>
        <v>0</v>
      </c>
      <c r="GW53" s="486">
        <f>(GW48*0.5)*0.15</f>
        <v>203094</v>
      </c>
      <c r="GX53" s="487">
        <f>(GX48*0.5)*0.15</f>
        <v>203242.27499999999</v>
      </c>
      <c r="GY53" s="22"/>
      <c r="GZ53" s="459">
        <f>(GZ48*0.5)*0.15</f>
        <v>0</v>
      </c>
      <c r="HA53" s="465">
        <f>GZ53-GX53</f>
        <v>-203242.27499999999</v>
      </c>
      <c r="HB53" s="486">
        <f>(HB48*0.5)*0.15</f>
        <v>202725.77399999998</v>
      </c>
      <c r="HC53" s="487">
        <f>(HC48*0.5)*0.15</f>
        <v>201815.07592499998</v>
      </c>
      <c r="HD53" s="22"/>
      <c r="HE53" s="459">
        <f>(HE48*0.5)*0.15</f>
        <v>0</v>
      </c>
      <c r="HF53" s="465">
        <f>HE53-HC53</f>
        <v>-201815.07592499998</v>
      </c>
      <c r="HG53" s="486">
        <f>(HG48*0.5)*0.15</f>
        <v>189846.64125000002</v>
      </c>
      <c r="HH53" s="487">
        <f>(HH48*0.5)*0.15</f>
        <v>190232.06268750003</v>
      </c>
      <c r="HI53" s="22"/>
      <c r="HJ53" s="459">
        <f>(HJ48*0.5)*0.15</f>
        <v>0</v>
      </c>
      <c r="HK53" s="465">
        <f>HJ53-HH53</f>
        <v>-190232.06268750003</v>
      </c>
      <c r="HL53" s="486">
        <f>(HL48*0.5)*0.15</f>
        <v>187272.36525</v>
      </c>
      <c r="HM53" s="487">
        <f>(HM48*0.5)*0.15</f>
        <v>187956.66667499999</v>
      </c>
      <c r="HN53" s="22"/>
      <c r="HO53" s="459">
        <f>(HO48*0.5)*0.15</f>
        <v>0</v>
      </c>
      <c r="HP53" s="465">
        <f>HO53-HM53</f>
        <v>-187956.66667499999</v>
      </c>
      <c r="HQ53" s="486">
        <f>(HQ48*0.5)*0.15</f>
        <v>198371.997</v>
      </c>
      <c r="HR53" s="487">
        <f>(HR48*0.5)*0.15</f>
        <v>198933.99302999998</v>
      </c>
      <c r="HS53" s="22"/>
      <c r="HT53" s="459">
        <f>(HT48*0.5)*0.15</f>
        <v>0</v>
      </c>
      <c r="HU53" s="465">
        <f>HT53-HR53</f>
        <v>-198933.99302999998</v>
      </c>
      <c r="HV53" s="830">
        <f>HC53+HH53+HM53+HR53</f>
        <v>778937.79831750004</v>
      </c>
      <c r="HW53" s="474"/>
      <c r="HX53" s="829">
        <f>HT53+HO53+HJ53+HE53</f>
        <v>0</v>
      </c>
      <c r="HY53" s="828">
        <f>HX53-HW53</f>
        <v>0</v>
      </c>
      <c r="HZ53" s="486">
        <f>(HZ48*0.5)*0.15</f>
        <v>182825.57475</v>
      </c>
      <c r="IA53" s="487">
        <f>(IA48*0.5)*0.15</f>
        <v>183653.83179</v>
      </c>
      <c r="IB53" s="22"/>
      <c r="IC53" s="459">
        <f>(IC48*0.5)*0.15</f>
        <v>0</v>
      </c>
      <c r="ID53" s="465">
        <f>IC53-IA53</f>
        <v>-183653.83179</v>
      </c>
      <c r="IE53" s="486">
        <f>(IE48*0.5)*0.15</f>
        <v>199985.77799999999</v>
      </c>
      <c r="IF53" s="487">
        <f>(IF48*0.5)*0.15</f>
        <v>200981.30036475</v>
      </c>
      <c r="IG53" s="22"/>
      <c r="IH53" s="459">
        <f>(IH48*0.5)*0.15</f>
        <v>0</v>
      </c>
      <c r="II53" s="465">
        <f>IH53-IF53</f>
        <v>-200981.30036475</v>
      </c>
      <c r="IJ53" s="486">
        <f>(IJ48*0.5)*0.15</f>
        <v>215625.50475000002</v>
      </c>
      <c r="IK53" s="487">
        <f>(IK48*0.5)*0.15</f>
        <v>216684.20899500002</v>
      </c>
      <c r="IL53" s="22"/>
      <c r="IM53" s="459">
        <f>(IM48*0.5)*0.15</f>
        <v>0</v>
      </c>
      <c r="IN53" s="465">
        <f>IM53-IK53</f>
        <v>-216684.20899500002</v>
      </c>
      <c r="IO53" s="486">
        <f>(IO48*0.5)*0.15</f>
        <v>257051.03099999996</v>
      </c>
      <c r="IP53" s="487">
        <f>(IP48*0.5)*0.15</f>
        <v>258304.39953749999</v>
      </c>
      <c r="IQ53" s="22"/>
      <c r="IR53" s="459">
        <f>(IR48*0.5)*0.15</f>
        <v>0</v>
      </c>
      <c r="IS53" s="465">
        <f>IR53-IP53</f>
        <v>-258304.39953749999</v>
      </c>
      <c r="IT53" s="830">
        <f>IA53+IF53+IK53+IP53</f>
        <v>859623.74068725004</v>
      </c>
      <c r="IU53" s="474"/>
      <c r="IV53" s="829">
        <f>IR53+IM53+IH53+IC53</f>
        <v>0</v>
      </c>
      <c r="IW53" s="828">
        <f>IV53-IU53</f>
        <v>0</v>
      </c>
      <c r="IX53" s="486">
        <f>(IX48*0.5)*0.15</f>
        <v>188571.56025000001</v>
      </c>
      <c r="IY53" s="487">
        <f>(IY48*0.5)*0.15</f>
        <v>189077.81403749998</v>
      </c>
      <c r="IZ53" s="22"/>
      <c r="JA53" s="459">
        <f>(JA48*0.5)*0.15</f>
        <v>0</v>
      </c>
      <c r="JB53" s="465">
        <f>JA53-IY53</f>
        <v>-189077.81403749998</v>
      </c>
      <c r="JC53" s="486">
        <f>(JC48*0.5)*0.15</f>
        <v>238223.424</v>
      </c>
      <c r="JD53" s="487">
        <f>(JD48*0.5)*0.15</f>
        <v>238732.82925899999</v>
      </c>
      <c r="JE53" s="22"/>
      <c r="JF53" s="459">
        <f>(JF48*0.5)*0.15</f>
        <v>0</v>
      </c>
      <c r="JG53" s="465">
        <f>JF53-JD53</f>
        <v>-238732.82925899999</v>
      </c>
      <c r="JH53" s="486">
        <f>(JH48*0.5)*0.15</f>
        <v>286762.11599999998</v>
      </c>
      <c r="JI53" s="487">
        <f>(JI48*0.5)*0.15</f>
        <v>287837.16877499997</v>
      </c>
      <c r="JJ53" s="22"/>
      <c r="JK53" s="459">
        <f>(JK48*0.5)*0.15</f>
        <v>0</v>
      </c>
      <c r="JL53" s="465">
        <f>JK53-JI53</f>
        <v>-287837.16877499997</v>
      </c>
      <c r="JM53" s="486">
        <f>(JM48*0.5)*0.15</f>
        <v>302284.17975000001</v>
      </c>
      <c r="JN53" s="487">
        <f>(JN48*0.5)*0.15</f>
        <v>300905.70045</v>
      </c>
      <c r="JO53" s="22"/>
      <c r="JP53" s="459">
        <f>(JP48*0.5)*0.15</f>
        <v>0</v>
      </c>
      <c r="JQ53" s="465">
        <f>JP53-JN53</f>
        <v>-300905.70045</v>
      </c>
      <c r="JR53" s="830">
        <f>IY53+JD53+JI53+JN53</f>
        <v>1016553.5125214999</v>
      </c>
      <c r="JS53" s="474"/>
      <c r="JT53" s="829">
        <f>JP53+JK53+JF53+JA53</f>
        <v>0</v>
      </c>
      <c r="JU53" s="828">
        <f>JT53-JS53</f>
        <v>0</v>
      </c>
      <c r="JV53" s="486">
        <f>(JV48*0.5)*0.15</f>
        <v>403722.51075000002</v>
      </c>
      <c r="JW53" s="487">
        <f>(JW48*0.5)*0.15</f>
        <v>403167.28305299993</v>
      </c>
      <c r="JX53" s="22"/>
      <c r="JY53" s="459">
        <f>(JY48*0.5)*0.15</f>
        <v>0</v>
      </c>
      <c r="JZ53" s="465">
        <f>JY53-JW53</f>
        <v>-403167.28305299993</v>
      </c>
      <c r="KA53" s="486">
        <f>(KA48*0.5)*0.15</f>
        <v>500856.70049999998</v>
      </c>
      <c r="KB53" s="487">
        <f>(KB48*0.5)*0.15</f>
        <v>499895.89565850003</v>
      </c>
      <c r="KC53" s="22"/>
      <c r="KD53" s="459">
        <f>(KD48*0.5)*0.15</f>
        <v>0</v>
      </c>
      <c r="KE53" s="465">
        <f>KD53-KB53</f>
        <v>-499895.89565850003</v>
      </c>
      <c r="KF53" s="486">
        <f>(KF48*0.5)*0.15</f>
        <v>658632.99674999993</v>
      </c>
      <c r="KG53" s="487">
        <f>(KG48*0.5)*0.15</f>
        <v>655563.56973937491</v>
      </c>
      <c r="KH53" s="22"/>
      <c r="KI53" s="459">
        <f>(KI48*0.5)*0.15</f>
        <v>0</v>
      </c>
      <c r="KJ53" s="465">
        <f>KI53-KG53</f>
        <v>-655563.56973937491</v>
      </c>
      <c r="KK53" s="486">
        <f>(KK48*0.5)*0.15</f>
        <v>575024.02049999998</v>
      </c>
      <c r="KL53" s="487">
        <f>(KL48*0.5)*0.15</f>
        <v>572441.07219374995</v>
      </c>
      <c r="KM53" s="22"/>
      <c r="KN53" s="459">
        <f>(KN48*0.5)*0.15</f>
        <v>0</v>
      </c>
      <c r="KO53" s="465">
        <f>KN53-KL53</f>
        <v>-572441.07219374995</v>
      </c>
      <c r="KP53" s="486">
        <f>(KP48*0.5)*0.15</f>
        <v>204610.10024999999</v>
      </c>
      <c r="KQ53" s="487">
        <f>(KQ48*0.5)*0.15</f>
        <v>203684.46726974999</v>
      </c>
      <c r="KR53" s="22"/>
      <c r="KS53" s="459">
        <f>(KS48*0.5)*0.15</f>
        <v>0</v>
      </c>
      <c r="KT53" s="465">
        <f>KS53-KQ53</f>
        <v>-203684.46726974999</v>
      </c>
      <c r="KU53" s="486">
        <f>(KU48*0.5)*0.15</f>
        <v>2334752.2879143748</v>
      </c>
      <c r="KV53" s="487">
        <f>(KV48*0.5)*0.15</f>
        <v>0</v>
      </c>
      <c r="KW53" s="487">
        <f>(KW48*0.5)*0.15</f>
        <v>0</v>
      </c>
      <c r="KX53" s="495" t="e">
        <f>(KX48*0.5)*0.15</f>
        <v>#DIV/0!</v>
      </c>
      <c r="KY53" s="486">
        <f>(KY48*0.5)*0.15</f>
        <v>0</v>
      </c>
      <c r="KZ53" s="487">
        <f>(KZ48*0.5)*0.15</f>
        <v>0</v>
      </c>
      <c r="LA53" s="492">
        <f>KZ53-KY53</f>
        <v>0</v>
      </c>
      <c r="LB53" s="493" t="e">
        <f>KZ53/KY53</f>
        <v>#DIV/0!</v>
      </c>
    </row>
    <row r="54" spans="1:314">
      <c r="A54" s="1495"/>
      <c r="B54" s="472" t="s">
        <v>248</v>
      </c>
      <c r="C54" s="1495"/>
      <c r="D54" s="1495"/>
      <c r="E54" s="1495"/>
      <c r="F54" s="1495"/>
      <c r="G54" s="1495"/>
      <c r="H54" s="1495"/>
      <c r="I54" s="1495"/>
      <c r="J54" s="1495"/>
      <c r="K54" s="1495"/>
      <c r="L54" s="1495"/>
      <c r="M54" s="1495"/>
      <c r="N54" s="1495"/>
      <c r="O54" s="1495"/>
      <c r="P54" s="1495"/>
      <c r="Q54" s="1495"/>
      <c r="R54" s="1495"/>
      <c r="S54" s="1495"/>
      <c r="T54" s="1495"/>
      <c r="U54" s="1495"/>
      <c r="V54" s="1495"/>
      <c r="W54" s="1495"/>
      <c r="X54" s="1495"/>
      <c r="Y54" s="1495"/>
      <c r="Z54" s="1495"/>
      <c r="AA54" s="1495"/>
      <c r="AB54" s="1495"/>
      <c r="AC54" s="1495"/>
      <c r="AD54" s="1495"/>
      <c r="AE54" s="1495"/>
      <c r="AF54" s="1495"/>
      <c r="AG54" s="1495"/>
      <c r="AH54" s="1495"/>
      <c r="AI54" s="1495"/>
      <c r="AJ54" s="1495"/>
      <c r="AK54" s="1495"/>
      <c r="AL54" s="1495"/>
      <c r="AM54" s="1495"/>
      <c r="AN54" s="1495"/>
      <c r="AO54" s="1495"/>
      <c r="AP54" s="1495"/>
      <c r="AQ54" s="1495"/>
      <c r="AR54" s="1495"/>
      <c r="AS54" s="1495"/>
      <c r="AT54" s="1495"/>
      <c r="AU54" s="1495"/>
      <c r="AV54" s="1495"/>
      <c r="AW54" s="1495"/>
      <c r="AX54" s="1495"/>
      <c r="AY54" s="1495"/>
      <c r="AZ54" s="1495"/>
      <c r="BA54" s="1495"/>
      <c r="BB54" s="1495"/>
      <c r="BC54" s="1495"/>
      <c r="BD54" s="1495"/>
      <c r="BE54" s="1495"/>
      <c r="BF54" s="1495"/>
      <c r="BG54" s="1495"/>
      <c r="BH54" s="1495"/>
      <c r="BI54" s="1495"/>
      <c r="BJ54" s="1495"/>
      <c r="BK54" s="1495"/>
      <c r="BL54" s="1495"/>
      <c r="BM54" s="1495"/>
      <c r="BN54" s="463">
        <f>(BN48*0.5)*0.65</f>
        <v>816064.89575000003</v>
      </c>
      <c r="BO54" s="459">
        <f>(BO48*0.5)*0.65</f>
        <v>818831.85588749987</v>
      </c>
      <c r="BP54" s="22"/>
      <c r="BQ54" s="459">
        <f>(BQ48*0.5)*0.65</f>
        <v>0</v>
      </c>
      <c r="BR54" s="467">
        <f>BQ54-BO54</f>
        <v>-818831.85588749987</v>
      </c>
      <c r="BS54" s="463">
        <f>(BS48*0.5)*0.65</f>
        <v>857792.77674999996</v>
      </c>
      <c r="BT54" s="459">
        <f>(BT48*0.5)*0.65</f>
        <v>859672.23941950011</v>
      </c>
      <c r="BU54" s="22"/>
      <c r="BV54" s="459">
        <f>(BV48*0.5)*0.65</f>
        <v>0</v>
      </c>
      <c r="BW54" s="467">
        <f>BV54-BT54</f>
        <v>-859672.23941950011</v>
      </c>
      <c r="BX54" s="803"/>
      <c r="BY54" s="803"/>
      <c r="BZ54" s="803"/>
      <c r="CA54" s="803"/>
      <c r="CB54" s="463">
        <f>(CB48*0.5)*0.65</f>
        <v>899771.73974999995</v>
      </c>
      <c r="CC54" s="459">
        <f>(CC48*0.5)*0.65</f>
        <v>898409.79308600014</v>
      </c>
      <c r="CD54" s="22"/>
      <c r="CE54" s="459">
        <f>(CE48*0.5)*0.65</f>
        <v>0</v>
      </c>
      <c r="CF54" s="467">
        <f>CE54-CC54</f>
        <v>-898409.79308600014</v>
      </c>
      <c r="CG54" s="463">
        <f>(CG48*0.5)*0.65</f>
        <v>953731.28824999987</v>
      </c>
      <c r="CH54" s="459">
        <f>(CH48*0.5)*0.65</f>
        <v>950970.63552562508</v>
      </c>
      <c r="CI54" s="22"/>
      <c r="CJ54" s="459">
        <f>(CJ48*0.5)*0.65</f>
        <v>0</v>
      </c>
      <c r="CK54" s="467">
        <f>CJ54-CH54</f>
        <v>-950970.63552562508</v>
      </c>
      <c r="CL54" s="463">
        <f>(CL48*0.5)*0.65</f>
        <v>924019.28125</v>
      </c>
      <c r="CM54" s="459">
        <f>(CM48*0.5)*0.65</f>
        <v>921619.99098000012</v>
      </c>
      <c r="CN54" s="22"/>
      <c r="CO54" s="459">
        <f>(CO48*0.5)*0.65</f>
        <v>0</v>
      </c>
      <c r="CP54" s="467">
        <f>CO54-CM54</f>
        <v>-921619.99098000012</v>
      </c>
      <c r="CQ54" s="463">
        <f>(CQ48*0.5)*0.65</f>
        <v>1099809.8475000001</v>
      </c>
      <c r="CR54" s="459">
        <f>(CR48*0.5)*0.65</f>
        <v>1094770.022734375</v>
      </c>
      <c r="CS54" s="22"/>
      <c r="CT54" s="459">
        <f>(CT48*0.5)*0.65</f>
        <v>0</v>
      </c>
      <c r="CU54" s="465">
        <f>CT54-CR54</f>
        <v>-1094770.022734375</v>
      </c>
      <c r="CV54" s="830">
        <f>CC54+CH54+CM54+CR54</f>
        <v>3865770.442326</v>
      </c>
      <c r="CW54" s="474"/>
      <c r="CX54" s="829">
        <f>CT54+CO54+CJ54+CE54</f>
        <v>0</v>
      </c>
      <c r="CY54" s="828">
        <f>CX54-CW54</f>
        <v>0</v>
      </c>
      <c r="CZ54" s="486">
        <f>(CZ48*0.5)*0.65</f>
        <v>1296050.1482500001</v>
      </c>
      <c r="DA54" s="487">
        <f>(DA48*0.5)*0.65</f>
        <v>1301753.0942325001</v>
      </c>
      <c r="DB54" s="22"/>
      <c r="DC54" s="459">
        <f>(DC48*0.5)*0.65</f>
        <v>0</v>
      </c>
      <c r="DD54" s="465">
        <f>DC54-DA54</f>
        <v>-1301753.0942325001</v>
      </c>
      <c r="DE54" s="486">
        <f>(DE48*0.5)*0.65</f>
        <v>940809.26875000005</v>
      </c>
      <c r="DF54" s="487">
        <f>(DF48*0.5)*0.65</f>
        <v>937941.67276875</v>
      </c>
      <c r="DG54" s="22"/>
      <c r="DH54" s="459">
        <f>(DH48*0.5)*0.65</f>
        <v>0</v>
      </c>
      <c r="DI54" s="465">
        <f>DH54-DF54</f>
        <v>-937941.67276875</v>
      </c>
      <c r="DJ54" s="486">
        <f>(DJ48*0.5)*0.65</f>
        <v>841517.72249999992</v>
      </c>
      <c r="DK54" s="487">
        <f>(DK48*0.5)*0.65</f>
        <v>841545.02139500005</v>
      </c>
      <c r="DL54" s="22"/>
      <c r="DM54" s="459">
        <f>(DM48*0.5)*0.65</f>
        <v>0</v>
      </c>
      <c r="DN54" s="465">
        <f>DM54-DK54</f>
        <v>-841545.02139500005</v>
      </c>
      <c r="DO54" s="486">
        <f>(DO48*0.5)*0.65</f>
        <v>841908.61625000008</v>
      </c>
      <c r="DP54" s="487">
        <f>(DP48*0.5)*0.65</f>
        <v>838551.58395937481</v>
      </c>
      <c r="DQ54" s="22"/>
      <c r="DR54" s="459">
        <f>(DR48*0.5)*0.65</f>
        <v>0</v>
      </c>
      <c r="DS54" s="465">
        <f>DR54-DP54</f>
        <v>-838551.58395937481</v>
      </c>
      <c r="DT54" s="830">
        <f>DA54+DF54+DK54+DP54</f>
        <v>3919791.372355625</v>
      </c>
      <c r="DU54" s="474"/>
      <c r="DV54" s="829">
        <f>DR54+DM54+DH54+DC54</f>
        <v>0</v>
      </c>
      <c r="DW54" s="828">
        <f>DV54-DU54</f>
        <v>0</v>
      </c>
      <c r="DX54" s="486">
        <f>(DX48*0.5)*0.65</f>
        <v>862212.16249999998</v>
      </c>
      <c r="DY54" s="487">
        <f>(DY48*0.5)*0.65</f>
        <v>862753.77321250003</v>
      </c>
      <c r="DZ54" s="22"/>
      <c r="EA54" s="459">
        <f>(EA48*0.5)*0.65</f>
        <v>0</v>
      </c>
      <c r="EB54" s="465">
        <f>EA54-DY54</f>
        <v>-862753.77321250003</v>
      </c>
      <c r="EC54" s="486">
        <f>(EC48*0.5)*0.65</f>
        <v>988514.47499999998</v>
      </c>
      <c r="ED54" s="487">
        <f>(ED48*0.5)*0.65</f>
        <v>991489.52743750007</v>
      </c>
      <c r="EE54" s="22"/>
      <c r="EF54" s="459">
        <f>(EF48*0.5)*0.65</f>
        <v>0</v>
      </c>
      <c r="EG54" s="465">
        <f>EF54-ED54</f>
        <v>-991489.52743750007</v>
      </c>
      <c r="EH54" s="486">
        <f>(EH48*0.5)*0.65</f>
        <v>1036395.12925</v>
      </c>
      <c r="EI54" s="487">
        <f>(EI48*0.5)*0.65</f>
        <v>1039244.1353222501</v>
      </c>
      <c r="EJ54" s="22"/>
      <c r="EK54" s="459">
        <f>(EK48*0.5)*0.65</f>
        <v>0</v>
      </c>
      <c r="EL54" s="465">
        <f>EK54-EI54</f>
        <v>-1039244.1353222501</v>
      </c>
      <c r="EM54" s="486">
        <f>(EM48*0.5)*0.65</f>
        <v>1111147.7552499999</v>
      </c>
      <c r="EN54" s="487">
        <f>(EN48*0.5)*0.65</f>
        <v>1106827.1091085002</v>
      </c>
      <c r="EO54" s="22"/>
      <c r="EP54" s="459">
        <f>(EP48*0.5)*0.65</f>
        <v>0</v>
      </c>
      <c r="EQ54" s="465">
        <f>EP54-EN54</f>
        <v>-1106827.1091085002</v>
      </c>
      <c r="ER54" s="486">
        <f>(ER48*0.5)*0.65</f>
        <v>1065295.2505000001</v>
      </c>
      <c r="ES54" s="487">
        <f>(ES48*0.5)*0.65</f>
        <v>1060033.9428379999</v>
      </c>
      <c r="ET54" s="22"/>
      <c r="EU54" s="459">
        <f>(EU48*0.5)*0.65</f>
        <v>0</v>
      </c>
      <c r="EV54" s="465">
        <f>EU54-ES54</f>
        <v>-1060033.9428379999</v>
      </c>
      <c r="EW54" s="830">
        <f>ED54+EI54+EN54+ES54</f>
        <v>4197594.7147062505</v>
      </c>
      <c r="EX54" s="474"/>
      <c r="EY54" s="829">
        <f>EU54+EP54+EK54+EF54</f>
        <v>0</v>
      </c>
      <c r="EZ54" s="828">
        <f>EY54-EX54</f>
        <v>0</v>
      </c>
      <c r="FA54" s="486">
        <f>(FA48*0.5)*0.65</f>
        <v>950870.96975000005</v>
      </c>
      <c r="FB54" s="487">
        <f>(FB48*0.5)*0.65</f>
        <v>952437.69134799996</v>
      </c>
      <c r="FC54" s="22"/>
      <c r="FD54" s="459">
        <f>(FD48*0.5)*0.65</f>
        <v>0</v>
      </c>
      <c r="FE54" s="465">
        <f>FD54-FB54</f>
        <v>-952437.69134799996</v>
      </c>
      <c r="FF54" s="486">
        <f>(FF48*0.5)*0.65</f>
        <v>990556.87900000007</v>
      </c>
      <c r="FG54" s="487">
        <f>(FG48*0.5)*0.65</f>
        <v>986818.46522675001</v>
      </c>
      <c r="FH54" s="22"/>
      <c r="FI54" s="459">
        <f>(FI48*0.5)*0.65</f>
        <v>0</v>
      </c>
      <c r="FJ54" s="465">
        <f>FI54-FG54</f>
        <v>-986818.46522675001</v>
      </c>
      <c r="FK54" s="486">
        <f>(FK48*0.5)*0.65</f>
        <v>922311.13325000007</v>
      </c>
      <c r="FL54" s="487">
        <f>(FL48*0.5)*0.65</f>
        <v>917970.04260000016</v>
      </c>
      <c r="FM54" s="22"/>
      <c r="FN54" s="459">
        <f>(FN48*0.5)*0.65</f>
        <v>0</v>
      </c>
      <c r="FO54" s="465">
        <f>FN54-FL54</f>
        <v>-917970.04260000016</v>
      </c>
      <c r="FP54" s="486">
        <f>(FP48*0.5)*0.65</f>
        <v>965116.88</v>
      </c>
      <c r="FQ54" s="487">
        <f>(FQ48*0.5)*0.65</f>
        <v>962378.8303415</v>
      </c>
      <c r="FR54" s="22"/>
      <c r="FS54" s="459">
        <f>(FS48*0.5)*0.65</f>
        <v>0</v>
      </c>
      <c r="FT54" s="465">
        <f>FS54-FQ54</f>
        <v>-962378.8303415</v>
      </c>
      <c r="FU54" s="830">
        <f>FB54+FG54+FL54+FQ54</f>
        <v>3819605.0295162499</v>
      </c>
      <c r="FV54" s="474"/>
      <c r="FW54" s="829">
        <f>FS54+FN54+FI54+FD54</f>
        <v>0</v>
      </c>
      <c r="FX54" s="828">
        <f>FW54-FV54</f>
        <v>0</v>
      </c>
      <c r="FY54" s="486">
        <f>(FY48*0.5)*0.65</f>
        <v>922500.21175000013</v>
      </c>
      <c r="FZ54" s="487">
        <f>(FZ48*0.5)*0.65</f>
        <v>918171.81852824986</v>
      </c>
      <c r="GA54" s="22"/>
      <c r="GB54" s="459">
        <f>(GB48*0.5)*0.65</f>
        <v>0</v>
      </c>
      <c r="GC54" s="465">
        <f>GB54-FZ54</f>
        <v>-918171.81852824986</v>
      </c>
      <c r="GD54" s="486">
        <f>(GD48*0.5)*0.65</f>
        <v>880316.424</v>
      </c>
      <c r="GE54" s="487">
        <f>(GE48*0.5)*0.65</f>
        <v>883870.0112823752</v>
      </c>
      <c r="GF54" s="22"/>
      <c r="GG54" s="459">
        <f>(GG48*0.5)*0.65</f>
        <v>0</v>
      </c>
      <c r="GH54" s="465">
        <f>GG54-GE54</f>
        <v>-883870.0112823752</v>
      </c>
      <c r="GI54" s="486">
        <f>(GI48*0.5)*0.65</f>
        <v>898985.8280000001</v>
      </c>
      <c r="GJ54" s="487">
        <f>(GJ48*0.5)*0.65</f>
        <v>902642.95111250004</v>
      </c>
      <c r="GK54" s="22"/>
      <c r="GL54" s="459">
        <f>(GL48*0.5)*0.65</f>
        <v>0</v>
      </c>
      <c r="GM54" s="465">
        <f>GL54-GJ54</f>
        <v>-902642.95111250004</v>
      </c>
      <c r="GN54" s="486">
        <f>(GN48*0.5)*0.65</f>
        <v>874788.34625000006</v>
      </c>
      <c r="GO54" s="487">
        <f>(GO48*0.5)*0.65</f>
        <v>876513.0188815</v>
      </c>
      <c r="GP54" s="22"/>
      <c r="GQ54" s="459">
        <f>(GQ48*0.5)*0.65</f>
        <v>0</v>
      </c>
      <c r="GR54" s="465">
        <f>GQ54-GO54</f>
        <v>-876513.0188815</v>
      </c>
      <c r="GS54" s="830">
        <f>FZ54+GE54+GJ54+GO54</f>
        <v>3581197.7998046251</v>
      </c>
      <c r="GT54" s="474"/>
      <c r="GU54" s="829">
        <f>GQ54+GL54+GG54+GB54</f>
        <v>0</v>
      </c>
      <c r="GV54" s="828">
        <f>GU54-GT54</f>
        <v>0</v>
      </c>
      <c r="GW54" s="486">
        <f>(GW48*0.5)*0.65</f>
        <v>880074</v>
      </c>
      <c r="GX54" s="487">
        <f>(GX48*0.5)*0.65</f>
        <v>880716.52500000002</v>
      </c>
      <c r="GY54" s="22"/>
      <c r="GZ54" s="459">
        <f>(GZ48*0.5)*0.65</f>
        <v>0</v>
      </c>
      <c r="HA54" s="465">
        <f>GZ54-GX54</f>
        <v>-880716.52500000002</v>
      </c>
      <c r="HB54" s="486">
        <f>(HB48*0.5)*0.65</f>
        <v>878478.35399999993</v>
      </c>
      <c r="HC54" s="487">
        <f>(HC48*0.5)*0.65</f>
        <v>874531.99567500001</v>
      </c>
      <c r="HD54" s="22"/>
      <c r="HE54" s="459">
        <f>(HE48*0.5)*0.65</f>
        <v>0</v>
      </c>
      <c r="HF54" s="465">
        <f>HE54-HC54</f>
        <v>-874531.99567500001</v>
      </c>
      <c r="HG54" s="486">
        <f>(HG48*0.5)*0.65</f>
        <v>822668.77875000017</v>
      </c>
      <c r="HH54" s="487">
        <f>(HH48*0.5)*0.65</f>
        <v>824338.93831250013</v>
      </c>
      <c r="HI54" s="22"/>
      <c r="HJ54" s="459">
        <f>(HJ48*0.5)*0.65</f>
        <v>0</v>
      </c>
      <c r="HK54" s="465">
        <f>HJ54-HH54</f>
        <v>-824338.93831250013</v>
      </c>
      <c r="HL54" s="486">
        <f>(HL48*0.5)*0.65</f>
        <v>811513.58275000006</v>
      </c>
      <c r="HM54" s="487">
        <f>(HM48*0.5)*0.65</f>
        <v>814478.88892499998</v>
      </c>
      <c r="HN54" s="22"/>
      <c r="HO54" s="459">
        <f>(HO48*0.5)*0.65</f>
        <v>0</v>
      </c>
      <c r="HP54" s="465">
        <f>HO54-HM54</f>
        <v>-814478.88892499998</v>
      </c>
      <c r="HQ54" s="486">
        <f>(HQ48*0.5)*0.65</f>
        <v>859611.98699999996</v>
      </c>
      <c r="HR54" s="487">
        <f>(HR48*0.5)*0.65</f>
        <v>862047.30313000001</v>
      </c>
      <c r="HS54" s="22"/>
      <c r="HT54" s="459">
        <f>(HT48*0.5)*0.65</f>
        <v>0</v>
      </c>
      <c r="HU54" s="465">
        <f>HT54-HR54</f>
        <v>-862047.30313000001</v>
      </c>
      <c r="HV54" s="830">
        <f>HC54+HH54+HM54+HR54</f>
        <v>3375397.1260425001</v>
      </c>
      <c r="HW54" s="474"/>
      <c r="HX54" s="829">
        <f>HT54+HO54+HJ54+HE54</f>
        <v>0</v>
      </c>
      <c r="HY54" s="828">
        <f>HX54-HW54</f>
        <v>0</v>
      </c>
      <c r="HZ54" s="486">
        <f>(HZ48*0.5)*0.65</f>
        <v>792244.15725000005</v>
      </c>
      <c r="IA54" s="487">
        <f>(IA48*0.5)*0.65</f>
        <v>795833.27108999994</v>
      </c>
      <c r="IB54" s="22"/>
      <c r="IC54" s="459">
        <f>(IC48*0.5)*0.65</f>
        <v>0</v>
      </c>
      <c r="ID54" s="465">
        <f>IC54-IA54</f>
        <v>-795833.27108999994</v>
      </c>
      <c r="IE54" s="486">
        <f>(IE48*0.5)*0.65</f>
        <v>866605.03800000006</v>
      </c>
      <c r="IF54" s="487">
        <f>(IF48*0.5)*0.65</f>
        <v>870918.96824724996</v>
      </c>
      <c r="IG54" s="22"/>
      <c r="IH54" s="459">
        <f>(IH48*0.5)*0.65</f>
        <v>0</v>
      </c>
      <c r="II54" s="465">
        <f>IH54-IF54</f>
        <v>-870918.96824724996</v>
      </c>
      <c r="IJ54" s="486">
        <f>(IJ48*0.5)*0.65</f>
        <v>934377.18725000019</v>
      </c>
      <c r="IK54" s="487">
        <f>(IK48*0.5)*0.65</f>
        <v>938964.90564500005</v>
      </c>
      <c r="IL54" s="22"/>
      <c r="IM54" s="459">
        <f>(IM48*0.5)*0.65</f>
        <v>0</v>
      </c>
      <c r="IN54" s="465">
        <f>IM54-IK54</f>
        <v>-938964.90564500005</v>
      </c>
      <c r="IO54" s="486">
        <f>(IO48*0.5)*0.65</f>
        <v>1113887.801</v>
      </c>
      <c r="IP54" s="487">
        <f>(IP48*0.5)*0.65</f>
        <v>1119319.0646625001</v>
      </c>
      <c r="IQ54" s="22"/>
      <c r="IR54" s="459">
        <f>(IR48*0.5)*0.65</f>
        <v>0</v>
      </c>
      <c r="IS54" s="465">
        <f>IR54-IP54</f>
        <v>-1119319.0646625001</v>
      </c>
      <c r="IT54" s="830">
        <f>IA54+IF54+IK54+IP54</f>
        <v>3725036.2096447498</v>
      </c>
      <c r="IU54" s="474"/>
      <c r="IV54" s="829">
        <f>IR54+IM54+IH54+IC54</f>
        <v>0</v>
      </c>
      <c r="IW54" s="828">
        <f>IV54-IU54</f>
        <v>0</v>
      </c>
      <c r="IX54" s="486">
        <f>(IX48*0.5)*0.65</f>
        <v>817143.42775000015</v>
      </c>
      <c r="IY54" s="487">
        <f>(IY48*0.5)*0.65</f>
        <v>819337.19416249986</v>
      </c>
      <c r="IZ54" s="22"/>
      <c r="JA54" s="459">
        <f>(JA48*0.5)*0.65</f>
        <v>0</v>
      </c>
      <c r="JB54" s="465">
        <f>JA54-IY54</f>
        <v>-819337.19416249986</v>
      </c>
      <c r="JC54" s="486">
        <f>(JC48*0.5)*0.65</f>
        <v>1032301.5040000002</v>
      </c>
      <c r="JD54" s="487">
        <f>(JD48*0.5)*0.65</f>
        <v>1034508.926789</v>
      </c>
      <c r="JE54" s="22"/>
      <c r="JF54" s="459">
        <f>(JF48*0.5)*0.65</f>
        <v>0</v>
      </c>
      <c r="JG54" s="465">
        <f>JF54-JD54</f>
        <v>-1034508.926789</v>
      </c>
      <c r="JH54" s="486">
        <f>(JH48*0.5)*0.65</f>
        <v>1242635.8359999999</v>
      </c>
      <c r="JI54" s="487">
        <f>(JI48*0.5)*0.65</f>
        <v>1247294.398025</v>
      </c>
      <c r="JJ54" s="22"/>
      <c r="JK54" s="459">
        <f>(JK48*0.5)*0.65</f>
        <v>0</v>
      </c>
      <c r="JL54" s="465">
        <f>JK54-JI54</f>
        <v>-1247294.398025</v>
      </c>
      <c r="JM54" s="486">
        <f>(JM48*0.5)*0.65</f>
        <v>1309898.1122500002</v>
      </c>
      <c r="JN54" s="487">
        <f>(JN48*0.5)*0.65</f>
        <v>1303924.7019500001</v>
      </c>
      <c r="JO54" s="22"/>
      <c r="JP54" s="459">
        <f>(JP48*0.5)*0.65</f>
        <v>0</v>
      </c>
      <c r="JQ54" s="465">
        <f>JP54-JN54</f>
        <v>-1303924.7019500001</v>
      </c>
      <c r="JR54" s="830">
        <f>IY54+JD54+JI54+JN54</f>
        <v>4405065.2209264999</v>
      </c>
      <c r="JS54" s="474"/>
      <c r="JT54" s="829">
        <f>JP54+JK54+JF54+JA54</f>
        <v>0</v>
      </c>
      <c r="JU54" s="828">
        <f>JT54-JS54</f>
        <v>0</v>
      </c>
      <c r="JV54" s="486">
        <f>(JV48*0.5)*0.65</f>
        <v>1749464.2132500003</v>
      </c>
      <c r="JW54" s="487">
        <f>(JW48*0.5)*0.65</f>
        <v>1747058.2265629999</v>
      </c>
      <c r="JX54" s="22"/>
      <c r="JY54" s="459">
        <f>(JY48*0.5)*0.65</f>
        <v>0</v>
      </c>
      <c r="JZ54" s="465">
        <f>JY54-JW54</f>
        <v>-1747058.2265629999</v>
      </c>
      <c r="KA54" s="486">
        <f>(KA48*0.5)*0.65</f>
        <v>2170379.0355000002</v>
      </c>
      <c r="KB54" s="487">
        <f>(KB48*0.5)*0.65</f>
        <v>2166215.5478535001</v>
      </c>
      <c r="KC54" s="22"/>
      <c r="KD54" s="459">
        <f>(KD48*0.5)*0.65</f>
        <v>0</v>
      </c>
      <c r="KE54" s="465">
        <f>KD54-KB54</f>
        <v>-2166215.5478535001</v>
      </c>
      <c r="KF54" s="486">
        <f>(KF48*0.5)*0.65</f>
        <v>2854076.3192499997</v>
      </c>
      <c r="KG54" s="487">
        <f>(KG48*0.5)*0.65</f>
        <v>2840775.4688706244</v>
      </c>
      <c r="KH54" s="22"/>
      <c r="KI54" s="459">
        <f>(KI48*0.5)*0.65</f>
        <v>0</v>
      </c>
      <c r="KJ54" s="465">
        <f>KI54-KG54</f>
        <v>-2840775.4688706244</v>
      </c>
      <c r="KK54" s="486">
        <f>(KK48*0.5)*0.65</f>
        <v>2491770.7555</v>
      </c>
      <c r="KL54" s="487">
        <f>(KL48*0.5)*0.65</f>
        <v>2480577.97950625</v>
      </c>
      <c r="KM54" s="22"/>
      <c r="KN54" s="459">
        <f>(KN48*0.5)*0.65</f>
        <v>0</v>
      </c>
      <c r="KO54" s="465">
        <f>KN54-KL54</f>
        <v>-2480577.97950625</v>
      </c>
      <c r="KP54" s="486">
        <f>(KP48*0.5)*0.65</f>
        <v>886643.76775</v>
      </c>
      <c r="KQ54" s="487">
        <f>(KQ48*0.5)*0.65</f>
        <v>882632.69150224992</v>
      </c>
      <c r="KR54" s="22"/>
      <c r="KS54" s="459">
        <f>(KS48*0.5)*0.65</f>
        <v>0</v>
      </c>
      <c r="KT54" s="465">
        <f>KS54-KQ54</f>
        <v>-882632.69150224992</v>
      </c>
      <c r="KU54" s="486">
        <f>(KU48*0.5)*0.65</f>
        <v>10117259.914295625</v>
      </c>
      <c r="KV54" s="487">
        <f>(KV48*0.5)*0.65</f>
        <v>0</v>
      </c>
      <c r="KW54" s="487">
        <f>(KW48*0.5)*0.65</f>
        <v>0</v>
      </c>
      <c r="KX54" s="495" t="e">
        <f>(KX48*0.5)*0.65</f>
        <v>#DIV/0!</v>
      </c>
      <c r="KY54" s="486">
        <f>(KY48*0.5)*0.65</f>
        <v>0</v>
      </c>
      <c r="KZ54" s="487">
        <f>(KZ48*0.5)*0.65</f>
        <v>0</v>
      </c>
      <c r="LA54" s="492">
        <f>KZ54-KY54</f>
        <v>0</v>
      </c>
      <c r="LB54" s="493" t="e">
        <f>KZ54/KY54</f>
        <v>#DIV/0!</v>
      </c>
    </row>
    <row r="55" spans="1:314" ht="18" hidden="1" customHeight="1">
      <c r="A55" s="1495"/>
      <c r="B55" s="471" t="s">
        <v>492</v>
      </c>
      <c r="C55" s="1495"/>
      <c r="D55" s="1495"/>
      <c r="E55" s="1495"/>
      <c r="F55" s="1495"/>
      <c r="G55" s="1495"/>
      <c r="H55" s="1495"/>
      <c r="I55" s="1495"/>
      <c r="J55" s="1495"/>
      <c r="K55" s="1495"/>
      <c r="L55" s="1495"/>
      <c r="M55" s="1495"/>
      <c r="N55" s="1495"/>
      <c r="O55" s="1495"/>
      <c r="P55" s="1495"/>
      <c r="Q55" s="1495"/>
      <c r="R55" s="1495"/>
      <c r="S55" s="1495"/>
      <c r="T55" s="1495"/>
      <c r="U55" s="1495"/>
      <c r="V55" s="1495"/>
      <c r="W55" s="1495"/>
      <c r="X55" s="1495"/>
      <c r="Y55" s="1495"/>
      <c r="Z55" s="1495"/>
      <c r="AA55" s="1495"/>
      <c r="AB55" s="1495"/>
      <c r="AC55" s="1495"/>
      <c r="AD55" s="1495"/>
      <c r="AE55" s="1495"/>
      <c r="AF55" s="1495"/>
      <c r="AG55" s="1495"/>
      <c r="AH55" s="1495"/>
      <c r="AI55" s="1495"/>
      <c r="AJ55" s="1495"/>
      <c r="AK55" s="1495"/>
      <c r="AL55" s="1495"/>
      <c r="AM55" s="1495"/>
      <c r="AN55" s="1495"/>
      <c r="AO55" s="1495"/>
      <c r="AP55" s="1495"/>
      <c r="AQ55" s="1495"/>
      <c r="AR55" s="1495"/>
      <c r="AS55" s="1495"/>
      <c r="AT55" s="1495"/>
      <c r="AU55" s="1495"/>
      <c r="AV55" s="1495"/>
      <c r="AW55" s="1495"/>
      <c r="AX55" s="1495"/>
      <c r="AY55" s="1495"/>
      <c r="AZ55" s="1495"/>
      <c r="BA55" s="1495"/>
      <c r="BB55" s="1495"/>
      <c r="BC55" s="1495"/>
      <c r="BD55" s="1495"/>
      <c r="BE55" s="1495"/>
      <c r="BF55" s="1495"/>
      <c r="BG55" s="1495"/>
      <c r="BH55" s="1495"/>
      <c r="BI55" s="1495"/>
      <c r="BJ55" s="1495"/>
      <c r="BK55" s="1495"/>
      <c r="BL55" s="1495"/>
      <c r="BM55" s="1495"/>
      <c r="BN55" s="463">
        <f>(BN48*0.5)*0.1</f>
        <v>125548.44550000002</v>
      </c>
      <c r="BO55" s="459">
        <f>(BO48*0.5)*0.1</f>
        <v>125974.13167499998</v>
      </c>
      <c r="BP55" s="22"/>
      <c r="BQ55" s="459">
        <f>(BQ48*0.5)*0.1</f>
        <v>0</v>
      </c>
      <c r="BR55" s="467">
        <f>BQ55-BO55</f>
        <v>-125974.13167499998</v>
      </c>
      <c r="BS55" s="463">
        <f>(BS48*0.5)*0.1</f>
        <v>131968.1195</v>
      </c>
      <c r="BT55" s="459">
        <f>(BT48*0.5)*0.1</f>
        <v>132257.26760300001</v>
      </c>
      <c r="BU55" s="22"/>
      <c r="BV55" s="459">
        <f>(BV48*0.5)*0.1</f>
        <v>0</v>
      </c>
      <c r="BW55" s="467">
        <f>BV55-BT55</f>
        <v>-132257.26760300001</v>
      </c>
      <c r="BX55" s="803"/>
      <c r="BY55" s="803"/>
      <c r="BZ55" s="803"/>
      <c r="CA55" s="803"/>
      <c r="CB55" s="463">
        <f>(CB48*0.5)*0.1</f>
        <v>138426.4215</v>
      </c>
      <c r="CC55" s="459">
        <f>(CC48*0.5)*0.1</f>
        <v>138216.89124400003</v>
      </c>
      <c r="CD55" s="22"/>
      <c r="CE55" s="459">
        <f>(CE48*0.5)*0.1</f>
        <v>0</v>
      </c>
      <c r="CF55" s="467">
        <f>CE55-CC55</f>
        <v>-138216.89124400003</v>
      </c>
      <c r="CG55" s="463">
        <f>(CG48*0.5)*0.1</f>
        <v>146727.89049999998</v>
      </c>
      <c r="CH55" s="459">
        <f>(CH48*0.5)*0.1</f>
        <v>146303.17469625</v>
      </c>
      <c r="CI55" s="22"/>
      <c r="CJ55" s="459">
        <f>(CJ48*0.5)*0.1</f>
        <v>0</v>
      </c>
      <c r="CK55" s="467">
        <f>CJ55-CH55</f>
        <v>-146303.17469625</v>
      </c>
      <c r="CL55" s="463">
        <f>(CL48*0.5)*0.1</f>
        <v>142156.8125</v>
      </c>
      <c r="CM55" s="459">
        <f>(CM48*0.5)*0.1</f>
        <v>141787.69092000002</v>
      </c>
      <c r="CN55" s="22"/>
      <c r="CO55" s="459">
        <f>(CO48*0.5)*0.1</f>
        <v>0</v>
      </c>
      <c r="CP55" s="467">
        <f>CO55-CM55</f>
        <v>-141787.69092000002</v>
      </c>
      <c r="CQ55" s="463">
        <f>(CQ48*0.5)*0.1</f>
        <v>169201.51500000001</v>
      </c>
      <c r="CR55" s="459">
        <f>(CR48*0.5)*0.1</f>
        <v>168426.15734375</v>
      </c>
      <c r="CS55" s="22"/>
      <c r="CT55" s="459">
        <f>(CT48*0.5)*0.1</f>
        <v>0</v>
      </c>
      <c r="CU55" s="465">
        <f>CT55-CR55</f>
        <v>-168426.15734375</v>
      </c>
      <c r="CV55" s="830">
        <f>CC55+CH55+CM55+CR55</f>
        <v>594733.91420400003</v>
      </c>
      <c r="CW55" s="474"/>
      <c r="CX55" s="829">
        <f>CT55+CO55+CJ55+CE55</f>
        <v>0</v>
      </c>
      <c r="CY55" s="828">
        <f>CX55-CW55</f>
        <v>0</v>
      </c>
      <c r="CZ55" s="486">
        <f>(CZ48*0.5)*0.1</f>
        <v>199392.33050000001</v>
      </c>
      <c r="DA55" s="487">
        <f>(DA48*0.5)*0.1</f>
        <v>200269.70680499999</v>
      </c>
      <c r="DB55" s="22"/>
      <c r="DC55" s="459">
        <f>(DC48*0.5)*0.1</f>
        <v>0</v>
      </c>
      <c r="DD55" s="465">
        <f>DC55-DA55</f>
        <v>-200269.70680499999</v>
      </c>
      <c r="DE55" s="486">
        <f>(DE48*0.5)*0.1</f>
        <v>144739.88750000001</v>
      </c>
      <c r="DF55" s="487">
        <f>(DF48*0.5)*0.1</f>
        <v>144298.7188875</v>
      </c>
      <c r="DG55" s="22"/>
      <c r="DH55" s="459">
        <f>(DH48*0.5)*0.1</f>
        <v>0</v>
      </c>
      <c r="DI55" s="465">
        <f>DH55-DF55</f>
        <v>-144298.7188875</v>
      </c>
      <c r="DJ55" s="486">
        <f>(DJ48*0.5)*0.1</f>
        <v>129464.265</v>
      </c>
      <c r="DK55" s="487">
        <f>(DK48*0.5)*0.1</f>
        <v>129468.46483000001</v>
      </c>
      <c r="DL55" s="22"/>
      <c r="DM55" s="459">
        <f>(DM48*0.5)*0.1</f>
        <v>0</v>
      </c>
      <c r="DN55" s="465">
        <f>DM55-DK55</f>
        <v>-129468.46483000001</v>
      </c>
      <c r="DO55" s="486">
        <f>(DO48*0.5)*0.1</f>
        <v>129524.40250000003</v>
      </c>
      <c r="DP55" s="487">
        <f>(DP48*0.5)*0.1</f>
        <v>129007.93599374998</v>
      </c>
      <c r="DQ55" s="22"/>
      <c r="DR55" s="459">
        <f>(DR48*0.5)*0.1</f>
        <v>0</v>
      </c>
      <c r="DS55" s="465">
        <f>DR55-DP55</f>
        <v>-129007.93599374998</v>
      </c>
      <c r="DT55" s="830">
        <f>DA55+DF55+DK55+DP55</f>
        <v>603044.82651624992</v>
      </c>
      <c r="DU55" s="474"/>
      <c r="DV55" s="829">
        <f>DR55+DM55+DH55+DC55</f>
        <v>0</v>
      </c>
      <c r="DW55" s="828">
        <f>DV55-DU55</f>
        <v>0</v>
      </c>
      <c r="DX55" s="486">
        <f>(DX48*0.5)*0.1</f>
        <v>132648.02499999999</v>
      </c>
      <c r="DY55" s="487">
        <f>(DY48*0.5)*0.1</f>
        <v>132731.34972500001</v>
      </c>
      <c r="DZ55" s="22"/>
      <c r="EA55" s="459">
        <f>(EA48*0.5)*0.1</f>
        <v>0</v>
      </c>
      <c r="EB55" s="465">
        <f>EA55-DY55</f>
        <v>-132731.34972500001</v>
      </c>
      <c r="EC55" s="486">
        <f>(EC48*0.5)*0.1</f>
        <v>152079.15</v>
      </c>
      <c r="ED55" s="487">
        <f>(ED48*0.5)*0.1</f>
        <v>152536.85037500001</v>
      </c>
      <c r="EE55" s="22"/>
      <c r="EF55" s="459">
        <f>(EF48*0.5)*0.1</f>
        <v>0</v>
      </c>
      <c r="EG55" s="465">
        <f>EF55-ED55</f>
        <v>-152536.85037500001</v>
      </c>
      <c r="EH55" s="486">
        <f>(EH48*0.5)*0.1</f>
        <v>159445.4045</v>
      </c>
      <c r="EI55" s="487">
        <f>(EI48*0.5)*0.1</f>
        <v>159883.71312650002</v>
      </c>
      <c r="EJ55" s="22"/>
      <c r="EK55" s="459">
        <f>(EK48*0.5)*0.1</f>
        <v>0</v>
      </c>
      <c r="EL55" s="465">
        <f>EK55-EI55</f>
        <v>-159883.71312650002</v>
      </c>
      <c r="EM55" s="486">
        <f>(EM48*0.5)*0.1</f>
        <v>170945.80850000001</v>
      </c>
      <c r="EN55" s="487">
        <f>(EN48*0.5)*0.1</f>
        <v>170281.09370900004</v>
      </c>
      <c r="EO55" s="22"/>
      <c r="EP55" s="459">
        <f>(EP48*0.5)*0.1</f>
        <v>0</v>
      </c>
      <c r="EQ55" s="465">
        <f>EP55-EN55</f>
        <v>-170281.09370900004</v>
      </c>
      <c r="ER55" s="486">
        <f>(ER48*0.5)*0.1</f>
        <v>163891.57700000002</v>
      </c>
      <c r="ES55" s="487">
        <f>(ES48*0.5)*0.1</f>
        <v>163082.14505200001</v>
      </c>
      <c r="ET55" s="22"/>
      <c r="EU55" s="459">
        <f>(EU48*0.5)*0.1</f>
        <v>0</v>
      </c>
      <c r="EV55" s="465">
        <f>EU55-ES55</f>
        <v>-163082.14505200001</v>
      </c>
      <c r="EW55" s="830">
        <f>ED55+EI55+EN55+ES55</f>
        <v>645783.80226250016</v>
      </c>
      <c r="EX55" s="474"/>
      <c r="EY55" s="829">
        <f>EU55+EP55+EK55+EF55</f>
        <v>0</v>
      </c>
      <c r="EZ55" s="828">
        <f>EY55-EX55</f>
        <v>0</v>
      </c>
      <c r="FA55" s="486">
        <f>(FA48*0.5)*0.1</f>
        <v>146287.84150000001</v>
      </c>
      <c r="FB55" s="487">
        <f>(FB48*0.5)*0.1</f>
        <v>146528.875592</v>
      </c>
      <c r="FC55" s="22"/>
      <c r="FD55" s="459">
        <f>(FD48*0.5)*0.1</f>
        <v>0</v>
      </c>
      <c r="FE55" s="465">
        <f>FD55-FB55</f>
        <v>-146528.875592</v>
      </c>
      <c r="FF55" s="486">
        <f>(FF48*0.5)*0.1</f>
        <v>152393.36600000001</v>
      </c>
      <c r="FG55" s="487">
        <f>(FG48*0.5)*0.1</f>
        <v>151818.2254195</v>
      </c>
      <c r="FH55" s="22"/>
      <c r="FI55" s="459">
        <f>(FI48*0.5)*0.1</f>
        <v>0</v>
      </c>
      <c r="FJ55" s="465">
        <f>FI55-FG55</f>
        <v>-151818.2254195</v>
      </c>
      <c r="FK55" s="486">
        <f>(FK48*0.5)*0.1</f>
        <v>141894.02050000001</v>
      </c>
      <c r="FL55" s="487">
        <f>(FL48*0.5)*0.1</f>
        <v>141226.16040000002</v>
      </c>
      <c r="FM55" s="22"/>
      <c r="FN55" s="459">
        <f>(FN48*0.5)*0.1</f>
        <v>0</v>
      </c>
      <c r="FO55" s="465">
        <f>FN55-FL55</f>
        <v>-141226.16040000002</v>
      </c>
      <c r="FP55" s="486">
        <f>(FP48*0.5)*0.1</f>
        <v>148479.51999999999</v>
      </c>
      <c r="FQ55" s="487">
        <f>(FQ48*0.5)*0.1</f>
        <v>148058.28159100001</v>
      </c>
      <c r="FR55" s="22"/>
      <c r="FS55" s="459">
        <f>(FS48*0.5)*0.1</f>
        <v>0</v>
      </c>
      <c r="FT55" s="465">
        <f>FS55-FQ55</f>
        <v>-148058.28159100001</v>
      </c>
      <c r="FU55" s="830">
        <f>FB55+FG55+FL55+FQ55</f>
        <v>587631.54300250008</v>
      </c>
      <c r="FV55" s="474"/>
      <c r="FW55" s="829">
        <f>FS55+FN55+FI55+FD55</f>
        <v>0</v>
      </c>
      <c r="FX55" s="828">
        <f>FW55-FV55</f>
        <v>0</v>
      </c>
      <c r="FY55" s="486">
        <f>(FY48*0.5)*0.1</f>
        <v>141923.10950000002</v>
      </c>
      <c r="FZ55" s="487">
        <f>(FZ48*0.5)*0.1</f>
        <v>141257.20285049998</v>
      </c>
      <c r="GA55" s="22"/>
      <c r="GB55" s="459">
        <f>(GB48*0.5)*0.1</f>
        <v>0</v>
      </c>
      <c r="GC55" s="465">
        <f>GB55-FZ55</f>
        <v>-141257.20285049998</v>
      </c>
      <c r="GD55" s="486">
        <f>(GD48*0.5)*0.1</f>
        <v>135433.296</v>
      </c>
      <c r="GE55" s="487">
        <f>(GE48*0.5)*0.1</f>
        <v>135980.00173575003</v>
      </c>
      <c r="GF55" s="22"/>
      <c r="GG55" s="459">
        <f>(GG48*0.5)*0.1</f>
        <v>0</v>
      </c>
      <c r="GH55" s="465">
        <f>GG55-GE55</f>
        <v>-135980.00173575003</v>
      </c>
      <c r="GI55" s="486">
        <f>(GI48*0.5)*0.1</f>
        <v>138305.51200000002</v>
      </c>
      <c r="GJ55" s="487">
        <f>(GJ48*0.5)*0.1</f>
        <v>138868.14632500001</v>
      </c>
      <c r="GK55" s="22"/>
      <c r="GL55" s="459">
        <f>(GL48*0.5)*0.1</f>
        <v>0</v>
      </c>
      <c r="GM55" s="465">
        <f>GL55-GJ55</f>
        <v>-138868.14632500001</v>
      </c>
      <c r="GN55" s="486">
        <f>(GN48*0.5)*0.1</f>
        <v>134582.82250000001</v>
      </c>
      <c r="GO55" s="487">
        <f>(GO48*0.5)*0.1</f>
        <v>134848.156751</v>
      </c>
      <c r="GP55" s="22"/>
      <c r="GQ55" s="459">
        <f>(GQ48*0.5)*0.1</f>
        <v>0</v>
      </c>
      <c r="GR55" s="465">
        <f>GQ55-GO55</f>
        <v>-134848.156751</v>
      </c>
      <c r="GS55" s="830">
        <f>FZ55+GE55+GJ55+GO55</f>
        <v>550953.50766224996</v>
      </c>
      <c r="GT55" s="474"/>
      <c r="GU55" s="829">
        <f>GQ55+GL55+GG55+GB55</f>
        <v>0</v>
      </c>
      <c r="GV55" s="828">
        <f>GU55-GT55</f>
        <v>0</v>
      </c>
      <c r="GW55" s="486">
        <f>(GW48*0.5)*0.1</f>
        <v>135396</v>
      </c>
      <c r="GX55" s="487">
        <f>(GX48*0.5)*0.1</f>
        <v>135494.85</v>
      </c>
      <c r="GY55" s="22"/>
      <c r="GZ55" s="459">
        <f>(GZ48*0.5)*0.1</f>
        <v>0</v>
      </c>
      <c r="HA55" s="465">
        <f>GZ55-GX55</f>
        <v>-135494.85</v>
      </c>
      <c r="HB55" s="486">
        <f>(HB48*0.5)*0.1</f>
        <v>135150.516</v>
      </c>
      <c r="HC55" s="487">
        <f>(HC48*0.5)*0.1</f>
        <v>134543.38395000002</v>
      </c>
      <c r="HD55" s="22"/>
      <c r="HE55" s="459">
        <f>(HE48*0.5)*0.1</f>
        <v>0</v>
      </c>
      <c r="HF55" s="465">
        <f>HE55-HC55</f>
        <v>-134543.38395000002</v>
      </c>
      <c r="HG55" s="486">
        <f>(HG48*0.5)*0.1</f>
        <v>126564.42750000002</v>
      </c>
      <c r="HH55" s="487">
        <f>(HH48*0.5)*0.1</f>
        <v>126821.37512500002</v>
      </c>
      <c r="HI55" s="22"/>
      <c r="HJ55" s="459">
        <f>(HJ48*0.5)*0.1</f>
        <v>0</v>
      </c>
      <c r="HK55" s="465">
        <f>HJ55-HH55</f>
        <v>-126821.37512500002</v>
      </c>
      <c r="HL55" s="486">
        <f>(HL48*0.5)*0.1</f>
        <v>124848.24350000001</v>
      </c>
      <c r="HM55" s="487">
        <f>(HM48*0.5)*0.1</f>
        <v>125304.44445000001</v>
      </c>
      <c r="HN55" s="22"/>
      <c r="HO55" s="459">
        <f>(HO48*0.5)*0.1</f>
        <v>0</v>
      </c>
      <c r="HP55" s="465">
        <f>HO55-HM55</f>
        <v>-125304.44445000001</v>
      </c>
      <c r="HQ55" s="486">
        <f>(HQ48*0.5)*0.1</f>
        <v>132247.99799999999</v>
      </c>
      <c r="HR55" s="487">
        <f>(HR48*0.5)*0.1</f>
        <v>132622.66202000002</v>
      </c>
      <c r="HS55" s="22"/>
      <c r="HT55" s="459">
        <f>(HT48*0.5)*0.1</f>
        <v>0</v>
      </c>
      <c r="HU55" s="465">
        <f>HT55-HR55</f>
        <v>-132622.66202000002</v>
      </c>
      <c r="HV55" s="830">
        <f>HC55+HH55+HM55+HR55</f>
        <v>519291.86554500007</v>
      </c>
      <c r="HW55" s="474"/>
      <c r="HX55" s="829">
        <f>HT55+HO55+HJ55+HE55</f>
        <v>0</v>
      </c>
      <c r="HY55" s="828">
        <f>HX55-HW55</f>
        <v>0</v>
      </c>
      <c r="HZ55" s="486">
        <f>(HZ48*0.5)*0.1</f>
        <v>121883.71650000001</v>
      </c>
      <c r="IA55" s="487">
        <f>(IA48*0.5)*0.1</f>
        <v>122435.88786</v>
      </c>
      <c r="IB55" s="22"/>
      <c r="IC55" s="459">
        <f>(IC48*0.5)*0.1</f>
        <v>0</v>
      </c>
      <c r="ID55" s="465">
        <f>IC55-IA55</f>
        <v>-122435.88786</v>
      </c>
      <c r="IE55" s="486">
        <f>(IE48*0.5)*0.1</f>
        <v>133323.85200000001</v>
      </c>
      <c r="IF55" s="487">
        <f>(IF48*0.5)*0.1</f>
        <v>133987.53357649999</v>
      </c>
      <c r="IG55" s="22"/>
      <c r="IH55" s="459">
        <f>(IH48*0.5)*0.1</f>
        <v>0</v>
      </c>
      <c r="II55" s="465">
        <f>IH55-IF55</f>
        <v>-133987.53357649999</v>
      </c>
      <c r="IJ55" s="486">
        <f>(IJ48*0.5)*0.1</f>
        <v>143750.33650000003</v>
      </c>
      <c r="IK55" s="487">
        <f>(IK48*0.5)*0.1</f>
        <v>144456.13933000001</v>
      </c>
      <c r="IL55" s="22"/>
      <c r="IM55" s="459">
        <f>(IM48*0.5)*0.1</f>
        <v>0</v>
      </c>
      <c r="IN55" s="465">
        <f>IM55-IK55</f>
        <v>-144456.13933000001</v>
      </c>
      <c r="IO55" s="486">
        <f>(IO48*0.5)*0.1</f>
        <v>171367.35399999999</v>
      </c>
      <c r="IP55" s="487">
        <f>(IP48*0.5)*0.1</f>
        <v>172202.93302500003</v>
      </c>
      <c r="IQ55" s="22"/>
      <c r="IR55" s="459">
        <f>(IR48*0.5)*0.1</f>
        <v>0</v>
      </c>
      <c r="IS55" s="465">
        <f>IR55-IP55</f>
        <v>-172202.93302500003</v>
      </c>
      <c r="IT55" s="830">
        <f>IA55+IF55+IK55+IP55</f>
        <v>573082.49379149999</v>
      </c>
      <c r="IU55" s="474"/>
      <c r="IV55" s="829">
        <f>IR55+IM55+IH55+IC55</f>
        <v>0</v>
      </c>
      <c r="IW55" s="828">
        <f>IV55-IU55</f>
        <v>0</v>
      </c>
      <c r="IX55" s="486">
        <f>(IX48*0.5)*0.1</f>
        <v>125714.37350000002</v>
      </c>
      <c r="IY55" s="487">
        <f>(IY48*0.5)*0.1</f>
        <v>126051.87602499999</v>
      </c>
      <c r="IZ55" s="22"/>
      <c r="JA55" s="459">
        <f>(JA48*0.5)*0.1</f>
        <v>0</v>
      </c>
      <c r="JB55" s="465">
        <f>JA55-IY55</f>
        <v>-126051.87602499999</v>
      </c>
      <c r="JC55" s="486">
        <f>(JC48*0.5)*0.1</f>
        <v>158815.61600000004</v>
      </c>
      <c r="JD55" s="487">
        <f>(JD48*0.5)*0.1</f>
        <v>159155.21950600002</v>
      </c>
      <c r="JE55" s="22"/>
      <c r="JF55" s="459">
        <f>(JF48*0.5)*0.1</f>
        <v>0</v>
      </c>
      <c r="JG55" s="465">
        <f>JF55-JD55</f>
        <v>-159155.21950600002</v>
      </c>
      <c r="JH55" s="486">
        <f>(JH48*0.5)*0.1</f>
        <v>191174.74400000001</v>
      </c>
      <c r="JI55" s="487">
        <f>(JI48*0.5)*0.1</f>
        <v>191891.44585000002</v>
      </c>
      <c r="JJ55" s="22"/>
      <c r="JK55" s="459">
        <f>(JK48*0.5)*0.1</f>
        <v>0</v>
      </c>
      <c r="JL55" s="465">
        <f>JK55-JI55</f>
        <v>-191891.44585000002</v>
      </c>
      <c r="JM55" s="486">
        <f>(JM48*0.5)*0.1</f>
        <v>201522.78650000005</v>
      </c>
      <c r="JN55" s="487">
        <f>(JN48*0.5)*0.1</f>
        <v>200603.8003</v>
      </c>
      <c r="JO55" s="22"/>
      <c r="JP55" s="459">
        <f>(JP48*0.5)*0.1</f>
        <v>0</v>
      </c>
      <c r="JQ55" s="465">
        <f>JP55-JN55</f>
        <v>-200603.8003</v>
      </c>
      <c r="JR55" s="830">
        <f>IY55+JD55+JI55+JN55</f>
        <v>677702.34168100008</v>
      </c>
      <c r="JS55" s="474"/>
      <c r="JT55" s="829">
        <f>JP55+JK55+JF55+JA55</f>
        <v>0</v>
      </c>
      <c r="JU55" s="828">
        <f>JT55-JS55</f>
        <v>0</v>
      </c>
      <c r="JV55" s="486">
        <f>(JV48*0.5)*0.1</f>
        <v>269148.34050000005</v>
      </c>
      <c r="JW55" s="487">
        <f>(JW48*0.5)*0.1</f>
        <v>268778.18870200001</v>
      </c>
      <c r="JX55" s="22"/>
      <c r="JY55" s="459">
        <f>(JY48*0.5)*0.1</f>
        <v>0</v>
      </c>
      <c r="JZ55" s="465">
        <f>JY55-JW55</f>
        <v>-268778.18870200001</v>
      </c>
      <c r="KA55" s="486">
        <f>(KA48*0.5)*0.1</f>
        <v>333904.467</v>
      </c>
      <c r="KB55" s="487">
        <f>(KB48*0.5)*0.1</f>
        <v>333263.93043900002</v>
      </c>
      <c r="KC55" s="22"/>
      <c r="KD55" s="459">
        <f>(KD48*0.5)*0.1</f>
        <v>0</v>
      </c>
      <c r="KE55" s="465">
        <f>KD55-KB55</f>
        <v>-333263.93043900002</v>
      </c>
      <c r="KF55" s="486">
        <f>(KF48*0.5)*0.1</f>
        <v>439088.66449999996</v>
      </c>
      <c r="KG55" s="487">
        <f>(KG48*0.5)*0.1</f>
        <v>437042.37982624996</v>
      </c>
      <c r="KH55" s="22"/>
      <c r="KI55" s="459">
        <f>(KI48*0.5)*0.1</f>
        <v>0</v>
      </c>
      <c r="KJ55" s="465">
        <f>KI55-KG55</f>
        <v>-437042.37982624996</v>
      </c>
      <c r="KK55" s="486">
        <f>(KK48*0.5)*0.1</f>
        <v>383349.34700000001</v>
      </c>
      <c r="KL55" s="487">
        <f>(KL48*0.5)*0.1</f>
        <v>381627.38146249996</v>
      </c>
      <c r="KM55" s="22"/>
      <c r="KN55" s="459">
        <f>(KN48*0.5)*0.1</f>
        <v>0</v>
      </c>
      <c r="KO55" s="465">
        <f>KN55-KL55</f>
        <v>-381627.38146249996</v>
      </c>
      <c r="KP55" s="486">
        <f>(KP48*0.5)*0.1</f>
        <v>136406.7335</v>
      </c>
      <c r="KQ55" s="487">
        <f>(KQ48*0.5)*0.1</f>
        <v>135789.64484649998</v>
      </c>
      <c r="KR55" s="22"/>
      <c r="KS55" s="459">
        <f>(KS48*0.5)*0.1</f>
        <v>0</v>
      </c>
      <c r="KT55" s="465">
        <f>KS55-KQ55</f>
        <v>-135789.64484649998</v>
      </c>
      <c r="KU55" s="486">
        <f>(KU48*0.5)*0.1</f>
        <v>1556501.52527625</v>
      </c>
      <c r="KV55" s="487">
        <f>(KV48*0.5)*0.1</f>
        <v>0</v>
      </c>
      <c r="KW55" s="487">
        <f>(KW48*0.5)*0.1</f>
        <v>0</v>
      </c>
      <c r="KX55" s="495" t="e">
        <f>(KX48*0.5)*0.1</f>
        <v>#DIV/0!</v>
      </c>
      <c r="KY55" s="486">
        <f>(KY48*0.5)*0.1</f>
        <v>0</v>
      </c>
      <c r="KZ55" s="487">
        <f>(KZ48*0.5)*0.1</f>
        <v>0</v>
      </c>
      <c r="LA55" s="492">
        <f>KZ55-KY55</f>
        <v>0</v>
      </c>
      <c r="LB55" s="493" t="e">
        <f>KZ55/KY55</f>
        <v>#DIV/0!</v>
      </c>
    </row>
    <row r="56" spans="1:314" ht="15.75" thickBot="1">
      <c r="A56" s="1495"/>
      <c r="B56" s="874" t="s">
        <v>38</v>
      </c>
      <c r="C56" s="1495"/>
      <c r="D56" s="1495"/>
      <c r="E56" s="1495"/>
      <c r="F56" s="1495"/>
      <c r="G56" s="1495"/>
      <c r="H56" s="1495"/>
      <c r="I56" s="1495"/>
      <c r="J56" s="1495"/>
      <c r="K56" s="1495"/>
      <c r="L56" s="1495"/>
      <c r="M56" s="1495"/>
      <c r="N56" s="1495"/>
      <c r="O56" s="1495"/>
      <c r="P56" s="1495"/>
      <c r="Q56" s="1495"/>
      <c r="R56" s="1495"/>
      <c r="S56" s="1495"/>
      <c r="T56" s="1495"/>
      <c r="U56" s="1495"/>
      <c r="V56" s="1495"/>
      <c r="W56" s="1495"/>
      <c r="X56" s="1495"/>
      <c r="Y56" s="1495"/>
      <c r="Z56" s="1495"/>
      <c r="AA56" s="1495"/>
      <c r="AB56" s="1495"/>
      <c r="AC56" s="1495"/>
      <c r="AD56" s="1495"/>
      <c r="AE56" s="1495"/>
      <c r="AF56" s="1495"/>
      <c r="AG56" s="1495"/>
      <c r="AH56" s="1495"/>
      <c r="AI56" s="1495"/>
      <c r="AJ56" s="1495"/>
      <c r="AK56" s="1495"/>
      <c r="AL56" s="1495"/>
      <c r="AM56" s="1495"/>
      <c r="AN56" s="1495"/>
      <c r="AO56" s="1495"/>
      <c r="AP56" s="1495"/>
      <c r="AQ56" s="1495"/>
      <c r="AR56" s="1495"/>
      <c r="AS56" s="1495"/>
      <c r="AT56" s="1495"/>
      <c r="AU56" s="1495"/>
      <c r="AV56" s="1495"/>
      <c r="AW56" s="1495"/>
      <c r="AX56" s="1495"/>
      <c r="AY56" s="1495"/>
      <c r="AZ56" s="1495"/>
      <c r="BA56" s="1495"/>
      <c r="BB56" s="1495"/>
      <c r="BC56" s="1495"/>
      <c r="BD56" s="1495"/>
      <c r="BE56" s="1495"/>
      <c r="BF56" s="1495"/>
      <c r="BG56" s="1495"/>
      <c r="BH56" s="1495"/>
      <c r="BI56" s="1495"/>
      <c r="BJ56" s="1495"/>
      <c r="BK56" s="1495"/>
      <c r="BL56" s="1495"/>
      <c r="BM56" s="1495"/>
      <c r="BN56" s="871">
        <f>SUM(BN51:BN55)</f>
        <v>2510968.91</v>
      </c>
      <c r="BO56" s="869">
        <f>SUM(BO51:BO55)</f>
        <v>2519482.6334999995</v>
      </c>
      <c r="BP56" s="202"/>
      <c r="BQ56" s="869">
        <f>SUM(BQ51:BQ55)</f>
        <v>0</v>
      </c>
      <c r="BR56" s="872">
        <f>BQ56-BO56</f>
        <v>-2519482.6334999995</v>
      </c>
      <c r="BS56" s="871">
        <f>SUM(BS51:BS55)</f>
        <v>2639362.3899999997</v>
      </c>
      <c r="BT56" s="869">
        <f>SUM(BT51:BT55)</f>
        <v>2645145.3520600004</v>
      </c>
      <c r="BU56" s="202"/>
      <c r="BV56" s="869">
        <f>SUM(BV51:BV55)</f>
        <v>0</v>
      </c>
      <c r="BW56" s="872">
        <f>BV56-BT56</f>
        <v>-2645145.3520600004</v>
      </c>
      <c r="BX56" s="873"/>
      <c r="BY56" s="873"/>
      <c r="BZ56" s="873"/>
      <c r="CA56" s="873"/>
      <c r="CB56" s="871">
        <f>SUM(CB51:CB55)</f>
        <v>2768528.4299999997</v>
      </c>
      <c r="CC56" s="869">
        <f>SUM(CC51:CC55)</f>
        <v>2764337.8248800002</v>
      </c>
      <c r="CD56" s="202"/>
      <c r="CE56" s="869">
        <f>SUM(CE51:CE55)</f>
        <v>0</v>
      </c>
      <c r="CF56" s="872">
        <f>CE56-CC56</f>
        <v>-2764337.8248800002</v>
      </c>
      <c r="CG56" s="871">
        <f>SUM(CG51:CG55)</f>
        <v>2934557.8099999996</v>
      </c>
      <c r="CH56" s="869">
        <f>SUM(CH51:CH55)</f>
        <v>2926063.4939250001</v>
      </c>
      <c r="CI56" s="202"/>
      <c r="CJ56" s="869">
        <f>SUM(CJ51:CJ55)</f>
        <v>0</v>
      </c>
      <c r="CK56" s="872">
        <f>CJ56-CH56</f>
        <v>-2926063.4939250001</v>
      </c>
      <c r="CL56" s="871">
        <f>SUM(CL51:CL55)</f>
        <v>2843136.25</v>
      </c>
      <c r="CM56" s="869">
        <f>SUM(CM51:CM55)</f>
        <v>2835753.8184000002</v>
      </c>
      <c r="CN56" s="202"/>
      <c r="CO56" s="869">
        <f>SUM(CO51:CO55)</f>
        <v>0</v>
      </c>
      <c r="CP56" s="872">
        <f>CO56-CM56</f>
        <v>-2835753.8184000002</v>
      </c>
      <c r="CQ56" s="871">
        <f>SUM(CQ51:CQ55)</f>
        <v>3384030.3000000003</v>
      </c>
      <c r="CR56" s="869">
        <f>SUM(CR51:CR55)</f>
        <v>3368523.1468749996</v>
      </c>
      <c r="CS56" s="202"/>
      <c r="CT56" s="869">
        <f>SUM(CT51:CT55)</f>
        <v>0</v>
      </c>
      <c r="CU56" s="868">
        <f>CT56-CR56</f>
        <v>-3368523.1468749996</v>
      </c>
      <c r="CV56" s="839">
        <f>CC56+CH56+CM56+CR56</f>
        <v>11894678.284080001</v>
      </c>
      <c r="CW56" s="825"/>
      <c r="CX56" s="838">
        <f>CT56+CO56+CJ56+CE56</f>
        <v>0</v>
      </c>
      <c r="CY56" s="870">
        <f>CX56-CW56</f>
        <v>0</v>
      </c>
      <c r="CZ56" s="866">
        <f>SUM(CZ51:CZ55)</f>
        <v>3987846.61</v>
      </c>
      <c r="DA56" s="865">
        <f>SUM(DA51:DA55)</f>
        <v>4005394.1361000002</v>
      </c>
      <c r="DB56" s="202"/>
      <c r="DC56" s="869">
        <f>SUM(DC51:DC55)</f>
        <v>0</v>
      </c>
      <c r="DD56" s="868">
        <f>DC56-DA56</f>
        <v>-4005394.1361000002</v>
      </c>
      <c r="DE56" s="866">
        <f>SUM(DE51:DE55)</f>
        <v>2894797.75</v>
      </c>
      <c r="DF56" s="865">
        <f>SUM(DF51:DF55)</f>
        <v>2885974.37775</v>
      </c>
      <c r="DG56" s="202"/>
      <c r="DH56" s="869">
        <f>SUM(DH51:DH55)</f>
        <v>0</v>
      </c>
      <c r="DI56" s="868">
        <f>DH56-DF56</f>
        <v>-2885974.37775</v>
      </c>
      <c r="DJ56" s="866">
        <f>SUM(DJ51:DJ55)</f>
        <v>2589285.2999999998</v>
      </c>
      <c r="DK56" s="865">
        <f>SUM(DK51:DK55)</f>
        <v>2589369.2966</v>
      </c>
      <c r="DL56" s="202"/>
      <c r="DM56" s="869">
        <f>SUM(DM51:DM55)</f>
        <v>0</v>
      </c>
      <c r="DN56" s="868">
        <f>DM56-DK56</f>
        <v>-2589369.2966</v>
      </c>
      <c r="DO56" s="866">
        <f>SUM(DO51:DO55)</f>
        <v>2590488.0500000003</v>
      </c>
      <c r="DP56" s="865">
        <f>SUM(DP51:DP55)</f>
        <v>2580158.7198749995</v>
      </c>
      <c r="DQ56" s="202"/>
      <c r="DR56" s="869">
        <f>SUM(DR51:DR55)</f>
        <v>0</v>
      </c>
      <c r="DS56" s="868">
        <f>DR56-DP56</f>
        <v>-2580158.7198749995</v>
      </c>
      <c r="DT56" s="839">
        <f>DA56+DF56+DK56+DP56</f>
        <v>12060896.530324999</v>
      </c>
      <c r="DU56" s="825"/>
      <c r="DV56" s="838">
        <f>DR56+DM56+DH56+DC56</f>
        <v>0</v>
      </c>
      <c r="DW56" s="870">
        <f>DV56-DU56</f>
        <v>0</v>
      </c>
      <c r="DX56" s="866">
        <f>SUM(DX51:DX55)</f>
        <v>2652960.5</v>
      </c>
      <c r="DY56" s="865">
        <f>SUM(DY51:DY55)</f>
        <v>2654626.9945</v>
      </c>
      <c r="DZ56" s="202"/>
      <c r="EA56" s="869">
        <f>SUM(EA51:EA55)</f>
        <v>0</v>
      </c>
      <c r="EB56" s="868">
        <f>EA56-DY56</f>
        <v>-2654626.9945</v>
      </c>
      <c r="EC56" s="866">
        <f>SUM(EC51:EC55)</f>
        <v>3041583</v>
      </c>
      <c r="ED56" s="865">
        <f>SUM(ED51:ED55)</f>
        <v>3050737.0075000003</v>
      </c>
      <c r="EE56" s="202"/>
      <c r="EF56" s="869">
        <f>SUM(EF51:EF55)</f>
        <v>0</v>
      </c>
      <c r="EG56" s="868">
        <f>EF56-ED56</f>
        <v>-3050737.0075000003</v>
      </c>
      <c r="EH56" s="866">
        <f>SUM(EH51:EH55)</f>
        <v>3188908.09</v>
      </c>
      <c r="EI56" s="865">
        <f>SUM(EI51:EI55)</f>
        <v>3197674.2625300004</v>
      </c>
      <c r="EJ56" s="202"/>
      <c r="EK56" s="869">
        <f>SUM(EK51:EK55)</f>
        <v>0</v>
      </c>
      <c r="EL56" s="868">
        <f>EK56-EI56</f>
        <v>-3197674.2625300004</v>
      </c>
      <c r="EM56" s="866">
        <f>SUM(EM51:EM55)</f>
        <v>3418916.17</v>
      </c>
      <c r="EN56" s="865">
        <f>SUM(EN51:EN55)</f>
        <v>3405621.8741800003</v>
      </c>
      <c r="EO56" s="202"/>
      <c r="EP56" s="869">
        <f>SUM(EP51:EP55)</f>
        <v>0</v>
      </c>
      <c r="EQ56" s="868">
        <f>EP56-EN56</f>
        <v>-3405621.8741800003</v>
      </c>
      <c r="ER56" s="866">
        <f>SUM(ER51:ER55)</f>
        <v>3277831.5400000005</v>
      </c>
      <c r="ES56" s="865">
        <f>SUM(ES51:ES55)</f>
        <v>3261642.9010399999</v>
      </c>
      <c r="ET56" s="202"/>
      <c r="EU56" s="869">
        <f>SUM(EU51:EU55)</f>
        <v>0</v>
      </c>
      <c r="EV56" s="868">
        <f>EU56-ES56</f>
        <v>-3261642.9010399999</v>
      </c>
      <c r="EW56" s="839">
        <f>ED56+EI56+EN56+ES56</f>
        <v>12915676.045250002</v>
      </c>
      <c r="EX56" s="825"/>
      <c r="EY56" s="838">
        <f>EU56+EP56+EK56+EF56</f>
        <v>0</v>
      </c>
      <c r="EZ56" s="870">
        <f>EY56-EX56</f>
        <v>0</v>
      </c>
      <c r="FA56" s="866">
        <f>SUM(FA51:FA55)</f>
        <v>2925756.83</v>
      </c>
      <c r="FB56" s="865">
        <f>SUM(FB51:FB55)</f>
        <v>2930577.5118399998</v>
      </c>
      <c r="FC56" s="202"/>
      <c r="FD56" s="869">
        <f>SUM(FD51:FD55)</f>
        <v>0</v>
      </c>
      <c r="FE56" s="868">
        <f>FD56-FB56</f>
        <v>-2930577.5118399998</v>
      </c>
      <c r="FF56" s="866">
        <f>SUM(FF51:FF55)</f>
        <v>3047867.3200000003</v>
      </c>
      <c r="FG56" s="865">
        <f>SUM(FG51:FG55)</f>
        <v>3036364.5083900001</v>
      </c>
      <c r="FH56" s="202"/>
      <c r="FI56" s="869">
        <f>SUM(FI51:FI55)</f>
        <v>0</v>
      </c>
      <c r="FJ56" s="868">
        <f>FI56-FG56</f>
        <v>-3036364.5083900001</v>
      </c>
      <c r="FK56" s="866">
        <f>SUM(FK51:FK55)</f>
        <v>2837880.41</v>
      </c>
      <c r="FL56" s="865">
        <f>SUM(FL51:FL55)</f>
        <v>2824523.2080000006</v>
      </c>
      <c r="FM56" s="202"/>
      <c r="FN56" s="869">
        <f>SUM(FN51:FN55)</f>
        <v>0</v>
      </c>
      <c r="FO56" s="868">
        <f>FN56-FL56</f>
        <v>-2824523.2080000006</v>
      </c>
      <c r="FP56" s="866">
        <f>SUM(FP51:FP55)</f>
        <v>2969590.4</v>
      </c>
      <c r="FQ56" s="865">
        <f>SUM(FQ51:FQ55)</f>
        <v>2961165.6318199998</v>
      </c>
      <c r="FR56" s="202"/>
      <c r="FS56" s="869">
        <f>SUM(FS51:FS55)</f>
        <v>0</v>
      </c>
      <c r="FT56" s="868">
        <f>FS56-FQ56</f>
        <v>-2961165.6318199998</v>
      </c>
      <c r="FU56" s="839">
        <f>FB56+FG56+FL56+FQ56</f>
        <v>11752630.86005</v>
      </c>
      <c r="FV56" s="825"/>
      <c r="FW56" s="838">
        <f>FS56+FN56+FI56+FD56</f>
        <v>0</v>
      </c>
      <c r="FX56" s="870">
        <f>FW56-FV56</f>
        <v>0</v>
      </c>
      <c r="FY56" s="866">
        <f>SUM(FY51:FY55)</f>
        <v>2838462.1900000004</v>
      </c>
      <c r="FZ56" s="865">
        <f>SUM(FZ51:FZ55)</f>
        <v>2825144.0570099996</v>
      </c>
      <c r="GA56" s="202"/>
      <c r="GB56" s="869">
        <f>SUM(GB51:GB55)</f>
        <v>0</v>
      </c>
      <c r="GC56" s="868">
        <f>GB56-FZ56</f>
        <v>-2825144.0570099996</v>
      </c>
      <c r="GD56" s="866">
        <f>SUM(GD51:GD55)</f>
        <v>2708665.92</v>
      </c>
      <c r="GE56" s="865">
        <f>SUM(GE51:GE55)</f>
        <v>2719600.0347150005</v>
      </c>
      <c r="GF56" s="202"/>
      <c r="GG56" s="869">
        <f>SUM(GG51:GG55)</f>
        <v>0</v>
      </c>
      <c r="GH56" s="868">
        <f>GG56-GE56</f>
        <v>-2719600.0347150005</v>
      </c>
      <c r="GI56" s="866">
        <f>SUM(GI51:GI55)</f>
        <v>2766110.24</v>
      </c>
      <c r="GJ56" s="865">
        <f>SUM(GJ51:GJ55)</f>
        <v>2777362.9265000001</v>
      </c>
      <c r="GK56" s="202"/>
      <c r="GL56" s="869">
        <f>SUM(GL51:GL55)</f>
        <v>0</v>
      </c>
      <c r="GM56" s="868">
        <f>GL56-GJ56</f>
        <v>-2777362.9265000001</v>
      </c>
      <c r="GN56" s="866">
        <f>SUM(GN51:GN55)</f>
        <v>2691656.45</v>
      </c>
      <c r="GO56" s="865">
        <f>SUM(GO51:GO55)</f>
        <v>2696963.1350199999</v>
      </c>
      <c r="GP56" s="202"/>
      <c r="GQ56" s="869">
        <f>SUM(GQ51:GQ55)</f>
        <v>0</v>
      </c>
      <c r="GR56" s="868">
        <f>GQ56-GO56</f>
        <v>-2696963.1350199999</v>
      </c>
      <c r="GS56" s="839">
        <f>FZ56+GE56+GJ56+GO56</f>
        <v>11019070.153245</v>
      </c>
      <c r="GT56" s="825"/>
      <c r="GU56" s="838">
        <f>GQ56+GL56+GG56+GB56</f>
        <v>0</v>
      </c>
      <c r="GV56" s="870">
        <f>GU56-GT56</f>
        <v>0</v>
      </c>
      <c r="GW56" s="866">
        <f>SUM(GW51:GW55)</f>
        <v>2707920</v>
      </c>
      <c r="GX56" s="865">
        <f>SUM(GX51:GX55)</f>
        <v>2709897</v>
      </c>
      <c r="GY56" s="202"/>
      <c r="GZ56" s="869">
        <f>SUM(GZ51:GZ55)</f>
        <v>0</v>
      </c>
      <c r="HA56" s="868">
        <f>GZ56-GX56</f>
        <v>-2709897</v>
      </c>
      <c r="HB56" s="866">
        <f>SUM(HB51:HB55)</f>
        <v>2703010.32</v>
      </c>
      <c r="HC56" s="865">
        <f>SUM(HC51:HC55)</f>
        <v>2690867.679</v>
      </c>
      <c r="HD56" s="202"/>
      <c r="HE56" s="869">
        <f>SUM(HE51:HE55)</f>
        <v>0</v>
      </c>
      <c r="HF56" s="868">
        <f>HE56-HC56</f>
        <v>-2690867.679</v>
      </c>
      <c r="HG56" s="866">
        <f>SUM(HG51:HG55)</f>
        <v>2531288.5500000007</v>
      </c>
      <c r="HH56" s="865">
        <f>SUM(HH51:HH55)</f>
        <v>2536427.5025000004</v>
      </c>
      <c r="HI56" s="202"/>
      <c r="HJ56" s="869">
        <f>SUM(HJ51:HJ55)</f>
        <v>0</v>
      </c>
      <c r="HK56" s="868">
        <f>HJ56-HH56</f>
        <v>-2536427.5025000004</v>
      </c>
      <c r="HL56" s="866">
        <f>SUM(HL51:HL55)</f>
        <v>2496964.87</v>
      </c>
      <c r="HM56" s="865">
        <f>SUM(HM51:HM55)</f>
        <v>2506088.889</v>
      </c>
      <c r="HN56" s="202"/>
      <c r="HO56" s="869">
        <f>SUM(HO51:HO55)</f>
        <v>0</v>
      </c>
      <c r="HP56" s="868">
        <f>HO56-HM56</f>
        <v>-2506088.889</v>
      </c>
      <c r="HQ56" s="866">
        <f>SUM(HQ51:HQ55)</f>
        <v>2644959.96</v>
      </c>
      <c r="HR56" s="865">
        <f>SUM(HR51:HR55)</f>
        <v>2652453.2404</v>
      </c>
      <c r="HS56" s="202"/>
      <c r="HT56" s="869">
        <f>SUM(HT51:HT55)</f>
        <v>0</v>
      </c>
      <c r="HU56" s="868">
        <f>HT56-HR56</f>
        <v>-2652453.2404</v>
      </c>
      <c r="HV56" s="839">
        <f>HC56+HH56+HM56+HR56</f>
        <v>10385837.310900001</v>
      </c>
      <c r="HW56" s="825"/>
      <c r="HX56" s="838">
        <f>HT56+HO56+HJ56+HE56</f>
        <v>0</v>
      </c>
      <c r="HY56" s="870">
        <f>HX56-HW56</f>
        <v>0</v>
      </c>
      <c r="HZ56" s="866">
        <f>SUM(HZ51:HZ55)</f>
        <v>2437674.33</v>
      </c>
      <c r="IA56" s="865">
        <f>SUM(IA51:IA55)</f>
        <v>2448717.7571999999</v>
      </c>
      <c r="IB56" s="202"/>
      <c r="IC56" s="869">
        <f>SUM(IC51:IC55)</f>
        <v>0</v>
      </c>
      <c r="ID56" s="868">
        <f>IC56-IA56</f>
        <v>-2448717.7571999999</v>
      </c>
      <c r="IE56" s="866">
        <f>SUM(IE51:IE55)</f>
        <v>2666477.04</v>
      </c>
      <c r="IF56" s="865">
        <f>SUM(IF51:IF55)</f>
        <v>2679750.6715299999</v>
      </c>
      <c r="IG56" s="202"/>
      <c r="IH56" s="869">
        <f>SUM(IH51:IH55)</f>
        <v>0</v>
      </c>
      <c r="II56" s="868">
        <f>IH56-IF56</f>
        <v>-2679750.6715299999</v>
      </c>
      <c r="IJ56" s="866">
        <f>SUM(IJ51:IJ55)</f>
        <v>2875006.7300000004</v>
      </c>
      <c r="IK56" s="865">
        <f>SUM(IK51:IK55)</f>
        <v>2889122.7866000002</v>
      </c>
      <c r="IL56" s="202"/>
      <c r="IM56" s="869">
        <f>SUM(IM51:IM55)</f>
        <v>0</v>
      </c>
      <c r="IN56" s="868">
        <f>IM56-IK56</f>
        <v>-2889122.7866000002</v>
      </c>
      <c r="IO56" s="866">
        <f>SUM(IO51:IO55)</f>
        <v>3427347.0799999996</v>
      </c>
      <c r="IP56" s="865">
        <f>SUM(IP51:IP55)</f>
        <v>3444058.6605000007</v>
      </c>
      <c r="IQ56" s="202"/>
      <c r="IR56" s="869">
        <f>SUM(IR51:IR55)</f>
        <v>0</v>
      </c>
      <c r="IS56" s="868">
        <f>IR56-IP56</f>
        <v>-3444058.6605000007</v>
      </c>
      <c r="IT56" s="839">
        <f>IA56+IF56+IK56+IP56</f>
        <v>11461649.87583</v>
      </c>
      <c r="IU56" s="825"/>
      <c r="IV56" s="838">
        <f>IR56+IM56+IH56+IC56</f>
        <v>0</v>
      </c>
      <c r="IW56" s="870">
        <f>IV56-IU56</f>
        <v>0</v>
      </c>
      <c r="IX56" s="866">
        <f>SUM(IX51:IX55)</f>
        <v>2514287.4700000007</v>
      </c>
      <c r="IY56" s="865">
        <f>SUM(IY51:IY55)</f>
        <v>2521037.5204999996</v>
      </c>
      <c r="IZ56" s="202"/>
      <c r="JA56" s="869">
        <f>SUM(JA51:JA55)</f>
        <v>0</v>
      </c>
      <c r="JB56" s="868">
        <f>JA56-IY56</f>
        <v>-2521037.5204999996</v>
      </c>
      <c r="JC56" s="866">
        <f>SUM(JC51:JC55)</f>
        <v>3176312.3200000003</v>
      </c>
      <c r="JD56" s="865">
        <f>SUM(JD51:JD55)</f>
        <v>3183104.3901200001</v>
      </c>
      <c r="JE56" s="202"/>
      <c r="JF56" s="869">
        <f>SUM(JF51:JF55)</f>
        <v>0</v>
      </c>
      <c r="JG56" s="868">
        <f>JF56-JD56</f>
        <v>-3183104.3901200001</v>
      </c>
      <c r="JH56" s="866">
        <f>SUM(JH51:JH55)</f>
        <v>3823494.88</v>
      </c>
      <c r="JI56" s="865">
        <f>SUM(JI51:JI55)</f>
        <v>3837828.9170000004</v>
      </c>
      <c r="JJ56" s="202"/>
      <c r="JK56" s="869">
        <f>SUM(JK51:JK55)</f>
        <v>0</v>
      </c>
      <c r="JL56" s="868">
        <f>JK56-JI56</f>
        <v>-3837828.9170000004</v>
      </c>
      <c r="JM56" s="866">
        <f>SUM(JM51:JM55)</f>
        <v>4030455.7300000004</v>
      </c>
      <c r="JN56" s="865">
        <f>SUM(JN51:JN55)</f>
        <v>4012076.0060000001</v>
      </c>
      <c r="JO56" s="202"/>
      <c r="JP56" s="869">
        <f>SUM(JP51:JP55)</f>
        <v>0</v>
      </c>
      <c r="JQ56" s="868">
        <f>JP56-JN56</f>
        <v>-4012076.0060000001</v>
      </c>
      <c r="JR56" s="839">
        <f>IY56+JD56+JI56+JN56</f>
        <v>13554046.833620001</v>
      </c>
      <c r="JS56" s="825"/>
      <c r="JT56" s="838">
        <f>JP56+JK56+JF56+JA56</f>
        <v>0</v>
      </c>
      <c r="JU56" s="870">
        <f>JT56-JS56</f>
        <v>0</v>
      </c>
      <c r="JV56" s="866">
        <f>SUM(JV51:JV55)</f>
        <v>5382966.8100000005</v>
      </c>
      <c r="JW56" s="865">
        <f>SUM(JW51:JW55)</f>
        <v>5375563.7740399996</v>
      </c>
      <c r="JX56" s="202"/>
      <c r="JY56" s="869">
        <f>SUM(JY51:JY55)</f>
        <v>0</v>
      </c>
      <c r="JZ56" s="868">
        <f>JY56-JW56</f>
        <v>-5375563.7740399996</v>
      </c>
      <c r="KA56" s="866">
        <f>SUM(KA51:KA55)</f>
        <v>6678089.3399999999</v>
      </c>
      <c r="KB56" s="865">
        <f>SUM(KB51:KB55)</f>
        <v>6665278.6087800004</v>
      </c>
      <c r="KC56" s="202"/>
      <c r="KD56" s="869">
        <f>SUM(KD51:KD55)</f>
        <v>0</v>
      </c>
      <c r="KE56" s="868">
        <f>KD56-KB56</f>
        <v>-6665278.6087800004</v>
      </c>
      <c r="KF56" s="866">
        <f>SUM(KF51:KF55)</f>
        <v>8781773.2899999991</v>
      </c>
      <c r="KG56" s="865">
        <f>SUM(KG51:KG55)</f>
        <v>8740847.5965249985</v>
      </c>
      <c r="KH56" s="202"/>
      <c r="KI56" s="869">
        <f>SUM(KI51:KI55)</f>
        <v>0</v>
      </c>
      <c r="KJ56" s="868">
        <f>KI56-KG56</f>
        <v>-8740847.5965249985</v>
      </c>
      <c r="KK56" s="866">
        <f>SUM(KK51:KK55)</f>
        <v>7666986.9399999995</v>
      </c>
      <c r="KL56" s="865">
        <f>SUM(KL51:KL55)</f>
        <v>7632547.6292499993</v>
      </c>
      <c r="KM56" s="202"/>
      <c r="KN56" s="869">
        <f>SUM(KN51:KN55)</f>
        <v>0</v>
      </c>
      <c r="KO56" s="868">
        <f>KN56-KL56</f>
        <v>-7632547.6292499993</v>
      </c>
      <c r="KP56" s="866">
        <f>SUM(KP51:KP55)</f>
        <v>2728134.67</v>
      </c>
      <c r="KQ56" s="865">
        <f>SUM(KQ51:KQ55)</f>
        <v>2715792.8969299998</v>
      </c>
      <c r="KR56" s="202"/>
      <c r="KS56" s="869">
        <f>SUM(KS51:KS55)</f>
        <v>0</v>
      </c>
      <c r="KT56" s="868">
        <f>KS56-KQ56</f>
        <v>-2715792.8969299998</v>
      </c>
      <c r="KU56" s="866">
        <f>SUM(KU51:KU55)</f>
        <v>31130030.505524997</v>
      </c>
      <c r="KV56" s="865">
        <f>SUM(KV51:KV55)</f>
        <v>0</v>
      </c>
      <c r="KW56" s="865">
        <f>SUM(KW51:KW55)</f>
        <v>0</v>
      </c>
      <c r="KX56" s="867" t="e">
        <f>SUM(KX51:KX55)</f>
        <v>#DIV/0!</v>
      </c>
      <c r="KY56" s="866">
        <f>SUM(KY51:KY55)</f>
        <v>0</v>
      </c>
      <c r="KZ56" s="865">
        <f>SUM(KZ51:KZ55)</f>
        <v>0</v>
      </c>
      <c r="LA56" s="837">
        <f>KZ56-KY56</f>
        <v>0</v>
      </c>
      <c r="LB56" s="493" t="e">
        <f>KZ56/KY56</f>
        <v>#DIV/0!</v>
      </c>
    </row>
    <row r="57" spans="1:314" ht="15.75" thickBot="1">
      <c r="A57" s="1495"/>
      <c r="B57"/>
      <c r="C57" s="1495"/>
      <c r="D57" s="1495"/>
      <c r="E57" s="1495"/>
      <c r="F57" s="1495"/>
      <c r="G57" s="1495"/>
      <c r="H57" s="1495"/>
      <c r="I57" s="1495"/>
      <c r="J57" s="1495"/>
      <c r="K57" s="1495"/>
      <c r="L57" s="1495"/>
      <c r="M57" s="1495"/>
      <c r="N57" s="1495"/>
      <c r="O57" s="1495"/>
      <c r="P57" s="1495"/>
      <c r="Q57" s="1495"/>
      <c r="R57" s="1495"/>
      <c r="S57" s="1495"/>
      <c r="T57" s="1495"/>
      <c r="U57" s="1495"/>
      <c r="V57" s="1495"/>
      <c r="W57" s="1495"/>
      <c r="X57" s="1495"/>
      <c r="Y57" s="1495"/>
      <c r="Z57" s="1495"/>
      <c r="AA57" s="1495"/>
      <c r="AB57" s="1495"/>
      <c r="AC57" s="1495"/>
      <c r="AD57" s="1495"/>
      <c r="AE57" s="1495"/>
      <c r="AF57" s="1495"/>
      <c r="AG57" s="1495"/>
      <c r="AH57" s="1495"/>
      <c r="AI57" s="1495"/>
      <c r="AJ57" s="1495"/>
      <c r="AK57" s="1495"/>
      <c r="AL57" s="1495"/>
      <c r="AM57" s="1495"/>
      <c r="AN57" s="1495"/>
      <c r="AO57" s="1495"/>
      <c r="AP57" s="1495"/>
      <c r="AQ57" s="1495"/>
      <c r="AR57" s="1495"/>
      <c r="AS57" s="1495"/>
      <c r="AT57" s="1495"/>
      <c r="AU57" s="1495"/>
      <c r="AV57" s="1495"/>
      <c r="AW57" s="1495"/>
      <c r="AX57" s="1495"/>
      <c r="AY57" s="1495"/>
      <c r="AZ57" s="1495"/>
      <c r="BA57" s="1495"/>
      <c r="BB57" s="1495"/>
      <c r="BC57" s="1495"/>
      <c r="BD57" s="1495"/>
      <c r="BE57" s="1495"/>
      <c r="BF57" s="1495"/>
      <c r="BG57" s="1495"/>
      <c r="BH57" s="1495"/>
      <c r="BI57" s="1495"/>
      <c r="BJ57" s="1495"/>
      <c r="BK57" s="1495"/>
      <c r="BL57" s="1495"/>
      <c r="BM57" s="1495"/>
      <c r="BP57"/>
      <c r="CJ57" s="543" t="s">
        <v>595</v>
      </c>
      <c r="CO57" s="543" t="s">
        <v>595</v>
      </c>
      <c r="CV57" s="1495"/>
      <c r="CW57" s="1495"/>
      <c r="CX57" s="1495"/>
      <c r="CY57" s="367">
        <f>CX57-CW57</f>
        <v>0</v>
      </c>
      <c r="CZ57" s="488"/>
      <c r="DA57" s="488"/>
      <c r="DE57" s="488"/>
      <c r="DF57" s="488"/>
      <c r="DJ57" s="488"/>
      <c r="DK57" s="488"/>
      <c r="DO57" s="488"/>
      <c r="DP57" s="488"/>
      <c r="DT57" s="1495"/>
      <c r="DU57" s="1495"/>
      <c r="DV57" s="1495"/>
      <c r="DW57" s="367">
        <f>DV57-DU57</f>
        <v>0</v>
      </c>
      <c r="DX57" s="488"/>
      <c r="DY57" s="488"/>
      <c r="EC57" s="488"/>
      <c r="ED57" s="488"/>
      <c r="EH57" s="488"/>
      <c r="EI57" s="488"/>
      <c r="EM57" s="488"/>
      <c r="EN57" s="488"/>
      <c r="ER57" s="488"/>
      <c r="ES57" s="488"/>
      <c r="EW57" s="1495"/>
      <c r="EX57" s="1495"/>
      <c r="EY57" s="1495"/>
      <c r="EZ57" s="367"/>
      <c r="FA57" s="488"/>
      <c r="FB57" s="488"/>
      <c r="FF57" s="488"/>
      <c r="FG57" s="488"/>
      <c r="FK57" s="488"/>
      <c r="FL57" s="488"/>
      <c r="FP57" s="488"/>
      <c r="FQ57" s="488"/>
      <c r="FU57" s="1495"/>
      <c r="FV57" s="1495"/>
      <c r="FW57" s="1495"/>
      <c r="FX57" s="367">
        <f>FW57-FV57</f>
        <v>0</v>
      </c>
      <c r="FY57" s="488"/>
      <c r="FZ57" s="488"/>
      <c r="GD57" s="488"/>
      <c r="GE57" s="488"/>
      <c r="GI57" s="488"/>
      <c r="GJ57" s="488"/>
      <c r="GN57" s="488"/>
      <c r="GO57" s="488"/>
      <c r="GS57" s="1495"/>
      <c r="GT57" s="1495"/>
      <c r="GU57" s="1495"/>
      <c r="GV57" s="367">
        <f>GU57-GT57</f>
        <v>0</v>
      </c>
      <c r="GW57" s="488"/>
      <c r="GX57" s="488"/>
      <c r="HB57" s="488"/>
      <c r="HC57" s="488"/>
      <c r="HG57" s="488"/>
      <c r="HH57" s="488"/>
      <c r="HL57" s="488"/>
      <c r="HM57" s="488"/>
      <c r="HQ57" s="488"/>
      <c r="HR57" s="488"/>
      <c r="HV57" s="1495"/>
      <c r="HW57" s="1495"/>
      <c r="HX57" s="1495"/>
      <c r="HY57" s="367">
        <f>HX57-HW57</f>
        <v>0</v>
      </c>
      <c r="HZ57" s="488"/>
      <c r="IA57" s="488"/>
      <c r="IE57" s="488"/>
      <c r="IF57" s="488"/>
      <c r="IJ57" s="488"/>
      <c r="IK57" s="488"/>
      <c r="IO57" s="488"/>
      <c r="IP57" s="488"/>
      <c r="IT57" s="1495"/>
      <c r="IU57" s="1495"/>
      <c r="IV57" s="1495"/>
      <c r="IW57" s="367">
        <f>IV57-IU57</f>
        <v>0</v>
      </c>
      <c r="IX57" s="488"/>
      <c r="IY57" s="488"/>
      <c r="JC57" s="488"/>
      <c r="JD57" s="488"/>
      <c r="JH57" s="488"/>
      <c r="JI57" s="488"/>
      <c r="JM57" s="488"/>
      <c r="JN57" s="488"/>
      <c r="JR57" s="1495"/>
      <c r="JS57" s="1495"/>
      <c r="JT57" s="1495"/>
      <c r="JU57" s="367">
        <f>JT57-JS57</f>
        <v>0</v>
      </c>
      <c r="JV57" s="488"/>
      <c r="JW57" s="488"/>
      <c r="KA57" s="488"/>
      <c r="KB57" s="488"/>
      <c r="KF57" s="488"/>
      <c r="KG57" s="488"/>
      <c r="KK57" s="488"/>
      <c r="KL57" s="488"/>
      <c r="KP57" s="488"/>
      <c r="KQ57" s="488"/>
      <c r="KU57" s="1495"/>
      <c r="KV57" s="1495"/>
      <c r="KW57" s="1495"/>
      <c r="KX57" s="367">
        <f>KW57-KV57</f>
        <v>0</v>
      </c>
      <c r="KY57" s="1495"/>
      <c r="KZ57" s="1495"/>
      <c r="LA57" s="1495"/>
      <c r="LB57" s="1495"/>
    </row>
    <row r="58" spans="1:314">
      <c r="A58" s="1495"/>
      <c r="B58" s="864" t="s">
        <v>596</v>
      </c>
      <c r="C58" s="1495"/>
      <c r="D58" s="1495"/>
      <c r="E58" s="1495"/>
      <c r="F58" s="1495"/>
      <c r="G58" s="1495"/>
      <c r="H58" s="1495"/>
      <c r="I58" s="1495"/>
      <c r="J58" s="1495"/>
      <c r="K58" s="1495"/>
      <c r="L58" s="1495"/>
      <c r="M58" s="1495"/>
      <c r="N58" s="1495"/>
      <c r="O58" s="1495"/>
      <c r="P58" s="1495"/>
      <c r="Q58" s="1495"/>
      <c r="R58" s="1495"/>
      <c r="S58" s="1495"/>
      <c r="T58" s="1495"/>
      <c r="U58" s="1495"/>
      <c r="V58" s="1495"/>
      <c r="W58" s="1495"/>
      <c r="X58" s="1495"/>
      <c r="Y58" s="1495"/>
      <c r="Z58" s="1495"/>
      <c r="AA58" s="1495"/>
      <c r="AB58" s="1495"/>
      <c r="AC58" s="1495"/>
      <c r="AD58" s="1495"/>
      <c r="AE58" s="1495"/>
      <c r="AF58" s="1495"/>
      <c r="AG58" s="1495"/>
      <c r="AH58" s="1495"/>
      <c r="AI58" s="1495"/>
      <c r="AJ58" s="1495"/>
      <c r="AK58" s="1495"/>
      <c r="AL58" s="1495"/>
      <c r="AM58" s="1495"/>
      <c r="AN58" s="1495"/>
      <c r="AO58" s="1495"/>
      <c r="AP58" s="1495"/>
      <c r="AQ58" s="1495"/>
      <c r="AR58" s="1495"/>
      <c r="AS58" s="1495"/>
      <c r="AT58" s="1495"/>
      <c r="AU58" s="1495"/>
      <c r="AV58" s="1495"/>
      <c r="AW58" s="1495"/>
      <c r="AX58" s="1495"/>
      <c r="AY58" s="1495"/>
      <c r="AZ58" s="1495"/>
      <c r="BA58" s="1495"/>
      <c r="BB58" s="1495"/>
      <c r="BC58" s="1495"/>
      <c r="BD58" s="1495"/>
      <c r="BE58" s="1495"/>
      <c r="BF58" s="1495"/>
      <c r="BG58" s="1495"/>
      <c r="BH58" s="1495"/>
      <c r="BI58" s="1495"/>
      <c r="BJ58" s="1495"/>
      <c r="BK58" s="1495"/>
      <c r="BL58" s="1495"/>
      <c r="BM58" s="1495"/>
      <c r="BN58" s="857">
        <f>BN59+BN60+BN61+BN62+BN64+BN63</f>
        <v>816064.89575000003</v>
      </c>
      <c r="BO58" s="856">
        <f>BO59+BO60+BO61+BO62+BO64+BO63</f>
        <v>818831.85588749987</v>
      </c>
      <c r="BP58" s="860"/>
      <c r="BQ58" s="856">
        <f>BQ59+BQ60+BQ61+BQ62+BQ64</f>
        <v>472000</v>
      </c>
      <c r="BR58" s="862">
        <f>BQ58-BO58</f>
        <v>-346831.85588749987</v>
      </c>
      <c r="BS58" s="857">
        <f>BS59+BS60+BS61+BS62+BS64+BS63</f>
        <v>857792.77674999996</v>
      </c>
      <c r="BT58" s="856">
        <f>BT59+BT60+BT61+BT62+BT64+BT63</f>
        <v>859672.23941950011</v>
      </c>
      <c r="BU58" s="860"/>
      <c r="BV58" s="856">
        <f>BV59+BV60+BV61+BV62+BV64</f>
        <v>0</v>
      </c>
      <c r="BW58" s="862">
        <f>BV58-BT58</f>
        <v>-859672.23941950011</v>
      </c>
      <c r="BX58" s="863"/>
      <c r="BY58" s="863"/>
      <c r="BZ58" s="863"/>
      <c r="CA58" s="863"/>
      <c r="CB58" s="857">
        <f>CB59+CB60+CB61+CB62+CB64+CB63</f>
        <v>899771.73974999995</v>
      </c>
      <c r="CC58" s="856">
        <f>CC59+CC60+CC61+CC62+CC64+CC63</f>
        <v>898409.79308600014</v>
      </c>
      <c r="CD58" s="860"/>
      <c r="CE58" s="856">
        <f>CE59+CE60+CE61+CE62+CE64+CE63</f>
        <v>892000</v>
      </c>
      <c r="CF58" s="862">
        <f>CE58-CC58</f>
        <v>-6409.7930860001361</v>
      </c>
      <c r="CG58" s="857">
        <f>CG59+CG60+CG61+CG62+CG64+CG63</f>
        <v>953731.28824999987</v>
      </c>
      <c r="CH58" s="856">
        <f>CH59+CH60+CH61+CH62+CH64+CH63</f>
        <v>950970.63552562508</v>
      </c>
      <c r="CI58" s="860"/>
      <c r="CJ58" s="856">
        <f>CJ59+CJ60+CJ61+CJ62+CJ64</f>
        <v>578000</v>
      </c>
      <c r="CK58" s="862">
        <f>CJ58-CH58</f>
        <v>-372970.63552562508</v>
      </c>
      <c r="CL58" s="857">
        <f>CL59+CL60+CL61+CL62+CL64+CL63</f>
        <v>924019.28125</v>
      </c>
      <c r="CM58" s="856">
        <f>CM59+CM60+CM61+CM62+CM64+CM63</f>
        <v>921619.99098000012</v>
      </c>
      <c r="CN58" s="860"/>
      <c r="CO58" s="856">
        <f>CO59+CO60+CO61+CO62+CO64</f>
        <v>496000</v>
      </c>
      <c r="CP58" s="862">
        <f>CO58-CM58</f>
        <v>-425619.99098000012</v>
      </c>
      <c r="CQ58" s="857">
        <f>CQ59+CQ60+CQ61+CQ62+CQ64+CQ63</f>
        <v>1099809.8475000001</v>
      </c>
      <c r="CR58" s="856">
        <f>CR59+CR60+CR61+CR62+CR64+CR63</f>
        <v>1094770.022734375</v>
      </c>
      <c r="CS58" s="860"/>
      <c r="CT58" s="856">
        <f>CT59+CT60+CT61+CT62+CT64</f>
        <v>0</v>
      </c>
      <c r="CU58" s="858">
        <f>CT58-CR58</f>
        <v>-1094770.022734375</v>
      </c>
      <c r="CV58" s="857">
        <f>CC58+CH58+CM58+CR58</f>
        <v>3865770.442326</v>
      </c>
      <c r="CW58" s="856"/>
      <c r="CX58" s="856">
        <f>CT58+CO58+CJ58+CE58</f>
        <v>1966000</v>
      </c>
      <c r="CY58" s="862">
        <f>CX58-CW58</f>
        <v>1966000</v>
      </c>
      <c r="CZ58" s="859">
        <f>CZ59+CZ60+CZ61+CZ62+CZ64+CZ63</f>
        <v>1296050.1482500001</v>
      </c>
      <c r="DA58" s="861">
        <f>DA59+DA60+DA61+DA62+DA64+DA63</f>
        <v>1301753.0942325001</v>
      </c>
      <c r="DB58" s="860"/>
      <c r="DC58" s="856">
        <f>DC59+DC60+DC61+DC62+DC64</f>
        <v>0</v>
      </c>
      <c r="DD58" s="858">
        <f>DC58-DA58</f>
        <v>-1301753.0942325001</v>
      </c>
      <c r="DE58" s="859">
        <f>DE59+DE60+DE61+DE62+DE64+DE63</f>
        <v>940809.26875000005</v>
      </c>
      <c r="DF58" s="861">
        <f>DF59+DF60+DF61+DF62+DF64+DF63</f>
        <v>937941.67276875</v>
      </c>
      <c r="DG58" s="860"/>
      <c r="DH58" s="856">
        <f>DH59+DH60+DH61+DH62+DH64</f>
        <v>0</v>
      </c>
      <c r="DI58" s="858">
        <f>DH58-DF58</f>
        <v>-937941.67276875</v>
      </c>
      <c r="DJ58" s="859">
        <f>DJ59+DJ60+DJ61+DJ62+DJ64+DJ63</f>
        <v>841517.72249999992</v>
      </c>
      <c r="DK58" s="861">
        <f>DK59+DK60+DK61+DK62+DK64+DK63</f>
        <v>841545.02139500005</v>
      </c>
      <c r="DL58" s="860"/>
      <c r="DM58" s="856">
        <f>DM59+DM60+DM61+DM62+DM64</f>
        <v>0</v>
      </c>
      <c r="DN58" s="858">
        <f>DM58-DK58</f>
        <v>-841545.02139500005</v>
      </c>
      <c r="DO58" s="859">
        <f>DO59+DO60+DO61+DO62+DO64+DO63</f>
        <v>841908.61625000008</v>
      </c>
      <c r="DP58" s="861">
        <f>DP59+DP60+DP61+DP62+DP64+DP63</f>
        <v>838551.58395937481</v>
      </c>
      <c r="DQ58" s="860"/>
      <c r="DR58" s="856">
        <f>DR59+DR60+DR61+DR62+DR64</f>
        <v>0</v>
      </c>
      <c r="DS58" s="858">
        <f>DR58-DP58</f>
        <v>-838551.58395937481</v>
      </c>
      <c r="DT58" s="857">
        <f>DA58+DF58+DK58+DP58</f>
        <v>3919791.372355625</v>
      </c>
      <c r="DU58" s="856"/>
      <c r="DV58" s="856">
        <f>DR58+DM58+DH58+DC58</f>
        <v>0</v>
      </c>
      <c r="DW58" s="862">
        <f>DV58-DU58</f>
        <v>0</v>
      </c>
      <c r="DX58" s="859">
        <f>DX59+DX60+DX61+DX62+DX64+DX63</f>
        <v>862212.16249999998</v>
      </c>
      <c r="DY58" s="861">
        <f>DY59+DY60+DY61+DY62+DY64+DY63</f>
        <v>862753.77321250003</v>
      </c>
      <c r="DZ58" s="860"/>
      <c r="EA58" s="856">
        <f>EA59+EA60+EA61+EA62+EA64</f>
        <v>0</v>
      </c>
      <c r="EB58" s="858">
        <f>EA58-DY58</f>
        <v>-862753.77321250003</v>
      </c>
      <c r="EC58" s="859">
        <f>EC59+EC60+EC61+EC62+EC64+EC63</f>
        <v>988514.47499999998</v>
      </c>
      <c r="ED58" s="861">
        <f>ED59+ED60+ED61+ED62+ED64+ED63</f>
        <v>991489.52743750007</v>
      </c>
      <c r="EE58" s="860"/>
      <c r="EF58" s="856">
        <f>EF59+EF60+EF61+EF62+EF64</f>
        <v>0</v>
      </c>
      <c r="EG58" s="858">
        <f>EF58-ED58</f>
        <v>-991489.52743750007</v>
      </c>
      <c r="EH58" s="859">
        <f>EH59+EH60+EH61+EH62+EH64+EH63</f>
        <v>1036395.12925</v>
      </c>
      <c r="EI58" s="861">
        <f>EI59+EI60+EI61+EI62+EI64+EI63</f>
        <v>1039244.1353222501</v>
      </c>
      <c r="EJ58" s="860"/>
      <c r="EK58" s="856">
        <f>EK59+EK60+EK61+EK62+EK64</f>
        <v>0</v>
      </c>
      <c r="EL58" s="858">
        <f>EK58-EI58</f>
        <v>-1039244.1353222501</v>
      </c>
      <c r="EM58" s="859">
        <f>EM59+EM60+EM61+EM62+EM64+EM63</f>
        <v>1111147.7552499999</v>
      </c>
      <c r="EN58" s="861">
        <f>EN59+EN60+EN61+EN62+EN64+EN63</f>
        <v>1106827.1091085002</v>
      </c>
      <c r="EO58" s="860"/>
      <c r="EP58" s="856">
        <f>EP59+EP60+EP61+EP62+EP64</f>
        <v>0</v>
      </c>
      <c r="EQ58" s="858">
        <f>EP58-EN58</f>
        <v>-1106827.1091085002</v>
      </c>
      <c r="ER58" s="859">
        <f>ER59+ER60+ER61+ER62+ER64+ER63</f>
        <v>1065295.2505000001</v>
      </c>
      <c r="ES58" s="861">
        <f>ES59+ES60+ES61+ES62+ES64+ES63</f>
        <v>1060033.9428379999</v>
      </c>
      <c r="ET58" s="860"/>
      <c r="EU58" s="856">
        <f>EU59+EU60+EU61+EU62+EU64</f>
        <v>0</v>
      </c>
      <c r="EV58" s="858">
        <f>EU58-ES58</f>
        <v>-1060033.9428379999</v>
      </c>
      <c r="EW58" s="857">
        <f>ED58+EI58+EN58+ES58</f>
        <v>4197594.7147062505</v>
      </c>
      <c r="EX58" s="856"/>
      <c r="EY58" s="856">
        <f>EU58+EP58+EK58+EF58</f>
        <v>0</v>
      </c>
      <c r="EZ58" s="862">
        <f>EY58-EX58</f>
        <v>0</v>
      </c>
      <c r="FA58" s="859">
        <f>FA59+FA60+FA61+FA62+FA64+FA63</f>
        <v>950870.96975000005</v>
      </c>
      <c r="FB58" s="861">
        <f>FB59+FB60+FB61+FB62+FB64+FB63</f>
        <v>952437.69134799996</v>
      </c>
      <c r="FC58" s="860"/>
      <c r="FD58" s="856">
        <f>FD59+FD60+FD61+FD62+FD64</f>
        <v>0</v>
      </c>
      <c r="FE58" s="858">
        <f>FD58-FB58</f>
        <v>-952437.69134799996</v>
      </c>
      <c r="FF58" s="859">
        <f>FF59+FF60+FF61+FF62+FF64+FF63</f>
        <v>990556.87900000007</v>
      </c>
      <c r="FG58" s="861">
        <f>FG59+FG60+FG61+FG62+FG64+FG63</f>
        <v>986818.46522675001</v>
      </c>
      <c r="FH58" s="860"/>
      <c r="FI58" s="856">
        <f>FI59+FI60+FI61+FI62+FI64</f>
        <v>0</v>
      </c>
      <c r="FJ58" s="858">
        <f>FI58-FG58</f>
        <v>-986818.46522675001</v>
      </c>
      <c r="FK58" s="859">
        <f>FK59+FK60+FK61+FK62+FK64+FK63</f>
        <v>922311.13325000007</v>
      </c>
      <c r="FL58" s="861">
        <f>FL59+FL60+FL61+FL62+FL64+FL63</f>
        <v>917970.04260000016</v>
      </c>
      <c r="FM58" s="860"/>
      <c r="FN58" s="856">
        <f>FN59+FN60+FN61+FN62+FN64</f>
        <v>0</v>
      </c>
      <c r="FO58" s="858">
        <f>FN58-FL58</f>
        <v>-917970.04260000016</v>
      </c>
      <c r="FP58" s="859">
        <f>FP59+FP60+FP61+FP62+FP64+FP63</f>
        <v>965116.88</v>
      </c>
      <c r="FQ58" s="861">
        <f>FQ59+FQ60+FQ61+FQ62+FQ64+FQ63</f>
        <v>962378.8303415</v>
      </c>
      <c r="FR58" s="860"/>
      <c r="FS58" s="856">
        <f>FS59+FS60+FS61+FS62+FS64</f>
        <v>0</v>
      </c>
      <c r="FT58" s="858">
        <f>FS58-FQ58</f>
        <v>-962378.8303415</v>
      </c>
      <c r="FU58" s="857">
        <f>FB58+FG58+FL58+FQ58</f>
        <v>3819605.0295162499</v>
      </c>
      <c r="FV58" s="856"/>
      <c r="FW58" s="856">
        <f>FS58+FN58+FI58+FD58</f>
        <v>0</v>
      </c>
      <c r="FX58" s="862">
        <f>FW58-FV58</f>
        <v>0</v>
      </c>
      <c r="FY58" s="859">
        <f>FY59+FY60+FY61+FY62+FY64+FY63</f>
        <v>922500.21175000013</v>
      </c>
      <c r="FZ58" s="861">
        <f>FZ59+FZ60+FZ61+FZ62+FZ64+FZ63</f>
        <v>918171.81852824986</v>
      </c>
      <c r="GA58" s="860"/>
      <c r="GB58" s="856">
        <f>GB59+GB60+GB61+GB62+GB64</f>
        <v>0</v>
      </c>
      <c r="GC58" s="858">
        <f>GB58-FZ58</f>
        <v>-918171.81852824986</v>
      </c>
      <c r="GD58" s="859">
        <f>GD59+GD60+GD61+GD62+GD64+GD63</f>
        <v>880316.424</v>
      </c>
      <c r="GE58" s="861">
        <f>GE59+GE60+GE61+GE62+GE64+GE63</f>
        <v>883870.0112823752</v>
      </c>
      <c r="GF58" s="860"/>
      <c r="GG58" s="856">
        <f>GG59+GG60+GG61+GG62+GG64</f>
        <v>0</v>
      </c>
      <c r="GH58" s="858">
        <f>GG58-GE58</f>
        <v>-883870.0112823752</v>
      </c>
      <c r="GI58" s="859">
        <f>GI59+GI60+GI61+GI62+GI64+GI63</f>
        <v>898985.8280000001</v>
      </c>
      <c r="GJ58" s="861">
        <f>GJ59+GJ60+GJ61+GJ62+GJ64+GJ63</f>
        <v>902642.95111250004</v>
      </c>
      <c r="GK58" s="860"/>
      <c r="GL58" s="856">
        <f>GL59+GL60+GL61+GL62+GL64</f>
        <v>0</v>
      </c>
      <c r="GM58" s="858">
        <f>GL58-GJ58</f>
        <v>-902642.95111250004</v>
      </c>
      <c r="GN58" s="859">
        <f>GN59+GN60+GN61+GN62+GN64+GN63</f>
        <v>874788.34625000006</v>
      </c>
      <c r="GO58" s="861">
        <f>GO59+GO60+GO61+GO62+GO64+GO63</f>
        <v>876513.0188815</v>
      </c>
      <c r="GP58" s="860"/>
      <c r="GQ58" s="856">
        <f>GQ59+GQ60+GQ61+GQ62+GQ64</f>
        <v>0</v>
      </c>
      <c r="GR58" s="858">
        <f>GQ58-GO58</f>
        <v>-876513.0188815</v>
      </c>
      <c r="GS58" s="857">
        <f>FZ58+GE58+GJ58+GO58</f>
        <v>3581197.7998046251</v>
      </c>
      <c r="GT58" s="856"/>
      <c r="GU58" s="856">
        <f>GQ58+GL58+GG58+GB58</f>
        <v>0</v>
      </c>
      <c r="GV58" s="862">
        <f>GU58-GT58</f>
        <v>0</v>
      </c>
      <c r="GW58" s="859">
        <f>GW59+GW60+GW61+GW62+GW64+GW63</f>
        <v>880074</v>
      </c>
      <c r="GX58" s="861">
        <f>GX59+GX60+GX61+GX62+GX64+GX63</f>
        <v>880716.52500000002</v>
      </c>
      <c r="GY58" s="860"/>
      <c r="GZ58" s="856">
        <f>GZ59+GZ60+GZ61+GZ62+GZ64</f>
        <v>0</v>
      </c>
      <c r="HA58" s="858">
        <f>GZ58-GX58</f>
        <v>-880716.52500000002</v>
      </c>
      <c r="HB58" s="859">
        <f>HB59+HB60+HB61+HB62+HB64+HB63</f>
        <v>878478.35399999993</v>
      </c>
      <c r="HC58" s="861">
        <f>HC59+HC60+HC61+HC62+HC64+HC63</f>
        <v>874531.99567500001</v>
      </c>
      <c r="HD58" s="860"/>
      <c r="HE58" s="856">
        <f>HE59+HE60+HE61+HE62+HE64</f>
        <v>0</v>
      </c>
      <c r="HF58" s="858">
        <f>HE58-HC58</f>
        <v>-874531.99567500001</v>
      </c>
      <c r="HG58" s="859">
        <f>HG59+HG60+HG61+HG62+HG64+HG63</f>
        <v>822668.77875000017</v>
      </c>
      <c r="HH58" s="861">
        <f>HH59+HH60+HH61+HH62+HH64+HH63</f>
        <v>824338.93831250013</v>
      </c>
      <c r="HI58" s="860"/>
      <c r="HJ58" s="856">
        <f>HJ59+HJ60+HJ61+HJ62+HJ64</f>
        <v>0</v>
      </c>
      <c r="HK58" s="858">
        <f>HJ58-HH58</f>
        <v>-824338.93831250013</v>
      </c>
      <c r="HL58" s="859">
        <f>HL59+HL60+HL61+HL62+HL64+HL63</f>
        <v>811513.58275000006</v>
      </c>
      <c r="HM58" s="861">
        <f>HM59+HM60+HM61+HM62+HM64+HM63</f>
        <v>814478.88892499998</v>
      </c>
      <c r="HN58" s="860"/>
      <c r="HO58" s="856">
        <f>HO59+HO60+HO61+HO62+HO64</f>
        <v>0</v>
      </c>
      <c r="HP58" s="858">
        <f>HO58-HM58</f>
        <v>-814478.88892499998</v>
      </c>
      <c r="HQ58" s="859">
        <f>HQ59+HQ60+HQ61+HQ62+HQ64+HQ63</f>
        <v>859611.98699999996</v>
      </c>
      <c r="HR58" s="861">
        <f>HR59+HR60+HR61+HR62+HR64+HR63</f>
        <v>862047.30313000001</v>
      </c>
      <c r="HS58" s="860"/>
      <c r="HT58" s="856">
        <f>HT59+HT60+HT61+HT62+HT64</f>
        <v>0</v>
      </c>
      <c r="HU58" s="858">
        <f>HT58-HR58</f>
        <v>-862047.30313000001</v>
      </c>
      <c r="HV58" s="857">
        <f>HC58+HH58+HM58+HR58</f>
        <v>3375397.1260425001</v>
      </c>
      <c r="HW58" s="856"/>
      <c r="HX58" s="856">
        <f>HT58+HO58+HJ58+HE58</f>
        <v>0</v>
      </c>
      <c r="HY58" s="862">
        <f>HX58-HW58</f>
        <v>0</v>
      </c>
      <c r="HZ58" s="859">
        <f>HZ59+HZ60+HZ61+HZ62+HZ64+HZ63</f>
        <v>792244.15725000005</v>
      </c>
      <c r="IA58" s="861">
        <f>IA59+IA60+IA61+IA62+IA64+IA63</f>
        <v>795833.27108999994</v>
      </c>
      <c r="IB58" s="860"/>
      <c r="IC58" s="856">
        <f>IC59+IC60+IC61+IC62+IC64</f>
        <v>0</v>
      </c>
      <c r="ID58" s="858">
        <f>IC58-IA58</f>
        <v>-795833.27108999994</v>
      </c>
      <c r="IE58" s="859">
        <f>IE59+IE60+IE61+IE62+IE64+IE63</f>
        <v>866605.03800000006</v>
      </c>
      <c r="IF58" s="861">
        <f>IF59+IF60+IF61+IF62+IF64+IF63</f>
        <v>870918.96824724996</v>
      </c>
      <c r="IG58" s="860"/>
      <c r="IH58" s="856">
        <f>IH59+IH60+IH61+IH62+IH64</f>
        <v>0</v>
      </c>
      <c r="II58" s="858">
        <f>IH58-IF58</f>
        <v>-870918.96824724996</v>
      </c>
      <c r="IJ58" s="859">
        <f>IJ59+IJ60+IJ61+IJ62+IJ64+IJ63</f>
        <v>934377.18725000019</v>
      </c>
      <c r="IK58" s="861">
        <f>IK59+IK60+IK61+IK62+IK64+IK63</f>
        <v>938964.90564500005</v>
      </c>
      <c r="IL58" s="860"/>
      <c r="IM58" s="856">
        <f>IM59+IM60+IM61+IM62+IM64</f>
        <v>0</v>
      </c>
      <c r="IN58" s="858">
        <f>IM58-IK58</f>
        <v>-938964.90564500005</v>
      </c>
      <c r="IO58" s="859">
        <f>IO59+IO60+IO61+IO62+IO64+IO63</f>
        <v>1113887.801</v>
      </c>
      <c r="IP58" s="861">
        <f>IP59+IP60+IP61+IP62+IP64+IP63</f>
        <v>1119319.0646625001</v>
      </c>
      <c r="IQ58" s="860"/>
      <c r="IR58" s="856">
        <f>IR59+IR60+IR61+IR62+IR64</f>
        <v>0</v>
      </c>
      <c r="IS58" s="858">
        <f>IR58-IP58</f>
        <v>-1119319.0646625001</v>
      </c>
      <c r="IT58" s="857">
        <f>IA58+IF58+IK58+IP58</f>
        <v>3725036.2096447498</v>
      </c>
      <c r="IU58" s="856"/>
      <c r="IV58" s="856">
        <f>IR58+IM58+IH58+IC58</f>
        <v>0</v>
      </c>
      <c r="IW58" s="862">
        <f>IV58-IU58</f>
        <v>0</v>
      </c>
      <c r="IX58" s="859">
        <f>IX59+IX60+IX61+IX62+IX64+IX63</f>
        <v>817143.42775000015</v>
      </c>
      <c r="IY58" s="861">
        <f>IY59+IY60+IY61+IY62+IY64+IY63</f>
        <v>819337.19416249986</v>
      </c>
      <c r="IZ58" s="860"/>
      <c r="JA58" s="856">
        <f>JA59+JA60+JA61+JA62+JA64</f>
        <v>0</v>
      </c>
      <c r="JB58" s="858">
        <f>JA58-IY58</f>
        <v>-819337.19416249986</v>
      </c>
      <c r="JC58" s="859">
        <f>JC59+JC60+JC61+JC62+JC64+JC63</f>
        <v>1032301.5040000002</v>
      </c>
      <c r="JD58" s="861">
        <f>JD59+JD60+JD61+JD62+JD64+JD63</f>
        <v>1034508.926789</v>
      </c>
      <c r="JE58" s="860"/>
      <c r="JF58" s="856">
        <f>JF59+JF60+JF61+JF62+JF64</f>
        <v>0</v>
      </c>
      <c r="JG58" s="858">
        <f>JF58-JD58</f>
        <v>-1034508.926789</v>
      </c>
      <c r="JH58" s="859">
        <f>JH59+JH60+JH61+JH62+JH64+JH63</f>
        <v>1242635.8359999999</v>
      </c>
      <c r="JI58" s="861">
        <f>JI59+JI60+JI61+JI62+JI64+JI63</f>
        <v>1247294.398025</v>
      </c>
      <c r="JJ58" s="860"/>
      <c r="JK58" s="856">
        <f>JK59+JK60+JK61+JK62+JK64</f>
        <v>0</v>
      </c>
      <c r="JL58" s="858">
        <f>JK58-JI58</f>
        <v>-1247294.398025</v>
      </c>
      <c r="JM58" s="859">
        <f>JM59+JM60+JM61+JM62+JM64+JM63</f>
        <v>1309898.1122500002</v>
      </c>
      <c r="JN58" s="861">
        <f>JN59+JN60+JN61+JN62+JN64+JN63</f>
        <v>1303924.7019500001</v>
      </c>
      <c r="JO58" s="860"/>
      <c r="JP58" s="856">
        <f>JP59+JP60+JP61+JP62+JP64</f>
        <v>0</v>
      </c>
      <c r="JQ58" s="858">
        <f>JP58-JN58</f>
        <v>-1303924.7019500001</v>
      </c>
      <c r="JR58" s="857">
        <f>IY58+JD58+JI58+JN58</f>
        <v>4405065.2209264999</v>
      </c>
      <c r="JS58" s="856"/>
      <c r="JT58" s="856">
        <f>JP58+JK58+JF58+JA58</f>
        <v>0</v>
      </c>
      <c r="JU58" s="862">
        <f>JT58-JS58</f>
        <v>0</v>
      </c>
      <c r="JV58" s="859">
        <f>JV59+JV60+JV61+JV62+JV64+JV63</f>
        <v>1749464.2132500003</v>
      </c>
      <c r="JW58" s="861">
        <f>JW59+JW60+JW61+JW62+JW64+JW63</f>
        <v>1747058.2265629999</v>
      </c>
      <c r="JX58" s="860"/>
      <c r="JY58" s="856">
        <f>JY59+JY60+JY61+JY62+JY64</f>
        <v>0</v>
      </c>
      <c r="JZ58" s="858">
        <f>JY58-JW58</f>
        <v>-1747058.2265629999</v>
      </c>
      <c r="KA58" s="859">
        <f>KA59+KA60+KA61+KA62+KA64+KA63</f>
        <v>2170379.0355000002</v>
      </c>
      <c r="KB58" s="861">
        <f>KB59+KB60+KB61+KB62+KB64+KB63</f>
        <v>2166215.5478535001</v>
      </c>
      <c r="KC58" s="860"/>
      <c r="KD58" s="856">
        <f>KD59+KD60+KD61+KD62+KD64</f>
        <v>0</v>
      </c>
      <c r="KE58" s="858">
        <f>KD58-KB58</f>
        <v>-2166215.5478535001</v>
      </c>
      <c r="KF58" s="859">
        <f>KF59+KF60+KF61+KF62+KF64+KF63</f>
        <v>2854076.3192499997</v>
      </c>
      <c r="KG58" s="861">
        <f>KG59+KG60+KG61+KG62+KG64+KG63</f>
        <v>2840775.4688706244</v>
      </c>
      <c r="KH58" s="860"/>
      <c r="KI58" s="856">
        <f>KI59+KI60+KI61+KI62+KI64</f>
        <v>0</v>
      </c>
      <c r="KJ58" s="858">
        <f>KI58-KG58</f>
        <v>-2840775.4688706244</v>
      </c>
      <c r="KK58" s="859">
        <f>KK59+KK60+KK61+KK62+KK64+KK63</f>
        <v>2491770.7555</v>
      </c>
      <c r="KL58" s="861">
        <f>KL59+KL60+KL61+KL62+KL64+KL63</f>
        <v>2480577.97950625</v>
      </c>
      <c r="KM58" s="860"/>
      <c r="KN58" s="856">
        <f>KN59+KN60+KN61+KN62+KN64</f>
        <v>0</v>
      </c>
      <c r="KO58" s="858">
        <f>KN58-KL58</f>
        <v>-2480577.97950625</v>
      </c>
      <c r="KP58" s="859">
        <f>KP59+KP60+KP61+KP62+KP64+KP63</f>
        <v>886643.76775</v>
      </c>
      <c r="KQ58" s="861">
        <f>KQ59+KQ60+KQ61+KQ62+KQ64+KQ63</f>
        <v>882632.69150224992</v>
      </c>
      <c r="KR58" s="860"/>
      <c r="KS58" s="856">
        <f>KS59+KS60+KS61+KS62+KS64</f>
        <v>0</v>
      </c>
      <c r="KT58" s="858">
        <f>KS58-KQ58</f>
        <v>-882632.69150224992</v>
      </c>
      <c r="KU58" s="859">
        <f>KU59+KU60+KU61+KU62+KU64+KU63</f>
        <v>10117259.914295625</v>
      </c>
      <c r="KV58" s="859">
        <f>KV59+KV60+KV61+KV62+KV64+KV63</f>
        <v>0</v>
      </c>
      <c r="KW58" s="859">
        <f>KW59+KW60+KW61+KW62+KW64+KW63</f>
        <v>0</v>
      </c>
      <c r="KX58" s="858">
        <f>KW58-KU58</f>
        <v>-10117259.914295625</v>
      </c>
      <c r="KY58" s="857">
        <f>KF58+KK58+KP58+KU58</f>
        <v>16349750.756795624</v>
      </c>
      <c r="KZ58" s="856">
        <f>KG58+KL58+KQ58+KV58</f>
        <v>6203986.1398791242</v>
      </c>
      <c r="LA58" s="856">
        <f>KZ58-KY58</f>
        <v>-10145764.6169165</v>
      </c>
      <c r="LB58" s="493">
        <f>KZ58/KY58</f>
        <v>0.37945447806294502</v>
      </c>
    </row>
    <row r="59" spans="1:314">
      <c r="A59" s="1495"/>
      <c r="B59" s="471" t="s">
        <v>597</v>
      </c>
      <c r="C59" s="1495"/>
      <c r="D59" s="1495"/>
      <c r="E59" s="1495"/>
      <c r="F59" s="1495"/>
      <c r="G59" s="1495"/>
      <c r="H59" s="1495"/>
      <c r="I59" s="1495"/>
      <c r="J59" s="1495"/>
      <c r="K59" s="1495"/>
      <c r="L59" s="1495"/>
      <c r="M59" s="1495"/>
      <c r="N59" s="1495"/>
      <c r="O59" s="1495"/>
      <c r="P59" s="1495"/>
      <c r="Q59" s="1495"/>
      <c r="R59" s="1495"/>
      <c r="S59" s="1495"/>
      <c r="T59" s="1495"/>
      <c r="U59" s="1495"/>
      <c r="V59" s="1495"/>
      <c r="W59" s="1495"/>
      <c r="X59" s="1495"/>
      <c r="Y59" s="1495"/>
      <c r="Z59" s="1495"/>
      <c r="AA59" s="1495"/>
      <c r="AB59" s="1495"/>
      <c r="AC59" s="1495"/>
      <c r="AD59" s="1495"/>
      <c r="AE59" s="1495"/>
      <c r="AF59" s="1495"/>
      <c r="AG59" s="1495"/>
      <c r="AH59" s="1495"/>
      <c r="AI59" s="1495"/>
      <c r="AJ59" s="1495"/>
      <c r="AK59" s="1495"/>
      <c r="AL59" s="1495"/>
      <c r="AM59" s="1495"/>
      <c r="AN59" s="1495"/>
      <c r="AO59" s="1495"/>
      <c r="AP59" s="1495"/>
      <c r="AQ59" s="1495"/>
      <c r="AR59" s="1495"/>
      <c r="AS59" s="1495"/>
      <c r="AT59" s="1495"/>
      <c r="AU59" s="1495"/>
      <c r="AV59" s="1495"/>
      <c r="AW59" s="1495"/>
      <c r="AX59" s="1495"/>
      <c r="AY59" s="1495"/>
      <c r="AZ59" s="1495"/>
      <c r="BA59" s="1495"/>
      <c r="BB59" s="1495"/>
      <c r="BC59" s="1495"/>
      <c r="BD59" s="1495"/>
      <c r="BE59" s="1495"/>
      <c r="BF59" s="1495"/>
      <c r="BG59" s="1495"/>
      <c r="BH59" s="1495"/>
      <c r="BI59" s="1495"/>
      <c r="BJ59" s="1495"/>
      <c r="BK59" s="1495"/>
      <c r="BL59" s="1495"/>
      <c r="BM59" s="1495"/>
      <c r="BN59" s="463">
        <v>350000</v>
      </c>
      <c r="BO59" s="463">
        <v>350000</v>
      </c>
      <c r="BP59" s="22"/>
      <c r="BQ59" s="459">
        <v>335000</v>
      </c>
      <c r="BR59" s="464">
        <f>BQ59-BO59</f>
        <v>-15000</v>
      </c>
      <c r="BS59" s="463">
        <v>350000</v>
      </c>
      <c r="BT59" s="463">
        <v>350000</v>
      </c>
      <c r="BU59" s="22"/>
      <c r="BV59" s="459">
        <v>0</v>
      </c>
      <c r="BW59" s="464">
        <f>BV59-BT59</f>
        <v>-350000</v>
      </c>
      <c r="BX59" s="831"/>
      <c r="BY59" s="831"/>
      <c r="BZ59" s="831"/>
      <c r="CA59" s="831"/>
      <c r="CB59" s="463">
        <v>350000</v>
      </c>
      <c r="CC59" s="463">
        <v>350000</v>
      </c>
      <c r="CD59" s="22"/>
      <c r="CE59" s="459">
        <f>300000+20000+15000+15000+15000</f>
        <v>365000</v>
      </c>
      <c r="CF59" s="855">
        <f>CE59-CC59</f>
        <v>15000</v>
      </c>
      <c r="CG59" s="463">
        <v>350000</v>
      </c>
      <c r="CH59" s="463">
        <v>350000</v>
      </c>
      <c r="CI59" s="22"/>
      <c r="CJ59" s="459">
        <v>350000</v>
      </c>
      <c r="CK59" s="464">
        <f>CJ59-CH59</f>
        <v>0</v>
      </c>
      <c r="CL59" s="463">
        <v>350000</v>
      </c>
      <c r="CM59" s="463">
        <v>350000</v>
      </c>
      <c r="CN59" s="22"/>
      <c r="CO59" s="459">
        <v>350000</v>
      </c>
      <c r="CP59" s="464">
        <f>CO59-CM59</f>
        <v>0</v>
      </c>
      <c r="CQ59" s="463">
        <v>350000</v>
      </c>
      <c r="CR59" s="463">
        <v>350000</v>
      </c>
      <c r="CS59" s="22"/>
      <c r="CT59" s="459">
        <v>0</v>
      </c>
      <c r="CU59" s="854">
        <f>CT59-CR59</f>
        <v>-350000</v>
      </c>
      <c r="CV59" s="830">
        <f>CC59+CH59+CM59+CR59</f>
        <v>1400000</v>
      </c>
      <c r="CW59" s="474"/>
      <c r="CX59" s="829">
        <f>CT59+CO59+CJ59+CE59</f>
        <v>1065000</v>
      </c>
      <c r="CY59" s="828">
        <f>CX59-CW59</f>
        <v>1065000</v>
      </c>
      <c r="CZ59" s="486">
        <v>350000</v>
      </c>
      <c r="DA59" s="486">
        <v>350000</v>
      </c>
      <c r="DB59" s="22"/>
      <c r="DC59" s="459">
        <v>0</v>
      </c>
      <c r="DD59" s="854">
        <f>DC59-DA59</f>
        <v>-350000</v>
      </c>
      <c r="DE59" s="486">
        <v>350000</v>
      </c>
      <c r="DF59" s="486">
        <v>350000</v>
      </c>
      <c r="DG59" s="22"/>
      <c r="DH59" s="459">
        <v>0</v>
      </c>
      <c r="DI59" s="854">
        <f>DH59-DF59</f>
        <v>-350000</v>
      </c>
      <c r="DJ59" s="486">
        <v>350000</v>
      </c>
      <c r="DK59" s="486">
        <v>350000</v>
      </c>
      <c r="DL59" s="22"/>
      <c r="DM59" s="459">
        <v>0</v>
      </c>
      <c r="DN59" s="854">
        <f>DM59-DK59</f>
        <v>-350000</v>
      </c>
      <c r="DO59" s="486">
        <v>350000</v>
      </c>
      <c r="DP59" s="486">
        <v>350000</v>
      </c>
      <c r="DQ59" s="22"/>
      <c r="DR59" s="459">
        <v>0</v>
      </c>
      <c r="DS59" s="854">
        <f>DR59-DP59</f>
        <v>-350000</v>
      </c>
      <c r="DT59" s="830">
        <f>DA59+DF59+DK59+DP59</f>
        <v>1400000</v>
      </c>
      <c r="DU59" s="474"/>
      <c r="DV59" s="829">
        <f>DR59+DM59+DH59+DC59</f>
        <v>0</v>
      </c>
      <c r="DW59" s="828">
        <f>DV59-DU59</f>
        <v>0</v>
      </c>
      <c r="DX59" s="486">
        <v>350000</v>
      </c>
      <c r="DY59" s="486">
        <v>350000</v>
      </c>
      <c r="DZ59" s="22"/>
      <c r="EA59" s="459">
        <v>0</v>
      </c>
      <c r="EB59" s="854">
        <f>EA59-DY59</f>
        <v>-350000</v>
      </c>
      <c r="EC59" s="486">
        <v>350000</v>
      </c>
      <c r="ED59" s="486">
        <v>350000</v>
      </c>
      <c r="EE59" s="22"/>
      <c r="EF59" s="459">
        <v>0</v>
      </c>
      <c r="EG59" s="854">
        <f>EF59-ED59</f>
        <v>-350000</v>
      </c>
      <c r="EH59" s="486">
        <v>350000</v>
      </c>
      <c r="EI59" s="486">
        <v>350000</v>
      </c>
      <c r="EJ59" s="22"/>
      <c r="EK59" s="459">
        <v>0</v>
      </c>
      <c r="EL59" s="854">
        <f>EK59-EI59</f>
        <v>-350000</v>
      </c>
      <c r="EM59" s="486">
        <v>350000</v>
      </c>
      <c r="EN59" s="486">
        <v>350000</v>
      </c>
      <c r="EO59" s="22"/>
      <c r="EP59" s="459">
        <v>0</v>
      </c>
      <c r="EQ59" s="854">
        <f>EP59-EN59</f>
        <v>-350000</v>
      </c>
      <c r="ER59" s="486">
        <v>350000</v>
      </c>
      <c r="ES59" s="486">
        <v>350000</v>
      </c>
      <c r="ET59" s="22"/>
      <c r="EU59" s="459">
        <v>0</v>
      </c>
      <c r="EV59" s="854">
        <f>EU59-ES59</f>
        <v>-350000</v>
      </c>
      <c r="EW59" s="830">
        <f>ED59+EI59+EN59+ES59</f>
        <v>1400000</v>
      </c>
      <c r="EX59" s="474"/>
      <c r="EY59" s="829">
        <f>EU59+EP59+EK59+EF59</f>
        <v>0</v>
      </c>
      <c r="EZ59" s="828">
        <f>EY59-EX59</f>
        <v>0</v>
      </c>
      <c r="FA59" s="486">
        <v>350000</v>
      </c>
      <c r="FB59" s="486">
        <v>350000</v>
      </c>
      <c r="FC59" s="22"/>
      <c r="FD59" s="459">
        <v>0</v>
      </c>
      <c r="FE59" s="854">
        <f>FD59-FB59</f>
        <v>-350000</v>
      </c>
      <c r="FF59" s="486">
        <v>350000</v>
      </c>
      <c r="FG59" s="486">
        <v>350000</v>
      </c>
      <c r="FH59" s="22"/>
      <c r="FI59" s="459">
        <v>0</v>
      </c>
      <c r="FJ59" s="854">
        <f>FI59-FG59</f>
        <v>-350000</v>
      </c>
      <c r="FK59" s="486">
        <v>350000</v>
      </c>
      <c r="FL59" s="486">
        <v>350000</v>
      </c>
      <c r="FM59" s="22"/>
      <c r="FN59" s="459">
        <v>0</v>
      </c>
      <c r="FO59" s="854">
        <f>FN59-FL59</f>
        <v>-350000</v>
      </c>
      <c r="FP59" s="486">
        <v>350000</v>
      </c>
      <c r="FQ59" s="486">
        <v>350000</v>
      </c>
      <c r="FR59" s="22"/>
      <c r="FS59" s="459">
        <v>0</v>
      </c>
      <c r="FT59" s="854">
        <f>FS59-FQ59</f>
        <v>-350000</v>
      </c>
      <c r="FU59" s="830">
        <f>FB59+FG59+FL59+FQ59</f>
        <v>1400000</v>
      </c>
      <c r="FV59" s="474"/>
      <c r="FW59" s="829">
        <f>FS59+FN59+FI59+FD59</f>
        <v>0</v>
      </c>
      <c r="FX59" s="828">
        <f>FW59-FV59</f>
        <v>0</v>
      </c>
      <c r="FY59" s="486">
        <v>350000</v>
      </c>
      <c r="FZ59" s="486">
        <v>350000</v>
      </c>
      <c r="GA59" s="22"/>
      <c r="GB59" s="459">
        <v>0</v>
      </c>
      <c r="GC59" s="854">
        <f>GB59-FZ59</f>
        <v>-350000</v>
      </c>
      <c r="GD59" s="486">
        <v>350000</v>
      </c>
      <c r="GE59" s="486">
        <v>350000</v>
      </c>
      <c r="GF59" s="22"/>
      <c r="GG59" s="459">
        <v>0</v>
      </c>
      <c r="GH59" s="854">
        <f>GG59-GE59</f>
        <v>-350000</v>
      </c>
      <c r="GI59" s="486">
        <v>350000</v>
      </c>
      <c r="GJ59" s="486">
        <v>350000</v>
      </c>
      <c r="GK59" s="22"/>
      <c r="GL59" s="459">
        <v>0</v>
      </c>
      <c r="GM59" s="854">
        <f>GL59-GJ59</f>
        <v>-350000</v>
      </c>
      <c r="GN59" s="486">
        <v>350000</v>
      </c>
      <c r="GO59" s="486">
        <v>350000</v>
      </c>
      <c r="GP59" s="22"/>
      <c r="GQ59" s="459">
        <v>0</v>
      </c>
      <c r="GR59" s="854">
        <f>GQ59-GO59</f>
        <v>-350000</v>
      </c>
      <c r="GS59" s="830">
        <f>FZ59+GE59+GJ59+GO59</f>
        <v>1400000</v>
      </c>
      <c r="GT59" s="474"/>
      <c r="GU59" s="829">
        <f>GQ59+GL59+GG59+GB59</f>
        <v>0</v>
      </c>
      <c r="GV59" s="828">
        <f>GU59-GT59</f>
        <v>0</v>
      </c>
      <c r="GW59" s="486">
        <v>350000</v>
      </c>
      <c r="GX59" s="486">
        <v>350000</v>
      </c>
      <c r="GY59" s="22"/>
      <c r="GZ59" s="459">
        <v>0</v>
      </c>
      <c r="HA59" s="854">
        <f>GZ59-GX59</f>
        <v>-350000</v>
      </c>
      <c r="HB59" s="486">
        <v>350000</v>
      </c>
      <c r="HC59" s="486">
        <v>350000</v>
      </c>
      <c r="HD59" s="22"/>
      <c r="HE59" s="459">
        <v>0</v>
      </c>
      <c r="HF59" s="854">
        <f>HE59-HC59</f>
        <v>-350000</v>
      </c>
      <c r="HG59" s="486">
        <v>350000</v>
      </c>
      <c r="HH59" s="486">
        <v>350000</v>
      </c>
      <c r="HI59" s="22"/>
      <c r="HJ59" s="459">
        <v>0</v>
      </c>
      <c r="HK59" s="854">
        <f>HJ59-HH59</f>
        <v>-350000</v>
      </c>
      <c r="HL59" s="486">
        <v>350000</v>
      </c>
      <c r="HM59" s="486">
        <v>350000</v>
      </c>
      <c r="HN59" s="22"/>
      <c r="HO59" s="459">
        <v>0</v>
      </c>
      <c r="HP59" s="854">
        <f>HO59-HM59</f>
        <v>-350000</v>
      </c>
      <c r="HQ59" s="486">
        <v>350000</v>
      </c>
      <c r="HR59" s="486">
        <v>350000</v>
      </c>
      <c r="HS59" s="22"/>
      <c r="HT59" s="459">
        <v>0</v>
      </c>
      <c r="HU59" s="854">
        <f>HT59-HR59</f>
        <v>-350000</v>
      </c>
      <c r="HV59" s="830">
        <f>HC59+HH59+HM59+HR59</f>
        <v>1400000</v>
      </c>
      <c r="HW59" s="474"/>
      <c r="HX59" s="829">
        <f>HT59+HO59+HJ59+HE59</f>
        <v>0</v>
      </c>
      <c r="HY59" s="828">
        <f>HX59-HW59</f>
        <v>0</v>
      </c>
      <c r="HZ59" s="486">
        <v>350000</v>
      </c>
      <c r="IA59" s="486">
        <v>350000</v>
      </c>
      <c r="IB59" s="22"/>
      <c r="IC59" s="459">
        <v>0</v>
      </c>
      <c r="ID59" s="854">
        <f>IC59-IA59</f>
        <v>-350000</v>
      </c>
      <c r="IE59" s="486">
        <v>350000</v>
      </c>
      <c r="IF59" s="486">
        <v>350000</v>
      </c>
      <c r="IG59" s="22"/>
      <c r="IH59" s="459">
        <v>0</v>
      </c>
      <c r="II59" s="854">
        <f>IH59-IF59</f>
        <v>-350000</v>
      </c>
      <c r="IJ59" s="486">
        <v>350000</v>
      </c>
      <c r="IK59" s="486">
        <v>350000</v>
      </c>
      <c r="IL59" s="22"/>
      <c r="IM59" s="459">
        <v>0</v>
      </c>
      <c r="IN59" s="854">
        <f>IM59-IK59</f>
        <v>-350000</v>
      </c>
      <c r="IO59" s="486">
        <v>350000</v>
      </c>
      <c r="IP59" s="486">
        <v>350000</v>
      </c>
      <c r="IQ59" s="22"/>
      <c r="IR59" s="459">
        <v>0</v>
      </c>
      <c r="IS59" s="854">
        <f>IR59-IP59</f>
        <v>-350000</v>
      </c>
      <c r="IT59" s="830">
        <f>IA59+IF59+IK59+IP59</f>
        <v>1400000</v>
      </c>
      <c r="IU59" s="474"/>
      <c r="IV59" s="829">
        <f>IR59+IM59+IH59+IC59</f>
        <v>0</v>
      </c>
      <c r="IW59" s="828">
        <f>IV59-IU59</f>
        <v>0</v>
      </c>
      <c r="IX59" s="486">
        <v>350000</v>
      </c>
      <c r="IY59" s="486">
        <v>350000</v>
      </c>
      <c r="IZ59" s="22"/>
      <c r="JA59" s="459">
        <v>0</v>
      </c>
      <c r="JB59" s="854">
        <f>JA59-IY59</f>
        <v>-350000</v>
      </c>
      <c r="JC59" s="486">
        <v>350000</v>
      </c>
      <c r="JD59" s="486">
        <v>350000</v>
      </c>
      <c r="JE59" s="22"/>
      <c r="JF59" s="459">
        <v>0</v>
      </c>
      <c r="JG59" s="854">
        <f>JF59-JD59</f>
        <v>-350000</v>
      </c>
      <c r="JH59" s="486">
        <v>350000</v>
      </c>
      <c r="JI59" s="486">
        <v>350000</v>
      </c>
      <c r="JJ59" s="22"/>
      <c r="JK59" s="459">
        <v>0</v>
      </c>
      <c r="JL59" s="854">
        <f>JK59-JI59</f>
        <v>-350000</v>
      </c>
      <c r="JM59" s="486">
        <v>350000</v>
      </c>
      <c r="JN59" s="486">
        <v>350000</v>
      </c>
      <c r="JO59" s="22"/>
      <c r="JP59" s="459">
        <v>0</v>
      </c>
      <c r="JQ59" s="854">
        <f>JP59-JN59</f>
        <v>-350000</v>
      </c>
      <c r="JR59" s="830">
        <f>IY59+JD59+JI59+JN59</f>
        <v>1400000</v>
      </c>
      <c r="JS59" s="474"/>
      <c r="JT59" s="829">
        <f>JP59+JK59+JF59+JA59</f>
        <v>0</v>
      </c>
      <c r="JU59" s="828">
        <f>JT59-JS59</f>
        <v>0</v>
      </c>
      <c r="JV59" s="486">
        <v>350000</v>
      </c>
      <c r="JW59" s="486">
        <v>350000</v>
      </c>
      <c r="JX59" s="22"/>
      <c r="JY59" s="459">
        <v>0</v>
      </c>
      <c r="JZ59" s="854">
        <f>JY59-JW59</f>
        <v>-350000</v>
      </c>
      <c r="KA59" s="486">
        <v>350000</v>
      </c>
      <c r="KB59" s="486">
        <v>350000</v>
      </c>
      <c r="KC59" s="22"/>
      <c r="KD59" s="459">
        <v>0</v>
      </c>
      <c r="KE59" s="854">
        <f>KD59-KB59</f>
        <v>-350000</v>
      </c>
      <c r="KF59" s="486">
        <v>350000</v>
      </c>
      <c r="KG59" s="486">
        <v>350000</v>
      </c>
      <c r="KH59" s="22"/>
      <c r="KI59" s="459">
        <v>0</v>
      </c>
      <c r="KJ59" s="854">
        <f>KI59-KG59</f>
        <v>-350000</v>
      </c>
      <c r="KK59" s="486">
        <v>350000</v>
      </c>
      <c r="KL59" s="486">
        <v>350000</v>
      </c>
      <c r="KM59" s="22"/>
      <c r="KN59" s="459">
        <v>0</v>
      </c>
      <c r="KO59" s="854">
        <f>KN59-KL59</f>
        <v>-350000</v>
      </c>
      <c r="KP59" s="486">
        <v>350000</v>
      </c>
      <c r="KQ59" s="486">
        <v>350000</v>
      </c>
      <c r="KR59" s="22"/>
      <c r="KS59" s="459">
        <v>0</v>
      </c>
      <c r="KT59" s="854">
        <f>KS59-KQ59</f>
        <v>-350000</v>
      </c>
      <c r="KU59" s="486">
        <v>350000</v>
      </c>
      <c r="KV59" s="486">
        <v>350000</v>
      </c>
      <c r="KW59" s="486">
        <v>350000</v>
      </c>
      <c r="KX59" s="854">
        <f>KW59-KU59</f>
        <v>0</v>
      </c>
      <c r="KY59" s="830">
        <f>KF59+KK59+KP59+KU59</f>
        <v>1400000</v>
      </c>
      <c r="KZ59" s="829">
        <f>KG59+KL59+KQ59+KV59</f>
        <v>1400000</v>
      </c>
      <c r="LA59" s="492">
        <f>KZ59-KY59</f>
        <v>0</v>
      </c>
      <c r="LB59" s="493">
        <f>KZ59/KY59</f>
        <v>1</v>
      </c>
    </row>
    <row r="60" spans="1:314">
      <c r="A60" s="1495"/>
      <c r="B60" s="471" t="s">
        <v>598</v>
      </c>
      <c r="C60" s="1495"/>
      <c r="D60" s="1495"/>
      <c r="E60" s="1495"/>
      <c r="F60" s="1495"/>
      <c r="G60" s="1495"/>
      <c r="H60" s="1495"/>
      <c r="I60" s="1495"/>
      <c r="J60" s="1495"/>
      <c r="K60" s="1495"/>
      <c r="L60" s="1495"/>
      <c r="M60" s="1495"/>
      <c r="N60" s="1495"/>
      <c r="O60" s="1495"/>
      <c r="P60" s="1495"/>
      <c r="Q60" s="1495"/>
      <c r="R60" s="1495"/>
      <c r="S60" s="1495"/>
      <c r="T60" s="1495"/>
      <c r="U60" s="1495"/>
      <c r="V60" s="1495"/>
      <c r="W60" s="1495"/>
      <c r="X60" s="1495"/>
      <c r="Y60" s="1495"/>
      <c r="Z60" s="1495"/>
      <c r="AA60" s="1495"/>
      <c r="AB60" s="1495"/>
      <c r="AC60" s="1495"/>
      <c r="AD60" s="1495"/>
      <c r="AE60" s="1495"/>
      <c r="AF60" s="1495"/>
      <c r="AG60" s="1495"/>
      <c r="AH60" s="1495"/>
      <c r="AI60" s="1495"/>
      <c r="AJ60" s="1495"/>
      <c r="AK60" s="1495"/>
      <c r="AL60" s="1495"/>
      <c r="AM60" s="1495"/>
      <c r="AN60" s="1495"/>
      <c r="AO60" s="1495"/>
      <c r="AP60" s="1495"/>
      <c r="AQ60" s="1495"/>
      <c r="AR60" s="1495"/>
      <c r="AS60" s="1495"/>
      <c r="AT60" s="1495"/>
      <c r="AU60" s="1495"/>
      <c r="AV60" s="1495"/>
      <c r="AW60" s="1495"/>
      <c r="AX60" s="1495"/>
      <c r="AY60" s="1495"/>
      <c r="AZ60" s="1495"/>
      <c r="BA60" s="1495"/>
      <c r="BB60" s="1495"/>
      <c r="BC60" s="1495"/>
      <c r="BD60" s="1495"/>
      <c r="BE60" s="1495"/>
      <c r="BF60" s="1495"/>
      <c r="BG60" s="1495"/>
      <c r="BH60" s="1495"/>
      <c r="BI60" s="1495"/>
      <c r="BJ60" s="1495"/>
      <c r="BK60" s="1495"/>
      <c r="BL60" s="1495"/>
      <c r="BM60" s="1495"/>
      <c r="BN60" s="463">
        <v>122000</v>
      </c>
      <c r="BO60" s="463">
        <v>122000</v>
      </c>
      <c r="BP60" s="22"/>
      <c r="BQ60" s="459">
        <v>0</v>
      </c>
      <c r="BR60" s="464">
        <f>BQ60-BO60</f>
        <v>-122000</v>
      </c>
      <c r="BS60" s="463">
        <v>122000</v>
      </c>
      <c r="BT60" s="463">
        <v>122000</v>
      </c>
      <c r="BU60" s="22"/>
      <c r="BV60" s="459">
        <v>0</v>
      </c>
      <c r="BW60" s="464">
        <f>BV60-BT60</f>
        <v>-122000</v>
      </c>
      <c r="BX60" s="831"/>
      <c r="BY60" s="831"/>
      <c r="BZ60" s="831"/>
      <c r="CA60" s="831"/>
      <c r="CB60" s="463">
        <v>122000</v>
      </c>
      <c r="CC60" s="463">
        <v>122000</v>
      </c>
      <c r="CD60" s="22"/>
      <c r="CE60" s="459">
        <f>50000+10000+10000+30000</f>
        <v>100000</v>
      </c>
      <c r="CF60" s="855">
        <f>CE60-CC60</f>
        <v>-22000</v>
      </c>
      <c r="CG60" s="463">
        <v>122000</v>
      </c>
      <c r="CH60" s="463">
        <v>122000</v>
      </c>
      <c r="CI60" s="22"/>
      <c r="CJ60" s="459">
        <v>80000</v>
      </c>
      <c r="CK60" s="464">
        <f>CJ60-CH60</f>
        <v>-42000</v>
      </c>
      <c r="CL60" s="463">
        <v>122000</v>
      </c>
      <c r="CM60" s="463">
        <v>122000</v>
      </c>
      <c r="CN60" s="22"/>
      <c r="CO60" s="459">
        <v>0</v>
      </c>
      <c r="CP60" s="464">
        <f>CO60-CM60</f>
        <v>-122000</v>
      </c>
      <c r="CQ60" s="463">
        <v>122000</v>
      </c>
      <c r="CR60" s="463">
        <v>122000</v>
      </c>
      <c r="CS60" s="22"/>
      <c r="CT60" s="459">
        <v>0</v>
      </c>
      <c r="CU60" s="854">
        <f>CT60-CR60</f>
        <v>-122000</v>
      </c>
      <c r="CV60" s="830">
        <f>CC60+CH60+CM60+CR60</f>
        <v>488000</v>
      </c>
      <c r="CW60" s="474"/>
      <c r="CX60" s="829">
        <f>CT60+CO60+CJ60+CE60</f>
        <v>180000</v>
      </c>
      <c r="CY60" s="828">
        <f>CX60-CW60</f>
        <v>180000</v>
      </c>
      <c r="CZ60" s="486">
        <v>122000</v>
      </c>
      <c r="DA60" s="486">
        <v>122000</v>
      </c>
      <c r="DB60" s="22"/>
      <c r="DC60" s="459">
        <v>0</v>
      </c>
      <c r="DD60" s="854">
        <f>DC60-DA60</f>
        <v>-122000</v>
      </c>
      <c r="DE60" s="486">
        <v>122000</v>
      </c>
      <c r="DF60" s="486">
        <v>122000</v>
      </c>
      <c r="DG60" s="22"/>
      <c r="DH60" s="459">
        <v>0</v>
      </c>
      <c r="DI60" s="854">
        <f>DH60-DF60</f>
        <v>-122000</v>
      </c>
      <c r="DJ60" s="486">
        <v>122000</v>
      </c>
      <c r="DK60" s="486">
        <v>122000</v>
      </c>
      <c r="DL60" s="22"/>
      <c r="DM60" s="459">
        <v>0</v>
      </c>
      <c r="DN60" s="854">
        <f>DM60-DK60</f>
        <v>-122000</v>
      </c>
      <c r="DO60" s="486">
        <v>122000</v>
      </c>
      <c r="DP60" s="486">
        <v>122000</v>
      </c>
      <c r="DQ60" s="22"/>
      <c r="DR60" s="459">
        <v>0</v>
      </c>
      <c r="DS60" s="854">
        <f>DR60-DP60</f>
        <v>-122000</v>
      </c>
      <c r="DT60" s="830">
        <f>DA60+DF60+DK60+DP60</f>
        <v>488000</v>
      </c>
      <c r="DU60" s="474"/>
      <c r="DV60" s="829">
        <f>DR60+DM60+DH60+DC60</f>
        <v>0</v>
      </c>
      <c r="DW60" s="828">
        <f>DV60-DU60</f>
        <v>0</v>
      </c>
      <c r="DX60" s="486">
        <v>122000</v>
      </c>
      <c r="DY60" s="486">
        <v>122000</v>
      </c>
      <c r="DZ60" s="22"/>
      <c r="EA60" s="459">
        <v>0</v>
      </c>
      <c r="EB60" s="854">
        <f>EA60-DY60</f>
        <v>-122000</v>
      </c>
      <c r="EC60" s="486">
        <v>122000</v>
      </c>
      <c r="ED60" s="486">
        <v>122000</v>
      </c>
      <c r="EE60" s="22"/>
      <c r="EF60" s="459">
        <v>0</v>
      </c>
      <c r="EG60" s="854">
        <f>EF60-ED60</f>
        <v>-122000</v>
      </c>
      <c r="EH60" s="486">
        <v>122000</v>
      </c>
      <c r="EI60" s="486">
        <v>122000</v>
      </c>
      <c r="EJ60" s="22"/>
      <c r="EK60" s="459">
        <v>0</v>
      </c>
      <c r="EL60" s="854">
        <f>EK60-EI60</f>
        <v>-122000</v>
      </c>
      <c r="EM60" s="486">
        <v>122000</v>
      </c>
      <c r="EN60" s="486">
        <v>122000</v>
      </c>
      <c r="EO60" s="22"/>
      <c r="EP60" s="459">
        <v>0</v>
      </c>
      <c r="EQ60" s="854">
        <f>EP60-EN60</f>
        <v>-122000</v>
      </c>
      <c r="ER60" s="486">
        <v>122000</v>
      </c>
      <c r="ES60" s="486">
        <v>122000</v>
      </c>
      <c r="ET60" s="22"/>
      <c r="EU60" s="459">
        <v>0</v>
      </c>
      <c r="EV60" s="854">
        <f>EU60-ES60</f>
        <v>-122000</v>
      </c>
      <c r="EW60" s="830">
        <f>ED60+EI60+EN60+ES60</f>
        <v>488000</v>
      </c>
      <c r="EX60" s="474"/>
      <c r="EY60" s="829">
        <f>EU60+EP60+EK60+EF60</f>
        <v>0</v>
      </c>
      <c r="EZ60" s="828">
        <f>EY60-EX60</f>
        <v>0</v>
      </c>
      <c r="FA60" s="486">
        <v>122000</v>
      </c>
      <c r="FB60" s="486">
        <v>122000</v>
      </c>
      <c r="FC60" s="22"/>
      <c r="FD60" s="459">
        <v>0</v>
      </c>
      <c r="FE60" s="854">
        <f>FD60-FB60</f>
        <v>-122000</v>
      </c>
      <c r="FF60" s="486">
        <v>122000</v>
      </c>
      <c r="FG60" s="486">
        <v>122000</v>
      </c>
      <c r="FH60" s="22"/>
      <c r="FI60" s="459">
        <v>0</v>
      </c>
      <c r="FJ60" s="854">
        <f>FI60-FG60</f>
        <v>-122000</v>
      </c>
      <c r="FK60" s="486">
        <v>122000</v>
      </c>
      <c r="FL60" s="486">
        <v>122000</v>
      </c>
      <c r="FM60" s="22"/>
      <c r="FN60" s="459">
        <v>0</v>
      </c>
      <c r="FO60" s="854">
        <f>FN60-FL60</f>
        <v>-122000</v>
      </c>
      <c r="FP60" s="486">
        <v>122000</v>
      </c>
      <c r="FQ60" s="486">
        <v>122000</v>
      </c>
      <c r="FR60" s="22"/>
      <c r="FS60" s="459">
        <v>0</v>
      </c>
      <c r="FT60" s="854">
        <f>FS60-FQ60</f>
        <v>-122000</v>
      </c>
      <c r="FU60" s="830">
        <f>FB60+FG60+FL60+FQ60</f>
        <v>488000</v>
      </c>
      <c r="FV60" s="474"/>
      <c r="FW60" s="829">
        <f>FS60+FN60+FI60+FD60</f>
        <v>0</v>
      </c>
      <c r="FX60" s="828">
        <f>FW60-FV60</f>
        <v>0</v>
      </c>
      <c r="FY60" s="486">
        <v>122000</v>
      </c>
      <c r="FZ60" s="486">
        <v>122000</v>
      </c>
      <c r="GA60" s="22"/>
      <c r="GB60" s="459">
        <v>0</v>
      </c>
      <c r="GC60" s="854">
        <f>GB60-FZ60</f>
        <v>-122000</v>
      </c>
      <c r="GD60" s="486">
        <v>122000</v>
      </c>
      <c r="GE60" s="486">
        <v>122000</v>
      </c>
      <c r="GF60" s="22"/>
      <c r="GG60" s="459">
        <v>0</v>
      </c>
      <c r="GH60" s="854">
        <f>GG60-GE60</f>
        <v>-122000</v>
      </c>
      <c r="GI60" s="486">
        <v>122000</v>
      </c>
      <c r="GJ60" s="486">
        <v>122000</v>
      </c>
      <c r="GK60" s="22"/>
      <c r="GL60" s="459">
        <v>0</v>
      </c>
      <c r="GM60" s="854">
        <f>GL60-GJ60</f>
        <v>-122000</v>
      </c>
      <c r="GN60" s="486">
        <v>122000</v>
      </c>
      <c r="GO60" s="486">
        <v>122000</v>
      </c>
      <c r="GP60" s="22"/>
      <c r="GQ60" s="459">
        <v>0</v>
      </c>
      <c r="GR60" s="854">
        <f>GQ60-GO60</f>
        <v>-122000</v>
      </c>
      <c r="GS60" s="830">
        <f>FZ60+GE60+GJ60+GO60</f>
        <v>488000</v>
      </c>
      <c r="GT60" s="474"/>
      <c r="GU60" s="829">
        <f>GQ60+GL60+GG60+GB60</f>
        <v>0</v>
      </c>
      <c r="GV60" s="828">
        <f>GU60-GT60</f>
        <v>0</v>
      </c>
      <c r="GW60" s="486">
        <v>122000</v>
      </c>
      <c r="GX60" s="486">
        <v>122000</v>
      </c>
      <c r="GY60" s="22"/>
      <c r="GZ60" s="459">
        <v>0</v>
      </c>
      <c r="HA60" s="854">
        <f>GZ60-GX60</f>
        <v>-122000</v>
      </c>
      <c r="HB60" s="486">
        <v>122000</v>
      </c>
      <c r="HC60" s="486">
        <v>122000</v>
      </c>
      <c r="HD60" s="22"/>
      <c r="HE60" s="459">
        <v>0</v>
      </c>
      <c r="HF60" s="854">
        <f>HE60-HC60</f>
        <v>-122000</v>
      </c>
      <c r="HG60" s="486">
        <v>122000</v>
      </c>
      <c r="HH60" s="486">
        <v>122000</v>
      </c>
      <c r="HI60" s="22"/>
      <c r="HJ60" s="459">
        <v>0</v>
      </c>
      <c r="HK60" s="854">
        <f>HJ60-HH60</f>
        <v>-122000</v>
      </c>
      <c r="HL60" s="486">
        <v>122000</v>
      </c>
      <c r="HM60" s="486">
        <v>122000</v>
      </c>
      <c r="HN60" s="22"/>
      <c r="HO60" s="459">
        <v>0</v>
      </c>
      <c r="HP60" s="854">
        <f>HO60-HM60</f>
        <v>-122000</v>
      </c>
      <c r="HQ60" s="486">
        <v>122000</v>
      </c>
      <c r="HR60" s="486">
        <v>122000</v>
      </c>
      <c r="HS60" s="22"/>
      <c r="HT60" s="459">
        <v>0</v>
      </c>
      <c r="HU60" s="854">
        <f>HT60-HR60</f>
        <v>-122000</v>
      </c>
      <c r="HV60" s="830">
        <f>HC60+HH60+HM60+HR60</f>
        <v>488000</v>
      </c>
      <c r="HW60" s="474"/>
      <c r="HX60" s="829">
        <f>HT60+HO60+HJ60+HE60</f>
        <v>0</v>
      </c>
      <c r="HY60" s="828">
        <f>HX60-HW60</f>
        <v>0</v>
      </c>
      <c r="HZ60" s="486">
        <v>122000</v>
      </c>
      <c r="IA60" s="486">
        <v>122000</v>
      </c>
      <c r="IB60" s="22"/>
      <c r="IC60" s="459">
        <v>0</v>
      </c>
      <c r="ID60" s="854">
        <f>IC60-IA60</f>
        <v>-122000</v>
      </c>
      <c r="IE60" s="486">
        <v>122000</v>
      </c>
      <c r="IF60" s="486">
        <v>122000</v>
      </c>
      <c r="IG60" s="22"/>
      <c r="IH60" s="459">
        <v>0</v>
      </c>
      <c r="II60" s="854">
        <f>IH60-IF60</f>
        <v>-122000</v>
      </c>
      <c r="IJ60" s="486">
        <v>122000</v>
      </c>
      <c r="IK60" s="486">
        <v>122000</v>
      </c>
      <c r="IL60" s="22"/>
      <c r="IM60" s="459">
        <v>0</v>
      </c>
      <c r="IN60" s="854">
        <f>IM60-IK60</f>
        <v>-122000</v>
      </c>
      <c r="IO60" s="486">
        <v>122000</v>
      </c>
      <c r="IP60" s="486">
        <v>122000</v>
      </c>
      <c r="IQ60" s="22"/>
      <c r="IR60" s="459">
        <v>0</v>
      </c>
      <c r="IS60" s="854">
        <f>IR60-IP60</f>
        <v>-122000</v>
      </c>
      <c r="IT60" s="830">
        <f>IA60+IF60+IK60+IP60</f>
        <v>488000</v>
      </c>
      <c r="IU60" s="474"/>
      <c r="IV60" s="829">
        <f>IR60+IM60+IH60+IC60</f>
        <v>0</v>
      </c>
      <c r="IW60" s="828">
        <f>IV60-IU60</f>
        <v>0</v>
      </c>
      <c r="IX60" s="486">
        <v>122000</v>
      </c>
      <c r="IY60" s="486">
        <v>122000</v>
      </c>
      <c r="IZ60" s="22"/>
      <c r="JA60" s="459">
        <v>0</v>
      </c>
      <c r="JB60" s="854">
        <f>JA60-IY60</f>
        <v>-122000</v>
      </c>
      <c r="JC60" s="486">
        <v>122000</v>
      </c>
      <c r="JD60" s="486">
        <v>122000</v>
      </c>
      <c r="JE60" s="22"/>
      <c r="JF60" s="459">
        <v>0</v>
      </c>
      <c r="JG60" s="854">
        <f>JF60-JD60</f>
        <v>-122000</v>
      </c>
      <c r="JH60" s="486">
        <v>122000</v>
      </c>
      <c r="JI60" s="486">
        <v>122000</v>
      </c>
      <c r="JJ60" s="22"/>
      <c r="JK60" s="459">
        <v>0</v>
      </c>
      <c r="JL60" s="854">
        <f>JK60-JI60</f>
        <v>-122000</v>
      </c>
      <c r="JM60" s="486">
        <v>122000</v>
      </c>
      <c r="JN60" s="486">
        <v>122000</v>
      </c>
      <c r="JO60" s="22"/>
      <c r="JP60" s="459">
        <v>0</v>
      </c>
      <c r="JQ60" s="854">
        <f>JP60-JN60</f>
        <v>-122000</v>
      </c>
      <c r="JR60" s="830">
        <f>IY60+JD60+JI60+JN60</f>
        <v>488000</v>
      </c>
      <c r="JS60" s="474"/>
      <c r="JT60" s="829">
        <f>JP60+JK60+JF60+JA60</f>
        <v>0</v>
      </c>
      <c r="JU60" s="828">
        <f>JT60-JS60</f>
        <v>0</v>
      </c>
      <c r="JV60" s="486">
        <v>122000</v>
      </c>
      <c r="JW60" s="486">
        <v>122000</v>
      </c>
      <c r="JX60" s="22"/>
      <c r="JY60" s="459">
        <v>0</v>
      </c>
      <c r="JZ60" s="854">
        <f>JY60-JW60</f>
        <v>-122000</v>
      </c>
      <c r="KA60" s="486">
        <v>122000</v>
      </c>
      <c r="KB60" s="486">
        <v>122000</v>
      </c>
      <c r="KC60" s="22"/>
      <c r="KD60" s="459">
        <v>0</v>
      </c>
      <c r="KE60" s="854">
        <f>KD60-KB60</f>
        <v>-122000</v>
      </c>
      <c r="KF60" s="486">
        <v>122000</v>
      </c>
      <c r="KG60" s="486">
        <v>122000</v>
      </c>
      <c r="KH60" s="22"/>
      <c r="KI60" s="459">
        <v>0</v>
      </c>
      <c r="KJ60" s="854">
        <f>KI60-KG60</f>
        <v>-122000</v>
      </c>
      <c r="KK60" s="486">
        <v>122000</v>
      </c>
      <c r="KL60" s="486">
        <v>122000</v>
      </c>
      <c r="KM60" s="22"/>
      <c r="KN60" s="459">
        <v>0</v>
      </c>
      <c r="KO60" s="854">
        <f>KN60-KL60</f>
        <v>-122000</v>
      </c>
      <c r="KP60" s="486">
        <v>122000</v>
      </c>
      <c r="KQ60" s="486">
        <v>122000</v>
      </c>
      <c r="KR60" s="22"/>
      <c r="KS60" s="459">
        <v>0</v>
      </c>
      <c r="KT60" s="854">
        <f>KS60-KQ60</f>
        <v>-122000</v>
      </c>
      <c r="KU60" s="486">
        <v>122000</v>
      </c>
      <c r="KV60" s="486">
        <v>122000</v>
      </c>
      <c r="KW60" s="486">
        <v>122000</v>
      </c>
      <c r="KX60" s="854">
        <f>KW60-KU60</f>
        <v>0</v>
      </c>
      <c r="KY60" s="830">
        <f>KF60+KK60+KP60+KU60</f>
        <v>488000</v>
      </c>
      <c r="KZ60" s="829">
        <f>KG60+KL60+KQ60+KV60</f>
        <v>488000</v>
      </c>
      <c r="LA60" s="492">
        <f>KZ60-KY60</f>
        <v>0</v>
      </c>
      <c r="LB60" s="493">
        <f>KZ60/KY60</f>
        <v>1</v>
      </c>
    </row>
    <row r="61" spans="1:314">
      <c r="A61" s="1495"/>
      <c r="B61" s="471" t="s">
        <v>312</v>
      </c>
      <c r="C61" s="1495"/>
      <c r="D61" s="1495"/>
      <c r="E61" s="1495"/>
      <c r="F61" s="1495"/>
      <c r="G61" s="1495"/>
      <c r="H61" s="1495"/>
      <c r="I61" s="1495"/>
      <c r="J61" s="1495"/>
      <c r="K61" s="1495"/>
      <c r="L61" s="1495"/>
      <c r="M61" s="1495"/>
      <c r="N61" s="1495"/>
      <c r="O61" s="1495"/>
      <c r="P61" s="1495"/>
      <c r="Q61" s="1495"/>
      <c r="R61" s="1495"/>
      <c r="S61" s="1495"/>
      <c r="T61" s="1495"/>
      <c r="U61" s="1495"/>
      <c r="V61" s="1495"/>
      <c r="W61" s="1495"/>
      <c r="X61" s="1495"/>
      <c r="Y61" s="1495"/>
      <c r="Z61" s="1495"/>
      <c r="AA61" s="1495"/>
      <c r="AB61" s="1495"/>
      <c r="AC61" s="1495"/>
      <c r="AD61" s="1495"/>
      <c r="AE61" s="1495"/>
      <c r="AF61" s="1495"/>
      <c r="AG61" s="1495"/>
      <c r="AH61" s="1495"/>
      <c r="AI61" s="1495"/>
      <c r="AJ61" s="1495"/>
      <c r="AK61" s="1495"/>
      <c r="AL61" s="1495"/>
      <c r="AM61" s="1495"/>
      <c r="AN61" s="1495"/>
      <c r="AO61" s="1495"/>
      <c r="AP61" s="1495"/>
      <c r="AQ61" s="1495"/>
      <c r="AR61" s="1495"/>
      <c r="AS61" s="1495"/>
      <c r="AT61" s="1495"/>
      <c r="AU61" s="1495"/>
      <c r="AV61" s="1495"/>
      <c r="AW61" s="1495"/>
      <c r="AX61" s="1495"/>
      <c r="AY61" s="1495"/>
      <c r="AZ61" s="1495"/>
      <c r="BA61" s="1495"/>
      <c r="BB61" s="1495"/>
      <c r="BC61" s="1495"/>
      <c r="BD61" s="1495"/>
      <c r="BE61" s="1495"/>
      <c r="BF61" s="1495"/>
      <c r="BG61" s="1495"/>
      <c r="BH61" s="1495"/>
      <c r="BI61" s="1495"/>
      <c r="BJ61" s="1495"/>
      <c r="BK61" s="1495"/>
      <c r="BL61" s="1495"/>
      <c r="BM61" s="1495"/>
      <c r="BN61" s="463">
        <v>20000</v>
      </c>
      <c r="BO61" s="463">
        <v>20000</v>
      </c>
      <c r="BP61" s="22"/>
      <c r="BQ61" s="459">
        <v>0</v>
      </c>
      <c r="BR61" s="464">
        <f>BQ61-BO61</f>
        <v>-20000</v>
      </c>
      <c r="BS61" s="463">
        <v>20000</v>
      </c>
      <c r="BT61" s="463">
        <v>20000</v>
      </c>
      <c r="BU61" s="22"/>
      <c r="BV61" s="459">
        <v>0</v>
      </c>
      <c r="BW61" s="464">
        <f>BV61-BT61</f>
        <v>-20000</v>
      </c>
      <c r="BX61" s="831"/>
      <c r="BY61" s="831"/>
      <c r="BZ61" s="831"/>
      <c r="CA61" s="831"/>
      <c r="CB61" s="463">
        <v>20000</v>
      </c>
      <c r="CC61" s="463">
        <v>20000</v>
      </c>
      <c r="CD61" s="22"/>
      <c r="CE61" s="459">
        <f>5000+5000+5000</f>
        <v>15000</v>
      </c>
      <c r="CF61" s="855">
        <f>CE61-CC61</f>
        <v>-5000</v>
      </c>
      <c r="CG61" s="463">
        <v>20000</v>
      </c>
      <c r="CH61" s="463">
        <v>20000</v>
      </c>
      <c r="CI61" s="22"/>
      <c r="CJ61" s="459">
        <v>0</v>
      </c>
      <c r="CK61" s="464">
        <f>CJ61-CH61</f>
        <v>-20000</v>
      </c>
      <c r="CL61" s="463">
        <v>20000</v>
      </c>
      <c r="CM61" s="463">
        <v>20000</v>
      </c>
      <c r="CN61" s="22"/>
      <c r="CO61" s="459">
        <v>36000</v>
      </c>
      <c r="CP61" s="464">
        <f>CO61-CM61</f>
        <v>16000</v>
      </c>
      <c r="CQ61" s="463">
        <v>20000</v>
      </c>
      <c r="CR61" s="463">
        <v>20000</v>
      </c>
      <c r="CS61" s="22"/>
      <c r="CT61" s="459">
        <v>0</v>
      </c>
      <c r="CU61" s="854">
        <f>CT61-CR61</f>
        <v>-20000</v>
      </c>
      <c r="CV61" s="830">
        <f>CC61+CH61+CM61+CR61</f>
        <v>80000</v>
      </c>
      <c r="CW61" s="474"/>
      <c r="CX61" s="829">
        <f>CT61+CO61+CJ61+CE61</f>
        <v>51000</v>
      </c>
      <c r="CY61" s="828">
        <f>CX61-CW61</f>
        <v>51000</v>
      </c>
      <c r="CZ61" s="486">
        <v>20000</v>
      </c>
      <c r="DA61" s="486">
        <v>20000</v>
      </c>
      <c r="DB61" s="22"/>
      <c r="DC61" s="459">
        <v>0</v>
      </c>
      <c r="DD61" s="854">
        <f>DC61-DA61</f>
        <v>-20000</v>
      </c>
      <c r="DE61" s="486">
        <v>20000</v>
      </c>
      <c r="DF61" s="486">
        <v>20000</v>
      </c>
      <c r="DG61" s="22"/>
      <c r="DH61" s="459">
        <v>0</v>
      </c>
      <c r="DI61" s="854">
        <f>DH61-DF61</f>
        <v>-20000</v>
      </c>
      <c r="DJ61" s="486">
        <v>20000</v>
      </c>
      <c r="DK61" s="486">
        <v>20000</v>
      </c>
      <c r="DL61" s="22"/>
      <c r="DM61" s="459">
        <v>0</v>
      </c>
      <c r="DN61" s="854">
        <f>DM61-DK61</f>
        <v>-20000</v>
      </c>
      <c r="DO61" s="486">
        <v>20000</v>
      </c>
      <c r="DP61" s="486">
        <v>20000</v>
      </c>
      <c r="DQ61" s="22"/>
      <c r="DR61" s="459">
        <v>0</v>
      </c>
      <c r="DS61" s="854">
        <f>DR61-DP61</f>
        <v>-20000</v>
      </c>
      <c r="DT61" s="830">
        <f>DA61+DF61+DK61+DP61</f>
        <v>80000</v>
      </c>
      <c r="DU61" s="474"/>
      <c r="DV61" s="829">
        <f>DR61+DM61+DH61+DC61</f>
        <v>0</v>
      </c>
      <c r="DW61" s="828">
        <f>DV61-DU61</f>
        <v>0</v>
      </c>
      <c r="DX61" s="486">
        <v>20000</v>
      </c>
      <c r="DY61" s="486">
        <v>20000</v>
      </c>
      <c r="DZ61" s="22"/>
      <c r="EA61" s="459">
        <v>0</v>
      </c>
      <c r="EB61" s="854">
        <f>EA61-DY61</f>
        <v>-20000</v>
      </c>
      <c r="EC61" s="486">
        <v>20000</v>
      </c>
      <c r="ED61" s="486">
        <v>20000</v>
      </c>
      <c r="EE61" s="22"/>
      <c r="EF61" s="459">
        <v>0</v>
      </c>
      <c r="EG61" s="854">
        <f>EF61-ED61</f>
        <v>-20000</v>
      </c>
      <c r="EH61" s="486">
        <v>20000</v>
      </c>
      <c r="EI61" s="486">
        <v>20000</v>
      </c>
      <c r="EJ61" s="22"/>
      <c r="EK61" s="459">
        <v>0</v>
      </c>
      <c r="EL61" s="854">
        <f>EK61-EI61</f>
        <v>-20000</v>
      </c>
      <c r="EM61" s="486">
        <v>20000</v>
      </c>
      <c r="EN61" s="486">
        <v>20000</v>
      </c>
      <c r="EO61" s="22"/>
      <c r="EP61" s="459">
        <v>0</v>
      </c>
      <c r="EQ61" s="854">
        <f>EP61-EN61</f>
        <v>-20000</v>
      </c>
      <c r="ER61" s="486">
        <v>20000</v>
      </c>
      <c r="ES61" s="486">
        <v>20000</v>
      </c>
      <c r="ET61" s="22"/>
      <c r="EU61" s="459">
        <v>0</v>
      </c>
      <c r="EV61" s="854">
        <f>EU61-ES61</f>
        <v>-20000</v>
      </c>
      <c r="EW61" s="830">
        <f>ED61+EI61+EN61+ES61</f>
        <v>80000</v>
      </c>
      <c r="EX61" s="474"/>
      <c r="EY61" s="829">
        <f>EU61+EP61+EK61+EF61</f>
        <v>0</v>
      </c>
      <c r="EZ61" s="828">
        <f>EY61-EX61</f>
        <v>0</v>
      </c>
      <c r="FA61" s="486">
        <v>20000</v>
      </c>
      <c r="FB61" s="486">
        <v>20000</v>
      </c>
      <c r="FC61" s="22"/>
      <c r="FD61" s="459">
        <v>0</v>
      </c>
      <c r="FE61" s="854">
        <f>FD61-FB61</f>
        <v>-20000</v>
      </c>
      <c r="FF61" s="486">
        <v>20000</v>
      </c>
      <c r="FG61" s="486">
        <v>20000</v>
      </c>
      <c r="FH61" s="22"/>
      <c r="FI61" s="459">
        <v>0</v>
      </c>
      <c r="FJ61" s="854">
        <f>FI61-FG61</f>
        <v>-20000</v>
      </c>
      <c r="FK61" s="486">
        <v>20000</v>
      </c>
      <c r="FL61" s="486">
        <v>20000</v>
      </c>
      <c r="FM61" s="22"/>
      <c r="FN61" s="459">
        <v>0</v>
      </c>
      <c r="FO61" s="854">
        <f>FN61-FL61</f>
        <v>-20000</v>
      </c>
      <c r="FP61" s="486">
        <v>20000</v>
      </c>
      <c r="FQ61" s="486">
        <v>20000</v>
      </c>
      <c r="FR61" s="22"/>
      <c r="FS61" s="459">
        <v>0</v>
      </c>
      <c r="FT61" s="854">
        <f>FS61-FQ61</f>
        <v>-20000</v>
      </c>
      <c r="FU61" s="830">
        <f>FB61+FG61+FL61+FQ61</f>
        <v>80000</v>
      </c>
      <c r="FV61" s="474"/>
      <c r="FW61" s="829">
        <f>FS61+FN61+FI61+FD61</f>
        <v>0</v>
      </c>
      <c r="FX61" s="828">
        <f>FW61-FV61</f>
        <v>0</v>
      </c>
      <c r="FY61" s="486">
        <v>20000</v>
      </c>
      <c r="FZ61" s="486">
        <v>20000</v>
      </c>
      <c r="GA61" s="22"/>
      <c r="GB61" s="459">
        <v>0</v>
      </c>
      <c r="GC61" s="854">
        <f>GB61-FZ61</f>
        <v>-20000</v>
      </c>
      <c r="GD61" s="486">
        <v>20000</v>
      </c>
      <c r="GE61" s="486">
        <v>20000</v>
      </c>
      <c r="GF61" s="22"/>
      <c r="GG61" s="459">
        <v>0</v>
      </c>
      <c r="GH61" s="854">
        <f>GG61-GE61</f>
        <v>-20000</v>
      </c>
      <c r="GI61" s="486">
        <v>20000</v>
      </c>
      <c r="GJ61" s="486">
        <v>20000</v>
      </c>
      <c r="GK61" s="22"/>
      <c r="GL61" s="459">
        <v>0</v>
      </c>
      <c r="GM61" s="854">
        <f>GL61-GJ61</f>
        <v>-20000</v>
      </c>
      <c r="GN61" s="486">
        <v>20000</v>
      </c>
      <c r="GO61" s="486">
        <v>20000</v>
      </c>
      <c r="GP61" s="22"/>
      <c r="GQ61" s="459">
        <v>0</v>
      </c>
      <c r="GR61" s="854">
        <f>GQ61-GO61</f>
        <v>-20000</v>
      </c>
      <c r="GS61" s="830">
        <f>FZ61+GE61+GJ61+GO61</f>
        <v>80000</v>
      </c>
      <c r="GT61" s="474"/>
      <c r="GU61" s="829">
        <f>GQ61+GL61+GG61+GB61</f>
        <v>0</v>
      </c>
      <c r="GV61" s="828">
        <f>GU61-GT61</f>
        <v>0</v>
      </c>
      <c r="GW61" s="486">
        <v>20000</v>
      </c>
      <c r="GX61" s="486">
        <v>20000</v>
      </c>
      <c r="GY61" s="22"/>
      <c r="GZ61" s="459">
        <v>0</v>
      </c>
      <c r="HA61" s="854">
        <f>GZ61-GX61</f>
        <v>-20000</v>
      </c>
      <c r="HB61" s="486">
        <v>20000</v>
      </c>
      <c r="HC61" s="486">
        <v>20000</v>
      </c>
      <c r="HD61" s="22"/>
      <c r="HE61" s="459">
        <v>0</v>
      </c>
      <c r="HF61" s="854">
        <f>HE61-HC61</f>
        <v>-20000</v>
      </c>
      <c r="HG61" s="486">
        <v>20000</v>
      </c>
      <c r="HH61" s="486">
        <v>20000</v>
      </c>
      <c r="HI61" s="22"/>
      <c r="HJ61" s="459">
        <v>0</v>
      </c>
      <c r="HK61" s="854">
        <f>HJ61-HH61</f>
        <v>-20000</v>
      </c>
      <c r="HL61" s="486">
        <v>20000</v>
      </c>
      <c r="HM61" s="486">
        <v>20000</v>
      </c>
      <c r="HN61" s="22"/>
      <c r="HO61" s="459">
        <v>0</v>
      </c>
      <c r="HP61" s="854">
        <f>HO61-HM61</f>
        <v>-20000</v>
      </c>
      <c r="HQ61" s="486">
        <v>20000</v>
      </c>
      <c r="HR61" s="486">
        <v>20000</v>
      </c>
      <c r="HS61" s="22"/>
      <c r="HT61" s="459">
        <v>0</v>
      </c>
      <c r="HU61" s="854">
        <f>HT61-HR61</f>
        <v>-20000</v>
      </c>
      <c r="HV61" s="830">
        <f>HC61+HH61+HM61+HR61</f>
        <v>80000</v>
      </c>
      <c r="HW61" s="474"/>
      <c r="HX61" s="829">
        <f>HT61+HO61+HJ61+HE61</f>
        <v>0</v>
      </c>
      <c r="HY61" s="828">
        <f>HX61-HW61</f>
        <v>0</v>
      </c>
      <c r="HZ61" s="486">
        <v>20000</v>
      </c>
      <c r="IA61" s="486">
        <v>20000</v>
      </c>
      <c r="IB61" s="22"/>
      <c r="IC61" s="459">
        <v>0</v>
      </c>
      <c r="ID61" s="854">
        <f>IC61-IA61</f>
        <v>-20000</v>
      </c>
      <c r="IE61" s="486">
        <v>20000</v>
      </c>
      <c r="IF61" s="486">
        <v>20000</v>
      </c>
      <c r="IG61" s="22"/>
      <c r="IH61" s="459">
        <v>0</v>
      </c>
      <c r="II61" s="854">
        <f>IH61-IF61</f>
        <v>-20000</v>
      </c>
      <c r="IJ61" s="486">
        <v>20000</v>
      </c>
      <c r="IK61" s="486">
        <v>20000</v>
      </c>
      <c r="IL61" s="22"/>
      <c r="IM61" s="459">
        <v>0</v>
      </c>
      <c r="IN61" s="854">
        <f>IM61-IK61</f>
        <v>-20000</v>
      </c>
      <c r="IO61" s="486">
        <v>20000</v>
      </c>
      <c r="IP61" s="486">
        <v>20000</v>
      </c>
      <c r="IQ61" s="22"/>
      <c r="IR61" s="459">
        <v>0</v>
      </c>
      <c r="IS61" s="854">
        <f>IR61-IP61</f>
        <v>-20000</v>
      </c>
      <c r="IT61" s="830">
        <f>IA61+IF61+IK61+IP61</f>
        <v>80000</v>
      </c>
      <c r="IU61" s="474"/>
      <c r="IV61" s="829">
        <f>IR61+IM61+IH61+IC61</f>
        <v>0</v>
      </c>
      <c r="IW61" s="828">
        <f>IV61-IU61</f>
        <v>0</v>
      </c>
      <c r="IX61" s="486">
        <v>20000</v>
      </c>
      <c r="IY61" s="486">
        <v>20000</v>
      </c>
      <c r="IZ61" s="22"/>
      <c r="JA61" s="459">
        <v>0</v>
      </c>
      <c r="JB61" s="854">
        <f>JA61-IY61</f>
        <v>-20000</v>
      </c>
      <c r="JC61" s="486">
        <v>20000</v>
      </c>
      <c r="JD61" s="486">
        <v>20000</v>
      </c>
      <c r="JE61" s="22"/>
      <c r="JF61" s="459">
        <v>0</v>
      </c>
      <c r="JG61" s="854">
        <f>JF61-JD61</f>
        <v>-20000</v>
      </c>
      <c r="JH61" s="486">
        <v>20000</v>
      </c>
      <c r="JI61" s="486">
        <v>20000</v>
      </c>
      <c r="JJ61" s="22"/>
      <c r="JK61" s="459">
        <v>0</v>
      </c>
      <c r="JL61" s="854">
        <f>JK61-JI61</f>
        <v>-20000</v>
      </c>
      <c r="JM61" s="486">
        <v>20000</v>
      </c>
      <c r="JN61" s="486">
        <v>20000</v>
      </c>
      <c r="JO61" s="22"/>
      <c r="JP61" s="459">
        <v>0</v>
      </c>
      <c r="JQ61" s="854">
        <f>JP61-JN61</f>
        <v>-20000</v>
      </c>
      <c r="JR61" s="830">
        <f>IY61+JD61+JI61+JN61</f>
        <v>80000</v>
      </c>
      <c r="JS61" s="474"/>
      <c r="JT61" s="829">
        <f>JP61+JK61+JF61+JA61</f>
        <v>0</v>
      </c>
      <c r="JU61" s="828">
        <f>JT61-JS61</f>
        <v>0</v>
      </c>
      <c r="JV61" s="486">
        <v>20000</v>
      </c>
      <c r="JW61" s="486">
        <v>20000</v>
      </c>
      <c r="JX61" s="22"/>
      <c r="JY61" s="459">
        <v>0</v>
      </c>
      <c r="JZ61" s="854">
        <f>JY61-JW61</f>
        <v>-20000</v>
      </c>
      <c r="KA61" s="486">
        <v>20000</v>
      </c>
      <c r="KB61" s="486">
        <v>20000</v>
      </c>
      <c r="KC61" s="22"/>
      <c r="KD61" s="459">
        <v>0</v>
      </c>
      <c r="KE61" s="854">
        <f>KD61-KB61</f>
        <v>-20000</v>
      </c>
      <c r="KF61" s="486">
        <v>20000</v>
      </c>
      <c r="KG61" s="486">
        <v>20000</v>
      </c>
      <c r="KH61" s="22"/>
      <c r="KI61" s="459">
        <v>0</v>
      </c>
      <c r="KJ61" s="854">
        <f>KI61-KG61</f>
        <v>-20000</v>
      </c>
      <c r="KK61" s="486">
        <v>20000</v>
      </c>
      <c r="KL61" s="486">
        <v>20000</v>
      </c>
      <c r="KM61" s="22"/>
      <c r="KN61" s="459">
        <v>0</v>
      </c>
      <c r="KO61" s="854">
        <f>KN61-KL61</f>
        <v>-20000</v>
      </c>
      <c r="KP61" s="486">
        <v>20000</v>
      </c>
      <c r="KQ61" s="486">
        <v>20000</v>
      </c>
      <c r="KR61" s="22"/>
      <c r="KS61" s="459">
        <v>0</v>
      </c>
      <c r="KT61" s="854">
        <f>KS61-KQ61</f>
        <v>-20000</v>
      </c>
      <c r="KU61" s="486">
        <v>20000</v>
      </c>
      <c r="KV61" s="486">
        <v>20000</v>
      </c>
      <c r="KW61" s="486">
        <v>20000</v>
      </c>
      <c r="KX61" s="854">
        <f>KW61-KU61</f>
        <v>0</v>
      </c>
      <c r="KY61" s="830">
        <f>KF61+KK61+KP61+KU61</f>
        <v>80000</v>
      </c>
      <c r="KZ61" s="829">
        <f>KG61+KL61+KQ61+KV61</f>
        <v>80000</v>
      </c>
      <c r="LA61" s="492">
        <f>KZ61-KY61</f>
        <v>0</v>
      </c>
      <c r="LB61" s="493">
        <f>KZ61/KY61</f>
        <v>1</v>
      </c>
    </row>
    <row r="62" spans="1:314">
      <c r="A62" s="1495"/>
      <c r="B62" s="471" t="s">
        <v>310</v>
      </c>
      <c r="C62" s="1495"/>
      <c r="D62" s="1495"/>
      <c r="E62" s="1495"/>
      <c r="F62" s="1495"/>
      <c r="G62" s="1495"/>
      <c r="H62" s="1495"/>
      <c r="I62" s="1495"/>
      <c r="J62" s="1495"/>
      <c r="K62" s="1495"/>
      <c r="L62" s="1495"/>
      <c r="M62" s="1495"/>
      <c r="N62" s="1495"/>
      <c r="O62" s="1495"/>
      <c r="P62" s="1495"/>
      <c r="Q62" s="1495"/>
      <c r="R62" s="1495"/>
      <c r="S62" s="1495"/>
      <c r="T62" s="1495"/>
      <c r="U62" s="1495"/>
      <c r="V62" s="1495"/>
      <c r="W62" s="1495"/>
      <c r="X62" s="1495"/>
      <c r="Y62" s="1495"/>
      <c r="Z62" s="1495"/>
      <c r="AA62" s="1495"/>
      <c r="AB62" s="1495"/>
      <c r="AC62" s="1495"/>
      <c r="AD62" s="1495"/>
      <c r="AE62" s="1495"/>
      <c r="AF62" s="1495"/>
      <c r="AG62" s="1495"/>
      <c r="AH62" s="1495"/>
      <c r="AI62" s="1495"/>
      <c r="AJ62" s="1495"/>
      <c r="AK62" s="1495"/>
      <c r="AL62" s="1495"/>
      <c r="AM62" s="1495"/>
      <c r="AN62" s="1495"/>
      <c r="AO62" s="1495"/>
      <c r="AP62" s="1495"/>
      <c r="AQ62" s="1495"/>
      <c r="AR62" s="1495"/>
      <c r="AS62" s="1495"/>
      <c r="AT62" s="1495"/>
      <c r="AU62" s="1495"/>
      <c r="AV62" s="1495"/>
      <c r="AW62" s="1495"/>
      <c r="AX62" s="1495"/>
      <c r="AY62" s="1495"/>
      <c r="AZ62" s="1495"/>
      <c r="BA62" s="1495"/>
      <c r="BB62" s="1495"/>
      <c r="BC62" s="1495"/>
      <c r="BD62" s="1495"/>
      <c r="BE62" s="1495"/>
      <c r="BF62" s="1495"/>
      <c r="BG62" s="1495"/>
      <c r="BH62" s="1495"/>
      <c r="BI62" s="1495"/>
      <c r="BJ62" s="1495"/>
      <c r="BK62" s="1495"/>
      <c r="BL62" s="1495"/>
      <c r="BM62" s="1495"/>
      <c r="BN62" s="463">
        <v>10000</v>
      </c>
      <c r="BO62" s="463">
        <v>10000</v>
      </c>
      <c r="BP62" s="22"/>
      <c r="BQ62" s="459">
        <v>0</v>
      </c>
      <c r="BR62" s="464">
        <f>BQ62-BO62</f>
        <v>-10000</v>
      </c>
      <c r="BS62" s="463">
        <v>10000</v>
      </c>
      <c r="BT62" s="463">
        <v>10000</v>
      </c>
      <c r="BU62" s="22"/>
      <c r="BV62" s="459">
        <v>0</v>
      </c>
      <c r="BW62" s="464">
        <f>BV62-BT62</f>
        <v>-10000</v>
      </c>
      <c r="BX62" s="831"/>
      <c r="BY62" s="831"/>
      <c r="BZ62" s="831"/>
      <c r="CA62" s="831"/>
      <c r="CB62" s="463">
        <v>10000</v>
      </c>
      <c r="CC62" s="463">
        <v>10000</v>
      </c>
      <c r="CD62" s="22"/>
      <c r="CE62" s="459">
        <v>0</v>
      </c>
      <c r="CF62" s="855">
        <f>CE62-CC62</f>
        <v>-10000</v>
      </c>
      <c r="CG62" s="463">
        <v>10000</v>
      </c>
      <c r="CH62" s="463">
        <v>10000</v>
      </c>
      <c r="CI62" s="22"/>
      <c r="CJ62" s="459">
        <v>0</v>
      </c>
      <c r="CK62" s="464">
        <f>CJ62-CH62</f>
        <v>-10000</v>
      </c>
      <c r="CL62" s="463">
        <v>10000</v>
      </c>
      <c r="CM62" s="463">
        <v>10000</v>
      </c>
      <c r="CN62" s="22"/>
      <c r="CO62" s="459">
        <v>0</v>
      </c>
      <c r="CP62" s="464">
        <f>CO62-CM62</f>
        <v>-10000</v>
      </c>
      <c r="CQ62" s="463">
        <v>10000</v>
      </c>
      <c r="CR62" s="463">
        <v>10000</v>
      </c>
      <c r="CS62" s="22"/>
      <c r="CT62" s="459">
        <v>0</v>
      </c>
      <c r="CU62" s="854">
        <f>CT62-CR62</f>
        <v>-10000</v>
      </c>
      <c r="CV62" s="830">
        <f>CC62+CH62+CM62+CR62</f>
        <v>40000</v>
      </c>
      <c r="CW62" s="474"/>
      <c r="CX62" s="829">
        <f>CT62+CO62+CJ62+CE62</f>
        <v>0</v>
      </c>
      <c r="CY62" s="828">
        <f>CX62-CW62</f>
        <v>0</v>
      </c>
      <c r="CZ62" s="486">
        <v>10000</v>
      </c>
      <c r="DA62" s="486">
        <v>10000</v>
      </c>
      <c r="DB62" s="22"/>
      <c r="DC62" s="459">
        <v>0</v>
      </c>
      <c r="DD62" s="854">
        <f>DC62-DA62</f>
        <v>-10000</v>
      </c>
      <c r="DE62" s="486">
        <v>10000</v>
      </c>
      <c r="DF62" s="486">
        <v>10000</v>
      </c>
      <c r="DG62" s="22"/>
      <c r="DH62" s="459">
        <v>0</v>
      </c>
      <c r="DI62" s="854">
        <f>DH62-DF62</f>
        <v>-10000</v>
      </c>
      <c r="DJ62" s="486">
        <v>10000</v>
      </c>
      <c r="DK62" s="486">
        <v>10000</v>
      </c>
      <c r="DL62" s="22"/>
      <c r="DM62" s="459">
        <v>0</v>
      </c>
      <c r="DN62" s="854">
        <f>DM62-DK62</f>
        <v>-10000</v>
      </c>
      <c r="DO62" s="486">
        <v>10000</v>
      </c>
      <c r="DP62" s="486">
        <v>10000</v>
      </c>
      <c r="DQ62" s="22"/>
      <c r="DR62" s="459">
        <v>0</v>
      </c>
      <c r="DS62" s="854">
        <f>DR62-DP62</f>
        <v>-10000</v>
      </c>
      <c r="DT62" s="830">
        <f>DA62+DF62+DK62+DP62</f>
        <v>40000</v>
      </c>
      <c r="DU62" s="474"/>
      <c r="DV62" s="829">
        <f>DR62+DM62+DH62+DC62</f>
        <v>0</v>
      </c>
      <c r="DW62" s="828">
        <f>DV62-DU62</f>
        <v>0</v>
      </c>
      <c r="DX62" s="486">
        <v>10000</v>
      </c>
      <c r="DY62" s="486">
        <v>10000</v>
      </c>
      <c r="DZ62" s="22"/>
      <c r="EA62" s="459">
        <v>0</v>
      </c>
      <c r="EB62" s="854">
        <f>EA62-DY62</f>
        <v>-10000</v>
      </c>
      <c r="EC62" s="486">
        <v>10000</v>
      </c>
      <c r="ED62" s="486">
        <v>10000</v>
      </c>
      <c r="EE62" s="22"/>
      <c r="EF62" s="459">
        <v>0</v>
      </c>
      <c r="EG62" s="854">
        <f>EF62-ED62</f>
        <v>-10000</v>
      </c>
      <c r="EH62" s="486">
        <v>10000</v>
      </c>
      <c r="EI62" s="486">
        <v>10000</v>
      </c>
      <c r="EJ62" s="22"/>
      <c r="EK62" s="459">
        <v>0</v>
      </c>
      <c r="EL62" s="854">
        <f>EK62-EI62</f>
        <v>-10000</v>
      </c>
      <c r="EM62" s="486">
        <v>10000</v>
      </c>
      <c r="EN62" s="486">
        <v>10000</v>
      </c>
      <c r="EO62" s="22"/>
      <c r="EP62" s="459">
        <v>0</v>
      </c>
      <c r="EQ62" s="854">
        <f>EP62-EN62</f>
        <v>-10000</v>
      </c>
      <c r="ER62" s="486">
        <v>10000</v>
      </c>
      <c r="ES62" s="486">
        <v>10000</v>
      </c>
      <c r="ET62" s="22"/>
      <c r="EU62" s="459">
        <v>0</v>
      </c>
      <c r="EV62" s="854">
        <f>EU62-ES62</f>
        <v>-10000</v>
      </c>
      <c r="EW62" s="830">
        <f>ED62+EI62+EN62+ES62</f>
        <v>40000</v>
      </c>
      <c r="EX62" s="474"/>
      <c r="EY62" s="829">
        <f>EU62+EP62+EK62+EF62</f>
        <v>0</v>
      </c>
      <c r="EZ62" s="828">
        <f>EY62-EX62</f>
        <v>0</v>
      </c>
      <c r="FA62" s="486">
        <v>10000</v>
      </c>
      <c r="FB62" s="486">
        <v>10000</v>
      </c>
      <c r="FC62" s="22"/>
      <c r="FD62" s="459">
        <v>0</v>
      </c>
      <c r="FE62" s="854">
        <f>FD62-FB62</f>
        <v>-10000</v>
      </c>
      <c r="FF62" s="486">
        <v>10000</v>
      </c>
      <c r="FG62" s="486">
        <v>10000</v>
      </c>
      <c r="FH62" s="22"/>
      <c r="FI62" s="459">
        <v>0</v>
      </c>
      <c r="FJ62" s="854">
        <f>FI62-FG62</f>
        <v>-10000</v>
      </c>
      <c r="FK62" s="486">
        <v>10000</v>
      </c>
      <c r="FL62" s="486">
        <v>10000</v>
      </c>
      <c r="FM62" s="22"/>
      <c r="FN62" s="459">
        <v>0</v>
      </c>
      <c r="FO62" s="854">
        <f>FN62-FL62</f>
        <v>-10000</v>
      </c>
      <c r="FP62" s="486">
        <v>10000</v>
      </c>
      <c r="FQ62" s="486">
        <v>10000</v>
      </c>
      <c r="FR62" s="22"/>
      <c r="FS62" s="459">
        <v>0</v>
      </c>
      <c r="FT62" s="854">
        <f>FS62-FQ62</f>
        <v>-10000</v>
      </c>
      <c r="FU62" s="830">
        <f>FB62+FG62+FL62+FQ62</f>
        <v>40000</v>
      </c>
      <c r="FV62" s="474"/>
      <c r="FW62" s="829">
        <f>FS62+FN62+FI62+FD62</f>
        <v>0</v>
      </c>
      <c r="FX62" s="828">
        <f>FW62-FV62</f>
        <v>0</v>
      </c>
      <c r="FY62" s="486">
        <v>10000</v>
      </c>
      <c r="FZ62" s="486">
        <v>10000</v>
      </c>
      <c r="GA62" s="22"/>
      <c r="GB62" s="459">
        <v>0</v>
      </c>
      <c r="GC62" s="854">
        <f>GB62-FZ62</f>
        <v>-10000</v>
      </c>
      <c r="GD62" s="486">
        <v>10000</v>
      </c>
      <c r="GE62" s="486">
        <v>10000</v>
      </c>
      <c r="GF62" s="22"/>
      <c r="GG62" s="459">
        <v>0</v>
      </c>
      <c r="GH62" s="854">
        <f>GG62-GE62</f>
        <v>-10000</v>
      </c>
      <c r="GI62" s="486">
        <v>10000</v>
      </c>
      <c r="GJ62" s="486">
        <v>10000</v>
      </c>
      <c r="GK62" s="22"/>
      <c r="GL62" s="459">
        <v>0</v>
      </c>
      <c r="GM62" s="854">
        <f>GL62-GJ62</f>
        <v>-10000</v>
      </c>
      <c r="GN62" s="486">
        <v>10000</v>
      </c>
      <c r="GO62" s="486">
        <v>10000</v>
      </c>
      <c r="GP62" s="22"/>
      <c r="GQ62" s="459">
        <v>0</v>
      </c>
      <c r="GR62" s="854">
        <f>GQ62-GO62</f>
        <v>-10000</v>
      </c>
      <c r="GS62" s="830">
        <f>FZ62+GE62+GJ62+GO62</f>
        <v>40000</v>
      </c>
      <c r="GT62" s="474"/>
      <c r="GU62" s="829">
        <f>GQ62+GL62+GG62+GB62</f>
        <v>0</v>
      </c>
      <c r="GV62" s="828">
        <f>GU62-GT62</f>
        <v>0</v>
      </c>
      <c r="GW62" s="486">
        <v>10000</v>
      </c>
      <c r="GX62" s="486">
        <v>10000</v>
      </c>
      <c r="GY62" s="22"/>
      <c r="GZ62" s="459">
        <v>0</v>
      </c>
      <c r="HA62" s="854">
        <f>GZ62-GX62</f>
        <v>-10000</v>
      </c>
      <c r="HB62" s="486">
        <v>10000</v>
      </c>
      <c r="HC62" s="486">
        <v>10000</v>
      </c>
      <c r="HD62" s="22"/>
      <c r="HE62" s="459">
        <v>0</v>
      </c>
      <c r="HF62" s="854">
        <f>HE62-HC62</f>
        <v>-10000</v>
      </c>
      <c r="HG62" s="486">
        <v>10000</v>
      </c>
      <c r="HH62" s="486">
        <v>10000</v>
      </c>
      <c r="HI62" s="22"/>
      <c r="HJ62" s="459">
        <v>0</v>
      </c>
      <c r="HK62" s="854">
        <f>HJ62-HH62</f>
        <v>-10000</v>
      </c>
      <c r="HL62" s="486">
        <v>10000</v>
      </c>
      <c r="HM62" s="486">
        <v>10000</v>
      </c>
      <c r="HN62" s="22"/>
      <c r="HO62" s="459">
        <v>0</v>
      </c>
      <c r="HP62" s="854">
        <f>HO62-HM62</f>
        <v>-10000</v>
      </c>
      <c r="HQ62" s="486">
        <v>10000</v>
      </c>
      <c r="HR62" s="486">
        <v>10000</v>
      </c>
      <c r="HS62" s="22"/>
      <c r="HT62" s="459">
        <v>0</v>
      </c>
      <c r="HU62" s="854">
        <f>HT62-HR62</f>
        <v>-10000</v>
      </c>
      <c r="HV62" s="830">
        <f>HC62+HH62+HM62+HR62</f>
        <v>40000</v>
      </c>
      <c r="HW62" s="474"/>
      <c r="HX62" s="829">
        <f>HT62+HO62+HJ62+HE62</f>
        <v>0</v>
      </c>
      <c r="HY62" s="828">
        <f>HX62-HW62</f>
        <v>0</v>
      </c>
      <c r="HZ62" s="486">
        <v>10000</v>
      </c>
      <c r="IA62" s="486">
        <v>10000</v>
      </c>
      <c r="IB62" s="22"/>
      <c r="IC62" s="459">
        <v>0</v>
      </c>
      <c r="ID62" s="854">
        <f>IC62-IA62</f>
        <v>-10000</v>
      </c>
      <c r="IE62" s="486">
        <v>10000</v>
      </c>
      <c r="IF62" s="486">
        <v>10000</v>
      </c>
      <c r="IG62" s="22"/>
      <c r="IH62" s="459">
        <v>0</v>
      </c>
      <c r="II62" s="854">
        <f>IH62-IF62</f>
        <v>-10000</v>
      </c>
      <c r="IJ62" s="486">
        <v>10000</v>
      </c>
      <c r="IK62" s="486">
        <v>10000</v>
      </c>
      <c r="IL62" s="22"/>
      <c r="IM62" s="459">
        <v>0</v>
      </c>
      <c r="IN62" s="854">
        <f>IM62-IK62</f>
        <v>-10000</v>
      </c>
      <c r="IO62" s="486">
        <v>10000</v>
      </c>
      <c r="IP62" s="486">
        <v>10000</v>
      </c>
      <c r="IQ62" s="22"/>
      <c r="IR62" s="459">
        <v>0</v>
      </c>
      <c r="IS62" s="854">
        <f>IR62-IP62</f>
        <v>-10000</v>
      </c>
      <c r="IT62" s="830">
        <f>IA62+IF62+IK62+IP62</f>
        <v>40000</v>
      </c>
      <c r="IU62" s="474"/>
      <c r="IV62" s="829">
        <f>IR62+IM62+IH62+IC62</f>
        <v>0</v>
      </c>
      <c r="IW62" s="828">
        <f>IV62-IU62</f>
        <v>0</v>
      </c>
      <c r="IX62" s="486">
        <v>10000</v>
      </c>
      <c r="IY62" s="486">
        <v>10000</v>
      </c>
      <c r="IZ62" s="22"/>
      <c r="JA62" s="459">
        <v>0</v>
      </c>
      <c r="JB62" s="854">
        <f>JA62-IY62</f>
        <v>-10000</v>
      </c>
      <c r="JC62" s="486">
        <v>10000</v>
      </c>
      <c r="JD62" s="486">
        <v>10000</v>
      </c>
      <c r="JE62" s="22"/>
      <c r="JF62" s="459">
        <v>0</v>
      </c>
      <c r="JG62" s="854">
        <f>JF62-JD62</f>
        <v>-10000</v>
      </c>
      <c r="JH62" s="486">
        <v>10000</v>
      </c>
      <c r="JI62" s="486">
        <v>10000</v>
      </c>
      <c r="JJ62" s="22"/>
      <c r="JK62" s="459">
        <v>0</v>
      </c>
      <c r="JL62" s="854">
        <f>JK62-JI62</f>
        <v>-10000</v>
      </c>
      <c r="JM62" s="486">
        <v>10000</v>
      </c>
      <c r="JN62" s="486">
        <v>10000</v>
      </c>
      <c r="JO62" s="22"/>
      <c r="JP62" s="459">
        <v>0</v>
      </c>
      <c r="JQ62" s="854">
        <f>JP62-JN62</f>
        <v>-10000</v>
      </c>
      <c r="JR62" s="830">
        <f>IY62+JD62+JI62+JN62</f>
        <v>40000</v>
      </c>
      <c r="JS62" s="474"/>
      <c r="JT62" s="829">
        <f>JP62+JK62+JF62+JA62</f>
        <v>0</v>
      </c>
      <c r="JU62" s="828">
        <f>JT62-JS62</f>
        <v>0</v>
      </c>
      <c r="JV62" s="486">
        <v>10000</v>
      </c>
      <c r="JW62" s="486">
        <v>10000</v>
      </c>
      <c r="JX62" s="22"/>
      <c r="JY62" s="459">
        <v>0</v>
      </c>
      <c r="JZ62" s="854">
        <f>JY62-JW62</f>
        <v>-10000</v>
      </c>
      <c r="KA62" s="486">
        <v>10000</v>
      </c>
      <c r="KB62" s="486">
        <v>10000</v>
      </c>
      <c r="KC62" s="22"/>
      <c r="KD62" s="459">
        <v>0</v>
      </c>
      <c r="KE62" s="854">
        <f>KD62-KB62</f>
        <v>-10000</v>
      </c>
      <c r="KF62" s="486">
        <v>10000</v>
      </c>
      <c r="KG62" s="486">
        <v>10000</v>
      </c>
      <c r="KH62" s="22"/>
      <c r="KI62" s="459">
        <v>0</v>
      </c>
      <c r="KJ62" s="854">
        <f>KI62-KG62</f>
        <v>-10000</v>
      </c>
      <c r="KK62" s="486">
        <v>10000</v>
      </c>
      <c r="KL62" s="486">
        <v>10000</v>
      </c>
      <c r="KM62" s="22"/>
      <c r="KN62" s="459">
        <v>0</v>
      </c>
      <c r="KO62" s="854">
        <f>KN62-KL62</f>
        <v>-10000</v>
      </c>
      <c r="KP62" s="486">
        <v>10000</v>
      </c>
      <c r="KQ62" s="486">
        <v>10000</v>
      </c>
      <c r="KR62" s="22"/>
      <c r="KS62" s="459">
        <v>0</v>
      </c>
      <c r="KT62" s="854">
        <f>KS62-KQ62</f>
        <v>-10000</v>
      </c>
      <c r="KU62" s="486">
        <v>10000</v>
      </c>
      <c r="KV62" s="486">
        <v>10000</v>
      </c>
      <c r="KW62" s="486">
        <v>10000</v>
      </c>
      <c r="KX62" s="854">
        <f>KW62-KU62</f>
        <v>0</v>
      </c>
      <c r="KY62" s="830">
        <f>KF62+KK62+KP62+KU62</f>
        <v>40000</v>
      </c>
      <c r="KZ62" s="829">
        <f>KG62+KL62+KQ62+KV62</f>
        <v>40000</v>
      </c>
      <c r="LA62" s="492">
        <f>KZ62-KY62</f>
        <v>0</v>
      </c>
      <c r="LB62" s="493">
        <f>KZ62/KY62</f>
        <v>1</v>
      </c>
    </row>
    <row r="63" spans="1:314">
      <c r="A63" s="1495"/>
      <c r="B63" s="471" t="s">
        <v>248</v>
      </c>
      <c r="C63" s="1495"/>
      <c r="D63" s="1495"/>
      <c r="E63" s="1495"/>
      <c r="F63" s="1495"/>
      <c r="G63" s="1495"/>
      <c r="H63" s="1495"/>
      <c r="I63" s="1495"/>
      <c r="J63" s="1495"/>
      <c r="K63" s="1495"/>
      <c r="L63" s="1495"/>
      <c r="M63" s="1495"/>
      <c r="N63" s="1495"/>
      <c r="O63" s="1495"/>
      <c r="P63" s="1495"/>
      <c r="Q63" s="1495"/>
      <c r="R63" s="1495"/>
      <c r="S63" s="1495"/>
      <c r="T63" s="1495"/>
      <c r="U63" s="1495"/>
      <c r="V63" s="1495"/>
      <c r="W63" s="1495"/>
      <c r="X63" s="1495"/>
      <c r="Y63" s="1495"/>
      <c r="Z63" s="1495"/>
      <c r="AA63" s="1495"/>
      <c r="AB63" s="1495"/>
      <c r="AC63" s="1495"/>
      <c r="AD63" s="1495"/>
      <c r="AE63" s="1495"/>
      <c r="AF63" s="1495"/>
      <c r="AG63" s="1495"/>
      <c r="AH63" s="1495"/>
      <c r="AI63" s="1495"/>
      <c r="AJ63" s="1495"/>
      <c r="AK63" s="1495"/>
      <c r="AL63" s="1495"/>
      <c r="AM63" s="1495"/>
      <c r="AN63" s="1495"/>
      <c r="AO63" s="1495"/>
      <c r="AP63" s="1495"/>
      <c r="AQ63" s="1495"/>
      <c r="AR63" s="1495"/>
      <c r="AS63" s="1495"/>
      <c r="AT63" s="1495"/>
      <c r="AU63" s="1495"/>
      <c r="AV63" s="1495"/>
      <c r="AW63" s="1495"/>
      <c r="AX63" s="1495"/>
      <c r="AY63" s="1495"/>
      <c r="AZ63" s="1495"/>
      <c r="BA63" s="1495"/>
      <c r="BB63" s="1495"/>
      <c r="BC63" s="1495"/>
      <c r="BD63" s="1495"/>
      <c r="BE63" s="1495"/>
      <c r="BF63" s="1495"/>
      <c r="BG63" s="1495"/>
      <c r="BH63" s="1495"/>
      <c r="BI63" s="1495"/>
      <c r="BJ63" s="1495"/>
      <c r="BK63" s="1495"/>
      <c r="BL63" s="1495"/>
      <c r="BM63" s="1495"/>
      <c r="BN63" s="463">
        <v>100000</v>
      </c>
      <c r="BO63" s="463">
        <v>100000</v>
      </c>
      <c r="BP63" s="22"/>
      <c r="BQ63" s="459">
        <v>100000</v>
      </c>
      <c r="BR63" s="464">
        <f>BQ63-BO63</f>
        <v>0</v>
      </c>
      <c r="BS63" s="463">
        <v>100000</v>
      </c>
      <c r="BT63" s="463">
        <v>100000</v>
      </c>
      <c r="BU63" s="22"/>
      <c r="BV63" s="459">
        <v>0</v>
      </c>
      <c r="BW63" s="464">
        <f>BV63-BT63</f>
        <v>-100000</v>
      </c>
      <c r="BX63" s="831"/>
      <c r="BY63" s="831"/>
      <c r="BZ63" s="831"/>
      <c r="CA63" s="831"/>
      <c r="CB63" s="463">
        <v>100000</v>
      </c>
      <c r="CC63" s="463">
        <v>100000</v>
      </c>
      <c r="CD63" s="22"/>
      <c r="CE63" s="459">
        <v>137000</v>
      </c>
      <c r="CF63" s="855">
        <f>CE63-CC63</f>
        <v>37000</v>
      </c>
      <c r="CG63" s="463">
        <v>100000</v>
      </c>
      <c r="CH63" s="463">
        <v>100000</v>
      </c>
      <c r="CI63" s="22"/>
      <c r="CJ63" s="459">
        <v>98175</v>
      </c>
      <c r="CK63" s="464">
        <f>CJ63-CH63</f>
        <v>-1825</v>
      </c>
      <c r="CL63" s="463">
        <v>100000</v>
      </c>
      <c r="CM63" s="463">
        <v>100000</v>
      </c>
      <c r="CN63" s="22"/>
      <c r="CO63" s="459">
        <v>168000</v>
      </c>
      <c r="CP63" s="464">
        <f>CO63-CM63</f>
        <v>68000</v>
      </c>
      <c r="CQ63" s="463">
        <v>100000</v>
      </c>
      <c r="CR63" s="463">
        <v>100000</v>
      </c>
      <c r="CS63" s="22"/>
      <c r="CT63" s="459">
        <v>0</v>
      </c>
      <c r="CU63" s="854">
        <f>CT63-CR63</f>
        <v>-100000</v>
      </c>
      <c r="CV63" s="830">
        <f>CC63+CH63+CM63+CR63</f>
        <v>400000</v>
      </c>
      <c r="CW63" s="474"/>
      <c r="CX63" s="829">
        <f>CT63+CO63+CJ63+CE63</f>
        <v>403175</v>
      </c>
      <c r="CY63" s="828">
        <f>CX63-CW63</f>
        <v>403175</v>
      </c>
      <c r="CZ63" s="486">
        <v>100000</v>
      </c>
      <c r="DA63" s="486">
        <v>100000</v>
      </c>
      <c r="DB63" s="22"/>
      <c r="DC63" s="459">
        <v>0</v>
      </c>
      <c r="DD63" s="854">
        <f>DC63-DA63</f>
        <v>-100000</v>
      </c>
      <c r="DE63" s="486">
        <v>100000</v>
      </c>
      <c r="DF63" s="486">
        <v>100000</v>
      </c>
      <c r="DG63" s="22"/>
      <c r="DH63" s="459">
        <v>0</v>
      </c>
      <c r="DI63" s="854">
        <f>DH63-DF63</f>
        <v>-100000</v>
      </c>
      <c r="DJ63" s="486">
        <v>100000</v>
      </c>
      <c r="DK63" s="486">
        <v>100000</v>
      </c>
      <c r="DL63" s="22"/>
      <c r="DM63" s="459">
        <v>0</v>
      </c>
      <c r="DN63" s="854">
        <f>DM63-DK63</f>
        <v>-100000</v>
      </c>
      <c r="DO63" s="486">
        <v>100000</v>
      </c>
      <c r="DP63" s="486">
        <v>100000</v>
      </c>
      <c r="DQ63" s="22"/>
      <c r="DR63" s="459">
        <v>0</v>
      </c>
      <c r="DS63" s="854">
        <f>DR63-DP63</f>
        <v>-100000</v>
      </c>
      <c r="DT63" s="830">
        <f>DA63+DF63+DK63+DP63</f>
        <v>400000</v>
      </c>
      <c r="DU63" s="474"/>
      <c r="DV63" s="829">
        <f>DR63+DM63+DH63+DC63</f>
        <v>0</v>
      </c>
      <c r="DW63" s="828">
        <f>DV63-DU63</f>
        <v>0</v>
      </c>
      <c r="DX63" s="486">
        <v>100000</v>
      </c>
      <c r="DY63" s="486">
        <v>100000</v>
      </c>
      <c r="DZ63" s="22"/>
      <c r="EA63" s="459">
        <v>0</v>
      </c>
      <c r="EB63" s="854">
        <f>EA63-DY63</f>
        <v>-100000</v>
      </c>
      <c r="EC63" s="486">
        <v>100000</v>
      </c>
      <c r="ED63" s="486">
        <v>100000</v>
      </c>
      <c r="EE63" s="22"/>
      <c r="EF63" s="459">
        <v>0</v>
      </c>
      <c r="EG63" s="854">
        <f>EF63-ED63</f>
        <v>-100000</v>
      </c>
      <c r="EH63" s="486">
        <v>100000</v>
      </c>
      <c r="EI63" s="486">
        <v>100000</v>
      </c>
      <c r="EJ63" s="22"/>
      <c r="EK63" s="459">
        <v>0</v>
      </c>
      <c r="EL63" s="854">
        <f>EK63-EI63</f>
        <v>-100000</v>
      </c>
      <c r="EM63" s="486">
        <v>100000</v>
      </c>
      <c r="EN63" s="486">
        <v>100000</v>
      </c>
      <c r="EO63" s="22"/>
      <c r="EP63" s="459">
        <v>0</v>
      </c>
      <c r="EQ63" s="854">
        <f>EP63-EN63</f>
        <v>-100000</v>
      </c>
      <c r="ER63" s="486">
        <v>100000</v>
      </c>
      <c r="ES63" s="486">
        <v>100000</v>
      </c>
      <c r="ET63" s="22"/>
      <c r="EU63" s="459">
        <v>0</v>
      </c>
      <c r="EV63" s="854">
        <f>EU63-ES63</f>
        <v>-100000</v>
      </c>
      <c r="EW63" s="830">
        <f>ED63+EI63+EN63+ES63</f>
        <v>400000</v>
      </c>
      <c r="EX63" s="474"/>
      <c r="EY63" s="829">
        <f>EU63+EP63+EK63+EF63</f>
        <v>0</v>
      </c>
      <c r="EZ63" s="828">
        <f>EY63-EX63</f>
        <v>0</v>
      </c>
      <c r="FA63" s="486">
        <v>100000</v>
      </c>
      <c r="FB63" s="486">
        <v>100000</v>
      </c>
      <c r="FC63" s="22"/>
      <c r="FD63" s="459">
        <v>0</v>
      </c>
      <c r="FE63" s="854">
        <f>FD63-FB63</f>
        <v>-100000</v>
      </c>
      <c r="FF63" s="486">
        <v>100000</v>
      </c>
      <c r="FG63" s="486">
        <v>100000</v>
      </c>
      <c r="FH63" s="22"/>
      <c r="FI63" s="459">
        <v>0</v>
      </c>
      <c r="FJ63" s="854">
        <f>FI63-FG63</f>
        <v>-100000</v>
      </c>
      <c r="FK63" s="486">
        <v>100000</v>
      </c>
      <c r="FL63" s="486">
        <v>100000</v>
      </c>
      <c r="FM63" s="22"/>
      <c r="FN63" s="459">
        <v>0</v>
      </c>
      <c r="FO63" s="854">
        <f>FN63-FL63</f>
        <v>-100000</v>
      </c>
      <c r="FP63" s="486">
        <v>100000</v>
      </c>
      <c r="FQ63" s="486">
        <v>100000</v>
      </c>
      <c r="FR63" s="22"/>
      <c r="FS63" s="459">
        <v>0</v>
      </c>
      <c r="FT63" s="854">
        <f>FS63-FQ63</f>
        <v>-100000</v>
      </c>
      <c r="FU63" s="830">
        <f>FB63+FG63+FL63+FQ63</f>
        <v>400000</v>
      </c>
      <c r="FV63" s="474"/>
      <c r="FW63" s="829">
        <f>FS63+FN63+FI63+FD63</f>
        <v>0</v>
      </c>
      <c r="FX63" s="828">
        <f>FW63-FV63</f>
        <v>0</v>
      </c>
      <c r="FY63" s="486">
        <v>100000</v>
      </c>
      <c r="FZ63" s="486">
        <v>100000</v>
      </c>
      <c r="GA63" s="22"/>
      <c r="GB63" s="459">
        <v>0</v>
      </c>
      <c r="GC63" s="854">
        <f>GB63-FZ63</f>
        <v>-100000</v>
      </c>
      <c r="GD63" s="486">
        <v>100000</v>
      </c>
      <c r="GE63" s="486">
        <v>100000</v>
      </c>
      <c r="GF63" s="22"/>
      <c r="GG63" s="459">
        <v>0</v>
      </c>
      <c r="GH63" s="854">
        <f>GG63-GE63</f>
        <v>-100000</v>
      </c>
      <c r="GI63" s="486">
        <v>100000</v>
      </c>
      <c r="GJ63" s="486">
        <v>100000</v>
      </c>
      <c r="GK63" s="22"/>
      <c r="GL63" s="459">
        <v>0</v>
      </c>
      <c r="GM63" s="854">
        <f>GL63-GJ63</f>
        <v>-100000</v>
      </c>
      <c r="GN63" s="486">
        <v>100000</v>
      </c>
      <c r="GO63" s="486">
        <v>100000</v>
      </c>
      <c r="GP63" s="22"/>
      <c r="GQ63" s="459">
        <v>0</v>
      </c>
      <c r="GR63" s="854">
        <f>GQ63-GO63</f>
        <v>-100000</v>
      </c>
      <c r="GS63" s="830">
        <f>FZ63+GE63+GJ63+GO63</f>
        <v>400000</v>
      </c>
      <c r="GT63" s="474"/>
      <c r="GU63" s="829">
        <f>GQ63+GL63+GG63+GB63</f>
        <v>0</v>
      </c>
      <c r="GV63" s="828">
        <f>GU63-GT63</f>
        <v>0</v>
      </c>
      <c r="GW63" s="486">
        <v>100000</v>
      </c>
      <c r="GX63" s="486">
        <v>100000</v>
      </c>
      <c r="GY63" s="22"/>
      <c r="GZ63" s="459">
        <v>0</v>
      </c>
      <c r="HA63" s="854">
        <f>GZ63-GX63</f>
        <v>-100000</v>
      </c>
      <c r="HB63" s="486">
        <v>100000</v>
      </c>
      <c r="HC63" s="486">
        <v>100000</v>
      </c>
      <c r="HD63" s="22"/>
      <c r="HE63" s="459">
        <v>0</v>
      </c>
      <c r="HF63" s="854">
        <f>HE63-HC63</f>
        <v>-100000</v>
      </c>
      <c r="HG63" s="486">
        <v>100000</v>
      </c>
      <c r="HH63" s="486">
        <v>100000</v>
      </c>
      <c r="HI63" s="22"/>
      <c r="HJ63" s="459">
        <v>0</v>
      </c>
      <c r="HK63" s="854">
        <f>HJ63-HH63</f>
        <v>-100000</v>
      </c>
      <c r="HL63" s="486">
        <v>100000</v>
      </c>
      <c r="HM63" s="486">
        <v>100000</v>
      </c>
      <c r="HN63" s="22"/>
      <c r="HO63" s="459">
        <v>0</v>
      </c>
      <c r="HP63" s="854">
        <f>HO63-HM63</f>
        <v>-100000</v>
      </c>
      <c r="HQ63" s="486">
        <v>100000</v>
      </c>
      <c r="HR63" s="486">
        <v>100000</v>
      </c>
      <c r="HS63" s="22"/>
      <c r="HT63" s="459">
        <v>0</v>
      </c>
      <c r="HU63" s="854">
        <f>HT63-HR63</f>
        <v>-100000</v>
      </c>
      <c r="HV63" s="830">
        <f>HC63+HH63+HM63+HR63</f>
        <v>400000</v>
      </c>
      <c r="HW63" s="474"/>
      <c r="HX63" s="829">
        <f>HT63+HO63+HJ63+HE63</f>
        <v>0</v>
      </c>
      <c r="HY63" s="828">
        <f>HX63-HW63</f>
        <v>0</v>
      </c>
      <c r="HZ63" s="486">
        <v>100000</v>
      </c>
      <c r="IA63" s="486">
        <v>100000</v>
      </c>
      <c r="IB63" s="22"/>
      <c r="IC63" s="459">
        <v>0</v>
      </c>
      <c r="ID63" s="854">
        <f>IC63-IA63</f>
        <v>-100000</v>
      </c>
      <c r="IE63" s="486">
        <v>100000</v>
      </c>
      <c r="IF63" s="486">
        <v>100000</v>
      </c>
      <c r="IG63" s="22"/>
      <c r="IH63" s="459">
        <v>0</v>
      </c>
      <c r="II63" s="854">
        <f>IH63-IF63</f>
        <v>-100000</v>
      </c>
      <c r="IJ63" s="486">
        <v>100000</v>
      </c>
      <c r="IK63" s="486">
        <v>100000</v>
      </c>
      <c r="IL63" s="22"/>
      <c r="IM63" s="459">
        <v>0</v>
      </c>
      <c r="IN63" s="854">
        <f>IM63-IK63</f>
        <v>-100000</v>
      </c>
      <c r="IO63" s="486">
        <v>100000</v>
      </c>
      <c r="IP63" s="486">
        <v>100000</v>
      </c>
      <c r="IQ63" s="22"/>
      <c r="IR63" s="459">
        <v>0</v>
      </c>
      <c r="IS63" s="854">
        <f>IR63-IP63</f>
        <v>-100000</v>
      </c>
      <c r="IT63" s="830">
        <f>IA63+IF63+IK63+IP63</f>
        <v>400000</v>
      </c>
      <c r="IU63" s="474"/>
      <c r="IV63" s="829">
        <f>IR63+IM63+IH63+IC63</f>
        <v>0</v>
      </c>
      <c r="IW63" s="828">
        <f>IV63-IU63</f>
        <v>0</v>
      </c>
      <c r="IX63" s="486">
        <v>100000</v>
      </c>
      <c r="IY63" s="486">
        <v>100000</v>
      </c>
      <c r="IZ63" s="22"/>
      <c r="JA63" s="459">
        <v>0</v>
      </c>
      <c r="JB63" s="854">
        <f>JA63-IY63</f>
        <v>-100000</v>
      </c>
      <c r="JC63" s="486">
        <v>100000</v>
      </c>
      <c r="JD63" s="486">
        <v>100000</v>
      </c>
      <c r="JE63" s="22"/>
      <c r="JF63" s="459">
        <v>0</v>
      </c>
      <c r="JG63" s="854">
        <f>JF63-JD63</f>
        <v>-100000</v>
      </c>
      <c r="JH63" s="486">
        <v>100000</v>
      </c>
      <c r="JI63" s="486">
        <v>100000</v>
      </c>
      <c r="JJ63" s="22"/>
      <c r="JK63" s="459">
        <v>0</v>
      </c>
      <c r="JL63" s="854">
        <f>JK63-JI63</f>
        <v>-100000</v>
      </c>
      <c r="JM63" s="486">
        <v>100000</v>
      </c>
      <c r="JN63" s="486">
        <v>100000</v>
      </c>
      <c r="JO63" s="22"/>
      <c r="JP63" s="459">
        <v>0</v>
      </c>
      <c r="JQ63" s="854">
        <f>JP63-JN63</f>
        <v>-100000</v>
      </c>
      <c r="JR63" s="830">
        <f>IY63+JD63+JI63+JN63</f>
        <v>400000</v>
      </c>
      <c r="JS63" s="474"/>
      <c r="JT63" s="829">
        <f>JP63+JK63+JF63+JA63</f>
        <v>0</v>
      </c>
      <c r="JU63" s="828">
        <f>JT63-JS63</f>
        <v>0</v>
      </c>
      <c r="JV63" s="486">
        <v>100000</v>
      </c>
      <c r="JW63" s="486">
        <v>100000</v>
      </c>
      <c r="JX63" s="22"/>
      <c r="JY63" s="459">
        <v>0</v>
      </c>
      <c r="JZ63" s="854">
        <f>JY63-JW63</f>
        <v>-100000</v>
      </c>
      <c r="KA63" s="486">
        <v>100000</v>
      </c>
      <c r="KB63" s="486">
        <v>100000</v>
      </c>
      <c r="KC63" s="22"/>
      <c r="KD63" s="459">
        <v>0</v>
      </c>
      <c r="KE63" s="854">
        <f>KD63-KB63</f>
        <v>-100000</v>
      </c>
      <c r="KF63" s="486">
        <v>100000</v>
      </c>
      <c r="KG63" s="486">
        <v>100000</v>
      </c>
      <c r="KH63" s="22"/>
      <c r="KI63" s="459">
        <v>0</v>
      </c>
      <c r="KJ63" s="854">
        <f>KI63-KG63</f>
        <v>-100000</v>
      </c>
      <c r="KK63" s="486">
        <v>100000</v>
      </c>
      <c r="KL63" s="486">
        <v>100000</v>
      </c>
      <c r="KM63" s="22"/>
      <c r="KN63" s="459">
        <v>0</v>
      </c>
      <c r="KO63" s="854">
        <f>KN63-KL63</f>
        <v>-100000</v>
      </c>
      <c r="KP63" s="486">
        <v>100000</v>
      </c>
      <c r="KQ63" s="486">
        <v>100000</v>
      </c>
      <c r="KR63" s="22"/>
      <c r="KS63" s="459">
        <v>0</v>
      </c>
      <c r="KT63" s="854">
        <f>KS63-KQ63</f>
        <v>-100000</v>
      </c>
      <c r="KU63" s="486">
        <v>100000</v>
      </c>
      <c r="KV63" s="486">
        <v>100000</v>
      </c>
      <c r="KW63" s="486">
        <v>100000</v>
      </c>
      <c r="KX63" s="854">
        <f>KW63-KU63</f>
        <v>0</v>
      </c>
      <c r="KY63" s="830">
        <f>KF63+KK63+KP63+KU63</f>
        <v>400000</v>
      </c>
      <c r="KZ63" s="829">
        <f>KG63+KL63+KQ63+KV63</f>
        <v>400000</v>
      </c>
      <c r="LA63" s="492">
        <f>KZ63-KY63</f>
        <v>0</v>
      </c>
      <c r="LB63" s="493">
        <f>KZ63/KY63</f>
        <v>1</v>
      </c>
    </row>
    <row r="64" spans="1:314" ht="15.75" thickBot="1">
      <c r="A64" s="1495"/>
      <c r="B64" s="853" t="s">
        <v>258</v>
      </c>
      <c r="C64" s="1495"/>
      <c r="D64" s="1495"/>
      <c r="E64" s="1495"/>
      <c r="F64" s="1495"/>
      <c r="G64" s="1495"/>
      <c r="H64" s="1495"/>
      <c r="I64" s="1495"/>
      <c r="J64" s="1495"/>
      <c r="K64" s="1495"/>
      <c r="L64" s="1495"/>
      <c r="M64" s="1495"/>
      <c r="N64" s="1495"/>
      <c r="O64" s="1495"/>
      <c r="P64" s="1495"/>
      <c r="Q64" s="1495"/>
      <c r="R64" s="1495"/>
      <c r="S64" s="1495"/>
      <c r="T64" s="1495"/>
      <c r="U64" s="1495"/>
      <c r="V64" s="1495"/>
      <c r="W64" s="1495"/>
      <c r="X64" s="1495"/>
      <c r="Y64" s="1495"/>
      <c r="Z64" s="1495"/>
      <c r="AA64" s="1495"/>
      <c r="AB64" s="1495"/>
      <c r="AC64" s="1495"/>
      <c r="AD64" s="1495"/>
      <c r="AE64" s="1495"/>
      <c r="AF64" s="1495"/>
      <c r="AG64" s="1495"/>
      <c r="AH64" s="1495"/>
      <c r="AI64" s="1495"/>
      <c r="AJ64" s="1495"/>
      <c r="AK64" s="1495"/>
      <c r="AL64" s="1495"/>
      <c r="AM64" s="1495"/>
      <c r="AN64" s="1495"/>
      <c r="AO64" s="1495"/>
      <c r="AP64" s="1495"/>
      <c r="AQ64" s="1495"/>
      <c r="AR64" s="1495"/>
      <c r="AS64" s="1495"/>
      <c r="AT64" s="1495"/>
      <c r="AU64" s="1495"/>
      <c r="AV64" s="1495"/>
      <c r="AW64" s="1495"/>
      <c r="AX64" s="1495"/>
      <c r="AY64" s="1495"/>
      <c r="AZ64" s="1495"/>
      <c r="BA64" s="1495"/>
      <c r="BB64" s="1495"/>
      <c r="BC64" s="1495"/>
      <c r="BD64" s="1495"/>
      <c r="BE64" s="1495"/>
      <c r="BF64" s="1495"/>
      <c r="BG64" s="1495"/>
      <c r="BH64" s="1495"/>
      <c r="BI64" s="1495"/>
      <c r="BJ64" s="1495"/>
      <c r="BK64" s="1495"/>
      <c r="BL64" s="1495"/>
      <c r="BM64" s="1495"/>
      <c r="BN64" s="849">
        <f>BN54-BN59-BN60-BN61-BN62-BN63</f>
        <v>214064.89575000003</v>
      </c>
      <c r="BO64" s="842">
        <f>BO54-BO59-BO60-BO61-BO62-BO63</f>
        <v>216831.85588749987</v>
      </c>
      <c r="BP64" s="843"/>
      <c r="BQ64" s="842">
        <v>137000</v>
      </c>
      <c r="BR64" s="850">
        <f>BQ64-BO64</f>
        <v>-79831.855887499871</v>
      </c>
      <c r="BS64" s="849">
        <f>BS54-BS59-BS60-BS61-BS62-BS63</f>
        <v>255792.77674999996</v>
      </c>
      <c r="BT64" s="842">
        <f>BT54-BT59-BT60-BT61-BT62-BT63</f>
        <v>257672.23941950011</v>
      </c>
      <c r="BU64" s="843"/>
      <c r="BV64" s="842">
        <v>0</v>
      </c>
      <c r="BW64" s="850">
        <f>BV64-BT64</f>
        <v>-257672.23941950011</v>
      </c>
      <c r="BX64" s="852"/>
      <c r="BY64" s="852"/>
      <c r="BZ64" s="852"/>
      <c r="CA64" s="852"/>
      <c r="CB64" s="849">
        <f>CB54-CB59-CB60-CB61-CB62-CB63</f>
        <v>297771.73974999995</v>
      </c>
      <c r="CC64" s="842">
        <f>CC54-CC59-CC60-CC61-CC62-CC63</f>
        <v>296409.79308600014</v>
      </c>
      <c r="CD64" s="843"/>
      <c r="CE64" s="842">
        <f>130000+30000+15000+40000+35000+15000+10000</f>
        <v>275000</v>
      </c>
      <c r="CF64" s="851">
        <f>CE64-CC64</f>
        <v>-21409.793086000136</v>
      </c>
      <c r="CG64" s="849">
        <f>CG54-CG59-CG60-CG61-CG62-CG63</f>
        <v>351731.28824999987</v>
      </c>
      <c r="CH64" s="842">
        <f>CH54-CH59-CH60-CH61-CH62-CH63</f>
        <v>348970.63552562508</v>
      </c>
      <c r="CI64" s="843"/>
      <c r="CJ64" s="842">
        <v>148000</v>
      </c>
      <c r="CK64" s="850">
        <f>CJ64-CH64</f>
        <v>-200970.63552562508</v>
      </c>
      <c r="CL64" s="849">
        <f>CL54-CL59-CL60-CL61-CL62-CL63</f>
        <v>322019.28125</v>
      </c>
      <c r="CM64" s="842">
        <f>CM54-CM59-CM60-CM61-CM62-CM63</f>
        <v>319619.99098000012</v>
      </c>
      <c r="CN64" s="843"/>
      <c r="CO64" s="842">
        <v>110000</v>
      </c>
      <c r="CP64" s="850">
        <f>CO64-CM64</f>
        <v>-209619.99098000012</v>
      </c>
      <c r="CQ64" s="849">
        <f>CQ54-CQ59-CQ60-CQ61-CQ62-CQ63</f>
        <v>497809.84750000015</v>
      </c>
      <c r="CR64" s="842">
        <f>CR54-CR59-CR60-CR61-CR62-CR63</f>
        <v>492770.02273437497</v>
      </c>
      <c r="CS64" s="843"/>
      <c r="CT64" s="842">
        <v>0</v>
      </c>
      <c r="CU64" s="840">
        <f>CT64-CR64</f>
        <v>-492770.02273437497</v>
      </c>
      <c r="CV64" s="848">
        <f>CC64+CH64+CM64+CR64</f>
        <v>1457770.4423260004</v>
      </c>
      <c r="CW64" s="847"/>
      <c r="CX64" s="846">
        <f>CT64+CO64+CJ64+CE64</f>
        <v>533000</v>
      </c>
      <c r="CY64" s="845">
        <f>CX64-CW64</f>
        <v>533000</v>
      </c>
      <c r="CZ64" s="841">
        <f>CZ54-CZ59-CZ60-CZ61-CZ62-CZ63</f>
        <v>694050.14825000009</v>
      </c>
      <c r="DA64" s="844">
        <f>DA54-DA59-DA60-DA61-DA62-DA63</f>
        <v>699753.09423250007</v>
      </c>
      <c r="DB64" s="843"/>
      <c r="DC64" s="842">
        <v>0</v>
      </c>
      <c r="DD64" s="840">
        <f>DC64-DA64</f>
        <v>-699753.09423250007</v>
      </c>
      <c r="DE64" s="841">
        <f>DE54-DE59-DE60-DE61-DE62-DE63</f>
        <v>338809.26875000005</v>
      </c>
      <c r="DF64" s="844">
        <f>DF54-DF59-DF60-DF61-DF62-DF63</f>
        <v>335941.67276875</v>
      </c>
      <c r="DG64" s="843"/>
      <c r="DH64" s="842">
        <v>0</v>
      </c>
      <c r="DI64" s="840">
        <f>DH64-DF64</f>
        <v>-335941.67276875</v>
      </c>
      <c r="DJ64" s="841">
        <f>DJ54-DJ59-DJ60-DJ61-DJ62-DJ63</f>
        <v>239517.72249999992</v>
      </c>
      <c r="DK64" s="844">
        <f>DK54-DK59-DK60-DK61-DK62-DK63</f>
        <v>239545.02139500005</v>
      </c>
      <c r="DL64" s="843"/>
      <c r="DM64" s="842">
        <v>0</v>
      </c>
      <c r="DN64" s="840">
        <f>DM64-DK64</f>
        <v>-239545.02139500005</v>
      </c>
      <c r="DO64" s="841">
        <f>DO54-DO59-DO60-DO61-DO62-DO63</f>
        <v>239908.61625000008</v>
      </c>
      <c r="DP64" s="844">
        <f>DP54-DP59-DP60-DP61-DP62-DP63</f>
        <v>236551.58395937481</v>
      </c>
      <c r="DQ64" s="843"/>
      <c r="DR64" s="842">
        <v>0</v>
      </c>
      <c r="DS64" s="840">
        <f>DR64-DP64</f>
        <v>-236551.58395937481</v>
      </c>
      <c r="DT64" s="848">
        <f>DA64+DF64+DK64+DP64</f>
        <v>1511791.3723556248</v>
      </c>
      <c r="DU64" s="847"/>
      <c r="DV64" s="846">
        <f>DR64+DM64+DH64+DC64</f>
        <v>0</v>
      </c>
      <c r="DW64" s="845">
        <f>DV64-DU64</f>
        <v>0</v>
      </c>
      <c r="DX64" s="841">
        <f>DX54-DX59-DX60-DX61-DX62-DX63</f>
        <v>260212.16249999998</v>
      </c>
      <c r="DY64" s="844">
        <f>DY54-DY59-DY60-DY61-DY62-DY63</f>
        <v>260753.77321250003</v>
      </c>
      <c r="DZ64" s="843"/>
      <c r="EA64" s="842">
        <v>0</v>
      </c>
      <c r="EB64" s="840">
        <f>EA64-DY64</f>
        <v>-260753.77321250003</v>
      </c>
      <c r="EC64" s="841">
        <f>EC54-EC59-EC60-EC61-EC62-EC63</f>
        <v>386514.47499999998</v>
      </c>
      <c r="ED64" s="844">
        <f>ED54-ED59-ED60-ED61-ED62-ED63</f>
        <v>389489.52743750007</v>
      </c>
      <c r="EE64" s="843"/>
      <c r="EF64" s="842">
        <v>0</v>
      </c>
      <c r="EG64" s="840">
        <f>EF64-ED64</f>
        <v>-389489.52743750007</v>
      </c>
      <c r="EH64" s="841">
        <f>EH54-EH59-EH60-EH61-EH62-EH63</f>
        <v>434395.12925</v>
      </c>
      <c r="EI64" s="844">
        <f>EI54-EI59-EI60-EI61-EI62-EI63</f>
        <v>437244.13532225008</v>
      </c>
      <c r="EJ64" s="843"/>
      <c r="EK64" s="842">
        <v>0</v>
      </c>
      <c r="EL64" s="840">
        <f>EK64-EI64</f>
        <v>-437244.13532225008</v>
      </c>
      <c r="EM64" s="841">
        <f>EM54-EM59-EM60-EM61-EM62-EM63</f>
        <v>509147.75524999993</v>
      </c>
      <c r="EN64" s="844">
        <f>EN54-EN59-EN60-EN61-EN62-EN63</f>
        <v>504827.10910850018</v>
      </c>
      <c r="EO64" s="843"/>
      <c r="EP64" s="842">
        <v>0</v>
      </c>
      <c r="EQ64" s="840">
        <f>EP64-EN64</f>
        <v>-504827.10910850018</v>
      </c>
      <c r="ER64" s="841">
        <f>ER54-ER59-ER60-ER61-ER62-ER63</f>
        <v>463295.25050000008</v>
      </c>
      <c r="ES64" s="844">
        <f>ES54-ES59-ES60-ES61-ES62-ES63</f>
        <v>458033.9428379999</v>
      </c>
      <c r="ET64" s="843"/>
      <c r="EU64" s="842">
        <v>0</v>
      </c>
      <c r="EV64" s="840">
        <f>EU64-ES64</f>
        <v>-458033.9428379999</v>
      </c>
      <c r="EW64" s="848">
        <f>ED64+EI64+EN64+ES64</f>
        <v>1789594.7147062502</v>
      </c>
      <c r="EX64" s="847"/>
      <c r="EY64" s="846">
        <f>EU64+EP64+EK64+EF64</f>
        <v>0</v>
      </c>
      <c r="EZ64" s="845">
        <f>EY64-EX64</f>
        <v>0</v>
      </c>
      <c r="FA64" s="841">
        <f>FA54-FA59-FA60-FA61-FA62-FA63</f>
        <v>348870.96975000005</v>
      </c>
      <c r="FB64" s="844">
        <f>FB54-FB59-FB60-FB61-FB62-FB63</f>
        <v>350437.69134799996</v>
      </c>
      <c r="FC64" s="843"/>
      <c r="FD64" s="842">
        <v>0</v>
      </c>
      <c r="FE64" s="840">
        <f>FD64-FB64</f>
        <v>-350437.69134799996</v>
      </c>
      <c r="FF64" s="841">
        <f>FF54-FF59-FF60-FF61-FF62-FF63</f>
        <v>388556.87900000007</v>
      </c>
      <c r="FG64" s="844">
        <f>FG54-FG59-FG60-FG61-FG62-FG63</f>
        <v>384818.46522675001</v>
      </c>
      <c r="FH64" s="843"/>
      <c r="FI64" s="842">
        <v>0</v>
      </c>
      <c r="FJ64" s="840">
        <f>FI64-FG64</f>
        <v>-384818.46522675001</v>
      </c>
      <c r="FK64" s="841">
        <f>FK54-FK59-FK60-FK61-FK62-FK63</f>
        <v>320311.13325000007</v>
      </c>
      <c r="FL64" s="844">
        <f>FL54-FL59-FL60-FL61-FL62-FL63</f>
        <v>315970.04260000016</v>
      </c>
      <c r="FM64" s="843"/>
      <c r="FN64" s="842">
        <v>0</v>
      </c>
      <c r="FO64" s="840">
        <f>FN64-FL64</f>
        <v>-315970.04260000016</v>
      </c>
      <c r="FP64" s="841">
        <f>FP54-FP59-FP60-FP61-FP62-FP63</f>
        <v>363116.88</v>
      </c>
      <c r="FQ64" s="844">
        <f>FQ54-FQ59-FQ60-FQ61-FQ62-FQ63</f>
        <v>360378.8303415</v>
      </c>
      <c r="FR64" s="843"/>
      <c r="FS64" s="842">
        <v>0</v>
      </c>
      <c r="FT64" s="840">
        <f>FS64-FQ64</f>
        <v>-360378.8303415</v>
      </c>
      <c r="FU64" s="848">
        <f>FB64+FG64+FL64+FQ64</f>
        <v>1411605.0295162501</v>
      </c>
      <c r="FV64" s="847"/>
      <c r="FW64" s="846">
        <f>FS64+FN64+FI64+FD64</f>
        <v>0</v>
      </c>
      <c r="FX64" s="845">
        <f>FW64-FV64</f>
        <v>0</v>
      </c>
      <c r="FY64" s="841">
        <f>FY54-FY59-FY60-FY61-FY62-FY63</f>
        <v>320500.21175000013</v>
      </c>
      <c r="FZ64" s="844">
        <f>FZ54-FZ59-FZ60-FZ61-FZ62-FZ63</f>
        <v>316171.81852824986</v>
      </c>
      <c r="GA64" s="843"/>
      <c r="GB64" s="842">
        <v>0</v>
      </c>
      <c r="GC64" s="840">
        <f>GB64-FZ64</f>
        <v>-316171.81852824986</v>
      </c>
      <c r="GD64" s="841">
        <f>GD54-GD59-GD60-GD61-GD62-GD63</f>
        <v>278316.424</v>
      </c>
      <c r="GE64" s="844">
        <f>GE54-GE59-GE60-GE61-GE62-GE63</f>
        <v>281870.0112823752</v>
      </c>
      <c r="GF64" s="843"/>
      <c r="GG64" s="842">
        <v>0</v>
      </c>
      <c r="GH64" s="840">
        <f>GG64-GE64</f>
        <v>-281870.0112823752</v>
      </c>
      <c r="GI64" s="841">
        <f>GI54-GI59-GI60-GI61-GI62-GI63</f>
        <v>296985.8280000001</v>
      </c>
      <c r="GJ64" s="844">
        <f>GJ54-GJ59-GJ60-GJ61-GJ62-GJ63</f>
        <v>300642.95111250004</v>
      </c>
      <c r="GK64" s="843"/>
      <c r="GL64" s="842">
        <v>0</v>
      </c>
      <c r="GM64" s="840">
        <f>GL64-GJ64</f>
        <v>-300642.95111250004</v>
      </c>
      <c r="GN64" s="841">
        <f>GN54-GN59-GN60-GN61-GN62-GN63</f>
        <v>272788.34625000006</v>
      </c>
      <c r="GO64" s="844">
        <f>GO54-GO59-GO60-GO61-GO62-GO63</f>
        <v>274513.0188815</v>
      </c>
      <c r="GP64" s="843"/>
      <c r="GQ64" s="842">
        <v>0</v>
      </c>
      <c r="GR64" s="840">
        <f>GQ64-GO64</f>
        <v>-274513.0188815</v>
      </c>
      <c r="GS64" s="848">
        <f>FZ64+GE64+GJ64+GO64</f>
        <v>1173197.7998046251</v>
      </c>
      <c r="GT64" s="847"/>
      <c r="GU64" s="846">
        <f>GQ64+GL64+GG64+GB64</f>
        <v>0</v>
      </c>
      <c r="GV64" s="845">
        <f>GU64-GT64</f>
        <v>0</v>
      </c>
      <c r="GW64" s="841">
        <f>GW54-GW59-GW60-GW61-GW62-GW63</f>
        <v>278074</v>
      </c>
      <c r="GX64" s="844">
        <f>GX54-GX59-GX60-GX61-GX62-GX63</f>
        <v>278716.52500000002</v>
      </c>
      <c r="GY64" s="843"/>
      <c r="GZ64" s="842">
        <v>0</v>
      </c>
      <c r="HA64" s="840">
        <f>GZ64-GX64</f>
        <v>-278716.52500000002</v>
      </c>
      <c r="HB64" s="841">
        <f>HB54-HB59-HB60-HB61-HB62-HB63</f>
        <v>276478.35399999993</v>
      </c>
      <c r="HC64" s="844">
        <f>HC54-HC59-HC60-HC61-HC62-HC63</f>
        <v>272531.99567500001</v>
      </c>
      <c r="HD64" s="843"/>
      <c r="HE64" s="842">
        <v>0</v>
      </c>
      <c r="HF64" s="840">
        <f>HE64-HC64</f>
        <v>-272531.99567500001</v>
      </c>
      <c r="HG64" s="841">
        <f>HG54-HG59-HG60-HG61-HG62-HG63</f>
        <v>220668.77875000017</v>
      </c>
      <c r="HH64" s="844">
        <f>HH54-HH59-HH60-HH61-HH62-HH63</f>
        <v>222338.93831250013</v>
      </c>
      <c r="HI64" s="843"/>
      <c r="HJ64" s="842">
        <v>0</v>
      </c>
      <c r="HK64" s="840">
        <f>HJ64-HH64</f>
        <v>-222338.93831250013</v>
      </c>
      <c r="HL64" s="841">
        <f>HL54-HL59-HL60-HL61-HL62-HL63</f>
        <v>209513.58275000006</v>
      </c>
      <c r="HM64" s="844">
        <f>HM54-HM59-HM60-HM61-HM62-HM63</f>
        <v>212478.88892499998</v>
      </c>
      <c r="HN64" s="843"/>
      <c r="HO64" s="842">
        <v>0</v>
      </c>
      <c r="HP64" s="840">
        <f>HO64-HM64</f>
        <v>-212478.88892499998</v>
      </c>
      <c r="HQ64" s="841">
        <f>HQ54-HQ59-HQ60-HQ61-HQ62-HQ63</f>
        <v>257611.98699999996</v>
      </c>
      <c r="HR64" s="844">
        <f>HR54-HR59-HR60-HR61-HR62-HR63</f>
        <v>260047.30313000001</v>
      </c>
      <c r="HS64" s="843"/>
      <c r="HT64" s="842">
        <v>0</v>
      </c>
      <c r="HU64" s="840">
        <f>HT64-HR64</f>
        <v>-260047.30313000001</v>
      </c>
      <c r="HV64" s="848">
        <f>HC64+HH64+HM64+HR64</f>
        <v>967397.12604250014</v>
      </c>
      <c r="HW64" s="847"/>
      <c r="HX64" s="846">
        <f>HT64+HO64+HJ64+HE64</f>
        <v>0</v>
      </c>
      <c r="HY64" s="845">
        <f>HX64-HW64</f>
        <v>0</v>
      </c>
      <c r="HZ64" s="841">
        <f>HZ54-HZ59-HZ60-HZ61-HZ62-HZ63</f>
        <v>190244.15725000005</v>
      </c>
      <c r="IA64" s="844">
        <f>IA54-IA59-IA60-IA61-IA62-IA63</f>
        <v>193833.27108999994</v>
      </c>
      <c r="IB64" s="843"/>
      <c r="IC64" s="842">
        <v>0</v>
      </c>
      <c r="ID64" s="840">
        <f>IC64-IA64</f>
        <v>-193833.27108999994</v>
      </c>
      <c r="IE64" s="841">
        <f>IE54-IE59-IE60-IE61-IE62-IE63</f>
        <v>264605.03800000006</v>
      </c>
      <c r="IF64" s="844">
        <f>IF54-IF59-IF60-IF61-IF62-IF63</f>
        <v>268918.96824724996</v>
      </c>
      <c r="IG64" s="843"/>
      <c r="IH64" s="842">
        <v>0</v>
      </c>
      <c r="II64" s="840">
        <f>IH64-IF64</f>
        <v>-268918.96824724996</v>
      </c>
      <c r="IJ64" s="841">
        <f>IJ54-IJ59-IJ60-IJ61-IJ62-IJ63</f>
        <v>332377.18725000019</v>
      </c>
      <c r="IK64" s="844">
        <f>IK54-IK59-IK60-IK61-IK62-IK63</f>
        <v>336964.90564500005</v>
      </c>
      <c r="IL64" s="843"/>
      <c r="IM64" s="842">
        <v>0</v>
      </c>
      <c r="IN64" s="840">
        <f>IM64-IK64</f>
        <v>-336964.90564500005</v>
      </c>
      <c r="IO64" s="841">
        <f>IO54-IO59-IO60-IO61-IO62-IO63</f>
        <v>511887.80099999998</v>
      </c>
      <c r="IP64" s="844">
        <f>IP54-IP59-IP60-IP61-IP62-IP63</f>
        <v>517319.06466250005</v>
      </c>
      <c r="IQ64" s="843"/>
      <c r="IR64" s="842">
        <v>0</v>
      </c>
      <c r="IS64" s="840">
        <f>IR64-IP64</f>
        <v>-517319.06466250005</v>
      </c>
      <c r="IT64" s="848">
        <f>IA64+IF64+IK64+IP64</f>
        <v>1317036.20964475</v>
      </c>
      <c r="IU64" s="847"/>
      <c r="IV64" s="846">
        <f>IR64+IM64+IH64+IC64</f>
        <v>0</v>
      </c>
      <c r="IW64" s="845">
        <f>IV64-IU64</f>
        <v>0</v>
      </c>
      <c r="IX64" s="841">
        <f>IX54-IX59-IX60-IX61-IX62-IX63</f>
        <v>215143.42775000015</v>
      </c>
      <c r="IY64" s="844">
        <f>IY54-IY59-IY60-IY61-IY62-IY63</f>
        <v>217337.19416249986</v>
      </c>
      <c r="IZ64" s="843"/>
      <c r="JA64" s="842">
        <v>0</v>
      </c>
      <c r="JB64" s="840">
        <f>JA64-IY64</f>
        <v>-217337.19416249986</v>
      </c>
      <c r="JC64" s="841">
        <f>JC54-JC59-JC60-JC61-JC62-JC63</f>
        <v>430301.50400000019</v>
      </c>
      <c r="JD64" s="844">
        <f>JD54-JD59-JD60-JD61-JD62-JD63</f>
        <v>432508.92678900005</v>
      </c>
      <c r="JE64" s="843"/>
      <c r="JF64" s="842">
        <v>0</v>
      </c>
      <c r="JG64" s="840">
        <f>JF64-JD64</f>
        <v>-432508.92678900005</v>
      </c>
      <c r="JH64" s="841">
        <f>JH54-JH59-JH60-JH61-JH62-JH63</f>
        <v>640635.83599999989</v>
      </c>
      <c r="JI64" s="844">
        <f>JI54-JI59-JI60-JI61-JI62-JI63</f>
        <v>645294.398025</v>
      </c>
      <c r="JJ64" s="843"/>
      <c r="JK64" s="842">
        <v>0</v>
      </c>
      <c r="JL64" s="840">
        <f>JK64-JI64</f>
        <v>-645294.398025</v>
      </c>
      <c r="JM64" s="841">
        <f>JM54-JM59-JM60-JM61-JM62-JM63</f>
        <v>707898.11225000024</v>
      </c>
      <c r="JN64" s="844">
        <f>JN54-JN59-JN60-JN61-JN62-JN63</f>
        <v>701924.70195000013</v>
      </c>
      <c r="JO64" s="843"/>
      <c r="JP64" s="842">
        <v>0</v>
      </c>
      <c r="JQ64" s="840">
        <f>JP64-JN64</f>
        <v>-701924.70195000013</v>
      </c>
      <c r="JR64" s="848">
        <f>IY64+JD64+JI64+JN64</f>
        <v>1997065.2209264999</v>
      </c>
      <c r="JS64" s="847"/>
      <c r="JT64" s="846">
        <f>JP64+JK64+JF64+JA64</f>
        <v>0</v>
      </c>
      <c r="JU64" s="845">
        <f>JT64-JS64</f>
        <v>0</v>
      </c>
      <c r="JV64" s="841">
        <f>JV54-JV59-JV60-JV61-JV62-JV63</f>
        <v>1147464.2132500003</v>
      </c>
      <c r="JW64" s="844">
        <f>JW54-JW59-JW60-JW61-JW62-JW63</f>
        <v>1145058.2265629999</v>
      </c>
      <c r="JX64" s="843"/>
      <c r="JY64" s="842">
        <v>0</v>
      </c>
      <c r="JZ64" s="840">
        <f>JY64-JW64</f>
        <v>-1145058.2265629999</v>
      </c>
      <c r="KA64" s="841">
        <f>KA54-KA59-KA60-KA61-KA62-KA63</f>
        <v>1568379.0355000002</v>
      </c>
      <c r="KB64" s="844">
        <f>KB54-KB59-KB60-KB61-KB62-KB63</f>
        <v>1564215.5478535001</v>
      </c>
      <c r="KC64" s="843"/>
      <c r="KD64" s="842">
        <v>0</v>
      </c>
      <c r="KE64" s="840">
        <f>KD64-KB64</f>
        <v>-1564215.5478535001</v>
      </c>
      <c r="KF64" s="841">
        <f>KF54-KF59-KF60-KF61-KF62-KF63</f>
        <v>2252076.3192499997</v>
      </c>
      <c r="KG64" s="844">
        <f>KG54-KG59-KG60-KG61-KG62-KG63</f>
        <v>2238775.4688706244</v>
      </c>
      <c r="KH64" s="843"/>
      <c r="KI64" s="842">
        <v>0</v>
      </c>
      <c r="KJ64" s="840">
        <f>KI64-KG64</f>
        <v>-2238775.4688706244</v>
      </c>
      <c r="KK64" s="841">
        <f>KK54-KK59-KK60-KK61-KK62-KK63</f>
        <v>1889770.7555</v>
      </c>
      <c r="KL64" s="844">
        <f>KL54-KL59-KL60-KL61-KL62-KL63</f>
        <v>1878577.97950625</v>
      </c>
      <c r="KM64" s="843"/>
      <c r="KN64" s="842">
        <v>0</v>
      </c>
      <c r="KO64" s="840">
        <f>KN64-KL64</f>
        <v>-1878577.97950625</v>
      </c>
      <c r="KP64" s="841">
        <f>KP54-KP59-KP60-KP61-KP62-KP63</f>
        <v>284643.76775</v>
      </c>
      <c r="KQ64" s="844">
        <f>KQ54-KQ59-KQ60-KQ61-KQ62-KQ63</f>
        <v>280632.69150224992</v>
      </c>
      <c r="KR64" s="843"/>
      <c r="KS64" s="842">
        <v>0</v>
      </c>
      <c r="KT64" s="840">
        <f>KS64-KQ64</f>
        <v>-280632.69150224992</v>
      </c>
      <c r="KU64" s="841">
        <f>KU54-KU59-KU60-KU61-KU62-KU63</f>
        <v>9515259.9142956249</v>
      </c>
      <c r="KV64" s="841">
        <f>KV54-KV59-KV60-KV61-KV62-KV63</f>
        <v>-602000</v>
      </c>
      <c r="KW64" s="841">
        <f>KW54-KW59-KW60-KW61-KW62-KW63</f>
        <v>-602000</v>
      </c>
      <c r="KX64" s="840">
        <f>KW64-KU64</f>
        <v>-10117259.914295625</v>
      </c>
      <c r="KY64" s="839">
        <f>KF64+KK64+KP64+KU64</f>
        <v>13941750.756795624</v>
      </c>
      <c r="KZ64" s="838">
        <f>KG64+KL64+KQ64+KV64</f>
        <v>3795986.1398791242</v>
      </c>
      <c r="LA64" s="837">
        <f>KZ64-KY64</f>
        <v>-10145764.6169165</v>
      </c>
      <c r="LB64" s="493">
        <f>KZ64/KY64</f>
        <v>0.27227470969016193</v>
      </c>
    </row>
    <row r="65" spans="1:314" ht="15.75" thickBot="1">
      <c r="A65" s="1495"/>
      <c r="C65" s="1495"/>
      <c r="D65" s="1495"/>
      <c r="E65" s="1495"/>
      <c r="F65" s="1495"/>
      <c r="G65" s="1495"/>
      <c r="H65" s="1495"/>
      <c r="I65" s="1495"/>
      <c r="J65" s="1495"/>
      <c r="K65" s="1495"/>
      <c r="L65" s="1495"/>
      <c r="M65" s="1495"/>
      <c r="N65" s="1495"/>
      <c r="O65" s="1495"/>
      <c r="P65" s="1495"/>
      <c r="Q65" s="1495"/>
      <c r="R65" s="1495"/>
      <c r="S65" s="1495"/>
      <c r="T65" s="1495"/>
      <c r="U65" s="1495"/>
      <c r="V65" s="1495"/>
      <c r="W65" s="1495"/>
      <c r="X65" s="1495"/>
      <c r="Y65" s="1495"/>
      <c r="Z65" s="1495"/>
      <c r="AA65" s="1495"/>
      <c r="AB65" s="1495"/>
      <c r="AC65" s="1495"/>
      <c r="AD65" s="1495"/>
      <c r="AE65" s="1495"/>
      <c r="AF65" s="1495"/>
      <c r="AG65" s="1495"/>
      <c r="AH65" s="1495"/>
      <c r="AI65" s="1495"/>
      <c r="AJ65" s="1495"/>
      <c r="AK65" s="1495"/>
      <c r="AL65" s="1495"/>
      <c r="AM65" s="1495"/>
      <c r="AN65" s="1495"/>
      <c r="AO65" s="1495"/>
      <c r="AP65" s="1495"/>
      <c r="AQ65" s="1495"/>
      <c r="AR65" s="1495"/>
      <c r="AS65" s="1495"/>
      <c r="AT65" s="1495"/>
      <c r="AU65" s="1495"/>
      <c r="AV65" s="1495"/>
      <c r="AW65" s="1495"/>
      <c r="AX65" s="1495"/>
      <c r="AY65" s="1495"/>
      <c r="AZ65" s="1495"/>
      <c r="BA65" s="1495"/>
      <c r="BB65" s="1495"/>
      <c r="BC65" s="1495"/>
      <c r="BD65" s="1495"/>
      <c r="BE65" s="1495"/>
      <c r="BF65" s="1495"/>
      <c r="BG65" s="1495"/>
      <c r="BH65" s="1495"/>
      <c r="BI65" s="1495"/>
      <c r="BJ65" s="1495"/>
      <c r="BK65" s="1495"/>
      <c r="BL65" s="1495"/>
      <c r="BM65" s="1495"/>
      <c r="BN65" s="384"/>
      <c r="BO65" s="384"/>
      <c r="BP65"/>
      <c r="BQ65" s="384"/>
      <c r="BR65" s="462"/>
      <c r="BS65" s="384"/>
      <c r="BT65" s="384"/>
      <c r="BV65" s="384"/>
      <c r="BW65" s="462"/>
      <c r="BX65" s="462"/>
      <c r="BY65" s="462"/>
      <c r="BZ65" s="462"/>
      <c r="CA65" s="462"/>
      <c r="CB65" s="384"/>
      <c r="CC65" s="384"/>
      <c r="CE65" s="384"/>
      <c r="CF65" s="462"/>
      <c r="CG65" s="384"/>
      <c r="CH65" s="384"/>
      <c r="CJ65" s="384"/>
      <c r="CK65" s="462"/>
      <c r="CL65" s="384"/>
      <c r="CM65" s="384"/>
      <c r="CO65" s="384"/>
      <c r="CP65" s="462"/>
      <c r="CQ65" s="384"/>
      <c r="CR65" s="384"/>
      <c r="CT65" s="384"/>
      <c r="CU65" s="462"/>
      <c r="CV65" s="367"/>
      <c r="CW65" s="1495"/>
      <c r="CX65" s="367"/>
      <c r="CY65" s="367"/>
      <c r="CZ65" s="488"/>
      <c r="DA65" s="488"/>
      <c r="DC65" s="384"/>
      <c r="DD65" s="462"/>
      <c r="DE65" s="488"/>
      <c r="DF65" s="488"/>
      <c r="DH65" s="384"/>
      <c r="DI65" s="462"/>
      <c r="DJ65" s="488"/>
      <c r="DK65" s="488"/>
      <c r="DM65" s="384"/>
      <c r="DN65" s="462"/>
      <c r="DO65" s="488"/>
      <c r="DP65" s="488"/>
      <c r="DR65" s="384"/>
      <c r="DS65" s="462"/>
      <c r="DT65" s="367"/>
      <c r="DU65" s="1495"/>
      <c r="DV65" s="367"/>
      <c r="DW65" s="367"/>
      <c r="DX65" s="488"/>
      <c r="DY65" s="488"/>
      <c r="EA65" s="384"/>
      <c r="EB65" s="462"/>
      <c r="EC65" s="488"/>
      <c r="ED65" s="488"/>
      <c r="EF65" s="384"/>
      <c r="EG65" s="462"/>
      <c r="EH65" s="488"/>
      <c r="EI65" s="488"/>
      <c r="EK65" s="384"/>
      <c r="EL65" s="462"/>
      <c r="EM65" s="488"/>
      <c r="EN65" s="488"/>
      <c r="EP65" s="384"/>
      <c r="EQ65" s="462"/>
      <c r="ER65" s="488"/>
      <c r="ES65" s="488"/>
      <c r="EU65" s="384"/>
      <c r="EV65" s="462"/>
      <c r="EW65" s="367"/>
      <c r="EX65" s="1495"/>
      <c r="EY65" s="367"/>
      <c r="EZ65" s="367"/>
      <c r="FA65" s="488"/>
      <c r="FB65" s="488"/>
      <c r="FD65" s="384"/>
      <c r="FE65" s="462"/>
      <c r="FF65" s="488"/>
      <c r="FG65" s="488"/>
      <c r="FI65" s="384"/>
      <c r="FJ65" s="462"/>
      <c r="FK65" s="488"/>
      <c r="FL65" s="488"/>
      <c r="FN65" s="384"/>
      <c r="FO65" s="462"/>
      <c r="FP65" s="488"/>
      <c r="FQ65" s="488"/>
      <c r="FS65" s="384"/>
      <c r="FT65" s="462"/>
      <c r="FU65" s="367"/>
      <c r="FV65" s="1495"/>
      <c r="FW65" s="367"/>
      <c r="FX65" s="367"/>
      <c r="FY65" s="1495"/>
      <c r="FZ65" s="1495"/>
      <c r="GA65" s="1495"/>
      <c r="GB65" s="1495"/>
      <c r="GC65" s="1495"/>
      <c r="GD65" s="1495"/>
      <c r="GE65" s="1495"/>
      <c r="GF65" s="1495"/>
      <c r="GG65" s="1495"/>
      <c r="GH65" s="1495"/>
      <c r="GI65" s="1495"/>
      <c r="GJ65" s="1495"/>
      <c r="GK65" s="1495"/>
      <c r="GL65" s="1495"/>
      <c r="GM65" s="1495"/>
      <c r="GN65" s="1495"/>
      <c r="GO65" s="1495"/>
      <c r="GP65" s="1495"/>
      <c r="GQ65" s="1495"/>
      <c r="GR65" s="1495"/>
      <c r="GS65" s="1495"/>
      <c r="GT65" s="1495"/>
      <c r="GU65" s="1495"/>
      <c r="GV65" s="1495"/>
      <c r="GW65" s="1495"/>
      <c r="GX65" s="1495"/>
      <c r="GY65" s="408"/>
      <c r="GZ65" s="363"/>
      <c r="HA65" s="408"/>
      <c r="HB65" s="408"/>
      <c r="HC65" s="408"/>
      <c r="HD65" s="408"/>
      <c r="HE65" s="408"/>
      <c r="HF65" s="408"/>
      <c r="HG65" s="1495"/>
      <c r="HH65" s="1495"/>
      <c r="HI65" s="1495"/>
      <c r="HJ65" s="1495"/>
      <c r="HK65" s="1495"/>
      <c r="HL65" s="1495"/>
      <c r="HM65" s="1495"/>
      <c r="HN65" s="1495"/>
      <c r="HO65" s="1495"/>
      <c r="HP65" s="1495"/>
      <c r="HQ65" s="1495"/>
      <c r="HR65" s="1495"/>
      <c r="HS65" s="1495"/>
      <c r="HT65" s="1495"/>
      <c r="HU65" s="1495"/>
      <c r="HV65" s="1495"/>
      <c r="HW65" s="1495"/>
      <c r="HX65" s="1495"/>
      <c r="HY65" s="1495"/>
      <c r="HZ65" s="1495"/>
      <c r="IA65" s="1495"/>
      <c r="IB65" s="1495"/>
      <c r="IC65" s="1495"/>
      <c r="ID65" s="1495"/>
      <c r="IE65" s="1495"/>
      <c r="IF65" s="1495"/>
      <c r="IG65" s="1495"/>
      <c r="IH65" s="1495"/>
      <c r="II65" s="1495"/>
      <c r="IJ65" s="1495"/>
      <c r="IK65" s="1495"/>
      <c r="IL65" s="1495"/>
      <c r="IM65" s="1495"/>
      <c r="IN65" s="1495"/>
      <c r="IO65" s="1495"/>
      <c r="IP65" s="1495"/>
      <c r="IQ65" s="1495"/>
      <c r="IR65" s="1495"/>
      <c r="IS65" s="1495"/>
      <c r="IT65" s="1495"/>
      <c r="IU65" s="1495"/>
      <c r="IV65" s="1495"/>
      <c r="IW65" s="1495"/>
      <c r="IX65" s="1495"/>
      <c r="IY65" s="1495"/>
      <c r="IZ65" s="1495"/>
      <c r="JA65" s="1495"/>
      <c r="JB65" s="1495"/>
      <c r="JC65" s="1495"/>
      <c r="JD65" s="1495"/>
      <c r="JE65" s="1495"/>
      <c r="JF65" s="1495"/>
      <c r="JG65" s="1495"/>
      <c r="JH65" s="1495"/>
      <c r="JI65" s="1495"/>
      <c r="JJ65" s="1495"/>
      <c r="JK65" s="1495"/>
      <c r="JL65" s="1495"/>
      <c r="JM65" s="1495"/>
      <c r="JN65" s="1495"/>
      <c r="JO65" s="1495"/>
      <c r="JP65" s="1495"/>
      <c r="JQ65" s="1495"/>
      <c r="JR65" s="1495"/>
      <c r="JS65" s="1495"/>
      <c r="JT65" s="1495"/>
      <c r="JU65" s="1495"/>
      <c r="JV65" s="1495"/>
      <c r="JW65" s="1495"/>
      <c r="JX65" s="1495"/>
      <c r="JY65" s="1495"/>
      <c r="JZ65" s="1495"/>
      <c r="KA65" s="1495"/>
      <c r="KB65" s="1495"/>
      <c r="KC65" s="1495"/>
      <c r="KD65" s="1495"/>
      <c r="KE65" s="1495"/>
      <c r="KF65" s="1495"/>
      <c r="KG65" s="1495"/>
      <c r="KH65" s="1495"/>
      <c r="KI65" s="1495"/>
      <c r="KJ65" s="1495"/>
      <c r="KK65" s="1495"/>
      <c r="KL65" s="1495"/>
      <c r="KM65" s="1495"/>
      <c r="KN65" s="1495"/>
      <c r="KO65" s="1495"/>
      <c r="KP65" s="1495"/>
      <c r="KQ65" s="1495"/>
      <c r="KR65" s="1495"/>
      <c r="KS65" s="1495"/>
      <c r="KT65" s="1495"/>
      <c r="KU65" s="1495"/>
      <c r="KV65" s="1495"/>
      <c r="KW65" s="1495"/>
      <c r="KX65" s="1495"/>
      <c r="KY65" s="1495"/>
      <c r="KZ65" s="1495"/>
      <c r="LA65" s="1495"/>
      <c r="LB65" s="1495"/>
    </row>
    <row r="66" spans="1:314">
      <c r="A66" s="1495"/>
      <c r="B66" s="1640" t="s">
        <v>599</v>
      </c>
      <c r="C66" s="1495"/>
      <c r="D66" s="1495"/>
      <c r="E66" s="1495"/>
      <c r="F66" s="1495"/>
      <c r="G66" s="1495"/>
      <c r="H66" s="1495"/>
      <c r="I66" s="1495"/>
      <c r="J66" s="1495"/>
      <c r="K66" s="1495"/>
      <c r="L66" s="1495"/>
      <c r="M66" s="1495"/>
      <c r="N66" s="1495"/>
      <c r="O66" s="1495"/>
      <c r="P66" s="1495"/>
      <c r="Q66" s="1495"/>
      <c r="R66" s="1495"/>
      <c r="S66" s="1495"/>
      <c r="T66" s="1495"/>
      <c r="U66" s="1495"/>
      <c r="V66" s="1495"/>
      <c r="W66" s="1495"/>
      <c r="X66" s="1495"/>
      <c r="Y66" s="1495"/>
      <c r="Z66" s="1495"/>
      <c r="AA66" s="1495"/>
      <c r="AB66" s="1495"/>
      <c r="AC66" s="1495"/>
      <c r="AD66" s="1495"/>
      <c r="AE66" s="1495"/>
      <c r="AF66" s="1495"/>
      <c r="AG66" s="1495"/>
      <c r="AH66" s="1495"/>
      <c r="AI66" s="1495"/>
      <c r="AJ66" s="1495"/>
      <c r="AK66" s="1495"/>
      <c r="AL66" s="1495"/>
      <c r="AM66" s="1495"/>
      <c r="AN66" s="1495"/>
      <c r="AO66" s="1495"/>
      <c r="AP66" s="1495"/>
      <c r="AQ66" s="1495"/>
      <c r="AR66" s="1495"/>
      <c r="AS66" s="1495"/>
      <c r="AT66" s="1495"/>
      <c r="AU66" s="1495"/>
      <c r="AV66" s="1495"/>
      <c r="AW66" s="1495"/>
      <c r="AX66" s="1495"/>
      <c r="AY66" s="1495"/>
      <c r="AZ66" s="1495"/>
      <c r="BA66" s="1495"/>
      <c r="BB66" s="1495"/>
      <c r="BC66" s="1495"/>
      <c r="BD66" s="1495"/>
      <c r="BE66" s="1495"/>
      <c r="BF66" s="1495"/>
      <c r="BG66" s="1495"/>
      <c r="BH66" s="1495"/>
      <c r="BI66" s="1495"/>
      <c r="BJ66" s="1495"/>
      <c r="BK66" s="1495"/>
      <c r="BL66" s="1495"/>
      <c r="BM66" s="1495"/>
      <c r="BN66" s="835" t="s">
        <v>600</v>
      </c>
      <c r="BO66" s="833" t="s">
        <v>63</v>
      </c>
      <c r="BP66" s="834"/>
      <c r="BQ66" s="833" t="s">
        <v>279</v>
      </c>
      <c r="BR66" s="832" t="s">
        <v>8</v>
      </c>
      <c r="BS66" s="835" t="s">
        <v>600</v>
      </c>
      <c r="BT66" s="833" t="s">
        <v>63</v>
      </c>
      <c r="BU66" s="834"/>
      <c r="BV66" s="833" t="s">
        <v>279</v>
      </c>
      <c r="BW66" s="832" t="s">
        <v>8</v>
      </c>
      <c r="BX66" s="836"/>
      <c r="BY66" s="836"/>
      <c r="BZ66" s="836"/>
      <c r="CA66" s="836"/>
      <c r="CB66" s="835" t="s">
        <v>600</v>
      </c>
      <c r="CC66" s="833" t="s">
        <v>63</v>
      </c>
      <c r="CD66" s="834"/>
      <c r="CE66" s="833" t="s">
        <v>279</v>
      </c>
      <c r="CF66" s="832" t="s">
        <v>8</v>
      </c>
      <c r="CG66" s="835" t="s">
        <v>600</v>
      </c>
      <c r="CH66" s="833" t="s">
        <v>63</v>
      </c>
      <c r="CI66" s="834"/>
      <c r="CJ66" s="833" t="s">
        <v>279</v>
      </c>
      <c r="CK66" s="832" t="s">
        <v>8</v>
      </c>
      <c r="CL66" s="835" t="s">
        <v>600</v>
      </c>
      <c r="CM66" s="833" t="s">
        <v>63</v>
      </c>
      <c r="CN66" s="834"/>
      <c r="CO66" s="833" t="s">
        <v>279</v>
      </c>
      <c r="CP66" s="832" t="s">
        <v>8</v>
      </c>
      <c r="CQ66" s="835" t="s">
        <v>600</v>
      </c>
      <c r="CR66" s="833" t="s">
        <v>63</v>
      </c>
      <c r="CS66" s="834"/>
      <c r="CT66" s="833" t="s">
        <v>279</v>
      </c>
      <c r="CU66" s="832" t="s">
        <v>8</v>
      </c>
      <c r="CV66" s="835" t="s">
        <v>601</v>
      </c>
      <c r="CW66" s="833" t="s">
        <v>63</v>
      </c>
      <c r="CX66" s="833" t="s">
        <v>279</v>
      </c>
      <c r="CY66" s="832" t="s">
        <v>8</v>
      </c>
      <c r="CZ66" s="835" t="s">
        <v>600</v>
      </c>
      <c r="DA66" s="833" t="s">
        <v>63</v>
      </c>
      <c r="DB66" s="834"/>
      <c r="DC66" s="833" t="s">
        <v>279</v>
      </c>
      <c r="DD66" s="832" t="s">
        <v>8</v>
      </c>
      <c r="DE66" s="835" t="s">
        <v>600</v>
      </c>
      <c r="DF66" s="833" t="s">
        <v>63</v>
      </c>
      <c r="DG66" s="834"/>
      <c r="DH66" s="833" t="s">
        <v>279</v>
      </c>
      <c r="DI66" s="832" t="s">
        <v>8</v>
      </c>
      <c r="DJ66" s="835" t="s">
        <v>600</v>
      </c>
      <c r="DK66" s="833" t="s">
        <v>63</v>
      </c>
      <c r="DL66" s="834"/>
      <c r="DM66" s="833" t="s">
        <v>279</v>
      </c>
      <c r="DN66" s="832" t="s">
        <v>8</v>
      </c>
      <c r="DO66" s="835" t="s">
        <v>600</v>
      </c>
      <c r="DP66" s="833" t="s">
        <v>63</v>
      </c>
      <c r="DQ66" s="834"/>
      <c r="DR66" s="833" t="s">
        <v>279</v>
      </c>
      <c r="DS66" s="832" t="s">
        <v>8</v>
      </c>
      <c r="DT66" s="835" t="s">
        <v>601</v>
      </c>
      <c r="DU66" s="833" t="s">
        <v>63</v>
      </c>
      <c r="DV66" s="833" t="s">
        <v>279</v>
      </c>
      <c r="DW66" s="832" t="s">
        <v>8</v>
      </c>
      <c r="DX66" s="835" t="s">
        <v>600</v>
      </c>
      <c r="DY66" s="833" t="s">
        <v>63</v>
      </c>
      <c r="DZ66" s="834"/>
      <c r="EA66" s="833" t="s">
        <v>279</v>
      </c>
      <c r="EB66" s="832" t="s">
        <v>8</v>
      </c>
      <c r="EC66" s="835" t="s">
        <v>600</v>
      </c>
      <c r="ED66" s="833" t="s">
        <v>63</v>
      </c>
      <c r="EE66" s="834"/>
      <c r="EF66" s="833" t="s">
        <v>279</v>
      </c>
      <c r="EG66" s="832" t="s">
        <v>8</v>
      </c>
      <c r="EH66" s="835" t="s">
        <v>600</v>
      </c>
      <c r="EI66" s="833" t="s">
        <v>63</v>
      </c>
      <c r="EJ66" s="834"/>
      <c r="EK66" s="833" t="s">
        <v>279</v>
      </c>
      <c r="EL66" s="832" t="s">
        <v>8</v>
      </c>
      <c r="EM66" s="835" t="s">
        <v>600</v>
      </c>
      <c r="EN66" s="833" t="s">
        <v>63</v>
      </c>
      <c r="EO66" s="834"/>
      <c r="EP66" s="833" t="s">
        <v>279</v>
      </c>
      <c r="EQ66" s="832" t="s">
        <v>8</v>
      </c>
      <c r="ER66" s="835" t="s">
        <v>600</v>
      </c>
      <c r="ES66" s="833" t="s">
        <v>63</v>
      </c>
      <c r="ET66" s="834"/>
      <c r="EU66" s="833" t="s">
        <v>279</v>
      </c>
      <c r="EV66" s="832" t="s">
        <v>8</v>
      </c>
      <c r="EW66" s="367"/>
      <c r="EX66" s="1495"/>
      <c r="EY66" s="367"/>
      <c r="EZ66" s="367"/>
      <c r="FA66" s="488"/>
      <c r="FB66" s="488"/>
      <c r="FD66" s="384"/>
      <c r="FE66" s="462"/>
      <c r="FF66" s="488"/>
      <c r="FG66" s="488"/>
      <c r="FI66" s="384"/>
      <c r="FJ66" s="462"/>
      <c r="FK66" s="488"/>
      <c r="FL66" s="488"/>
      <c r="FN66" s="384"/>
      <c r="FO66" s="462"/>
      <c r="FP66" s="488"/>
      <c r="FQ66" s="488"/>
      <c r="FS66" s="384"/>
      <c r="FT66" s="462"/>
      <c r="FU66" s="367"/>
      <c r="FV66" s="1495"/>
      <c r="FW66" s="367"/>
      <c r="FX66" s="367"/>
      <c r="FY66" s="1495"/>
      <c r="FZ66" s="1495"/>
      <c r="GA66" s="1495"/>
      <c r="GB66" s="1495"/>
      <c r="GC66" s="1495"/>
      <c r="GD66" s="1495"/>
      <c r="GE66" s="1495"/>
      <c r="GF66" s="1495"/>
      <c r="GG66" s="1495"/>
      <c r="GH66" s="1495"/>
      <c r="GI66" s="1495"/>
      <c r="GJ66" s="1495"/>
      <c r="GK66" s="1495"/>
      <c r="GL66" s="1495"/>
      <c r="GM66" s="1495"/>
      <c r="GN66" s="1495"/>
      <c r="GO66" s="1495"/>
      <c r="GP66" s="1495"/>
      <c r="GQ66" s="1495"/>
      <c r="GR66" s="1495"/>
      <c r="GS66" s="1495"/>
      <c r="GT66" s="1495"/>
      <c r="GU66" s="1495"/>
      <c r="GV66" s="1495"/>
      <c r="GW66" s="1495"/>
      <c r="GX66" s="1495"/>
      <c r="GY66" s="408"/>
      <c r="GZ66" s="363"/>
      <c r="HA66" s="408"/>
      <c r="HB66" s="408"/>
      <c r="HC66" s="408"/>
      <c r="HD66" s="408"/>
      <c r="HE66" s="408"/>
      <c r="HF66" s="408"/>
      <c r="HG66" s="1495"/>
      <c r="HH66" s="1495"/>
      <c r="HI66" s="1495"/>
      <c r="HJ66" s="1495"/>
      <c r="HK66" s="1495"/>
      <c r="HL66" s="1495"/>
      <c r="HM66" s="1495"/>
      <c r="HN66" s="1495"/>
      <c r="HO66" s="1495"/>
      <c r="HP66" s="1495"/>
      <c r="HQ66" s="1495"/>
      <c r="HR66" s="1495"/>
      <c r="HS66" s="1495"/>
      <c r="HT66" s="1495"/>
      <c r="HU66" s="1495"/>
      <c r="HV66" s="1495"/>
      <c r="HW66" s="1495"/>
      <c r="HX66" s="1495"/>
      <c r="HY66" s="1495"/>
      <c r="HZ66" s="1495"/>
      <c r="IA66" s="1495"/>
      <c r="IB66" s="1495"/>
      <c r="IC66" s="1495"/>
      <c r="ID66" s="1495"/>
      <c r="IE66" s="1495"/>
      <c r="IF66" s="1495"/>
      <c r="IG66" s="1495"/>
      <c r="IH66" s="1495"/>
      <c r="II66" s="1495"/>
      <c r="IJ66" s="1495"/>
      <c r="IK66" s="1495"/>
      <c r="IL66" s="1495"/>
      <c r="IM66" s="1495"/>
      <c r="IN66" s="1495"/>
      <c r="IO66" s="1495"/>
      <c r="IP66" s="1495"/>
      <c r="IQ66" s="1495"/>
      <c r="IR66" s="1495"/>
      <c r="IS66" s="1495"/>
      <c r="IT66" s="1495"/>
      <c r="IU66" s="1495"/>
      <c r="IV66" s="1495"/>
      <c r="IW66" s="1495"/>
      <c r="IX66" s="1495"/>
      <c r="IY66" s="1495"/>
      <c r="IZ66" s="1495"/>
      <c r="JA66" s="1495"/>
      <c r="JB66" s="1495"/>
      <c r="JC66" s="1495"/>
      <c r="JD66" s="1495"/>
      <c r="JE66" s="1495"/>
      <c r="JF66" s="1495"/>
      <c r="JG66" s="1495"/>
      <c r="JH66" s="1495"/>
      <c r="JI66" s="1495"/>
      <c r="JJ66" s="1495"/>
      <c r="JK66" s="1495"/>
      <c r="JL66" s="1495"/>
      <c r="JM66" s="1495"/>
      <c r="JN66" s="1495"/>
      <c r="JO66" s="1495"/>
      <c r="JP66" s="1495"/>
      <c r="JQ66" s="1495"/>
      <c r="JR66" s="1495"/>
      <c r="JS66" s="1495"/>
      <c r="JT66" s="1495"/>
      <c r="JU66" s="1495"/>
      <c r="JV66" s="1495"/>
      <c r="JW66" s="1495"/>
      <c r="JX66" s="1495"/>
      <c r="JY66" s="1495"/>
      <c r="JZ66" s="1495"/>
      <c r="KA66" s="1495"/>
      <c r="KB66" s="1495"/>
      <c r="KC66" s="1495"/>
      <c r="KD66" s="1495"/>
      <c r="KE66" s="1495"/>
      <c r="KF66" s="1495"/>
      <c r="KG66" s="1495"/>
      <c r="KH66" s="1495"/>
      <c r="KI66" s="1495"/>
      <c r="KJ66" s="1495"/>
      <c r="KK66" s="1495"/>
      <c r="KL66" s="1495"/>
      <c r="KM66" s="1495"/>
      <c r="KN66" s="1495"/>
      <c r="KO66" s="1495"/>
      <c r="KP66" s="1495"/>
      <c r="KQ66" s="1495"/>
      <c r="KR66" s="1495"/>
      <c r="KS66" s="1495"/>
      <c r="KT66" s="1495"/>
      <c r="KU66" s="1495"/>
      <c r="KV66" s="1495"/>
      <c r="KW66" s="1495"/>
      <c r="KX66" s="1495"/>
      <c r="KY66" s="1495"/>
      <c r="KZ66" s="1495"/>
      <c r="LA66" s="1495"/>
      <c r="LB66" s="1495"/>
    </row>
    <row r="67" spans="1:314">
      <c r="A67" s="1495"/>
      <c r="B67" s="1641"/>
      <c r="C67" s="1495"/>
      <c r="D67" s="1495"/>
      <c r="E67" s="1495"/>
      <c r="F67" s="1495"/>
      <c r="G67" s="1495"/>
      <c r="H67" s="1495"/>
      <c r="I67" s="1495"/>
      <c r="J67" s="1495"/>
      <c r="K67" s="1495"/>
      <c r="L67" s="1495"/>
      <c r="M67" s="1495"/>
      <c r="N67" s="1495"/>
      <c r="O67" s="1495"/>
      <c r="P67" s="1495"/>
      <c r="Q67" s="1495"/>
      <c r="R67" s="1495"/>
      <c r="S67" s="1495"/>
      <c r="T67" s="1495"/>
      <c r="U67" s="1495"/>
      <c r="V67" s="1495"/>
      <c r="W67" s="1495"/>
      <c r="X67" s="1495"/>
      <c r="Y67" s="1495"/>
      <c r="Z67" s="1495"/>
      <c r="AA67" s="1495"/>
      <c r="AB67" s="1495"/>
      <c r="AC67" s="1495"/>
      <c r="AD67" s="1495"/>
      <c r="AE67" s="1495"/>
      <c r="AF67" s="1495"/>
      <c r="AG67" s="1495"/>
      <c r="AH67" s="1495"/>
      <c r="AI67" s="1495"/>
      <c r="AJ67" s="1495"/>
      <c r="AK67" s="1495"/>
      <c r="AL67" s="1495"/>
      <c r="AM67" s="1495"/>
      <c r="AN67" s="1495"/>
      <c r="AO67" s="1495"/>
      <c r="AP67" s="1495"/>
      <c r="AQ67" s="1495"/>
      <c r="AR67" s="1495"/>
      <c r="AS67" s="1495"/>
      <c r="AT67" s="1495"/>
      <c r="AU67" s="1495"/>
      <c r="AV67" s="1495"/>
      <c r="AW67" s="1495"/>
      <c r="AX67" s="1495"/>
      <c r="AY67" s="1495"/>
      <c r="AZ67" s="1495"/>
      <c r="BA67" s="1495"/>
      <c r="BB67" s="1495"/>
      <c r="BC67" s="1495"/>
      <c r="BD67" s="1495"/>
      <c r="BE67" s="1495"/>
      <c r="BF67" s="1495"/>
      <c r="BG67" s="1495"/>
      <c r="BH67" s="1495"/>
      <c r="BI67" s="1495"/>
      <c r="BJ67" s="1495"/>
      <c r="BK67" s="1495"/>
      <c r="BL67" s="1495"/>
      <c r="BM67" s="1495"/>
      <c r="BN67" s="463">
        <v>1066136</v>
      </c>
      <c r="BO67" s="459">
        <f>SUM(BO59:BO64)</f>
        <v>818831.85588749987</v>
      </c>
      <c r="BP67" s="22"/>
      <c r="BQ67" s="459">
        <f>BQ58</f>
        <v>472000</v>
      </c>
      <c r="BR67" s="464">
        <f>BQ67-BO67</f>
        <v>-346831.85588749987</v>
      </c>
      <c r="BS67" s="463">
        <v>1066136</v>
      </c>
      <c r="BT67" s="459">
        <f>SUM(BT59:BT64)</f>
        <v>859672.23941950011</v>
      </c>
      <c r="BU67" s="22"/>
      <c r="BV67" s="459">
        <f>BV58</f>
        <v>0</v>
      </c>
      <c r="BW67" s="464">
        <f>BV67-BT67</f>
        <v>-859672.23941950011</v>
      </c>
      <c r="BX67" s="831"/>
      <c r="BY67" s="831"/>
      <c r="BZ67" s="831"/>
      <c r="CA67" s="831"/>
      <c r="CB67" s="463">
        <v>946136</v>
      </c>
      <c r="CC67" s="459">
        <f>SUM(CC59:CC64)</f>
        <v>898409.79308600014</v>
      </c>
      <c r="CD67" s="22"/>
      <c r="CE67" s="459">
        <f>CE58</f>
        <v>892000</v>
      </c>
      <c r="CF67" s="464">
        <f>CE67-CC67</f>
        <v>-6409.7930860001361</v>
      </c>
      <c r="CG67" s="463">
        <v>946136</v>
      </c>
      <c r="CH67" s="459">
        <f>SUM(CH59:CH64)</f>
        <v>950970.63552562508</v>
      </c>
      <c r="CI67" s="22"/>
      <c r="CJ67" s="459">
        <f>CJ58</f>
        <v>578000</v>
      </c>
      <c r="CK67" s="464">
        <f>CJ67-CH67</f>
        <v>-372970.63552562508</v>
      </c>
      <c r="CL67" s="463">
        <v>946136</v>
      </c>
      <c r="CM67" s="459">
        <f>SUM(CM59:CM64)</f>
        <v>921619.99098000012</v>
      </c>
      <c r="CN67" s="22"/>
      <c r="CO67" s="459">
        <f>CO58</f>
        <v>496000</v>
      </c>
      <c r="CP67" s="464">
        <f>CO67-CM67</f>
        <v>-425619.99098000012</v>
      </c>
      <c r="CQ67" s="463">
        <v>946136</v>
      </c>
      <c r="CR67" s="459">
        <f>SUM(CR59:CR64)</f>
        <v>1094770.022734375</v>
      </c>
      <c r="CS67" s="22"/>
      <c r="CT67" s="459">
        <f>CT58</f>
        <v>0</v>
      </c>
      <c r="CU67" s="464">
        <f>CT67-CR67</f>
        <v>-1094770.022734375</v>
      </c>
      <c r="CV67" s="830">
        <f>CQ67+CL67+CG67+CB67</f>
        <v>3784544</v>
      </c>
      <c r="CW67" s="829">
        <f>CR67+CM67+CH67+CC67</f>
        <v>3865770.4423260004</v>
      </c>
      <c r="CX67" s="829">
        <f>CT67+CO67+CJ67+CE67</f>
        <v>1966000</v>
      </c>
      <c r="CY67" s="828">
        <f>CX67-CW67</f>
        <v>-1899770.4423260004</v>
      </c>
      <c r="CZ67" s="463">
        <v>946136</v>
      </c>
      <c r="DA67" s="459">
        <f>SUM(DA59:DA64)</f>
        <v>1301753.0942325001</v>
      </c>
      <c r="DB67" s="22"/>
      <c r="DC67" s="459">
        <f>DC58</f>
        <v>0</v>
      </c>
      <c r="DD67" s="464">
        <f>DC67-DA67</f>
        <v>-1301753.0942325001</v>
      </c>
      <c r="DE67" s="463">
        <v>946136</v>
      </c>
      <c r="DF67" s="459">
        <f>SUM(DF59:DF64)</f>
        <v>937941.67276875</v>
      </c>
      <c r="DG67" s="22"/>
      <c r="DH67" s="459">
        <f>DH58</f>
        <v>0</v>
      </c>
      <c r="DI67" s="464">
        <f>DH67-DF67</f>
        <v>-937941.67276875</v>
      </c>
      <c r="DJ67" s="463">
        <v>946136</v>
      </c>
      <c r="DK67" s="459">
        <f>SUM(DK59:DK64)</f>
        <v>841545.02139500005</v>
      </c>
      <c r="DL67" s="22"/>
      <c r="DM67" s="459">
        <f>DM58</f>
        <v>0</v>
      </c>
      <c r="DN67" s="464">
        <f>DM67-DK67</f>
        <v>-841545.02139500005</v>
      </c>
      <c r="DO67" s="463">
        <v>946136</v>
      </c>
      <c r="DP67" s="459">
        <f>SUM(DP59:DP64)</f>
        <v>838551.58395937481</v>
      </c>
      <c r="DQ67" s="22"/>
      <c r="DR67" s="459">
        <f>DR58</f>
        <v>0</v>
      </c>
      <c r="DS67" s="464">
        <f>DR67-DP67</f>
        <v>-838551.58395937481</v>
      </c>
      <c r="DT67" s="830">
        <f>DO67+DJ67+DE67+CZ67</f>
        <v>3784544</v>
      </c>
      <c r="DU67" s="829">
        <f>DP67+DK67+DF67+DA67</f>
        <v>3919791.3723556246</v>
      </c>
      <c r="DV67" s="829">
        <f>DR67+DM67+DH67+DC67</f>
        <v>0</v>
      </c>
      <c r="DW67" s="828">
        <f>DV67-DU67</f>
        <v>-3919791.3723556246</v>
      </c>
      <c r="DX67" s="463">
        <v>1066136</v>
      </c>
      <c r="DY67" s="459">
        <f>SUM(DY59:DY64)</f>
        <v>862753.77321250003</v>
      </c>
      <c r="DZ67" s="22"/>
      <c r="EA67" s="459">
        <f>EA58</f>
        <v>0</v>
      </c>
      <c r="EB67" s="464">
        <f>EA67-DY67</f>
        <v>-862753.77321250003</v>
      </c>
      <c r="EC67" s="463">
        <v>1066136</v>
      </c>
      <c r="ED67" s="459">
        <f>SUM(ED59:ED64)</f>
        <v>991489.52743750007</v>
      </c>
      <c r="EE67" s="22"/>
      <c r="EF67" s="459">
        <f>EF58</f>
        <v>0</v>
      </c>
      <c r="EG67" s="464">
        <f>EF67-ED67</f>
        <v>-991489.52743750007</v>
      </c>
      <c r="EH67" s="463">
        <v>1066136</v>
      </c>
      <c r="EI67" s="459">
        <f>SUM(EI59:EI64)</f>
        <v>1039244.1353222501</v>
      </c>
      <c r="EJ67" s="22"/>
      <c r="EK67" s="459">
        <f>EK58</f>
        <v>0</v>
      </c>
      <c r="EL67" s="464">
        <f>EK67-EI67</f>
        <v>-1039244.1353222501</v>
      </c>
      <c r="EM67" s="463">
        <v>1066136</v>
      </c>
      <c r="EN67" s="459">
        <f>SUM(EN59:EN64)</f>
        <v>1106827.1091085002</v>
      </c>
      <c r="EO67" s="22"/>
      <c r="EP67" s="459">
        <f>EP58</f>
        <v>0</v>
      </c>
      <c r="EQ67" s="464">
        <f>EP67-EN67</f>
        <v>-1106827.1091085002</v>
      </c>
      <c r="ER67" s="463">
        <v>1066136</v>
      </c>
      <c r="ES67" s="459">
        <f>SUM(ES59:ES64)</f>
        <v>1060033.9428379999</v>
      </c>
      <c r="ET67" s="22"/>
      <c r="EU67" s="459">
        <f>EU58</f>
        <v>0</v>
      </c>
      <c r="EV67" s="464">
        <f>EU67-ES67</f>
        <v>-1060033.9428379999</v>
      </c>
      <c r="EW67" s="1495"/>
      <c r="EX67" s="1495"/>
      <c r="EY67" s="1495"/>
      <c r="EZ67" s="1495"/>
      <c r="FA67" s="1495"/>
      <c r="FB67" s="1495"/>
      <c r="FC67" s="1495"/>
      <c r="FD67" s="1495"/>
      <c r="FE67" s="1495"/>
      <c r="FF67" s="1495"/>
      <c r="FG67" s="1495"/>
      <c r="FH67" s="1495"/>
      <c r="FI67" s="1495"/>
      <c r="FJ67" s="1495"/>
      <c r="FK67" s="1495"/>
      <c r="FL67" s="1495"/>
      <c r="FM67" s="1495"/>
      <c r="FN67" s="1495"/>
      <c r="FO67" s="1495"/>
      <c r="FP67" s="1495"/>
      <c r="FQ67" s="1495"/>
      <c r="FR67" s="1495"/>
      <c r="FS67" s="1495"/>
      <c r="FT67" s="1495"/>
      <c r="FU67" s="1495"/>
      <c r="FV67" s="1495"/>
      <c r="FW67" s="1495"/>
      <c r="FX67" s="1495"/>
      <c r="FY67" s="1495"/>
      <c r="FZ67" s="1495"/>
      <c r="GA67" s="1495"/>
      <c r="GB67" s="1495"/>
      <c r="GC67" s="1495"/>
      <c r="GD67" s="1495"/>
      <c r="GE67" s="1495"/>
      <c r="GF67" s="1495"/>
      <c r="GG67" s="1495"/>
      <c r="GH67" s="1495"/>
      <c r="GI67" s="1495"/>
      <c r="GJ67" s="1495"/>
      <c r="GK67" s="1495"/>
      <c r="GL67" s="1495"/>
      <c r="GM67" s="1495"/>
      <c r="GN67" s="1495"/>
      <c r="GO67" s="1495"/>
      <c r="GP67" s="1495"/>
      <c r="GQ67" s="1495"/>
      <c r="GR67" s="1495"/>
      <c r="GS67" s="1495"/>
      <c r="GT67" s="1495"/>
      <c r="GU67" s="1495"/>
      <c r="GV67" s="1495"/>
      <c r="GW67" s="1882"/>
      <c r="GX67" s="1495"/>
      <c r="GY67" s="408"/>
      <c r="GZ67" s="363"/>
      <c r="HA67" s="408"/>
      <c r="HB67" s="408"/>
      <c r="HC67" s="408"/>
      <c r="HD67" s="408"/>
      <c r="HE67" s="408"/>
      <c r="HF67" s="408"/>
      <c r="HG67" s="1495"/>
      <c r="HH67" s="1495"/>
      <c r="HI67" s="1495"/>
      <c r="HJ67" s="1495"/>
      <c r="HK67" s="1495"/>
      <c r="HL67" s="1495"/>
      <c r="HM67" s="1495"/>
      <c r="HN67" s="1495"/>
      <c r="HO67" s="1495"/>
      <c r="HP67" s="1495"/>
      <c r="HQ67" s="1495"/>
      <c r="HR67" s="1495"/>
      <c r="HS67" s="1495"/>
      <c r="HT67" s="1495"/>
      <c r="HU67" s="1495"/>
      <c r="HV67" s="1495"/>
      <c r="HW67" s="1495"/>
      <c r="HX67" s="1495"/>
      <c r="HY67" s="1495"/>
      <c r="HZ67" s="1495"/>
      <c r="IA67" s="1495"/>
      <c r="IB67" s="1495"/>
      <c r="IC67" s="1495"/>
      <c r="ID67" s="1495"/>
      <c r="IE67" s="1495"/>
      <c r="IF67" s="1495"/>
      <c r="IG67" s="1495"/>
      <c r="IH67" s="1495"/>
      <c r="II67" s="1495"/>
      <c r="IJ67" s="1495"/>
      <c r="IK67" s="1495"/>
      <c r="IL67" s="1495"/>
      <c r="IM67" s="1495"/>
      <c r="IN67" s="1495"/>
      <c r="IO67" s="1495"/>
      <c r="IP67" s="1495"/>
      <c r="IQ67" s="1495"/>
      <c r="IR67" s="1495"/>
      <c r="IS67" s="1495"/>
      <c r="IT67" s="1495"/>
      <c r="IU67" s="1495"/>
      <c r="IV67" s="1495"/>
      <c r="IW67" s="1495"/>
      <c r="IX67" s="1495"/>
      <c r="IY67" s="1495"/>
      <c r="IZ67" s="1495"/>
      <c r="JA67" s="1495"/>
      <c r="JB67" s="1495"/>
      <c r="JC67" s="1495"/>
      <c r="JD67" s="1495"/>
      <c r="JE67" s="1495"/>
      <c r="JF67" s="1495"/>
      <c r="JG67" s="1495"/>
      <c r="JH67" s="1495"/>
      <c r="JI67" s="1495"/>
      <c r="JJ67" s="1495"/>
      <c r="JK67" s="1495"/>
      <c r="JL67" s="1495"/>
      <c r="JM67" s="1495"/>
      <c r="JN67" s="1495"/>
      <c r="JO67" s="1495"/>
      <c r="JP67" s="1495"/>
      <c r="JQ67" s="1495"/>
      <c r="JR67" s="1495"/>
      <c r="JS67" s="1495"/>
      <c r="JT67" s="1495"/>
      <c r="JU67" s="1495"/>
      <c r="JV67" s="1495"/>
      <c r="JW67" s="1495"/>
      <c r="JX67" s="1495"/>
      <c r="JY67" s="1495"/>
      <c r="JZ67" s="1495"/>
      <c r="KA67" s="1495"/>
      <c r="KB67" s="1495"/>
      <c r="KC67" s="1495"/>
      <c r="KD67" s="1495"/>
      <c r="KE67" s="1495"/>
      <c r="KF67" s="1495"/>
      <c r="KG67" s="1495"/>
      <c r="KH67" s="1495"/>
      <c r="KI67" s="1495"/>
      <c r="KJ67" s="1495"/>
      <c r="KK67" s="1495"/>
      <c r="KL67" s="1495"/>
      <c r="KM67" s="1495"/>
      <c r="KN67" s="1495"/>
      <c r="KO67" s="1495"/>
      <c r="KP67" s="1495"/>
      <c r="KQ67" s="1495"/>
      <c r="KR67" s="1495"/>
      <c r="KS67" s="1495"/>
      <c r="KT67" s="1495"/>
      <c r="KU67" s="1495"/>
      <c r="KV67" s="1495"/>
      <c r="KW67" s="1495"/>
      <c r="KX67" s="1495"/>
      <c r="KY67" s="1495"/>
      <c r="KZ67" s="1495"/>
      <c r="LA67" s="1495"/>
      <c r="LB67" s="1495"/>
    </row>
    <row r="68" spans="1:314" ht="15.75" thickBot="1">
      <c r="A68" s="1495"/>
      <c r="B68" s="1642"/>
      <c r="C68" s="1495"/>
      <c r="D68" s="1495"/>
      <c r="E68" s="1495"/>
      <c r="F68" s="1495"/>
      <c r="G68" s="1495"/>
      <c r="H68" s="1495"/>
      <c r="I68" s="1495"/>
      <c r="J68" s="1495"/>
      <c r="K68" s="1495"/>
      <c r="L68" s="1495"/>
      <c r="M68" s="1495"/>
      <c r="N68" s="1495"/>
      <c r="O68" s="1495"/>
      <c r="P68" s="1495"/>
      <c r="Q68" s="1495"/>
      <c r="R68" s="1495"/>
      <c r="S68" s="1495"/>
      <c r="T68" s="1495"/>
      <c r="U68" s="1495"/>
      <c r="V68" s="1495"/>
      <c r="W68" s="1495"/>
      <c r="X68" s="1495"/>
      <c r="Y68" s="1495"/>
      <c r="Z68" s="1495"/>
      <c r="AA68" s="1495"/>
      <c r="AB68" s="1495"/>
      <c r="AC68" s="1495"/>
      <c r="AD68" s="1495"/>
      <c r="AE68" s="1495"/>
      <c r="AF68" s="1495"/>
      <c r="AG68" s="1495"/>
      <c r="AH68" s="1495"/>
      <c r="AI68" s="1495"/>
      <c r="AJ68" s="1495"/>
      <c r="AK68" s="1495"/>
      <c r="AL68" s="1495"/>
      <c r="AM68" s="1495"/>
      <c r="AN68" s="1495"/>
      <c r="AO68" s="1495"/>
      <c r="AP68" s="1495"/>
      <c r="AQ68" s="1495"/>
      <c r="AR68" s="1495"/>
      <c r="AS68" s="1495"/>
      <c r="AT68" s="1495"/>
      <c r="AU68" s="1495"/>
      <c r="AV68" s="1495"/>
      <c r="AW68" s="1495"/>
      <c r="AX68" s="1495"/>
      <c r="AY68" s="1495"/>
      <c r="AZ68" s="1495"/>
      <c r="BA68" s="1495"/>
      <c r="BB68" s="1495"/>
      <c r="BC68" s="1495"/>
      <c r="BD68" s="1495"/>
      <c r="BE68" s="1495"/>
      <c r="BF68" s="1495"/>
      <c r="BG68" s="1495"/>
      <c r="BH68" s="1495"/>
      <c r="BI68" s="1495"/>
      <c r="BJ68" s="1495"/>
      <c r="BK68" s="1495"/>
      <c r="BL68" s="1495"/>
      <c r="BM68" s="1495"/>
      <c r="BN68" s="824"/>
      <c r="BO68" s="823">
        <f>BO67-BN67</f>
        <v>-247304.14411250013</v>
      </c>
      <c r="BP68" s="202"/>
      <c r="BQ68" s="202"/>
      <c r="BR68" s="822">
        <f>BQ67-BN67</f>
        <v>-594136</v>
      </c>
      <c r="BS68" s="824"/>
      <c r="BT68" s="823">
        <f>BT67-BS67</f>
        <v>-206463.76058049989</v>
      </c>
      <c r="BU68" s="202"/>
      <c r="BV68" s="202"/>
      <c r="BW68" s="822">
        <f>BV67-BS67</f>
        <v>-1066136</v>
      </c>
      <c r="BX68" s="810"/>
      <c r="BY68" s="810"/>
      <c r="BZ68" s="810"/>
      <c r="CA68" s="810"/>
      <c r="CB68" s="824"/>
      <c r="CC68" s="823">
        <f>CC67-CB67</f>
        <v>-47726.206913999864</v>
      </c>
      <c r="CD68" s="202"/>
      <c r="CE68" s="202"/>
      <c r="CF68" s="822">
        <f>CE67-CB67</f>
        <v>-54136</v>
      </c>
      <c r="CG68" s="824"/>
      <c r="CH68" s="823">
        <f>CH67-CG67</f>
        <v>4834.6355256250827</v>
      </c>
      <c r="CI68" s="202"/>
      <c r="CJ68" s="202"/>
      <c r="CK68" s="822">
        <f>CJ67-CG67</f>
        <v>-368136</v>
      </c>
      <c r="CL68" s="824"/>
      <c r="CM68" s="823">
        <f>CM67-CL67</f>
        <v>-24516.009019999881</v>
      </c>
      <c r="CN68" s="202"/>
      <c r="CO68" s="202"/>
      <c r="CP68" s="822">
        <f>CO67-CL67</f>
        <v>-450136</v>
      </c>
      <c r="CQ68" s="824"/>
      <c r="CR68" s="827">
        <f>CR67-CQ67</f>
        <v>148634.02273437497</v>
      </c>
      <c r="CS68" s="202"/>
      <c r="CT68" s="202"/>
      <c r="CU68" s="822">
        <f>CT67-CQ67</f>
        <v>-946136</v>
      </c>
      <c r="CV68" s="826"/>
      <c r="CW68" s="823">
        <f>CW67-CV67</f>
        <v>81226.442326000426</v>
      </c>
      <c r="CX68" s="825"/>
      <c r="CY68" s="822">
        <f>CX67-CV67</f>
        <v>-1818544</v>
      </c>
      <c r="CZ68" s="824"/>
      <c r="DA68" s="827">
        <f>DA67-CZ67</f>
        <v>355617.09423250007</v>
      </c>
      <c r="DB68" s="202"/>
      <c r="DC68" s="202"/>
      <c r="DD68" s="822">
        <f>DC67-CZ67</f>
        <v>-946136</v>
      </c>
      <c r="DE68" s="824"/>
      <c r="DF68" s="827">
        <f>DF67-DE67</f>
        <v>-8194.3272312500048</v>
      </c>
      <c r="DG68" s="202"/>
      <c r="DH68" s="202"/>
      <c r="DI68" s="822">
        <f>DH67-DE67</f>
        <v>-946136</v>
      </c>
      <c r="DJ68" s="824"/>
      <c r="DK68" s="823">
        <f>DK67-DJ67</f>
        <v>-104590.97860499995</v>
      </c>
      <c r="DL68" s="202"/>
      <c r="DM68" s="202"/>
      <c r="DN68" s="822">
        <f>DM67-DJ67</f>
        <v>-946136</v>
      </c>
      <c r="DO68" s="824"/>
      <c r="DP68" s="823">
        <f>DP67-DO67</f>
        <v>-107584.41604062519</v>
      </c>
      <c r="DQ68" s="202"/>
      <c r="DR68" s="202"/>
      <c r="DS68" s="822">
        <f>DR67-DO67</f>
        <v>-946136</v>
      </c>
      <c r="DT68" s="826"/>
      <c r="DU68" s="823">
        <f>DU67-DT67</f>
        <v>135247.37235562457</v>
      </c>
      <c r="DV68" s="825"/>
      <c r="DW68" s="822">
        <f>DV67-DT67</f>
        <v>-3784544</v>
      </c>
      <c r="DX68" s="824"/>
      <c r="DY68" s="823">
        <f>DY67-DX67</f>
        <v>-203382.22678749997</v>
      </c>
      <c r="DZ68" s="202"/>
      <c r="EA68" s="202"/>
      <c r="EB68" s="822">
        <f>EA67-DX67</f>
        <v>-1066136</v>
      </c>
      <c r="EC68" s="824"/>
      <c r="ED68" s="823">
        <f>ED67-EC67</f>
        <v>-74646.472562499926</v>
      </c>
      <c r="EE68" s="202"/>
      <c r="EF68" s="202"/>
      <c r="EG68" s="822">
        <f>EF67-EC67</f>
        <v>-1066136</v>
      </c>
      <c r="EH68" s="824"/>
      <c r="EI68" s="823">
        <f>EI67-EH67</f>
        <v>-26891.864677749923</v>
      </c>
      <c r="EJ68" s="202"/>
      <c r="EK68" s="202"/>
      <c r="EL68" s="822">
        <f>EK67-EH67</f>
        <v>-1066136</v>
      </c>
      <c r="EM68" s="824"/>
      <c r="EN68" s="823">
        <f>EN67-EM67</f>
        <v>40691.109108500183</v>
      </c>
      <c r="EO68" s="202"/>
      <c r="EP68" s="202"/>
      <c r="EQ68" s="822">
        <f>EP67-EM67</f>
        <v>-1066136</v>
      </c>
      <c r="ER68" s="824"/>
      <c r="ES68" s="823">
        <f>ES67-ER67</f>
        <v>-6102.0571620000992</v>
      </c>
      <c r="ET68" s="202"/>
      <c r="EU68" s="202"/>
      <c r="EV68" s="822">
        <f>EU67-ER67</f>
        <v>-1066136</v>
      </c>
      <c r="EW68" s="1495"/>
      <c r="EX68" s="1495"/>
      <c r="EY68" s="1495"/>
      <c r="EZ68" s="1495"/>
      <c r="FA68" s="1495"/>
      <c r="FB68" s="1495"/>
      <c r="FC68" s="1495"/>
      <c r="FD68" s="1495"/>
      <c r="FE68" s="1495"/>
      <c r="FF68" s="1495"/>
      <c r="FG68" s="1495"/>
      <c r="FH68" s="1495"/>
      <c r="FI68" s="1495"/>
      <c r="FJ68" s="1495"/>
      <c r="FK68" s="1495"/>
      <c r="FL68" s="1495"/>
      <c r="FM68" s="1495"/>
      <c r="FN68" s="1495"/>
      <c r="FO68" s="1495"/>
      <c r="FP68" s="1495"/>
      <c r="FQ68" s="1495"/>
      <c r="FR68" s="1495"/>
      <c r="FS68" s="1495"/>
      <c r="FT68" s="1495"/>
      <c r="FU68" s="1495"/>
      <c r="FV68" s="1495"/>
      <c r="FW68" s="1495"/>
      <c r="FX68" s="1495"/>
      <c r="FY68" s="1495"/>
      <c r="FZ68" s="1495"/>
      <c r="GA68" s="1495"/>
      <c r="GB68" s="1495"/>
      <c r="GC68" s="1495"/>
      <c r="GD68" s="1495"/>
      <c r="GE68" s="1495"/>
      <c r="GF68" s="1495"/>
      <c r="GG68" s="1495"/>
      <c r="GH68" s="1495"/>
      <c r="GI68" s="1495"/>
      <c r="GJ68" s="1495"/>
      <c r="GK68" s="1495"/>
      <c r="GL68" s="1495"/>
      <c r="GM68" s="1495"/>
      <c r="GN68" s="1495"/>
      <c r="GO68" s="1495"/>
      <c r="GP68" s="1495"/>
      <c r="GQ68" s="1495"/>
      <c r="GR68" s="1495"/>
      <c r="GS68" s="1495"/>
      <c r="GT68" s="1495"/>
      <c r="GU68" s="1495"/>
      <c r="GV68" s="1495"/>
      <c r="GW68" s="1882"/>
      <c r="GX68" s="1495"/>
      <c r="GY68" s="408"/>
      <c r="GZ68" s="363"/>
      <c r="HA68" s="408"/>
      <c r="HB68" s="408"/>
      <c r="HC68" s="408"/>
      <c r="HD68" s="408"/>
      <c r="HE68" s="408"/>
      <c r="HF68" s="408"/>
      <c r="HG68" s="1495"/>
      <c r="HH68" s="1495"/>
      <c r="HI68" s="1495"/>
      <c r="HJ68" s="1495"/>
      <c r="HK68" s="1495"/>
      <c r="HL68" s="1495"/>
      <c r="HM68" s="1495"/>
      <c r="HN68" s="1495"/>
      <c r="HO68" s="1495"/>
      <c r="HP68" s="1495"/>
      <c r="HQ68" s="1495"/>
      <c r="HR68" s="1495"/>
      <c r="HS68" s="1495"/>
      <c r="HT68" s="1495"/>
      <c r="HU68" s="1495"/>
      <c r="HV68" s="1495"/>
      <c r="HW68" s="1495"/>
      <c r="HX68" s="1495"/>
      <c r="HY68" s="1495"/>
      <c r="HZ68" s="1495"/>
      <c r="IA68" s="1495"/>
      <c r="IB68" s="1495"/>
      <c r="IC68" s="1495"/>
      <c r="ID68" s="1495"/>
      <c r="IE68" s="1495"/>
      <c r="IF68" s="1495"/>
      <c r="IG68" s="1495"/>
      <c r="IH68" s="1495"/>
      <c r="II68" s="1495"/>
      <c r="IJ68" s="1495"/>
      <c r="IK68" s="1495"/>
      <c r="IL68" s="1495"/>
      <c r="IM68" s="1495"/>
      <c r="IN68" s="1495"/>
      <c r="IO68" s="1495"/>
      <c r="IP68" s="1495"/>
      <c r="IQ68" s="1495"/>
      <c r="IR68" s="1495"/>
      <c r="IS68" s="1495"/>
      <c r="IT68" s="1495"/>
      <c r="IU68" s="1495"/>
      <c r="IV68" s="1495"/>
      <c r="IW68" s="1495"/>
      <c r="IX68" s="1495"/>
      <c r="IY68" s="1495"/>
      <c r="IZ68" s="1495"/>
      <c r="JA68" s="1495"/>
      <c r="JB68" s="1495"/>
      <c r="JC68" s="1495"/>
      <c r="JD68" s="1495"/>
      <c r="JE68" s="1495"/>
      <c r="JF68" s="1495"/>
      <c r="JG68" s="1495"/>
      <c r="JH68" s="1495"/>
      <c r="JI68" s="1495"/>
      <c r="JJ68" s="1495"/>
      <c r="JK68" s="1495"/>
      <c r="JL68" s="1495"/>
      <c r="JM68" s="1495"/>
      <c r="JN68" s="1495"/>
      <c r="JO68" s="1495"/>
      <c r="JP68" s="1495"/>
      <c r="JQ68" s="1495"/>
      <c r="JR68" s="1495"/>
      <c r="JS68" s="1495"/>
      <c r="JT68" s="1495"/>
      <c r="JU68" s="1495"/>
      <c r="JV68" s="1495"/>
      <c r="JW68" s="1495"/>
      <c r="JX68" s="1495"/>
      <c r="JY68" s="1495"/>
      <c r="JZ68" s="1495"/>
      <c r="KA68" s="1495"/>
      <c r="KB68" s="1495"/>
      <c r="KC68" s="1495"/>
      <c r="KD68" s="1495"/>
      <c r="KE68" s="1495"/>
      <c r="KF68" s="1495"/>
      <c r="KG68" s="1495"/>
      <c r="KH68" s="1495"/>
      <c r="KI68" s="1495"/>
      <c r="KJ68" s="1495"/>
      <c r="KK68" s="1495"/>
      <c r="KL68" s="1495"/>
      <c r="KM68" s="1495"/>
      <c r="KN68" s="1495"/>
      <c r="KO68" s="1495"/>
      <c r="KP68" s="1495"/>
      <c r="KQ68" s="1495"/>
      <c r="KR68" s="1495"/>
      <c r="KS68" s="1495"/>
      <c r="KT68" s="1495"/>
      <c r="KU68" s="1495"/>
      <c r="KV68" s="1495"/>
      <c r="KW68" s="1495"/>
      <c r="KX68" s="1495"/>
      <c r="KY68" s="1495"/>
      <c r="KZ68" s="1495"/>
      <c r="LA68" s="1495"/>
      <c r="LB68" s="1495"/>
    </row>
    <row r="69" spans="1:314">
      <c r="A69" s="1495"/>
      <c r="B69" s="418"/>
      <c r="C69" s="1495"/>
      <c r="D69" s="1495"/>
      <c r="E69" s="1495"/>
      <c r="F69" s="1495"/>
      <c r="G69" s="1495"/>
      <c r="H69" s="1495"/>
      <c r="I69" s="1495"/>
      <c r="J69" s="1495"/>
      <c r="K69" s="1495"/>
      <c r="L69" s="1495"/>
      <c r="M69" s="1495"/>
      <c r="N69" s="1495"/>
      <c r="O69" s="1495"/>
      <c r="P69" s="1495"/>
      <c r="Q69" s="1495"/>
      <c r="R69" s="1495"/>
      <c r="S69" s="1495"/>
      <c r="T69" s="1495"/>
      <c r="U69" s="1495"/>
      <c r="V69" s="1495"/>
      <c r="W69" s="1495"/>
      <c r="X69" s="1495"/>
      <c r="Y69" s="1495"/>
      <c r="Z69" s="1495"/>
      <c r="AA69" s="1495"/>
      <c r="AB69" s="1495"/>
      <c r="AC69" s="1495"/>
      <c r="AD69" s="1495"/>
      <c r="AE69" s="1495"/>
      <c r="AF69" s="1495"/>
      <c r="AG69" s="1495"/>
      <c r="AH69" s="1495"/>
      <c r="AI69" s="1495"/>
      <c r="AJ69" s="1495"/>
      <c r="AK69" s="1495"/>
      <c r="AL69" s="1495"/>
      <c r="AM69" s="1495"/>
      <c r="AN69" s="1495"/>
      <c r="AO69" s="1495"/>
      <c r="AP69" s="1495"/>
      <c r="AQ69" s="1495"/>
      <c r="AR69" s="1495"/>
      <c r="AS69" s="1495"/>
      <c r="AT69" s="1495"/>
      <c r="AU69" s="1495"/>
      <c r="AV69" s="1495"/>
      <c r="AW69" s="1495"/>
      <c r="AX69" s="1495"/>
      <c r="AY69" s="1495"/>
      <c r="AZ69" s="1495"/>
      <c r="BA69" s="1495"/>
      <c r="BB69" s="1495"/>
      <c r="BC69" s="1495"/>
      <c r="BD69" s="1495"/>
      <c r="BE69" s="1495"/>
      <c r="BF69" s="1495"/>
      <c r="BG69" s="1495"/>
      <c r="BH69" s="1495"/>
      <c r="BI69" s="1495"/>
      <c r="BJ69" s="1495"/>
      <c r="BK69" s="1495"/>
      <c r="BL69" s="1495"/>
      <c r="BM69" s="1495"/>
      <c r="BO69" s="384">
        <f>BJ69+BO68</f>
        <v>-247304.14411250013</v>
      </c>
      <c r="BP69"/>
      <c r="BR69" s="384">
        <f>BM69+BR68</f>
        <v>-594136</v>
      </c>
      <c r="BT69" s="384">
        <f>BO69+BT68</f>
        <v>-453767.90469300002</v>
      </c>
      <c r="BW69" s="384">
        <f>BR69+BW68</f>
        <v>-1660272</v>
      </c>
      <c r="BX69" s="384"/>
      <c r="BY69" s="384"/>
      <c r="BZ69" s="384"/>
      <c r="CA69" s="384"/>
      <c r="CC69" s="820">
        <f>BT69+CC68</f>
        <v>-501494.11160699988</v>
      </c>
      <c r="CF69" s="384">
        <f>BW69+CF68</f>
        <v>-1714408</v>
      </c>
      <c r="CH69" s="820">
        <f>CC69+CH68</f>
        <v>-496659.4760813748</v>
      </c>
      <c r="CK69" s="384">
        <f>CF69+CK68</f>
        <v>-2082544</v>
      </c>
      <c r="CM69" s="820">
        <f>CH69+CM68</f>
        <v>-521175.48510137468</v>
      </c>
      <c r="CP69" s="384">
        <f>CK69+CP68</f>
        <v>-2532680</v>
      </c>
      <c r="CR69" s="820">
        <f>CM69+CR68</f>
        <v>-372541.46236699971</v>
      </c>
      <c r="CU69" s="384">
        <f>CP69+CU68</f>
        <v>-3478816</v>
      </c>
      <c r="CV69" s="1495"/>
      <c r="CW69" s="821">
        <f>CR69+CM69+CH69+CC69</f>
        <v>-1891870.5351567492</v>
      </c>
      <c r="CX69" s="1495"/>
      <c r="CY69" s="1495"/>
      <c r="DA69" s="820">
        <f>CW69+DA68</f>
        <v>-1536253.4409242491</v>
      </c>
      <c r="DD69" s="384">
        <f>CY69+DD68</f>
        <v>-946136</v>
      </c>
      <c r="DF69" s="820">
        <f>DA69+DF68</f>
        <v>-1544447.7681554991</v>
      </c>
      <c r="DI69" s="384">
        <f>DD69+DI68</f>
        <v>-1892272</v>
      </c>
      <c r="DK69" s="820">
        <f>DF69+DK68</f>
        <v>-1649038.7467604992</v>
      </c>
      <c r="DN69" s="384">
        <f>DI69+DN68</f>
        <v>-2838408</v>
      </c>
      <c r="DP69" s="820">
        <f>DK69+DP68</f>
        <v>-1756623.1628011244</v>
      </c>
      <c r="DS69" s="384">
        <f>DN69+DS68</f>
        <v>-3784544</v>
      </c>
      <c r="DT69" s="1495"/>
      <c r="DU69" s="821">
        <f>DP69+DK69+DF69+DA69</f>
        <v>-6486363.1186413728</v>
      </c>
      <c r="DV69" s="1495"/>
      <c r="DW69" s="1495"/>
      <c r="DY69" s="820">
        <f>DU69+DY68</f>
        <v>-6689745.3454288729</v>
      </c>
      <c r="EB69" s="384">
        <f>DW69+EB68</f>
        <v>-1066136</v>
      </c>
      <c r="ED69" s="820">
        <f>DY69+ED68</f>
        <v>-6764391.8179913731</v>
      </c>
      <c r="EG69" s="384">
        <f>EB69+EG68</f>
        <v>-2132272</v>
      </c>
      <c r="EI69" s="820">
        <f>ED69+EI68</f>
        <v>-6791283.6826691227</v>
      </c>
      <c r="EL69" s="384">
        <f>EG69+EL68</f>
        <v>-3198408</v>
      </c>
      <c r="EN69" s="820">
        <f>EI69+EN68</f>
        <v>-6750592.5735606225</v>
      </c>
      <c r="EQ69" s="384">
        <f>EL69+EQ68</f>
        <v>-4264544</v>
      </c>
      <c r="ES69" s="820">
        <f>EN69+ES68</f>
        <v>-6756694.6307226224</v>
      </c>
      <c r="EV69" s="384">
        <f>EQ69+EV68</f>
        <v>-5330680</v>
      </c>
      <c r="EW69" s="1495"/>
      <c r="EX69" s="1495"/>
      <c r="EY69" s="1495"/>
      <c r="EZ69" s="1495"/>
      <c r="FA69" s="1495"/>
      <c r="FB69" s="1495"/>
      <c r="FC69" s="1495"/>
      <c r="FD69" s="1495"/>
      <c r="FE69" s="1495"/>
      <c r="FF69" s="1495"/>
      <c r="FG69" s="1495"/>
      <c r="FH69" s="1495"/>
      <c r="FI69" s="1495"/>
      <c r="FJ69" s="1495"/>
      <c r="FK69" s="1495"/>
      <c r="FL69" s="1495"/>
      <c r="FM69" s="1495"/>
      <c r="FN69" s="1495"/>
      <c r="FO69" s="1495"/>
      <c r="FP69" s="1495"/>
      <c r="FQ69" s="1495"/>
      <c r="FR69" s="1495"/>
      <c r="FS69" s="1495"/>
      <c r="FT69" s="1495"/>
      <c r="FU69" s="1495"/>
      <c r="FV69" s="1495"/>
      <c r="FW69" s="1495"/>
      <c r="FX69" s="1495"/>
      <c r="FY69" s="1495"/>
      <c r="FZ69" s="1495"/>
      <c r="GA69" s="1495"/>
      <c r="GB69" s="1495"/>
      <c r="GC69" s="1495"/>
      <c r="GD69" s="1495"/>
      <c r="GE69" s="1495"/>
      <c r="GF69" s="1495"/>
      <c r="GG69" s="1495"/>
      <c r="GH69" s="1495"/>
      <c r="GI69" s="1495"/>
      <c r="GJ69" s="1495"/>
      <c r="GK69" s="1495"/>
      <c r="GL69" s="1495"/>
      <c r="GM69" s="1495"/>
      <c r="GN69" s="1495"/>
      <c r="GO69" s="1495"/>
      <c r="GP69" s="1495"/>
      <c r="GQ69" s="1495"/>
      <c r="GR69" s="1495"/>
      <c r="GS69" s="1495"/>
      <c r="GT69" s="1495"/>
      <c r="GU69" s="1495"/>
      <c r="GV69" s="1495"/>
      <c r="GW69" s="1882"/>
      <c r="GX69" s="1495"/>
      <c r="GY69" s="408"/>
      <c r="GZ69" s="363"/>
      <c r="HA69" s="408"/>
      <c r="HB69" s="408"/>
      <c r="HC69" s="408"/>
      <c r="HD69" s="408"/>
      <c r="HE69" s="408"/>
      <c r="HF69" s="408"/>
      <c r="HG69" s="1495"/>
      <c r="HH69" s="1495"/>
      <c r="HI69" s="1495"/>
      <c r="HJ69" s="1495"/>
      <c r="HK69" s="1495"/>
      <c r="HL69" s="1495"/>
      <c r="HM69" s="1495"/>
      <c r="HN69" s="1495"/>
      <c r="HO69" s="1495"/>
      <c r="HP69" s="1495"/>
      <c r="HQ69" s="1495"/>
      <c r="HR69" s="1495"/>
      <c r="HS69" s="1495"/>
      <c r="HT69" s="1495"/>
      <c r="HU69" s="1495"/>
      <c r="HV69" s="1495"/>
      <c r="HW69" s="1495"/>
      <c r="HX69" s="1495"/>
      <c r="HY69" s="1495"/>
      <c r="HZ69" s="1495"/>
      <c r="IA69" s="1495"/>
      <c r="IB69" s="1495"/>
      <c r="IC69" s="1495"/>
      <c r="ID69" s="1495"/>
      <c r="IE69" s="1495"/>
      <c r="IF69" s="1495"/>
      <c r="IG69" s="1495"/>
      <c r="IH69" s="1495"/>
      <c r="II69" s="1495"/>
      <c r="IJ69" s="1495"/>
      <c r="IK69" s="1495"/>
      <c r="IL69" s="1495"/>
      <c r="IM69" s="1495"/>
      <c r="IN69" s="1495"/>
      <c r="IO69" s="1495"/>
      <c r="IP69" s="1495"/>
      <c r="IQ69" s="1495"/>
      <c r="IR69" s="1495"/>
      <c r="IS69" s="1495"/>
      <c r="IT69" s="1495"/>
      <c r="IU69" s="1495"/>
      <c r="IV69" s="1495"/>
      <c r="IW69" s="1495"/>
      <c r="IX69" s="1495"/>
      <c r="IY69" s="1495"/>
      <c r="IZ69" s="1495"/>
      <c r="JA69" s="1495"/>
      <c r="JB69" s="1495"/>
      <c r="JC69" s="1495"/>
      <c r="JD69" s="1495"/>
      <c r="JE69" s="1495"/>
      <c r="JF69" s="1495"/>
      <c r="JG69" s="1495"/>
      <c r="JH69" s="1495"/>
      <c r="JI69" s="1495"/>
      <c r="JJ69" s="1495"/>
      <c r="JK69" s="1495"/>
      <c r="JL69" s="1495"/>
      <c r="JM69" s="1495"/>
      <c r="JN69" s="1495"/>
      <c r="JO69" s="1495"/>
      <c r="JP69" s="1495"/>
      <c r="JQ69" s="1495"/>
      <c r="JR69" s="1495"/>
      <c r="JS69" s="1495"/>
      <c r="JT69" s="1495"/>
      <c r="JU69" s="1495"/>
      <c r="JV69" s="1495"/>
      <c r="JW69" s="1495"/>
      <c r="JX69" s="1495"/>
      <c r="JY69" s="1495"/>
      <c r="JZ69" s="1495"/>
      <c r="KA69" s="1495"/>
      <c r="KB69" s="1495"/>
      <c r="KC69" s="1495"/>
      <c r="KD69" s="1495"/>
      <c r="KE69" s="1495"/>
      <c r="KF69" s="1495"/>
      <c r="KG69" s="1495"/>
      <c r="KH69" s="1495"/>
      <c r="KI69" s="1495"/>
      <c r="KJ69" s="1495"/>
      <c r="KK69" s="1495"/>
      <c r="KL69" s="1495"/>
      <c r="KM69" s="1495"/>
      <c r="KN69" s="1495"/>
      <c r="KO69" s="1495"/>
      <c r="KP69" s="1495"/>
      <c r="KQ69" s="1495"/>
      <c r="KR69" s="1495"/>
      <c r="KS69" s="1495"/>
      <c r="KT69" s="1495"/>
      <c r="KU69" s="1495"/>
      <c r="KV69" s="1495"/>
      <c r="KW69" s="1495"/>
      <c r="KX69" s="1495"/>
      <c r="KY69" s="1495"/>
      <c r="KZ69" s="1495"/>
      <c r="LA69" s="1495"/>
      <c r="LB69" s="1495"/>
    </row>
    <row r="70" spans="1:314">
      <c r="A70" s="1495"/>
      <c r="B70" s="418"/>
      <c r="C70" s="1495"/>
      <c r="D70" s="1495"/>
      <c r="E70" s="1495"/>
      <c r="F70" s="1495"/>
      <c r="G70" s="1495"/>
      <c r="H70" s="1495"/>
      <c r="I70" s="1495"/>
      <c r="J70" s="1495"/>
      <c r="K70" s="1495"/>
      <c r="L70" s="1495"/>
      <c r="M70" s="1495"/>
      <c r="N70" s="1495"/>
      <c r="O70" s="1495"/>
      <c r="P70" s="1495"/>
      <c r="Q70" s="1495"/>
      <c r="R70" s="1495"/>
      <c r="S70" s="1495"/>
      <c r="T70" s="1495"/>
      <c r="U70" s="1495"/>
      <c r="V70" s="1495"/>
      <c r="W70" s="1495"/>
      <c r="X70" s="1495"/>
      <c r="Y70" s="1495"/>
      <c r="Z70" s="1495"/>
      <c r="AA70" s="1495"/>
      <c r="AB70" s="1495"/>
      <c r="AC70" s="1495"/>
      <c r="AD70" s="1495"/>
      <c r="AE70" s="1495"/>
      <c r="AF70" s="1495"/>
      <c r="AG70" s="1495"/>
      <c r="AH70" s="1495"/>
      <c r="AI70" s="1495"/>
      <c r="AJ70" s="1495"/>
      <c r="AK70" s="1495"/>
      <c r="AL70" s="1495"/>
      <c r="AM70" s="1495"/>
      <c r="AN70" s="1495"/>
      <c r="AO70" s="1495"/>
      <c r="AP70" s="1495"/>
      <c r="AQ70" s="1495"/>
      <c r="AR70" s="1495"/>
      <c r="AS70" s="1495"/>
      <c r="AT70" s="1495"/>
      <c r="AU70" s="1495"/>
      <c r="AV70" s="1495"/>
      <c r="AW70" s="1495"/>
      <c r="AX70" s="1495"/>
      <c r="AY70" s="1495"/>
      <c r="AZ70" s="1495"/>
      <c r="BA70" s="1495"/>
      <c r="BB70" s="1495"/>
      <c r="BC70" s="1495"/>
      <c r="BD70" s="1495"/>
      <c r="BE70" s="1495"/>
      <c r="BF70" s="1495"/>
      <c r="BG70" s="1495"/>
      <c r="BH70" s="1495"/>
      <c r="BI70" s="1495"/>
      <c r="BJ70" s="1495"/>
      <c r="BK70" s="1495"/>
      <c r="BL70" s="1495"/>
      <c r="BM70" s="1495"/>
      <c r="BN70" s="1495"/>
      <c r="BO70" s="1495"/>
      <c r="BP70" s="418"/>
      <c r="BQ70" s="1495"/>
      <c r="BR70" s="1495"/>
      <c r="BS70" s="1495"/>
      <c r="BT70" s="1495"/>
      <c r="BU70" s="1495"/>
      <c r="BV70" s="1495"/>
      <c r="BW70" s="1495"/>
      <c r="BX70" s="1495"/>
      <c r="BY70" s="1495"/>
      <c r="BZ70" s="1495"/>
      <c r="CA70" s="1495"/>
      <c r="CB70" s="1495"/>
      <c r="CC70" s="1495"/>
      <c r="CD70" s="1495"/>
      <c r="CE70" s="1495"/>
      <c r="CF70" s="1495"/>
      <c r="CG70" s="1495"/>
      <c r="CH70" s="1495"/>
      <c r="CI70" s="1495"/>
      <c r="CJ70" s="1495"/>
      <c r="CK70" s="1495"/>
      <c r="CL70" s="1495"/>
      <c r="CM70" s="1495"/>
      <c r="CN70" s="1495"/>
      <c r="CO70" s="1495"/>
      <c r="CP70" s="1495"/>
      <c r="CQ70" s="1495"/>
      <c r="CR70" s="1495"/>
      <c r="CS70" s="1495"/>
      <c r="CT70" s="1495"/>
      <c r="CU70" s="1495"/>
      <c r="CV70" s="1495"/>
      <c r="CW70" s="1495"/>
      <c r="CX70" s="1495"/>
      <c r="CY70" s="1495"/>
      <c r="CZ70" s="1495"/>
      <c r="DA70" s="1495"/>
      <c r="DB70" s="1495"/>
      <c r="DC70" s="1495"/>
      <c r="DD70" s="1495"/>
      <c r="DE70" s="1495"/>
      <c r="DF70" s="1495"/>
      <c r="DG70" s="1495"/>
      <c r="DH70" s="1495"/>
      <c r="DI70" s="1495"/>
      <c r="DJ70" s="1495"/>
      <c r="DK70" s="1495"/>
      <c r="DL70" s="1495"/>
      <c r="DM70" s="1495"/>
      <c r="DN70" s="1495"/>
      <c r="DO70" s="1495"/>
      <c r="DP70" s="1495"/>
      <c r="DQ70" s="1495"/>
      <c r="DR70" s="1495"/>
      <c r="DS70" s="1495"/>
      <c r="DT70" s="1495"/>
      <c r="DU70" s="1495"/>
      <c r="DV70" s="1495"/>
      <c r="DW70" s="1495"/>
      <c r="DX70" s="1495"/>
      <c r="DY70" s="1495"/>
      <c r="DZ70" s="1495"/>
      <c r="EA70" s="1495"/>
      <c r="EB70" s="1495"/>
      <c r="EC70" s="1495"/>
      <c r="ED70" s="407"/>
      <c r="EE70" s="1495"/>
      <c r="EF70" s="407"/>
      <c r="EG70" s="1495"/>
      <c r="EH70" s="1495"/>
      <c r="EI70" s="1495"/>
      <c r="EJ70" s="1495"/>
      <c r="EK70" s="1495"/>
      <c r="EL70" s="407"/>
      <c r="EM70" s="1495"/>
      <c r="EN70" s="407"/>
      <c r="EO70" s="1495"/>
      <c r="EP70" s="1495"/>
      <c r="EQ70" s="1495"/>
      <c r="ER70" s="1495"/>
      <c r="ES70" s="407"/>
      <c r="ET70" s="1495"/>
      <c r="EU70" s="1495"/>
      <c r="EV70" s="1495"/>
      <c r="EW70" s="1495"/>
      <c r="EX70" s="1495"/>
      <c r="EY70" s="1495"/>
      <c r="EZ70" s="1495"/>
      <c r="FA70" s="1495"/>
      <c r="FB70" s="1495"/>
      <c r="FC70" s="1495"/>
      <c r="FD70" s="1495"/>
      <c r="FE70" s="1495"/>
      <c r="FF70" s="1495"/>
      <c r="FG70" s="1495"/>
      <c r="FH70" s="1495"/>
      <c r="FI70" s="1495"/>
      <c r="FJ70" s="1495"/>
      <c r="FK70" s="1495"/>
      <c r="FL70" s="1495"/>
      <c r="FM70" s="1495"/>
      <c r="FN70" s="1495"/>
      <c r="FO70" s="1495"/>
      <c r="FP70" s="1495"/>
      <c r="FQ70" s="1495"/>
      <c r="FR70" s="1495"/>
      <c r="FS70" s="1495"/>
      <c r="FT70" s="1495"/>
      <c r="FU70" s="1495"/>
      <c r="FV70" s="1495"/>
      <c r="FW70" s="1495"/>
      <c r="FX70" s="1495"/>
      <c r="FY70" s="1495"/>
      <c r="FZ70" s="1495"/>
      <c r="GA70" s="1495"/>
      <c r="GB70" s="1495"/>
      <c r="GC70" s="1495"/>
      <c r="GD70" s="1495"/>
      <c r="GE70" s="1495"/>
      <c r="GF70" s="1495"/>
      <c r="GG70" s="1495"/>
      <c r="GH70" s="1495"/>
      <c r="GI70" s="1495"/>
      <c r="GJ70" s="1495"/>
      <c r="GK70" s="1495"/>
      <c r="GL70" s="1495"/>
      <c r="GM70" s="1495"/>
      <c r="GN70" s="1495"/>
      <c r="GO70" s="1495"/>
      <c r="GP70" s="1495"/>
      <c r="GQ70" s="1495"/>
      <c r="GR70" s="1495"/>
      <c r="GS70" s="1495"/>
      <c r="GT70" s="1495"/>
      <c r="GU70" s="1495"/>
      <c r="GV70" s="1495"/>
      <c r="GW70" s="1882"/>
      <c r="GX70" s="1495"/>
      <c r="GY70" s="408"/>
      <c r="GZ70" s="363"/>
      <c r="HA70" s="408"/>
      <c r="HB70" s="408"/>
      <c r="HC70" s="408"/>
      <c r="HD70" s="408"/>
      <c r="HE70" s="408"/>
      <c r="HF70" s="408"/>
      <c r="HG70" s="1495"/>
      <c r="HH70" s="1495"/>
      <c r="HI70" s="1495"/>
      <c r="HJ70" s="1495"/>
      <c r="HK70" s="1495"/>
      <c r="HL70" s="1495"/>
      <c r="HM70" s="1495"/>
      <c r="HN70" s="1495"/>
      <c r="HO70" s="1495"/>
      <c r="HP70" s="1495"/>
      <c r="HQ70" s="1495"/>
      <c r="HR70" s="1495"/>
      <c r="HS70" s="1495"/>
      <c r="HT70" s="1495"/>
      <c r="HU70" s="1495"/>
      <c r="HV70" s="1495"/>
      <c r="HW70" s="1495"/>
      <c r="HX70" s="1495"/>
      <c r="HY70" s="1495"/>
      <c r="HZ70" s="1495"/>
      <c r="IA70" s="1495"/>
      <c r="IB70" s="1495"/>
      <c r="IC70" s="1495"/>
      <c r="ID70" s="1495"/>
      <c r="IE70" s="1495"/>
      <c r="IF70" s="1495"/>
      <c r="IG70" s="1495"/>
      <c r="IH70" s="1495"/>
      <c r="II70" s="1495"/>
      <c r="IJ70" s="1495"/>
      <c r="IK70" s="1495"/>
      <c r="IL70" s="1495"/>
      <c r="IM70" s="1495"/>
      <c r="IN70" s="1495"/>
      <c r="IO70" s="1495"/>
      <c r="IP70" s="1495"/>
      <c r="IQ70" s="1495"/>
      <c r="IR70" s="1495"/>
      <c r="IS70" s="1495"/>
      <c r="IT70" s="1495"/>
      <c r="IU70" s="1495"/>
      <c r="IV70" s="1495"/>
      <c r="IW70" s="1495"/>
      <c r="IX70" s="1495"/>
      <c r="IY70" s="1495"/>
      <c r="IZ70" s="1495"/>
      <c r="JA70" s="1495"/>
      <c r="JB70" s="1495"/>
      <c r="JC70" s="1495"/>
      <c r="JD70" s="1495"/>
      <c r="JE70" s="1495"/>
      <c r="JF70" s="1495"/>
      <c r="JG70" s="1495"/>
      <c r="JH70" s="1495"/>
      <c r="JI70" s="1495"/>
      <c r="JJ70" s="1495"/>
      <c r="JK70" s="1495"/>
      <c r="JL70" s="1495"/>
      <c r="JM70" s="1495"/>
      <c r="JN70" s="1495"/>
      <c r="JO70" s="1495"/>
      <c r="JP70" s="1495"/>
      <c r="JQ70" s="1495"/>
      <c r="JR70" s="1495"/>
      <c r="JS70" s="1495"/>
      <c r="JT70" s="1495"/>
      <c r="JU70" s="1495"/>
      <c r="JV70" s="1495"/>
      <c r="JW70" s="1495"/>
      <c r="JX70" s="1495"/>
      <c r="JY70" s="1495"/>
      <c r="JZ70" s="1495"/>
      <c r="KA70" s="1495"/>
      <c r="KB70" s="1495"/>
      <c r="KC70" s="1495"/>
      <c r="KD70" s="1495"/>
      <c r="KE70" s="1495"/>
      <c r="KF70" s="1495"/>
      <c r="KG70" s="1495"/>
      <c r="KH70" s="1495"/>
      <c r="KI70" s="1495"/>
      <c r="KJ70" s="1495"/>
      <c r="KK70" s="1495"/>
      <c r="KL70" s="1495"/>
      <c r="KM70" s="1495"/>
      <c r="KN70" s="1495"/>
      <c r="KO70" s="1495"/>
      <c r="KP70" s="1495"/>
      <c r="KQ70" s="1495"/>
      <c r="KR70" s="1495"/>
      <c r="KS70" s="1495"/>
      <c r="KT70" s="1495"/>
      <c r="KU70" s="1495"/>
      <c r="KV70" s="1495"/>
      <c r="KW70" s="1495"/>
      <c r="KX70" s="1495"/>
      <c r="KY70" s="1495"/>
      <c r="KZ70" s="1495"/>
      <c r="LA70" s="1495"/>
      <c r="LB70" s="1495"/>
    </row>
    <row r="71" spans="1:314">
      <c r="A71" s="1495"/>
      <c r="B71" s="418"/>
      <c r="C71" s="1495"/>
      <c r="D71" s="1495"/>
      <c r="E71" s="1495"/>
      <c r="F71" s="1495"/>
      <c r="G71" s="1495"/>
      <c r="H71" s="1495"/>
      <c r="I71" s="1495"/>
      <c r="J71" s="1495"/>
      <c r="K71" s="1495"/>
      <c r="L71" s="1495"/>
      <c r="M71" s="1495"/>
      <c r="N71" s="1495"/>
      <c r="O71" s="1495"/>
      <c r="P71" s="1495"/>
      <c r="Q71" s="1495"/>
      <c r="R71" s="1495"/>
      <c r="S71" s="1495"/>
      <c r="T71" s="1495"/>
      <c r="U71" s="1495"/>
      <c r="V71" s="1495"/>
      <c r="W71" s="1495"/>
      <c r="X71" s="1495"/>
      <c r="Y71" s="1495"/>
      <c r="Z71" s="1495"/>
      <c r="AA71" s="1495"/>
      <c r="AB71" s="1495"/>
      <c r="AC71" s="1495"/>
      <c r="AD71" s="1495"/>
      <c r="AE71" s="1495"/>
      <c r="AF71" s="1495"/>
      <c r="AG71" s="1495"/>
      <c r="AH71" s="1495"/>
      <c r="AI71" s="1495"/>
      <c r="AJ71" s="1495"/>
      <c r="AK71" s="1495"/>
      <c r="AL71" s="1495"/>
      <c r="AM71" s="1495"/>
      <c r="AN71" s="1495"/>
      <c r="AO71" s="1495"/>
      <c r="AP71" s="1495"/>
      <c r="AQ71" s="1495"/>
      <c r="AR71" s="1495"/>
      <c r="AS71" s="1495"/>
      <c r="AT71" s="1495"/>
      <c r="AU71" s="1495"/>
      <c r="AV71" s="1495"/>
      <c r="AW71" s="1495"/>
      <c r="AX71" s="1495"/>
      <c r="AY71" s="1495"/>
      <c r="AZ71" s="1495"/>
      <c r="BA71" s="1495"/>
      <c r="BB71" s="1495"/>
      <c r="BC71" s="1495"/>
      <c r="BD71" s="1495"/>
      <c r="BE71" s="1495"/>
      <c r="BF71" s="1495"/>
      <c r="BG71" s="1495"/>
      <c r="BH71" s="1495"/>
      <c r="BI71" s="1495"/>
      <c r="BJ71" s="1495"/>
      <c r="BK71" s="1495"/>
      <c r="BL71" s="1495"/>
      <c r="BM71" s="1495"/>
      <c r="BN71" s="1495"/>
      <c r="BO71" s="1495"/>
      <c r="BP71" s="418"/>
      <c r="BQ71" s="1495"/>
      <c r="BR71" s="1495"/>
      <c r="BS71" s="1495"/>
      <c r="BT71" s="1495"/>
      <c r="BU71" s="1495"/>
      <c r="BV71" s="1495"/>
      <c r="BW71" s="1495"/>
      <c r="BX71" s="1495"/>
      <c r="BY71" s="1495"/>
      <c r="BZ71" s="1495"/>
      <c r="CA71" s="1495"/>
      <c r="CB71" s="1495"/>
      <c r="CC71" s="1495"/>
      <c r="CD71" s="1495"/>
      <c r="CE71" s="1495"/>
      <c r="CF71" s="1495"/>
      <c r="CG71" s="1495"/>
      <c r="CH71" s="1495"/>
      <c r="CI71" s="1495"/>
      <c r="CJ71" s="1495"/>
      <c r="CK71" s="1495"/>
      <c r="CL71" s="1495"/>
      <c r="CM71" s="1495"/>
      <c r="CN71" s="1495"/>
      <c r="CO71" s="1495"/>
      <c r="CP71" s="1495"/>
      <c r="CQ71" s="1495"/>
      <c r="CR71" s="1495"/>
      <c r="CS71" s="1495"/>
      <c r="CT71" s="1495"/>
      <c r="CU71" s="1495"/>
      <c r="CV71" s="1495"/>
      <c r="CW71" s="1495"/>
      <c r="CX71" s="1495"/>
      <c r="CY71" s="1495"/>
      <c r="CZ71" s="1495"/>
      <c r="DA71" s="1495"/>
      <c r="DB71" s="1495"/>
      <c r="DC71" s="1495"/>
      <c r="DD71" s="1495"/>
      <c r="DE71" s="1495"/>
      <c r="DF71" s="1495"/>
      <c r="DG71" s="1495"/>
      <c r="DH71" s="1495"/>
      <c r="DI71" s="1495"/>
      <c r="DJ71" s="1495"/>
      <c r="DK71" s="1495"/>
      <c r="DL71" s="1495"/>
      <c r="DM71" s="1495"/>
      <c r="DN71" s="1495"/>
      <c r="DO71" s="1495"/>
      <c r="DP71" s="1495"/>
      <c r="DQ71" s="1495"/>
      <c r="DR71" s="1495"/>
      <c r="DS71" s="1495"/>
      <c r="DT71" s="1495"/>
      <c r="DU71" s="1495"/>
      <c r="DV71" s="1495"/>
      <c r="DW71" s="1495"/>
      <c r="DX71" s="1495"/>
      <c r="DY71" s="1495"/>
      <c r="DZ71" s="1495"/>
      <c r="EA71" s="1495"/>
      <c r="EB71" s="1495"/>
      <c r="EC71" s="1495"/>
      <c r="ED71" s="407"/>
      <c r="EE71" s="1495"/>
      <c r="EF71" s="407"/>
      <c r="EG71" s="1495"/>
      <c r="EH71" s="1495"/>
      <c r="EI71" s="1495"/>
      <c r="EJ71" s="1495"/>
      <c r="EK71" s="1495"/>
      <c r="EL71" s="407"/>
      <c r="EM71" s="1495"/>
      <c r="EN71" s="407"/>
      <c r="EO71" s="1495"/>
      <c r="EP71" s="1495"/>
      <c r="EQ71" s="1495"/>
      <c r="ER71" s="1495"/>
      <c r="ES71" s="407"/>
      <c r="ET71" s="1495"/>
      <c r="EU71" s="1495"/>
      <c r="EV71" s="1495"/>
      <c r="EW71" s="1495"/>
      <c r="EX71" s="1495"/>
      <c r="EY71" s="1495"/>
      <c r="EZ71" s="1495"/>
      <c r="FA71" s="1495"/>
      <c r="FB71" s="1495"/>
      <c r="FC71" s="1495"/>
      <c r="FD71" s="1495"/>
      <c r="FE71" s="1495"/>
      <c r="FF71" s="1495"/>
      <c r="FG71" s="1495"/>
      <c r="FH71" s="1495"/>
      <c r="FI71" s="1495"/>
      <c r="FJ71" s="1495"/>
      <c r="FK71" s="1495"/>
      <c r="FL71" s="1495"/>
      <c r="FM71" s="1495"/>
      <c r="FN71" s="1495"/>
      <c r="FO71" s="1495"/>
      <c r="FP71" s="1495"/>
      <c r="FQ71" s="1495"/>
      <c r="FR71" s="1495"/>
      <c r="FS71" s="1495"/>
      <c r="FT71" s="1495"/>
      <c r="FU71" s="1495"/>
      <c r="FV71" s="1495"/>
      <c r="FW71" s="1495"/>
      <c r="FX71" s="1495"/>
      <c r="FY71" s="1495"/>
      <c r="FZ71" s="1495"/>
      <c r="GA71" s="1495"/>
      <c r="GB71" s="1495"/>
      <c r="GC71" s="1495"/>
      <c r="GD71" s="1495"/>
      <c r="GE71" s="1495"/>
      <c r="GF71" s="1495"/>
      <c r="GG71" s="1495"/>
      <c r="GH71" s="1495"/>
      <c r="GI71" s="1495"/>
      <c r="GJ71" s="1495"/>
      <c r="GK71" s="1495"/>
      <c r="GL71" s="1495"/>
      <c r="GM71" s="1495"/>
      <c r="GN71" s="1495"/>
      <c r="GO71" s="1495"/>
      <c r="GP71" s="1495"/>
      <c r="GQ71" s="1495"/>
      <c r="GR71" s="1495"/>
      <c r="GS71" s="1495"/>
      <c r="GT71" s="1495"/>
      <c r="GU71" s="1495"/>
      <c r="GV71" s="1495"/>
      <c r="GW71" s="1882"/>
      <c r="GX71" s="1495"/>
      <c r="GY71" s="408"/>
      <c r="GZ71" s="363"/>
      <c r="HA71" s="408"/>
      <c r="HB71" s="408"/>
      <c r="HC71" s="1495"/>
      <c r="HD71" s="408"/>
      <c r="HE71" s="408"/>
      <c r="HF71" s="408"/>
      <c r="HG71" s="1495"/>
      <c r="HH71" s="1495"/>
      <c r="HI71" s="1495"/>
      <c r="HJ71" s="1495"/>
      <c r="HK71" s="1495"/>
      <c r="HL71" s="1495"/>
      <c r="HM71" s="1495"/>
      <c r="HN71" s="1495"/>
      <c r="HO71" s="1495"/>
      <c r="HP71" s="1495"/>
      <c r="HQ71" s="1495"/>
      <c r="HR71" s="1495"/>
      <c r="HS71" s="1495"/>
      <c r="HT71" s="1495"/>
      <c r="HU71" s="1495"/>
      <c r="HV71" s="1495"/>
      <c r="HW71" s="1495"/>
      <c r="HX71" s="1495"/>
      <c r="HY71" s="1495"/>
      <c r="HZ71" s="1495"/>
      <c r="IA71" s="1495"/>
      <c r="IB71" s="1495"/>
      <c r="IC71" s="1495"/>
      <c r="ID71" s="1495"/>
      <c r="IE71" s="1495"/>
      <c r="IF71" s="1495"/>
      <c r="IG71" s="1495"/>
      <c r="IH71" s="1495"/>
      <c r="II71" s="1495"/>
      <c r="IJ71" s="1495"/>
      <c r="IK71" s="1495"/>
      <c r="IL71" s="1495"/>
      <c r="IM71" s="1495"/>
      <c r="IN71" s="1495"/>
      <c r="IO71" s="1495"/>
      <c r="IP71" s="1495"/>
      <c r="IQ71" s="1495"/>
      <c r="IR71" s="1495"/>
      <c r="IS71" s="1495"/>
      <c r="IT71" s="1495"/>
      <c r="IU71" s="1495"/>
      <c r="IV71" s="1495"/>
      <c r="IW71" s="1495"/>
      <c r="IX71" s="1495"/>
      <c r="IY71" s="1495"/>
      <c r="IZ71" s="1495"/>
      <c r="JA71" s="1495"/>
      <c r="JB71" s="1495"/>
      <c r="JC71" s="1495"/>
      <c r="JD71" s="1495"/>
      <c r="JE71" s="1495"/>
      <c r="JF71" s="1495"/>
      <c r="JG71" s="1495"/>
      <c r="JH71" s="1495"/>
      <c r="JI71" s="1495"/>
      <c r="JJ71" s="1495"/>
      <c r="JK71" s="1495"/>
      <c r="JL71" s="1495"/>
      <c r="JM71" s="1495"/>
      <c r="JN71" s="1495"/>
      <c r="JO71" s="1495"/>
      <c r="JP71" s="1495"/>
      <c r="JQ71" s="1495"/>
      <c r="JR71" s="1495"/>
      <c r="JS71" s="1495"/>
      <c r="JT71" s="1495"/>
      <c r="JU71" s="1495"/>
      <c r="JV71" s="1495"/>
      <c r="JW71" s="1495"/>
      <c r="JX71" s="1495"/>
      <c r="JY71" s="1495"/>
      <c r="JZ71" s="1495"/>
      <c r="KA71" s="1495"/>
      <c r="KB71" s="1495"/>
      <c r="KC71" s="1495"/>
      <c r="KD71" s="1495"/>
      <c r="KE71" s="1495"/>
      <c r="KF71" s="1495"/>
      <c r="KG71" s="1495"/>
      <c r="KH71" s="1495"/>
      <c r="KI71" s="1495"/>
      <c r="KJ71" s="1495"/>
      <c r="KK71" s="1495"/>
      <c r="KL71" s="1495"/>
      <c r="KM71" s="1495"/>
      <c r="KN71" s="1495"/>
      <c r="KO71" s="1495"/>
      <c r="KP71" s="1495"/>
      <c r="KQ71" s="1495"/>
      <c r="KR71" s="1495"/>
      <c r="KS71" s="1495"/>
      <c r="KT71" s="1495"/>
      <c r="KU71" s="1495"/>
      <c r="KV71" s="1495"/>
      <c r="KW71" s="1495"/>
      <c r="KX71" s="1495"/>
      <c r="KY71" s="1495"/>
      <c r="KZ71" s="1495"/>
      <c r="LA71" s="1495"/>
      <c r="LB71" s="1495"/>
    </row>
    <row r="72" spans="1:314">
      <c r="A72" s="1495"/>
      <c r="B72" s="418"/>
      <c r="C72" s="1495"/>
      <c r="D72" s="1495"/>
      <c r="E72" s="1495"/>
      <c r="F72" s="1495"/>
      <c r="G72" s="1495"/>
      <c r="H72" s="1495"/>
      <c r="I72" s="1495"/>
      <c r="J72" s="1495"/>
      <c r="K72" s="1495"/>
      <c r="L72" s="1495"/>
      <c r="M72" s="1495"/>
      <c r="N72" s="1495"/>
      <c r="O72" s="1495"/>
      <c r="P72" s="1495"/>
      <c r="Q72" s="1495"/>
      <c r="R72" s="1495"/>
      <c r="S72" s="1495"/>
      <c r="T72" s="1495"/>
      <c r="U72" s="1495"/>
      <c r="V72" s="1495"/>
      <c r="W72" s="1495"/>
      <c r="X72" s="1495"/>
      <c r="Y72" s="1495"/>
      <c r="Z72" s="1495"/>
      <c r="AA72" s="1495"/>
      <c r="AB72" s="1495"/>
      <c r="AC72" s="1495"/>
      <c r="AD72" s="1495"/>
      <c r="AE72" s="1495"/>
      <c r="AF72" s="1495"/>
      <c r="AG72" s="1495"/>
      <c r="AH72" s="1495"/>
      <c r="AI72" s="1495"/>
      <c r="AJ72" s="1495"/>
      <c r="AK72" s="1495"/>
      <c r="AL72" s="1495"/>
      <c r="AM72" s="1495"/>
      <c r="AN72" s="1495"/>
      <c r="AO72" s="1495"/>
      <c r="AP72" s="1495"/>
      <c r="AQ72" s="1495"/>
      <c r="AR72" s="1495"/>
      <c r="AS72" s="1495"/>
      <c r="AT72" s="1495"/>
      <c r="AU72" s="1495"/>
      <c r="AV72" s="1495"/>
      <c r="AW72" s="1495"/>
      <c r="AX72" s="1495"/>
      <c r="AY72" s="1495"/>
      <c r="AZ72" s="1495"/>
      <c r="BA72" s="1495"/>
      <c r="BB72" s="1495"/>
      <c r="BC72" s="1495"/>
      <c r="BD72" s="1495"/>
      <c r="BE72" s="1495"/>
      <c r="BF72" s="1495"/>
      <c r="BG72" s="1495"/>
      <c r="BH72" s="1495"/>
      <c r="BI72" s="1495"/>
      <c r="BJ72" s="1495"/>
      <c r="BK72" s="1495"/>
      <c r="BL72" s="1495"/>
      <c r="BM72" s="1495"/>
      <c r="BN72" s="1495"/>
      <c r="BO72" s="1495"/>
      <c r="BP72" s="418"/>
      <c r="BQ72" s="1495"/>
      <c r="BR72" s="1495"/>
      <c r="BS72" s="1495"/>
      <c r="BT72" s="1495"/>
      <c r="BU72" s="1495"/>
      <c r="BV72" s="1495"/>
      <c r="BW72" s="1495"/>
      <c r="BX72" s="1495"/>
      <c r="BY72" s="1495"/>
      <c r="BZ72" s="1495"/>
      <c r="CA72" s="1495"/>
      <c r="CB72" s="1495"/>
      <c r="CC72" s="1495"/>
      <c r="CD72" s="1495"/>
      <c r="CE72" s="1495"/>
      <c r="CF72" s="1495"/>
      <c r="CG72" s="1495"/>
      <c r="CH72" s="1495"/>
      <c r="CI72" s="1495"/>
      <c r="CJ72" s="1495"/>
      <c r="CK72" s="1495"/>
      <c r="CL72" s="1495"/>
      <c r="CM72" s="1495"/>
      <c r="CN72" s="1495"/>
      <c r="CO72" s="1495"/>
      <c r="CP72" s="1495"/>
      <c r="CQ72" s="1495"/>
      <c r="CR72" s="1495"/>
      <c r="CS72" s="1495"/>
      <c r="CT72" s="1495"/>
      <c r="CU72" s="1495"/>
      <c r="CV72" s="1495"/>
      <c r="CW72" s="1495"/>
      <c r="CX72" s="1495"/>
      <c r="CY72" s="1495"/>
      <c r="CZ72" s="1495"/>
      <c r="DA72" s="1495"/>
      <c r="DB72" s="1495"/>
      <c r="DC72" s="1495"/>
      <c r="DD72" s="1495"/>
      <c r="DE72" s="1495"/>
      <c r="DF72" s="1495"/>
      <c r="DG72" s="1495"/>
      <c r="DH72" s="1495"/>
      <c r="DI72" s="1495"/>
      <c r="DJ72" s="1495"/>
      <c r="DK72" s="1495"/>
      <c r="DL72" s="1495"/>
      <c r="DM72" s="1495"/>
      <c r="DN72" s="1495"/>
      <c r="DO72" s="1495"/>
      <c r="DP72" s="1495"/>
      <c r="DQ72" s="1495"/>
      <c r="DR72" s="1495"/>
      <c r="DS72" s="1495"/>
      <c r="DT72" s="1495"/>
      <c r="DU72" s="1495"/>
      <c r="DV72" s="1495"/>
      <c r="DW72" s="1495"/>
      <c r="DX72" s="1495"/>
      <c r="DY72" s="1495"/>
      <c r="DZ72" s="1495"/>
      <c r="EA72" s="1495"/>
      <c r="EB72" s="1495"/>
      <c r="EC72" s="1495"/>
      <c r="ED72" s="407"/>
      <c r="EE72" s="1495"/>
      <c r="EF72" s="407"/>
      <c r="EG72" s="1495"/>
      <c r="EH72" s="1495"/>
      <c r="EI72" s="1495"/>
      <c r="EJ72" s="1495"/>
      <c r="EK72" s="1495"/>
      <c r="EL72" s="407"/>
      <c r="EM72" s="1495"/>
      <c r="EN72" s="407"/>
      <c r="EO72" s="1495"/>
      <c r="EP72" s="1495"/>
      <c r="EQ72" s="1495"/>
      <c r="ER72" s="1495"/>
      <c r="ES72" s="407"/>
      <c r="ET72" s="1495"/>
      <c r="EU72" s="1495"/>
      <c r="EV72" s="1495"/>
      <c r="EW72" s="1495"/>
      <c r="EX72" s="1495"/>
      <c r="EY72" s="1495"/>
      <c r="EZ72" s="1495"/>
      <c r="FA72" s="1495"/>
      <c r="FB72" s="1495"/>
      <c r="FC72" s="1495"/>
      <c r="FD72" s="1495"/>
      <c r="FE72" s="1495"/>
      <c r="FF72" s="1495"/>
      <c r="FG72" s="1495"/>
      <c r="FH72" s="1495"/>
      <c r="FI72" s="1495"/>
      <c r="FJ72" s="1495"/>
      <c r="FK72" s="1495"/>
      <c r="FL72" s="1495"/>
      <c r="FM72" s="1495"/>
      <c r="FN72" s="1495"/>
      <c r="FO72" s="1495"/>
      <c r="FP72" s="1495"/>
      <c r="FQ72" s="1495"/>
      <c r="FR72" s="1495"/>
      <c r="FS72" s="1495"/>
      <c r="FT72" s="1495"/>
      <c r="FU72" s="1495"/>
      <c r="FV72" s="1495"/>
      <c r="FW72" s="1495"/>
      <c r="FX72" s="1495"/>
      <c r="FY72" s="1495"/>
      <c r="FZ72" s="1495"/>
      <c r="GA72" s="1495"/>
      <c r="GB72" s="1495"/>
      <c r="GC72" s="1495"/>
      <c r="GD72" s="1495"/>
      <c r="GE72" s="1495"/>
      <c r="GF72" s="1495"/>
      <c r="GG72" s="1495"/>
      <c r="GH72" s="1495"/>
      <c r="GI72" s="1495"/>
      <c r="GJ72" s="1495"/>
      <c r="GK72" s="1495"/>
      <c r="GL72" s="1495"/>
      <c r="GM72" s="1495"/>
      <c r="GN72" s="1495"/>
      <c r="GO72" s="1495"/>
      <c r="GP72" s="1495"/>
      <c r="GQ72" s="1495"/>
      <c r="GR72" s="1495"/>
      <c r="GS72" s="1495"/>
      <c r="GT72" s="1495"/>
      <c r="GU72" s="1495"/>
      <c r="GV72" s="1495"/>
      <c r="GW72" s="1882"/>
      <c r="GX72" s="1495"/>
      <c r="GY72" s="408"/>
      <c r="GZ72" s="363"/>
      <c r="HA72" s="408"/>
      <c r="HB72" s="408"/>
      <c r="HC72" s="408"/>
      <c r="HD72" s="408"/>
      <c r="HE72" s="408"/>
      <c r="HF72" s="408"/>
      <c r="HG72" s="1495"/>
      <c r="HH72" s="1495"/>
      <c r="HI72" s="1495"/>
      <c r="HJ72" s="1495"/>
      <c r="HK72" s="1495"/>
      <c r="HL72" s="1495"/>
      <c r="HM72" s="1495"/>
      <c r="HN72" s="1495"/>
      <c r="HO72" s="1495"/>
      <c r="HP72" s="1495"/>
      <c r="HQ72" s="1495"/>
      <c r="HR72" s="1495"/>
      <c r="HS72" s="1495"/>
      <c r="HT72" s="1495"/>
      <c r="HU72" s="1495"/>
      <c r="HV72" s="1495"/>
      <c r="HW72" s="1495"/>
      <c r="HX72" s="1495"/>
      <c r="HY72" s="1495"/>
      <c r="HZ72" s="1495"/>
      <c r="IA72" s="1495"/>
      <c r="IB72" s="1495"/>
      <c r="IC72" s="1495"/>
      <c r="ID72" s="1495"/>
      <c r="IE72" s="1495"/>
      <c r="IF72" s="1495"/>
      <c r="IG72" s="1495"/>
      <c r="IH72" s="1495"/>
      <c r="II72" s="1495"/>
      <c r="IJ72" s="1495"/>
      <c r="IK72" s="1495"/>
      <c r="IL72" s="1495"/>
      <c r="IM72" s="1495"/>
      <c r="IN72" s="1495"/>
      <c r="IO72" s="1495"/>
      <c r="IP72" s="1495"/>
      <c r="IQ72" s="1495"/>
      <c r="IR72" s="1495"/>
      <c r="IS72" s="1495"/>
      <c r="IT72" s="1495"/>
      <c r="IU72" s="1495"/>
      <c r="IV72" s="1495"/>
      <c r="IW72" s="1495"/>
      <c r="IX72" s="1495"/>
      <c r="IY72" s="1495"/>
      <c r="IZ72" s="1495"/>
      <c r="JA72" s="1495"/>
      <c r="JB72" s="1495"/>
      <c r="JC72" s="1495"/>
      <c r="JD72" s="1495"/>
      <c r="JE72" s="1495"/>
      <c r="JF72" s="1495"/>
      <c r="JG72" s="1495"/>
      <c r="JH72" s="1495"/>
      <c r="JI72" s="1495"/>
      <c r="JJ72" s="1495"/>
      <c r="JK72" s="1495"/>
      <c r="JL72" s="1495"/>
      <c r="JM72" s="1495"/>
      <c r="JN72" s="1495"/>
      <c r="JO72" s="1495"/>
      <c r="JP72" s="1495"/>
      <c r="JQ72" s="1495"/>
      <c r="JR72" s="1495"/>
      <c r="JS72" s="1495"/>
      <c r="JT72" s="1495"/>
      <c r="JU72" s="1495"/>
      <c r="JV72" s="1495"/>
      <c r="JW72" s="1495"/>
      <c r="JX72" s="1495"/>
      <c r="JY72" s="1495"/>
      <c r="JZ72" s="1495"/>
      <c r="KA72" s="1495"/>
      <c r="KB72" s="1495"/>
      <c r="KC72" s="1495"/>
      <c r="KD72" s="1495"/>
      <c r="KE72" s="1495"/>
      <c r="KF72" s="1495"/>
      <c r="KG72" s="1495"/>
      <c r="KH72" s="1495"/>
      <c r="KI72" s="1495"/>
      <c r="KJ72" s="1495"/>
      <c r="KK72" s="1495"/>
      <c r="KL72" s="1495"/>
      <c r="KM72" s="1495"/>
      <c r="KN72" s="1495"/>
      <c r="KO72" s="1495"/>
      <c r="KP72" s="1495"/>
      <c r="KQ72" s="1495"/>
      <c r="KR72" s="1495"/>
      <c r="KS72" s="1495"/>
      <c r="KT72" s="1495"/>
      <c r="KU72" s="1495"/>
      <c r="KV72" s="1495"/>
      <c r="KW72" s="1495"/>
      <c r="KX72" s="1495"/>
      <c r="KY72" s="1495"/>
      <c r="KZ72" s="1495"/>
      <c r="LA72" s="1495"/>
      <c r="LB72" s="1495"/>
    </row>
    <row r="73" spans="1:314">
      <c r="A73" s="1495"/>
      <c r="B73" s="418"/>
      <c r="C73" s="1495"/>
      <c r="D73" s="1495"/>
      <c r="E73" s="1495"/>
      <c r="F73" s="1495"/>
      <c r="G73" s="1495"/>
      <c r="H73" s="1495"/>
      <c r="I73" s="1495"/>
      <c r="J73" s="1495"/>
      <c r="K73" s="1495"/>
      <c r="L73" s="1495"/>
      <c r="M73" s="1495"/>
      <c r="N73" s="1495"/>
      <c r="O73" s="1495"/>
      <c r="P73" s="1495"/>
      <c r="Q73" s="1495"/>
      <c r="R73" s="1495"/>
      <c r="S73" s="1495"/>
      <c r="T73" s="1495"/>
      <c r="U73" s="1495"/>
      <c r="V73" s="1495"/>
      <c r="W73" s="1495"/>
      <c r="X73" s="1495"/>
      <c r="Y73" s="1495"/>
      <c r="Z73" s="1495"/>
      <c r="AA73" s="1495"/>
      <c r="AB73" s="1495"/>
      <c r="AC73" s="1495"/>
      <c r="AD73" s="1495"/>
      <c r="AE73" s="1495"/>
      <c r="AF73" s="1495"/>
      <c r="AG73" s="1495"/>
      <c r="AH73" s="1495"/>
      <c r="AI73" s="1495"/>
      <c r="AJ73" s="1495"/>
      <c r="AK73" s="1495"/>
      <c r="AL73" s="1495"/>
      <c r="AM73" s="1495"/>
      <c r="AN73" s="1495"/>
      <c r="AO73" s="1495"/>
      <c r="AP73" s="1495"/>
      <c r="AQ73" s="1495"/>
      <c r="AR73" s="1495"/>
      <c r="AS73" s="1495"/>
      <c r="AT73" s="1495"/>
      <c r="AU73" s="1495"/>
      <c r="AV73" s="1495"/>
      <c r="AW73" s="1495"/>
      <c r="AX73" s="1495"/>
      <c r="AY73" s="1495"/>
      <c r="AZ73" s="1495"/>
      <c r="BA73" s="1495"/>
      <c r="BB73" s="1495"/>
      <c r="BC73" s="1495"/>
      <c r="BD73" s="1495"/>
      <c r="BE73" s="1495"/>
      <c r="BF73" s="1495"/>
      <c r="BG73" s="1495"/>
      <c r="BH73" s="1495"/>
      <c r="BI73" s="1495"/>
      <c r="BJ73" s="1495"/>
      <c r="BK73" s="1495"/>
      <c r="BL73" s="1495"/>
      <c r="BM73" s="1495"/>
      <c r="BN73" s="1495"/>
      <c r="BO73" s="1495"/>
      <c r="BP73" s="418"/>
      <c r="BQ73" s="1495"/>
      <c r="BR73" s="1495"/>
      <c r="BS73" s="1495"/>
      <c r="BT73" s="1495"/>
      <c r="BU73" s="1495"/>
      <c r="BV73" s="1495"/>
      <c r="BW73" s="1495"/>
      <c r="BX73" s="1495"/>
      <c r="BY73" s="1495"/>
      <c r="BZ73" s="1495"/>
      <c r="CA73" s="1495"/>
      <c r="CB73" s="1495"/>
      <c r="CC73" s="1495"/>
      <c r="CD73" s="1495"/>
      <c r="CE73" s="1495"/>
      <c r="CF73" s="1495"/>
      <c r="CG73" s="1495"/>
      <c r="CH73" s="1495"/>
      <c r="CI73" s="1495"/>
      <c r="CJ73" s="1495"/>
      <c r="CK73" s="1495"/>
      <c r="CL73" s="1495"/>
      <c r="CM73" s="1495"/>
      <c r="CN73" s="1495"/>
      <c r="CO73" s="1495"/>
      <c r="CP73" s="1495"/>
      <c r="CQ73" s="1495"/>
      <c r="CR73" s="1495"/>
      <c r="CS73" s="1495"/>
      <c r="CT73" s="1495"/>
      <c r="CU73" s="1495"/>
      <c r="CV73" s="1495"/>
      <c r="CW73" s="1495"/>
      <c r="CX73" s="1495"/>
      <c r="CY73" s="1495"/>
      <c r="CZ73" s="1495"/>
      <c r="DA73" s="1495"/>
      <c r="DB73" s="1495"/>
      <c r="DC73" s="1495"/>
      <c r="DD73" s="1495"/>
      <c r="DE73" s="1495"/>
      <c r="DF73" s="1495"/>
      <c r="DG73" s="407"/>
      <c r="DH73" s="1495"/>
      <c r="DI73" s="407"/>
      <c r="DJ73" s="1495"/>
      <c r="DK73" s="1495"/>
      <c r="DL73" s="1495"/>
      <c r="DM73" s="1495"/>
      <c r="DN73" s="1495"/>
      <c r="DO73" s="1495"/>
      <c r="DP73" s="1495"/>
      <c r="DQ73" s="1495"/>
      <c r="DR73" s="1495"/>
      <c r="DS73" s="1495"/>
      <c r="DT73" s="1495"/>
      <c r="DU73" s="1495"/>
      <c r="DV73" s="1495"/>
      <c r="DW73" s="1495"/>
      <c r="DX73" s="1495"/>
      <c r="DY73" s="1495"/>
      <c r="DZ73" s="1495"/>
      <c r="EA73" s="1495"/>
      <c r="EB73" s="1495"/>
      <c r="EC73" s="1495"/>
      <c r="ED73" s="407"/>
      <c r="EE73" s="1495"/>
      <c r="EF73" s="407"/>
      <c r="EG73" s="1495"/>
      <c r="EH73" s="1495"/>
      <c r="EI73" s="1495"/>
      <c r="EJ73" s="1495"/>
      <c r="EK73" s="1495"/>
      <c r="EL73" s="407"/>
      <c r="EM73" s="1495"/>
      <c r="EN73" s="407"/>
      <c r="EO73" s="1495"/>
      <c r="EP73" s="1495"/>
      <c r="EQ73" s="1495"/>
      <c r="ER73" s="1495"/>
      <c r="ES73" s="407"/>
      <c r="ET73" s="1495"/>
      <c r="EU73" s="1495"/>
      <c r="EV73" s="1495"/>
      <c r="EW73" s="1495"/>
      <c r="EX73" s="1495"/>
      <c r="EY73" s="1495"/>
      <c r="EZ73" s="1495"/>
      <c r="FA73" s="1495"/>
      <c r="FB73" s="1495"/>
      <c r="FC73" s="1495"/>
      <c r="FD73" s="1495"/>
      <c r="FE73" s="1495"/>
      <c r="FF73" s="1495"/>
      <c r="FG73" s="1495"/>
      <c r="FH73" s="1495"/>
      <c r="FI73" s="1495"/>
      <c r="FJ73" s="1495"/>
      <c r="FK73" s="1495"/>
      <c r="FL73" s="1495"/>
      <c r="FM73" s="1495"/>
      <c r="FN73" s="1495"/>
      <c r="FO73" s="1495"/>
      <c r="FP73" s="1495"/>
      <c r="FQ73" s="1495"/>
      <c r="FR73" s="1495"/>
      <c r="FS73" s="1495"/>
      <c r="FT73" s="1495"/>
      <c r="FU73" s="1495"/>
      <c r="FV73" s="1495"/>
      <c r="FW73" s="1495"/>
      <c r="FX73" s="1495"/>
      <c r="FY73" s="1495"/>
      <c r="FZ73" s="1495"/>
      <c r="GA73" s="1495"/>
      <c r="GB73" s="1495"/>
      <c r="GC73" s="1495"/>
      <c r="GD73" s="1495"/>
      <c r="GE73" s="1495"/>
      <c r="GF73" s="1495"/>
      <c r="GG73" s="1495"/>
      <c r="GH73" s="1495"/>
      <c r="GI73" s="1495"/>
      <c r="GJ73" s="1495"/>
      <c r="GK73" s="1495"/>
      <c r="GL73" s="1495"/>
      <c r="GM73" s="1495"/>
      <c r="GN73" s="1495"/>
      <c r="GO73" s="1495"/>
      <c r="GP73" s="1495"/>
      <c r="GQ73" s="1495"/>
      <c r="GR73" s="1495"/>
      <c r="GS73" s="1495"/>
      <c r="GT73" s="1495"/>
      <c r="GU73" s="1495"/>
      <c r="GV73" s="1495"/>
      <c r="GW73" s="1882"/>
      <c r="GX73" s="1495"/>
      <c r="GY73" s="408"/>
      <c r="GZ73" s="363"/>
      <c r="HA73" s="408"/>
      <c r="HB73" s="408"/>
      <c r="HC73" s="408"/>
      <c r="HD73" s="408"/>
      <c r="HE73" s="408"/>
      <c r="HF73" s="408"/>
      <c r="HG73" s="1495"/>
      <c r="HH73" s="1495"/>
      <c r="HI73" s="1495"/>
      <c r="HJ73" s="1495"/>
      <c r="HK73" s="1495"/>
      <c r="HL73" s="1495"/>
      <c r="HM73" s="1495"/>
      <c r="HN73" s="1495"/>
      <c r="HO73" s="1495"/>
      <c r="HP73" s="1495"/>
      <c r="HQ73" s="1495"/>
      <c r="HR73" s="1495"/>
      <c r="HS73" s="1495"/>
      <c r="HT73" s="1495"/>
      <c r="HU73" s="1495"/>
      <c r="HV73" s="1495"/>
      <c r="HW73" s="1495"/>
      <c r="HX73" s="1495"/>
      <c r="HY73" s="1495"/>
      <c r="HZ73" s="1495"/>
      <c r="IA73" s="1495"/>
      <c r="IB73" s="1495"/>
      <c r="IC73" s="1495"/>
      <c r="ID73" s="1495"/>
      <c r="IE73" s="1495"/>
      <c r="IF73" s="1495"/>
      <c r="IG73" s="1495"/>
      <c r="IH73" s="1495"/>
      <c r="II73" s="1495"/>
      <c r="IJ73" s="1495"/>
      <c r="IK73" s="1495"/>
      <c r="IL73" s="1495"/>
      <c r="IM73" s="1495"/>
      <c r="IN73" s="1495"/>
      <c r="IO73" s="1495"/>
      <c r="IP73" s="1495"/>
      <c r="IQ73" s="1495"/>
      <c r="IR73" s="1495"/>
      <c r="IS73" s="1495"/>
      <c r="IT73" s="1495"/>
      <c r="IU73" s="1495"/>
      <c r="IV73" s="1495"/>
      <c r="IW73" s="1495"/>
      <c r="IX73" s="1495"/>
      <c r="IY73" s="1495"/>
      <c r="IZ73" s="1495"/>
      <c r="JA73" s="1495"/>
      <c r="JB73" s="1495"/>
      <c r="JC73" s="1495"/>
      <c r="JD73" s="1495"/>
      <c r="JE73" s="1495"/>
      <c r="JF73" s="1495"/>
      <c r="JG73" s="1495"/>
      <c r="JH73" s="1495"/>
      <c r="JI73" s="1495"/>
      <c r="JJ73" s="1495"/>
      <c r="JK73" s="1495"/>
      <c r="JL73" s="1495"/>
      <c r="JM73" s="1495"/>
      <c r="JN73" s="1495"/>
      <c r="JO73" s="1495"/>
      <c r="JP73" s="1495"/>
      <c r="JQ73" s="1495"/>
      <c r="JR73" s="1495"/>
      <c r="JS73" s="1495"/>
      <c r="JT73" s="1495"/>
      <c r="JU73" s="1495"/>
      <c r="JV73" s="1495"/>
      <c r="JW73" s="1495"/>
      <c r="JX73" s="1495"/>
      <c r="JY73" s="1495"/>
      <c r="JZ73" s="1495"/>
      <c r="KA73" s="1495"/>
      <c r="KB73" s="1495"/>
      <c r="KC73" s="1495"/>
      <c r="KD73" s="1495"/>
      <c r="KE73" s="1495"/>
      <c r="KF73" s="1495"/>
      <c r="KG73" s="1495"/>
      <c r="KH73" s="1495"/>
      <c r="KI73" s="1495"/>
      <c r="KJ73" s="1495"/>
      <c r="KK73" s="1495"/>
      <c r="KL73" s="1495"/>
      <c r="KM73" s="1495"/>
      <c r="KN73" s="1495"/>
      <c r="KO73" s="1495"/>
      <c r="KP73" s="1495"/>
      <c r="KQ73" s="1495"/>
      <c r="KR73" s="1495"/>
      <c r="KS73" s="1495"/>
      <c r="KT73" s="1495"/>
      <c r="KU73" s="1495"/>
      <c r="KV73" s="1495"/>
      <c r="KW73" s="1495"/>
      <c r="KX73" s="1495"/>
      <c r="KY73" s="1495"/>
      <c r="KZ73" s="1495"/>
      <c r="LA73" s="1495"/>
      <c r="LB73" s="1495"/>
    </row>
    <row r="74" spans="1:314">
      <c r="A74" s="1495"/>
      <c r="B74" s="418"/>
      <c r="C74" s="1495"/>
      <c r="D74" s="1495"/>
      <c r="E74" s="1495"/>
      <c r="F74" s="1495"/>
      <c r="G74" s="1495"/>
      <c r="H74" s="1495"/>
      <c r="I74" s="1495"/>
      <c r="J74" s="1495"/>
      <c r="K74" s="1495"/>
      <c r="L74" s="1495"/>
      <c r="M74" s="1495"/>
      <c r="N74" s="1495"/>
      <c r="O74" s="1495"/>
      <c r="P74" s="1495"/>
      <c r="Q74" s="1495"/>
      <c r="R74" s="1495"/>
      <c r="S74" s="1495"/>
      <c r="T74" s="1495"/>
      <c r="U74" s="1495"/>
      <c r="V74" s="1495"/>
      <c r="W74" s="1495"/>
      <c r="X74" s="1495"/>
      <c r="Y74" s="1495"/>
      <c r="Z74" s="1495"/>
      <c r="AA74" s="1495"/>
      <c r="AB74" s="1495"/>
      <c r="AC74" s="1495"/>
      <c r="AD74" s="1495"/>
      <c r="AE74" s="1495"/>
      <c r="AF74" s="1495"/>
      <c r="AG74" s="1495"/>
      <c r="AH74" s="1495"/>
      <c r="AI74" s="1495"/>
      <c r="AJ74" s="1495"/>
      <c r="AK74" s="1495"/>
      <c r="AL74" s="1495"/>
      <c r="AM74" s="1495"/>
      <c r="AN74" s="1495"/>
      <c r="AO74" s="1495"/>
      <c r="AP74" s="1495"/>
      <c r="AQ74" s="1495"/>
      <c r="AR74" s="1495"/>
      <c r="AS74" s="1495"/>
      <c r="AT74" s="1495"/>
      <c r="AU74" s="1495"/>
      <c r="AV74" s="1495"/>
      <c r="AW74" s="1495"/>
      <c r="AX74" s="1495"/>
      <c r="AY74" s="1495"/>
      <c r="AZ74" s="1495"/>
      <c r="BA74" s="1495"/>
      <c r="BB74" s="1495"/>
      <c r="BC74" s="1495"/>
      <c r="BD74" s="1495"/>
      <c r="BE74" s="1495"/>
      <c r="BF74" s="1495"/>
      <c r="BG74" s="1495"/>
      <c r="BH74" s="1495"/>
      <c r="BI74" s="1495"/>
      <c r="BJ74" s="1495"/>
      <c r="BK74" s="1495"/>
      <c r="BL74" s="1495"/>
      <c r="BM74" s="1495"/>
      <c r="BN74" s="1495"/>
      <c r="BO74" s="1495"/>
      <c r="BP74" s="418"/>
      <c r="BQ74" s="1495"/>
      <c r="BR74" s="1495"/>
      <c r="BS74" s="1495"/>
      <c r="BT74" s="1495"/>
      <c r="BU74" s="1495"/>
      <c r="BV74" s="1495"/>
      <c r="BW74" s="1495"/>
      <c r="BX74" s="1495"/>
      <c r="BY74" s="1495"/>
      <c r="BZ74" s="1495"/>
      <c r="CA74" s="1495"/>
      <c r="CB74" s="1495"/>
      <c r="CC74" s="1495"/>
      <c r="CD74" s="1495"/>
      <c r="CE74" s="1495"/>
      <c r="CF74" s="1495"/>
      <c r="CG74" s="1495"/>
      <c r="CH74" s="1495"/>
      <c r="CI74" s="1495"/>
      <c r="CJ74" s="1495"/>
      <c r="CK74" s="1495"/>
      <c r="CL74" s="1495"/>
      <c r="CM74" s="1495"/>
      <c r="CN74" s="1495"/>
      <c r="CO74" s="1495"/>
      <c r="CP74" s="1495"/>
      <c r="CQ74" s="1495"/>
      <c r="CR74" s="1495"/>
      <c r="CS74" s="1495"/>
      <c r="CT74" s="1495"/>
      <c r="CU74" s="1495"/>
      <c r="CV74" s="1495"/>
      <c r="CW74" s="1495"/>
      <c r="CX74" s="1495"/>
      <c r="CY74" s="1495"/>
      <c r="CZ74" s="1495"/>
      <c r="DA74" s="444"/>
      <c r="DB74" s="475"/>
      <c r="DC74" s="108"/>
      <c r="DD74" s="408"/>
      <c r="DE74" s="1495"/>
      <c r="DF74" s="1495"/>
      <c r="DG74" s="407"/>
      <c r="DH74" s="1495"/>
      <c r="DI74" s="407"/>
      <c r="DJ74" s="1495"/>
      <c r="DK74" s="1495"/>
      <c r="DL74" s="1495"/>
      <c r="DM74" s="1495"/>
      <c r="DN74" s="1495"/>
      <c r="DO74" s="1495"/>
      <c r="DP74" s="1495"/>
      <c r="DQ74" s="1495"/>
      <c r="DR74" s="1495"/>
      <c r="DS74" s="1495"/>
      <c r="DT74" s="1495"/>
      <c r="DU74" s="1495"/>
      <c r="DV74" s="1495"/>
      <c r="DW74" s="1495"/>
      <c r="DX74" s="1495"/>
      <c r="DY74" s="1495"/>
      <c r="DZ74" s="1495"/>
      <c r="EA74" s="1495"/>
      <c r="EB74" s="1495"/>
      <c r="EC74" s="1495"/>
      <c r="ED74" s="407"/>
      <c r="EE74" s="1495"/>
      <c r="EF74" s="407"/>
      <c r="EG74" s="1495"/>
      <c r="EH74" s="1495"/>
      <c r="EI74" s="1495"/>
      <c r="EJ74" s="1495"/>
      <c r="EK74" s="1495"/>
      <c r="EL74" s="407"/>
      <c r="EM74" s="1495"/>
      <c r="EN74" s="407"/>
      <c r="EO74" s="1495"/>
      <c r="EP74" s="1495"/>
      <c r="EQ74" s="1495"/>
      <c r="ER74" s="1495"/>
      <c r="ES74" s="407"/>
      <c r="ET74" s="1495"/>
      <c r="EU74" s="1495"/>
      <c r="EV74" s="1495"/>
      <c r="EW74" s="1495"/>
      <c r="EX74" s="1495"/>
      <c r="EY74" s="1495"/>
      <c r="EZ74" s="1495"/>
      <c r="FA74" s="1495"/>
      <c r="FB74" s="1495"/>
      <c r="FC74" s="1495"/>
      <c r="FD74" s="1495"/>
      <c r="FE74" s="1495"/>
      <c r="FF74" s="1495"/>
      <c r="FG74" s="1495"/>
      <c r="FH74" s="1495"/>
      <c r="FI74" s="1495"/>
      <c r="FJ74" s="1495"/>
      <c r="FK74" s="1495"/>
      <c r="FL74" s="1495"/>
      <c r="FM74" s="1495"/>
      <c r="FN74" s="1495"/>
      <c r="FO74" s="1495"/>
      <c r="FP74" s="1495"/>
      <c r="FQ74" s="1495"/>
      <c r="FR74" s="1495"/>
      <c r="FS74" s="1495"/>
      <c r="FT74" s="1495"/>
      <c r="FU74" s="1495"/>
      <c r="FV74" s="1495"/>
      <c r="FW74" s="1495"/>
      <c r="FX74" s="1495"/>
      <c r="FY74" s="1495"/>
      <c r="FZ74" s="1495"/>
      <c r="GA74" s="1495"/>
      <c r="GB74" s="1495"/>
      <c r="GC74" s="1495"/>
      <c r="GD74" s="1495"/>
      <c r="GE74" s="1495"/>
      <c r="GF74" s="1495"/>
      <c r="GG74" s="1495"/>
      <c r="GH74" s="1495"/>
      <c r="GI74" s="1495"/>
      <c r="GJ74" s="1495"/>
      <c r="GK74" s="1495"/>
      <c r="GL74" s="1495"/>
      <c r="GM74" s="1495"/>
      <c r="GN74" s="1495"/>
      <c r="GO74" s="1495"/>
      <c r="GP74" s="1495"/>
      <c r="GQ74" s="1495"/>
      <c r="GR74" s="1495"/>
      <c r="GS74" s="1495"/>
      <c r="GT74" s="1495"/>
      <c r="GU74" s="1495"/>
      <c r="GV74" s="1495"/>
      <c r="GW74" s="1882"/>
      <c r="GX74" s="1495"/>
      <c r="GY74" s="408"/>
      <c r="GZ74" s="363"/>
      <c r="HA74" s="408"/>
      <c r="HB74" s="408"/>
      <c r="HC74" s="408"/>
      <c r="HD74" s="408"/>
      <c r="HE74" s="408"/>
      <c r="HF74" s="408"/>
      <c r="HG74" s="1495"/>
      <c r="HH74" s="1495"/>
      <c r="HI74" s="1495"/>
      <c r="HJ74" s="1495"/>
      <c r="HK74" s="1495"/>
      <c r="HL74" s="1495"/>
      <c r="HM74" s="1495"/>
      <c r="HN74" s="1495"/>
      <c r="HO74" s="1495"/>
      <c r="HP74" s="1495"/>
      <c r="HQ74" s="1495"/>
      <c r="HR74" s="1495"/>
      <c r="HS74" s="1495"/>
      <c r="HT74" s="1495"/>
      <c r="HU74" s="1495"/>
      <c r="HV74" s="1495"/>
      <c r="HW74" s="1495"/>
      <c r="HX74" s="1495"/>
      <c r="HY74" s="1495"/>
      <c r="HZ74" s="1495"/>
      <c r="IA74" s="1495"/>
      <c r="IB74" s="1495"/>
      <c r="IC74" s="1495"/>
      <c r="ID74" s="1495"/>
      <c r="IE74" s="1495"/>
      <c r="IF74" s="1495"/>
      <c r="IG74" s="1495"/>
      <c r="IH74" s="1495"/>
      <c r="II74" s="1495"/>
      <c r="IJ74" s="1495"/>
      <c r="IK74" s="1495"/>
      <c r="IL74" s="1495"/>
      <c r="IM74" s="1495"/>
      <c r="IN74" s="1495"/>
      <c r="IO74" s="1495"/>
      <c r="IP74" s="1495"/>
      <c r="IQ74" s="1495"/>
      <c r="IR74" s="1495"/>
      <c r="IS74" s="1495"/>
      <c r="IT74" s="1495"/>
      <c r="IU74" s="1495"/>
      <c r="IV74" s="1495"/>
      <c r="IW74" s="1495"/>
      <c r="IX74" s="1495"/>
      <c r="IY74" s="1495"/>
      <c r="IZ74" s="1495"/>
      <c r="JA74" s="1495"/>
      <c r="JB74" s="1495"/>
      <c r="JC74" s="1495"/>
      <c r="JD74" s="1495"/>
      <c r="JE74" s="1495"/>
      <c r="JF74" s="1495"/>
      <c r="JG74" s="1495"/>
      <c r="JH74" s="1495"/>
      <c r="JI74" s="1495"/>
      <c r="JJ74" s="1495"/>
      <c r="JK74" s="1495"/>
      <c r="JL74" s="1495"/>
      <c r="JM74" s="1495"/>
      <c r="JN74" s="1495"/>
      <c r="JO74" s="1495"/>
      <c r="JP74" s="1495"/>
      <c r="JQ74" s="1495"/>
      <c r="JR74" s="1495"/>
      <c r="JS74" s="1495"/>
      <c r="JT74" s="1495"/>
      <c r="JU74" s="1495"/>
      <c r="JV74" s="1495"/>
      <c r="JW74" s="1495"/>
      <c r="JX74" s="1495"/>
      <c r="JY74" s="1495"/>
      <c r="JZ74" s="1495"/>
      <c r="KA74" s="1495"/>
      <c r="KB74" s="1495"/>
      <c r="KC74" s="1495"/>
      <c r="KD74" s="1495"/>
      <c r="KE74" s="1495"/>
      <c r="KF74" s="1495"/>
      <c r="KG74" s="1495"/>
      <c r="KH74" s="1495"/>
      <c r="KI74" s="1495"/>
      <c r="KJ74" s="1495"/>
      <c r="KK74" s="1495"/>
      <c r="KL74" s="1495"/>
      <c r="KM74" s="1495"/>
      <c r="KN74" s="1495"/>
      <c r="KO74" s="1495"/>
      <c r="KP74" s="1495"/>
      <c r="KQ74" s="1495"/>
      <c r="KR74" s="1495"/>
      <c r="KS74" s="1495"/>
      <c r="KT74" s="1495"/>
      <c r="KU74" s="1495"/>
      <c r="KV74" s="1495"/>
      <c r="KW74" s="1495"/>
      <c r="KX74" s="1495"/>
      <c r="KY74" s="1495"/>
      <c r="KZ74" s="1495"/>
      <c r="LA74" s="1495"/>
      <c r="LB74" s="1495"/>
    </row>
    <row r="75" spans="1:314">
      <c r="A75" s="1495"/>
      <c r="B75" s="418"/>
      <c r="C75" s="1495"/>
      <c r="D75" s="1495"/>
      <c r="E75" s="1495"/>
      <c r="F75" s="1495"/>
      <c r="G75" s="1495"/>
      <c r="H75" s="1495"/>
      <c r="I75" s="1495"/>
      <c r="J75" s="1495"/>
      <c r="K75" s="1495"/>
      <c r="L75" s="1495"/>
      <c r="M75" s="1495"/>
      <c r="N75" s="1495"/>
      <c r="O75" s="1495"/>
      <c r="P75" s="1495"/>
      <c r="Q75" s="1495"/>
      <c r="R75" s="1495"/>
      <c r="S75" s="1495"/>
      <c r="T75" s="1495"/>
      <c r="U75" s="1495"/>
      <c r="V75" s="1495"/>
      <c r="W75" s="1495"/>
      <c r="X75" s="1495"/>
      <c r="Y75" s="1495"/>
      <c r="Z75" s="1495"/>
      <c r="AA75" s="1495"/>
      <c r="AB75" s="1495"/>
      <c r="AC75" s="1495"/>
      <c r="AD75" s="1495"/>
      <c r="AE75" s="1495"/>
      <c r="AF75" s="1495"/>
      <c r="AG75" s="1495"/>
      <c r="AH75" s="1495"/>
      <c r="AI75" s="1495"/>
      <c r="AJ75" s="1495"/>
      <c r="AK75" s="1495"/>
      <c r="AL75" s="1495"/>
      <c r="AM75" s="1495"/>
      <c r="AN75" s="1495"/>
      <c r="AO75" s="1495"/>
      <c r="AP75" s="1495"/>
      <c r="AQ75" s="1495"/>
      <c r="AR75" s="1495"/>
      <c r="AS75" s="1495"/>
      <c r="AT75" s="1495"/>
      <c r="AU75" s="1495"/>
      <c r="AV75" s="1495"/>
      <c r="AW75" s="1495"/>
      <c r="AX75" s="1495"/>
      <c r="AY75" s="1495"/>
      <c r="AZ75" s="1495"/>
      <c r="BA75" s="1495"/>
      <c r="BB75" s="1495"/>
      <c r="BC75" s="1495"/>
      <c r="BD75" s="1495"/>
      <c r="BE75" s="1495"/>
      <c r="BF75" s="1495"/>
      <c r="BG75" s="1495"/>
      <c r="BH75" s="1495"/>
      <c r="BI75" s="1495"/>
      <c r="BJ75" s="1495"/>
      <c r="BK75" s="1495"/>
      <c r="BL75" s="1495"/>
      <c r="BM75" s="1495"/>
      <c r="BN75" s="1495"/>
      <c r="BO75" s="1495"/>
      <c r="BP75" s="418"/>
      <c r="BQ75" s="1495"/>
      <c r="BR75" s="1495"/>
      <c r="BS75" s="1495"/>
      <c r="BT75" s="1495"/>
      <c r="BU75" s="1495"/>
      <c r="BV75" s="1495"/>
      <c r="BW75" s="1495"/>
      <c r="BX75" s="1495"/>
      <c r="BY75" s="1495"/>
      <c r="BZ75" s="1495"/>
      <c r="CA75" s="1495"/>
      <c r="CB75" s="1495"/>
      <c r="CC75" s="1495"/>
      <c r="CD75" s="1495"/>
      <c r="CE75" s="1495"/>
      <c r="CF75" s="444"/>
      <c r="CG75" s="504"/>
      <c r="CH75" s="348"/>
      <c r="CI75" s="408"/>
      <c r="CJ75" s="1495"/>
      <c r="CK75" s="1495"/>
      <c r="CL75" s="1495"/>
      <c r="CM75" s="1495"/>
      <c r="CN75" s="1495"/>
      <c r="CO75" s="1495"/>
      <c r="CP75" s="1495"/>
      <c r="CQ75" s="1495"/>
      <c r="CR75" s="1495"/>
      <c r="CS75" s="1495"/>
      <c r="CT75" s="1495"/>
      <c r="CU75" s="1495"/>
      <c r="CV75" s="1495"/>
      <c r="CW75" s="1495"/>
      <c r="CX75" s="1495"/>
      <c r="CY75" s="1495"/>
      <c r="CZ75" s="1495"/>
      <c r="DA75" s="444"/>
      <c r="DB75" s="475"/>
      <c r="DC75" s="108"/>
      <c r="DD75" s="408"/>
      <c r="DE75" s="1495"/>
      <c r="DF75" s="1495"/>
      <c r="DG75" s="407"/>
      <c r="DH75" s="1495"/>
      <c r="DI75" s="407"/>
      <c r="DJ75" s="1495"/>
      <c r="DK75" s="1495"/>
      <c r="DL75" s="1495"/>
      <c r="DM75" s="1495"/>
      <c r="DN75" s="1495"/>
      <c r="DO75" s="1495"/>
      <c r="DP75" s="1495"/>
      <c r="DQ75" s="1495"/>
      <c r="DR75" s="1495"/>
      <c r="DS75" s="1495"/>
      <c r="DT75" s="1495"/>
      <c r="DU75" s="1495"/>
      <c r="DV75" s="1495"/>
      <c r="DW75" s="1495"/>
      <c r="DX75" s="1495"/>
      <c r="DY75" s="1495"/>
      <c r="DZ75" s="1495"/>
      <c r="EA75" s="1495"/>
      <c r="EB75" s="1495"/>
      <c r="EC75" s="1495"/>
      <c r="ED75" s="407"/>
      <c r="EE75" s="1495"/>
      <c r="EF75" s="407"/>
      <c r="EG75" s="1495"/>
      <c r="EH75" s="1495"/>
      <c r="EI75" s="1495"/>
      <c r="EJ75" s="1495"/>
      <c r="EK75" s="1495"/>
      <c r="EL75" s="407"/>
      <c r="EM75" s="1495"/>
      <c r="EN75" s="407"/>
      <c r="EO75" s="1495"/>
      <c r="EP75" s="1495"/>
      <c r="EQ75" s="1495"/>
      <c r="ER75" s="1495"/>
      <c r="ES75" s="407"/>
      <c r="ET75" s="1495"/>
      <c r="EU75" s="1495"/>
      <c r="EV75" s="1495"/>
      <c r="EW75" s="1495"/>
      <c r="EX75" s="1495"/>
      <c r="EY75" s="1495"/>
      <c r="EZ75" s="1495"/>
      <c r="FA75" s="1495"/>
      <c r="FB75" s="1495"/>
      <c r="FC75" s="1495"/>
      <c r="FD75" s="1495"/>
      <c r="FE75" s="1495"/>
      <c r="FF75" s="1495"/>
      <c r="FG75" s="1495"/>
      <c r="FH75" s="1495"/>
      <c r="FI75" s="1495"/>
      <c r="FJ75" s="1495"/>
      <c r="FK75" s="1495"/>
      <c r="FL75" s="1495"/>
      <c r="FM75" s="1495"/>
      <c r="FN75" s="1495"/>
      <c r="FO75" s="1495"/>
      <c r="FP75" s="1495"/>
      <c r="FQ75" s="1495"/>
      <c r="FR75" s="1495"/>
      <c r="FS75" s="1495"/>
      <c r="FT75" s="1495"/>
      <c r="FU75" s="1495"/>
      <c r="FV75" s="1495"/>
      <c r="FW75" s="1495"/>
      <c r="FX75" s="1495"/>
      <c r="FY75" s="1495"/>
      <c r="FZ75" s="1495"/>
      <c r="GA75" s="1495"/>
      <c r="GB75" s="1495"/>
      <c r="GC75" s="1495"/>
      <c r="GD75" s="1495"/>
      <c r="GE75" s="1495"/>
      <c r="GF75" s="1495"/>
      <c r="GG75" s="1495"/>
      <c r="GH75" s="1495"/>
      <c r="GI75" s="1495"/>
      <c r="GJ75" s="1495"/>
      <c r="GK75" s="1495"/>
      <c r="GL75" s="1495"/>
      <c r="GM75" s="1495"/>
      <c r="GN75" s="1495"/>
      <c r="GO75" s="1495"/>
      <c r="GP75" s="1495"/>
      <c r="GQ75" s="1495"/>
      <c r="GR75" s="1495"/>
      <c r="GS75" s="1495"/>
      <c r="GT75" s="1495"/>
      <c r="GU75" s="1495"/>
      <c r="GV75" s="1495"/>
      <c r="GW75" s="1882"/>
      <c r="GX75" s="1495"/>
      <c r="GY75" s="408"/>
      <c r="GZ75" s="363"/>
      <c r="HA75" s="408"/>
      <c r="HB75" s="408"/>
      <c r="HC75" s="408"/>
      <c r="HD75" s="408"/>
      <c r="HE75" s="408"/>
      <c r="HF75" s="408"/>
      <c r="HG75" s="1495"/>
      <c r="HH75" s="1495"/>
      <c r="HI75" s="1495"/>
      <c r="HJ75" s="1495"/>
      <c r="HK75" s="1495"/>
      <c r="HL75" s="1495"/>
      <c r="HM75" s="1495"/>
      <c r="HN75" s="1495"/>
      <c r="HO75" s="1495"/>
      <c r="HP75" s="1495"/>
      <c r="HQ75" s="1495"/>
      <c r="HR75" s="1495"/>
      <c r="HS75" s="1495"/>
      <c r="HT75" s="1495"/>
      <c r="HU75" s="1495"/>
      <c r="HV75" s="1495"/>
      <c r="HW75" s="1495"/>
      <c r="HX75" s="1495"/>
      <c r="HY75" s="1495"/>
      <c r="HZ75" s="1495"/>
      <c r="IA75" s="1495"/>
      <c r="IB75" s="1495"/>
      <c r="IC75" s="1495"/>
      <c r="ID75" s="1495"/>
      <c r="IE75" s="1495"/>
      <c r="IF75" s="1495"/>
      <c r="IG75" s="1495"/>
      <c r="IH75" s="1495"/>
      <c r="II75" s="1495"/>
      <c r="IJ75" s="1495"/>
      <c r="IK75" s="1495"/>
      <c r="IL75" s="1495"/>
      <c r="IM75" s="1495"/>
      <c r="IN75" s="1495"/>
      <c r="IO75" s="1495"/>
      <c r="IP75" s="1495"/>
      <c r="IQ75" s="1495"/>
      <c r="IR75" s="1495"/>
      <c r="IS75" s="1495"/>
      <c r="IT75" s="1495"/>
      <c r="IU75" s="1495"/>
      <c r="IV75" s="1495"/>
      <c r="IW75" s="1495"/>
      <c r="IX75" s="1495"/>
      <c r="IY75" s="1495"/>
      <c r="IZ75" s="1495"/>
      <c r="JA75" s="1495"/>
      <c r="JB75" s="1495"/>
      <c r="JC75" s="1495"/>
      <c r="JD75" s="1495"/>
      <c r="JE75" s="1495"/>
      <c r="JF75" s="1495"/>
      <c r="JG75" s="1495"/>
      <c r="JH75" s="1495"/>
      <c r="JI75" s="1495"/>
      <c r="JJ75" s="1495"/>
      <c r="JK75" s="1495"/>
      <c r="JL75" s="1495"/>
      <c r="JM75" s="1495"/>
      <c r="JN75" s="1495"/>
      <c r="JO75" s="1495"/>
      <c r="JP75" s="1495"/>
      <c r="JQ75" s="1495"/>
      <c r="JR75" s="1495"/>
      <c r="JS75" s="1495"/>
      <c r="JT75" s="1495"/>
      <c r="JU75" s="1495"/>
      <c r="JV75" s="1495"/>
      <c r="JW75" s="1495"/>
      <c r="JX75" s="1495"/>
      <c r="JY75" s="1495"/>
      <c r="JZ75" s="1495"/>
      <c r="KA75" s="1495"/>
      <c r="KB75" s="1495"/>
      <c r="KC75" s="1495"/>
      <c r="KD75" s="1495"/>
      <c r="KE75" s="1495"/>
      <c r="KF75" s="1495"/>
      <c r="KG75" s="1495"/>
      <c r="KH75" s="1495"/>
      <c r="KI75" s="1495"/>
      <c r="KJ75" s="1495"/>
      <c r="KK75" s="1495"/>
      <c r="KL75" s="1495"/>
      <c r="KM75" s="1495"/>
      <c r="KN75" s="1495"/>
      <c r="KO75" s="1495"/>
      <c r="KP75" s="1495"/>
      <c r="KQ75" s="1495"/>
      <c r="KR75" s="1495"/>
      <c r="KS75" s="1495"/>
      <c r="KT75" s="1495"/>
      <c r="KU75" s="1495"/>
      <c r="KV75" s="1495"/>
      <c r="KW75" s="1495"/>
      <c r="KX75" s="1495"/>
      <c r="KY75" s="1495"/>
      <c r="KZ75" s="1495"/>
      <c r="LA75" s="1495"/>
      <c r="LB75" s="1495"/>
    </row>
    <row r="76" spans="1:314">
      <c r="A76" s="1495"/>
      <c r="B76" s="418"/>
      <c r="C76" s="1495"/>
      <c r="D76" s="1495"/>
      <c r="E76" s="1495"/>
      <c r="F76" s="1495"/>
      <c r="G76" s="1495"/>
      <c r="H76" s="1495"/>
      <c r="I76" s="1495"/>
      <c r="J76" s="1495"/>
      <c r="K76" s="1495"/>
      <c r="L76" s="1495"/>
      <c r="M76" s="1495"/>
      <c r="N76" s="1495"/>
      <c r="O76" s="1495"/>
      <c r="P76" s="1495"/>
      <c r="Q76" s="1495"/>
      <c r="R76" s="1495"/>
      <c r="S76" s="1495"/>
      <c r="T76" s="1495"/>
      <c r="U76" s="1495"/>
      <c r="V76" s="1495"/>
      <c r="W76" s="1495"/>
      <c r="X76" s="1495"/>
      <c r="Y76" s="1495"/>
      <c r="Z76" s="1495"/>
      <c r="AA76" s="1495"/>
      <c r="AB76" s="1495"/>
      <c r="AC76" s="1495"/>
      <c r="AD76" s="1495"/>
      <c r="AE76" s="1495"/>
      <c r="AF76" s="1495"/>
      <c r="AG76" s="1495"/>
      <c r="AH76" s="1495"/>
      <c r="AI76" s="1495"/>
      <c r="AJ76" s="1495"/>
      <c r="AK76" s="1495"/>
      <c r="AL76" s="1495"/>
      <c r="AM76" s="1495"/>
      <c r="AN76" s="1495"/>
      <c r="AO76" s="1495"/>
      <c r="AP76" s="1495"/>
      <c r="AQ76" s="1495"/>
      <c r="AR76" s="1495"/>
      <c r="AS76" s="1495"/>
      <c r="AT76" s="1495"/>
      <c r="AU76" s="1495"/>
      <c r="AV76" s="1495"/>
      <c r="AW76" s="1495"/>
      <c r="AX76" s="1495"/>
      <c r="AY76" s="1495"/>
      <c r="AZ76" s="1495"/>
      <c r="BA76" s="1495"/>
      <c r="BB76" s="1495"/>
      <c r="BC76" s="1495"/>
      <c r="BD76" s="1495"/>
      <c r="BE76" s="1495"/>
      <c r="BF76" s="1495"/>
      <c r="BG76" s="1495"/>
      <c r="BH76" s="1495"/>
      <c r="BI76" s="1495"/>
      <c r="BJ76" s="1495"/>
      <c r="BK76" s="1495"/>
      <c r="BL76" s="1495"/>
      <c r="BM76" s="1495"/>
      <c r="BN76" s="1495"/>
      <c r="BO76" s="1495"/>
      <c r="BP76" s="418"/>
      <c r="BQ76" s="1495"/>
      <c r="BR76" s="1495"/>
      <c r="BS76" s="1495"/>
      <c r="BT76" s="1495"/>
      <c r="BU76" s="1495"/>
      <c r="BV76" s="1495"/>
      <c r="BW76" s="1495"/>
      <c r="BX76" s="1495"/>
      <c r="BY76" s="1495"/>
      <c r="BZ76" s="1495"/>
      <c r="CA76" s="1495"/>
      <c r="CB76" s="1495"/>
      <c r="CC76" s="1495"/>
      <c r="CD76" s="1495"/>
      <c r="CE76" s="1495"/>
      <c r="CF76" s="444"/>
      <c r="CG76" s="504"/>
      <c r="CH76" s="348"/>
      <c r="CI76" s="408"/>
      <c r="CJ76" s="1495"/>
      <c r="CK76" s="1495"/>
      <c r="CL76" s="1495"/>
      <c r="CM76" s="1495"/>
      <c r="CN76" s="1495"/>
      <c r="CO76" s="1495"/>
      <c r="CP76" s="1495"/>
      <c r="CQ76" s="1495"/>
      <c r="CR76" s="1495"/>
      <c r="CS76" s="1495"/>
      <c r="CT76" s="1495"/>
      <c r="CU76" s="1495"/>
      <c r="CV76" s="1495"/>
      <c r="CW76" s="1495"/>
      <c r="CX76" s="1495"/>
      <c r="CY76" s="1495"/>
      <c r="CZ76" s="1495"/>
      <c r="DA76" s="444"/>
      <c r="DB76" s="475"/>
      <c r="DC76" s="108"/>
      <c r="DD76" s="408"/>
      <c r="DE76" s="1495"/>
      <c r="DF76" s="1495"/>
      <c r="DG76" s="407"/>
      <c r="DH76" s="1495"/>
      <c r="DI76" s="407"/>
      <c r="DJ76" s="1495"/>
      <c r="DK76" s="1495"/>
      <c r="DL76" s="1495"/>
      <c r="DM76" s="1495"/>
      <c r="DN76" s="1495"/>
      <c r="DO76" s="1495"/>
      <c r="DP76" s="1495"/>
      <c r="DQ76" s="1495"/>
      <c r="DR76" s="1495"/>
      <c r="DS76" s="1495"/>
      <c r="DT76" s="1495"/>
      <c r="DU76" s="1495"/>
      <c r="DV76" s="1495"/>
      <c r="DW76" s="1495"/>
      <c r="DX76" s="1495"/>
      <c r="DY76" s="1495"/>
      <c r="DZ76" s="1495"/>
      <c r="EA76" s="1495"/>
      <c r="EB76" s="1495"/>
      <c r="EC76" s="1495"/>
      <c r="ED76" s="1495"/>
      <c r="EE76" s="1495"/>
      <c r="EF76" s="1495"/>
      <c r="EG76" s="1495"/>
      <c r="EH76" s="1495"/>
      <c r="EI76" s="1495"/>
      <c r="EJ76" s="1495"/>
      <c r="EK76" s="1495"/>
      <c r="EL76" s="407"/>
      <c r="EM76" s="1495"/>
      <c r="EN76" s="407"/>
      <c r="EO76" s="1495"/>
      <c r="EP76" s="1495"/>
      <c r="EQ76" s="1495"/>
      <c r="ER76" s="1495"/>
      <c r="ES76" s="407"/>
      <c r="ET76" s="1495"/>
      <c r="EU76" s="1495"/>
      <c r="EV76" s="1495"/>
      <c r="EW76" s="1495"/>
      <c r="EX76" s="1495"/>
      <c r="EY76" s="1495"/>
      <c r="EZ76" s="1495"/>
      <c r="FA76" s="1495"/>
      <c r="FB76" s="1495"/>
      <c r="FC76" s="1495"/>
      <c r="FD76" s="1495"/>
      <c r="FE76" s="1495"/>
      <c r="FF76" s="1495"/>
      <c r="FG76" s="1495"/>
      <c r="FH76" s="1495"/>
      <c r="FI76" s="1495"/>
      <c r="FJ76" s="1495"/>
      <c r="FK76" s="1495"/>
      <c r="FL76" s="1495"/>
      <c r="FM76" s="1495"/>
      <c r="FN76" s="1495"/>
      <c r="FO76" s="1495"/>
      <c r="FP76" s="1495"/>
      <c r="FQ76" s="1495"/>
      <c r="FR76" s="1495"/>
      <c r="FS76" s="1495"/>
      <c r="FT76" s="1495"/>
      <c r="FU76" s="1495"/>
      <c r="FV76" s="1495"/>
      <c r="FW76" s="1495"/>
      <c r="FX76" s="1495"/>
      <c r="FY76" s="1495"/>
      <c r="FZ76" s="1495"/>
      <c r="GA76" s="1495"/>
      <c r="GB76" s="1495"/>
      <c r="GC76" s="1495"/>
      <c r="GD76" s="1495"/>
      <c r="GE76" s="1495"/>
      <c r="GF76" s="1495"/>
      <c r="GG76" s="1495"/>
      <c r="GH76" s="1495"/>
      <c r="GI76" s="1495"/>
      <c r="GJ76" s="1495"/>
      <c r="GK76" s="1495"/>
      <c r="GL76" s="1495"/>
      <c r="GM76" s="1495"/>
      <c r="GN76" s="1495"/>
      <c r="GO76" s="1495"/>
      <c r="GP76" s="1495"/>
      <c r="GQ76" s="1495"/>
      <c r="GR76" s="1495"/>
      <c r="GS76" s="1495"/>
      <c r="GT76" s="1495"/>
      <c r="GU76" s="1495"/>
      <c r="GV76" s="1495"/>
      <c r="GW76" s="1495"/>
      <c r="GX76" s="1495"/>
      <c r="GY76" s="1495"/>
      <c r="GZ76" s="1495"/>
      <c r="HA76" s="1495"/>
      <c r="HB76" s="1495"/>
      <c r="HC76" s="1495"/>
      <c r="HD76" s="1495"/>
      <c r="HE76" s="1495"/>
      <c r="HF76" s="1495"/>
      <c r="HG76" s="1495"/>
      <c r="HH76" s="1495"/>
      <c r="HI76" s="1495"/>
      <c r="HJ76" s="1495"/>
      <c r="HK76" s="1495"/>
      <c r="HL76" s="1495"/>
      <c r="HM76" s="1495"/>
      <c r="HN76" s="1495"/>
      <c r="HO76" s="1495"/>
      <c r="HP76" s="1495"/>
      <c r="HQ76" s="1495"/>
      <c r="HR76" s="1495"/>
      <c r="HS76" s="1495"/>
      <c r="HT76" s="1495"/>
      <c r="HU76" s="1495"/>
      <c r="HV76" s="1495"/>
      <c r="HW76" s="1495"/>
      <c r="HX76" s="1495"/>
      <c r="HY76" s="1495"/>
      <c r="HZ76" s="1495"/>
      <c r="IA76" s="1495"/>
      <c r="IB76" s="1495"/>
      <c r="IC76" s="1495"/>
      <c r="ID76" s="1495"/>
      <c r="IE76" s="1495"/>
      <c r="IF76" s="1495"/>
      <c r="IG76" s="1495"/>
      <c r="IH76" s="1495"/>
      <c r="II76" s="1495"/>
      <c r="IJ76" s="1495"/>
      <c r="IK76" s="1495"/>
      <c r="IL76" s="1495"/>
      <c r="IM76" s="1495"/>
      <c r="IN76" s="1495"/>
      <c r="IO76" s="1495"/>
      <c r="IP76" s="1495"/>
      <c r="IQ76" s="1495"/>
      <c r="IR76" s="1495"/>
      <c r="IS76" s="1495"/>
      <c r="IT76" s="1495"/>
      <c r="IU76" s="1495"/>
      <c r="IV76" s="1495"/>
      <c r="IW76" s="1495"/>
      <c r="IX76" s="1495"/>
      <c r="IY76" s="1495"/>
      <c r="IZ76" s="1495"/>
      <c r="JA76" s="1495"/>
      <c r="JB76" s="1495"/>
      <c r="JC76" s="1495"/>
      <c r="JD76" s="1495"/>
      <c r="JE76" s="1495"/>
      <c r="JF76" s="1495"/>
      <c r="JG76" s="1495"/>
      <c r="JH76" s="1495"/>
      <c r="JI76" s="1495"/>
      <c r="JJ76" s="1495"/>
      <c r="JK76" s="1495"/>
      <c r="JL76" s="1495"/>
      <c r="JM76" s="1495"/>
      <c r="JN76" s="1495"/>
      <c r="JO76" s="1495"/>
      <c r="JP76" s="1495"/>
      <c r="JQ76" s="1495"/>
      <c r="JR76" s="1495"/>
      <c r="JS76" s="1495"/>
      <c r="JT76" s="1495"/>
      <c r="JU76" s="1495"/>
      <c r="JV76" s="1495"/>
      <c r="JW76" s="1495"/>
      <c r="JX76" s="1495"/>
      <c r="JY76" s="1495"/>
      <c r="JZ76" s="1495"/>
      <c r="KA76" s="1495"/>
      <c r="KB76" s="1495"/>
      <c r="KC76" s="1495"/>
      <c r="KD76" s="1495"/>
      <c r="KE76" s="1495"/>
      <c r="KF76" s="1495"/>
      <c r="KG76" s="1495"/>
      <c r="KH76" s="1495"/>
      <c r="KI76" s="1495"/>
      <c r="KJ76" s="1495"/>
      <c r="KK76" s="1495"/>
      <c r="KL76" s="1495"/>
      <c r="KM76" s="1495"/>
      <c r="KN76" s="1495"/>
      <c r="KO76" s="1495"/>
      <c r="KP76" s="1495"/>
      <c r="KQ76" s="1495"/>
      <c r="KR76" s="1495"/>
      <c r="KS76" s="1495"/>
      <c r="KT76" s="1495"/>
      <c r="KU76" s="1495"/>
      <c r="KV76" s="1495"/>
      <c r="KW76" s="1495"/>
      <c r="KX76" s="1495"/>
      <c r="KY76" s="1495"/>
      <c r="KZ76" s="1495"/>
      <c r="LA76" s="1495"/>
      <c r="LB76" s="1495"/>
    </row>
    <row r="77" spans="1:314">
      <c r="A77" s="1495"/>
      <c r="B77" s="418"/>
      <c r="C77" s="1495"/>
      <c r="D77" s="1495"/>
      <c r="E77" s="1495"/>
      <c r="F77" s="1495"/>
      <c r="G77" s="1495"/>
      <c r="H77" s="1495"/>
      <c r="I77" s="1495"/>
      <c r="J77" s="1495"/>
      <c r="K77" s="1495"/>
      <c r="L77" s="1495"/>
      <c r="M77" s="1495"/>
      <c r="N77" s="1495"/>
      <c r="O77" s="1495"/>
      <c r="P77" s="1495"/>
      <c r="Q77" s="1495"/>
      <c r="R77" s="1495"/>
      <c r="S77" s="1495"/>
      <c r="T77" s="1495"/>
      <c r="U77" s="1495"/>
      <c r="V77" s="1495"/>
      <c r="W77" s="1495"/>
      <c r="X77" s="1495"/>
      <c r="Y77" s="1495"/>
      <c r="Z77" s="1495"/>
      <c r="AA77" s="1495"/>
      <c r="AB77" s="1495"/>
      <c r="AC77" s="1495"/>
      <c r="AD77" s="1495"/>
      <c r="AE77" s="1495"/>
      <c r="AF77" s="1495"/>
      <c r="AG77" s="1495"/>
      <c r="AH77" s="1495"/>
      <c r="AI77" s="1495"/>
      <c r="AJ77" s="1495"/>
      <c r="AK77" s="1495"/>
      <c r="AL77" s="1495"/>
      <c r="AM77" s="1495"/>
      <c r="AN77" s="1495"/>
      <c r="AO77" s="1495"/>
      <c r="AP77" s="1495"/>
      <c r="AQ77" s="1495"/>
      <c r="AR77" s="1495"/>
      <c r="AS77" s="1495"/>
      <c r="AT77" s="1495"/>
      <c r="AU77" s="1495"/>
      <c r="AV77" s="1495"/>
      <c r="AW77" s="1495"/>
      <c r="AX77" s="1495"/>
      <c r="AY77" s="1495"/>
      <c r="AZ77" s="1495"/>
      <c r="BA77" s="1495"/>
      <c r="BB77" s="1495"/>
      <c r="BC77" s="1495"/>
      <c r="BD77" s="1495"/>
      <c r="BE77" s="1495"/>
      <c r="BF77" s="1495"/>
      <c r="BG77" s="1495"/>
      <c r="BH77" s="1495"/>
      <c r="BI77" s="1495"/>
      <c r="BJ77" s="1495"/>
      <c r="BK77" s="1495"/>
      <c r="BL77" s="1495"/>
      <c r="BM77" s="1495"/>
      <c r="BN77" s="1495"/>
      <c r="BO77" s="1495"/>
      <c r="BP77" s="418"/>
      <c r="BQ77" s="1495"/>
      <c r="BR77" s="1495"/>
      <c r="BS77" s="1495"/>
      <c r="BT77" s="1495"/>
      <c r="BU77" s="1495"/>
      <c r="BV77" s="1495"/>
      <c r="BW77" s="1495"/>
      <c r="BX77" s="1495"/>
      <c r="BY77" s="1495"/>
      <c r="BZ77" s="444"/>
      <c r="CA77" s="496"/>
      <c r="CB77" s="496"/>
      <c r="CC77" s="444"/>
      <c r="CD77" s="502"/>
      <c r="CE77" s="108"/>
      <c r="CF77" s="444"/>
      <c r="CG77" s="504"/>
      <c r="CH77" s="348"/>
      <c r="CI77" s="408"/>
      <c r="CJ77" s="1495"/>
      <c r="CK77" s="1495"/>
      <c r="CL77" s="1495"/>
      <c r="CM77" s="1495"/>
      <c r="CN77" s="1495"/>
      <c r="CO77" s="1495"/>
      <c r="CP77" s="1495"/>
      <c r="CQ77" s="1495"/>
      <c r="CR77" s="1495"/>
      <c r="CS77" s="1495"/>
      <c r="CT77" s="1495"/>
      <c r="CU77" s="1495"/>
      <c r="CV77" s="1495"/>
      <c r="CW77" s="1495"/>
      <c r="CX77" s="1495"/>
      <c r="CY77" s="1495"/>
      <c r="CZ77" s="1495"/>
      <c r="DA77" s="444"/>
      <c r="DB77" s="475"/>
      <c r="DC77" s="108"/>
      <c r="DD77" s="408"/>
      <c r="DE77" s="1495"/>
      <c r="DF77" s="1495"/>
      <c r="DG77" s="407"/>
      <c r="DH77" s="1495"/>
      <c r="DI77" s="407"/>
      <c r="DJ77" s="1495"/>
      <c r="DK77" s="1495"/>
      <c r="DL77" s="1495"/>
      <c r="DM77" s="1495"/>
      <c r="DN77" s="1495"/>
      <c r="DO77" s="1495"/>
      <c r="DP77" s="1495"/>
      <c r="DQ77" s="1495"/>
      <c r="DR77" s="1495"/>
      <c r="DS77" s="1495"/>
      <c r="DT77" s="1495"/>
      <c r="DU77" s="1495"/>
      <c r="DV77" s="1495"/>
      <c r="DW77" s="1495"/>
      <c r="DX77" s="1495"/>
      <c r="DY77" s="1495"/>
      <c r="DZ77" s="1495"/>
      <c r="EA77" s="1495"/>
      <c r="EB77" s="1495"/>
      <c r="EC77" s="1495"/>
      <c r="ED77" s="1495"/>
      <c r="EE77" s="1495"/>
      <c r="EF77" s="1495"/>
      <c r="EG77" s="1495"/>
      <c r="EH77" s="1495"/>
      <c r="EI77" s="1495"/>
      <c r="EJ77" s="1495"/>
      <c r="EK77" s="1495"/>
      <c r="EL77" s="407"/>
      <c r="EM77" s="1495"/>
      <c r="EN77" s="407"/>
      <c r="EO77" s="1495"/>
      <c r="EP77" s="1495"/>
      <c r="EQ77" s="1495"/>
      <c r="ER77" s="1495"/>
      <c r="ES77" s="407"/>
      <c r="ET77" s="1495"/>
      <c r="EU77" s="1495"/>
      <c r="EV77" s="1495"/>
      <c r="EW77" s="1495"/>
      <c r="EX77" s="1495"/>
      <c r="EY77" s="1495"/>
      <c r="EZ77" s="1495"/>
      <c r="FA77" s="1495"/>
      <c r="FB77" s="1495"/>
      <c r="FC77" s="1495"/>
      <c r="FD77" s="1495"/>
      <c r="FE77" s="1495"/>
      <c r="FF77" s="1495"/>
      <c r="FG77" s="1495"/>
      <c r="FH77" s="1495"/>
      <c r="FI77" s="1495"/>
      <c r="FJ77" s="1495"/>
      <c r="FK77" s="1495"/>
      <c r="FL77" s="1495"/>
      <c r="FM77" s="1495"/>
      <c r="FN77" s="1495"/>
      <c r="FO77" s="1495"/>
      <c r="FP77" s="1495"/>
      <c r="FQ77" s="1495"/>
      <c r="FR77" s="1495"/>
      <c r="FS77" s="1495"/>
      <c r="FT77" s="1495"/>
      <c r="FU77" s="1495"/>
      <c r="FV77" s="1495"/>
      <c r="FW77" s="1495"/>
      <c r="FX77" s="1495"/>
      <c r="FY77" s="1495"/>
      <c r="FZ77" s="1495"/>
      <c r="GA77" s="1495"/>
      <c r="GB77" s="1495"/>
      <c r="GC77" s="1495"/>
      <c r="GD77" s="1495"/>
      <c r="GE77" s="1495"/>
      <c r="GF77" s="1495"/>
      <c r="GG77" s="1495"/>
      <c r="GH77" s="1495"/>
      <c r="GI77" s="1495"/>
      <c r="GJ77" s="1495"/>
      <c r="GK77" s="1495"/>
      <c r="GL77" s="1495"/>
      <c r="GM77" s="1495"/>
      <c r="GN77" s="1495"/>
      <c r="GO77" s="1495"/>
      <c r="GP77" s="1495"/>
      <c r="GQ77" s="1495"/>
      <c r="GR77" s="1495"/>
      <c r="GS77" s="1495"/>
      <c r="GT77" s="1495"/>
      <c r="GU77" s="1495"/>
      <c r="GV77" s="1495"/>
      <c r="GW77" s="1495"/>
      <c r="GX77" s="1495"/>
      <c r="GY77" s="1495"/>
      <c r="GZ77" s="1495"/>
      <c r="HA77" s="1495"/>
      <c r="HB77" s="1495"/>
      <c r="HC77" s="1495"/>
      <c r="HD77" s="1495"/>
      <c r="HE77" s="1495"/>
      <c r="HF77" s="1495"/>
      <c r="HG77" s="1495"/>
      <c r="HH77" s="1495"/>
      <c r="HI77" s="1495"/>
      <c r="HJ77" s="1495"/>
      <c r="HK77" s="1495"/>
      <c r="HL77" s="1495"/>
      <c r="HM77" s="1495"/>
      <c r="HN77" s="1495"/>
      <c r="HO77" s="1495"/>
      <c r="HP77" s="1495"/>
      <c r="HQ77" s="1495"/>
      <c r="HR77" s="1495"/>
      <c r="HS77" s="1495"/>
      <c r="HT77" s="1495"/>
      <c r="HU77" s="1495"/>
      <c r="HV77" s="1495"/>
      <c r="HW77" s="1495"/>
      <c r="HX77" s="1495"/>
      <c r="HY77" s="1495"/>
      <c r="HZ77" s="1495"/>
      <c r="IA77" s="1495"/>
      <c r="IB77" s="1495"/>
      <c r="IC77" s="1495"/>
      <c r="ID77" s="1495"/>
      <c r="IE77" s="1495"/>
      <c r="IF77" s="1495"/>
      <c r="IG77" s="1495"/>
      <c r="IH77" s="1495"/>
      <c r="II77" s="1495"/>
      <c r="IJ77" s="1495"/>
      <c r="IK77" s="1495"/>
      <c r="IL77" s="1495"/>
      <c r="IM77" s="1495"/>
      <c r="IN77" s="1495"/>
      <c r="IO77" s="1495"/>
      <c r="IP77" s="1495"/>
      <c r="IQ77" s="1495"/>
      <c r="IR77" s="1495"/>
      <c r="IS77" s="1495"/>
      <c r="IT77" s="1495"/>
      <c r="IU77" s="1495"/>
      <c r="IV77" s="1495"/>
      <c r="IW77" s="1495"/>
      <c r="IX77" s="1495"/>
      <c r="IY77" s="1495"/>
      <c r="IZ77" s="1495"/>
      <c r="JA77" s="1495"/>
      <c r="JB77" s="1495"/>
      <c r="JC77" s="1495"/>
      <c r="JD77" s="1495"/>
      <c r="JE77" s="1495"/>
      <c r="JF77" s="1495"/>
      <c r="JG77" s="1495"/>
      <c r="JH77" s="1495"/>
      <c r="JI77" s="1495"/>
      <c r="JJ77" s="1495"/>
      <c r="JK77" s="1495"/>
      <c r="JL77" s="1495"/>
      <c r="JM77" s="1495"/>
      <c r="JN77" s="1495"/>
      <c r="JO77" s="1495"/>
      <c r="JP77" s="1495"/>
      <c r="JQ77" s="1495"/>
      <c r="JR77" s="1495"/>
      <c r="JS77" s="1495"/>
      <c r="JT77" s="1495"/>
      <c r="JU77" s="1495"/>
      <c r="JV77" s="1495"/>
      <c r="JW77" s="1495"/>
      <c r="JX77" s="1495"/>
      <c r="JY77" s="1495"/>
      <c r="JZ77" s="1495"/>
      <c r="KA77" s="1495"/>
      <c r="KB77" s="1495"/>
      <c r="KC77" s="1495"/>
      <c r="KD77" s="1495"/>
      <c r="KE77" s="1495"/>
      <c r="KF77" s="1495"/>
      <c r="KG77" s="1495"/>
      <c r="KH77" s="1495"/>
      <c r="KI77" s="1495"/>
      <c r="KJ77" s="1495"/>
      <c r="KK77" s="1495"/>
      <c r="KL77" s="1495"/>
      <c r="KM77" s="1495"/>
      <c r="KN77" s="1495"/>
      <c r="KO77" s="1495"/>
      <c r="KP77" s="1495"/>
      <c r="KQ77" s="1495"/>
      <c r="KR77" s="1495"/>
      <c r="KS77" s="1495"/>
      <c r="KT77" s="1495"/>
      <c r="KU77" s="1495"/>
      <c r="KV77" s="1495"/>
      <c r="KW77" s="1495"/>
      <c r="KX77" s="1495"/>
      <c r="KY77" s="1495"/>
      <c r="KZ77" s="1495"/>
      <c r="LA77" s="1495"/>
      <c r="LB77" s="1495"/>
    </row>
    <row r="78" spans="1:314">
      <c r="A78" s="1495"/>
      <c r="B78" s="418"/>
      <c r="C78" s="1495"/>
      <c r="D78" s="1495"/>
      <c r="E78" s="1495"/>
      <c r="F78" s="1495"/>
      <c r="G78" s="1495"/>
      <c r="H78" s="1495"/>
      <c r="I78" s="1495"/>
      <c r="J78" s="1495"/>
      <c r="K78" s="1495"/>
      <c r="L78" s="1495"/>
      <c r="M78" s="1495"/>
      <c r="N78" s="1495"/>
      <c r="O78" s="1495"/>
      <c r="P78" s="1495"/>
      <c r="Q78" s="1495"/>
      <c r="R78" s="1495"/>
      <c r="S78" s="1495"/>
      <c r="T78" s="1495"/>
      <c r="U78" s="1495"/>
      <c r="V78" s="1495"/>
      <c r="W78" s="1495"/>
      <c r="X78" s="1495"/>
      <c r="Y78" s="1495"/>
      <c r="Z78" s="1495"/>
      <c r="AA78" s="1495"/>
      <c r="AB78" s="1495"/>
      <c r="AC78" s="1495"/>
      <c r="AD78" s="1495"/>
      <c r="AE78" s="1495"/>
      <c r="AF78" s="1495"/>
      <c r="AG78" s="1495"/>
      <c r="AH78" s="1495"/>
      <c r="AI78" s="1495"/>
      <c r="AJ78" s="1495"/>
      <c r="AK78" s="1495"/>
      <c r="AL78" s="1495"/>
      <c r="AM78" s="1495"/>
      <c r="AN78" s="1495"/>
      <c r="AO78" s="1495"/>
      <c r="AP78" s="1495"/>
      <c r="AQ78" s="1495"/>
      <c r="AR78" s="1495"/>
      <c r="AS78" s="1495"/>
      <c r="AT78" s="1495"/>
      <c r="AU78" s="1495"/>
      <c r="AV78" s="1495"/>
      <c r="AW78" s="1495"/>
      <c r="AX78" s="1495"/>
      <c r="AY78" s="1495"/>
      <c r="AZ78" s="1495"/>
      <c r="BA78" s="1495"/>
      <c r="BB78" s="1495"/>
      <c r="BC78" s="1495"/>
      <c r="BD78" s="1495"/>
      <c r="BE78" s="1495"/>
      <c r="BF78" s="1495"/>
      <c r="BG78" s="1495"/>
      <c r="BH78" s="1495"/>
      <c r="BI78" s="1495"/>
      <c r="BJ78" s="1495"/>
      <c r="BK78" s="1495"/>
      <c r="BL78" s="1495"/>
      <c r="BM78" s="1495"/>
      <c r="BN78" s="1495"/>
      <c r="BO78" s="1495"/>
      <c r="BP78" s="418"/>
      <c r="BQ78" s="1495"/>
      <c r="BR78" s="1495"/>
      <c r="BS78" s="1495"/>
      <c r="BT78" s="1495"/>
      <c r="BU78" s="1495"/>
      <c r="BV78" s="1495"/>
      <c r="BW78" s="1495"/>
      <c r="BX78" s="1495"/>
      <c r="BY78" s="1495"/>
      <c r="BZ78" s="444"/>
      <c r="CA78" s="496"/>
      <c r="CB78" s="496"/>
      <c r="CC78" s="444"/>
      <c r="CD78" s="502"/>
      <c r="CE78" s="108"/>
      <c r="CF78" s="444"/>
      <c r="CG78" s="504"/>
      <c r="CH78" s="348"/>
      <c r="CI78" s="408"/>
      <c r="CJ78" s="1495"/>
      <c r="CK78" s="1495"/>
      <c r="CL78" s="1495"/>
      <c r="CM78" s="1495"/>
      <c r="CN78" s="1495"/>
      <c r="CO78" s="1495"/>
      <c r="CP78" s="1495"/>
      <c r="CQ78" s="1495"/>
      <c r="CR78" s="1495"/>
      <c r="CS78" s="1495"/>
      <c r="CT78" s="1495"/>
      <c r="CU78" s="1495"/>
      <c r="CV78" s="1495"/>
      <c r="CW78" s="1495"/>
      <c r="CX78" s="1495"/>
      <c r="CY78" s="1495"/>
      <c r="CZ78" s="1495"/>
      <c r="DA78" s="444"/>
      <c r="DB78" s="475"/>
      <c r="DC78" s="108"/>
      <c r="DD78" s="408"/>
      <c r="DE78" s="1495"/>
      <c r="DF78" s="1495"/>
      <c r="DG78" s="407"/>
      <c r="DH78" s="1495"/>
      <c r="DI78" s="407"/>
      <c r="DJ78" s="1495"/>
      <c r="DK78" s="1495"/>
      <c r="DL78" s="1495"/>
      <c r="DM78" s="1495"/>
      <c r="DN78" s="1495"/>
      <c r="DO78" s="1495"/>
      <c r="DP78" s="1495"/>
      <c r="DQ78" s="1495"/>
      <c r="DR78" s="1495"/>
      <c r="DS78" s="1495"/>
      <c r="DT78" s="1495"/>
      <c r="DU78" s="1495"/>
      <c r="DV78" s="1495"/>
      <c r="DW78" s="1495"/>
      <c r="DX78" s="1495"/>
      <c r="DY78" s="1495"/>
      <c r="DZ78" s="1495"/>
      <c r="EA78" s="1495"/>
      <c r="EB78" s="1495"/>
      <c r="EC78" s="1495"/>
      <c r="ED78" s="1495"/>
      <c r="EE78" s="1495"/>
      <c r="EF78" s="1495"/>
      <c r="EG78" s="1495"/>
      <c r="EH78" s="1495"/>
      <c r="EI78" s="1495"/>
      <c r="EJ78" s="1495"/>
      <c r="EK78" s="1495"/>
      <c r="EL78" s="1495"/>
      <c r="EM78" s="1495"/>
      <c r="EN78" s="1495"/>
      <c r="EO78" s="1495"/>
      <c r="EP78" s="1495"/>
      <c r="EQ78" s="1495"/>
      <c r="ER78" s="1495"/>
      <c r="ES78" s="1495"/>
      <c r="ET78" s="1495"/>
      <c r="EU78" s="1495"/>
      <c r="EV78" s="1495"/>
      <c r="EW78" s="1495"/>
      <c r="EX78" s="1495"/>
      <c r="EY78" s="1495"/>
      <c r="EZ78" s="1495"/>
      <c r="FA78" s="1495"/>
      <c r="FB78" s="1495"/>
      <c r="FC78" s="1495"/>
      <c r="FD78" s="1495"/>
      <c r="FE78" s="1495"/>
      <c r="FF78" s="1495"/>
      <c r="FG78" s="1495"/>
      <c r="FH78" s="1495"/>
      <c r="FI78" s="1495"/>
      <c r="FJ78" s="1495"/>
      <c r="FK78" s="1495"/>
      <c r="FL78" s="1495"/>
      <c r="FM78" s="1495"/>
      <c r="FN78" s="1495"/>
      <c r="FO78" s="1495"/>
      <c r="FP78" s="1495"/>
      <c r="FQ78" s="1495"/>
      <c r="FR78" s="1495"/>
      <c r="FS78" s="1495"/>
      <c r="FT78" s="1495"/>
      <c r="FU78" s="1495"/>
      <c r="FV78" s="1495"/>
      <c r="FW78" s="1495"/>
      <c r="FX78" s="1495"/>
      <c r="FY78" s="1495"/>
      <c r="FZ78" s="1495"/>
      <c r="GA78" s="1495"/>
      <c r="GB78" s="1495"/>
      <c r="GC78" s="1495"/>
      <c r="GD78" s="1495"/>
      <c r="GE78" s="1495"/>
      <c r="GF78" s="1495"/>
      <c r="GG78" s="1495"/>
      <c r="GH78" s="1495"/>
      <c r="GI78" s="1495"/>
      <c r="GJ78" s="1495"/>
      <c r="GK78" s="1495"/>
      <c r="GL78" s="1495"/>
      <c r="GM78" s="1495"/>
      <c r="GN78" s="1495"/>
      <c r="GO78" s="1495"/>
      <c r="GP78" s="1495"/>
      <c r="GQ78" s="1495"/>
      <c r="GR78" s="1495"/>
      <c r="GS78" s="1495"/>
      <c r="GT78" s="1495"/>
      <c r="GU78" s="1495"/>
      <c r="GV78" s="1495"/>
      <c r="GW78" s="1495"/>
      <c r="GX78" s="1495"/>
      <c r="GY78" s="1495"/>
      <c r="GZ78" s="1495"/>
      <c r="HA78" s="1495"/>
      <c r="HB78" s="1495"/>
      <c r="HC78" s="1495"/>
      <c r="HD78" s="1495"/>
      <c r="HE78" s="1495"/>
      <c r="HF78" s="1495"/>
      <c r="HG78" s="1495"/>
      <c r="HH78" s="1495"/>
      <c r="HI78" s="1495"/>
      <c r="HJ78" s="1495"/>
      <c r="HK78" s="1495"/>
      <c r="HL78" s="1495"/>
      <c r="HM78" s="1495"/>
      <c r="HN78" s="1495"/>
      <c r="HO78" s="1495"/>
      <c r="HP78" s="1495"/>
      <c r="HQ78" s="1495"/>
      <c r="HR78" s="1495"/>
      <c r="HS78" s="1495"/>
      <c r="HT78" s="1495"/>
      <c r="HU78" s="1495"/>
      <c r="HV78" s="1495"/>
      <c r="HW78" s="1495"/>
      <c r="HX78" s="1495"/>
      <c r="HY78" s="1495"/>
      <c r="HZ78" s="1495"/>
      <c r="IA78" s="1495"/>
      <c r="IB78" s="1495"/>
      <c r="IC78" s="1495"/>
      <c r="ID78" s="1495"/>
      <c r="IE78" s="1495"/>
      <c r="IF78" s="1495"/>
      <c r="IG78" s="1495"/>
      <c r="IH78" s="1495"/>
      <c r="II78" s="1495"/>
      <c r="IJ78" s="1495"/>
      <c r="IK78" s="1495"/>
      <c r="IL78" s="1495"/>
      <c r="IM78" s="1495"/>
      <c r="IN78" s="1495"/>
      <c r="IO78" s="1495"/>
      <c r="IP78" s="1495"/>
      <c r="IQ78" s="1495"/>
      <c r="IR78" s="1495"/>
      <c r="IS78" s="1495"/>
      <c r="IT78" s="1495"/>
      <c r="IU78" s="1495"/>
      <c r="IV78" s="1495"/>
      <c r="IW78" s="1495"/>
      <c r="IX78" s="1495"/>
      <c r="IY78" s="1495"/>
      <c r="IZ78" s="1495"/>
      <c r="JA78" s="1495"/>
      <c r="JB78" s="1495"/>
      <c r="JC78" s="1495"/>
      <c r="JD78" s="1495"/>
      <c r="JE78" s="1495"/>
      <c r="JF78" s="1495"/>
      <c r="JG78" s="1495"/>
      <c r="JH78" s="1495"/>
      <c r="JI78" s="1495"/>
      <c r="JJ78" s="1495"/>
      <c r="JK78" s="1495"/>
      <c r="JL78" s="1495"/>
      <c r="JM78" s="1495"/>
      <c r="JN78" s="1495"/>
      <c r="JO78" s="1495"/>
      <c r="JP78" s="1495"/>
      <c r="JQ78" s="1495"/>
      <c r="JR78" s="1495"/>
      <c r="JS78" s="1495"/>
      <c r="JT78" s="1495"/>
      <c r="JU78" s="1495"/>
      <c r="JV78" s="1495"/>
      <c r="JW78" s="1495"/>
      <c r="JX78" s="1495"/>
      <c r="JY78" s="1495"/>
      <c r="JZ78" s="1495"/>
      <c r="KA78" s="1495"/>
      <c r="KB78" s="1495"/>
      <c r="KC78" s="1495"/>
      <c r="KD78" s="1495"/>
      <c r="KE78" s="1495"/>
      <c r="KF78" s="1495"/>
      <c r="KG78" s="1495"/>
      <c r="KH78" s="1495"/>
      <c r="KI78" s="1495"/>
      <c r="KJ78" s="1495"/>
      <c r="KK78" s="1495"/>
      <c r="KL78" s="1495"/>
      <c r="KM78" s="1495"/>
      <c r="KN78" s="1495"/>
      <c r="KO78" s="1495"/>
      <c r="KP78" s="1495"/>
      <c r="KQ78" s="1495"/>
      <c r="KR78" s="1495"/>
      <c r="KS78" s="1495"/>
      <c r="KT78" s="1495"/>
      <c r="KU78" s="1495"/>
      <c r="KV78" s="1495"/>
      <c r="KW78" s="1495"/>
      <c r="KX78" s="1495"/>
      <c r="KY78" s="1495"/>
      <c r="KZ78" s="1495"/>
      <c r="LA78" s="1495"/>
      <c r="LB78" s="1495"/>
    </row>
    <row r="79" spans="1:314">
      <c r="A79" s="1495"/>
      <c r="B79" s="418"/>
      <c r="C79" s="1495"/>
      <c r="D79" s="1495"/>
      <c r="E79" s="1495"/>
      <c r="F79" s="1495"/>
      <c r="G79" s="1495"/>
      <c r="H79" s="1495"/>
      <c r="I79" s="1495"/>
      <c r="J79" s="1495"/>
      <c r="K79" s="1495"/>
      <c r="L79" s="1495"/>
      <c r="M79" s="1495"/>
      <c r="N79" s="1495"/>
      <c r="O79" s="1495"/>
      <c r="P79" s="1495"/>
      <c r="Q79" s="1495"/>
      <c r="R79" s="1495"/>
      <c r="S79" s="1495"/>
      <c r="T79" s="1495"/>
      <c r="U79" s="1495"/>
      <c r="V79" s="1495"/>
      <c r="W79" s="1495"/>
      <c r="X79" s="1495"/>
      <c r="Y79" s="1495"/>
      <c r="Z79" s="1495"/>
      <c r="AA79" s="1495"/>
      <c r="AB79" s="1495"/>
      <c r="AC79" s="1495"/>
      <c r="AD79" s="1495"/>
      <c r="AE79" s="1495"/>
      <c r="AF79" s="1495"/>
      <c r="AG79" s="1495"/>
      <c r="AH79" s="1495"/>
      <c r="AI79" s="1495"/>
      <c r="AJ79" s="1495"/>
      <c r="AK79" s="1495"/>
      <c r="AL79" s="1495"/>
      <c r="AM79" s="1495"/>
      <c r="AN79" s="1495"/>
      <c r="AO79" s="1495"/>
      <c r="AP79" s="1495"/>
      <c r="AQ79" s="1495"/>
      <c r="AR79" s="1495"/>
      <c r="AS79" s="1495"/>
      <c r="AT79" s="1495"/>
      <c r="AU79" s="1495"/>
      <c r="AV79" s="1495"/>
      <c r="AW79" s="1495"/>
      <c r="AX79" s="1495"/>
      <c r="AY79" s="1495"/>
      <c r="AZ79" s="1495"/>
      <c r="BA79" s="1495"/>
      <c r="BB79" s="1495"/>
      <c r="BC79" s="1495"/>
      <c r="BD79" s="1495"/>
      <c r="BE79" s="1495"/>
      <c r="BF79" s="1495"/>
      <c r="BG79" s="1495"/>
      <c r="BH79" s="1495"/>
      <c r="BI79" s="1495"/>
      <c r="BJ79" s="1495"/>
      <c r="BK79" s="1495"/>
      <c r="BL79" s="1495"/>
      <c r="BM79" s="1495"/>
      <c r="BN79" s="1495"/>
      <c r="BO79" s="1495"/>
      <c r="BP79" s="418"/>
      <c r="BQ79" s="1495"/>
      <c r="BR79" s="1495"/>
      <c r="BS79" s="1495"/>
      <c r="BT79" s="1495"/>
      <c r="BU79" s="1495"/>
      <c r="BV79" s="1495"/>
      <c r="BW79" s="1495"/>
      <c r="BX79" s="1495"/>
      <c r="BY79" s="1495"/>
      <c r="BZ79" s="444"/>
      <c r="CA79" s="496"/>
      <c r="CB79" s="496"/>
      <c r="CC79" s="444"/>
      <c r="CD79" s="502"/>
      <c r="CE79" s="108"/>
      <c r="CF79" s="444"/>
      <c r="CG79" s="504"/>
      <c r="CH79" s="348"/>
      <c r="CI79" s="408"/>
      <c r="CJ79" s="1495"/>
      <c r="CK79" s="1495"/>
      <c r="CL79" s="1495"/>
      <c r="CM79" s="1495"/>
      <c r="CN79" s="1495"/>
      <c r="CO79" s="1495"/>
      <c r="CP79" s="1495"/>
      <c r="CQ79" s="1495"/>
      <c r="CR79" s="1495"/>
      <c r="CS79" s="1495"/>
      <c r="CT79" s="1495"/>
      <c r="CU79" s="1495"/>
      <c r="CV79" s="1495"/>
      <c r="CW79" s="1495"/>
      <c r="CX79" s="1495"/>
      <c r="CY79" s="1495"/>
      <c r="CZ79" s="1495"/>
      <c r="DA79" s="444"/>
      <c r="DB79" s="475"/>
      <c r="DC79" s="108"/>
      <c r="DD79" s="408"/>
      <c r="DE79" s="1495"/>
      <c r="DF79" s="444"/>
      <c r="DG79" s="475"/>
      <c r="DH79" s="407"/>
      <c r="DI79" s="407"/>
      <c r="DJ79" s="1495"/>
      <c r="DK79" s="1495"/>
      <c r="DL79" s="1495"/>
      <c r="DM79" s="1495"/>
      <c r="DN79" s="1495"/>
      <c r="DO79" s="1495"/>
      <c r="DP79" s="1495"/>
      <c r="DQ79" s="1495"/>
      <c r="DR79" s="1495"/>
      <c r="DS79" s="1495"/>
      <c r="DT79" s="1495"/>
      <c r="DU79" s="1495"/>
      <c r="DV79" s="1495"/>
      <c r="DW79" s="1495"/>
      <c r="DX79" s="1495"/>
      <c r="DY79" s="1495"/>
      <c r="DZ79" s="1495"/>
      <c r="EA79" s="1495"/>
      <c r="EB79" s="1495"/>
      <c r="EC79" s="1495"/>
      <c r="ED79" s="1495"/>
      <c r="EE79" s="1495"/>
      <c r="EF79" s="1495"/>
      <c r="EG79" s="1495"/>
      <c r="EH79" s="1495"/>
      <c r="EI79" s="1495"/>
      <c r="EJ79" s="1495"/>
      <c r="EK79" s="1495"/>
      <c r="EL79" s="1495"/>
      <c r="EM79" s="1495"/>
      <c r="EN79" s="1495"/>
      <c r="EO79" s="1495"/>
      <c r="EP79" s="1495"/>
      <c r="EQ79" s="1495"/>
      <c r="ER79" s="1495"/>
      <c r="ES79" s="1495"/>
      <c r="ET79" s="1495"/>
      <c r="EU79" s="1495"/>
      <c r="EV79" s="1495"/>
      <c r="EW79" s="1495"/>
      <c r="EX79" s="1495"/>
      <c r="EY79" s="1495"/>
      <c r="EZ79" s="1495"/>
      <c r="FA79" s="1495"/>
      <c r="FB79" s="1495"/>
      <c r="FC79" s="1495"/>
      <c r="FD79" s="1495"/>
      <c r="FE79" s="1495"/>
      <c r="FF79" s="1495"/>
      <c r="FG79" s="1495"/>
      <c r="FH79" s="1495"/>
      <c r="FI79" s="1495"/>
      <c r="FJ79" s="1495"/>
      <c r="FK79" s="1495"/>
      <c r="FL79" s="1495"/>
      <c r="FM79" s="1495"/>
      <c r="FN79" s="1495"/>
      <c r="FO79" s="1495"/>
      <c r="FP79" s="1495"/>
      <c r="FQ79" s="1495"/>
      <c r="FR79" s="1495"/>
      <c r="FS79" s="1495"/>
      <c r="FT79" s="1495"/>
      <c r="FU79" s="1495"/>
      <c r="FV79" s="1495"/>
      <c r="FW79" s="1495"/>
      <c r="FX79" s="1495"/>
      <c r="FY79" s="1495"/>
      <c r="FZ79" s="1495"/>
      <c r="GA79" s="1495"/>
      <c r="GB79" s="1495"/>
      <c r="GC79" s="1495"/>
      <c r="GD79" s="1495"/>
      <c r="GE79" s="1495"/>
      <c r="GF79" s="1495"/>
      <c r="GG79" s="1495"/>
      <c r="GH79" s="1495"/>
      <c r="GI79" s="1495"/>
      <c r="GJ79" s="1495"/>
      <c r="GK79" s="1495"/>
      <c r="GL79" s="1495"/>
      <c r="GM79" s="1495"/>
      <c r="GN79" s="1495"/>
      <c r="GO79" s="1495"/>
      <c r="GP79" s="1495"/>
      <c r="GQ79" s="1495"/>
      <c r="GR79" s="1495"/>
      <c r="GS79" s="1495"/>
      <c r="GT79" s="1495"/>
      <c r="GU79" s="1495"/>
      <c r="GV79" s="1495"/>
      <c r="GW79" s="1495"/>
      <c r="GX79" s="1495"/>
      <c r="GY79" s="1495"/>
      <c r="GZ79" s="1495"/>
      <c r="HA79" s="1495"/>
      <c r="HB79" s="1495"/>
      <c r="HC79" s="1495"/>
      <c r="HD79" s="1495"/>
      <c r="HE79" s="1495"/>
      <c r="HF79" s="1495"/>
      <c r="HG79" s="1495"/>
      <c r="HH79" s="1495"/>
      <c r="HI79" s="1495"/>
      <c r="HJ79" s="1495"/>
      <c r="HK79" s="1495"/>
      <c r="HL79" s="1495"/>
      <c r="HM79" s="1495"/>
      <c r="HN79" s="1495"/>
      <c r="HO79" s="1495"/>
      <c r="HP79" s="1495"/>
      <c r="HQ79" s="1495"/>
      <c r="HR79" s="1495"/>
      <c r="HS79" s="1495"/>
      <c r="HT79" s="1495"/>
      <c r="HU79" s="1495"/>
      <c r="HV79" s="1495"/>
      <c r="HW79" s="1495"/>
      <c r="HX79" s="1495"/>
      <c r="HY79" s="1495"/>
      <c r="HZ79" s="1495"/>
      <c r="IA79" s="1495"/>
      <c r="IB79" s="1495"/>
      <c r="IC79" s="1495"/>
      <c r="ID79" s="1495"/>
      <c r="IE79" s="1495"/>
      <c r="IF79" s="1495"/>
      <c r="IG79" s="1495"/>
      <c r="IH79" s="1495"/>
      <c r="II79" s="1495"/>
      <c r="IJ79" s="1495"/>
      <c r="IK79" s="1495"/>
      <c r="IL79" s="1495"/>
      <c r="IM79" s="1495"/>
      <c r="IN79" s="1495"/>
      <c r="IO79" s="1495"/>
      <c r="IP79" s="1495"/>
      <c r="IQ79" s="1495"/>
      <c r="IR79" s="1495"/>
      <c r="IS79" s="1495"/>
      <c r="IT79" s="1495"/>
      <c r="IU79" s="1495"/>
      <c r="IV79" s="1495"/>
      <c r="IW79" s="1495"/>
      <c r="IX79" s="1495"/>
      <c r="IY79" s="1495"/>
      <c r="IZ79" s="1495"/>
      <c r="JA79" s="1495"/>
      <c r="JB79" s="1495"/>
      <c r="JC79" s="1495"/>
      <c r="JD79" s="1495"/>
      <c r="JE79" s="1495"/>
      <c r="JF79" s="1495"/>
      <c r="JG79" s="1495"/>
      <c r="JH79" s="1495"/>
      <c r="JI79" s="1495"/>
      <c r="JJ79" s="1495"/>
      <c r="JK79" s="1495"/>
      <c r="JL79" s="1495"/>
      <c r="JM79" s="1495"/>
      <c r="JN79" s="1495"/>
      <c r="JO79" s="1495"/>
      <c r="JP79" s="1495"/>
      <c r="JQ79" s="1495"/>
      <c r="JR79" s="1495"/>
      <c r="JS79" s="1495"/>
      <c r="JT79" s="1495"/>
      <c r="JU79" s="1495"/>
      <c r="JV79" s="1495"/>
      <c r="JW79" s="1495"/>
      <c r="JX79" s="1495"/>
      <c r="JY79" s="1495"/>
      <c r="JZ79" s="1495"/>
      <c r="KA79" s="1495"/>
      <c r="KB79" s="1495"/>
      <c r="KC79" s="1495"/>
      <c r="KD79" s="1495"/>
      <c r="KE79" s="1495"/>
      <c r="KF79" s="1495"/>
      <c r="KG79" s="1495"/>
      <c r="KH79" s="1495"/>
      <c r="KI79" s="1495"/>
      <c r="KJ79" s="1495"/>
      <c r="KK79" s="1495"/>
      <c r="KL79" s="1495"/>
      <c r="KM79" s="1495"/>
      <c r="KN79" s="1495"/>
      <c r="KO79" s="1495"/>
      <c r="KP79" s="1495"/>
      <c r="KQ79" s="1495"/>
      <c r="KR79" s="1495"/>
      <c r="KS79" s="1495"/>
      <c r="KT79" s="1495"/>
      <c r="KU79" s="1495"/>
      <c r="KV79" s="1495"/>
      <c r="KW79" s="1495"/>
      <c r="KX79" s="1495"/>
      <c r="KY79" s="1495"/>
      <c r="KZ79" s="1495"/>
      <c r="LA79" s="1495"/>
      <c r="LB79" s="1495"/>
    </row>
    <row r="80" spans="1:314">
      <c r="A80" s="1495"/>
      <c r="B80" s="418"/>
      <c r="C80" s="1495"/>
      <c r="D80" s="1495"/>
      <c r="E80" s="1495"/>
      <c r="F80" s="1495"/>
      <c r="G80" s="1495"/>
      <c r="H80" s="1495"/>
      <c r="I80" s="1495"/>
      <c r="J80" s="1495"/>
      <c r="K80" s="1495"/>
      <c r="L80" s="1495"/>
      <c r="M80" s="1495"/>
      <c r="N80" s="1495"/>
      <c r="O80" s="1495"/>
      <c r="P80" s="1495"/>
      <c r="Q80" s="1495"/>
      <c r="R80" s="1495"/>
      <c r="S80" s="1495"/>
      <c r="T80" s="1495"/>
      <c r="U80" s="1495"/>
      <c r="V80" s="1495"/>
      <c r="W80" s="1495"/>
      <c r="X80" s="1495"/>
      <c r="Y80" s="1495"/>
      <c r="Z80" s="1495"/>
      <c r="AA80" s="1495"/>
      <c r="AB80" s="1495"/>
      <c r="AC80" s="1495"/>
      <c r="AD80" s="1495"/>
      <c r="AE80" s="1495"/>
      <c r="AF80" s="1495"/>
      <c r="AG80" s="1495"/>
      <c r="AH80" s="1495"/>
      <c r="AI80" s="1495"/>
      <c r="AJ80" s="1495"/>
      <c r="AK80" s="1495"/>
      <c r="AL80" s="1495"/>
      <c r="AM80" s="1495"/>
      <c r="AN80" s="1495"/>
      <c r="AO80" s="1495"/>
      <c r="AP80" s="1495"/>
      <c r="AQ80" s="1495"/>
      <c r="AR80" s="1495"/>
      <c r="AS80" s="1495"/>
      <c r="AT80" s="1495"/>
      <c r="AU80" s="1495"/>
      <c r="AV80" s="1495"/>
      <c r="AW80" s="1495"/>
      <c r="AX80" s="1495"/>
      <c r="AY80" s="1495"/>
      <c r="AZ80" s="1495"/>
      <c r="BA80" s="1495"/>
      <c r="BB80" s="1495"/>
      <c r="BC80" s="1495"/>
      <c r="BD80" s="1495"/>
      <c r="BE80" s="1495"/>
      <c r="BF80" s="1495"/>
      <c r="BG80" s="1495"/>
      <c r="BH80" s="1495"/>
      <c r="BI80" s="1495"/>
      <c r="BJ80" s="1495"/>
      <c r="BK80" s="1495"/>
      <c r="BL80" s="1495"/>
      <c r="BM80" s="1495"/>
      <c r="BN80" s="1495"/>
      <c r="BO80" s="1495"/>
      <c r="BP80" s="418"/>
      <c r="BQ80" s="1495"/>
      <c r="BR80" s="1495"/>
      <c r="BS80" s="1495"/>
      <c r="BT80" s="1495"/>
      <c r="BU80" s="1495"/>
      <c r="BV80" s="1495"/>
      <c r="BW80" s="1495"/>
      <c r="BX80" s="1495"/>
      <c r="BY80" s="1495"/>
      <c r="BZ80" s="444"/>
      <c r="CA80" s="496"/>
      <c r="CB80" s="496"/>
      <c r="CC80" s="444"/>
      <c r="CD80" s="502"/>
      <c r="CE80" s="108"/>
      <c r="CF80" s="444"/>
      <c r="CG80" s="504"/>
      <c r="CH80" s="348"/>
      <c r="CI80" s="408"/>
      <c r="CJ80" s="1495"/>
      <c r="CK80" s="1495"/>
      <c r="CL80" s="1495"/>
      <c r="CM80" s="1495"/>
      <c r="CN80" s="1495"/>
      <c r="CO80" s="1495"/>
      <c r="CP80" s="1495"/>
      <c r="CQ80" s="1495"/>
      <c r="CR80" s="1495"/>
      <c r="CS80" s="1495"/>
      <c r="CT80" s="1495"/>
      <c r="CU80" s="1495"/>
      <c r="CV80" s="1495"/>
      <c r="CW80" s="1495"/>
      <c r="CX80" s="1495"/>
      <c r="CY80" s="1495"/>
      <c r="CZ80" s="1495"/>
      <c r="DA80" s="444"/>
      <c r="DB80" s="475"/>
      <c r="DC80" s="108"/>
      <c r="DD80" s="408"/>
      <c r="DE80" s="1495"/>
      <c r="DF80" s="444"/>
      <c r="DG80" s="475"/>
      <c r="DH80" s="407"/>
      <c r="DI80" s="407"/>
      <c r="DJ80" s="1495"/>
      <c r="DK80" s="1495"/>
      <c r="DL80" s="1495"/>
      <c r="DM80" s="1495"/>
      <c r="DN80" s="1495"/>
      <c r="DO80" s="1495"/>
      <c r="DP80" s="1495"/>
      <c r="DQ80" s="1495"/>
      <c r="DR80" s="1495"/>
      <c r="DS80" s="1495"/>
      <c r="DT80" s="1495"/>
      <c r="DU80" s="1495"/>
      <c r="DV80" s="1495"/>
      <c r="DW80" s="1495"/>
      <c r="DX80" s="1495"/>
      <c r="DY80" s="1495"/>
      <c r="DZ80" s="1495"/>
      <c r="EA80" s="1495"/>
      <c r="EB80" s="1495"/>
      <c r="EC80" s="1495"/>
      <c r="ED80" s="1495"/>
      <c r="EE80" s="1495"/>
      <c r="EF80" s="1495"/>
      <c r="EG80" s="1495"/>
      <c r="EH80" s="1495"/>
      <c r="EI80" s="1495"/>
      <c r="EJ80" s="1495"/>
      <c r="EK80" s="1495"/>
      <c r="EL80" s="1495"/>
      <c r="EM80" s="1495"/>
      <c r="EN80" s="1495"/>
      <c r="EO80" s="1495"/>
      <c r="EP80" s="1495"/>
      <c r="EQ80" s="1495"/>
      <c r="ER80" s="1495"/>
      <c r="ES80" s="1495"/>
      <c r="ET80" s="1495"/>
      <c r="EU80" s="1495"/>
      <c r="EV80" s="1495"/>
      <c r="EW80" s="1495"/>
      <c r="EX80" s="1495"/>
      <c r="EY80" s="1495"/>
      <c r="EZ80" s="1495"/>
      <c r="FA80" s="1495"/>
      <c r="FB80" s="1495"/>
      <c r="FC80" s="1495"/>
      <c r="FD80" s="1495"/>
      <c r="FE80" s="1495"/>
      <c r="FF80" s="1495"/>
      <c r="FG80" s="1495"/>
      <c r="FH80" s="1495"/>
      <c r="FI80" s="1495"/>
      <c r="FJ80" s="1495"/>
      <c r="FK80" s="1495"/>
      <c r="FL80" s="1495"/>
      <c r="FM80" s="1495"/>
      <c r="FN80" s="1495"/>
      <c r="FO80" s="1495"/>
      <c r="FP80" s="1495"/>
      <c r="FQ80" s="1495"/>
      <c r="FR80" s="1495"/>
      <c r="FS80" s="1495"/>
      <c r="FT80" s="1495"/>
      <c r="FU80" s="1495"/>
      <c r="FV80" s="1495"/>
      <c r="FW80" s="1495"/>
      <c r="FX80" s="1495"/>
      <c r="FY80" s="1495"/>
      <c r="FZ80" s="1495"/>
      <c r="GA80" s="1495"/>
      <c r="GB80" s="1495"/>
      <c r="GC80" s="1495"/>
      <c r="GD80" s="1495"/>
      <c r="GE80" s="1495"/>
      <c r="GF80" s="1495"/>
      <c r="GG80" s="1495"/>
      <c r="GH80" s="1495"/>
      <c r="GI80" s="1495"/>
      <c r="GJ80" s="1495"/>
      <c r="GK80" s="1495"/>
      <c r="GL80" s="1495"/>
      <c r="GM80" s="1495"/>
      <c r="GN80" s="1495"/>
      <c r="GO80" s="1495"/>
      <c r="GP80" s="1495"/>
      <c r="GQ80" s="1495"/>
      <c r="GR80" s="1495"/>
      <c r="GS80" s="1495"/>
      <c r="GT80" s="1495"/>
      <c r="GU80" s="1495"/>
      <c r="GV80" s="1495"/>
      <c r="GW80" s="1495"/>
      <c r="GX80" s="1495"/>
      <c r="GY80" s="1495"/>
      <c r="GZ80" s="1495"/>
      <c r="HA80" s="1495"/>
      <c r="HB80" s="1495"/>
      <c r="HC80" s="1495"/>
      <c r="HD80" s="1495"/>
      <c r="HE80" s="1495"/>
      <c r="HF80" s="1495"/>
      <c r="HG80" s="1495"/>
      <c r="HH80" s="1495"/>
      <c r="HI80" s="1495"/>
      <c r="HJ80" s="1495"/>
      <c r="HK80" s="1495"/>
      <c r="HL80" s="1495"/>
      <c r="HM80" s="1495"/>
      <c r="HN80" s="1495"/>
      <c r="HO80" s="1495"/>
      <c r="HP80" s="1495"/>
      <c r="HQ80" s="1495"/>
      <c r="HR80" s="1495"/>
      <c r="HS80" s="1495"/>
      <c r="HT80" s="1495"/>
      <c r="HU80" s="1495"/>
      <c r="HV80" s="1495"/>
      <c r="HW80" s="1495"/>
      <c r="HX80" s="1495"/>
      <c r="HY80" s="1495"/>
      <c r="HZ80" s="1495"/>
      <c r="IA80" s="1495"/>
      <c r="IB80" s="1495"/>
      <c r="IC80" s="1495"/>
      <c r="ID80" s="1495"/>
      <c r="IE80" s="1495"/>
      <c r="IF80" s="1495"/>
      <c r="IG80" s="1495"/>
      <c r="IH80" s="1495"/>
      <c r="II80" s="1495"/>
      <c r="IJ80" s="1495"/>
      <c r="IK80" s="1495"/>
      <c r="IL80" s="1495"/>
      <c r="IM80" s="1495"/>
      <c r="IN80" s="1495"/>
      <c r="IO80" s="1495"/>
      <c r="IP80" s="1495"/>
      <c r="IQ80" s="1495"/>
      <c r="IR80" s="1495"/>
      <c r="IS80" s="1495"/>
      <c r="IT80" s="1495"/>
      <c r="IU80" s="1495"/>
      <c r="IV80" s="1495"/>
      <c r="IW80" s="1495"/>
      <c r="IX80" s="1495"/>
      <c r="IY80" s="1495"/>
      <c r="IZ80" s="1495"/>
      <c r="JA80" s="1495"/>
      <c r="JB80" s="1495"/>
      <c r="JC80" s="1495"/>
      <c r="JD80" s="1495"/>
      <c r="JE80" s="1495"/>
      <c r="JF80" s="1495"/>
      <c r="JG80" s="1495"/>
      <c r="JH80" s="1495"/>
      <c r="JI80" s="1495"/>
      <c r="JJ80" s="1495"/>
      <c r="JK80" s="1495"/>
      <c r="JL80" s="1495"/>
      <c r="JM80" s="1495"/>
      <c r="JN80" s="1495"/>
      <c r="JO80" s="1495"/>
      <c r="JP80" s="1495"/>
      <c r="JQ80" s="1495"/>
      <c r="JR80" s="1495"/>
      <c r="JS80" s="1495"/>
      <c r="JT80" s="1495"/>
      <c r="JU80" s="1495"/>
      <c r="JV80" s="1495"/>
      <c r="JW80" s="1495"/>
      <c r="JX80" s="1495"/>
      <c r="JY80" s="1495"/>
      <c r="JZ80" s="1495"/>
      <c r="KA80" s="1495"/>
      <c r="KB80" s="1495"/>
      <c r="KC80" s="1495"/>
      <c r="KD80" s="1495"/>
      <c r="KE80" s="1495"/>
      <c r="KF80" s="1495"/>
      <c r="KG80" s="1495"/>
      <c r="KH80" s="1495"/>
      <c r="KI80" s="1495"/>
      <c r="KJ80" s="1495"/>
      <c r="KK80" s="1495"/>
      <c r="KL80" s="1495"/>
      <c r="KM80" s="1495"/>
      <c r="KN80" s="1495"/>
      <c r="KO80" s="1495"/>
      <c r="KP80" s="1495"/>
      <c r="KQ80" s="1495"/>
      <c r="KR80" s="1495"/>
      <c r="KS80" s="1495"/>
      <c r="KT80" s="1495"/>
      <c r="KU80" s="1495"/>
      <c r="KV80" s="1495"/>
      <c r="KW80" s="1495"/>
      <c r="KX80" s="1495"/>
      <c r="KY80" s="1495"/>
      <c r="KZ80" s="1495"/>
      <c r="LA80" s="1495"/>
      <c r="LB80" s="1495"/>
    </row>
    <row r="81" spans="1:314">
      <c r="A81" s="1495"/>
      <c r="B81" s="418"/>
      <c r="C81" s="1495"/>
      <c r="D81" s="1495"/>
      <c r="E81" s="1495"/>
      <c r="F81" s="1495"/>
      <c r="G81" s="1495"/>
      <c r="H81" s="1495"/>
      <c r="I81" s="1495"/>
      <c r="J81" s="1495"/>
      <c r="K81" s="1495"/>
      <c r="L81" s="1495"/>
      <c r="M81" s="1495"/>
      <c r="N81" s="1495"/>
      <c r="O81" s="1495"/>
      <c r="P81" s="1495"/>
      <c r="Q81" s="1495"/>
      <c r="R81" s="1495"/>
      <c r="S81" s="1495"/>
      <c r="T81" s="1495"/>
      <c r="U81" s="1495"/>
      <c r="V81" s="1495"/>
      <c r="W81" s="1495"/>
      <c r="X81" s="1495"/>
      <c r="Y81" s="1495"/>
      <c r="Z81" s="1495"/>
      <c r="AA81" s="1495"/>
      <c r="AB81" s="1495"/>
      <c r="AC81" s="1495"/>
      <c r="AD81" s="1495"/>
      <c r="AE81" s="1495"/>
      <c r="AF81" s="1495"/>
      <c r="AG81" s="1495"/>
      <c r="AH81" s="1495"/>
      <c r="AI81" s="1495"/>
      <c r="AJ81" s="1495"/>
      <c r="AK81" s="1495"/>
      <c r="AL81" s="1495"/>
      <c r="AM81" s="1495"/>
      <c r="AN81" s="1495"/>
      <c r="AO81" s="1495"/>
      <c r="AP81" s="1495"/>
      <c r="AQ81" s="1495"/>
      <c r="AR81" s="1495"/>
      <c r="AS81" s="1495"/>
      <c r="AT81" s="1495"/>
      <c r="AU81" s="1495"/>
      <c r="AV81" s="1495"/>
      <c r="AW81" s="1495"/>
      <c r="AX81" s="1495"/>
      <c r="AY81" s="1495"/>
      <c r="AZ81" s="1495"/>
      <c r="BA81" s="1495"/>
      <c r="BB81" s="1495"/>
      <c r="BC81" s="1495"/>
      <c r="BD81" s="1495"/>
      <c r="BE81" s="1495"/>
      <c r="BF81" s="1495"/>
      <c r="BG81" s="1495"/>
      <c r="BH81" s="1495"/>
      <c r="BI81" s="1495"/>
      <c r="BJ81" s="1495"/>
      <c r="BK81" s="1495"/>
      <c r="BL81" s="1495"/>
      <c r="BM81" s="1495"/>
      <c r="BN81" s="1495"/>
      <c r="BO81" s="1495"/>
      <c r="BP81" s="418"/>
      <c r="BQ81" s="1495"/>
      <c r="BR81" s="1495"/>
      <c r="BS81" s="1495"/>
      <c r="BT81" s="1495"/>
      <c r="BU81" s="1495"/>
      <c r="BV81" s="1495"/>
      <c r="BW81" s="1495"/>
      <c r="BX81" s="1495"/>
      <c r="BY81" s="1495"/>
      <c r="BZ81" s="444"/>
      <c r="CA81" s="496"/>
      <c r="CB81" s="496"/>
      <c r="CC81" s="444"/>
      <c r="CD81" s="502"/>
      <c r="CE81" s="108"/>
      <c r="CF81" s="444"/>
      <c r="CG81" s="504"/>
      <c r="CH81" s="348"/>
      <c r="CI81" s="408"/>
      <c r="CJ81" s="1495"/>
      <c r="CK81" s="1495"/>
      <c r="CL81" s="1495"/>
      <c r="CM81" s="1495"/>
      <c r="CN81" s="1495"/>
      <c r="CO81" s="1495"/>
      <c r="CP81" s="1495"/>
      <c r="CQ81" s="1495"/>
      <c r="CR81" s="1495"/>
      <c r="CS81" s="1495"/>
      <c r="CT81" s="1495"/>
      <c r="CU81" s="1495"/>
      <c r="CV81" s="1495"/>
      <c r="CW81" s="1495"/>
      <c r="CX81" s="1495"/>
      <c r="CY81" s="1495"/>
      <c r="CZ81" s="1495"/>
      <c r="DA81" s="444"/>
      <c r="DB81" s="475"/>
      <c r="DC81" s="108"/>
      <c r="DD81" s="408"/>
      <c r="DE81" s="1495"/>
      <c r="DF81" s="444"/>
      <c r="DG81" s="475"/>
      <c r="DH81" s="407"/>
      <c r="DI81" s="407"/>
      <c r="DJ81" s="1495"/>
      <c r="DK81" s="1495"/>
      <c r="DL81" s="1495"/>
      <c r="DM81" s="1495"/>
      <c r="DN81" s="1495"/>
      <c r="DO81" s="1495"/>
      <c r="DP81" s="1495"/>
      <c r="DQ81" s="1495"/>
      <c r="DR81" s="1495"/>
      <c r="DS81" s="1495"/>
      <c r="DT81" s="1495"/>
      <c r="DU81" s="1495"/>
      <c r="DV81" s="1495"/>
      <c r="DW81" s="1495"/>
      <c r="DX81" s="1495"/>
      <c r="DY81" s="1495"/>
      <c r="DZ81" s="1495"/>
      <c r="EA81" s="1495"/>
      <c r="EB81" s="1495"/>
      <c r="EC81" s="1495"/>
      <c r="ED81" s="1495"/>
      <c r="EE81" s="1495"/>
      <c r="EF81" s="1495"/>
      <c r="EG81" s="1495"/>
      <c r="EH81" s="1495"/>
      <c r="EI81" s="1495"/>
      <c r="EJ81" s="1495"/>
      <c r="EK81" s="1495"/>
      <c r="EL81" s="407"/>
      <c r="EM81" s="1495"/>
      <c r="EN81" s="407"/>
      <c r="EO81" s="1495"/>
      <c r="EP81" s="1495"/>
      <c r="EQ81" s="1495"/>
      <c r="ER81" s="1495"/>
      <c r="ES81" s="407"/>
      <c r="ET81" s="1495"/>
      <c r="EU81" s="1495"/>
      <c r="EV81" s="1495"/>
      <c r="EW81" s="1495"/>
      <c r="EX81" s="1495"/>
      <c r="EY81" s="1495"/>
      <c r="EZ81" s="1495"/>
      <c r="FA81" s="1495"/>
      <c r="FB81" s="1495"/>
      <c r="FC81" s="1495"/>
      <c r="FD81" s="1495"/>
      <c r="FE81" s="1495"/>
      <c r="FF81" s="1495"/>
      <c r="FG81" s="1495"/>
      <c r="FH81" s="1495"/>
      <c r="FI81" s="1495"/>
      <c r="FJ81" s="1495"/>
      <c r="FK81" s="1495"/>
      <c r="FL81" s="1495"/>
      <c r="FM81" s="1495"/>
      <c r="FN81" s="1495"/>
      <c r="FO81" s="1495"/>
      <c r="FP81" s="1495"/>
      <c r="FQ81" s="1495"/>
      <c r="FR81" s="1495"/>
      <c r="FS81" s="1495"/>
      <c r="FT81" s="1495"/>
      <c r="FU81" s="1495"/>
      <c r="FV81" s="1495"/>
      <c r="FW81" s="1495"/>
      <c r="FX81" s="1495"/>
      <c r="FY81" s="1495"/>
      <c r="FZ81" s="1495"/>
      <c r="GA81" s="1495"/>
      <c r="GB81" s="1495"/>
      <c r="GC81" s="1495"/>
      <c r="GD81" s="1495"/>
      <c r="GE81" s="1495"/>
      <c r="GF81" s="1495"/>
      <c r="GG81" s="1495"/>
      <c r="GH81" s="1495"/>
      <c r="GI81" s="1495"/>
      <c r="GJ81" s="1495"/>
      <c r="GK81" s="1495"/>
      <c r="GL81" s="1495"/>
      <c r="GM81" s="1495"/>
      <c r="GN81" s="1495"/>
      <c r="GO81" s="1495"/>
      <c r="GP81" s="1495"/>
      <c r="GQ81" s="1495"/>
      <c r="GR81" s="1495"/>
      <c r="GS81" s="1495"/>
      <c r="GT81" s="1495"/>
      <c r="GU81" s="1495"/>
      <c r="GV81" s="1495"/>
      <c r="GW81" s="1495"/>
      <c r="GX81" s="1495"/>
      <c r="GY81" s="1495"/>
      <c r="GZ81" s="1495"/>
      <c r="HA81" s="1495"/>
      <c r="HB81" s="1495"/>
      <c r="HC81" s="1495"/>
      <c r="HD81" s="1495"/>
      <c r="HE81" s="1495"/>
      <c r="HF81" s="1495"/>
      <c r="HG81" s="1495"/>
      <c r="HH81" s="1495"/>
      <c r="HI81" s="1495"/>
      <c r="HJ81" s="1495"/>
      <c r="HK81" s="1495"/>
      <c r="HL81" s="1495"/>
      <c r="HM81" s="1495"/>
      <c r="HN81" s="1495"/>
      <c r="HO81" s="1495"/>
      <c r="HP81" s="1495"/>
      <c r="HQ81" s="1495"/>
      <c r="HR81" s="1495"/>
      <c r="HS81" s="1495"/>
      <c r="HT81" s="1495"/>
      <c r="HU81" s="1495"/>
      <c r="HV81" s="1495"/>
      <c r="HW81" s="1495"/>
      <c r="HX81" s="1495"/>
      <c r="HY81" s="1495"/>
      <c r="HZ81" s="1495"/>
      <c r="IA81" s="1495"/>
      <c r="IB81" s="1495"/>
      <c r="IC81" s="1495"/>
      <c r="ID81" s="1495"/>
      <c r="IE81" s="1495"/>
      <c r="IF81" s="1495"/>
      <c r="IG81" s="1495"/>
      <c r="IH81" s="1495"/>
      <c r="II81" s="1495"/>
      <c r="IJ81" s="1495"/>
      <c r="IK81" s="1495"/>
      <c r="IL81" s="1495"/>
      <c r="IM81" s="1495"/>
      <c r="IN81" s="1495"/>
      <c r="IO81" s="1495"/>
      <c r="IP81" s="1495"/>
      <c r="IQ81" s="1495"/>
      <c r="IR81" s="1495"/>
      <c r="IS81" s="1495"/>
      <c r="IT81" s="1495"/>
      <c r="IU81" s="1495"/>
      <c r="IV81" s="1495"/>
      <c r="IW81" s="1495"/>
      <c r="IX81" s="1495"/>
      <c r="IY81" s="1495"/>
      <c r="IZ81" s="1495"/>
      <c r="JA81" s="1495"/>
      <c r="JB81" s="1495"/>
      <c r="JC81" s="1495"/>
      <c r="JD81" s="1495"/>
      <c r="JE81" s="1495"/>
      <c r="JF81" s="1495"/>
      <c r="JG81" s="1495"/>
      <c r="JH81" s="1495"/>
      <c r="JI81" s="1495"/>
      <c r="JJ81" s="1495"/>
      <c r="JK81" s="1495"/>
      <c r="JL81" s="1495"/>
      <c r="JM81" s="1495"/>
      <c r="JN81" s="1495"/>
      <c r="JO81" s="1495"/>
      <c r="JP81" s="1495"/>
      <c r="JQ81" s="1495"/>
      <c r="JR81" s="1495"/>
      <c r="JS81" s="1495"/>
      <c r="JT81" s="1495"/>
      <c r="JU81" s="1495"/>
      <c r="JV81" s="1495"/>
      <c r="JW81" s="1495"/>
      <c r="JX81" s="1495"/>
      <c r="JY81" s="1495"/>
      <c r="JZ81" s="1495"/>
      <c r="KA81" s="1495"/>
      <c r="KB81" s="1495"/>
      <c r="KC81" s="1495"/>
      <c r="KD81" s="1495"/>
      <c r="KE81" s="1495"/>
      <c r="KF81" s="1495"/>
      <c r="KG81" s="1495"/>
      <c r="KH81" s="1495"/>
      <c r="KI81" s="1495"/>
      <c r="KJ81" s="1495"/>
      <c r="KK81" s="1495"/>
      <c r="KL81" s="1495"/>
      <c r="KM81" s="1495"/>
      <c r="KN81" s="1495"/>
      <c r="KO81" s="1495"/>
      <c r="KP81" s="1495"/>
      <c r="KQ81" s="1495"/>
      <c r="KR81" s="1495"/>
      <c r="KS81" s="1495"/>
      <c r="KT81" s="1495"/>
      <c r="KU81" s="1495"/>
      <c r="KV81" s="1495"/>
      <c r="KW81" s="1495"/>
      <c r="KX81" s="1495"/>
      <c r="KY81" s="1495"/>
      <c r="KZ81" s="1495"/>
      <c r="LA81" s="1495"/>
      <c r="LB81" s="1495"/>
    </row>
    <row r="82" spans="1:314">
      <c r="A82" s="1495"/>
      <c r="B82" s="418"/>
      <c r="C82" s="1495"/>
      <c r="D82" s="1495"/>
      <c r="E82" s="1495"/>
      <c r="F82" s="1495"/>
      <c r="G82" s="1495"/>
      <c r="H82" s="1495"/>
      <c r="I82" s="1495"/>
      <c r="J82" s="1495"/>
      <c r="K82" s="1495"/>
      <c r="L82" s="1495"/>
      <c r="M82" s="1495"/>
      <c r="N82" s="1495"/>
      <c r="O82" s="1495"/>
      <c r="P82" s="1495"/>
      <c r="Q82" s="1495"/>
      <c r="R82" s="1495"/>
      <c r="S82" s="1495"/>
      <c r="T82" s="1495"/>
      <c r="U82" s="1495"/>
      <c r="V82" s="1495"/>
      <c r="W82" s="1495"/>
      <c r="X82" s="1495"/>
      <c r="Y82" s="1495"/>
      <c r="Z82" s="1495"/>
      <c r="AA82" s="1495"/>
      <c r="AB82" s="1495"/>
      <c r="AC82" s="1495"/>
      <c r="AD82" s="1495"/>
      <c r="AE82" s="1495"/>
      <c r="AF82" s="1495"/>
      <c r="AG82" s="1495"/>
      <c r="AH82" s="1495"/>
      <c r="AI82" s="1495"/>
      <c r="AJ82" s="1495"/>
      <c r="AK82" s="1495"/>
      <c r="AL82" s="1495"/>
      <c r="AM82" s="1495"/>
      <c r="AN82" s="1495"/>
      <c r="AO82" s="1495"/>
      <c r="AP82" s="1495"/>
      <c r="AQ82" s="1495"/>
      <c r="AR82" s="1495"/>
      <c r="AS82" s="1495"/>
      <c r="AT82" s="1495"/>
      <c r="AU82" s="1495"/>
      <c r="AV82" s="1495"/>
      <c r="AW82" s="1495"/>
      <c r="AX82" s="1495"/>
      <c r="AY82" s="1495"/>
      <c r="AZ82" s="1495"/>
      <c r="BA82" s="1495"/>
      <c r="BB82" s="1495"/>
      <c r="BC82" s="1495"/>
      <c r="BD82" s="1495"/>
      <c r="BE82" s="1495"/>
      <c r="BF82" s="1495"/>
      <c r="BG82" s="1495"/>
      <c r="BH82" s="1495"/>
      <c r="BI82" s="1495"/>
      <c r="BJ82" s="1495"/>
      <c r="BK82" s="1495"/>
      <c r="BL82" s="1495"/>
      <c r="BM82" s="1495"/>
      <c r="BN82" s="1495"/>
      <c r="BO82" s="1495"/>
      <c r="BP82" s="418"/>
      <c r="BQ82" s="1495"/>
      <c r="BR82" s="1495"/>
      <c r="BS82" s="1495"/>
      <c r="BT82" s="1495"/>
      <c r="BU82" s="1495"/>
      <c r="BV82" s="1495"/>
      <c r="BW82" s="1495"/>
      <c r="BX82" s="1495"/>
      <c r="BY82" s="1495"/>
      <c r="BZ82" s="444"/>
      <c r="CA82" s="496"/>
      <c r="CB82" s="496"/>
      <c r="CC82" s="444"/>
      <c r="CD82" s="502"/>
      <c r="CE82" s="108"/>
      <c r="CF82" s="444"/>
      <c r="CG82" s="504"/>
      <c r="CH82" s="348"/>
      <c r="CI82" s="408"/>
      <c r="CJ82" s="1495"/>
      <c r="CK82" s="1495"/>
      <c r="CL82" s="1495"/>
      <c r="CM82" s="1495"/>
      <c r="CN82" s="1495"/>
      <c r="CO82" s="1495"/>
      <c r="CP82" s="1495"/>
      <c r="CQ82" s="1495"/>
      <c r="CR82" s="1495"/>
      <c r="CS82" s="1495"/>
      <c r="CT82" s="1495"/>
      <c r="CU82" s="1495"/>
      <c r="CV82" s="1495"/>
      <c r="CW82" s="1495"/>
      <c r="CX82" s="1495"/>
      <c r="CY82" s="1495"/>
      <c r="CZ82" s="1495"/>
      <c r="DA82" s="444"/>
      <c r="DB82" s="475"/>
      <c r="DC82" s="108"/>
      <c r="DD82" s="408"/>
      <c r="DE82" s="1495"/>
      <c r="DF82" s="444"/>
      <c r="DG82" s="475"/>
      <c r="DH82" s="407"/>
      <c r="DI82" s="407"/>
      <c r="DJ82" s="1495"/>
      <c r="DK82" s="1495"/>
      <c r="DL82" s="1495"/>
      <c r="DM82" s="1495"/>
      <c r="DN82" s="1495"/>
      <c r="DO82" s="1495"/>
      <c r="DP82" s="1495"/>
      <c r="DQ82" s="1495"/>
      <c r="DR82" s="1495"/>
      <c r="DS82" s="1495"/>
      <c r="DT82" s="1495"/>
      <c r="DU82" s="1495"/>
      <c r="DV82" s="1495"/>
      <c r="DW82" s="1495"/>
      <c r="DX82" s="1495"/>
      <c r="DY82" s="1495"/>
      <c r="DZ82" s="1495"/>
      <c r="EA82" s="1495"/>
      <c r="EB82" s="1495"/>
      <c r="EC82" s="1495"/>
      <c r="ED82" s="1495"/>
      <c r="EE82" s="1495"/>
      <c r="EF82" s="1495"/>
      <c r="EG82" s="1495"/>
      <c r="EH82" s="1495"/>
      <c r="EI82" s="1495"/>
      <c r="EJ82" s="1495"/>
      <c r="EK82" s="1495"/>
      <c r="EL82" s="407"/>
      <c r="EM82" s="1495"/>
      <c r="EN82" s="407"/>
      <c r="EO82" s="1495"/>
      <c r="EP82" s="1495"/>
      <c r="EQ82" s="1495"/>
      <c r="ER82" s="1495"/>
      <c r="ES82" s="407"/>
      <c r="ET82" s="1495"/>
      <c r="EU82" s="1495"/>
      <c r="EV82" s="1495"/>
      <c r="EW82" s="1495"/>
      <c r="EX82" s="1495"/>
      <c r="EY82" s="1495"/>
      <c r="EZ82" s="1495"/>
      <c r="FA82" s="1495"/>
      <c r="FB82" s="1495"/>
      <c r="FC82" s="1495"/>
      <c r="FD82" s="1495"/>
      <c r="FE82" s="1495"/>
      <c r="FF82" s="1495"/>
      <c r="FG82" s="1495"/>
      <c r="FH82" s="1495"/>
      <c r="FI82" s="1495"/>
      <c r="FJ82" s="1495"/>
      <c r="FK82" s="1495"/>
      <c r="FL82" s="1495"/>
      <c r="FM82" s="1495"/>
      <c r="FN82" s="1495"/>
      <c r="FO82" s="1495"/>
      <c r="FP82" s="1495"/>
      <c r="FQ82" s="1495"/>
      <c r="FR82" s="1495"/>
      <c r="FS82" s="1495"/>
      <c r="FT82" s="1495"/>
      <c r="FU82" s="1495"/>
      <c r="FV82" s="1495"/>
      <c r="FW82" s="1495"/>
      <c r="FX82" s="1495"/>
      <c r="FY82" s="1495"/>
      <c r="FZ82" s="1495"/>
      <c r="GA82" s="1495"/>
      <c r="GB82" s="1495"/>
      <c r="GC82" s="1495"/>
      <c r="GD82" s="1495"/>
      <c r="GE82" s="1495"/>
      <c r="GF82" s="1495"/>
      <c r="GG82" s="1495"/>
      <c r="GH82" s="1495"/>
      <c r="GI82" s="1495"/>
      <c r="GJ82" s="1495"/>
      <c r="GK82" s="1495"/>
      <c r="GL82" s="1495"/>
      <c r="GM82" s="1495"/>
      <c r="GN82" s="1495"/>
      <c r="GO82" s="1495"/>
      <c r="GP82" s="1495"/>
      <c r="GQ82" s="1495"/>
      <c r="GR82" s="1495"/>
      <c r="GS82" s="1495"/>
      <c r="GT82" s="1495"/>
      <c r="GU82" s="1495"/>
      <c r="GV82" s="1495"/>
      <c r="GW82" s="1495"/>
      <c r="GX82" s="1495"/>
      <c r="GY82" s="1495"/>
      <c r="GZ82" s="1495"/>
      <c r="HA82" s="1495"/>
      <c r="HB82" s="1495"/>
      <c r="HC82" s="1495"/>
      <c r="HD82" s="1495"/>
      <c r="HE82" s="1495"/>
      <c r="HF82" s="1495"/>
      <c r="HG82" s="1495"/>
      <c r="HH82" s="1495"/>
      <c r="HI82" s="1495"/>
      <c r="HJ82" s="1495"/>
      <c r="HK82" s="1495"/>
      <c r="HL82" s="1495"/>
      <c r="HM82" s="1495"/>
      <c r="HN82" s="1495"/>
      <c r="HO82" s="1495"/>
      <c r="HP82" s="1495"/>
      <c r="HQ82" s="1495"/>
      <c r="HR82" s="1495"/>
      <c r="HS82" s="1495"/>
      <c r="HT82" s="1495"/>
      <c r="HU82" s="1495"/>
      <c r="HV82" s="1495"/>
      <c r="HW82" s="1495"/>
      <c r="HX82" s="1495"/>
      <c r="HY82" s="1495"/>
      <c r="HZ82" s="1495"/>
      <c r="IA82" s="1495"/>
      <c r="IB82" s="1495"/>
      <c r="IC82" s="1495"/>
      <c r="ID82" s="1495"/>
      <c r="IE82" s="1495"/>
      <c r="IF82" s="1495"/>
      <c r="IG82" s="1495"/>
      <c r="IH82" s="1495"/>
      <c r="II82" s="1495"/>
      <c r="IJ82" s="1495"/>
      <c r="IK82" s="1495"/>
      <c r="IL82" s="1495"/>
      <c r="IM82" s="1495"/>
      <c r="IN82" s="1495"/>
      <c r="IO82" s="1495"/>
      <c r="IP82" s="1495"/>
      <c r="IQ82" s="1495"/>
      <c r="IR82" s="1495"/>
      <c r="IS82" s="1495"/>
      <c r="IT82" s="1495"/>
      <c r="IU82" s="1495"/>
      <c r="IV82" s="1495"/>
      <c r="IW82" s="1495"/>
      <c r="IX82" s="1495"/>
      <c r="IY82" s="1495"/>
      <c r="IZ82" s="1495"/>
      <c r="JA82" s="1495"/>
      <c r="JB82" s="1495"/>
      <c r="JC82" s="1495"/>
      <c r="JD82" s="1495"/>
      <c r="JE82" s="1495"/>
      <c r="JF82" s="1495"/>
      <c r="JG82" s="1495"/>
      <c r="JH82" s="1495"/>
      <c r="JI82" s="1495"/>
      <c r="JJ82" s="1495"/>
      <c r="JK82" s="1495"/>
      <c r="JL82" s="1495"/>
      <c r="JM82" s="1495"/>
      <c r="JN82" s="1495"/>
      <c r="JO82" s="1495"/>
      <c r="JP82" s="1495"/>
      <c r="JQ82" s="1495"/>
      <c r="JR82" s="1495"/>
      <c r="JS82" s="1495"/>
      <c r="JT82" s="1495"/>
      <c r="JU82" s="1495"/>
      <c r="JV82" s="1495"/>
      <c r="JW82" s="1495"/>
      <c r="JX82" s="1495"/>
      <c r="JY82" s="1495"/>
      <c r="JZ82" s="1495"/>
      <c r="KA82" s="1495"/>
      <c r="KB82" s="1495"/>
      <c r="KC82" s="1495"/>
      <c r="KD82" s="1495"/>
      <c r="KE82" s="1495"/>
      <c r="KF82" s="1495"/>
      <c r="KG82" s="1495"/>
      <c r="KH82" s="1495"/>
      <c r="KI82" s="1495"/>
      <c r="KJ82" s="1495"/>
      <c r="KK82" s="1495"/>
      <c r="KL82" s="1495"/>
      <c r="KM82" s="1495"/>
      <c r="KN82" s="1495"/>
      <c r="KO82" s="1495"/>
      <c r="KP82" s="1495"/>
      <c r="KQ82" s="1495"/>
      <c r="KR82" s="1495"/>
      <c r="KS82" s="1495"/>
      <c r="KT82" s="1495"/>
      <c r="KU82" s="1495"/>
      <c r="KV82" s="1495"/>
      <c r="KW82" s="1495"/>
      <c r="KX82" s="1495"/>
      <c r="KY82" s="1495"/>
      <c r="KZ82" s="1495"/>
      <c r="LA82" s="1495"/>
      <c r="LB82" s="1495"/>
    </row>
    <row r="83" spans="1:314">
      <c r="A83" s="1495"/>
      <c r="B83" s="418"/>
      <c r="C83" s="1495"/>
      <c r="D83" s="1495"/>
      <c r="E83" s="1495"/>
      <c r="F83" s="1495"/>
      <c r="G83" s="1495"/>
      <c r="H83" s="1495"/>
      <c r="I83" s="1495"/>
      <c r="J83" s="1495"/>
      <c r="K83" s="1495"/>
      <c r="L83" s="1495"/>
      <c r="M83" s="1495"/>
      <c r="N83" s="1495"/>
      <c r="O83" s="1495"/>
      <c r="P83" s="1495"/>
      <c r="Q83" s="1495"/>
      <c r="R83" s="1495"/>
      <c r="S83" s="1495"/>
      <c r="T83" s="1495"/>
      <c r="U83" s="1495"/>
      <c r="V83" s="1495"/>
      <c r="W83" s="1495"/>
      <c r="X83" s="1495"/>
      <c r="Y83" s="1495"/>
      <c r="Z83" s="1495"/>
      <c r="AA83" s="1495"/>
      <c r="AB83" s="1495"/>
      <c r="AC83" s="1495"/>
      <c r="AD83" s="1495"/>
      <c r="AE83" s="1495"/>
      <c r="AF83" s="1495"/>
      <c r="AG83" s="1495"/>
      <c r="AH83" s="1495"/>
      <c r="AI83" s="1495"/>
      <c r="AJ83" s="1495"/>
      <c r="AK83" s="1495"/>
      <c r="AL83" s="1495"/>
      <c r="AM83" s="1495"/>
      <c r="AN83" s="1495"/>
      <c r="AO83" s="1495"/>
      <c r="AP83" s="1495"/>
      <c r="AQ83" s="1495"/>
      <c r="AR83" s="1495"/>
      <c r="AS83" s="1495"/>
      <c r="AT83" s="1495"/>
      <c r="AU83" s="1495"/>
      <c r="AV83" s="1495"/>
      <c r="AW83" s="1495"/>
      <c r="AX83" s="1495"/>
      <c r="AY83" s="1495"/>
      <c r="AZ83" s="1495"/>
      <c r="BA83" s="1495"/>
      <c r="BB83" s="1495"/>
      <c r="BC83" s="1495"/>
      <c r="BD83" s="1495"/>
      <c r="BE83" s="1495"/>
      <c r="BF83" s="1495"/>
      <c r="BG83" s="1495"/>
      <c r="BH83" s="1495"/>
      <c r="BI83" s="1495"/>
      <c r="BJ83" s="1495"/>
      <c r="BK83" s="1495"/>
      <c r="BL83" s="1495"/>
      <c r="BM83" s="1495"/>
      <c r="BN83" s="1495"/>
      <c r="BO83" s="1495"/>
      <c r="BP83" s="418"/>
      <c r="BQ83" s="1495"/>
      <c r="BR83" s="1495"/>
      <c r="BS83" s="1495"/>
      <c r="BT83" s="1495"/>
      <c r="BU83" s="1495"/>
      <c r="BV83" s="1495"/>
      <c r="BW83" s="1495"/>
      <c r="BX83" s="1495"/>
      <c r="BY83" s="1495"/>
      <c r="BZ83" s="444"/>
      <c r="CA83" s="496"/>
      <c r="CB83" s="496"/>
      <c r="CC83" s="444"/>
      <c r="CD83" s="502"/>
      <c r="CE83" s="108"/>
      <c r="CF83" s="444"/>
      <c r="CG83" s="504"/>
      <c r="CH83" s="348"/>
      <c r="CI83" s="408"/>
      <c r="CJ83" s="1495"/>
      <c r="CK83" s="1495"/>
      <c r="CL83" s="1495"/>
      <c r="CM83" s="1495"/>
      <c r="CN83" s="1495"/>
      <c r="CO83" s="1495"/>
      <c r="CP83" s="1495"/>
      <c r="CQ83" s="1495"/>
      <c r="CR83" s="1495"/>
      <c r="CS83" s="1495"/>
      <c r="CT83" s="1495"/>
      <c r="CU83" s="1495"/>
      <c r="CV83" s="1495"/>
      <c r="CW83" s="1495"/>
      <c r="CX83" s="1495"/>
      <c r="CY83" s="1495"/>
      <c r="CZ83" s="1495"/>
      <c r="DA83" s="444"/>
      <c r="DB83" s="475"/>
      <c r="DC83" s="108"/>
      <c r="DD83" s="408"/>
      <c r="DE83" s="1495"/>
      <c r="DF83" s="444"/>
      <c r="DG83" s="475"/>
      <c r="DH83" s="407"/>
      <c r="DI83" s="407"/>
      <c r="DJ83" s="1495"/>
      <c r="DK83" s="1495"/>
      <c r="DL83" s="1495"/>
      <c r="DM83" s="1495"/>
      <c r="DN83" s="1495"/>
      <c r="DO83" s="1495"/>
      <c r="DP83" s="1495"/>
      <c r="DQ83" s="1495"/>
      <c r="DR83" s="1495"/>
      <c r="DS83" s="1495"/>
      <c r="DT83" s="1495"/>
      <c r="DU83" s="1495"/>
      <c r="DV83" s="1495"/>
      <c r="DW83" s="1495"/>
      <c r="DX83" s="1495"/>
      <c r="DY83" s="1495"/>
      <c r="DZ83" s="1495"/>
      <c r="EA83" s="1495"/>
      <c r="EB83" s="1495"/>
      <c r="EC83" s="1495"/>
      <c r="ED83" s="1495"/>
      <c r="EE83" s="1495"/>
      <c r="EF83" s="1495"/>
      <c r="EG83" s="1495"/>
      <c r="EH83" s="1495"/>
      <c r="EI83" s="1495"/>
      <c r="EJ83" s="1495"/>
      <c r="EK83" s="1495"/>
      <c r="EL83" s="407"/>
      <c r="EM83" s="1495"/>
      <c r="EN83" s="407"/>
      <c r="EO83" s="1495"/>
      <c r="EP83" s="1495"/>
      <c r="EQ83" s="1495"/>
      <c r="ER83" s="1495"/>
      <c r="ES83" s="1495"/>
      <c r="ET83" s="1495"/>
      <c r="EU83" s="1495"/>
      <c r="EV83" s="1495"/>
      <c r="EW83" s="1495"/>
      <c r="EX83" s="1495"/>
      <c r="EY83" s="1495"/>
      <c r="EZ83" s="1495"/>
      <c r="FA83" s="1495"/>
      <c r="FB83" s="1495"/>
      <c r="FC83" s="1495"/>
      <c r="FD83" s="1495"/>
      <c r="FE83" s="1495"/>
      <c r="FF83" s="1495"/>
      <c r="FG83" s="1495"/>
      <c r="FH83" s="1495"/>
      <c r="FI83" s="1495"/>
      <c r="FJ83" s="1495"/>
      <c r="FK83" s="1495"/>
      <c r="FL83" s="1495"/>
      <c r="FM83" s="1495"/>
      <c r="FN83" s="1495"/>
      <c r="FO83" s="1495"/>
      <c r="FP83" s="1495"/>
      <c r="FQ83" s="1495"/>
      <c r="FR83" s="1495"/>
      <c r="FS83" s="1495"/>
      <c r="FT83" s="1495"/>
      <c r="FU83" s="1495"/>
      <c r="FV83" s="1495"/>
      <c r="FW83" s="1495"/>
      <c r="FX83" s="1495"/>
      <c r="FY83" s="1495"/>
      <c r="FZ83" s="1495"/>
      <c r="GA83" s="1495"/>
      <c r="GB83" s="1495"/>
      <c r="GC83" s="1495"/>
      <c r="GD83" s="1495"/>
      <c r="GE83" s="1495"/>
      <c r="GF83" s="1495"/>
      <c r="GG83" s="1495"/>
      <c r="GH83" s="1495"/>
      <c r="GI83" s="1495"/>
      <c r="GJ83" s="1495"/>
      <c r="GK83" s="1495"/>
      <c r="GL83" s="1495"/>
      <c r="GM83" s="1495"/>
      <c r="GN83" s="1495"/>
      <c r="GO83" s="1495"/>
      <c r="GP83" s="1495"/>
      <c r="GQ83" s="1495"/>
      <c r="GR83" s="1495"/>
      <c r="GS83" s="1495"/>
      <c r="GT83" s="1495"/>
      <c r="GU83" s="1495"/>
      <c r="GV83" s="1495"/>
      <c r="GW83" s="1495"/>
      <c r="GX83" s="1495"/>
      <c r="GY83" s="1495"/>
      <c r="GZ83" s="1495"/>
      <c r="HA83" s="1495"/>
      <c r="HB83" s="1495"/>
      <c r="HC83" s="1495"/>
      <c r="HD83" s="1495"/>
      <c r="HE83" s="1495"/>
      <c r="HF83" s="1495"/>
      <c r="HG83" s="1495"/>
      <c r="HH83" s="1495"/>
      <c r="HI83" s="1495"/>
      <c r="HJ83" s="1495"/>
      <c r="HK83" s="1495"/>
      <c r="HL83" s="1495"/>
      <c r="HM83" s="1495"/>
      <c r="HN83" s="1495"/>
      <c r="HO83" s="1495"/>
      <c r="HP83" s="1495"/>
      <c r="HQ83" s="1495"/>
      <c r="HR83" s="1495"/>
      <c r="HS83" s="1495"/>
      <c r="HT83" s="1495"/>
      <c r="HU83" s="1495"/>
      <c r="HV83" s="1495"/>
      <c r="HW83" s="1495"/>
      <c r="HX83" s="1495"/>
      <c r="HY83" s="1495"/>
      <c r="HZ83" s="1495"/>
      <c r="IA83" s="1495"/>
      <c r="IB83" s="1495"/>
      <c r="IC83" s="1495"/>
      <c r="ID83" s="1495"/>
      <c r="IE83" s="1495"/>
      <c r="IF83" s="1495"/>
      <c r="IG83" s="1495"/>
      <c r="IH83" s="1495"/>
      <c r="II83" s="1495"/>
      <c r="IJ83" s="1495"/>
      <c r="IK83" s="1495"/>
      <c r="IL83" s="1495"/>
      <c r="IM83" s="1495"/>
      <c r="IN83" s="1495"/>
      <c r="IO83" s="1495"/>
      <c r="IP83" s="1495"/>
      <c r="IQ83" s="1495"/>
      <c r="IR83" s="1495"/>
      <c r="IS83" s="1495"/>
      <c r="IT83" s="1495"/>
      <c r="IU83" s="1495"/>
      <c r="IV83" s="1495"/>
      <c r="IW83" s="1495"/>
      <c r="IX83" s="1495"/>
      <c r="IY83" s="1495"/>
      <c r="IZ83" s="1495"/>
      <c r="JA83" s="1495"/>
      <c r="JB83" s="1495"/>
      <c r="JC83" s="1495"/>
      <c r="JD83" s="1495"/>
      <c r="JE83" s="1495"/>
      <c r="JF83" s="1495"/>
      <c r="JG83" s="1495"/>
      <c r="JH83" s="1495"/>
      <c r="JI83" s="1495"/>
      <c r="JJ83" s="1495"/>
      <c r="JK83" s="1495"/>
      <c r="JL83" s="1495"/>
      <c r="JM83" s="1495"/>
      <c r="JN83" s="1495"/>
      <c r="JO83" s="1495"/>
      <c r="JP83" s="1495"/>
      <c r="JQ83" s="1495"/>
      <c r="JR83" s="1495"/>
      <c r="JS83" s="1495"/>
      <c r="JT83" s="1495"/>
      <c r="JU83" s="1495"/>
      <c r="JV83" s="1495"/>
      <c r="JW83" s="1495"/>
      <c r="JX83" s="1495"/>
      <c r="JY83" s="1495"/>
      <c r="JZ83" s="1495"/>
      <c r="KA83" s="1495"/>
      <c r="KB83" s="1495"/>
      <c r="KC83" s="1495"/>
      <c r="KD83" s="1495"/>
      <c r="KE83" s="1495"/>
      <c r="KF83" s="1495"/>
      <c r="KG83" s="1495"/>
      <c r="KH83" s="1495"/>
      <c r="KI83" s="1495"/>
      <c r="KJ83" s="1495"/>
      <c r="KK83" s="1495"/>
      <c r="KL83" s="1495"/>
      <c r="KM83" s="1495"/>
      <c r="KN83" s="1495"/>
      <c r="KO83" s="1495"/>
      <c r="KP83" s="1495"/>
      <c r="KQ83" s="1495"/>
      <c r="KR83" s="1495"/>
      <c r="KS83" s="1495"/>
      <c r="KT83" s="1495"/>
      <c r="KU83" s="1495"/>
      <c r="KV83" s="1495"/>
      <c r="KW83" s="1495"/>
      <c r="KX83" s="1495"/>
      <c r="KY83" s="1495"/>
      <c r="KZ83" s="1495"/>
      <c r="LA83" s="1495"/>
      <c r="LB83" s="1495"/>
    </row>
    <row r="84" spans="1:314">
      <c r="A84" s="1495"/>
      <c r="B84" s="418"/>
      <c r="C84" s="1495"/>
      <c r="D84" s="1495"/>
      <c r="E84" s="1495"/>
      <c r="F84" s="1495"/>
      <c r="G84" s="1495"/>
      <c r="H84" s="1495"/>
      <c r="I84" s="1495"/>
      <c r="J84" s="1495"/>
      <c r="K84" s="1495"/>
      <c r="L84" s="1495"/>
      <c r="M84" s="1495"/>
      <c r="N84" s="1495"/>
      <c r="O84" s="1495"/>
      <c r="P84" s="1495"/>
      <c r="Q84" s="1495"/>
      <c r="R84" s="1495"/>
      <c r="S84" s="1495"/>
      <c r="T84" s="1495"/>
      <c r="U84" s="1495"/>
      <c r="V84" s="1495"/>
      <c r="W84" s="1495"/>
      <c r="X84" s="1495"/>
      <c r="Y84" s="1495"/>
      <c r="Z84" s="1495"/>
      <c r="AA84" s="1495"/>
      <c r="AB84" s="1495"/>
      <c r="AC84" s="1495"/>
      <c r="AD84" s="1495"/>
      <c r="AE84" s="1495"/>
      <c r="AF84" s="1495"/>
      <c r="AG84" s="1495"/>
      <c r="AH84" s="1495"/>
      <c r="AI84" s="1495"/>
      <c r="AJ84" s="1495"/>
      <c r="AK84" s="1495"/>
      <c r="AL84" s="1495"/>
      <c r="AM84" s="1495"/>
      <c r="AN84" s="1495"/>
      <c r="AO84" s="1495"/>
      <c r="AP84" s="1495"/>
      <c r="AQ84" s="1495"/>
      <c r="AR84" s="1495"/>
      <c r="AS84" s="1495"/>
      <c r="AT84" s="1495"/>
      <c r="AU84" s="1495"/>
      <c r="AV84" s="1495"/>
      <c r="AW84" s="1495"/>
      <c r="AX84" s="1495"/>
      <c r="AY84" s="1495"/>
      <c r="AZ84" s="1495"/>
      <c r="BA84" s="1495"/>
      <c r="BB84" s="1495"/>
      <c r="BC84" s="1495"/>
      <c r="BD84" s="1495"/>
      <c r="BE84" s="1495"/>
      <c r="BF84" s="1495"/>
      <c r="BG84" s="1495"/>
      <c r="BH84" s="1495"/>
      <c r="BI84" s="1495"/>
      <c r="BJ84" s="1495"/>
      <c r="BK84" s="1495"/>
      <c r="BL84" s="1495"/>
      <c r="BM84" s="1495"/>
      <c r="BN84" s="1495"/>
      <c r="BO84" s="1495"/>
      <c r="BP84" s="418"/>
      <c r="BQ84" s="1495"/>
      <c r="BR84" s="1495"/>
      <c r="BS84" s="1495"/>
      <c r="BT84" s="1495"/>
      <c r="BU84" s="1495"/>
      <c r="BV84" s="1495"/>
      <c r="BW84" s="1495"/>
      <c r="BX84" s="1495"/>
      <c r="BY84" s="1495"/>
      <c r="BZ84" s="444"/>
      <c r="CA84" s="496"/>
      <c r="CB84" s="496"/>
      <c r="CC84" s="444"/>
      <c r="CD84" s="502"/>
      <c r="CE84" s="108"/>
      <c r="CF84" s="444"/>
      <c r="CG84" s="504"/>
      <c r="CH84" s="348"/>
      <c r="CI84" s="408"/>
      <c r="CJ84" s="1495"/>
      <c r="CK84" s="1495"/>
      <c r="CL84" s="1495"/>
      <c r="CM84" s="1495"/>
      <c r="CN84" s="1495"/>
      <c r="CO84" s="1495"/>
      <c r="CP84" s="1495"/>
      <c r="CQ84" s="1495"/>
      <c r="CR84" s="1495"/>
      <c r="CS84" s="1495"/>
      <c r="CT84" s="1495"/>
      <c r="CU84" s="1495"/>
      <c r="CV84" s="1495"/>
      <c r="CW84" s="1495"/>
      <c r="CX84" s="1495"/>
      <c r="CY84" s="1495"/>
      <c r="CZ84" s="1495"/>
      <c r="DA84" s="444"/>
      <c r="DB84" s="475"/>
      <c r="DC84" s="108"/>
      <c r="DD84" s="408"/>
      <c r="DE84" s="1495"/>
      <c r="DF84" s="444"/>
      <c r="DG84" s="475"/>
      <c r="DH84" s="407"/>
      <c r="DI84" s="407"/>
      <c r="DJ84" s="1495"/>
      <c r="DK84" s="1495"/>
      <c r="DL84" s="1495"/>
      <c r="DM84" s="1495"/>
      <c r="DN84" s="1495"/>
      <c r="DO84" s="1495"/>
      <c r="DP84" s="1495"/>
      <c r="DQ84" s="1495"/>
      <c r="DR84" s="1495"/>
      <c r="DS84" s="1495"/>
      <c r="DT84" s="1495"/>
      <c r="DU84" s="1495"/>
      <c r="DV84" s="1495"/>
      <c r="DW84" s="1495"/>
      <c r="DX84" s="1495"/>
      <c r="DY84" s="1495"/>
      <c r="DZ84" s="1495"/>
      <c r="EA84" s="1495"/>
      <c r="EB84" s="1495"/>
      <c r="EC84" s="1495"/>
      <c r="ED84" s="1495"/>
      <c r="EE84" s="1495"/>
      <c r="EF84" s="1495"/>
      <c r="EG84" s="1495"/>
      <c r="EH84" s="1495"/>
      <c r="EI84" s="1495"/>
      <c r="EJ84" s="1495"/>
      <c r="EK84" s="1495"/>
      <c r="EL84" s="407"/>
      <c r="EM84" s="1495"/>
      <c r="EN84" s="407"/>
      <c r="EO84" s="1495"/>
      <c r="EP84" s="1495"/>
      <c r="EQ84" s="1495"/>
      <c r="ER84" s="1495"/>
      <c r="ES84" s="1495"/>
      <c r="ET84" s="1495"/>
      <c r="EU84" s="1495"/>
      <c r="EV84" s="1495"/>
      <c r="EW84" s="1495"/>
      <c r="EX84" s="1495"/>
      <c r="EY84" s="1495"/>
      <c r="EZ84" s="1495"/>
      <c r="FA84" s="1495"/>
      <c r="FB84" s="1495"/>
      <c r="FC84" s="1495"/>
      <c r="FD84" s="1495"/>
      <c r="FE84" s="1495"/>
      <c r="FF84" s="1495"/>
      <c r="FG84" s="1495"/>
      <c r="FH84" s="1495"/>
      <c r="FI84" s="1495"/>
      <c r="FJ84" s="1495"/>
      <c r="FK84" s="1495"/>
      <c r="FL84" s="1495"/>
      <c r="FM84" s="1495"/>
      <c r="FN84" s="1495"/>
      <c r="FO84" s="1495"/>
      <c r="FP84" s="1495"/>
      <c r="FQ84" s="1495"/>
      <c r="FR84" s="1495"/>
      <c r="FS84" s="1495"/>
      <c r="FT84" s="1495"/>
      <c r="FU84" s="1495"/>
      <c r="FV84" s="1495"/>
      <c r="FW84" s="1495"/>
      <c r="FX84" s="1495"/>
      <c r="FY84" s="1495"/>
      <c r="FZ84" s="1495"/>
      <c r="GA84" s="1495"/>
      <c r="GB84" s="1495"/>
      <c r="GC84" s="1495"/>
      <c r="GD84" s="1495"/>
      <c r="GE84" s="1495"/>
      <c r="GF84" s="1495"/>
      <c r="GG84" s="1495"/>
      <c r="GH84" s="1495"/>
      <c r="GI84" s="1495"/>
      <c r="GJ84" s="1495"/>
      <c r="GK84" s="1495"/>
      <c r="GL84" s="1495"/>
      <c r="GM84" s="1495"/>
      <c r="GN84" s="1495"/>
      <c r="GO84" s="1495"/>
      <c r="GP84" s="1495"/>
      <c r="GQ84" s="1495"/>
      <c r="GR84" s="1495"/>
      <c r="GS84" s="1495"/>
      <c r="GT84" s="1495"/>
      <c r="GU84" s="1495"/>
      <c r="GV84" s="1495"/>
      <c r="GW84" s="1495"/>
      <c r="GX84" s="1495"/>
      <c r="GY84" s="1495"/>
      <c r="GZ84" s="1495"/>
      <c r="HA84" s="1495"/>
      <c r="HB84" s="1495"/>
      <c r="HC84" s="1495"/>
      <c r="HD84" s="1495"/>
      <c r="HE84" s="1495"/>
      <c r="HF84" s="1495"/>
      <c r="HG84" s="1495"/>
      <c r="HH84" s="1495"/>
      <c r="HI84" s="1495"/>
      <c r="HJ84" s="1495"/>
      <c r="HK84" s="1495"/>
      <c r="HL84" s="1495"/>
      <c r="HM84" s="1495"/>
      <c r="HN84" s="1495"/>
      <c r="HO84" s="1495"/>
      <c r="HP84" s="1495"/>
      <c r="HQ84" s="1495"/>
      <c r="HR84" s="1495"/>
      <c r="HS84" s="1495"/>
      <c r="HT84" s="1495"/>
      <c r="HU84" s="1495"/>
      <c r="HV84" s="1495"/>
      <c r="HW84" s="1495"/>
      <c r="HX84" s="1495"/>
      <c r="HY84" s="1495"/>
      <c r="HZ84" s="1495"/>
      <c r="IA84" s="1495"/>
      <c r="IB84" s="1495"/>
      <c r="IC84" s="1495"/>
      <c r="ID84" s="1495"/>
      <c r="IE84" s="1495"/>
      <c r="IF84" s="1495"/>
      <c r="IG84" s="1495"/>
      <c r="IH84" s="1495"/>
      <c r="II84" s="1495"/>
      <c r="IJ84" s="1495"/>
      <c r="IK84" s="1495"/>
      <c r="IL84" s="1495"/>
      <c r="IM84" s="1495"/>
      <c r="IN84" s="1495"/>
      <c r="IO84" s="1495"/>
      <c r="IP84" s="1495"/>
      <c r="IQ84" s="1495"/>
      <c r="IR84" s="1495"/>
      <c r="IS84" s="1495"/>
      <c r="IT84" s="1495"/>
      <c r="IU84" s="1495"/>
      <c r="IV84" s="1495"/>
      <c r="IW84" s="1495"/>
      <c r="IX84" s="1495"/>
      <c r="IY84" s="1495"/>
      <c r="IZ84" s="1495"/>
      <c r="JA84" s="1495"/>
      <c r="JB84" s="1495"/>
      <c r="JC84" s="1495"/>
      <c r="JD84" s="1495"/>
      <c r="JE84" s="1495"/>
      <c r="JF84" s="1495"/>
      <c r="JG84" s="1495"/>
      <c r="JH84" s="1495"/>
      <c r="JI84" s="1495"/>
      <c r="JJ84" s="1495"/>
      <c r="JK84" s="1495"/>
      <c r="JL84" s="1495"/>
      <c r="JM84" s="1495"/>
      <c r="JN84" s="1495"/>
      <c r="JO84" s="1495"/>
      <c r="JP84" s="1495"/>
      <c r="JQ84" s="1495"/>
      <c r="JR84" s="1495"/>
      <c r="JS84" s="1495"/>
      <c r="JT84" s="1495"/>
      <c r="JU84" s="1495"/>
      <c r="JV84" s="1495"/>
      <c r="JW84" s="1495"/>
      <c r="JX84" s="1495"/>
      <c r="JY84" s="1495"/>
      <c r="JZ84" s="1495"/>
      <c r="KA84" s="1495"/>
      <c r="KB84" s="1495"/>
      <c r="KC84" s="1495"/>
      <c r="KD84" s="1495"/>
      <c r="KE84" s="1495"/>
      <c r="KF84" s="1495"/>
      <c r="KG84" s="1495"/>
      <c r="KH84" s="1495"/>
      <c r="KI84" s="1495"/>
      <c r="KJ84" s="1495"/>
      <c r="KK84" s="1495"/>
      <c r="KL84" s="1495"/>
      <c r="KM84" s="1495"/>
      <c r="KN84" s="1495"/>
      <c r="KO84" s="1495"/>
      <c r="KP84" s="1495"/>
      <c r="KQ84" s="1495"/>
      <c r="KR84" s="1495"/>
      <c r="KS84" s="1495"/>
      <c r="KT84" s="1495"/>
      <c r="KU84" s="1495"/>
      <c r="KV84" s="1495"/>
      <c r="KW84" s="1495"/>
      <c r="KX84" s="1495"/>
      <c r="KY84" s="1495"/>
      <c r="KZ84" s="1495"/>
      <c r="LA84" s="1495"/>
      <c r="LB84" s="1495"/>
    </row>
    <row r="85" spans="1:314">
      <c r="A85" s="1495"/>
      <c r="B85" s="418"/>
      <c r="C85" s="1495"/>
      <c r="D85" s="1495"/>
      <c r="E85" s="1495"/>
      <c r="F85" s="1495"/>
      <c r="G85" s="1495"/>
      <c r="H85" s="1495"/>
      <c r="I85" s="1495"/>
      <c r="J85" s="1495"/>
      <c r="K85" s="1495"/>
      <c r="L85" s="1495"/>
      <c r="M85" s="1495"/>
      <c r="N85" s="1495"/>
      <c r="O85" s="1495"/>
      <c r="P85" s="1495"/>
      <c r="Q85" s="1495"/>
      <c r="R85" s="1495"/>
      <c r="S85" s="1495"/>
      <c r="T85" s="1495"/>
      <c r="U85" s="1495"/>
      <c r="V85" s="1495"/>
      <c r="W85" s="1495"/>
      <c r="X85" s="1495"/>
      <c r="Y85" s="1495"/>
      <c r="Z85" s="1495"/>
      <c r="AA85" s="1495"/>
      <c r="AB85" s="1495"/>
      <c r="AC85" s="1495"/>
      <c r="AD85" s="1495"/>
      <c r="AE85" s="1495"/>
      <c r="AF85" s="1495"/>
      <c r="AG85" s="1495"/>
      <c r="AH85" s="1495"/>
      <c r="AI85" s="1495"/>
      <c r="AJ85" s="1495"/>
      <c r="AK85" s="1495"/>
      <c r="AL85" s="1495"/>
      <c r="AM85" s="1495"/>
      <c r="AN85" s="1495"/>
      <c r="AO85" s="1495"/>
      <c r="AP85" s="1495"/>
      <c r="AQ85" s="1495"/>
      <c r="AR85" s="1495"/>
      <c r="AS85" s="1495"/>
      <c r="AT85" s="1495"/>
      <c r="AU85" s="1495"/>
      <c r="AV85" s="1495"/>
      <c r="AW85" s="1495"/>
      <c r="AX85" s="1495"/>
      <c r="AY85" s="1495"/>
      <c r="AZ85" s="1495"/>
      <c r="BA85" s="1495"/>
      <c r="BB85" s="1495"/>
      <c r="BC85" s="1495"/>
      <c r="BD85" s="1495"/>
      <c r="BE85" s="1495"/>
      <c r="BF85" s="1495"/>
      <c r="BG85" s="1495"/>
      <c r="BH85" s="1495"/>
      <c r="BI85" s="1495"/>
      <c r="BJ85" s="1495"/>
      <c r="BK85" s="1495"/>
      <c r="BL85" s="1495"/>
      <c r="BM85" s="1495"/>
      <c r="BN85" s="1495"/>
      <c r="BO85" s="1495"/>
      <c r="BP85" s="418"/>
      <c r="BQ85" s="1495"/>
      <c r="BR85" s="1495"/>
      <c r="BS85" s="1495"/>
      <c r="BT85" s="1495"/>
      <c r="BU85" s="1495"/>
      <c r="BV85" s="1495"/>
      <c r="BW85" s="1495"/>
      <c r="BX85" s="1495"/>
      <c r="BY85" s="1495"/>
      <c r="BZ85" s="444"/>
      <c r="CA85" s="496"/>
      <c r="CB85" s="496"/>
      <c r="CC85" s="444"/>
      <c r="CD85" s="502"/>
      <c r="CE85" s="108"/>
      <c r="CF85" s="444"/>
      <c r="CG85" s="504"/>
      <c r="CH85" s="348"/>
      <c r="CI85" s="408"/>
      <c r="CJ85" s="1495"/>
      <c r="CK85" s="1495"/>
      <c r="CL85" s="1495"/>
      <c r="CM85" s="1495"/>
      <c r="CN85" s="1495"/>
      <c r="CO85" s="1495"/>
      <c r="CP85" s="1495"/>
      <c r="CQ85" s="1495"/>
      <c r="CR85" s="1495"/>
      <c r="CS85" s="1495"/>
      <c r="CT85" s="1495"/>
      <c r="CU85" s="1495"/>
      <c r="CV85" s="1495"/>
      <c r="CW85" s="1495"/>
      <c r="CX85" s="1495"/>
      <c r="CY85" s="1495"/>
      <c r="CZ85" s="1495"/>
      <c r="DA85" s="444"/>
      <c r="DB85" s="475"/>
      <c r="DC85" s="108"/>
      <c r="DD85" s="408"/>
      <c r="DE85" s="1495"/>
      <c r="DF85" s="444"/>
      <c r="DG85" s="475"/>
      <c r="DH85" s="407"/>
      <c r="DI85" s="407"/>
      <c r="DJ85" s="1495"/>
      <c r="DK85" s="1495"/>
      <c r="DL85" s="1495"/>
      <c r="DM85" s="1495"/>
      <c r="DN85" s="1495"/>
      <c r="DO85" s="1495"/>
      <c r="DP85" s="1495"/>
      <c r="DQ85" s="1495"/>
      <c r="DR85" s="1495"/>
      <c r="DS85" s="1495"/>
      <c r="DT85" s="1495"/>
      <c r="DU85" s="1495"/>
      <c r="DV85" s="1495"/>
      <c r="DW85" s="1495"/>
      <c r="DX85" s="1495"/>
      <c r="DY85" s="1495"/>
      <c r="DZ85" s="1495"/>
      <c r="EA85" s="1495"/>
      <c r="EB85" s="1495"/>
      <c r="EC85" s="1495"/>
      <c r="ED85" s="1495"/>
      <c r="EE85" s="1495"/>
      <c r="EF85" s="1495"/>
      <c r="EG85" s="1495"/>
      <c r="EH85" s="1495"/>
      <c r="EI85" s="1495"/>
      <c r="EJ85" s="1495"/>
      <c r="EK85" s="1495"/>
      <c r="EL85" s="407"/>
      <c r="EM85" s="1495"/>
      <c r="EN85" s="407"/>
      <c r="EO85" s="1495"/>
      <c r="EP85" s="1495"/>
      <c r="EQ85" s="1495"/>
      <c r="ER85" s="1495"/>
      <c r="ES85" s="1495"/>
      <c r="ET85" s="1495"/>
      <c r="EU85" s="1495"/>
      <c r="EV85" s="1495"/>
      <c r="EW85" s="1495"/>
      <c r="EX85" s="1495"/>
      <c r="EY85" s="1495"/>
      <c r="EZ85" s="1495"/>
      <c r="FA85" s="1495"/>
      <c r="FB85" s="1495"/>
      <c r="FC85" s="1495"/>
      <c r="FD85" s="1495"/>
      <c r="FE85" s="1495"/>
      <c r="FF85" s="1495"/>
      <c r="FG85" s="1495"/>
      <c r="FH85" s="1495"/>
      <c r="FI85" s="1495"/>
      <c r="FJ85" s="1495"/>
      <c r="FK85" s="1495"/>
      <c r="FL85" s="1495"/>
      <c r="FM85" s="1495"/>
      <c r="FN85" s="1495"/>
      <c r="FO85" s="1495"/>
      <c r="FP85" s="1495"/>
      <c r="FQ85" s="1495"/>
      <c r="FR85" s="1495"/>
      <c r="FS85" s="1495"/>
      <c r="FT85" s="1495"/>
      <c r="FU85" s="1495"/>
      <c r="FV85" s="1495"/>
      <c r="FW85" s="1495"/>
      <c r="FX85" s="1495"/>
      <c r="FY85" s="1495"/>
      <c r="FZ85" s="1495"/>
      <c r="GA85" s="1495"/>
      <c r="GB85" s="1495"/>
      <c r="GC85" s="1495"/>
      <c r="GD85" s="1495"/>
      <c r="GE85" s="1495"/>
      <c r="GF85" s="1495"/>
      <c r="GG85" s="1495"/>
      <c r="GH85" s="1495"/>
      <c r="GI85" s="1495"/>
      <c r="GJ85" s="1495"/>
      <c r="GK85" s="1495"/>
      <c r="GL85" s="1495"/>
      <c r="GM85" s="1495"/>
      <c r="GN85" s="1495"/>
      <c r="GO85" s="1495"/>
      <c r="GP85" s="1495"/>
      <c r="GQ85" s="1495"/>
      <c r="GR85" s="1495"/>
      <c r="GS85" s="1495"/>
      <c r="GT85" s="1495"/>
      <c r="GU85" s="1495"/>
      <c r="GV85" s="1495"/>
      <c r="GW85" s="1495"/>
      <c r="GX85" s="1495"/>
      <c r="GY85" s="1495"/>
      <c r="GZ85" s="1495"/>
      <c r="HA85" s="1495"/>
      <c r="HB85" s="1495"/>
      <c r="HC85" s="1495"/>
      <c r="HD85" s="1495"/>
      <c r="HE85" s="1495"/>
      <c r="HF85" s="1495"/>
      <c r="HG85" s="1495"/>
      <c r="HH85" s="1495"/>
      <c r="HI85" s="1495"/>
      <c r="HJ85" s="1495"/>
      <c r="HK85" s="1495"/>
      <c r="HL85" s="1495"/>
      <c r="HM85" s="1495"/>
      <c r="HN85" s="1495"/>
      <c r="HO85" s="1495"/>
      <c r="HP85" s="1495"/>
      <c r="HQ85" s="1495"/>
      <c r="HR85" s="1495"/>
      <c r="HS85" s="1495"/>
      <c r="HT85" s="1495"/>
      <c r="HU85" s="1495"/>
      <c r="HV85" s="1495"/>
      <c r="HW85" s="1495"/>
      <c r="HX85" s="1495"/>
      <c r="HY85" s="1495"/>
      <c r="HZ85" s="1495"/>
      <c r="IA85" s="1495"/>
      <c r="IB85" s="1495"/>
      <c r="IC85" s="1495"/>
      <c r="ID85" s="1495"/>
      <c r="IE85" s="1495"/>
      <c r="IF85" s="1495"/>
      <c r="IG85" s="1495"/>
      <c r="IH85" s="1495"/>
      <c r="II85" s="1495"/>
      <c r="IJ85" s="1495"/>
      <c r="IK85" s="1495"/>
      <c r="IL85" s="1495"/>
      <c r="IM85" s="1495"/>
      <c r="IN85" s="1495"/>
      <c r="IO85" s="1495"/>
      <c r="IP85" s="1495"/>
      <c r="IQ85" s="1495"/>
      <c r="IR85" s="1495"/>
      <c r="IS85" s="1495"/>
      <c r="IT85" s="1495"/>
      <c r="IU85" s="1495"/>
      <c r="IV85" s="1495"/>
      <c r="IW85" s="1495"/>
      <c r="IX85" s="1495"/>
      <c r="IY85" s="1495"/>
      <c r="IZ85" s="1495"/>
      <c r="JA85" s="1495"/>
      <c r="JB85" s="1495"/>
      <c r="JC85" s="1495"/>
      <c r="JD85" s="1495"/>
      <c r="JE85" s="1495"/>
      <c r="JF85" s="1495"/>
      <c r="JG85" s="1495"/>
      <c r="JH85" s="1495"/>
      <c r="JI85" s="1495"/>
      <c r="JJ85" s="1495"/>
      <c r="JK85" s="1495"/>
      <c r="JL85" s="1495"/>
      <c r="JM85" s="1495"/>
      <c r="JN85" s="1495"/>
      <c r="JO85" s="1495"/>
      <c r="JP85" s="1495"/>
      <c r="JQ85" s="1495"/>
      <c r="JR85" s="1495"/>
      <c r="JS85" s="1495"/>
      <c r="JT85" s="1495"/>
      <c r="JU85" s="1495"/>
      <c r="JV85" s="1495"/>
      <c r="JW85" s="1495"/>
      <c r="JX85" s="1495"/>
      <c r="JY85" s="1495"/>
      <c r="JZ85" s="1495"/>
      <c r="KA85" s="1495"/>
      <c r="KB85" s="1495"/>
      <c r="KC85" s="1495"/>
      <c r="KD85" s="1495"/>
      <c r="KE85" s="1495"/>
      <c r="KF85" s="1495"/>
      <c r="KG85" s="1495"/>
      <c r="KH85" s="1495"/>
      <c r="KI85" s="1495"/>
      <c r="KJ85" s="1495"/>
      <c r="KK85" s="1495"/>
      <c r="KL85" s="1495"/>
      <c r="KM85" s="1495"/>
      <c r="KN85" s="1495"/>
      <c r="KO85" s="1495"/>
      <c r="KP85" s="1495"/>
      <c r="KQ85" s="1495"/>
      <c r="KR85" s="1495"/>
      <c r="KS85" s="1495"/>
      <c r="KT85" s="1495"/>
      <c r="KU85" s="1495"/>
      <c r="KV85" s="1495"/>
      <c r="KW85" s="1495"/>
      <c r="KX85" s="1495"/>
      <c r="KY85" s="1495"/>
      <c r="KZ85" s="1495"/>
      <c r="LA85" s="1495"/>
      <c r="LB85" s="1495"/>
    </row>
    <row r="86" spans="1:314">
      <c r="A86" s="1495"/>
      <c r="B86" s="418"/>
      <c r="C86" s="1495"/>
      <c r="D86" s="1495"/>
      <c r="E86" s="1495"/>
      <c r="F86" s="1495"/>
      <c r="G86" s="1495"/>
      <c r="H86" s="1495"/>
      <c r="I86" s="1495"/>
      <c r="J86" s="1495"/>
      <c r="K86" s="1495"/>
      <c r="L86" s="1495"/>
      <c r="M86" s="1495"/>
      <c r="N86" s="1495"/>
      <c r="O86" s="1495"/>
      <c r="P86" s="1495"/>
      <c r="Q86" s="1495"/>
      <c r="R86" s="1495"/>
      <c r="S86" s="1495"/>
      <c r="T86" s="1495"/>
      <c r="U86" s="1495"/>
      <c r="V86" s="1495"/>
      <c r="W86" s="1495"/>
      <c r="X86" s="1495"/>
      <c r="Y86" s="1495"/>
      <c r="Z86" s="1495"/>
      <c r="AA86" s="1495"/>
      <c r="AB86" s="1495"/>
      <c r="AC86" s="1495"/>
      <c r="AD86" s="1495"/>
      <c r="AE86" s="1495"/>
      <c r="AF86" s="1495"/>
      <c r="AG86" s="1495"/>
      <c r="AH86" s="1495"/>
      <c r="AI86" s="1495"/>
      <c r="AJ86" s="1495"/>
      <c r="AK86" s="1495"/>
      <c r="AL86" s="1495"/>
      <c r="AM86" s="1495"/>
      <c r="AN86" s="1495"/>
      <c r="AO86" s="1495"/>
      <c r="AP86" s="1495"/>
      <c r="AQ86" s="1495"/>
      <c r="AR86" s="1495"/>
      <c r="AS86" s="1495"/>
      <c r="AT86" s="1495"/>
      <c r="AU86" s="1495"/>
      <c r="AV86" s="1495"/>
      <c r="AW86" s="1495"/>
      <c r="AX86" s="1495"/>
      <c r="AY86" s="1495"/>
      <c r="AZ86" s="1495"/>
      <c r="BA86" s="1495"/>
      <c r="BB86" s="1495"/>
      <c r="BC86" s="1495"/>
      <c r="BD86" s="1495"/>
      <c r="BE86" s="1495"/>
      <c r="BF86" s="1495"/>
      <c r="BG86" s="1495"/>
      <c r="BH86" s="1495"/>
      <c r="BI86" s="1495"/>
      <c r="BJ86" s="1495"/>
      <c r="BK86" s="1495"/>
      <c r="BL86" s="1495"/>
      <c r="BM86" s="1495"/>
      <c r="BN86" s="1495"/>
      <c r="BO86" s="1495"/>
      <c r="BP86" s="418"/>
      <c r="BQ86" s="1495"/>
      <c r="BR86" s="1495"/>
      <c r="BS86" s="1495"/>
      <c r="BT86" s="1495"/>
      <c r="BU86" s="1495"/>
      <c r="BV86" s="1495"/>
      <c r="BW86" s="1495"/>
      <c r="BX86" s="1495"/>
      <c r="BY86" s="1495"/>
      <c r="BZ86" s="444"/>
      <c r="CA86" s="496"/>
      <c r="CB86" s="496"/>
      <c r="CC86" s="444"/>
      <c r="CD86" s="502"/>
      <c r="CE86" s="108"/>
      <c r="CF86" s="444"/>
      <c r="CG86" s="504"/>
      <c r="CH86" s="348"/>
      <c r="CI86" s="408"/>
      <c r="CJ86" s="1495"/>
      <c r="CK86" s="1495"/>
      <c r="CL86" s="1495"/>
      <c r="CM86" s="1495"/>
      <c r="CN86" s="1495"/>
      <c r="CO86" s="1495"/>
      <c r="CP86" s="1495"/>
      <c r="CQ86" s="1495"/>
      <c r="CR86" s="1495"/>
      <c r="CS86" s="1495"/>
      <c r="CT86" s="1495"/>
      <c r="CU86" s="1495"/>
      <c r="CV86" s="1495"/>
      <c r="CW86" s="1495"/>
      <c r="CX86" s="1495"/>
      <c r="CY86" s="1495"/>
      <c r="CZ86" s="1495"/>
      <c r="DA86" s="444"/>
      <c r="DB86" s="475"/>
      <c r="DC86" s="108"/>
      <c r="DD86" s="408"/>
      <c r="DE86" s="1495"/>
      <c r="DF86" s="444"/>
      <c r="DG86" s="475"/>
      <c r="DH86" s="407"/>
      <c r="DI86" s="407"/>
      <c r="DJ86" s="1495"/>
      <c r="DK86" s="1495"/>
      <c r="DL86" s="1495"/>
      <c r="DM86" s="1495"/>
      <c r="DN86" s="1495"/>
      <c r="DO86" s="1495"/>
      <c r="DP86" s="1495"/>
      <c r="DQ86" s="1495"/>
      <c r="DR86" s="1495"/>
      <c r="DS86" s="1495"/>
      <c r="DT86" s="1495"/>
      <c r="DU86" s="1495"/>
      <c r="DV86" s="1495"/>
      <c r="DW86" s="1495"/>
      <c r="DX86" s="1495"/>
      <c r="DY86" s="1495"/>
      <c r="DZ86" s="1495"/>
      <c r="EA86" s="1495"/>
      <c r="EB86" s="1495"/>
      <c r="EC86" s="1495"/>
      <c r="ED86" s="1495"/>
      <c r="EE86" s="1495"/>
      <c r="EF86" s="1495"/>
      <c r="EG86" s="1495"/>
      <c r="EH86" s="1495"/>
      <c r="EI86" s="1495"/>
      <c r="EJ86" s="1495"/>
      <c r="EK86" s="1495"/>
      <c r="EL86" s="407"/>
      <c r="EM86" s="1495"/>
      <c r="EN86" s="407"/>
      <c r="EO86" s="1495"/>
      <c r="EP86" s="1495"/>
      <c r="EQ86" s="1495"/>
      <c r="ER86" s="1495"/>
      <c r="ES86" s="1495"/>
      <c r="ET86" s="1495"/>
      <c r="EU86" s="1495"/>
      <c r="EV86" s="1495"/>
      <c r="EW86" s="1495"/>
      <c r="EX86" s="1495"/>
      <c r="EY86" s="1495"/>
      <c r="EZ86" s="1495"/>
      <c r="FA86" s="1495"/>
      <c r="FB86" s="1495"/>
      <c r="FC86" s="1495"/>
      <c r="FD86" s="1495"/>
      <c r="FE86" s="1495"/>
      <c r="FF86" s="1495"/>
      <c r="FG86" s="1495"/>
      <c r="FH86" s="1495"/>
      <c r="FI86" s="1495"/>
      <c r="FJ86" s="1495"/>
      <c r="FK86" s="1495"/>
      <c r="FL86" s="1495"/>
      <c r="FM86" s="1495"/>
      <c r="FN86" s="1495"/>
      <c r="FO86" s="1495"/>
      <c r="FP86" s="1495"/>
      <c r="FQ86" s="1495"/>
      <c r="FR86" s="1495"/>
      <c r="FS86" s="1495"/>
      <c r="FT86" s="1495"/>
      <c r="FU86" s="1495"/>
      <c r="FV86" s="1495"/>
      <c r="FW86" s="1495"/>
      <c r="FX86" s="1495"/>
      <c r="FY86" s="1495"/>
      <c r="FZ86" s="1495"/>
      <c r="GA86" s="1495"/>
      <c r="GB86" s="1495"/>
      <c r="GC86" s="1495"/>
      <c r="GD86" s="1495"/>
      <c r="GE86" s="1495"/>
      <c r="GF86" s="1495"/>
      <c r="GG86" s="1495"/>
      <c r="GH86" s="1495"/>
      <c r="GI86" s="1495"/>
      <c r="GJ86" s="1495"/>
      <c r="GK86" s="1495"/>
      <c r="GL86" s="1495"/>
      <c r="GM86" s="1495"/>
      <c r="GN86" s="1495"/>
      <c r="GO86" s="1495"/>
      <c r="GP86" s="1495"/>
      <c r="GQ86" s="1495"/>
      <c r="GR86" s="1495"/>
      <c r="GS86" s="1495"/>
      <c r="GT86" s="1495"/>
      <c r="GU86" s="1495"/>
      <c r="GV86" s="1495"/>
      <c r="GW86" s="1495"/>
      <c r="GX86" s="1495"/>
      <c r="GY86" s="1495"/>
      <c r="GZ86" s="1495"/>
      <c r="HA86" s="1495"/>
      <c r="HB86" s="1495"/>
      <c r="HC86" s="1495"/>
      <c r="HD86" s="1495"/>
      <c r="HE86" s="1495"/>
      <c r="HF86" s="1495"/>
      <c r="HG86" s="1495"/>
      <c r="HH86" s="1495"/>
      <c r="HI86" s="1495"/>
      <c r="HJ86" s="1495"/>
      <c r="HK86" s="1495"/>
      <c r="HL86" s="1495"/>
      <c r="HM86" s="1495"/>
      <c r="HN86" s="1495"/>
      <c r="HO86" s="1495"/>
      <c r="HP86" s="1495"/>
      <c r="HQ86" s="1495"/>
      <c r="HR86" s="1495"/>
      <c r="HS86" s="1495"/>
      <c r="HT86" s="1495"/>
      <c r="HU86" s="1495"/>
      <c r="HV86" s="1495"/>
      <c r="HW86" s="1495"/>
      <c r="HX86" s="1495"/>
      <c r="HY86" s="1495"/>
      <c r="HZ86" s="1495"/>
      <c r="IA86" s="1495"/>
      <c r="IB86" s="1495"/>
      <c r="IC86" s="1495"/>
      <c r="ID86" s="1495"/>
      <c r="IE86" s="1495"/>
      <c r="IF86" s="1495"/>
      <c r="IG86" s="1495"/>
      <c r="IH86" s="1495"/>
      <c r="II86" s="1495"/>
      <c r="IJ86" s="1495"/>
      <c r="IK86" s="1495"/>
      <c r="IL86" s="1495"/>
      <c r="IM86" s="1495"/>
      <c r="IN86" s="1495"/>
      <c r="IO86" s="1495"/>
      <c r="IP86" s="1495"/>
      <c r="IQ86" s="1495"/>
      <c r="IR86" s="1495"/>
      <c r="IS86" s="1495"/>
      <c r="IT86" s="1495"/>
      <c r="IU86" s="1495"/>
      <c r="IV86" s="1495"/>
      <c r="IW86" s="1495"/>
      <c r="IX86" s="1495"/>
      <c r="IY86" s="1495"/>
      <c r="IZ86" s="1495"/>
      <c r="JA86" s="1495"/>
      <c r="JB86" s="1495"/>
      <c r="JC86" s="1495"/>
      <c r="JD86" s="1495"/>
      <c r="JE86" s="1495"/>
      <c r="JF86" s="1495"/>
      <c r="JG86" s="1495"/>
      <c r="JH86" s="1495"/>
      <c r="JI86" s="1495"/>
      <c r="JJ86" s="1495"/>
      <c r="JK86" s="1495"/>
      <c r="JL86" s="1495"/>
      <c r="JM86" s="1495"/>
      <c r="JN86" s="1495"/>
      <c r="JO86" s="1495"/>
      <c r="JP86" s="1495"/>
      <c r="JQ86" s="1495"/>
      <c r="JR86" s="1495"/>
      <c r="JS86" s="1495"/>
      <c r="JT86" s="1495"/>
      <c r="JU86" s="1495"/>
      <c r="JV86" s="1495"/>
      <c r="JW86" s="1495"/>
      <c r="JX86" s="1495"/>
      <c r="JY86" s="1495"/>
      <c r="JZ86" s="1495"/>
      <c r="KA86" s="1495"/>
      <c r="KB86" s="1495"/>
      <c r="KC86" s="1495"/>
      <c r="KD86" s="1495"/>
      <c r="KE86" s="1495"/>
      <c r="KF86" s="1495"/>
      <c r="KG86" s="1495"/>
      <c r="KH86" s="1495"/>
      <c r="KI86" s="1495"/>
      <c r="KJ86" s="1495"/>
      <c r="KK86" s="1495"/>
      <c r="KL86" s="1495"/>
      <c r="KM86" s="1495"/>
      <c r="KN86" s="1495"/>
      <c r="KO86" s="1495"/>
      <c r="KP86" s="1495"/>
      <c r="KQ86" s="1495"/>
      <c r="KR86" s="1495"/>
      <c r="KS86" s="1495"/>
      <c r="KT86" s="1495"/>
      <c r="KU86" s="1495"/>
      <c r="KV86" s="1495"/>
      <c r="KW86" s="1495"/>
      <c r="KX86" s="1495"/>
      <c r="KY86" s="1495"/>
      <c r="KZ86" s="1495"/>
      <c r="LA86" s="1495"/>
      <c r="LB86" s="1495"/>
    </row>
    <row r="87" spans="1:314">
      <c r="A87" s="1495"/>
      <c r="B87" s="418"/>
      <c r="C87" s="1495"/>
      <c r="D87" s="1495"/>
      <c r="E87" s="1495"/>
      <c r="F87" s="1495"/>
      <c r="G87" s="1495"/>
      <c r="H87" s="1495"/>
      <c r="I87" s="1495"/>
      <c r="J87" s="1495"/>
      <c r="K87" s="1495"/>
      <c r="L87" s="1495"/>
      <c r="M87" s="1495"/>
      <c r="N87" s="1495"/>
      <c r="O87" s="1495"/>
      <c r="P87" s="1495"/>
      <c r="Q87" s="1495"/>
      <c r="R87" s="1495"/>
      <c r="S87" s="1495"/>
      <c r="T87" s="1495"/>
      <c r="U87" s="1495"/>
      <c r="V87" s="1495"/>
      <c r="W87" s="1495"/>
      <c r="X87" s="1495"/>
      <c r="Y87" s="1495"/>
      <c r="Z87" s="1495"/>
      <c r="AA87" s="1495"/>
      <c r="AB87" s="1495"/>
      <c r="AC87" s="1495"/>
      <c r="AD87" s="1495"/>
      <c r="AE87" s="1495"/>
      <c r="AF87" s="1495"/>
      <c r="AG87" s="1495"/>
      <c r="AH87" s="1495"/>
      <c r="AI87" s="1495"/>
      <c r="AJ87" s="1495"/>
      <c r="AK87" s="1495"/>
      <c r="AL87" s="1495"/>
      <c r="AM87" s="1495"/>
      <c r="AN87" s="1495"/>
      <c r="AO87" s="1495"/>
      <c r="AP87" s="1495"/>
      <c r="AQ87" s="1495"/>
      <c r="AR87" s="1495"/>
      <c r="AS87" s="1495"/>
      <c r="AT87" s="1495"/>
      <c r="AU87" s="1495"/>
      <c r="AV87" s="1495"/>
      <c r="AW87" s="1495"/>
      <c r="AX87" s="1495"/>
      <c r="AY87" s="1495"/>
      <c r="AZ87" s="1495"/>
      <c r="BA87" s="1495"/>
      <c r="BB87" s="1495"/>
      <c r="BC87" s="1495"/>
      <c r="BD87" s="1495"/>
      <c r="BE87" s="1495"/>
      <c r="BF87" s="1495"/>
      <c r="BG87" s="1495"/>
      <c r="BH87" s="1495"/>
      <c r="BI87" s="1495"/>
      <c r="BJ87" s="1495"/>
      <c r="BK87" s="1495"/>
      <c r="BL87" s="1495"/>
      <c r="BM87" s="1495"/>
      <c r="BN87" s="1495"/>
      <c r="BO87" s="1495"/>
      <c r="BP87" s="418"/>
      <c r="BQ87" s="1495"/>
      <c r="BR87" s="1495"/>
      <c r="BS87" s="1495"/>
      <c r="BT87" s="1495"/>
      <c r="BU87" s="1495"/>
      <c r="BV87" s="1495"/>
      <c r="BW87" s="1495"/>
      <c r="BX87" s="1495"/>
      <c r="BY87" s="1495"/>
      <c r="BZ87" s="444"/>
      <c r="CA87" s="496"/>
      <c r="CB87" s="496"/>
      <c r="CC87" s="444"/>
      <c r="CD87" s="502"/>
      <c r="CE87" s="108"/>
      <c r="CF87" s="444"/>
      <c r="CG87" s="504"/>
      <c r="CH87" s="348"/>
      <c r="CI87" s="408"/>
      <c r="CJ87" s="1495"/>
      <c r="CK87" s="1495"/>
      <c r="CL87" s="1495"/>
      <c r="CM87" s="1495"/>
      <c r="CN87" s="1495"/>
      <c r="CO87" s="1495"/>
      <c r="CP87" s="1495"/>
      <c r="CQ87" s="1495"/>
      <c r="CR87" s="1495"/>
      <c r="CS87" s="1495"/>
      <c r="CT87" s="1495"/>
      <c r="CU87" s="1495"/>
      <c r="CV87" s="1495"/>
      <c r="CW87" s="1495"/>
      <c r="CX87" s="1495"/>
      <c r="CY87" s="1495"/>
      <c r="CZ87" s="1495"/>
      <c r="DA87" s="444"/>
      <c r="DB87" s="475"/>
      <c r="DC87" s="108"/>
      <c r="DD87" s="408"/>
      <c r="DE87" s="1495"/>
      <c r="DF87" s="444"/>
      <c r="DG87" s="475"/>
      <c r="DH87" s="407"/>
      <c r="DI87" s="407"/>
      <c r="DJ87" s="1495"/>
      <c r="DK87" s="1495"/>
      <c r="DL87" s="1495"/>
      <c r="DM87" s="1495"/>
      <c r="DN87" s="1495"/>
      <c r="DO87" s="1495"/>
      <c r="DP87" s="1495"/>
      <c r="DQ87" s="1495"/>
      <c r="DR87" s="1495"/>
      <c r="DS87" s="1495"/>
      <c r="DT87" s="1495"/>
      <c r="DU87" s="1495"/>
      <c r="DV87" s="1495"/>
      <c r="DW87" s="1495"/>
      <c r="DX87" s="1495"/>
      <c r="DY87" s="1495"/>
      <c r="DZ87" s="1495"/>
      <c r="EA87" s="1495"/>
      <c r="EB87" s="1495"/>
      <c r="EC87" s="1495"/>
      <c r="ED87" s="1495"/>
      <c r="EE87" s="1495"/>
      <c r="EF87" s="1495"/>
      <c r="EG87" s="1495"/>
      <c r="EH87" s="1495"/>
      <c r="EI87" s="1495"/>
      <c r="EJ87" s="1495"/>
      <c r="EK87" s="1495"/>
      <c r="EL87" s="407"/>
      <c r="EM87" s="1495"/>
      <c r="EN87" s="407"/>
      <c r="EO87" s="1495"/>
      <c r="EP87" s="1495"/>
      <c r="EQ87" s="1495"/>
      <c r="ER87" s="1495"/>
      <c r="ES87" s="1495"/>
      <c r="ET87" s="1495"/>
      <c r="EU87" s="1495"/>
      <c r="EV87" s="1495"/>
      <c r="EW87" s="1495"/>
      <c r="EX87" s="1495"/>
      <c r="EY87" s="1495"/>
      <c r="EZ87" s="1495"/>
      <c r="FA87" s="1495"/>
      <c r="FB87" s="1495"/>
      <c r="FC87" s="1495"/>
      <c r="FD87" s="1495"/>
      <c r="FE87" s="1495"/>
      <c r="FF87" s="1495"/>
      <c r="FG87" s="1495"/>
      <c r="FH87" s="1495"/>
      <c r="FI87" s="1495"/>
      <c r="FJ87" s="1495"/>
      <c r="FK87" s="1495"/>
      <c r="FL87" s="1495"/>
      <c r="FM87" s="1495"/>
      <c r="FN87" s="1495"/>
      <c r="FO87" s="1495"/>
      <c r="FP87" s="1495"/>
      <c r="FQ87" s="1495"/>
      <c r="FR87" s="1495"/>
      <c r="FS87" s="1495"/>
      <c r="FT87" s="1495"/>
      <c r="FU87" s="1495"/>
      <c r="FV87" s="1495"/>
      <c r="FW87" s="1495"/>
      <c r="FX87" s="1495"/>
      <c r="FY87" s="1495"/>
      <c r="FZ87" s="1495"/>
      <c r="GA87" s="1495"/>
      <c r="GB87" s="1495"/>
      <c r="GC87" s="1495"/>
      <c r="GD87" s="1495"/>
      <c r="GE87" s="1495"/>
      <c r="GF87" s="1495"/>
      <c r="GG87" s="1495"/>
      <c r="GH87" s="1495"/>
      <c r="GI87" s="1495"/>
      <c r="GJ87" s="1495"/>
      <c r="GK87" s="1495"/>
      <c r="GL87" s="1495"/>
      <c r="GM87" s="1495"/>
      <c r="GN87" s="1495"/>
      <c r="GO87" s="1495"/>
      <c r="GP87" s="1495"/>
      <c r="GQ87" s="1495"/>
      <c r="GR87" s="1495"/>
      <c r="GS87" s="1495"/>
      <c r="GT87" s="1495"/>
      <c r="GU87" s="1495"/>
      <c r="GV87" s="1495"/>
      <c r="GW87" s="1495"/>
      <c r="GX87" s="1495"/>
      <c r="GY87" s="1495"/>
      <c r="GZ87" s="1495"/>
      <c r="HA87" s="1495"/>
      <c r="HB87" s="1495"/>
      <c r="HC87" s="1495"/>
      <c r="HD87" s="1495"/>
      <c r="HE87" s="1495"/>
      <c r="HF87" s="1495"/>
      <c r="HG87" s="1495"/>
      <c r="HH87" s="1495"/>
      <c r="HI87" s="1495"/>
      <c r="HJ87" s="1495"/>
      <c r="HK87" s="1495"/>
      <c r="HL87" s="1495"/>
      <c r="HM87" s="1495"/>
      <c r="HN87" s="1495"/>
      <c r="HO87" s="1495"/>
      <c r="HP87" s="1495"/>
      <c r="HQ87" s="1495"/>
      <c r="HR87" s="1495"/>
      <c r="HS87" s="1495"/>
      <c r="HT87" s="1495"/>
      <c r="HU87" s="1495"/>
      <c r="HV87" s="1495"/>
      <c r="HW87" s="1495"/>
      <c r="HX87" s="1495"/>
      <c r="HY87" s="1495"/>
      <c r="HZ87" s="1495"/>
      <c r="IA87" s="1495"/>
      <c r="IB87" s="1495"/>
      <c r="IC87" s="1495"/>
      <c r="ID87" s="1495"/>
      <c r="IE87" s="1495"/>
      <c r="IF87" s="1495"/>
      <c r="IG87" s="1495"/>
      <c r="IH87" s="1495"/>
      <c r="II87" s="1495"/>
      <c r="IJ87" s="1495"/>
      <c r="IK87" s="1495"/>
      <c r="IL87" s="1495"/>
      <c r="IM87" s="1495"/>
      <c r="IN87" s="1495"/>
      <c r="IO87" s="1495"/>
      <c r="IP87" s="1495"/>
      <c r="IQ87" s="1495"/>
      <c r="IR87" s="1495"/>
      <c r="IS87" s="1495"/>
      <c r="IT87" s="1495"/>
      <c r="IU87" s="1495"/>
      <c r="IV87" s="1495"/>
      <c r="IW87" s="1495"/>
      <c r="IX87" s="1495"/>
      <c r="IY87" s="1495"/>
      <c r="IZ87" s="1495"/>
      <c r="JA87" s="1495"/>
      <c r="JB87" s="1495"/>
      <c r="JC87" s="1495"/>
      <c r="JD87" s="1495"/>
      <c r="JE87" s="1495"/>
      <c r="JF87" s="1495"/>
      <c r="JG87" s="1495"/>
      <c r="JH87" s="1495"/>
      <c r="JI87" s="1495"/>
      <c r="JJ87" s="1495"/>
      <c r="JK87" s="1495"/>
      <c r="JL87" s="1495"/>
      <c r="JM87" s="1495"/>
      <c r="JN87" s="1495"/>
      <c r="JO87" s="1495"/>
      <c r="JP87" s="1495"/>
      <c r="JQ87" s="1495"/>
      <c r="JR87" s="1495"/>
      <c r="JS87" s="1495"/>
      <c r="JT87" s="1495"/>
      <c r="JU87" s="1495"/>
      <c r="JV87" s="1495"/>
      <c r="JW87" s="1495"/>
      <c r="JX87" s="1495"/>
      <c r="JY87" s="1495"/>
      <c r="JZ87" s="1495"/>
      <c r="KA87" s="1495"/>
      <c r="KB87" s="1495"/>
      <c r="KC87" s="1495"/>
      <c r="KD87" s="1495"/>
      <c r="KE87" s="1495"/>
      <c r="KF87" s="1495"/>
      <c r="KG87" s="1495"/>
      <c r="KH87" s="1495"/>
      <c r="KI87" s="1495"/>
      <c r="KJ87" s="1495"/>
      <c r="KK87" s="1495"/>
      <c r="KL87" s="1495"/>
      <c r="KM87" s="1495"/>
      <c r="KN87" s="1495"/>
      <c r="KO87" s="1495"/>
      <c r="KP87" s="1495"/>
      <c r="KQ87" s="1495"/>
      <c r="KR87" s="1495"/>
      <c r="KS87" s="1495"/>
      <c r="KT87" s="1495"/>
      <c r="KU87" s="1495"/>
      <c r="KV87" s="1495"/>
      <c r="KW87" s="1495"/>
      <c r="KX87" s="1495"/>
      <c r="KY87" s="1495"/>
      <c r="KZ87" s="1495"/>
      <c r="LA87" s="1495"/>
      <c r="LB87" s="1495"/>
    </row>
    <row r="88" spans="1:314">
      <c r="A88" s="1495"/>
      <c r="B88" s="418"/>
      <c r="C88" s="1495"/>
      <c r="D88" s="1495"/>
      <c r="E88" s="1495"/>
      <c r="F88" s="1495"/>
      <c r="G88" s="1495"/>
      <c r="H88" s="1495"/>
      <c r="I88" s="1495"/>
      <c r="J88" s="1495"/>
      <c r="K88" s="1495"/>
      <c r="L88" s="1495"/>
      <c r="M88" s="1495"/>
      <c r="N88" s="1495"/>
      <c r="O88" s="1495"/>
      <c r="P88" s="1495"/>
      <c r="Q88" s="1495"/>
      <c r="R88" s="1495"/>
      <c r="S88" s="1495"/>
      <c r="T88" s="1495"/>
      <c r="U88" s="1495"/>
      <c r="V88" s="1495"/>
      <c r="W88" s="1495"/>
      <c r="X88" s="1495"/>
      <c r="Y88" s="1495"/>
      <c r="Z88" s="1495"/>
      <c r="AA88" s="1495"/>
      <c r="AB88" s="1495"/>
      <c r="AC88" s="1495"/>
      <c r="AD88" s="1495"/>
      <c r="AE88" s="1495"/>
      <c r="AF88" s="1495"/>
      <c r="AG88" s="1495"/>
      <c r="AH88" s="1495"/>
      <c r="AI88" s="1495"/>
      <c r="AJ88" s="1495"/>
      <c r="AK88" s="1495"/>
      <c r="AL88" s="1495"/>
      <c r="AM88" s="1495"/>
      <c r="AN88" s="1495"/>
      <c r="AO88" s="1495"/>
      <c r="AP88" s="1495"/>
      <c r="AQ88" s="1495"/>
      <c r="AR88" s="1495"/>
      <c r="AS88" s="1495"/>
      <c r="AT88" s="1495"/>
      <c r="AU88" s="1495"/>
      <c r="AV88" s="1495"/>
      <c r="AW88" s="1495"/>
      <c r="AX88" s="1495"/>
      <c r="AY88" s="1495"/>
      <c r="AZ88" s="1495"/>
      <c r="BA88" s="1495"/>
      <c r="BB88" s="1495"/>
      <c r="BC88" s="1495"/>
      <c r="BD88" s="1495"/>
      <c r="BE88" s="1495"/>
      <c r="BF88" s="1495"/>
      <c r="BG88" s="1495"/>
      <c r="BH88" s="1495"/>
      <c r="BI88" s="1495"/>
      <c r="BJ88" s="1495"/>
      <c r="BK88" s="1495"/>
      <c r="BL88" s="1495"/>
      <c r="BM88" s="1495"/>
      <c r="BN88" s="1495"/>
      <c r="BO88" s="1495"/>
      <c r="BP88" s="418"/>
      <c r="BQ88" s="1495"/>
      <c r="BR88" s="1495"/>
      <c r="BS88" s="1495"/>
      <c r="BT88" s="1495"/>
      <c r="BU88" s="1495"/>
      <c r="BV88" s="1495"/>
      <c r="BW88" s="1495"/>
      <c r="BX88" s="1495"/>
      <c r="BY88" s="1495"/>
      <c r="BZ88" s="444"/>
      <c r="CA88" s="496"/>
      <c r="CB88" s="496"/>
      <c r="CC88" s="444"/>
      <c r="CD88" s="502"/>
      <c r="CE88" s="108"/>
      <c r="CF88" s="444"/>
      <c r="CG88" s="504"/>
      <c r="CH88" s="348"/>
      <c r="CI88" s="408"/>
      <c r="CJ88" s="1495"/>
      <c r="CK88" s="1495"/>
      <c r="CL88" s="1495"/>
      <c r="CM88" s="1495"/>
      <c r="CN88" s="1495"/>
      <c r="CO88" s="1495"/>
      <c r="CP88" s="1495"/>
      <c r="CQ88" s="1495"/>
      <c r="CR88" s="1495"/>
      <c r="CS88" s="1495"/>
      <c r="CT88" s="1495"/>
      <c r="CU88" s="1495"/>
      <c r="CV88" s="1495"/>
      <c r="CW88" s="1495"/>
      <c r="CX88" s="1495"/>
      <c r="CY88" s="1495"/>
      <c r="CZ88" s="1495"/>
      <c r="DA88" s="444"/>
      <c r="DB88" s="475"/>
      <c r="DC88" s="108"/>
      <c r="DD88" s="408"/>
      <c r="DE88" s="1495"/>
      <c r="DF88" s="444"/>
      <c r="DG88" s="475"/>
      <c r="DH88" s="407"/>
      <c r="DI88" s="407"/>
      <c r="DJ88" s="1495"/>
      <c r="DK88" s="1495"/>
      <c r="DL88" s="1495"/>
      <c r="DM88" s="1495"/>
      <c r="DN88" s="1495"/>
      <c r="DO88" s="1495"/>
      <c r="DP88" s="1495"/>
      <c r="DQ88" s="1495"/>
      <c r="DR88" s="1495"/>
      <c r="DS88" s="1495"/>
      <c r="DT88" s="1495"/>
      <c r="DU88" s="1495"/>
      <c r="DV88" s="1495"/>
      <c r="DW88" s="1495"/>
      <c r="DX88" s="1495"/>
      <c r="DY88" s="1495"/>
      <c r="DZ88" s="1495"/>
      <c r="EA88" s="1495"/>
      <c r="EB88" s="1495"/>
      <c r="EC88" s="1495"/>
      <c r="ED88" s="1495"/>
      <c r="EE88" s="1495"/>
      <c r="EF88" s="1495"/>
      <c r="EG88" s="1495"/>
      <c r="EH88" s="1495"/>
      <c r="EI88" s="1495"/>
      <c r="EJ88" s="1495"/>
      <c r="EK88" s="1495"/>
      <c r="EL88" s="407"/>
      <c r="EM88" s="1495"/>
      <c r="EN88" s="407"/>
      <c r="EO88" s="1495"/>
      <c r="EP88" s="1495"/>
      <c r="EQ88" s="1495"/>
      <c r="ER88" s="1495"/>
      <c r="ES88" s="1495"/>
      <c r="ET88" s="1495"/>
      <c r="EU88" s="1495"/>
      <c r="EV88" s="1495"/>
      <c r="EW88" s="1495"/>
      <c r="EX88" s="1495"/>
      <c r="EY88" s="1495"/>
      <c r="EZ88" s="1495"/>
      <c r="FA88" s="1495"/>
      <c r="FB88" s="1495"/>
      <c r="FC88" s="1495"/>
      <c r="FD88" s="1495"/>
      <c r="FE88" s="1495"/>
      <c r="FF88" s="1495"/>
      <c r="FG88" s="1495"/>
      <c r="FH88" s="1495"/>
      <c r="FI88" s="1495"/>
      <c r="FJ88" s="1495"/>
      <c r="FK88" s="1495"/>
      <c r="FL88" s="1495"/>
      <c r="FM88" s="1495"/>
      <c r="FN88" s="1495"/>
      <c r="FO88" s="1495"/>
      <c r="FP88" s="1495"/>
      <c r="FQ88" s="1495"/>
      <c r="FR88" s="1495"/>
      <c r="FS88" s="1495"/>
      <c r="FT88" s="1495"/>
      <c r="FU88" s="1495"/>
      <c r="FV88" s="1495"/>
      <c r="FW88" s="1495"/>
      <c r="FX88" s="1495"/>
      <c r="FY88" s="1495"/>
      <c r="FZ88" s="1495"/>
      <c r="GA88" s="1495"/>
      <c r="GB88" s="1495"/>
      <c r="GC88" s="1495"/>
      <c r="GD88" s="1495"/>
      <c r="GE88" s="1495"/>
      <c r="GF88" s="1495"/>
      <c r="GG88" s="1495"/>
      <c r="GH88" s="1495"/>
      <c r="GI88" s="1495"/>
      <c r="GJ88" s="1495"/>
      <c r="GK88" s="1495"/>
      <c r="GL88" s="1495"/>
      <c r="GM88" s="1495"/>
      <c r="GN88" s="1495"/>
      <c r="GO88" s="1495"/>
      <c r="GP88" s="1495"/>
      <c r="GQ88" s="1495"/>
      <c r="GR88" s="1495"/>
      <c r="GS88" s="1495"/>
      <c r="GT88" s="1495"/>
      <c r="GU88" s="1495"/>
      <c r="GV88" s="1495"/>
      <c r="GW88" s="1495"/>
      <c r="GX88" s="1495"/>
      <c r="GY88" s="1495"/>
      <c r="GZ88" s="1495"/>
      <c r="HA88" s="1495"/>
      <c r="HB88" s="1495"/>
      <c r="HC88" s="1495"/>
      <c r="HD88" s="1495"/>
      <c r="HE88" s="1495"/>
      <c r="HF88" s="1495"/>
      <c r="HG88" s="1495"/>
      <c r="HH88" s="1495"/>
      <c r="HI88" s="1495"/>
      <c r="HJ88" s="1495"/>
      <c r="HK88" s="1495"/>
      <c r="HL88" s="1495"/>
      <c r="HM88" s="1495"/>
      <c r="HN88" s="1495"/>
      <c r="HO88" s="1495"/>
      <c r="HP88" s="1495"/>
      <c r="HQ88" s="1495"/>
      <c r="HR88" s="1495"/>
      <c r="HS88" s="1495"/>
      <c r="HT88" s="1495"/>
      <c r="HU88" s="1495"/>
      <c r="HV88" s="1495"/>
      <c r="HW88" s="1495"/>
      <c r="HX88" s="1495"/>
      <c r="HY88" s="1495"/>
      <c r="HZ88" s="1495"/>
      <c r="IA88" s="1495"/>
      <c r="IB88" s="1495"/>
      <c r="IC88" s="1495"/>
      <c r="ID88" s="1495"/>
      <c r="IE88" s="1495"/>
      <c r="IF88" s="1495"/>
      <c r="IG88" s="1495"/>
      <c r="IH88" s="1495"/>
      <c r="II88" s="1495"/>
      <c r="IJ88" s="1495"/>
      <c r="IK88" s="1495"/>
      <c r="IL88" s="1495"/>
      <c r="IM88" s="1495"/>
      <c r="IN88" s="1495"/>
      <c r="IO88" s="1495"/>
      <c r="IP88" s="1495"/>
      <c r="IQ88" s="1495"/>
      <c r="IR88" s="1495"/>
      <c r="IS88" s="1495"/>
      <c r="IT88" s="1495"/>
      <c r="IU88" s="1495"/>
      <c r="IV88" s="1495"/>
      <c r="IW88" s="1495"/>
      <c r="IX88" s="1495"/>
      <c r="IY88" s="1495"/>
      <c r="IZ88" s="1495"/>
      <c r="JA88" s="1495"/>
      <c r="JB88" s="1495"/>
      <c r="JC88" s="1495"/>
      <c r="JD88" s="1495"/>
      <c r="JE88" s="1495"/>
      <c r="JF88" s="1495"/>
      <c r="JG88" s="1495"/>
      <c r="JH88" s="1495"/>
      <c r="JI88" s="1495"/>
      <c r="JJ88" s="1495"/>
      <c r="JK88" s="1495"/>
      <c r="JL88" s="1495"/>
      <c r="JM88" s="1495"/>
      <c r="JN88" s="1495"/>
      <c r="JO88" s="1495"/>
      <c r="JP88" s="1495"/>
      <c r="JQ88" s="1495"/>
      <c r="JR88" s="1495"/>
      <c r="JS88" s="1495"/>
      <c r="JT88" s="1495"/>
      <c r="JU88" s="1495"/>
      <c r="JV88" s="1495"/>
      <c r="JW88" s="1495"/>
      <c r="JX88" s="1495"/>
      <c r="JY88" s="1495"/>
      <c r="JZ88" s="1495"/>
      <c r="KA88" s="1495"/>
      <c r="KB88" s="1495"/>
      <c r="KC88" s="1495"/>
      <c r="KD88" s="1495"/>
      <c r="KE88" s="1495"/>
      <c r="KF88" s="1495"/>
      <c r="KG88" s="1495"/>
      <c r="KH88" s="1495"/>
      <c r="KI88" s="1495"/>
      <c r="KJ88" s="1495"/>
      <c r="KK88" s="1495"/>
      <c r="KL88" s="1495"/>
      <c r="KM88" s="1495"/>
      <c r="KN88" s="1495"/>
      <c r="KO88" s="1495"/>
      <c r="KP88" s="1495"/>
      <c r="KQ88" s="1495"/>
      <c r="KR88" s="1495"/>
      <c r="KS88" s="1495"/>
      <c r="KT88" s="1495"/>
      <c r="KU88" s="1495"/>
      <c r="KV88" s="1495"/>
      <c r="KW88" s="1495"/>
      <c r="KX88" s="1495"/>
      <c r="KY88" s="1495"/>
      <c r="KZ88" s="1495"/>
      <c r="LA88" s="1495"/>
      <c r="LB88" s="1495"/>
    </row>
    <row r="89" spans="1:314">
      <c r="A89" s="1495"/>
      <c r="B89" s="418"/>
      <c r="C89" s="1495"/>
      <c r="D89" s="1495"/>
      <c r="E89" s="1495"/>
      <c r="F89" s="1495"/>
      <c r="G89" s="1495"/>
      <c r="H89" s="1495"/>
      <c r="I89" s="1495"/>
      <c r="J89" s="1495"/>
      <c r="K89" s="1495"/>
      <c r="L89" s="1495"/>
      <c r="M89" s="1495"/>
      <c r="N89" s="1495"/>
      <c r="O89" s="1495"/>
      <c r="P89" s="1495"/>
      <c r="Q89" s="1495"/>
      <c r="R89" s="1495"/>
      <c r="S89" s="1495"/>
      <c r="T89" s="1495"/>
      <c r="U89" s="1495"/>
      <c r="V89" s="1495"/>
      <c r="W89" s="1495"/>
      <c r="X89" s="1495"/>
      <c r="Y89" s="1495"/>
      <c r="Z89" s="1495"/>
      <c r="AA89" s="1495"/>
      <c r="AB89" s="1495"/>
      <c r="AC89" s="1495"/>
      <c r="AD89" s="1495"/>
      <c r="AE89" s="1495"/>
      <c r="AF89" s="1495"/>
      <c r="AG89" s="1495"/>
      <c r="AH89" s="1495"/>
      <c r="AI89" s="1495"/>
      <c r="AJ89" s="1495"/>
      <c r="AK89" s="1495"/>
      <c r="AL89" s="1495"/>
      <c r="AM89" s="1495"/>
      <c r="AN89" s="1495"/>
      <c r="AO89" s="1495"/>
      <c r="AP89" s="1495"/>
      <c r="AQ89" s="1495"/>
      <c r="AR89" s="1495"/>
      <c r="AS89" s="1495"/>
      <c r="AT89" s="1495"/>
      <c r="AU89" s="1495"/>
      <c r="AV89" s="1495"/>
      <c r="AW89" s="1495"/>
      <c r="AX89" s="1495"/>
      <c r="AY89" s="1495"/>
      <c r="AZ89" s="1495"/>
      <c r="BA89" s="1495"/>
      <c r="BB89" s="1495"/>
      <c r="BC89" s="1495"/>
      <c r="BD89" s="1495"/>
      <c r="BE89" s="1495"/>
      <c r="BF89" s="1495"/>
      <c r="BG89" s="1495"/>
      <c r="BH89" s="1495"/>
      <c r="BI89" s="1495"/>
      <c r="BJ89" s="1495"/>
      <c r="BK89" s="1495"/>
      <c r="BL89" s="1495"/>
      <c r="BM89" s="1495"/>
      <c r="BN89" s="1495"/>
      <c r="BO89" s="1495"/>
      <c r="BP89" s="418"/>
      <c r="BQ89" s="1495"/>
      <c r="BR89" s="1495"/>
      <c r="BS89" s="1495"/>
      <c r="BT89" s="1495"/>
      <c r="BU89" s="1495"/>
      <c r="BV89" s="1495"/>
      <c r="BW89" s="1495"/>
      <c r="BX89" s="1495"/>
      <c r="BY89" s="1495"/>
      <c r="BZ89" s="444"/>
      <c r="CA89" s="496"/>
      <c r="CB89" s="496"/>
      <c r="CC89" s="444"/>
      <c r="CD89" s="502"/>
      <c r="CE89" s="108"/>
      <c r="CF89" s="444"/>
      <c r="CG89" s="504"/>
      <c r="CH89" s="348"/>
      <c r="CI89" s="408"/>
      <c r="CJ89" s="1495"/>
      <c r="CK89" s="1495"/>
      <c r="CL89" s="1495"/>
      <c r="CM89" s="1495"/>
      <c r="CN89" s="1495"/>
      <c r="CO89" s="1495"/>
      <c r="CP89" s="1495"/>
      <c r="CQ89" s="1495"/>
      <c r="CR89" s="1495"/>
      <c r="CS89" s="1495"/>
      <c r="CT89" s="1495"/>
      <c r="CU89" s="1495"/>
      <c r="CV89" s="1495"/>
      <c r="CW89" s="1495"/>
      <c r="CX89" s="1495"/>
      <c r="CY89" s="1495"/>
      <c r="CZ89" s="1495"/>
      <c r="DA89" s="444"/>
      <c r="DB89" s="475"/>
      <c r="DC89" s="108"/>
      <c r="DD89" s="408"/>
      <c r="DE89" s="1495"/>
      <c r="DF89" s="444"/>
      <c r="DG89" s="475"/>
      <c r="DH89" s="407"/>
      <c r="DI89" s="407"/>
      <c r="DJ89" s="1495"/>
      <c r="DK89" s="1495"/>
      <c r="DL89" s="1495"/>
      <c r="DM89" s="1495"/>
      <c r="DN89" s="1495"/>
      <c r="DO89" s="1495"/>
      <c r="DP89" s="1495"/>
      <c r="DQ89" s="1495"/>
      <c r="DR89" s="1495"/>
      <c r="DS89" s="1495"/>
      <c r="DT89" s="1495"/>
      <c r="DU89" s="1495"/>
      <c r="DV89" s="1495"/>
      <c r="DW89" s="1495"/>
      <c r="DX89" s="1495"/>
      <c r="DY89" s="1495"/>
      <c r="DZ89" s="1495"/>
      <c r="EA89" s="1495"/>
      <c r="EB89" s="1495"/>
      <c r="EC89" s="1495"/>
      <c r="ED89" s="1495"/>
      <c r="EE89" s="1495"/>
      <c r="EF89" s="1495"/>
      <c r="EG89" s="1495"/>
      <c r="EH89" s="1495"/>
      <c r="EI89" s="1495"/>
      <c r="EJ89" s="1495"/>
      <c r="EK89" s="1495"/>
      <c r="EL89" s="407"/>
      <c r="EM89" s="1495"/>
      <c r="EN89" s="407"/>
      <c r="EO89" s="1495"/>
      <c r="EP89" s="1495"/>
      <c r="EQ89" s="1495"/>
      <c r="ER89" s="1495"/>
      <c r="ES89" s="1495"/>
      <c r="ET89" s="1495"/>
      <c r="EU89" s="1495"/>
      <c r="EV89" s="1495"/>
      <c r="EW89" s="1495"/>
      <c r="EX89" s="1495"/>
      <c r="EY89" s="1495"/>
      <c r="EZ89" s="1495"/>
      <c r="FA89" s="1495"/>
      <c r="FB89" s="1495"/>
      <c r="FC89" s="1495"/>
      <c r="FD89" s="1495"/>
      <c r="FE89" s="1495"/>
      <c r="FF89" s="1495"/>
      <c r="FG89" s="1495"/>
      <c r="FH89" s="1495"/>
      <c r="FI89" s="1495"/>
      <c r="FJ89" s="1495"/>
      <c r="FK89" s="1495"/>
      <c r="FL89" s="1495"/>
      <c r="FM89" s="1495"/>
      <c r="FN89" s="1495"/>
      <c r="FO89" s="1495"/>
      <c r="FP89" s="1495"/>
      <c r="FQ89" s="1495"/>
      <c r="FR89" s="1495"/>
      <c r="FS89" s="1495"/>
      <c r="FT89" s="1495"/>
      <c r="FU89" s="1495"/>
      <c r="FV89" s="1495"/>
      <c r="FW89" s="1495"/>
      <c r="FX89" s="1495"/>
      <c r="FY89" s="1495"/>
      <c r="FZ89" s="1495"/>
      <c r="GA89" s="1495"/>
      <c r="GB89" s="1495"/>
      <c r="GC89" s="1495"/>
      <c r="GD89" s="1495"/>
      <c r="GE89" s="1495"/>
      <c r="GF89" s="1495"/>
      <c r="GG89" s="1495"/>
      <c r="GH89" s="1495"/>
      <c r="GI89" s="1495"/>
      <c r="GJ89" s="1495"/>
      <c r="GK89" s="1495"/>
      <c r="GL89" s="1495"/>
      <c r="GM89" s="1495"/>
      <c r="GN89" s="1495"/>
      <c r="GO89" s="1495"/>
      <c r="GP89" s="1495"/>
      <c r="GQ89" s="1495"/>
      <c r="GR89" s="1495"/>
      <c r="GS89" s="1495"/>
      <c r="GT89" s="1495"/>
      <c r="GU89" s="1495"/>
      <c r="GV89" s="1495"/>
      <c r="GW89" s="1495"/>
      <c r="GX89" s="1495"/>
      <c r="GY89" s="1495"/>
      <c r="GZ89" s="1495"/>
      <c r="HA89" s="1495"/>
      <c r="HB89" s="1495"/>
      <c r="HC89" s="1495"/>
      <c r="HD89" s="1495"/>
      <c r="HE89" s="1495"/>
      <c r="HF89" s="1495"/>
      <c r="HG89" s="1495"/>
      <c r="HH89" s="1495"/>
      <c r="HI89" s="1495"/>
      <c r="HJ89" s="1495"/>
      <c r="HK89" s="1495"/>
      <c r="HL89" s="1495"/>
      <c r="HM89" s="1495"/>
      <c r="HN89" s="1495"/>
      <c r="HO89" s="1495"/>
      <c r="HP89" s="1495"/>
      <c r="HQ89" s="1495"/>
      <c r="HR89" s="1495"/>
      <c r="HS89" s="1495"/>
      <c r="HT89" s="1495"/>
      <c r="HU89" s="1495"/>
      <c r="HV89" s="1495"/>
      <c r="HW89" s="1495"/>
      <c r="HX89" s="1495"/>
      <c r="HY89" s="1495"/>
      <c r="HZ89" s="1495"/>
      <c r="IA89" s="1495"/>
      <c r="IB89" s="1495"/>
      <c r="IC89" s="1495"/>
      <c r="ID89" s="1495"/>
      <c r="IE89" s="1495"/>
      <c r="IF89" s="1495"/>
      <c r="IG89" s="1495"/>
      <c r="IH89" s="1495"/>
      <c r="II89" s="1495"/>
      <c r="IJ89" s="1495"/>
      <c r="IK89" s="1495"/>
      <c r="IL89" s="1495"/>
      <c r="IM89" s="1495"/>
      <c r="IN89" s="1495"/>
      <c r="IO89" s="1495"/>
      <c r="IP89" s="1495"/>
      <c r="IQ89" s="1495"/>
      <c r="IR89" s="1495"/>
      <c r="IS89" s="1495"/>
      <c r="IT89" s="1495"/>
      <c r="IU89" s="1495"/>
      <c r="IV89" s="1495"/>
      <c r="IW89" s="1495"/>
      <c r="IX89" s="1495"/>
      <c r="IY89" s="1495"/>
      <c r="IZ89" s="1495"/>
      <c r="JA89" s="1495"/>
      <c r="JB89" s="1495"/>
      <c r="JC89" s="1495"/>
      <c r="JD89" s="1495"/>
      <c r="JE89" s="1495"/>
      <c r="JF89" s="1495"/>
      <c r="JG89" s="1495"/>
      <c r="JH89" s="1495"/>
      <c r="JI89" s="1495"/>
      <c r="JJ89" s="1495"/>
      <c r="JK89" s="1495"/>
      <c r="JL89" s="1495"/>
      <c r="JM89" s="1495"/>
      <c r="JN89" s="1495"/>
      <c r="JO89" s="1495"/>
      <c r="JP89" s="1495"/>
      <c r="JQ89" s="1495"/>
      <c r="JR89" s="1495"/>
      <c r="JS89" s="1495"/>
      <c r="JT89" s="1495"/>
      <c r="JU89" s="1495"/>
      <c r="JV89" s="1495"/>
      <c r="JW89" s="1495"/>
      <c r="JX89" s="1495"/>
      <c r="JY89" s="1495"/>
      <c r="JZ89" s="1495"/>
      <c r="KA89" s="1495"/>
      <c r="KB89" s="1495"/>
      <c r="KC89" s="1495"/>
      <c r="KD89" s="1495"/>
      <c r="KE89" s="1495"/>
      <c r="KF89" s="1495"/>
      <c r="KG89" s="1495"/>
      <c r="KH89" s="1495"/>
      <c r="KI89" s="1495"/>
      <c r="KJ89" s="1495"/>
      <c r="KK89" s="1495"/>
      <c r="KL89" s="1495"/>
      <c r="KM89" s="1495"/>
      <c r="KN89" s="1495"/>
      <c r="KO89" s="1495"/>
      <c r="KP89" s="1495"/>
      <c r="KQ89" s="1495"/>
      <c r="KR89" s="1495"/>
      <c r="KS89" s="1495"/>
      <c r="KT89" s="1495"/>
      <c r="KU89" s="1495"/>
      <c r="KV89" s="1495"/>
      <c r="KW89" s="1495"/>
      <c r="KX89" s="1495"/>
      <c r="KY89" s="1495"/>
      <c r="KZ89" s="1495"/>
      <c r="LA89" s="1495"/>
      <c r="LB89" s="1495"/>
    </row>
    <row r="90" spans="1:314">
      <c r="A90" s="1495"/>
      <c r="B90" s="418"/>
      <c r="C90" s="1495"/>
      <c r="D90" s="1495"/>
      <c r="E90" s="1495"/>
      <c r="F90" s="1495"/>
      <c r="G90" s="1495"/>
      <c r="H90" s="1495"/>
      <c r="I90" s="1495"/>
      <c r="J90" s="1495"/>
      <c r="K90" s="1495"/>
      <c r="L90" s="1495"/>
      <c r="M90" s="1495"/>
      <c r="N90" s="1495"/>
      <c r="O90" s="1495"/>
      <c r="P90" s="1495"/>
      <c r="Q90" s="1495"/>
      <c r="R90" s="1495"/>
      <c r="S90" s="1495"/>
      <c r="T90" s="1495"/>
      <c r="U90" s="1495"/>
      <c r="V90" s="1495"/>
      <c r="W90" s="1495"/>
      <c r="X90" s="1495"/>
      <c r="Y90" s="1495"/>
      <c r="Z90" s="1495"/>
      <c r="AA90" s="1495"/>
      <c r="AB90" s="1495"/>
      <c r="AC90" s="1495"/>
      <c r="AD90" s="1495"/>
      <c r="AE90" s="1495"/>
      <c r="AF90" s="1495"/>
      <c r="AG90" s="1495"/>
      <c r="AH90" s="1495"/>
      <c r="AI90" s="1495"/>
      <c r="AJ90" s="1495"/>
      <c r="AK90" s="1495"/>
      <c r="AL90" s="1495"/>
      <c r="AM90" s="1495"/>
      <c r="AN90" s="1495"/>
      <c r="AO90" s="1495"/>
      <c r="AP90" s="1495"/>
      <c r="AQ90" s="1495"/>
      <c r="AR90" s="1495"/>
      <c r="AS90" s="1495"/>
      <c r="AT90" s="1495"/>
      <c r="AU90" s="1495"/>
      <c r="AV90" s="1495"/>
      <c r="AW90" s="1495"/>
      <c r="AX90" s="1495"/>
      <c r="AY90" s="1495"/>
      <c r="AZ90" s="1495"/>
      <c r="BA90" s="1495"/>
      <c r="BB90" s="1495"/>
      <c r="BC90" s="1495"/>
      <c r="BD90" s="1495"/>
      <c r="BE90" s="1495"/>
      <c r="BF90" s="1495"/>
      <c r="BG90" s="1495"/>
      <c r="BH90" s="1495"/>
      <c r="BI90" s="1495"/>
      <c r="BJ90" s="1495"/>
      <c r="BK90" s="1495"/>
      <c r="BL90" s="1495"/>
      <c r="BM90" s="1495"/>
      <c r="BN90" s="1495"/>
      <c r="BO90" s="1495"/>
      <c r="BP90" s="418"/>
      <c r="BQ90" s="1495"/>
      <c r="BR90" s="1495"/>
      <c r="BS90" s="1495"/>
      <c r="BT90" s="1495"/>
      <c r="BU90" s="1495"/>
      <c r="BV90" s="1495"/>
      <c r="BW90" s="1495"/>
      <c r="BX90" s="1495"/>
      <c r="BY90" s="1495"/>
      <c r="BZ90" s="444"/>
      <c r="CA90" s="496"/>
      <c r="CB90" s="496"/>
      <c r="CC90" s="444"/>
      <c r="CD90" s="502"/>
      <c r="CE90" s="108"/>
      <c r="CF90" s="444"/>
      <c r="CG90" s="504"/>
      <c r="CH90" s="348"/>
      <c r="CI90" s="408"/>
      <c r="CJ90" s="1495"/>
      <c r="CK90" s="1495"/>
      <c r="CL90" s="1495"/>
      <c r="CM90" s="1495"/>
      <c r="CN90" s="1495"/>
      <c r="CO90" s="1495"/>
      <c r="CP90" s="1495"/>
      <c r="CQ90" s="1495"/>
      <c r="CR90" s="1495"/>
      <c r="CS90" s="1495"/>
      <c r="CT90" s="1495"/>
      <c r="CU90" s="1495"/>
      <c r="CV90" s="1495"/>
      <c r="CW90" s="1495"/>
      <c r="CX90" s="1495"/>
      <c r="CY90" s="1495"/>
      <c r="CZ90" s="1495"/>
      <c r="DA90" s="444"/>
      <c r="DB90" s="475"/>
      <c r="DC90" s="108"/>
      <c r="DD90" s="408"/>
      <c r="DE90" s="1495"/>
      <c r="DF90" s="444"/>
      <c r="DG90" s="475"/>
      <c r="DH90" s="407"/>
      <c r="DI90" s="407"/>
      <c r="DJ90" s="1495"/>
      <c r="DK90" s="1495"/>
      <c r="DL90" s="1495"/>
      <c r="DM90" s="1495"/>
      <c r="DN90" s="1495"/>
      <c r="DO90" s="1495"/>
      <c r="DP90" s="1495"/>
      <c r="DQ90" s="1495"/>
      <c r="DR90" s="1495"/>
      <c r="DS90" s="1495"/>
      <c r="DT90" s="1495"/>
      <c r="DU90" s="1495"/>
      <c r="DV90" s="1495"/>
      <c r="DW90" s="1495"/>
      <c r="DX90" s="1495"/>
      <c r="DY90" s="1495"/>
      <c r="DZ90" s="1495"/>
      <c r="EA90" s="1495"/>
      <c r="EB90" s="1495"/>
      <c r="EC90" s="1495"/>
      <c r="ED90" s="1495"/>
      <c r="EE90" s="1495"/>
      <c r="EF90" s="1495"/>
      <c r="EG90" s="1495"/>
      <c r="EH90" s="1495"/>
      <c r="EI90" s="1495"/>
      <c r="EJ90" s="1495"/>
      <c r="EK90" s="1495"/>
      <c r="EL90" s="407"/>
      <c r="EM90" s="1495"/>
      <c r="EN90" s="407"/>
      <c r="EO90" s="1495"/>
      <c r="EP90" s="1495"/>
      <c r="EQ90" s="1495"/>
      <c r="ER90" s="1495"/>
      <c r="ES90" s="1495"/>
      <c r="ET90" s="1495"/>
      <c r="EU90" s="1495"/>
      <c r="EV90" s="1495"/>
      <c r="EW90" s="1495"/>
      <c r="EX90" s="1495"/>
      <c r="EY90" s="1495"/>
      <c r="EZ90" s="1495"/>
      <c r="FA90" s="1495"/>
      <c r="FB90" s="1495"/>
      <c r="FC90" s="1495"/>
      <c r="FD90" s="1495"/>
      <c r="FE90" s="1495"/>
      <c r="FF90" s="1495"/>
      <c r="FG90" s="1495"/>
      <c r="FH90" s="1495"/>
      <c r="FI90" s="1495"/>
      <c r="FJ90" s="1495"/>
      <c r="FK90" s="1495"/>
      <c r="FL90" s="1495"/>
      <c r="FM90" s="1495"/>
      <c r="FN90" s="1495"/>
      <c r="FO90" s="1495"/>
      <c r="FP90" s="1495"/>
      <c r="FQ90" s="1495"/>
      <c r="FR90" s="1495"/>
      <c r="FS90" s="1495"/>
      <c r="FT90" s="1495"/>
      <c r="FU90" s="1495"/>
      <c r="FV90" s="1495"/>
      <c r="FW90" s="1495"/>
      <c r="FX90" s="1495"/>
      <c r="FY90" s="1495"/>
      <c r="FZ90" s="1495"/>
      <c r="GA90" s="1495"/>
      <c r="GB90" s="1495"/>
      <c r="GC90" s="1495"/>
      <c r="GD90" s="1495"/>
      <c r="GE90" s="1495"/>
      <c r="GF90" s="1495"/>
      <c r="GG90" s="1495"/>
      <c r="GH90" s="1495"/>
      <c r="GI90" s="1495"/>
      <c r="GJ90" s="1495"/>
      <c r="GK90" s="1495"/>
      <c r="GL90" s="1495"/>
      <c r="GM90" s="1495"/>
      <c r="GN90" s="1495"/>
      <c r="GO90" s="1495"/>
      <c r="GP90" s="1495"/>
      <c r="GQ90" s="1495"/>
      <c r="GR90" s="1495"/>
      <c r="GS90" s="1495"/>
      <c r="GT90" s="1495"/>
      <c r="GU90" s="1495"/>
      <c r="GV90" s="1495"/>
      <c r="GW90" s="1495"/>
      <c r="GX90" s="1495"/>
      <c r="GY90" s="1495"/>
      <c r="GZ90" s="1495"/>
      <c r="HA90" s="1495"/>
      <c r="HB90" s="1495"/>
      <c r="HC90" s="1495"/>
      <c r="HD90" s="1495"/>
      <c r="HE90" s="1495"/>
      <c r="HF90" s="1495"/>
      <c r="HG90" s="1495"/>
      <c r="HH90" s="1495"/>
      <c r="HI90" s="1495"/>
      <c r="HJ90" s="1495"/>
      <c r="HK90" s="1495"/>
      <c r="HL90" s="1495"/>
      <c r="HM90" s="1495"/>
      <c r="HN90" s="1495"/>
      <c r="HO90" s="1495"/>
      <c r="HP90" s="1495"/>
      <c r="HQ90" s="1495"/>
      <c r="HR90" s="1495"/>
      <c r="HS90" s="1495"/>
      <c r="HT90" s="1495"/>
      <c r="HU90" s="1495"/>
      <c r="HV90" s="1495"/>
      <c r="HW90" s="1495"/>
      <c r="HX90" s="1495"/>
      <c r="HY90" s="1495"/>
      <c r="HZ90" s="1495"/>
      <c r="IA90" s="1495"/>
      <c r="IB90" s="1495"/>
      <c r="IC90" s="1495"/>
      <c r="ID90" s="1495"/>
      <c r="IE90" s="1495"/>
      <c r="IF90" s="1495"/>
      <c r="IG90" s="1495"/>
      <c r="IH90" s="1495"/>
      <c r="II90" s="1495"/>
      <c r="IJ90" s="1495"/>
      <c r="IK90" s="1495"/>
      <c r="IL90" s="1495"/>
      <c r="IM90" s="1495"/>
      <c r="IN90" s="1495"/>
      <c r="IO90" s="1495"/>
      <c r="IP90" s="1495"/>
      <c r="IQ90" s="1495"/>
      <c r="IR90" s="1495"/>
      <c r="IS90" s="1495"/>
      <c r="IT90" s="1495"/>
      <c r="IU90" s="1495"/>
      <c r="IV90" s="1495"/>
      <c r="IW90" s="1495"/>
      <c r="IX90" s="1495"/>
      <c r="IY90" s="1495"/>
      <c r="IZ90" s="1495"/>
      <c r="JA90" s="1495"/>
      <c r="JB90" s="1495"/>
      <c r="JC90" s="1495"/>
      <c r="JD90" s="1495"/>
      <c r="JE90" s="1495"/>
      <c r="JF90" s="1495"/>
      <c r="JG90" s="1495"/>
      <c r="JH90" s="1495"/>
      <c r="JI90" s="1495"/>
      <c r="JJ90" s="1495"/>
      <c r="JK90" s="1495"/>
      <c r="JL90" s="1495"/>
      <c r="JM90" s="1495"/>
      <c r="JN90" s="1495"/>
      <c r="JO90" s="1495"/>
      <c r="JP90" s="1495"/>
      <c r="JQ90" s="1495"/>
      <c r="JR90" s="1495"/>
      <c r="JS90" s="1495"/>
      <c r="JT90" s="1495"/>
      <c r="JU90" s="1495"/>
      <c r="JV90" s="1495"/>
      <c r="JW90" s="1495"/>
      <c r="JX90" s="1495"/>
      <c r="JY90" s="1495"/>
      <c r="JZ90" s="1495"/>
      <c r="KA90" s="1495"/>
      <c r="KB90" s="1495"/>
      <c r="KC90" s="1495"/>
      <c r="KD90" s="1495"/>
      <c r="KE90" s="1495"/>
      <c r="KF90" s="1495"/>
      <c r="KG90" s="1495"/>
      <c r="KH90" s="1495"/>
      <c r="KI90" s="1495"/>
      <c r="KJ90" s="1495"/>
      <c r="KK90" s="1495"/>
      <c r="KL90" s="1495"/>
      <c r="KM90" s="1495"/>
      <c r="KN90" s="1495"/>
      <c r="KO90" s="1495"/>
      <c r="KP90" s="1495"/>
      <c r="KQ90" s="1495"/>
      <c r="KR90" s="1495"/>
      <c r="KS90" s="1495"/>
      <c r="KT90" s="1495"/>
      <c r="KU90" s="1495"/>
      <c r="KV90" s="1495"/>
      <c r="KW90" s="1495"/>
      <c r="KX90" s="1495"/>
      <c r="KY90" s="1495"/>
      <c r="KZ90" s="1495"/>
      <c r="LA90" s="1495"/>
      <c r="LB90" s="1495"/>
    </row>
    <row r="91" spans="1:314">
      <c r="A91" s="1495"/>
      <c r="B91" s="418"/>
      <c r="C91" s="1495"/>
      <c r="D91" s="1495"/>
      <c r="E91" s="1495"/>
      <c r="F91" s="1495"/>
      <c r="G91" s="1495"/>
      <c r="H91" s="1495"/>
      <c r="I91" s="1495"/>
      <c r="J91" s="1495"/>
      <c r="K91" s="1495"/>
      <c r="L91" s="1495"/>
      <c r="M91" s="1495"/>
      <c r="N91" s="1495"/>
      <c r="O91" s="1495"/>
      <c r="P91" s="1495"/>
      <c r="Q91" s="1495"/>
      <c r="R91" s="1495"/>
      <c r="S91" s="1495"/>
      <c r="T91" s="1495"/>
      <c r="U91" s="1495"/>
      <c r="V91" s="1495"/>
      <c r="W91" s="1495"/>
      <c r="X91" s="1495"/>
      <c r="Y91" s="1495"/>
      <c r="Z91" s="1495"/>
      <c r="AA91" s="1495"/>
      <c r="AB91" s="1495"/>
      <c r="AC91" s="1495"/>
      <c r="AD91" s="1495"/>
      <c r="AE91" s="1495"/>
      <c r="AF91" s="1495"/>
      <c r="AG91" s="1495"/>
      <c r="AH91" s="1495"/>
      <c r="AI91" s="1495"/>
      <c r="AJ91" s="1495"/>
      <c r="AK91" s="1495"/>
      <c r="AL91" s="1495"/>
      <c r="AM91" s="1495"/>
      <c r="AN91" s="1495"/>
      <c r="AO91" s="1495"/>
      <c r="AP91" s="1495"/>
      <c r="AQ91" s="1495"/>
      <c r="AR91" s="1495"/>
      <c r="AS91" s="1495"/>
      <c r="AT91" s="1495"/>
      <c r="AU91" s="1495"/>
      <c r="AV91" s="1495"/>
      <c r="AW91" s="1495"/>
      <c r="AX91" s="1495"/>
      <c r="AY91" s="1495"/>
      <c r="AZ91" s="1495"/>
      <c r="BA91" s="1495"/>
      <c r="BB91" s="1495"/>
      <c r="BC91" s="1495"/>
      <c r="BD91" s="1495"/>
      <c r="BE91" s="1495"/>
      <c r="BF91" s="1495"/>
      <c r="BG91" s="1495"/>
      <c r="BH91" s="1495"/>
      <c r="BI91" s="1495"/>
      <c r="BJ91" s="1495"/>
      <c r="BK91" s="1495"/>
      <c r="BL91" s="1495"/>
      <c r="BM91" s="1495"/>
      <c r="BN91" s="1495"/>
      <c r="BO91" s="1495"/>
      <c r="BP91" s="418"/>
      <c r="BQ91" s="1495"/>
      <c r="BR91" s="1495"/>
      <c r="BS91" s="1495"/>
      <c r="BT91" s="1495"/>
      <c r="BU91" s="1495"/>
      <c r="BV91" s="1495"/>
      <c r="BW91" s="1495"/>
      <c r="BX91" s="1495"/>
      <c r="BY91" s="1495"/>
      <c r="BZ91" s="444"/>
      <c r="CA91" s="496"/>
      <c r="CB91" s="496"/>
      <c r="CC91" s="444"/>
      <c r="CD91" s="502"/>
      <c r="CE91" s="108"/>
      <c r="CF91" s="444"/>
      <c r="CG91" s="504"/>
      <c r="CH91" s="348"/>
      <c r="CI91" s="408"/>
      <c r="CJ91" s="1495"/>
      <c r="CK91" s="1495"/>
      <c r="CL91" s="1495"/>
      <c r="CM91" s="1495"/>
      <c r="CN91" s="1495"/>
      <c r="CO91" s="1495"/>
      <c r="CP91" s="1495"/>
      <c r="CQ91" s="1495"/>
      <c r="CR91" s="1495"/>
      <c r="CS91" s="1495"/>
      <c r="CT91" s="1495"/>
      <c r="CU91" s="1495"/>
      <c r="CV91" s="1495"/>
      <c r="CW91" s="1495"/>
      <c r="CX91" s="1495"/>
      <c r="CY91" s="1495"/>
      <c r="CZ91" s="1495"/>
      <c r="DA91" s="444"/>
      <c r="DB91" s="475"/>
      <c r="DC91" s="108"/>
      <c r="DD91" s="408"/>
      <c r="DE91" s="1495"/>
      <c r="DF91" s="444"/>
      <c r="DG91" s="475"/>
      <c r="DH91" s="407"/>
      <c r="DI91" s="407"/>
      <c r="DJ91" s="1495"/>
      <c r="DK91" s="1495"/>
      <c r="DL91" s="1495"/>
      <c r="DM91" s="1495"/>
      <c r="DN91" s="1495"/>
      <c r="DO91" s="1495"/>
      <c r="DP91" s="1495"/>
      <c r="DQ91" s="1495"/>
      <c r="DR91" s="1495"/>
      <c r="DS91" s="1495"/>
      <c r="DT91" s="1495"/>
      <c r="DU91" s="1495"/>
      <c r="DV91" s="1495"/>
      <c r="DW91" s="1495"/>
      <c r="DX91" s="1495"/>
      <c r="DY91" s="1495"/>
      <c r="DZ91" s="1495"/>
      <c r="EA91" s="1495"/>
      <c r="EB91" s="1495"/>
      <c r="EC91" s="1495"/>
      <c r="ED91" s="1495"/>
      <c r="EE91" s="1495"/>
      <c r="EF91" s="1495"/>
      <c r="EG91" s="1495"/>
      <c r="EH91" s="1495"/>
      <c r="EI91" s="1495"/>
      <c r="EJ91" s="1495"/>
      <c r="EK91" s="1495"/>
      <c r="EL91" s="407"/>
      <c r="EM91" s="1495"/>
      <c r="EN91" s="407"/>
      <c r="EO91" s="1495"/>
      <c r="EP91" s="1495"/>
      <c r="EQ91" s="1495"/>
      <c r="ER91" s="1495"/>
      <c r="ES91" s="1495"/>
      <c r="ET91" s="1495"/>
      <c r="EU91" s="1495"/>
      <c r="EV91" s="1495"/>
      <c r="EW91" s="1495"/>
      <c r="EX91" s="1495"/>
      <c r="EY91" s="1495"/>
      <c r="EZ91" s="1495"/>
      <c r="FA91" s="1495"/>
      <c r="FB91" s="1495"/>
      <c r="FC91" s="1495"/>
      <c r="FD91" s="1495"/>
      <c r="FE91" s="1495"/>
      <c r="FF91" s="1495"/>
      <c r="FG91" s="1495"/>
      <c r="FH91" s="1495"/>
      <c r="FI91" s="1495"/>
      <c r="FJ91" s="1495"/>
      <c r="FK91" s="1495"/>
      <c r="FL91" s="1495"/>
      <c r="FM91" s="1495"/>
      <c r="FN91" s="1495"/>
      <c r="FO91" s="1495"/>
      <c r="FP91" s="1495"/>
      <c r="FQ91" s="1495"/>
      <c r="FR91" s="1495"/>
      <c r="FS91" s="1495"/>
      <c r="FT91" s="1495"/>
      <c r="FU91" s="1495"/>
      <c r="FV91" s="1495"/>
      <c r="FW91" s="1495"/>
      <c r="FX91" s="1495"/>
      <c r="FY91" s="1495"/>
      <c r="FZ91" s="1495"/>
      <c r="GA91" s="1495"/>
      <c r="GB91" s="1495"/>
      <c r="GC91" s="1495"/>
      <c r="GD91" s="1495"/>
      <c r="GE91" s="1495"/>
      <c r="GF91" s="1495"/>
      <c r="GG91" s="1495"/>
      <c r="GH91" s="1495"/>
      <c r="GI91" s="1495"/>
      <c r="GJ91" s="1495"/>
      <c r="GK91" s="1495"/>
      <c r="GL91" s="1495"/>
      <c r="GM91" s="1495"/>
      <c r="GN91" s="1495"/>
      <c r="GO91" s="1495"/>
      <c r="GP91" s="1495"/>
      <c r="GQ91" s="1495"/>
      <c r="GR91" s="1495"/>
      <c r="GS91" s="1495"/>
      <c r="GT91" s="1495"/>
      <c r="GU91" s="1495"/>
      <c r="GV91" s="1495"/>
      <c r="GW91" s="1495"/>
      <c r="GX91" s="1495"/>
      <c r="GY91" s="1495"/>
      <c r="GZ91" s="1495"/>
      <c r="HA91" s="1495"/>
      <c r="HB91" s="1495"/>
      <c r="HC91" s="1495"/>
      <c r="HD91" s="1495"/>
      <c r="HE91" s="1495"/>
      <c r="HF91" s="1495"/>
      <c r="HG91" s="1495"/>
      <c r="HH91" s="1495"/>
      <c r="HI91" s="1495"/>
      <c r="HJ91" s="1495"/>
      <c r="HK91" s="1495"/>
      <c r="HL91" s="1495"/>
      <c r="HM91" s="1495"/>
      <c r="HN91" s="1495"/>
      <c r="HO91" s="1495"/>
      <c r="HP91" s="1495"/>
      <c r="HQ91" s="1495"/>
      <c r="HR91" s="1495"/>
      <c r="HS91" s="1495"/>
      <c r="HT91" s="1495"/>
      <c r="HU91" s="1495"/>
      <c r="HV91" s="1495"/>
      <c r="HW91" s="1495"/>
      <c r="HX91" s="1495"/>
      <c r="HY91" s="1495"/>
      <c r="HZ91" s="1495"/>
      <c r="IA91" s="1495"/>
      <c r="IB91" s="1495"/>
      <c r="IC91" s="1495"/>
      <c r="ID91" s="1495"/>
      <c r="IE91" s="1495"/>
      <c r="IF91" s="1495"/>
      <c r="IG91" s="1495"/>
      <c r="IH91" s="1495"/>
      <c r="II91" s="1495"/>
      <c r="IJ91" s="1495"/>
      <c r="IK91" s="1495"/>
      <c r="IL91" s="1495"/>
      <c r="IM91" s="1495"/>
      <c r="IN91" s="1495"/>
      <c r="IO91" s="1495"/>
      <c r="IP91" s="1495"/>
      <c r="IQ91" s="1495"/>
      <c r="IR91" s="1495"/>
      <c r="IS91" s="1495"/>
      <c r="IT91" s="1495"/>
      <c r="IU91" s="1495"/>
      <c r="IV91" s="1495"/>
      <c r="IW91" s="1495"/>
      <c r="IX91" s="1495"/>
      <c r="IY91" s="1495"/>
      <c r="IZ91" s="1495"/>
      <c r="JA91" s="1495"/>
      <c r="JB91" s="1495"/>
      <c r="JC91" s="1495"/>
      <c r="JD91" s="1495"/>
      <c r="JE91" s="1495"/>
      <c r="JF91" s="1495"/>
      <c r="JG91" s="1495"/>
      <c r="JH91" s="1495"/>
      <c r="JI91" s="1495"/>
      <c r="JJ91" s="1495"/>
      <c r="JK91" s="1495"/>
      <c r="JL91" s="1495"/>
      <c r="JM91" s="1495"/>
      <c r="JN91" s="1495"/>
      <c r="JO91" s="1495"/>
      <c r="JP91" s="1495"/>
      <c r="JQ91" s="1495"/>
      <c r="JR91" s="1495"/>
      <c r="JS91" s="1495"/>
      <c r="JT91" s="1495"/>
      <c r="JU91" s="1495"/>
      <c r="JV91" s="1495"/>
      <c r="JW91" s="1495"/>
      <c r="JX91" s="1495"/>
      <c r="JY91" s="1495"/>
      <c r="JZ91" s="1495"/>
      <c r="KA91" s="1495"/>
      <c r="KB91" s="1495"/>
      <c r="KC91" s="1495"/>
      <c r="KD91" s="1495"/>
      <c r="KE91" s="1495"/>
      <c r="KF91" s="1495"/>
      <c r="KG91" s="1495"/>
      <c r="KH91" s="1495"/>
      <c r="KI91" s="1495"/>
      <c r="KJ91" s="1495"/>
      <c r="KK91" s="1495"/>
      <c r="KL91" s="1495"/>
      <c r="KM91" s="1495"/>
      <c r="KN91" s="1495"/>
      <c r="KO91" s="1495"/>
      <c r="KP91" s="1495"/>
      <c r="KQ91" s="1495"/>
      <c r="KR91" s="1495"/>
      <c r="KS91" s="1495"/>
      <c r="KT91" s="1495"/>
      <c r="KU91" s="1495"/>
      <c r="KV91" s="1495"/>
      <c r="KW91" s="1495"/>
      <c r="KX91" s="1495"/>
      <c r="KY91" s="1495"/>
      <c r="KZ91" s="1495"/>
      <c r="LA91" s="1495"/>
      <c r="LB91" s="1495"/>
    </row>
    <row r="92" spans="1:314">
      <c r="A92" s="1495"/>
      <c r="B92" s="418"/>
      <c r="C92" s="1495"/>
      <c r="D92" s="1495"/>
      <c r="E92" s="1495"/>
      <c r="F92" s="1495"/>
      <c r="G92" s="1495"/>
      <c r="H92" s="1495"/>
      <c r="I92" s="1495"/>
      <c r="J92" s="1495"/>
      <c r="K92" s="1495"/>
      <c r="L92" s="1495"/>
      <c r="M92" s="1495"/>
      <c r="N92" s="1495"/>
      <c r="O92" s="1495"/>
      <c r="P92" s="1495"/>
      <c r="Q92" s="1495"/>
      <c r="R92" s="1495"/>
      <c r="S92" s="1495"/>
      <c r="T92" s="1495"/>
      <c r="U92" s="1495"/>
      <c r="V92" s="1495"/>
      <c r="W92" s="1495"/>
      <c r="X92" s="1495"/>
      <c r="Y92" s="1495"/>
      <c r="Z92" s="1495"/>
      <c r="AA92" s="1495"/>
      <c r="AB92" s="1495"/>
      <c r="AC92" s="1495"/>
      <c r="AD92" s="1495"/>
      <c r="AE92" s="1495"/>
      <c r="AF92" s="1495"/>
      <c r="AG92" s="1495"/>
      <c r="AH92" s="1495"/>
      <c r="AI92" s="1495"/>
      <c r="AJ92" s="1495"/>
      <c r="AK92" s="1495"/>
      <c r="AL92" s="1495"/>
      <c r="AM92" s="1495"/>
      <c r="AN92" s="1495"/>
      <c r="AO92" s="1495"/>
      <c r="AP92" s="1495"/>
      <c r="AQ92" s="1495"/>
      <c r="AR92" s="1495"/>
      <c r="AS92" s="1495"/>
      <c r="AT92" s="1495"/>
      <c r="AU92" s="1495"/>
      <c r="AV92" s="1495"/>
      <c r="AW92" s="1495"/>
      <c r="AX92" s="1495"/>
      <c r="AY92" s="1495"/>
      <c r="AZ92" s="1495"/>
      <c r="BA92" s="1495"/>
      <c r="BB92" s="1495"/>
      <c r="BC92" s="1495"/>
      <c r="BD92" s="1495"/>
      <c r="BE92" s="1495"/>
      <c r="BF92" s="1495"/>
      <c r="BG92" s="1495"/>
      <c r="BH92" s="1495"/>
      <c r="BI92" s="1495"/>
      <c r="BJ92" s="1495"/>
      <c r="BK92" s="1495"/>
      <c r="BL92" s="1495"/>
      <c r="BM92" s="1495"/>
      <c r="BN92" s="1495"/>
      <c r="BO92" s="1495"/>
      <c r="BP92" s="418"/>
      <c r="BQ92" s="1495"/>
      <c r="BR92" s="1495"/>
      <c r="BS92" s="1495"/>
      <c r="BT92" s="1495"/>
      <c r="BU92" s="1495"/>
      <c r="BV92" s="1495"/>
      <c r="BW92" s="1495"/>
      <c r="BX92" s="1495"/>
      <c r="BY92" s="1495"/>
      <c r="BZ92" s="444"/>
      <c r="CA92" s="496"/>
      <c r="CB92" s="496"/>
      <c r="CC92" s="444"/>
      <c r="CD92" s="502"/>
      <c r="CE92" s="108"/>
      <c r="CF92" s="444"/>
      <c r="CG92" s="504"/>
      <c r="CH92" s="348"/>
      <c r="CI92" s="408"/>
      <c r="CJ92" s="1495"/>
      <c r="CK92" s="1495"/>
      <c r="CL92" s="1495"/>
      <c r="CM92" s="1495"/>
      <c r="CN92" s="1495"/>
      <c r="CO92" s="1495"/>
      <c r="CP92" s="1495"/>
      <c r="CQ92" s="1495"/>
      <c r="CR92" s="1495"/>
      <c r="CS92" s="1495"/>
      <c r="CT92" s="1495"/>
      <c r="CU92" s="1495"/>
      <c r="CV92" s="1495"/>
      <c r="CW92" s="1495"/>
      <c r="CX92" s="1495"/>
      <c r="CY92" s="1495"/>
      <c r="CZ92" s="1495"/>
      <c r="DA92" s="444"/>
      <c r="DB92" s="475"/>
      <c r="DC92" s="108"/>
      <c r="DD92" s="408"/>
      <c r="DE92" s="1495"/>
      <c r="DF92" s="444"/>
      <c r="DG92" s="475"/>
      <c r="DH92" s="407"/>
      <c r="DI92" s="407"/>
      <c r="DJ92" s="1495"/>
      <c r="DK92" s="1495"/>
      <c r="DL92" s="1495"/>
      <c r="DM92" s="1495"/>
      <c r="DN92" s="1495"/>
      <c r="DO92" s="1495"/>
      <c r="DP92" s="1495"/>
      <c r="DQ92" s="1495"/>
      <c r="DR92" s="1495"/>
      <c r="DS92" s="1495"/>
      <c r="DT92" s="1495"/>
      <c r="DU92" s="1495"/>
      <c r="DV92" s="1495"/>
      <c r="DW92" s="1495"/>
      <c r="DX92" s="1495"/>
      <c r="DY92" s="1495"/>
      <c r="DZ92" s="1495"/>
      <c r="EA92" s="1495"/>
      <c r="EB92" s="1495"/>
      <c r="EC92" s="1495"/>
      <c r="ED92" s="1495"/>
      <c r="EE92" s="1495"/>
      <c r="EF92" s="1495"/>
      <c r="EG92" s="1495"/>
      <c r="EH92" s="1495"/>
      <c r="EI92" s="1495"/>
      <c r="EJ92" s="1495"/>
      <c r="EK92" s="1495"/>
      <c r="EL92" s="407"/>
      <c r="EM92" s="1495"/>
      <c r="EN92" s="407"/>
      <c r="EO92" s="1495"/>
      <c r="EP92" s="1495"/>
      <c r="EQ92" s="1495"/>
      <c r="ER92" s="1495"/>
      <c r="ES92" s="1495"/>
      <c r="ET92" s="1495"/>
      <c r="EU92" s="1495"/>
      <c r="EV92" s="1495"/>
      <c r="EW92" s="1495"/>
      <c r="EX92" s="1495"/>
      <c r="EY92" s="1495"/>
      <c r="EZ92" s="1495"/>
      <c r="FA92" s="1495"/>
      <c r="FB92" s="1495"/>
      <c r="FC92" s="1495"/>
      <c r="FD92" s="1495"/>
      <c r="FE92" s="1495"/>
      <c r="FF92" s="1495"/>
      <c r="FG92" s="1495"/>
      <c r="FH92" s="1495"/>
      <c r="FI92" s="1495"/>
      <c r="FJ92" s="1495"/>
      <c r="FK92" s="1495"/>
      <c r="FL92" s="1495"/>
      <c r="FM92" s="1495"/>
      <c r="FN92" s="1495"/>
      <c r="FO92" s="1495"/>
      <c r="FP92" s="1495"/>
      <c r="FQ92" s="1495"/>
      <c r="FR92" s="1495"/>
      <c r="FS92" s="1495"/>
      <c r="FT92" s="1495"/>
      <c r="FU92" s="1495"/>
      <c r="FV92" s="1495"/>
      <c r="FW92" s="1495"/>
      <c r="FX92" s="1495"/>
      <c r="FY92" s="1495"/>
      <c r="FZ92" s="1495"/>
      <c r="GA92" s="1495"/>
      <c r="GB92" s="1495"/>
      <c r="GC92" s="1495"/>
      <c r="GD92" s="1495"/>
      <c r="GE92" s="1495"/>
      <c r="GF92" s="1495"/>
      <c r="GG92" s="1495"/>
      <c r="GH92" s="1495"/>
      <c r="GI92" s="1495"/>
      <c r="GJ92" s="1495"/>
      <c r="GK92" s="1495"/>
      <c r="GL92" s="1495"/>
      <c r="GM92" s="1495"/>
      <c r="GN92" s="1495"/>
      <c r="GO92" s="1495"/>
      <c r="GP92" s="1495"/>
      <c r="GQ92" s="1495"/>
      <c r="GR92" s="1495"/>
      <c r="GS92" s="1495"/>
      <c r="GT92" s="1495"/>
      <c r="GU92" s="1495"/>
      <c r="GV92" s="1495"/>
      <c r="GW92" s="1495"/>
      <c r="GX92" s="1495"/>
      <c r="GY92" s="1495"/>
      <c r="GZ92" s="1495"/>
      <c r="HA92" s="1495"/>
      <c r="HB92" s="1495"/>
      <c r="HC92" s="1495"/>
      <c r="HD92" s="1495"/>
      <c r="HE92" s="1495"/>
      <c r="HF92" s="1495"/>
      <c r="HG92" s="1495"/>
      <c r="HH92" s="1495"/>
      <c r="HI92" s="1495"/>
      <c r="HJ92" s="1495"/>
      <c r="HK92" s="1495"/>
      <c r="HL92" s="1495"/>
      <c r="HM92" s="1495"/>
      <c r="HN92" s="1495"/>
      <c r="HO92" s="1495"/>
      <c r="HP92" s="1495"/>
      <c r="HQ92" s="1495"/>
      <c r="HR92" s="1495"/>
      <c r="HS92" s="1495"/>
      <c r="HT92" s="1495"/>
      <c r="HU92" s="1495"/>
      <c r="HV92" s="1495"/>
      <c r="HW92" s="1495"/>
      <c r="HX92" s="1495"/>
      <c r="HY92" s="1495"/>
      <c r="HZ92" s="1495"/>
      <c r="IA92" s="1495"/>
      <c r="IB92" s="1495"/>
      <c r="IC92" s="1495"/>
      <c r="ID92" s="1495"/>
      <c r="IE92" s="1495"/>
      <c r="IF92" s="1495"/>
      <c r="IG92" s="1495"/>
      <c r="IH92" s="1495"/>
      <c r="II92" s="1495"/>
      <c r="IJ92" s="1495"/>
      <c r="IK92" s="1495"/>
      <c r="IL92" s="1495"/>
      <c r="IM92" s="1495"/>
      <c r="IN92" s="1495"/>
      <c r="IO92" s="1495"/>
      <c r="IP92" s="1495"/>
      <c r="IQ92" s="1495"/>
      <c r="IR92" s="1495"/>
      <c r="IS92" s="1495"/>
      <c r="IT92" s="1495"/>
      <c r="IU92" s="1495"/>
      <c r="IV92" s="1495"/>
      <c r="IW92" s="1495"/>
      <c r="IX92" s="1495"/>
      <c r="IY92" s="1495"/>
      <c r="IZ92" s="1495"/>
      <c r="JA92" s="1495"/>
      <c r="JB92" s="1495"/>
      <c r="JC92" s="1495"/>
      <c r="JD92" s="1495"/>
      <c r="JE92" s="1495"/>
      <c r="JF92" s="1495"/>
      <c r="JG92" s="1495"/>
      <c r="JH92" s="1495"/>
      <c r="JI92" s="1495"/>
      <c r="JJ92" s="1495"/>
      <c r="JK92" s="1495"/>
      <c r="JL92" s="1495"/>
      <c r="JM92" s="1495"/>
      <c r="JN92" s="1495"/>
      <c r="JO92" s="1495"/>
      <c r="JP92" s="1495"/>
      <c r="JQ92" s="1495"/>
      <c r="JR92" s="1495"/>
      <c r="JS92" s="1495"/>
      <c r="JT92" s="1495"/>
      <c r="JU92" s="1495"/>
      <c r="JV92" s="1495"/>
      <c r="JW92" s="1495"/>
      <c r="JX92" s="1495"/>
      <c r="JY92" s="1495"/>
      <c r="JZ92" s="1495"/>
      <c r="KA92" s="1495"/>
      <c r="KB92" s="1495"/>
      <c r="KC92" s="1495"/>
      <c r="KD92" s="1495"/>
      <c r="KE92" s="1495"/>
      <c r="KF92" s="1495"/>
      <c r="KG92" s="1495"/>
      <c r="KH92" s="1495"/>
      <c r="KI92" s="1495"/>
      <c r="KJ92" s="1495"/>
      <c r="KK92" s="1495"/>
      <c r="KL92" s="1495"/>
      <c r="KM92" s="1495"/>
      <c r="KN92" s="1495"/>
      <c r="KO92" s="1495"/>
      <c r="KP92" s="1495"/>
      <c r="KQ92" s="1495"/>
      <c r="KR92" s="1495"/>
      <c r="KS92" s="1495"/>
      <c r="KT92" s="1495"/>
      <c r="KU92" s="1495"/>
      <c r="KV92" s="1495"/>
      <c r="KW92" s="1495"/>
      <c r="KX92" s="1495"/>
      <c r="KY92" s="1495"/>
      <c r="KZ92" s="1495"/>
      <c r="LA92" s="1495"/>
      <c r="LB92" s="1495"/>
    </row>
    <row r="93" spans="1:314">
      <c r="A93" s="1495"/>
      <c r="B93" s="418"/>
      <c r="C93" s="1495"/>
      <c r="D93" s="1495"/>
      <c r="E93" s="1495"/>
      <c r="F93" s="1495"/>
      <c r="G93" s="1495"/>
      <c r="H93" s="1495"/>
      <c r="I93" s="1495"/>
      <c r="J93" s="1495"/>
      <c r="K93" s="1495"/>
      <c r="L93" s="1495"/>
      <c r="M93" s="1495"/>
      <c r="N93" s="1495"/>
      <c r="O93" s="1495"/>
      <c r="P93" s="1495"/>
      <c r="Q93" s="1495"/>
      <c r="R93" s="1495"/>
      <c r="S93" s="1495"/>
      <c r="T93" s="1495"/>
      <c r="U93" s="1495"/>
      <c r="V93" s="1495"/>
      <c r="W93" s="1495"/>
      <c r="X93" s="1495"/>
      <c r="Y93" s="1495"/>
      <c r="Z93" s="1495"/>
      <c r="AA93" s="1495"/>
      <c r="AB93" s="1495"/>
      <c r="AC93" s="1495"/>
      <c r="AD93" s="1495"/>
      <c r="AE93" s="1495"/>
      <c r="AF93" s="1495"/>
      <c r="AG93" s="1495"/>
      <c r="AH93" s="1495"/>
      <c r="AI93" s="1495"/>
      <c r="AJ93" s="1495"/>
      <c r="AK93" s="1495"/>
      <c r="AL93" s="1495"/>
      <c r="AM93" s="1495"/>
      <c r="AN93" s="1495"/>
      <c r="AO93" s="1495"/>
      <c r="AP93" s="1495"/>
      <c r="AQ93" s="1495"/>
      <c r="AR93" s="1495"/>
      <c r="AS93" s="1495"/>
      <c r="AT93" s="1495"/>
      <c r="AU93" s="1495"/>
      <c r="AV93" s="1495"/>
      <c r="AW93" s="1495"/>
      <c r="AX93" s="1495"/>
      <c r="AY93" s="1495"/>
      <c r="AZ93" s="1495"/>
      <c r="BA93" s="1495"/>
      <c r="BB93" s="1495"/>
      <c r="BC93" s="1495"/>
      <c r="BD93" s="1495"/>
      <c r="BE93" s="1495"/>
      <c r="BF93" s="1495"/>
      <c r="BG93" s="1495"/>
      <c r="BH93" s="1495"/>
      <c r="BI93" s="1495"/>
      <c r="BJ93" s="1495"/>
      <c r="BK93" s="1495"/>
      <c r="BL93" s="1495"/>
      <c r="BM93" s="1495"/>
      <c r="BN93" s="1495"/>
      <c r="BO93" s="1495"/>
      <c r="BP93" s="418"/>
      <c r="BQ93" s="1495"/>
      <c r="BR93" s="1495"/>
      <c r="BS93" s="1495"/>
      <c r="BT93" s="1495"/>
      <c r="BU93" s="1495"/>
      <c r="BV93" s="1495"/>
      <c r="BW93" s="1495"/>
      <c r="BX93" s="1495"/>
      <c r="BY93" s="1495"/>
      <c r="BZ93" s="444"/>
      <c r="CA93" s="496"/>
      <c r="CB93" s="496"/>
      <c r="CC93" s="444"/>
      <c r="CD93" s="502"/>
      <c r="CE93" s="108"/>
      <c r="CF93" s="444"/>
      <c r="CG93" s="504"/>
      <c r="CH93" s="348"/>
      <c r="CI93" s="408"/>
      <c r="CJ93" s="1495"/>
      <c r="CK93" s="1495"/>
      <c r="CL93" s="1495"/>
      <c r="CM93" s="1495"/>
      <c r="CN93" s="1495"/>
      <c r="CO93" s="1495"/>
      <c r="CP93" s="1495"/>
      <c r="CQ93" s="1495"/>
      <c r="CR93" s="1495"/>
      <c r="CS93" s="1495"/>
      <c r="CT93" s="1495"/>
      <c r="CU93" s="1495"/>
      <c r="CV93" s="1495"/>
      <c r="CW93" s="1495"/>
      <c r="CX93" s="1495"/>
      <c r="CY93" s="1495"/>
      <c r="CZ93" s="1495"/>
      <c r="DA93" s="444"/>
      <c r="DB93" s="475"/>
      <c r="DC93" s="108"/>
      <c r="DD93" s="408"/>
      <c r="DE93" s="1495"/>
      <c r="DF93" s="444"/>
      <c r="DG93" s="475"/>
      <c r="DH93" s="407"/>
      <c r="DI93" s="407"/>
      <c r="DJ93" s="1495"/>
      <c r="DK93" s="1495"/>
      <c r="DL93" s="1495"/>
      <c r="DM93" s="1495"/>
      <c r="DN93" s="1495"/>
      <c r="DO93" s="1495"/>
      <c r="DP93" s="1495"/>
      <c r="DQ93" s="1495"/>
      <c r="DR93" s="1495"/>
      <c r="DS93" s="1495"/>
      <c r="DT93" s="1495"/>
      <c r="DU93" s="1495"/>
      <c r="DV93" s="1495"/>
      <c r="DW93" s="1495"/>
      <c r="DX93" s="1495"/>
      <c r="DY93" s="1495"/>
      <c r="DZ93" s="1495"/>
      <c r="EA93" s="1495"/>
      <c r="EB93" s="1495"/>
      <c r="EC93" s="1495"/>
      <c r="ED93" s="1495"/>
      <c r="EE93" s="1495"/>
      <c r="EF93" s="1495"/>
      <c r="EG93" s="1495"/>
      <c r="EH93" s="1495"/>
      <c r="EI93" s="1495"/>
      <c r="EJ93" s="1495"/>
      <c r="EK93" s="1495"/>
      <c r="EL93" s="407"/>
      <c r="EM93" s="1495"/>
      <c r="EN93" s="407"/>
      <c r="EO93" s="1495"/>
      <c r="EP93" s="1495"/>
      <c r="EQ93" s="1495"/>
      <c r="ER93" s="1495"/>
      <c r="ES93" s="1495"/>
      <c r="ET93" s="1495"/>
      <c r="EU93" s="1495"/>
      <c r="EV93" s="1495"/>
      <c r="EW93" s="1495"/>
      <c r="EX93" s="1495"/>
      <c r="EY93" s="1495"/>
      <c r="EZ93" s="1495"/>
      <c r="FA93" s="1495"/>
      <c r="FB93" s="1495"/>
      <c r="FC93" s="1495"/>
      <c r="FD93" s="1495"/>
      <c r="FE93" s="1495"/>
      <c r="FF93" s="1495"/>
      <c r="FG93" s="1495"/>
      <c r="FH93" s="1495"/>
      <c r="FI93" s="1495"/>
      <c r="FJ93" s="1495"/>
      <c r="FK93" s="1495"/>
      <c r="FL93" s="1495"/>
      <c r="FM93" s="1495"/>
      <c r="FN93" s="1495"/>
      <c r="FO93" s="1495"/>
      <c r="FP93" s="1495"/>
      <c r="FQ93" s="1495"/>
      <c r="FR93" s="1495"/>
      <c r="FS93" s="1495"/>
      <c r="FT93" s="1495"/>
      <c r="FU93" s="1495"/>
      <c r="FV93" s="1495"/>
      <c r="FW93" s="1495"/>
      <c r="FX93" s="1495"/>
      <c r="FY93" s="1495"/>
      <c r="FZ93" s="1495"/>
      <c r="GA93" s="1495"/>
      <c r="GB93" s="1495"/>
      <c r="GC93" s="1495"/>
      <c r="GD93" s="1495"/>
      <c r="GE93" s="1495"/>
      <c r="GF93" s="1495"/>
      <c r="GG93" s="1495"/>
      <c r="GH93" s="1495"/>
      <c r="GI93" s="1495"/>
      <c r="GJ93" s="1495"/>
      <c r="GK93" s="1495"/>
      <c r="GL93" s="1495"/>
      <c r="GM93" s="1495"/>
      <c r="GN93" s="1495"/>
      <c r="GO93" s="1495"/>
      <c r="GP93" s="1495"/>
      <c r="GQ93" s="1495"/>
      <c r="GR93" s="1495"/>
      <c r="GS93" s="1495"/>
      <c r="GT93" s="1495"/>
      <c r="GU93" s="1495"/>
      <c r="GV93" s="1495"/>
      <c r="GW93" s="1495"/>
      <c r="GX93" s="1495"/>
      <c r="GY93" s="1495"/>
      <c r="GZ93" s="1495"/>
      <c r="HA93" s="1495"/>
      <c r="HB93" s="1495"/>
      <c r="HC93" s="1495"/>
      <c r="HD93" s="1495"/>
      <c r="HE93" s="1495"/>
      <c r="HF93" s="1495"/>
      <c r="HG93" s="1495"/>
      <c r="HH93" s="1495"/>
      <c r="HI93" s="1495"/>
      <c r="HJ93" s="1495"/>
      <c r="HK93" s="1495"/>
      <c r="HL93" s="1495"/>
      <c r="HM93" s="1495"/>
      <c r="HN93" s="1495"/>
      <c r="HO93" s="1495"/>
      <c r="HP93" s="1495"/>
      <c r="HQ93" s="1495"/>
      <c r="HR93" s="1495"/>
      <c r="HS93" s="1495"/>
      <c r="HT93" s="1495"/>
      <c r="HU93" s="1495"/>
      <c r="HV93" s="1495"/>
      <c r="HW93" s="1495"/>
      <c r="HX93" s="1495"/>
      <c r="HY93" s="1495"/>
      <c r="HZ93" s="1495"/>
      <c r="IA93" s="1495"/>
      <c r="IB93" s="1495"/>
      <c r="IC93" s="1495"/>
      <c r="ID93" s="1495"/>
      <c r="IE93" s="1495"/>
      <c r="IF93" s="1495"/>
      <c r="IG93" s="1495"/>
      <c r="IH93" s="1495"/>
      <c r="II93" s="1495"/>
      <c r="IJ93" s="1495"/>
      <c r="IK93" s="1495"/>
      <c r="IL93" s="1495"/>
      <c r="IM93" s="1495"/>
      <c r="IN93" s="1495"/>
      <c r="IO93" s="1495"/>
      <c r="IP93" s="1495"/>
      <c r="IQ93" s="1495"/>
      <c r="IR93" s="1495"/>
      <c r="IS93" s="1495"/>
      <c r="IT93" s="1495"/>
      <c r="IU93" s="1495"/>
      <c r="IV93" s="1495"/>
      <c r="IW93" s="1495"/>
      <c r="IX93" s="1495"/>
      <c r="IY93" s="1495"/>
      <c r="IZ93" s="1495"/>
      <c r="JA93" s="1495"/>
      <c r="JB93" s="1495"/>
      <c r="JC93" s="1495"/>
      <c r="JD93" s="1495"/>
      <c r="JE93" s="1495"/>
      <c r="JF93" s="1495"/>
      <c r="JG93" s="1495"/>
      <c r="JH93" s="1495"/>
      <c r="JI93" s="1495"/>
      <c r="JJ93" s="1495"/>
      <c r="JK93" s="1495"/>
      <c r="JL93" s="1495"/>
      <c r="JM93" s="1495"/>
      <c r="JN93" s="1495"/>
      <c r="JO93" s="1495"/>
      <c r="JP93" s="1495"/>
      <c r="JQ93" s="1495"/>
      <c r="JR93" s="1495"/>
      <c r="JS93" s="1495"/>
      <c r="JT93" s="1495"/>
      <c r="JU93" s="1495"/>
      <c r="JV93" s="1495"/>
      <c r="JW93" s="1495"/>
      <c r="JX93" s="1495"/>
      <c r="JY93" s="1495"/>
      <c r="JZ93" s="1495"/>
      <c r="KA93" s="1495"/>
      <c r="KB93" s="1495"/>
      <c r="KC93" s="1495"/>
      <c r="KD93" s="1495"/>
      <c r="KE93" s="1495"/>
      <c r="KF93" s="1495"/>
      <c r="KG93" s="1495"/>
      <c r="KH93" s="1495"/>
      <c r="KI93" s="1495"/>
      <c r="KJ93" s="1495"/>
      <c r="KK93" s="1495"/>
      <c r="KL93" s="1495"/>
      <c r="KM93" s="1495"/>
      <c r="KN93" s="1495"/>
      <c r="KO93" s="1495"/>
      <c r="KP93" s="1495"/>
      <c r="KQ93" s="1495"/>
      <c r="KR93" s="1495"/>
      <c r="KS93" s="1495"/>
      <c r="KT93" s="1495"/>
      <c r="KU93" s="1495"/>
      <c r="KV93" s="1495"/>
      <c r="KW93" s="1495"/>
      <c r="KX93" s="1495"/>
      <c r="KY93" s="1495"/>
      <c r="KZ93" s="1495"/>
      <c r="LA93" s="1495"/>
      <c r="LB93" s="1495"/>
    </row>
    <row r="94" spans="1:314">
      <c r="A94" s="1495"/>
      <c r="B94" s="418"/>
      <c r="C94" s="1495"/>
      <c r="D94" s="1495"/>
      <c r="E94" s="1495"/>
      <c r="F94" s="1495"/>
      <c r="G94" s="1495"/>
      <c r="H94" s="1495"/>
      <c r="I94" s="1495"/>
      <c r="J94" s="1495"/>
      <c r="K94" s="1495"/>
      <c r="L94" s="1495"/>
      <c r="M94" s="1495"/>
      <c r="N94" s="1495"/>
      <c r="O94" s="1495"/>
      <c r="P94" s="1495"/>
      <c r="Q94" s="1495"/>
      <c r="R94" s="1495"/>
      <c r="S94" s="1495"/>
      <c r="T94" s="1495"/>
      <c r="U94" s="1495"/>
      <c r="V94" s="1495"/>
      <c r="W94" s="1495"/>
      <c r="X94" s="1495"/>
      <c r="Y94" s="1495"/>
      <c r="Z94" s="1495"/>
      <c r="AA94" s="1495"/>
      <c r="AB94" s="1495"/>
      <c r="AC94" s="1495"/>
      <c r="AD94" s="1495"/>
      <c r="AE94" s="1495"/>
      <c r="AF94" s="1495"/>
      <c r="AG94" s="1495"/>
      <c r="AH94" s="1495"/>
      <c r="AI94" s="1495"/>
      <c r="AJ94" s="1495"/>
      <c r="AK94" s="1495"/>
      <c r="AL94" s="1495"/>
      <c r="AM94" s="1495"/>
      <c r="AN94" s="1495"/>
      <c r="AO94" s="1495"/>
      <c r="AP94" s="1495"/>
      <c r="AQ94" s="1495"/>
      <c r="AR94" s="1495"/>
      <c r="AS94" s="1495"/>
      <c r="AT94" s="1495"/>
      <c r="AU94" s="1495"/>
      <c r="AV94" s="1495"/>
      <c r="AW94" s="1495"/>
      <c r="AX94" s="1495"/>
      <c r="AY94" s="1495"/>
      <c r="AZ94" s="1495"/>
      <c r="BA94" s="1495"/>
      <c r="BB94" s="1495"/>
      <c r="BC94" s="1495"/>
      <c r="BD94" s="1495"/>
      <c r="BE94" s="1495"/>
      <c r="BF94" s="1495"/>
      <c r="BG94" s="1495"/>
      <c r="BH94" s="1495"/>
      <c r="BI94" s="1495"/>
      <c r="BJ94" s="1495"/>
      <c r="BK94" s="1495"/>
      <c r="BL94" s="1495"/>
      <c r="BM94" s="1495"/>
      <c r="BN94" s="1495"/>
      <c r="BO94" s="1495"/>
      <c r="BP94" s="418"/>
      <c r="BQ94" s="1495"/>
      <c r="BR94" s="1495"/>
      <c r="BS94" s="1495"/>
      <c r="BT94" s="1495"/>
      <c r="BU94" s="1495"/>
      <c r="BV94" s="1495"/>
      <c r="BW94" s="1495"/>
      <c r="BX94" s="1495"/>
      <c r="BY94" s="1495"/>
      <c r="BZ94" s="444"/>
      <c r="CA94" s="496"/>
      <c r="CB94" s="496"/>
      <c r="CC94" s="444"/>
      <c r="CD94" s="502"/>
      <c r="CE94" s="108"/>
      <c r="CF94" s="444"/>
      <c r="CG94" s="504"/>
      <c r="CH94" s="348"/>
      <c r="CI94" s="408"/>
      <c r="CJ94" s="1495"/>
      <c r="CK94" s="1495"/>
      <c r="CL94" s="1495"/>
      <c r="CM94" s="1495"/>
      <c r="CN94" s="1495"/>
      <c r="CO94" s="1495"/>
      <c r="CP94" s="1495"/>
      <c r="CQ94" s="1495"/>
      <c r="CR94" s="1495"/>
      <c r="CS94" s="1495"/>
      <c r="CT94" s="1495"/>
      <c r="CU94" s="1495"/>
      <c r="CV94" s="1495"/>
      <c r="CW94" s="1495"/>
      <c r="CX94" s="1495"/>
      <c r="CY94" s="1495"/>
      <c r="CZ94" s="1495"/>
      <c r="DA94" s="444"/>
      <c r="DB94" s="475"/>
      <c r="DC94" s="108"/>
      <c r="DD94" s="408"/>
      <c r="DE94" s="1495"/>
      <c r="DF94" s="444"/>
      <c r="DG94" s="475"/>
      <c r="DH94" s="407"/>
      <c r="DI94" s="407"/>
      <c r="DJ94" s="1495"/>
      <c r="DK94" s="1495"/>
      <c r="DL94" s="1495"/>
      <c r="DM94" s="1495"/>
      <c r="DN94" s="1495"/>
      <c r="DO94" s="1495"/>
      <c r="DP94" s="1495"/>
      <c r="DQ94" s="1495"/>
      <c r="DR94" s="1495"/>
      <c r="DS94" s="1495"/>
      <c r="DT94" s="1495"/>
      <c r="DU94" s="1495"/>
      <c r="DV94" s="1495"/>
      <c r="DW94" s="1495"/>
      <c r="DX94" s="1495"/>
      <c r="DY94" s="1495"/>
      <c r="DZ94" s="1495"/>
      <c r="EA94" s="1495"/>
      <c r="EB94" s="1495"/>
      <c r="EC94" s="1495"/>
      <c r="ED94" s="1495"/>
      <c r="EE94" s="1495"/>
      <c r="EF94" s="1495"/>
      <c r="EG94" s="1495"/>
      <c r="EH94" s="1495"/>
      <c r="EI94" s="1495"/>
      <c r="EJ94" s="1495"/>
      <c r="EK94" s="1495"/>
      <c r="EL94" s="407"/>
      <c r="EM94" s="1495"/>
      <c r="EN94" s="407"/>
      <c r="EO94" s="1495"/>
      <c r="EP94" s="1495"/>
      <c r="EQ94" s="1495"/>
      <c r="ER94" s="1495"/>
      <c r="ES94" s="1495"/>
      <c r="ET94" s="1495"/>
      <c r="EU94" s="1495"/>
      <c r="EV94" s="1495"/>
      <c r="EW94" s="1495"/>
      <c r="EX94" s="1495"/>
      <c r="EY94" s="1495"/>
      <c r="EZ94" s="1495"/>
      <c r="FA94" s="1495"/>
      <c r="FB94" s="1495"/>
      <c r="FC94" s="1495"/>
      <c r="FD94" s="1495"/>
      <c r="FE94" s="1495"/>
      <c r="FF94" s="1495"/>
      <c r="FG94" s="1495"/>
      <c r="FH94" s="1495"/>
      <c r="FI94" s="1495"/>
      <c r="FJ94" s="1495"/>
      <c r="FK94" s="1495"/>
      <c r="FL94" s="1495"/>
      <c r="FM94" s="1495"/>
      <c r="FN94" s="1495"/>
      <c r="FO94" s="1495"/>
      <c r="FP94" s="1495"/>
      <c r="FQ94" s="1495"/>
      <c r="FR94" s="1495"/>
      <c r="FS94" s="1495"/>
      <c r="FT94" s="1495"/>
      <c r="FU94" s="1495"/>
      <c r="FV94" s="1495"/>
      <c r="FW94" s="1495"/>
      <c r="FX94" s="1495"/>
      <c r="FY94" s="1495"/>
      <c r="FZ94" s="1495"/>
      <c r="GA94" s="1495"/>
      <c r="GB94" s="1495"/>
      <c r="GC94" s="1495"/>
      <c r="GD94" s="1495"/>
      <c r="GE94" s="1495"/>
      <c r="GF94" s="1495"/>
      <c r="GG94" s="1495"/>
      <c r="GH94" s="1495"/>
      <c r="GI94" s="1495"/>
      <c r="GJ94" s="1495"/>
      <c r="GK94" s="1495"/>
      <c r="GL94" s="1495"/>
      <c r="GM94" s="1495"/>
      <c r="GN94" s="1495"/>
      <c r="GO94" s="1495"/>
      <c r="GP94" s="1495"/>
      <c r="GQ94" s="1495"/>
      <c r="GR94" s="1495"/>
      <c r="GS94" s="1495"/>
      <c r="GT94" s="1495"/>
      <c r="GU94" s="1495"/>
      <c r="GV94" s="1495"/>
      <c r="GW94" s="1495"/>
      <c r="GX94" s="1495"/>
      <c r="GY94" s="1495"/>
      <c r="GZ94" s="1495"/>
      <c r="HA94" s="1495"/>
      <c r="HB94" s="1495"/>
      <c r="HC94" s="1495"/>
      <c r="HD94" s="1495"/>
      <c r="HE94" s="1495"/>
      <c r="HF94" s="1495"/>
      <c r="HG94" s="1495"/>
      <c r="HH94" s="1495"/>
      <c r="HI94" s="1495"/>
      <c r="HJ94" s="1495"/>
      <c r="HK94" s="1495"/>
      <c r="HL94" s="1495"/>
      <c r="HM94" s="1495"/>
      <c r="HN94" s="1495"/>
      <c r="HO94" s="1495"/>
      <c r="HP94" s="1495"/>
      <c r="HQ94" s="1495"/>
      <c r="HR94" s="1495"/>
      <c r="HS94" s="1495"/>
      <c r="HT94" s="1495"/>
      <c r="HU94" s="1495"/>
      <c r="HV94" s="1495"/>
      <c r="HW94" s="1495"/>
      <c r="HX94" s="1495"/>
      <c r="HY94" s="1495"/>
      <c r="HZ94" s="1495"/>
      <c r="IA94" s="1495"/>
      <c r="IB94" s="1495"/>
      <c r="IC94" s="1495"/>
      <c r="ID94" s="1495"/>
      <c r="IE94" s="1495"/>
      <c r="IF94" s="1495"/>
      <c r="IG94" s="1495"/>
      <c r="IH94" s="1495"/>
      <c r="II94" s="1495"/>
      <c r="IJ94" s="1495"/>
      <c r="IK94" s="1495"/>
      <c r="IL94" s="1495"/>
      <c r="IM94" s="1495"/>
      <c r="IN94" s="1495"/>
      <c r="IO94" s="1495"/>
      <c r="IP94" s="1495"/>
      <c r="IQ94" s="1495"/>
      <c r="IR94" s="1495"/>
      <c r="IS94" s="1495"/>
      <c r="IT94" s="1495"/>
      <c r="IU94" s="1495"/>
      <c r="IV94" s="1495"/>
      <c r="IW94" s="1495"/>
      <c r="IX94" s="1495"/>
      <c r="IY94" s="1495"/>
      <c r="IZ94" s="1495"/>
      <c r="JA94" s="1495"/>
      <c r="JB94" s="1495"/>
      <c r="JC94" s="1495"/>
      <c r="JD94" s="1495"/>
      <c r="JE94" s="1495"/>
      <c r="JF94" s="1495"/>
      <c r="JG94" s="1495"/>
      <c r="JH94" s="1495"/>
      <c r="JI94" s="1495"/>
      <c r="JJ94" s="1495"/>
      <c r="JK94" s="1495"/>
      <c r="JL94" s="1495"/>
      <c r="JM94" s="1495"/>
      <c r="JN94" s="1495"/>
      <c r="JO94" s="1495"/>
      <c r="JP94" s="1495"/>
      <c r="JQ94" s="1495"/>
      <c r="JR94" s="1495"/>
      <c r="JS94" s="1495"/>
      <c r="JT94" s="1495"/>
      <c r="JU94" s="1495"/>
      <c r="JV94" s="1495"/>
      <c r="JW94" s="1495"/>
      <c r="JX94" s="1495"/>
      <c r="JY94" s="1495"/>
      <c r="JZ94" s="1495"/>
      <c r="KA94" s="1495"/>
      <c r="KB94" s="1495"/>
      <c r="KC94" s="1495"/>
      <c r="KD94" s="1495"/>
      <c r="KE94" s="1495"/>
      <c r="KF94" s="1495"/>
      <c r="KG94" s="1495"/>
      <c r="KH94" s="1495"/>
      <c r="KI94" s="1495"/>
      <c r="KJ94" s="1495"/>
      <c r="KK94" s="1495"/>
      <c r="KL94" s="1495"/>
      <c r="KM94" s="1495"/>
      <c r="KN94" s="1495"/>
      <c r="KO94" s="1495"/>
      <c r="KP94" s="1495"/>
      <c r="KQ94" s="1495"/>
      <c r="KR94" s="1495"/>
      <c r="KS94" s="1495"/>
      <c r="KT94" s="1495"/>
      <c r="KU94" s="1495"/>
      <c r="KV94" s="1495"/>
      <c r="KW94" s="1495"/>
      <c r="KX94" s="1495"/>
      <c r="KY94" s="1495"/>
      <c r="KZ94" s="1495"/>
      <c r="LA94" s="1495"/>
      <c r="LB94" s="1495"/>
    </row>
    <row r="95" spans="1:314">
      <c r="A95" s="1495"/>
      <c r="B95" s="418"/>
      <c r="C95" s="1495"/>
      <c r="D95" s="1495"/>
      <c r="E95" s="1495"/>
      <c r="F95" s="1495"/>
      <c r="G95" s="1495"/>
      <c r="H95" s="1495"/>
      <c r="I95" s="1495"/>
      <c r="J95" s="1495"/>
      <c r="K95" s="1495"/>
      <c r="L95" s="1495"/>
      <c r="M95" s="1495"/>
      <c r="N95" s="1495"/>
      <c r="O95" s="1495"/>
      <c r="P95" s="1495"/>
      <c r="Q95" s="1495"/>
      <c r="R95" s="1495"/>
      <c r="S95" s="1495"/>
      <c r="T95" s="1495"/>
      <c r="U95" s="1495"/>
      <c r="V95" s="1495"/>
      <c r="W95" s="1495"/>
      <c r="X95" s="1495"/>
      <c r="Y95" s="1495"/>
      <c r="Z95" s="1495"/>
      <c r="AA95" s="1495"/>
      <c r="AB95" s="1495"/>
      <c r="AC95" s="1495"/>
      <c r="AD95" s="1495"/>
      <c r="AE95" s="1495"/>
      <c r="AF95" s="1495"/>
      <c r="AG95" s="1495"/>
      <c r="AH95" s="1495"/>
      <c r="AI95" s="1495"/>
      <c r="AJ95" s="1495"/>
      <c r="AK95" s="1495"/>
      <c r="AL95" s="1495"/>
      <c r="AM95" s="1495"/>
      <c r="AN95" s="1495"/>
      <c r="AO95" s="1495"/>
      <c r="AP95" s="1495"/>
      <c r="AQ95" s="1495"/>
      <c r="AR95" s="1495"/>
      <c r="AS95" s="1495"/>
      <c r="AT95" s="1495"/>
      <c r="AU95" s="1495"/>
      <c r="AV95" s="1495"/>
      <c r="AW95" s="1495"/>
      <c r="AX95" s="1495"/>
      <c r="AY95" s="1495"/>
      <c r="AZ95" s="1495"/>
      <c r="BA95" s="1495"/>
      <c r="BB95" s="1495"/>
      <c r="BC95" s="1495"/>
      <c r="BD95" s="1495"/>
      <c r="BE95" s="1495"/>
      <c r="BF95" s="1495"/>
      <c r="BG95" s="1495"/>
      <c r="BH95" s="1495"/>
      <c r="BI95" s="1495"/>
      <c r="BJ95" s="1495"/>
      <c r="BK95" s="1495"/>
      <c r="BL95" s="1495"/>
      <c r="BM95" s="1495"/>
      <c r="BN95" s="1495"/>
      <c r="BO95" s="1495"/>
      <c r="BP95" s="418"/>
      <c r="BQ95" s="1495"/>
      <c r="BR95" s="1495"/>
      <c r="BS95" s="1495"/>
      <c r="BT95" s="1495"/>
      <c r="BU95" s="1495"/>
      <c r="BV95" s="1495"/>
      <c r="BW95" s="1495"/>
      <c r="BX95" s="1495"/>
      <c r="BY95" s="1495"/>
      <c r="BZ95" s="444"/>
      <c r="CA95" s="496"/>
      <c r="CB95" s="496"/>
      <c r="CC95" s="444"/>
      <c r="CD95" s="502"/>
      <c r="CE95" s="108"/>
      <c r="CF95" s="444"/>
      <c r="CG95" s="504"/>
      <c r="CH95" s="348"/>
      <c r="CI95" s="408"/>
      <c r="CJ95" s="1495"/>
      <c r="CK95" s="1495"/>
      <c r="CL95" s="1495"/>
      <c r="CM95" s="1495"/>
      <c r="CN95" s="1495"/>
      <c r="CO95" s="1495"/>
      <c r="CP95" s="1495"/>
      <c r="CQ95" s="1495"/>
      <c r="CR95" s="1495"/>
      <c r="CS95" s="1495"/>
      <c r="CT95" s="1495"/>
      <c r="CU95" s="1495"/>
      <c r="CV95" s="1495"/>
      <c r="CW95" s="1495"/>
      <c r="CX95" s="1495"/>
      <c r="CY95" s="1495"/>
      <c r="CZ95" s="1495"/>
      <c r="DA95" s="444"/>
      <c r="DB95" s="475"/>
      <c r="DC95" s="108"/>
      <c r="DD95" s="408"/>
      <c r="DE95" s="1495"/>
      <c r="DF95" s="444"/>
      <c r="DG95" s="475"/>
      <c r="DH95" s="407"/>
      <c r="DI95" s="407"/>
      <c r="DJ95" s="1495"/>
      <c r="DK95" s="1495"/>
      <c r="DL95" s="1495"/>
      <c r="DM95" s="1495"/>
      <c r="DN95" s="1495"/>
      <c r="DO95" s="1495"/>
      <c r="DP95" s="1495"/>
      <c r="DQ95" s="1495"/>
      <c r="DR95" s="1495"/>
      <c r="DS95" s="1495"/>
      <c r="DT95" s="1495"/>
      <c r="DU95" s="1495"/>
      <c r="DV95" s="1495"/>
      <c r="DW95" s="1495"/>
      <c r="DX95" s="1495"/>
      <c r="DY95" s="1495"/>
      <c r="DZ95" s="1495"/>
      <c r="EA95" s="1495"/>
      <c r="EB95" s="1495"/>
      <c r="EC95" s="1495"/>
      <c r="ED95" s="1495"/>
      <c r="EE95" s="1495"/>
      <c r="EF95" s="1495"/>
      <c r="EG95" s="1495"/>
      <c r="EH95" s="1495"/>
      <c r="EI95" s="1495"/>
      <c r="EJ95" s="1495"/>
      <c r="EK95" s="1495"/>
      <c r="EL95" s="407"/>
      <c r="EM95" s="1495"/>
      <c r="EN95" s="407"/>
      <c r="EO95" s="1495"/>
      <c r="EP95" s="1495"/>
      <c r="EQ95" s="1495"/>
      <c r="ER95" s="1495"/>
      <c r="ES95" s="1495"/>
      <c r="ET95" s="1495"/>
      <c r="EU95" s="1495"/>
      <c r="EV95" s="1495"/>
      <c r="EW95" s="1495"/>
      <c r="EX95" s="1495"/>
      <c r="EY95" s="1495"/>
      <c r="EZ95" s="1495"/>
      <c r="FA95" s="1495"/>
      <c r="FB95" s="1495"/>
      <c r="FC95" s="1495"/>
      <c r="FD95" s="1495"/>
      <c r="FE95" s="1495"/>
      <c r="FF95" s="1495"/>
      <c r="FG95" s="1495"/>
      <c r="FH95" s="1495"/>
      <c r="FI95" s="1495"/>
      <c r="FJ95" s="1495"/>
      <c r="FK95" s="1495"/>
      <c r="FL95" s="1495"/>
      <c r="FM95" s="1495"/>
      <c r="FN95" s="1495"/>
      <c r="FO95" s="1495"/>
      <c r="FP95" s="1495"/>
      <c r="FQ95" s="1495"/>
      <c r="FR95" s="1495"/>
      <c r="FS95" s="1495"/>
      <c r="FT95" s="1495"/>
      <c r="FU95" s="1495"/>
      <c r="FV95" s="1495"/>
      <c r="FW95" s="1495"/>
      <c r="FX95" s="1495"/>
      <c r="FY95" s="1495"/>
      <c r="FZ95" s="1495"/>
      <c r="GA95" s="1495"/>
      <c r="GB95" s="1495"/>
      <c r="GC95" s="1495"/>
      <c r="GD95" s="1495"/>
      <c r="GE95" s="1495"/>
      <c r="GF95" s="1495"/>
      <c r="GG95" s="1495"/>
      <c r="GH95" s="1495"/>
      <c r="GI95" s="1495"/>
      <c r="GJ95" s="1495"/>
      <c r="GK95" s="1495"/>
      <c r="GL95" s="1495"/>
      <c r="GM95" s="1495"/>
      <c r="GN95" s="1495"/>
      <c r="GO95" s="1495"/>
      <c r="GP95" s="1495"/>
      <c r="GQ95" s="1495"/>
      <c r="GR95" s="1495"/>
      <c r="GS95" s="1495"/>
      <c r="GT95" s="1495"/>
      <c r="GU95" s="1495"/>
      <c r="GV95" s="1495"/>
      <c r="GW95" s="1495"/>
      <c r="GX95" s="1495"/>
      <c r="GY95" s="1495"/>
      <c r="GZ95" s="1495"/>
      <c r="HA95" s="1495"/>
      <c r="HB95" s="1495"/>
      <c r="HC95" s="1495"/>
      <c r="HD95" s="1495"/>
      <c r="HE95" s="1495"/>
      <c r="HF95" s="1495"/>
      <c r="HG95" s="1495"/>
      <c r="HH95" s="1495"/>
      <c r="HI95" s="1495"/>
      <c r="HJ95" s="1495"/>
      <c r="HK95" s="1495"/>
      <c r="HL95" s="1495"/>
      <c r="HM95" s="1495"/>
      <c r="HN95" s="1495"/>
      <c r="HO95" s="1495"/>
      <c r="HP95" s="1495"/>
      <c r="HQ95" s="1495"/>
      <c r="HR95" s="1495"/>
      <c r="HS95" s="1495"/>
      <c r="HT95" s="1495"/>
      <c r="HU95" s="1495"/>
      <c r="HV95" s="1495"/>
      <c r="HW95" s="1495"/>
      <c r="HX95" s="1495"/>
      <c r="HY95" s="1495"/>
      <c r="HZ95" s="1495"/>
      <c r="IA95" s="1495"/>
      <c r="IB95" s="1495"/>
      <c r="IC95" s="1495"/>
      <c r="ID95" s="1495"/>
      <c r="IE95" s="1495"/>
      <c r="IF95" s="1495"/>
      <c r="IG95" s="1495"/>
      <c r="IH95" s="1495"/>
      <c r="II95" s="1495"/>
      <c r="IJ95" s="1495"/>
      <c r="IK95" s="1495"/>
      <c r="IL95" s="1495"/>
      <c r="IM95" s="1495"/>
      <c r="IN95" s="1495"/>
      <c r="IO95" s="1495"/>
      <c r="IP95" s="1495"/>
      <c r="IQ95" s="1495"/>
      <c r="IR95" s="1495"/>
      <c r="IS95" s="1495"/>
      <c r="IT95" s="1495"/>
      <c r="IU95" s="1495"/>
      <c r="IV95" s="1495"/>
      <c r="IW95" s="1495"/>
      <c r="IX95" s="1495"/>
      <c r="IY95" s="1495"/>
      <c r="IZ95" s="1495"/>
      <c r="JA95" s="1495"/>
      <c r="JB95" s="1495"/>
      <c r="JC95" s="1495"/>
      <c r="JD95" s="1495"/>
      <c r="JE95" s="1495"/>
      <c r="JF95" s="1495"/>
      <c r="JG95" s="1495"/>
      <c r="JH95" s="1495"/>
      <c r="JI95" s="1495"/>
      <c r="JJ95" s="1495"/>
      <c r="JK95" s="1495"/>
      <c r="JL95" s="1495"/>
      <c r="JM95" s="1495"/>
      <c r="JN95" s="1495"/>
      <c r="JO95" s="1495"/>
      <c r="JP95" s="1495"/>
      <c r="JQ95" s="1495"/>
      <c r="JR95" s="1495"/>
      <c r="JS95" s="1495"/>
      <c r="JT95" s="1495"/>
      <c r="JU95" s="1495"/>
      <c r="JV95" s="1495"/>
      <c r="JW95" s="1495"/>
      <c r="JX95" s="1495"/>
      <c r="JY95" s="1495"/>
      <c r="JZ95" s="1495"/>
      <c r="KA95" s="1495"/>
      <c r="KB95" s="1495"/>
      <c r="KC95" s="1495"/>
      <c r="KD95" s="1495"/>
      <c r="KE95" s="1495"/>
      <c r="KF95" s="1495"/>
      <c r="KG95" s="1495"/>
      <c r="KH95" s="1495"/>
      <c r="KI95" s="1495"/>
      <c r="KJ95" s="1495"/>
      <c r="KK95" s="1495"/>
      <c r="KL95" s="1495"/>
      <c r="KM95" s="1495"/>
      <c r="KN95" s="1495"/>
      <c r="KO95" s="1495"/>
      <c r="KP95" s="1495"/>
      <c r="KQ95" s="1495"/>
      <c r="KR95" s="1495"/>
      <c r="KS95" s="1495"/>
      <c r="KT95" s="1495"/>
      <c r="KU95" s="1495"/>
      <c r="KV95" s="1495"/>
      <c r="KW95" s="1495"/>
      <c r="KX95" s="1495"/>
      <c r="KY95" s="1495"/>
      <c r="KZ95" s="1495"/>
      <c r="LA95" s="1495"/>
      <c r="LB95" s="1495"/>
    </row>
    <row r="96" spans="1:314">
      <c r="A96" s="1495"/>
      <c r="B96" s="418"/>
      <c r="C96" s="1495"/>
      <c r="D96" s="1495"/>
      <c r="E96" s="1495"/>
      <c r="F96" s="1495"/>
      <c r="G96" s="1495"/>
      <c r="H96" s="1495"/>
      <c r="I96" s="1495"/>
      <c r="J96" s="1495"/>
      <c r="K96" s="1495"/>
      <c r="L96" s="1495"/>
      <c r="M96" s="1495"/>
      <c r="N96" s="1495"/>
      <c r="O96" s="1495"/>
      <c r="P96" s="1495"/>
      <c r="Q96" s="1495"/>
      <c r="R96" s="1495"/>
      <c r="S96" s="1495"/>
      <c r="T96" s="1495"/>
      <c r="U96" s="1495"/>
      <c r="V96" s="1495"/>
      <c r="W96" s="1495"/>
      <c r="X96" s="1495"/>
      <c r="Y96" s="1495"/>
      <c r="Z96" s="1495"/>
      <c r="AA96" s="1495"/>
      <c r="AB96" s="1495"/>
      <c r="AC96" s="1495"/>
      <c r="AD96" s="1495"/>
      <c r="AE96" s="1495"/>
      <c r="AF96" s="1495"/>
      <c r="AG96" s="1495"/>
      <c r="AH96" s="1495"/>
      <c r="AI96" s="1495"/>
      <c r="AJ96" s="1495"/>
      <c r="AK96" s="1495"/>
      <c r="AL96" s="1495"/>
      <c r="AM96" s="1495"/>
      <c r="AN96" s="1495"/>
      <c r="AO96" s="1495"/>
      <c r="AP96" s="1495"/>
      <c r="AQ96" s="1495"/>
      <c r="AR96" s="1495"/>
      <c r="AS96" s="1495"/>
      <c r="AT96" s="1495"/>
      <c r="AU96" s="1495"/>
      <c r="AV96" s="1495"/>
      <c r="AW96" s="1495"/>
      <c r="AX96" s="1495"/>
      <c r="AY96" s="1495"/>
      <c r="AZ96" s="1495"/>
      <c r="BA96" s="1495"/>
      <c r="BB96" s="1495"/>
      <c r="BC96" s="1495"/>
      <c r="BD96" s="1495"/>
      <c r="BE96" s="1495"/>
      <c r="BF96" s="1495"/>
      <c r="BG96" s="1495"/>
      <c r="BH96" s="1495"/>
      <c r="BI96" s="1495"/>
      <c r="BJ96" s="1495"/>
      <c r="BK96" s="1495"/>
      <c r="BL96" s="1495"/>
      <c r="BM96" s="1495"/>
      <c r="BN96" s="1495"/>
      <c r="BO96" s="1495"/>
      <c r="BP96" s="418"/>
      <c r="BQ96" s="1495"/>
      <c r="BR96" s="1495"/>
      <c r="BS96" s="1495"/>
      <c r="BT96" s="1495"/>
      <c r="BU96" s="1495"/>
      <c r="BV96" s="1495"/>
      <c r="BW96" s="1495"/>
      <c r="BX96" s="1495"/>
      <c r="BY96" s="1495"/>
      <c r="BZ96" s="444"/>
      <c r="CA96" s="496"/>
      <c r="CB96" s="496"/>
      <c r="CC96" s="444"/>
      <c r="CD96" s="502"/>
      <c r="CE96" s="108"/>
      <c r="CF96" s="444"/>
      <c r="CG96" s="504"/>
      <c r="CH96" s="348"/>
      <c r="CI96" s="408"/>
      <c r="CJ96" s="1495"/>
      <c r="CK96" s="1495"/>
      <c r="CL96" s="1495"/>
      <c r="CM96" s="1495"/>
      <c r="CN96" s="1495"/>
      <c r="CO96" s="1495"/>
      <c r="CP96" s="1495"/>
      <c r="CQ96" s="1495"/>
      <c r="CR96" s="1495"/>
      <c r="CS96" s="1495"/>
      <c r="CT96" s="1495"/>
      <c r="CU96" s="1495"/>
      <c r="CV96" s="1495"/>
      <c r="CW96" s="1495"/>
      <c r="CX96" s="1495"/>
      <c r="CY96" s="1495"/>
      <c r="CZ96" s="1495"/>
      <c r="DA96" s="444"/>
      <c r="DB96" s="475"/>
      <c r="DC96" s="108"/>
      <c r="DD96" s="408"/>
      <c r="DE96" s="1495"/>
      <c r="DF96" s="444"/>
      <c r="DG96" s="475"/>
      <c r="DH96" s="407"/>
      <c r="DI96" s="407"/>
      <c r="DJ96" s="1495"/>
      <c r="DK96" s="1495"/>
      <c r="DL96" s="1495"/>
      <c r="DM96" s="1495"/>
      <c r="DN96" s="1495"/>
      <c r="DO96" s="1495"/>
      <c r="DP96" s="1495"/>
      <c r="DQ96" s="1495"/>
      <c r="DR96" s="1495"/>
      <c r="DS96" s="1495"/>
      <c r="DT96" s="1495"/>
      <c r="DU96" s="1495"/>
      <c r="DV96" s="1495"/>
      <c r="DW96" s="1495"/>
      <c r="DX96" s="1495"/>
      <c r="DY96" s="1495"/>
      <c r="DZ96" s="1495"/>
      <c r="EA96" s="1495"/>
      <c r="EB96" s="1495"/>
      <c r="EC96" s="1495"/>
      <c r="ED96" s="1495"/>
      <c r="EE96" s="1495"/>
      <c r="EF96" s="1495"/>
      <c r="EG96" s="1495"/>
      <c r="EH96" s="1495"/>
      <c r="EI96" s="1495"/>
      <c r="EJ96" s="1495"/>
      <c r="EK96" s="1495"/>
      <c r="EL96" s="407"/>
      <c r="EM96" s="1495"/>
      <c r="EN96" s="407"/>
      <c r="EO96" s="1495"/>
      <c r="EP96" s="1495"/>
      <c r="EQ96" s="1495"/>
      <c r="ER96" s="1495"/>
      <c r="ES96" s="1495"/>
      <c r="ET96" s="1495"/>
      <c r="EU96" s="1495"/>
      <c r="EV96" s="1495"/>
      <c r="EW96" s="1495"/>
      <c r="EX96" s="1495"/>
      <c r="EY96" s="1495"/>
      <c r="EZ96" s="1495"/>
      <c r="FA96" s="1495"/>
      <c r="FB96" s="1495"/>
      <c r="FC96" s="1495"/>
      <c r="FD96" s="1495"/>
      <c r="FE96" s="1495"/>
      <c r="FF96" s="1495"/>
      <c r="FG96" s="1495"/>
      <c r="FH96" s="1495"/>
      <c r="FI96" s="1495"/>
      <c r="FJ96" s="1495"/>
      <c r="FK96" s="1495"/>
      <c r="FL96" s="1495"/>
      <c r="FM96" s="1495"/>
      <c r="FN96" s="1495"/>
      <c r="FO96" s="1495"/>
      <c r="FP96" s="1495"/>
      <c r="FQ96" s="1495"/>
      <c r="FR96" s="1495"/>
      <c r="FS96" s="1495"/>
      <c r="FT96" s="1495"/>
      <c r="FU96" s="1495"/>
      <c r="FV96" s="1495"/>
      <c r="FW96" s="1495"/>
      <c r="FX96" s="1495"/>
      <c r="FY96" s="1495"/>
      <c r="FZ96" s="1495"/>
      <c r="GA96" s="1495"/>
      <c r="GB96" s="1495"/>
      <c r="GC96" s="1495"/>
      <c r="GD96" s="1495"/>
      <c r="GE96" s="1495"/>
      <c r="GF96" s="1495"/>
      <c r="GG96" s="1495"/>
      <c r="GH96" s="1495"/>
      <c r="GI96" s="1495"/>
      <c r="GJ96" s="1495"/>
      <c r="GK96" s="1495"/>
      <c r="GL96" s="1495"/>
      <c r="GM96" s="1495"/>
      <c r="GN96" s="1495"/>
      <c r="GO96" s="1495"/>
      <c r="GP96" s="1495"/>
      <c r="GQ96" s="1495"/>
      <c r="GR96" s="1495"/>
      <c r="GS96" s="1495"/>
      <c r="GT96" s="1495"/>
      <c r="GU96" s="1495"/>
      <c r="GV96" s="1495"/>
      <c r="GW96" s="1495"/>
      <c r="GX96" s="1495"/>
      <c r="GY96" s="1495"/>
      <c r="GZ96" s="1495"/>
      <c r="HA96" s="1495"/>
      <c r="HB96" s="1495"/>
      <c r="HC96" s="1495"/>
      <c r="HD96" s="1495"/>
      <c r="HE96" s="1495"/>
      <c r="HF96" s="1495"/>
      <c r="HG96" s="1495"/>
      <c r="HH96" s="1495"/>
      <c r="HI96" s="1495"/>
      <c r="HJ96" s="1495"/>
      <c r="HK96" s="1495"/>
      <c r="HL96" s="1495"/>
      <c r="HM96" s="1495"/>
      <c r="HN96" s="1495"/>
      <c r="HO96" s="1495"/>
      <c r="HP96" s="1495"/>
      <c r="HQ96" s="1495"/>
      <c r="HR96" s="1495"/>
      <c r="HS96" s="1495"/>
      <c r="HT96" s="1495"/>
      <c r="HU96" s="1495"/>
      <c r="HV96" s="1495"/>
      <c r="HW96" s="1495"/>
      <c r="HX96" s="1495"/>
      <c r="HY96" s="1495"/>
      <c r="HZ96" s="1495"/>
      <c r="IA96" s="1495"/>
      <c r="IB96" s="1495"/>
      <c r="IC96" s="1495"/>
      <c r="ID96" s="1495"/>
      <c r="IE96" s="1495"/>
      <c r="IF96" s="1495"/>
      <c r="IG96" s="1495"/>
      <c r="IH96" s="1495"/>
      <c r="II96" s="1495"/>
      <c r="IJ96" s="1495"/>
      <c r="IK96" s="1495"/>
      <c r="IL96" s="1495"/>
      <c r="IM96" s="1495"/>
      <c r="IN96" s="1495"/>
      <c r="IO96" s="1495"/>
      <c r="IP96" s="1495"/>
      <c r="IQ96" s="1495"/>
      <c r="IR96" s="1495"/>
      <c r="IS96" s="1495"/>
      <c r="IT96" s="1495"/>
      <c r="IU96" s="1495"/>
      <c r="IV96" s="1495"/>
      <c r="IW96" s="1495"/>
      <c r="IX96" s="1495"/>
      <c r="IY96" s="1495"/>
      <c r="IZ96" s="1495"/>
      <c r="JA96" s="1495"/>
      <c r="JB96" s="1495"/>
      <c r="JC96" s="1495"/>
      <c r="JD96" s="1495"/>
      <c r="JE96" s="1495"/>
      <c r="JF96" s="1495"/>
      <c r="JG96" s="1495"/>
      <c r="JH96" s="1495"/>
      <c r="JI96" s="1495"/>
      <c r="JJ96" s="1495"/>
      <c r="JK96" s="1495"/>
      <c r="JL96" s="1495"/>
      <c r="JM96" s="1495"/>
      <c r="JN96" s="1495"/>
      <c r="JO96" s="1495"/>
      <c r="JP96" s="1495"/>
      <c r="JQ96" s="1495"/>
      <c r="JR96" s="1495"/>
      <c r="JS96" s="1495"/>
      <c r="JT96" s="1495"/>
      <c r="JU96" s="1495"/>
      <c r="JV96" s="1495"/>
      <c r="JW96" s="1495"/>
      <c r="JX96" s="1495"/>
      <c r="JY96" s="1495"/>
      <c r="JZ96" s="1495"/>
      <c r="KA96" s="1495"/>
      <c r="KB96" s="1495"/>
      <c r="KC96" s="1495"/>
      <c r="KD96" s="1495"/>
      <c r="KE96" s="1495"/>
      <c r="KF96" s="1495"/>
      <c r="KG96" s="1495"/>
      <c r="KH96" s="1495"/>
      <c r="KI96" s="1495"/>
      <c r="KJ96" s="1495"/>
      <c r="KK96" s="1495"/>
      <c r="KL96" s="1495"/>
      <c r="KM96" s="1495"/>
      <c r="KN96" s="1495"/>
      <c r="KO96" s="1495"/>
      <c r="KP96" s="1495"/>
      <c r="KQ96" s="1495"/>
      <c r="KR96" s="1495"/>
      <c r="KS96" s="1495"/>
      <c r="KT96" s="1495"/>
      <c r="KU96" s="1495"/>
      <c r="KV96" s="1495"/>
      <c r="KW96" s="1495"/>
      <c r="KX96" s="1495"/>
      <c r="KY96" s="1495"/>
      <c r="KZ96" s="1495"/>
      <c r="LA96" s="1495"/>
      <c r="LB96" s="1495"/>
    </row>
    <row r="97" spans="1:314">
      <c r="A97" s="1495"/>
      <c r="B97" s="418"/>
      <c r="C97" s="1495"/>
      <c r="D97" s="1495"/>
      <c r="E97" s="1495"/>
      <c r="F97" s="1495"/>
      <c r="G97" s="1495"/>
      <c r="H97" s="1495"/>
      <c r="I97" s="1495"/>
      <c r="J97" s="1495"/>
      <c r="K97" s="1495"/>
      <c r="L97" s="1495"/>
      <c r="M97" s="1495"/>
      <c r="N97" s="1495"/>
      <c r="O97" s="1495"/>
      <c r="P97" s="1495"/>
      <c r="Q97" s="1495"/>
      <c r="R97" s="1495"/>
      <c r="S97" s="1495"/>
      <c r="T97" s="1495"/>
      <c r="U97" s="1495"/>
      <c r="V97" s="1495"/>
      <c r="W97" s="1495"/>
      <c r="X97" s="1495"/>
      <c r="Y97" s="1495"/>
      <c r="Z97" s="1495"/>
      <c r="AA97" s="1495"/>
      <c r="AB97" s="1495"/>
      <c r="AC97" s="1495"/>
      <c r="AD97" s="1495"/>
      <c r="AE97" s="1495"/>
      <c r="AF97" s="1495"/>
      <c r="AG97" s="1495"/>
      <c r="AH97" s="1495"/>
      <c r="AI97" s="1495"/>
      <c r="AJ97" s="1495"/>
      <c r="AK97" s="1495"/>
      <c r="AL97" s="1495"/>
      <c r="AM97" s="1495"/>
      <c r="AN97" s="1495"/>
      <c r="AO97" s="1495"/>
      <c r="AP97" s="1495"/>
      <c r="AQ97" s="1495"/>
      <c r="AR97" s="1495"/>
      <c r="AS97" s="1495"/>
      <c r="AT97" s="1495"/>
      <c r="AU97" s="1495"/>
      <c r="AV97" s="1495"/>
      <c r="AW97" s="1495"/>
      <c r="AX97" s="1495"/>
      <c r="AY97" s="1495"/>
      <c r="AZ97" s="1495"/>
      <c r="BA97" s="1495"/>
      <c r="BB97" s="1495"/>
      <c r="BC97" s="1495"/>
      <c r="BD97" s="1495"/>
      <c r="BE97" s="1495"/>
      <c r="BF97" s="1495"/>
      <c r="BG97" s="1495"/>
      <c r="BH97" s="1495"/>
      <c r="BI97" s="1495"/>
      <c r="BJ97" s="1495"/>
      <c r="BK97" s="1495"/>
      <c r="BL97" s="1495"/>
      <c r="BM97" s="1495"/>
      <c r="BN97" s="1495"/>
      <c r="BO97" s="1495"/>
      <c r="BP97" s="418"/>
      <c r="BQ97" s="1495"/>
      <c r="BR97" s="1495"/>
      <c r="BS97" s="1495"/>
      <c r="BT97" s="1495"/>
      <c r="BU97" s="1495"/>
      <c r="BV97" s="1495"/>
      <c r="BW97" s="1495"/>
      <c r="BX97" s="1495"/>
      <c r="BY97" s="1495"/>
      <c r="BZ97" s="444"/>
      <c r="CA97" s="496"/>
      <c r="CB97" s="496"/>
      <c r="CC97" s="444"/>
      <c r="CD97" s="502"/>
      <c r="CE97" s="108"/>
      <c r="CF97" s="444"/>
      <c r="CG97" s="504"/>
      <c r="CH97" s="348"/>
      <c r="CI97" s="408"/>
      <c r="CJ97" s="1495"/>
      <c r="CK97" s="1495"/>
      <c r="CL97" s="1495"/>
      <c r="CM97" s="1495"/>
      <c r="CN97" s="1495"/>
      <c r="CO97" s="1495"/>
      <c r="CP97" s="1495"/>
      <c r="CQ97" s="1495"/>
      <c r="CR97" s="1495"/>
      <c r="CS97" s="1495"/>
      <c r="CT97" s="1495"/>
      <c r="CU97" s="1495"/>
      <c r="CV97" s="1495"/>
      <c r="CW97" s="1495"/>
      <c r="CX97" s="1495"/>
      <c r="CY97" s="1495"/>
      <c r="CZ97" s="1495"/>
      <c r="DA97" s="444"/>
      <c r="DB97" s="475"/>
      <c r="DC97" s="108"/>
      <c r="DD97" s="408"/>
      <c r="DE97" s="1495"/>
      <c r="DF97" s="444"/>
      <c r="DG97" s="475"/>
      <c r="DH97" s="407"/>
      <c r="DI97" s="407"/>
      <c r="DJ97" s="1495"/>
      <c r="DK97" s="1495"/>
      <c r="DL97" s="1495"/>
      <c r="DM97" s="1495"/>
      <c r="DN97" s="1495"/>
      <c r="DO97" s="1495"/>
      <c r="DP97" s="1495"/>
      <c r="DQ97" s="1495"/>
      <c r="DR97" s="1495"/>
      <c r="DS97" s="1495"/>
      <c r="DT97" s="1495"/>
      <c r="DU97" s="1495"/>
      <c r="DV97" s="1495"/>
      <c r="DW97" s="1495"/>
      <c r="DX97" s="1495"/>
      <c r="DY97" s="1495"/>
      <c r="DZ97" s="1495"/>
      <c r="EA97" s="1495"/>
      <c r="EB97" s="1495"/>
      <c r="EC97" s="1495"/>
      <c r="ED97" s="1495"/>
      <c r="EE97" s="1495"/>
      <c r="EF97" s="1495"/>
      <c r="EG97" s="1495"/>
      <c r="EH97" s="1495"/>
      <c r="EI97" s="1495"/>
      <c r="EJ97" s="1495"/>
      <c r="EK97" s="1495"/>
      <c r="EL97" s="407"/>
      <c r="EM97" s="1495"/>
      <c r="EN97" s="407"/>
      <c r="EO97" s="1495"/>
      <c r="EP97" s="1495"/>
      <c r="EQ97" s="1495"/>
      <c r="ER97" s="1495"/>
      <c r="ES97" s="1495"/>
      <c r="ET97" s="1495"/>
      <c r="EU97" s="1495"/>
      <c r="EV97" s="1495"/>
      <c r="EW97" s="1495"/>
      <c r="EX97" s="1495"/>
      <c r="EY97" s="1495"/>
      <c r="EZ97" s="1495"/>
      <c r="FA97" s="1495"/>
      <c r="FB97" s="1495"/>
      <c r="FC97" s="1495"/>
      <c r="FD97" s="1495"/>
      <c r="FE97" s="1495"/>
      <c r="FF97" s="1495"/>
      <c r="FG97" s="1495"/>
      <c r="FH97" s="1495"/>
      <c r="FI97" s="1495"/>
      <c r="FJ97" s="1495"/>
      <c r="FK97" s="1495"/>
      <c r="FL97" s="1495"/>
      <c r="FM97" s="1495"/>
      <c r="FN97" s="1495"/>
      <c r="FO97" s="1495"/>
      <c r="FP97" s="1495"/>
      <c r="FQ97" s="1495"/>
      <c r="FR97" s="1495"/>
      <c r="FS97" s="1495"/>
      <c r="FT97" s="1495"/>
      <c r="FU97" s="1495"/>
      <c r="FV97" s="1495"/>
      <c r="FW97" s="1495"/>
      <c r="FX97" s="1495"/>
      <c r="FY97" s="1495"/>
      <c r="FZ97" s="1495"/>
      <c r="GA97" s="1495"/>
      <c r="GB97" s="1495"/>
      <c r="GC97" s="1495"/>
      <c r="GD97" s="1495"/>
      <c r="GE97" s="1495"/>
      <c r="GF97" s="1495"/>
      <c r="GG97" s="1495"/>
      <c r="GH97" s="1495"/>
      <c r="GI97" s="1495"/>
      <c r="GJ97" s="1495"/>
      <c r="GK97" s="1495"/>
      <c r="GL97" s="1495"/>
      <c r="GM97" s="1495"/>
      <c r="GN97" s="1495"/>
      <c r="GO97" s="1495"/>
      <c r="GP97" s="1495"/>
      <c r="GQ97" s="1495"/>
      <c r="GR97" s="1495"/>
      <c r="GS97" s="1495"/>
      <c r="GT97" s="1495"/>
      <c r="GU97" s="1495"/>
      <c r="GV97" s="1495"/>
      <c r="GW97" s="1495"/>
      <c r="GX97" s="1495"/>
      <c r="GY97" s="1495"/>
      <c r="GZ97" s="1495"/>
      <c r="HA97" s="1495"/>
      <c r="HB97" s="1495"/>
      <c r="HC97" s="1495"/>
      <c r="HD97" s="1495"/>
      <c r="HE97" s="1495"/>
      <c r="HF97" s="1495"/>
      <c r="HG97" s="1495"/>
      <c r="HH97" s="1495"/>
      <c r="HI97" s="1495"/>
      <c r="HJ97" s="1495"/>
      <c r="HK97" s="1495"/>
      <c r="HL97" s="1495"/>
      <c r="HM97" s="1495"/>
      <c r="HN97" s="1495"/>
      <c r="HO97" s="1495"/>
      <c r="HP97" s="1495"/>
      <c r="HQ97" s="1495"/>
      <c r="HR97" s="1495"/>
      <c r="HS97" s="1495"/>
      <c r="HT97" s="1495"/>
      <c r="HU97" s="1495"/>
      <c r="HV97" s="1495"/>
      <c r="HW97" s="1495"/>
      <c r="HX97" s="1495"/>
      <c r="HY97" s="1495"/>
      <c r="HZ97" s="1495"/>
      <c r="IA97" s="1495"/>
      <c r="IB97" s="1495"/>
      <c r="IC97" s="1495"/>
      <c r="ID97" s="1495"/>
      <c r="IE97" s="1495"/>
      <c r="IF97" s="1495"/>
      <c r="IG97" s="1495"/>
      <c r="IH97" s="1495"/>
      <c r="II97" s="1495"/>
      <c r="IJ97" s="1495"/>
      <c r="IK97" s="1495"/>
      <c r="IL97" s="1495"/>
      <c r="IM97" s="1495"/>
      <c r="IN97" s="1495"/>
      <c r="IO97" s="1495"/>
      <c r="IP97" s="1495"/>
      <c r="IQ97" s="1495"/>
      <c r="IR97" s="1495"/>
      <c r="IS97" s="1495"/>
      <c r="IT97" s="1495"/>
      <c r="IU97" s="1495"/>
      <c r="IV97" s="1495"/>
      <c r="IW97" s="1495"/>
      <c r="IX97" s="1495"/>
      <c r="IY97" s="1495"/>
      <c r="IZ97" s="1495"/>
      <c r="JA97" s="1495"/>
      <c r="JB97" s="1495"/>
      <c r="JC97" s="1495"/>
      <c r="JD97" s="1495"/>
      <c r="JE97" s="1495"/>
      <c r="JF97" s="1495"/>
      <c r="JG97" s="1495"/>
      <c r="JH97" s="1495"/>
      <c r="JI97" s="1495"/>
      <c r="JJ97" s="1495"/>
      <c r="JK97" s="1495"/>
      <c r="JL97" s="1495"/>
      <c r="JM97" s="1495"/>
      <c r="JN97" s="1495"/>
      <c r="JO97" s="1495"/>
      <c r="JP97" s="1495"/>
      <c r="JQ97" s="1495"/>
      <c r="JR97" s="1495"/>
      <c r="JS97" s="1495"/>
      <c r="JT97" s="1495"/>
      <c r="JU97" s="1495"/>
      <c r="JV97" s="1495"/>
      <c r="JW97" s="1495"/>
      <c r="JX97" s="1495"/>
      <c r="JY97" s="1495"/>
      <c r="JZ97" s="1495"/>
      <c r="KA97" s="1495"/>
      <c r="KB97" s="1495"/>
      <c r="KC97" s="1495"/>
      <c r="KD97" s="1495"/>
      <c r="KE97" s="1495"/>
      <c r="KF97" s="1495"/>
      <c r="KG97" s="1495"/>
      <c r="KH97" s="1495"/>
      <c r="KI97" s="1495"/>
      <c r="KJ97" s="1495"/>
      <c r="KK97" s="1495"/>
      <c r="KL97" s="1495"/>
      <c r="KM97" s="1495"/>
      <c r="KN97" s="1495"/>
      <c r="KO97" s="1495"/>
      <c r="KP97" s="1495"/>
      <c r="KQ97" s="1495"/>
      <c r="KR97" s="1495"/>
      <c r="KS97" s="1495"/>
      <c r="KT97" s="1495"/>
      <c r="KU97" s="1495"/>
      <c r="KV97" s="1495"/>
      <c r="KW97" s="1495"/>
      <c r="KX97" s="1495"/>
      <c r="KY97" s="1495"/>
      <c r="KZ97" s="1495"/>
      <c r="LA97" s="1495"/>
      <c r="LB97" s="1495"/>
    </row>
    <row r="98" spans="1:314">
      <c r="A98" s="1495"/>
      <c r="B98" s="418"/>
      <c r="C98" s="1495"/>
      <c r="D98" s="1495"/>
      <c r="E98" s="1495"/>
      <c r="F98" s="1495"/>
      <c r="G98" s="1495"/>
      <c r="H98" s="1495"/>
      <c r="I98" s="1495"/>
      <c r="J98" s="1495"/>
      <c r="K98" s="1495"/>
      <c r="L98" s="1495"/>
      <c r="M98" s="1495"/>
      <c r="N98" s="1495"/>
      <c r="O98" s="1495"/>
      <c r="P98" s="1495"/>
      <c r="Q98" s="1495"/>
      <c r="R98" s="1495"/>
      <c r="S98" s="1495"/>
      <c r="T98" s="1495"/>
      <c r="U98" s="1495"/>
      <c r="V98" s="1495"/>
      <c r="W98" s="1495"/>
      <c r="X98" s="1495"/>
      <c r="Y98" s="1495"/>
      <c r="Z98" s="1495"/>
      <c r="AA98" s="1495"/>
      <c r="AB98" s="1495"/>
      <c r="AC98" s="1495"/>
      <c r="AD98" s="1495"/>
      <c r="AE98" s="1495"/>
      <c r="AF98" s="1495"/>
      <c r="AG98" s="1495"/>
      <c r="AH98" s="1495"/>
      <c r="AI98" s="1495"/>
      <c r="AJ98" s="1495"/>
      <c r="AK98" s="1495"/>
      <c r="AL98" s="1495"/>
      <c r="AM98" s="1495"/>
      <c r="AN98" s="1495"/>
      <c r="AO98" s="1495"/>
      <c r="AP98" s="1495"/>
      <c r="AQ98" s="1495"/>
      <c r="AR98" s="1495"/>
      <c r="AS98" s="1495"/>
      <c r="AT98" s="1495"/>
      <c r="AU98" s="1495"/>
      <c r="AV98" s="1495"/>
      <c r="AW98" s="1495"/>
      <c r="AX98" s="1495"/>
      <c r="AY98" s="1495"/>
      <c r="AZ98" s="1495"/>
      <c r="BA98" s="1495"/>
      <c r="BB98" s="1495"/>
      <c r="BC98" s="1495"/>
      <c r="BD98" s="1495"/>
      <c r="BE98" s="1495"/>
      <c r="BF98" s="1495"/>
      <c r="BG98" s="1495"/>
      <c r="BH98" s="1495"/>
      <c r="BI98" s="1495"/>
      <c r="BJ98" s="1495"/>
      <c r="BK98" s="1495"/>
      <c r="BL98" s="1495"/>
      <c r="BM98" s="1495"/>
      <c r="BN98" s="1495"/>
      <c r="BO98" s="1495"/>
      <c r="BP98" s="418"/>
      <c r="BQ98" s="1495"/>
      <c r="BR98" s="1495"/>
      <c r="BS98" s="1495"/>
      <c r="BT98" s="1495"/>
      <c r="BU98" s="1495"/>
      <c r="BV98" s="1495"/>
      <c r="BW98" s="1495"/>
      <c r="BX98" s="1495"/>
      <c r="BY98" s="1495"/>
      <c r="BZ98" s="444"/>
      <c r="CA98" s="496"/>
      <c r="CB98" s="496"/>
      <c r="CC98" s="444"/>
      <c r="CD98" s="502"/>
      <c r="CE98" s="108"/>
      <c r="CF98" s="444"/>
      <c r="CG98" s="504"/>
      <c r="CH98" s="348"/>
      <c r="CI98" s="408"/>
      <c r="CJ98" s="1495"/>
      <c r="CK98" s="1495"/>
      <c r="CL98" s="1495"/>
      <c r="CM98" s="1495"/>
      <c r="CN98" s="1495"/>
      <c r="CO98" s="1495"/>
      <c r="CP98" s="1495"/>
      <c r="CQ98" s="1495"/>
      <c r="CR98" s="1495"/>
      <c r="CS98" s="1495"/>
      <c r="CT98" s="1495"/>
      <c r="CU98" s="1495"/>
      <c r="CV98" s="1495"/>
      <c r="CW98" s="1495"/>
      <c r="CX98" s="1495"/>
      <c r="CY98" s="1495"/>
      <c r="CZ98" s="1495"/>
      <c r="DA98" s="444"/>
      <c r="DB98" s="475"/>
      <c r="DC98" s="108"/>
      <c r="DD98" s="408"/>
      <c r="DE98" s="1495"/>
      <c r="DF98" s="444"/>
      <c r="DG98" s="407"/>
      <c r="DH98" s="1495"/>
      <c r="DI98" s="407"/>
      <c r="DJ98" s="1495"/>
      <c r="DK98" s="1495"/>
      <c r="DL98" s="1495"/>
      <c r="DM98" s="1495"/>
      <c r="DN98" s="1495"/>
      <c r="DO98" s="1495"/>
      <c r="DP98" s="1495"/>
      <c r="DQ98" s="1495"/>
      <c r="DR98" s="1495"/>
      <c r="DS98" s="1495"/>
      <c r="DT98" s="1495"/>
      <c r="DU98" s="1495"/>
      <c r="DV98" s="1495"/>
      <c r="DW98" s="1495"/>
      <c r="DX98" s="1495"/>
      <c r="DY98" s="1495"/>
      <c r="DZ98" s="1495"/>
      <c r="EA98" s="1495"/>
      <c r="EB98" s="1495"/>
      <c r="EC98" s="1495"/>
      <c r="ED98" s="1495"/>
      <c r="EE98" s="1495"/>
      <c r="EF98" s="1495"/>
      <c r="EG98" s="1495"/>
      <c r="EH98" s="1495"/>
      <c r="EI98" s="1495"/>
      <c r="EJ98" s="1495"/>
      <c r="EK98" s="1495"/>
      <c r="EL98" s="407"/>
      <c r="EM98" s="1495"/>
      <c r="EN98" s="407"/>
      <c r="EO98" s="1495"/>
      <c r="EP98" s="1495"/>
      <c r="EQ98" s="1495"/>
      <c r="ER98" s="1495"/>
      <c r="ES98" s="1495"/>
      <c r="ET98" s="1495"/>
      <c r="EU98" s="1495"/>
      <c r="EV98" s="1495"/>
      <c r="EW98" s="1495"/>
      <c r="EX98" s="1495"/>
      <c r="EY98" s="1495"/>
      <c r="EZ98" s="1495"/>
      <c r="FA98" s="1495"/>
      <c r="FB98" s="1495"/>
      <c r="FC98" s="1495"/>
      <c r="FD98" s="1495"/>
      <c r="FE98" s="1495"/>
      <c r="FF98" s="1495"/>
      <c r="FG98" s="1495"/>
      <c r="FH98" s="1495"/>
      <c r="FI98" s="1495"/>
      <c r="FJ98" s="1495"/>
      <c r="FK98" s="1495"/>
      <c r="FL98" s="1495"/>
      <c r="FM98" s="1495"/>
      <c r="FN98" s="1495"/>
      <c r="FO98" s="1495"/>
      <c r="FP98" s="1495"/>
      <c r="FQ98" s="1495"/>
      <c r="FR98" s="1495"/>
      <c r="FS98" s="1495"/>
      <c r="FT98" s="1495"/>
      <c r="FU98" s="1495"/>
      <c r="FV98" s="1495"/>
      <c r="FW98" s="1495"/>
      <c r="FX98" s="1495"/>
      <c r="FY98" s="1495"/>
      <c r="FZ98" s="1495"/>
      <c r="GA98" s="1495"/>
      <c r="GB98" s="1495"/>
      <c r="GC98" s="1495"/>
      <c r="GD98" s="1495"/>
      <c r="GE98" s="1495"/>
      <c r="GF98" s="1495"/>
      <c r="GG98" s="1495"/>
      <c r="GH98" s="1495"/>
      <c r="GI98" s="1495"/>
      <c r="GJ98" s="1495"/>
      <c r="GK98" s="1495"/>
      <c r="GL98" s="1495"/>
      <c r="GM98" s="1495"/>
      <c r="GN98" s="1495"/>
      <c r="GO98" s="1495"/>
      <c r="GP98" s="1495"/>
      <c r="GQ98" s="1495"/>
      <c r="GR98" s="1495"/>
      <c r="GS98" s="1495"/>
      <c r="GT98" s="1495"/>
      <c r="GU98" s="1495"/>
      <c r="GV98" s="1495"/>
      <c r="GW98" s="1495"/>
      <c r="GX98" s="1495"/>
      <c r="GY98" s="1495"/>
      <c r="GZ98" s="1495"/>
      <c r="HA98" s="1495"/>
      <c r="HB98" s="1495"/>
      <c r="HC98" s="1495"/>
      <c r="HD98" s="1495"/>
      <c r="HE98" s="1495"/>
      <c r="HF98" s="1495"/>
      <c r="HG98" s="1495"/>
      <c r="HH98" s="1495"/>
      <c r="HI98" s="1495"/>
      <c r="HJ98" s="1495"/>
      <c r="HK98" s="1495"/>
      <c r="HL98" s="1495"/>
      <c r="HM98" s="1495"/>
      <c r="HN98" s="1495"/>
      <c r="HO98" s="1495"/>
      <c r="HP98" s="1495"/>
      <c r="HQ98" s="1495"/>
      <c r="HR98" s="1495"/>
      <c r="HS98" s="1495"/>
      <c r="HT98" s="1495"/>
      <c r="HU98" s="1495"/>
      <c r="HV98" s="1495"/>
      <c r="HW98" s="1495"/>
      <c r="HX98" s="1495"/>
      <c r="HY98" s="1495"/>
      <c r="HZ98" s="1495"/>
      <c r="IA98" s="1495"/>
      <c r="IB98" s="1495"/>
      <c r="IC98" s="1495"/>
      <c r="ID98" s="1495"/>
      <c r="IE98" s="1495"/>
      <c r="IF98" s="1495"/>
      <c r="IG98" s="1495"/>
      <c r="IH98" s="1495"/>
      <c r="II98" s="1495"/>
      <c r="IJ98" s="1495"/>
      <c r="IK98" s="1495"/>
      <c r="IL98" s="1495"/>
      <c r="IM98" s="1495"/>
      <c r="IN98" s="1495"/>
      <c r="IO98" s="1495"/>
      <c r="IP98" s="1495"/>
      <c r="IQ98" s="1495"/>
      <c r="IR98" s="1495"/>
      <c r="IS98" s="1495"/>
      <c r="IT98" s="1495"/>
      <c r="IU98" s="1495"/>
      <c r="IV98" s="1495"/>
      <c r="IW98" s="1495"/>
      <c r="IX98" s="1495"/>
      <c r="IY98" s="1495"/>
      <c r="IZ98" s="1495"/>
      <c r="JA98" s="1495"/>
      <c r="JB98" s="1495"/>
      <c r="JC98" s="1495"/>
      <c r="JD98" s="1495"/>
      <c r="JE98" s="1495"/>
      <c r="JF98" s="1495"/>
      <c r="JG98" s="1495"/>
      <c r="JH98" s="1495"/>
      <c r="JI98" s="1495"/>
      <c r="JJ98" s="1495"/>
      <c r="JK98" s="1495"/>
      <c r="JL98" s="1495"/>
      <c r="JM98" s="1495"/>
      <c r="JN98" s="1495"/>
      <c r="JO98" s="1495"/>
      <c r="JP98" s="1495"/>
      <c r="JQ98" s="1495"/>
      <c r="JR98" s="1495"/>
      <c r="JS98" s="1495"/>
      <c r="JT98" s="1495"/>
      <c r="JU98" s="1495"/>
      <c r="JV98" s="1495"/>
      <c r="JW98" s="1495"/>
      <c r="JX98" s="1495"/>
      <c r="JY98" s="1495"/>
      <c r="JZ98" s="1495"/>
      <c r="KA98" s="1495"/>
      <c r="KB98" s="1495"/>
      <c r="KC98" s="1495"/>
      <c r="KD98" s="1495"/>
      <c r="KE98" s="1495"/>
      <c r="KF98" s="1495"/>
      <c r="KG98" s="1495"/>
      <c r="KH98" s="1495"/>
      <c r="KI98" s="1495"/>
      <c r="KJ98" s="1495"/>
      <c r="KK98" s="1495"/>
      <c r="KL98" s="1495"/>
      <c r="KM98" s="1495"/>
      <c r="KN98" s="1495"/>
      <c r="KO98" s="1495"/>
      <c r="KP98" s="1495"/>
      <c r="KQ98" s="1495"/>
      <c r="KR98" s="1495"/>
      <c r="KS98" s="1495"/>
      <c r="KT98" s="1495"/>
      <c r="KU98" s="1495"/>
      <c r="KV98" s="1495"/>
      <c r="KW98" s="1495"/>
      <c r="KX98" s="1495"/>
      <c r="KY98" s="1495"/>
      <c r="KZ98" s="1495"/>
      <c r="LA98" s="1495"/>
      <c r="LB98" s="1495"/>
    </row>
    <row r="99" spans="1:314">
      <c r="A99" s="1495"/>
      <c r="B99" s="418"/>
      <c r="C99" s="1495"/>
      <c r="D99" s="1495"/>
      <c r="E99" s="1495"/>
      <c r="F99" s="1495"/>
      <c r="G99" s="1495"/>
      <c r="H99" s="1495"/>
      <c r="I99" s="1495"/>
      <c r="J99" s="1495"/>
      <c r="K99" s="1495"/>
      <c r="L99" s="1495"/>
      <c r="M99" s="1495"/>
      <c r="N99" s="1495"/>
      <c r="O99" s="1495"/>
      <c r="P99" s="1495"/>
      <c r="Q99" s="1495"/>
      <c r="R99" s="1495"/>
      <c r="S99" s="1495"/>
      <c r="T99" s="1495"/>
      <c r="U99" s="1495"/>
      <c r="V99" s="1495"/>
      <c r="W99" s="1495"/>
      <c r="X99" s="1495"/>
      <c r="Y99" s="1495"/>
      <c r="Z99" s="1495"/>
      <c r="AA99" s="1495"/>
      <c r="AB99" s="1495"/>
      <c r="AC99" s="1495"/>
      <c r="AD99" s="1495"/>
      <c r="AE99" s="1495"/>
      <c r="AF99" s="1495"/>
      <c r="AG99" s="1495"/>
      <c r="AH99" s="1495"/>
      <c r="AI99" s="1495"/>
      <c r="AJ99" s="1495"/>
      <c r="AK99" s="1495"/>
      <c r="AL99" s="1495"/>
      <c r="AM99" s="1495"/>
      <c r="AN99" s="1495"/>
      <c r="AO99" s="1495"/>
      <c r="AP99" s="1495"/>
      <c r="AQ99" s="1495"/>
      <c r="AR99" s="1495"/>
      <c r="AS99" s="1495"/>
      <c r="AT99" s="1495"/>
      <c r="AU99" s="1495"/>
      <c r="AV99" s="1495"/>
      <c r="AW99" s="1495"/>
      <c r="AX99" s="1495"/>
      <c r="AY99" s="1495"/>
      <c r="AZ99" s="1495"/>
      <c r="BA99" s="1495"/>
      <c r="BB99" s="1495"/>
      <c r="BC99" s="1495"/>
      <c r="BD99" s="1495"/>
      <c r="BE99" s="1495"/>
      <c r="BF99" s="1495"/>
      <c r="BG99" s="1495"/>
      <c r="BH99" s="1495"/>
      <c r="BI99" s="1495"/>
      <c r="BJ99" s="1495"/>
      <c r="BK99" s="1495"/>
      <c r="BL99" s="1495"/>
      <c r="BM99" s="1495"/>
      <c r="BN99" s="1495"/>
      <c r="BO99" s="1495"/>
      <c r="BP99" s="418"/>
      <c r="BQ99" s="1495"/>
      <c r="BR99" s="1495"/>
      <c r="BS99" s="1495"/>
      <c r="BT99" s="1495"/>
      <c r="BU99" s="1495"/>
      <c r="BV99" s="1495"/>
      <c r="BW99" s="1495"/>
      <c r="BX99" s="1495"/>
      <c r="BY99" s="1495"/>
      <c r="BZ99" s="444"/>
      <c r="CA99" s="496"/>
      <c r="CB99" s="496"/>
      <c r="CC99" s="444"/>
      <c r="CD99" s="502"/>
      <c r="CE99" s="108"/>
      <c r="CF99" s="444"/>
      <c r="CG99" s="504"/>
      <c r="CH99" s="348"/>
      <c r="CI99" s="408"/>
      <c r="CJ99" s="1495"/>
      <c r="CK99" s="1495"/>
      <c r="CL99" s="1495"/>
      <c r="CM99" s="1495"/>
      <c r="CN99" s="1495"/>
      <c r="CO99" s="1495"/>
      <c r="CP99" s="1495"/>
      <c r="CQ99" s="1495"/>
      <c r="CR99" s="1495"/>
      <c r="CS99" s="1495"/>
      <c r="CT99" s="1495"/>
      <c r="CU99" s="1495"/>
      <c r="CV99" s="1495"/>
      <c r="CW99" s="1495"/>
      <c r="CX99" s="1495"/>
      <c r="CY99" s="1495"/>
      <c r="CZ99" s="1495"/>
      <c r="DA99" s="444"/>
      <c r="DB99" s="475"/>
      <c r="DC99" s="108"/>
      <c r="DD99" s="408"/>
      <c r="DE99" s="1495"/>
      <c r="DF99" s="444"/>
      <c r="DG99" s="475"/>
      <c r="DH99" s="407"/>
      <c r="DI99" s="407"/>
      <c r="DJ99" s="1495"/>
      <c r="DK99" s="1495"/>
      <c r="DL99" s="1495"/>
      <c r="DM99" s="1495"/>
      <c r="DN99" s="1495"/>
      <c r="DO99" s="1495"/>
      <c r="DP99" s="1495"/>
      <c r="DQ99" s="1495"/>
      <c r="DR99" s="1495"/>
      <c r="DS99" s="1495"/>
      <c r="DT99" s="1495"/>
      <c r="DU99" s="1495"/>
      <c r="DV99" s="1495"/>
      <c r="DW99" s="1495"/>
      <c r="DX99" s="1495"/>
      <c r="DY99" s="1495"/>
      <c r="DZ99" s="1495"/>
      <c r="EA99" s="1495"/>
      <c r="EB99" s="1495"/>
      <c r="EC99" s="1495"/>
      <c r="ED99" s="1495"/>
      <c r="EE99" s="1495"/>
      <c r="EF99" s="1495"/>
      <c r="EG99" s="1495"/>
      <c r="EH99" s="1495"/>
      <c r="EI99" s="1495"/>
      <c r="EJ99" s="1495"/>
      <c r="EK99" s="1495"/>
      <c r="EL99" s="407"/>
      <c r="EM99" s="1495"/>
      <c r="EN99" s="407"/>
      <c r="EO99" s="1495"/>
      <c r="EP99" s="1495"/>
      <c r="EQ99" s="1495"/>
      <c r="ER99" s="1495"/>
      <c r="ES99" s="1495"/>
      <c r="ET99" s="1495"/>
      <c r="EU99" s="1495"/>
      <c r="EV99" s="1495"/>
      <c r="EW99" s="1495"/>
      <c r="EX99" s="1495"/>
      <c r="EY99" s="1495"/>
      <c r="EZ99" s="1495"/>
      <c r="FA99" s="1495"/>
      <c r="FB99" s="1495"/>
      <c r="FC99" s="1495"/>
      <c r="FD99" s="1495"/>
      <c r="FE99" s="1495"/>
      <c r="FF99" s="1495"/>
      <c r="FG99" s="1495"/>
      <c r="FH99" s="1495"/>
      <c r="FI99" s="1495"/>
      <c r="FJ99" s="1495"/>
      <c r="FK99" s="1495"/>
      <c r="FL99" s="1495"/>
      <c r="FM99" s="1495"/>
      <c r="FN99" s="1495"/>
      <c r="FO99" s="1495"/>
      <c r="FP99" s="1495"/>
      <c r="FQ99" s="1495"/>
      <c r="FR99" s="1495"/>
      <c r="FS99" s="1495"/>
      <c r="FT99" s="1495"/>
      <c r="FU99" s="1495"/>
      <c r="FV99" s="1495"/>
      <c r="FW99" s="1495"/>
      <c r="FX99" s="1495"/>
      <c r="FY99" s="1495"/>
      <c r="FZ99" s="1495"/>
      <c r="GA99" s="1495"/>
      <c r="GB99" s="1495"/>
      <c r="GC99" s="1495"/>
      <c r="GD99" s="1495"/>
      <c r="GE99" s="1495"/>
      <c r="GF99" s="1495"/>
      <c r="GG99" s="1495"/>
      <c r="GH99" s="1495"/>
      <c r="GI99" s="1495"/>
      <c r="GJ99" s="1495"/>
      <c r="GK99" s="1495"/>
      <c r="GL99" s="1495"/>
      <c r="GM99" s="1495"/>
      <c r="GN99" s="1495"/>
      <c r="GO99" s="1495"/>
      <c r="GP99" s="1495"/>
      <c r="GQ99" s="1495"/>
      <c r="GR99" s="1495"/>
      <c r="GS99" s="1495"/>
      <c r="GT99" s="1495"/>
      <c r="GU99" s="1495"/>
      <c r="GV99" s="1495"/>
      <c r="GW99" s="1495"/>
      <c r="GX99" s="1495"/>
      <c r="GY99" s="1495"/>
      <c r="GZ99" s="1495"/>
      <c r="HA99" s="1495"/>
      <c r="HB99" s="1495"/>
      <c r="HC99" s="1495"/>
      <c r="HD99" s="1495"/>
      <c r="HE99" s="1495"/>
      <c r="HF99" s="1495"/>
      <c r="HG99" s="1495"/>
      <c r="HH99" s="1495"/>
      <c r="HI99" s="1495"/>
      <c r="HJ99" s="1495"/>
      <c r="HK99" s="1495"/>
      <c r="HL99" s="1495"/>
      <c r="HM99" s="1495"/>
      <c r="HN99" s="1495"/>
      <c r="HO99" s="1495"/>
      <c r="HP99" s="1495"/>
      <c r="HQ99" s="1495"/>
      <c r="HR99" s="1495"/>
      <c r="HS99" s="1495"/>
      <c r="HT99" s="1495"/>
      <c r="HU99" s="1495"/>
      <c r="HV99" s="1495"/>
      <c r="HW99" s="1495"/>
      <c r="HX99" s="1495"/>
      <c r="HY99" s="1495"/>
      <c r="HZ99" s="1495"/>
      <c r="IA99" s="1495"/>
      <c r="IB99" s="1495"/>
      <c r="IC99" s="1495"/>
      <c r="ID99" s="1495"/>
      <c r="IE99" s="1495"/>
      <c r="IF99" s="1495"/>
      <c r="IG99" s="1495"/>
      <c r="IH99" s="1495"/>
      <c r="II99" s="1495"/>
      <c r="IJ99" s="1495"/>
      <c r="IK99" s="1495"/>
      <c r="IL99" s="1495"/>
      <c r="IM99" s="1495"/>
      <c r="IN99" s="1495"/>
      <c r="IO99" s="1495"/>
      <c r="IP99" s="1495"/>
      <c r="IQ99" s="1495"/>
      <c r="IR99" s="1495"/>
      <c r="IS99" s="1495"/>
      <c r="IT99" s="1495"/>
      <c r="IU99" s="1495"/>
      <c r="IV99" s="1495"/>
      <c r="IW99" s="1495"/>
      <c r="IX99" s="1495"/>
      <c r="IY99" s="1495"/>
      <c r="IZ99" s="1495"/>
      <c r="JA99" s="1495"/>
      <c r="JB99" s="1495"/>
      <c r="JC99" s="1495"/>
      <c r="JD99" s="1495"/>
      <c r="JE99" s="1495"/>
      <c r="JF99" s="1495"/>
      <c r="JG99" s="1495"/>
      <c r="JH99" s="1495"/>
      <c r="JI99" s="1495"/>
      <c r="JJ99" s="1495"/>
      <c r="JK99" s="1495"/>
      <c r="JL99" s="1495"/>
      <c r="JM99" s="1495"/>
      <c r="JN99" s="1495"/>
      <c r="JO99" s="1495"/>
      <c r="JP99" s="1495"/>
      <c r="JQ99" s="1495"/>
      <c r="JR99" s="1495"/>
      <c r="JS99" s="1495"/>
      <c r="JT99" s="1495"/>
      <c r="JU99" s="1495"/>
      <c r="JV99" s="1495"/>
      <c r="JW99" s="1495"/>
      <c r="JX99" s="1495"/>
      <c r="JY99" s="1495"/>
      <c r="JZ99" s="1495"/>
      <c r="KA99" s="1495"/>
      <c r="KB99" s="1495"/>
      <c r="KC99" s="1495"/>
      <c r="KD99" s="1495"/>
      <c r="KE99" s="1495"/>
      <c r="KF99" s="1495"/>
      <c r="KG99" s="1495"/>
      <c r="KH99" s="1495"/>
      <c r="KI99" s="1495"/>
      <c r="KJ99" s="1495"/>
      <c r="KK99" s="1495"/>
      <c r="KL99" s="1495"/>
      <c r="KM99" s="1495"/>
      <c r="KN99" s="1495"/>
      <c r="KO99" s="1495"/>
      <c r="KP99" s="1495"/>
      <c r="KQ99" s="1495"/>
      <c r="KR99" s="1495"/>
      <c r="KS99" s="1495"/>
      <c r="KT99" s="1495"/>
      <c r="KU99" s="1495"/>
      <c r="KV99" s="1495"/>
      <c r="KW99" s="1495"/>
      <c r="KX99" s="1495"/>
      <c r="KY99" s="1495"/>
      <c r="KZ99" s="1495"/>
      <c r="LA99" s="1495"/>
      <c r="LB99" s="1495"/>
    </row>
    <row r="100" spans="1:314">
      <c r="A100" s="1495"/>
      <c r="B100" s="418"/>
      <c r="C100" s="1495"/>
      <c r="D100" s="1495"/>
      <c r="E100" s="1495"/>
      <c r="F100" s="1495"/>
      <c r="G100" s="1495"/>
      <c r="H100" s="1495"/>
      <c r="I100" s="1495"/>
      <c r="J100" s="1495"/>
      <c r="K100" s="1495"/>
      <c r="L100" s="1495"/>
      <c r="M100" s="1495"/>
      <c r="N100" s="1495"/>
      <c r="O100" s="1495"/>
      <c r="P100" s="1495"/>
      <c r="Q100" s="1495"/>
      <c r="R100" s="1495"/>
      <c r="S100" s="1495"/>
      <c r="T100" s="1495"/>
      <c r="U100" s="1495"/>
      <c r="V100" s="1495"/>
      <c r="W100" s="1495"/>
      <c r="X100" s="1495"/>
      <c r="Y100" s="1495"/>
      <c r="Z100" s="1495"/>
      <c r="AA100" s="1495"/>
      <c r="AB100" s="1495"/>
      <c r="AC100" s="1495"/>
      <c r="AD100" s="1495"/>
      <c r="AE100" s="1495"/>
      <c r="AF100" s="1495"/>
      <c r="AG100" s="1495"/>
      <c r="AH100" s="1495"/>
      <c r="AI100" s="1495"/>
      <c r="AJ100" s="1495"/>
      <c r="AK100" s="1495"/>
      <c r="AL100" s="1495"/>
      <c r="AM100" s="1495"/>
      <c r="AN100" s="1495"/>
      <c r="AO100" s="1495"/>
      <c r="AP100" s="1495"/>
      <c r="AQ100" s="1495"/>
      <c r="AR100" s="1495"/>
      <c r="AS100" s="1495"/>
      <c r="AT100" s="1495"/>
      <c r="AU100" s="1495"/>
      <c r="AV100" s="1495"/>
      <c r="AW100" s="1495"/>
      <c r="AX100" s="1495"/>
      <c r="AY100" s="1495"/>
      <c r="AZ100" s="1495"/>
      <c r="BA100" s="1495"/>
      <c r="BB100" s="1495"/>
      <c r="BC100" s="1495"/>
      <c r="BD100" s="1495"/>
      <c r="BE100" s="1495"/>
      <c r="BF100" s="1495"/>
      <c r="BG100" s="1495"/>
      <c r="BH100" s="1495"/>
      <c r="BI100" s="1495"/>
      <c r="BJ100" s="1495"/>
      <c r="BK100" s="1495"/>
      <c r="BL100" s="1495"/>
      <c r="BM100" s="1495"/>
      <c r="BN100" s="1495"/>
      <c r="BO100" s="1495"/>
      <c r="BP100" s="418"/>
      <c r="BQ100" s="1495"/>
      <c r="BR100" s="1495"/>
      <c r="BS100" s="1495"/>
      <c r="BT100" s="1495"/>
      <c r="BU100" s="1495"/>
      <c r="BV100" s="1495"/>
      <c r="BW100" s="1495"/>
      <c r="BX100" s="1495"/>
      <c r="BY100" s="1495"/>
      <c r="BZ100" s="444"/>
      <c r="CA100" s="496"/>
      <c r="CB100" s="496"/>
      <c r="CC100" s="444"/>
      <c r="CD100" s="502"/>
      <c r="CE100" s="108"/>
      <c r="CF100" s="444"/>
      <c r="CG100" s="504"/>
      <c r="CH100" s="348"/>
      <c r="CI100" s="408"/>
      <c r="CJ100" s="1495"/>
      <c r="CK100" s="1495"/>
      <c r="CL100" s="1495"/>
      <c r="CM100" s="1495"/>
      <c r="CN100" s="1495"/>
      <c r="CO100" s="1495"/>
      <c r="CP100" s="1495"/>
      <c r="CQ100" s="1495"/>
      <c r="CR100" s="1495"/>
      <c r="CS100" s="1495"/>
      <c r="CT100" s="1495"/>
      <c r="CU100" s="1495"/>
      <c r="CV100" s="1495"/>
      <c r="CW100" s="1495"/>
      <c r="CX100" s="1495"/>
      <c r="CY100" s="1495"/>
      <c r="CZ100" s="1495"/>
      <c r="DA100" s="444"/>
      <c r="DB100" s="475"/>
      <c r="DC100" s="108"/>
      <c r="DD100" s="408"/>
      <c r="DE100" s="1495"/>
      <c r="DF100" s="444"/>
      <c r="DG100" s="475"/>
      <c r="DH100" s="407"/>
      <c r="DI100" s="407"/>
      <c r="DJ100" s="1495"/>
      <c r="DK100" s="1495"/>
      <c r="DL100" s="1495"/>
      <c r="DM100" s="1495"/>
      <c r="DN100" s="1495"/>
      <c r="DO100" s="1495"/>
      <c r="DP100" s="1495"/>
      <c r="DQ100" s="1495"/>
      <c r="DR100" s="1495"/>
      <c r="DS100" s="1495"/>
      <c r="DT100" s="1495"/>
      <c r="DU100" s="1495"/>
      <c r="DV100" s="1495"/>
      <c r="DW100" s="1495"/>
      <c r="DX100" s="1495"/>
      <c r="DY100" s="1495"/>
      <c r="DZ100" s="1495"/>
      <c r="EA100" s="1495"/>
      <c r="EB100" s="1495"/>
      <c r="EC100" s="1495"/>
      <c r="ED100" s="1495"/>
      <c r="EE100" s="1495"/>
      <c r="EF100" s="1495"/>
      <c r="EG100" s="1495"/>
      <c r="EH100" s="1495"/>
      <c r="EI100" s="1495"/>
      <c r="EJ100" s="1495"/>
      <c r="EK100" s="1495"/>
      <c r="EL100" s="407"/>
      <c r="EM100" s="1495"/>
      <c r="EN100" s="407"/>
      <c r="EO100" s="1495"/>
      <c r="EP100" s="1495"/>
      <c r="EQ100" s="1495"/>
      <c r="ER100" s="1495"/>
      <c r="ES100" s="1495"/>
      <c r="ET100" s="1495"/>
      <c r="EU100" s="1495"/>
      <c r="EV100" s="1495"/>
      <c r="EW100" s="1495"/>
      <c r="EX100" s="1495"/>
      <c r="EY100" s="1495"/>
      <c r="EZ100" s="1495"/>
      <c r="FA100" s="1495"/>
      <c r="FB100" s="1495"/>
      <c r="FC100" s="1495"/>
      <c r="FD100" s="1495"/>
      <c r="FE100" s="1495"/>
      <c r="FF100" s="1495"/>
      <c r="FG100" s="1495"/>
      <c r="FH100" s="1495"/>
      <c r="FI100" s="1495"/>
      <c r="FJ100" s="1495"/>
      <c r="FK100" s="1495"/>
      <c r="FL100" s="1495"/>
      <c r="FM100" s="1495"/>
      <c r="FN100" s="1495"/>
      <c r="FO100" s="1495"/>
      <c r="FP100" s="1495"/>
      <c r="FQ100" s="1495"/>
      <c r="FR100" s="1495"/>
      <c r="FS100" s="1495"/>
      <c r="FT100" s="1495"/>
      <c r="FU100" s="1495"/>
      <c r="FV100" s="1495"/>
      <c r="FW100" s="1495"/>
      <c r="FX100" s="1495"/>
      <c r="FY100" s="1495"/>
      <c r="FZ100" s="1495"/>
      <c r="GA100" s="1495"/>
      <c r="GB100" s="1495"/>
      <c r="GC100" s="1495"/>
      <c r="GD100" s="1495"/>
      <c r="GE100" s="1495"/>
      <c r="GF100" s="1495"/>
      <c r="GG100" s="1495"/>
      <c r="GH100" s="1495"/>
      <c r="GI100" s="1495"/>
      <c r="GJ100" s="1495"/>
      <c r="GK100" s="1495"/>
      <c r="GL100" s="1495"/>
      <c r="GM100" s="1495"/>
      <c r="GN100" s="1495"/>
      <c r="GO100" s="1495"/>
      <c r="GP100" s="1495"/>
      <c r="GQ100" s="1495"/>
      <c r="GR100" s="1495"/>
      <c r="GS100" s="1495"/>
      <c r="GT100" s="1495"/>
      <c r="GU100" s="1495"/>
      <c r="GV100" s="1495"/>
      <c r="GW100" s="1495"/>
      <c r="GX100" s="1495"/>
      <c r="GY100" s="1495"/>
      <c r="GZ100" s="1495"/>
      <c r="HA100" s="1495"/>
      <c r="HB100" s="1495"/>
      <c r="HC100" s="1495"/>
      <c r="HD100" s="1495"/>
      <c r="HE100" s="1495"/>
      <c r="HF100" s="1495"/>
      <c r="HG100" s="1495"/>
      <c r="HH100" s="1495"/>
      <c r="HI100" s="1495"/>
      <c r="HJ100" s="1495"/>
      <c r="HK100" s="1495"/>
      <c r="HL100" s="1495"/>
      <c r="HM100" s="1495"/>
      <c r="HN100" s="1495"/>
      <c r="HO100" s="1495"/>
      <c r="HP100" s="1495"/>
      <c r="HQ100" s="1495"/>
      <c r="HR100" s="1495"/>
      <c r="HS100" s="1495"/>
      <c r="HT100" s="1495"/>
      <c r="HU100" s="1495"/>
      <c r="HV100" s="1495"/>
      <c r="HW100" s="1495"/>
      <c r="HX100" s="1495"/>
      <c r="HY100" s="1495"/>
      <c r="HZ100" s="1495"/>
      <c r="IA100" s="1495"/>
      <c r="IB100" s="1495"/>
      <c r="IC100" s="1495"/>
      <c r="ID100" s="1495"/>
      <c r="IE100" s="1495"/>
      <c r="IF100" s="1495"/>
      <c r="IG100" s="1495"/>
      <c r="IH100" s="1495"/>
      <c r="II100" s="1495"/>
      <c r="IJ100" s="1495"/>
      <c r="IK100" s="1495"/>
      <c r="IL100" s="1495"/>
      <c r="IM100" s="1495"/>
      <c r="IN100" s="1495"/>
      <c r="IO100" s="1495"/>
      <c r="IP100" s="1495"/>
      <c r="IQ100" s="1495"/>
      <c r="IR100" s="1495"/>
      <c r="IS100" s="1495"/>
      <c r="IT100" s="1495"/>
      <c r="IU100" s="1495"/>
      <c r="IV100" s="1495"/>
      <c r="IW100" s="1495"/>
      <c r="IX100" s="1495"/>
      <c r="IY100" s="1495"/>
      <c r="IZ100" s="1495"/>
      <c r="JA100" s="1495"/>
      <c r="JB100" s="1495"/>
      <c r="JC100" s="1495"/>
      <c r="JD100" s="1495"/>
      <c r="JE100" s="1495"/>
      <c r="JF100" s="1495"/>
      <c r="JG100" s="1495"/>
      <c r="JH100" s="1495"/>
      <c r="JI100" s="1495"/>
      <c r="JJ100" s="1495"/>
      <c r="JK100" s="1495"/>
      <c r="JL100" s="1495"/>
      <c r="JM100" s="1495"/>
      <c r="JN100" s="1495"/>
      <c r="JO100" s="1495"/>
      <c r="JP100" s="1495"/>
      <c r="JQ100" s="1495"/>
      <c r="JR100" s="1495"/>
      <c r="JS100" s="1495"/>
      <c r="JT100" s="1495"/>
      <c r="JU100" s="1495"/>
      <c r="JV100" s="1495"/>
      <c r="JW100" s="1495"/>
      <c r="JX100" s="1495"/>
      <c r="JY100" s="1495"/>
      <c r="JZ100" s="1495"/>
      <c r="KA100" s="1495"/>
      <c r="KB100" s="1495"/>
      <c r="KC100" s="1495"/>
      <c r="KD100" s="1495"/>
      <c r="KE100" s="1495"/>
      <c r="KF100" s="1495"/>
      <c r="KG100" s="1495"/>
      <c r="KH100" s="1495"/>
      <c r="KI100" s="1495"/>
      <c r="KJ100" s="1495"/>
      <c r="KK100" s="1495"/>
      <c r="KL100" s="1495"/>
      <c r="KM100" s="1495"/>
      <c r="KN100" s="1495"/>
      <c r="KO100" s="1495"/>
      <c r="KP100" s="1495"/>
      <c r="KQ100" s="1495"/>
      <c r="KR100" s="1495"/>
      <c r="KS100" s="1495"/>
      <c r="KT100" s="1495"/>
      <c r="KU100" s="1495"/>
      <c r="KV100" s="1495"/>
      <c r="KW100" s="1495"/>
      <c r="KX100" s="1495"/>
      <c r="KY100" s="1495"/>
      <c r="KZ100" s="1495"/>
      <c r="LA100" s="1495"/>
      <c r="LB100" s="1495"/>
    </row>
    <row r="101" spans="1:314">
      <c r="A101" s="1495"/>
      <c r="B101" s="418"/>
      <c r="C101" s="1495"/>
      <c r="D101" s="1495"/>
      <c r="E101" s="1495"/>
      <c r="F101" s="1495"/>
      <c r="G101" s="1495"/>
      <c r="H101" s="1495"/>
      <c r="I101" s="1495"/>
      <c r="J101" s="1495"/>
      <c r="K101" s="1495"/>
      <c r="L101" s="1495"/>
      <c r="M101" s="1495"/>
      <c r="N101" s="1495"/>
      <c r="O101" s="1495"/>
      <c r="P101" s="1495"/>
      <c r="Q101" s="1495"/>
      <c r="R101" s="1495"/>
      <c r="S101" s="1495"/>
      <c r="T101" s="1495"/>
      <c r="U101" s="1495"/>
      <c r="V101" s="1495"/>
      <c r="W101" s="1495"/>
      <c r="X101" s="1495"/>
      <c r="Y101" s="1495"/>
      <c r="Z101" s="1495"/>
      <c r="AA101" s="1495"/>
      <c r="AB101" s="1495"/>
      <c r="AC101" s="1495"/>
      <c r="AD101" s="1495"/>
      <c r="AE101" s="1495"/>
      <c r="AF101" s="1495"/>
      <c r="AG101" s="1495"/>
      <c r="AH101" s="1495"/>
      <c r="AI101" s="1495"/>
      <c r="AJ101" s="1495"/>
      <c r="AK101" s="1495"/>
      <c r="AL101" s="1495"/>
      <c r="AM101" s="1495"/>
      <c r="AN101" s="1495"/>
      <c r="AO101" s="1495"/>
      <c r="AP101" s="1495"/>
      <c r="AQ101" s="1495"/>
      <c r="AR101" s="1495"/>
      <c r="AS101" s="1495"/>
      <c r="AT101" s="1495"/>
      <c r="AU101" s="1495"/>
      <c r="AV101" s="1495"/>
      <c r="AW101" s="1495"/>
      <c r="AX101" s="1495"/>
      <c r="AY101" s="1495"/>
      <c r="AZ101" s="1495"/>
      <c r="BA101" s="1495"/>
      <c r="BB101" s="1495"/>
      <c r="BC101" s="1495"/>
      <c r="BD101" s="1495"/>
      <c r="BE101" s="1495"/>
      <c r="BF101" s="1495"/>
      <c r="BG101" s="1495"/>
      <c r="BH101" s="1495"/>
      <c r="BI101" s="1495"/>
      <c r="BJ101" s="1495"/>
      <c r="BK101" s="1495"/>
      <c r="BL101" s="1495"/>
      <c r="BM101" s="1495"/>
      <c r="BN101" s="1495"/>
      <c r="BO101" s="1495"/>
      <c r="BP101" s="418"/>
      <c r="BQ101" s="1495"/>
      <c r="BR101" s="1495"/>
      <c r="BS101" s="1495"/>
      <c r="BT101" s="1495"/>
      <c r="BU101" s="1495"/>
      <c r="BV101" s="1495"/>
      <c r="BW101" s="1495"/>
      <c r="BX101" s="1495"/>
      <c r="BY101" s="1495"/>
      <c r="BZ101" s="444"/>
      <c r="CA101" s="496"/>
      <c r="CB101" s="496"/>
      <c r="CC101" s="444"/>
      <c r="CD101" s="502"/>
      <c r="CE101" s="108"/>
      <c r="CF101" s="444"/>
      <c r="CG101" s="502"/>
      <c r="CH101" s="348"/>
      <c r="CI101" s="408"/>
      <c r="CJ101" s="1495"/>
      <c r="CK101" s="1495"/>
      <c r="CL101" s="1495"/>
      <c r="CM101" s="1495"/>
      <c r="CN101" s="1495"/>
      <c r="CO101" s="1495"/>
      <c r="CP101" s="1495"/>
      <c r="CQ101" s="1495"/>
      <c r="CR101" s="1495"/>
      <c r="CS101" s="1495"/>
      <c r="CT101" s="1495"/>
      <c r="CU101" s="1495"/>
      <c r="CV101" s="1495"/>
      <c r="CW101" s="1495"/>
      <c r="CX101" s="1495"/>
      <c r="CY101" s="1495"/>
      <c r="CZ101" s="1495"/>
      <c r="DA101" s="444"/>
      <c r="DB101" s="475"/>
      <c r="DC101" s="108"/>
      <c r="DD101" s="408"/>
      <c r="DE101" s="1495"/>
      <c r="DF101" s="444"/>
      <c r="DG101" s="475"/>
      <c r="DH101" s="407"/>
      <c r="DI101" s="407"/>
      <c r="DJ101" s="1495"/>
      <c r="DK101" s="1495"/>
      <c r="DL101" s="1495"/>
      <c r="DM101" s="1495"/>
      <c r="DN101" s="1495"/>
      <c r="DO101" s="1495"/>
      <c r="DP101" s="1495"/>
      <c r="DQ101" s="1495"/>
      <c r="DR101" s="1495"/>
      <c r="DS101" s="1495"/>
      <c r="DT101" s="1495"/>
      <c r="DU101" s="1495"/>
      <c r="DV101" s="1495"/>
      <c r="DW101" s="1495"/>
      <c r="DX101" s="1495"/>
      <c r="DY101" s="1495"/>
      <c r="DZ101" s="1495"/>
      <c r="EA101" s="1495"/>
      <c r="EB101" s="1495"/>
      <c r="EC101" s="1495"/>
      <c r="ED101" s="1495"/>
      <c r="EE101" s="1495"/>
      <c r="EF101" s="1495"/>
      <c r="EG101" s="1495"/>
      <c r="EH101" s="1495"/>
      <c r="EI101" s="1495"/>
      <c r="EJ101" s="1495"/>
      <c r="EK101" s="1495"/>
      <c r="EL101" s="407"/>
      <c r="EM101" s="1495"/>
      <c r="EN101" s="407"/>
      <c r="EO101" s="1495"/>
      <c r="EP101" s="1495"/>
      <c r="EQ101" s="1495"/>
      <c r="ER101" s="1495"/>
      <c r="ES101" s="1495"/>
      <c r="ET101" s="1495"/>
      <c r="EU101" s="1495"/>
      <c r="EV101" s="1495"/>
      <c r="EW101" s="1495"/>
      <c r="EX101" s="1495"/>
      <c r="EY101" s="1495"/>
      <c r="EZ101" s="1495"/>
      <c r="FA101" s="1495"/>
      <c r="FB101" s="1495"/>
      <c r="FC101" s="1495"/>
      <c r="FD101" s="1495"/>
      <c r="FE101" s="1495"/>
      <c r="FF101" s="1495"/>
      <c r="FG101" s="1495"/>
      <c r="FH101" s="1495"/>
      <c r="FI101" s="1495"/>
      <c r="FJ101" s="1495"/>
      <c r="FK101" s="1495"/>
      <c r="FL101" s="1495"/>
      <c r="FM101" s="1495"/>
      <c r="FN101" s="1495"/>
      <c r="FO101" s="1495"/>
      <c r="FP101" s="1495"/>
      <c r="FQ101" s="1495"/>
      <c r="FR101" s="1495"/>
      <c r="FS101" s="1495"/>
      <c r="FT101" s="1495"/>
      <c r="FU101" s="1495"/>
      <c r="FV101" s="1495"/>
      <c r="FW101" s="1495"/>
      <c r="FX101" s="1495"/>
      <c r="FY101" s="1495"/>
      <c r="FZ101" s="1495"/>
      <c r="GA101" s="1495"/>
      <c r="GB101" s="1495"/>
      <c r="GC101" s="1495"/>
      <c r="GD101" s="1495"/>
      <c r="GE101" s="1495"/>
      <c r="GF101" s="1495"/>
      <c r="GG101" s="1495"/>
      <c r="GH101" s="1495"/>
      <c r="GI101" s="1495"/>
      <c r="GJ101" s="1495"/>
      <c r="GK101" s="1495"/>
      <c r="GL101" s="1495"/>
      <c r="GM101" s="1495"/>
      <c r="GN101" s="1495"/>
      <c r="GO101" s="1495"/>
      <c r="GP101" s="1495"/>
      <c r="GQ101" s="1495"/>
      <c r="GR101" s="1495"/>
      <c r="GS101" s="1495"/>
      <c r="GT101" s="1495"/>
      <c r="GU101" s="1495"/>
      <c r="GV101" s="1495"/>
      <c r="GW101" s="1495"/>
      <c r="GX101" s="1495"/>
      <c r="GY101" s="1495"/>
      <c r="GZ101" s="1495"/>
      <c r="HA101" s="1495"/>
      <c r="HB101" s="1495"/>
      <c r="HC101" s="1495"/>
      <c r="HD101" s="1495"/>
      <c r="HE101" s="1495"/>
      <c r="HF101" s="1495"/>
      <c r="HG101" s="1495"/>
      <c r="HH101" s="1495"/>
      <c r="HI101" s="1495"/>
      <c r="HJ101" s="1495"/>
      <c r="HK101" s="1495"/>
      <c r="HL101" s="1495"/>
      <c r="HM101" s="1495"/>
      <c r="HN101" s="1495"/>
      <c r="HO101" s="1495"/>
      <c r="HP101" s="1495"/>
      <c r="HQ101" s="1495"/>
      <c r="HR101" s="1495"/>
      <c r="HS101" s="1495"/>
      <c r="HT101" s="1495"/>
      <c r="HU101" s="1495"/>
      <c r="HV101" s="1495"/>
      <c r="HW101" s="1495"/>
      <c r="HX101" s="1495"/>
      <c r="HY101" s="1495"/>
      <c r="HZ101" s="1495"/>
      <c r="IA101" s="1495"/>
      <c r="IB101" s="1495"/>
      <c r="IC101" s="1495"/>
      <c r="ID101" s="1495"/>
      <c r="IE101" s="1495"/>
      <c r="IF101" s="1495"/>
      <c r="IG101" s="1495"/>
      <c r="IH101" s="1495"/>
      <c r="II101" s="1495"/>
      <c r="IJ101" s="1495"/>
      <c r="IK101" s="1495"/>
      <c r="IL101" s="1495"/>
      <c r="IM101" s="1495"/>
      <c r="IN101" s="1495"/>
      <c r="IO101" s="1495"/>
      <c r="IP101" s="1495"/>
      <c r="IQ101" s="1495"/>
      <c r="IR101" s="1495"/>
      <c r="IS101" s="1495"/>
      <c r="IT101" s="1495"/>
      <c r="IU101" s="1495"/>
      <c r="IV101" s="1495"/>
      <c r="IW101" s="1495"/>
      <c r="IX101" s="1495"/>
      <c r="IY101" s="1495"/>
      <c r="IZ101" s="1495"/>
      <c r="JA101" s="1495"/>
      <c r="JB101" s="1495"/>
      <c r="JC101" s="1495"/>
      <c r="JD101" s="1495"/>
      <c r="JE101" s="1495"/>
      <c r="JF101" s="1495"/>
      <c r="JG101" s="1495"/>
      <c r="JH101" s="1495"/>
      <c r="JI101" s="1495"/>
      <c r="JJ101" s="1495"/>
      <c r="JK101" s="1495"/>
      <c r="JL101" s="1495"/>
      <c r="JM101" s="1495"/>
      <c r="JN101" s="1495"/>
      <c r="JO101" s="1495"/>
      <c r="JP101" s="1495"/>
      <c r="JQ101" s="1495"/>
      <c r="JR101" s="1495"/>
      <c r="JS101" s="1495"/>
      <c r="JT101" s="1495"/>
      <c r="JU101" s="1495"/>
      <c r="JV101" s="1495"/>
      <c r="JW101" s="1495"/>
      <c r="JX101" s="1495"/>
      <c r="JY101" s="1495"/>
      <c r="JZ101" s="1495"/>
      <c r="KA101" s="1495"/>
      <c r="KB101" s="1495"/>
      <c r="KC101" s="1495"/>
      <c r="KD101" s="1495"/>
      <c r="KE101" s="1495"/>
      <c r="KF101" s="1495"/>
      <c r="KG101" s="1495"/>
      <c r="KH101" s="1495"/>
      <c r="KI101" s="1495"/>
      <c r="KJ101" s="1495"/>
      <c r="KK101" s="1495"/>
      <c r="KL101" s="1495"/>
      <c r="KM101" s="1495"/>
      <c r="KN101" s="1495"/>
      <c r="KO101" s="1495"/>
      <c r="KP101" s="1495"/>
      <c r="KQ101" s="1495"/>
      <c r="KR101" s="1495"/>
      <c r="KS101" s="1495"/>
      <c r="KT101" s="1495"/>
      <c r="KU101" s="1495"/>
      <c r="KV101" s="1495"/>
      <c r="KW101" s="1495"/>
      <c r="KX101" s="1495"/>
      <c r="KY101" s="1495"/>
      <c r="KZ101" s="1495"/>
      <c r="LA101" s="1495"/>
      <c r="LB101" s="1495"/>
    </row>
    <row r="102" spans="1:314">
      <c r="A102" s="1495"/>
      <c r="B102" s="418"/>
      <c r="C102" s="1495"/>
      <c r="D102" s="1495"/>
      <c r="E102" s="1495"/>
      <c r="F102" s="1495"/>
      <c r="G102" s="1495"/>
      <c r="H102" s="1495"/>
      <c r="I102" s="1495"/>
      <c r="J102" s="1495"/>
      <c r="K102" s="1495"/>
      <c r="L102" s="1495"/>
      <c r="M102" s="1495"/>
      <c r="N102" s="1495"/>
      <c r="O102" s="1495"/>
      <c r="P102" s="1495"/>
      <c r="Q102" s="1495"/>
      <c r="R102" s="1495"/>
      <c r="S102" s="1495"/>
      <c r="T102" s="1495"/>
      <c r="U102" s="1495"/>
      <c r="V102" s="1495"/>
      <c r="W102" s="1495"/>
      <c r="X102" s="1495"/>
      <c r="Y102" s="1495"/>
      <c r="Z102" s="1495"/>
      <c r="AA102" s="1495"/>
      <c r="AB102" s="1495"/>
      <c r="AC102" s="1495"/>
      <c r="AD102" s="1495"/>
      <c r="AE102" s="1495"/>
      <c r="AF102" s="1495"/>
      <c r="AG102" s="1495"/>
      <c r="AH102" s="1495"/>
      <c r="AI102" s="1495"/>
      <c r="AJ102" s="1495"/>
      <c r="AK102" s="1495"/>
      <c r="AL102" s="1495"/>
      <c r="AM102" s="1495"/>
      <c r="AN102" s="1495"/>
      <c r="AO102" s="1495"/>
      <c r="AP102" s="1495"/>
      <c r="AQ102" s="1495"/>
      <c r="AR102" s="1495"/>
      <c r="AS102" s="1495"/>
      <c r="AT102" s="1495"/>
      <c r="AU102" s="1495"/>
      <c r="AV102" s="1495"/>
      <c r="AW102" s="1495"/>
      <c r="AX102" s="1495"/>
      <c r="AY102" s="1495"/>
      <c r="AZ102" s="1495"/>
      <c r="BA102" s="1495"/>
      <c r="BB102" s="1495"/>
      <c r="BC102" s="1495"/>
      <c r="BD102" s="1495"/>
      <c r="BE102" s="1495"/>
      <c r="BF102" s="1495"/>
      <c r="BG102" s="1495"/>
      <c r="BH102" s="1495"/>
      <c r="BI102" s="1495"/>
      <c r="BJ102" s="1495"/>
      <c r="BK102" s="1495"/>
      <c r="BL102" s="1495"/>
      <c r="BM102" s="1495"/>
      <c r="BN102" s="1495"/>
      <c r="BO102" s="1495"/>
      <c r="BP102" s="418"/>
      <c r="BQ102" s="1495"/>
      <c r="BR102" s="1495"/>
      <c r="BS102" s="1495"/>
      <c r="BT102" s="1495"/>
      <c r="BU102" s="1495"/>
      <c r="BV102" s="1495"/>
      <c r="BW102" s="1495"/>
      <c r="BX102" s="1495"/>
      <c r="BY102" s="1495"/>
      <c r="BZ102" s="444"/>
      <c r="CA102" s="496"/>
      <c r="CB102" s="496"/>
      <c r="CC102" s="444"/>
      <c r="CD102" s="502"/>
      <c r="CE102" s="108"/>
      <c r="CF102" s="444"/>
      <c r="CG102" s="504"/>
      <c r="CH102" s="348"/>
      <c r="CI102" s="408"/>
      <c r="CJ102" s="1495"/>
      <c r="CK102" s="1495"/>
      <c r="CL102" s="1495"/>
      <c r="CM102" s="1495"/>
      <c r="CN102" s="1495"/>
      <c r="CO102" s="1495"/>
      <c r="CP102" s="1495"/>
      <c r="CQ102" s="1495"/>
      <c r="CR102" s="1495"/>
      <c r="CS102" s="1495"/>
      <c r="CT102" s="1495"/>
      <c r="CU102" s="1495"/>
      <c r="CV102" s="1495"/>
      <c r="CW102" s="1495"/>
      <c r="CX102" s="1495"/>
      <c r="CY102" s="1495"/>
      <c r="CZ102" s="1495"/>
      <c r="DA102" s="444"/>
      <c r="DB102" s="475"/>
      <c r="DC102" s="108"/>
      <c r="DD102" s="408"/>
      <c r="DE102" s="1495"/>
      <c r="DF102" s="444"/>
      <c r="DG102" s="475"/>
      <c r="DH102" s="407"/>
      <c r="DI102" s="407"/>
      <c r="DJ102" s="1495"/>
      <c r="DK102" s="1495"/>
      <c r="DL102" s="1495"/>
      <c r="DM102" s="1495"/>
      <c r="DN102" s="1495"/>
      <c r="DO102" s="1495"/>
      <c r="DP102" s="1495"/>
      <c r="DQ102" s="1495"/>
      <c r="DR102" s="1495"/>
      <c r="DS102" s="1495"/>
      <c r="DT102" s="1495"/>
      <c r="DU102" s="1495"/>
      <c r="DV102" s="1495"/>
      <c r="DW102" s="1495"/>
      <c r="DX102" s="1495"/>
      <c r="DY102" s="1495"/>
      <c r="DZ102" s="1495"/>
      <c r="EA102" s="1495"/>
      <c r="EB102" s="1495"/>
      <c r="EC102" s="1495"/>
      <c r="ED102" s="1495"/>
      <c r="EE102" s="1495"/>
      <c r="EF102" s="1495"/>
      <c r="EG102" s="1495"/>
      <c r="EH102" s="1495"/>
      <c r="EI102" s="1495"/>
      <c r="EJ102" s="1495"/>
      <c r="EK102" s="1495"/>
      <c r="EL102" s="407"/>
      <c r="EM102" s="1495"/>
      <c r="EN102" s="407"/>
      <c r="EO102" s="1495"/>
      <c r="EP102" s="1495"/>
      <c r="EQ102" s="1495"/>
      <c r="ER102" s="1495"/>
      <c r="ES102" s="1495"/>
      <c r="ET102" s="1495"/>
      <c r="EU102" s="1495"/>
      <c r="EV102" s="1495"/>
      <c r="EW102" s="1495"/>
      <c r="EX102" s="1495"/>
      <c r="EY102" s="1495"/>
      <c r="EZ102" s="1495"/>
      <c r="FA102" s="1495"/>
      <c r="FB102" s="1495"/>
      <c r="FC102" s="1495"/>
      <c r="FD102" s="1495"/>
      <c r="FE102" s="1495"/>
      <c r="FF102" s="1495"/>
      <c r="FG102" s="1495"/>
      <c r="FH102" s="1495"/>
      <c r="FI102" s="1495"/>
      <c r="FJ102" s="1495"/>
      <c r="FK102" s="1495"/>
      <c r="FL102" s="1495"/>
      <c r="FM102" s="1495"/>
      <c r="FN102" s="1495"/>
      <c r="FO102" s="1495"/>
      <c r="FP102" s="1495"/>
      <c r="FQ102" s="1495"/>
      <c r="FR102" s="1495"/>
      <c r="FS102" s="1495"/>
      <c r="FT102" s="1495"/>
      <c r="FU102" s="1495"/>
      <c r="FV102" s="1495"/>
      <c r="FW102" s="1495"/>
      <c r="FX102" s="1495"/>
      <c r="FY102" s="1495"/>
      <c r="FZ102" s="1495"/>
      <c r="GA102" s="1495"/>
      <c r="GB102" s="1495"/>
      <c r="GC102" s="1495"/>
      <c r="GD102" s="1495"/>
      <c r="GE102" s="1495"/>
      <c r="GF102" s="1495"/>
      <c r="GG102" s="1495"/>
      <c r="GH102" s="1495"/>
      <c r="GI102" s="1495"/>
      <c r="GJ102" s="1495"/>
      <c r="GK102" s="1495"/>
      <c r="GL102" s="1495"/>
      <c r="GM102" s="1495"/>
      <c r="GN102" s="1495"/>
      <c r="GO102" s="1495"/>
      <c r="GP102" s="1495"/>
      <c r="GQ102" s="1495"/>
      <c r="GR102" s="1495"/>
      <c r="GS102" s="1495"/>
      <c r="GT102" s="1495"/>
      <c r="GU102" s="1495"/>
      <c r="GV102" s="1495"/>
      <c r="GW102" s="1495"/>
      <c r="GX102" s="1495"/>
      <c r="GY102" s="1495"/>
      <c r="GZ102" s="1495"/>
      <c r="HA102" s="1495"/>
      <c r="HB102" s="1495"/>
      <c r="HC102" s="1495"/>
      <c r="HD102" s="1495"/>
      <c r="HE102" s="1495"/>
      <c r="HF102" s="1495"/>
      <c r="HG102" s="1495"/>
      <c r="HH102" s="1495"/>
      <c r="HI102" s="1495"/>
      <c r="HJ102" s="1495"/>
      <c r="HK102" s="1495"/>
      <c r="HL102" s="1495"/>
      <c r="HM102" s="1495"/>
      <c r="HN102" s="1495"/>
      <c r="HO102" s="1495"/>
      <c r="HP102" s="1495"/>
      <c r="HQ102" s="1495"/>
      <c r="HR102" s="1495"/>
      <c r="HS102" s="1495"/>
      <c r="HT102" s="1495"/>
      <c r="HU102" s="1495"/>
      <c r="HV102" s="1495"/>
      <c r="HW102" s="1495"/>
      <c r="HX102" s="1495"/>
      <c r="HY102" s="1495"/>
      <c r="HZ102" s="1495"/>
      <c r="IA102" s="1495"/>
      <c r="IB102" s="1495"/>
      <c r="IC102" s="1495"/>
      <c r="ID102" s="1495"/>
      <c r="IE102" s="1495"/>
      <c r="IF102" s="1495"/>
      <c r="IG102" s="1495"/>
      <c r="IH102" s="1495"/>
      <c r="II102" s="1495"/>
      <c r="IJ102" s="1495"/>
      <c r="IK102" s="1495"/>
      <c r="IL102" s="1495"/>
      <c r="IM102" s="1495"/>
      <c r="IN102" s="1495"/>
      <c r="IO102" s="1495"/>
      <c r="IP102" s="1495"/>
      <c r="IQ102" s="1495"/>
      <c r="IR102" s="1495"/>
      <c r="IS102" s="1495"/>
      <c r="IT102" s="1495"/>
      <c r="IU102" s="1495"/>
      <c r="IV102" s="1495"/>
      <c r="IW102" s="1495"/>
      <c r="IX102" s="1495"/>
      <c r="IY102" s="1495"/>
      <c r="IZ102" s="1495"/>
      <c r="JA102" s="1495"/>
      <c r="JB102" s="1495"/>
      <c r="JC102" s="1495"/>
      <c r="JD102" s="1495"/>
      <c r="JE102" s="1495"/>
      <c r="JF102" s="1495"/>
      <c r="JG102" s="1495"/>
      <c r="JH102" s="1495"/>
      <c r="JI102" s="1495"/>
      <c r="JJ102" s="1495"/>
      <c r="JK102" s="1495"/>
      <c r="JL102" s="1495"/>
      <c r="JM102" s="1495"/>
      <c r="JN102" s="1495"/>
      <c r="JO102" s="1495"/>
      <c r="JP102" s="1495"/>
      <c r="JQ102" s="1495"/>
      <c r="JR102" s="1495"/>
      <c r="JS102" s="1495"/>
      <c r="JT102" s="1495"/>
      <c r="JU102" s="1495"/>
      <c r="JV102" s="1495"/>
      <c r="JW102" s="1495"/>
      <c r="JX102" s="1495"/>
      <c r="JY102" s="1495"/>
      <c r="JZ102" s="1495"/>
      <c r="KA102" s="1495"/>
      <c r="KB102" s="1495"/>
      <c r="KC102" s="1495"/>
      <c r="KD102" s="1495"/>
      <c r="KE102" s="1495"/>
      <c r="KF102" s="1495"/>
      <c r="KG102" s="1495"/>
      <c r="KH102" s="1495"/>
      <c r="KI102" s="1495"/>
      <c r="KJ102" s="1495"/>
      <c r="KK102" s="1495"/>
      <c r="KL102" s="1495"/>
      <c r="KM102" s="1495"/>
      <c r="KN102" s="1495"/>
      <c r="KO102" s="1495"/>
      <c r="KP102" s="1495"/>
      <c r="KQ102" s="1495"/>
      <c r="KR102" s="1495"/>
      <c r="KS102" s="1495"/>
      <c r="KT102" s="1495"/>
      <c r="KU102" s="1495"/>
      <c r="KV102" s="1495"/>
      <c r="KW102" s="1495"/>
      <c r="KX102" s="1495"/>
      <c r="KY102" s="1495"/>
      <c r="KZ102" s="1495"/>
      <c r="LA102" s="1495"/>
      <c r="LB102" s="1495"/>
    </row>
    <row r="103" spans="1:314">
      <c r="A103" s="1495"/>
      <c r="B103" s="418"/>
      <c r="C103" s="1495"/>
      <c r="D103" s="1495"/>
      <c r="E103" s="1495"/>
      <c r="F103" s="1495"/>
      <c r="G103" s="1495"/>
      <c r="H103" s="1495"/>
      <c r="I103" s="1495"/>
      <c r="J103" s="1495"/>
      <c r="K103" s="1495"/>
      <c r="L103" s="1495"/>
      <c r="M103" s="1495"/>
      <c r="N103" s="1495"/>
      <c r="O103" s="1495"/>
      <c r="P103" s="1495"/>
      <c r="Q103" s="1495"/>
      <c r="R103" s="1495"/>
      <c r="S103" s="1495"/>
      <c r="T103" s="1495"/>
      <c r="U103" s="1495"/>
      <c r="V103" s="1495"/>
      <c r="W103" s="1495"/>
      <c r="X103" s="1495"/>
      <c r="Y103" s="1495"/>
      <c r="Z103" s="1495"/>
      <c r="AA103" s="1495"/>
      <c r="AB103" s="1495"/>
      <c r="AC103" s="1495"/>
      <c r="AD103" s="1495"/>
      <c r="AE103" s="1495"/>
      <c r="AF103" s="1495"/>
      <c r="AG103" s="1495"/>
      <c r="AH103" s="1495"/>
      <c r="AI103" s="1495"/>
      <c r="AJ103" s="1495"/>
      <c r="AK103" s="1495"/>
      <c r="AL103" s="1495"/>
      <c r="AM103" s="1495"/>
      <c r="AN103" s="1495"/>
      <c r="AO103" s="1495"/>
      <c r="AP103" s="1495"/>
      <c r="AQ103" s="1495"/>
      <c r="AR103" s="1495"/>
      <c r="AS103" s="1495"/>
      <c r="AT103" s="1495"/>
      <c r="AU103" s="1495"/>
      <c r="AV103" s="1495"/>
      <c r="AW103" s="1495"/>
      <c r="AX103" s="1495"/>
      <c r="AY103" s="1495"/>
      <c r="AZ103" s="1495"/>
      <c r="BA103" s="1495"/>
      <c r="BB103" s="1495"/>
      <c r="BC103" s="1495"/>
      <c r="BD103" s="1495"/>
      <c r="BE103" s="1495"/>
      <c r="BF103" s="1495"/>
      <c r="BG103" s="1495"/>
      <c r="BH103" s="1495"/>
      <c r="BI103" s="1495"/>
      <c r="BJ103" s="1495"/>
      <c r="BK103" s="1495"/>
      <c r="BL103" s="1495"/>
      <c r="BM103" s="1495"/>
      <c r="BN103" s="1495"/>
      <c r="BO103" s="1495"/>
      <c r="BP103" s="418"/>
      <c r="BQ103" s="1495"/>
      <c r="BR103" s="1495"/>
      <c r="BS103" s="1495"/>
      <c r="BT103" s="1495"/>
      <c r="BU103" s="1495"/>
      <c r="BV103" s="1495"/>
      <c r="BW103" s="1495"/>
      <c r="BX103" s="1495"/>
      <c r="BY103" s="1495"/>
      <c r="BZ103" s="444"/>
      <c r="CA103" s="496"/>
      <c r="CB103" s="496"/>
      <c r="CC103" s="444"/>
      <c r="CD103" s="502"/>
      <c r="CE103" s="108"/>
      <c r="CF103" s="444"/>
      <c r="CG103" s="504"/>
      <c r="CH103" s="348"/>
      <c r="CI103" s="408"/>
      <c r="CJ103" s="1495"/>
      <c r="CK103" s="1495"/>
      <c r="CL103" s="1495"/>
      <c r="CM103" s="1495"/>
      <c r="CN103" s="1495"/>
      <c r="CO103" s="1495"/>
      <c r="CP103" s="1495"/>
      <c r="CQ103" s="1495"/>
      <c r="CR103" s="1495"/>
      <c r="CS103" s="1495"/>
      <c r="CT103" s="1495"/>
      <c r="CU103" s="1495"/>
      <c r="CV103" s="1495"/>
      <c r="CW103" s="1495"/>
      <c r="CX103" s="1495"/>
      <c r="CY103" s="1495"/>
      <c r="CZ103" s="1495"/>
      <c r="DA103" s="444"/>
      <c r="DB103" s="475"/>
      <c r="DC103" s="108"/>
      <c r="DD103" s="408"/>
      <c r="DE103" s="1495"/>
      <c r="DF103" s="444"/>
      <c r="DG103" s="475"/>
      <c r="DH103" s="407"/>
      <c r="DI103" s="407"/>
      <c r="DJ103" s="1495"/>
      <c r="DK103" s="1495"/>
      <c r="DL103" s="1495"/>
      <c r="DM103" s="1495"/>
      <c r="DN103" s="1495"/>
      <c r="DO103" s="1495"/>
      <c r="DP103" s="1495"/>
      <c r="DQ103" s="1495"/>
      <c r="DR103" s="1495"/>
      <c r="DS103" s="1495"/>
      <c r="DT103" s="1495"/>
      <c r="DU103" s="1495"/>
      <c r="DV103" s="1495"/>
      <c r="DW103" s="1495"/>
      <c r="DX103" s="1495"/>
      <c r="DY103" s="1495"/>
      <c r="DZ103" s="1495"/>
      <c r="EA103" s="1495"/>
      <c r="EB103" s="1495"/>
      <c r="EC103" s="1495"/>
      <c r="ED103" s="1495"/>
      <c r="EE103" s="1495"/>
      <c r="EF103" s="1495"/>
      <c r="EG103" s="1495"/>
      <c r="EH103" s="1495"/>
      <c r="EI103" s="1495"/>
      <c r="EJ103" s="1495"/>
      <c r="EK103" s="1495"/>
      <c r="EL103" s="407"/>
      <c r="EM103" s="1495"/>
      <c r="EN103" s="407"/>
      <c r="EO103" s="1495"/>
      <c r="EP103" s="1495"/>
      <c r="EQ103" s="1495"/>
      <c r="ER103" s="1495"/>
      <c r="ES103" s="1495"/>
      <c r="ET103" s="1495"/>
      <c r="EU103" s="1495"/>
      <c r="EV103" s="1495"/>
      <c r="EW103" s="1495"/>
      <c r="EX103" s="1495"/>
      <c r="EY103" s="1495"/>
      <c r="EZ103" s="1495"/>
      <c r="FA103" s="1495"/>
      <c r="FB103" s="1495"/>
      <c r="FC103" s="1495"/>
      <c r="FD103" s="1495"/>
      <c r="FE103" s="1495"/>
      <c r="FF103" s="1495"/>
      <c r="FG103" s="1495"/>
      <c r="FH103" s="1495"/>
      <c r="FI103" s="1495"/>
      <c r="FJ103" s="1495"/>
      <c r="FK103" s="1495"/>
      <c r="FL103" s="1495"/>
      <c r="FM103" s="1495"/>
      <c r="FN103" s="1495"/>
      <c r="FO103" s="1495"/>
      <c r="FP103" s="1495"/>
      <c r="FQ103" s="1495"/>
      <c r="FR103" s="1495"/>
      <c r="FS103" s="1495"/>
      <c r="FT103" s="1495"/>
      <c r="FU103" s="1495"/>
      <c r="FV103" s="1495"/>
      <c r="FW103" s="1495"/>
      <c r="FX103" s="1495"/>
      <c r="FY103" s="1495"/>
      <c r="FZ103" s="1495"/>
      <c r="GA103" s="1495"/>
      <c r="GB103" s="1495"/>
      <c r="GC103" s="1495"/>
      <c r="GD103" s="1495"/>
      <c r="GE103" s="1495"/>
      <c r="GF103" s="1495"/>
      <c r="GG103" s="1495"/>
      <c r="GH103" s="1495"/>
      <c r="GI103" s="1495"/>
      <c r="GJ103" s="1495"/>
      <c r="GK103" s="1495"/>
      <c r="GL103" s="1495"/>
      <c r="GM103" s="1495"/>
      <c r="GN103" s="1495"/>
      <c r="GO103" s="1495"/>
      <c r="GP103" s="1495"/>
      <c r="GQ103" s="1495"/>
      <c r="GR103" s="1495"/>
      <c r="GS103" s="1495"/>
      <c r="GT103" s="1495"/>
      <c r="GU103" s="1495"/>
      <c r="GV103" s="1495"/>
      <c r="GW103" s="1495"/>
      <c r="GX103" s="1495"/>
      <c r="GY103" s="1495"/>
      <c r="GZ103" s="1495"/>
      <c r="HA103" s="1495"/>
      <c r="HB103" s="1495"/>
      <c r="HC103" s="1495"/>
      <c r="HD103" s="1495"/>
      <c r="HE103" s="1495"/>
      <c r="HF103" s="1495"/>
      <c r="HG103" s="1495"/>
      <c r="HH103" s="1495"/>
      <c r="HI103" s="1495"/>
      <c r="HJ103" s="1495"/>
      <c r="HK103" s="1495"/>
      <c r="HL103" s="1495"/>
      <c r="HM103" s="1495"/>
      <c r="HN103" s="1495"/>
      <c r="HO103" s="1495"/>
      <c r="HP103" s="1495"/>
      <c r="HQ103" s="1495"/>
      <c r="HR103" s="1495"/>
      <c r="HS103" s="1495"/>
      <c r="HT103" s="1495"/>
      <c r="HU103" s="1495"/>
      <c r="HV103" s="1495"/>
      <c r="HW103" s="1495"/>
      <c r="HX103" s="1495"/>
      <c r="HY103" s="1495"/>
      <c r="HZ103" s="1495"/>
      <c r="IA103" s="1495"/>
      <c r="IB103" s="1495"/>
      <c r="IC103" s="1495"/>
      <c r="ID103" s="1495"/>
      <c r="IE103" s="1495"/>
      <c r="IF103" s="1495"/>
      <c r="IG103" s="1495"/>
      <c r="IH103" s="1495"/>
      <c r="II103" s="1495"/>
      <c r="IJ103" s="1495"/>
      <c r="IK103" s="1495"/>
      <c r="IL103" s="1495"/>
      <c r="IM103" s="1495"/>
      <c r="IN103" s="1495"/>
      <c r="IO103" s="1495"/>
      <c r="IP103" s="1495"/>
      <c r="IQ103" s="1495"/>
      <c r="IR103" s="1495"/>
      <c r="IS103" s="1495"/>
      <c r="IT103" s="1495"/>
      <c r="IU103" s="1495"/>
      <c r="IV103" s="1495"/>
      <c r="IW103" s="1495"/>
      <c r="IX103" s="1495"/>
      <c r="IY103" s="1495"/>
      <c r="IZ103" s="1495"/>
      <c r="JA103" s="1495"/>
      <c r="JB103" s="1495"/>
      <c r="JC103" s="1495"/>
      <c r="JD103" s="1495"/>
      <c r="JE103" s="1495"/>
      <c r="JF103" s="1495"/>
      <c r="JG103" s="1495"/>
      <c r="JH103" s="1495"/>
      <c r="JI103" s="1495"/>
      <c r="JJ103" s="1495"/>
      <c r="JK103" s="1495"/>
      <c r="JL103" s="1495"/>
      <c r="JM103" s="1495"/>
      <c r="JN103" s="1495"/>
      <c r="JO103" s="1495"/>
      <c r="JP103" s="1495"/>
      <c r="JQ103" s="1495"/>
      <c r="JR103" s="1495"/>
      <c r="JS103" s="1495"/>
      <c r="JT103" s="1495"/>
      <c r="JU103" s="1495"/>
      <c r="JV103" s="1495"/>
      <c r="JW103" s="1495"/>
      <c r="JX103" s="1495"/>
      <c r="JY103" s="1495"/>
      <c r="JZ103" s="1495"/>
      <c r="KA103" s="1495"/>
      <c r="KB103" s="1495"/>
      <c r="KC103" s="1495"/>
      <c r="KD103" s="1495"/>
      <c r="KE103" s="1495"/>
      <c r="KF103" s="1495"/>
      <c r="KG103" s="1495"/>
      <c r="KH103" s="1495"/>
      <c r="KI103" s="1495"/>
      <c r="KJ103" s="1495"/>
      <c r="KK103" s="1495"/>
      <c r="KL103" s="1495"/>
      <c r="KM103" s="1495"/>
      <c r="KN103" s="1495"/>
      <c r="KO103" s="1495"/>
      <c r="KP103" s="1495"/>
      <c r="KQ103" s="1495"/>
      <c r="KR103" s="1495"/>
      <c r="KS103" s="1495"/>
      <c r="KT103" s="1495"/>
      <c r="KU103" s="1495"/>
      <c r="KV103" s="1495"/>
      <c r="KW103" s="1495"/>
      <c r="KX103" s="1495"/>
      <c r="KY103" s="1495"/>
      <c r="KZ103" s="1495"/>
      <c r="LA103" s="1495"/>
      <c r="LB103" s="1495"/>
    </row>
    <row r="104" spans="1:314">
      <c r="A104" s="1495"/>
      <c r="B104" s="418"/>
      <c r="C104" s="1495"/>
      <c r="D104" s="1495"/>
      <c r="E104" s="1495"/>
      <c r="F104" s="1495"/>
      <c r="G104" s="1495"/>
      <c r="H104" s="1495"/>
      <c r="I104" s="1495"/>
      <c r="J104" s="1495"/>
      <c r="K104" s="1495"/>
      <c r="L104" s="1495"/>
      <c r="M104" s="1495"/>
      <c r="N104" s="1495"/>
      <c r="O104" s="1495"/>
      <c r="P104" s="1495"/>
      <c r="Q104" s="1495"/>
      <c r="R104" s="1495"/>
      <c r="S104" s="1495"/>
      <c r="T104" s="1495"/>
      <c r="U104" s="1495"/>
      <c r="V104" s="1495"/>
      <c r="W104" s="1495"/>
      <c r="X104" s="1495"/>
      <c r="Y104" s="1495"/>
      <c r="Z104" s="1495"/>
      <c r="AA104" s="1495"/>
      <c r="AB104" s="1495"/>
      <c r="AC104" s="1495"/>
      <c r="AD104" s="1495"/>
      <c r="AE104" s="1495"/>
      <c r="AF104" s="1495"/>
      <c r="AG104" s="1495"/>
      <c r="AH104" s="1495"/>
      <c r="AI104" s="1495"/>
      <c r="AJ104" s="1495"/>
      <c r="AK104" s="1495"/>
      <c r="AL104" s="1495"/>
      <c r="AM104" s="1495"/>
      <c r="AN104" s="1495"/>
      <c r="AO104" s="1495"/>
      <c r="AP104" s="1495"/>
      <c r="AQ104" s="1495"/>
      <c r="AR104" s="1495"/>
      <c r="AS104" s="1495"/>
      <c r="AT104" s="1495"/>
      <c r="AU104" s="1495"/>
      <c r="AV104" s="1495"/>
      <c r="AW104" s="1495"/>
      <c r="AX104" s="1495"/>
      <c r="AY104" s="1495"/>
      <c r="AZ104" s="1495"/>
      <c r="BA104" s="1495"/>
      <c r="BB104" s="1495"/>
      <c r="BC104" s="1495"/>
      <c r="BD104" s="1495"/>
      <c r="BE104" s="1495"/>
      <c r="BF104" s="1495"/>
      <c r="BG104" s="1495"/>
      <c r="BH104" s="1495"/>
      <c r="BI104" s="1495"/>
      <c r="BJ104" s="1495"/>
      <c r="BK104" s="1495"/>
      <c r="BL104" s="1495"/>
      <c r="BM104" s="1495"/>
      <c r="BN104" s="1495"/>
      <c r="BO104" s="1495"/>
      <c r="BP104" s="418"/>
      <c r="BQ104" s="1495"/>
      <c r="BR104" s="1495"/>
      <c r="BS104" s="1495"/>
      <c r="BT104" s="1495"/>
      <c r="BU104" s="1495"/>
      <c r="BV104" s="1495"/>
      <c r="BW104" s="1495"/>
      <c r="BX104" s="1495"/>
      <c r="BY104" s="1495"/>
      <c r="BZ104" s="444"/>
      <c r="CA104" s="496"/>
      <c r="CB104" s="496"/>
      <c r="CC104" s="444"/>
      <c r="CD104" s="502"/>
      <c r="CE104" s="108"/>
      <c r="CF104" s="444"/>
      <c r="CG104" s="504"/>
      <c r="CH104" s="348"/>
      <c r="CI104" s="408"/>
      <c r="CJ104" s="1495"/>
      <c r="CK104" s="1495"/>
      <c r="CL104" s="1495"/>
      <c r="CM104" s="1495"/>
      <c r="CN104" s="1495"/>
      <c r="CO104" s="1495"/>
      <c r="CP104" s="1495"/>
      <c r="CQ104" s="1495"/>
      <c r="CR104" s="1495"/>
      <c r="CS104" s="1495"/>
      <c r="CT104" s="1495"/>
      <c r="CU104" s="1495"/>
      <c r="CV104" s="1495"/>
      <c r="CW104" s="1495"/>
      <c r="CX104" s="1495"/>
      <c r="CY104" s="1495"/>
      <c r="CZ104" s="1495"/>
      <c r="DA104" s="444"/>
      <c r="DB104" s="475"/>
      <c r="DC104" s="108"/>
      <c r="DD104" s="408"/>
      <c r="DE104" s="1495"/>
      <c r="DF104" s="444"/>
      <c r="DG104" s="475"/>
      <c r="DH104" s="407"/>
      <c r="DI104" s="407"/>
      <c r="DJ104" s="1495"/>
      <c r="DK104" s="1495"/>
      <c r="DL104" s="1495"/>
      <c r="DM104" s="1495"/>
      <c r="DN104" s="1495"/>
      <c r="DO104" s="1495"/>
      <c r="DP104" s="1495"/>
      <c r="DQ104" s="1495"/>
      <c r="DR104" s="1495"/>
      <c r="DS104" s="1495"/>
      <c r="DT104" s="1495"/>
      <c r="DU104" s="1495"/>
      <c r="DV104" s="1495"/>
      <c r="DW104" s="1495"/>
      <c r="DX104" s="1495"/>
      <c r="DY104" s="1495"/>
      <c r="DZ104" s="1495"/>
      <c r="EA104" s="1495"/>
      <c r="EB104" s="1495"/>
      <c r="EC104" s="1495"/>
      <c r="ED104" s="1495"/>
      <c r="EE104" s="1495"/>
      <c r="EF104" s="1495"/>
      <c r="EG104" s="1495"/>
      <c r="EH104" s="1495"/>
      <c r="EI104" s="1495"/>
      <c r="EJ104" s="1495"/>
      <c r="EK104" s="1495"/>
      <c r="EL104" s="407"/>
      <c r="EM104" s="1495"/>
      <c r="EN104" s="407"/>
      <c r="EO104" s="1495"/>
      <c r="EP104" s="1495"/>
      <c r="EQ104" s="1495"/>
      <c r="ER104" s="1495"/>
      <c r="ES104" s="1495"/>
      <c r="ET104" s="1495"/>
      <c r="EU104" s="1495"/>
      <c r="EV104" s="1495"/>
      <c r="EW104" s="1495"/>
      <c r="EX104" s="1495"/>
      <c r="EY104" s="1495"/>
      <c r="EZ104" s="1495"/>
      <c r="FA104" s="1495"/>
      <c r="FB104" s="1495"/>
      <c r="FC104" s="1495"/>
      <c r="FD104" s="1495"/>
      <c r="FE104" s="1495"/>
      <c r="FF104" s="1495"/>
      <c r="FG104" s="1495"/>
      <c r="FH104" s="1495"/>
      <c r="FI104" s="1495"/>
      <c r="FJ104" s="1495"/>
      <c r="FK104" s="1495"/>
      <c r="FL104" s="1495"/>
      <c r="FM104" s="1495"/>
      <c r="FN104" s="1495"/>
      <c r="FO104" s="1495"/>
      <c r="FP104" s="1495"/>
      <c r="FQ104" s="1495"/>
      <c r="FR104" s="1495"/>
      <c r="FS104" s="1495"/>
      <c r="FT104" s="1495"/>
      <c r="FU104" s="1495"/>
      <c r="FV104" s="1495"/>
      <c r="FW104" s="1495"/>
      <c r="FX104" s="1495"/>
      <c r="FY104" s="1495"/>
      <c r="FZ104" s="1495"/>
      <c r="GA104" s="1495"/>
      <c r="GB104" s="1495"/>
      <c r="GC104" s="1495"/>
      <c r="GD104" s="1495"/>
      <c r="GE104" s="1495"/>
      <c r="GF104" s="1495"/>
      <c r="GG104" s="1495"/>
      <c r="GH104" s="1495"/>
      <c r="GI104" s="1495"/>
      <c r="GJ104" s="1495"/>
      <c r="GK104" s="1495"/>
      <c r="GL104" s="1495"/>
      <c r="GM104" s="1495"/>
      <c r="GN104" s="1495"/>
      <c r="GO104" s="1495"/>
      <c r="GP104" s="1495"/>
      <c r="GQ104" s="1495"/>
      <c r="GR104" s="1495"/>
      <c r="GS104" s="1495"/>
      <c r="GT104" s="1495"/>
      <c r="GU104" s="1495"/>
      <c r="GV104" s="1495"/>
      <c r="GW104" s="1495"/>
      <c r="GX104" s="1495"/>
      <c r="GY104" s="1495"/>
      <c r="GZ104" s="1495"/>
      <c r="HA104" s="1495"/>
      <c r="HB104" s="1495"/>
      <c r="HC104" s="1495"/>
      <c r="HD104" s="1495"/>
      <c r="HE104" s="1495"/>
      <c r="HF104" s="1495"/>
      <c r="HG104" s="1495"/>
      <c r="HH104" s="1495"/>
      <c r="HI104" s="1495"/>
      <c r="HJ104" s="1495"/>
      <c r="HK104" s="1495"/>
      <c r="HL104" s="1495"/>
      <c r="HM104" s="1495"/>
      <c r="HN104" s="1495"/>
      <c r="HO104" s="1495"/>
      <c r="HP104" s="1495"/>
      <c r="HQ104" s="1495"/>
      <c r="HR104" s="1495"/>
      <c r="HS104" s="1495"/>
      <c r="HT104" s="1495"/>
      <c r="HU104" s="1495"/>
      <c r="HV104" s="1495"/>
      <c r="HW104" s="1495"/>
      <c r="HX104" s="1495"/>
      <c r="HY104" s="1495"/>
      <c r="HZ104" s="1495"/>
      <c r="IA104" s="1495"/>
      <c r="IB104" s="1495"/>
      <c r="IC104" s="1495"/>
      <c r="ID104" s="1495"/>
      <c r="IE104" s="1495"/>
      <c r="IF104" s="1495"/>
      <c r="IG104" s="1495"/>
      <c r="IH104" s="1495"/>
      <c r="II104" s="1495"/>
      <c r="IJ104" s="1495"/>
      <c r="IK104" s="1495"/>
      <c r="IL104" s="1495"/>
      <c r="IM104" s="1495"/>
      <c r="IN104" s="1495"/>
      <c r="IO104" s="1495"/>
      <c r="IP104" s="1495"/>
      <c r="IQ104" s="1495"/>
      <c r="IR104" s="1495"/>
      <c r="IS104" s="1495"/>
      <c r="IT104" s="1495"/>
      <c r="IU104" s="1495"/>
      <c r="IV104" s="1495"/>
      <c r="IW104" s="1495"/>
      <c r="IX104" s="1495"/>
      <c r="IY104" s="1495"/>
      <c r="IZ104" s="1495"/>
      <c r="JA104" s="1495"/>
      <c r="JB104" s="1495"/>
      <c r="JC104" s="1495"/>
      <c r="JD104" s="1495"/>
      <c r="JE104" s="1495"/>
      <c r="JF104" s="1495"/>
      <c r="JG104" s="1495"/>
      <c r="JH104" s="1495"/>
      <c r="JI104" s="1495"/>
      <c r="JJ104" s="1495"/>
      <c r="JK104" s="1495"/>
      <c r="JL104" s="1495"/>
      <c r="JM104" s="1495"/>
      <c r="JN104" s="1495"/>
      <c r="JO104" s="1495"/>
      <c r="JP104" s="1495"/>
      <c r="JQ104" s="1495"/>
      <c r="JR104" s="1495"/>
      <c r="JS104" s="1495"/>
      <c r="JT104" s="1495"/>
      <c r="JU104" s="1495"/>
      <c r="JV104" s="1495"/>
      <c r="JW104" s="1495"/>
      <c r="JX104" s="1495"/>
      <c r="JY104" s="1495"/>
      <c r="JZ104" s="1495"/>
      <c r="KA104" s="1495"/>
      <c r="KB104" s="1495"/>
      <c r="KC104" s="1495"/>
      <c r="KD104" s="1495"/>
      <c r="KE104" s="1495"/>
      <c r="KF104" s="1495"/>
      <c r="KG104" s="1495"/>
      <c r="KH104" s="1495"/>
      <c r="KI104" s="1495"/>
      <c r="KJ104" s="1495"/>
      <c r="KK104" s="1495"/>
      <c r="KL104" s="1495"/>
      <c r="KM104" s="1495"/>
      <c r="KN104" s="1495"/>
      <c r="KO104" s="1495"/>
      <c r="KP104" s="1495"/>
      <c r="KQ104" s="1495"/>
      <c r="KR104" s="1495"/>
      <c r="KS104" s="1495"/>
      <c r="KT104" s="1495"/>
      <c r="KU104" s="1495"/>
      <c r="KV104" s="1495"/>
      <c r="KW104" s="1495"/>
      <c r="KX104" s="1495"/>
      <c r="KY104" s="1495"/>
      <c r="KZ104" s="1495"/>
      <c r="LA104" s="1495"/>
      <c r="LB104" s="1495"/>
    </row>
    <row r="105" spans="1:314">
      <c r="A105" s="1495"/>
      <c r="B105" s="418"/>
      <c r="C105" s="1495"/>
      <c r="D105" s="1495"/>
      <c r="E105" s="1495"/>
      <c r="F105" s="1495"/>
      <c r="G105" s="1495"/>
      <c r="H105" s="1495"/>
      <c r="I105" s="1495"/>
      <c r="J105" s="1495"/>
      <c r="K105" s="1495"/>
      <c r="L105" s="1495"/>
      <c r="M105" s="1495"/>
      <c r="N105" s="1495"/>
      <c r="O105" s="1495"/>
      <c r="P105" s="1495"/>
      <c r="Q105" s="1495"/>
      <c r="R105" s="1495"/>
      <c r="S105" s="1495"/>
      <c r="T105" s="1495"/>
      <c r="U105" s="1495"/>
      <c r="V105" s="1495"/>
      <c r="W105" s="1495"/>
      <c r="X105" s="1495"/>
      <c r="Y105" s="1495"/>
      <c r="Z105" s="1495"/>
      <c r="AA105" s="1495"/>
      <c r="AB105" s="1495"/>
      <c r="AC105" s="1495"/>
      <c r="AD105" s="1495"/>
      <c r="AE105" s="1495"/>
      <c r="AF105" s="1495"/>
      <c r="AG105" s="1495"/>
      <c r="AH105" s="1495"/>
      <c r="AI105" s="1495"/>
      <c r="AJ105" s="1495"/>
      <c r="AK105" s="1495"/>
      <c r="AL105" s="1495"/>
      <c r="AM105" s="1495"/>
      <c r="AN105" s="1495"/>
      <c r="AO105" s="1495"/>
      <c r="AP105" s="1495"/>
      <c r="AQ105" s="1495"/>
      <c r="AR105" s="1495"/>
      <c r="AS105" s="1495"/>
      <c r="AT105" s="1495"/>
      <c r="AU105" s="1495"/>
      <c r="AV105" s="1495"/>
      <c r="AW105" s="1495"/>
      <c r="AX105" s="1495"/>
      <c r="AY105" s="1495"/>
      <c r="AZ105" s="1495"/>
      <c r="BA105" s="1495"/>
      <c r="BB105" s="1495"/>
      <c r="BC105" s="1495"/>
      <c r="BD105" s="1495"/>
      <c r="BE105" s="1495"/>
      <c r="BF105" s="1495"/>
      <c r="BG105" s="1495"/>
      <c r="BH105" s="1495"/>
      <c r="BI105" s="1495"/>
      <c r="BJ105" s="1495"/>
      <c r="BK105" s="1495"/>
      <c r="BL105" s="1495"/>
      <c r="BM105" s="1495"/>
      <c r="BN105" s="1495"/>
      <c r="BO105" s="1495"/>
      <c r="BP105" s="418"/>
      <c r="BQ105" s="1495"/>
      <c r="BR105" s="1495"/>
      <c r="BS105" s="1495"/>
      <c r="BT105" s="1495"/>
      <c r="BU105" s="1495"/>
      <c r="BV105" s="1495"/>
      <c r="BW105" s="1495"/>
      <c r="BX105" s="1495"/>
      <c r="BY105" s="1495"/>
      <c r="BZ105" s="444"/>
      <c r="CA105" s="496"/>
      <c r="CB105" s="496"/>
      <c r="CC105" s="444"/>
      <c r="CD105" s="502"/>
      <c r="CE105" s="108"/>
      <c r="CF105" s="444"/>
      <c r="CG105" s="504"/>
      <c r="CH105" s="348"/>
      <c r="CI105" s="408"/>
      <c r="CJ105" s="1495"/>
      <c r="CK105" s="1495"/>
      <c r="CL105" s="1495"/>
      <c r="CM105" s="1495"/>
      <c r="CN105" s="1495"/>
      <c r="CO105" s="1495"/>
      <c r="CP105" s="1495"/>
      <c r="CQ105" s="1495"/>
      <c r="CR105" s="1495"/>
      <c r="CS105" s="1495"/>
      <c r="CT105" s="1495"/>
      <c r="CU105" s="1495"/>
      <c r="CV105" s="1495"/>
      <c r="CW105" s="1495"/>
      <c r="CX105" s="1495"/>
      <c r="CY105" s="1495"/>
      <c r="CZ105" s="1495"/>
      <c r="DA105" s="1495"/>
      <c r="DB105" s="1495"/>
      <c r="DC105" s="1495"/>
      <c r="DD105" s="1495"/>
      <c r="DE105" s="1495"/>
      <c r="DF105" s="444"/>
      <c r="DG105" s="475"/>
      <c r="DH105" s="407"/>
      <c r="DI105" s="407"/>
      <c r="DJ105" s="1495"/>
      <c r="DK105" s="1495"/>
      <c r="DL105" s="1495"/>
      <c r="DM105" s="1495"/>
      <c r="DN105" s="1495"/>
      <c r="DO105" s="1495"/>
      <c r="DP105" s="1495"/>
      <c r="DQ105" s="1495"/>
      <c r="DR105" s="1495"/>
      <c r="DS105" s="1495"/>
      <c r="DT105" s="1495"/>
      <c r="DU105" s="1495"/>
      <c r="DV105" s="1495"/>
      <c r="DW105" s="1495"/>
      <c r="DX105" s="1495"/>
      <c r="DY105" s="1495"/>
      <c r="DZ105" s="1495"/>
      <c r="EA105" s="1495"/>
      <c r="EB105" s="1495"/>
      <c r="EC105" s="1495"/>
      <c r="ED105" s="1495"/>
      <c r="EE105" s="1495"/>
      <c r="EF105" s="1495"/>
      <c r="EG105" s="1495"/>
      <c r="EH105" s="1495"/>
      <c r="EI105" s="1495"/>
      <c r="EJ105" s="1495"/>
      <c r="EK105" s="1495"/>
      <c r="EL105" s="407"/>
      <c r="EM105" s="1495"/>
      <c r="EN105" s="407"/>
      <c r="EO105" s="1495"/>
      <c r="EP105" s="1495"/>
      <c r="EQ105" s="1495"/>
      <c r="ER105" s="1495"/>
      <c r="ES105" s="1495"/>
      <c r="ET105" s="1495"/>
      <c r="EU105" s="1495"/>
      <c r="EV105" s="1495"/>
      <c r="EW105" s="1495"/>
      <c r="EX105" s="1495"/>
      <c r="EY105" s="1495"/>
      <c r="EZ105" s="1495"/>
      <c r="FA105" s="1495"/>
      <c r="FB105" s="1495"/>
      <c r="FC105" s="1495"/>
      <c r="FD105" s="1495"/>
      <c r="FE105" s="1495"/>
      <c r="FF105" s="1495"/>
      <c r="FG105" s="1495"/>
      <c r="FH105" s="1495"/>
      <c r="FI105" s="1495"/>
      <c r="FJ105" s="1495"/>
      <c r="FK105" s="1495"/>
      <c r="FL105" s="1495"/>
      <c r="FM105" s="1495"/>
      <c r="FN105" s="1495"/>
      <c r="FO105" s="1495"/>
      <c r="FP105" s="1495"/>
      <c r="FQ105" s="1495"/>
      <c r="FR105" s="1495"/>
      <c r="FS105" s="1495"/>
      <c r="FT105" s="1495"/>
      <c r="FU105" s="1495"/>
      <c r="FV105" s="1495"/>
      <c r="FW105" s="1495"/>
      <c r="FX105" s="1495"/>
      <c r="FY105" s="1495"/>
      <c r="FZ105" s="1495"/>
      <c r="GA105" s="1495"/>
      <c r="GB105" s="1495"/>
      <c r="GC105" s="1495"/>
      <c r="GD105" s="1495"/>
      <c r="GE105" s="1495"/>
      <c r="GF105" s="1495"/>
      <c r="GG105" s="1495"/>
      <c r="GH105" s="1495"/>
      <c r="GI105" s="1495"/>
      <c r="GJ105" s="1495"/>
      <c r="GK105" s="1495"/>
      <c r="GL105" s="1495"/>
      <c r="GM105" s="1495"/>
      <c r="GN105" s="1495"/>
      <c r="GO105" s="1495"/>
      <c r="GP105" s="1495"/>
      <c r="GQ105" s="1495"/>
      <c r="GR105" s="1495"/>
      <c r="GS105" s="1495"/>
      <c r="GT105" s="1495"/>
      <c r="GU105" s="1495"/>
      <c r="GV105" s="1495"/>
      <c r="GW105" s="1495"/>
      <c r="GX105" s="1495"/>
      <c r="GY105" s="1495"/>
      <c r="GZ105" s="1495"/>
      <c r="HA105" s="1495"/>
      <c r="HB105" s="1495"/>
      <c r="HC105" s="1495"/>
      <c r="HD105" s="1495"/>
      <c r="HE105" s="1495"/>
      <c r="HF105" s="1495"/>
      <c r="HG105" s="1495"/>
      <c r="HH105" s="1495"/>
      <c r="HI105" s="1495"/>
      <c r="HJ105" s="1495"/>
      <c r="HK105" s="1495"/>
      <c r="HL105" s="1495"/>
      <c r="HM105" s="1495"/>
      <c r="HN105" s="1495"/>
      <c r="HO105" s="1495"/>
      <c r="HP105" s="1495"/>
      <c r="HQ105" s="1495"/>
      <c r="HR105" s="1495"/>
      <c r="HS105" s="1495"/>
      <c r="HT105" s="1495"/>
      <c r="HU105" s="1495"/>
      <c r="HV105" s="1495"/>
      <c r="HW105" s="1495"/>
      <c r="HX105" s="1495"/>
      <c r="HY105" s="1495"/>
      <c r="HZ105" s="1495"/>
      <c r="IA105" s="1495"/>
      <c r="IB105" s="1495"/>
      <c r="IC105" s="1495"/>
      <c r="ID105" s="1495"/>
      <c r="IE105" s="1495"/>
      <c r="IF105" s="1495"/>
      <c r="IG105" s="1495"/>
      <c r="IH105" s="1495"/>
      <c r="II105" s="1495"/>
      <c r="IJ105" s="1495"/>
      <c r="IK105" s="1495"/>
      <c r="IL105" s="1495"/>
      <c r="IM105" s="1495"/>
      <c r="IN105" s="1495"/>
      <c r="IO105" s="1495"/>
      <c r="IP105" s="1495"/>
      <c r="IQ105" s="1495"/>
      <c r="IR105" s="1495"/>
      <c r="IS105" s="1495"/>
      <c r="IT105" s="1495"/>
      <c r="IU105" s="1495"/>
      <c r="IV105" s="1495"/>
      <c r="IW105" s="1495"/>
      <c r="IX105" s="1495"/>
      <c r="IY105" s="1495"/>
      <c r="IZ105" s="1495"/>
      <c r="JA105" s="1495"/>
      <c r="JB105" s="1495"/>
      <c r="JC105" s="1495"/>
      <c r="JD105" s="1495"/>
      <c r="JE105" s="1495"/>
      <c r="JF105" s="1495"/>
      <c r="JG105" s="1495"/>
      <c r="JH105" s="1495"/>
      <c r="JI105" s="1495"/>
      <c r="JJ105" s="1495"/>
      <c r="JK105" s="1495"/>
      <c r="JL105" s="1495"/>
      <c r="JM105" s="1495"/>
      <c r="JN105" s="1495"/>
      <c r="JO105" s="1495"/>
      <c r="JP105" s="1495"/>
      <c r="JQ105" s="1495"/>
      <c r="JR105" s="1495"/>
      <c r="JS105" s="1495"/>
      <c r="JT105" s="1495"/>
      <c r="JU105" s="1495"/>
      <c r="JV105" s="1495"/>
      <c r="JW105" s="1495"/>
      <c r="JX105" s="1495"/>
      <c r="JY105" s="1495"/>
      <c r="JZ105" s="1495"/>
      <c r="KA105" s="1495"/>
      <c r="KB105" s="1495"/>
      <c r="KC105" s="1495"/>
      <c r="KD105" s="1495"/>
      <c r="KE105" s="1495"/>
      <c r="KF105" s="1495"/>
      <c r="KG105" s="1495"/>
      <c r="KH105" s="1495"/>
      <c r="KI105" s="1495"/>
      <c r="KJ105" s="1495"/>
      <c r="KK105" s="1495"/>
      <c r="KL105" s="1495"/>
      <c r="KM105" s="1495"/>
      <c r="KN105" s="1495"/>
      <c r="KO105" s="1495"/>
      <c r="KP105" s="1495"/>
      <c r="KQ105" s="1495"/>
      <c r="KR105" s="1495"/>
      <c r="KS105" s="1495"/>
      <c r="KT105" s="1495"/>
      <c r="KU105" s="1495"/>
      <c r="KV105" s="1495"/>
      <c r="KW105" s="1495"/>
      <c r="KX105" s="1495"/>
      <c r="KY105" s="1495"/>
      <c r="KZ105" s="1495"/>
      <c r="LA105" s="1495"/>
      <c r="LB105" s="1495"/>
    </row>
    <row r="106" spans="1:314">
      <c r="A106" s="1495"/>
      <c r="B106" s="418"/>
      <c r="C106" s="1495"/>
      <c r="D106" s="1495"/>
      <c r="E106" s="1495"/>
      <c r="F106" s="1495"/>
      <c r="G106" s="1495"/>
      <c r="H106" s="1495"/>
      <c r="I106" s="1495"/>
      <c r="J106" s="1495"/>
      <c r="K106" s="1495"/>
      <c r="L106" s="1495"/>
      <c r="M106" s="1495"/>
      <c r="N106" s="1495"/>
      <c r="O106" s="1495"/>
      <c r="P106" s="1495"/>
      <c r="Q106" s="1495"/>
      <c r="R106" s="1495"/>
      <c r="S106" s="1495"/>
      <c r="T106" s="1495"/>
      <c r="U106" s="1495"/>
      <c r="V106" s="1495"/>
      <c r="W106" s="1495"/>
      <c r="X106" s="1495"/>
      <c r="Y106" s="1495"/>
      <c r="Z106" s="1495"/>
      <c r="AA106" s="1495"/>
      <c r="AB106" s="1495"/>
      <c r="AC106" s="1495"/>
      <c r="AD106" s="1495"/>
      <c r="AE106" s="1495"/>
      <c r="AF106" s="1495"/>
      <c r="AG106" s="1495"/>
      <c r="AH106" s="1495"/>
      <c r="AI106" s="1495"/>
      <c r="AJ106" s="1495"/>
      <c r="AK106" s="1495"/>
      <c r="AL106" s="1495"/>
      <c r="AM106" s="1495"/>
      <c r="AN106" s="1495"/>
      <c r="AO106" s="1495"/>
      <c r="AP106" s="1495"/>
      <c r="AQ106" s="1495"/>
      <c r="AR106" s="1495"/>
      <c r="AS106" s="1495"/>
      <c r="AT106" s="1495"/>
      <c r="AU106" s="1495"/>
      <c r="AV106" s="1495"/>
      <c r="AW106" s="1495"/>
      <c r="AX106" s="1495"/>
      <c r="AY106" s="1495"/>
      <c r="AZ106" s="1495"/>
      <c r="BA106" s="1495"/>
      <c r="BB106" s="1495"/>
      <c r="BC106" s="1495"/>
      <c r="BD106" s="1495"/>
      <c r="BE106" s="1495"/>
      <c r="BF106" s="1495"/>
      <c r="BG106" s="1495"/>
      <c r="BH106" s="1495"/>
      <c r="BI106" s="1495"/>
      <c r="BJ106" s="1495"/>
      <c r="BK106" s="1495"/>
      <c r="BL106" s="1495"/>
      <c r="BM106" s="1495"/>
      <c r="BN106" s="1495"/>
      <c r="BO106" s="1495"/>
      <c r="BP106" s="418"/>
      <c r="BQ106" s="1495"/>
      <c r="BR106" s="1495"/>
      <c r="BS106" s="1495"/>
      <c r="BT106" s="1495"/>
      <c r="BU106" s="1495"/>
      <c r="BV106" s="1495"/>
      <c r="BW106" s="1495"/>
      <c r="BX106" s="1495"/>
      <c r="BY106" s="1495"/>
      <c r="BZ106" s="444"/>
      <c r="CA106" s="496"/>
      <c r="CB106" s="496"/>
      <c r="CC106" s="444"/>
      <c r="CD106" s="502"/>
      <c r="CE106" s="108"/>
      <c r="CF106" s="444"/>
      <c r="CG106" s="502"/>
      <c r="CH106" s="348"/>
      <c r="CI106" s="408"/>
      <c r="CJ106" s="1495"/>
      <c r="CK106" s="1495"/>
      <c r="CL106" s="1495"/>
      <c r="CM106" s="1495"/>
      <c r="CN106" s="1495"/>
      <c r="CO106" s="1495"/>
      <c r="CP106" s="1495"/>
      <c r="CQ106" s="1495"/>
      <c r="CR106" s="1495"/>
      <c r="CS106" s="1495"/>
      <c r="CT106" s="1495"/>
      <c r="CU106" s="1495"/>
      <c r="CV106" s="1495"/>
      <c r="CW106" s="1495"/>
      <c r="CX106" s="1495"/>
      <c r="CY106" s="1495"/>
      <c r="CZ106" s="1495"/>
      <c r="DA106" s="1495"/>
      <c r="DB106" s="1495"/>
      <c r="DC106" s="1495"/>
      <c r="DD106" s="1495"/>
      <c r="DE106" s="1495"/>
      <c r="DF106" s="444"/>
      <c r="DG106" s="475"/>
      <c r="DH106" s="407"/>
      <c r="DI106" s="407"/>
      <c r="DJ106" s="1495"/>
      <c r="DK106" s="1495"/>
      <c r="DL106" s="1495"/>
      <c r="DM106" s="1495"/>
      <c r="DN106" s="1495"/>
      <c r="DO106" s="1495"/>
      <c r="DP106" s="1495"/>
      <c r="DQ106" s="1495"/>
      <c r="DR106" s="1495"/>
      <c r="DS106" s="1495"/>
      <c r="DT106" s="1495"/>
      <c r="DU106" s="1495"/>
      <c r="DV106" s="1495"/>
      <c r="DW106" s="1495"/>
      <c r="DX106" s="1495"/>
      <c r="DY106" s="1495"/>
      <c r="DZ106" s="1495"/>
      <c r="EA106" s="1495"/>
      <c r="EB106" s="1495"/>
      <c r="EC106" s="1495"/>
      <c r="ED106" s="1495"/>
      <c r="EE106" s="1495"/>
      <c r="EF106" s="1495"/>
      <c r="EG106" s="1495"/>
      <c r="EH106" s="1495"/>
      <c r="EI106" s="1495"/>
      <c r="EJ106" s="1495"/>
      <c r="EK106" s="1495"/>
      <c r="EL106" s="407"/>
      <c r="EM106" s="1495"/>
      <c r="EN106" s="407"/>
      <c r="EO106" s="1495"/>
      <c r="EP106" s="1495"/>
      <c r="EQ106" s="1495"/>
      <c r="ER106" s="1495"/>
      <c r="ES106" s="1495"/>
      <c r="ET106" s="1495"/>
      <c r="EU106" s="1495"/>
      <c r="EV106" s="1495"/>
      <c r="EW106" s="1495"/>
      <c r="EX106" s="1495"/>
      <c r="EY106" s="1495"/>
      <c r="EZ106" s="1495"/>
      <c r="FA106" s="1495"/>
      <c r="FB106" s="1495"/>
      <c r="FC106" s="1495"/>
      <c r="FD106" s="1495"/>
      <c r="FE106" s="1495"/>
      <c r="FF106" s="1495"/>
      <c r="FG106" s="1495"/>
      <c r="FH106" s="1495"/>
      <c r="FI106" s="1495"/>
      <c r="FJ106" s="1495"/>
      <c r="FK106" s="1495"/>
      <c r="FL106" s="1495"/>
      <c r="FM106" s="1495"/>
      <c r="FN106" s="1495"/>
      <c r="FO106" s="1495"/>
      <c r="FP106" s="1495"/>
      <c r="FQ106" s="1495"/>
      <c r="FR106" s="1495"/>
      <c r="FS106" s="1495"/>
      <c r="FT106" s="1495"/>
      <c r="FU106" s="1495"/>
      <c r="FV106" s="1495"/>
      <c r="FW106" s="1495"/>
      <c r="FX106" s="1495"/>
      <c r="FY106" s="1495"/>
      <c r="FZ106" s="1495"/>
      <c r="GA106" s="1495"/>
      <c r="GB106" s="1495"/>
      <c r="GC106" s="1495"/>
      <c r="GD106" s="1495"/>
      <c r="GE106" s="1495"/>
      <c r="GF106" s="1495"/>
      <c r="GG106" s="1495"/>
      <c r="GH106" s="1495"/>
      <c r="GI106" s="1495"/>
      <c r="GJ106" s="1495"/>
      <c r="GK106" s="1495"/>
      <c r="GL106" s="1495"/>
      <c r="GM106" s="1495"/>
      <c r="GN106" s="1495"/>
      <c r="GO106" s="1495"/>
      <c r="GP106" s="1495"/>
      <c r="GQ106" s="1495"/>
      <c r="GR106" s="1495"/>
      <c r="GS106" s="1495"/>
      <c r="GT106" s="1495"/>
      <c r="GU106" s="1495"/>
      <c r="GV106" s="1495"/>
      <c r="GW106" s="1495"/>
      <c r="GX106" s="1495"/>
      <c r="GY106" s="1495"/>
      <c r="GZ106" s="1495"/>
      <c r="HA106" s="1495"/>
      <c r="HB106" s="1495"/>
      <c r="HC106" s="1495"/>
      <c r="HD106" s="1495"/>
      <c r="HE106" s="1495"/>
      <c r="HF106" s="1495"/>
      <c r="HG106" s="1495"/>
      <c r="HH106" s="1495"/>
      <c r="HI106" s="1495"/>
      <c r="HJ106" s="1495"/>
      <c r="HK106" s="1495"/>
      <c r="HL106" s="1495"/>
      <c r="HM106" s="1495"/>
      <c r="HN106" s="1495"/>
      <c r="HO106" s="1495"/>
      <c r="HP106" s="1495"/>
      <c r="HQ106" s="1495"/>
      <c r="HR106" s="1495"/>
      <c r="HS106" s="1495"/>
      <c r="HT106" s="1495"/>
      <c r="HU106" s="1495"/>
      <c r="HV106" s="1495"/>
      <c r="HW106" s="1495"/>
      <c r="HX106" s="1495"/>
      <c r="HY106" s="1495"/>
      <c r="HZ106" s="1495"/>
      <c r="IA106" s="1495"/>
      <c r="IB106" s="1495"/>
      <c r="IC106" s="1495"/>
      <c r="ID106" s="1495"/>
      <c r="IE106" s="1495"/>
      <c r="IF106" s="1495"/>
      <c r="IG106" s="1495"/>
      <c r="IH106" s="1495"/>
      <c r="II106" s="1495"/>
      <c r="IJ106" s="1495"/>
      <c r="IK106" s="1495"/>
      <c r="IL106" s="1495"/>
      <c r="IM106" s="1495"/>
      <c r="IN106" s="1495"/>
      <c r="IO106" s="1495"/>
      <c r="IP106" s="1495"/>
      <c r="IQ106" s="1495"/>
      <c r="IR106" s="1495"/>
      <c r="IS106" s="1495"/>
      <c r="IT106" s="1495"/>
      <c r="IU106" s="1495"/>
      <c r="IV106" s="1495"/>
      <c r="IW106" s="1495"/>
      <c r="IX106" s="1495"/>
      <c r="IY106" s="1495"/>
      <c r="IZ106" s="1495"/>
      <c r="JA106" s="1495"/>
      <c r="JB106" s="1495"/>
      <c r="JC106" s="1495"/>
      <c r="JD106" s="1495"/>
      <c r="JE106" s="1495"/>
      <c r="JF106" s="1495"/>
      <c r="JG106" s="1495"/>
      <c r="JH106" s="1495"/>
      <c r="JI106" s="1495"/>
      <c r="JJ106" s="1495"/>
      <c r="JK106" s="1495"/>
      <c r="JL106" s="1495"/>
      <c r="JM106" s="1495"/>
      <c r="JN106" s="1495"/>
      <c r="JO106" s="1495"/>
      <c r="JP106" s="1495"/>
      <c r="JQ106" s="1495"/>
      <c r="JR106" s="1495"/>
      <c r="JS106" s="1495"/>
      <c r="JT106" s="1495"/>
      <c r="JU106" s="1495"/>
      <c r="JV106" s="1495"/>
      <c r="JW106" s="1495"/>
      <c r="JX106" s="1495"/>
      <c r="JY106" s="1495"/>
      <c r="JZ106" s="1495"/>
      <c r="KA106" s="1495"/>
      <c r="KB106" s="1495"/>
      <c r="KC106" s="1495"/>
      <c r="KD106" s="1495"/>
      <c r="KE106" s="1495"/>
      <c r="KF106" s="1495"/>
      <c r="KG106" s="1495"/>
      <c r="KH106" s="1495"/>
      <c r="KI106" s="1495"/>
      <c r="KJ106" s="1495"/>
      <c r="KK106" s="1495"/>
      <c r="KL106" s="1495"/>
      <c r="KM106" s="1495"/>
      <c r="KN106" s="1495"/>
      <c r="KO106" s="1495"/>
      <c r="KP106" s="1495"/>
      <c r="KQ106" s="1495"/>
      <c r="KR106" s="1495"/>
      <c r="KS106" s="1495"/>
      <c r="KT106" s="1495"/>
      <c r="KU106" s="1495"/>
      <c r="KV106" s="1495"/>
      <c r="KW106" s="1495"/>
      <c r="KX106" s="1495"/>
      <c r="KY106" s="1495"/>
      <c r="KZ106" s="1495"/>
      <c r="LA106" s="1495"/>
      <c r="LB106" s="1495"/>
    </row>
    <row r="107" spans="1:314">
      <c r="A107" s="1495"/>
      <c r="B107" s="418"/>
      <c r="C107" s="1495"/>
      <c r="D107" s="1495"/>
      <c r="E107" s="1495"/>
      <c r="F107" s="1495"/>
      <c r="G107" s="1495"/>
      <c r="H107" s="1495"/>
      <c r="I107" s="1495"/>
      <c r="J107" s="1495"/>
      <c r="K107" s="1495"/>
      <c r="L107" s="1495"/>
      <c r="M107" s="1495"/>
      <c r="N107" s="1495"/>
      <c r="O107" s="1495"/>
      <c r="P107" s="1495"/>
      <c r="Q107" s="1495"/>
      <c r="R107" s="1495"/>
      <c r="S107" s="1495"/>
      <c r="T107" s="1495"/>
      <c r="U107" s="1495"/>
      <c r="V107" s="1495"/>
      <c r="W107" s="1495"/>
      <c r="X107" s="1495"/>
      <c r="Y107" s="1495"/>
      <c r="Z107" s="1495"/>
      <c r="AA107" s="1495"/>
      <c r="AB107" s="1495"/>
      <c r="AC107" s="1495"/>
      <c r="AD107" s="1495"/>
      <c r="AE107" s="1495"/>
      <c r="AF107" s="1495"/>
      <c r="AG107" s="1495"/>
      <c r="AH107" s="1495"/>
      <c r="AI107" s="1495"/>
      <c r="AJ107" s="1495"/>
      <c r="AK107" s="1495"/>
      <c r="AL107" s="1495"/>
      <c r="AM107" s="1495"/>
      <c r="AN107" s="1495"/>
      <c r="AO107" s="1495"/>
      <c r="AP107" s="1495"/>
      <c r="AQ107" s="1495"/>
      <c r="AR107" s="1495"/>
      <c r="AS107" s="1495"/>
      <c r="AT107" s="1495"/>
      <c r="AU107" s="1495"/>
      <c r="AV107" s="1495"/>
      <c r="AW107" s="1495"/>
      <c r="AX107" s="1495"/>
      <c r="AY107" s="1495"/>
      <c r="AZ107" s="1495"/>
      <c r="BA107" s="1495"/>
      <c r="BB107" s="1495"/>
      <c r="BC107" s="1495"/>
      <c r="BD107" s="1495"/>
      <c r="BE107" s="1495"/>
      <c r="BF107" s="1495"/>
      <c r="BG107" s="1495"/>
      <c r="BH107" s="1495"/>
      <c r="BI107" s="1495"/>
      <c r="BJ107" s="1495"/>
      <c r="BK107" s="1495"/>
      <c r="BL107" s="1495"/>
      <c r="BM107" s="1495"/>
      <c r="BN107" s="1495"/>
      <c r="BO107" s="1495"/>
      <c r="BP107" s="418"/>
      <c r="BQ107" s="1495"/>
      <c r="BR107" s="1495"/>
      <c r="BS107" s="1495"/>
      <c r="BT107" s="1495"/>
      <c r="BU107" s="1495"/>
      <c r="BV107" s="1495"/>
      <c r="BW107" s="1495"/>
      <c r="BX107" s="1495"/>
      <c r="BY107" s="1495"/>
      <c r="BZ107" s="444"/>
      <c r="CA107" s="496"/>
      <c r="CB107" s="496"/>
      <c r="CC107" s="444"/>
      <c r="CD107" s="502"/>
      <c r="CE107" s="108"/>
      <c r="CF107" s="408"/>
      <c r="CG107" s="1495"/>
      <c r="CH107" s="1495"/>
      <c r="CI107" s="1495"/>
      <c r="CJ107" s="1495"/>
      <c r="CK107" s="1495"/>
      <c r="CL107" s="1495"/>
      <c r="CM107" s="1495"/>
      <c r="CN107" s="1495"/>
      <c r="CO107" s="1495"/>
      <c r="CP107" s="1495"/>
      <c r="CQ107" s="1495"/>
      <c r="CR107" s="1495"/>
      <c r="CS107" s="1495"/>
      <c r="CT107" s="1495"/>
      <c r="CU107" s="1495"/>
      <c r="CV107" s="1495"/>
      <c r="CW107" s="1495"/>
      <c r="CX107" s="1495"/>
      <c r="CY107" s="1495"/>
      <c r="CZ107" s="1495"/>
      <c r="DA107" s="1495"/>
      <c r="DB107" s="1495"/>
      <c r="DC107" s="1495"/>
      <c r="DD107" s="1495"/>
      <c r="DE107" s="1495"/>
      <c r="DF107" s="444"/>
      <c r="DG107" s="475"/>
      <c r="DH107" s="407"/>
      <c r="DI107" s="407"/>
      <c r="DJ107" s="407"/>
      <c r="DK107" s="1495"/>
      <c r="DL107" s="1495"/>
      <c r="DM107" s="1495"/>
      <c r="DN107" s="1495"/>
      <c r="DO107" s="1495"/>
      <c r="DP107" s="1495"/>
      <c r="DQ107" s="1495"/>
      <c r="DR107" s="1495"/>
      <c r="DS107" s="1495"/>
      <c r="DT107" s="1495"/>
      <c r="DU107" s="1495"/>
      <c r="DV107" s="1495"/>
      <c r="DW107" s="1495"/>
      <c r="DX107" s="1495"/>
      <c r="DY107" s="1495"/>
      <c r="DZ107" s="1495"/>
      <c r="EA107" s="1495"/>
      <c r="EB107" s="1495"/>
      <c r="EC107" s="1495"/>
      <c r="ED107" s="1495"/>
      <c r="EE107" s="1495"/>
      <c r="EF107" s="1495"/>
      <c r="EG107" s="1495"/>
      <c r="EH107" s="1495"/>
      <c r="EI107" s="1495"/>
      <c r="EJ107" s="1495"/>
      <c r="EK107" s="1495"/>
      <c r="EL107" s="407"/>
      <c r="EM107" s="1495"/>
      <c r="EN107" s="407"/>
      <c r="EO107" s="1495"/>
      <c r="EP107" s="1495"/>
      <c r="EQ107" s="1495"/>
      <c r="ER107" s="1495"/>
      <c r="ES107" s="1495"/>
      <c r="ET107" s="1495"/>
      <c r="EU107" s="1495"/>
      <c r="EV107" s="1495"/>
      <c r="EW107" s="1495"/>
      <c r="EX107" s="1495"/>
      <c r="EY107" s="1495"/>
      <c r="EZ107" s="1495"/>
      <c r="FA107" s="1495"/>
      <c r="FB107" s="1495"/>
      <c r="FC107" s="1495"/>
      <c r="FD107" s="1495"/>
      <c r="FE107" s="1495"/>
      <c r="FF107" s="1495"/>
      <c r="FG107" s="1495"/>
      <c r="FH107" s="1495"/>
      <c r="FI107" s="1495"/>
      <c r="FJ107" s="1495"/>
      <c r="FK107" s="1495"/>
      <c r="FL107" s="1495"/>
      <c r="FM107" s="1495"/>
      <c r="FN107" s="1495"/>
      <c r="FO107" s="1495"/>
      <c r="FP107" s="1495"/>
      <c r="FQ107" s="1495"/>
      <c r="FR107" s="1495"/>
      <c r="FS107" s="1495"/>
      <c r="FT107" s="1495"/>
      <c r="FU107" s="1495"/>
      <c r="FV107" s="1495"/>
      <c r="FW107" s="1495"/>
      <c r="FX107" s="1495"/>
      <c r="FY107" s="1495"/>
      <c r="FZ107" s="1495"/>
      <c r="GA107" s="1495"/>
      <c r="GB107" s="1495"/>
      <c r="GC107" s="1495"/>
      <c r="GD107" s="1495"/>
      <c r="GE107" s="1495"/>
      <c r="GF107" s="1495"/>
      <c r="GG107" s="1495"/>
      <c r="GH107" s="1495"/>
      <c r="GI107" s="1495"/>
      <c r="GJ107" s="1495"/>
      <c r="GK107" s="1495"/>
      <c r="GL107" s="1495"/>
      <c r="GM107" s="1495"/>
      <c r="GN107" s="1495"/>
      <c r="GO107" s="1495"/>
      <c r="GP107" s="1495"/>
      <c r="GQ107" s="1495"/>
      <c r="GR107" s="1495"/>
      <c r="GS107" s="1495"/>
      <c r="GT107" s="1495"/>
      <c r="GU107" s="1495"/>
      <c r="GV107" s="1495"/>
      <c r="GW107" s="1495"/>
      <c r="GX107" s="1495"/>
      <c r="GY107" s="1495"/>
      <c r="GZ107" s="1495"/>
      <c r="HA107" s="1495"/>
      <c r="HB107" s="1495"/>
      <c r="HC107" s="1495"/>
      <c r="HD107" s="1495"/>
      <c r="HE107" s="1495"/>
      <c r="HF107" s="1495"/>
      <c r="HG107" s="1495"/>
      <c r="HH107" s="1495"/>
      <c r="HI107" s="1495"/>
      <c r="HJ107" s="1495"/>
      <c r="HK107" s="1495"/>
      <c r="HL107" s="1495"/>
      <c r="HM107" s="1495"/>
      <c r="HN107" s="1495"/>
      <c r="HO107" s="1495"/>
      <c r="HP107" s="1495"/>
      <c r="HQ107" s="1495"/>
      <c r="HR107" s="1495"/>
      <c r="HS107" s="1495"/>
      <c r="HT107" s="1495"/>
      <c r="HU107" s="1495"/>
      <c r="HV107" s="1495"/>
      <c r="HW107" s="1495"/>
      <c r="HX107" s="1495"/>
      <c r="HY107" s="1495"/>
      <c r="HZ107" s="1495"/>
      <c r="IA107" s="1495"/>
      <c r="IB107" s="1495"/>
      <c r="IC107" s="1495"/>
      <c r="ID107" s="1495"/>
      <c r="IE107" s="1495"/>
      <c r="IF107" s="1495"/>
      <c r="IG107" s="1495"/>
      <c r="IH107" s="1495"/>
      <c r="II107" s="1495"/>
      <c r="IJ107" s="1495"/>
      <c r="IK107" s="1495"/>
      <c r="IL107" s="1495"/>
      <c r="IM107" s="1495"/>
      <c r="IN107" s="1495"/>
      <c r="IO107" s="1495"/>
      <c r="IP107" s="1495"/>
      <c r="IQ107" s="1495"/>
      <c r="IR107" s="1495"/>
      <c r="IS107" s="1495"/>
      <c r="IT107" s="1495"/>
      <c r="IU107" s="1495"/>
      <c r="IV107" s="1495"/>
      <c r="IW107" s="1495"/>
      <c r="IX107" s="1495"/>
      <c r="IY107" s="1495"/>
      <c r="IZ107" s="1495"/>
      <c r="JA107" s="1495"/>
      <c r="JB107" s="1495"/>
      <c r="JC107" s="1495"/>
      <c r="JD107" s="1495"/>
      <c r="JE107" s="1495"/>
      <c r="JF107" s="1495"/>
      <c r="JG107" s="1495"/>
      <c r="JH107" s="1495"/>
      <c r="JI107" s="1495"/>
      <c r="JJ107" s="1495"/>
      <c r="JK107" s="1495"/>
      <c r="JL107" s="1495"/>
      <c r="JM107" s="1495"/>
      <c r="JN107" s="1495"/>
      <c r="JO107" s="1495"/>
      <c r="JP107" s="1495"/>
      <c r="JQ107" s="1495"/>
      <c r="JR107" s="1495"/>
      <c r="JS107" s="1495"/>
      <c r="JT107" s="1495"/>
      <c r="JU107" s="1495"/>
      <c r="JV107" s="1495"/>
      <c r="JW107" s="1495"/>
      <c r="JX107" s="1495"/>
      <c r="JY107" s="1495"/>
      <c r="JZ107" s="1495"/>
      <c r="KA107" s="1495"/>
      <c r="KB107" s="1495"/>
      <c r="KC107" s="1495"/>
      <c r="KD107" s="1495"/>
      <c r="KE107" s="1495"/>
      <c r="KF107" s="1495"/>
      <c r="KG107" s="1495"/>
      <c r="KH107" s="1495"/>
      <c r="KI107" s="1495"/>
      <c r="KJ107" s="1495"/>
      <c r="KK107" s="1495"/>
      <c r="KL107" s="1495"/>
      <c r="KM107" s="1495"/>
      <c r="KN107" s="1495"/>
      <c r="KO107" s="1495"/>
      <c r="KP107" s="1495"/>
      <c r="KQ107" s="1495"/>
      <c r="KR107" s="1495"/>
      <c r="KS107" s="1495"/>
      <c r="KT107" s="1495"/>
      <c r="KU107" s="1495"/>
      <c r="KV107" s="1495"/>
      <c r="KW107" s="1495"/>
      <c r="KX107" s="1495"/>
      <c r="KY107" s="1495"/>
      <c r="KZ107" s="1495"/>
      <c r="LA107" s="1495"/>
      <c r="LB107" s="1495"/>
    </row>
    <row r="108" spans="1:314">
      <c r="A108" s="1495"/>
      <c r="B108" s="418"/>
      <c r="C108" s="1495"/>
      <c r="D108" s="1495"/>
      <c r="E108" s="1495"/>
      <c r="F108" s="1495"/>
      <c r="G108" s="1495"/>
      <c r="H108" s="1495"/>
      <c r="I108" s="1495"/>
      <c r="J108" s="1495"/>
      <c r="K108" s="1495"/>
      <c r="L108" s="1495"/>
      <c r="M108" s="1495"/>
      <c r="N108" s="1495"/>
      <c r="O108" s="1495"/>
      <c r="P108" s="1495"/>
      <c r="Q108" s="1495"/>
      <c r="R108" s="1495"/>
      <c r="S108" s="1495"/>
      <c r="T108" s="1495"/>
      <c r="U108" s="1495"/>
      <c r="V108" s="1495"/>
      <c r="W108" s="1495"/>
      <c r="X108" s="1495"/>
      <c r="Y108" s="1495"/>
      <c r="Z108" s="1495"/>
      <c r="AA108" s="1495"/>
      <c r="AB108" s="1495"/>
      <c r="AC108" s="1495"/>
      <c r="AD108" s="1495"/>
      <c r="AE108" s="1495"/>
      <c r="AF108" s="1495"/>
      <c r="AG108" s="1495"/>
      <c r="AH108" s="1495"/>
      <c r="AI108" s="1495"/>
      <c r="AJ108" s="1495"/>
      <c r="AK108" s="1495"/>
      <c r="AL108" s="1495"/>
      <c r="AM108" s="1495"/>
      <c r="AN108" s="1495"/>
      <c r="AO108" s="1495"/>
      <c r="AP108" s="1495"/>
      <c r="AQ108" s="1495"/>
      <c r="AR108" s="1495"/>
      <c r="AS108" s="1495"/>
      <c r="AT108" s="1495"/>
      <c r="AU108" s="1495"/>
      <c r="AV108" s="1495"/>
      <c r="AW108" s="1495"/>
      <c r="AX108" s="1495"/>
      <c r="AY108" s="1495"/>
      <c r="AZ108" s="1495"/>
      <c r="BA108" s="1495"/>
      <c r="BB108" s="1495"/>
      <c r="BC108" s="1495"/>
      <c r="BD108" s="1495"/>
      <c r="BE108" s="1495"/>
      <c r="BF108" s="1495"/>
      <c r="BG108" s="1495"/>
      <c r="BH108" s="1495"/>
      <c r="BI108" s="1495"/>
      <c r="BJ108" s="1495"/>
      <c r="BK108" s="1495"/>
      <c r="BL108" s="1495"/>
      <c r="BM108" s="1495"/>
      <c r="BN108" s="1495"/>
      <c r="BO108" s="1495"/>
      <c r="BP108" s="418"/>
      <c r="BQ108" s="1495"/>
      <c r="BR108" s="1495"/>
      <c r="BS108" s="1495"/>
      <c r="BT108" s="1495"/>
      <c r="BU108" s="1495"/>
      <c r="BV108" s="1495"/>
      <c r="BW108" s="1495"/>
      <c r="BX108" s="1495"/>
      <c r="BY108" s="1495"/>
      <c r="BZ108" s="444"/>
      <c r="CA108" s="496"/>
      <c r="CB108" s="496"/>
      <c r="CC108" s="444"/>
      <c r="CD108" s="502"/>
      <c r="CE108" s="108"/>
      <c r="CF108" s="408"/>
      <c r="CG108" s="1495"/>
      <c r="CH108" s="1495"/>
      <c r="CI108" s="1495"/>
      <c r="CJ108" s="1495"/>
      <c r="CK108" s="1495"/>
      <c r="CL108" s="1495"/>
      <c r="CM108" s="1495"/>
      <c r="CN108" s="1495"/>
      <c r="CO108" s="1495"/>
      <c r="CP108" s="1495"/>
      <c r="CQ108" s="1495"/>
      <c r="CR108" s="1495"/>
      <c r="CS108" s="1495"/>
      <c r="CT108" s="1495"/>
      <c r="CU108" s="1495"/>
      <c r="CV108" s="1495"/>
      <c r="CW108" s="1495"/>
      <c r="CX108" s="1495"/>
      <c r="CY108" s="1495"/>
      <c r="CZ108" s="1495"/>
      <c r="DA108" s="1495"/>
      <c r="DB108" s="1495"/>
      <c r="DC108" s="1495"/>
      <c r="DD108" s="1495"/>
      <c r="DE108" s="1495"/>
      <c r="DF108" s="444"/>
      <c r="DG108" s="475"/>
      <c r="DH108" s="407"/>
      <c r="DI108" s="407"/>
      <c r="DJ108" s="1495"/>
      <c r="DK108" s="1495"/>
      <c r="DL108" s="1495"/>
      <c r="DM108" s="1495"/>
      <c r="DN108" s="1495"/>
      <c r="DO108" s="1495"/>
      <c r="DP108" s="1495"/>
      <c r="DQ108" s="1495"/>
      <c r="DR108" s="1495"/>
      <c r="DS108" s="1495"/>
      <c r="DT108" s="1495"/>
      <c r="DU108" s="1495"/>
      <c r="DV108" s="1495"/>
      <c r="DW108" s="1495"/>
      <c r="DX108" s="1495"/>
      <c r="DY108" s="1495"/>
      <c r="DZ108" s="1495"/>
      <c r="EA108" s="1495"/>
      <c r="EB108" s="1495"/>
      <c r="EC108" s="1495"/>
      <c r="ED108" s="1495"/>
      <c r="EE108" s="1495"/>
      <c r="EF108" s="1495"/>
      <c r="EG108" s="1495"/>
      <c r="EH108" s="1495"/>
      <c r="EI108" s="1495"/>
      <c r="EJ108" s="1495"/>
      <c r="EK108" s="1495"/>
      <c r="EL108" s="407"/>
      <c r="EM108" s="1495"/>
      <c r="EN108" s="407"/>
      <c r="EO108" s="1495"/>
      <c r="EP108" s="1495"/>
      <c r="EQ108" s="1495"/>
      <c r="ER108" s="1495"/>
      <c r="ES108" s="1495"/>
      <c r="ET108" s="1495"/>
      <c r="EU108" s="1495"/>
      <c r="EV108" s="1495"/>
      <c r="EW108" s="1495"/>
      <c r="EX108" s="1495"/>
      <c r="EY108" s="1495"/>
      <c r="EZ108" s="1495"/>
      <c r="FA108" s="1495"/>
      <c r="FB108" s="1495"/>
      <c r="FC108" s="1495"/>
      <c r="FD108" s="1495"/>
      <c r="FE108" s="1495"/>
      <c r="FF108" s="1495"/>
      <c r="FG108" s="1495"/>
      <c r="FH108" s="1495"/>
      <c r="FI108" s="1495"/>
      <c r="FJ108" s="1495"/>
      <c r="FK108" s="1495"/>
      <c r="FL108" s="1495"/>
      <c r="FM108" s="1495"/>
      <c r="FN108" s="1495"/>
      <c r="FO108" s="1495"/>
      <c r="FP108" s="1495"/>
      <c r="FQ108" s="1495"/>
      <c r="FR108" s="1495"/>
      <c r="FS108" s="1495"/>
      <c r="FT108" s="1495"/>
      <c r="FU108" s="1495"/>
      <c r="FV108" s="1495"/>
      <c r="FW108" s="1495"/>
      <c r="FX108" s="1495"/>
      <c r="FY108" s="1495"/>
      <c r="FZ108" s="1495"/>
      <c r="GA108" s="1495"/>
      <c r="GB108" s="1495"/>
      <c r="GC108" s="1495"/>
      <c r="GD108" s="1495"/>
      <c r="GE108" s="1495"/>
      <c r="GF108" s="1495"/>
      <c r="GG108" s="1495"/>
      <c r="GH108" s="1495"/>
      <c r="GI108" s="1495"/>
      <c r="GJ108" s="1495"/>
      <c r="GK108" s="1495"/>
      <c r="GL108" s="1495"/>
      <c r="GM108" s="1495"/>
      <c r="GN108" s="1495"/>
      <c r="GO108" s="1495"/>
      <c r="GP108" s="1495"/>
      <c r="GQ108" s="1495"/>
      <c r="GR108" s="1495"/>
      <c r="GS108" s="1495"/>
      <c r="GT108" s="1495"/>
      <c r="GU108" s="1495"/>
      <c r="GV108" s="1495"/>
      <c r="GW108" s="1495"/>
      <c r="GX108" s="1495"/>
      <c r="GY108" s="1495"/>
      <c r="GZ108" s="1495"/>
      <c r="HA108" s="1495"/>
      <c r="HB108" s="1495"/>
      <c r="HC108" s="1495"/>
      <c r="HD108" s="1495"/>
      <c r="HE108" s="1495"/>
      <c r="HF108" s="1495"/>
      <c r="HG108" s="1495"/>
      <c r="HH108" s="1495"/>
      <c r="HI108" s="1495"/>
      <c r="HJ108" s="1495"/>
      <c r="HK108" s="1495"/>
      <c r="HL108" s="1495"/>
      <c r="HM108" s="1495"/>
      <c r="HN108" s="1495"/>
      <c r="HO108" s="1495"/>
      <c r="HP108" s="1495"/>
      <c r="HQ108" s="1495"/>
      <c r="HR108" s="1495"/>
      <c r="HS108" s="1495"/>
      <c r="HT108" s="1495"/>
      <c r="HU108" s="1495"/>
      <c r="HV108" s="1495"/>
      <c r="HW108" s="1495"/>
      <c r="HX108" s="1495"/>
      <c r="HY108" s="1495"/>
      <c r="HZ108" s="1495"/>
      <c r="IA108" s="1495"/>
      <c r="IB108" s="1495"/>
      <c r="IC108" s="1495"/>
      <c r="ID108" s="1495"/>
      <c r="IE108" s="1495"/>
      <c r="IF108" s="1495"/>
      <c r="IG108" s="1495"/>
      <c r="IH108" s="1495"/>
      <c r="II108" s="1495"/>
      <c r="IJ108" s="1495"/>
      <c r="IK108" s="1495"/>
      <c r="IL108" s="1495"/>
      <c r="IM108" s="1495"/>
      <c r="IN108" s="1495"/>
      <c r="IO108" s="1495"/>
      <c r="IP108" s="1495"/>
      <c r="IQ108" s="1495"/>
      <c r="IR108" s="1495"/>
      <c r="IS108" s="1495"/>
      <c r="IT108" s="1495"/>
      <c r="IU108" s="1495"/>
      <c r="IV108" s="1495"/>
      <c r="IW108" s="1495"/>
      <c r="IX108" s="1495"/>
      <c r="IY108" s="1495"/>
      <c r="IZ108" s="1495"/>
      <c r="JA108" s="1495"/>
      <c r="JB108" s="1495"/>
      <c r="JC108" s="1495"/>
      <c r="JD108" s="1495"/>
      <c r="JE108" s="1495"/>
      <c r="JF108" s="1495"/>
      <c r="JG108" s="1495"/>
      <c r="JH108" s="1495"/>
      <c r="JI108" s="1495"/>
      <c r="JJ108" s="1495"/>
      <c r="JK108" s="1495"/>
      <c r="JL108" s="1495"/>
      <c r="JM108" s="1495"/>
      <c r="JN108" s="1495"/>
      <c r="JO108" s="1495"/>
      <c r="JP108" s="1495"/>
      <c r="JQ108" s="1495"/>
      <c r="JR108" s="1495"/>
      <c r="JS108" s="1495"/>
      <c r="JT108" s="1495"/>
      <c r="JU108" s="1495"/>
      <c r="JV108" s="1495"/>
      <c r="JW108" s="1495"/>
      <c r="JX108" s="1495"/>
      <c r="JY108" s="1495"/>
      <c r="JZ108" s="1495"/>
      <c r="KA108" s="1495"/>
      <c r="KB108" s="1495"/>
      <c r="KC108" s="1495"/>
      <c r="KD108" s="1495"/>
      <c r="KE108" s="1495"/>
      <c r="KF108" s="1495"/>
      <c r="KG108" s="1495"/>
      <c r="KH108" s="1495"/>
      <c r="KI108" s="1495"/>
      <c r="KJ108" s="1495"/>
      <c r="KK108" s="1495"/>
      <c r="KL108" s="1495"/>
      <c r="KM108" s="1495"/>
      <c r="KN108" s="1495"/>
      <c r="KO108" s="1495"/>
      <c r="KP108" s="1495"/>
      <c r="KQ108" s="1495"/>
      <c r="KR108" s="1495"/>
      <c r="KS108" s="1495"/>
      <c r="KT108" s="1495"/>
      <c r="KU108" s="1495"/>
      <c r="KV108" s="1495"/>
      <c r="KW108" s="1495"/>
      <c r="KX108" s="1495"/>
      <c r="KY108" s="1495"/>
      <c r="KZ108" s="1495"/>
      <c r="LA108" s="1495"/>
      <c r="LB108" s="1495"/>
    </row>
    <row r="109" spans="1:314">
      <c r="A109" s="1495"/>
      <c r="B109" s="418"/>
      <c r="C109" s="1495"/>
      <c r="D109" s="1495"/>
      <c r="E109" s="1495"/>
      <c r="F109" s="1495"/>
      <c r="G109" s="1495"/>
      <c r="H109" s="1495"/>
      <c r="I109" s="1495"/>
      <c r="J109" s="1495"/>
      <c r="K109" s="1495"/>
      <c r="L109" s="1495"/>
      <c r="M109" s="1495"/>
      <c r="N109" s="1495"/>
      <c r="O109" s="1495"/>
      <c r="P109" s="1495"/>
      <c r="Q109" s="1495"/>
      <c r="R109" s="1495"/>
      <c r="S109" s="1495"/>
      <c r="T109" s="1495"/>
      <c r="U109" s="1495"/>
      <c r="V109" s="1495"/>
      <c r="W109" s="1495"/>
      <c r="X109" s="1495"/>
      <c r="Y109" s="1495"/>
      <c r="Z109" s="1495"/>
      <c r="AA109" s="1495"/>
      <c r="AB109" s="1495"/>
      <c r="AC109" s="1495"/>
      <c r="AD109" s="1495"/>
      <c r="AE109" s="1495"/>
      <c r="AF109" s="1495"/>
      <c r="AG109" s="1495"/>
      <c r="AH109" s="1495"/>
      <c r="AI109" s="1495"/>
      <c r="AJ109" s="1495"/>
      <c r="AK109" s="1495"/>
      <c r="AL109" s="1495"/>
      <c r="AM109" s="1495"/>
      <c r="AN109" s="1495"/>
      <c r="AO109" s="1495"/>
      <c r="AP109" s="1495"/>
      <c r="AQ109" s="1495"/>
      <c r="AR109" s="1495"/>
      <c r="AS109" s="1495"/>
      <c r="AT109" s="1495"/>
      <c r="AU109" s="1495"/>
      <c r="AV109" s="1495"/>
      <c r="AW109" s="1495"/>
      <c r="AX109" s="1495"/>
      <c r="AY109" s="1495"/>
      <c r="AZ109" s="1495"/>
      <c r="BA109" s="1495"/>
      <c r="BB109" s="1495"/>
      <c r="BC109" s="1495"/>
      <c r="BD109" s="1495"/>
      <c r="BE109" s="1495"/>
      <c r="BF109" s="1495"/>
      <c r="BG109" s="1495"/>
      <c r="BH109" s="1495"/>
      <c r="BI109" s="1495"/>
      <c r="BJ109" s="1495"/>
      <c r="BK109" s="1495"/>
      <c r="BL109" s="1495"/>
      <c r="BM109" s="1495"/>
      <c r="BN109" s="1495"/>
      <c r="BO109" s="1495"/>
      <c r="BP109" s="418"/>
      <c r="BQ109" s="1495"/>
      <c r="BR109" s="1495"/>
      <c r="BS109" s="1495"/>
      <c r="BT109" s="1495"/>
      <c r="BU109" s="1495"/>
      <c r="BV109" s="1495"/>
      <c r="BW109" s="1495"/>
      <c r="BX109" s="1495"/>
      <c r="BY109" s="1495"/>
      <c r="BZ109" s="444"/>
      <c r="CA109" s="496"/>
      <c r="CB109" s="496"/>
      <c r="CC109" s="444"/>
      <c r="CD109" s="502"/>
      <c r="CE109" s="108"/>
      <c r="CF109" s="408"/>
      <c r="CG109" s="1495"/>
      <c r="CH109" s="1495"/>
      <c r="CI109" s="1495"/>
      <c r="CJ109" s="1495"/>
      <c r="CK109" s="1495"/>
      <c r="CL109" s="1495"/>
      <c r="CM109" s="1495"/>
      <c r="CN109" s="1495"/>
      <c r="CO109" s="1495"/>
      <c r="CP109" s="1495"/>
      <c r="CQ109" s="1495"/>
      <c r="CR109" s="1495"/>
      <c r="CS109" s="1495"/>
      <c r="CT109" s="1495"/>
      <c r="CU109" s="1495"/>
      <c r="CV109" s="1495"/>
      <c r="CW109" s="1495"/>
      <c r="CX109" s="1495"/>
      <c r="CY109" s="1495"/>
      <c r="CZ109" s="1495"/>
      <c r="DA109" s="1495"/>
      <c r="DB109" s="1495"/>
      <c r="DC109" s="1495"/>
      <c r="DD109" s="1495"/>
      <c r="DE109" s="1495"/>
      <c r="DF109" s="1495"/>
      <c r="DG109" s="1495"/>
      <c r="DH109" s="1495"/>
      <c r="DI109" s="1495"/>
      <c r="DJ109" s="1495"/>
      <c r="DK109" s="1495"/>
      <c r="DL109" s="1495"/>
      <c r="DM109" s="1495"/>
      <c r="DN109" s="1495"/>
      <c r="DO109" s="1495"/>
      <c r="DP109" s="1495"/>
      <c r="DQ109" s="1495"/>
      <c r="DR109" s="1495"/>
      <c r="DS109" s="1495"/>
      <c r="DT109" s="1495"/>
      <c r="DU109" s="1495"/>
      <c r="DV109" s="1495"/>
      <c r="DW109" s="1495"/>
      <c r="DX109" s="1495"/>
      <c r="DY109" s="1495"/>
      <c r="DZ109" s="1495"/>
      <c r="EA109" s="1495"/>
      <c r="EB109" s="1495"/>
      <c r="EC109" s="1495"/>
      <c r="ED109" s="1495"/>
      <c r="EE109" s="1495"/>
      <c r="EF109" s="1495"/>
      <c r="EG109" s="1495"/>
      <c r="EH109" s="1495"/>
      <c r="EI109" s="1495"/>
      <c r="EJ109" s="1495"/>
      <c r="EK109" s="1495"/>
      <c r="EL109" s="407"/>
      <c r="EM109" s="1495"/>
      <c r="EN109" s="407"/>
      <c r="EO109" s="1495"/>
      <c r="EP109" s="1495"/>
      <c r="EQ109" s="1495"/>
      <c r="ER109" s="1495"/>
      <c r="ES109" s="1495"/>
      <c r="ET109" s="1495"/>
      <c r="EU109" s="1495"/>
      <c r="EV109" s="1495"/>
      <c r="EW109" s="1495"/>
      <c r="EX109" s="1495"/>
      <c r="EY109" s="1495"/>
      <c r="EZ109" s="1495"/>
      <c r="FA109" s="1495"/>
      <c r="FB109" s="1495"/>
      <c r="FC109" s="1495"/>
      <c r="FD109" s="1495"/>
      <c r="FE109" s="1495"/>
      <c r="FF109" s="1495"/>
      <c r="FG109" s="1495"/>
      <c r="FH109" s="1495"/>
      <c r="FI109" s="1495"/>
      <c r="FJ109" s="1495"/>
      <c r="FK109" s="1495"/>
      <c r="FL109" s="1495"/>
      <c r="FM109" s="1495"/>
      <c r="FN109" s="1495"/>
      <c r="FO109" s="1495"/>
      <c r="FP109" s="1495"/>
      <c r="FQ109" s="1495"/>
      <c r="FR109" s="1495"/>
      <c r="FS109" s="1495"/>
      <c r="FT109" s="1495"/>
      <c r="FU109" s="1495"/>
      <c r="FV109" s="1495"/>
      <c r="FW109" s="1495"/>
      <c r="FX109" s="1495"/>
      <c r="FY109" s="1495"/>
      <c r="FZ109" s="1495"/>
      <c r="GA109" s="1495"/>
      <c r="GB109" s="1495"/>
      <c r="GC109" s="1495"/>
      <c r="GD109" s="1495"/>
      <c r="GE109" s="1495"/>
      <c r="GF109" s="1495"/>
      <c r="GG109" s="1495"/>
      <c r="GH109" s="1495"/>
      <c r="GI109" s="1495"/>
      <c r="GJ109" s="1495"/>
      <c r="GK109" s="1495"/>
      <c r="GL109" s="1495"/>
      <c r="GM109" s="1495"/>
      <c r="GN109" s="1495"/>
      <c r="GO109" s="1495"/>
      <c r="GP109" s="1495"/>
      <c r="GQ109" s="1495"/>
      <c r="GR109" s="1495"/>
      <c r="GS109" s="1495"/>
      <c r="GT109" s="1495"/>
      <c r="GU109" s="1495"/>
      <c r="GV109" s="1495"/>
      <c r="GW109" s="1495"/>
      <c r="GX109" s="1495"/>
      <c r="GY109" s="1495"/>
      <c r="GZ109" s="1495"/>
      <c r="HA109" s="1495"/>
      <c r="HB109" s="1495"/>
      <c r="HC109" s="1495"/>
      <c r="HD109" s="1495"/>
      <c r="HE109" s="1495"/>
      <c r="HF109" s="1495"/>
      <c r="HG109" s="1495"/>
      <c r="HH109" s="1495"/>
      <c r="HI109" s="1495"/>
      <c r="HJ109" s="1495"/>
      <c r="HK109" s="1495"/>
      <c r="HL109" s="1495"/>
      <c r="HM109" s="1495"/>
      <c r="HN109" s="1495"/>
      <c r="HO109" s="1495"/>
      <c r="HP109" s="1495"/>
      <c r="HQ109" s="1495"/>
      <c r="HR109" s="1495"/>
      <c r="HS109" s="1495"/>
      <c r="HT109" s="1495"/>
      <c r="HU109" s="1495"/>
      <c r="HV109" s="1495"/>
      <c r="HW109" s="1495"/>
      <c r="HX109" s="1495"/>
      <c r="HY109" s="1495"/>
      <c r="HZ109" s="1495"/>
      <c r="IA109" s="1495"/>
      <c r="IB109" s="1495"/>
      <c r="IC109" s="1495"/>
      <c r="ID109" s="1495"/>
      <c r="IE109" s="1495"/>
      <c r="IF109" s="1495"/>
      <c r="IG109" s="1495"/>
      <c r="IH109" s="1495"/>
      <c r="II109" s="1495"/>
      <c r="IJ109" s="1495"/>
      <c r="IK109" s="1495"/>
      <c r="IL109" s="1495"/>
      <c r="IM109" s="1495"/>
      <c r="IN109" s="1495"/>
      <c r="IO109" s="1495"/>
      <c r="IP109" s="1495"/>
      <c r="IQ109" s="1495"/>
      <c r="IR109" s="1495"/>
      <c r="IS109" s="1495"/>
      <c r="IT109" s="1495"/>
      <c r="IU109" s="1495"/>
      <c r="IV109" s="1495"/>
      <c r="IW109" s="1495"/>
      <c r="IX109" s="1495"/>
      <c r="IY109" s="1495"/>
      <c r="IZ109" s="1495"/>
      <c r="JA109" s="1495"/>
      <c r="JB109" s="1495"/>
      <c r="JC109" s="1495"/>
      <c r="JD109" s="1495"/>
      <c r="JE109" s="1495"/>
      <c r="JF109" s="1495"/>
      <c r="JG109" s="1495"/>
      <c r="JH109" s="1495"/>
      <c r="JI109" s="1495"/>
      <c r="JJ109" s="1495"/>
      <c r="JK109" s="1495"/>
      <c r="JL109" s="1495"/>
      <c r="JM109" s="1495"/>
      <c r="JN109" s="1495"/>
      <c r="JO109" s="1495"/>
      <c r="JP109" s="1495"/>
      <c r="JQ109" s="1495"/>
      <c r="JR109" s="1495"/>
      <c r="JS109" s="1495"/>
      <c r="JT109" s="1495"/>
      <c r="JU109" s="1495"/>
      <c r="JV109" s="1495"/>
      <c r="JW109" s="1495"/>
      <c r="JX109" s="1495"/>
      <c r="JY109" s="1495"/>
      <c r="JZ109" s="1495"/>
      <c r="KA109" s="1495"/>
      <c r="KB109" s="1495"/>
      <c r="KC109" s="1495"/>
      <c r="KD109" s="1495"/>
      <c r="KE109" s="1495"/>
      <c r="KF109" s="1495"/>
      <c r="KG109" s="1495"/>
      <c r="KH109" s="1495"/>
      <c r="KI109" s="1495"/>
      <c r="KJ109" s="1495"/>
      <c r="KK109" s="1495"/>
      <c r="KL109" s="1495"/>
      <c r="KM109" s="1495"/>
      <c r="KN109" s="1495"/>
      <c r="KO109" s="1495"/>
      <c r="KP109" s="1495"/>
      <c r="KQ109" s="1495"/>
      <c r="KR109" s="1495"/>
      <c r="KS109" s="1495"/>
      <c r="KT109" s="1495"/>
      <c r="KU109" s="1495"/>
      <c r="KV109" s="1495"/>
      <c r="KW109" s="1495"/>
      <c r="KX109" s="1495"/>
      <c r="KY109" s="1495"/>
      <c r="KZ109" s="1495"/>
      <c r="LA109" s="1495"/>
      <c r="LB109" s="1495"/>
    </row>
    <row r="110" spans="1:314">
      <c r="BZ110" s="444"/>
      <c r="CA110" s="496"/>
      <c r="CB110" s="496"/>
      <c r="CC110" s="408"/>
    </row>
  </sheetData>
  <mergeCells count="189">
    <mergeCell ref="HZ2:IW2"/>
    <mergeCell ref="IX2:JU2"/>
    <mergeCell ref="JV2:KX2"/>
    <mergeCell ref="C2:Z2"/>
    <mergeCell ref="AA2:AX2"/>
    <mergeCell ref="AY2:CA2"/>
    <mergeCell ref="CB2:CY2"/>
    <mergeCell ref="CZ2:DW2"/>
    <mergeCell ref="DX2:EZ2"/>
    <mergeCell ref="FA2:FX2"/>
    <mergeCell ref="FY2:GV2"/>
    <mergeCell ref="GW2:HY2"/>
    <mergeCell ref="CB3:CF3"/>
    <mergeCell ref="AF3:AJ3"/>
    <mergeCell ref="AK3:AO3"/>
    <mergeCell ref="AP3:AT3"/>
    <mergeCell ref="CG3:CK3"/>
    <mergeCell ref="CL3:CP3"/>
    <mergeCell ref="CQ3:CU3"/>
    <mergeCell ref="C3:G3"/>
    <mergeCell ref="H3:L3"/>
    <mergeCell ref="M3:Q3"/>
    <mergeCell ref="R3:V3"/>
    <mergeCell ref="AA3:AE3"/>
    <mergeCell ref="AC4:AC5"/>
    <mergeCell ref="AE4:AE5"/>
    <mergeCell ref="AH4:AH5"/>
    <mergeCell ref="AJ4:AJ5"/>
    <mergeCell ref="AM4:AM5"/>
    <mergeCell ref="AO4:AO5"/>
    <mergeCell ref="IX3:JB3"/>
    <mergeCell ref="JC3:JG3"/>
    <mergeCell ref="JH3:JL3"/>
    <mergeCell ref="HL3:HP3"/>
    <mergeCell ref="HQ3:HU3"/>
    <mergeCell ref="HZ3:ID3"/>
    <mergeCell ref="IE3:II3"/>
    <mergeCell ref="IJ3:IN3"/>
    <mergeCell ref="FF3:FJ3"/>
    <mergeCell ref="FK3:FO3"/>
    <mergeCell ref="FP3:FT3"/>
    <mergeCell ref="FY3:GC3"/>
    <mergeCell ref="GD3:GH3"/>
    <mergeCell ref="GI3:GM3"/>
    <mergeCell ref="GN3:GR3"/>
    <mergeCell ref="GW3:HA3"/>
    <mergeCell ref="HB3:HF3"/>
    <mergeCell ref="HG3:HK3"/>
    <mergeCell ref="B4:B5"/>
    <mergeCell ref="E4:E5"/>
    <mergeCell ref="G4:G5"/>
    <mergeCell ref="J4:J5"/>
    <mergeCell ref="L4:L5"/>
    <mergeCell ref="O4:O5"/>
    <mergeCell ref="Q4:Q5"/>
    <mergeCell ref="T4:T5"/>
    <mergeCell ref="V4:V5"/>
    <mergeCell ref="AR4:AR5"/>
    <mergeCell ref="AT4:AT5"/>
    <mergeCell ref="BA4:BA5"/>
    <mergeCell ref="BC4:BC5"/>
    <mergeCell ref="BF4:BF5"/>
    <mergeCell ref="BH4:BH5"/>
    <mergeCell ref="IO3:IS3"/>
    <mergeCell ref="BK4:BK5"/>
    <mergeCell ref="BM4:BM5"/>
    <mergeCell ref="BP4:BP5"/>
    <mergeCell ref="BR4:BR5"/>
    <mergeCell ref="BU4:BU5"/>
    <mergeCell ref="BW4:BW5"/>
    <mergeCell ref="CS4:CS5"/>
    <mergeCell ref="CU4:CU5"/>
    <mergeCell ref="CZ3:DD3"/>
    <mergeCell ref="DE3:DI3"/>
    <mergeCell ref="DJ3:DN3"/>
    <mergeCell ref="DO3:DS3"/>
    <mergeCell ref="DX3:EB3"/>
    <mergeCell ref="EC3:EG3"/>
    <mergeCell ref="EH3:EL3"/>
    <mergeCell ref="EM3:EQ3"/>
    <mergeCell ref="ER3:EV3"/>
    <mergeCell ref="EL4:EL5"/>
    <mergeCell ref="EO4:EO5"/>
    <mergeCell ref="EQ4:EQ5"/>
    <mergeCell ref="DB4:DB5"/>
    <mergeCell ref="DD4:DD5"/>
    <mergeCell ref="DG4:DG5"/>
    <mergeCell ref="DI4:DI5"/>
    <mergeCell ref="CD4:CD5"/>
    <mergeCell ref="CF4:CF5"/>
    <mergeCell ref="CI4:CI5"/>
    <mergeCell ref="CK4:CK5"/>
    <mergeCell ref="CN4:CN5"/>
    <mergeCell ref="CP4:CP5"/>
    <mergeCell ref="DL4:DL5"/>
    <mergeCell ref="DN4:DN5"/>
    <mergeCell ref="DQ4:DQ5"/>
    <mergeCell ref="DS4:DS5"/>
    <mergeCell ref="DZ4:DZ5"/>
    <mergeCell ref="EB4:EB5"/>
    <mergeCell ref="EE4:EE5"/>
    <mergeCell ref="EG4:EG5"/>
    <mergeCell ref="EJ4:EJ5"/>
    <mergeCell ref="HI4:HI5"/>
    <mergeCell ref="HK4:HK5"/>
    <mergeCell ref="ET4:ET5"/>
    <mergeCell ref="EV4:EV5"/>
    <mergeCell ref="FC4:FC5"/>
    <mergeCell ref="FE4:FE5"/>
    <mergeCell ref="FH4:FH5"/>
    <mergeCell ref="FJ4:FJ5"/>
    <mergeCell ref="FM4:FM5"/>
    <mergeCell ref="FO4:FO5"/>
    <mergeCell ref="FR4:FR5"/>
    <mergeCell ref="FT4:FT5"/>
    <mergeCell ref="GA4:GA5"/>
    <mergeCell ref="GC4:GC5"/>
    <mergeCell ref="KY2:LB3"/>
    <mergeCell ref="GW71:GW75"/>
    <mergeCell ref="KY4:KY5"/>
    <mergeCell ref="KZ4:KZ5"/>
    <mergeCell ref="LA4:LA5"/>
    <mergeCell ref="LB4:LB5"/>
    <mergeCell ref="KR4:KR5"/>
    <mergeCell ref="KT4:KT5"/>
    <mergeCell ref="KC4:KC5"/>
    <mergeCell ref="KE4:KE5"/>
    <mergeCell ref="HN4:HN5"/>
    <mergeCell ref="HP4:HP5"/>
    <mergeCell ref="HS4:HS5"/>
    <mergeCell ref="HU4:HU5"/>
    <mergeCell ref="IB4:IB5"/>
    <mergeCell ref="ID4:ID5"/>
    <mergeCell ref="JJ4:JJ5"/>
    <mergeCell ref="JL4:JL5"/>
    <mergeCell ref="IG4:IG5"/>
    <mergeCell ref="II4:II5"/>
    <mergeCell ref="IL4:IL5"/>
    <mergeCell ref="IN4:IN5"/>
    <mergeCell ref="IQ4:IQ5"/>
    <mergeCell ref="IS4:IS5"/>
    <mergeCell ref="JE4:JE5"/>
    <mergeCell ref="JG4:JG5"/>
    <mergeCell ref="B66:B68"/>
    <mergeCell ref="GW67:GW70"/>
    <mergeCell ref="KH4:KH5"/>
    <mergeCell ref="KJ4:KJ5"/>
    <mergeCell ref="KM4:KM5"/>
    <mergeCell ref="KO4:KO5"/>
    <mergeCell ref="JO4:JO5"/>
    <mergeCell ref="JQ4:JQ5"/>
    <mergeCell ref="JX4:JX5"/>
    <mergeCell ref="JZ4:JZ5"/>
    <mergeCell ref="IZ4:IZ5"/>
    <mergeCell ref="JB4:JB5"/>
    <mergeCell ref="GF4:GF5"/>
    <mergeCell ref="GH4:GH5"/>
    <mergeCell ref="GK4:GK5"/>
    <mergeCell ref="GM4:GM5"/>
    <mergeCell ref="GP4:GP5"/>
    <mergeCell ref="GR4:GR5"/>
    <mergeCell ref="GY4:GY5"/>
    <mergeCell ref="HA4:HA5"/>
    <mergeCell ref="HD4:HD5"/>
    <mergeCell ref="HF4:HF5"/>
    <mergeCell ref="KV3:KX3"/>
    <mergeCell ref="JS3:JU3"/>
    <mergeCell ref="IU3:IW3"/>
    <mergeCell ref="HW3:HY3"/>
    <mergeCell ref="GT3:GV3"/>
    <mergeCell ref="FV3:FX3"/>
    <mergeCell ref="EX3:EZ3"/>
    <mergeCell ref="X3:Z3"/>
    <mergeCell ref="AV3:AX3"/>
    <mergeCell ref="BY3:CA3"/>
    <mergeCell ref="DU3:DW3"/>
    <mergeCell ref="CW3:CY3"/>
    <mergeCell ref="JV3:JZ3"/>
    <mergeCell ref="KA3:KE3"/>
    <mergeCell ref="KF3:KJ3"/>
    <mergeCell ref="KK3:KO3"/>
    <mergeCell ref="KP3:KT3"/>
    <mergeCell ref="JM3:JQ3"/>
    <mergeCell ref="FA3:FE3"/>
    <mergeCell ref="AY3:BC3"/>
    <mergeCell ref="BD3:BH3"/>
    <mergeCell ref="BI3:BM3"/>
    <mergeCell ref="BN3:BR3"/>
    <mergeCell ref="BS3:BW3"/>
  </mergeCells>
  <pageMargins left="0.7" right="0.7" top="0.75" bottom="0.75" header="0.3" footer="0.3"/>
  <pageSetup paperSize="9" orientation="portrait" horizontalDpi="300" verticalDpi="0" copies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/>
  <dimension ref="A1:X53"/>
  <sheetViews>
    <sheetView workbookViewId="0">
      <pane xSplit="4" ySplit="8" topLeftCell="E37" activePane="bottomRight" state="frozen"/>
      <selection pane="bottomRight"/>
      <selection pane="bottomLeft"/>
      <selection pane="topRight"/>
    </sheetView>
  </sheetViews>
  <sheetFormatPr defaultColWidth="9.140625" defaultRowHeight="15"/>
  <cols>
    <col min="1" max="1" width="6.7109375" bestFit="1" customWidth="1"/>
    <col min="2" max="2" width="3.140625" bestFit="1" customWidth="1"/>
    <col min="3" max="3" width="31.85546875" customWidth="1"/>
    <col min="8" max="8" width="9" customWidth="1"/>
    <col min="13" max="13" width="11.85546875" customWidth="1"/>
    <col min="22" max="22" width="11.28515625" customWidth="1"/>
  </cols>
  <sheetData>
    <row r="1" spans="1:24" ht="18.75" customHeight="1">
      <c r="A1" s="359" t="s">
        <v>513</v>
      </c>
      <c r="B1" s="1495"/>
      <c r="C1" s="1495" t="s">
        <v>602</v>
      </c>
      <c r="D1" s="1495"/>
      <c r="E1" s="1495"/>
      <c r="F1" s="1495"/>
      <c r="G1" s="1495"/>
      <c r="H1" s="1495"/>
      <c r="I1" s="1495"/>
      <c r="J1" s="1495"/>
      <c r="K1" s="1495"/>
      <c r="L1" s="1495"/>
      <c r="M1" s="1495"/>
      <c r="N1" s="1495"/>
      <c r="O1" s="1495"/>
      <c r="P1" s="1495"/>
      <c r="Q1" s="1495"/>
      <c r="R1" s="1495"/>
      <c r="S1" s="1495"/>
      <c r="T1" s="1495"/>
      <c r="U1" s="1495"/>
      <c r="V1" s="1495"/>
      <c r="W1" s="1495"/>
      <c r="X1" s="1495"/>
    </row>
    <row r="2" spans="1:24">
      <c r="A2" s="359" t="s">
        <v>513</v>
      </c>
      <c r="B2" s="1495"/>
      <c r="C2" s="1495"/>
      <c r="D2" s="1495" t="s">
        <v>603</v>
      </c>
      <c r="E2" s="1495" t="s">
        <v>604</v>
      </c>
      <c r="F2" s="1495" t="s">
        <v>605</v>
      </c>
      <c r="G2" s="1495" t="s">
        <v>606</v>
      </c>
      <c r="H2" s="360" t="s">
        <v>607</v>
      </c>
      <c r="I2" s="1495" t="s">
        <v>604</v>
      </c>
      <c r="J2" s="1495" t="s">
        <v>608</v>
      </c>
      <c r="K2" s="1495" t="s">
        <v>609</v>
      </c>
      <c r="L2" s="1495" t="s">
        <v>610</v>
      </c>
      <c r="M2" s="360" t="s">
        <v>607</v>
      </c>
      <c r="N2" s="1495" t="s">
        <v>604</v>
      </c>
      <c r="O2" s="1495" t="s">
        <v>611</v>
      </c>
      <c r="P2" s="1495" t="s">
        <v>612</v>
      </c>
      <c r="Q2" s="1495" t="s">
        <v>613</v>
      </c>
      <c r="R2" s="360" t="s">
        <v>607</v>
      </c>
      <c r="S2" s="1495" t="s">
        <v>604</v>
      </c>
      <c r="T2" s="1495" t="s">
        <v>614</v>
      </c>
      <c r="U2" s="1495" t="s">
        <v>615</v>
      </c>
      <c r="V2" s="1495" t="s">
        <v>616</v>
      </c>
      <c r="W2" s="360" t="s">
        <v>607</v>
      </c>
      <c r="X2" s="1495" t="s">
        <v>604</v>
      </c>
    </row>
    <row r="3" spans="1:24">
      <c r="A3" s="359" t="s">
        <v>513</v>
      </c>
      <c r="B3" s="1495"/>
      <c r="C3" s="1495" t="s">
        <v>617</v>
      </c>
      <c r="D3" s="1495"/>
      <c r="E3" s="1495" t="s">
        <v>618</v>
      </c>
      <c r="F3" s="367">
        <f>'Ventas Mensuales'!K46/1000</f>
        <v>363.48724050000004</v>
      </c>
      <c r="G3" s="367">
        <f>'Ventas Mensuales'!N46/1000</f>
        <v>491.68003962500001</v>
      </c>
      <c r="H3" s="368">
        <f>SUM(F3:G3)</f>
        <v>855.16728012500005</v>
      </c>
      <c r="I3" s="360"/>
      <c r="J3" s="367">
        <f>'Ventas Mensuales'!S46/1000</f>
        <v>500.69150790500009</v>
      </c>
      <c r="K3" s="367">
        <f>'Ventas Mensuales'!X46/1000</f>
        <v>553.60354919999997</v>
      </c>
      <c r="L3" s="367">
        <f>'Ventas Mensuales'!AC46/1000</f>
        <v>762.40246916000001</v>
      </c>
      <c r="M3" s="369">
        <f>SUM(J3:L3)</f>
        <v>1816.6975262650001</v>
      </c>
      <c r="N3" s="360"/>
      <c r="O3" s="367">
        <f>'Ventas Mensuales'!AH46/1000</f>
        <v>610.65017877000002</v>
      </c>
      <c r="P3" s="367">
        <f>'Ventas Mensuales'!AM46/1000</f>
        <v>594.80677662000005</v>
      </c>
      <c r="Q3" s="367">
        <f>'Ventas Mensuales'!AR46/1000</f>
        <v>781.65338556199993</v>
      </c>
      <c r="R3" s="369">
        <f>SUM(O3:Q3)</f>
        <v>1987.1103409520001</v>
      </c>
      <c r="S3" s="360"/>
      <c r="T3" s="367">
        <f>'Ventas Mensuales'!AW46/1000</f>
        <v>675.78616675000012</v>
      </c>
      <c r="U3" s="367">
        <f>'Ventas Mensuales'!BB46/1000</f>
        <v>771.84005232000015</v>
      </c>
      <c r="V3" s="367">
        <f>'Ventas Mensuales'!BG46/1000</f>
        <v>1782.5037474700005</v>
      </c>
      <c r="W3" s="369">
        <f>SUM(T3:V3)</f>
        <v>3230.1299665400011</v>
      </c>
      <c r="X3" s="361"/>
    </row>
    <row r="4" spans="1:24">
      <c r="A4" s="359" t="s">
        <v>513</v>
      </c>
      <c r="B4" s="1495"/>
      <c r="C4" s="1495" t="s">
        <v>619</v>
      </c>
      <c r="D4" s="363">
        <v>0.2</v>
      </c>
      <c r="E4" s="1495" t="s">
        <v>618</v>
      </c>
      <c r="F4" s="1495"/>
      <c r="G4" s="1495"/>
      <c r="H4" s="360">
        <f>F4+G4</f>
        <v>0</v>
      </c>
      <c r="I4" s="360"/>
      <c r="J4" s="370">
        <f>J3*$D4</f>
        <v>100.13830158100002</v>
      </c>
      <c r="K4" s="370">
        <f>K3*$D4</f>
        <v>110.72070984</v>
      </c>
      <c r="L4" s="370">
        <f>L3*$D4</f>
        <v>152.48049383200001</v>
      </c>
      <c r="M4" s="372">
        <f>J4+K4+L4</f>
        <v>363.33950525300003</v>
      </c>
      <c r="N4" s="360"/>
      <c r="O4" s="370">
        <f t="shared" ref="O4:Q4" si="0">O3*$D4</f>
        <v>122.130035754</v>
      </c>
      <c r="P4" s="370">
        <f t="shared" si="0"/>
        <v>118.96135532400001</v>
      </c>
      <c r="Q4" s="370">
        <f t="shared" si="0"/>
        <v>156.3306771124</v>
      </c>
      <c r="R4" s="372">
        <f>O4+P4+Q4</f>
        <v>397.42206819040001</v>
      </c>
      <c r="S4" s="360"/>
      <c r="T4" s="371">
        <f t="shared" ref="T4" si="1">T3*$D4</f>
        <v>135.15723335000004</v>
      </c>
      <c r="U4" s="371">
        <f>U3*$D4</f>
        <v>154.36801046400004</v>
      </c>
      <c r="V4" s="371">
        <f t="shared" ref="V4" si="2">V3*$D4</f>
        <v>356.5007494940001</v>
      </c>
      <c r="W4" s="373">
        <f>T4+U4+V4</f>
        <v>646.02599330800012</v>
      </c>
      <c r="X4" s="361"/>
    </row>
    <row r="5" spans="1:24">
      <c r="A5" s="359" t="s">
        <v>513</v>
      </c>
      <c r="B5" s="1495"/>
      <c r="C5" s="1495" t="s">
        <v>620</v>
      </c>
      <c r="D5" s="363">
        <v>0.3</v>
      </c>
      <c r="E5" s="1495" t="s">
        <v>618</v>
      </c>
      <c r="F5" s="364">
        <v>363</v>
      </c>
      <c r="G5" s="364">
        <v>530</v>
      </c>
      <c r="H5" s="360">
        <f t="shared" ref="H5:H7" si="3">F5+G5</f>
        <v>893</v>
      </c>
      <c r="I5" s="360"/>
      <c r="J5" s="370">
        <f>J3*$D5</f>
        <v>150.20745237150001</v>
      </c>
      <c r="K5" s="370">
        <f>K3*$D5</f>
        <v>166.08106475999998</v>
      </c>
      <c r="L5" s="370">
        <f>L3*$D5</f>
        <v>228.720740748</v>
      </c>
      <c r="M5" s="372">
        <f>J5+K5+L5</f>
        <v>545.00925787949996</v>
      </c>
      <c r="N5" s="360"/>
      <c r="O5" s="370">
        <f>O3*$D5</f>
        <v>183.19505363100001</v>
      </c>
      <c r="P5" s="370">
        <f t="shared" ref="P5:Q5" si="4">P3*$D5</f>
        <v>178.44203298600002</v>
      </c>
      <c r="Q5" s="370">
        <f t="shared" si="4"/>
        <v>234.49601566859997</v>
      </c>
      <c r="R5" s="372">
        <f>O5+P5+Q5</f>
        <v>596.13310228559999</v>
      </c>
      <c r="S5" s="361"/>
      <c r="T5" s="374">
        <f t="shared" ref="T5:V5" si="5">T3*$D5</f>
        <v>202.73585002500002</v>
      </c>
      <c r="U5" s="374">
        <f t="shared" si="5"/>
        <v>231.55201569600004</v>
      </c>
      <c r="V5" s="374">
        <f t="shared" si="5"/>
        <v>534.75112424100007</v>
      </c>
      <c r="W5" s="372">
        <f>T5+U5+V5</f>
        <v>969.03898996200019</v>
      </c>
      <c r="X5" s="361"/>
    </row>
    <row r="6" spans="1:24">
      <c r="A6" s="359" t="s">
        <v>513</v>
      </c>
      <c r="B6" s="1495"/>
      <c r="C6" s="1495" t="s">
        <v>621</v>
      </c>
      <c r="D6" s="363">
        <v>0.25</v>
      </c>
      <c r="E6" s="1495" t="s">
        <v>618</v>
      </c>
      <c r="F6" s="1495"/>
      <c r="G6" s="1495"/>
      <c r="H6" s="360">
        <f t="shared" si="3"/>
        <v>0</v>
      </c>
      <c r="I6" s="360"/>
      <c r="J6" s="371">
        <f>J3*$D6</f>
        <v>125.17287697625002</v>
      </c>
      <c r="K6" s="371">
        <f>K3*$D6</f>
        <v>138.40088729999999</v>
      </c>
      <c r="L6" s="371">
        <f>L3*$D6</f>
        <v>190.60061729</v>
      </c>
      <c r="M6" s="373">
        <f>J6+K6+L6</f>
        <v>454.17438156625002</v>
      </c>
      <c r="N6" s="360"/>
      <c r="O6" s="371">
        <f t="shared" ref="O6:P6" si="6">O3*$D6</f>
        <v>152.66254469250001</v>
      </c>
      <c r="P6" s="371">
        <f t="shared" si="6"/>
        <v>148.70169415500001</v>
      </c>
      <c r="Q6" s="371">
        <f>Q3*$D6</f>
        <v>195.41334639049998</v>
      </c>
      <c r="R6" s="373">
        <f>O6+P6+Q6</f>
        <v>496.77758523800003</v>
      </c>
      <c r="S6" s="361"/>
      <c r="T6" s="371">
        <f t="shared" ref="T6:U6" si="7">T3*$D6</f>
        <v>168.94654168750003</v>
      </c>
      <c r="U6" s="371">
        <f t="shared" si="7"/>
        <v>192.96001308000004</v>
      </c>
      <c r="V6" s="371">
        <f>V3*$D6</f>
        <v>445.62593686750012</v>
      </c>
      <c r="W6" s="373">
        <f>T6+U6+V6</f>
        <v>807.53249163500027</v>
      </c>
      <c r="X6" s="361"/>
    </row>
    <row r="7" spans="1:24">
      <c r="A7" s="359" t="s">
        <v>513</v>
      </c>
      <c r="B7" s="1495"/>
      <c r="C7" s="1495" t="s">
        <v>622</v>
      </c>
      <c r="D7" s="363">
        <v>0.25</v>
      </c>
      <c r="E7" s="1495" t="s">
        <v>618</v>
      </c>
      <c r="F7" s="1495"/>
      <c r="G7" s="1495"/>
      <c r="H7" s="360">
        <f t="shared" si="3"/>
        <v>0</v>
      </c>
      <c r="I7" s="360"/>
      <c r="J7" s="371">
        <f>J3*$D7</f>
        <v>125.17287697625002</v>
      </c>
      <c r="K7" s="371">
        <f t="shared" ref="K7" si="8">K3*$D7</f>
        <v>138.40088729999999</v>
      </c>
      <c r="L7" s="371">
        <f>L3*$D7</f>
        <v>190.60061729</v>
      </c>
      <c r="M7" s="373">
        <f>J7+K7+L7</f>
        <v>454.17438156625002</v>
      </c>
      <c r="N7" s="360"/>
      <c r="O7" s="371">
        <f t="shared" ref="O7:P7" si="9">O3*$D7</f>
        <v>152.66254469250001</v>
      </c>
      <c r="P7" s="371">
        <f t="shared" si="9"/>
        <v>148.70169415500001</v>
      </c>
      <c r="Q7" s="371">
        <f>Q3*$D7</f>
        <v>195.41334639049998</v>
      </c>
      <c r="R7" s="373">
        <f>O7+P7+Q7</f>
        <v>496.77758523800003</v>
      </c>
      <c r="S7" s="361"/>
      <c r="T7" s="371">
        <f t="shared" ref="T7:V7" si="10">T3*$D7</f>
        <v>168.94654168750003</v>
      </c>
      <c r="U7" s="371">
        <f t="shared" si="10"/>
        <v>192.96001308000004</v>
      </c>
      <c r="V7" s="371">
        <f t="shared" si="10"/>
        <v>445.62593686750012</v>
      </c>
      <c r="W7" s="373">
        <f>T7+U7+V7</f>
        <v>807.53249163500027</v>
      </c>
      <c r="X7" s="361"/>
    </row>
    <row r="8" spans="1:24">
      <c r="A8" s="359" t="s">
        <v>513</v>
      </c>
      <c r="B8" s="1495"/>
      <c r="C8" s="1495"/>
      <c r="D8" s="1495"/>
      <c r="E8" s="1495"/>
      <c r="F8" s="1495" t="s">
        <v>623</v>
      </c>
      <c r="G8" s="1495" t="s">
        <v>623</v>
      </c>
      <c r="H8" s="360" t="s">
        <v>624</v>
      </c>
      <c r="I8" s="360"/>
      <c r="J8" s="1495"/>
      <c r="K8" s="1495"/>
      <c r="L8" s="1495"/>
      <c r="M8" s="360"/>
      <c r="N8" s="360"/>
      <c r="O8" s="1495"/>
      <c r="P8" s="1495"/>
      <c r="Q8" s="1495"/>
      <c r="R8" s="360"/>
      <c r="S8" s="360"/>
      <c r="T8" s="1495"/>
      <c r="U8" s="1495"/>
      <c r="V8" s="1495"/>
      <c r="W8" s="360"/>
      <c r="X8" s="1495"/>
    </row>
    <row r="9" spans="1:24">
      <c r="A9" s="1495"/>
      <c r="B9" s="1495"/>
      <c r="C9" s="1495"/>
      <c r="D9" s="1495"/>
      <c r="E9" s="1495"/>
      <c r="F9" s="1495"/>
      <c r="G9" s="1495"/>
      <c r="H9" s="1495"/>
      <c r="I9" s="1495"/>
      <c r="J9" s="1495"/>
      <c r="K9" s="1495"/>
      <c r="L9" s="1495"/>
      <c r="M9" s="1495"/>
      <c r="N9" s="1495"/>
      <c r="O9" s="1495"/>
      <c r="P9" s="1495"/>
      <c r="Q9" s="1495"/>
      <c r="R9" s="1495"/>
      <c r="S9" s="1495"/>
      <c r="T9" s="1495"/>
      <c r="U9" s="1495"/>
      <c r="V9" s="1495"/>
      <c r="W9" s="1495"/>
      <c r="X9" s="1495"/>
    </row>
    <row r="10" spans="1:24">
      <c r="A10" s="1495"/>
      <c r="B10" s="1495"/>
      <c r="C10" s="1495"/>
      <c r="D10" s="1495"/>
      <c r="E10" s="1495"/>
      <c r="F10" s="1495"/>
      <c r="G10" s="1495"/>
      <c r="H10" s="1495"/>
      <c r="I10" s="1495"/>
      <c r="J10" s="1495"/>
      <c r="K10" s="1495"/>
      <c r="L10" s="1495"/>
      <c r="M10" s="1495"/>
      <c r="N10" s="1495"/>
      <c r="O10" s="1495"/>
      <c r="P10" s="1495"/>
      <c r="Q10" s="1495"/>
      <c r="R10" s="1495"/>
      <c r="S10" s="1495"/>
      <c r="T10" s="1495"/>
      <c r="U10" s="1495"/>
      <c r="V10" s="1495"/>
      <c r="W10" s="1495"/>
      <c r="X10" s="1495"/>
    </row>
    <row r="11" spans="1:24">
      <c r="A11" s="1495"/>
      <c r="B11" s="1495"/>
      <c r="C11" s="1495"/>
      <c r="D11" s="361">
        <f>SUM(D13:D49)</f>
        <v>12788</v>
      </c>
      <c r="E11" s="1495"/>
      <c r="F11" s="1495"/>
      <c r="G11" s="1495"/>
      <c r="H11" s="1495"/>
      <c r="I11" s="1495"/>
      <c r="J11" s="1495"/>
      <c r="K11" s="1495"/>
      <c r="L11" s="1495"/>
      <c r="M11" s="1495"/>
      <c r="N11" s="1495"/>
      <c r="O11" s="1495"/>
      <c r="P11" s="1495"/>
      <c r="Q11" s="1495"/>
      <c r="R11" s="1495"/>
      <c r="S11" s="1495"/>
      <c r="T11" s="1495"/>
      <c r="U11" s="1495"/>
      <c r="V11" s="1495"/>
      <c r="W11" s="1495"/>
      <c r="X11" s="1495"/>
    </row>
    <row r="12" spans="1:24">
      <c r="A12" s="365" t="s">
        <v>625</v>
      </c>
      <c r="B12" s="360" t="s">
        <v>626</v>
      </c>
      <c r="C12" s="360" t="s">
        <v>627</v>
      </c>
      <c r="D12" s="360" t="s">
        <v>628</v>
      </c>
      <c r="E12" s="1495"/>
      <c r="F12" s="1495" t="s">
        <v>605</v>
      </c>
      <c r="G12" s="1495" t="s">
        <v>606</v>
      </c>
      <c r="H12" s="360" t="s">
        <v>607</v>
      </c>
      <c r="I12" s="1495" t="s">
        <v>604</v>
      </c>
      <c r="J12" s="1495" t="s">
        <v>608</v>
      </c>
      <c r="K12" s="1495" t="s">
        <v>609</v>
      </c>
      <c r="L12" s="1495" t="s">
        <v>610</v>
      </c>
      <c r="M12" s="360" t="s">
        <v>607</v>
      </c>
      <c r="N12" s="1495" t="s">
        <v>604</v>
      </c>
      <c r="O12" s="1495" t="s">
        <v>611</v>
      </c>
      <c r="P12" s="1495" t="s">
        <v>612</v>
      </c>
      <c r="Q12" s="1495" t="s">
        <v>613</v>
      </c>
      <c r="R12" s="360" t="s">
        <v>607</v>
      </c>
      <c r="S12" s="1495" t="s">
        <v>604</v>
      </c>
      <c r="T12" s="1495" t="s">
        <v>614</v>
      </c>
      <c r="U12" s="1495" t="s">
        <v>615</v>
      </c>
      <c r="V12" s="1495" t="s">
        <v>616</v>
      </c>
      <c r="W12" s="360" t="s">
        <v>607</v>
      </c>
      <c r="X12" s="1495"/>
    </row>
    <row r="13" spans="1:24" hidden="1">
      <c r="A13" s="366" t="s">
        <v>629</v>
      </c>
      <c r="B13" s="1495"/>
      <c r="C13" s="1495" t="s">
        <v>630</v>
      </c>
      <c r="D13" s="1495">
        <v>760</v>
      </c>
      <c r="E13" s="1495"/>
      <c r="F13" s="1495"/>
      <c r="G13" s="1495"/>
      <c r="H13" s="1495">
        <f>F13+G13</f>
        <v>0</v>
      </c>
      <c r="I13" s="1495"/>
      <c r="J13" s="1495"/>
      <c r="K13" s="1495"/>
      <c r="L13" s="1495"/>
      <c r="M13" s="1495">
        <f>J13+K13+L13</f>
        <v>0</v>
      </c>
      <c r="N13" s="1495"/>
      <c r="O13" s="1495"/>
      <c r="P13" s="1495"/>
      <c r="Q13" s="1495"/>
      <c r="R13" s="1495">
        <f>O13+P13+Q13</f>
        <v>0</v>
      </c>
      <c r="S13" s="1495"/>
      <c r="T13" s="1495"/>
      <c r="U13" s="1495"/>
      <c r="V13" s="1495"/>
      <c r="W13" s="1495">
        <f>T13+U13+V13</f>
        <v>0</v>
      </c>
      <c r="X13" s="1495"/>
    </row>
    <row r="14" spans="1:24" hidden="1">
      <c r="A14" s="366" t="s">
        <v>629</v>
      </c>
      <c r="B14" s="1495"/>
      <c r="C14" s="1495" t="s">
        <v>631</v>
      </c>
      <c r="D14" s="1495">
        <v>560</v>
      </c>
      <c r="E14" s="1495"/>
      <c r="F14" s="1495"/>
      <c r="G14" s="1495"/>
      <c r="H14" s="1495">
        <f t="shared" ref="H14:H49" si="11">F14+G14</f>
        <v>0</v>
      </c>
      <c r="I14" s="1495"/>
      <c r="J14" s="1495"/>
      <c r="K14" s="1495"/>
      <c r="L14" s="1495"/>
      <c r="M14" s="1495">
        <f t="shared" ref="M14:M49" si="12">J14+K14+L14</f>
        <v>0</v>
      </c>
      <c r="N14" s="1495"/>
      <c r="O14" s="1495"/>
      <c r="P14" s="1495"/>
      <c r="Q14" s="1495"/>
      <c r="R14" s="1495">
        <f>O14+P14+Q14</f>
        <v>0</v>
      </c>
      <c r="S14" s="1495"/>
      <c r="T14" s="1495"/>
      <c r="U14" s="1495"/>
      <c r="V14" s="1495"/>
      <c r="W14" s="1495">
        <f>T14+U14+V14</f>
        <v>0</v>
      </c>
      <c r="X14" s="1495"/>
    </row>
    <row r="15" spans="1:24" hidden="1">
      <c r="A15" s="366" t="s">
        <v>632</v>
      </c>
      <c r="B15" s="1495"/>
      <c r="C15" s="562" t="s">
        <v>633</v>
      </c>
      <c r="D15" s="1495">
        <v>150</v>
      </c>
      <c r="E15" s="1495"/>
      <c r="F15" s="1495"/>
      <c r="G15" s="1495"/>
      <c r="H15" s="1495">
        <f t="shared" si="11"/>
        <v>0</v>
      </c>
      <c r="I15" s="1495"/>
      <c r="J15" s="1495"/>
      <c r="K15" s="1495"/>
      <c r="L15" s="1495"/>
      <c r="M15" s="1495">
        <f t="shared" si="12"/>
        <v>0</v>
      </c>
      <c r="N15" s="1495"/>
      <c r="O15" s="1495"/>
      <c r="P15" s="1495"/>
      <c r="Q15" s="1495"/>
      <c r="R15" s="1495">
        <f t="shared" ref="R15:R49" si="13">O15+P15+Q15</f>
        <v>0</v>
      </c>
      <c r="S15" s="1495"/>
      <c r="T15" s="1495"/>
      <c r="U15" s="1495"/>
      <c r="V15" s="1495"/>
      <c r="W15" s="1495">
        <f t="shared" ref="W15:W49" si="14">T15+U15+V15</f>
        <v>0</v>
      </c>
      <c r="X15" s="1495"/>
    </row>
    <row r="16" spans="1:24">
      <c r="A16" s="366" t="s">
        <v>634</v>
      </c>
      <c r="B16" s="1495">
        <v>1</v>
      </c>
      <c r="C16" s="562" t="s">
        <v>635</v>
      </c>
      <c r="D16" s="1495" t="s">
        <v>636</v>
      </c>
      <c r="E16" s="1495"/>
      <c r="F16" s="1495">
        <v>363</v>
      </c>
      <c r="G16" s="1495">
        <v>530</v>
      </c>
      <c r="H16" s="1495">
        <f t="shared" si="11"/>
        <v>893</v>
      </c>
      <c r="I16" s="1495"/>
      <c r="J16" s="1495"/>
      <c r="K16" s="1495"/>
      <c r="L16" s="1495"/>
      <c r="M16" s="1495">
        <f t="shared" si="12"/>
        <v>0</v>
      </c>
      <c r="N16" s="1495"/>
      <c r="O16" s="1495"/>
      <c r="P16" s="1495"/>
      <c r="Q16" s="1495"/>
      <c r="R16" s="1495">
        <f t="shared" si="13"/>
        <v>0</v>
      </c>
      <c r="S16" s="1495"/>
      <c r="T16" s="1495"/>
      <c r="U16" s="1495"/>
      <c r="V16" s="1495"/>
      <c r="W16" s="1495">
        <f t="shared" si="14"/>
        <v>0</v>
      </c>
      <c r="X16" s="1495"/>
    </row>
    <row r="17" spans="1:24" hidden="1">
      <c r="A17" s="366" t="s">
        <v>634</v>
      </c>
      <c r="B17" s="1495"/>
      <c r="C17" s="1495" t="s">
        <v>637</v>
      </c>
      <c r="D17" s="362">
        <v>1330</v>
      </c>
      <c r="E17" s="1495"/>
      <c r="F17" s="1495"/>
      <c r="G17" s="1495"/>
      <c r="H17" s="1495">
        <f t="shared" si="11"/>
        <v>0</v>
      </c>
      <c r="I17" s="1495"/>
      <c r="J17" s="1495"/>
      <c r="K17" s="1495"/>
      <c r="L17" s="1495"/>
      <c r="M17" s="1495">
        <f t="shared" si="12"/>
        <v>0</v>
      </c>
      <c r="N17" s="1495"/>
      <c r="O17" s="1495"/>
      <c r="P17" s="1495"/>
      <c r="Q17" s="1495"/>
      <c r="R17" s="1495">
        <f t="shared" si="13"/>
        <v>0</v>
      </c>
      <c r="S17" s="1495"/>
      <c r="T17" s="1495"/>
      <c r="U17" s="1495"/>
      <c r="V17" s="1495"/>
      <c r="W17" s="1495">
        <f t="shared" si="14"/>
        <v>0</v>
      </c>
      <c r="X17" s="1495"/>
    </row>
    <row r="18" spans="1:24" hidden="1">
      <c r="A18" s="366" t="s">
        <v>634</v>
      </c>
      <c r="B18" s="1495"/>
      <c r="C18" s="1495" t="s">
        <v>638</v>
      </c>
      <c r="D18" s="1495">
        <v>150</v>
      </c>
      <c r="E18" s="1495"/>
      <c r="F18" s="1495"/>
      <c r="G18" s="1495"/>
      <c r="H18" s="1495">
        <f t="shared" si="11"/>
        <v>0</v>
      </c>
      <c r="I18" s="1495"/>
      <c r="J18" s="1495"/>
      <c r="K18" s="1495"/>
      <c r="L18" s="1495"/>
      <c r="M18" s="1495">
        <f t="shared" si="12"/>
        <v>0</v>
      </c>
      <c r="N18" s="1495"/>
      <c r="O18" s="1495"/>
      <c r="P18" s="1495"/>
      <c r="Q18" s="1495"/>
      <c r="R18" s="1495">
        <f t="shared" si="13"/>
        <v>0</v>
      </c>
      <c r="S18" s="1495"/>
      <c r="T18" s="1495"/>
      <c r="U18" s="1495"/>
      <c r="V18" s="1495"/>
      <c r="W18" s="1495">
        <f t="shared" si="14"/>
        <v>0</v>
      </c>
      <c r="X18" s="1495"/>
    </row>
    <row r="19" spans="1:24" hidden="1">
      <c r="A19" s="366" t="s">
        <v>634</v>
      </c>
      <c r="B19" s="1495"/>
      <c r="C19" s="1495" t="s">
        <v>639</v>
      </c>
      <c r="D19" s="1495">
        <v>160</v>
      </c>
      <c r="E19" s="1495"/>
      <c r="F19" s="1495"/>
      <c r="G19" s="1495"/>
      <c r="H19" s="1495">
        <f t="shared" si="11"/>
        <v>0</v>
      </c>
      <c r="I19" s="1495"/>
      <c r="J19" s="1495"/>
      <c r="K19" s="1495"/>
      <c r="L19" s="1495"/>
      <c r="M19" s="1495">
        <f t="shared" si="12"/>
        <v>0</v>
      </c>
      <c r="N19" s="1495"/>
      <c r="O19" s="1495"/>
      <c r="P19" s="1495"/>
      <c r="Q19" s="1495"/>
      <c r="R19" s="1495">
        <f t="shared" si="13"/>
        <v>0</v>
      </c>
      <c r="S19" s="1495"/>
      <c r="T19" s="1495"/>
      <c r="U19" s="1495"/>
      <c r="V19" s="1495"/>
      <c r="W19" s="1495">
        <f t="shared" si="14"/>
        <v>0</v>
      </c>
      <c r="X19" s="1495"/>
    </row>
    <row r="20" spans="1:24" hidden="1">
      <c r="A20" s="366" t="s">
        <v>634</v>
      </c>
      <c r="B20" s="1495"/>
      <c r="C20" s="1495" t="s">
        <v>640</v>
      </c>
      <c r="D20" s="1495">
        <v>500</v>
      </c>
      <c r="E20" s="1495"/>
      <c r="F20" s="1495"/>
      <c r="G20" s="1495"/>
      <c r="H20" s="1495">
        <f t="shared" si="11"/>
        <v>0</v>
      </c>
      <c r="I20" s="1495"/>
      <c r="J20" s="1495"/>
      <c r="K20" s="1495"/>
      <c r="L20" s="1495"/>
      <c r="M20" s="1495">
        <f t="shared" si="12"/>
        <v>0</v>
      </c>
      <c r="N20" s="1495"/>
      <c r="O20" s="1495"/>
      <c r="P20" s="1495"/>
      <c r="Q20" s="1495"/>
      <c r="R20" s="1495">
        <f t="shared" si="13"/>
        <v>0</v>
      </c>
      <c r="S20" s="1495"/>
      <c r="T20" s="1495"/>
      <c r="U20" s="1495"/>
      <c r="V20" s="1495"/>
      <c r="W20" s="1495">
        <f t="shared" si="14"/>
        <v>0</v>
      </c>
      <c r="X20" s="1495"/>
    </row>
    <row r="21" spans="1:24" hidden="1">
      <c r="A21" s="366" t="s">
        <v>634</v>
      </c>
      <c r="B21" s="1495"/>
      <c r="C21" s="1495" t="s">
        <v>641</v>
      </c>
      <c r="D21" s="1495">
        <v>280</v>
      </c>
      <c r="E21" s="1495"/>
      <c r="F21" s="1495"/>
      <c r="G21" s="1495"/>
      <c r="H21" s="1495">
        <f t="shared" si="11"/>
        <v>0</v>
      </c>
      <c r="I21" s="1495"/>
      <c r="J21" s="1495"/>
      <c r="K21" s="1495"/>
      <c r="L21" s="1495"/>
      <c r="M21" s="1495">
        <f t="shared" si="12"/>
        <v>0</v>
      </c>
      <c r="N21" s="1495"/>
      <c r="O21" s="1495"/>
      <c r="P21" s="1495"/>
      <c r="Q21" s="1495"/>
      <c r="R21" s="1495">
        <f t="shared" si="13"/>
        <v>0</v>
      </c>
      <c r="S21" s="1495"/>
      <c r="T21" s="1495"/>
      <c r="U21" s="1495"/>
      <c r="V21" s="1495"/>
      <c r="W21" s="1495">
        <f t="shared" si="14"/>
        <v>0</v>
      </c>
      <c r="X21" s="1495"/>
    </row>
    <row r="22" spans="1:24">
      <c r="A22" s="366" t="s">
        <v>634</v>
      </c>
      <c r="B22" s="1495">
        <v>3</v>
      </c>
      <c r="C22" s="1495" t="s">
        <v>642</v>
      </c>
      <c r="D22" s="1495" t="s">
        <v>636</v>
      </c>
      <c r="E22" s="1495"/>
      <c r="F22" s="1495"/>
      <c r="G22" s="1495"/>
      <c r="H22" s="1495">
        <f t="shared" si="11"/>
        <v>0</v>
      </c>
      <c r="I22" s="1495"/>
      <c r="J22" s="1495"/>
      <c r="K22" s="1495"/>
      <c r="L22" s="1495"/>
      <c r="M22" s="1495">
        <f t="shared" si="12"/>
        <v>0</v>
      </c>
      <c r="N22" s="1495"/>
      <c r="O22" s="1495">
        <v>305</v>
      </c>
      <c r="P22" s="1495">
        <v>301</v>
      </c>
      <c r="Q22" s="1495">
        <v>350</v>
      </c>
      <c r="R22" s="1495">
        <f>O22+P22+Q22</f>
        <v>956</v>
      </c>
      <c r="S22" s="1495"/>
      <c r="T22" s="1495"/>
      <c r="U22" s="1495"/>
      <c r="V22" s="1495"/>
      <c r="W22" s="1495">
        <f t="shared" si="14"/>
        <v>0</v>
      </c>
      <c r="X22" s="1495"/>
    </row>
    <row r="23" spans="1:24" hidden="1">
      <c r="A23" s="366" t="s">
        <v>643</v>
      </c>
      <c r="B23" s="1495"/>
      <c r="C23" s="1495" t="s">
        <v>644</v>
      </c>
      <c r="D23" s="1495">
        <v>140</v>
      </c>
      <c r="E23" s="1495"/>
      <c r="F23" s="1495"/>
      <c r="G23" s="1495"/>
      <c r="H23" s="1495">
        <f t="shared" si="11"/>
        <v>0</v>
      </c>
      <c r="I23" s="1495"/>
      <c r="J23" s="1495"/>
      <c r="K23" s="1495"/>
      <c r="L23" s="1495"/>
      <c r="M23" s="1495">
        <f t="shared" si="12"/>
        <v>0</v>
      </c>
      <c r="N23" s="1495"/>
      <c r="O23" s="1495"/>
      <c r="P23" s="1495"/>
      <c r="Q23" s="1495"/>
      <c r="R23" s="1495">
        <f t="shared" si="13"/>
        <v>0</v>
      </c>
      <c r="S23" s="1495"/>
      <c r="T23" s="1495"/>
      <c r="U23" s="1495"/>
      <c r="V23" s="1495"/>
      <c r="W23" s="1495">
        <f t="shared" si="14"/>
        <v>0</v>
      </c>
      <c r="X23" s="1495"/>
    </row>
    <row r="24" spans="1:24" hidden="1">
      <c r="A24" s="366" t="s">
        <v>643</v>
      </c>
      <c r="B24" s="1495"/>
      <c r="C24" s="1495" t="s">
        <v>645</v>
      </c>
      <c r="D24" s="1495">
        <v>180</v>
      </c>
      <c r="E24" s="1495"/>
      <c r="F24" s="1495"/>
      <c r="G24" s="1495"/>
      <c r="H24" s="1495">
        <f t="shared" si="11"/>
        <v>0</v>
      </c>
      <c r="I24" s="1495"/>
      <c r="J24" s="1495"/>
      <c r="K24" s="1495"/>
      <c r="L24" s="1495"/>
      <c r="M24" s="1495">
        <f t="shared" si="12"/>
        <v>0</v>
      </c>
      <c r="N24" s="1495"/>
      <c r="O24" s="1495"/>
      <c r="P24" s="1495"/>
      <c r="Q24" s="1495"/>
      <c r="R24" s="1495">
        <f t="shared" si="13"/>
        <v>0</v>
      </c>
      <c r="S24" s="1495"/>
      <c r="T24" s="1495"/>
      <c r="U24" s="1495"/>
      <c r="V24" s="1495"/>
      <c r="W24" s="1495">
        <f t="shared" si="14"/>
        <v>0</v>
      </c>
      <c r="X24" s="1495"/>
    </row>
    <row r="25" spans="1:24" hidden="1">
      <c r="A25" s="366" t="s">
        <v>643</v>
      </c>
      <c r="B25" s="1495"/>
      <c r="C25" s="562" t="s">
        <v>646</v>
      </c>
      <c r="D25" s="1495">
        <v>400</v>
      </c>
      <c r="E25" s="1495"/>
      <c r="F25" s="1495"/>
      <c r="G25" s="1495"/>
      <c r="H25" s="1495">
        <f t="shared" si="11"/>
        <v>0</v>
      </c>
      <c r="I25" s="1495"/>
      <c r="J25" s="1495"/>
      <c r="K25" s="1495"/>
      <c r="L25" s="1495"/>
      <c r="M25" s="1495">
        <f t="shared" si="12"/>
        <v>0</v>
      </c>
      <c r="N25" s="1495"/>
      <c r="O25" s="1495"/>
      <c r="P25" s="1495"/>
      <c r="Q25" s="1495"/>
      <c r="R25" s="1495">
        <f t="shared" si="13"/>
        <v>0</v>
      </c>
      <c r="S25" s="1495"/>
      <c r="T25" s="1495"/>
      <c r="U25" s="1495"/>
      <c r="V25" s="1495"/>
      <c r="W25" s="1495">
        <f t="shared" si="14"/>
        <v>0</v>
      </c>
      <c r="X25" s="1495"/>
    </row>
    <row r="26" spans="1:24" hidden="1">
      <c r="A26" s="366" t="s">
        <v>643</v>
      </c>
      <c r="B26" s="1495"/>
      <c r="C26" s="1495" t="s">
        <v>647</v>
      </c>
      <c r="D26" s="1495">
        <v>280</v>
      </c>
      <c r="E26" s="1495"/>
      <c r="F26" s="1495"/>
      <c r="G26" s="1495"/>
      <c r="H26" s="1495">
        <f t="shared" si="11"/>
        <v>0</v>
      </c>
      <c r="I26" s="1495"/>
      <c r="J26" s="1495"/>
      <c r="K26" s="1495"/>
      <c r="L26" s="1495"/>
      <c r="M26" s="1495">
        <f t="shared" si="12"/>
        <v>0</v>
      </c>
      <c r="N26" s="1495"/>
      <c r="O26" s="1495"/>
      <c r="P26" s="1495"/>
      <c r="Q26" s="1495"/>
      <c r="R26" s="1495">
        <f t="shared" si="13"/>
        <v>0</v>
      </c>
      <c r="S26" s="1495"/>
      <c r="T26" s="1495"/>
      <c r="U26" s="1495"/>
      <c r="V26" s="1495"/>
      <c r="W26" s="1495">
        <f t="shared" si="14"/>
        <v>0</v>
      </c>
      <c r="X26" s="1495"/>
    </row>
    <row r="27" spans="1:24" hidden="1">
      <c r="A27" s="366" t="s">
        <v>643</v>
      </c>
      <c r="B27" s="1495"/>
      <c r="C27" s="1495" t="s">
        <v>648</v>
      </c>
      <c r="D27" s="1495">
        <v>180</v>
      </c>
      <c r="E27" s="1495"/>
      <c r="F27" s="1495"/>
      <c r="G27" s="1495"/>
      <c r="H27" s="1495">
        <f t="shared" si="11"/>
        <v>0</v>
      </c>
      <c r="I27" s="1495"/>
      <c r="J27" s="1495"/>
      <c r="K27" s="1495"/>
      <c r="L27" s="1495"/>
      <c r="M27" s="1495">
        <f t="shared" si="12"/>
        <v>0</v>
      </c>
      <c r="N27" s="1495"/>
      <c r="O27" s="1495"/>
      <c r="P27" s="1495"/>
      <c r="Q27" s="1495"/>
      <c r="R27" s="1495">
        <f t="shared" si="13"/>
        <v>0</v>
      </c>
      <c r="S27" s="1495"/>
      <c r="T27" s="1495"/>
      <c r="U27" s="1495"/>
      <c r="V27" s="1495"/>
      <c r="W27" s="1495">
        <f t="shared" si="14"/>
        <v>0</v>
      </c>
      <c r="X27" s="1495"/>
    </row>
    <row r="28" spans="1:24" hidden="1">
      <c r="A28" s="366" t="s">
        <v>643</v>
      </c>
      <c r="B28" s="1495"/>
      <c r="C28" s="1495" t="s">
        <v>649</v>
      </c>
      <c r="D28" s="1495">
        <v>260</v>
      </c>
      <c r="E28" s="1495"/>
      <c r="F28" s="1495"/>
      <c r="G28" s="1495"/>
      <c r="H28" s="1495">
        <f t="shared" si="11"/>
        <v>0</v>
      </c>
      <c r="I28" s="1495"/>
      <c r="J28" s="1495"/>
      <c r="K28" s="1495"/>
      <c r="L28" s="1495"/>
      <c r="M28" s="1495">
        <f t="shared" si="12"/>
        <v>0</v>
      </c>
      <c r="N28" s="1495"/>
      <c r="O28" s="1495"/>
      <c r="P28" s="1495"/>
      <c r="Q28" s="1495"/>
      <c r="R28" s="1495">
        <f t="shared" si="13"/>
        <v>0</v>
      </c>
      <c r="S28" s="1495"/>
      <c r="T28" s="1495"/>
      <c r="U28" s="1495"/>
      <c r="V28" s="1495"/>
      <c r="W28" s="1495">
        <f t="shared" si="14"/>
        <v>0</v>
      </c>
      <c r="X28" s="1495"/>
    </row>
    <row r="29" spans="1:24" hidden="1">
      <c r="A29" s="366" t="s">
        <v>643</v>
      </c>
      <c r="B29" s="1495"/>
      <c r="C29" s="1495" t="s">
        <v>650</v>
      </c>
      <c r="D29" s="1495">
        <v>270</v>
      </c>
      <c r="E29" s="1495"/>
      <c r="F29" s="1495"/>
      <c r="G29" s="1495"/>
      <c r="H29" s="1495">
        <f t="shared" si="11"/>
        <v>0</v>
      </c>
      <c r="I29" s="1495"/>
      <c r="J29" s="1495"/>
      <c r="K29" s="1495"/>
      <c r="L29" s="1495"/>
      <c r="M29" s="1495">
        <f t="shared" si="12"/>
        <v>0</v>
      </c>
      <c r="N29" s="1495"/>
      <c r="O29" s="1495"/>
      <c r="P29" s="1495"/>
      <c r="Q29" s="1495"/>
      <c r="R29" s="1495">
        <f t="shared" si="13"/>
        <v>0</v>
      </c>
      <c r="S29" s="1495"/>
      <c r="T29" s="1495"/>
      <c r="U29" s="1495"/>
      <c r="V29" s="1495"/>
      <c r="W29" s="1495">
        <f t="shared" si="14"/>
        <v>0</v>
      </c>
      <c r="X29" s="1495"/>
    </row>
    <row r="30" spans="1:24" hidden="1">
      <c r="A30" s="366" t="s">
        <v>643</v>
      </c>
      <c r="B30" s="1495"/>
      <c r="C30" s="1495" t="s">
        <v>651</v>
      </c>
      <c r="D30" s="1495">
        <v>150</v>
      </c>
      <c r="E30" s="1495"/>
      <c r="F30" s="1495"/>
      <c r="G30" s="1495"/>
      <c r="H30" s="1495">
        <f t="shared" si="11"/>
        <v>0</v>
      </c>
      <c r="I30" s="1495"/>
      <c r="J30" s="1495"/>
      <c r="K30" s="1495"/>
      <c r="L30" s="1495"/>
      <c r="M30" s="1495">
        <f t="shared" si="12"/>
        <v>0</v>
      </c>
      <c r="N30" s="1495"/>
      <c r="O30" s="1495"/>
      <c r="P30" s="1495"/>
      <c r="Q30" s="1495"/>
      <c r="R30" s="1495">
        <f t="shared" si="13"/>
        <v>0</v>
      </c>
      <c r="S30" s="1495"/>
      <c r="T30" s="1495"/>
      <c r="U30" s="1495"/>
      <c r="V30" s="1495"/>
      <c r="W30" s="1495">
        <f t="shared" si="14"/>
        <v>0</v>
      </c>
      <c r="X30" s="1495"/>
    </row>
    <row r="31" spans="1:24" hidden="1">
      <c r="A31" s="366" t="s">
        <v>643</v>
      </c>
      <c r="B31" s="1495"/>
      <c r="C31" s="1495" t="s">
        <v>652</v>
      </c>
      <c r="D31" s="1495">
        <v>170</v>
      </c>
      <c r="E31" s="1495"/>
      <c r="F31" s="1495"/>
      <c r="G31" s="1495"/>
      <c r="H31" s="1495">
        <f t="shared" si="11"/>
        <v>0</v>
      </c>
      <c r="I31" s="1495"/>
      <c r="J31" s="1495"/>
      <c r="K31" s="1495"/>
      <c r="L31" s="1495"/>
      <c r="M31" s="1495">
        <f t="shared" si="12"/>
        <v>0</v>
      </c>
      <c r="N31" s="1495"/>
      <c r="O31" s="1495"/>
      <c r="P31" s="1495"/>
      <c r="Q31" s="1495"/>
      <c r="R31" s="1495">
        <f t="shared" si="13"/>
        <v>0</v>
      </c>
      <c r="S31" s="1495"/>
      <c r="T31" s="1495"/>
      <c r="U31" s="1495"/>
      <c r="V31" s="1495"/>
      <c r="W31" s="1495">
        <f t="shared" si="14"/>
        <v>0</v>
      </c>
      <c r="X31" s="1495"/>
    </row>
    <row r="32" spans="1:24" hidden="1">
      <c r="A32" s="366" t="s">
        <v>643</v>
      </c>
      <c r="B32" s="1495"/>
      <c r="C32" s="1495" t="s">
        <v>653</v>
      </c>
      <c r="D32" s="1495">
        <v>200</v>
      </c>
      <c r="E32" s="1495"/>
      <c r="F32" s="1495"/>
      <c r="G32" s="1495"/>
      <c r="H32" s="1495">
        <f t="shared" si="11"/>
        <v>0</v>
      </c>
      <c r="I32" s="1495"/>
      <c r="J32" s="1495"/>
      <c r="K32" s="1495"/>
      <c r="L32" s="1495"/>
      <c r="M32" s="1495">
        <f t="shared" si="12"/>
        <v>0</v>
      </c>
      <c r="N32" s="1495"/>
      <c r="O32" s="1495"/>
      <c r="P32" s="1495"/>
      <c r="Q32" s="1495"/>
      <c r="R32" s="1495">
        <f t="shared" si="13"/>
        <v>0</v>
      </c>
      <c r="S32" s="1495"/>
      <c r="T32" s="1495"/>
      <c r="U32" s="1495"/>
      <c r="V32" s="1495"/>
      <c r="W32" s="1495">
        <f t="shared" si="14"/>
        <v>0</v>
      </c>
      <c r="X32" s="1495"/>
    </row>
    <row r="33" spans="1:24" hidden="1">
      <c r="A33" s="366" t="s">
        <v>643</v>
      </c>
      <c r="B33" s="1495"/>
      <c r="C33" s="1495" t="s">
        <v>654</v>
      </c>
      <c r="D33" s="1495">
        <v>160</v>
      </c>
      <c r="E33" s="1495"/>
      <c r="F33" s="1495"/>
      <c r="G33" s="1495"/>
      <c r="H33" s="1495">
        <f t="shared" si="11"/>
        <v>0</v>
      </c>
      <c r="I33" s="1495"/>
      <c r="J33" s="1495"/>
      <c r="K33" s="1495"/>
      <c r="L33" s="1495"/>
      <c r="M33" s="1495">
        <f t="shared" si="12"/>
        <v>0</v>
      </c>
      <c r="N33" s="1495"/>
      <c r="O33" s="1495"/>
      <c r="P33" s="1495"/>
      <c r="Q33" s="1495"/>
      <c r="R33" s="1495">
        <f t="shared" si="13"/>
        <v>0</v>
      </c>
      <c r="S33" s="1495"/>
      <c r="T33" s="1495"/>
      <c r="U33" s="1495"/>
      <c r="V33" s="1495"/>
      <c r="W33" s="1495">
        <f t="shared" si="14"/>
        <v>0</v>
      </c>
      <c r="X33" s="1495"/>
    </row>
    <row r="34" spans="1:24" hidden="1">
      <c r="A34" s="366" t="s">
        <v>643</v>
      </c>
      <c r="B34" s="1495"/>
      <c r="C34" s="1495" t="s">
        <v>655</v>
      </c>
      <c r="D34" s="1495">
        <v>160</v>
      </c>
      <c r="E34" s="1495"/>
      <c r="F34" s="1495"/>
      <c r="G34" s="1495"/>
      <c r="H34" s="1495">
        <f t="shared" si="11"/>
        <v>0</v>
      </c>
      <c r="I34" s="1495"/>
      <c r="J34" s="1495"/>
      <c r="K34" s="1495"/>
      <c r="L34" s="1495"/>
      <c r="M34" s="1495">
        <f t="shared" si="12"/>
        <v>0</v>
      </c>
      <c r="N34" s="1495"/>
      <c r="O34" s="1495"/>
      <c r="P34" s="1495"/>
      <c r="Q34" s="1495"/>
      <c r="R34" s="1495">
        <f t="shared" si="13"/>
        <v>0</v>
      </c>
      <c r="S34" s="1495"/>
      <c r="T34" s="1495"/>
      <c r="U34" s="1495"/>
      <c r="V34" s="1495"/>
      <c r="W34" s="1495">
        <f t="shared" si="14"/>
        <v>0</v>
      </c>
      <c r="X34" s="1495"/>
    </row>
    <row r="35" spans="1:24" hidden="1">
      <c r="A35" s="366" t="s">
        <v>643</v>
      </c>
      <c r="B35" s="1495"/>
      <c r="C35" s="1495" t="s">
        <v>656</v>
      </c>
      <c r="D35" s="1495">
        <v>40</v>
      </c>
      <c r="E35" s="1495"/>
      <c r="F35" s="1495"/>
      <c r="G35" s="1495"/>
      <c r="H35" s="1495">
        <f t="shared" si="11"/>
        <v>0</v>
      </c>
      <c r="I35" s="1495"/>
      <c r="J35" s="1495"/>
      <c r="K35" s="1495"/>
      <c r="L35" s="1495"/>
      <c r="M35" s="1495">
        <f t="shared" si="12"/>
        <v>0</v>
      </c>
      <c r="N35" s="1495"/>
      <c r="O35" s="1495"/>
      <c r="P35" s="1495"/>
      <c r="Q35" s="1495"/>
      <c r="R35" s="1495">
        <f t="shared" si="13"/>
        <v>0</v>
      </c>
      <c r="S35" s="1495"/>
      <c r="T35" s="1495"/>
      <c r="U35" s="1495"/>
      <c r="V35" s="1495"/>
      <c r="W35" s="1495">
        <f t="shared" si="14"/>
        <v>0</v>
      </c>
      <c r="X35" s="1495"/>
    </row>
    <row r="36" spans="1:24" hidden="1">
      <c r="A36" s="366" t="s">
        <v>643</v>
      </c>
      <c r="B36" s="1495"/>
      <c r="C36" s="1495" t="s">
        <v>650</v>
      </c>
      <c r="D36" s="1495">
        <v>180</v>
      </c>
      <c r="E36" s="1495"/>
      <c r="F36" s="1495"/>
      <c r="G36" s="1495"/>
      <c r="H36" s="1495">
        <f t="shared" si="11"/>
        <v>0</v>
      </c>
      <c r="I36" s="1495"/>
      <c r="J36" s="1495"/>
      <c r="K36" s="1495"/>
      <c r="L36" s="1495"/>
      <c r="M36" s="1495">
        <f t="shared" si="12"/>
        <v>0</v>
      </c>
      <c r="N36" s="1495"/>
      <c r="O36" s="1495"/>
      <c r="P36" s="1495"/>
      <c r="Q36" s="1495"/>
      <c r="R36" s="1495">
        <f t="shared" si="13"/>
        <v>0</v>
      </c>
      <c r="S36" s="1495"/>
      <c r="T36" s="1495"/>
      <c r="U36" s="1495"/>
      <c r="V36" s="1495"/>
      <c r="W36" s="1495">
        <f t="shared" si="14"/>
        <v>0</v>
      </c>
      <c r="X36" s="1495"/>
    </row>
    <row r="37" spans="1:24" hidden="1">
      <c r="A37" s="366" t="s">
        <v>643</v>
      </c>
      <c r="B37" s="1495"/>
      <c r="C37" s="1495" t="s">
        <v>657</v>
      </c>
      <c r="D37" s="1495">
        <v>80</v>
      </c>
      <c r="E37" s="1495"/>
      <c r="F37" s="1495"/>
      <c r="G37" s="1495"/>
      <c r="H37" s="1495">
        <f t="shared" si="11"/>
        <v>0</v>
      </c>
      <c r="I37" s="1495"/>
      <c r="J37" s="1495"/>
      <c r="K37" s="1495"/>
      <c r="L37" s="1495"/>
      <c r="M37" s="1495">
        <f t="shared" si="12"/>
        <v>0</v>
      </c>
      <c r="N37" s="1495"/>
      <c r="O37" s="1495"/>
      <c r="P37" s="1495"/>
      <c r="Q37" s="1495"/>
      <c r="R37" s="1495">
        <f t="shared" si="13"/>
        <v>0</v>
      </c>
      <c r="S37" s="1495"/>
      <c r="T37" s="1495"/>
      <c r="U37" s="1495"/>
      <c r="V37" s="1495"/>
      <c r="W37" s="1495">
        <f t="shared" si="14"/>
        <v>0</v>
      </c>
      <c r="X37" s="1495"/>
    </row>
    <row r="38" spans="1:24" hidden="1">
      <c r="A38" s="366" t="s">
        <v>643</v>
      </c>
      <c r="B38" s="1495"/>
      <c r="C38" s="1495" t="s">
        <v>658</v>
      </c>
      <c r="D38" s="1495">
        <v>150</v>
      </c>
      <c r="E38" s="1495"/>
      <c r="F38" s="1495"/>
      <c r="G38" s="1495"/>
      <c r="H38" s="1495">
        <f t="shared" si="11"/>
        <v>0</v>
      </c>
      <c r="I38" s="1495"/>
      <c r="J38" s="1495"/>
      <c r="K38" s="1495"/>
      <c r="L38" s="1495"/>
      <c r="M38" s="1495">
        <f t="shared" si="12"/>
        <v>0</v>
      </c>
      <c r="N38" s="1495"/>
      <c r="O38" s="1495"/>
      <c r="P38" s="1495"/>
      <c r="Q38" s="1495"/>
      <c r="R38" s="1495">
        <f t="shared" si="13"/>
        <v>0</v>
      </c>
      <c r="S38" s="1495"/>
      <c r="T38" s="1495"/>
      <c r="U38" s="1495"/>
      <c r="V38" s="1495"/>
      <c r="W38" s="1495">
        <f t="shared" si="14"/>
        <v>0</v>
      </c>
      <c r="X38" s="1495"/>
    </row>
    <row r="39" spans="1:24" hidden="1">
      <c r="A39" s="366" t="s">
        <v>643</v>
      </c>
      <c r="B39" s="1495"/>
      <c r="C39" s="1495" t="s">
        <v>659</v>
      </c>
      <c r="D39" s="1495">
        <v>100</v>
      </c>
      <c r="E39" s="1495"/>
      <c r="F39" s="1495"/>
      <c r="G39" s="1495"/>
      <c r="H39" s="1495">
        <f t="shared" si="11"/>
        <v>0</v>
      </c>
      <c r="I39" s="1495"/>
      <c r="J39" s="1495"/>
      <c r="K39" s="1495"/>
      <c r="L39" s="1495"/>
      <c r="M39" s="1495">
        <f t="shared" si="12"/>
        <v>0</v>
      </c>
      <c r="N39" s="1495"/>
      <c r="O39" s="1495"/>
      <c r="P39" s="1495"/>
      <c r="Q39" s="1495"/>
      <c r="R39" s="1495">
        <f t="shared" si="13"/>
        <v>0</v>
      </c>
      <c r="S39" s="1495"/>
      <c r="T39" s="1495"/>
      <c r="U39" s="1495"/>
      <c r="V39" s="1495"/>
      <c r="W39" s="1495">
        <f t="shared" si="14"/>
        <v>0</v>
      </c>
      <c r="X39" s="1495"/>
    </row>
    <row r="40" spans="1:24" hidden="1">
      <c r="A40" s="366" t="s">
        <v>643</v>
      </c>
      <c r="B40" s="1495"/>
      <c r="C40" s="1495" t="s">
        <v>660</v>
      </c>
      <c r="D40" s="1495">
        <v>240</v>
      </c>
      <c r="E40" s="1495"/>
      <c r="F40" s="1495"/>
      <c r="G40" s="1495"/>
      <c r="H40" s="1495">
        <f t="shared" si="11"/>
        <v>0</v>
      </c>
      <c r="I40" s="1495"/>
      <c r="J40" s="1495"/>
      <c r="K40" s="1495"/>
      <c r="L40" s="1495"/>
      <c r="M40" s="1495">
        <f t="shared" si="12"/>
        <v>0</v>
      </c>
      <c r="N40" s="1495"/>
      <c r="O40" s="1495"/>
      <c r="P40" s="1495"/>
      <c r="Q40" s="1495"/>
      <c r="R40" s="1495">
        <f t="shared" si="13"/>
        <v>0</v>
      </c>
      <c r="S40" s="1495"/>
      <c r="T40" s="1495"/>
      <c r="U40" s="1495"/>
      <c r="V40" s="1495"/>
      <c r="W40" s="1495">
        <f t="shared" si="14"/>
        <v>0</v>
      </c>
      <c r="X40" s="1495"/>
    </row>
    <row r="41" spans="1:24" hidden="1">
      <c r="A41" s="366" t="s">
        <v>643</v>
      </c>
      <c r="B41" s="1495"/>
      <c r="C41" s="1495" t="s">
        <v>661</v>
      </c>
      <c r="D41" s="1495">
        <v>60</v>
      </c>
      <c r="E41" s="1495"/>
      <c r="F41" s="1495"/>
      <c r="G41" s="1495"/>
      <c r="H41" s="1495">
        <f t="shared" si="11"/>
        <v>0</v>
      </c>
      <c r="I41" s="1495"/>
      <c r="J41" s="1495"/>
      <c r="K41" s="1495"/>
      <c r="L41" s="1495"/>
      <c r="M41" s="1495">
        <f t="shared" si="12"/>
        <v>0</v>
      </c>
      <c r="N41" s="1495"/>
      <c r="O41" s="1495"/>
      <c r="P41" s="1495"/>
      <c r="Q41" s="1495"/>
      <c r="R41" s="1495">
        <f t="shared" si="13"/>
        <v>0</v>
      </c>
      <c r="S41" s="1495"/>
      <c r="T41" s="1495"/>
      <c r="U41" s="1495"/>
      <c r="V41" s="1495"/>
      <c r="W41" s="1495">
        <f t="shared" si="14"/>
        <v>0</v>
      </c>
      <c r="X41" s="1495"/>
    </row>
    <row r="42" spans="1:24" hidden="1">
      <c r="A42" s="366" t="s">
        <v>643</v>
      </c>
      <c r="B42" s="1495"/>
      <c r="C42" s="562" t="s">
        <v>662</v>
      </c>
      <c r="D42" s="1495">
        <v>120</v>
      </c>
      <c r="E42" s="1495"/>
      <c r="F42" s="1495"/>
      <c r="G42" s="1495"/>
      <c r="H42" s="1495">
        <f t="shared" si="11"/>
        <v>0</v>
      </c>
      <c r="I42" s="1495"/>
      <c r="J42" s="1495"/>
      <c r="K42" s="1495"/>
      <c r="L42" s="1495"/>
      <c r="M42" s="1495">
        <f t="shared" si="12"/>
        <v>0</v>
      </c>
      <c r="N42" s="1495"/>
      <c r="O42" s="1495"/>
      <c r="P42" s="1495"/>
      <c r="Q42" s="1495"/>
      <c r="R42" s="1495">
        <f t="shared" si="13"/>
        <v>0</v>
      </c>
      <c r="S42" s="1495"/>
      <c r="T42" s="1495"/>
      <c r="U42" s="1495"/>
      <c r="V42" s="1495"/>
      <c r="W42" s="1495">
        <f t="shared" si="14"/>
        <v>0</v>
      </c>
      <c r="X42" s="1495"/>
    </row>
    <row r="43" spans="1:24">
      <c r="A43" s="366" t="s">
        <v>632</v>
      </c>
      <c r="B43" s="1495">
        <v>2</v>
      </c>
      <c r="C43" s="562" t="s">
        <v>663</v>
      </c>
      <c r="D43" s="362">
        <v>1740</v>
      </c>
      <c r="E43" s="1495"/>
      <c r="F43" s="1495"/>
      <c r="G43" s="1495"/>
      <c r="H43" s="1495">
        <f t="shared" si="11"/>
        <v>0</v>
      </c>
      <c r="I43" s="1495"/>
      <c r="J43" s="1495">
        <v>279</v>
      </c>
      <c r="K43" s="1495">
        <v>304</v>
      </c>
      <c r="L43" s="1495">
        <v>287</v>
      </c>
      <c r="M43" s="1495">
        <f t="shared" si="12"/>
        <v>870</v>
      </c>
      <c r="N43" s="1495"/>
      <c r="O43" s="1495"/>
      <c r="P43" s="1495"/>
      <c r="Q43" s="1495"/>
      <c r="R43" s="1495">
        <f t="shared" si="13"/>
        <v>0</v>
      </c>
      <c r="S43" s="1495"/>
      <c r="T43" s="1495">
        <v>203</v>
      </c>
      <c r="U43" s="1495">
        <v>232</v>
      </c>
      <c r="V43" s="1495">
        <v>435</v>
      </c>
      <c r="W43" s="1495">
        <f t="shared" si="14"/>
        <v>870</v>
      </c>
      <c r="X43" s="1495"/>
    </row>
    <row r="44" spans="1:24" hidden="1">
      <c r="A44" s="366" t="s">
        <v>643</v>
      </c>
      <c r="B44" s="1495"/>
      <c r="C44" s="1495" t="s">
        <v>664</v>
      </c>
      <c r="D44" s="1495">
        <v>36</v>
      </c>
      <c r="E44" s="1495"/>
      <c r="F44" s="1495"/>
      <c r="G44" s="1495"/>
      <c r="H44" s="1495">
        <f t="shared" si="11"/>
        <v>0</v>
      </c>
      <c r="I44" s="1495"/>
      <c r="J44" s="1495"/>
      <c r="K44" s="1495"/>
      <c r="L44" s="1495"/>
      <c r="M44" s="1495">
        <f t="shared" si="12"/>
        <v>0</v>
      </c>
      <c r="N44" s="1495"/>
      <c r="O44" s="1495"/>
      <c r="P44" s="1495"/>
      <c r="Q44" s="1495"/>
      <c r="R44" s="1495">
        <f t="shared" si="13"/>
        <v>0</v>
      </c>
      <c r="S44" s="1495"/>
      <c r="T44" s="1495"/>
      <c r="U44" s="1495"/>
      <c r="V44" s="1495"/>
      <c r="W44" s="1495">
        <f t="shared" si="14"/>
        <v>0</v>
      </c>
      <c r="X44" s="1495"/>
    </row>
    <row r="45" spans="1:24" hidden="1">
      <c r="A45" s="366" t="s">
        <v>632</v>
      </c>
      <c r="B45" s="1495"/>
      <c r="C45" s="562" t="s">
        <v>665</v>
      </c>
      <c r="D45" s="1495">
        <v>513</v>
      </c>
      <c r="E45" s="1495"/>
      <c r="F45" s="1495"/>
      <c r="G45" s="1495"/>
      <c r="H45" s="1495">
        <f t="shared" si="11"/>
        <v>0</v>
      </c>
      <c r="I45" s="1495"/>
      <c r="J45" s="1495"/>
      <c r="K45" s="1495"/>
      <c r="L45" s="1495"/>
      <c r="M45" s="1495">
        <f t="shared" si="12"/>
        <v>0</v>
      </c>
      <c r="N45" s="1495"/>
      <c r="O45" s="1495"/>
      <c r="P45" s="1495"/>
      <c r="Q45" s="1495"/>
      <c r="R45" s="1495">
        <f t="shared" si="13"/>
        <v>0</v>
      </c>
      <c r="S45" s="1495"/>
      <c r="T45" s="1495"/>
      <c r="U45" s="1495"/>
      <c r="V45" s="1495"/>
      <c r="W45" s="1495">
        <f t="shared" si="14"/>
        <v>0</v>
      </c>
      <c r="X45" s="1495"/>
    </row>
    <row r="46" spans="1:24" hidden="1">
      <c r="A46" s="366" t="s">
        <v>632</v>
      </c>
      <c r="B46" s="1495"/>
      <c r="C46" s="562" t="s">
        <v>666</v>
      </c>
      <c r="D46" s="362">
        <v>1046</v>
      </c>
      <c r="E46" s="1495"/>
      <c r="F46" s="1495"/>
      <c r="G46" s="1495"/>
      <c r="H46" s="1495">
        <f t="shared" si="11"/>
        <v>0</v>
      </c>
      <c r="I46" s="1495"/>
      <c r="J46" s="1495"/>
      <c r="K46" s="1495"/>
      <c r="L46" s="1495"/>
      <c r="M46" s="1495">
        <f t="shared" si="12"/>
        <v>0</v>
      </c>
      <c r="N46" s="1495"/>
      <c r="O46" s="1495"/>
      <c r="P46" s="1495"/>
      <c r="Q46" s="1495"/>
      <c r="R46" s="1495">
        <f t="shared" si="13"/>
        <v>0</v>
      </c>
      <c r="S46" s="1495"/>
      <c r="T46" s="1495"/>
      <c r="U46" s="1495"/>
      <c r="V46" s="1495"/>
      <c r="W46" s="1495">
        <f t="shared" si="14"/>
        <v>0</v>
      </c>
      <c r="X46" s="1495"/>
    </row>
    <row r="47" spans="1:24" hidden="1">
      <c r="A47" s="366" t="s">
        <v>643</v>
      </c>
      <c r="B47" s="1495"/>
      <c r="C47" s="1495" t="s">
        <v>667</v>
      </c>
      <c r="D47" s="1495">
        <v>150</v>
      </c>
      <c r="E47" s="1495"/>
      <c r="F47" s="1495"/>
      <c r="G47" s="1495"/>
      <c r="H47" s="1495">
        <f t="shared" si="11"/>
        <v>0</v>
      </c>
      <c r="I47" s="1495"/>
      <c r="J47" s="1495"/>
      <c r="K47" s="1495"/>
      <c r="L47" s="1495"/>
      <c r="M47" s="1495">
        <f t="shared" si="12"/>
        <v>0</v>
      </c>
      <c r="N47" s="1495"/>
      <c r="O47" s="1495"/>
      <c r="P47" s="1495"/>
      <c r="Q47" s="1495"/>
      <c r="R47" s="1495">
        <f t="shared" si="13"/>
        <v>0</v>
      </c>
      <c r="S47" s="1495"/>
      <c r="T47" s="1495"/>
      <c r="U47" s="1495"/>
      <c r="V47" s="1495"/>
      <c r="W47" s="1495">
        <f t="shared" si="14"/>
        <v>0</v>
      </c>
      <c r="X47" s="1495"/>
    </row>
    <row r="48" spans="1:24" hidden="1">
      <c r="A48" s="366" t="s">
        <v>629</v>
      </c>
      <c r="B48" s="1495"/>
      <c r="C48" s="1495" t="s">
        <v>668</v>
      </c>
      <c r="D48" s="1495">
        <v>178</v>
      </c>
      <c r="E48" s="1495"/>
      <c r="F48" s="1495"/>
      <c r="G48" s="1495"/>
      <c r="H48" s="1495">
        <f t="shared" si="11"/>
        <v>0</v>
      </c>
      <c r="I48" s="1495"/>
      <c r="J48" s="1495"/>
      <c r="K48" s="1495"/>
      <c r="L48" s="1495"/>
      <c r="M48" s="1495">
        <f t="shared" si="12"/>
        <v>0</v>
      </c>
      <c r="N48" s="1495"/>
      <c r="O48" s="1495"/>
      <c r="P48" s="1495"/>
      <c r="Q48" s="1495"/>
      <c r="R48" s="1495">
        <f t="shared" si="13"/>
        <v>0</v>
      </c>
      <c r="S48" s="1495"/>
      <c r="T48" s="1495"/>
      <c r="U48" s="1495"/>
      <c r="V48" s="1495"/>
      <c r="W48" s="1495">
        <f t="shared" si="14"/>
        <v>0</v>
      </c>
      <c r="X48" s="1495"/>
    </row>
    <row r="49" spans="1:24" hidden="1">
      <c r="A49" s="366" t="s">
        <v>632</v>
      </c>
      <c r="B49" s="1495"/>
      <c r="C49" s="562" t="s">
        <v>669</v>
      </c>
      <c r="D49" s="362">
        <v>1715</v>
      </c>
      <c r="E49" s="1495"/>
      <c r="F49" s="1495"/>
      <c r="G49" s="1495"/>
      <c r="H49" s="1495">
        <f t="shared" si="11"/>
        <v>0</v>
      </c>
      <c r="I49" s="1495"/>
      <c r="J49" s="1495"/>
      <c r="K49" s="1495"/>
      <c r="L49" s="1495"/>
      <c r="M49" s="1495">
        <f t="shared" si="12"/>
        <v>0</v>
      </c>
      <c r="N49" s="1495"/>
      <c r="O49" s="1495"/>
      <c r="P49" s="1495"/>
      <c r="Q49" s="1495"/>
      <c r="R49" s="1495">
        <f t="shared" si="13"/>
        <v>0</v>
      </c>
      <c r="S49" s="1495"/>
      <c r="T49" s="1495"/>
      <c r="U49" s="1495"/>
      <c r="V49" s="1495"/>
      <c r="W49" s="1495">
        <f t="shared" si="14"/>
        <v>0</v>
      </c>
      <c r="X49" s="1495"/>
    </row>
    <row r="50" spans="1:24" hidden="1">
      <c r="A50" s="366" t="s">
        <v>513</v>
      </c>
      <c r="B50" s="1495"/>
      <c r="C50" s="1495" t="s">
        <v>670</v>
      </c>
      <c r="D50" s="1495"/>
      <c r="E50" s="360"/>
      <c r="F50" s="360">
        <f>SUM(F13:F49)</f>
        <v>363</v>
      </c>
      <c r="G50" s="360">
        <f>SUM(G13:G49)</f>
        <v>530</v>
      </c>
      <c r="H50" s="360">
        <f>SUM(H13:H49)</f>
        <v>893</v>
      </c>
      <c r="I50" s="360"/>
      <c r="J50" s="360">
        <f t="shared" ref="J50:L50" si="15">SUM(J13:J49)</f>
        <v>279</v>
      </c>
      <c r="K50" s="360">
        <f t="shared" si="15"/>
        <v>304</v>
      </c>
      <c r="L50" s="360">
        <f t="shared" si="15"/>
        <v>287</v>
      </c>
      <c r="M50" s="360">
        <f>SUM(M13:M49)</f>
        <v>870</v>
      </c>
      <c r="N50" s="360"/>
      <c r="O50" s="360">
        <f t="shared" ref="O50:Q50" si="16">SUM(O13:O49)</f>
        <v>305</v>
      </c>
      <c r="P50" s="360">
        <f>SUM(P13:P49)</f>
        <v>301</v>
      </c>
      <c r="Q50" s="360">
        <f t="shared" si="16"/>
        <v>350</v>
      </c>
      <c r="R50" s="360">
        <f>SUM(R13:R49)</f>
        <v>956</v>
      </c>
      <c r="S50" s="360"/>
      <c r="T50" s="360">
        <f t="shared" ref="T50:V50" si="17">SUM(T13:T49)</f>
        <v>203</v>
      </c>
      <c r="U50" s="360">
        <f t="shared" si="17"/>
        <v>232</v>
      </c>
      <c r="V50" s="360">
        <f t="shared" si="17"/>
        <v>435</v>
      </c>
      <c r="W50" s="360">
        <f>SUM(W13:W49)</f>
        <v>870</v>
      </c>
      <c r="X50" s="360"/>
    </row>
    <row r="51" spans="1:24">
      <c r="A51" s="1495"/>
      <c r="B51" s="1495"/>
      <c r="C51" s="1495"/>
      <c r="D51" s="1495"/>
      <c r="E51" s="1495"/>
      <c r="F51" s="1495"/>
      <c r="G51" s="1495"/>
      <c r="H51" s="1495"/>
      <c r="I51" s="1495"/>
      <c r="J51" s="1495"/>
      <c r="K51" s="1495"/>
      <c r="L51" s="1495"/>
      <c r="M51" s="1495"/>
      <c r="N51" s="1495"/>
      <c r="O51" s="1495"/>
      <c r="P51" s="1495"/>
      <c r="Q51" s="1495"/>
      <c r="R51" s="1495"/>
      <c r="S51" s="1495"/>
      <c r="T51" s="1495"/>
      <c r="U51" s="1495"/>
      <c r="V51" s="1495"/>
      <c r="W51" s="1495"/>
      <c r="X51" s="1495"/>
    </row>
    <row r="52" spans="1:24">
      <c r="A52" s="1495"/>
      <c r="B52" s="1495"/>
      <c r="C52" s="1495"/>
      <c r="D52" s="1495"/>
      <c r="E52" s="1495"/>
      <c r="F52" s="1495" t="s">
        <v>623</v>
      </c>
      <c r="G52" s="1495" t="s">
        <v>623</v>
      </c>
      <c r="H52" s="1495" t="s">
        <v>624</v>
      </c>
      <c r="I52" s="1495"/>
      <c r="J52" s="1495"/>
      <c r="K52" s="1495"/>
      <c r="L52" s="1495"/>
      <c r="M52" s="371">
        <f>M4+M5-M43</f>
        <v>38.348763132499926</v>
      </c>
      <c r="N52" s="1495"/>
      <c r="O52" s="1495"/>
      <c r="P52" s="1495"/>
      <c r="Q52" s="1495"/>
      <c r="R52" s="371">
        <f>R4+R5-R50</f>
        <v>37.555170476000058</v>
      </c>
      <c r="S52" s="1495"/>
      <c r="T52" s="1495"/>
      <c r="U52" s="1495"/>
      <c r="V52" s="1495"/>
      <c r="W52" s="371">
        <f>W5-W50</f>
        <v>99.038989962000187</v>
      </c>
      <c r="X52" s="1495"/>
    </row>
    <row r="53" spans="1:24">
      <c r="A53" s="1495"/>
      <c r="B53" s="1495"/>
      <c r="C53" s="1495"/>
      <c r="D53" s="1495"/>
      <c r="E53" s="1495"/>
      <c r="F53" s="1495"/>
      <c r="G53" s="1495"/>
      <c r="H53" s="1495"/>
      <c r="I53" s="1495"/>
      <c r="J53" s="1495"/>
      <c r="K53" s="1495"/>
      <c r="L53" s="1495"/>
      <c r="M53" s="1495"/>
      <c r="N53" s="1495"/>
      <c r="O53" s="1495"/>
      <c r="P53" s="1495"/>
      <c r="Q53" s="1495"/>
      <c r="R53" s="1495"/>
      <c r="S53" s="1495"/>
      <c r="T53" s="1495"/>
      <c r="U53" s="1495"/>
      <c r="V53" s="1495"/>
      <c r="W53" s="1495"/>
      <c r="X53" s="1495"/>
    </row>
  </sheetData>
  <autoFilter ref="A12:X50" xr:uid="{00000000-0009-0000-0000-000008000000}">
    <filterColumn colId="1">
      <filters>
        <filter val="1"/>
        <filter val="2"/>
        <filter val="3"/>
      </filters>
    </filterColumn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A15"/>
  <sheetViews>
    <sheetView workbookViewId="0">
      <selection activeCell="Q18" sqref="Q18"/>
    </sheetView>
  </sheetViews>
  <sheetFormatPr defaultColWidth="9.140625" defaultRowHeight="15"/>
  <cols>
    <col min="1" max="1" width="26.85546875" bestFit="1" customWidth="1"/>
    <col min="2" max="6" width="8.7109375" customWidth="1"/>
    <col min="7" max="7" width="7.5703125" bestFit="1" customWidth="1"/>
    <col min="8" max="12" width="8.7109375" customWidth="1"/>
    <col min="13" max="13" width="9.5703125" customWidth="1"/>
    <col min="14" max="15" width="0" hidden="1" customWidth="1"/>
  </cols>
  <sheetData>
    <row r="1" spans="1:27">
      <c r="B1" s="55">
        <v>4</v>
      </c>
      <c r="C1" s="55">
        <v>4</v>
      </c>
      <c r="D1" s="55">
        <v>5</v>
      </c>
      <c r="E1" s="55">
        <v>4</v>
      </c>
      <c r="F1" s="55">
        <v>4</v>
      </c>
      <c r="G1" s="55">
        <v>5</v>
      </c>
      <c r="H1" s="55">
        <v>4</v>
      </c>
      <c r="I1" s="55">
        <v>4</v>
      </c>
      <c r="J1" s="55">
        <v>5</v>
      </c>
      <c r="K1" s="55">
        <v>4</v>
      </c>
      <c r="L1" s="55">
        <v>4</v>
      </c>
      <c r="M1" s="55">
        <v>5</v>
      </c>
      <c r="N1" s="55">
        <v>5.3333333333333304</v>
      </c>
      <c r="O1" s="55">
        <v>5.8333333333333304</v>
      </c>
      <c r="P1" s="55">
        <v>4</v>
      </c>
      <c r="Q1" s="55">
        <v>4</v>
      </c>
      <c r="R1" s="55">
        <v>5</v>
      </c>
      <c r="S1" s="55">
        <v>4</v>
      </c>
      <c r="T1" s="55">
        <v>4</v>
      </c>
      <c r="U1" s="55">
        <v>5</v>
      </c>
      <c r="V1" s="55">
        <v>4</v>
      </c>
      <c r="W1" s="55">
        <v>4</v>
      </c>
      <c r="X1" s="55">
        <v>5</v>
      </c>
      <c r="Y1" s="55">
        <v>4</v>
      </c>
      <c r="Z1" s="55">
        <v>4</v>
      </c>
      <c r="AA1" s="55">
        <v>5</v>
      </c>
    </row>
    <row r="2" spans="1:27">
      <c r="A2" t="s">
        <v>671</v>
      </c>
      <c r="B2" s="533">
        <v>44197</v>
      </c>
      <c r="C2" s="533">
        <v>44228</v>
      </c>
      <c r="D2" s="533">
        <v>44256</v>
      </c>
      <c r="E2" s="533">
        <v>44287</v>
      </c>
      <c r="F2" s="533">
        <v>44317</v>
      </c>
      <c r="G2" s="533">
        <v>44348</v>
      </c>
      <c r="H2" s="533">
        <v>44378</v>
      </c>
      <c r="I2" s="533">
        <v>44409</v>
      </c>
      <c r="J2" s="533">
        <v>44440</v>
      </c>
      <c r="K2" s="533">
        <v>44470</v>
      </c>
      <c r="L2" s="533">
        <v>44501</v>
      </c>
      <c r="M2" s="533">
        <v>44531</v>
      </c>
      <c r="N2" s="534" t="s">
        <v>672</v>
      </c>
      <c r="P2" s="534">
        <v>44562</v>
      </c>
      <c r="Q2" s="534">
        <v>44593</v>
      </c>
      <c r="R2" s="534">
        <v>44621</v>
      </c>
      <c r="S2" s="534">
        <v>44652</v>
      </c>
      <c r="T2" s="534">
        <v>44682</v>
      </c>
      <c r="U2" s="534">
        <v>44713</v>
      </c>
      <c r="V2" s="534">
        <v>44743</v>
      </c>
      <c r="W2" s="534">
        <v>44774</v>
      </c>
      <c r="X2" s="534">
        <v>44805</v>
      </c>
      <c r="Y2" s="534">
        <v>44835</v>
      </c>
      <c r="Z2" s="534">
        <v>44866</v>
      </c>
      <c r="AA2" s="534">
        <v>44896</v>
      </c>
    </row>
    <row r="3" spans="1:27" s="497" customFormat="1">
      <c r="A3" s="538" t="s">
        <v>673</v>
      </c>
      <c r="B3" s="544">
        <f>2129599.42325/1000</f>
        <v>2129.5994232500002</v>
      </c>
      <c r="D3" s="539">
        <f>'Ventas Mensuales'!N48/1000</f>
        <v>3195.9202575625004</v>
      </c>
      <c r="E3" s="539">
        <f>'Ventas Mensuales'!S48/1000</f>
        <v>3254.4948013825006</v>
      </c>
      <c r="F3" s="539" t="e">
        <f>'Proy 2021 vs 2019 Sem'!#REF!/1000</f>
        <v>#REF!</v>
      </c>
      <c r="G3" s="539" t="e">
        <f>'Proy 2021 vs 2019 Sem'!#REF!/1000</f>
        <v>#REF!</v>
      </c>
      <c r="H3" s="539" t="e">
        <f>'Proy 2021 vs 2019 Sem'!#REF!/1000</f>
        <v>#REF!</v>
      </c>
      <c r="I3" s="539" t="e">
        <f>'Proy 2021 vs 2019 Sem'!#REF!/1000</f>
        <v>#REF!</v>
      </c>
      <c r="J3" s="539" t="e">
        <f>'Proy 2021 vs 2019 Sem'!#REF!/1000</f>
        <v>#REF!</v>
      </c>
      <c r="K3" s="539" t="e">
        <f>'Proy 2021 vs 2019 Sem'!#REF!/1000</f>
        <v>#REF!</v>
      </c>
      <c r="L3" s="539" t="e">
        <f>'Proy 2021 vs 2019 Sem'!#REF!/1000</f>
        <v>#REF!</v>
      </c>
      <c r="M3" s="539" t="e">
        <f>'Proy 2021 vs 2019 Sem'!#REF!/1000</f>
        <v>#REF!</v>
      </c>
      <c r="R3" s="539"/>
      <c r="S3" s="539"/>
      <c r="T3" s="539"/>
      <c r="U3" s="539"/>
      <c r="V3" s="539"/>
      <c r="W3" s="539"/>
      <c r="X3" s="539"/>
      <c r="Y3" s="539"/>
      <c r="Z3" s="539"/>
      <c r="AA3" s="539"/>
    </row>
    <row r="4" spans="1:27" s="497" customFormat="1">
      <c r="A4" s="540" t="s">
        <v>674</v>
      </c>
      <c r="D4" s="541">
        <f t="shared" ref="D4:AA4" si="0">SUM(D5:D11)</f>
        <v>4289</v>
      </c>
      <c r="E4" s="541">
        <f t="shared" si="0"/>
        <v>3669</v>
      </c>
      <c r="F4" s="541">
        <f t="shared" si="0"/>
        <v>3809</v>
      </c>
      <c r="G4" s="541">
        <f t="shared" si="0"/>
        <v>4149</v>
      </c>
      <c r="H4" s="541">
        <f t="shared" si="0"/>
        <v>3809</v>
      </c>
      <c r="I4" s="541">
        <f t="shared" si="0"/>
        <v>3669</v>
      </c>
      <c r="J4" s="541">
        <f t="shared" si="0"/>
        <v>4289</v>
      </c>
      <c r="K4" s="541">
        <f t="shared" si="0"/>
        <v>3669</v>
      </c>
      <c r="L4" s="541">
        <f t="shared" si="0"/>
        <v>3809</v>
      </c>
      <c r="M4" s="541">
        <f t="shared" si="0"/>
        <v>4849</v>
      </c>
      <c r="N4" s="541">
        <f t="shared" si="0"/>
        <v>27419</v>
      </c>
      <c r="O4" s="541">
        <f t="shared" si="0"/>
        <v>1399</v>
      </c>
      <c r="P4" s="541">
        <f t="shared" si="0"/>
        <v>3809</v>
      </c>
      <c r="Q4" s="541">
        <f t="shared" si="0"/>
        <v>3669</v>
      </c>
      <c r="R4" s="541">
        <f t="shared" si="0"/>
        <v>4289</v>
      </c>
      <c r="S4" s="541">
        <f t="shared" si="0"/>
        <v>3669</v>
      </c>
      <c r="T4" s="541">
        <f t="shared" si="0"/>
        <v>3809</v>
      </c>
      <c r="U4" s="541">
        <f t="shared" si="0"/>
        <v>4149</v>
      </c>
      <c r="V4" s="541">
        <f t="shared" si="0"/>
        <v>3809</v>
      </c>
      <c r="W4" s="541">
        <f t="shared" si="0"/>
        <v>3669</v>
      </c>
      <c r="X4" s="541">
        <f t="shared" si="0"/>
        <v>4289</v>
      </c>
      <c r="Y4" s="541">
        <f t="shared" si="0"/>
        <v>3669</v>
      </c>
      <c r="Z4" s="541">
        <f t="shared" si="0"/>
        <v>3809</v>
      </c>
      <c r="AA4" s="541">
        <f t="shared" si="0"/>
        <v>4849</v>
      </c>
    </row>
    <row r="5" spans="1:27">
      <c r="A5" t="s">
        <v>246</v>
      </c>
      <c r="D5" s="386">
        <f>(350000*D1)/1000</f>
        <v>1750</v>
      </c>
      <c r="E5" s="386">
        <f t="shared" ref="E5:L5" si="1">(350000*E1)/1000</f>
        <v>1400</v>
      </c>
      <c r="F5" s="386">
        <f t="shared" si="1"/>
        <v>1400</v>
      </c>
      <c r="G5" s="386">
        <f t="shared" si="1"/>
        <v>1750</v>
      </c>
      <c r="H5" s="386">
        <f t="shared" si="1"/>
        <v>1400</v>
      </c>
      <c r="I5" s="386">
        <f t="shared" si="1"/>
        <v>1400</v>
      </c>
      <c r="J5" s="386">
        <f t="shared" si="1"/>
        <v>1750</v>
      </c>
      <c r="K5" s="386">
        <f t="shared" si="1"/>
        <v>1400</v>
      </c>
      <c r="L5" s="386">
        <f t="shared" si="1"/>
        <v>1400</v>
      </c>
      <c r="M5" s="386">
        <f>(700000+(350000*M1))/1000</f>
        <v>2450</v>
      </c>
      <c r="N5" s="386">
        <f>SUM(D5:M5)</f>
        <v>16100</v>
      </c>
      <c r="P5" s="386">
        <f t="shared" ref="P5:Q5" si="2">(350000*P1)/1000</f>
        <v>1400</v>
      </c>
      <c r="Q5" s="386">
        <f t="shared" si="2"/>
        <v>1400</v>
      </c>
      <c r="R5" s="386">
        <f>(350000*R1)/1000</f>
        <v>1750</v>
      </c>
      <c r="S5" s="386">
        <f t="shared" ref="S5:Z5" si="3">(350000*S1)/1000</f>
        <v>1400</v>
      </c>
      <c r="T5" s="386">
        <f t="shared" si="3"/>
        <v>1400</v>
      </c>
      <c r="U5" s="386">
        <f t="shared" si="3"/>
        <v>1750</v>
      </c>
      <c r="V5" s="386">
        <f t="shared" si="3"/>
        <v>1400</v>
      </c>
      <c r="W5" s="386">
        <f t="shared" si="3"/>
        <v>1400</v>
      </c>
      <c r="X5" s="386">
        <f t="shared" si="3"/>
        <v>1750</v>
      </c>
      <c r="Y5" s="386">
        <f t="shared" si="3"/>
        <v>1400</v>
      </c>
      <c r="Z5" s="386">
        <f t="shared" si="3"/>
        <v>1400</v>
      </c>
      <c r="AA5" s="386">
        <f>(700000+(350000*AA1))/1000</f>
        <v>2450</v>
      </c>
    </row>
    <row r="6" spans="1:27">
      <c r="A6" t="s">
        <v>675</v>
      </c>
      <c r="D6" s="386">
        <v>350</v>
      </c>
      <c r="E6" s="386">
        <v>350</v>
      </c>
      <c r="F6" s="386">
        <v>350</v>
      </c>
      <c r="G6" s="386">
        <v>350</v>
      </c>
      <c r="H6" s="386">
        <v>350</v>
      </c>
      <c r="I6" s="386">
        <v>350</v>
      </c>
      <c r="J6" s="386">
        <v>350</v>
      </c>
      <c r="K6" s="386">
        <v>350</v>
      </c>
      <c r="L6" s="386">
        <v>350</v>
      </c>
      <c r="M6" s="386">
        <v>350</v>
      </c>
      <c r="N6" s="386">
        <f t="shared" ref="N6:N10" si="4">SUM(D6:M6)</f>
        <v>3500</v>
      </c>
      <c r="P6" s="386">
        <v>350</v>
      </c>
      <c r="Q6" s="386">
        <v>350</v>
      </c>
      <c r="R6" s="386">
        <v>350</v>
      </c>
      <c r="S6" s="386">
        <v>350</v>
      </c>
      <c r="T6" s="386">
        <v>350</v>
      </c>
      <c r="U6" s="386">
        <v>350</v>
      </c>
      <c r="V6" s="386">
        <v>350</v>
      </c>
      <c r="W6" s="386">
        <v>350</v>
      </c>
      <c r="X6" s="386">
        <v>350</v>
      </c>
      <c r="Y6" s="386">
        <v>350</v>
      </c>
      <c r="Z6" s="386">
        <v>350</v>
      </c>
      <c r="AA6" s="386">
        <v>350</v>
      </c>
    </row>
    <row r="7" spans="1:27">
      <c r="A7" t="s">
        <v>676</v>
      </c>
      <c r="D7" s="386">
        <v>140</v>
      </c>
      <c r="E7" s="386"/>
      <c r="F7" s="386">
        <v>140</v>
      </c>
      <c r="G7" s="386"/>
      <c r="H7" s="386">
        <v>140</v>
      </c>
      <c r="I7" s="386"/>
      <c r="J7" s="386">
        <v>140</v>
      </c>
      <c r="K7" s="386"/>
      <c r="L7" s="386">
        <v>140</v>
      </c>
      <c r="M7" s="386"/>
      <c r="N7" s="386">
        <f t="shared" si="4"/>
        <v>700</v>
      </c>
      <c r="P7" s="386">
        <v>140</v>
      </c>
      <c r="R7" s="386">
        <v>140</v>
      </c>
      <c r="S7" s="386"/>
      <c r="T7" s="386">
        <v>140</v>
      </c>
      <c r="U7" s="386"/>
      <c r="V7" s="386">
        <v>140</v>
      </c>
      <c r="W7" s="386"/>
      <c r="X7" s="386">
        <v>140</v>
      </c>
      <c r="Y7" s="386"/>
      <c r="Z7" s="386">
        <v>140</v>
      </c>
      <c r="AA7" s="386"/>
    </row>
    <row r="8" spans="1:27">
      <c r="A8" t="s">
        <v>308</v>
      </c>
      <c r="D8" s="386">
        <f>100*D1</f>
        <v>500</v>
      </c>
      <c r="E8" s="386">
        <f t="shared" ref="E8:M8" si="5">100*E1</f>
        <v>400</v>
      </c>
      <c r="F8" s="386">
        <f t="shared" si="5"/>
        <v>400</v>
      </c>
      <c r="G8" s="386">
        <f t="shared" si="5"/>
        <v>500</v>
      </c>
      <c r="H8" s="386">
        <f t="shared" si="5"/>
        <v>400</v>
      </c>
      <c r="I8" s="386">
        <f t="shared" si="5"/>
        <v>400</v>
      </c>
      <c r="J8" s="386">
        <f t="shared" si="5"/>
        <v>500</v>
      </c>
      <c r="K8" s="386">
        <f t="shared" si="5"/>
        <v>400</v>
      </c>
      <c r="L8" s="386">
        <f t="shared" si="5"/>
        <v>400</v>
      </c>
      <c r="M8" s="386">
        <f t="shared" si="5"/>
        <v>500</v>
      </c>
      <c r="N8" s="386">
        <f t="shared" si="4"/>
        <v>4400</v>
      </c>
      <c r="P8" s="386">
        <f t="shared" ref="P8:Q8" si="6">100*P1</f>
        <v>400</v>
      </c>
      <c r="Q8" s="386">
        <f t="shared" si="6"/>
        <v>400</v>
      </c>
      <c r="R8" s="386">
        <f>100*R1</f>
        <v>500</v>
      </c>
      <c r="S8" s="386">
        <f t="shared" ref="S8:AA8" si="7">100*S1</f>
        <v>400</v>
      </c>
      <c r="T8" s="386">
        <f t="shared" si="7"/>
        <v>400</v>
      </c>
      <c r="U8" s="386">
        <f t="shared" si="7"/>
        <v>500</v>
      </c>
      <c r="V8" s="386">
        <f t="shared" si="7"/>
        <v>400</v>
      </c>
      <c r="W8" s="386">
        <f t="shared" si="7"/>
        <v>400</v>
      </c>
      <c r="X8" s="386">
        <f t="shared" si="7"/>
        <v>500</v>
      </c>
      <c r="Y8" s="386">
        <f t="shared" si="7"/>
        <v>400</v>
      </c>
      <c r="Z8" s="386">
        <f t="shared" si="7"/>
        <v>400</v>
      </c>
      <c r="AA8" s="386">
        <f t="shared" si="7"/>
        <v>500</v>
      </c>
    </row>
    <row r="9" spans="1:27">
      <c r="A9" t="s">
        <v>677</v>
      </c>
      <c r="D9" s="386">
        <f>10*D1</f>
        <v>50</v>
      </c>
      <c r="E9" s="386">
        <f t="shared" ref="E9:M9" si="8">10*E1</f>
        <v>40</v>
      </c>
      <c r="F9" s="386">
        <f t="shared" si="8"/>
        <v>40</v>
      </c>
      <c r="G9" s="386">
        <f t="shared" si="8"/>
        <v>50</v>
      </c>
      <c r="H9" s="386">
        <f t="shared" si="8"/>
        <v>40</v>
      </c>
      <c r="I9" s="386">
        <f t="shared" si="8"/>
        <v>40</v>
      </c>
      <c r="J9" s="386">
        <f t="shared" si="8"/>
        <v>50</v>
      </c>
      <c r="K9" s="386">
        <f t="shared" si="8"/>
        <v>40</v>
      </c>
      <c r="L9" s="386">
        <f t="shared" si="8"/>
        <v>40</v>
      </c>
      <c r="M9" s="386">
        <f t="shared" si="8"/>
        <v>50</v>
      </c>
      <c r="N9" s="386">
        <f t="shared" si="4"/>
        <v>440</v>
      </c>
      <c r="P9" s="386">
        <f t="shared" ref="P9:Q9" si="9">10*P1</f>
        <v>40</v>
      </c>
      <c r="Q9" s="386">
        <f t="shared" si="9"/>
        <v>40</v>
      </c>
      <c r="R9" s="386">
        <f>10*R1</f>
        <v>50</v>
      </c>
      <c r="S9" s="386">
        <f t="shared" ref="S9:AA9" si="10">10*S1</f>
        <v>40</v>
      </c>
      <c r="T9" s="386">
        <f t="shared" si="10"/>
        <v>40</v>
      </c>
      <c r="U9" s="386">
        <f t="shared" si="10"/>
        <v>50</v>
      </c>
      <c r="V9" s="386">
        <f t="shared" si="10"/>
        <v>40</v>
      </c>
      <c r="W9" s="386">
        <f t="shared" si="10"/>
        <v>40</v>
      </c>
      <c r="X9" s="386">
        <f t="shared" si="10"/>
        <v>50</v>
      </c>
      <c r="Y9" s="386">
        <f t="shared" si="10"/>
        <v>40</v>
      </c>
      <c r="Z9" s="386">
        <f t="shared" si="10"/>
        <v>40</v>
      </c>
      <c r="AA9" s="386">
        <f t="shared" si="10"/>
        <v>50</v>
      </c>
    </row>
    <row r="10" spans="1:27">
      <c r="A10" t="s">
        <v>678</v>
      </c>
      <c r="D10" s="386">
        <f>20*D1</f>
        <v>100</v>
      </c>
      <c r="E10" s="386">
        <f t="shared" ref="E10:M10" si="11">20*E1</f>
        <v>80</v>
      </c>
      <c r="F10" s="386">
        <f t="shared" si="11"/>
        <v>80</v>
      </c>
      <c r="G10" s="386">
        <f t="shared" si="11"/>
        <v>100</v>
      </c>
      <c r="H10" s="386">
        <f t="shared" si="11"/>
        <v>80</v>
      </c>
      <c r="I10" s="386">
        <f t="shared" si="11"/>
        <v>80</v>
      </c>
      <c r="J10" s="386">
        <f t="shared" si="11"/>
        <v>100</v>
      </c>
      <c r="K10" s="386">
        <f t="shared" si="11"/>
        <v>80</v>
      </c>
      <c r="L10" s="386">
        <f t="shared" si="11"/>
        <v>80</v>
      </c>
      <c r="M10" s="386">
        <f t="shared" si="11"/>
        <v>100</v>
      </c>
      <c r="N10" s="386">
        <f t="shared" si="4"/>
        <v>880</v>
      </c>
      <c r="P10" s="386">
        <f t="shared" ref="P10:Q10" si="12">20*P1</f>
        <v>80</v>
      </c>
      <c r="Q10" s="386">
        <f t="shared" si="12"/>
        <v>80</v>
      </c>
      <c r="R10" s="386">
        <f>20*R1</f>
        <v>100</v>
      </c>
      <c r="S10" s="386">
        <f t="shared" ref="S10:AA10" si="13">20*S1</f>
        <v>80</v>
      </c>
      <c r="T10" s="386">
        <f t="shared" si="13"/>
        <v>80</v>
      </c>
      <c r="U10" s="386">
        <f t="shared" si="13"/>
        <v>100</v>
      </c>
      <c r="V10" s="386">
        <f t="shared" si="13"/>
        <v>80</v>
      </c>
      <c r="W10" s="386">
        <f t="shared" si="13"/>
        <v>80</v>
      </c>
      <c r="X10" s="386">
        <f t="shared" si="13"/>
        <v>100</v>
      </c>
      <c r="Y10" s="386">
        <f t="shared" si="13"/>
        <v>80</v>
      </c>
      <c r="Z10" s="386">
        <f t="shared" si="13"/>
        <v>80</v>
      </c>
      <c r="AA10" s="386">
        <f t="shared" si="13"/>
        <v>100</v>
      </c>
    </row>
    <row r="11" spans="1:27">
      <c r="A11" t="s">
        <v>679</v>
      </c>
      <c r="B11" s="386">
        <v>1399</v>
      </c>
      <c r="C11" s="386">
        <v>1399</v>
      </c>
      <c r="D11" s="386">
        <v>1399</v>
      </c>
      <c r="E11" s="386">
        <v>1399</v>
      </c>
      <c r="F11" s="386">
        <v>1399</v>
      </c>
      <c r="G11" s="386">
        <v>1399</v>
      </c>
      <c r="H11" s="386">
        <v>1399</v>
      </c>
      <c r="I11" s="386">
        <v>1399</v>
      </c>
      <c r="J11" s="386">
        <v>1399</v>
      </c>
      <c r="K11" s="386">
        <v>1399</v>
      </c>
      <c r="L11" s="386">
        <v>1399</v>
      </c>
      <c r="M11" s="386">
        <v>1399</v>
      </c>
      <c r="N11" s="386">
        <v>1399</v>
      </c>
      <c r="O11" s="386">
        <v>1399</v>
      </c>
      <c r="P11" s="386">
        <v>1399</v>
      </c>
      <c r="Q11" s="386">
        <v>1399</v>
      </c>
      <c r="R11" s="386">
        <v>1399</v>
      </c>
      <c r="S11" s="386">
        <v>1399</v>
      </c>
      <c r="T11" s="386">
        <v>1399</v>
      </c>
      <c r="U11" s="386">
        <v>1399</v>
      </c>
      <c r="V11" s="386">
        <v>1399</v>
      </c>
      <c r="W11" s="386">
        <v>1399</v>
      </c>
      <c r="X11" s="386">
        <v>1399</v>
      </c>
      <c r="Y11" s="386">
        <v>1399</v>
      </c>
      <c r="Z11" s="386">
        <v>1399</v>
      </c>
      <c r="AA11" s="386">
        <v>1399</v>
      </c>
    </row>
    <row r="12" spans="1:27" s="535" customFormat="1">
      <c r="D12" s="537">
        <f t="shared" ref="D12:AA12" si="14">D3-D4</f>
        <v>-1093.0797424374996</v>
      </c>
      <c r="E12" s="537">
        <f t="shared" si="14"/>
        <v>-414.50519861749945</v>
      </c>
      <c r="F12" s="537" t="e">
        <f t="shared" si="14"/>
        <v>#REF!</v>
      </c>
      <c r="G12" s="537" t="e">
        <f t="shared" si="14"/>
        <v>#REF!</v>
      </c>
      <c r="H12" s="537" t="e">
        <f t="shared" si="14"/>
        <v>#REF!</v>
      </c>
      <c r="I12" s="537" t="e">
        <f t="shared" si="14"/>
        <v>#REF!</v>
      </c>
      <c r="J12" s="537" t="e">
        <f t="shared" si="14"/>
        <v>#REF!</v>
      </c>
      <c r="K12" s="537" t="e">
        <f t="shared" si="14"/>
        <v>#REF!</v>
      </c>
      <c r="L12" s="537" t="e">
        <f t="shared" si="14"/>
        <v>#REF!</v>
      </c>
      <c r="M12" s="537" t="e">
        <f t="shared" si="14"/>
        <v>#REF!</v>
      </c>
      <c r="N12" s="536">
        <f t="shared" si="14"/>
        <v>-27419</v>
      </c>
      <c r="O12" s="536">
        <f t="shared" si="14"/>
        <v>-1399</v>
      </c>
      <c r="P12" s="537">
        <f t="shared" si="14"/>
        <v>-3809</v>
      </c>
      <c r="Q12" s="537">
        <f t="shared" si="14"/>
        <v>-3669</v>
      </c>
      <c r="R12" s="537">
        <f t="shared" si="14"/>
        <v>-4289</v>
      </c>
      <c r="S12" s="537">
        <f t="shared" si="14"/>
        <v>-3669</v>
      </c>
      <c r="T12" s="537">
        <f t="shared" si="14"/>
        <v>-3809</v>
      </c>
      <c r="U12" s="537">
        <f t="shared" si="14"/>
        <v>-4149</v>
      </c>
      <c r="V12" s="537">
        <f t="shared" si="14"/>
        <v>-3809</v>
      </c>
      <c r="W12" s="537">
        <f t="shared" si="14"/>
        <v>-3669</v>
      </c>
      <c r="X12" s="537">
        <f t="shared" si="14"/>
        <v>-4289</v>
      </c>
      <c r="Y12" s="537">
        <f t="shared" si="14"/>
        <v>-3669</v>
      </c>
      <c r="Z12" s="537">
        <f t="shared" si="14"/>
        <v>-3809</v>
      </c>
      <c r="AA12" s="537">
        <f t="shared" si="14"/>
        <v>-4849</v>
      </c>
    </row>
    <row r="13" spans="1:27" s="535" customFormat="1">
      <c r="A13" s="535" t="s">
        <v>680</v>
      </c>
      <c r="D13" s="537"/>
      <c r="E13" s="537"/>
      <c r="F13" s="537"/>
      <c r="G13" s="537"/>
      <c r="H13" s="537"/>
      <c r="I13" s="537"/>
      <c r="J13" s="537"/>
      <c r="K13" s="537"/>
      <c r="L13" s="537"/>
      <c r="M13" s="537" t="e">
        <f>SUM(B12:M12)</f>
        <v>#REF!</v>
      </c>
      <c r="N13" s="536"/>
      <c r="O13" s="536"/>
      <c r="P13" s="537"/>
      <c r="Q13" s="537"/>
      <c r="R13" s="537"/>
      <c r="S13" s="537"/>
      <c r="T13" s="537"/>
      <c r="U13" s="537"/>
      <c r="V13" s="537"/>
      <c r="W13" s="537"/>
      <c r="X13" s="537"/>
      <c r="Y13" s="537"/>
      <c r="Z13" s="537"/>
      <c r="AA13" s="537"/>
    </row>
    <row r="15" spans="1:27">
      <c r="A15" t="s">
        <v>681</v>
      </c>
      <c r="B15" s="386">
        <f>991275/1000</f>
        <v>991.27499999999998</v>
      </c>
      <c r="C15" s="386">
        <f>570697/1000</f>
        <v>570.697</v>
      </c>
      <c r="D15" s="386">
        <f>630721.88/1000</f>
        <v>630.72188000000006</v>
      </c>
      <c r="E15" s="386">
        <f>1010500/1000</f>
        <v>1010.5</v>
      </c>
      <c r="F15" s="386">
        <f>815285/1000</f>
        <v>815.28499999999997</v>
      </c>
      <c r="G15" s="386">
        <f>1066178.53/1000</f>
        <v>1066.1785300000001</v>
      </c>
      <c r="H15" s="386">
        <f>1089834/1000</f>
        <v>1089.8340000000001</v>
      </c>
      <c r="I15" s="386">
        <f>898279/1000</f>
        <v>898.279</v>
      </c>
      <c r="J15" s="386">
        <f>1276438/1000</f>
        <v>1276.4380000000001</v>
      </c>
      <c r="K15" s="386">
        <f>1309058/1000</f>
        <v>1309.058</v>
      </c>
      <c r="L15" s="386">
        <f>2378173/1000</f>
        <v>2378.1729999999998</v>
      </c>
      <c r="M15" s="386">
        <f>8382042/1000</f>
        <v>8382.0419999999995</v>
      </c>
    </row>
  </sheetData>
  <pageMargins left="0.7" right="0.7" top="0.75" bottom="0.75" header="0.3" footer="0.3"/>
  <pageSetup paperSize="9" fitToHeight="0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K49"/>
  <sheetViews>
    <sheetView workbookViewId="0">
      <selection activeCell="F3" sqref="F3"/>
    </sheetView>
  </sheetViews>
  <sheetFormatPr defaultColWidth="9.140625" defaultRowHeight="15"/>
  <cols>
    <col min="1" max="1" width="1.85546875" style="9" customWidth="1"/>
    <col min="2" max="2" width="5.42578125" style="9" bestFit="1" customWidth="1"/>
    <col min="3" max="3" width="19.5703125" customWidth="1"/>
  </cols>
  <sheetData>
    <row r="1" spans="3:14">
      <c r="D1" s="55">
        <v>5</v>
      </c>
      <c r="E1" s="55">
        <v>4</v>
      </c>
      <c r="F1" s="55">
        <v>4</v>
      </c>
      <c r="G1" s="55">
        <v>5</v>
      </c>
      <c r="H1" s="55">
        <v>4</v>
      </c>
      <c r="I1" s="55">
        <v>4</v>
      </c>
      <c r="J1" s="55">
        <v>5</v>
      </c>
      <c r="K1" s="55">
        <v>4</v>
      </c>
      <c r="L1" s="55">
        <v>4</v>
      </c>
      <c r="M1" s="55">
        <v>5</v>
      </c>
    </row>
    <row r="2" spans="3:14">
      <c r="C2" t="s">
        <v>671</v>
      </c>
      <c r="D2" s="55" t="s">
        <v>682</v>
      </c>
      <c r="E2" s="55" t="s">
        <v>683</v>
      </c>
      <c r="F2" s="55" t="s">
        <v>684</v>
      </c>
      <c r="G2" s="55" t="s">
        <v>685</v>
      </c>
      <c r="H2" s="55" t="s">
        <v>686</v>
      </c>
      <c r="I2" s="55" t="s">
        <v>687</v>
      </c>
      <c r="J2" s="55" t="s">
        <v>374</v>
      </c>
      <c r="K2" s="55" t="s">
        <v>379</v>
      </c>
      <c r="L2" s="55" t="s">
        <v>386</v>
      </c>
      <c r="M2" s="55" t="s">
        <v>399</v>
      </c>
    </row>
    <row r="3" spans="3:14">
      <c r="C3" s="387" t="s">
        <v>688</v>
      </c>
      <c r="D3" s="384">
        <f>'Ventas Mensuales'!N47/1000</f>
        <v>737.52005943749998</v>
      </c>
      <c r="E3" s="384">
        <v>868</v>
      </c>
      <c r="F3" s="384">
        <v>936</v>
      </c>
      <c r="G3" s="384">
        <f>'Ventas Mensuales'!AC47/1000</f>
        <v>1143.6037037399999</v>
      </c>
      <c r="H3" s="384">
        <f>'Ventas Mensuales'!AH47/1000</f>
        <v>915.97526815499987</v>
      </c>
      <c r="I3" s="384">
        <f>'Ventas Mensuales'!AM47/1000</f>
        <v>892.21016493000013</v>
      </c>
      <c r="J3" s="384">
        <f>'Ventas Mensuales'!AR47/1000</f>
        <v>1172.4800783429998</v>
      </c>
      <c r="K3" s="384">
        <f>'Ventas Mensuales'!AW47/1000</f>
        <v>1013.6792501250001</v>
      </c>
      <c r="L3" s="384">
        <f>'Ventas Mensuales'!BB47/1000</f>
        <v>1157.7600784800002</v>
      </c>
      <c r="M3" s="384">
        <f>'Ventas Mensuales'!BG47/1000</f>
        <v>2673.7556212050008</v>
      </c>
      <c r="N3" s="384">
        <f>SUM(D3:M3)</f>
        <v>11510.984224415501</v>
      </c>
    </row>
    <row r="4" spans="3:14">
      <c r="C4" s="388" t="s">
        <v>689</v>
      </c>
      <c r="D4" s="384">
        <f>SUM(D5:D13)</f>
        <v>766.75601783125001</v>
      </c>
      <c r="E4" s="384">
        <f t="shared" ref="E4:M4" si="0">SUM(E5:E13)</f>
        <v>834.9</v>
      </c>
      <c r="F4" s="384">
        <f t="shared" si="0"/>
        <v>925.3</v>
      </c>
      <c r="G4" s="384">
        <f t="shared" si="0"/>
        <v>912.58111112200004</v>
      </c>
      <c r="H4" s="384">
        <f t="shared" si="0"/>
        <v>850.29258044649987</v>
      </c>
      <c r="I4" s="384">
        <f t="shared" si="0"/>
        <v>841.16304947900005</v>
      </c>
      <c r="J4" s="384">
        <f t="shared" si="0"/>
        <v>886.24402350289995</v>
      </c>
      <c r="K4" s="384">
        <f t="shared" si="0"/>
        <v>841.60377503749999</v>
      </c>
      <c r="L4" s="384">
        <f t="shared" si="0"/>
        <v>873.82802354399996</v>
      </c>
      <c r="M4" s="384">
        <f t="shared" si="0"/>
        <v>1804.6266863615001</v>
      </c>
      <c r="N4" s="384">
        <f>SUM(D4:M4)</f>
        <v>9537.2952673246491</v>
      </c>
    </row>
    <row r="5" spans="3:14">
      <c r="C5" t="s">
        <v>690</v>
      </c>
      <c r="D5" s="386">
        <v>274</v>
      </c>
      <c r="E5" s="547">
        <v>267</v>
      </c>
      <c r="F5" s="547">
        <v>271</v>
      </c>
      <c r="G5" s="386">
        <v>263</v>
      </c>
      <c r="H5" s="386">
        <v>267</v>
      </c>
      <c r="I5" s="386">
        <v>266</v>
      </c>
      <c r="J5" s="386">
        <v>258</v>
      </c>
      <c r="K5" s="386">
        <v>262</v>
      </c>
      <c r="L5" s="386">
        <v>255</v>
      </c>
      <c r="M5" s="386">
        <v>729</v>
      </c>
      <c r="N5" s="386"/>
    </row>
    <row r="6" spans="3:14">
      <c r="C6" t="s">
        <v>691</v>
      </c>
      <c r="D6" s="386">
        <v>103</v>
      </c>
      <c r="E6" s="547">
        <v>139</v>
      </c>
      <c r="F6" s="386">
        <v>142</v>
      </c>
      <c r="G6" s="386">
        <v>138</v>
      </c>
      <c r="H6" s="386">
        <v>140</v>
      </c>
      <c r="I6" s="386">
        <v>139</v>
      </c>
      <c r="J6" s="386">
        <v>136</v>
      </c>
      <c r="K6" s="386">
        <v>138</v>
      </c>
      <c r="L6" s="386">
        <v>134</v>
      </c>
      <c r="M6" s="386">
        <v>136</v>
      </c>
    </row>
    <row r="7" spans="3:14">
      <c r="C7" t="s">
        <v>692</v>
      </c>
      <c r="D7" s="386">
        <f>D3*30%</f>
        <v>221.25601783124998</v>
      </c>
      <c r="E7" s="386">
        <f t="shared" ref="E7:M7" si="1">E3*30%</f>
        <v>260.39999999999998</v>
      </c>
      <c r="F7" s="386">
        <f t="shared" si="1"/>
        <v>280.8</v>
      </c>
      <c r="G7" s="386">
        <f t="shared" si="1"/>
        <v>343.08111112199998</v>
      </c>
      <c r="H7" s="386">
        <f t="shared" si="1"/>
        <v>274.79258044649993</v>
      </c>
      <c r="I7" s="386">
        <f t="shared" si="1"/>
        <v>267.66304947900005</v>
      </c>
      <c r="J7" s="386">
        <f t="shared" si="1"/>
        <v>351.74402350289995</v>
      </c>
      <c r="K7" s="386">
        <f t="shared" si="1"/>
        <v>304.10377503749999</v>
      </c>
      <c r="L7" s="386">
        <f t="shared" si="1"/>
        <v>347.32802354400002</v>
      </c>
      <c r="M7" s="386">
        <f t="shared" si="1"/>
        <v>802.12668636150022</v>
      </c>
      <c r="N7" s="386"/>
    </row>
    <row r="8" spans="3:14">
      <c r="C8" t="s">
        <v>693</v>
      </c>
      <c r="D8" s="386">
        <v>41</v>
      </c>
      <c r="E8" s="386">
        <v>41</v>
      </c>
      <c r="F8" s="386">
        <v>41</v>
      </c>
      <c r="G8" s="386">
        <v>41</v>
      </c>
      <c r="H8" s="386">
        <v>41</v>
      </c>
      <c r="I8" s="386">
        <v>41</v>
      </c>
      <c r="J8" s="386">
        <v>41</v>
      </c>
      <c r="K8" s="386">
        <v>41</v>
      </c>
      <c r="L8" s="386">
        <v>41</v>
      </c>
      <c r="M8" s="386">
        <v>41</v>
      </c>
    </row>
    <row r="9" spans="3:14">
      <c r="C9" t="s">
        <v>694</v>
      </c>
      <c r="D9" s="386">
        <v>20</v>
      </c>
      <c r="E9" s="547">
        <v>20</v>
      </c>
      <c r="F9" s="547">
        <v>20</v>
      </c>
      <c r="G9" s="386">
        <v>20</v>
      </c>
      <c r="H9" s="386">
        <v>20</v>
      </c>
      <c r="I9" s="386">
        <v>20</v>
      </c>
      <c r="J9" s="386">
        <v>20</v>
      </c>
      <c r="K9" s="386">
        <v>20</v>
      </c>
      <c r="L9" s="386">
        <v>20</v>
      </c>
      <c r="M9" s="386">
        <v>20</v>
      </c>
    </row>
    <row r="10" spans="3:14">
      <c r="C10" t="s">
        <v>695</v>
      </c>
      <c r="D10" s="386">
        <v>30</v>
      </c>
      <c r="E10" s="386">
        <v>30</v>
      </c>
      <c r="F10" s="386">
        <v>30</v>
      </c>
      <c r="G10" s="386">
        <v>30</v>
      </c>
      <c r="H10" s="386">
        <v>30</v>
      </c>
      <c r="I10" s="386">
        <v>30</v>
      </c>
      <c r="J10" s="386">
        <v>30</v>
      </c>
      <c r="K10" s="386">
        <v>30</v>
      </c>
      <c r="L10" s="386">
        <v>30</v>
      </c>
      <c r="M10" s="386">
        <v>30</v>
      </c>
    </row>
    <row r="11" spans="3:14">
      <c r="C11" t="s">
        <v>696</v>
      </c>
      <c r="D11" s="386">
        <v>30</v>
      </c>
      <c r="E11" s="386">
        <v>30</v>
      </c>
      <c r="F11" s="386">
        <v>30</v>
      </c>
      <c r="G11" s="386">
        <v>30</v>
      </c>
      <c r="H11" s="386">
        <v>30</v>
      </c>
      <c r="I11" s="386">
        <v>30</v>
      </c>
      <c r="J11" s="386">
        <v>30</v>
      </c>
      <c r="K11" s="386">
        <v>30</v>
      </c>
      <c r="L11" s="386">
        <v>30</v>
      </c>
      <c r="M11" s="386">
        <v>30</v>
      </c>
    </row>
    <row r="12" spans="3:14">
      <c r="C12" t="s">
        <v>697</v>
      </c>
      <c r="D12" s="386">
        <v>47</v>
      </c>
      <c r="E12" s="547">
        <v>47</v>
      </c>
      <c r="F12" s="547">
        <v>110</v>
      </c>
      <c r="G12" s="386">
        <v>47</v>
      </c>
      <c r="H12" s="386">
        <v>47</v>
      </c>
      <c r="I12" s="386">
        <v>47</v>
      </c>
      <c r="J12" s="386">
        <v>19</v>
      </c>
      <c r="K12" s="386">
        <v>16</v>
      </c>
      <c r="L12" s="386">
        <v>16</v>
      </c>
      <c r="M12" s="386">
        <v>16</v>
      </c>
    </row>
    <row r="13" spans="3:14">
      <c r="C13" t="s">
        <v>698</v>
      </c>
      <c r="D13" s="385">
        <v>0.5</v>
      </c>
      <c r="E13" s="385">
        <v>0.5</v>
      </c>
      <c r="F13" s="385">
        <v>0.5</v>
      </c>
      <c r="G13" s="385">
        <v>0.5</v>
      </c>
      <c r="H13" s="385">
        <v>0.5</v>
      </c>
      <c r="I13" s="385">
        <v>0.5</v>
      </c>
      <c r="J13" s="385">
        <v>0.5</v>
      </c>
      <c r="K13" s="385">
        <v>0.5</v>
      </c>
      <c r="L13" s="385">
        <v>0.5</v>
      </c>
      <c r="M13" s="385">
        <v>0.5</v>
      </c>
    </row>
    <row r="14" spans="3:14">
      <c r="D14" s="386"/>
      <c r="E14" s="386"/>
      <c r="F14" s="386"/>
      <c r="G14" s="386"/>
      <c r="H14" s="386"/>
      <c r="I14" s="386"/>
      <c r="J14" s="386"/>
      <c r="K14" s="386"/>
      <c r="L14" s="386"/>
      <c r="M14" s="386"/>
    </row>
    <row r="22" spans="1:37">
      <c r="C22" t="s">
        <v>699</v>
      </c>
    </row>
    <row r="23" spans="1:37">
      <c r="C23" t="s">
        <v>700</v>
      </c>
    </row>
    <row r="24" spans="1:37">
      <c r="E24" s="1902" t="s">
        <v>51</v>
      </c>
      <c r="F24" s="1902"/>
      <c r="G24" s="1902"/>
      <c r="H24" s="1902"/>
      <c r="I24" s="1902"/>
      <c r="J24" s="1902"/>
      <c r="K24" s="1902"/>
      <c r="L24" s="1903" t="s">
        <v>52</v>
      </c>
      <c r="M24" s="1903"/>
      <c r="N24" s="1903"/>
      <c r="O24" s="1903"/>
      <c r="P24" s="1903"/>
      <c r="Q24" s="1903"/>
      <c r="R24" s="1903"/>
      <c r="S24" s="1903"/>
      <c r="T24" s="1897" t="s">
        <v>53</v>
      </c>
      <c r="U24" s="1897"/>
      <c r="V24" s="1897"/>
      <c r="W24" s="1897"/>
      <c r="X24" s="1897"/>
      <c r="Y24" s="1897"/>
      <c r="Z24" s="1897"/>
      <c r="AA24" s="1897"/>
      <c r="AB24" s="1897"/>
      <c r="AC24" s="1897"/>
      <c r="AD24" s="1898"/>
      <c r="AE24" s="1898"/>
      <c r="AF24" s="1898"/>
      <c r="AG24" s="1898"/>
      <c r="AH24" s="1898"/>
      <c r="AI24" s="1898"/>
      <c r="AJ24" s="1898"/>
      <c r="AK24" s="1898"/>
    </row>
    <row r="25" spans="1:37">
      <c r="E25" s="398"/>
      <c r="F25" s="530" t="s">
        <v>701</v>
      </c>
      <c r="G25" s="530" t="s">
        <v>279</v>
      </c>
      <c r="H25" s="398" t="s">
        <v>701</v>
      </c>
      <c r="I25" s="398" t="s">
        <v>279</v>
      </c>
      <c r="J25" s="530" t="s">
        <v>701</v>
      </c>
      <c r="K25" s="530" t="s">
        <v>279</v>
      </c>
      <c r="L25" s="398" t="s">
        <v>701</v>
      </c>
      <c r="M25" s="398" t="s">
        <v>279</v>
      </c>
      <c r="N25" s="530" t="s">
        <v>701</v>
      </c>
      <c r="O25" s="530" t="s">
        <v>279</v>
      </c>
      <c r="P25" s="530" t="s">
        <v>701</v>
      </c>
      <c r="Q25" s="530" t="s">
        <v>279</v>
      </c>
      <c r="R25" s="530" t="s">
        <v>701</v>
      </c>
      <c r="S25" s="530" t="s">
        <v>279</v>
      </c>
      <c r="T25" s="530" t="s">
        <v>701</v>
      </c>
      <c r="U25" s="530" t="s">
        <v>279</v>
      </c>
      <c r="V25" s="530" t="s">
        <v>701</v>
      </c>
      <c r="W25" s="530" t="s">
        <v>279</v>
      </c>
      <c r="X25" s="530" t="s">
        <v>701</v>
      </c>
      <c r="Y25" s="530" t="s">
        <v>279</v>
      </c>
      <c r="Z25" s="530" t="s">
        <v>701</v>
      </c>
      <c r="AA25" s="530" t="s">
        <v>279</v>
      </c>
      <c r="AB25" s="530" t="s">
        <v>701</v>
      </c>
      <c r="AC25" s="530" t="s">
        <v>279</v>
      </c>
      <c r="AD25" s="530" t="s">
        <v>701</v>
      </c>
      <c r="AE25" s="530" t="s">
        <v>279</v>
      </c>
      <c r="AF25" s="530" t="s">
        <v>701</v>
      </c>
      <c r="AG25" s="530" t="s">
        <v>279</v>
      </c>
      <c r="AH25" s="530" t="s">
        <v>701</v>
      </c>
      <c r="AI25" s="530" t="s">
        <v>279</v>
      </c>
      <c r="AJ25" s="530" t="s">
        <v>701</v>
      </c>
      <c r="AK25" s="530" t="s">
        <v>279</v>
      </c>
    </row>
    <row r="26" spans="1:37" s="497" customFormat="1">
      <c r="A26" s="9"/>
      <c r="B26" s="9"/>
      <c r="E26" s="517">
        <v>10</v>
      </c>
      <c r="F26" s="1899">
        <v>11</v>
      </c>
      <c r="G26" s="1900"/>
      <c r="H26" s="1901">
        <v>12</v>
      </c>
      <c r="I26" s="1901"/>
      <c r="J26" s="1899">
        <v>13</v>
      </c>
      <c r="K26" s="1900"/>
      <c r="L26" s="518">
        <v>14</v>
      </c>
      <c r="M26" s="518"/>
      <c r="N26" s="527">
        <v>15</v>
      </c>
      <c r="O26" s="528"/>
      <c r="P26" s="527">
        <v>16</v>
      </c>
      <c r="Q26" s="528"/>
      <c r="R26" s="527">
        <v>17</v>
      </c>
      <c r="S26" s="528"/>
      <c r="T26" s="527">
        <v>18</v>
      </c>
      <c r="U26" s="528"/>
      <c r="V26" s="527">
        <v>19</v>
      </c>
      <c r="W26" s="528"/>
      <c r="X26" s="527">
        <v>20</v>
      </c>
      <c r="Y26" s="529"/>
      <c r="Z26" s="528">
        <v>21</v>
      </c>
      <c r="AA26" s="529"/>
      <c r="AB26" s="528">
        <v>22</v>
      </c>
      <c r="AC26" s="529"/>
      <c r="AD26" s="529">
        <v>23</v>
      </c>
      <c r="AE26" s="529"/>
      <c r="AF26" s="528">
        <v>24</v>
      </c>
      <c r="AG26" s="529"/>
      <c r="AH26" s="528">
        <v>25</v>
      </c>
      <c r="AI26" s="529"/>
      <c r="AJ26" s="528">
        <v>26</v>
      </c>
      <c r="AK26" s="529"/>
    </row>
    <row r="27" spans="1:37">
      <c r="C27" s="497" t="s">
        <v>702</v>
      </c>
      <c r="E27" s="349" t="e">
        <f>'Proy 2021 vs 2019 Sem'!#REF!/1000</f>
        <v>#REF!</v>
      </c>
      <c r="F27" s="505" t="e">
        <f>'Proy 2021 vs 2019 Sem'!#REF!/1000</f>
        <v>#REF!</v>
      </c>
      <c r="G27" s="519">
        <f>162858.9/1000</f>
        <v>162.85890000000001</v>
      </c>
      <c r="H27" s="349" t="e">
        <f>'Proy 2021 vs 2019 Sem'!#REF!/1000</f>
        <v>#REF!</v>
      </c>
      <c r="I27" s="349">
        <f>156564.31/1000</f>
        <v>156.56431000000001</v>
      </c>
      <c r="J27" s="505" t="e">
        <f>'Proy 2021 vs 2019 Sem'!#REF!/1000</f>
        <v>#REF!</v>
      </c>
      <c r="K27" s="519">
        <f>125661.4/1000</f>
        <v>125.6614</v>
      </c>
      <c r="L27" s="515" t="e">
        <f>'Proy 2021 vs 2019 Sem'!#REF!/1000</f>
        <v>#REF!</v>
      </c>
      <c r="M27" s="348">
        <f>176814.92/1000</f>
        <v>176.81492</v>
      </c>
      <c r="N27" s="514" t="e">
        <f>'Proy 2021 vs 2019 Sem'!#REF!/1000</f>
        <v>#REF!</v>
      </c>
      <c r="O27" s="349">
        <f>293312.59/1000</f>
        <v>293.31259</v>
      </c>
      <c r="P27" s="514" t="e">
        <f>'Proy 2021 vs 2019 Sem'!#REF!/1000</f>
        <v>#REF!</v>
      </c>
      <c r="R27" s="514" t="e">
        <f>'Proy 2021 vs 2019 Sem'!#REF!/1000</f>
        <v>#REF!</v>
      </c>
      <c r="T27" s="507"/>
      <c r="V27" s="507"/>
      <c r="X27" s="507"/>
      <c r="Y27" s="506"/>
      <c r="AA27" s="506"/>
      <c r="AC27" s="506"/>
      <c r="AD27" s="506"/>
      <c r="AE27" s="506"/>
      <c r="AG27" s="506"/>
      <c r="AI27" s="506"/>
      <c r="AK27" s="506"/>
    </row>
    <row r="28" spans="1:37">
      <c r="E28" s="349"/>
      <c r="F28" s="505"/>
      <c r="G28" s="506"/>
      <c r="H28" s="349"/>
      <c r="J28" s="505"/>
      <c r="K28" s="506"/>
      <c r="L28" s="515"/>
      <c r="N28" s="514"/>
      <c r="P28" s="514"/>
      <c r="R28" s="514"/>
      <c r="T28" s="507"/>
      <c r="V28" s="507"/>
      <c r="X28" s="507"/>
      <c r="Y28" s="506"/>
      <c r="AA28" s="506"/>
      <c r="AC28" s="506"/>
      <c r="AD28" s="506"/>
      <c r="AE28" s="506"/>
      <c r="AG28" s="506"/>
      <c r="AI28" s="506"/>
      <c r="AK28" s="506"/>
    </row>
    <row r="29" spans="1:37">
      <c r="C29" s="497" t="s">
        <v>703</v>
      </c>
      <c r="F29" s="507"/>
      <c r="G29" s="506"/>
      <c r="J29" s="507"/>
      <c r="K29" s="506"/>
      <c r="N29" s="507"/>
      <c r="P29" s="507"/>
      <c r="R29" s="507"/>
      <c r="T29" s="507"/>
      <c r="V29" s="507"/>
      <c r="X29" s="507"/>
      <c r="Y29" s="506"/>
      <c r="AA29" s="506"/>
      <c r="AC29" s="506"/>
      <c r="AD29" s="506"/>
      <c r="AE29" s="506"/>
      <c r="AG29" s="506"/>
      <c r="AI29" s="506"/>
      <c r="AK29" s="506"/>
    </row>
    <row r="30" spans="1:37">
      <c r="B30" s="9" t="s">
        <v>704</v>
      </c>
      <c r="C30" s="499" t="s">
        <v>690</v>
      </c>
      <c r="D30" s="348"/>
      <c r="F30" s="507">
        <v>89</v>
      </c>
      <c r="G30" s="506"/>
      <c r="H30">
        <v>89</v>
      </c>
      <c r="J30" s="507">
        <v>89</v>
      </c>
      <c r="K30" s="506"/>
      <c r="L30">
        <v>267</v>
      </c>
      <c r="M30" s="349">
        <f>267145.64/1000</f>
        <v>267.14564000000001</v>
      </c>
      <c r="N30" s="507">
        <v>68</v>
      </c>
      <c r="P30" s="507">
        <v>67</v>
      </c>
      <c r="R30" s="507">
        <v>68</v>
      </c>
      <c r="T30" s="507"/>
      <c r="V30" s="507"/>
      <c r="X30" s="507"/>
      <c r="Y30" s="506"/>
      <c r="AA30" s="506"/>
      <c r="AC30" s="506"/>
      <c r="AD30" s="506"/>
      <c r="AE30" s="506"/>
      <c r="AG30" s="506"/>
      <c r="AI30" s="506"/>
      <c r="AK30" s="506"/>
    </row>
    <row r="31" spans="1:37">
      <c r="B31" s="9" t="s">
        <v>704</v>
      </c>
      <c r="C31" s="499" t="s">
        <v>691</v>
      </c>
      <c r="D31" s="348"/>
      <c r="F31" s="507">
        <v>46</v>
      </c>
      <c r="G31" s="519">
        <f>(64004.17+38995.83)/1000</f>
        <v>103</v>
      </c>
      <c r="H31">
        <v>46</v>
      </c>
      <c r="J31" s="507">
        <v>47</v>
      </c>
      <c r="K31" s="506"/>
      <c r="N31" s="507">
        <v>35</v>
      </c>
      <c r="P31" s="507">
        <v>35</v>
      </c>
      <c r="R31" s="507">
        <v>35</v>
      </c>
      <c r="T31" s="507"/>
      <c r="V31" s="507"/>
      <c r="X31" s="507"/>
      <c r="Y31" s="506"/>
      <c r="AA31" s="506"/>
      <c r="AC31" s="506"/>
      <c r="AD31" s="506"/>
      <c r="AE31" s="506"/>
      <c r="AG31" s="506"/>
      <c r="AI31" s="506"/>
      <c r="AK31" s="506"/>
    </row>
    <row r="32" spans="1:37">
      <c r="B32" s="9" t="s">
        <v>705</v>
      </c>
      <c r="C32" t="s">
        <v>692</v>
      </c>
      <c r="D32" s="348"/>
      <c r="F32" s="505">
        <v>20</v>
      </c>
      <c r="G32" s="522"/>
      <c r="H32" s="349">
        <v>29</v>
      </c>
      <c r="J32" s="505"/>
      <c r="K32" s="519">
        <f>10818/1000</f>
        <v>10.818</v>
      </c>
      <c r="L32" s="349"/>
      <c r="N32" s="505" t="e">
        <f t="shared" ref="N32" si="2">N27*0.25</f>
        <v>#REF!</v>
      </c>
      <c r="P32" s="505" t="e">
        <f>P27*0.25</f>
        <v>#REF!</v>
      </c>
      <c r="R32" s="505" t="e">
        <f>R27*0.25</f>
        <v>#REF!</v>
      </c>
      <c r="T32" s="507"/>
      <c r="V32" s="507"/>
      <c r="X32" s="507"/>
      <c r="Y32" s="506"/>
      <c r="AA32" s="506"/>
      <c r="AC32" s="506"/>
      <c r="AD32" s="506"/>
      <c r="AE32" s="506"/>
      <c r="AG32" s="506"/>
      <c r="AI32" s="506"/>
      <c r="AK32" s="506"/>
    </row>
    <row r="33" spans="1:37">
      <c r="B33" s="9" t="s">
        <v>704</v>
      </c>
      <c r="C33" s="499" t="s">
        <v>693</v>
      </c>
      <c r="D33" s="348"/>
      <c r="F33" s="505">
        <v>10</v>
      </c>
      <c r="G33" s="519">
        <v>10.5</v>
      </c>
      <c r="H33" s="349">
        <v>10</v>
      </c>
      <c r="I33" s="349">
        <f>20500/1000</f>
        <v>20.5</v>
      </c>
      <c r="J33" s="505">
        <v>11</v>
      </c>
      <c r="K33" s="506"/>
      <c r="L33" s="349">
        <v>11</v>
      </c>
      <c r="M33">
        <v>10</v>
      </c>
      <c r="N33" s="505">
        <v>10</v>
      </c>
      <c r="O33" s="349">
        <f>10500/1000</f>
        <v>10.5</v>
      </c>
      <c r="P33" s="505">
        <v>10</v>
      </c>
      <c r="R33" s="505">
        <v>10</v>
      </c>
      <c r="T33" s="507"/>
      <c r="V33" s="507"/>
      <c r="X33" s="507"/>
      <c r="Y33" s="506"/>
      <c r="AA33" s="506"/>
      <c r="AC33" s="506"/>
      <c r="AD33" s="506"/>
      <c r="AE33" s="506"/>
      <c r="AG33" s="506"/>
      <c r="AI33" s="506"/>
      <c r="AK33" s="506"/>
    </row>
    <row r="34" spans="1:37">
      <c r="B34" s="9" t="s">
        <v>705</v>
      </c>
      <c r="C34" s="499" t="s">
        <v>694</v>
      </c>
      <c r="D34" s="348"/>
      <c r="F34" s="505"/>
      <c r="G34" s="506"/>
      <c r="H34" s="349"/>
      <c r="J34" s="505">
        <v>20</v>
      </c>
      <c r="K34" s="519">
        <f>20143/1000</f>
        <v>20.143000000000001</v>
      </c>
      <c r="L34" s="349"/>
      <c r="N34" s="505"/>
      <c r="P34" s="505"/>
      <c r="R34" s="505">
        <v>20</v>
      </c>
      <c r="T34" s="507"/>
      <c r="V34" s="507"/>
      <c r="X34" s="507"/>
      <c r="Y34" s="506"/>
      <c r="AA34" s="506"/>
      <c r="AC34" s="506"/>
      <c r="AD34" s="506"/>
      <c r="AE34" s="506"/>
      <c r="AG34" s="506"/>
      <c r="AI34" s="506"/>
      <c r="AK34" s="506"/>
    </row>
    <row r="35" spans="1:37">
      <c r="A35" s="9" t="s">
        <v>706</v>
      </c>
      <c r="B35" s="9" t="s">
        <v>705</v>
      </c>
      <c r="C35" t="s">
        <v>695</v>
      </c>
      <c r="D35" s="348">
        <v>247</v>
      </c>
      <c r="F35" s="505"/>
      <c r="G35" s="506"/>
      <c r="H35" s="349"/>
      <c r="J35" s="505"/>
      <c r="K35" s="506"/>
      <c r="L35" s="349"/>
      <c r="N35" s="505"/>
      <c r="P35" s="505"/>
      <c r="R35" s="505">
        <v>30</v>
      </c>
      <c r="T35" s="507"/>
      <c r="V35" s="507"/>
      <c r="X35" s="507"/>
      <c r="Y35" s="506"/>
      <c r="AA35" s="506"/>
      <c r="AC35" s="506"/>
      <c r="AD35" s="506"/>
      <c r="AE35" s="506"/>
      <c r="AG35" s="506"/>
      <c r="AI35" s="506"/>
      <c r="AK35" s="506"/>
    </row>
    <row r="36" spans="1:37">
      <c r="A36" s="9" t="s">
        <v>706</v>
      </c>
      <c r="B36" s="9" t="s">
        <v>704</v>
      </c>
      <c r="C36" t="s">
        <v>696</v>
      </c>
      <c r="D36" s="348"/>
      <c r="F36" s="505">
        <v>30</v>
      </c>
      <c r="G36" s="506"/>
      <c r="H36" s="349"/>
      <c r="J36" s="505"/>
      <c r="K36" s="506"/>
      <c r="L36" s="349"/>
      <c r="N36" s="505"/>
      <c r="O36">
        <f>30000/1000</f>
        <v>30</v>
      </c>
      <c r="P36" s="505"/>
      <c r="R36" s="505"/>
      <c r="T36" s="507"/>
      <c r="V36" s="507"/>
      <c r="X36" s="507"/>
      <c r="Y36" s="506"/>
      <c r="AA36" s="506"/>
      <c r="AC36" s="506"/>
      <c r="AD36" s="506"/>
      <c r="AE36" s="506"/>
      <c r="AG36" s="506"/>
      <c r="AI36" s="506"/>
      <c r="AK36" s="506"/>
    </row>
    <row r="37" spans="1:37">
      <c r="B37" s="9" t="s">
        <v>707</v>
      </c>
      <c r="C37" s="501" t="s">
        <v>697</v>
      </c>
      <c r="D37" s="348"/>
      <c r="F37" s="505">
        <v>23</v>
      </c>
      <c r="G37" s="519">
        <f>26415/1000</f>
        <v>26.414999999999999</v>
      </c>
      <c r="H37" s="349">
        <v>22</v>
      </c>
      <c r="J37" s="505">
        <v>0</v>
      </c>
      <c r="K37" s="506"/>
      <c r="L37" s="349">
        <v>64</v>
      </c>
      <c r="M37" s="349">
        <f>63699.68/1000</f>
        <v>63.699680000000001</v>
      </c>
      <c r="N37" s="505">
        <v>23</v>
      </c>
      <c r="O37" s="349">
        <f>23141/1000</f>
        <v>23.140999999999998</v>
      </c>
      <c r="P37" s="505">
        <v>23</v>
      </c>
      <c r="R37" s="505"/>
      <c r="T37" s="507"/>
      <c r="V37" s="507"/>
      <c r="X37" s="507"/>
      <c r="Y37" s="506"/>
      <c r="AA37" s="506"/>
      <c r="AC37" s="506"/>
      <c r="AD37" s="506"/>
      <c r="AE37" s="506"/>
      <c r="AG37" s="506"/>
      <c r="AI37" s="506"/>
      <c r="AK37" s="506"/>
    </row>
    <row r="38" spans="1:37">
      <c r="B38" s="9" t="s">
        <v>707</v>
      </c>
      <c r="C38" s="500" t="s">
        <v>698</v>
      </c>
      <c r="D38" s="348"/>
      <c r="F38" s="505">
        <v>2</v>
      </c>
      <c r="G38" s="506"/>
      <c r="H38" s="349"/>
      <c r="J38" s="511"/>
      <c r="K38" s="506"/>
      <c r="L38" s="516"/>
      <c r="N38" s="505"/>
      <c r="P38" s="505"/>
      <c r="R38" s="511"/>
      <c r="T38" s="507"/>
      <c r="V38" s="507"/>
      <c r="X38" s="507"/>
      <c r="Y38" s="506"/>
      <c r="AA38" s="506"/>
      <c r="AC38" s="506"/>
      <c r="AD38" s="506"/>
      <c r="AE38" s="506"/>
      <c r="AG38" s="506"/>
      <c r="AI38" s="506"/>
      <c r="AK38" s="506"/>
    </row>
    <row r="39" spans="1:37">
      <c r="A39" s="9" t="s">
        <v>706</v>
      </c>
      <c r="B39" s="9" t="s">
        <v>704</v>
      </c>
      <c r="C39" t="s">
        <v>708</v>
      </c>
      <c r="D39" s="348">
        <v>223</v>
      </c>
      <c r="F39" s="505"/>
      <c r="G39" s="519">
        <f>(9657+8708)/1000</f>
        <v>18.364999999999998</v>
      </c>
      <c r="H39" s="349">
        <v>10</v>
      </c>
      <c r="J39" s="511"/>
      <c r="K39" s="506"/>
      <c r="L39" s="349"/>
      <c r="M39">
        <f>10000/1000</f>
        <v>10</v>
      </c>
      <c r="N39" s="505"/>
      <c r="P39" s="505">
        <v>10</v>
      </c>
      <c r="R39" s="511"/>
      <c r="T39" s="507"/>
      <c r="V39" s="507"/>
      <c r="X39" s="507"/>
      <c r="Y39" s="506"/>
      <c r="AA39" s="506"/>
      <c r="AC39" s="506"/>
      <c r="AD39" s="506"/>
      <c r="AE39" s="506"/>
      <c r="AG39" s="506"/>
      <c r="AI39" s="506"/>
      <c r="AK39" s="506"/>
    </row>
    <row r="40" spans="1:37">
      <c r="A40" s="9" t="s">
        <v>706</v>
      </c>
      <c r="B40" s="9" t="s">
        <v>705</v>
      </c>
      <c r="C40" s="500" t="s">
        <v>709</v>
      </c>
      <c r="D40" s="348">
        <v>1106</v>
      </c>
      <c r="F40" s="505"/>
      <c r="G40" s="506"/>
      <c r="H40" s="349"/>
      <c r="J40" s="505">
        <v>50</v>
      </c>
      <c r="K40" s="506"/>
      <c r="L40" s="349">
        <v>20</v>
      </c>
      <c r="M40">
        <f>20000/1000</f>
        <v>20</v>
      </c>
      <c r="N40" s="505"/>
      <c r="P40" s="505"/>
      <c r="R40" s="511"/>
      <c r="T40" s="507"/>
      <c r="V40" s="507"/>
      <c r="X40" s="507"/>
      <c r="Y40" s="506"/>
      <c r="AA40" s="506"/>
      <c r="AC40" s="506"/>
      <c r="AD40" s="506"/>
      <c r="AE40" s="506"/>
      <c r="AG40" s="506"/>
      <c r="AI40" s="506"/>
      <c r="AK40" s="506"/>
    </row>
    <row r="41" spans="1:37">
      <c r="B41" s="9" t="s">
        <v>705</v>
      </c>
      <c r="C41" s="501" t="s">
        <v>710</v>
      </c>
      <c r="D41" s="348">
        <v>463</v>
      </c>
      <c r="F41" s="505"/>
      <c r="G41" s="506"/>
      <c r="H41" s="349"/>
      <c r="J41" s="505">
        <v>30</v>
      </c>
      <c r="K41" s="506"/>
      <c r="L41" s="349">
        <v>30</v>
      </c>
      <c r="M41">
        <v>30</v>
      </c>
      <c r="N41" s="505"/>
      <c r="P41" s="505"/>
      <c r="R41" s="511"/>
      <c r="T41" s="507"/>
      <c r="V41" s="507"/>
      <c r="X41" s="507"/>
      <c r="Y41" s="506"/>
      <c r="AA41" s="506"/>
      <c r="AC41" s="506"/>
      <c r="AD41" s="506"/>
      <c r="AE41" s="506"/>
      <c r="AG41" s="506"/>
      <c r="AI41" s="506"/>
      <c r="AK41" s="506"/>
    </row>
    <row r="42" spans="1:37">
      <c r="B42" s="9" t="s">
        <v>705</v>
      </c>
      <c r="C42" t="s">
        <v>711</v>
      </c>
      <c r="D42" s="348"/>
      <c r="F42" s="505"/>
      <c r="G42" s="519">
        <f>2860/1000</f>
        <v>2.86</v>
      </c>
      <c r="H42" s="349"/>
      <c r="J42" s="511"/>
      <c r="K42" s="506"/>
      <c r="L42" s="349"/>
      <c r="N42" s="505"/>
      <c r="P42" s="505"/>
      <c r="R42" s="511"/>
      <c r="T42" s="507"/>
      <c r="V42" s="507"/>
      <c r="X42" s="507"/>
      <c r="Y42" s="506"/>
      <c r="AA42" s="506"/>
      <c r="AC42" s="506"/>
      <c r="AD42" s="506"/>
      <c r="AE42" s="506"/>
      <c r="AG42" s="506"/>
      <c r="AI42" s="506"/>
      <c r="AK42" s="506"/>
    </row>
    <row r="43" spans="1:37" s="552" customFormat="1">
      <c r="A43" s="551"/>
      <c r="B43" s="551"/>
      <c r="C43" s="552" t="s">
        <v>712</v>
      </c>
      <c r="D43" s="553"/>
      <c r="F43" s="554"/>
      <c r="G43" s="555">
        <f>(1270.52+2678.57)/1000</f>
        <v>3.94909</v>
      </c>
      <c r="H43" s="556"/>
      <c r="J43" s="557"/>
      <c r="K43" s="558"/>
      <c r="L43" s="556"/>
      <c r="M43" s="556">
        <f>13392.83/1000</f>
        <v>13.39283</v>
      </c>
      <c r="N43" s="554"/>
      <c r="O43" s="556">
        <f>12115.48/1000</f>
        <v>12.11548</v>
      </c>
      <c r="P43" s="554"/>
      <c r="R43" s="557"/>
      <c r="T43" s="559"/>
      <c r="V43" s="559"/>
      <c r="X43" s="559"/>
      <c r="Y43" s="558"/>
      <c r="AA43" s="558"/>
      <c r="AC43" s="558"/>
      <c r="AD43" s="558"/>
      <c r="AE43" s="558"/>
      <c r="AG43" s="558"/>
      <c r="AI43" s="558"/>
      <c r="AK43" s="558"/>
    </row>
    <row r="44" spans="1:37">
      <c r="C44" t="s">
        <v>713</v>
      </c>
      <c r="D44" s="348"/>
      <c r="F44" s="505"/>
      <c r="G44" s="506"/>
      <c r="H44" s="349"/>
      <c r="J44" s="511"/>
      <c r="K44" s="506"/>
      <c r="L44" s="349"/>
      <c r="N44" s="505"/>
      <c r="P44" s="505"/>
      <c r="R44" s="511"/>
      <c r="T44" s="507"/>
      <c r="V44" s="507"/>
      <c r="X44" s="507"/>
      <c r="Y44" s="506"/>
      <c r="AA44" s="506"/>
      <c r="AC44" s="506"/>
      <c r="AD44" s="506"/>
      <c r="AE44" s="506"/>
      <c r="AG44" s="506"/>
      <c r="AI44" s="506"/>
      <c r="AK44" s="506"/>
    </row>
    <row r="45" spans="1:37">
      <c r="C45" t="s">
        <v>714</v>
      </c>
      <c r="D45" s="348"/>
      <c r="F45" s="505"/>
      <c r="G45" s="519">
        <f>+(4484+8150)/1000</f>
        <v>12.634</v>
      </c>
      <c r="H45" s="349"/>
      <c r="I45" s="348">
        <f>6704.56/1000</f>
        <v>6.7045600000000007</v>
      </c>
      <c r="J45" s="511"/>
      <c r="K45" s="506"/>
      <c r="L45" s="349"/>
      <c r="M45" s="349">
        <f>(3057+2365)/1000</f>
        <v>5.4219999999999997</v>
      </c>
      <c r="N45" s="505"/>
      <c r="O45" s="349">
        <f>13232/1000</f>
        <v>13.231999999999999</v>
      </c>
      <c r="P45" s="505"/>
      <c r="R45" s="511"/>
      <c r="T45" s="507"/>
      <c r="V45" s="507"/>
      <c r="X45" s="507"/>
      <c r="Y45" s="506"/>
      <c r="AA45" s="506"/>
      <c r="AC45" s="506"/>
      <c r="AD45" s="506"/>
      <c r="AE45" s="506"/>
      <c r="AG45" s="506"/>
      <c r="AI45" s="506"/>
      <c r="AK45" s="506"/>
    </row>
    <row r="46" spans="1:37">
      <c r="A46" s="9" t="s">
        <v>706</v>
      </c>
      <c r="B46" s="9" t="s">
        <v>705</v>
      </c>
      <c r="C46" s="500" t="s">
        <v>715</v>
      </c>
      <c r="D46" s="348"/>
      <c r="F46" s="505"/>
      <c r="G46" s="506"/>
      <c r="H46" s="349"/>
      <c r="J46" s="511"/>
      <c r="K46" s="506"/>
      <c r="L46" s="349"/>
      <c r="N46" s="505">
        <v>30</v>
      </c>
      <c r="P46" s="505"/>
      <c r="R46" s="511"/>
      <c r="T46" s="507"/>
      <c r="V46" s="507"/>
      <c r="X46" s="507"/>
      <c r="Y46" s="506"/>
      <c r="AA46" s="506"/>
      <c r="AC46" s="506"/>
      <c r="AD46" s="506"/>
      <c r="AE46" s="506"/>
      <c r="AG46" s="506"/>
      <c r="AI46" s="506"/>
      <c r="AK46" s="506"/>
    </row>
    <row r="47" spans="1:37" s="497" customFormat="1">
      <c r="A47" s="9"/>
      <c r="B47" s="9"/>
      <c r="F47" s="508">
        <f>SUM(F30:F46)</f>
        <v>220</v>
      </c>
      <c r="G47" s="531">
        <f>SUM(G30:G46)</f>
        <v>177.72309000000001</v>
      </c>
      <c r="H47" s="512">
        <f>SUM(H30:H46)</f>
        <v>206</v>
      </c>
      <c r="I47" s="512">
        <f>SUM(I30:I46)</f>
        <v>27.204560000000001</v>
      </c>
      <c r="J47" s="508">
        <f t="shared" ref="J47" si="3">SUM(J30:J46)</f>
        <v>247</v>
      </c>
      <c r="K47" s="550">
        <f t="shared" ref="K47" si="4">SUM(K30:K46)</f>
        <v>30.960999999999999</v>
      </c>
      <c r="L47" s="512">
        <f t="shared" ref="L47" si="5">SUM(L30:L46)</f>
        <v>392</v>
      </c>
      <c r="M47" s="512">
        <f t="shared" ref="M47" si="6">SUM(M30:M46)</f>
        <v>419.66015000000004</v>
      </c>
      <c r="N47" s="508" t="e">
        <f t="shared" ref="N47" si="7">SUM(N30:N46)</f>
        <v>#REF!</v>
      </c>
      <c r="O47" s="512">
        <f>SUM(O30:O46)</f>
        <v>88.988479999999996</v>
      </c>
      <c r="P47" s="508" t="e">
        <f t="shared" ref="P47" si="8">SUM(P30:P46)</f>
        <v>#REF!</v>
      </c>
      <c r="Q47" s="497">
        <f t="shared" ref="Q47" si="9">SUM(Q30:Q46)</f>
        <v>0</v>
      </c>
      <c r="R47" s="508" t="e">
        <f t="shared" ref="R47" si="10">SUM(R30:R46)</f>
        <v>#REF!</v>
      </c>
      <c r="S47" s="497">
        <f t="shared" ref="S47" si="11">SUM(S30:S46)</f>
        <v>0</v>
      </c>
      <c r="T47" s="508">
        <f t="shared" ref="T47" si="12">SUM(T30:T46)</f>
        <v>0</v>
      </c>
      <c r="U47" s="497">
        <f t="shared" ref="U47" si="13">SUM(U30:U46)</f>
        <v>0</v>
      </c>
      <c r="V47" s="508">
        <f t="shared" ref="V47" si="14">SUM(V30:V46)</f>
        <v>0</v>
      </c>
      <c r="W47" s="497">
        <f t="shared" ref="W47" si="15">SUM(W30:W46)</f>
        <v>0</v>
      </c>
      <c r="X47" s="508">
        <f t="shared" ref="X47" si="16">SUM(X30:X46)</f>
        <v>0</v>
      </c>
      <c r="Y47" s="509">
        <f t="shared" ref="Y47" si="17">SUM(Y30:Y46)</f>
        <v>0</v>
      </c>
      <c r="Z47" s="512">
        <f t="shared" ref="Z47" si="18">SUM(Z30:Z46)</f>
        <v>0</v>
      </c>
      <c r="AA47" s="509">
        <f t="shared" ref="AA47" si="19">SUM(AA30:AA46)</f>
        <v>0</v>
      </c>
      <c r="AB47" s="512">
        <f t="shared" ref="AB47" si="20">SUM(AB30:AB46)</f>
        <v>0</v>
      </c>
      <c r="AC47" s="509">
        <f t="shared" ref="AC47" si="21">SUM(AC30:AC46)</f>
        <v>0</v>
      </c>
      <c r="AD47" s="512">
        <f t="shared" ref="AD47" si="22">SUM(AD30:AD46)</f>
        <v>0</v>
      </c>
      <c r="AE47" s="509">
        <f t="shared" ref="AE47" si="23">SUM(AE30:AE46)</f>
        <v>0</v>
      </c>
      <c r="AF47" s="512">
        <f t="shared" ref="AF47" si="24">SUM(AF30:AF46)</f>
        <v>0</v>
      </c>
      <c r="AG47" s="509">
        <f t="shared" ref="AG47" si="25">SUM(AG30:AG46)</f>
        <v>0</v>
      </c>
      <c r="AH47" s="512">
        <f t="shared" ref="AH47" si="26">SUM(AH30:AH46)</f>
        <v>0</v>
      </c>
      <c r="AI47" s="509">
        <f t="shared" ref="AI47" si="27">SUM(AI30:AI46)</f>
        <v>0</v>
      </c>
      <c r="AJ47" s="512">
        <f t="shared" ref="AJ47" si="28">SUM(AJ30:AJ46)</f>
        <v>0</v>
      </c>
      <c r="AK47" s="509">
        <f t="shared" ref="AK47" si="29">SUM(AK30:AK46)</f>
        <v>0</v>
      </c>
    </row>
    <row r="48" spans="1:37" s="498" customFormat="1">
      <c r="A48" s="548"/>
      <c r="B48" s="548"/>
      <c r="C48" s="498" t="s">
        <v>8</v>
      </c>
      <c r="E48" s="523"/>
      <c r="F48" s="510" t="e">
        <f>F27-F47</f>
        <v>#REF!</v>
      </c>
      <c r="G48" s="532">
        <f>(G27-G47)</f>
        <v>-14.864190000000008</v>
      </c>
      <c r="H48" s="513" t="e">
        <f t="shared" ref="H48:AG48" si="30">H27-H47</f>
        <v>#REF!</v>
      </c>
      <c r="I48" s="546">
        <f>I27-I47</f>
        <v>129.35975000000002</v>
      </c>
      <c r="J48" s="510" t="e">
        <f t="shared" si="30"/>
        <v>#REF!</v>
      </c>
      <c r="K48" s="549">
        <f>K27-K47</f>
        <v>94.700400000000002</v>
      </c>
      <c r="L48" s="513" t="e">
        <f t="shared" si="30"/>
        <v>#REF!</v>
      </c>
      <c r="M48" s="513">
        <f t="shared" si="30"/>
        <v>-242.84523000000004</v>
      </c>
      <c r="N48" s="510" t="e">
        <f t="shared" si="30"/>
        <v>#REF!</v>
      </c>
      <c r="O48" s="546">
        <f>O27-O47</f>
        <v>204.32411000000002</v>
      </c>
      <c r="P48" s="510" t="e">
        <f t="shared" si="30"/>
        <v>#REF!</v>
      </c>
      <c r="Q48" s="524">
        <f t="shared" si="30"/>
        <v>0</v>
      </c>
      <c r="R48" s="510" t="e">
        <f t="shared" si="30"/>
        <v>#REF!</v>
      </c>
      <c r="S48" s="524">
        <f t="shared" si="30"/>
        <v>0</v>
      </c>
      <c r="T48" s="510">
        <f t="shared" si="30"/>
        <v>0</v>
      </c>
      <c r="U48" s="524">
        <f t="shared" si="30"/>
        <v>0</v>
      </c>
      <c r="V48" s="510">
        <f t="shared" si="30"/>
        <v>0</v>
      </c>
      <c r="W48" s="524">
        <f t="shared" si="30"/>
        <v>0</v>
      </c>
      <c r="X48" s="510">
        <f t="shared" si="30"/>
        <v>0</v>
      </c>
      <c r="Y48" s="525">
        <f t="shared" si="30"/>
        <v>0</v>
      </c>
      <c r="Z48" s="513">
        <f t="shared" si="30"/>
        <v>0</v>
      </c>
      <c r="AA48" s="525">
        <f t="shared" si="30"/>
        <v>0</v>
      </c>
      <c r="AB48" s="513">
        <f t="shared" si="30"/>
        <v>0</v>
      </c>
      <c r="AC48" s="525">
        <f t="shared" si="30"/>
        <v>0</v>
      </c>
      <c r="AD48" s="513">
        <f t="shared" si="30"/>
        <v>0</v>
      </c>
      <c r="AE48" s="525">
        <f t="shared" si="30"/>
        <v>0</v>
      </c>
      <c r="AF48" s="513">
        <f t="shared" si="30"/>
        <v>0</v>
      </c>
      <c r="AG48" s="525">
        <f t="shared" si="30"/>
        <v>0</v>
      </c>
      <c r="AH48" s="513">
        <f t="shared" ref="AH48:AK48" si="31">AH27-AH47</f>
        <v>0</v>
      </c>
      <c r="AI48" s="525">
        <f t="shared" si="31"/>
        <v>0</v>
      </c>
      <c r="AJ48" s="513">
        <f t="shared" si="31"/>
        <v>0</v>
      </c>
      <c r="AK48" s="525">
        <f t="shared" si="31"/>
        <v>0</v>
      </c>
    </row>
    <row r="49" spans="1:37" s="497" customFormat="1">
      <c r="A49" s="9"/>
      <c r="B49" s="9"/>
      <c r="C49" s="497" t="s">
        <v>716</v>
      </c>
      <c r="E49" s="497">
        <v>53</v>
      </c>
      <c r="G49" s="526">
        <f>E49+G48</f>
        <v>38.135809999999992</v>
      </c>
      <c r="I49" s="526">
        <f t="shared" ref="I49" si="32">G49+I48</f>
        <v>167.49556000000001</v>
      </c>
      <c r="K49" s="526">
        <f>I49+K48</f>
        <v>262.19596000000001</v>
      </c>
      <c r="M49" s="526">
        <f t="shared" ref="M49" si="33">K49+M48</f>
        <v>19.35072999999997</v>
      </c>
      <c r="O49" s="526">
        <f t="shared" ref="O49" si="34">M49+O48</f>
        <v>223.67483999999999</v>
      </c>
      <c r="Q49" s="526">
        <f t="shared" ref="Q49" si="35">O49+Q48</f>
        <v>223.67483999999999</v>
      </c>
      <c r="S49" s="526">
        <f t="shared" ref="S49" si="36">Q49+S48</f>
        <v>223.67483999999999</v>
      </c>
      <c r="U49" s="526">
        <f t="shared" ref="U49" si="37">S49+U48</f>
        <v>223.67483999999999</v>
      </c>
      <c r="W49" s="526">
        <f t="shared" ref="W49" si="38">U49+W48</f>
        <v>223.67483999999999</v>
      </c>
      <c r="Y49" s="526">
        <f t="shared" ref="Y49" si="39">W49+Y48</f>
        <v>223.67483999999999</v>
      </c>
      <c r="AA49" s="526">
        <f t="shared" ref="AA49" si="40">Y49+AA48</f>
        <v>223.67483999999999</v>
      </c>
      <c r="AC49" s="526">
        <f t="shared" ref="AC49" si="41">AA49+AC48</f>
        <v>223.67483999999999</v>
      </c>
      <c r="AE49" s="526">
        <f t="shared" ref="AE49" si="42">AC49+AE48</f>
        <v>223.67483999999999</v>
      </c>
      <c r="AG49" s="526">
        <f t="shared" ref="AG49" si="43">AE49+AG48</f>
        <v>223.67483999999999</v>
      </c>
      <c r="AI49" s="526">
        <f t="shared" ref="AI49" si="44">AG49+AI48</f>
        <v>223.67483999999999</v>
      </c>
      <c r="AK49" s="526">
        <f t="shared" ref="AK49" si="45">AI49+AK48</f>
        <v>223.67483999999999</v>
      </c>
    </row>
  </sheetData>
  <mergeCells count="7">
    <mergeCell ref="T24:AC24"/>
    <mergeCell ref="AD24:AK24"/>
    <mergeCell ref="F26:G26"/>
    <mergeCell ref="H26:I26"/>
    <mergeCell ref="J26:K26"/>
    <mergeCell ref="E24:K24"/>
    <mergeCell ref="L24:S24"/>
  </mergeCells>
  <pageMargins left="0.7" right="0.7" top="0.75" bottom="0.75" header="0.3" footer="0.3"/>
  <pageSetup paperSize="9" fitToHeight="0" orientation="portrait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F32"/>
  <sheetViews>
    <sheetView topLeftCell="A14" workbookViewId="0">
      <selection activeCell="C3" sqref="C3"/>
    </sheetView>
  </sheetViews>
  <sheetFormatPr defaultColWidth="9.140625" defaultRowHeight="15"/>
  <cols>
    <col min="3" max="3" width="12.5703125" customWidth="1"/>
    <col min="5" max="5" width="21" customWidth="1"/>
    <col min="6" max="6" width="23.5703125" customWidth="1"/>
  </cols>
  <sheetData>
    <row r="2" spans="1:6">
      <c r="A2" t="s">
        <v>717</v>
      </c>
      <c r="B2" t="s">
        <v>718</v>
      </c>
      <c r="C2" t="s">
        <v>719</v>
      </c>
    </row>
    <row r="3" spans="1:6">
      <c r="A3" t="s">
        <v>720</v>
      </c>
      <c r="B3" s="389" t="s">
        <v>17</v>
      </c>
      <c r="C3" s="395">
        <v>9886270.4391512405</v>
      </c>
    </row>
    <row r="4" spans="1:6">
      <c r="A4" t="s">
        <v>720</v>
      </c>
      <c r="B4" s="397" t="s">
        <v>27</v>
      </c>
      <c r="C4" s="396">
        <v>8403329.8732785508</v>
      </c>
    </row>
    <row r="5" spans="1:6">
      <c r="A5" t="s">
        <v>720</v>
      </c>
      <c r="B5" s="389" t="s">
        <v>19</v>
      </c>
      <c r="C5" s="395">
        <v>8184276.2513209879</v>
      </c>
    </row>
    <row r="6" spans="1:6">
      <c r="A6" t="s">
        <v>720</v>
      </c>
      <c r="B6" s="389" t="s">
        <v>25</v>
      </c>
      <c r="C6" s="395">
        <v>7514583.0821935683</v>
      </c>
    </row>
    <row r="7" spans="1:6">
      <c r="A7" t="s">
        <v>720</v>
      </c>
      <c r="B7" s="389" t="s">
        <v>14</v>
      </c>
      <c r="C7" s="395">
        <v>7339144.4162517507</v>
      </c>
    </row>
    <row r="8" spans="1:6">
      <c r="A8" t="s">
        <v>720</v>
      </c>
      <c r="B8" s="389" t="s">
        <v>24</v>
      </c>
      <c r="C8" s="395">
        <v>6820795.262242021</v>
      </c>
    </row>
    <row r="9" spans="1:6">
      <c r="A9" t="s">
        <v>720</v>
      </c>
      <c r="B9" s="389" t="s">
        <v>18</v>
      </c>
      <c r="C9" s="395">
        <v>6495962.7483529691</v>
      </c>
    </row>
    <row r="10" spans="1:6">
      <c r="A10" t="s">
        <v>720</v>
      </c>
      <c r="B10" s="389" t="s">
        <v>22</v>
      </c>
      <c r="C10" s="395">
        <v>6088754.3542610398</v>
      </c>
      <c r="F10" s="503"/>
    </row>
    <row r="11" spans="1:6">
      <c r="A11" t="s">
        <v>720</v>
      </c>
      <c r="B11" s="389" t="s">
        <v>15</v>
      </c>
      <c r="C11" s="395">
        <v>5679763.099464152</v>
      </c>
    </row>
    <row r="12" spans="1:6">
      <c r="A12" t="s">
        <v>720</v>
      </c>
      <c r="B12" s="389" t="s">
        <v>10</v>
      </c>
      <c r="C12" s="395">
        <v>5472985.9137357585</v>
      </c>
    </row>
    <row r="13" spans="1:6">
      <c r="A13" t="s">
        <v>720</v>
      </c>
      <c r="B13" s="389" t="s">
        <v>23</v>
      </c>
      <c r="C13" s="395">
        <v>5324817.9887465797</v>
      </c>
    </row>
    <row r="14" spans="1:6">
      <c r="A14" t="s">
        <v>720</v>
      </c>
      <c r="B14" s="389" t="s">
        <v>9</v>
      </c>
      <c r="C14" s="395">
        <v>4890242.0571480934</v>
      </c>
      <c r="F14" s="503"/>
    </row>
    <row r="15" spans="1:6">
      <c r="A15" t="s">
        <v>720</v>
      </c>
      <c r="B15" s="389" t="s">
        <v>21</v>
      </c>
      <c r="C15" s="395">
        <v>4835283.6627090853</v>
      </c>
      <c r="F15" s="503"/>
    </row>
    <row r="16" spans="1:6">
      <c r="A16" t="s">
        <v>720</v>
      </c>
      <c r="B16" s="389" t="s">
        <v>13</v>
      </c>
      <c r="C16" s="395">
        <v>4804617.0667545861</v>
      </c>
    </row>
    <row r="17" spans="1:3">
      <c r="A17" t="s">
        <v>720</v>
      </c>
      <c r="B17" s="389" t="s">
        <v>16</v>
      </c>
      <c r="C17" s="395">
        <v>4680836.5781107713</v>
      </c>
    </row>
    <row r="18" spans="1:3">
      <c r="A18" t="s">
        <v>720</v>
      </c>
      <c r="B18" s="389" t="s">
        <v>20</v>
      </c>
      <c r="C18" s="395">
        <v>4442140.3327092016</v>
      </c>
    </row>
    <row r="19" spans="1:3">
      <c r="A19" t="s">
        <v>720</v>
      </c>
      <c r="B19" s="389" t="s">
        <v>26</v>
      </c>
      <c r="C19" s="395">
        <v>4206925.5487600435</v>
      </c>
    </row>
    <row r="20" spans="1:3">
      <c r="A20" t="s">
        <v>720</v>
      </c>
      <c r="B20" s="389" t="s">
        <v>11</v>
      </c>
      <c r="C20" s="395">
        <v>4071915.6722099045</v>
      </c>
    </row>
    <row r="21" spans="1:3">
      <c r="A21" t="s">
        <v>720</v>
      </c>
      <c r="B21" s="389" t="s">
        <v>12</v>
      </c>
      <c r="C21" s="395">
        <v>3731209.6826297361</v>
      </c>
    </row>
    <row r="22" spans="1:3">
      <c r="A22" t="s">
        <v>721</v>
      </c>
      <c r="B22" s="397" t="s">
        <v>29</v>
      </c>
      <c r="C22" s="396">
        <v>14928536.865733009</v>
      </c>
    </row>
    <row r="23" spans="1:3">
      <c r="A23" t="s">
        <v>721</v>
      </c>
      <c r="B23" s="389" t="s">
        <v>32</v>
      </c>
      <c r="C23" s="395">
        <v>13178972.803015545</v>
      </c>
    </row>
    <row r="24" spans="1:3">
      <c r="A24" t="s">
        <v>721</v>
      </c>
      <c r="B24" s="389" t="s">
        <v>31</v>
      </c>
      <c r="C24" s="395">
        <v>9896243.1092243232</v>
      </c>
    </row>
    <row r="25" spans="1:3">
      <c r="A25" t="s">
        <v>721</v>
      </c>
      <c r="B25" s="389" t="s">
        <v>28</v>
      </c>
      <c r="C25" s="395">
        <v>9459639.3213070352</v>
      </c>
    </row>
    <row r="26" spans="1:3">
      <c r="A26" t="s">
        <v>721</v>
      </c>
      <c r="B26" s="389" t="s">
        <v>30</v>
      </c>
      <c r="C26" s="395">
        <v>7095364.5979362177</v>
      </c>
    </row>
    <row r="27" spans="1:3">
      <c r="A27" t="s">
        <v>721</v>
      </c>
      <c r="B27" s="389" t="s">
        <v>33</v>
      </c>
      <c r="C27" s="395">
        <v>5471186.5375449508</v>
      </c>
    </row>
    <row r="28" spans="1:3">
      <c r="A28" t="s">
        <v>721</v>
      </c>
      <c r="B28" s="389" t="s">
        <v>37</v>
      </c>
      <c r="C28" s="395">
        <v>4833516.402799217</v>
      </c>
    </row>
    <row r="29" spans="1:3">
      <c r="A29" t="s">
        <v>721</v>
      </c>
      <c r="B29" s="389" t="s">
        <v>36</v>
      </c>
      <c r="C29" s="395">
        <v>2873778.2048909431</v>
      </c>
    </row>
    <row r="30" spans="1:3">
      <c r="A30" t="s">
        <v>721</v>
      </c>
      <c r="B30" s="389" t="s">
        <v>35</v>
      </c>
      <c r="C30" s="395">
        <v>2143984.2546809837</v>
      </c>
    </row>
    <row r="31" spans="1:3">
      <c r="A31" t="s">
        <v>721</v>
      </c>
      <c r="B31" s="394" t="s">
        <v>34</v>
      </c>
      <c r="C31" s="395">
        <v>1065638.6674957783</v>
      </c>
    </row>
    <row r="32" spans="1:3">
      <c r="C32" s="490"/>
    </row>
  </sheetData>
  <autoFilter ref="A2:C31" xr:uid="{00000000-0009-0000-0000-000007000000}">
    <sortState xmlns:xlrd2="http://schemas.microsoft.com/office/spreadsheetml/2017/richdata2" ref="A3:C31">
      <sortCondition descending="1" ref="C2:C3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BFBFBF"/>
  </sheetPr>
  <dimension ref="A1:JG101"/>
  <sheetViews>
    <sheetView topLeftCell="A4" zoomScale="80" zoomScaleNormal="80" zoomScaleSheetLayoutView="110" workbookViewId="0">
      <pane xSplit="3" ySplit="4" topLeftCell="D14" activePane="bottomRight" state="frozen"/>
      <selection pane="bottomRight" activeCell="D1" sqref="D1"/>
      <selection pane="bottomLeft" activeCell="A9" sqref="A9"/>
      <selection pane="topRight" activeCell="D1" sqref="D1"/>
    </sheetView>
  </sheetViews>
  <sheetFormatPr defaultColWidth="11.42578125" defaultRowHeight="15"/>
  <cols>
    <col min="1" max="1" width="20.7109375" hidden="1" customWidth="1"/>
    <col min="2" max="2" width="12.140625" customWidth="1"/>
    <col min="3" max="3" width="20.7109375" customWidth="1"/>
    <col min="4" max="4" width="23.85546875" customWidth="1"/>
    <col min="5" max="5" width="16.5703125" customWidth="1"/>
    <col min="6" max="6" width="11.140625" customWidth="1"/>
    <col min="7" max="7" width="16.5703125" customWidth="1"/>
    <col min="8" max="8" width="15.7109375" customWidth="1"/>
    <col min="9" max="9" width="17.28515625" customWidth="1"/>
    <col min="10" max="10" width="14.140625" customWidth="1"/>
    <col min="11" max="11" width="10.28515625" customWidth="1"/>
    <col min="12" max="12" width="23.28515625" customWidth="1"/>
    <col min="13" max="13" width="14.140625" customWidth="1"/>
    <col min="14" max="14" width="21.85546875" customWidth="1"/>
    <col min="15" max="15" width="23.85546875" customWidth="1"/>
    <col min="16" max="16" width="12" customWidth="1"/>
    <col min="17" max="17" width="24.5703125" customWidth="1"/>
    <col min="18" max="18" width="14.140625" customWidth="1"/>
    <col min="19" max="20" width="24.5703125" customWidth="1"/>
    <col min="21" max="21" width="10.28515625" customWidth="1"/>
    <col min="22" max="22" width="24.42578125" customWidth="1"/>
    <col min="23" max="23" width="15.85546875" customWidth="1"/>
    <col min="24" max="24" width="25.28515625" customWidth="1"/>
    <col min="25" max="25" width="26.140625" customWidth="1"/>
    <col min="26" max="26" width="9" customWidth="1"/>
    <col min="27" max="27" width="24.5703125" customWidth="1"/>
    <col min="28" max="28" width="15.28515625" customWidth="1"/>
    <col min="29" max="29" width="24.28515625" customWidth="1"/>
    <col min="30" max="30" width="23.28515625" customWidth="1"/>
    <col min="31" max="31" width="11" customWidth="1"/>
    <col min="32" max="32" width="22.85546875" customWidth="1"/>
    <col min="33" max="33" width="19.42578125" customWidth="1"/>
    <col min="34" max="34" width="23" customWidth="1"/>
    <col min="35" max="35" width="24.28515625" customWidth="1"/>
    <col min="36" max="36" width="10.85546875" customWidth="1"/>
    <col min="37" max="37" width="24.28515625" customWidth="1"/>
    <col min="38" max="38" width="14.140625" customWidth="1"/>
    <col min="39" max="39" width="24.28515625" customWidth="1"/>
    <col min="40" max="40" width="24.5703125" customWidth="1"/>
    <col min="41" max="41" width="22.28515625" customWidth="1"/>
    <col min="42" max="42" width="24.5703125" customWidth="1"/>
    <col min="43" max="43" width="15.28515625" customWidth="1"/>
    <col min="44" max="44" width="25.42578125" customWidth="1"/>
    <col min="45" max="45" width="24.28515625" customWidth="1"/>
    <col min="46" max="46" width="22.28515625" customWidth="1"/>
    <col min="47" max="47" width="24.5703125" customWidth="1"/>
    <col min="48" max="48" width="15.28515625" customWidth="1"/>
    <col min="49" max="49" width="25.28515625" customWidth="1"/>
    <col min="50" max="50" width="26" customWidth="1"/>
    <col min="51" max="51" width="22.28515625" customWidth="1"/>
    <col min="52" max="52" width="24.5703125" bestFit="1" customWidth="1"/>
    <col min="53" max="53" width="15.28515625" customWidth="1"/>
    <col min="54" max="55" width="25.85546875" customWidth="1"/>
    <col min="56" max="56" width="22.28515625" customWidth="1"/>
    <col min="57" max="57" width="24.5703125" customWidth="1"/>
    <col min="58" max="58" width="15.28515625" customWidth="1"/>
    <col min="59" max="60" width="25.5703125" customWidth="1"/>
    <col min="61" max="61" width="22.28515625" customWidth="1"/>
    <col min="62" max="62" width="14.5703125" customWidth="1"/>
    <col min="63" max="63" width="14.140625" customWidth="1"/>
    <col min="64" max="65" width="23.5703125" customWidth="1"/>
    <col min="66" max="66" width="22.28515625" customWidth="1"/>
    <col min="67" max="67" width="14.5703125" customWidth="1"/>
    <col min="68" max="68" width="14.140625" customWidth="1"/>
    <col min="69" max="69" width="23" customWidth="1"/>
    <col min="70" max="70" width="25.28515625" customWidth="1"/>
    <col min="71" max="71" width="18.140625" customWidth="1"/>
    <col min="72" max="72" width="14.5703125" customWidth="1"/>
    <col min="73" max="73" width="15.28515625" customWidth="1"/>
    <col min="74" max="74" width="20.85546875" customWidth="1"/>
    <col min="75" max="75" width="24.5703125" customWidth="1"/>
    <col min="76" max="76" width="22.28515625" customWidth="1"/>
    <col min="77" max="77" width="15.28515625" customWidth="1"/>
    <col min="78" max="78" width="14.140625" customWidth="1"/>
    <col min="79" max="79" width="23.28515625" customWidth="1"/>
    <col min="80" max="80" width="24.5703125" customWidth="1"/>
    <col min="81" max="81" width="22.28515625" customWidth="1"/>
    <col min="82" max="82" width="14.5703125" customWidth="1"/>
    <col min="83" max="83" width="14.140625" customWidth="1"/>
    <col min="84" max="84" width="20.7109375" customWidth="1"/>
    <col min="85" max="85" width="24.5703125" customWidth="1"/>
    <col min="86" max="86" width="22.85546875" customWidth="1"/>
    <col min="87" max="87" width="16.5703125" customWidth="1"/>
    <col min="88" max="88" width="14.140625" customWidth="1"/>
    <col min="89" max="89" width="16" customWidth="1"/>
    <col min="90" max="90" width="19.5703125" customWidth="1"/>
    <col min="91" max="91" width="14.28515625" customWidth="1"/>
    <col min="92" max="92" width="16.7109375" customWidth="1"/>
    <col min="93" max="93" width="14.140625" customWidth="1"/>
    <col min="94" max="94" width="16.7109375" customWidth="1"/>
    <col min="95" max="95" width="21.7109375" customWidth="1"/>
    <col min="96" max="96" width="22.85546875" customWidth="1"/>
    <col min="97" max="97" width="21.7109375" customWidth="1"/>
    <col min="98" max="98" width="15.85546875" customWidth="1"/>
    <col min="99" max="99" width="16.140625" customWidth="1"/>
    <col min="100" max="100" width="21.7109375" customWidth="1"/>
    <col min="101" max="101" width="22.85546875" customWidth="1"/>
    <col min="102" max="102" width="16.5703125" customWidth="1"/>
    <col min="103" max="103" width="15.85546875" customWidth="1"/>
    <col min="104" max="104" width="16.140625" customWidth="1"/>
    <col min="105" max="105" width="21.7109375" customWidth="1"/>
    <col min="106" max="106" width="22.85546875" customWidth="1"/>
    <col min="107" max="107" width="14.5703125" customWidth="1"/>
    <col min="108" max="108" width="15.85546875" customWidth="1"/>
    <col min="109" max="110" width="24.5703125" customWidth="1"/>
    <col min="111" max="111" width="22.85546875" customWidth="1"/>
    <col min="112" max="112" width="14.5703125" customWidth="1"/>
    <col min="113" max="113" width="15.85546875" customWidth="1"/>
    <col min="114" max="114" width="15" customWidth="1"/>
    <col min="115" max="115" width="24.5703125" customWidth="1"/>
    <col min="116" max="116" width="22.85546875" customWidth="1"/>
    <col min="117" max="117" width="14.5703125" customWidth="1"/>
    <col min="118" max="118" width="15.85546875" customWidth="1"/>
    <col min="119" max="119" width="16.140625" customWidth="1"/>
    <col min="120" max="120" width="24.5703125" customWidth="1"/>
    <col min="121" max="121" width="22.85546875" customWidth="1"/>
    <col min="122" max="122" width="14.5703125" customWidth="1"/>
    <col min="123" max="123" width="15.85546875" customWidth="1"/>
    <col min="124" max="125" width="24.5703125" customWidth="1"/>
    <col min="126" max="126" width="17" customWidth="1"/>
    <col min="127" max="127" width="16.5703125" customWidth="1"/>
    <col min="128" max="128" width="15.85546875" customWidth="1"/>
    <col min="129" max="130" width="24.5703125" customWidth="1"/>
    <col min="131" max="131" width="16.28515625" customWidth="1"/>
    <col min="132" max="132" width="14.5703125" customWidth="1"/>
    <col min="133" max="133" width="15.85546875" customWidth="1"/>
    <col min="134" max="134" width="16" customWidth="1"/>
    <col min="135" max="135" width="24.5703125" customWidth="1"/>
    <col min="136" max="136" width="22.85546875" customWidth="1"/>
    <col min="137" max="137" width="16.42578125" customWidth="1"/>
    <col min="138" max="138" width="15.85546875" customWidth="1"/>
    <col min="139" max="139" width="14.140625" customWidth="1"/>
    <col min="140" max="140" width="24.5703125" customWidth="1"/>
    <col min="141" max="141" width="22.85546875" customWidth="1"/>
    <col min="142" max="142" width="15.7109375" customWidth="1"/>
    <col min="143" max="143" width="15.85546875" customWidth="1"/>
    <col min="144" max="144" width="14.85546875" customWidth="1"/>
    <col min="145" max="145" width="24.5703125" customWidth="1"/>
    <col min="146" max="146" width="22.85546875" customWidth="1"/>
    <col min="147" max="147" width="17.140625" customWidth="1"/>
    <col min="148" max="148" width="15.28515625" customWidth="1"/>
    <col min="149" max="149" width="14.7109375" customWidth="1"/>
    <col min="150" max="150" width="24.5703125" customWidth="1"/>
    <col min="151" max="151" width="22.85546875" customWidth="1"/>
    <col min="152" max="152" width="17.85546875" customWidth="1"/>
    <col min="153" max="153" width="15.85546875" customWidth="1"/>
    <col min="154" max="154" width="15.28515625" customWidth="1"/>
    <col min="155" max="155" width="24.5703125" customWidth="1"/>
    <col min="156" max="156" width="22.85546875" customWidth="1"/>
    <col min="157" max="157" width="14.5703125" customWidth="1"/>
    <col min="158" max="158" width="15.85546875" customWidth="1"/>
    <col min="159" max="159" width="15.5703125" customWidth="1"/>
    <col min="160" max="160" width="24.5703125" customWidth="1"/>
    <col min="161" max="161" width="22.85546875" customWidth="1"/>
    <col min="162" max="162" width="14.5703125" customWidth="1"/>
    <col min="163" max="163" width="15.85546875" customWidth="1"/>
    <col min="164" max="164" width="16" customWidth="1"/>
    <col min="165" max="165" width="24.5703125" customWidth="1"/>
    <col min="166" max="166" width="22.85546875" customWidth="1"/>
    <col min="167" max="167" width="24.5703125" customWidth="1"/>
    <col min="168" max="168" width="15.85546875" customWidth="1"/>
    <col min="169" max="170" width="24.5703125" customWidth="1"/>
    <col min="171" max="171" width="22.85546875" customWidth="1"/>
    <col min="172" max="172" width="24.5703125" customWidth="1"/>
    <col min="173" max="173" width="15.85546875" customWidth="1"/>
    <col min="174" max="175" width="24.5703125" customWidth="1"/>
    <col min="176" max="176" width="22.28515625" customWidth="1"/>
    <col min="177" max="177" width="24.5703125" customWidth="1"/>
    <col min="178" max="178" width="18.7109375" customWidth="1"/>
    <col min="179" max="180" width="24.5703125" customWidth="1"/>
    <col min="181" max="181" width="18.140625" customWidth="1"/>
    <col min="182" max="182" width="24" customWidth="1"/>
    <col min="183" max="183" width="15.85546875" customWidth="1"/>
    <col min="184" max="185" width="24.5703125" customWidth="1"/>
    <col min="186" max="186" width="22.85546875" customWidth="1"/>
    <col min="187" max="187" width="24.5703125" customWidth="1"/>
    <col min="188" max="188" width="15.28515625" customWidth="1"/>
    <col min="189" max="190" width="24.5703125" customWidth="1"/>
    <col min="191" max="191" width="22.85546875" customWidth="1"/>
    <col min="192" max="192" width="24.5703125" customWidth="1"/>
    <col min="193" max="193" width="15.28515625" customWidth="1"/>
    <col min="194" max="195" width="24.5703125" customWidth="1"/>
    <col min="196" max="196" width="22.85546875" customWidth="1"/>
    <col min="197" max="197" width="24.5703125" customWidth="1"/>
    <col min="198" max="198" width="15.28515625" customWidth="1"/>
    <col min="199" max="200" width="24.5703125" customWidth="1"/>
    <col min="201" max="201" width="22.85546875" customWidth="1"/>
    <col min="202" max="202" width="24.5703125" customWidth="1"/>
    <col min="203" max="203" width="15.85546875" customWidth="1"/>
    <col min="204" max="205" width="24.5703125" customWidth="1"/>
    <col min="206" max="206" width="22.85546875" customWidth="1"/>
    <col min="207" max="207" width="11.140625" customWidth="1"/>
    <col min="208" max="208" width="15.28515625" customWidth="1"/>
    <col min="209" max="210" width="24.5703125" customWidth="1"/>
    <col min="211" max="211" width="22.85546875" customWidth="1"/>
    <col min="212" max="212" width="12.140625" customWidth="1"/>
    <col min="213" max="213" width="15.28515625" customWidth="1"/>
    <col min="214" max="215" width="24.5703125" customWidth="1"/>
    <col min="216" max="216" width="22.28515625" customWidth="1"/>
    <col min="217" max="218" width="10.5703125" customWidth="1"/>
    <col min="219" max="220" width="24.5703125" customWidth="1"/>
    <col min="221" max="221" width="22.85546875" style="55" customWidth="1"/>
    <col min="222" max="222" width="13.28515625" customWidth="1"/>
    <col min="223" max="223" width="15.28515625" customWidth="1"/>
    <col min="224" max="225" width="24.5703125" customWidth="1"/>
    <col min="226" max="226" width="22.85546875" style="55" customWidth="1"/>
    <col min="227" max="227" width="12.42578125" customWidth="1"/>
    <col min="228" max="228" width="15.28515625" customWidth="1"/>
    <col min="229" max="229" width="25" customWidth="1"/>
    <col min="230" max="230" width="24.5703125" customWidth="1"/>
    <col min="231" max="231" width="15.85546875" customWidth="1"/>
    <col min="232" max="232" width="11.7109375" customWidth="1"/>
    <col min="233" max="233" width="15.28515625" customWidth="1"/>
    <col min="234" max="234" width="24.5703125" customWidth="1"/>
    <col min="235" max="235" width="24.5703125" bestFit="1" customWidth="1"/>
    <col min="236" max="236" width="22.28515625" bestFit="1" customWidth="1"/>
    <col min="237" max="237" width="13.42578125" customWidth="1"/>
    <col min="238" max="238" width="15.28515625" customWidth="1"/>
    <col min="239" max="239" width="24.5703125" bestFit="1" customWidth="1"/>
    <col min="240" max="240" width="26.42578125" bestFit="1" customWidth="1"/>
    <col min="241" max="241" width="22.85546875" customWidth="1"/>
    <col min="242" max="242" width="19.5703125" customWidth="1"/>
    <col min="243" max="243" width="15.85546875" customWidth="1"/>
    <col min="244" max="244" width="24.5703125" bestFit="1" customWidth="1"/>
    <col min="245" max="245" width="26.42578125" bestFit="1" customWidth="1"/>
    <col min="246" max="246" width="22.85546875" customWidth="1"/>
    <col min="247" max="247" width="19.5703125" customWidth="1"/>
    <col min="248" max="248" width="15.85546875" customWidth="1"/>
    <col min="249" max="249" width="24.5703125" bestFit="1" customWidth="1"/>
    <col min="250" max="250" width="26.42578125" bestFit="1" customWidth="1"/>
    <col min="251" max="251" width="22.85546875" customWidth="1"/>
    <col min="252" max="252" width="19.140625" customWidth="1"/>
    <col min="253" max="253" width="15.28515625" customWidth="1"/>
    <col min="254" max="254" width="24.5703125" bestFit="1" customWidth="1"/>
    <col min="255" max="255" width="26.42578125" bestFit="1" customWidth="1"/>
    <col min="256" max="256" width="22.85546875" customWidth="1"/>
    <col min="257" max="257" width="17.28515625" customWidth="1"/>
    <col min="258" max="258" width="15.28515625" customWidth="1"/>
    <col min="259" max="259" width="24.5703125" bestFit="1" customWidth="1"/>
    <col min="260" max="260" width="24.5703125" customWidth="1"/>
    <col min="261" max="261" width="22.85546875" customWidth="1"/>
    <col min="262" max="262" width="17.140625" customWidth="1"/>
    <col min="263" max="263" width="15.85546875" customWidth="1"/>
    <col min="264" max="264" width="27.5703125" customWidth="1"/>
    <col min="265" max="265" width="26.42578125" bestFit="1" customWidth="1"/>
    <col min="266" max="266" width="25.5703125" customWidth="1"/>
    <col min="267" max="267" width="12" customWidth="1"/>
  </cols>
  <sheetData>
    <row r="1" spans="1:267" hidden="1">
      <c r="A1" t="s">
        <v>47</v>
      </c>
      <c r="B1" s="50">
        <v>44207</v>
      </c>
    </row>
    <row r="2" spans="1:267" hidden="1">
      <c r="D2" s="9"/>
      <c r="F2" s="9"/>
      <c r="G2" s="9"/>
      <c r="H2" s="9"/>
    </row>
    <row r="3" spans="1:267" ht="25.5" hidden="1">
      <c r="D3" s="1673" t="s">
        <v>48</v>
      </c>
      <c r="E3" s="1674"/>
      <c r="F3" s="1674"/>
      <c r="G3" s="1674"/>
      <c r="H3" s="1674"/>
      <c r="I3" s="1674"/>
      <c r="J3" s="1674"/>
      <c r="K3" s="1674"/>
      <c r="L3" s="1674"/>
      <c r="M3" s="1674"/>
      <c r="N3" s="1674"/>
      <c r="O3" s="1674"/>
      <c r="P3" s="1674"/>
      <c r="Q3" s="1674"/>
      <c r="R3" s="1674"/>
      <c r="S3" s="1675"/>
      <c r="T3" s="1675"/>
      <c r="U3" s="1675"/>
      <c r="V3" s="1675"/>
      <c r="W3" s="1676"/>
      <c r="X3" s="1677" t="s">
        <v>49</v>
      </c>
      <c r="Y3" s="1678"/>
      <c r="Z3" s="1678"/>
      <c r="AA3" s="1678"/>
      <c r="AB3" s="1678"/>
      <c r="AC3" s="1679"/>
      <c r="AD3" s="1679"/>
      <c r="AE3" s="1679"/>
      <c r="AF3" s="1679"/>
      <c r="AG3" s="1679"/>
      <c r="AH3" s="1678"/>
      <c r="AI3" s="1678"/>
      <c r="AJ3" s="1678"/>
      <c r="AK3" s="1678"/>
      <c r="AL3" s="1678"/>
      <c r="AM3" s="1678"/>
      <c r="AN3" s="1678"/>
      <c r="AO3" s="1678"/>
      <c r="AP3" s="1678"/>
      <c r="AQ3" s="1680"/>
      <c r="AR3" s="1681" t="s">
        <v>50</v>
      </c>
      <c r="AS3" s="1682"/>
      <c r="AT3" s="1682"/>
      <c r="AU3" s="1682"/>
      <c r="AV3" s="1682"/>
      <c r="AW3" s="1682"/>
      <c r="AX3" s="1682"/>
      <c r="AY3" s="1682"/>
      <c r="AZ3" s="1682"/>
      <c r="BA3" s="1682"/>
      <c r="BB3" s="1682"/>
      <c r="BC3" s="1682"/>
      <c r="BD3" s="1682"/>
      <c r="BE3" s="1682"/>
      <c r="BF3" s="1682"/>
      <c r="BG3" s="1682"/>
      <c r="BH3" s="1682"/>
      <c r="BI3" s="1682"/>
      <c r="BJ3" s="1682"/>
      <c r="BK3" s="1682"/>
      <c r="BL3" s="1682"/>
      <c r="BM3" s="1682"/>
      <c r="BN3" s="1682"/>
      <c r="BO3" s="1682"/>
      <c r="BP3" s="1683"/>
      <c r="BQ3" s="1684" t="s">
        <v>51</v>
      </c>
      <c r="BR3" s="1685"/>
      <c r="BS3" s="1685"/>
      <c r="BT3" s="1685"/>
      <c r="BU3" s="1685"/>
      <c r="BV3" s="1685"/>
      <c r="BW3" s="1685"/>
      <c r="BX3" s="1685"/>
      <c r="BY3" s="1685"/>
      <c r="BZ3" s="1685"/>
      <c r="CA3" s="1685"/>
      <c r="CB3" s="1685"/>
      <c r="CC3" s="1685"/>
      <c r="CD3" s="1685"/>
      <c r="CE3" s="1685"/>
      <c r="CF3" s="1685"/>
      <c r="CG3" s="1685"/>
      <c r="CH3" s="1685"/>
      <c r="CI3" s="1685"/>
      <c r="CJ3" s="1686"/>
      <c r="CK3" s="1687" t="s">
        <v>52</v>
      </c>
      <c r="CL3" s="1688"/>
      <c r="CM3" s="1688"/>
      <c r="CN3" s="1688"/>
      <c r="CO3" s="1688"/>
      <c r="CP3" s="1688"/>
      <c r="CQ3" s="1688"/>
      <c r="CR3" s="1688"/>
      <c r="CS3" s="1688"/>
      <c r="CT3" s="1688"/>
      <c r="CU3" s="1688"/>
      <c r="CV3" s="1688"/>
      <c r="CW3" s="1688"/>
      <c r="CX3" s="1688"/>
      <c r="CY3" s="1688"/>
      <c r="CZ3" s="1688"/>
      <c r="DA3" s="1688"/>
      <c r="DB3" s="1688"/>
      <c r="DC3" s="1688"/>
      <c r="DD3" s="1689"/>
      <c r="DE3" s="1668" t="s">
        <v>53</v>
      </c>
      <c r="DF3" s="1669"/>
      <c r="DG3" s="1669"/>
      <c r="DH3" s="1669"/>
      <c r="DI3" s="1669"/>
      <c r="DJ3" s="1669"/>
      <c r="DK3" s="1669"/>
      <c r="DL3" s="1669"/>
      <c r="DM3" s="1669"/>
      <c r="DN3" s="1669"/>
      <c r="DO3" s="1669"/>
      <c r="DP3" s="1669"/>
      <c r="DQ3" s="1669"/>
      <c r="DR3" s="1669"/>
      <c r="DS3" s="1669"/>
      <c r="DT3" s="1669"/>
      <c r="DU3" s="1669"/>
      <c r="DV3" s="1669"/>
      <c r="DW3" s="1669"/>
      <c r="DX3" s="1669"/>
      <c r="DY3" s="1669"/>
      <c r="DZ3" s="1669"/>
      <c r="EA3" s="1669"/>
      <c r="EB3" s="1669"/>
      <c r="EC3" s="1670"/>
      <c r="ED3" s="1650" t="s">
        <v>54</v>
      </c>
      <c r="EE3" s="1651"/>
      <c r="EF3" s="1651"/>
      <c r="EG3" s="1651"/>
      <c r="EH3" s="1651"/>
      <c r="EI3" s="1651"/>
      <c r="EJ3" s="1651"/>
      <c r="EK3" s="1651"/>
      <c r="EL3" s="1651"/>
      <c r="EM3" s="1651"/>
      <c r="EN3" s="1651"/>
      <c r="EO3" s="1651"/>
      <c r="EP3" s="1651"/>
      <c r="EQ3" s="1651"/>
      <c r="ER3" s="1651"/>
      <c r="ES3" s="1651"/>
      <c r="ET3" s="1651"/>
      <c r="EU3" s="1651"/>
      <c r="EV3" s="1651"/>
      <c r="EW3" s="1652"/>
      <c r="EX3" s="1653" t="s">
        <v>55</v>
      </c>
      <c r="EY3" s="1654"/>
      <c r="EZ3" s="1654"/>
      <c r="FA3" s="1654"/>
      <c r="FB3" s="1654"/>
      <c r="FC3" s="1654"/>
      <c r="FD3" s="1654"/>
      <c r="FE3" s="1654"/>
      <c r="FF3" s="1654"/>
      <c r="FG3" s="1654"/>
      <c r="FH3" s="1654"/>
      <c r="FI3" s="1654"/>
      <c r="FJ3" s="1654"/>
      <c r="FK3" s="1654"/>
      <c r="FL3" s="1654"/>
      <c r="FM3" s="1654"/>
      <c r="FN3" s="1654"/>
      <c r="FO3" s="1654"/>
      <c r="FP3" s="1654"/>
      <c r="FQ3" s="1655"/>
      <c r="FR3" s="1656" t="s">
        <v>56</v>
      </c>
      <c r="FS3" s="1657"/>
      <c r="FT3" s="1657"/>
      <c r="FU3" s="1657"/>
      <c r="FV3" s="1657"/>
      <c r="FW3" s="1657"/>
      <c r="FX3" s="1657"/>
      <c r="FY3" s="1657"/>
      <c r="FZ3" s="1657"/>
      <c r="GA3" s="1657"/>
      <c r="GB3" s="1657"/>
      <c r="GC3" s="1657"/>
      <c r="GD3" s="1657"/>
      <c r="GE3" s="1657"/>
      <c r="GF3" s="1657"/>
      <c r="GG3" s="1657"/>
      <c r="GH3" s="1657"/>
      <c r="GI3" s="1657"/>
      <c r="GJ3" s="1657"/>
      <c r="GK3" s="1657"/>
      <c r="GL3" s="1657"/>
      <c r="GM3" s="1657"/>
      <c r="GN3" s="1657"/>
      <c r="GO3" s="1657"/>
      <c r="GP3" s="1658"/>
      <c r="GQ3" s="1661" t="s">
        <v>57</v>
      </c>
      <c r="GR3" s="1662"/>
      <c r="GS3" s="1662"/>
      <c r="GT3" s="1662"/>
      <c r="GU3" s="1662"/>
      <c r="GV3" s="1662"/>
      <c r="GW3" s="1662"/>
      <c r="GX3" s="1662"/>
      <c r="GY3" s="1662"/>
      <c r="GZ3" s="1662"/>
      <c r="HA3" s="1662"/>
      <c r="HB3" s="1662"/>
      <c r="HC3" s="1662"/>
      <c r="HD3" s="1662"/>
      <c r="HE3" s="1662"/>
      <c r="HF3" s="1662"/>
      <c r="HG3" s="1662"/>
      <c r="HH3" s="1662"/>
      <c r="HI3" s="1662"/>
      <c r="HJ3" s="1663"/>
      <c r="HK3" s="1664" t="s">
        <v>58</v>
      </c>
      <c r="HL3" s="1665"/>
      <c r="HM3" s="1665"/>
      <c r="HN3" s="1665"/>
      <c r="HO3" s="1665"/>
      <c r="HP3" s="1666"/>
      <c r="HQ3" s="1666"/>
      <c r="HR3" s="1666"/>
      <c r="HS3" s="1666"/>
      <c r="HT3" s="1666"/>
      <c r="HU3" s="1666"/>
      <c r="HV3" s="1666"/>
      <c r="HW3" s="1666"/>
      <c r="HX3" s="1666"/>
      <c r="HY3" s="1666"/>
      <c r="HZ3" s="1666"/>
      <c r="IA3" s="1666"/>
      <c r="IB3" s="1666"/>
      <c r="IC3" s="1666"/>
      <c r="ID3" s="1667"/>
      <c r="IE3" s="1648" t="s">
        <v>59</v>
      </c>
      <c r="IF3" s="1649"/>
      <c r="IG3" s="1649"/>
      <c r="IH3" s="1649"/>
      <c r="II3" s="1649"/>
      <c r="IJ3" s="1649"/>
      <c r="IK3" s="1649"/>
      <c r="IL3" s="1649"/>
      <c r="IM3" s="1649"/>
      <c r="IN3" s="1649"/>
      <c r="IO3" s="1649"/>
      <c r="IP3" s="1649"/>
      <c r="IQ3" s="1649"/>
      <c r="IR3" s="1649"/>
      <c r="IS3" s="1649"/>
      <c r="IT3" s="1649"/>
      <c r="IU3" s="1649"/>
      <c r="IV3" s="1649"/>
      <c r="IW3" s="1649"/>
      <c r="IX3" s="1649"/>
      <c r="IY3" s="1649"/>
      <c r="IZ3" s="1649"/>
      <c r="JA3" s="1649"/>
      <c r="JB3" s="1649"/>
      <c r="JC3" s="1649"/>
      <c r="JD3" s="1644" t="s">
        <v>60</v>
      </c>
      <c r="JE3" s="1644"/>
      <c r="JF3" s="1644"/>
      <c r="JG3" s="1644"/>
    </row>
    <row r="4" spans="1:267">
      <c r="C4" s="1659" t="s">
        <v>61</v>
      </c>
      <c r="D4" s="162" t="s">
        <v>62</v>
      </c>
      <c r="E4" s="1552" t="s">
        <v>63</v>
      </c>
      <c r="F4" s="1637" t="s">
        <v>64</v>
      </c>
      <c r="G4" s="1552" t="s">
        <v>65</v>
      </c>
      <c r="H4" s="1556" t="s">
        <v>66</v>
      </c>
      <c r="I4" s="166" t="s">
        <v>62</v>
      </c>
      <c r="J4" s="1552" t="s">
        <v>63</v>
      </c>
      <c r="K4" s="1637" t="s">
        <v>64</v>
      </c>
      <c r="L4" s="1552" t="s">
        <v>65</v>
      </c>
      <c r="M4" s="354" t="s">
        <v>66</v>
      </c>
      <c r="N4" s="162" t="s">
        <v>62</v>
      </c>
      <c r="O4" s="1552" t="s">
        <v>63</v>
      </c>
      <c r="P4" s="1637" t="s">
        <v>64</v>
      </c>
      <c r="Q4" s="1552" t="s">
        <v>65</v>
      </c>
      <c r="R4" s="1556" t="s">
        <v>66</v>
      </c>
      <c r="S4" s="166" t="s">
        <v>62</v>
      </c>
      <c r="T4" s="1552" t="s">
        <v>63</v>
      </c>
      <c r="U4" s="1637" t="s">
        <v>64</v>
      </c>
      <c r="V4" s="1552" t="s">
        <v>65</v>
      </c>
      <c r="W4" s="1556" t="s">
        <v>66</v>
      </c>
      <c r="X4" s="1550" t="s">
        <v>62</v>
      </c>
      <c r="Y4" s="1550" t="s">
        <v>63</v>
      </c>
      <c r="Z4" s="1671" t="s">
        <v>64</v>
      </c>
      <c r="AA4" s="1552" t="s">
        <v>65</v>
      </c>
      <c r="AB4" s="1556" t="s">
        <v>66</v>
      </c>
      <c r="AC4" s="1552" t="s">
        <v>62</v>
      </c>
      <c r="AD4" s="1552" t="s">
        <v>63</v>
      </c>
      <c r="AE4" s="1637" t="s">
        <v>64</v>
      </c>
      <c r="AF4" s="1552" t="s">
        <v>65</v>
      </c>
      <c r="AG4" s="1556" t="s">
        <v>66</v>
      </c>
      <c r="AH4" s="1552" t="s">
        <v>62</v>
      </c>
      <c r="AI4" s="1552" t="s">
        <v>63</v>
      </c>
      <c r="AJ4" s="1637" t="s">
        <v>64</v>
      </c>
      <c r="AK4" s="1552" t="s">
        <v>65</v>
      </c>
      <c r="AL4" s="1556" t="s">
        <v>66</v>
      </c>
      <c r="AM4" s="1552" t="s">
        <v>62</v>
      </c>
      <c r="AN4" s="1552" t="s">
        <v>63</v>
      </c>
      <c r="AO4" s="1637" t="s">
        <v>64</v>
      </c>
      <c r="AP4" s="1552" t="s">
        <v>65</v>
      </c>
      <c r="AQ4" s="1556" t="s">
        <v>66</v>
      </c>
      <c r="AR4" s="1552" t="s">
        <v>62</v>
      </c>
      <c r="AS4" s="1552" t="s">
        <v>63</v>
      </c>
      <c r="AT4" s="1637" t="s">
        <v>64</v>
      </c>
      <c r="AU4" s="1552" t="s">
        <v>65</v>
      </c>
      <c r="AV4" s="1556" t="s">
        <v>66</v>
      </c>
      <c r="AW4" s="1553" t="s">
        <v>62</v>
      </c>
      <c r="AX4" s="1553" t="s">
        <v>63</v>
      </c>
      <c r="AY4" s="1638" t="s">
        <v>64</v>
      </c>
      <c r="AZ4" s="1552" t="s">
        <v>65</v>
      </c>
      <c r="BA4" s="1556" t="s">
        <v>66</v>
      </c>
      <c r="BB4" s="1553" t="s">
        <v>62</v>
      </c>
      <c r="BC4" s="1553" t="s">
        <v>63</v>
      </c>
      <c r="BD4" s="1638" t="s">
        <v>64</v>
      </c>
      <c r="BE4" s="1552" t="s">
        <v>65</v>
      </c>
      <c r="BF4" s="1556" t="s">
        <v>66</v>
      </c>
      <c r="BG4" s="1553" t="s">
        <v>62</v>
      </c>
      <c r="BH4" s="1553" t="s">
        <v>63</v>
      </c>
      <c r="BI4" s="1638" t="s">
        <v>64</v>
      </c>
      <c r="BJ4" s="1552" t="s">
        <v>65</v>
      </c>
      <c r="BK4" s="1556" t="s">
        <v>66</v>
      </c>
      <c r="BL4" s="1553" t="s">
        <v>62</v>
      </c>
      <c r="BM4" s="1553" t="s">
        <v>63</v>
      </c>
      <c r="BN4" s="1638" t="s">
        <v>64</v>
      </c>
      <c r="BO4" s="1552" t="s">
        <v>65</v>
      </c>
      <c r="BP4" s="1556" t="s">
        <v>66</v>
      </c>
      <c r="BQ4" s="1553" t="s">
        <v>62</v>
      </c>
      <c r="BR4" s="1553" t="s">
        <v>63</v>
      </c>
      <c r="BS4" s="1638" t="s">
        <v>64</v>
      </c>
      <c r="BT4" s="1552" t="s">
        <v>65</v>
      </c>
      <c r="BU4" s="1556" t="s">
        <v>66</v>
      </c>
      <c r="BV4" s="1553" t="s">
        <v>62</v>
      </c>
      <c r="BW4" s="1553" t="s">
        <v>63</v>
      </c>
      <c r="BX4" s="1638" t="s">
        <v>64</v>
      </c>
      <c r="BY4" s="1552" t="s">
        <v>65</v>
      </c>
      <c r="BZ4" s="1556" t="s">
        <v>66</v>
      </c>
      <c r="CA4" s="1553" t="s">
        <v>62</v>
      </c>
      <c r="CB4" s="1553" t="s">
        <v>63</v>
      </c>
      <c r="CC4" s="1638" t="s">
        <v>64</v>
      </c>
      <c r="CD4" s="1552" t="s">
        <v>65</v>
      </c>
      <c r="CE4" s="1556" t="s">
        <v>66</v>
      </c>
      <c r="CF4" s="1553" t="s">
        <v>62</v>
      </c>
      <c r="CG4" s="1553" t="s">
        <v>63</v>
      </c>
      <c r="CH4" s="1638" t="s">
        <v>64</v>
      </c>
      <c r="CI4" s="1552" t="s">
        <v>65</v>
      </c>
      <c r="CJ4" s="1556" t="s">
        <v>66</v>
      </c>
      <c r="CK4" s="1553" t="s">
        <v>62</v>
      </c>
      <c r="CL4" s="1553" t="s">
        <v>63</v>
      </c>
      <c r="CM4" s="1638" t="s">
        <v>64</v>
      </c>
      <c r="CN4" s="1552" t="s">
        <v>65</v>
      </c>
      <c r="CO4" s="1556" t="s">
        <v>66</v>
      </c>
      <c r="CP4" s="1553" t="s">
        <v>62</v>
      </c>
      <c r="CQ4" s="1553" t="s">
        <v>63</v>
      </c>
      <c r="CR4" s="1638" t="s">
        <v>64</v>
      </c>
      <c r="CS4" s="1552" t="s">
        <v>65</v>
      </c>
      <c r="CT4" s="1556" t="s">
        <v>66</v>
      </c>
      <c r="CU4" s="1553" t="s">
        <v>62</v>
      </c>
      <c r="CV4" s="1553" t="s">
        <v>63</v>
      </c>
      <c r="CW4" s="1638" t="s">
        <v>64</v>
      </c>
      <c r="CX4" s="1552" t="s">
        <v>65</v>
      </c>
      <c r="CY4" s="1556" t="s">
        <v>66</v>
      </c>
      <c r="CZ4" s="1553" t="s">
        <v>62</v>
      </c>
      <c r="DA4" s="1553" t="s">
        <v>63</v>
      </c>
      <c r="DB4" s="1638" t="s">
        <v>64</v>
      </c>
      <c r="DC4" s="1552" t="s">
        <v>65</v>
      </c>
      <c r="DD4" s="1556" t="s">
        <v>66</v>
      </c>
      <c r="DE4" s="1552" t="s">
        <v>62</v>
      </c>
      <c r="DF4" s="1552" t="s">
        <v>63</v>
      </c>
      <c r="DG4" s="1637" t="s">
        <v>64</v>
      </c>
      <c r="DH4" s="1552" t="s">
        <v>65</v>
      </c>
      <c r="DI4" s="1556" t="s">
        <v>66</v>
      </c>
      <c r="DJ4" s="1552" t="s">
        <v>62</v>
      </c>
      <c r="DK4" s="1552" t="s">
        <v>63</v>
      </c>
      <c r="DL4" s="1637" t="s">
        <v>64</v>
      </c>
      <c r="DM4" s="1552" t="s">
        <v>65</v>
      </c>
      <c r="DN4" s="1556" t="s">
        <v>66</v>
      </c>
      <c r="DO4" s="1552" t="s">
        <v>62</v>
      </c>
      <c r="DP4" s="1552" t="s">
        <v>63</v>
      </c>
      <c r="DQ4" s="1637" t="s">
        <v>64</v>
      </c>
      <c r="DR4" s="1552" t="s">
        <v>65</v>
      </c>
      <c r="DS4" s="1556" t="s">
        <v>66</v>
      </c>
      <c r="DT4" s="1552" t="s">
        <v>62</v>
      </c>
      <c r="DU4" s="1552" t="s">
        <v>63</v>
      </c>
      <c r="DV4" s="1637" t="s">
        <v>64</v>
      </c>
      <c r="DW4" s="1552" t="s">
        <v>65</v>
      </c>
      <c r="DX4" s="1556" t="s">
        <v>66</v>
      </c>
      <c r="DY4" s="1552" t="s">
        <v>62</v>
      </c>
      <c r="DZ4" s="1552" t="s">
        <v>63</v>
      </c>
      <c r="EA4" s="1637" t="s">
        <v>64</v>
      </c>
      <c r="EB4" s="1552" t="s">
        <v>65</v>
      </c>
      <c r="EC4" s="1556" t="s">
        <v>66</v>
      </c>
      <c r="ED4" s="1552" t="s">
        <v>62</v>
      </c>
      <c r="EE4" s="1552" t="s">
        <v>63</v>
      </c>
      <c r="EF4" s="1637" t="s">
        <v>64</v>
      </c>
      <c r="EG4" s="1552" t="s">
        <v>65</v>
      </c>
      <c r="EH4" s="1556" t="s">
        <v>66</v>
      </c>
      <c r="EI4" s="1552" t="s">
        <v>62</v>
      </c>
      <c r="EJ4" s="1552" t="s">
        <v>63</v>
      </c>
      <c r="EK4" s="1637" t="s">
        <v>64</v>
      </c>
      <c r="EL4" s="1552" t="s">
        <v>65</v>
      </c>
      <c r="EM4" s="1556" t="s">
        <v>66</v>
      </c>
      <c r="EN4" s="1552" t="s">
        <v>62</v>
      </c>
      <c r="EO4" s="1552" t="s">
        <v>63</v>
      </c>
      <c r="EP4" s="1637" t="s">
        <v>64</v>
      </c>
      <c r="EQ4" s="1552" t="s">
        <v>65</v>
      </c>
      <c r="ER4" s="1556" t="s">
        <v>66</v>
      </c>
      <c r="ES4" s="1552" t="s">
        <v>62</v>
      </c>
      <c r="ET4" s="1552" t="s">
        <v>63</v>
      </c>
      <c r="EU4" s="1637" t="s">
        <v>64</v>
      </c>
      <c r="EV4" s="1552" t="s">
        <v>65</v>
      </c>
      <c r="EW4" s="1556" t="s">
        <v>66</v>
      </c>
      <c r="EX4" s="1552" t="s">
        <v>62</v>
      </c>
      <c r="EY4" s="1552" t="s">
        <v>63</v>
      </c>
      <c r="EZ4" s="1637" t="s">
        <v>64</v>
      </c>
      <c r="FA4" s="1552" t="s">
        <v>65</v>
      </c>
      <c r="FB4" s="1556" t="s">
        <v>66</v>
      </c>
      <c r="FC4" s="1552" t="s">
        <v>62</v>
      </c>
      <c r="FD4" s="1552" t="s">
        <v>63</v>
      </c>
      <c r="FE4" s="1637" t="s">
        <v>64</v>
      </c>
      <c r="FF4" s="1552" t="s">
        <v>65</v>
      </c>
      <c r="FG4" s="1556" t="s">
        <v>66</v>
      </c>
      <c r="FH4" s="1552" t="s">
        <v>62</v>
      </c>
      <c r="FI4" s="1552" t="s">
        <v>63</v>
      </c>
      <c r="FJ4" s="1637" t="s">
        <v>64</v>
      </c>
      <c r="FK4" s="1552" t="s">
        <v>65</v>
      </c>
      <c r="FL4" s="1556" t="s">
        <v>66</v>
      </c>
      <c r="FM4" s="1552" t="s">
        <v>62</v>
      </c>
      <c r="FN4" s="1552" t="s">
        <v>63</v>
      </c>
      <c r="FO4" s="1637" t="s">
        <v>64</v>
      </c>
      <c r="FP4" s="1552" t="s">
        <v>65</v>
      </c>
      <c r="FQ4" s="1556" t="s">
        <v>66</v>
      </c>
      <c r="FR4" s="1552" t="s">
        <v>62</v>
      </c>
      <c r="FS4" s="1552" t="s">
        <v>63</v>
      </c>
      <c r="FT4" s="1637" t="s">
        <v>64</v>
      </c>
      <c r="FU4" s="1552" t="s">
        <v>65</v>
      </c>
      <c r="FV4" s="1556" t="s">
        <v>66</v>
      </c>
      <c r="FW4" s="1552" t="s">
        <v>62</v>
      </c>
      <c r="FX4" s="1552" t="s">
        <v>63</v>
      </c>
      <c r="FY4" s="1637" t="s">
        <v>64</v>
      </c>
      <c r="FZ4" s="1552" t="s">
        <v>65</v>
      </c>
      <c r="GA4" s="1556" t="s">
        <v>66</v>
      </c>
      <c r="GB4" s="1552" t="s">
        <v>62</v>
      </c>
      <c r="GC4" s="1552" t="s">
        <v>63</v>
      </c>
      <c r="GD4" s="1637" t="s">
        <v>64</v>
      </c>
      <c r="GE4" s="1552" t="s">
        <v>65</v>
      </c>
      <c r="GF4" s="1556" t="s">
        <v>66</v>
      </c>
      <c r="GG4" s="1552" t="s">
        <v>62</v>
      </c>
      <c r="GH4" s="1552" t="s">
        <v>63</v>
      </c>
      <c r="GI4" s="1637" t="s">
        <v>64</v>
      </c>
      <c r="GJ4" s="1552" t="s">
        <v>65</v>
      </c>
      <c r="GK4" s="1556" t="s">
        <v>66</v>
      </c>
      <c r="GL4" s="1552" t="s">
        <v>62</v>
      </c>
      <c r="GM4" s="1552" t="s">
        <v>63</v>
      </c>
      <c r="GN4" s="1637" t="s">
        <v>64</v>
      </c>
      <c r="GO4" s="1552" t="s">
        <v>65</v>
      </c>
      <c r="GP4" s="1556" t="s">
        <v>66</v>
      </c>
      <c r="GQ4" s="1552" t="s">
        <v>62</v>
      </c>
      <c r="GR4" s="1552" t="s">
        <v>63</v>
      </c>
      <c r="GS4" s="1637" t="s">
        <v>64</v>
      </c>
      <c r="GT4" s="1552" t="s">
        <v>65</v>
      </c>
      <c r="GU4" s="1556" t="s">
        <v>66</v>
      </c>
      <c r="GV4" s="1552" t="s">
        <v>62</v>
      </c>
      <c r="GW4" s="1552" t="s">
        <v>63</v>
      </c>
      <c r="GX4" s="1637" t="s">
        <v>64</v>
      </c>
      <c r="GY4" s="1552" t="s">
        <v>65</v>
      </c>
      <c r="GZ4" s="1556" t="s">
        <v>66</v>
      </c>
      <c r="HA4" s="1552" t="s">
        <v>62</v>
      </c>
      <c r="HB4" s="1552" t="s">
        <v>63</v>
      </c>
      <c r="HC4" s="1637" t="s">
        <v>64</v>
      </c>
      <c r="HD4" s="1552" t="s">
        <v>65</v>
      </c>
      <c r="HE4" s="1556" t="s">
        <v>66</v>
      </c>
      <c r="HF4" s="1552" t="s">
        <v>62</v>
      </c>
      <c r="HG4" s="1552" t="s">
        <v>63</v>
      </c>
      <c r="HH4" s="1637" t="s">
        <v>64</v>
      </c>
      <c r="HI4" s="1552" t="s">
        <v>65</v>
      </c>
      <c r="HJ4" s="1556" t="s">
        <v>66</v>
      </c>
      <c r="HK4" s="1553" t="s">
        <v>62</v>
      </c>
      <c r="HL4" s="1553" t="s">
        <v>63</v>
      </c>
      <c r="HM4" s="1638" t="s">
        <v>64</v>
      </c>
      <c r="HN4" s="1552" t="s">
        <v>65</v>
      </c>
      <c r="HO4" s="1556" t="s">
        <v>66</v>
      </c>
      <c r="HP4" s="1552" t="s">
        <v>62</v>
      </c>
      <c r="HQ4" s="1552" t="s">
        <v>63</v>
      </c>
      <c r="HR4" s="1637" t="s">
        <v>64</v>
      </c>
      <c r="HS4" s="1552" t="s">
        <v>65</v>
      </c>
      <c r="HT4" s="1556" t="s">
        <v>66</v>
      </c>
      <c r="HU4" s="1552" t="s">
        <v>62</v>
      </c>
      <c r="HV4" s="1552" t="s">
        <v>63</v>
      </c>
      <c r="HW4" s="1637" t="s">
        <v>64</v>
      </c>
      <c r="HX4" s="1552" t="s">
        <v>65</v>
      </c>
      <c r="HY4" s="1556" t="s">
        <v>66</v>
      </c>
      <c r="HZ4" s="1552" t="s">
        <v>62</v>
      </c>
      <c r="IA4" s="1552" t="s">
        <v>63</v>
      </c>
      <c r="IB4" s="1637" t="s">
        <v>64</v>
      </c>
      <c r="IC4" s="1552" t="s">
        <v>65</v>
      </c>
      <c r="ID4" s="1556" t="s">
        <v>66</v>
      </c>
      <c r="IE4" s="1552" t="s">
        <v>62</v>
      </c>
      <c r="IF4" s="1552" t="s">
        <v>63</v>
      </c>
      <c r="IG4" s="1637" t="s">
        <v>64</v>
      </c>
      <c r="IH4" s="1552" t="s">
        <v>65</v>
      </c>
      <c r="II4" s="1556" t="s">
        <v>66</v>
      </c>
      <c r="IJ4" s="1552" t="s">
        <v>62</v>
      </c>
      <c r="IK4" s="1552" t="s">
        <v>63</v>
      </c>
      <c r="IL4" s="1637" t="s">
        <v>64</v>
      </c>
      <c r="IM4" s="1552" t="s">
        <v>65</v>
      </c>
      <c r="IN4" s="1556" t="s">
        <v>66</v>
      </c>
      <c r="IO4" s="1552" t="s">
        <v>62</v>
      </c>
      <c r="IP4" s="1552" t="s">
        <v>63</v>
      </c>
      <c r="IQ4" s="1637" t="s">
        <v>64</v>
      </c>
      <c r="IR4" s="1552" t="s">
        <v>65</v>
      </c>
      <c r="IS4" s="1556" t="s">
        <v>66</v>
      </c>
      <c r="IT4" s="1552" t="s">
        <v>62</v>
      </c>
      <c r="IU4" s="1552" t="s">
        <v>63</v>
      </c>
      <c r="IV4" s="1637" t="s">
        <v>64</v>
      </c>
      <c r="IW4" s="1552" t="s">
        <v>65</v>
      </c>
      <c r="IX4" s="1556" t="s">
        <v>66</v>
      </c>
      <c r="IY4" s="1552" t="s">
        <v>62</v>
      </c>
      <c r="IZ4" s="1552" t="s">
        <v>63</v>
      </c>
      <c r="JA4" s="1637" t="s">
        <v>64</v>
      </c>
      <c r="JB4" s="1552" t="s">
        <v>65</v>
      </c>
      <c r="JC4" s="1556" t="s">
        <v>66</v>
      </c>
      <c r="JD4" s="1645" t="s">
        <v>67</v>
      </c>
      <c r="JE4" s="1645" t="s">
        <v>68</v>
      </c>
      <c r="JF4" s="1645" t="s">
        <v>69</v>
      </c>
      <c r="JG4" s="1645" t="s">
        <v>70</v>
      </c>
    </row>
    <row r="5" spans="1:267">
      <c r="C5" s="1660"/>
      <c r="D5" s="163" t="s">
        <v>71</v>
      </c>
      <c r="E5" s="1553" t="s">
        <v>72</v>
      </c>
      <c r="F5" s="1638"/>
      <c r="G5" s="1553" t="s">
        <v>72</v>
      </c>
      <c r="H5" s="1557" t="s">
        <v>72</v>
      </c>
      <c r="I5" s="167" t="s">
        <v>73</v>
      </c>
      <c r="J5" s="1553" t="s">
        <v>74</v>
      </c>
      <c r="K5" s="1638"/>
      <c r="L5" s="1553" t="s">
        <v>74</v>
      </c>
      <c r="M5" s="355" t="s">
        <v>74</v>
      </c>
      <c r="N5" s="163" t="s">
        <v>75</v>
      </c>
      <c r="O5" s="1553" t="s">
        <v>76</v>
      </c>
      <c r="P5" s="1638"/>
      <c r="Q5" s="1553" t="s">
        <v>76</v>
      </c>
      <c r="R5" s="1557" t="s">
        <v>76</v>
      </c>
      <c r="S5" s="1551" t="s">
        <v>77</v>
      </c>
      <c r="T5" s="1557" t="s">
        <v>78</v>
      </c>
      <c r="U5" s="1638"/>
      <c r="V5" s="1557" t="s">
        <v>78</v>
      </c>
      <c r="W5" s="1557" t="s">
        <v>78</v>
      </c>
      <c r="X5" s="1555" t="s">
        <v>79</v>
      </c>
      <c r="Y5" s="1555" t="s">
        <v>80</v>
      </c>
      <c r="Z5" s="1672"/>
      <c r="AA5" s="1555" t="s">
        <v>80</v>
      </c>
      <c r="AB5" s="1555" t="s">
        <v>80</v>
      </c>
      <c r="AC5" s="1553" t="s">
        <v>81</v>
      </c>
      <c r="AD5" s="1553" t="s">
        <v>82</v>
      </c>
      <c r="AE5" s="1638"/>
      <c r="AF5" s="1553" t="s">
        <v>82</v>
      </c>
      <c r="AG5" s="1553" t="s">
        <v>82</v>
      </c>
      <c r="AH5" s="1553" t="s">
        <v>83</v>
      </c>
      <c r="AI5" s="1553" t="s">
        <v>84</v>
      </c>
      <c r="AJ5" s="1638"/>
      <c r="AK5" s="1553" t="s">
        <v>84</v>
      </c>
      <c r="AL5" s="1553" t="s">
        <v>84</v>
      </c>
      <c r="AM5" s="1553" t="s">
        <v>85</v>
      </c>
      <c r="AN5" s="1553" t="s">
        <v>86</v>
      </c>
      <c r="AO5" s="1638"/>
      <c r="AP5" s="1553" t="s">
        <v>86</v>
      </c>
      <c r="AQ5" s="1553" t="s">
        <v>86</v>
      </c>
      <c r="AR5" s="1553" t="s">
        <v>87</v>
      </c>
      <c r="AS5" s="1553" t="s">
        <v>88</v>
      </c>
      <c r="AT5" s="1638"/>
      <c r="AU5" s="1553" t="s">
        <v>88</v>
      </c>
      <c r="AV5" s="1553" t="s">
        <v>88</v>
      </c>
      <c r="AW5" s="1553" t="s">
        <v>89</v>
      </c>
      <c r="AX5" s="1553" t="s">
        <v>90</v>
      </c>
      <c r="AY5" s="1638"/>
      <c r="AZ5" s="1553" t="s">
        <v>89</v>
      </c>
      <c r="BA5" s="1553" t="s">
        <v>89</v>
      </c>
      <c r="BB5" s="1553" t="s">
        <v>91</v>
      </c>
      <c r="BC5" s="1553" t="s">
        <v>92</v>
      </c>
      <c r="BD5" s="1638"/>
      <c r="BE5" s="1553" t="s">
        <v>92</v>
      </c>
      <c r="BF5" s="1553" t="s">
        <v>92</v>
      </c>
      <c r="BG5" s="1553" t="s">
        <v>93</v>
      </c>
      <c r="BH5" s="1553" t="s">
        <v>94</v>
      </c>
      <c r="BI5" s="1638"/>
      <c r="BJ5" s="1553" t="s">
        <v>94</v>
      </c>
      <c r="BK5" s="1553" t="s">
        <v>94</v>
      </c>
      <c r="BL5" s="1553" t="s">
        <v>95</v>
      </c>
      <c r="BM5" s="1553" t="s">
        <v>96</v>
      </c>
      <c r="BN5" s="1638"/>
      <c r="BO5" s="1553" t="s">
        <v>96</v>
      </c>
      <c r="BP5" s="1553" t="s">
        <v>96</v>
      </c>
      <c r="BQ5" s="1553" t="s">
        <v>97</v>
      </c>
      <c r="BR5" s="1553" t="s">
        <v>98</v>
      </c>
      <c r="BS5" s="1638"/>
      <c r="BT5" s="1553" t="s">
        <v>98</v>
      </c>
      <c r="BU5" s="1553" t="s">
        <v>98</v>
      </c>
      <c r="BV5" s="1553" t="s">
        <v>99</v>
      </c>
      <c r="BW5" s="1553" t="s">
        <v>100</v>
      </c>
      <c r="BX5" s="1638"/>
      <c r="BY5" s="1553" t="s">
        <v>100</v>
      </c>
      <c r="BZ5" s="1553" t="s">
        <v>100</v>
      </c>
      <c r="CA5" s="1553" t="s">
        <v>101</v>
      </c>
      <c r="CB5" s="1553" t="s">
        <v>102</v>
      </c>
      <c r="CC5" s="1638"/>
      <c r="CD5" s="1553" t="s">
        <v>102</v>
      </c>
      <c r="CE5" s="1553" t="s">
        <v>102</v>
      </c>
      <c r="CF5" s="1553" t="s">
        <v>103</v>
      </c>
      <c r="CG5" s="1553" t="s">
        <v>104</v>
      </c>
      <c r="CH5" s="1638"/>
      <c r="CI5" s="1553" t="s">
        <v>104</v>
      </c>
      <c r="CJ5" s="1553" t="s">
        <v>104</v>
      </c>
      <c r="CK5" s="1553" t="s">
        <v>105</v>
      </c>
      <c r="CL5" s="1553" t="s">
        <v>106</v>
      </c>
      <c r="CM5" s="1638"/>
      <c r="CN5" s="1553" t="s">
        <v>106</v>
      </c>
      <c r="CO5" s="1553" t="s">
        <v>106</v>
      </c>
      <c r="CP5" s="1553" t="s">
        <v>107</v>
      </c>
      <c r="CQ5" s="1553" t="s">
        <v>108</v>
      </c>
      <c r="CR5" s="1638"/>
      <c r="CS5" s="1553" t="s">
        <v>108</v>
      </c>
      <c r="CT5" s="1553" t="s">
        <v>108</v>
      </c>
      <c r="CU5" s="1553" t="s">
        <v>109</v>
      </c>
      <c r="CV5" s="1553" t="s">
        <v>110</v>
      </c>
      <c r="CW5" s="1638"/>
      <c r="CX5" s="1553" t="s">
        <v>110</v>
      </c>
      <c r="CY5" s="1553" t="s">
        <v>110</v>
      </c>
      <c r="CZ5" s="1553" t="s">
        <v>111</v>
      </c>
      <c r="DA5" s="1553" t="s">
        <v>112</v>
      </c>
      <c r="DB5" s="1638"/>
      <c r="DC5" s="1553" t="s">
        <v>112</v>
      </c>
      <c r="DD5" s="1553" t="s">
        <v>112</v>
      </c>
      <c r="DE5" s="1553" t="s">
        <v>113</v>
      </c>
      <c r="DF5" s="1553" t="s">
        <v>114</v>
      </c>
      <c r="DG5" s="1638"/>
      <c r="DH5" s="1553" t="s">
        <v>114</v>
      </c>
      <c r="DI5" s="1553" t="s">
        <v>114</v>
      </c>
      <c r="DJ5" s="1553" t="s">
        <v>115</v>
      </c>
      <c r="DK5" s="1553" t="s">
        <v>116</v>
      </c>
      <c r="DL5" s="1638"/>
      <c r="DM5" s="1553" t="s">
        <v>116</v>
      </c>
      <c r="DN5" s="1553" t="s">
        <v>116</v>
      </c>
      <c r="DO5" s="1553" t="s">
        <v>117</v>
      </c>
      <c r="DP5" s="1553" t="s">
        <v>118</v>
      </c>
      <c r="DQ5" s="1638"/>
      <c r="DR5" s="1553" t="s">
        <v>118</v>
      </c>
      <c r="DS5" s="1553" t="s">
        <v>118</v>
      </c>
      <c r="DT5" s="1553" t="s">
        <v>119</v>
      </c>
      <c r="DU5" s="1553" t="s">
        <v>120</v>
      </c>
      <c r="DV5" s="1638"/>
      <c r="DW5" s="1553" t="s">
        <v>120</v>
      </c>
      <c r="DX5" s="1553" t="s">
        <v>120</v>
      </c>
      <c r="DY5" s="1553" t="s">
        <v>121</v>
      </c>
      <c r="DZ5" s="1553" t="s">
        <v>122</v>
      </c>
      <c r="EA5" s="1638"/>
      <c r="EB5" s="1553" t="s">
        <v>122</v>
      </c>
      <c r="EC5" s="1553" t="s">
        <v>122</v>
      </c>
      <c r="ED5" s="1553" t="s">
        <v>123</v>
      </c>
      <c r="EE5" s="1553" t="s">
        <v>124</v>
      </c>
      <c r="EF5" s="1638"/>
      <c r="EG5" s="1553" t="s">
        <v>124</v>
      </c>
      <c r="EH5" s="1553" t="s">
        <v>124</v>
      </c>
      <c r="EI5" s="1553" t="s">
        <v>125</v>
      </c>
      <c r="EJ5" s="1553" t="s">
        <v>126</v>
      </c>
      <c r="EK5" s="1638"/>
      <c r="EL5" s="1553" t="s">
        <v>126</v>
      </c>
      <c r="EM5" s="1553" t="s">
        <v>126</v>
      </c>
      <c r="EN5" s="1553" t="s">
        <v>127</v>
      </c>
      <c r="EO5" s="1553" t="s">
        <v>128</v>
      </c>
      <c r="EP5" s="1638"/>
      <c r="EQ5" s="1553" t="s">
        <v>128</v>
      </c>
      <c r="ER5" s="1553" t="s">
        <v>128</v>
      </c>
      <c r="ES5" s="1553" t="s">
        <v>129</v>
      </c>
      <c r="ET5" s="1553" t="s">
        <v>130</v>
      </c>
      <c r="EU5" s="1638"/>
      <c r="EV5" s="1553" t="s">
        <v>130</v>
      </c>
      <c r="EW5" s="1553" t="s">
        <v>130</v>
      </c>
      <c r="EX5" s="1553" t="s">
        <v>131</v>
      </c>
      <c r="EY5" s="1553" t="s">
        <v>132</v>
      </c>
      <c r="EZ5" s="1638"/>
      <c r="FA5" s="1553" t="s">
        <v>132</v>
      </c>
      <c r="FB5" s="1553" t="s">
        <v>132</v>
      </c>
      <c r="FC5" s="1553" t="s">
        <v>133</v>
      </c>
      <c r="FD5" s="1553" t="s">
        <v>134</v>
      </c>
      <c r="FE5" s="1638"/>
      <c r="FF5" s="1553" t="s">
        <v>134</v>
      </c>
      <c r="FG5" s="1553" t="s">
        <v>134</v>
      </c>
      <c r="FH5" s="1553" t="s">
        <v>135</v>
      </c>
      <c r="FI5" s="1553" t="s">
        <v>136</v>
      </c>
      <c r="FJ5" s="1638"/>
      <c r="FK5" s="1553" t="s">
        <v>136</v>
      </c>
      <c r="FL5" s="1553" t="s">
        <v>136</v>
      </c>
      <c r="FM5" s="1553" t="s">
        <v>137</v>
      </c>
      <c r="FN5" s="1553" t="s">
        <v>138</v>
      </c>
      <c r="FO5" s="1638"/>
      <c r="FP5" s="1553" t="s">
        <v>138</v>
      </c>
      <c r="FQ5" s="1553" t="s">
        <v>138</v>
      </c>
      <c r="FR5" s="1553" t="s">
        <v>139</v>
      </c>
      <c r="FS5" s="1553" t="s">
        <v>140</v>
      </c>
      <c r="FT5" s="1638"/>
      <c r="FU5" s="1553" t="s">
        <v>140</v>
      </c>
      <c r="FV5" s="1553" t="s">
        <v>140</v>
      </c>
      <c r="FW5" s="1553" t="s">
        <v>141</v>
      </c>
      <c r="FX5" s="1553" t="s">
        <v>142</v>
      </c>
      <c r="FY5" s="1638"/>
      <c r="FZ5" s="1553" t="s">
        <v>142</v>
      </c>
      <c r="GA5" s="1553" t="s">
        <v>142</v>
      </c>
      <c r="GB5" s="1553" t="s">
        <v>143</v>
      </c>
      <c r="GC5" s="1553" t="s">
        <v>144</v>
      </c>
      <c r="GD5" s="1638"/>
      <c r="GE5" s="1553" t="s">
        <v>144</v>
      </c>
      <c r="GF5" s="1553" t="s">
        <v>144</v>
      </c>
      <c r="GG5" s="1553" t="s">
        <v>145</v>
      </c>
      <c r="GH5" s="1553" t="s">
        <v>146</v>
      </c>
      <c r="GI5" s="1638"/>
      <c r="GJ5" s="1553" t="s">
        <v>146</v>
      </c>
      <c r="GK5" s="1553" t="s">
        <v>146</v>
      </c>
      <c r="GL5" s="1553" t="s">
        <v>147</v>
      </c>
      <c r="GM5" s="1553" t="s">
        <v>148</v>
      </c>
      <c r="GN5" s="1638"/>
      <c r="GO5" s="1553" t="s">
        <v>148</v>
      </c>
      <c r="GP5" s="1553" t="s">
        <v>148</v>
      </c>
      <c r="GQ5" s="1553" t="s">
        <v>149</v>
      </c>
      <c r="GR5" s="1553" t="s">
        <v>150</v>
      </c>
      <c r="GS5" s="1638"/>
      <c r="GT5" s="1553" t="s">
        <v>150</v>
      </c>
      <c r="GU5" s="1553" t="s">
        <v>150</v>
      </c>
      <c r="GV5" s="1553" t="s">
        <v>151</v>
      </c>
      <c r="GW5" s="1553" t="s">
        <v>152</v>
      </c>
      <c r="GX5" s="1638"/>
      <c r="GY5" s="1553" t="s">
        <v>152</v>
      </c>
      <c r="GZ5" s="1553" t="s">
        <v>152</v>
      </c>
      <c r="HA5" s="1553" t="s">
        <v>153</v>
      </c>
      <c r="HB5" s="1553" t="s">
        <v>154</v>
      </c>
      <c r="HC5" s="1638"/>
      <c r="HD5" s="1553" t="s">
        <v>154</v>
      </c>
      <c r="HE5" s="1553" t="s">
        <v>154</v>
      </c>
      <c r="HF5" s="1553" t="s">
        <v>155</v>
      </c>
      <c r="HG5" s="1553" t="s">
        <v>156</v>
      </c>
      <c r="HH5" s="1638"/>
      <c r="HI5" s="1553" t="s">
        <v>156</v>
      </c>
      <c r="HJ5" s="1553" t="s">
        <v>156</v>
      </c>
      <c r="HK5" s="1553" t="s">
        <v>157</v>
      </c>
      <c r="HL5" s="1553" t="s">
        <v>158</v>
      </c>
      <c r="HM5" s="1638"/>
      <c r="HN5" s="1553" t="s">
        <v>158</v>
      </c>
      <c r="HO5" s="1553" t="s">
        <v>158</v>
      </c>
      <c r="HP5" s="1553" t="s">
        <v>159</v>
      </c>
      <c r="HQ5" s="1553" t="s">
        <v>160</v>
      </c>
      <c r="HR5" s="1638"/>
      <c r="HS5" s="1553" t="s">
        <v>160</v>
      </c>
      <c r="HT5" s="1553" t="s">
        <v>160</v>
      </c>
      <c r="HU5" s="1553" t="s">
        <v>161</v>
      </c>
      <c r="HV5" s="1553" t="s">
        <v>162</v>
      </c>
      <c r="HW5" s="1638"/>
      <c r="HX5" s="1553" t="s">
        <v>162</v>
      </c>
      <c r="HY5" s="1553" t="s">
        <v>162</v>
      </c>
      <c r="HZ5" s="1553" t="s">
        <v>163</v>
      </c>
      <c r="IA5" s="1553" t="s">
        <v>164</v>
      </c>
      <c r="IB5" s="1638"/>
      <c r="IC5" s="1553" t="s">
        <v>164</v>
      </c>
      <c r="ID5" s="1553" t="s">
        <v>164</v>
      </c>
      <c r="IE5" s="1553" t="s">
        <v>165</v>
      </c>
      <c r="IF5" s="1553" t="s">
        <v>166</v>
      </c>
      <c r="IG5" s="1638"/>
      <c r="IH5" s="1553" t="s">
        <v>166</v>
      </c>
      <c r="II5" s="1553" t="s">
        <v>166</v>
      </c>
      <c r="IJ5" s="1553" t="s">
        <v>167</v>
      </c>
      <c r="IK5" s="1553" t="s">
        <v>168</v>
      </c>
      <c r="IL5" s="1638"/>
      <c r="IM5" s="1553" t="s">
        <v>168</v>
      </c>
      <c r="IN5" s="1553" t="s">
        <v>168</v>
      </c>
      <c r="IO5" s="1553" t="s">
        <v>169</v>
      </c>
      <c r="IP5" s="1553" t="s">
        <v>170</v>
      </c>
      <c r="IQ5" s="1638"/>
      <c r="IR5" s="1553" t="s">
        <v>170</v>
      </c>
      <c r="IS5" s="1553" t="s">
        <v>170</v>
      </c>
      <c r="IT5" s="1553" t="s">
        <v>171</v>
      </c>
      <c r="IU5" s="1553" t="s">
        <v>172</v>
      </c>
      <c r="IV5" s="1638"/>
      <c r="IW5" s="1553" t="s">
        <v>172</v>
      </c>
      <c r="IX5" s="1553" t="s">
        <v>172</v>
      </c>
      <c r="IY5" s="1553" t="s">
        <v>173</v>
      </c>
      <c r="IZ5" s="1553" t="s">
        <v>174</v>
      </c>
      <c r="JA5" s="1638"/>
      <c r="JB5" s="1553" t="s">
        <v>174</v>
      </c>
      <c r="JC5" s="1553" t="s">
        <v>174</v>
      </c>
      <c r="JD5" s="1646"/>
      <c r="JE5" s="1646"/>
      <c r="JF5" s="1646"/>
      <c r="JG5" s="1646"/>
    </row>
    <row r="6" spans="1:267">
      <c r="C6" s="1660"/>
      <c r="D6" s="163" t="s">
        <v>175</v>
      </c>
      <c r="E6" s="1553" t="s">
        <v>175</v>
      </c>
      <c r="F6" s="1638"/>
      <c r="G6" s="1553" t="s">
        <v>175</v>
      </c>
      <c r="H6" s="1557" t="s">
        <v>175</v>
      </c>
      <c r="I6" s="167" t="s">
        <v>176</v>
      </c>
      <c r="J6" s="1553" t="s">
        <v>176</v>
      </c>
      <c r="K6" s="1638"/>
      <c r="L6" s="1553" t="s">
        <v>176</v>
      </c>
      <c r="M6" s="355" t="s">
        <v>176</v>
      </c>
      <c r="N6" s="163" t="s">
        <v>177</v>
      </c>
      <c r="O6" s="1553" t="s">
        <v>177</v>
      </c>
      <c r="P6" s="1638"/>
      <c r="Q6" s="1553" t="s">
        <v>177</v>
      </c>
      <c r="R6" s="1557" t="s">
        <v>177</v>
      </c>
      <c r="S6" s="167" t="s">
        <v>178</v>
      </c>
      <c r="T6" s="1557" t="s">
        <v>178</v>
      </c>
      <c r="U6" s="1638"/>
      <c r="V6" s="1557" t="s">
        <v>178</v>
      </c>
      <c r="W6" s="1557" t="s">
        <v>178</v>
      </c>
      <c r="X6" s="1555" t="s">
        <v>179</v>
      </c>
      <c r="Y6" s="1555" t="s">
        <v>179</v>
      </c>
      <c r="Z6" s="1672"/>
      <c r="AA6" s="1555" t="s">
        <v>179</v>
      </c>
      <c r="AB6" s="1555" t="s">
        <v>179</v>
      </c>
      <c r="AC6" s="1553" t="s">
        <v>180</v>
      </c>
      <c r="AD6" s="1553" t="s">
        <v>180</v>
      </c>
      <c r="AE6" s="1638"/>
      <c r="AF6" s="1553" t="s">
        <v>180</v>
      </c>
      <c r="AG6" s="1553" t="s">
        <v>180</v>
      </c>
      <c r="AH6" s="1553" t="s">
        <v>181</v>
      </c>
      <c r="AI6" s="1553" t="s">
        <v>181</v>
      </c>
      <c r="AJ6" s="1638"/>
      <c r="AK6" s="1553" t="s">
        <v>181</v>
      </c>
      <c r="AL6" s="1553" t="s">
        <v>181</v>
      </c>
      <c r="AM6" s="1553" t="s">
        <v>182</v>
      </c>
      <c r="AN6" s="1553" t="s">
        <v>182</v>
      </c>
      <c r="AO6" s="1638"/>
      <c r="AP6" s="1553" t="s">
        <v>182</v>
      </c>
      <c r="AQ6" s="1553" t="s">
        <v>182</v>
      </c>
      <c r="AR6" s="1553" t="s">
        <v>183</v>
      </c>
      <c r="AS6" s="1553" t="s">
        <v>183</v>
      </c>
      <c r="AT6" s="1638"/>
      <c r="AU6" s="1553" t="s">
        <v>183</v>
      </c>
      <c r="AV6" s="1553" t="s">
        <v>183</v>
      </c>
      <c r="AW6" s="1553" t="s">
        <v>184</v>
      </c>
      <c r="AX6" s="1553" t="s">
        <v>184</v>
      </c>
      <c r="AY6" s="1638"/>
      <c r="AZ6" s="1553" t="s">
        <v>184</v>
      </c>
      <c r="BA6" s="1553" t="s">
        <v>184</v>
      </c>
      <c r="BB6" s="1553" t="s">
        <v>185</v>
      </c>
      <c r="BC6" s="1553" t="s">
        <v>185</v>
      </c>
      <c r="BD6" s="1638"/>
      <c r="BE6" s="1553" t="s">
        <v>185</v>
      </c>
      <c r="BF6" s="1553" t="s">
        <v>185</v>
      </c>
      <c r="BG6" s="1553" t="s">
        <v>186</v>
      </c>
      <c r="BH6" s="1553" t="s">
        <v>186</v>
      </c>
      <c r="BI6" s="1638"/>
      <c r="BJ6" s="1553" t="s">
        <v>186</v>
      </c>
      <c r="BK6" s="1553" t="s">
        <v>186</v>
      </c>
      <c r="BL6" s="1553" t="s">
        <v>187</v>
      </c>
      <c r="BM6" s="1553" t="s">
        <v>187</v>
      </c>
      <c r="BN6" s="1638"/>
      <c r="BO6" s="1553" t="s">
        <v>187</v>
      </c>
      <c r="BP6" s="1553" t="s">
        <v>187</v>
      </c>
      <c r="BQ6" s="1553" t="s">
        <v>188</v>
      </c>
      <c r="BR6" s="1553" t="s">
        <v>188</v>
      </c>
      <c r="BS6" s="1638"/>
      <c r="BT6" s="1553" t="s">
        <v>188</v>
      </c>
      <c r="BU6" s="1553" t="s">
        <v>188</v>
      </c>
      <c r="BV6" s="1553" t="s">
        <v>189</v>
      </c>
      <c r="BW6" s="1553" t="s">
        <v>189</v>
      </c>
      <c r="BX6" s="1638"/>
      <c r="BY6" s="1553" t="s">
        <v>189</v>
      </c>
      <c r="BZ6" s="1553" t="s">
        <v>189</v>
      </c>
      <c r="CA6" s="1553" t="s">
        <v>190</v>
      </c>
      <c r="CB6" s="1553" t="s">
        <v>190</v>
      </c>
      <c r="CC6" s="1638"/>
      <c r="CD6" s="1553" t="s">
        <v>190</v>
      </c>
      <c r="CE6" s="1553" t="s">
        <v>190</v>
      </c>
      <c r="CF6" s="1553" t="s">
        <v>191</v>
      </c>
      <c r="CG6" s="1553" t="s">
        <v>191</v>
      </c>
      <c r="CH6" s="1638"/>
      <c r="CI6" s="1553" t="s">
        <v>191</v>
      </c>
      <c r="CJ6" s="1553" t="s">
        <v>191</v>
      </c>
      <c r="CK6" s="1553" t="s">
        <v>192</v>
      </c>
      <c r="CL6" s="1553" t="s">
        <v>192</v>
      </c>
      <c r="CM6" s="1638"/>
      <c r="CN6" s="1553" t="s">
        <v>192</v>
      </c>
      <c r="CO6" s="1553" t="s">
        <v>192</v>
      </c>
      <c r="CP6" s="1553" t="s">
        <v>193</v>
      </c>
      <c r="CQ6" s="1553" t="s">
        <v>193</v>
      </c>
      <c r="CR6" s="1638"/>
      <c r="CS6" s="1553" t="s">
        <v>193</v>
      </c>
      <c r="CT6" s="1553" t="s">
        <v>193</v>
      </c>
      <c r="CU6" s="1553" t="s">
        <v>194</v>
      </c>
      <c r="CV6" s="1553" t="s">
        <v>194</v>
      </c>
      <c r="CW6" s="1638"/>
      <c r="CX6" s="1553" t="s">
        <v>194</v>
      </c>
      <c r="CY6" s="1553" t="s">
        <v>194</v>
      </c>
      <c r="CZ6" s="1553" t="s">
        <v>195</v>
      </c>
      <c r="DA6" s="1553" t="s">
        <v>195</v>
      </c>
      <c r="DB6" s="1638"/>
      <c r="DC6" s="1553" t="s">
        <v>195</v>
      </c>
      <c r="DD6" s="1553" t="s">
        <v>195</v>
      </c>
      <c r="DE6" s="1553" t="s">
        <v>196</v>
      </c>
      <c r="DF6" s="1553" t="s">
        <v>196</v>
      </c>
      <c r="DG6" s="1638"/>
      <c r="DH6" s="1553" t="s">
        <v>196</v>
      </c>
      <c r="DI6" s="1553" t="s">
        <v>196</v>
      </c>
      <c r="DJ6" s="1553" t="s">
        <v>197</v>
      </c>
      <c r="DK6" s="1553" t="s">
        <v>197</v>
      </c>
      <c r="DL6" s="1638"/>
      <c r="DM6" s="1553" t="s">
        <v>197</v>
      </c>
      <c r="DN6" s="1553" t="s">
        <v>197</v>
      </c>
      <c r="DO6" s="1553" t="s">
        <v>198</v>
      </c>
      <c r="DP6" s="1553" t="s">
        <v>198</v>
      </c>
      <c r="DQ6" s="1638"/>
      <c r="DR6" s="1553" t="s">
        <v>198</v>
      </c>
      <c r="DS6" s="1553" t="s">
        <v>198</v>
      </c>
      <c r="DT6" s="1553" t="s">
        <v>199</v>
      </c>
      <c r="DU6" s="1553" t="s">
        <v>199</v>
      </c>
      <c r="DV6" s="1638"/>
      <c r="DW6" s="1553" t="s">
        <v>199</v>
      </c>
      <c r="DX6" s="1553" t="s">
        <v>199</v>
      </c>
      <c r="DY6" s="1553" t="s">
        <v>200</v>
      </c>
      <c r="DZ6" s="1553" t="s">
        <v>200</v>
      </c>
      <c r="EA6" s="1638"/>
      <c r="EB6" s="1553" t="s">
        <v>200</v>
      </c>
      <c r="EC6" s="1553" t="s">
        <v>200</v>
      </c>
      <c r="ED6" s="1553" t="s">
        <v>201</v>
      </c>
      <c r="EE6" s="1553" t="s">
        <v>201</v>
      </c>
      <c r="EF6" s="1638"/>
      <c r="EG6" s="1553" t="s">
        <v>201</v>
      </c>
      <c r="EH6" s="1553" t="s">
        <v>201</v>
      </c>
      <c r="EI6" s="1553" t="s">
        <v>202</v>
      </c>
      <c r="EJ6" s="1553" t="s">
        <v>202</v>
      </c>
      <c r="EK6" s="1638"/>
      <c r="EL6" s="1553" t="s">
        <v>202</v>
      </c>
      <c r="EM6" s="1553" t="s">
        <v>202</v>
      </c>
      <c r="EN6" s="1553" t="s">
        <v>203</v>
      </c>
      <c r="EO6" s="1553" t="s">
        <v>203</v>
      </c>
      <c r="EP6" s="1638"/>
      <c r="EQ6" s="1553" t="s">
        <v>203</v>
      </c>
      <c r="ER6" s="1553" t="s">
        <v>203</v>
      </c>
      <c r="ES6" s="1553" t="s">
        <v>204</v>
      </c>
      <c r="ET6" s="1553" t="s">
        <v>204</v>
      </c>
      <c r="EU6" s="1638"/>
      <c r="EV6" s="1553" t="s">
        <v>204</v>
      </c>
      <c r="EW6" s="1553" t="s">
        <v>204</v>
      </c>
      <c r="EX6" s="1553" t="s">
        <v>205</v>
      </c>
      <c r="EY6" s="1553" t="s">
        <v>205</v>
      </c>
      <c r="EZ6" s="1638"/>
      <c r="FA6" s="1553" t="s">
        <v>205</v>
      </c>
      <c r="FB6" s="1553" t="s">
        <v>205</v>
      </c>
      <c r="FC6" s="1553" t="s">
        <v>206</v>
      </c>
      <c r="FD6" s="1553" t="s">
        <v>206</v>
      </c>
      <c r="FE6" s="1638"/>
      <c r="FF6" s="1553" t="s">
        <v>206</v>
      </c>
      <c r="FG6" s="1553" t="s">
        <v>206</v>
      </c>
      <c r="FH6" s="1553" t="s">
        <v>207</v>
      </c>
      <c r="FI6" s="1553" t="s">
        <v>207</v>
      </c>
      <c r="FJ6" s="1638"/>
      <c r="FK6" s="1553" t="s">
        <v>207</v>
      </c>
      <c r="FL6" s="1553" t="s">
        <v>207</v>
      </c>
      <c r="FM6" s="1553" t="s">
        <v>208</v>
      </c>
      <c r="FN6" s="1553" t="s">
        <v>208</v>
      </c>
      <c r="FO6" s="1638"/>
      <c r="FP6" s="1553" t="s">
        <v>208</v>
      </c>
      <c r="FQ6" s="1553" t="s">
        <v>208</v>
      </c>
      <c r="FR6" s="1553" t="s">
        <v>209</v>
      </c>
      <c r="FS6" s="1553" t="s">
        <v>209</v>
      </c>
      <c r="FT6" s="1638"/>
      <c r="FU6" s="1553" t="s">
        <v>209</v>
      </c>
      <c r="FV6" s="1553" t="s">
        <v>209</v>
      </c>
      <c r="FW6" s="1553" t="s">
        <v>210</v>
      </c>
      <c r="FX6" s="1553" t="s">
        <v>210</v>
      </c>
      <c r="FY6" s="1638"/>
      <c r="FZ6" s="1553" t="s">
        <v>210</v>
      </c>
      <c r="GA6" s="1553" t="s">
        <v>210</v>
      </c>
      <c r="GB6" s="1553" t="s">
        <v>211</v>
      </c>
      <c r="GC6" s="1553" t="s">
        <v>211</v>
      </c>
      <c r="GD6" s="1638"/>
      <c r="GE6" s="1553" t="s">
        <v>211</v>
      </c>
      <c r="GF6" s="1553" t="s">
        <v>211</v>
      </c>
      <c r="GG6" s="1553" t="s">
        <v>212</v>
      </c>
      <c r="GH6" s="1553" t="s">
        <v>212</v>
      </c>
      <c r="GI6" s="1638"/>
      <c r="GJ6" s="1553" t="s">
        <v>212</v>
      </c>
      <c r="GK6" s="1553" t="s">
        <v>212</v>
      </c>
      <c r="GL6" s="1553" t="s">
        <v>213</v>
      </c>
      <c r="GM6" s="1553" t="s">
        <v>213</v>
      </c>
      <c r="GN6" s="1638"/>
      <c r="GO6" s="1553" t="s">
        <v>213</v>
      </c>
      <c r="GP6" s="1553" t="s">
        <v>213</v>
      </c>
      <c r="GQ6" s="1553" t="s">
        <v>214</v>
      </c>
      <c r="GR6" s="1553" t="s">
        <v>214</v>
      </c>
      <c r="GS6" s="1638"/>
      <c r="GT6" s="1553" t="s">
        <v>214</v>
      </c>
      <c r="GU6" s="1553" t="s">
        <v>214</v>
      </c>
      <c r="GV6" s="1553" t="s">
        <v>215</v>
      </c>
      <c r="GW6" s="1553" t="s">
        <v>215</v>
      </c>
      <c r="GX6" s="1638"/>
      <c r="GY6" s="1553" t="s">
        <v>215</v>
      </c>
      <c r="GZ6" s="1553" t="s">
        <v>215</v>
      </c>
      <c r="HA6" s="1553" t="s">
        <v>216</v>
      </c>
      <c r="HB6" s="1553" t="s">
        <v>216</v>
      </c>
      <c r="HC6" s="1638"/>
      <c r="HD6" s="1553" t="s">
        <v>216</v>
      </c>
      <c r="HE6" s="1553" t="s">
        <v>216</v>
      </c>
      <c r="HF6" s="1553" t="s">
        <v>217</v>
      </c>
      <c r="HG6" s="1553" t="s">
        <v>217</v>
      </c>
      <c r="HH6" s="1638"/>
      <c r="HI6" s="1553" t="s">
        <v>217</v>
      </c>
      <c r="HJ6" s="1553" t="s">
        <v>217</v>
      </c>
      <c r="HK6" s="1553" t="s">
        <v>218</v>
      </c>
      <c r="HL6" s="1553" t="s">
        <v>218</v>
      </c>
      <c r="HM6" s="1638"/>
      <c r="HN6" s="1553" t="s">
        <v>218</v>
      </c>
      <c r="HO6" s="1553" t="s">
        <v>218</v>
      </c>
      <c r="HP6" s="1553" t="s">
        <v>219</v>
      </c>
      <c r="HQ6" s="1553" t="s">
        <v>219</v>
      </c>
      <c r="HR6" s="1638"/>
      <c r="HS6" s="1553" t="s">
        <v>219</v>
      </c>
      <c r="HT6" s="1553" t="s">
        <v>219</v>
      </c>
      <c r="HU6" s="1553" t="s">
        <v>220</v>
      </c>
      <c r="HV6" s="1553" t="s">
        <v>220</v>
      </c>
      <c r="HW6" s="1638"/>
      <c r="HX6" s="1553" t="s">
        <v>220</v>
      </c>
      <c r="HY6" s="1553" t="s">
        <v>220</v>
      </c>
      <c r="HZ6" s="1553" t="s">
        <v>221</v>
      </c>
      <c r="IA6" s="1553" t="s">
        <v>221</v>
      </c>
      <c r="IB6" s="1638"/>
      <c r="IC6" s="1553" t="s">
        <v>221</v>
      </c>
      <c r="ID6" s="1553" t="s">
        <v>221</v>
      </c>
      <c r="IE6" s="1553" t="s">
        <v>222</v>
      </c>
      <c r="IF6" s="1553" t="s">
        <v>222</v>
      </c>
      <c r="IG6" s="1638"/>
      <c r="IH6" s="1553" t="s">
        <v>222</v>
      </c>
      <c r="II6" s="1553" t="s">
        <v>222</v>
      </c>
      <c r="IJ6" s="1553" t="s">
        <v>223</v>
      </c>
      <c r="IK6" s="1553" t="s">
        <v>223</v>
      </c>
      <c r="IL6" s="1638"/>
      <c r="IM6" s="1553" t="s">
        <v>223</v>
      </c>
      <c r="IN6" s="1553" t="s">
        <v>223</v>
      </c>
      <c r="IO6" s="1553" t="s">
        <v>224</v>
      </c>
      <c r="IP6" s="1553" t="s">
        <v>224</v>
      </c>
      <c r="IQ6" s="1638"/>
      <c r="IR6" s="1553" t="s">
        <v>224</v>
      </c>
      <c r="IS6" s="1553" t="s">
        <v>224</v>
      </c>
      <c r="IT6" s="1553" t="s">
        <v>225</v>
      </c>
      <c r="IU6" s="1553" t="s">
        <v>225</v>
      </c>
      <c r="IV6" s="1638"/>
      <c r="IW6" s="1553" t="s">
        <v>225</v>
      </c>
      <c r="IX6" s="1553" t="s">
        <v>225</v>
      </c>
      <c r="IY6" s="1553" t="s">
        <v>226</v>
      </c>
      <c r="IZ6" s="1553" t="s">
        <v>226</v>
      </c>
      <c r="JA6" s="1638"/>
      <c r="JB6" s="1553" t="s">
        <v>226</v>
      </c>
      <c r="JC6" s="1553" t="s">
        <v>226</v>
      </c>
      <c r="JD6" s="1646"/>
      <c r="JE6" s="1646"/>
      <c r="JF6" s="1646"/>
      <c r="JG6" s="1646"/>
    </row>
    <row r="7" spans="1:267" ht="15.75" thickBot="1">
      <c r="C7" s="1660"/>
      <c r="D7" s="163">
        <v>2020</v>
      </c>
      <c r="E7" s="1553">
        <v>2021</v>
      </c>
      <c r="F7" s="1638"/>
      <c r="G7" s="1553">
        <v>2021</v>
      </c>
      <c r="H7" s="1557">
        <v>2021</v>
      </c>
      <c r="I7" s="167">
        <v>2020</v>
      </c>
      <c r="J7" s="1553">
        <v>2021</v>
      </c>
      <c r="K7" s="1638"/>
      <c r="L7" s="1553">
        <v>2021</v>
      </c>
      <c r="M7" s="355">
        <v>2021</v>
      </c>
      <c r="N7" s="163">
        <v>2020</v>
      </c>
      <c r="O7" s="1553">
        <v>2021</v>
      </c>
      <c r="P7" s="1638"/>
      <c r="Q7" s="1553">
        <v>2021</v>
      </c>
      <c r="R7" s="1557">
        <v>2021</v>
      </c>
      <c r="S7" s="168">
        <v>2020</v>
      </c>
      <c r="T7" s="1557">
        <v>2021</v>
      </c>
      <c r="U7" s="1639"/>
      <c r="V7" s="1557">
        <v>2021</v>
      </c>
      <c r="W7" s="1557">
        <v>2021</v>
      </c>
      <c r="X7" s="1555">
        <v>2020</v>
      </c>
      <c r="Y7" s="1555">
        <v>2021</v>
      </c>
      <c r="Z7" s="1672"/>
      <c r="AA7" s="1555">
        <v>2021</v>
      </c>
      <c r="AB7" s="1555">
        <v>2021</v>
      </c>
      <c r="AC7" s="1554">
        <v>2020</v>
      </c>
      <c r="AD7" s="1554">
        <v>2021</v>
      </c>
      <c r="AE7" s="1639"/>
      <c r="AF7" s="1554">
        <v>2021</v>
      </c>
      <c r="AG7" s="1554">
        <v>2021</v>
      </c>
      <c r="AH7" s="1554">
        <v>2020</v>
      </c>
      <c r="AI7" s="1554">
        <v>2021</v>
      </c>
      <c r="AJ7" s="1639"/>
      <c r="AK7" s="1554">
        <v>2021</v>
      </c>
      <c r="AL7" s="1554">
        <v>2021</v>
      </c>
      <c r="AM7" s="1554">
        <v>2020</v>
      </c>
      <c r="AN7" s="1554">
        <v>2021</v>
      </c>
      <c r="AO7" s="1639"/>
      <c r="AP7" s="1554">
        <v>2021</v>
      </c>
      <c r="AQ7" s="1554">
        <v>2021</v>
      </c>
      <c r="AR7" s="1554">
        <v>2020</v>
      </c>
      <c r="AS7" s="1554">
        <v>2021</v>
      </c>
      <c r="AT7" s="1639"/>
      <c r="AU7" s="1554">
        <v>2021</v>
      </c>
      <c r="AV7" s="1554">
        <v>2021</v>
      </c>
      <c r="AW7" s="1554">
        <v>2020</v>
      </c>
      <c r="AX7" s="1554">
        <v>2021</v>
      </c>
      <c r="AY7" s="1639"/>
      <c r="AZ7" s="1554">
        <v>2021</v>
      </c>
      <c r="BA7" s="1554">
        <v>2021</v>
      </c>
      <c r="BB7" s="1554">
        <v>2020</v>
      </c>
      <c r="BC7" s="1554">
        <v>2021</v>
      </c>
      <c r="BD7" s="1639"/>
      <c r="BE7" s="1554">
        <v>2021</v>
      </c>
      <c r="BF7" s="356">
        <v>2021</v>
      </c>
      <c r="BG7" s="1554">
        <v>2020</v>
      </c>
      <c r="BH7" s="1554">
        <v>2021</v>
      </c>
      <c r="BI7" s="1639"/>
      <c r="BJ7" s="1554">
        <v>2021</v>
      </c>
      <c r="BK7" s="1554">
        <v>2021</v>
      </c>
      <c r="BL7" s="1554">
        <v>2020</v>
      </c>
      <c r="BM7" s="1554">
        <v>2021</v>
      </c>
      <c r="BN7" s="1639"/>
      <c r="BO7" s="1554">
        <v>2021</v>
      </c>
      <c r="BP7" s="1554">
        <v>2021</v>
      </c>
      <c r="BQ7" s="1554">
        <v>2020</v>
      </c>
      <c r="BR7" s="1554">
        <v>2020</v>
      </c>
      <c r="BS7" s="1639"/>
      <c r="BT7" s="1554">
        <v>2020</v>
      </c>
      <c r="BU7" s="1554">
        <v>2020</v>
      </c>
      <c r="BV7" s="1554">
        <v>2020</v>
      </c>
      <c r="BW7" s="1554">
        <v>2021</v>
      </c>
      <c r="BX7" s="1639"/>
      <c r="BY7" s="1554">
        <v>2021</v>
      </c>
      <c r="BZ7" s="1554">
        <v>2021</v>
      </c>
      <c r="CA7" s="1554">
        <v>2020</v>
      </c>
      <c r="CB7" s="1554">
        <v>2021</v>
      </c>
      <c r="CC7" s="1639"/>
      <c r="CD7" s="1554">
        <v>2021</v>
      </c>
      <c r="CE7" s="1554">
        <v>2021</v>
      </c>
      <c r="CF7" s="1554">
        <v>2020</v>
      </c>
      <c r="CG7" s="1554">
        <v>2021</v>
      </c>
      <c r="CH7" s="1639"/>
      <c r="CI7" s="1554">
        <v>2021</v>
      </c>
      <c r="CJ7" s="1554">
        <v>2021</v>
      </c>
      <c r="CK7" s="1554">
        <v>2020</v>
      </c>
      <c r="CL7" s="1554">
        <v>2021</v>
      </c>
      <c r="CM7" s="1639"/>
      <c r="CN7" s="1554">
        <v>2021</v>
      </c>
      <c r="CO7" s="1554">
        <v>2021</v>
      </c>
      <c r="CP7" s="1554">
        <v>2020</v>
      </c>
      <c r="CQ7" s="1554">
        <v>2021</v>
      </c>
      <c r="CR7" s="1639"/>
      <c r="CS7" s="1554">
        <v>2021</v>
      </c>
      <c r="CT7" s="1554">
        <v>2021</v>
      </c>
      <c r="CU7" s="1554">
        <v>2020</v>
      </c>
      <c r="CV7" s="1554">
        <v>2021</v>
      </c>
      <c r="CW7" s="1639"/>
      <c r="CX7" s="1554">
        <v>2021</v>
      </c>
      <c r="CY7" s="1554">
        <v>2021</v>
      </c>
      <c r="CZ7" s="1554">
        <v>2020</v>
      </c>
      <c r="DA7" s="1554">
        <v>2021</v>
      </c>
      <c r="DB7" s="1639"/>
      <c r="DC7" s="1554">
        <v>2021</v>
      </c>
      <c r="DD7" s="1554">
        <v>2021</v>
      </c>
      <c r="DE7" s="1554">
        <v>2020</v>
      </c>
      <c r="DF7" s="1554">
        <v>2021</v>
      </c>
      <c r="DG7" s="1639"/>
      <c r="DH7" s="1554">
        <v>2021</v>
      </c>
      <c r="DI7" s="1554">
        <v>2021</v>
      </c>
      <c r="DJ7" s="1554">
        <v>2020</v>
      </c>
      <c r="DK7" s="1554">
        <v>2021</v>
      </c>
      <c r="DL7" s="1639"/>
      <c r="DM7" s="1554">
        <v>2021</v>
      </c>
      <c r="DN7" s="1554">
        <v>2021</v>
      </c>
      <c r="DO7" s="1554">
        <v>2020</v>
      </c>
      <c r="DP7" s="1554">
        <v>2021</v>
      </c>
      <c r="DQ7" s="1639"/>
      <c r="DR7" s="1554">
        <v>2021</v>
      </c>
      <c r="DS7" s="1554">
        <v>2021</v>
      </c>
      <c r="DT7" s="1554">
        <v>2020</v>
      </c>
      <c r="DU7" s="1554">
        <v>2021</v>
      </c>
      <c r="DV7" s="1639"/>
      <c r="DW7" s="1554">
        <v>2021</v>
      </c>
      <c r="DX7" s="1554">
        <v>2021</v>
      </c>
      <c r="DY7" s="1554">
        <v>2020</v>
      </c>
      <c r="DZ7" s="1554">
        <v>2021</v>
      </c>
      <c r="EA7" s="1639"/>
      <c r="EB7" s="1554">
        <v>2021</v>
      </c>
      <c r="EC7" s="1554">
        <v>2021</v>
      </c>
      <c r="ED7" s="1554">
        <v>2020</v>
      </c>
      <c r="EE7" s="1554">
        <v>2021</v>
      </c>
      <c r="EF7" s="1639"/>
      <c r="EG7" s="1554">
        <v>2021</v>
      </c>
      <c r="EH7" s="1554">
        <v>2021</v>
      </c>
      <c r="EI7" s="1554">
        <v>2020</v>
      </c>
      <c r="EJ7" s="1554">
        <v>2021</v>
      </c>
      <c r="EK7" s="1639"/>
      <c r="EL7" s="1554">
        <v>2021</v>
      </c>
      <c r="EM7" s="1554">
        <v>2021</v>
      </c>
      <c r="EN7" s="1554">
        <v>2020</v>
      </c>
      <c r="EO7" s="1554">
        <v>2021</v>
      </c>
      <c r="EP7" s="1639"/>
      <c r="EQ7" s="1554">
        <v>2021</v>
      </c>
      <c r="ER7" s="1554">
        <v>2021</v>
      </c>
      <c r="ES7" s="1554">
        <v>2020</v>
      </c>
      <c r="ET7" s="1554">
        <v>2021</v>
      </c>
      <c r="EU7" s="1639"/>
      <c r="EV7" s="1554">
        <v>2021</v>
      </c>
      <c r="EW7" s="1554">
        <v>2021</v>
      </c>
      <c r="EX7" s="1554">
        <v>2020</v>
      </c>
      <c r="EY7" s="1554">
        <v>2021</v>
      </c>
      <c r="EZ7" s="1639"/>
      <c r="FA7" s="1554">
        <v>2021</v>
      </c>
      <c r="FB7" s="1554">
        <v>2021</v>
      </c>
      <c r="FC7" s="1554">
        <v>2020</v>
      </c>
      <c r="FD7" s="1554">
        <v>2021</v>
      </c>
      <c r="FE7" s="1639"/>
      <c r="FF7" s="1554">
        <v>2021</v>
      </c>
      <c r="FG7" s="1554">
        <v>2021</v>
      </c>
      <c r="FH7" s="1554">
        <v>2020</v>
      </c>
      <c r="FI7" s="1554">
        <v>2021</v>
      </c>
      <c r="FJ7" s="1639"/>
      <c r="FK7" s="1554">
        <v>2021</v>
      </c>
      <c r="FL7" s="1554">
        <v>2021</v>
      </c>
      <c r="FM7" s="1554">
        <v>2020</v>
      </c>
      <c r="FN7" s="1554">
        <v>2021</v>
      </c>
      <c r="FO7" s="1639"/>
      <c r="FP7" s="1554">
        <v>2021</v>
      </c>
      <c r="FQ7" s="1554">
        <v>2021</v>
      </c>
      <c r="FR7" s="1554">
        <v>2020</v>
      </c>
      <c r="FS7" s="1554">
        <v>2021</v>
      </c>
      <c r="FT7" s="1639"/>
      <c r="FU7" s="1554">
        <v>2021</v>
      </c>
      <c r="FV7" s="1554">
        <v>2021</v>
      </c>
      <c r="FW7" s="1554">
        <v>2020</v>
      </c>
      <c r="FX7" s="1554">
        <v>2021</v>
      </c>
      <c r="FY7" s="1639"/>
      <c r="FZ7" s="1554">
        <v>2021</v>
      </c>
      <c r="GA7" s="1554">
        <v>2021</v>
      </c>
      <c r="GB7" s="1554">
        <v>2020</v>
      </c>
      <c r="GC7" s="1554">
        <v>2021</v>
      </c>
      <c r="GD7" s="1639"/>
      <c r="GE7" s="1554">
        <v>2021</v>
      </c>
      <c r="GF7" s="1554">
        <v>2021</v>
      </c>
      <c r="GG7" s="1554">
        <v>2020</v>
      </c>
      <c r="GH7" s="1554">
        <v>2021</v>
      </c>
      <c r="GI7" s="1639"/>
      <c r="GJ7" s="1554">
        <v>2021</v>
      </c>
      <c r="GK7" s="1554">
        <v>2021</v>
      </c>
      <c r="GL7" s="1554">
        <v>2020</v>
      </c>
      <c r="GM7" s="1554">
        <v>2021</v>
      </c>
      <c r="GN7" s="1639"/>
      <c r="GO7" s="1554">
        <v>2021</v>
      </c>
      <c r="GP7" s="1554">
        <v>2021</v>
      </c>
      <c r="GQ7" s="1554">
        <v>2020</v>
      </c>
      <c r="GR7" s="1554">
        <v>2021</v>
      </c>
      <c r="GS7" s="1639"/>
      <c r="GT7" s="1554">
        <v>2021</v>
      </c>
      <c r="GU7" s="1554">
        <v>2021</v>
      </c>
      <c r="GV7" s="1554">
        <v>2020</v>
      </c>
      <c r="GW7" s="1554">
        <v>2021</v>
      </c>
      <c r="GX7" s="1639"/>
      <c r="GY7" s="1554">
        <v>2021</v>
      </c>
      <c r="GZ7" s="1554">
        <v>2021</v>
      </c>
      <c r="HA7" s="1554">
        <v>2020</v>
      </c>
      <c r="HB7" s="1554">
        <v>2021</v>
      </c>
      <c r="HC7" s="1639"/>
      <c r="HD7" s="1554">
        <v>2021</v>
      </c>
      <c r="HE7" s="1554">
        <v>2021</v>
      </c>
      <c r="HF7" s="1554">
        <v>2020</v>
      </c>
      <c r="HG7" s="1554">
        <v>2021</v>
      </c>
      <c r="HH7" s="1639"/>
      <c r="HI7" s="1554">
        <v>2021</v>
      </c>
      <c r="HJ7" s="1554">
        <v>2021</v>
      </c>
      <c r="HK7" s="1554">
        <v>2020</v>
      </c>
      <c r="HL7" s="1554">
        <v>2021</v>
      </c>
      <c r="HM7" s="1639"/>
      <c r="HN7" s="1554">
        <v>2021</v>
      </c>
      <c r="HO7" s="1554">
        <v>2021</v>
      </c>
      <c r="HP7" s="1554">
        <v>2020</v>
      </c>
      <c r="HQ7" s="1554">
        <v>2021</v>
      </c>
      <c r="HR7" s="1639"/>
      <c r="HS7" s="1554">
        <v>2021</v>
      </c>
      <c r="HT7" s="1554">
        <v>2021</v>
      </c>
      <c r="HU7" s="1554">
        <v>2020</v>
      </c>
      <c r="HV7" s="1554">
        <v>2021</v>
      </c>
      <c r="HW7" s="1639"/>
      <c r="HX7" s="1554">
        <v>2021</v>
      </c>
      <c r="HY7" s="1554">
        <v>2021</v>
      </c>
      <c r="HZ7" s="1554">
        <v>2020</v>
      </c>
      <c r="IA7" s="1554">
        <v>2021</v>
      </c>
      <c r="IB7" s="1639"/>
      <c r="IC7" s="1554">
        <v>2021</v>
      </c>
      <c r="ID7" s="1554">
        <v>2021</v>
      </c>
      <c r="IE7" s="1554">
        <v>2020</v>
      </c>
      <c r="IF7" s="1554">
        <v>2021</v>
      </c>
      <c r="IG7" s="1639"/>
      <c r="IH7" s="1554">
        <v>2021</v>
      </c>
      <c r="II7" s="1554">
        <v>2021</v>
      </c>
      <c r="IJ7" s="1554">
        <v>2020</v>
      </c>
      <c r="IK7" s="1554">
        <v>2021</v>
      </c>
      <c r="IL7" s="1639"/>
      <c r="IM7" s="1554">
        <v>2021</v>
      </c>
      <c r="IN7" s="1554">
        <v>2021</v>
      </c>
      <c r="IO7" s="1554">
        <v>2020</v>
      </c>
      <c r="IP7" s="1554">
        <v>2021</v>
      </c>
      <c r="IQ7" s="1639"/>
      <c r="IR7" s="1554">
        <v>2021</v>
      </c>
      <c r="IS7" s="1554">
        <v>2021</v>
      </c>
      <c r="IT7" s="1554">
        <v>2020</v>
      </c>
      <c r="IU7" s="1554">
        <v>2021</v>
      </c>
      <c r="IV7" s="1639"/>
      <c r="IW7" s="1554">
        <v>2021</v>
      </c>
      <c r="IX7" s="1554">
        <v>2021</v>
      </c>
      <c r="IY7" s="1554">
        <v>2020</v>
      </c>
      <c r="IZ7" s="1554">
        <v>2021</v>
      </c>
      <c r="JA7" s="1639"/>
      <c r="JB7" s="1554">
        <v>2021</v>
      </c>
      <c r="JC7" s="1554">
        <v>2021</v>
      </c>
      <c r="JD7" s="1647"/>
      <c r="JE7" s="1647"/>
      <c r="JF7" s="1647"/>
      <c r="JG7" s="1647"/>
    </row>
    <row r="8" spans="1:267">
      <c r="B8" t="s">
        <v>227</v>
      </c>
      <c r="C8" s="70" t="str">
        <f>"A1"</f>
        <v>A1</v>
      </c>
      <c r="D8" s="164">
        <v>66294.080000000002</v>
      </c>
      <c r="E8" s="1">
        <f>D8*F8</f>
        <v>39776.447999999997</v>
      </c>
      <c r="F8" s="2">
        <v>0.6</v>
      </c>
      <c r="G8" s="108">
        <v>62517.27</v>
      </c>
      <c r="H8" s="171">
        <f>G8/D8</f>
        <v>0.94302945300696528</v>
      </c>
      <c r="I8" s="169">
        <v>58903.19</v>
      </c>
      <c r="J8" s="1">
        <f>I8*K8</f>
        <v>55368.998599999999</v>
      </c>
      <c r="K8" s="2">
        <v>0.94</v>
      </c>
      <c r="L8" s="108">
        <v>47598.84</v>
      </c>
      <c r="M8" s="14">
        <f>L8/I8</f>
        <v>0.80808594576966031</v>
      </c>
      <c r="N8" s="164">
        <v>175989.5</v>
      </c>
      <c r="O8" s="1">
        <f>N8*P8</f>
        <v>149591.07499999998</v>
      </c>
      <c r="P8" s="2">
        <v>0.85</v>
      </c>
      <c r="Q8" s="108">
        <v>51830.51</v>
      </c>
      <c r="R8" s="13">
        <f>Q8/N8</f>
        <v>0.29450910423633231</v>
      </c>
      <c r="S8" s="160">
        <v>59555.73</v>
      </c>
      <c r="T8" s="1">
        <f>S8*U8</f>
        <v>41689.010999999999</v>
      </c>
      <c r="U8" s="2">
        <v>0.7</v>
      </c>
      <c r="V8" s="108">
        <v>52299.79</v>
      </c>
      <c r="W8" s="13">
        <f>V8/S8</f>
        <v>0.87816554343301645</v>
      </c>
      <c r="X8" s="108">
        <v>55368.82</v>
      </c>
      <c r="Y8" s="1">
        <f>X8*Z8</f>
        <v>52600.379000000001</v>
      </c>
      <c r="Z8" s="2">
        <v>0.95</v>
      </c>
      <c r="AA8" s="108">
        <v>63020.54</v>
      </c>
      <c r="AB8" s="13">
        <f>AA8/X8</f>
        <v>1.1381954681353152</v>
      </c>
      <c r="AC8" s="108">
        <v>96081.69</v>
      </c>
      <c r="AD8" s="1">
        <f>AC8*AE8</f>
        <v>115298.02800000001</v>
      </c>
      <c r="AE8" s="2">
        <v>1.2</v>
      </c>
      <c r="AF8" s="108">
        <v>55712.38</v>
      </c>
      <c r="AG8" s="13">
        <f>AF8/AC8</f>
        <v>0.57984388076437865</v>
      </c>
      <c r="AH8" s="108">
        <v>48960.53</v>
      </c>
      <c r="AI8" s="1">
        <f>AH8*AJ8</f>
        <v>29376.317999999999</v>
      </c>
      <c r="AJ8" s="2">
        <v>0.6</v>
      </c>
      <c r="AK8" s="108">
        <v>62366.06</v>
      </c>
      <c r="AL8" s="13">
        <f>AK8/AH8</f>
        <v>1.2738027958439175</v>
      </c>
      <c r="AM8" s="108">
        <v>58197.38</v>
      </c>
      <c r="AN8" s="1">
        <f>AM8*AO8</f>
        <v>34918.428</v>
      </c>
      <c r="AO8" s="2">
        <v>0.6</v>
      </c>
      <c r="AP8" s="108">
        <v>53916.72</v>
      </c>
      <c r="AQ8" s="13">
        <f>AP8/AM8</f>
        <v>0.92644582969198963</v>
      </c>
      <c r="AR8" s="160">
        <v>45586.83</v>
      </c>
      <c r="AS8" s="1">
        <f>AR8*AT8</f>
        <v>34190.122499999998</v>
      </c>
      <c r="AT8" s="2">
        <v>0.75</v>
      </c>
      <c r="AU8" s="108">
        <v>44138.85</v>
      </c>
      <c r="AV8" s="13">
        <f>AU8/AR8</f>
        <v>0.96823687894069399</v>
      </c>
      <c r="AW8" s="160">
        <v>41883.93</v>
      </c>
      <c r="AX8" s="1">
        <f>AW8*AY8</f>
        <v>31412.947500000002</v>
      </c>
      <c r="AY8" s="2">
        <v>0.75</v>
      </c>
      <c r="AZ8" s="108">
        <v>49999.63</v>
      </c>
      <c r="BA8" s="58">
        <f>AZ8/AW8</f>
        <v>1.1937664397777381</v>
      </c>
      <c r="BB8" s="160">
        <v>43993.71</v>
      </c>
      <c r="BC8" s="1">
        <f>BB8*BD8</f>
        <v>30795.596999999998</v>
      </c>
      <c r="BD8" s="2">
        <v>0.7</v>
      </c>
      <c r="BE8" s="108">
        <v>60682.47</v>
      </c>
      <c r="BF8" s="57">
        <f>BE8/BB8</f>
        <v>1.379344228981825</v>
      </c>
      <c r="BG8" s="160">
        <v>36338.31</v>
      </c>
      <c r="BH8" s="1">
        <f>BG8*BI8</f>
        <v>27253.732499999998</v>
      </c>
      <c r="BI8" s="2">
        <v>0.75</v>
      </c>
      <c r="BJ8" s="115"/>
      <c r="BK8" s="58">
        <f>BJ8/BG8</f>
        <v>0</v>
      </c>
      <c r="BL8" s="160">
        <v>33957.5</v>
      </c>
      <c r="BM8" s="1">
        <f>BL8*BN8</f>
        <v>25468.125</v>
      </c>
      <c r="BN8" s="2">
        <v>0.75</v>
      </c>
      <c r="BO8" s="115"/>
      <c r="BP8" s="58">
        <f>BO8/BL8</f>
        <v>0</v>
      </c>
      <c r="BQ8" s="160">
        <v>24974.87</v>
      </c>
      <c r="BR8" s="1">
        <f>BQ8*BS8</f>
        <v>87412.044999999998</v>
      </c>
      <c r="BS8" s="57">
        <v>3.5</v>
      </c>
      <c r="BT8" s="115"/>
      <c r="BU8" s="57">
        <f>BT8/BQ8</f>
        <v>0</v>
      </c>
      <c r="BV8" s="160">
        <v>32668.49</v>
      </c>
      <c r="BW8" s="1">
        <f>BV8*BX8</f>
        <v>114339.71500000001</v>
      </c>
      <c r="BX8" s="57">
        <v>3.5</v>
      </c>
      <c r="BY8" s="108"/>
      <c r="BZ8" s="56">
        <f>BY8/BV8</f>
        <v>0</v>
      </c>
      <c r="CA8" s="160">
        <v>32232.799999999999</v>
      </c>
      <c r="CB8" s="1">
        <f>CA8*CC8</f>
        <v>161164</v>
      </c>
      <c r="CC8" s="57">
        <v>5</v>
      </c>
      <c r="CD8" s="115"/>
      <c r="CE8" s="57">
        <f>CD8/CA8</f>
        <v>0</v>
      </c>
      <c r="CF8" s="160">
        <v>70213.929999999993</v>
      </c>
      <c r="CG8" s="1">
        <f>CF8*CH8</f>
        <v>210641.78999999998</v>
      </c>
      <c r="CH8" s="57">
        <v>3</v>
      </c>
      <c r="CI8" s="115"/>
      <c r="CJ8" s="58">
        <f>CI8/CF8</f>
        <v>0</v>
      </c>
      <c r="CK8" s="160">
        <v>3337.26</v>
      </c>
      <c r="CL8" s="1">
        <f>CK8*CM8</f>
        <v>21692.190000000002</v>
      </c>
      <c r="CM8" s="57">
        <v>6.5</v>
      </c>
      <c r="CN8" s="115"/>
      <c r="CO8" s="57">
        <f>CN8/CK8</f>
        <v>0</v>
      </c>
      <c r="CP8" s="160">
        <v>34609.519999999997</v>
      </c>
      <c r="CQ8" s="1">
        <f>CP8*CR8</f>
        <v>224961.87999999998</v>
      </c>
      <c r="CR8" s="57">
        <v>6.5</v>
      </c>
      <c r="CS8" s="116"/>
      <c r="CT8" s="57">
        <f>CS8/CP8</f>
        <v>0</v>
      </c>
      <c r="CU8" s="160">
        <v>38033.360000000001</v>
      </c>
      <c r="CV8" s="1">
        <f>CU8*CW8</f>
        <v>247216.84</v>
      </c>
      <c r="CW8" s="57">
        <v>6.5</v>
      </c>
      <c r="CX8" s="116"/>
      <c r="CY8" s="129">
        <f>CX8/CU8</f>
        <v>0</v>
      </c>
      <c r="CZ8" s="160">
        <v>35062.230000000003</v>
      </c>
      <c r="DA8" s="1">
        <f>CZ8*DB8</f>
        <v>227904.49500000002</v>
      </c>
      <c r="DB8" s="57">
        <v>6.5</v>
      </c>
      <c r="DC8" s="116"/>
      <c r="DD8" s="58">
        <f>DC8/CZ8</f>
        <v>0</v>
      </c>
      <c r="DE8" s="160">
        <v>32770.400000000001</v>
      </c>
      <c r="DF8" s="1">
        <f>DE8*DG8</f>
        <v>147466.80000000002</v>
      </c>
      <c r="DG8" s="57">
        <v>4.5</v>
      </c>
      <c r="DH8" s="232"/>
      <c r="DI8" s="57">
        <f>DH8/DE8</f>
        <v>0</v>
      </c>
      <c r="DJ8" s="160">
        <v>43338.03</v>
      </c>
      <c r="DK8" s="1">
        <f>DJ8*DL8</f>
        <v>130014.09</v>
      </c>
      <c r="DL8" s="57">
        <v>3</v>
      </c>
      <c r="DM8" s="88"/>
      <c r="DN8" s="57">
        <f>DM8/DJ8</f>
        <v>0</v>
      </c>
      <c r="DO8" s="160">
        <v>43911.97</v>
      </c>
      <c r="DP8" s="1">
        <f>DO8*DQ8</f>
        <v>109779.925</v>
      </c>
      <c r="DQ8" s="57">
        <v>2.5</v>
      </c>
      <c r="DR8" s="88"/>
      <c r="DS8" s="57">
        <f>DR8/DO8</f>
        <v>0</v>
      </c>
      <c r="DT8" s="160">
        <v>32771.620000000003</v>
      </c>
      <c r="DU8" s="1">
        <f>DT8*DV8</f>
        <v>81929.05</v>
      </c>
      <c r="DV8" s="57">
        <v>2.5</v>
      </c>
      <c r="DW8" s="88"/>
      <c r="DX8" s="57">
        <f t="shared" ref="DX8:DX31" si="0">DW8/DT8</f>
        <v>0</v>
      </c>
      <c r="DY8" s="160">
        <v>44040.52</v>
      </c>
      <c r="DZ8" s="1">
        <f>DY8*EA8</f>
        <v>110101.29999999999</v>
      </c>
      <c r="EA8" s="57">
        <v>2.5</v>
      </c>
      <c r="EB8" s="232"/>
      <c r="EC8" s="58">
        <f>EB8/DY8</f>
        <v>0</v>
      </c>
      <c r="ED8" s="160">
        <v>59285.61</v>
      </c>
      <c r="EE8" s="1">
        <f>ED8*EF8</f>
        <v>118571.22</v>
      </c>
      <c r="EF8" s="57">
        <v>2</v>
      </c>
      <c r="EG8" s="232"/>
      <c r="EH8" s="57">
        <f>EG8/ED8</f>
        <v>0</v>
      </c>
      <c r="EI8" s="160">
        <v>61672.53</v>
      </c>
      <c r="EJ8" s="1">
        <f>EI8*EK8</f>
        <v>111010.554</v>
      </c>
      <c r="EK8" s="57">
        <v>1.8</v>
      </c>
      <c r="EL8" s="232"/>
      <c r="EM8" s="57">
        <f>EL8/EI8</f>
        <v>0</v>
      </c>
      <c r="EN8" s="160">
        <v>49735.34</v>
      </c>
      <c r="EO8" s="1">
        <f>EN8*EP8</f>
        <v>89523.611999999994</v>
      </c>
      <c r="EP8" s="57">
        <v>1.8</v>
      </c>
      <c r="EQ8" s="232"/>
      <c r="ER8" s="57">
        <f>EQ8/EN8</f>
        <v>0</v>
      </c>
      <c r="ES8" s="160">
        <v>51880.59</v>
      </c>
      <c r="ET8" s="1">
        <f>ES8*EU8</f>
        <v>93385.061999999991</v>
      </c>
      <c r="EU8" s="57">
        <v>1.8</v>
      </c>
      <c r="EV8" s="232"/>
      <c r="EW8" s="58">
        <f>EV8/ES8</f>
        <v>0</v>
      </c>
      <c r="EX8" s="160">
        <v>55882.84</v>
      </c>
      <c r="EY8" s="1">
        <f>EX8*EZ8</f>
        <v>100589.11199999999</v>
      </c>
      <c r="EZ8" s="57">
        <v>1.8</v>
      </c>
      <c r="FA8" s="232"/>
      <c r="FB8" s="49">
        <f t="shared" ref="FB8:FB32" si="1">FA8/EX8</f>
        <v>0</v>
      </c>
      <c r="FC8" s="160">
        <v>55420.95</v>
      </c>
      <c r="FD8" s="1">
        <f>FC8*FE8</f>
        <v>99757.709999999992</v>
      </c>
      <c r="FE8" s="57">
        <v>1.8</v>
      </c>
      <c r="FF8" s="232"/>
      <c r="FG8" s="56">
        <f>FF8/FC8</f>
        <v>0</v>
      </c>
      <c r="FH8" s="160">
        <v>56458.71</v>
      </c>
      <c r="FI8" s="1">
        <f>FH8*FJ8</f>
        <v>101625.678</v>
      </c>
      <c r="FJ8" s="57">
        <v>1.8</v>
      </c>
      <c r="FK8" s="232"/>
      <c r="FL8" s="90">
        <f>FK8/FH8</f>
        <v>0</v>
      </c>
      <c r="FM8" s="160">
        <v>57024.77</v>
      </c>
      <c r="FN8" s="1">
        <f>FM8*FO8</f>
        <v>102644.586</v>
      </c>
      <c r="FO8" s="57">
        <v>1.8</v>
      </c>
      <c r="FP8" s="232"/>
      <c r="FQ8" s="59">
        <f>FP8/FM8</f>
        <v>0</v>
      </c>
      <c r="FR8" s="160">
        <v>53827.96</v>
      </c>
      <c r="FS8" s="1">
        <f>FR8*FT8</f>
        <v>83971.617599999998</v>
      </c>
      <c r="FT8" s="57">
        <v>1.56</v>
      </c>
      <c r="FU8" s="88"/>
      <c r="FV8" s="90">
        <f>FU8/FR8</f>
        <v>0</v>
      </c>
      <c r="FW8" s="160">
        <v>57182.94</v>
      </c>
      <c r="FX8" s="1">
        <f>FW8*FY8</f>
        <v>89205.386400000003</v>
      </c>
      <c r="FY8" s="57">
        <v>1.56</v>
      </c>
      <c r="FZ8" s="88"/>
      <c r="GA8" s="56">
        <f t="shared" ref="GA8:GA36" si="2">FZ8/FW8</f>
        <v>0</v>
      </c>
      <c r="GB8" s="160">
        <v>52087.55</v>
      </c>
      <c r="GC8" s="1">
        <f>GB8*GD8</f>
        <v>81256.578000000009</v>
      </c>
      <c r="GD8" s="57">
        <v>1.56</v>
      </c>
      <c r="GE8" s="88"/>
      <c r="GF8" s="49">
        <f>GE8/GB8</f>
        <v>0</v>
      </c>
      <c r="GG8" s="160">
        <v>48428.97</v>
      </c>
      <c r="GH8" s="1">
        <f>GG8*GI8</f>
        <v>75549.193200000009</v>
      </c>
      <c r="GI8" s="57">
        <v>1.56</v>
      </c>
      <c r="GJ8" s="108"/>
      <c r="GK8" s="49">
        <f>GJ8/GG8</f>
        <v>0</v>
      </c>
      <c r="GL8" s="160">
        <v>55175.51</v>
      </c>
      <c r="GM8" s="1">
        <f>GL8*GN8</f>
        <v>86073.795600000012</v>
      </c>
      <c r="GN8" s="57">
        <v>1.56</v>
      </c>
      <c r="GO8" s="108"/>
      <c r="GP8" s="59">
        <f>GO8/GL8</f>
        <v>0</v>
      </c>
      <c r="GQ8" s="160">
        <v>56911.9</v>
      </c>
      <c r="GR8" s="1">
        <f>GQ8*GS8</f>
        <v>88782.563999999998</v>
      </c>
      <c r="GS8" s="57">
        <v>1.56</v>
      </c>
      <c r="GT8" s="108"/>
      <c r="GU8" s="49">
        <f>GT8/GQ8</f>
        <v>0</v>
      </c>
      <c r="GV8" s="160">
        <v>50512.95</v>
      </c>
      <c r="GW8" s="1">
        <f>GV8*GX8</f>
        <v>101025.9</v>
      </c>
      <c r="GX8" s="57">
        <v>2</v>
      </c>
      <c r="GY8" s="91"/>
      <c r="GZ8" s="49">
        <f t="shared" ref="GZ8:GZ32" si="3">GY8/GV8</f>
        <v>0</v>
      </c>
      <c r="HA8" s="160">
        <v>45553.85</v>
      </c>
      <c r="HB8" s="1">
        <f>HA8*HC8</f>
        <v>136661.54999999999</v>
      </c>
      <c r="HC8" s="57">
        <v>3</v>
      </c>
      <c r="HD8" s="91"/>
      <c r="HE8" s="49">
        <f>HD8/HA8</f>
        <v>0</v>
      </c>
      <c r="HF8" s="108">
        <v>52667.67</v>
      </c>
      <c r="HG8" s="1">
        <f>HF8*HH8</f>
        <v>210670.68</v>
      </c>
      <c r="HH8" s="57">
        <v>4</v>
      </c>
      <c r="HI8" s="91"/>
      <c r="HJ8" s="59">
        <f>HI8/HF8</f>
        <v>0</v>
      </c>
      <c r="HK8" s="108">
        <v>30939.200000000001</v>
      </c>
      <c r="HL8" s="1">
        <f>HK8*HM8</f>
        <v>170165.6</v>
      </c>
      <c r="HM8" s="57">
        <v>5.5</v>
      </c>
      <c r="HN8" s="93"/>
      <c r="HO8" s="56">
        <f>HN8/HK8</f>
        <v>0</v>
      </c>
      <c r="HP8" s="108">
        <v>37180.959999999999</v>
      </c>
      <c r="HQ8" s="1">
        <f>HP8*HR8</f>
        <v>148723.84</v>
      </c>
      <c r="HR8" s="57">
        <v>4</v>
      </c>
      <c r="HS8" s="92"/>
      <c r="HT8" s="56">
        <f>HS8/HP8</f>
        <v>0</v>
      </c>
      <c r="HU8" s="108">
        <v>70481.289999999994</v>
      </c>
      <c r="HV8" s="1">
        <f>HU8*HW8</f>
        <v>211443.87</v>
      </c>
      <c r="HW8" s="57">
        <v>3</v>
      </c>
      <c r="HX8" s="93"/>
      <c r="HY8" s="56">
        <f>HX8/HU8</f>
        <v>0</v>
      </c>
      <c r="HZ8" s="108">
        <v>104189.61</v>
      </c>
      <c r="IA8" s="1">
        <f>HZ8*IB8</f>
        <v>312568.83</v>
      </c>
      <c r="IB8" s="57">
        <v>3</v>
      </c>
      <c r="IC8" s="93"/>
      <c r="ID8" s="56">
        <f>IC8/HZ8</f>
        <v>0</v>
      </c>
      <c r="IE8" s="108">
        <v>119192.49</v>
      </c>
      <c r="IF8" s="1">
        <f>IE8*IG8</f>
        <v>178788.73500000002</v>
      </c>
      <c r="IG8" s="57">
        <v>1.5</v>
      </c>
      <c r="IH8" s="94"/>
      <c r="II8" s="49">
        <f>IH8/IE8</f>
        <v>0</v>
      </c>
      <c r="IJ8" s="108">
        <v>142360.41</v>
      </c>
      <c r="IK8" s="1">
        <f>IJ8*IL8</f>
        <v>213540.61499999999</v>
      </c>
      <c r="IL8" s="57">
        <v>1.5</v>
      </c>
      <c r="IM8" s="94"/>
      <c r="IN8" s="49">
        <f>IM8/IJ8</f>
        <v>0</v>
      </c>
      <c r="IO8" s="108">
        <v>230304.62</v>
      </c>
      <c r="IP8" s="1">
        <f>IO8*IQ8</f>
        <v>345456.93</v>
      </c>
      <c r="IQ8" s="57">
        <v>1.5</v>
      </c>
      <c r="IR8" s="94"/>
      <c r="IS8" s="49">
        <f>IR8/IO8</f>
        <v>0</v>
      </c>
      <c r="IT8" s="108">
        <v>272374.28999999998</v>
      </c>
      <c r="IU8" s="1">
        <f>IT8*IV8</f>
        <v>408561.43499999994</v>
      </c>
      <c r="IV8" s="57">
        <v>1.5</v>
      </c>
      <c r="IW8" s="94"/>
      <c r="IX8" s="49">
        <f>IW8/IT8</f>
        <v>0</v>
      </c>
      <c r="IY8" s="108">
        <v>59366.35</v>
      </c>
      <c r="IZ8" s="1">
        <f>IY8*JA8</f>
        <v>89049.524999999994</v>
      </c>
      <c r="JA8" s="57">
        <v>1.5</v>
      </c>
      <c r="JB8" s="94"/>
      <c r="JC8" s="56">
        <f>JB8/IY8</f>
        <v>0</v>
      </c>
      <c r="JD8" s="73">
        <f>D8+I8+N8+S8+X8+AC8+AM8+AH8+AR8+AW8+BB8</f>
        <v>750815.39</v>
      </c>
      <c r="JE8" s="73">
        <f>G8+L8+Q8+V8+AA8+AF8+AP8+AK8+AU8+AZ8+BE8</f>
        <v>604083.05999999994</v>
      </c>
      <c r="JF8" s="74">
        <f>JE8-JD8</f>
        <v>-146732.33000000007</v>
      </c>
      <c r="JG8" s="78">
        <f>JE8/JD8</f>
        <v>0.80456936291622894</v>
      </c>
    </row>
    <row r="9" spans="1:267">
      <c r="C9" s="71" t="str">
        <f>"A2"</f>
        <v>A2</v>
      </c>
      <c r="D9" s="164">
        <v>78369.03</v>
      </c>
      <c r="E9" s="1">
        <f t="shared" ref="E9:E36" si="4">D9*F9</f>
        <v>47021.417999999998</v>
      </c>
      <c r="F9" s="2">
        <v>0.6</v>
      </c>
      <c r="G9" s="108">
        <v>58026.39</v>
      </c>
      <c r="H9" s="171">
        <f t="shared" ref="H9:H36" si="5">G9/D9</f>
        <v>0.74042501227844726</v>
      </c>
      <c r="I9" s="169">
        <v>67835.53</v>
      </c>
      <c r="J9" s="1">
        <f t="shared" ref="J9:J36" si="6">I9*K9</f>
        <v>44093.094499999999</v>
      </c>
      <c r="K9" s="2">
        <v>0.65</v>
      </c>
      <c r="L9" s="108">
        <v>43414.65</v>
      </c>
      <c r="M9" s="14">
        <f t="shared" ref="M9:M36" si="7">L9/I9</f>
        <v>0.63999868505486734</v>
      </c>
      <c r="N9" s="164">
        <v>60901.91</v>
      </c>
      <c r="O9" s="1">
        <f t="shared" ref="O9:O36" si="8">N9*P9</f>
        <v>42631.337</v>
      </c>
      <c r="P9" s="2">
        <v>0.7</v>
      </c>
      <c r="Q9" s="108">
        <v>44097.599999999999</v>
      </c>
      <c r="R9" s="13">
        <f t="shared" ref="R9:R36" si="9">Q9/N9</f>
        <v>0.72407581305742297</v>
      </c>
      <c r="S9" s="160">
        <v>65879.25</v>
      </c>
      <c r="T9" s="1">
        <f t="shared" ref="T9:T36" si="10">S9*U9</f>
        <v>49409.4375</v>
      </c>
      <c r="U9" s="2">
        <v>0.75</v>
      </c>
      <c r="V9" s="108">
        <v>46126.1</v>
      </c>
      <c r="W9" s="13">
        <f t="shared" ref="W9:W36" si="11">V9/S9</f>
        <v>0.70016127991742461</v>
      </c>
      <c r="X9" s="108">
        <v>68164.02</v>
      </c>
      <c r="Y9" s="1">
        <f t="shared" ref="Y9:Y36" si="12">X9*Z9</f>
        <v>54531.216000000008</v>
      </c>
      <c r="Z9" s="2">
        <v>0.8</v>
      </c>
      <c r="AA9" s="108">
        <v>45511.91</v>
      </c>
      <c r="AB9" s="13">
        <f t="shared" ref="AB9:AB36" si="13">AA9/X9</f>
        <v>0.66768230512226245</v>
      </c>
      <c r="AC9" s="108">
        <v>108190.95</v>
      </c>
      <c r="AD9" s="1">
        <f t="shared" ref="AD9:AD36" si="14">AC9*AE9</f>
        <v>77897.483999999997</v>
      </c>
      <c r="AE9" s="2">
        <v>0.72</v>
      </c>
      <c r="AF9" s="108">
        <v>58825.17</v>
      </c>
      <c r="AG9" s="13">
        <f t="shared" ref="AG9:AG36" si="15">AF9/AC9</f>
        <v>0.54371617958803398</v>
      </c>
      <c r="AH9" s="108">
        <v>74170.66</v>
      </c>
      <c r="AI9" s="1">
        <f t="shared" ref="AI9:AI36" si="16">AH9*AJ9</f>
        <v>44502.396000000001</v>
      </c>
      <c r="AJ9" s="2">
        <v>0.6</v>
      </c>
      <c r="AK9" s="108">
        <v>50469.21</v>
      </c>
      <c r="AL9" s="13">
        <f t="shared" ref="AL9:AL36" si="17">AK9/AH9</f>
        <v>0.68044709323066555</v>
      </c>
      <c r="AM9" s="108">
        <v>67670.320000000007</v>
      </c>
      <c r="AN9" s="1">
        <f t="shared" ref="AN9:AN36" si="18">AM9*AO9</f>
        <v>40602.192000000003</v>
      </c>
      <c r="AO9" s="2">
        <v>0.6</v>
      </c>
      <c r="AP9" s="108">
        <v>44277.63</v>
      </c>
      <c r="AQ9" s="13">
        <f t="shared" ref="AQ9:AQ36" si="19">AP9/AM9</f>
        <v>0.65431388531929502</v>
      </c>
      <c r="AR9" s="160">
        <v>71224.61</v>
      </c>
      <c r="AS9" s="1">
        <f t="shared" ref="AS9:AS36" si="20">AR9*AT9</f>
        <v>53418.457500000004</v>
      </c>
      <c r="AT9" s="2">
        <v>0.75</v>
      </c>
      <c r="AU9" s="108">
        <v>45022.720000000001</v>
      </c>
      <c r="AV9" s="13">
        <f t="shared" ref="AV9:AV36" si="21">AU9/AR9</f>
        <v>0.63212308217623092</v>
      </c>
      <c r="AW9" s="160">
        <v>79543.14</v>
      </c>
      <c r="AX9" s="1">
        <f t="shared" ref="AX9:AX36" si="22">AW9*AY9</f>
        <v>59657.354999999996</v>
      </c>
      <c r="AY9" s="2">
        <v>0.75</v>
      </c>
      <c r="AZ9" s="108">
        <v>54553.07</v>
      </c>
      <c r="BA9" s="60">
        <f t="shared" ref="BA9:BA36" si="23">AZ9/AW9</f>
        <v>0.68582997855000449</v>
      </c>
      <c r="BB9" s="160">
        <v>66907.25</v>
      </c>
      <c r="BC9" s="1">
        <f t="shared" ref="BC9:BC36" si="24">BB9*BD9</f>
        <v>46835.074999999997</v>
      </c>
      <c r="BD9" s="2">
        <v>0.7</v>
      </c>
      <c r="BE9" s="108">
        <v>57919.45</v>
      </c>
      <c r="BF9" s="17">
        <f t="shared" ref="BF9:BF36" si="25">BE9/BB9</f>
        <v>0.86566777142985252</v>
      </c>
      <c r="BG9" s="160">
        <v>51818.48</v>
      </c>
      <c r="BH9" s="1">
        <f t="shared" ref="BH9:BH36" si="26">BG9*BI9</f>
        <v>38863.86</v>
      </c>
      <c r="BI9" s="2">
        <v>0.75</v>
      </c>
      <c r="BJ9" s="115"/>
      <c r="BK9" s="60">
        <f t="shared" ref="BK9:BK34" si="27">BJ9/BG9</f>
        <v>0</v>
      </c>
      <c r="BL9" s="160">
        <v>54164.46</v>
      </c>
      <c r="BM9" s="1">
        <f t="shared" ref="BM9:BM36" si="28">BL9*BN9</f>
        <v>40623.345000000001</v>
      </c>
      <c r="BN9" s="2">
        <v>0.75</v>
      </c>
      <c r="BO9" s="115"/>
      <c r="BP9" s="60">
        <f t="shared" ref="BP9:BP32" si="29">BO9/BL9</f>
        <v>0</v>
      </c>
      <c r="BQ9" s="160">
        <v>38054.959999999999</v>
      </c>
      <c r="BR9" s="1">
        <f t="shared" ref="BR9:BR36" si="30">BQ9*BS9</f>
        <v>133192.35999999999</v>
      </c>
      <c r="BS9" s="57">
        <v>3.5</v>
      </c>
      <c r="BT9" s="115"/>
      <c r="BU9" s="16">
        <f t="shared" ref="BU9:BU31" si="31">BT9/BQ9</f>
        <v>0</v>
      </c>
      <c r="BV9" s="160">
        <v>4717.72</v>
      </c>
      <c r="BW9" s="1">
        <f t="shared" ref="BW9:BW36" si="32">BV9*BX9</f>
        <v>16512.02</v>
      </c>
      <c r="BX9" s="57">
        <v>3.5</v>
      </c>
      <c r="BY9" s="108"/>
      <c r="BZ9" s="14">
        <f t="shared" ref="BZ9:BZ31" si="33">BY9/BV9</f>
        <v>0</v>
      </c>
      <c r="CA9" s="160"/>
      <c r="CB9" s="1">
        <f t="shared" ref="CB9:CB36" si="34">CA9*CC9</f>
        <v>0</v>
      </c>
      <c r="CC9" s="57">
        <v>5</v>
      </c>
      <c r="CD9" s="115"/>
      <c r="CE9" s="16" t="e">
        <f t="shared" ref="CE9:CE32" si="35">CD9/CA9</f>
        <v>#DIV/0!</v>
      </c>
      <c r="CF9" s="160"/>
      <c r="CG9" s="1">
        <f t="shared" ref="CG9:CG36" si="36">CF9*CH9</f>
        <v>0</v>
      </c>
      <c r="CH9" s="57">
        <v>3</v>
      </c>
      <c r="CI9" s="115"/>
      <c r="CJ9" s="18" t="e">
        <f t="shared" ref="CJ9:CJ35" si="37">CI9/CF9</f>
        <v>#DIV/0!</v>
      </c>
      <c r="CK9" s="160"/>
      <c r="CL9" s="1">
        <f t="shared" ref="CL9:CL36" si="38">CK9*CM9</f>
        <v>0</v>
      </c>
      <c r="CM9" s="57">
        <v>6.5</v>
      </c>
      <c r="CN9" s="115"/>
      <c r="CO9" s="16" t="e">
        <f t="shared" ref="CO9:CO32" si="39">CN9/CK9</f>
        <v>#DIV/0!</v>
      </c>
      <c r="CP9" s="160">
        <v>3325.98</v>
      </c>
      <c r="CQ9" s="1">
        <f t="shared" ref="CQ9:CQ27" si="40">CP9*CR9</f>
        <v>21618.87</v>
      </c>
      <c r="CR9" s="57">
        <v>6.5</v>
      </c>
      <c r="CS9" s="116"/>
      <c r="CT9" s="16">
        <f t="shared" ref="CT9:CT32" si="41">CS9/CP9</f>
        <v>0</v>
      </c>
      <c r="CU9" s="160">
        <v>27540.91</v>
      </c>
      <c r="CV9" s="1">
        <f t="shared" ref="CV9:CV27" si="42">CU9*CW9</f>
        <v>179015.91500000001</v>
      </c>
      <c r="CW9" s="57">
        <v>6.5</v>
      </c>
      <c r="CX9" s="116"/>
      <c r="CY9" s="130">
        <f t="shared" ref="CY9:CY32" si="43">CX9/CU9</f>
        <v>0</v>
      </c>
      <c r="CZ9" s="160">
        <v>15715.49</v>
      </c>
      <c r="DA9" s="1">
        <f t="shared" ref="DA9:DA27" si="44">CZ9*DB9</f>
        <v>102150.685</v>
      </c>
      <c r="DB9" s="57">
        <v>6.5</v>
      </c>
      <c r="DC9" s="116"/>
      <c r="DD9" s="18">
        <f t="shared" ref="DD9:DD32" si="45">DC9/CZ9</f>
        <v>0</v>
      </c>
      <c r="DE9" s="160">
        <v>30185.83</v>
      </c>
      <c r="DF9" s="1">
        <f t="shared" ref="DF9:DF27" si="46">DE9*DG9</f>
        <v>135836.23500000002</v>
      </c>
      <c r="DG9" s="57">
        <v>4.5</v>
      </c>
      <c r="DH9" s="232"/>
      <c r="DI9" s="16">
        <f t="shared" ref="DI9:DI36" si="47">DH9/DE9</f>
        <v>0</v>
      </c>
      <c r="DJ9" s="160">
        <v>40125.25</v>
      </c>
      <c r="DK9" s="1">
        <f t="shared" ref="DK9:DK27" si="48">DJ9*DL9</f>
        <v>120375.75</v>
      </c>
      <c r="DL9" s="57">
        <v>3</v>
      </c>
      <c r="DM9" s="88"/>
      <c r="DN9" s="16">
        <f>DM9/DJ9</f>
        <v>0</v>
      </c>
      <c r="DO9" s="160">
        <v>62662.74</v>
      </c>
      <c r="DP9" s="1">
        <f t="shared" ref="DP9:DP27" si="49">DO9*DQ9</f>
        <v>156656.85</v>
      </c>
      <c r="DQ9" s="57">
        <v>2.5</v>
      </c>
      <c r="DR9" s="88"/>
      <c r="DS9" s="16">
        <f t="shared" ref="DS9:DS35" si="50">DR9/DO9</f>
        <v>0</v>
      </c>
      <c r="DT9" s="160">
        <v>63311.56</v>
      </c>
      <c r="DU9" s="1">
        <f t="shared" ref="DU9:DU27" si="51">DT9*DV9</f>
        <v>158278.9</v>
      </c>
      <c r="DV9" s="57">
        <v>2.5</v>
      </c>
      <c r="DW9" s="88"/>
      <c r="DX9" s="16">
        <f t="shared" si="0"/>
        <v>0</v>
      </c>
      <c r="DY9" s="160">
        <v>72927.42</v>
      </c>
      <c r="DZ9" s="1">
        <f t="shared" ref="DZ9:DZ27" si="52">DY9*EA9</f>
        <v>182318.55</v>
      </c>
      <c r="EA9" s="57">
        <v>2.5</v>
      </c>
      <c r="EB9" s="232"/>
      <c r="EC9" s="18">
        <f t="shared" ref="EC9:EC35" si="53">EB9/DY9</f>
        <v>0</v>
      </c>
      <c r="ED9" s="160">
        <v>69332.72</v>
      </c>
      <c r="EE9" s="1">
        <f t="shared" ref="EE9:EE27" si="54">ED9*EF9</f>
        <v>138665.44</v>
      </c>
      <c r="EF9" s="57">
        <v>2</v>
      </c>
      <c r="EG9" s="232"/>
      <c r="EH9" s="16">
        <f t="shared" ref="EH9:EH32" si="55">EG9/ED9</f>
        <v>0</v>
      </c>
      <c r="EI9" s="160">
        <v>78138.02</v>
      </c>
      <c r="EJ9" s="1">
        <f t="shared" ref="EJ9:EJ27" si="56">EI9*EK9</f>
        <v>140648.43600000002</v>
      </c>
      <c r="EK9" s="57">
        <v>1.8</v>
      </c>
      <c r="EL9" s="232"/>
      <c r="EM9" s="16">
        <f t="shared" ref="EM9:EM32" si="57">EL9/EI9</f>
        <v>0</v>
      </c>
      <c r="EN9" s="160">
        <v>65610.98</v>
      </c>
      <c r="EO9" s="1">
        <f t="shared" ref="EO9:EO27" si="58">EN9*EP9</f>
        <v>118099.764</v>
      </c>
      <c r="EP9" s="57">
        <v>1.8</v>
      </c>
      <c r="EQ9" s="232"/>
      <c r="ER9" s="16">
        <f t="shared" ref="ER9:ER35" si="59">EQ9/EN9</f>
        <v>0</v>
      </c>
      <c r="ES9" s="160">
        <v>70151.56</v>
      </c>
      <c r="ET9" s="1">
        <f t="shared" ref="ET9:ET27" si="60">ES9*EU9</f>
        <v>126272.808</v>
      </c>
      <c r="EU9" s="57">
        <v>1.8</v>
      </c>
      <c r="EV9" s="232"/>
      <c r="EW9" s="18">
        <f t="shared" ref="EW9:EW32" si="61">EV9/ES9</f>
        <v>0</v>
      </c>
      <c r="EX9" s="160">
        <v>69649.87</v>
      </c>
      <c r="EY9" s="1">
        <f t="shared" ref="EY9:EY27" si="62">EX9*EZ9</f>
        <v>125369.76599999999</v>
      </c>
      <c r="EZ9" s="57">
        <v>1.8</v>
      </c>
      <c r="FA9" s="232"/>
      <c r="FB9" s="32">
        <f t="shared" si="1"/>
        <v>0</v>
      </c>
      <c r="FC9" s="160">
        <v>64276.89</v>
      </c>
      <c r="FD9" s="1">
        <f t="shared" ref="FD9:FD27" si="63">FC9*FE9</f>
        <v>115698.402</v>
      </c>
      <c r="FE9" s="57">
        <v>1.8</v>
      </c>
      <c r="FF9" s="232"/>
      <c r="FG9" s="14">
        <f t="shared" ref="FG9:FG36" si="64">FF9/FC9</f>
        <v>0</v>
      </c>
      <c r="FH9" s="160">
        <v>60612.160000000003</v>
      </c>
      <c r="FI9" s="1">
        <f t="shared" ref="FI9:FI27" si="65">FH9*FJ9</f>
        <v>109101.88800000001</v>
      </c>
      <c r="FJ9" s="57">
        <v>1.8</v>
      </c>
      <c r="FK9" s="232"/>
      <c r="FL9" s="234">
        <f t="shared" ref="FL9:FL32" si="66">FK9/FH9</f>
        <v>0</v>
      </c>
      <c r="FM9" s="160">
        <v>56433.03</v>
      </c>
      <c r="FN9" s="1">
        <f t="shared" ref="FN9:FN27" si="67">FM9*FO9</f>
        <v>101579.454</v>
      </c>
      <c r="FO9" s="57">
        <v>1.8</v>
      </c>
      <c r="FP9" s="232"/>
      <c r="FQ9" s="13">
        <f t="shared" ref="FQ9:FQ32" si="68">FP9/FM9</f>
        <v>0</v>
      </c>
      <c r="FR9" s="160">
        <v>60118.57</v>
      </c>
      <c r="FS9" s="1">
        <f t="shared" ref="FS9:FS27" si="69">FR9*FT9</f>
        <v>93784.969200000007</v>
      </c>
      <c r="FT9" s="57">
        <v>1.56</v>
      </c>
      <c r="FU9" s="88"/>
      <c r="FV9" s="31">
        <f t="shared" ref="FV9:FV36" si="70">FU9/FR9</f>
        <v>0</v>
      </c>
      <c r="FW9" s="160">
        <v>55878.92</v>
      </c>
      <c r="FX9" s="1">
        <f t="shared" ref="FX9:FX27" si="71">FW9*FY9</f>
        <v>87171.1152</v>
      </c>
      <c r="FY9" s="57">
        <v>1.56</v>
      </c>
      <c r="FZ9" s="88"/>
      <c r="GA9" s="14">
        <f t="shared" si="2"/>
        <v>0</v>
      </c>
      <c r="GB9" s="160">
        <v>59260.38</v>
      </c>
      <c r="GC9" s="1">
        <f t="shared" ref="GC9:GC27" si="72">GB9*GD9</f>
        <v>92446.192800000004</v>
      </c>
      <c r="GD9" s="57">
        <v>1.56</v>
      </c>
      <c r="GE9" s="88"/>
      <c r="GF9" s="32">
        <f t="shared" ref="GF9:GF36" si="73">GE9/GB9</f>
        <v>0</v>
      </c>
      <c r="GG9" s="160">
        <v>60439.97</v>
      </c>
      <c r="GH9" s="1">
        <f t="shared" ref="GH9:GH27" si="74">GG9*GI9</f>
        <v>94286.353200000012</v>
      </c>
      <c r="GI9" s="57">
        <v>1.56</v>
      </c>
      <c r="GJ9" s="108"/>
      <c r="GK9" s="32">
        <f t="shared" ref="GK9:GK36" si="75">GJ9/GG9</f>
        <v>0</v>
      </c>
      <c r="GL9" s="160">
        <v>60724.28</v>
      </c>
      <c r="GM9" s="1">
        <f t="shared" ref="GM9:GM27" si="76">GL9*GN9</f>
        <v>94729.876799999998</v>
      </c>
      <c r="GN9" s="57">
        <v>1.56</v>
      </c>
      <c r="GO9" s="108"/>
      <c r="GP9" s="13">
        <f t="shared" ref="GP9:GP32" si="77">GO9/GL9</f>
        <v>0</v>
      </c>
      <c r="GQ9" s="160">
        <v>61492.1</v>
      </c>
      <c r="GR9" s="1">
        <f t="shared" ref="GR9:GR27" si="78">GQ9*GS9</f>
        <v>95927.676000000007</v>
      </c>
      <c r="GS9" s="57">
        <v>1.56</v>
      </c>
      <c r="GT9" s="108"/>
      <c r="GU9" s="32">
        <f t="shared" ref="GU9:GU36" si="79">GT9/GQ9</f>
        <v>0</v>
      </c>
      <c r="GV9" s="160">
        <v>58083.519999999997</v>
      </c>
      <c r="GW9" s="1">
        <f t="shared" ref="GW9:GW27" si="80">GV9*GX9</f>
        <v>116167.03999999999</v>
      </c>
      <c r="GX9" s="57">
        <v>2</v>
      </c>
      <c r="GY9" s="96"/>
      <c r="GZ9" s="32">
        <f t="shared" si="3"/>
        <v>0</v>
      </c>
      <c r="HA9" s="160">
        <v>48509.85</v>
      </c>
      <c r="HB9" s="1">
        <f t="shared" ref="HB9:HB27" si="81">HA9*HC9</f>
        <v>145529.54999999999</v>
      </c>
      <c r="HC9" s="57">
        <v>3</v>
      </c>
      <c r="HD9" s="96"/>
      <c r="HE9" s="32">
        <f>HD9/HA9</f>
        <v>0</v>
      </c>
      <c r="HF9" s="108">
        <v>54037.97</v>
      </c>
      <c r="HG9" s="1">
        <f t="shared" ref="HG9:HG27" si="82">HF9*HH9</f>
        <v>270189.84999999998</v>
      </c>
      <c r="HH9" s="57">
        <v>5</v>
      </c>
      <c r="HI9" s="96"/>
      <c r="HJ9" s="13">
        <f t="shared" ref="HJ9:HJ32" si="83">HI9/HF9</f>
        <v>0</v>
      </c>
      <c r="HK9" s="108">
        <v>35461.449999999997</v>
      </c>
      <c r="HL9" s="1">
        <f t="shared" ref="HL9:HL27" si="84">HK9*HM9</f>
        <v>195037.97499999998</v>
      </c>
      <c r="HM9" s="57">
        <v>5.5</v>
      </c>
      <c r="HN9" s="97"/>
      <c r="HO9" s="14">
        <f t="shared" ref="HO9:HO32" si="85">HN9/HK9</f>
        <v>0</v>
      </c>
      <c r="HP9" s="108">
        <v>36470.78</v>
      </c>
      <c r="HQ9" s="1">
        <f t="shared" ref="HQ9:HQ27" si="86">HP9*HR9</f>
        <v>182353.9</v>
      </c>
      <c r="HR9" s="57">
        <v>5</v>
      </c>
      <c r="HS9" s="81"/>
      <c r="HT9" s="14">
        <f t="shared" ref="HT9:HT32" si="87">HS9/HP9</f>
        <v>0</v>
      </c>
      <c r="HU9" s="108">
        <v>62923.67</v>
      </c>
      <c r="HV9" s="1">
        <f t="shared" ref="HV9:HV27" si="88">HU9*HW9</f>
        <v>188771.01</v>
      </c>
      <c r="HW9" s="57">
        <v>3</v>
      </c>
      <c r="HX9" s="97"/>
      <c r="HY9" s="14">
        <f t="shared" ref="HY9:HY34" si="89">HX9/HU9</f>
        <v>0</v>
      </c>
      <c r="HZ9" s="108">
        <v>88385.49</v>
      </c>
      <c r="IA9" s="1">
        <f t="shared" ref="IA9:IA27" si="90">HZ9*IB9</f>
        <v>265156.47000000003</v>
      </c>
      <c r="IB9" s="57">
        <v>3</v>
      </c>
      <c r="IC9" s="97"/>
      <c r="ID9" s="14">
        <f t="shared" ref="ID9:ID34" si="91">IC9/HZ9</f>
        <v>0</v>
      </c>
      <c r="IE9" s="108">
        <v>96996.6</v>
      </c>
      <c r="IF9" s="1">
        <f t="shared" ref="IF9:IF27" si="92">IE9*IG9</f>
        <v>145494.90000000002</v>
      </c>
      <c r="IG9" s="57">
        <v>1.5</v>
      </c>
      <c r="IH9" s="88"/>
      <c r="II9" s="32">
        <f t="shared" ref="II9:II36" si="93">IH9/IE9</f>
        <v>0</v>
      </c>
      <c r="IJ9" s="108">
        <v>119200.16</v>
      </c>
      <c r="IK9" s="1">
        <f t="shared" ref="IK9:IK27" si="94">IJ9*IL9</f>
        <v>178800.24</v>
      </c>
      <c r="IL9" s="57">
        <v>1.5</v>
      </c>
      <c r="IM9" s="88"/>
      <c r="IN9" s="32">
        <f t="shared" ref="IN9:IN36" si="95">IM9/IJ9</f>
        <v>0</v>
      </c>
      <c r="IO9" s="108">
        <v>152996.04</v>
      </c>
      <c r="IP9" s="1">
        <f t="shared" ref="IP9:IP27" si="96">IO9*IQ9</f>
        <v>229494.06</v>
      </c>
      <c r="IQ9" s="57">
        <v>1.5</v>
      </c>
      <c r="IR9" s="88"/>
      <c r="IS9" s="32">
        <f t="shared" ref="IS9:IS36" si="97">IR9/IO9</f>
        <v>0</v>
      </c>
      <c r="IT9" s="108">
        <v>230453.39</v>
      </c>
      <c r="IU9" s="1">
        <f t="shared" ref="IU9:IU27" si="98">IT9*IV9</f>
        <v>345680.08500000002</v>
      </c>
      <c r="IV9" s="57">
        <v>1.5</v>
      </c>
      <c r="IW9" s="88"/>
      <c r="IX9" s="32">
        <f t="shared" ref="IX9:IX36" si="99">IW9/IT9</f>
        <v>0</v>
      </c>
      <c r="IY9" s="108">
        <v>55933.68</v>
      </c>
      <c r="IZ9" s="1">
        <f t="shared" ref="IZ9:IZ27" si="100">IY9*JA9</f>
        <v>83900.52</v>
      </c>
      <c r="JA9" s="57">
        <v>1.5</v>
      </c>
      <c r="JB9" s="88"/>
      <c r="JC9" s="14">
        <f t="shared" ref="JC9:JC36" si="101">JB9/IY9</f>
        <v>0</v>
      </c>
      <c r="JD9" s="73">
        <f t="shared" ref="JD9:JD36" si="102">D9+I9+N9+S9+X9+AC9+AM9+AH9+AR9+AW9+BB9</f>
        <v>808856.67</v>
      </c>
      <c r="JE9" s="73">
        <f t="shared" ref="JE9:JE36" si="103">G9+L9+Q9+V9+AA9+AF9+AP9+AK9+AU9+AZ9+BE9</f>
        <v>548243.9</v>
      </c>
      <c r="JF9" s="75">
        <f t="shared" ref="JF9:JF37" si="104">JE9-JD9</f>
        <v>-260612.77000000002</v>
      </c>
      <c r="JG9" s="11">
        <f t="shared" ref="JG9:JG36" si="105">JE9/JD9</f>
        <v>0.67780104972120714</v>
      </c>
    </row>
    <row r="10" spans="1:267">
      <c r="C10" s="71" t="str">
        <f>"A3"</f>
        <v>A3</v>
      </c>
      <c r="D10" s="164">
        <v>60587.360000000001</v>
      </c>
      <c r="E10" s="1">
        <f t="shared" si="4"/>
        <v>36352.415999999997</v>
      </c>
      <c r="F10" s="2">
        <v>0.6</v>
      </c>
      <c r="G10" s="108">
        <v>43169.3</v>
      </c>
      <c r="H10" s="171">
        <f t="shared" si="5"/>
        <v>0.71251330310480609</v>
      </c>
      <c r="I10" s="169">
        <v>53522.11</v>
      </c>
      <c r="J10" s="1">
        <f t="shared" si="6"/>
        <v>26761.055</v>
      </c>
      <c r="K10" s="2">
        <v>0.5</v>
      </c>
      <c r="L10" s="108">
        <v>36952.089999999997</v>
      </c>
      <c r="M10" s="14">
        <f t="shared" si="7"/>
        <v>0.69040794542666561</v>
      </c>
      <c r="N10" s="164">
        <v>54758.31</v>
      </c>
      <c r="O10" s="1">
        <f t="shared" si="8"/>
        <v>41068.732499999998</v>
      </c>
      <c r="P10" s="2">
        <v>0.75</v>
      </c>
      <c r="Q10" s="108">
        <v>36998.49</v>
      </c>
      <c r="R10" s="13">
        <f t="shared" si="9"/>
        <v>0.6756689532602449</v>
      </c>
      <c r="S10" s="160">
        <v>45923.13</v>
      </c>
      <c r="T10" s="1">
        <f t="shared" si="10"/>
        <v>32146.190999999995</v>
      </c>
      <c r="U10" s="2">
        <v>0.7</v>
      </c>
      <c r="V10" s="108">
        <v>30968.18</v>
      </c>
      <c r="W10" s="13">
        <f t="shared" si="11"/>
        <v>0.67434819882703989</v>
      </c>
      <c r="X10" s="108">
        <v>59279.57</v>
      </c>
      <c r="Y10" s="1">
        <f t="shared" si="12"/>
        <v>41495.699000000001</v>
      </c>
      <c r="Z10" s="2">
        <v>0.7</v>
      </c>
      <c r="AA10" s="108">
        <v>46920.81</v>
      </c>
      <c r="AB10" s="13">
        <f t="shared" si="13"/>
        <v>0.79151738111460657</v>
      </c>
      <c r="AC10" s="108">
        <v>79537.539999999994</v>
      </c>
      <c r="AD10" s="1">
        <f t="shared" si="14"/>
        <v>67606.909</v>
      </c>
      <c r="AE10" s="2">
        <v>0.85</v>
      </c>
      <c r="AF10" s="108">
        <v>51089.96</v>
      </c>
      <c r="AG10" s="13">
        <f t="shared" si="15"/>
        <v>0.64233769362240778</v>
      </c>
      <c r="AH10" s="108">
        <v>56093.99</v>
      </c>
      <c r="AI10" s="1">
        <f t="shared" si="16"/>
        <v>33656.394</v>
      </c>
      <c r="AJ10" s="2">
        <v>0.6</v>
      </c>
      <c r="AK10" s="108">
        <v>34738.32</v>
      </c>
      <c r="AL10" s="13">
        <f t="shared" si="17"/>
        <v>0.6192877347466279</v>
      </c>
      <c r="AM10" s="108">
        <v>54771.23</v>
      </c>
      <c r="AN10" s="1">
        <f t="shared" si="18"/>
        <v>32862.737999999998</v>
      </c>
      <c r="AO10" s="2">
        <v>0.6</v>
      </c>
      <c r="AP10" s="108">
        <v>45014.39</v>
      </c>
      <c r="AQ10" s="13">
        <f t="shared" si="19"/>
        <v>0.8218619519773428</v>
      </c>
      <c r="AR10" s="160">
        <v>53576</v>
      </c>
      <c r="AS10" s="1">
        <f t="shared" si="20"/>
        <v>40182</v>
      </c>
      <c r="AT10" s="2">
        <v>0.75</v>
      </c>
      <c r="AU10" s="108">
        <v>36962.82</v>
      </c>
      <c r="AV10" s="13">
        <f t="shared" si="21"/>
        <v>0.68991376735851873</v>
      </c>
      <c r="AW10" s="160">
        <v>58356.07</v>
      </c>
      <c r="AX10" s="1">
        <f t="shared" si="22"/>
        <v>43767.052499999998</v>
      </c>
      <c r="AY10" s="2">
        <v>0.75</v>
      </c>
      <c r="AZ10" s="108">
        <v>45259.1</v>
      </c>
      <c r="BA10" s="60">
        <f t="shared" si="23"/>
        <v>0.77556799147029609</v>
      </c>
      <c r="BB10" s="160">
        <v>46828.34</v>
      </c>
      <c r="BC10" s="1">
        <f t="shared" si="24"/>
        <v>32779.837999999996</v>
      </c>
      <c r="BD10" s="2">
        <v>0.7</v>
      </c>
      <c r="BE10" s="108">
        <v>50014.37</v>
      </c>
      <c r="BF10" s="17">
        <f t="shared" si="25"/>
        <v>1.0680363643041801</v>
      </c>
      <c r="BG10" s="160">
        <v>46706.53</v>
      </c>
      <c r="BH10" s="1">
        <f t="shared" si="26"/>
        <v>35029.897499999999</v>
      </c>
      <c r="BI10" s="2">
        <v>0.75</v>
      </c>
      <c r="BJ10" s="115"/>
      <c r="BK10" s="60">
        <f t="shared" si="27"/>
        <v>0</v>
      </c>
      <c r="BL10" s="160">
        <v>46030.44</v>
      </c>
      <c r="BM10" s="1">
        <f t="shared" si="28"/>
        <v>34522.83</v>
      </c>
      <c r="BN10" s="2">
        <v>0.75</v>
      </c>
      <c r="BO10" s="115"/>
      <c r="BP10" s="60">
        <f t="shared" si="29"/>
        <v>0</v>
      </c>
      <c r="BQ10" s="160">
        <v>41142.230000000003</v>
      </c>
      <c r="BR10" s="1">
        <f t="shared" si="30"/>
        <v>143997.80500000002</v>
      </c>
      <c r="BS10" s="57">
        <v>3.5</v>
      </c>
      <c r="BT10" s="115"/>
      <c r="BU10" s="16">
        <f t="shared" si="31"/>
        <v>0</v>
      </c>
      <c r="BV10" s="160">
        <v>44713.53</v>
      </c>
      <c r="BW10" s="1">
        <f t="shared" si="32"/>
        <v>156497.35499999998</v>
      </c>
      <c r="BX10" s="57">
        <v>3.5</v>
      </c>
      <c r="BY10" s="108"/>
      <c r="BZ10" s="14">
        <f t="shared" si="33"/>
        <v>0</v>
      </c>
      <c r="CA10" s="160">
        <v>40909.440000000002</v>
      </c>
      <c r="CB10" s="1">
        <f t="shared" si="34"/>
        <v>204547.20000000001</v>
      </c>
      <c r="CC10" s="57">
        <v>5</v>
      </c>
      <c r="CD10" s="115"/>
      <c r="CE10" s="16">
        <f t="shared" si="35"/>
        <v>0</v>
      </c>
      <c r="CF10" s="160">
        <v>84327.72</v>
      </c>
      <c r="CG10" s="1">
        <f t="shared" si="36"/>
        <v>252983.16</v>
      </c>
      <c r="CH10" s="57">
        <v>3</v>
      </c>
      <c r="CI10" s="115"/>
      <c r="CJ10" s="18">
        <f t="shared" si="37"/>
        <v>0</v>
      </c>
      <c r="CK10" s="160">
        <v>4778.8100000000004</v>
      </c>
      <c r="CL10" s="1">
        <f t="shared" si="38"/>
        <v>31062.265000000003</v>
      </c>
      <c r="CM10" s="57">
        <v>6.5</v>
      </c>
      <c r="CN10" s="115"/>
      <c r="CO10" s="16">
        <f t="shared" si="39"/>
        <v>0</v>
      </c>
      <c r="CP10" s="160">
        <v>20318.43</v>
      </c>
      <c r="CQ10" s="1">
        <f t="shared" si="40"/>
        <v>132069.79500000001</v>
      </c>
      <c r="CR10" s="57">
        <v>6.5</v>
      </c>
      <c r="CS10" s="116"/>
      <c r="CT10" s="16">
        <f t="shared" si="41"/>
        <v>0</v>
      </c>
      <c r="CU10" s="160">
        <v>28204.93</v>
      </c>
      <c r="CV10" s="1">
        <f t="shared" si="42"/>
        <v>183332.04500000001</v>
      </c>
      <c r="CW10" s="57">
        <v>6.5</v>
      </c>
      <c r="CX10" s="116"/>
      <c r="CY10" s="130">
        <f t="shared" si="43"/>
        <v>0</v>
      </c>
      <c r="CZ10" s="160">
        <v>24996.39</v>
      </c>
      <c r="DA10" s="1">
        <f t="shared" si="44"/>
        <v>162476.535</v>
      </c>
      <c r="DB10" s="57">
        <v>6.5</v>
      </c>
      <c r="DC10" s="116"/>
      <c r="DD10" s="18">
        <f t="shared" si="45"/>
        <v>0</v>
      </c>
      <c r="DE10" s="160">
        <v>32536.06</v>
      </c>
      <c r="DF10" s="1">
        <f t="shared" si="46"/>
        <v>146412.27000000002</v>
      </c>
      <c r="DG10" s="57">
        <v>4.5</v>
      </c>
      <c r="DH10" s="232"/>
      <c r="DI10" s="16">
        <f t="shared" si="47"/>
        <v>0</v>
      </c>
      <c r="DJ10" s="160">
        <v>33690.379999999997</v>
      </c>
      <c r="DK10" s="1">
        <f t="shared" si="48"/>
        <v>101071.13999999998</v>
      </c>
      <c r="DL10" s="57">
        <v>3</v>
      </c>
      <c r="DM10" s="88"/>
      <c r="DN10" s="16">
        <f t="shared" ref="DN10:DN32" si="106">DM10/DJ10</f>
        <v>0</v>
      </c>
      <c r="DO10" s="160">
        <v>50944.32</v>
      </c>
      <c r="DP10" s="1">
        <f t="shared" si="49"/>
        <v>127360.8</v>
      </c>
      <c r="DQ10" s="57">
        <v>2.5</v>
      </c>
      <c r="DR10" s="88"/>
      <c r="DS10" s="16">
        <f t="shared" si="50"/>
        <v>0</v>
      </c>
      <c r="DT10" s="160">
        <v>42513.4</v>
      </c>
      <c r="DU10" s="1">
        <f t="shared" si="51"/>
        <v>106283.5</v>
      </c>
      <c r="DV10" s="57">
        <v>2.5</v>
      </c>
      <c r="DW10" s="88"/>
      <c r="DX10" s="16">
        <f t="shared" si="0"/>
        <v>0</v>
      </c>
      <c r="DY10" s="160">
        <v>49553.66</v>
      </c>
      <c r="DZ10" s="1">
        <f t="shared" si="52"/>
        <v>123884.15000000001</v>
      </c>
      <c r="EA10" s="57">
        <v>2.5</v>
      </c>
      <c r="EB10" s="232"/>
      <c r="EC10" s="18">
        <f t="shared" si="53"/>
        <v>0</v>
      </c>
      <c r="ED10" s="160">
        <v>50272.45</v>
      </c>
      <c r="EE10" s="1">
        <f t="shared" si="54"/>
        <v>100544.9</v>
      </c>
      <c r="EF10" s="57">
        <v>2</v>
      </c>
      <c r="EG10" s="232"/>
      <c r="EH10" s="16">
        <f t="shared" si="55"/>
        <v>0</v>
      </c>
      <c r="EI10" s="160">
        <v>60797.95</v>
      </c>
      <c r="EJ10" s="1">
        <f t="shared" si="56"/>
        <v>109436.31</v>
      </c>
      <c r="EK10" s="57">
        <v>1.8</v>
      </c>
      <c r="EL10" s="232"/>
      <c r="EM10" s="16">
        <f t="shared" si="57"/>
        <v>0</v>
      </c>
      <c r="EN10" s="160">
        <v>49794.34</v>
      </c>
      <c r="EO10" s="1">
        <f t="shared" si="58"/>
        <v>89629.811999999991</v>
      </c>
      <c r="EP10" s="57">
        <v>1.8</v>
      </c>
      <c r="EQ10" s="232"/>
      <c r="ER10" s="16">
        <f t="shared" si="59"/>
        <v>0</v>
      </c>
      <c r="ES10" s="160">
        <v>41759.58</v>
      </c>
      <c r="ET10" s="1">
        <f t="shared" si="60"/>
        <v>75167.244000000006</v>
      </c>
      <c r="EU10" s="57">
        <v>1.8</v>
      </c>
      <c r="EV10" s="232"/>
      <c r="EW10" s="18">
        <f t="shared" si="61"/>
        <v>0</v>
      </c>
      <c r="EX10" s="160">
        <v>41799.85</v>
      </c>
      <c r="EY10" s="1">
        <f t="shared" si="62"/>
        <v>75239.73</v>
      </c>
      <c r="EZ10" s="57">
        <v>1.8</v>
      </c>
      <c r="FA10" s="232"/>
      <c r="FB10" s="32">
        <f t="shared" si="1"/>
        <v>0</v>
      </c>
      <c r="FC10" s="160">
        <v>48539.519999999997</v>
      </c>
      <c r="FD10" s="1">
        <f t="shared" si="63"/>
        <v>87371.135999999999</v>
      </c>
      <c r="FE10" s="57">
        <v>1.8</v>
      </c>
      <c r="FF10" s="232"/>
      <c r="FG10" s="14">
        <f t="shared" si="64"/>
        <v>0</v>
      </c>
      <c r="FH10" s="160">
        <v>36158.120000000003</v>
      </c>
      <c r="FI10" s="1">
        <f t="shared" si="65"/>
        <v>65084.616000000009</v>
      </c>
      <c r="FJ10" s="57">
        <v>1.8</v>
      </c>
      <c r="FK10" s="232"/>
      <c r="FL10" s="234">
        <f t="shared" si="66"/>
        <v>0</v>
      </c>
      <c r="FM10" s="160">
        <v>43462.16</v>
      </c>
      <c r="FN10" s="1">
        <f t="shared" si="67"/>
        <v>78231.888000000006</v>
      </c>
      <c r="FO10" s="57">
        <v>1.8</v>
      </c>
      <c r="FP10" s="232"/>
      <c r="FQ10" s="13">
        <f t="shared" si="68"/>
        <v>0</v>
      </c>
      <c r="FR10" s="160">
        <v>40628.65</v>
      </c>
      <c r="FS10" s="1">
        <f t="shared" si="69"/>
        <v>63380.694000000003</v>
      </c>
      <c r="FT10" s="57">
        <v>1.56</v>
      </c>
      <c r="FU10" s="88"/>
      <c r="FV10" s="31">
        <f t="shared" si="70"/>
        <v>0</v>
      </c>
      <c r="FW10" s="160">
        <v>39691.54</v>
      </c>
      <c r="FX10" s="1">
        <f t="shared" si="71"/>
        <v>61918.8024</v>
      </c>
      <c r="FY10" s="57">
        <v>1.56</v>
      </c>
      <c r="FZ10" s="88"/>
      <c r="GA10" s="14">
        <f t="shared" si="2"/>
        <v>0</v>
      </c>
      <c r="GB10" s="160">
        <v>40902.46</v>
      </c>
      <c r="GC10" s="1">
        <f t="shared" si="72"/>
        <v>63807.837599999999</v>
      </c>
      <c r="GD10" s="57">
        <v>1.56</v>
      </c>
      <c r="GE10" s="88"/>
      <c r="GF10" s="32">
        <f t="shared" si="73"/>
        <v>0</v>
      </c>
      <c r="GG10" s="160">
        <v>41138.44</v>
      </c>
      <c r="GH10" s="1">
        <f t="shared" si="74"/>
        <v>64175.966400000005</v>
      </c>
      <c r="GI10" s="57">
        <v>1.56</v>
      </c>
      <c r="GJ10" s="108"/>
      <c r="GK10" s="32">
        <f t="shared" si="75"/>
        <v>0</v>
      </c>
      <c r="GL10" s="160">
        <v>35720.71</v>
      </c>
      <c r="GM10" s="1">
        <f t="shared" si="76"/>
        <v>55724.3076</v>
      </c>
      <c r="GN10" s="57">
        <v>1.56</v>
      </c>
      <c r="GO10" s="108"/>
      <c r="GP10" s="13">
        <f t="shared" si="77"/>
        <v>0</v>
      </c>
      <c r="GQ10" s="160">
        <v>43219.55</v>
      </c>
      <c r="GR10" s="1">
        <f t="shared" si="78"/>
        <v>67422.498000000007</v>
      </c>
      <c r="GS10" s="57">
        <v>1.56</v>
      </c>
      <c r="GT10" s="108"/>
      <c r="GU10" s="32">
        <f t="shared" si="79"/>
        <v>0</v>
      </c>
      <c r="GV10" s="160">
        <v>33077.199999999997</v>
      </c>
      <c r="GW10" s="1">
        <f t="shared" si="80"/>
        <v>66154.399999999994</v>
      </c>
      <c r="GX10" s="57">
        <v>2</v>
      </c>
      <c r="GY10" s="96"/>
      <c r="GZ10" s="32">
        <f t="shared" si="3"/>
        <v>0</v>
      </c>
      <c r="HA10" s="160">
        <v>32932.42</v>
      </c>
      <c r="HB10" s="1">
        <f t="shared" si="81"/>
        <v>98797.26</v>
      </c>
      <c r="HC10" s="57">
        <v>3</v>
      </c>
      <c r="HD10" s="96"/>
      <c r="HE10" s="32">
        <f t="shared" ref="HE10:HE32" si="107">HD10/HA10</f>
        <v>0</v>
      </c>
      <c r="HF10" s="108">
        <v>38940.370000000003</v>
      </c>
      <c r="HG10" s="1">
        <f t="shared" si="82"/>
        <v>194701.85</v>
      </c>
      <c r="HH10" s="57">
        <v>5</v>
      </c>
      <c r="HI10" s="96"/>
      <c r="HJ10" s="13">
        <f t="shared" si="83"/>
        <v>0</v>
      </c>
      <c r="HK10" s="108">
        <v>27285.9</v>
      </c>
      <c r="HL10" s="1">
        <f t="shared" si="84"/>
        <v>150072.45000000001</v>
      </c>
      <c r="HM10" s="57">
        <v>5.5</v>
      </c>
      <c r="HN10" s="97"/>
      <c r="HO10" s="14">
        <f t="shared" si="85"/>
        <v>0</v>
      </c>
      <c r="HP10" s="108">
        <v>40102.17</v>
      </c>
      <c r="HQ10" s="1">
        <f t="shared" si="86"/>
        <v>200510.84999999998</v>
      </c>
      <c r="HR10" s="57">
        <v>5</v>
      </c>
      <c r="HS10" s="81"/>
      <c r="HT10" s="14">
        <f t="shared" si="87"/>
        <v>0</v>
      </c>
      <c r="HU10" s="108">
        <v>79608.31</v>
      </c>
      <c r="HV10" s="1">
        <f t="shared" si="88"/>
        <v>238824.93</v>
      </c>
      <c r="HW10" s="57">
        <v>3</v>
      </c>
      <c r="HX10" s="97"/>
      <c r="HY10" s="14">
        <f t="shared" si="89"/>
        <v>0</v>
      </c>
      <c r="HZ10" s="108">
        <v>85569.41</v>
      </c>
      <c r="IA10" s="1">
        <f t="shared" si="90"/>
        <v>256708.23</v>
      </c>
      <c r="IB10" s="57">
        <v>3</v>
      </c>
      <c r="IC10" s="97"/>
      <c r="ID10" s="14">
        <f t="shared" si="91"/>
        <v>0</v>
      </c>
      <c r="IE10" s="108">
        <v>89363.78</v>
      </c>
      <c r="IF10" s="1">
        <f t="shared" si="92"/>
        <v>134045.66999999998</v>
      </c>
      <c r="IG10" s="57">
        <v>1.5</v>
      </c>
      <c r="IH10" s="88"/>
      <c r="II10" s="32">
        <f t="shared" si="93"/>
        <v>0</v>
      </c>
      <c r="IJ10" s="108">
        <v>103419.26</v>
      </c>
      <c r="IK10" s="1">
        <f t="shared" si="94"/>
        <v>155128.88999999998</v>
      </c>
      <c r="IL10" s="57">
        <v>1.5</v>
      </c>
      <c r="IM10" s="88"/>
      <c r="IN10" s="32">
        <f t="shared" si="95"/>
        <v>0</v>
      </c>
      <c r="IO10" s="108">
        <v>116247.38</v>
      </c>
      <c r="IP10" s="1">
        <f t="shared" si="96"/>
        <v>174371.07</v>
      </c>
      <c r="IQ10" s="57">
        <v>1.5</v>
      </c>
      <c r="IR10" s="88"/>
      <c r="IS10" s="32">
        <f t="shared" si="97"/>
        <v>0</v>
      </c>
      <c r="IT10" s="108">
        <v>195428.77</v>
      </c>
      <c r="IU10" s="1">
        <f t="shared" si="98"/>
        <v>293143.15499999997</v>
      </c>
      <c r="IV10" s="57">
        <v>1.5</v>
      </c>
      <c r="IW10" s="88"/>
      <c r="IX10" s="32">
        <f t="shared" si="99"/>
        <v>0</v>
      </c>
      <c r="IY10" s="108">
        <v>43595.16</v>
      </c>
      <c r="IZ10" s="1">
        <f t="shared" si="100"/>
        <v>65392.740000000005</v>
      </c>
      <c r="JA10" s="57">
        <v>1.5</v>
      </c>
      <c r="JB10" s="88"/>
      <c r="JC10" s="14">
        <f t="shared" si="101"/>
        <v>0</v>
      </c>
      <c r="JD10" s="73">
        <f t="shared" si="102"/>
        <v>623233.64999999991</v>
      </c>
      <c r="JE10" s="73">
        <f t="shared" si="103"/>
        <v>458087.82999999996</v>
      </c>
      <c r="JF10" s="75">
        <f t="shared" si="104"/>
        <v>-165145.81999999995</v>
      </c>
      <c r="JG10" s="11">
        <f t="shared" si="105"/>
        <v>0.73501780592238564</v>
      </c>
    </row>
    <row r="11" spans="1:267">
      <c r="C11" s="71" t="str">
        <f>"A4"</f>
        <v>A4</v>
      </c>
      <c r="D11" s="164">
        <v>62237.75</v>
      </c>
      <c r="E11" s="1">
        <f t="shared" si="4"/>
        <v>37342.65</v>
      </c>
      <c r="F11" s="2">
        <v>0.6</v>
      </c>
      <c r="G11" s="108">
        <v>36771.550000000003</v>
      </c>
      <c r="H11" s="171">
        <f t="shared" si="5"/>
        <v>0.59082389707211469</v>
      </c>
      <c r="I11" s="169">
        <v>59468.85</v>
      </c>
      <c r="J11" s="1">
        <f t="shared" si="6"/>
        <v>35681.31</v>
      </c>
      <c r="K11" s="2">
        <v>0.6</v>
      </c>
      <c r="L11" s="108">
        <v>30455.99</v>
      </c>
      <c r="M11" s="14">
        <f t="shared" si="7"/>
        <v>0.51213349509869455</v>
      </c>
      <c r="N11" s="164">
        <v>54731.99</v>
      </c>
      <c r="O11" s="1">
        <f t="shared" si="8"/>
        <v>30102.594500000003</v>
      </c>
      <c r="P11" s="2">
        <v>0.55000000000000004</v>
      </c>
      <c r="Q11" s="108">
        <v>30776.34</v>
      </c>
      <c r="R11" s="13">
        <f t="shared" si="9"/>
        <v>0.56230990322113272</v>
      </c>
      <c r="S11" s="160">
        <v>56248.85</v>
      </c>
      <c r="T11" s="1">
        <f t="shared" si="10"/>
        <v>32624.332999999999</v>
      </c>
      <c r="U11" s="2">
        <v>0.57999999999999996</v>
      </c>
      <c r="V11" s="108">
        <v>37343.18</v>
      </c>
      <c r="W11" s="13">
        <f t="shared" si="11"/>
        <v>0.66389232846538193</v>
      </c>
      <c r="X11" s="108">
        <v>55253.73</v>
      </c>
      <c r="Y11" s="1">
        <f t="shared" si="12"/>
        <v>38677.610999999997</v>
      </c>
      <c r="Z11" s="2">
        <v>0.7</v>
      </c>
      <c r="AA11" s="108">
        <v>37119.760000000002</v>
      </c>
      <c r="AB11" s="13">
        <f t="shared" si="13"/>
        <v>0.6718055052572921</v>
      </c>
      <c r="AC11" s="108">
        <v>73248.39</v>
      </c>
      <c r="AD11" s="1">
        <f t="shared" si="14"/>
        <v>51273.873</v>
      </c>
      <c r="AE11" s="2">
        <v>0.7</v>
      </c>
      <c r="AF11" s="108">
        <v>36357.9</v>
      </c>
      <c r="AG11" s="13">
        <f t="shared" si="15"/>
        <v>0.49636449347214323</v>
      </c>
      <c r="AH11" s="108">
        <v>49422.85</v>
      </c>
      <c r="AI11" s="1">
        <f t="shared" si="16"/>
        <v>29653.71</v>
      </c>
      <c r="AJ11" s="2">
        <v>0.6</v>
      </c>
      <c r="AK11" s="108">
        <v>28736.89</v>
      </c>
      <c r="AL11" s="13">
        <f t="shared" si="17"/>
        <v>0.58144947124659951</v>
      </c>
      <c r="AM11" s="108">
        <v>42586.53</v>
      </c>
      <c r="AN11" s="1">
        <f t="shared" si="18"/>
        <v>25551.917999999998</v>
      </c>
      <c r="AO11" s="2">
        <v>0.6</v>
      </c>
      <c r="AP11" s="108">
        <v>26598.85</v>
      </c>
      <c r="AQ11" s="13">
        <f t="shared" si="19"/>
        <v>0.62458364182289561</v>
      </c>
      <c r="AR11" s="160">
        <v>37983.15</v>
      </c>
      <c r="AS11" s="1">
        <f t="shared" si="20"/>
        <v>28487.362500000003</v>
      </c>
      <c r="AT11" s="2">
        <v>0.75</v>
      </c>
      <c r="AU11" s="108">
        <v>31465.65</v>
      </c>
      <c r="AV11" s="13">
        <f t="shared" si="21"/>
        <v>0.82841075582198953</v>
      </c>
      <c r="AW11" s="160">
        <v>51366.73</v>
      </c>
      <c r="AX11" s="1">
        <f t="shared" si="22"/>
        <v>38525.047500000001</v>
      </c>
      <c r="AY11" s="2">
        <v>0.75</v>
      </c>
      <c r="AZ11" s="108">
        <v>30224.19</v>
      </c>
      <c r="BA11" s="60">
        <f t="shared" si="23"/>
        <v>0.58840011813093795</v>
      </c>
      <c r="BB11" s="160">
        <v>46826.29</v>
      </c>
      <c r="BC11" s="1">
        <f t="shared" si="24"/>
        <v>32778.402999999998</v>
      </c>
      <c r="BD11" s="2">
        <v>0.7</v>
      </c>
      <c r="BE11" s="108">
        <v>28867.35</v>
      </c>
      <c r="BF11" s="17">
        <f t="shared" si="25"/>
        <v>0.61647741044614035</v>
      </c>
      <c r="BG11" s="160">
        <v>33569.78</v>
      </c>
      <c r="BH11" s="1">
        <f t="shared" si="26"/>
        <v>25177.334999999999</v>
      </c>
      <c r="BI11" s="2">
        <v>0.75</v>
      </c>
      <c r="BJ11" s="115"/>
      <c r="BK11" s="60">
        <f t="shared" si="27"/>
        <v>0</v>
      </c>
      <c r="BL11" s="160">
        <v>38372.32</v>
      </c>
      <c r="BM11" s="1">
        <f t="shared" si="28"/>
        <v>28779.239999999998</v>
      </c>
      <c r="BN11" s="2">
        <v>0.75</v>
      </c>
      <c r="BO11" s="115"/>
      <c r="BP11" s="60">
        <f t="shared" si="29"/>
        <v>0</v>
      </c>
      <c r="BQ11" s="160">
        <v>31687.72</v>
      </c>
      <c r="BR11" s="1">
        <f t="shared" si="30"/>
        <v>110907.02</v>
      </c>
      <c r="BS11" s="57">
        <v>3.5</v>
      </c>
      <c r="BT11" s="115"/>
      <c r="BU11" s="16">
        <f t="shared" si="31"/>
        <v>0</v>
      </c>
      <c r="BV11" s="160">
        <v>32263.919999999998</v>
      </c>
      <c r="BW11" s="1">
        <f t="shared" si="32"/>
        <v>112923.72</v>
      </c>
      <c r="BX11" s="57">
        <v>3.5</v>
      </c>
      <c r="BY11" s="108"/>
      <c r="BZ11" s="14">
        <f t="shared" si="33"/>
        <v>0</v>
      </c>
      <c r="CA11" s="160">
        <v>17191.46</v>
      </c>
      <c r="CB11" s="1">
        <f t="shared" si="34"/>
        <v>85957.299999999988</v>
      </c>
      <c r="CC11" s="57">
        <v>5</v>
      </c>
      <c r="CD11" s="115"/>
      <c r="CE11" s="16">
        <f t="shared" si="35"/>
        <v>0</v>
      </c>
      <c r="CF11" s="160"/>
      <c r="CG11" s="1">
        <f t="shared" si="36"/>
        <v>0</v>
      </c>
      <c r="CH11" s="57">
        <v>3</v>
      </c>
      <c r="CI11" s="115"/>
      <c r="CJ11" s="18" t="e">
        <f t="shared" si="37"/>
        <v>#DIV/0!</v>
      </c>
      <c r="CK11" s="160"/>
      <c r="CL11" s="1">
        <f t="shared" si="38"/>
        <v>0</v>
      </c>
      <c r="CM11" s="57">
        <v>6.5</v>
      </c>
      <c r="CN11" s="115"/>
      <c r="CO11" s="16" t="e">
        <f t="shared" si="39"/>
        <v>#DIV/0!</v>
      </c>
      <c r="CP11" s="160"/>
      <c r="CQ11" s="1">
        <f t="shared" si="40"/>
        <v>0</v>
      </c>
      <c r="CR11" s="57">
        <v>6.5</v>
      </c>
      <c r="CS11" s="116"/>
      <c r="CT11" s="16" t="e">
        <f t="shared" si="41"/>
        <v>#DIV/0!</v>
      </c>
      <c r="CU11" s="160"/>
      <c r="CV11" s="1">
        <f t="shared" si="42"/>
        <v>0</v>
      </c>
      <c r="CW11" s="57">
        <v>6.5</v>
      </c>
      <c r="CX11" s="132"/>
      <c r="CY11" s="130" t="e">
        <f t="shared" si="43"/>
        <v>#DIV/0!</v>
      </c>
      <c r="CZ11" s="160"/>
      <c r="DA11" s="1">
        <f t="shared" si="44"/>
        <v>0</v>
      </c>
      <c r="DB11" s="57">
        <v>6.5</v>
      </c>
      <c r="DC11" s="132"/>
      <c r="DD11" s="18" t="e">
        <f t="shared" si="45"/>
        <v>#DIV/0!</v>
      </c>
      <c r="DE11" s="160">
        <v>15644.56</v>
      </c>
      <c r="DF11" s="1">
        <f t="shared" si="46"/>
        <v>70400.52</v>
      </c>
      <c r="DG11" s="57">
        <v>4.5</v>
      </c>
      <c r="DH11" s="116"/>
      <c r="DI11" s="16">
        <f t="shared" si="47"/>
        <v>0</v>
      </c>
      <c r="DJ11" s="160">
        <v>26096.29</v>
      </c>
      <c r="DK11" s="1">
        <f t="shared" si="48"/>
        <v>78288.87</v>
      </c>
      <c r="DL11" s="57">
        <v>3</v>
      </c>
      <c r="DM11" s="88"/>
      <c r="DN11" s="16">
        <f t="shared" si="106"/>
        <v>0</v>
      </c>
      <c r="DO11" s="160">
        <v>36214.239999999998</v>
      </c>
      <c r="DP11" s="1">
        <f t="shared" si="49"/>
        <v>90535.599999999991</v>
      </c>
      <c r="DQ11" s="57">
        <v>2.5</v>
      </c>
      <c r="DR11" s="88"/>
      <c r="DS11" s="16">
        <f t="shared" si="50"/>
        <v>0</v>
      </c>
      <c r="DT11" s="160">
        <v>32084.43</v>
      </c>
      <c r="DU11" s="1">
        <f t="shared" si="51"/>
        <v>80211.074999999997</v>
      </c>
      <c r="DV11" s="57">
        <v>2.5</v>
      </c>
      <c r="DW11" s="88"/>
      <c r="DX11" s="16">
        <f t="shared" si="0"/>
        <v>0</v>
      </c>
      <c r="DY11" s="160">
        <v>35953.25</v>
      </c>
      <c r="DZ11" s="1">
        <f t="shared" si="52"/>
        <v>89883.125</v>
      </c>
      <c r="EA11" s="57">
        <v>2.5</v>
      </c>
      <c r="EB11" s="232"/>
      <c r="EC11" s="18">
        <f t="shared" si="53"/>
        <v>0</v>
      </c>
      <c r="ED11" s="160">
        <v>33642.29</v>
      </c>
      <c r="EE11" s="1">
        <f t="shared" si="54"/>
        <v>67284.58</v>
      </c>
      <c r="EF11" s="57">
        <v>2</v>
      </c>
      <c r="EG11" s="232"/>
      <c r="EH11" s="16">
        <f t="shared" si="55"/>
        <v>0</v>
      </c>
      <c r="EI11" s="160">
        <v>40800.86</v>
      </c>
      <c r="EJ11" s="1">
        <f t="shared" si="56"/>
        <v>73441.54800000001</v>
      </c>
      <c r="EK11" s="57">
        <v>1.8</v>
      </c>
      <c r="EL11" s="232"/>
      <c r="EM11" s="16">
        <f t="shared" si="57"/>
        <v>0</v>
      </c>
      <c r="EN11" s="160">
        <v>34884.82</v>
      </c>
      <c r="EO11" s="1">
        <f t="shared" si="58"/>
        <v>62792.675999999999</v>
      </c>
      <c r="EP11" s="57">
        <v>1.8</v>
      </c>
      <c r="EQ11" s="232"/>
      <c r="ER11" s="16">
        <f t="shared" si="59"/>
        <v>0</v>
      </c>
      <c r="ES11" s="160">
        <v>38293.43</v>
      </c>
      <c r="ET11" s="1">
        <f t="shared" si="60"/>
        <v>68928.173999999999</v>
      </c>
      <c r="EU11" s="57">
        <v>1.8</v>
      </c>
      <c r="EV11" s="232"/>
      <c r="EW11" s="18">
        <f t="shared" si="61"/>
        <v>0</v>
      </c>
      <c r="EX11" s="160">
        <v>43581.79</v>
      </c>
      <c r="EY11" s="1">
        <f t="shared" si="62"/>
        <v>78447.222000000009</v>
      </c>
      <c r="EZ11" s="57">
        <v>1.8</v>
      </c>
      <c r="FA11" s="232"/>
      <c r="FB11" s="32">
        <f t="shared" si="1"/>
        <v>0</v>
      </c>
      <c r="FC11" s="160">
        <v>40329.74</v>
      </c>
      <c r="FD11" s="1">
        <f t="shared" si="63"/>
        <v>72593.531999999992</v>
      </c>
      <c r="FE11" s="57">
        <v>1.8</v>
      </c>
      <c r="FF11" s="232"/>
      <c r="FG11" s="14">
        <f t="shared" si="64"/>
        <v>0</v>
      </c>
      <c r="FH11" s="160">
        <v>35997.46</v>
      </c>
      <c r="FI11" s="1">
        <f t="shared" si="65"/>
        <v>64795.428</v>
      </c>
      <c r="FJ11" s="57">
        <v>1.8</v>
      </c>
      <c r="FK11" s="232"/>
      <c r="FL11" s="234">
        <f t="shared" si="66"/>
        <v>0</v>
      </c>
      <c r="FM11" s="160">
        <v>33044.85</v>
      </c>
      <c r="FN11" s="1">
        <f t="shared" si="67"/>
        <v>59480.729999999996</v>
      </c>
      <c r="FO11" s="57">
        <v>1.8</v>
      </c>
      <c r="FP11" s="232"/>
      <c r="FQ11" s="13">
        <f t="shared" si="68"/>
        <v>0</v>
      </c>
      <c r="FR11" s="160">
        <v>39355.43</v>
      </c>
      <c r="FS11" s="1">
        <f t="shared" si="69"/>
        <v>61394.470800000003</v>
      </c>
      <c r="FT11" s="57">
        <v>1.56</v>
      </c>
      <c r="FU11" s="88"/>
      <c r="FV11" s="31">
        <f t="shared" si="70"/>
        <v>0</v>
      </c>
      <c r="FW11" s="160">
        <v>36122.120000000003</v>
      </c>
      <c r="FX11" s="1">
        <f t="shared" si="71"/>
        <v>56350.507200000007</v>
      </c>
      <c r="FY11" s="57">
        <v>1.56</v>
      </c>
      <c r="FZ11" s="88"/>
      <c r="GA11" s="14">
        <f t="shared" si="2"/>
        <v>0</v>
      </c>
      <c r="GB11" s="160">
        <v>34435.519999999997</v>
      </c>
      <c r="GC11" s="1">
        <f t="shared" si="72"/>
        <v>53719.411199999995</v>
      </c>
      <c r="GD11" s="57">
        <v>1.56</v>
      </c>
      <c r="GE11" s="88"/>
      <c r="GF11" s="32">
        <f t="shared" si="73"/>
        <v>0</v>
      </c>
      <c r="GG11" s="160">
        <v>32603.75</v>
      </c>
      <c r="GH11" s="1">
        <f t="shared" si="74"/>
        <v>50861.85</v>
      </c>
      <c r="GI11" s="57">
        <v>1.56</v>
      </c>
      <c r="GJ11" s="108"/>
      <c r="GK11" s="32">
        <f t="shared" si="75"/>
        <v>0</v>
      </c>
      <c r="GL11" s="160">
        <v>35726.839999999997</v>
      </c>
      <c r="GM11" s="1">
        <f t="shared" si="76"/>
        <v>55733.8704</v>
      </c>
      <c r="GN11" s="57">
        <v>1.56</v>
      </c>
      <c r="GO11" s="108"/>
      <c r="GP11" s="13">
        <f t="shared" si="77"/>
        <v>0</v>
      </c>
      <c r="GQ11" s="160">
        <v>34807.69</v>
      </c>
      <c r="GR11" s="1">
        <f t="shared" si="78"/>
        <v>54299.996400000004</v>
      </c>
      <c r="GS11" s="57">
        <v>1.56</v>
      </c>
      <c r="GT11" s="108"/>
      <c r="GU11" s="32">
        <f t="shared" si="79"/>
        <v>0</v>
      </c>
      <c r="GV11" s="160">
        <v>29867.91</v>
      </c>
      <c r="GW11" s="1">
        <f t="shared" si="80"/>
        <v>59735.82</v>
      </c>
      <c r="GX11" s="57">
        <v>2</v>
      </c>
      <c r="GY11" s="96"/>
      <c r="GZ11" s="32">
        <f t="shared" si="3"/>
        <v>0</v>
      </c>
      <c r="HA11" s="160">
        <v>27487.45</v>
      </c>
      <c r="HB11" s="1">
        <f t="shared" si="81"/>
        <v>82462.350000000006</v>
      </c>
      <c r="HC11" s="57">
        <v>3</v>
      </c>
      <c r="HD11" s="96"/>
      <c r="HE11" s="32">
        <f t="shared" si="107"/>
        <v>0</v>
      </c>
      <c r="HF11" s="108">
        <v>5062.76</v>
      </c>
      <c r="HG11" s="1">
        <f t="shared" si="82"/>
        <v>25313.800000000003</v>
      </c>
      <c r="HH11" s="57">
        <v>5</v>
      </c>
      <c r="HI11" s="96"/>
      <c r="HJ11" s="13">
        <f t="shared" si="83"/>
        <v>0</v>
      </c>
      <c r="HL11" s="1">
        <f t="shared" si="84"/>
        <v>0</v>
      </c>
      <c r="HM11" s="57">
        <v>5.5</v>
      </c>
      <c r="HN11" s="97"/>
      <c r="HO11" s="14" t="e">
        <f t="shared" si="85"/>
        <v>#DIV/0!</v>
      </c>
      <c r="HQ11" s="1">
        <f t="shared" si="86"/>
        <v>0</v>
      </c>
      <c r="HR11" s="57">
        <v>5</v>
      </c>
      <c r="HS11" s="81"/>
      <c r="HT11" s="14" t="e">
        <f t="shared" si="87"/>
        <v>#DIV/0!</v>
      </c>
      <c r="HU11" s="108">
        <v>16567.48</v>
      </c>
      <c r="HV11" s="1">
        <f t="shared" si="88"/>
        <v>49702.44</v>
      </c>
      <c r="HW11" s="57">
        <v>3</v>
      </c>
      <c r="HX11" s="97"/>
      <c r="HY11" s="14">
        <f t="shared" si="89"/>
        <v>0</v>
      </c>
      <c r="HZ11" s="108">
        <v>51611.76</v>
      </c>
      <c r="IA11" s="1">
        <f t="shared" si="90"/>
        <v>154835.28</v>
      </c>
      <c r="IB11" s="57">
        <v>3</v>
      </c>
      <c r="IC11" s="97"/>
      <c r="ID11" s="14">
        <f t="shared" si="91"/>
        <v>0</v>
      </c>
      <c r="IE11" s="108">
        <v>68692.289999999994</v>
      </c>
      <c r="IF11" s="1">
        <f t="shared" si="92"/>
        <v>103038.435</v>
      </c>
      <c r="IG11" s="57">
        <v>1.5</v>
      </c>
      <c r="IH11" s="88"/>
      <c r="II11" s="32">
        <f t="shared" si="93"/>
        <v>0</v>
      </c>
      <c r="IJ11" s="108">
        <v>66903.92</v>
      </c>
      <c r="IK11" s="1">
        <f t="shared" si="94"/>
        <v>100355.88</v>
      </c>
      <c r="IL11" s="57">
        <v>1.5</v>
      </c>
      <c r="IM11" s="88"/>
      <c r="IN11" s="32">
        <f t="shared" si="95"/>
        <v>0</v>
      </c>
      <c r="IO11" s="108">
        <v>107528.81</v>
      </c>
      <c r="IP11" s="1">
        <f t="shared" si="96"/>
        <v>161293.215</v>
      </c>
      <c r="IQ11" s="57">
        <v>1.5</v>
      </c>
      <c r="IR11" s="88"/>
      <c r="IS11" s="32">
        <f t="shared" si="97"/>
        <v>0</v>
      </c>
      <c r="IT11" s="108">
        <v>160567.46</v>
      </c>
      <c r="IU11" s="1">
        <f t="shared" si="98"/>
        <v>240851.19</v>
      </c>
      <c r="IV11" s="57">
        <v>1.5</v>
      </c>
      <c r="IW11" s="88"/>
      <c r="IX11" s="32">
        <f t="shared" si="99"/>
        <v>0</v>
      </c>
      <c r="IY11" s="108">
        <v>41989.36</v>
      </c>
      <c r="IZ11" s="1">
        <f t="shared" si="100"/>
        <v>62984.04</v>
      </c>
      <c r="JA11" s="57">
        <v>1.5</v>
      </c>
      <c r="JB11" s="88"/>
      <c r="JC11" s="14">
        <f t="shared" si="101"/>
        <v>0</v>
      </c>
      <c r="JD11" s="73">
        <f t="shared" si="102"/>
        <v>589375.11</v>
      </c>
      <c r="JE11" s="73">
        <f t="shared" si="103"/>
        <v>354717.65</v>
      </c>
      <c r="JF11" s="75">
        <f t="shared" si="104"/>
        <v>-234657.45999999996</v>
      </c>
      <c r="JG11" s="11">
        <f t="shared" si="105"/>
        <v>0.60185380071445505</v>
      </c>
    </row>
    <row r="12" spans="1:267">
      <c r="C12" s="71" t="str">
        <f>"A5"</f>
        <v>A5</v>
      </c>
      <c r="D12" s="164">
        <v>60872.54</v>
      </c>
      <c r="E12" s="1">
        <f t="shared" si="4"/>
        <v>36523.523999999998</v>
      </c>
      <c r="F12" s="2">
        <v>0.6</v>
      </c>
      <c r="G12" s="108">
        <v>45913.03</v>
      </c>
      <c r="H12" s="171">
        <f t="shared" si="5"/>
        <v>0.75424863164901612</v>
      </c>
      <c r="I12" s="169">
        <v>63531.91</v>
      </c>
      <c r="J12" s="1">
        <f t="shared" si="6"/>
        <v>41295.741500000004</v>
      </c>
      <c r="K12" s="2">
        <v>0.65</v>
      </c>
      <c r="L12" s="108">
        <v>46116.84</v>
      </c>
      <c r="M12" s="14">
        <f t="shared" si="7"/>
        <v>0.72588467747939567</v>
      </c>
      <c r="N12" s="164">
        <v>59103.58</v>
      </c>
      <c r="O12" s="1">
        <f t="shared" si="8"/>
        <v>47282.864000000001</v>
      </c>
      <c r="P12" s="2">
        <v>0.8</v>
      </c>
      <c r="Q12" s="108">
        <v>33943.360000000001</v>
      </c>
      <c r="R12" s="13">
        <f t="shared" si="9"/>
        <v>0.57430294408562055</v>
      </c>
      <c r="S12" s="160">
        <v>55801.29</v>
      </c>
      <c r="T12" s="1">
        <f t="shared" si="10"/>
        <v>33480.773999999998</v>
      </c>
      <c r="U12" s="2">
        <v>0.6</v>
      </c>
      <c r="V12" s="108">
        <v>41264.1</v>
      </c>
      <c r="W12" s="13">
        <f t="shared" si="11"/>
        <v>0.73948290442747822</v>
      </c>
      <c r="X12" s="108">
        <v>61764.29</v>
      </c>
      <c r="Y12" s="1">
        <f t="shared" si="12"/>
        <v>49411.432000000001</v>
      </c>
      <c r="Z12" s="2">
        <v>0.8</v>
      </c>
      <c r="AA12" s="108">
        <v>41409.050000000003</v>
      </c>
      <c r="AB12" s="13">
        <f t="shared" si="13"/>
        <v>0.67043675236937073</v>
      </c>
      <c r="AC12" s="108">
        <v>88615.13</v>
      </c>
      <c r="AD12" s="1">
        <f t="shared" si="14"/>
        <v>62030.591</v>
      </c>
      <c r="AE12" s="2">
        <v>0.7</v>
      </c>
      <c r="AF12" s="108">
        <v>50661.39</v>
      </c>
      <c r="AG12" s="13">
        <f t="shared" si="15"/>
        <v>0.57170135619052864</v>
      </c>
      <c r="AH12" s="108">
        <v>56649.51</v>
      </c>
      <c r="AI12" s="1">
        <f t="shared" si="16"/>
        <v>33989.705999999998</v>
      </c>
      <c r="AJ12" s="2">
        <v>0.6</v>
      </c>
      <c r="AK12" s="108">
        <v>38067.629999999997</v>
      </c>
      <c r="AL12" s="13">
        <f t="shared" si="17"/>
        <v>0.67198515927145697</v>
      </c>
      <c r="AM12" s="108">
        <v>46828.7</v>
      </c>
      <c r="AN12" s="1">
        <f t="shared" si="18"/>
        <v>28097.219999999998</v>
      </c>
      <c r="AO12" s="2">
        <v>0.6</v>
      </c>
      <c r="AP12" s="108">
        <v>42843.11</v>
      </c>
      <c r="AQ12" s="13">
        <f t="shared" si="19"/>
        <v>0.91489001402985781</v>
      </c>
      <c r="AR12" s="160">
        <v>57203.07</v>
      </c>
      <c r="AS12" s="1">
        <f t="shared" si="20"/>
        <v>42902.302499999998</v>
      </c>
      <c r="AT12" s="2">
        <v>0.75</v>
      </c>
      <c r="AU12" s="108">
        <v>47069.59</v>
      </c>
      <c r="AV12" s="13">
        <f t="shared" si="21"/>
        <v>0.82285076657598966</v>
      </c>
      <c r="AW12" s="160">
        <v>54803.26</v>
      </c>
      <c r="AX12" s="1">
        <f t="shared" si="22"/>
        <v>41102.445</v>
      </c>
      <c r="AY12" s="2">
        <v>0.75</v>
      </c>
      <c r="AZ12" s="108">
        <v>51461.86</v>
      </c>
      <c r="BA12" s="60">
        <f t="shared" si="23"/>
        <v>0.93902917454180646</v>
      </c>
      <c r="BB12" s="160">
        <v>40327.64</v>
      </c>
      <c r="BC12" s="1">
        <f t="shared" si="24"/>
        <v>28229.347999999998</v>
      </c>
      <c r="BD12" s="2">
        <v>0.7</v>
      </c>
      <c r="BE12" s="108">
        <v>57452.82</v>
      </c>
      <c r="BF12" s="17">
        <f t="shared" si="25"/>
        <v>1.4246511821668713</v>
      </c>
      <c r="BG12" s="160">
        <v>35415.410000000003</v>
      </c>
      <c r="BH12" s="1">
        <f t="shared" si="26"/>
        <v>26561.557500000003</v>
      </c>
      <c r="BI12" s="2">
        <v>0.75</v>
      </c>
      <c r="BJ12" s="115"/>
      <c r="BK12" s="60">
        <f t="shared" si="27"/>
        <v>0</v>
      </c>
      <c r="BL12" s="160">
        <v>30391.29</v>
      </c>
      <c r="BM12" s="1">
        <f t="shared" si="28"/>
        <v>22793.467499999999</v>
      </c>
      <c r="BN12" s="2">
        <v>0.75</v>
      </c>
      <c r="BO12" s="115"/>
      <c r="BP12" s="60">
        <f t="shared" si="29"/>
        <v>0</v>
      </c>
      <c r="BQ12" s="160">
        <v>46261.49</v>
      </c>
      <c r="BR12" s="1">
        <f t="shared" si="30"/>
        <v>161915.215</v>
      </c>
      <c r="BS12" s="57">
        <v>3.5</v>
      </c>
      <c r="BT12" s="115"/>
      <c r="BU12" s="16">
        <f t="shared" si="31"/>
        <v>0</v>
      </c>
      <c r="BV12" s="160">
        <v>38916.35</v>
      </c>
      <c r="BW12" s="1">
        <f t="shared" si="32"/>
        <v>136207.22500000001</v>
      </c>
      <c r="BX12" s="57">
        <v>3.5</v>
      </c>
      <c r="BY12" s="108"/>
      <c r="BZ12" s="14">
        <f t="shared" si="33"/>
        <v>0</v>
      </c>
      <c r="CA12" s="160">
        <v>31039.48</v>
      </c>
      <c r="CB12" s="1">
        <f t="shared" si="34"/>
        <v>155197.4</v>
      </c>
      <c r="CC12" s="57">
        <v>5</v>
      </c>
      <c r="CD12" s="115"/>
      <c r="CE12" s="16">
        <f t="shared" si="35"/>
        <v>0</v>
      </c>
      <c r="CF12" s="160">
        <v>65514.09</v>
      </c>
      <c r="CG12" s="1">
        <f t="shared" si="36"/>
        <v>196542.27</v>
      </c>
      <c r="CH12" s="57">
        <v>3</v>
      </c>
      <c r="CI12" s="115"/>
      <c r="CJ12" s="18">
        <f t="shared" si="37"/>
        <v>0</v>
      </c>
      <c r="CK12" s="160">
        <v>3799.42</v>
      </c>
      <c r="CL12" s="1">
        <f t="shared" si="38"/>
        <v>24696.23</v>
      </c>
      <c r="CM12" s="57">
        <v>6.5</v>
      </c>
      <c r="CN12" s="115"/>
      <c r="CO12" s="16">
        <f t="shared" si="39"/>
        <v>0</v>
      </c>
      <c r="CP12" s="160">
        <v>14775.34</v>
      </c>
      <c r="CQ12" s="1">
        <f t="shared" si="40"/>
        <v>96039.71</v>
      </c>
      <c r="CR12" s="57">
        <v>6.5</v>
      </c>
      <c r="CS12" s="116"/>
      <c r="CT12" s="16">
        <f t="shared" si="41"/>
        <v>0</v>
      </c>
      <c r="CU12" s="160">
        <v>20598.48</v>
      </c>
      <c r="CV12" s="1">
        <f t="shared" si="42"/>
        <v>133890.12</v>
      </c>
      <c r="CW12" s="57">
        <v>6.5</v>
      </c>
      <c r="CX12" s="116"/>
      <c r="CY12" s="130">
        <f t="shared" si="43"/>
        <v>0</v>
      </c>
      <c r="CZ12" s="160">
        <v>24686.639999999999</v>
      </c>
      <c r="DA12" s="1">
        <f t="shared" si="44"/>
        <v>160463.16</v>
      </c>
      <c r="DB12" s="57">
        <v>6.5</v>
      </c>
      <c r="DC12" s="116"/>
      <c r="DD12" s="18">
        <f t="shared" si="45"/>
        <v>0</v>
      </c>
      <c r="DE12" s="160">
        <v>25489.33</v>
      </c>
      <c r="DF12" s="1">
        <f t="shared" si="46"/>
        <v>114701.98500000002</v>
      </c>
      <c r="DG12" s="57">
        <v>4.5</v>
      </c>
      <c r="DH12" s="116"/>
      <c r="DI12" s="16">
        <f t="shared" si="47"/>
        <v>0</v>
      </c>
      <c r="DJ12" s="160">
        <v>20585.330000000002</v>
      </c>
      <c r="DK12" s="1">
        <f t="shared" si="48"/>
        <v>61755.990000000005</v>
      </c>
      <c r="DL12" s="57">
        <v>3</v>
      </c>
      <c r="DM12" s="88"/>
      <c r="DN12" s="16">
        <f t="shared" si="106"/>
        <v>0</v>
      </c>
      <c r="DO12" s="160">
        <v>43823.13</v>
      </c>
      <c r="DP12" s="1">
        <f t="shared" si="49"/>
        <v>109557.825</v>
      </c>
      <c r="DQ12" s="57">
        <v>2.5</v>
      </c>
      <c r="DR12" s="88"/>
      <c r="DS12" s="16">
        <f t="shared" si="50"/>
        <v>0</v>
      </c>
      <c r="DT12" s="160">
        <v>43541.81</v>
      </c>
      <c r="DU12" s="1">
        <f t="shared" si="51"/>
        <v>108854.52499999999</v>
      </c>
      <c r="DV12" s="57">
        <v>2.5</v>
      </c>
      <c r="DW12" s="88"/>
      <c r="DX12" s="16">
        <f t="shared" si="0"/>
        <v>0</v>
      </c>
      <c r="DY12" s="160">
        <v>46415.37</v>
      </c>
      <c r="DZ12" s="1">
        <f t="shared" si="52"/>
        <v>116038.425</v>
      </c>
      <c r="EA12" s="57">
        <v>2.5</v>
      </c>
      <c r="EB12" s="232"/>
      <c r="EC12" s="18">
        <f t="shared" si="53"/>
        <v>0</v>
      </c>
      <c r="ED12" s="160">
        <v>46075.49</v>
      </c>
      <c r="EE12" s="1">
        <f t="shared" si="54"/>
        <v>92150.98</v>
      </c>
      <c r="EF12" s="57">
        <v>2</v>
      </c>
      <c r="EG12" s="232"/>
      <c r="EH12" s="16">
        <f t="shared" si="55"/>
        <v>0</v>
      </c>
      <c r="EI12" s="160">
        <v>49916.46</v>
      </c>
      <c r="EJ12" s="1">
        <f t="shared" si="56"/>
        <v>89849.627999999997</v>
      </c>
      <c r="EK12" s="57">
        <v>1.8</v>
      </c>
      <c r="EL12" s="232"/>
      <c r="EM12" s="16">
        <f t="shared" si="57"/>
        <v>0</v>
      </c>
      <c r="EN12" s="160">
        <v>48411.92</v>
      </c>
      <c r="EO12" s="1">
        <f t="shared" si="58"/>
        <v>87141.456000000006</v>
      </c>
      <c r="EP12" s="57">
        <v>1.8</v>
      </c>
      <c r="EQ12" s="232"/>
      <c r="ER12" s="16">
        <f t="shared" si="59"/>
        <v>0</v>
      </c>
      <c r="ES12" s="160">
        <v>42647.199999999997</v>
      </c>
      <c r="ET12" s="1">
        <f t="shared" si="60"/>
        <v>76764.959999999992</v>
      </c>
      <c r="EU12" s="57">
        <v>1.8</v>
      </c>
      <c r="EV12" s="232"/>
      <c r="EW12" s="18">
        <f t="shared" si="61"/>
        <v>0</v>
      </c>
      <c r="EX12" s="160">
        <v>49467.28</v>
      </c>
      <c r="EY12" s="1">
        <f t="shared" si="62"/>
        <v>89041.104000000007</v>
      </c>
      <c r="EZ12" s="57">
        <v>1.8</v>
      </c>
      <c r="FA12" s="232"/>
      <c r="FB12" s="32">
        <f t="shared" si="1"/>
        <v>0</v>
      </c>
      <c r="FC12" s="160">
        <v>49765.27</v>
      </c>
      <c r="FD12" s="1">
        <f t="shared" si="63"/>
        <v>89577.48599999999</v>
      </c>
      <c r="FE12" s="57">
        <v>1.8</v>
      </c>
      <c r="FF12" s="232"/>
      <c r="FG12" s="14">
        <f t="shared" si="64"/>
        <v>0</v>
      </c>
      <c r="FH12" s="160">
        <v>47405.93</v>
      </c>
      <c r="FI12" s="1">
        <f t="shared" si="65"/>
        <v>85330.673999999999</v>
      </c>
      <c r="FJ12" s="57">
        <v>1.8</v>
      </c>
      <c r="FK12" s="232"/>
      <c r="FL12" s="234">
        <f t="shared" si="66"/>
        <v>0</v>
      </c>
      <c r="FM12" s="160">
        <v>47194.89</v>
      </c>
      <c r="FN12" s="1">
        <f t="shared" si="67"/>
        <v>84950.801999999996</v>
      </c>
      <c r="FO12" s="57">
        <v>1.8</v>
      </c>
      <c r="FP12" s="232"/>
      <c r="FQ12" s="13">
        <f t="shared" si="68"/>
        <v>0</v>
      </c>
      <c r="FR12" s="160">
        <v>46108.160000000003</v>
      </c>
      <c r="FS12" s="1">
        <f t="shared" si="69"/>
        <v>71928.729600000006</v>
      </c>
      <c r="FT12" s="57">
        <v>1.56</v>
      </c>
      <c r="FU12" s="88"/>
      <c r="FV12" s="31">
        <f t="shared" si="70"/>
        <v>0</v>
      </c>
      <c r="FW12" s="160">
        <v>51573.03</v>
      </c>
      <c r="FX12" s="1">
        <f t="shared" si="71"/>
        <v>80453.926800000001</v>
      </c>
      <c r="FY12" s="57">
        <v>1.56</v>
      </c>
      <c r="FZ12" s="88"/>
      <c r="GA12" s="14">
        <f t="shared" si="2"/>
        <v>0</v>
      </c>
      <c r="GB12" s="160">
        <v>57362.89</v>
      </c>
      <c r="GC12" s="1">
        <f t="shared" si="72"/>
        <v>89486.108399999997</v>
      </c>
      <c r="GD12" s="57">
        <v>1.56</v>
      </c>
      <c r="GE12" s="88"/>
      <c r="GF12" s="32">
        <f t="shared" si="73"/>
        <v>0</v>
      </c>
      <c r="GG12" s="160">
        <v>45351.91</v>
      </c>
      <c r="GH12" s="1">
        <f t="shared" si="74"/>
        <v>70748.979600000006</v>
      </c>
      <c r="GI12" s="57">
        <v>1.56</v>
      </c>
      <c r="GJ12" s="108"/>
      <c r="GK12" s="32">
        <f t="shared" si="75"/>
        <v>0</v>
      </c>
      <c r="GL12" s="160">
        <v>42995.3</v>
      </c>
      <c r="GM12" s="1">
        <f t="shared" si="76"/>
        <v>67072.668000000005</v>
      </c>
      <c r="GN12" s="57">
        <v>1.56</v>
      </c>
      <c r="GO12" s="108"/>
      <c r="GP12" s="13">
        <f t="shared" si="77"/>
        <v>0</v>
      </c>
      <c r="GQ12" s="160">
        <v>41076.03</v>
      </c>
      <c r="GR12" s="1">
        <f t="shared" si="78"/>
        <v>64078.606800000001</v>
      </c>
      <c r="GS12" s="57">
        <v>1.56</v>
      </c>
      <c r="GT12" s="108"/>
      <c r="GU12" s="32">
        <f t="shared" si="79"/>
        <v>0</v>
      </c>
      <c r="GV12" s="160">
        <v>39942.160000000003</v>
      </c>
      <c r="GW12" s="1">
        <f t="shared" si="80"/>
        <v>79884.320000000007</v>
      </c>
      <c r="GX12" s="57">
        <v>2</v>
      </c>
      <c r="GY12" s="96"/>
      <c r="GZ12" s="32">
        <f t="shared" si="3"/>
        <v>0</v>
      </c>
      <c r="HA12" s="160">
        <v>35375.08</v>
      </c>
      <c r="HB12" s="1">
        <f t="shared" si="81"/>
        <v>106125.24</v>
      </c>
      <c r="HC12" s="57">
        <v>3</v>
      </c>
      <c r="HD12" s="96"/>
      <c r="HE12" s="32">
        <f t="shared" si="107"/>
        <v>0</v>
      </c>
      <c r="HF12" s="108">
        <v>24476.37</v>
      </c>
      <c r="HG12" s="1">
        <f t="shared" si="82"/>
        <v>122381.84999999999</v>
      </c>
      <c r="HH12" s="57">
        <v>5</v>
      </c>
      <c r="HI12" s="96"/>
      <c r="HJ12" s="13">
        <f t="shared" si="83"/>
        <v>0</v>
      </c>
      <c r="HL12" s="1">
        <f t="shared" si="84"/>
        <v>0</v>
      </c>
      <c r="HM12" s="57">
        <v>5.5</v>
      </c>
      <c r="HN12" s="97"/>
      <c r="HO12" s="14" t="e">
        <f t="shared" si="85"/>
        <v>#DIV/0!</v>
      </c>
      <c r="HQ12" s="1">
        <f t="shared" si="86"/>
        <v>0</v>
      </c>
      <c r="HR12" s="57">
        <v>5</v>
      </c>
      <c r="HS12" s="81"/>
      <c r="HT12" s="14" t="e">
        <f t="shared" si="87"/>
        <v>#DIV/0!</v>
      </c>
      <c r="HU12" s="108">
        <v>1674.66</v>
      </c>
      <c r="HV12" s="1">
        <f t="shared" si="88"/>
        <v>5023.9800000000005</v>
      </c>
      <c r="HW12" s="57">
        <v>3</v>
      </c>
      <c r="HX12" s="97"/>
      <c r="HY12" s="14">
        <f t="shared" si="89"/>
        <v>0</v>
      </c>
      <c r="HZ12" s="108">
        <v>75156.929999999993</v>
      </c>
      <c r="IA12" s="1">
        <f t="shared" si="90"/>
        <v>225470.78999999998</v>
      </c>
      <c r="IB12" s="57">
        <v>3</v>
      </c>
      <c r="IC12" s="97"/>
      <c r="ID12" s="14">
        <f t="shared" si="91"/>
        <v>0</v>
      </c>
      <c r="IE12" s="108">
        <v>121733.08</v>
      </c>
      <c r="IF12" s="1">
        <f t="shared" si="92"/>
        <v>182599.62</v>
      </c>
      <c r="IG12" s="57">
        <v>1.5</v>
      </c>
      <c r="IH12" s="88"/>
      <c r="II12" s="32">
        <f t="shared" si="93"/>
        <v>0</v>
      </c>
      <c r="IJ12" s="108">
        <v>112445.82</v>
      </c>
      <c r="IK12" s="1">
        <f t="shared" si="94"/>
        <v>168668.73</v>
      </c>
      <c r="IL12" s="57">
        <v>1.5</v>
      </c>
      <c r="IM12" s="88"/>
      <c r="IN12" s="32">
        <f t="shared" si="95"/>
        <v>0</v>
      </c>
      <c r="IO12" s="108">
        <v>153751.82</v>
      </c>
      <c r="IP12" s="1">
        <f t="shared" si="96"/>
        <v>230627.73</v>
      </c>
      <c r="IQ12" s="57">
        <v>1.5</v>
      </c>
      <c r="IR12" s="88"/>
      <c r="IS12" s="32">
        <f t="shared" si="97"/>
        <v>0</v>
      </c>
      <c r="IT12" s="108">
        <v>216293.24</v>
      </c>
      <c r="IU12" s="1">
        <f t="shared" si="98"/>
        <v>324439.86</v>
      </c>
      <c r="IV12" s="57">
        <v>1.5</v>
      </c>
      <c r="IW12" s="88"/>
      <c r="IX12" s="32">
        <f t="shared" si="99"/>
        <v>0</v>
      </c>
      <c r="IY12" s="108">
        <v>46769.57</v>
      </c>
      <c r="IZ12" s="1">
        <f t="shared" si="100"/>
        <v>70154.354999999996</v>
      </c>
      <c r="JA12" s="57">
        <v>1.5</v>
      </c>
      <c r="JB12" s="88"/>
      <c r="JC12" s="14">
        <f t="shared" si="101"/>
        <v>0</v>
      </c>
      <c r="JD12" s="73">
        <f t="shared" si="102"/>
        <v>645500.92000000004</v>
      </c>
      <c r="JE12" s="73">
        <f t="shared" si="103"/>
        <v>496202.77999999997</v>
      </c>
      <c r="JF12" s="75">
        <f t="shared" si="104"/>
        <v>-149298.14000000007</v>
      </c>
      <c r="JG12" s="11">
        <f t="shared" si="105"/>
        <v>0.76870964025891697</v>
      </c>
    </row>
    <row r="13" spans="1:267">
      <c r="C13" s="71" t="str">
        <f>"A6"</f>
        <v>A6</v>
      </c>
      <c r="D13" s="164">
        <v>91933.68</v>
      </c>
      <c r="E13" s="1">
        <f t="shared" si="4"/>
        <v>55160.207999999991</v>
      </c>
      <c r="F13" s="2">
        <v>0.6</v>
      </c>
      <c r="G13" s="108">
        <v>74049.98</v>
      </c>
      <c r="H13" s="171">
        <f t="shared" si="5"/>
        <v>0.80547172701016645</v>
      </c>
      <c r="I13" s="169">
        <v>100118.11</v>
      </c>
      <c r="J13" s="1">
        <f t="shared" si="6"/>
        <v>65076.771500000003</v>
      </c>
      <c r="K13" s="2">
        <v>0.65</v>
      </c>
      <c r="L13" s="108">
        <v>54270.86</v>
      </c>
      <c r="M13" s="14">
        <f t="shared" si="7"/>
        <v>0.54206836305639405</v>
      </c>
      <c r="N13" s="164">
        <v>98306.48</v>
      </c>
      <c r="O13" s="1">
        <f t="shared" si="8"/>
        <v>58983.887999999992</v>
      </c>
      <c r="P13" s="2">
        <v>0.6</v>
      </c>
      <c r="Q13" s="108">
        <v>61593.03</v>
      </c>
      <c r="R13" s="13">
        <f t="shared" si="9"/>
        <v>0.62654089537129187</v>
      </c>
      <c r="S13" s="160">
        <v>95468.11</v>
      </c>
      <c r="T13" s="1">
        <f t="shared" si="10"/>
        <v>66827.676999999996</v>
      </c>
      <c r="U13" s="2">
        <v>0.7</v>
      </c>
      <c r="V13" s="108">
        <v>69356.42</v>
      </c>
      <c r="W13" s="13">
        <f t="shared" si="11"/>
        <v>0.72648782928665911</v>
      </c>
      <c r="X13" s="108">
        <v>105909.38</v>
      </c>
      <c r="Y13" s="1">
        <f t="shared" si="12"/>
        <v>90022.972999999998</v>
      </c>
      <c r="Z13" s="2">
        <v>0.85</v>
      </c>
      <c r="AA13" s="108">
        <v>74114.960000000006</v>
      </c>
      <c r="AB13" s="13">
        <f t="shared" si="13"/>
        <v>0.69979599540663917</v>
      </c>
      <c r="AC13" s="108">
        <v>158167.91</v>
      </c>
      <c r="AD13" s="1">
        <f t="shared" si="14"/>
        <v>118625.9325</v>
      </c>
      <c r="AE13" s="2">
        <v>0.75</v>
      </c>
      <c r="AF13" s="108">
        <v>80033.23</v>
      </c>
      <c r="AG13" s="13">
        <f t="shared" si="15"/>
        <v>0.50600169149355256</v>
      </c>
      <c r="AH13" s="108">
        <v>91811.19</v>
      </c>
      <c r="AI13" s="1">
        <f t="shared" si="16"/>
        <v>55086.714</v>
      </c>
      <c r="AJ13" s="2">
        <v>0.6</v>
      </c>
      <c r="AK13" s="108">
        <v>52983.44</v>
      </c>
      <c r="AL13" s="13">
        <f t="shared" si="17"/>
        <v>0.57709131098289868</v>
      </c>
      <c r="AM13" s="108">
        <v>89915.92</v>
      </c>
      <c r="AN13" s="1">
        <f t="shared" si="18"/>
        <v>53949.551999999996</v>
      </c>
      <c r="AO13" s="2">
        <v>0.6</v>
      </c>
      <c r="AP13" s="108">
        <v>87012.63</v>
      </c>
      <c r="AQ13" s="13">
        <f t="shared" si="19"/>
        <v>0.9677110571743025</v>
      </c>
      <c r="AR13" s="160">
        <v>101277.43</v>
      </c>
      <c r="AS13" s="1">
        <f t="shared" si="20"/>
        <v>75958.072499999995</v>
      </c>
      <c r="AT13" s="2">
        <v>0.75</v>
      </c>
      <c r="AU13" s="108">
        <v>68400.92</v>
      </c>
      <c r="AV13" s="13">
        <f t="shared" si="21"/>
        <v>0.67538167190853882</v>
      </c>
      <c r="AW13" s="160">
        <v>95461.21</v>
      </c>
      <c r="AX13" s="1">
        <f t="shared" si="22"/>
        <v>71595.907500000001</v>
      </c>
      <c r="AY13" s="2">
        <v>0.75</v>
      </c>
      <c r="AZ13" s="108">
        <v>70441.16</v>
      </c>
      <c r="BA13" s="60">
        <f t="shared" si="23"/>
        <v>0.7379034898049166</v>
      </c>
      <c r="BB13" s="160">
        <v>85741.37</v>
      </c>
      <c r="BC13" s="1">
        <f t="shared" si="24"/>
        <v>60018.958999999995</v>
      </c>
      <c r="BD13" s="2">
        <v>0.7</v>
      </c>
      <c r="BE13" s="108">
        <v>59807.85</v>
      </c>
      <c r="BF13" s="17">
        <f t="shared" si="25"/>
        <v>0.69753783966829552</v>
      </c>
      <c r="BG13" s="160">
        <v>56414.14</v>
      </c>
      <c r="BH13" s="1">
        <f t="shared" si="26"/>
        <v>42310.604999999996</v>
      </c>
      <c r="BI13" s="2">
        <v>0.75</v>
      </c>
      <c r="BJ13" s="115"/>
      <c r="BK13" s="60">
        <f t="shared" si="27"/>
        <v>0</v>
      </c>
      <c r="BL13" s="160">
        <v>65547.62</v>
      </c>
      <c r="BM13" s="1">
        <f t="shared" si="28"/>
        <v>49160.714999999997</v>
      </c>
      <c r="BN13" s="2">
        <v>0.75</v>
      </c>
      <c r="BO13" s="115"/>
      <c r="BP13" s="60">
        <f t="shared" si="29"/>
        <v>0</v>
      </c>
      <c r="BQ13" s="160">
        <v>49801.06</v>
      </c>
      <c r="BR13" s="1">
        <f t="shared" si="30"/>
        <v>174303.71</v>
      </c>
      <c r="BS13" s="57">
        <v>3.5</v>
      </c>
      <c r="BT13" s="115"/>
      <c r="BU13" s="16">
        <f t="shared" si="31"/>
        <v>0</v>
      </c>
      <c r="BV13" s="160">
        <v>47427.42</v>
      </c>
      <c r="BW13" s="1">
        <f t="shared" si="32"/>
        <v>165995.97</v>
      </c>
      <c r="BX13" s="57">
        <v>3.5</v>
      </c>
      <c r="BY13" s="108"/>
      <c r="BZ13" s="14">
        <f t="shared" si="33"/>
        <v>0</v>
      </c>
      <c r="CA13" s="160"/>
      <c r="CB13" s="1">
        <f t="shared" si="34"/>
        <v>0</v>
      </c>
      <c r="CC13" s="57">
        <v>5</v>
      </c>
      <c r="CD13" s="115"/>
      <c r="CE13" s="16" t="e">
        <f t="shared" si="35"/>
        <v>#DIV/0!</v>
      </c>
      <c r="CF13" s="160"/>
      <c r="CG13" s="1">
        <f t="shared" si="36"/>
        <v>0</v>
      </c>
      <c r="CH13" s="57">
        <v>3</v>
      </c>
      <c r="CI13" s="115"/>
      <c r="CJ13" s="18" t="e">
        <f t="shared" si="37"/>
        <v>#DIV/0!</v>
      </c>
      <c r="CK13" s="160"/>
      <c r="CL13" s="1">
        <f t="shared" si="38"/>
        <v>0</v>
      </c>
      <c r="CM13" s="57">
        <v>6.5</v>
      </c>
      <c r="CN13" s="115"/>
      <c r="CO13" s="16" t="e">
        <f t="shared" si="39"/>
        <v>#DIV/0!</v>
      </c>
      <c r="CP13" s="160"/>
      <c r="CQ13" s="1">
        <f t="shared" si="40"/>
        <v>0</v>
      </c>
      <c r="CR13" s="57">
        <v>6.5</v>
      </c>
      <c r="CS13" s="95"/>
      <c r="CT13" s="16" t="e">
        <f t="shared" si="41"/>
        <v>#DIV/0!</v>
      </c>
      <c r="CU13" s="160"/>
      <c r="CV13" s="1">
        <f t="shared" si="42"/>
        <v>0</v>
      </c>
      <c r="CW13" s="57">
        <v>6.5</v>
      </c>
      <c r="CX13" s="132"/>
      <c r="CY13" s="130" t="e">
        <f t="shared" si="43"/>
        <v>#DIV/0!</v>
      </c>
      <c r="CZ13" s="160"/>
      <c r="DA13" s="1">
        <f t="shared" si="44"/>
        <v>0</v>
      </c>
      <c r="DB13" s="57">
        <v>6.5</v>
      </c>
      <c r="DC13" s="132"/>
      <c r="DD13" s="18" t="e">
        <f t="shared" si="45"/>
        <v>#DIV/0!</v>
      </c>
      <c r="DE13" s="357"/>
      <c r="DF13" s="1">
        <f t="shared" si="46"/>
        <v>0</v>
      </c>
      <c r="DG13" s="57">
        <v>4.5</v>
      </c>
      <c r="DH13" s="132"/>
      <c r="DI13" s="16" t="e">
        <f t="shared" si="47"/>
        <v>#DIV/0!</v>
      </c>
      <c r="DJ13" s="160">
        <v>33759.839999999997</v>
      </c>
      <c r="DK13" s="1">
        <f t="shared" si="48"/>
        <v>101279.51999999999</v>
      </c>
      <c r="DL13" s="57">
        <v>3</v>
      </c>
      <c r="DM13" s="88"/>
      <c r="DN13" s="16">
        <f t="shared" si="106"/>
        <v>0</v>
      </c>
      <c r="DO13" s="160">
        <v>56008.82</v>
      </c>
      <c r="DP13" s="1">
        <f t="shared" si="49"/>
        <v>140022.04999999999</v>
      </c>
      <c r="DQ13" s="57">
        <v>2.5</v>
      </c>
      <c r="DR13" s="88"/>
      <c r="DS13" s="16">
        <f t="shared" si="50"/>
        <v>0</v>
      </c>
      <c r="DT13" s="160">
        <v>60308.45</v>
      </c>
      <c r="DU13" s="1">
        <f t="shared" si="51"/>
        <v>150771.125</v>
      </c>
      <c r="DV13" s="57">
        <v>2.5</v>
      </c>
      <c r="DW13" s="88"/>
      <c r="DX13" s="16">
        <f t="shared" si="0"/>
        <v>0</v>
      </c>
      <c r="DY13" s="160">
        <v>78826.7</v>
      </c>
      <c r="DZ13" s="1">
        <f t="shared" si="52"/>
        <v>197066.75</v>
      </c>
      <c r="EA13" s="57">
        <v>2.5</v>
      </c>
      <c r="EB13" s="232"/>
      <c r="EC13" s="18">
        <f t="shared" si="53"/>
        <v>0</v>
      </c>
      <c r="ED13" s="160">
        <v>58210.12</v>
      </c>
      <c r="EE13" s="1">
        <f t="shared" si="54"/>
        <v>116420.24</v>
      </c>
      <c r="EF13" s="57">
        <v>2</v>
      </c>
      <c r="EG13" s="232"/>
      <c r="EH13" s="16">
        <f t="shared" si="55"/>
        <v>0</v>
      </c>
      <c r="EI13" s="160">
        <v>79580.479999999996</v>
      </c>
      <c r="EJ13" s="1">
        <f t="shared" si="56"/>
        <v>143244.864</v>
      </c>
      <c r="EK13" s="57">
        <v>1.8</v>
      </c>
      <c r="EL13" s="232"/>
      <c r="EM13" s="16">
        <f t="shared" si="57"/>
        <v>0</v>
      </c>
      <c r="EN13" s="160">
        <v>69781.88</v>
      </c>
      <c r="EO13" s="1">
        <f t="shared" si="58"/>
        <v>125607.38400000001</v>
      </c>
      <c r="EP13" s="57">
        <v>1.8</v>
      </c>
      <c r="EQ13" s="232"/>
      <c r="ER13" s="16">
        <f t="shared" si="59"/>
        <v>0</v>
      </c>
      <c r="ES13" s="160">
        <v>80197.72</v>
      </c>
      <c r="ET13" s="1">
        <f t="shared" si="60"/>
        <v>144355.89600000001</v>
      </c>
      <c r="EU13" s="57">
        <v>1.8</v>
      </c>
      <c r="EV13" s="232"/>
      <c r="EW13" s="18">
        <f t="shared" si="61"/>
        <v>0</v>
      </c>
      <c r="EX13" s="160">
        <v>68924.289999999994</v>
      </c>
      <c r="EY13" s="1">
        <f t="shared" si="62"/>
        <v>124063.72199999999</v>
      </c>
      <c r="EZ13" s="57">
        <v>1.8</v>
      </c>
      <c r="FA13" s="232"/>
      <c r="FB13" s="32">
        <f t="shared" si="1"/>
        <v>0</v>
      </c>
      <c r="FC13" s="160">
        <v>78475.73</v>
      </c>
      <c r="FD13" s="1">
        <f t="shared" si="63"/>
        <v>141256.31399999998</v>
      </c>
      <c r="FE13" s="57">
        <v>1.8</v>
      </c>
      <c r="FF13" s="232"/>
      <c r="FG13" s="14">
        <f t="shared" si="64"/>
        <v>0</v>
      </c>
      <c r="FH13" s="160">
        <v>69070.710000000006</v>
      </c>
      <c r="FI13" s="1">
        <f t="shared" si="65"/>
        <v>124327.27800000002</v>
      </c>
      <c r="FJ13" s="57">
        <v>1.8</v>
      </c>
      <c r="FK13" s="232"/>
      <c r="FL13" s="234">
        <f t="shared" si="66"/>
        <v>0</v>
      </c>
      <c r="FM13" s="160">
        <v>50384.29</v>
      </c>
      <c r="FN13" s="1">
        <f t="shared" si="67"/>
        <v>90691.722000000009</v>
      </c>
      <c r="FO13" s="57">
        <v>1.8</v>
      </c>
      <c r="FP13" s="232"/>
      <c r="FQ13" s="13">
        <f t="shared" si="68"/>
        <v>0</v>
      </c>
      <c r="FR13" s="160">
        <v>75594.87</v>
      </c>
      <c r="FS13" s="1">
        <f t="shared" si="69"/>
        <v>117927.9972</v>
      </c>
      <c r="FT13" s="57">
        <v>1.56</v>
      </c>
      <c r="FU13" s="88"/>
      <c r="FV13" s="31">
        <f t="shared" si="70"/>
        <v>0</v>
      </c>
      <c r="FW13" s="160">
        <v>94835.78</v>
      </c>
      <c r="FX13" s="1">
        <f t="shared" si="71"/>
        <v>147943.8168</v>
      </c>
      <c r="FY13" s="57">
        <v>1.56</v>
      </c>
      <c r="FZ13" s="88"/>
      <c r="GA13" s="14">
        <f t="shared" si="2"/>
        <v>0</v>
      </c>
      <c r="GB13" s="160">
        <v>86573.56</v>
      </c>
      <c r="GC13" s="1">
        <f t="shared" si="72"/>
        <v>135054.7536</v>
      </c>
      <c r="GD13" s="57">
        <v>1.56</v>
      </c>
      <c r="GE13" s="88"/>
      <c r="GF13" s="32">
        <f t="shared" si="73"/>
        <v>0</v>
      </c>
      <c r="GG13" s="160">
        <v>82942.48</v>
      </c>
      <c r="GH13" s="1">
        <f t="shared" si="74"/>
        <v>129390.26880000001</v>
      </c>
      <c r="GI13" s="57">
        <v>1.56</v>
      </c>
      <c r="GJ13" s="108"/>
      <c r="GK13" s="32">
        <f t="shared" si="75"/>
        <v>0</v>
      </c>
      <c r="GL13" s="160">
        <v>98865.8</v>
      </c>
      <c r="GM13" s="1">
        <f t="shared" si="76"/>
        <v>154230.64800000002</v>
      </c>
      <c r="GN13" s="57">
        <v>1.56</v>
      </c>
      <c r="GO13" s="108"/>
      <c r="GP13" s="13">
        <f t="shared" si="77"/>
        <v>0</v>
      </c>
      <c r="GQ13" s="160">
        <v>82335.429999999993</v>
      </c>
      <c r="GR13" s="1">
        <f t="shared" si="78"/>
        <v>128443.2708</v>
      </c>
      <c r="GS13" s="57">
        <v>1.56</v>
      </c>
      <c r="GT13" s="108"/>
      <c r="GU13" s="32">
        <f t="shared" si="79"/>
        <v>0</v>
      </c>
      <c r="GV13" s="160">
        <v>68472.02</v>
      </c>
      <c r="GW13" s="1">
        <f t="shared" si="80"/>
        <v>136944.04</v>
      </c>
      <c r="GX13" s="57">
        <v>2</v>
      </c>
      <c r="GY13" s="96"/>
      <c r="GZ13" s="32">
        <f t="shared" si="3"/>
        <v>0</v>
      </c>
      <c r="HA13" s="160">
        <v>52299.78</v>
      </c>
      <c r="HB13" s="1">
        <f t="shared" si="81"/>
        <v>156899.34</v>
      </c>
      <c r="HC13" s="57">
        <v>3</v>
      </c>
      <c r="HD13" s="96"/>
      <c r="HE13" s="32">
        <f t="shared" si="107"/>
        <v>0</v>
      </c>
      <c r="HF13" s="108">
        <v>9256.16</v>
      </c>
      <c r="HG13" s="1">
        <f t="shared" si="82"/>
        <v>46280.800000000003</v>
      </c>
      <c r="HH13" s="57">
        <v>5</v>
      </c>
      <c r="HI13" s="96"/>
      <c r="HJ13" s="13">
        <f t="shared" si="83"/>
        <v>0</v>
      </c>
      <c r="HK13" s="108">
        <v>6134.05</v>
      </c>
      <c r="HL13" s="1">
        <f t="shared" si="84"/>
        <v>33737.275000000001</v>
      </c>
      <c r="HM13" s="57">
        <v>5.5</v>
      </c>
      <c r="HN13" s="97"/>
      <c r="HO13" s="14">
        <f t="shared" si="85"/>
        <v>0</v>
      </c>
      <c r="HP13" s="108">
        <v>20037.09</v>
      </c>
      <c r="HQ13" s="1">
        <f t="shared" si="86"/>
        <v>100185.45</v>
      </c>
      <c r="HR13" s="57">
        <v>5</v>
      </c>
      <c r="HS13" s="81"/>
      <c r="HT13" s="14">
        <f t="shared" si="87"/>
        <v>0</v>
      </c>
      <c r="HU13" s="108">
        <v>67481.919999999998</v>
      </c>
      <c r="HV13" s="1">
        <f t="shared" si="88"/>
        <v>202445.76</v>
      </c>
      <c r="HW13" s="57">
        <v>3</v>
      </c>
      <c r="HX13" s="97"/>
      <c r="HY13" s="14">
        <f t="shared" si="89"/>
        <v>0</v>
      </c>
      <c r="HZ13" s="108">
        <v>139172.49</v>
      </c>
      <c r="IA13" s="1">
        <f t="shared" si="90"/>
        <v>417517.47</v>
      </c>
      <c r="IB13" s="57">
        <v>3</v>
      </c>
      <c r="IC13" s="97"/>
      <c r="ID13" s="14">
        <f t="shared" si="91"/>
        <v>0</v>
      </c>
      <c r="IE13" s="108">
        <v>204438.11</v>
      </c>
      <c r="IF13" s="1">
        <f t="shared" si="92"/>
        <v>306657.16499999998</v>
      </c>
      <c r="IG13" s="57">
        <v>1.5</v>
      </c>
      <c r="IH13" s="88"/>
      <c r="II13" s="32">
        <f t="shared" si="93"/>
        <v>0</v>
      </c>
      <c r="IJ13" s="108">
        <v>245503.13</v>
      </c>
      <c r="IK13" s="1">
        <f t="shared" si="94"/>
        <v>368254.69500000001</v>
      </c>
      <c r="IL13" s="57">
        <v>1.5</v>
      </c>
      <c r="IM13" s="88"/>
      <c r="IN13" s="32">
        <f t="shared" si="95"/>
        <v>0</v>
      </c>
      <c r="IO13" s="108">
        <v>296034.09999999998</v>
      </c>
      <c r="IP13" s="1">
        <f t="shared" si="96"/>
        <v>444051.14999999997</v>
      </c>
      <c r="IQ13" s="57">
        <v>1.5</v>
      </c>
      <c r="IR13" s="88"/>
      <c r="IS13" s="32">
        <f t="shared" si="97"/>
        <v>0</v>
      </c>
      <c r="IT13" s="108">
        <v>334743.11</v>
      </c>
      <c r="IU13" s="1">
        <f t="shared" si="98"/>
        <v>502114.66499999998</v>
      </c>
      <c r="IV13" s="57">
        <v>1.5</v>
      </c>
      <c r="IW13" s="88"/>
      <c r="IX13" s="32">
        <f t="shared" si="99"/>
        <v>0</v>
      </c>
      <c r="IY13" s="108">
        <v>86586.35</v>
      </c>
      <c r="IZ13" s="1">
        <f t="shared" si="100"/>
        <v>129879.52500000001</v>
      </c>
      <c r="JA13" s="57">
        <v>1.5</v>
      </c>
      <c r="JB13" s="88"/>
      <c r="JC13" s="14">
        <f t="shared" si="101"/>
        <v>0</v>
      </c>
      <c r="JD13" s="73">
        <f t="shared" si="102"/>
        <v>1114110.79</v>
      </c>
      <c r="JE13" s="73">
        <f t="shared" si="103"/>
        <v>752064.4800000001</v>
      </c>
      <c r="JF13" s="75">
        <f t="shared" si="104"/>
        <v>-362046.30999999994</v>
      </c>
      <c r="JG13" s="11">
        <f t="shared" si="105"/>
        <v>0.6750356308819162</v>
      </c>
    </row>
    <row r="14" spans="1:267">
      <c r="C14" s="71" t="str">
        <f>"A8"</f>
        <v>A8</v>
      </c>
      <c r="D14" s="164">
        <v>84597.06</v>
      </c>
      <c r="E14" s="1">
        <f t="shared" si="4"/>
        <v>50758.235999999997</v>
      </c>
      <c r="F14" s="2">
        <v>0.6</v>
      </c>
      <c r="G14" s="108">
        <v>56835.12</v>
      </c>
      <c r="H14" s="171">
        <f t="shared" si="5"/>
        <v>0.67183327647556557</v>
      </c>
      <c r="I14" s="169">
        <v>75304.03</v>
      </c>
      <c r="J14" s="1">
        <f t="shared" si="6"/>
        <v>45182.417999999998</v>
      </c>
      <c r="K14" s="2">
        <v>0.6</v>
      </c>
      <c r="L14" s="108">
        <v>56459.72</v>
      </c>
      <c r="M14" s="14">
        <f t="shared" si="7"/>
        <v>0.74975695191877512</v>
      </c>
      <c r="N14" s="164">
        <v>54902.9</v>
      </c>
      <c r="O14" s="1">
        <f t="shared" si="8"/>
        <v>43922.320000000007</v>
      </c>
      <c r="P14" s="2">
        <v>0.8</v>
      </c>
      <c r="Q14" s="108">
        <v>44981.94</v>
      </c>
      <c r="R14" s="13">
        <f t="shared" si="9"/>
        <v>0.81929989126257452</v>
      </c>
      <c r="S14" s="160">
        <v>69332.22</v>
      </c>
      <c r="T14" s="1">
        <f t="shared" si="10"/>
        <v>58932.387000000002</v>
      </c>
      <c r="U14" s="2">
        <v>0.85</v>
      </c>
      <c r="V14" s="108">
        <v>50849.5</v>
      </c>
      <c r="W14" s="13">
        <f t="shared" si="11"/>
        <v>0.73341802700101044</v>
      </c>
      <c r="X14" s="108">
        <v>85047.14</v>
      </c>
      <c r="Y14" s="1">
        <f t="shared" si="12"/>
        <v>59532.997999999992</v>
      </c>
      <c r="Z14" s="2">
        <v>0.7</v>
      </c>
      <c r="AA14" s="108">
        <v>57420.34</v>
      </c>
      <c r="AB14" s="13">
        <f t="shared" si="13"/>
        <v>0.67515897653936385</v>
      </c>
      <c r="AC14" s="108">
        <v>108767.88</v>
      </c>
      <c r="AD14" s="1">
        <f t="shared" si="14"/>
        <v>79400.5524</v>
      </c>
      <c r="AE14" s="2">
        <v>0.73</v>
      </c>
      <c r="AF14" s="108">
        <v>68123.649999999994</v>
      </c>
      <c r="AG14" s="13">
        <f t="shared" si="15"/>
        <v>0.62632139194034109</v>
      </c>
      <c r="AH14" s="108">
        <v>80559.58</v>
      </c>
      <c r="AI14" s="1">
        <f t="shared" si="16"/>
        <v>48335.748</v>
      </c>
      <c r="AJ14" s="2">
        <v>0.6</v>
      </c>
      <c r="AK14" s="108">
        <v>59891.37</v>
      </c>
      <c r="AL14" s="13">
        <f t="shared" si="17"/>
        <v>0.74344193452845708</v>
      </c>
      <c r="AM14" s="108">
        <v>80671.070000000007</v>
      </c>
      <c r="AN14" s="1">
        <f t="shared" si="18"/>
        <v>48402.642</v>
      </c>
      <c r="AO14" s="2">
        <v>0.6</v>
      </c>
      <c r="AP14" s="108">
        <v>63965.66</v>
      </c>
      <c r="AQ14" s="13">
        <f t="shared" si="19"/>
        <v>0.79291944435595063</v>
      </c>
      <c r="AR14" s="160">
        <v>74881.22</v>
      </c>
      <c r="AS14" s="1">
        <f t="shared" si="20"/>
        <v>56160.915000000001</v>
      </c>
      <c r="AT14" s="2">
        <v>0.75</v>
      </c>
      <c r="AU14" s="108">
        <v>69039.17</v>
      </c>
      <c r="AV14" s="13">
        <f t="shared" si="21"/>
        <v>0.9219824409912124</v>
      </c>
      <c r="AW14" s="160">
        <v>79910.070000000007</v>
      </c>
      <c r="AX14" s="1">
        <f t="shared" si="22"/>
        <v>59932.552500000005</v>
      </c>
      <c r="AY14" s="2">
        <v>0.75</v>
      </c>
      <c r="AZ14" s="108">
        <v>65856.399999999994</v>
      </c>
      <c r="BA14" s="60">
        <f t="shared" si="23"/>
        <v>0.82413142674008411</v>
      </c>
      <c r="BB14" s="160">
        <v>64815.57</v>
      </c>
      <c r="BC14" s="1">
        <f t="shared" si="24"/>
        <v>45370.898999999998</v>
      </c>
      <c r="BD14" s="2">
        <v>0.7</v>
      </c>
      <c r="BE14" s="108">
        <v>70242.69</v>
      </c>
      <c r="BF14" s="17">
        <f t="shared" si="25"/>
        <v>1.0837317329771228</v>
      </c>
      <c r="BG14" s="160">
        <v>10506.93</v>
      </c>
      <c r="BH14" s="1">
        <f t="shared" si="26"/>
        <v>7880.1975000000002</v>
      </c>
      <c r="BI14" s="2">
        <v>0.75</v>
      </c>
      <c r="BJ14" s="115"/>
      <c r="BK14" s="60">
        <f t="shared" si="27"/>
        <v>0</v>
      </c>
      <c r="BL14" s="160"/>
      <c r="BM14" s="1">
        <f t="shared" si="28"/>
        <v>0</v>
      </c>
      <c r="BN14" s="2">
        <v>0.75</v>
      </c>
      <c r="BO14" s="115"/>
      <c r="BP14" s="60" t="e">
        <f t="shared" si="29"/>
        <v>#DIV/0!</v>
      </c>
      <c r="BQ14" s="160"/>
      <c r="BR14" s="1">
        <f t="shared" si="30"/>
        <v>0</v>
      </c>
      <c r="BS14" s="57">
        <v>3.5</v>
      </c>
      <c r="BT14" s="115"/>
      <c r="BU14" s="16" t="e">
        <f t="shared" si="31"/>
        <v>#DIV/0!</v>
      </c>
      <c r="BV14" s="160"/>
      <c r="BW14" s="1">
        <f t="shared" si="32"/>
        <v>0</v>
      </c>
      <c r="BX14" s="57">
        <v>3.5</v>
      </c>
      <c r="BZ14" s="14" t="e">
        <f t="shared" si="33"/>
        <v>#DIV/0!</v>
      </c>
      <c r="CA14" s="160"/>
      <c r="CB14" s="1">
        <f t="shared" si="34"/>
        <v>0</v>
      </c>
      <c r="CC14" s="57">
        <v>5</v>
      </c>
      <c r="CD14" s="115"/>
      <c r="CE14" s="16" t="e">
        <f t="shared" si="35"/>
        <v>#DIV/0!</v>
      </c>
      <c r="CF14" s="160"/>
      <c r="CG14" s="1">
        <f t="shared" si="36"/>
        <v>0</v>
      </c>
      <c r="CH14" s="57">
        <v>3</v>
      </c>
      <c r="CI14" s="115"/>
      <c r="CJ14" s="18" t="e">
        <f t="shared" si="37"/>
        <v>#DIV/0!</v>
      </c>
      <c r="CK14" s="160"/>
      <c r="CL14" s="1">
        <f t="shared" si="38"/>
        <v>0</v>
      </c>
      <c r="CM14" s="57">
        <v>6.5</v>
      </c>
      <c r="CN14" s="115"/>
      <c r="CO14" s="16" t="e">
        <f t="shared" si="39"/>
        <v>#DIV/0!</v>
      </c>
      <c r="CP14" s="160"/>
      <c r="CQ14" s="1">
        <f t="shared" si="40"/>
        <v>0</v>
      </c>
      <c r="CR14" s="57">
        <v>6.5</v>
      </c>
      <c r="CS14" s="95"/>
      <c r="CT14" s="16" t="e">
        <f t="shared" si="41"/>
        <v>#DIV/0!</v>
      </c>
      <c r="CU14" s="160"/>
      <c r="CV14" s="1">
        <f t="shared" si="42"/>
        <v>0</v>
      </c>
      <c r="CW14" s="57">
        <v>6.5</v>
      </c>
      <c r="CX14" s="132"/>
      <c r="CY14" s="130" t="e">
        <f t="shared" si="43"/>
        <v>#DIV/0!</v>
      </c>
      <c r="CZ14" s="160"/>
      <c r="DA14" s="1">
        <f t="shared" si="44"/>
        <v>0</v>
      </c>
      <c r="DB14" s="57">
        <v>6.5</v>
      </c>
      <c r="DC14" s="132"/>
      <c r="DD14" s="18" t="e">
        <f t="shared" si="45"/>
        <v>#DIV/0!</v>
      </c>
      <c r="DE14" s="357"/>
      <c r="DF14" s="1">
        <f t="shared" si="46"/>
        <v>0</v>
      </c>
      <c r="DG14" s="57">
        <v>4.5</v>
      </c>
      <c r="DH14" s="132"/>
      <c r="DI14" s="16" t="e">
        <f t="shared" si="47"/>
        <v>#DIV/0!</v>
      </c>
      <c r="DJ14" s="357"/>
      <c r="DK14" s="1">
        <f t="shared" si="48"/>
        <v>0</v>
      </c>
      <c r="DL14" s="57">
        <v>3</v>
      </c>
      <c r="DM14" s="233"/>
      <c r="DN14" s="16" t="e">
        <f t="shared" si="106"/>
        <v>#DIV/0!</v>
      </c>
      <c r="DO14" s="357"/>
      <c r="DP14" s="1">
        <f t="shared" si="49"/>
        <v>0</v>
      </c>
      <c r="DQ14" s="57">
        <v>2.5</v>
      </c>
      <c r="DR14" s="233"/>
      <c r="DS14" s="16" t="e">
        <f t="shared" si="50"/>
        <v>#DIV/0!</v>
      </c>
      <c r="DT14" s="357"/>
      <c r="DU14" s="1">
        <f t="shared" si="51"/>
        <v>0</v>
      </c>
      <c r="DV14" s="57">
        <v>2.5</v>
      </c>
      <c r="DW14" s="233"/>
      <c r="DX14" s="16" t="e">
        <f t="shared" si="0"/>
        <v>#DIV/0!</v>
      </c>
      <c r="DY14" s="357"/>
      <c r="DZ14" s="1">
        <f t="shared" si="52"/>
        <v>0</v>
      </c>
      <c r="EA14" s="57">
        <v>2.5</v>
      </c>
      <c r="EB14" s="233"/>
      <c r="EC14" s="18" t="e">
        <f t="shared" si="53"/>
        <v>#DIV/0!</v>
      </c>
      <c r="ED14" s="357"/>
      <c r="EE14" s="1">
        <f t="shared" si="54"/>
        <v>0</v>
      </c>
      <c r="EF14" s="57">
        <v>2</v>
      </c>
      <c r="EG14" s="233"/>
      <c r="EH14" s="16" t="e">
        <f t="shared" si="55"/>
        <v>#DIV/0!</v>
      </c>
      <c r="EI14" s="357"/>
      <c r="EJ14" s="1">
        <f t="shared" si="56"/>
        <v>0</v>
      </c>
      <c r="EK14" s="57">
        <v>1.8</v>
      </c>
      <c r="EL14" s="233"/>
      <c r="EM14" s="16" t="e">
        <f t="shared" si="57"/>
        <v>#DIV/0!</v>
      </c>
      <c r="EN14" s="357"/>
      <c r="EO14" s="1">
        <f t="shared" si="58"/>
        <v>0</v>
      </c>
      <c r="EP14" s="57">
        <v>1.8</v>
      </c>
      <c r="EQ14" s="233"/>
      <c r="ER14" s="16" t="e">
        <f t="shared" si="59"/>
        <v>#DIV/0!</v>
      </c>
      <c r="ES14" s="357"/>
      <c r="ET14" s="1">
        <f t="shared" si="60"/>
        <v>0</v>
      </c>
      <c r="EU14" s="57">
        <v>1.8</v>
      </c>
      <c r="EV14" s="233"/>
      <c r="EW14" s="18" t="e">
        <f t="shared" si="61"/>
        <v>#DIV/0!</v>
      </c>
      <c r="EX14" s="357"/>
      <c r="EY14" s="1">
        <f t="shared" si="62"/>
        <v>0</v>
      </c>
      <c r="EZ14" s="57">
        <v>1.8</v>
      </c>
      <c r="FA14" s="233"/>
      <c r="FB14" s="32" t="e">
        <f t="shared" si="1"/>
        <v>#DIV/0!</v>
      </c>
      <c r="FC14" s="160">
        <v>8847.4599999999991</v>
      </c>
      <c r="FD14" s="1">
        <f t="shared" si="63"/>
        <v>15925.427999999998</v>
      </c>
      <c r="FE14" s="57">
        <v>1.8</v>
      </c>
      <c r="FF14" s="232"/>
      <c r="FG14" s="14">
        <f t="shared" si="64"/>
        <v>0</v>
      </c>
      <c r="FH14" s="160">
        <v>20940.5</v>
      </c>
      <c r="FI14" s="1">
        <f t="shared" si="65"/>
        <v>37692.9</v>
      </c>
      <c r="FJ14" s="57">
        <v>1.8</v>
      </c>
      <c r="FK14" s="232"/>
      <c r="FL14" s="234">
        <f t="shared" si="66"/>
        <v>0</v>
      </c>
      <c r="FM14" s="160">
        <v>16969.11</v>
      </c>
      <c r="FN14" s="1">
        <f t="shared" si="67"/>
        <v>30544.398000000001</v>
      </c>
      <c r="FO14" s="57">
        <v>1.8</v>
      </c>
      <c r="FP14" s="232"/>
      <c r="FQ14" s="13">
        <f t="shared" si="68"/>
        <v>0</v>
      </c>
      <c r="FR14" s="160">
        <v>21493.68</v>
      </c>
      <c r="FS14" s="1">
        <f t="shared" si="69"/>
        <v>33530.140800000001</v>
      </c>
      <c r="FT14" s="57">
        <v>1.56</v>
      </c>
      <c r="FU14" s="88"/>
      <c r="FV14" s="31">
        <f t="shared" si="70"/>
        <v>0</v>
      </c>
      <c r="FW14" s="160">
        <v>20707.53</v>
      </c>
      <c r="FX14" s="1">
        <f t="shared" si="71"/>
        <v>32303.746800000001</v>
      </c>
      <c r="FY14" s="57">
        <v>1.56</v>
      </c>
      <c r="FZ14" s="88"/>
      <c r="GA14" s="14">
        <f t="shared" si="2"/>
        <v>0</v>
      </c>
      <c r="GB14" s="160">
        <v>23176.97</v>
      </c>
      <c r="GC14" s="1">
        <f t="shared" si="72"/>
        <v>36156.073200000006</v>
      </c>
      <c r="GD14" s="57">
        <v>1.56</v>
      </c>
      <c r="GE14" s="88"/>
      <c r="GF14" s="32">
        <f t="shared" si="73"/>
        <v>0</v>
      </c>
      <c r="GG14" s="160">
        <v>22078.71</v>
      </c>
      <c r="GH14" s="1">
        <f t="shared" si="74"/>
        <v>34442.787600000003</v>
      </c>
      <c r="GI14" s="57">
        <v>1.56</v>
      </c>
      <c r="GJ14" s="108"/>
      <c r="GK14" s="32">
        <f t="shared" si="75"/>
        <v>0</v>
      </c>
      <c r="GL14" s="160">
        <v>37898.97</v>
      </c>
      <c r="GM14" s="1">
        <f t="shared" si="76"/>
        <v>59122.393200000006</v>
      </c>
      <c r="GN14" s="57">
        <v>1.56</v>
      </c>
      <c r="GO14" s="108"/>
      <c r="GP14" s="13">
        <f t="shared" si="77"/>
        <v>0</v>
      </c>
      <c r="GQ14" s="160">
        <v>40985.68</v>
      </c>
      <c r="GR14" s="1">
        <f t="shared" si="78"/>
        <v>63937.660800000005</v>
      </c>
      <c r="GS14" s="57">
        <v>1.56</v>
      </c>
      <c r="GT14" s="108"/>
      <c r="GU14" s="32">
        <f t="shared" si="79"/>
        <v>0</v>
      </c>
      <c r="GV14" s="160">
        <v>37651.39</v>
      </c>
      <c r="GW14" s="1">
        <f t="shared" si="80"/>
        <v>75302.78</v>
      </c>
      <c r="GX14" s="57">
        <v>2</v>
      </c>
      <c r="GY14" s="96"/>
      <c r="GZ14" s="32">
        <f t="shared" si="3"/>
        <v>0</v>
      </c>
      <c r="HA14" s="160">
        <v>13088.15</v>
      </c>
      <c r="HB14" s="1">
        <f t="shared" si="81"/>
        <v>39264.449999999997</v>
      </c>
      <c r="HC14" s="57">
        <v>3</v>
      </c>
      <c r="HD14" s="96"/>
      <c r="HE14" s="32">
        <f t="shared" si="107"/>
        <v>0</v>
      </c>
      <c r="HG14" s="1">
        <f t="shared" si="82"/>
        <v>0</v>
      </c>
      <c r="HH14" s="57">
        <v>5</v>
      </c>
      <c r="HI14" s="96"/>
      <c r="HJ14" s="13" t="e">
        <f t="shared" si="83"/>
        <v>#DIV/0!</v>
      </c>
      <c r="HL14" s="1">
        <f t="shared" si="84"/>
        <v>0</v>
      </c>
      <c r="HM14" s="57">
        <v>5.5</v>
      </c>
      <c r="HN14" s="97"/>
      <c r="HO14" s="14" t="e">
        <f t="shared" si="85"/>
        <v>#DIV/0!</v>
      </c>
      <c r="HQ14" s="1">
        <f t="shared" si="86"/>
        <v>0</v>
      </c>
      <c r="HR14" s="57">
        <v>5</v>
      </c>
      <c r="HS14" s="81"/>
      <c r="HT14" s="14" t="e">
        <f t="shared" si="87"/>
        <v>#DIV/0!</v>
      </c>
      <c r="HV14" s="1">
        <f t="shared" si="88"/>
        <v>0</v>
      </c>
      <c r="HW14" s="57">
        <v>3</v>
      </c>
      <c r="HX14" s="97"/>
      <c r="HY14" s="14" t="e">
        <f t="shared" si="89"/>
        <v>#DIV/0!</v>
      </c>
      <c r="HZ14" s="108">
        <v>30851.15</v>
      </c>
      <c r="IA14" s="1">
        <f t="shared" si="90"/>
        <v>92553.450000000012</v>
      </c>
      <c r="IB14" s="57">
        <v>3</v>
      </c>
      <c r="IC14" s="97"/>
      <c r="ID14" s="14">
        <f t="shared" si="91"/>
        <v>0</v>
      </c>
      <c r="IE14" s="108">
        <v>90005</v>
      </c>
      <c r="IF14" s="1">
        <f t="shared" si="92"/>
        <v>135007.5</v>
      </c>
      <c r="IG14" s="57">
        <v>1.5</v>
      </c>
      <c r="IH14" s="88"/>
      <c r="II14" s="32">
        <f t="shared" si="93"/>
        <v>0</v>
      </c>
      <c r="IJ14" s="108">
        <v>164474.96</v>
      </c>
      <c r="IK14" s="1">
        <f t="shared" si="94"/>
        <v>246712.44</v>
      </c>
      <c r="IL14" s="57">
        <v>1.5</v>
      </c>
      <c r="IM14" s="88"/>
      <c r="IN14" s="32">
        <f t="shared" si="95"/>
        <v>0</v>
      </c>
      <c r="IO14" s="108">
        <v>186635.38</v>
      </c>
      <c r="IP14" s="1">
        <f t="shared" si="96"/>
        <v>279953.07</v>
      </c>
      <c r="IQ14" s="57">
        <v>1.5</v>
      </c>
      <c r="IR14" s="88"/>
      <c r="IS14" s="32">
        <f t="shared" si="97"/>
        <v>0</v>
      </c>
      <c r="IT14" s="108">
        <v>240921.44</v>
      </c>
      <c r="IU14" s="1">
        <f t="shared" si="98"/>
        <v>361382.16000000003</v>
      </c>
      <c r="IV14" s="57">
        <v>1.5</v>
      </c>
      <c r="IW14" s="88"/>
      <c r="IX14" s="32">
        <f t="shared" si="99"/>
        <v>0</v>
      </c>
      <c r="IY14" s="108">
        <v>54162.62</v>
      </c>
      <c r="IZ14" s="1">
        <f t="shared" si="100"/>
        <v>81243.930000000008</v>
      </c>
      <c r="JA14" s="57">
        <v>1.5</v>
      </c>
      <c r="JB14" s="88"/>
      <c r="JC14" s="14">
        <f t="shared" si="101"/>
        <v>0</v>
      </c>
      <c r="JD14" s="73">
        <f t="shared" si="102"/>
        <v>858788.73999999987</v>
      </c>
      <c r="JE14" s="73">
        <f t="shared" si="103"/>
        <v>663665.56000000006</v>
      </c>
      <c r="JF14" s="75">
        <f t="shared" si="104"/>
        <v>-195123.17999999982</v>
      </c>
      <c r="JG14" s="11">
        <f t="shared" si="105"/>
        <v>0.77279257294407488</v>
      </c>
    </row>
    <row r="15" spans="1:267">
      <c r="C15" s="71" t="str">
        <f>"A9"</f>
        <v>A9</v>
      </c>
      <c r="D15" s="164">
        <v>71795.360000000001</v>
      </c>
      <c r="E15" s="1">
        <f t="shared" si="4"/>
        <v>43077.216</v>
      </c>
      <c r="F15" s="2">
        <v>0.6</v>
      </c>
      <c r="G15" s="108">
        <v>51721.08</v>
      </c>
      <c r="H15" s="171">
        <f t="shared" si="5"/>
        <v>0.72039585845101972</v>
      </c>
      <c r="I15" s="169">
        <v>65743.27</v>
      </c>
      <c r="J15" s="1">
        <f t="shared" si="6"/>
        <v>46020.288999999997</v>
      </c>
      <c r="K15" s="2">
        <v>0.7</v>
      </c>
      <c r="L15" s="108">
        <v>50082.720000000001</v>
      </c>
      <c r="M15" s="14">
        <f t="shared" si="7"/>
        <v>0.76179234771863336</v>
      </c>
      <c r="N15" s="164">
        <v>49445.26</v>
      </c>
      <c r="O15" s="1">
        <f t="shared" si="8"/>
        <v>39556.208000000006</v>
      </c>
      <c r="P15" s="2">
        <v>0.8</v>
      </c>
      <c r="Q15" s="108">
        <v>38425.56</v>
      </c>
      <c r="R15" s="13">
        <f t="shared" si="9"/>
        <v>0.77713333896919534</v>
      </c>
      <c r="S15" s="160">
        <v>62953.94</v>
      </c>
      <c r="T15" s="1">
        <f t="shared" si="10"/>
        <v>50363.152000000002</v>
      </c>
      <c r="U15" s="2">
        <v>0.8</v>
      </c>
      <c r="V15" s="108">
        <v>44055.360000000001</v>
      </c>
      <c r="W15" s="13">
        <f t="shared" si="11"/>
        <v>0.69980306236591383</v>
      </c>
      <c r="X15" s="108">
        <v>51540.28</v>
      </c>
      <c r="Y15" s="1">
        <f t="shared" si="12"/>
        <v>41232.224000000002</v>
      </c>
      <c r="Z15" s="2">
        <v>0.8</v>
      </c>
      <c r="AA15" s="108">
        <v>54047.56</v>
      </c>
      <c r="AB15" s="13">
        <f t="shared" si="13"/>
        <v>1.0486469999774932</v>
      </c>
      <c r="AC15" s="108">
        <v>84499.839999999997</v>
      </c>
      <c r="AD15" s="1">
        <f t="shared" si="14"/>
        <v>92949.824000000008</v>
      </c>
      <c r="AE15" s="2">
        <v>1.1000000000000001</v>
      </c>
      <c r="AF15" s="108">
        <v>72476.800000000003</v>
      </c>
      <c r="AG15" s="13">
        <f t="shared" si="15"/>
        <v>0.85771523354363755</v>
      </c>
      <c r="AH15" s="108">
        <v>52490.080000000002</v>
      </c>
      <c r="AI15" s="1">
        <f t="shared" si="16"/>
        <v>31494.047999999999</v>
      </c>
      <c r="AJ15" s="2">
        <v>0.6</v>
      </c>
      <c r="AK15" s="108">
        <v>48314.3</v>
      </c>
      <c r="AL15" s="13">
        <f t="shared" si="17"/>
        <v>0.920446301472583</v>
      </c>
      <c r="AM15" s="108">
        <v>62411.44</v>
      </c>
      <c r="AN15" s="1">
        <f t="shared" si="18"/>
        <v>37446.864000000001</v>
      </c>
      <c r="AO15" s="2">
        <v>0.6</v>
      </c>
      <c r="AP15" s="108">
        <v>51152.37</v>
      </c>
      <c r="AQ15" s="13">
        <f t="shared" si="19"/>
        <v>0.81959925936655209</v>
      </c>
      <c r="AR15" s="160">
        <v>61916.5</v>
      </c>
      <c r="AS15" s="1">
        <f t="shared" si="20"/>
        <v>46437.375</v>
      </c>
      <c r="AT15" s="2">
        <v>0.75</v>
      </c>
      <c r="AU15" s="108">
        <v>43320.61</v>
      </c>
      <c r="AV15" s="13">
        <f t="shared" si="21"/>
        <v>0.69966180258897059</v>
      </c>
      <c r="AW15" s="160">
        <v>53857.64</v>
      </c>
      <c r="AX15" s="1">
        <f t="shared" si="22"/>
        <v>40393.229999999996</v>
      </c>
      <c r="AY15" s="2">
        <v>0.75</v>
      </c>
      <c r="AZ15" s="108">
        <v>54639.02</v>
      </c>
      <c r="BA15" s="60">
        <f t="shared" si="23"/>
        <v>1.0145082480405752</v>
      </c>
      <c r="BB15" s="160">
        <v>54059.8</v>
      </c>
      <c r="BC15" s="1">
        <f t="shared" si="24"/>
        <v>37841.86</v>
      </c>
      <c r="BD15" s="2">
        <v>0.7</v>
      </c>
      <c r="BE15" s="108">
        <v>58366.39</v>
      </c>
      <c r="BF15" s="17">
        <f t="shared" si="25"/>
        <v>1.0796634467756077</v>
      </c>
      <c r="BG15" s="160">
        <v>40777.5</v>
      </c>
      <c r="BH15" s="1">
        <f t="shared" si="26"/>
        <v>30583.125</v>
      </c>
      <c r="BI15" s="2">
        <v>0.75</v>
      </c>
      <c r="BJ15" s="115"/>
      <c r="BK15" s="60">
        <f t="shared" si="27"/>
        <v>0</v>
      </c>
      <c r="BL15" s="160">
        <v>47979.61</v>
      </c>
      <c r="BM15" s="1">
        <f t="shared" si="28"/>
        <v>35984.707500000004</v>
      </c>
      <c r="BN15" s="2">
        <v>0.75</v>
      </c>
      <c r="BO15" s="115"/>
      <c r="BP15" s="60">
        <f t="shared" si="29"/>
        <v>0</v>
      </c>
      <c r="BQ15" s="160">
        <v>34234.910000000003</v>
      </c>
      <c r="BR15" s="1">
        <f t="shared" si="30"/>
        <v>119822.18500000001</v>
      </c>
      <c r="BS15" s="57">
        <v>3.5</v>
      </c>
      <c r="BT15" s="115"/>
      <c r="BU15" s="16">
        <f t="shared" si="31"/>
        <v>0</v>
      </c>
      <c r="BV15" s="160">
        <v>37868.29</v>
      </c>
      <c r="BW15" s="1">
        <f t="shared" si="32"/>
        <v>132539.01500000001</v>
      </c>
      <c r="BX15" s="57">
        <v>3.5</v>
      </c>
      <c r="BY15" s="108"/>
      <c r="BZ15" s="14">
        <f t="shared" si="33"/>
        <v>0</v>
      </c>
      <c r="CA15" s="160">
        <v>36353.08</v>
      </c>
      <c r="CB15" s="1">
        <f t="shared" si="34"/>
        <v>181765.40000000002</v>
      </c>
      <c r="CC15" s="57">
        <v>5</v>
      </c>
      <c r="CD15" s="115"/>
      <c r="CE15" s="16">
        <f t="shared" si="35"/>
        <v>0</v>
      </c>
      <c r="CF15" s="160">
        <v>81895.17</v>
      </c>
      <c r="CG15" s="1">
        <f t="shared" si="36"/>
        <v>245685.51</v>
      </c>
      <c r="CH15" s="57">
        <v>3</v>
      </c>
      <c r="CI15" s="115"/>
      <c r="CJ15" s="18">
        <f t="shared" si="37"/>
        <v>0</v>
      </c>
      <c r="CK15" s="160">
        <v>6910.68</v>
      </c>
      <c r="CL15" s="1">
        <f t="shared" si="38"/>
        <v>44919.42</v>
      </c>
      <c r="CM15" s="57">
        <v>6.5</v>
      </c>
      <c r="CN15" s="115"/>
      <c r="CO15" s="16">
        <f t="shared" si="39"/>
        <v>0</v>
      </c>
      <c r="CP15" s="160">
        <v>52373.23</v>
      </c>
      <c r="CQ15" s="1">
        <f t="shared" si="40"/>
        <v>340425.995</v>
      </c>
      <c r="CR15" s="57">
        <v>6.5</v>
      </c>
      <c r="CS15" s="116"/>
      <c r="CT15" s="16">
        <f t="shared" si="41"/>
        <v>0</v>
      </c>
      <c r="CU15" s="160">
        <v>50086.66</v>
      </c>
      <c r="CV15" s="1">
        <f t="shared" si="42"/>
        <v>325563.29000000004</v>
      </c>
      <c r="CW15" s="57">
        <v>6.5</v>
      </c>
      <c r="CX15" s="116"/>
      <c r="CY15" s="130">
        <f t="shared" si="43"/>
        <v>0</v>
      </c>
      <c r="CZ15" s="160">
        <v>44260.99</v>
      </c>
      <c r="DA15" s="1">
        <f t="shared" si="44"/>
        <v>287696.435</v>
      </c>
      <c r="DB15" s="57">
        <v>6.5</v>
      </c>
      <c r="DC15" s="116"/>
      <c r="DD15" s="18">
        <f t="shared" si="45"/>
        <v>0</v>
      </c>
      <c r="DE15" s="160">
        <v>45718.95</v>
      </c>
      <c r="DF15" s="1">
        <f t="shared" si="46"/>
        <v>205735.27499999999</v>
      </c>
      <c r="DG15" s="57">
        <v>4.5</v>
      </c>
      <c r="DH15" s="116"/>
      <c r="DI15" s="16">
        <f t="shared" si="47"/>
        <v>0</v>
      </c>
      <c r="DJ15" s="160">
        <v>39211.760000000002</v>
      </c>
      <c r="DK15" s="1">
        <f t="shared" si="48"/>
        <v>117635.28</v>
      </c>
      <c r="DL15" s="57">
        <v>3</v>
      </c>
      <c r="DM15" s="88"/>
      <c r="DN15" s="16">
        <f t="shared" si="106"/>
        <v>0</v>
      </c>
      <c r="DO15" s="160">
        <v>49581.45</v>
      </c>
      <c r="DP15" s="1">
        <f t="shared" si="49"/>
        <v>123953.625</v>
      </c>
      <c r="DQ15" s="57">
        <v>2.5</v>
      </c>
      <c r="DR15" s="88"/>
      <c r="DS15" s="16">
        <f t="shared" si="50"/>
        <v>0</v>
      </c>
      <c r="DT15" s="160">
        <v>47478.66</v>
      </c>
      <c r="DU15" s="1">
        <f t="shared" si="51"/>
        <v>118696.65000000001</v>
      </c>
      <c r="DV15" s="57">
        <v>2.5</v>
      </c>
      <c r="DW15" s="88"/>
      <c r="DX15" s="16">
        <f t="shared" si="0"/>
        <v>0</v>
      </c>
      <c r="DY15" s="160">
        <v>51608.17</v>
      </c>
      <c r="DZ15" s="1">
        <f t="shared" si="52"/>
        <v>129020.42499999999</v>
      </c>
      <c r="EA15" s="57">
        <v>2.5</v>
      </c>
      <c r="EB15" s="232"/>
      <c r="EC15" s="18">
        <f t="shared" si="53"/>
        <v>0</v>
      </c>
      <c r="ED15" s="160">
        <v>86536.66</v>
      </c>
      <c r="EE15" s="1">
        <f t="shared" si="54"/>
        <v>173073.32</v>
      </c>
      <c r="EF15" s="57">
        <v>2</v>
      </c>
      <c r="EG15" s="232"/>
      <c r="EH15" s="16">
        <f t="shared" si="55"/>
        <v>0</v>
      </c>
      <c r="EI15" s="160">
        <v>54547.76</v>
      </c>
      <c r="EJ15" s="1">
        <f t="shared" si="56"/>
        <v>98185.968000000008</v>
      </c>
      <c r="EK15" s="57">
        <v>1.8</v>
      </c>
      <c r="EL15" s="232"/>
      <c r="EM15" s="16">
        <f t="shared" si="57"/>
        <v>0</v>
      </c>
      <c r="EN15" s="160">
        <v>69166.66</v>
      </c>
      <c r="EO15" s="1">
        <f t="shared" si="58"/>
        <v>124499.98800000001</v>
      </c>
      <c r="EP15" s="57">
        <v>1.8</v>
      </c>
      <c r="EQ15" s="232"/>
      <c r="ER15" s="16">
        <f t="shared" si="59"/>
        <v>0</v>
      </c>
      <c r="ES15" s="160">
        <v>54269.97</v>
      </c>
      <c r="ET15" s="1">
        <f t="shared" si="60"/>
        <v>97685.946000000011</v>
      </c>
      <c r="EU15" s="57">
        <v>1.8</v>
      </c>
      <c r="EV15" s="232"/>
      <c r="EW15" s="18">
        <f t="shared" si="61"/>
        <v>0</v>
      </c>
      <c r="EX15" s="160">
        <v>47594.31</v>
      </c>
      <c r="EY15" s="1">
        <f t="shared" si="62"/>
        <v>85669.758000000002</v>
      </c>
      <c r="EZ15" s="57">
        <v>1.8</v>
      </c>
      <c r="FA15" s="232"/>
      <c r="FB15" s="32">
        <f t="shared" si="1"/>
        <v>0</v>
      </c>
      <c r="FC15" s="160">
        <v>63442.32</v>
      </c>
      <c r="FD15" s="1">
        <f t="shared" si="63"/>
        <v>114196.17600000001</v>
      </c>
      <c r="FE15" s="57">
        <v>1.8</v>
      </c>
      <c r="FF15" s="232"/>
      <c r="FG15" s="14">
        <f t="shared" si="64"/>
        <v>0</v>
      </c>
      <c r="FH15" s="160">
        <v>43626.05</v>
      </c>
      <c r="FI15" s="1">
        <f t="shared" si="65"/>
        <v>78526.890000000014</v>
      </c>
      <c r="FJ15" s="57">
        <v>1.8</v>
      </c>
      <c r="FK15" s="232"/>
      <c r="FL15" s="234">
        <f t="shared" si="66"/>
        <v>0</v>
      </c>
      <c r="FM15" s="160">
        <v>61100.69</v>
      </c>
      <c r="FN15" s="1">
        <f t="shared" si="67"/>
        <v>109981.24200000001</v>
      </c>
      <c r="FO15" s="57">
        <v>1.8</v>
      </c>
      <c r="FP15" s="232"/>
      <c r="FQ15" s="13">
        <f t="shared" si="68"/>
        <v>0</v>
      </c>
      <c r="FR15" s="160">
        <v>49913.38</v>
      </c>
      <c r="FS15" s="1">
        <f t="shared" si="69"/>
        <v>77864.872799999997</v>
      </c>
      <c r="FT15" s="57">
        <v>1.56</v>
      </c>
      <c r="FU15" s="88"/>
      <c r="FV15" s="31">
        <f t="shared" si="70"/>
        <v>0</v>
      </c>
      <c r="FW15" s="160">
        <v>50963.83</v>
      </c>
      <c r="FX15" s="1">
        <f t="shared" si="71"/>
        <v>79503.574800000002</v>
      </c>
      <c r="FY15" s="57">
        <v>1.56</v>
      </c>
      <c r="FZ15" s="88"/>
      <c r="GA15" s="14">
        <f t="shared" si="2"/>
        <v>0</v>
      </c>
      <c r="GB15" s="160">
        <v>51332.77</v>
      </c>
      <c r="GC15" s="1">
        <f t="shared" si="72"/>
        <v>80079.121199999994</v>
      </c>
      <c r="GD15" s="57">
        <v>1.56</v>
      </c>
      <c r="GE15" s="88"/>
      <c r="GF15" s="32">
        <f t="shared" si="73"/>
        <v>0</v>
      </c>
      <c r="GG15" s="160">
        <v>40965.14</v>
      </c>
      <c r="GH15" s="1">
        <f t="shared" si="74"/>
        <v>63905.618399999999</v>
      </c>
      <c r="GI15" s="57">
        <v>1.56</v>
      </c>
      <c r="GJ15" s="108"/>
      <c r="GK15" s="32">
        <f t="shared" si="75"/>
        <v>0</v>
      </c>
      <c r="GL15" s="160">
        <v>53690.66</v>
      </c>
      <c r="GM15" s="1">
        <f t="shared" si="76"/>
        <v>83757.429600000003</v>
      </c>
      <c r="GN15" s="57">
        <v>1.56</v>
      </c>
      <c r="GO15" s="108"/>
      <c r="GP15" s="13">
        <f t="shared" si="77"/>
        <v>0</v>
      </c>
      <c r="GQ15" s="160">
        <v>60544.04</v>
      </c>
      <c r="GR15" s="1">
        <f t="shared" si="78"/>
        <v>94448.702400000009</v>
      </c>
      <c r="GS15" s="57">
        <v>1.56</v>
      </c>
      <c r="GT15" s="108"/>
      <c r="GU15" s="32">
        <f t="shared" si="79"/>
        <v>0</v>
      </c>
      <c r="GV15" s="160">
        <v>59399.38</v>
      </c>
      <c r="GW15" s="1">
        <f t="shared" si="80"/>
        <v>118798.76</v>
      </c>
      <c r="GX15" s="57">
        <v>2</v>
      </c>
      <c r="GY15" s="96"/>
      <c r="GZ15" s="32">
        <f t="shared" si="3"/>
        <v>0</v>
      </c>
      <c r="HA15" s="160">
        <v>40405.83</v>
      </c>
      <c r="HB15" s="1">
        <f t="shared" si="81"/>
        <v>121217.49</v>
      </c>
      <c r="HC15" s="57">
        <v>3</v>
      </c>
      <c r="HD15" s="96"/>
      <c r="HE15" s="32">
        <f t="shared" si="107"/>
        <v>0</v>
      </c>
      <c r="HF15" s="108">
        <v>66701.279999999999</v>
      </c>
      <c r="HG15" s="1">
        <f t="shared" si="82"/>
        <v>333506.40000000002</v>
      </c>
      <c r="HH15" s="57">
        <v>5</v>
      </c>
      <c r="HI15" s="96"/>
      <c r="HJ15" s="13">
        <f t="shared" si="83"/>
        <v>0</v>
      </c>
      <c r="HK15" s="108">
        <v>29435.57</v>
      </c>
      <c r="HL15" s="1">
        <f t="shared" si="84"/>
        <v>161895.63500000001</v>
      </c>
      <c r="HM15" s="57">
        <v>5.5</v>
      </c>
      <c r="HN15" s="97"/>
      <c r="HO15" s="14">
        <f t="shared" si="85"/>
        <v>0</v>
      </c>
      <c r="HP15" s="108">
        <v>57254.23</v>
      </c>
      <c r="HQ15" s="1">
        <f t="shared" si="86"/>
        <v>286271.15000000002</v>
      </c>
      <c r="HR15" s="57">
        <v>5</v>
      </c>
      <c r="HS15" s="81"/>
      <c r="HT15" s="14">
        <f t="shared" si="87"/>
        <v>0</v>
      </c>
      <c r="HU15" s="108">
        <v>98089.24</v>
      </c>
      <c r="HV15" s="1">
        <f t="shared" si="88"/>
        <v>294267.72000000003</v>
      </c>
      <c r="HW15" s="57">
        <v>3</v>
      </c>
      <c r="HX15" s="97"/>
      <c r="HY15" s="14">
        <f t="shared" si="89"/>
        <v>0</v>
      </c>
      <c r="HZ15" s="108">
        <v>97415.49</v>
      </c>
      <c r="IA15" s="1">
        <f t="shared" si="90"/>
        <v>292246.47000000003</v>
      </c>
      <c r="IB15" s="57">
        <v>3</v>
      </c>
      <c r="IC15" s="97"/>
      <c r="ID15" s="14">
        <f t="shared" si="91"/>
        <v>0</v>
      </c>
      <c r="IE15" s="108">
        <v>119926.27</v>
      </c>
      <c r="IF15" s="1">
        <f t="shared" si="92"/>
        <v>179889.405</v>
      </c>
      <c r="IG15" s="57">
        <v>1.5</v>
      </c>
      <c r="IH15" s="88"/>
      <c r="II15" s="32">
        <f t="shared" si="93"/>
        <v>0</v>
      </c>
      <c r="IJ15" s="108">
        <v>130824.73</v>
      </c>
      <c r="IK15" s="1">
        <f t="shared" si="94"/>
        <v>196237.095</v>
      </c>
      <c r="IL15" s="57">
        <v>1.5</v>
      </c>
      <c r="IM15" s="88"/>
      <c r="IN15" s="32">
        <f t="shared" si="95"/>
        <v>0</v>
      </c>
      <c r="IO15" s="108">
        <v>172287.67</v>
      </c>
      <c r="IP15" s="1">
        <f t="shared" si="96"/>
        <v>258431.505</v>
      </c>
      <c r="IQ15" s="57">
        <v>1.5</v>
      </c>
      <c r="IR15" s="88"/>
      <c r="IS15" s="32">
        <f t="shared" si="97"/>
        <v>0</v>
      </c>
      <c r="IT15" s="108">
        <v>265234.39</v>
      </c>
      <c r="IU15" s="1">
        <f t="shared" si="98"/>
        <v>397851.58500000002</v>
      </c>
      <c r="IV15" s="57">
        <v>1.5</v>
      </c>
      <c r="IW15" s="88"/>
      <c r="IX15" s="32">
        <f t="shared" si="99"/>
        <v>0</v>
      </c>
      <c r="IY15" s="108">
        <v>50274.64</v>
      </c>
      <c r="IZ15" s="1">
        <f t="shared" si="100"/>
        <v>75411.959999999992</v>
      </c>
      <c r="JA15" s="57">
        <v>1.5</v>
      </c>
      <c r="JB15" s="88"/>
      <c r="JC15" s="14">
        <f t="shared" si="101"/>
        <v>0</v>
      </c>
      <c r="JD15" s="73">
        <f t="shared" si="102"/>
        <v>670713.41</v>
      </c>
      <c r="JE15" s="73">
        <f t="shared" si="103"/>
        <v>566601.7699999999</v>
      </c>
      <c r="JF15" s="75">
        <f t="shared" si="104"/>
        <v>-104111.64000000013</v>
      </c>
      <c r="JG15" s="11">
        <f t="shared" si="105"/>
        <v>0.84477477496685194</v>
      </c>
    </row>
    <row r="16" spans="1:267">
      <c r="C16" s="71" t="str">
        <f>"A10"</f>
        <v>A10</v>
      </c>
      <c r="D16" s="164">
        <v>137833.4</v>
      </c>
      <c r="E16" s="1">
        <f t="shared" si="4"/>
        <v>82700.039999999994</v>
      </c>
      <c r="F16" s="2">
        <v>0.6</v>
      </c>
      <c r="G16" s="108">
        <v>107351.45</v>
      </c>
      <c r="H16" s="171">
        <f t="shared" si="5"/>
        <v>0.7788493209918641</v>
      </c>
      <c r="I16" s="169">
        <v>117496.52</v>
      </c>
      <c r="J16" s="1">
        <f t="shared" si="6"/>
        <v>105746.868</v>
      </c>
      <c r="K16" s="2">
        <v>0.9</v>
      </c>
      <c r="L16" s="108">
        <v>90910.26</v>
      </c>
      <c r="M16" s="14">
        <f t="shared" si="7"/>
        <v>0.77372725592213276</v>
      </c>
      <c r="N16" s="164">
        <v>88700.71</v>
      </c>
      <c r="O16" s="1">
        <f t="shared" si="8"/>
        <v>79830.63900000001</v>
      </c>
      <c r="P16" s="2">
        <v>0.9</v>
      </c>
      <c r="Q16" s="108">
        <v>98882.32</v>
      </c>
      <c r="R16" s="13">
        <f t="shared" si="9"/>
        <v>1.1147861161427006</v>
      </c>
      <c r="S16" s="160">
        <v>102517.5</v>
      </c>
      <c r="T16" s="1">
        <f t="shared" si="10"/>
        <v>117895.12499999999</v>
      </c>
      <c r="U16" s="2">
        <v>1.1499999999999999</v>
      </c>
      <c r="V16" s="108">
        <v>91921.25</v>
      </c>
      <c r="W16" s="13">
        <f t="shared" si="11"/>
        <v>0.89663959811739458</v>
      </c>
      <c r="X16" s="108">
        <v>115418.55</v>
      </c>
      <c r="Y16" s="1">
        <f t="shared" si="12"/>
        <v>121189.47750000001</v>
      </c>
      <c r="Z16" s="2">
        <v>1.05</v>
      </c>
      <c r="AA16" s="108">
        <v>100037.71</v>
      </c>
      <c r="AB16" s="13">
        <f t="shared" si="13"/>
        <v>0.86673857885062677</v>
      </c>
      <c r="AC16" s="108">
        <v>185181.61</v>
      </c>
      <c r="AD16" s="1">
        <f t="shared" si="14"/>
        <v>194440.6905</v>
      </c>
      <c r="AE16" s="2">
        <v>1.05</v>
      </c>
      <c r="AF16" s="108">
        <v>116948.96</v>
      </c>
      <c r="AG16" s="13">
        <f t="shared" si="15"/>
        <v>0.63153657644514494</v>
      </c>
      <c r="AH16" s="108">
        <v>89557.28</v>
      </c>
      <c r="AI16" s="1">
        <f t="shared" si="16"/>
        <v>53734.367999999995</v>
      </c>
      <c r="AJ16" s="2">
        <v>0.6</v>
      </c>
      <c r="AK16" s="108">
        <v>87842.45</v>
      </c>
      <c r="AL16" s="13">
        <f t="shared" si="17"/>
        <v>0.98085214289670253</v>
      </c>
      <c r="AM16" s="108">
        <v>95379.48</v>
      </c>
      <c r="AN16" s="1">
        <f t="shared" si="18"/>
        <v>57227.687999999995</v>
      </c>
      <c r="AO16" s="2">
        <v>0.6</v>
      </c>
      <c r="AP16" s="108">
        <v>84222.51</v>
      </c>
      <c r="AQ16" s="13">
        <f t="shared" si="19"/>
        <v>0.88302546837118423</v>
      </c>
      <c r="AR16" s="160">
        <v>95002.77</v>
      </c>
      <c r="AS16" s="1">
        <f t="shared" si="20"/>
        <v>71252.077499999999</v>
      </c>
      <c r="AT16" s="2">
        <v>0.75</v>
      </c>
      <c r="AU16" s="108">
        <v>86941.43</v>
      </c>
      <c r="AV16" s="13">
        <f t="shared" si="21"/>
        <v>0.91514626362999718</v>
      </c>
      <c r="AW16" s="160">
        <v>125553.26</v>
      </c>
      <c r="AX16" s="1">
        <f t="shared" si="22"/>
        <v>94164.944999999992</v>
      </c>
      <c r="AY16" s="2">
        <v>0.75</v>
      </c>
      <c r="AZ16" s="108">
        <v>87527.11</v>
      </c>
      <c r="BA16" s="60">
        <f t="shared" si="23"/>
        <v>0.69713132100273623</v>
      </c>
      <c r="BB16" s="160">
        <v>91388.94</v>
      </c>
      <c r="BC16" s="1">
        <f t="shared" si="24"/>
        <v>63972.257999999994</v>
      </c>
      <c r="BD16" s="2">
        <v>0.7</v>
      </c>
      <c r="BE16" s="108">
        <v>107760.54</v>
      </c>
      <c r="BF16" s="17">
        <f t="shared" si="25"/>
        <v>1.1791420274707201</v>
      </c>
      <c r="BG16" s="160">
        <v>59472.88</v>
      </c>
      <c r="BH16" s="1">
        <f t="shared" si="26"/>
        <v>44604.659999999996</v>
      </c>
      <c r="BI16" s="2">
        <v>0.75</v>
      </c>
      <c r="BJ16" s="115"/>
      <c r="BK16" s="60">
        <f t="shared" si="27"/>
        <v>0</v>
      </c>
      <c r="BL16" s="160">
        <v>72385.47</v>
      </c>
      <c r="BM16" s="1">
        <f t="shared" si="28"/>
        <v>54289.102500000001</v>
      </c>
      <c r="BN16" s="2">
        <v>0.75</v>
      </c>
      <c r="BO16" s="115"/>
      <c r="BP16" s="60">
        <f t="shared" si="29"/>
        <v>0</v>
      </c>
      <c r="BQ16" s="160">
        <v>58020.33</v>
      </c>
      <c r="BR16" s="1">
        <f t="shared" si="30"/>
        <v>203071.155</v>
      </c>
      <c r="BS16" s="57">
        <v>3.5</v>
      </c>
      <c r="BT16" s="115"/>
      <c r="BU16" s="16">
        <f t="shared" si="31"/>
        <v>0</v>
      </c>
      <c r="BV16" s="160">
        <v>69215.75</v>
      </c>
      <c r="BW16" s="1">
        <f t="shared" si="32"/>
        <v>242255.125</v>
      </c>
      <c r="BX16" s="57">
        <v>3.5</v>
      </c>
      <c r="BY16" s="108"/>
      <c r="BZ16" s="14">
        <f t="shared" si="33"/>
        <v>0</v>
      </c>
      <c r="CA16" s="160">
        <v>59339.7</v>
      </c>
      <c r="CB16" s="1">
        <f t="shared" si="34"/>
        <v>296698.5</v>
      </c>
      <c r="CC16" s="57">
        <v>5</v>
      </c>
      <c r="CD16" s="115"/>
      <c r="CE16" s="16">
        <f t="shared" si="35"/>
        <v>0</v>
      </c>
      <c r="CF16" s="160">
        <v>147796.97</v>
      </c>
      <c r="CG16" s="1">
        <f t="shared" si="36"/>
        <v>443390.91000000003</v>
      </c>
      <c r="CH16" s="57">
        <v>3</v>
      </c>
      <c r="CI16" s="115"/>
      <c r="CJ16" s="18">
        <f t="shared" si="37"/>
        <v>0</v>
      </c>
      <c r="CK16" s="160">
        <v>7794.4</v>
      </c>
      <c r="CL16" s="1">
        <f t="shared" si="38"/>
        <v>50663.6</v>
      </c>
      <c r="CM16" s="57">
        <v>6.5</v>
      </c>
      <c r="CN16" s="115"/>
      <c r="CO16" s="16">
        <f t="shared" si="39"/>
        <v>0</v>
      </c>
      <c r="CP16" s="160">
        <v>87200.57</v>
      </c>
      <c r="CQ16" s="1">
        <f t="shared" si="40"/>
        <v>566803.70500000007</v>
      </c>
      <c r="CR16" s="57">
        <v>6.5</v>
      </c>
      <c r="CS16" s="116"/>
      <c r="CT16" s="16">
        <f t="shared" si="41"/>
        <v>0</v>
      </c>
      <c r="CU16" s="160">
        <v>91083.51</v>
      </c>
      <c r="CV16" s="1">
        <f t="shared" si="42"/>
        <v>592042.81499999994</v>
      </c>
      <c r="CW16" s="57">
        <v>6.5</v>
      </c>
      <c r="CX16" s="116"/>
      <c r="CY16" s="130">
        <f t="shared" si="43"/>
        <v>0</v>
      </c>
      <c r="CZ16" s="160">
        <v>81578.710000000006</v>
      </c>
      <c r="DA16" s="1">
        <f t="shared" si="44"/>
        <v>530261.61499999999</v>
      </c>
      <c r="DB16" s="57">
        <v>6.5</v>
      </c>
      <c r="DC16" s="116"/>
      <c r="DD16" s="18">
        <f t="shared" si="45"/>
        <v>0</v>
      </c>
      <c r="DE16" s="160">
        <v>91301.1</v>
      </c>
      <c r="DF16" s="1">
        <f t="shared" si="46"/>
        <v>410854.95</v>
      </c>
      <c r="DG16" s="57">
        <v>4.5</v>
      </c>
      <c r="DH16" s="116"/>
      <c r="DI16" s="16">
        <f t="shared" si="47"/>
        <v>0</v>
      </c>
      <c r="DJ16" s="160">
        <v>111204.8</v>
      </c>
      <c r="DK16" s="1">
        <f t="shared" si="48"/>
        <v>333614.40000000002</v>
      </c>
      <c r="DL16" s="57">
        <v>3</v>
      </c>
      <c r="DM16" s="88"/>
      <c r="DN16" s="16">
        <f t="shared" si="106"/>
        <v>0</v>
      </c>
      <c r="DO16" s="160">
        <v>118875.19</v>
      </c>
      <c r="DP16" s="1">
        <f t="shared" si="49"/>
        <v>297187.97499999998</v>
      </c>
      <c r="DQ16" s="57">
        <v>2.5</v>
      </c>
      <c r="DR16" s="88"/>
      <c r="DS16" s="16">
        <f t="shared" si="50"/>
        <v>0</v>
      </c>
      <c r="DT16" s="160">
        <v>91801.9</v>
      </c>
      <c r="DU16" s="1">
        <f t="shared" si="51"/>
        <v>229504.75</v>
      </c>
      <c r="DV16" s="57">
        <v>2.5</v>
      </c>
      <c r="DW16" s="88"/>
      <c r="DX16" s="16">
        <f t="shared" si="0"/>
        <v>0</v>
      </c>
      <c r="DY16" s="160">
        <v>131603.68</v>
      </c>
      <c r="DZ16" s="1">
        <f t="shared" si="52"/>
        <v>329009.19999999995</v>
      </c>
      <c r="EA16" s="57">
        <v>2.5</v>
      </c>
      <c r="EB16" s="232"/>
      <c r="EC16" s="18">
        <f t="shared" si="53"/>
        <v>0</v>
      </c>
      <c r="ED16" s="160">
        <v>147963.68</v>
      </c>
      <c r="EE16" s="1">
        <f t="shared" si="54"/>
        <v>295927.36</v>
      </c>
      <c r="EF16" s="57">
        <v>2</v>
      </c>
      <c r="EG16" s="232"/>
      <c r="EH16" s="16">
        <f t="shared" si="55"/>
        <v>0</v>
      </c>
      <c r="EI16" s="160">
        <v>128088.09</v>
      </c>
      <c r="EJ16" s="1">
        <f t="shared" si="56"/>
        <v>230558.56200000001</v>
      </c>
      <c r="EK16" s="57">
        <v>1.8</v>
      </c>
      <c r="EL16" s="232"/>
      <c r="EM16" s="16">
        <f t="shared" si="57"/>
        <v>0</v>
      </c>
      <c r="EN16" s="160">
        <v>111503.62</v>
      </c>
      <c r="EO16" s="1">
        <f t="shared" si="58"/>
        <v>200706.516</v>
      </c>
      <c r="EP16" s="57">
        <v>1.8</v>
      </c>
      <c r="EQ16" s="232"/>
      <c r="ER16" s="16">
        <f t="shared" si="59"/>
        <v>0</v>
      </c>
      <c r="ES16" s="160">
        <v>107196.51</v>
      </c>
      <c r="ET16" s="1">
        <f t="shared" si="60"/>
        <v>192953.71799999999</v>
      </c>
      <c r="EU16" s="57">
        <v>1.8</v>
      </c>
      <c r="EV16" s="232"/>
      <c r="EW16" s="18">
        <f t="shared" si="61"/>
        <v>0</v>
      </c>
      <c r="EX16" s="160">
        <v>102836.6</v>
      </c>
      <c r="EY16" s="1">
        <f t="shared" si="62"/>
        <v>185105.88</v>
      </c>
      <c r="EZ16" s="57">
        <v>1.8</v>
      </c>
      <c r="FA16" s="232"/>
      <c r="FB16" s="32">
        <f t="shared" si="1"/>
        <v>0</v>
      </c>
      <c r="FC16" s="160">
        <v>106148.21</v>
      </c>
      <c r="FD16" s="1">
        <f t="shared" si="63"/>
        <v>191066.77800000002</v>
      </c>
      <c r="FE16" s="57">
        <v>1.8</v>
      </c>
      <c r="FF16" s="232"/>
      <c r="FG16" s="14">
        <f t="shared" si="64"/>
        <v>0</v>
      </c>
      <c r="FH16" s="160">
        <v>107220.86</v>
      </c>
      <c r="FI16" s="1">
        <f t="shared" si="65"/>
        <v>192997.54800000001</v>
      </c>
      <c r="FJ16" s="57">
        <v>1.8</v>
      </c>
      <c r="FK16" s="232"/>
      <c r="FL16" s="234">
        <f t="shared" si="66"/>
        <v>0</v>
      </c>
      <c r="FM16" s="160">
        <v>99067.09</v>
      </c>
      <c r="FN16" s="1">
        <f t="shared" si="67"/>
        <v>178320.76199999999</v>
      </c>
      <c r="FO16" s="57">
        <v>1.8</v>
      </c>
      <c r="FP16" s="232"/>
      <c r="FQ16" s="13">
        <f t="shared" si="68"/>
        <v>0</v>
      </c>
      <c r="FR16" s="160">
        <v>127541.45</v>
      </c>
      <c r="FS16" s="1">
        <f t="shared" si="69"/>
        <v>198964.66200000001</v>
      </c>
      <c r="FT16" s="57">
        <v>1.56</v>
      </c>
      <c r="FU16" s="88"/>
      <c r="FV16" s="31">
        <f t="shared" si="70"/>
        <v>0</v>
      </c>
      <c r="FW16" s="160">
        <v>114799.67999999999</v>
      </c>
      <c r="FX16" s="1">
        <f t="shared" si="71"/>
        <v>179087.50080000001</v>
      </c>
      <c r="FY16" s="57">
        <v>1.56</v>
      </c>
      <c r="FZ16" s="88"/>
      <c r="GA16" s="14">
        <f t="shared" si="2"/>
        <v>0</v>
      </c>
      <c r="GB16" s="160">
        <v>134380.82</v>
      </c>
      <c r="GC16" s="1">
        <f t="shared" si="72"/>
        <v>209634.07920000001</v>
      </c>
      <c r="GD16" s="57">
        <v>1.56</v>
      </c>
      <c r="GE16" s="88"/>
      <c r="GF16" s="32">
        <f t="shared" si="73"/>
        <v>0</v>
      </c>
      <c r="GG16" s="160">
        <v>101417.42</v>
      </c>
      <c r="GH16" s="1">
        <f t="shared" si="74"/>
        <v>158211.1752</v>
      </c>
      <c r="GI16" s="57">
        <v>1.56</v>
      </c>
      <c r="GJ16" s="108"/>
      <c r="GK16" s="32">
        <f t="shared" si="75"/>
        <v>0</v>
      </c>
      <c r="GL16" s="160">
        <v>107594.22</v>
      </c>
      <c r="GM16" s="1">
        <f t="shared" si="76"/>
        <v>167846.98320000002</v>
      </c>
      <c r="GN16" s="57">
        <v>1.56</v>
      </c>
      <c r="GO16" s="108"/>
      <c r="GP16" s="13">
        <f t="shared" si="77"/>
        <v>0</v>
      </c>
      <c r="GQ16" s="160">
        <v>113356.66</v>
      </c>
      <c r="GR16" s="1">
        <f t="shared" si="78"/>
        <v>176836.38960000002</v>
      </c>
      <c r="GS16" s="57">
        <v>1.56</v>
      </c>
      <c r="GT16" s="108"/>
      <c r="GU16" s="32">
        <f t="shared" si="79"/>
        <v>0</v>
      </c>
      <c r="GV16" s="160">
        <v>110897.97</v>
      </c>
      <c r="GW16" s="1">
        <f t="shared" si="80"/>
        <v>221795.94</v>
      </c>
      <c r="GX16" s="57">
        <v>2</v>
      </c>
      <c r="GY16" s="96"/>
      <c r="GZ16" s="32">
        <f t="shared" si="3"/>
        <v>0</v>
      </c>
      <c r="HA16" s="160">
        <v>91692.92</v>
      </c>
      <c r="HB16" s="1">
        <f t="shared" si="81"/>
        <v>275078.76</v>
      </c>
      <c r="HC16" s="57">
        <v>3</v>
      </c>
      <c r="HD16" s="96"/>
      <c r="HE16" s="32">
        <f t="shared" si="107"/>
        <v>0</v>
      </c>
      <c r="HF16" s="108">
        <v>86411.47</v>
      </c>
      <c r="HG16" s="1">
        <f t="shared" si="82"/>
        <v>432057.35</v>
      </c>
      <c r="HH16" s="57">
        <v>5</v>
      </c>
      <c r="HI16" s="96"/>
      <c r="HJ16" s="13">
        <f t="shared" si="83"/>
        <v>0</v>
      </c>
      <c r="HK16" s="108">
        <v>59234.33</v>
      </c>
      <c r="HL16" s="1">
        <f t="shared" si="84"/>
        <v>325788.815</v>
      </c>
      <c r="HM16" s="57">
        <v>5.5</v>
      </c>
      <c r="HN16" s="97"/>
      <c r="HO16" s="14">
        <f t="shared" si="85"/>
        <v>0</v>
      </c>
      <c r="HP16" s="108">
        <v>56199.22</v>
      </c>
      <c r="HQ16" s="1">
        <f t="shared" si="86"/>
        <v>280996.09999999998</v>
      </c>
      <c r="HR16" s="57">
        <v>5</v>
      </c>
      <c r="HS16" s="81"/>
      <c r="HT16" s="14">
        <f t="shared" si="87"/>
        <v>0</v>
      </c>
      <c r="HU16" s="108">
        <v>196596.72</v>
      </c>
      <c r="HV16" s="1">
        <f t="shared" si="88"/>
        <v>589790.16</v>
      </c>
      <c r="HW16" s="57">
        <v>3</v>
      </c>
      <c r="HX16" s="97"/>
      <c r="HY16" s="14">
        <f t="shared" si="89"/>
        <v>0</v>
      </c>
      <c r="HZ16" s="108">
        <v>282960.28000000003</v>
      </c>
      <c r="IA16" s="1">
        <f t="shared" si="90"/>
        <v>848880.84000000008</v>
      </c>
      <c r="IB16" s="57">
        <v>3</v>
      </c>
      <c r="IC16" s="97"/>
      <c r="ID16" s="14">
        <f t="shared" si="91"/>
        <v>0</v>
      </c>
      <c r="IE16" s="108">
        <v>407808.65</v>
      </c>
      <c r="IF16" s="1">
        <f t="shared" si="92"/>
        <v>611712.97500000009</v>
      </c>
      <c r="IG16" s="57">
        <v>1.5</v>
      </c>
      <c r="IH16" s="88"/>
      <c r="II16" s="32">
        <f t="shared" si="93"/>
        <v>0</v>
      </c>
      <c r="IJ16" s="108">
        <v>451329.31</v>
      </c>
      <c r="IK16" s="1">
        <f t="shared" si="94"/>
        <v>676993.96499999997</v>
      </c>
      <c r="IL16" s="57">
        <v>1.5</v>
      </c>
      <c r="IM16" s="88"/>
      <c r="IN16" s="32">
        <f t="shared" si="95"/>
        <v>0</v>
      </c>
      <c r="IO16" s="108">
        <v>564154.02</v>
      </c>
      <c r="IP16" s="1">
        <f t="shared" si="96"/>
        <v>846231.03</v>
      </c>
      <c r="IQ16" s="57">
        <v>1.5</v>
      </c>
      <c r="IR16" s="88"/>
      <c r="IS16" s="32">
        <f t="shared" si="97"/>
        <v>0</v>
      </c>
      <c r="IT16" s="108">
        <v>648668.38</v>
      </c>
      <c r="IU16" s="1">
        <f t="shared" si="98"/>
        <v>973002.57000000007</v>
      </c>
      <c r="IV16" s="57">
        <v>1.5</v>
      </c>
      <c r="IW16" s="88"/>
      <c r="IX16" s="32">
        <f t="shared" si="99"/>
        <v>0</v>
      </c>
      <c r="IY16" s="108">
        <v>142804.4</v>
      </c>
      <c r="IZ16" s="1">
        <f t="shared" si="100"/>
        <v>214206.59999999998</v>
      </c>
      <c r="JA16" s="57">
        <v>1.5</v>
      </c>
      <c r="JB16" s="88"/>
      <c r="JC16" s="14">
        <f t="shared" si="101"/>
        <v>0</v>
      </c>
      <c r="JD16" s="73">
        <f t="shared" si="102"/>
        <v>1244030.02</v>
      </c>
      <c r="JE16" s="73">
        <f t="shared" si="103"/>
        <v>1060345.99</v>
      </c>
      <c r="JF16" s="75">
        <f t="shared" si="104"/>
        <v>-183684.03000000003</v>
      </c>
      <c r="JG16" s="11">
        <f t="shared" si="105"/>
        <v>0.85234759045444897</v>
      </c>
    </row>
    <row r="17" spans="3:267">
      <c r="C17" s="71" t="str">
        <f>"A11"</f>
        <v>A11</v>
      </c>
      <c r="D17" s="164">
        <v>98388.11</v>
      </c>
      <c r="E17" s="1">
        <f t="shared" si="4"/>
        <v>59032.865999999995</v>
      </c>
      <c r="F17" s="2">
        <v>0.6</v>
      </c>
      <c r="G17" s="108">
        <v>77264.78</v>
      </c>
      <c r="H17" s="171">
        <f t="shared" si="5"/>
        <v>0.78530607001191499</v>
      </c>
      <c r="I17" s="169">
        <v>95395.34</v>
      </c>
      <c r="J17" s="1">
        <f t="shared" si="6"/>
        <v>62006.970999999998</v>
      </c>
      <c r="K17" s="2">
        <v>0.65</v>
      </c>
      <c r="L17" s="108">
        <v>59840.46</v>
      </c>
      <c r="M17" s="14">
        <f t="shared" si="7"/>
        <v>0.62728913173326917</v>
      </c>
      <c r="N17" s="164">
        <v>79557.100000000006</v>
      </c>
      <c r="O17" s="1">
        <f t="shared" si="8"/>
        <v>51712.115000000005</v>
      </c>
      <c r="P17" s="2">
        <v>0.65</v>
      </c>
      <c r="Q17" s="108">
        <v>61322.84</v>
      </c>
      <c r="R17" s="13">
        <f t="shared" si="9"/>
        <v>0.77080285731883125</v>
      </c>
      <c r="S17" s="160">
        <v>92460.83</v>
      </c>
      <c r="T17" s="1">
        <f t="shared" si="10"/>
        <v>73968.664000000004</v>
      </c>
      <c r="U17" s="2">
        <v>0.8</v>
      </c>
      <c r="V17" s="108">
        <v>62052.79</v>
      </c>
      <c r="W17" s="13">
        <f t="shared" si="11"/>
        <v>0.67112516727353622</v>
      </c>
      <c r="X17" s="108">
        <v>84769.85</v>
      </c>
      <c r="Y17" s="1">
        <f t="shared" si="12"/>
        <v>63577.387500000004</v>
      </c>
      <c r="Z17" s="2">
        <v>0.75</v>
      </c>
      <c r="AA17" s="108">
        <v>70218.649999999994</v>
      </c>
      <c r="AB17" s="13">
        <f t="shared" si="13"/>
        <v>0.82834462960592703</v>
      </c>
      <c r="AC17" s="108">
        <v>120772.27</v>
      </c>
      <c r="AD17" s="1">
        <f t="shared" si="14"/>
        <v>105071.87490000001</v>
      </c>
      <c r="AE17" s="2">
        <v>0.87</v>
      </c>
      <c r="AF17" s="108">
        <v>83112.92</v>
      </c>
      <c r="AG17" s="13">
        <f t="shared" si="15"/>
        <v>0.6881788344294596</v>
      </c>
      <c r="AH17" s="108">
        <v>80065.55</v>
      </c>
      <c r="AI17" s="1">
        <f t="shared" si="16"/>
        <v>48039.33</v>
      </c>
      <c r="AJ17" s="2">
        <v>0.6</v>
      </c>
      <c r="AK17" s="108">
        <v>53103.64</v>
      </c>
      <c r="AL17" s="13">
        <f t="shared" si="17"/>
        <v>0.66325204785329017</v>
      </c>
      <c r="AM17" s="108">
        <v>78865.289999999994</v>
      </c>
      <c r="AN17" s="1">
        <f t="shared" si="18"/>
        <v>47319.173999999992</v>
      </c>
      <c r="AO17" s="2">
        <v>0.6</v>
      </c>
      <c r="AP17" s="108">
        <v>54956.81</v>
      </c>
      <c r="AQ17" s="13">
        <f t="shared" si="19"/>
        <v>0.69684407424356143</v>
      </c>
      <c r="AR17" s="160">
        <v>69599.149999999994</v>
      </c>
      <c r="AS17" s="1">
        <f t="shared" si="20"/>
        <v>52199.362499999996</v>
      </c>
      <c r="AT17" s="2">
        <v>0.75</v>
      </c>
      <c r="AU17" s="108">
        <v>58020.73</v>
      </c>
      <c r="AV17" s="13">
        <f t="shared" si="21"/>
        <v>0.83364135912579407</v>
      </c>
      <c r="AW17" s="160">
        <v>72896.36</v>
      </c>
      <c r="AX17" s="1">
        <f t="shared" si="22"/>
        <v>54672.270000000004</v>
      </c>
      <c r="AY17" s="2">
        <v>0.75</v>
      </c>
      <c r="AZ17" s="108">
        <v>59138.46</v>
      </c>
      <c r="BA17" s="60">
        <f t="shared" si="23"/>
        <v>0.81126766823473762</v>
      </c>
      <c r="BB17" s="160">
        <v>61806.21</v>
      </c>
      <c r="BC17" s="1">
        <f t="shared" si="24"/>
        <v>43264.346999999994</v>
      </c>
      <c r="BD17" s="2">
        <v>0.7</v>
      </c>
      <c r="BE17" s="108">
        <v>76704.600000000006</v>
      </c>
      <c r="BF17" s="17">
        <f t="shared" si="25"/>
        <v>1.2410500498250905</v>
      </c>
      <c r="BG17" s="160">
        <v>37452.550000000003</v>
      </c>
      <c r="BH17" s="1">
        <f t="shared" si="26"/>
        <v>28089.412500000002</v>
      </c>
      <c r="BI17" s="2">
        <v>0.75</v>
      </c>
      <c r="BJ17" s="115"/>
      <c r="BK17" s="60">
        <f t="shared" si="27"/>
        <v>0</v>
      </c>
      <c r="BL17" s="160">
        <v>41904.269999999997</v>
      </c>
      <c r="BM17" s="1">
        <f t="shared" si="28"/>
        <v>31428.202499999999</v>
      </c>
      <c r="BN17" s="2">
        <v>0.75</v>
      </c>
      <c r="BO17" s="115"/>
      <c r="BP17" s="60">
        <f t="shared" si="29"/>
        <v>0</v>
      </c>
      <c r="BQ17" s="160">
        <v>37767.4</v>
      </c>
      <c r="BR17" s="1">
        <f t="shared" si="30"/>
        <v>132185.9</v>
      </c>
      <c r="BS17" s="57">
        <v>3.5</v>
      </c>
      <c r="BT17" s="115"/>
      <c r="BU17" s="16">
        <f t="shared" si="31"/>
        <v>0</v>
      </c>
      <c r="BV17" s="160">
        <v>40277.279999999999</v>
      </c>
      <c r="BW17" s="1">
        <f t="shared" si="32"/>
        <v>140970.47999999998</v>
      </c>
      <c r="BX17" s="57">
        <v>3.5</v>
      </c>
      <c r="BY17" s="108"/>
      <c r="BZ17" s="14">
        <f t="shared" si="33"/>
        <v>0</v>
      </c>
      <c r="CA17" s="160">
        <v>27335.4</v>
      </c>
      <c r="CB17" s="1">
        <f t="shared" si="34"/>
        <v>136677</v>
      </c>
      <c r="CC17" s="57">
        <v>5</v>
      </c>
      <c r="CD17" s="115"/>
      <c r="CE17" s="16">
        <f t="shared" si="35"/>
        <v>0</v>
      </c>
      <c r="CF17" s="160">
        <v>64676.93</v>
      </c>
      <c r="CG17" s="1">
        <f t="shared" si="36"/>
        <v>194030.79</v>
      </c>
      <c r="CH17" s="57">
        <v>3</v>
      </c>
      <c r="CI17" s="115"/>
      <c r="CJ17" s="18">
        <f t="shared" si="37"/>
        <v>0</v>
      </c>
      <c r="CK17" s="160">
        <v>6857.75</v>
      </c>
      <c r="CL17" s="1">
        <f t="shared" si="38"/>
        <v>44575.375</v>
      </c>
      <c r="CM17" s="57">
        <v>6.5</v>
      </c>
      <c r="CN17" s="115"/>
      <c r="CO17" s="16">
        <f t="shared" si="39"/>
        <v>0</v>
      </c>
      <c r="CP17" s="160">
        <v>17498.7</v>
      </c>
      <c r="CQ17" s="1">
        <f t="shared" si="40"/>
        <v>113741.55</v>
      </c>
      <c r="CR17" s="57">
        <v>6.5</v>
      </c>
      <c r="CS17" s="116"/>
      <c r="CT17" s="16">
        <f t="shared" si="41"/>
        <v>0</v>
      </c>
      <c r="CU17" s="160">
        <v>31695.59</v>
      </c>
      <c r="CV17" s="1">
        <f t="shared" si="42"/>
        <v>206021.33499999999</v>
      </c>
      <c r="CW17" s="57">
        <v>6.5</v>
      </c>
      <c r="CX17" s="116"/>
      <c r="CY17" s="130">
        <f t="shared" si="43"/>
        <v>0</v>
      </c>
      <c r="CZ17" s="160">
        <v>41433.85</v>
      </c>
      <c r="DA17" s="1">
        <f t="shared" si="44"/>
        <v>269320.02499999997</v>
      </c>
      <c r="DB17" s="57">
        <v>6.5</v>
      </c>
      <c r="DC17" s="116"/>
      <c r="DD17" s="18">
        <f t="shared" si="45"/>
        <v>0</v>
      </c>
      <c r="DE17" s="160">
        <v>37544.04</v>
      </c>
      <c r="DF17" s="1">
        <f t="shared" si="46"/>
        <v>168948.18</v>
      </c>
      <c r="DG17" s="57">
        <v>4.5</v>
      </c>
      <c r="DH17" s="116"/>
      <c r="DI17" s="16">
        <f t="shared" si="47"/>
        <v>0</v>
      </c>
      <c r="DJ17" s="160">
        <v>40426.43</v>
      </c>
      <c r="DK17" s="1">
        <f t="shared" si="48"/>
        <v>121279.29000000001</v>
      </c>
      <c r="DL17" s="57">
        <v>3</v>
      </c>
      <c r="DM17" s="88"/>
      <c r="DN17" s="16">
        <f t="shared" si="106"/>
        <v>0</v>
      </c>
      <c r="DO17" s="160">
        <v>53996.89</v>
      </c>
      <c r="DP17" s="1">
        <f t="shared" si="49"/>
        <v>134992.22500000001</v>
      </c>
      <c r="DQ17" s="57">
        <v>2.5</v>
      </c>
      <c r="DR17" s="88"/>
      <c r="DS17" s="16">
        <f t="shared" si="50"/>
        <v>0</v>
      </c>
      <c r="DT17" s="160">
        <v>51959.040000000001</v>
      </c>
      <c r="DU17" s="1">
        <f t="shared" si="51"/>
        <v>129897.60000000001</v>
      </c>
      <c r="DV17" s="57">
        <v>2.5</v>
      </c>
      <c r="DW17" s="88"/>
      <c r="DX17" s="16">
        <f t="shared" si="0"/>
        <v>0</v>
      </c>
      <c r="DY17" s="160">
        <v>59383.35</v>
      </c>
      <c r="DZ17" s="1">
        <f t="shared" si="52"/>
        <v>148458.375</v>
      </c>
      <c r="EA17" s="57">
        <v>2.5</v>
      </c>
      <c r="EB17" s="232"/>
      <c r="EC17" s="18">
        <f t="shared" si="53"/>
        <v>0</v>
      </c>
      <c r="ED17" s="160">
        <v>51331.21</v>
      </c>
      <c r="EE17" s="1">
        <f t="shared" si="54"/>
        <v>102662.42</v>
      </c>
      <c r="EF17" s="57">
        <v>2</v>
      </c>
      <c r="EG17" s="232"/>
      <c r="EH17" s="16">
        <f t="shared" si="55"/>
        <v>0</v>
      </c>
      <c r="EI17" s="160">
        <v>78810.990000000005</v>
      </c>
      <c r="EJ17" s="1">
        <f t="shared" si="56"/>
        <v>141859.78200000001</v>
      </c>
      <c r="EK17" s="57">
        <v>1.8</v>
      </c>
      <c r="EL17" s="232"/>
      <c r="EM17" s="16">
        <f t="shared" si="57"/>
        <v>0</v>
      </c>
      <c r="EN17" s="160">
        <v>61220.160000000003</v>
      </c>
      <c r="EO17" s="1">
        <f t="shared" si="58"/>
        <v>110196.28800000002</v>
      </c>
      <c r="EP17" s="57">
        <v>1.8</v>
      </c>
      <c r="EQ17" s="232"/>
      <c r="ER17" s="16">
        <f t="shared" si="59"/>
        <v>0</v>
      </c>
      <c r="ES17" s="160">
        <v>62741.75</v>
      </c>
      <c r="ET17" s="1">
        <f t="shared" si="60"/>
        <v>112935.15000000001</v>
      </c>
      <c r="EU17" s="57">
        <v>1.8</v>
      </c>
      <c r="EV17" s="232"/>
      <c r="EW17" s="18">
        <f t="shared" si="61"/>
        <v>0</v>
      </c>
      <c r="EX17" s="160">
        <v>63198.16</v>
      </c>
      <c r="EY17" s="1">
        <f t="shared" si="62"/>
        <v>113756.68800000001</v>
      </c>
      <c r="EZ17" s="57">
        <v>1.8</v>
      </c>
      <c r="FA17" s="232"/>
      <c r="FB17" s="32">
        <f t="shared" si="1"/>
        <v>0</v>
      </c>
      <c r="FC17" s="160">
        <v>63471.19</v>
      </c>
      <c r="FD17" s="1">
        <f t="shared" si="63"/>
        <v>114248.14200000001</v>
      </c>
      <c r="FE17" s="57">
        <v>1.8</v>
      </c>
      <c r="FF17" s="232"/>
      <c r="FG17" s="14">
        <f t="shared" si="64"/>
        <v>0</v>
      </c>
      <c r="FH17" s="160">
        <v>74090.44</v>
      </c>
      <c r="FI17" s="1">
        <f t="shared" si="65"/>
        <v>133362.79200000002</v>
      </c>
      <c r="FJ17" s="57">
        <v>1.8</v>
      </c>
      <c r="FK17" s="232"/>
      <c r="FL17" s="234">
        <f t="shared" si="66"/>
        <v>0</v>
      </c>
      <c r="FM17" s="160">
        <v>73191.23</v>
      </c>
      <c r="FN17" s="1">
        <f t="shared" si="67"/>
        <v>131744.21400000001</v>
      </c>
      <c r="FO17" s="57">
        <v>1.8</v>
      </c>
      <c r="FP17" s="232"/>
      <c r="FQ17" s="13">
        <f t="shared" si="68"/>
        <v>0</v>
      </c>
      <c r="FR17" s="160">
        <v>74928.070000000007</v>
      </c>
      <c r="FS17" s="1">
        <f t="shared" si="69"/>
        <v>116887.78920000001</v>
      </c>
      <c r="FT17" s="57">
        <v>1.56</v>
      </c>
      <c r="FU17" s="88"/>
      <c r="FV17" s="31">
        <f t="shared" si="70"/>
        <v>0</v>
      </c>
      <c r="FW17" s="160">
        <v>66745.16</v>
      </c>
      <c r="FX17" s="1">
        <f t="shared" si="71"/>
        <v>104122.44960000001</v>
      </c>
      <c r="FY17" s="57">
        <v>1.56</v>
      </c>
      <c r="FZ17" s="88"/>
      <c r="GA17" s="14">
        <f t="shared" si="2"/>
        <v>0</v>
      </c>
      <c r="GB17" s="160">
        <v>59449.15</v>
      </c>
      <c r="GC17" s="1">
        <f t="shared" si="72"/>
        <v>92740.673999999999</v>
      </c>
      <c r="GD17" s="57">
        <v>1.56</v>
      </c>
      <c r="GE17" s="88"/>
      <c r="GF17" s="32">
        <f t="shared" si="73"/>
        <v>0</v>
      </c>
      <c r="GG17" s="160">
        <v>52360.71</v>
      </c>
      <c r="GH17" s="1">
        <f t="shared" si="74"/>
        <v>81682.707599999994</v>
      </c>
      <c r="GI17" s="57">
        <v>1.56</v>
      </c>
      <c r="GJ17" s="108"/>
      <c r="GK17" s="32">
        <f t="shared" si="75"/>
        <v>0</v>
      </c>
      <c r="GL17" s="160">
        <v>45475.55</v>
      </c>
      <c r="GM17" s="1">
        <f t="shared" si="76"/>
        <v>70941.858000000007</v>
      </c>
      <c r="GN17" s="57">
        <v>1.56</v>
      </c>
      <c r="GO17" s="108"/>
      <c r="GP17" s="13">
        <f t="shared" si="77"/>
        <v>0</v>
      </c>
      <c r="GQ17" s="160">
        <v>48055.58</v>
      </c>
      <c r="GR17" s="1">
        <f t="shared" si="78"/>
        <v>74966.704800000007</v>
      </c>
      <c r="GS17" s="57">
        <v>1.56</v>
      </c>
      <c r="GT17" s="108"/>
      <c r="GU17" s="32">
        <f t="shared" si="79"/>
        <v>0</v>
      </c>
      <c r="GV17" s="160">
        <v>56783.4</v>
      </c>
      <c r="GW17" s="1">
        <f t="shared" si="80"/>
        <v>113566.8</v>
      </c>
      <c r="GX17" s="57">
        <v>2</v>
      </c>
      <c r="GY17" s="96"/>
      <c r="GZ17" s="32">
        <f t="shared" si="3"/>
        <v>0</v>
      </c>
      <c r="HA17" s="160">
        <v>48449.919999999998</v>
      </c>
      <c r="HB17" s="1">
        <f t="shared" si="81"/>
        <v>145349.76000000001</v>
      </c>
      <c r="HC17" s="57">
        <v>3</v>
      </c>
      <c r="HD17" s="96"/>
      <c r="HE17" s="32">
        <f t="shared" si="107"/>
        <v>0</v>
      </c>
      <c r="HF17" s="108">
        <v>6970.77</v>
      </c>
      <c r="HG17" s="1">
        <f t="shared" si="82"/>
        <v>34853.850000000006</v>
      </c>
      <c r="HH17" s="57">
        <v>5</v>
      </c>
      <c r="HI17" s="96"/>
      <c r="HJ17" s="13">
        <f t="shared" si="83"/>
        <v>0</v>
      </c>
      <c r="HL17" s="1">
        <f t="shared" si="84"/>
        <v>0</v>
      </c>
      <c r="HM17" s="57">
        <v>5.5</v>
      </c>
      <c r="HN17" s="97"/>
      <c r="HO17" s="14" t="e">
        <f t="shared" si="85"/>
        <v>#DIV/0!</v>
      </c>
      <c r="HQ17" s="1">
        <f t="shared" si="86"/>
        <v>0</v>
      </c>
      <c r="HR17" s="57">
        <v>5</v>
      </c>
      <c r="HS17" s="81"/>
      <c r="HT17" s="14" t="e">
        <f t="shared" si="87"/>
        <v>#DIV/0!</v>
      </c>
      <c r="HU17" s="108">
        <v>30108.57</v>
      </c>
      <c r="HV17" s="1">
        <f t="shared" si="88"/>
        <v>90325.709999999992</v>
      </c>
      <c r="HW17" s="57">
        <v>3</v>
      </c>
      <c r="HX17" s="97"/>
      <c r="HY17" s="14">
        <f t="shared" si="89"/>
        <v>0</v>
      </c>
      <c r="HZ17" s="108">
        <v>118507.81</v>
      </c>
      <c r="IA17" s="1">
        <f t="shared" si="90"/>
        <v>355523.43</v>
      </c>
      <c r="IB17" s="57">
        <v>3</v>
      </c>
      <c r="IC17" s="97"/>
      <c r="ID17" s="14">
        <f t="shared" si="91"/>
        <v>0</v>
      </c>
      <c r="IE17" s="108">
        <v>151070.99</v>
      </c>
      <c r="IF17" s="1">
        <f t="shared" si="92"/>
        <v>226606.48499999999</v>
      </c>
      <c r="IG17" s="57">
        <v>1.5</v>
      </c>
      <c r="IH17" s="88"/>
      <c r="II17" s="32">
        <f t="shared" si="93"/>
        <v>0</v>
      </c>
      <c r="IJ17" s="108">
        <v>168703.73</v>
      </c>
      <c r="IK17" s="1">
        <f t="shared" si="94"/>
        <v>253055.59500000003</v>
      </c>
      <c r="IL17" s="57">
        <v>1.5</v>
      </c>
      <c r="IM17" s="88"/>
      <c r="IN17" s="32">
        <f t="shared" si="95"/>
        <v>0</v>
      </c>
      <c r="IO17" s="108">
        <v>260653.15</v>
      </c>
      <c r="IP17" s="1">
        <f t="shared" si="96"/>
        <v>390979.72499999998</v>
      </c>
      <c r="IQ17" s="57">
        <v>1.5</v>
      </c>
      <c r="IR17" s="88"/>
      <c r="IS17" s="32">
        <f t="shared" si="97"/>
        <v>0</v>
      </c>
      <c r="IT17" s="108">
        <v>355690.09</v>
      </c>
      <c r="IU17" s="1">
        <f t="shared" si="98"/>
        <v>533535.13500000001</v>
      </c>
      <c r="IV17" s="57">
        <v>1.5</v>
      </c>
      <c r="IW17" s="88"/>
      <c r="IX17" s="32">
        <f t="shared" si="99"/>
        <v>0</v>
      </c>
      <c r="IY17" s="108">
        <v>91946.7</v>
      </c>
      <c r="IZ17" s="1">
        <f t="shared" si="100"/>
        <v>137920.04999999999</v>
      </c>
      <c r="JA17" s="57">
        <v>1.5</v>
      </c>
      <c r="JB17" s="88"/>
      <c r="JC17" s="14">
        <f t="shared" si="101"/>
        <v>0</v>
      </c>
      <c r="JD17" s="73">
        <f t="shared" si="102"/>
        <v>934576.06000000017</v>
      </c>
      <c r="JE17" s="73">
        <f t="shared" si="103"/>
        <v>715736.67999999993</v>
      </c>
      <c r="JF17" s="75">
        <f t="shared" si="104"/>
        <v>-218839.38000000024</v>
      </c>
      <c r="JG17" s="11">
        <f t="shared" si="105"/>
        <v>0.76584101672794802</v>
      </c>
    </row>
    <row r="18" spans="3:267">
      <c r="C18" s="71" t="str">
        <f>"A12"</f>
        <v>A12</v>
      </c>
      <c r="D18" s="164">
        <v>129041.01</v>
      </c>
      <c r="E18" s="1">
        <f t="shared" si="4"/>
        <v>77424.606</v>
      </c>
      <c r="F18" s="2">
        <v>0.6</v>
      </c>
      <c r="G18" s="108">
        <v>69323.11</v>
      </c>
      <c r="H18" s="171">
        <f t="shared" si="5"/>
        <v>0.53721766436887008</v>
      </c>
      <c r="I18" s="169">
        <v>127681.9</v>
      </c>
      <c r="J18" s="1">
        <f t="shared" si="6"/>
        <v>82993.235000000001</v>
      </c>
      <c r="K18" s="2">
        <v>0.65</v>
      </c>
      <c r="L18" s="108">
        <v>46577.63</v>
      </c>
      <c r="M18" s="14">
        <f t="shared" si="7"/>
        <v>0.36479430522258832</v>
      </c>
      <c r="N18" s="164">
        <v>109956.04</v>
      </c>
      <c r="O18" s="1">
        <f t="shared" si="8"/>
        <v>54978.02</v>
      </c>
      <c r="P18" s="2">
        <v>0.5</v>
      </c>
      <c r="Q18" s="108">
        <v>54813.97</v>
      </c>
      <c r="R18" s="13">
        <f t="shared" si="9"/>
        <v>0.49850804012221617</v>
      </c>
      <c r="S18" s="160">
        <v>112999.31</v>
      </c>
      <c r="T18" s="1">
        <f t="shared" si="10"/>
        <v>67799.585999999996</v>
      </c>
      <c r="U18" s="2">
        <v>0.6</v>
      </c>
      <c r="V18" s="108">
        <v>62325.1</v>
      </c>
      <c r="W18" s="13">
        <f t="shared" si="11"/>
        <v>0.55155292541166845</v>
      </c>
      <c r="X18" s="108">
        <v>132406.76</v>
      </c>
      <c r="Y18" s="1">
        <f t="shared" si="12"/>
        <v>86064.394000000015</v>
      </c>
      <c r="Z18" s="2">
        <v>0.65</v>
      </c>
      <c r="AA18" s="108">
        <v>99709.04</v>
      </c>
      <c r="AB18" s="13">
        <f t="shared" si="13"/>
        <v>0.75305097715554692</v>
      </c>
      <c r="AC18" s="108">
        <v>178445.92</v>
      </c>
      <c r="AD18" s="1">
        <f t="shared" si="14"/>
        <v>142756.736</v>
      </c>
      <c r="AE18" s="2">
        <v>0.8</v>
      </c>
      <c r="AF18" s="108">
        <v>114111.83</v>
      </c>
      <c r="AG18" s="13">
        <f t="shared" si="15"/>
        <v>0.6394757022183527</v>
      </c>
      <c r="AH18" s="108">
        <v>111066.6</v>
      </c>
      <c r="AI18" s="1">
        <f t="shared" si="16"/>
        <v>66639.960000000006</v>
      </c>
      <c r="AJ18" s="2">
        <v>0.6</v>
      </c>
      <c r="AK18" s="108">
        <v>71546.34</v>
      </c>
      <c r="AL18" s="13">
        <f t="shared" si="17"/>
        <v>0.64417511655169057</v>
      </c>
      <c r="AM18" s="108">
        <v>119330.4</v>
      </c>
      <c r="AN18" s="1">
        <f t="shared" si="18"/>
        <v>71598.239999999991</v>
      </c>
      <c r="AO18" s="2">
        <v>0.6</v>
      </c>
      <c r="AP18" s="108">
        <v>88215.03</v>
      </c>
      <c r="AQ18" s="13">
        <f t="shared" si="19"/>
        <v>0.73925026648699743</v>
      </c>
      <c r="AR18" s="160">
        <v>112587.03</v>
      </c>
      <c r="AS18" s="1">
        <f t="shared" si="20"/>
        <v>84440.272499999992</v>
      </c>
      <c r="AT18" s="2">
        <v>0.75</v>
      </c>
      <c r="AU18" s="108">
        <v>85413.4</v>
      </c>
      <c r="AV18" s="13">
        <f t="shared" si="21"/>
        <v>0.75864333573769549</v>
      </c>
      <c r="AW18" s="160">
        <v>123762.6</v>
      </c>
      <c r="AX18" s="1">
        <f t="shared" si="22"/>
        <v>92821.950000000012</v>
      </c>
      <c r="AY18" s="2">
        <v>0.75</v>
      </c>
      <c r="AZ18" s="108">
        <v>71795.19</v>
      </c>
      <c r="BA18" s="60">
        <f t="shared" si="23"/>
        <v>0.58010408637181188</v>
      </c>
      <c r="BB18" s="160">
        <v>76165.77</v>
      </c>
      <c r="BC18" s="1">
        <f t="shared" si="24"/>
        <v>53316.038999999997</v>
      </c>
      <c r="BD18" s="2">
        <v>0.7</v>
      </c>
      <c r="BE18" s="108">
        <v>93270.93</v>
      </c>
      <c r="BF18" s="17">
        <f t="shared" si="25"/>
        <v>1.2245780486431108</v>
      </c>
      <c r="BG18" s="160">
        <v>31824.33</v>
      </c>
      <c r="BH18" s="1">
        <f t="shared" si="26"/>
        <v>23868.247500000001</v>
      </c>
      <c r="BI18" s="2">
        <v>0.75</v>
      </c>
      <c r="BJ18" s="115"/>
      <c r="BK18" s="60">
        <f t="shared" si="27"/>
        <v>0</v>
      </c>
      <c r="BL18" s="160">
        <v>27960.78</v>
      </c>
      <c r="BM18" s="1">
        <f t="shared" si="28"/>
        <v>20970.584999999999</v>
      </c>
      <c r="BN18" s="2">
        <v>0.75</v>
      </c>
      <c r="BO18" s="115"/>
      <c r="BP18" s="60">
        <f t="shared" si="29"/>
        <v>0</v>
      </c>
      <c r="BQ18" s="160"/>
      <c r="BR18" s="1">
        <f t="shared" si="30"/>
        <v>0</v>
      </c>
      <c r="BS18" s="57">
        <v>3.5</v>
      </c>
      <c r="BT18" s="115"/>
      <c r="BU18" s="16" t="e">
        <f t="shared" si="31"/>
        <v>#DIV/0!</v>
      </c>
      <c r="BV18" s="160"/>
      <c r="BW18" s="1">
        <f t="shared" si="32"/>
        <v>0</v>
      </c>
      <c r="BX18" s="57">
        <v>3.5</v>
      </c>
      <c r="BZ18" s="14" t="e">
        <f t="shared" si="33"/>
        <v>#DIV/0!</v>
      </c>
      <c r="CA18" s="160"/>
      <c r="CB18" s="1">
        <f t="shared" si="34"/>
        <v>0</v>
      </c>
      <c r="CC18" s="57">
        <v>5</v>
      </c>
      <c r="CD18" s="115"/>
      <c r="CE18" s="16" t="e">
        <f t="shared" si="35"/>
        <v>#DIV/0!</v>
      </c>
      <c r="CF18" s="160"/>
      <c r="CG18" s="1">
        <f t="shared" si="36"/>
        <v>0</v>
      </c>
      <c r="CH18" s="57">
        <v>3</v>
      </c>
      <c r="CI18" s="115"/>
      <c r="CJ18" s="18" t="e">
        <f t="shared" si="37"/>
        <v>#DIV/0!</v>
      </c>
      <c r="CK18" s="160"/>
      <c r="CL18" s="1">
        <f t="shared" si="38"/>
        <v>0</v>
      </c>
      <c r="CM18" s="57">
        <v>6.5</v>
      </c>
      <c r="CN18" s="115"/>
      <c r="CO18" s="16" t="e">
        <f t="shared" si="39"/>
        <v>#DIV/0!</v>
      </c>
      <c r="CP18" s="160"/>
      <c r="CQ18" s="1">
        <f t="shared" si="40"/>
        <v>0</v>
      </c>
      <c r="CR18" s="57">
        <v>6.5</v>
      </c>
      <c r="CS18" s="95"/>
      <c r="CT18" s="16" t="e">
        <f t="shared" si="41"/>
        <v>#DIV/0!</v>
      </c>
      <c r="CU18" s="160"/>
      <c r="CV18" s="1">
        <f t="shared" si="42"/>
        <v>0</v>
      </c>
      <c r="CW18" s="57">
        <v>6.5</v>
      </c>
      <c r="CX18" s="132"/>
      <c r="CY18" s="130" t="e">
        <f t="shared" si="43"/>
        <v>#DIV/0!</v>
      </c>
      <c r="CZ18" s="160"/>
      <c r="DA18" s="1">
        <f t="shared" si="44"/>
        <v>0</v>
      </c>
      <c r="DB18" s="57">
        <v>6.5</v>
      </c>
      <c r="DC18" s="132"/>
      <c r="DD18" s="18" t="e">
        <f t="shared" si="45"/>
        <v>#DIV/0!</v>
      </c>
      <c r="DE18" s="357"/>
      <c r="DF18" s="1">
        <f t="shared" si="46"/>
        <v>0</v>
      </c>
      <c r="DG18" s="57">
        <v>4.5</v>
      </c>
      <c r="DH18" s="132"/>
      <c r="DI18" s="16" t="e">
        <f t="shared" si="47"/>
        <v>#DIV/0!</v>
      </c>
      <c r="DJ18" s="357"/>
      <c r="DK18" s="1">
        <f t="shared" si="48"/>
        <v>0</v>
      </c>
      <c r="DL18" s="57">
        <v>3</v>
      </c>
      <c r="DM18" s="233"/>
      <c r="DN18" s="16" t="e">
        <f t="shared" si="106"/>
        <v>#DIV/0!</v>
      </c>
      <c r="DO18" s="160">
        <v>48902.55</v>
      </c>
      <c r="DP18" s="1">
        <f t="shared" si="49"/>
        <v>122256.375</v>
      </c>
      <c r="DQ18" s="57">
        <v>2.5</v>
      </c>
      <c r="DR18" s="88"/>
      <c r="DS18" s="16">
        <f t="shared" si="50"/>
        <v>0</v>
      </c>
      <c r="DT18" s="160">
        <v>64424.4</v>
      </c>
      <c r="DU18" s="1">
        <f t="shared" si="51"/>
        <v>161061</v>
      </c>
      <c r="DV18" s="57">
        <v>2.5</v>
      </c>
      <c r="DW18" s="88"/>
      <c r="DX18" s="16">
        <f t="shared" si="0"/>
        <v>0</v>
      </c>
      <c r="DY18" s="160">
        <v>71019.31</v>
      </c>
      <c r="DZ18" s="1">
        <f t="shared" si="52"/>
        <v>177548.27499999999</v>
      </c>
      <c r="EA18" s="57">
        <v>2.5</v>
      </c>
      <c r="EB18" s="232"/>
      <c r="EC18" s="18">
        <f t="shared" si="53"/>
        <v>0</v>
      </c>
      <c r="ED18" s="160">
        <v>68422.05</v>
      </c>
      <c r="EE18" s="1">
        <f t="shared" si="54"/>
        <v>136844.1</v>
      </c>
      <c r="EF18" s="57">
        <v>2</v>
      </c>
      <c r="EG18" s="232"/>
      <c r="EH18" s="16">
        <f t="shared" si="55"/>
        <v>0</v>
      </c>
      <c r="EI18" s="160">
        <v>81017.210000000006</v>
      </c>
      <c r="EJ18" s="1">
        <f t="shared" si="56"/>
        <v>145830.978</v>
      </c>
      <c r="EK18" s="57">
        <v>1.8</v>
      </c>
      <c r="EL18" s="232"/>
      <c r="EM18" s="16">
        <f t="shared" si="57"/>
        <v>0</v>
      </c>
      <c r="EN18" s="160">
        <v>71369.23</v>
      </c>
      <c r="EO18" s="1">
        <f t="shared" si="58"/>
        <v>128464.614</v>
      </c>
      <c r="EP18" s="57">
        <v>1.8</v>
      </c>
      <c r="EQ18" s="232"/>
      <c r="ER18" s="16">
        <f t="shared" si="59"/>
        <v>0</v>
      </c>
      <c r="ES18" s="160">
        <v>60042.57</v>
      </c>
      <c r="ET18" s="1">
        <f t="shared" si="60"/>
        <v>108076.626</v>
      </c>
      <c r="EU18" s="57">
        <v>1.8</v>
      </c>
      <c r="EV18" s="232"/>
      <c r="EW18" s="18">
        <f t="shared" si="61"/>
        <v>0</v>
      </c>
      <c r="EX18" s="160">
        <v>76288.98</v>
      </c>
      <c r="EY18" s="1">
        <f t="shared" si="62"/>
        <v>137320.16399999999</v>
      </c>
      <c r="EZ18" s="57">
        <v>1.8</v>
      </c>
      <c r="FA18" s="232"/>
      <c r="FB18" s="32">
        <f t="shared" si="1"/>
        <v>0</v>
      </c>
      <c r="FC18" s="160">
        <v>63460.43</v>
      </c>
      <c r="FD18" s="1">
        <f t="shared" si="63"/>
        <v>114228.774</v>
      </c>
      <c r="FE18" s="57">
        <v>1.8</v>
      </c>
      <c r="FF18" s="232"/>
      <c r="FG18" s="14">
        <f t="shared" si="64"/>
        <v>0</v>
      </c>
      <c r="FH18" s="160">
        <v>64939.13</v>
      </c>
      <c r="FI18" s="1">
        <f t="shared" si="65"/>
        <v>116890.43399999999</v>
      </c>
      <c r="FJ18" s="57">
        <v>1.8</v>
      </c>
      <c r="FK18" s="232"/>
      <c r="FL18" s="234">
        <f t="shared" si="66"/>
        <v>0</v>
      </c>
      <c r="FM18" s="160">
        <v>51609.41</v>
      </c>
      <c r="FN18" s="1">
        <f t="shared" si="67"/>
        <v>92896.938000000009</v>
      </c>
      <c r="FO18" s="57">
        <v>1.8</v>
      </c>
      <c r="FP18" s="232"/>
      <c r="FQ18" s="13">
        <f t="shared" si="68"/>
        <v>0</v>
      </c>
      <c r="FR18" s="160">
        <v>62239.46</v>
      </c>
      <c r="FS18" s="1">
        <f t="shared" si="69"/>
        <v>97093.5576</v>
      </c>
      <c r="FT18" s="57">
        <v>1.56</v>
      </c>
      <c r="FU18" s="88"/>
      <c r="FV18" s="31">
        <f t="shared" si="70"/>
        <v>0</v>
      </c>
      <c r="FW18" s="160">
        <v>72016.509999999995</v>
      </c>
      <c r="FX18" s="1">
        <f t="shared" si="71"/>
        <v>112345.75559999999</v>
      </c>
      <c r="FY18" s="57">
        <v>1.56</v>
      </c>
      <c r="FZ18" s="88"/>
      <c r="GA18" s="14">
        <f t="shared" si="2"/>
        <v>0</v>
      </c>
      <c r="GB18" s="160">
        <v>74380.11</v>
      </c>
      <c r="GC18" s="1">
        <f t="shared" si="72"/>
        <v>116032.9716</v>
      </c>
      <c r="GD18" s="57">
        <v>1.56</v>
      </c>
      <c r="GE18" s="88"/>
      <c r="GF18" s="32">
        <f t="shared" si="73"/>
        <v>0</v>
      </c>
      <c r="GG18" s="160">
        <v>69486.63</v>
      </c>
      <c r="GH18" s="1">
        <f t="shared" si="74"/>
        <v>108399.14280000002</v>
      </c>
      <c r="GI18" s="57">
        <v>1.56</v>
      </c>
      <c r="GJ18" s="108"/>
      <c r="GK18" s="32">
        <f t="shared" si="75"/>
        <v>0</v>
      </c>
      <c r="GL18" s="160">
        <v>76912.47</v>
      </c>
      <c r="GM18" s="1">
        <f t="shared" si="76"/>
        <v>119983.4532</v>
      </c>
      <c r="GN18" s="57">
        <v>1.56</v>
      </c>
      <c r="GO18" s="108"/>
      <c r="GP18" s="13">
        <f t="shared" si="77"/>
        <v>0</v>
      </c>
      <c r="GQ18" s="160">
        <v>73808.399999999994</v>
      </c>
      <c r="GR18" s="1">
        <f t="shared" si="78"/>
        <v>115141.10399999999</v>
      </c>
      <c r="GS18" s="57">
        <v>1.56</v>
      </c>
      <c r="GT18" s="108"/>
      <c r="GU18" s="32">
        <f t="shared" si="79"/>
        <v>0</v>
      </c>
      <c r="GV18" s="160">
        <v>76971.929999999993</v>
      </c>
      <c r="GW18" s="1">
        <f t="shared" si="80"/>
        <v>153943.85999999999</v>
      </c>
      <c r="GX18" s="57">
        <v>2</v>
      </c>
      <c r="GY18" s="96"/>
      <c r="GZ18" s="32">
        <f t="shared" si="3"/>
        <v>0</v>
      </c>
      <c r="HA18" s="160">
        <v>30787.25</v>
      </c>
      <c r="HB18" s="1">
        <f t="shared" si="81"/>
        <v>92361.75</v>
      </c>
      <c r="HC18" s="57">
        <v>3</v>
      </c>
      <c r="HD18" s="96"/>
      <c r="HE18" s="32">
        <f t="shared" si="107"/>
        <v>0</v>
      </c>
      <c r="HG18" s="1">
        <f t="shared" si="82"/>
        <v>0</v>
      </c>
      <c r="HH18" s="57">
        <v>5</v>
      </c>
      <c r="HI18" s="96"/>
      <c r="HJ18" s="13" t="e">
        <f t="shared" si="83"/>
        <v>#DIV/0!</v>
      </c>
      <c r="HL18" s="1">
        <f t="shared" si="84"/>
        <v>0</v>
      </c>
      <c r="HM18" s="57">
        <v>5.5</v>
      </c>
      <c r="HN18" s="97"/>
      <c r="HO18" s="14" t="e">
        <f t="shared" si="85"/>
        <v>#DIV/0!</v>
      </c>
      <c r="HQ18" s="1">
        <f t="shared" si="86"/>
        <v>0</v>
      </c>
      <c r="HR18" s="57">
        <v>5</v>
      </c>
      <c r="HS18" s="81"/>
      <c r="HT18" s="14" t="e">
        <f t="shared" si="87"/>
        <v>#DIV/0!</v>
      </c>
      <c r="HU18">
        <v>396.97</v>
      </c>
      <c r="HV18" s="1">
        <f t="shared" si="88"/>
        <v>1190.9100000000001</v>
      </c>
      <c r="HW18" s="57">
        <v>3</v>
      </c>
      <c r="HX18" s="97"/>
      <c r="HY18" s="14">
        <f t="shared" si="89"/>
        <v>0</v>
      </c>
      <c r="HZ18" s="108">
        <v>109488.63</v>
      </c>
      <c r="IA18" s="1">
        <f t="shared" si="90"/>
        <v>328465.89</v>
      </c>
      <c r="IB18" s="57">
        <v>3</v>
      </c>
      <c r="IC18" s="97"/>
      <c r="ID18" s="14">
        <f t="shared" si="91"/>
        <v>0</v>
      </c>
      <c r="IE18" s="108">
        <v>166310.29999999999</v>
      </c>
      <c r="IF18" s="1">
        <f t="shared" si="92"/>
        <v>249465.44999999998</v>
      </c>
      <c r="IG18" s="57">
        <v>1.5</v>
      </c>
      <c r="IH18" s="88"/>
      <c r="II18" s="32">
        <f t="shared" si="93"/>
        <v>0</v>
      </c>
      <c r="IJ18" s="108">
        <v>284299.38</v>
      </c>
      <c r="IK18" s="1">
        <f t="shared" si="94"/>
        <v>426449.07</v>
      </c>
      <c r="IL18" s="57">
        <v>1.5</v>
      </c>
      <c r="IM18" s="88"/>
      <c r="IN18" s="32">
        <f t="shared" si="95"/>
        <v>0</v>
      </c>
      <c r="IO18" s="108">
        <v>303942.03999999998</v>
      </c>
      <c r="IP18" s="1">
        <f t="shared" si="96"/>
        <v>455913.05999999994</v>
      </c>
      <c r="IQ18" s="57">
        <v>1.5</v>
      </c>
      <c r="IR18" s="88"/>
      <c r="IS18" s="32">
        <f t="shared" si="97"/>
        <v>0</v>
      </c>
      <c r="IT18" s="108">
        <v>279599.92</v>
      </c>
      <c r="IU18" s="1">
        <f t="shared" si="98"/>
        <v>419399.88</v>
      </c>
      <c r="IV18" s="57">
        <v>1.5</v>
      </c>
      <c r="IW18" s="88"/>
      <c r="IX18" s="32">
        <f t="shared" si="99"/>
        <v>0</v>
      </c>
      <c r="IY18" s="108">
        <v>52641.95</v>
      </c>
      <c r="IZ18" s="1">
        <f t="shared" si="100"/>
        <v>78962.924999999988</v>
      </c>
      <c r="JA18" s="57">
        <v>1.5</v>
      </c>
      <c r="JB18" s="88"/>
      <c r="JC18" s="14">
        <f t="shared" si="101"/>
        <v>0</v>
      </c>
      <c r="JD18" s="73">
        <f t="shared" si="102"/>
        <v>1333443.3400000001</v>
      </c>
      <c r="JE18" s="73">
        <f t="shared" si="103"/>
        <v>857101.56999999983</v>
      </c>
      <c r="JF18" s="75">
        <f t="shared" si="104"/>
        <v>-476341.77000000025</v>
      </c>
      <c r="JG18" s="11">
        <f t="shared" si="105"/>
        <v>0.64277314550163023</v>
      </c>
    </row>
    <row r="19" spans="3:267">
      <c r="C19" s="71" t="str">
        <f>"A14"</f>
        <v>A14</v>
      </c>
      <c r="D19" s="164">
        <v>77831.95</v>
      </c>
      <c r="E19" s="1">
        <f t="shared" si="4"/>
        <v>46699.17</v>
      </c>
      <c r="F19" s="2">
        <v>0.6</v>
      </c>
      <c r="G19" s="108">
        <v>46120.959999999999</v>
      </c>
      <c r="H19" s="171">
        <f t="shared" si="5"/>
        <v>0.59257104569524466</v>
      </c>
      <c r="I19" s="169">
        <v>73324.06</v>
      </c>
      <c r="J19" s="1">
        <f t="shared" si="6"/>
        <v>47660.639000000003</v>
      </c>
      <c r="K19" s="2">
        <v>0.65</v>
      </c>
      <c r="L19" s="108">
        <v>39205.96</v>
      </c>
      <c r="M19" s="14">
        <f t="shared" si="7"/>
        <v>0.53469434180267705</v>
      </c>
      <c r="N19" s="164">
        <v>59312.05</v>
      </c>
      <c r="O19" s="1">
        <f t="shared" si="8"/>
        <v>32621.627500000006</v>
      </c>
      <c r="P19" s="2">
        <v>0.55000000000000004</v>
      </c>
      <c r="Q19" s="108">
        <v>49639.95</v>
      </c>
      <c r="R19" s="13">
        <f t="shared" si="9"/>
        <v>0.83692858365205713</v>
      </c>
      <c r="S19" s="160">
        <v>60612.63</v>
      </c>
      <c r="T19" s="1">
        <f t="shared" si="10"/>
        <v>52126.861799999999</v>
      </c>
      <c r="U19" s="2">
        <v>0.86</v>
      </c>
      <c r="V19" s="108">
        <v>55744.51</v>
      </c>
      <c r="W19" s="13">
        <f t="shared" si="11"/>
        <v>0.91968472577414984</v>
      </c>
      <c r="X19" s="108">
        <v>68409.119999999995</v>
      </c>
      <c r="Y19" s="1">
        <f t="shared" si="12"/>
        <v>71829.576000000001</v>
      </c>
      <c r="Z19" s="2">
        <v>1.05</v>
      </c>
      <c r="AA19" s="108">
        <v>50662.84</v>
      </c>
      <c r="AB19" s="13">
        <f t="shared" si="13"/>
        <v>0.74058605051490212</v>
      </c>
      <c r="AC19" s="108">
        <v>112784.24</v>
      </c>
      <c r="AD19" s="1">
        <f t="shared" si="14"/>
        <v>90227.392000000007</v>
      </c>
      <c r="AE19" s="2">
        <v>0.8</v>
      </c>
      <c r="AF19" s="108">
        <v>63551.18</v>
      </c>
      <c r="AG19" s="13">
        <f t="shared" si="15"/>
        <v>0.56347571256409579</v>
      </c>
      <c r="AH19" s="108">
        <v>59928.800000000003</v>
      </c>
      <c r="AI19" s="1">
        <f t="shared" si="16"/>
        <v>35957.279999999999</v>
      </c>
      <c r="AJ19" s="2">
        <v>0.6</v>
      </c>
      <c r="AK19" s="108">
        <v>42953.89</v>
      </c>
      <c r="AL19" s="13">
        <f t="shared" si="17"/>
        <v>0.71674870846738126</v>
      </c>
      <c r="AM19" s="108">
        <v>56270.38</v>
      </c>
      <c r="AN19" s="1">
        <f t="shared" si="18"/>
        <v>33762.227999999996</v>
      </c>
      <c r="AO19" s="2">
        <v>0.6</v>
      </c>
      <c r="AP19" s="108">
        <v>37885.379999999997</v>
      </c>
      <c r="AQ19" s="13">
        <f t="shared" si="19"/>
        <v>0.67327393204026698</v>
      </c>
      <c r="AR19" s="160">
        <v>60191.82</v>
      </c>
      <c r="AS19" s="1">
        <f t="shared" si="20"/>
        <v>45143.864999999998</v>
      </c>
      <c r="AT19" s="2">
        <v>0.75</v>
      </c>
      <c r="AU19" s="108">
        <v>40620.49</v>
      </c>
      <c r="AV19" s="13">
        <f t="shared" si="21"/>
        <v>0.67485066907762548</v>
      </c>
      <c r="AW19" s="160">
        <v>54735.82</v>
      </c>
      <c r="AX19" s="1">
        <f t="shared" si="22"/>
        <v>41051.864999999998</v>
      </c>
      <c r="AY19" s="2">
        <v>0.75</v>
      </c>
      <c r="AZ19" s="108">
        <v>49769.22</v>
      </c>
      <c r="BA19" s="60">
        <f t="shared" si="23"/>
        <v>0.90926234411031026</v>
      </c>
      <c r="BB19" s="160">
        <v>46982.65</v>
      </c>
      <c r="BC19" s="1">
        <f t="shared" si="24"/>
        <v>32887.854999999996</v>
      </c>
      <c r="BD19" s="2">
        <v>0.7</v>
      </c>
      <c r="BE19" s="108">
        <v>54148.11</v>
      </c>
      <c r="BF19" s="17">
        <f t="shared" si="25"/>
        <v>1.1525128957178874</v>
      </c>
      <c r="BG19" s="160">
        <v>26232.67</v>
      </c>
      <c r="BH19" s="1">
        <f t="shared" si="26"/>
        <v>19674.502499999999</v>
      </c>
      <c r="BI19" s="2">
        <v>0.75</v>
      </c>
      <c r="BJ19" s="115"/>
      <c r="BK19" s="60">
        <f t="shared" si="27"/>
        <v>0</v>
      </c>
      <c r="BL19" s="160">
        <v>32494.83</v>
      </c>
      <c r="BM19" s="1">
        <f t="shared" si="28"/>
        <v>24371.122500000001</v>
      </c>
      <c r="BN19" s="2">
        <v>0.75</v>
      </c>
      <c r="BO19" s="115"/>
      <c r="BP19" s="60">
        <f t="shared" si="29"/>
        <v>0</v>
      </c>
      <c r="BQ19" s="160">
        <v>19170.47</v>
      </c>
      <c r="BR19" s="1">
        <f t="shared" si="30"/>
        <v>67096.645000000004</v>
      </c>
      <c r="BS19" s="57">
        <v>3.5</v>
      </c>
      <c r="BT19" s="115"/>
      <c r="BU19" s="16">
        <f t="shared" si="31"/>
        <v>0</v>
      </c>
      <c r="BV19" s="160">
        <v>23873.96</v>
      </c>
      <c r="BW19" s="1">
        <f t="shared" si="32"/>
        <v>83558.86</v>
      </c>
      <c r="BX19" s="57">
        <v>3.5</v>
      </c>
      <c r="BY19" s="108"/>
      <c r="BZ19" s="14">
        <f t="shared" si="33"/>
        <v>0</v>
      </c>
      <c r="CA19" s="160">
        <v>14829</v>
      </c>
      <c r="CB19" s="1">
        <f t="shared" si="34"/>
        <v>74145</v>
      </c>
      <c r="CC19" s="57">
        <v>5</v>
      </c>
      <c r="CD19" s="115"/>
      <c r="CE19" s="16">
        <f t="shared" si="35"/>
        <v>0</v>
      </c>
      <c r="CF19" s="160"/>
      <c r="CG19" s="1">
        <f t="shared" si="36"/>
        <v>0</v>
      </c>
      <c r="CH19" s="57">
        <v>3</v>
      </c>
      <c r="CI19" s="115"/>
      <c r="CJ19" s="18" t="e">
        <f t="shared" si="37"/>
        <v>#DIV/0!</v>
      </c>
      <c r="CK19" s="160"/>
      <c r="CL19" s="1">
        <f t="shared" si="38"/>
        <v>0</v>
      </c>
      <c r="CM19" s="57">
        <v>6.5</v>
      </c>
      <c r="CN19" s="115"/>
      <c r="CO19" s="16" t="e">
        <f t="shared" si="39"/>
        <v>#DIV/0!</v>
      </c>
      <c r="CP19" s="160"/>
      <c r="CQ19" s="1">
        <f t="shared" si="40"/>
        <v>0</v>
      </c>
      <c r="CR19" s="57">
        <v>6.5</v>
      </c>
      <c r="CS19" s="95"/>
      <c r="CT19" s="16" t="e">
        <f t="shared" si="41"/>
        <v>#DIV/0!</v>
      </c>
      <c r="CU19" s="160"/>
      <c r="CV19" s="1">
        <f t="shared" si="42"/>
        <v>0</v>
      </c>
      <c r="CW19" s="57">
        <v>6.5</v>
      </c>
      <c r="CX19" s="132"/>
      <c r="CY19" s="130" t="e">
        <f t="shared" si="43"/>
        <v>#DIV/0!</v>
      </c>
      <c r="CZ19" s="160"/>
      <c r="DA19" s="1">
        <f t="shared" si="44"/>
        <v>0</v>
      </c>
      <c r="DB19" s="57">
        <v>6.5</v>
      </c>
      <c r="DC19" s="132"/>
      <c r="DD19" s="18" t="e">
        <f t="shared" si="45"/>
        <v>#DIV/0!</v>
      </c>
      <c r="DE19" s="357"/>
      <c r="DF19" s="1">
        <f t="shared" si="46"/>
        <v>0</v>
      </c>
      <c r="DG19" s="57">
        <v>4.5</v>
      </c>
      <c r="DH19" s="132"/>
      <c r="DI19" s="16" t="e">
        <f t="shared" si="47"/>
        <v>#DIV/0!</v>
      </c>
      <c r="DJ19" s="357"/>
      <c r="DK19" s="1">
        <f t="shared" si="48"/>
        <v>0</v>
      </c>
      <c r="DL19" s="57">
        <v>3</v>
      </c>
      <c r="DM19" s="233"/>
      <c r="DN19" s="16" t="e">
        <f t="shared" si="106"/>
        <v>#DIV/0!</v>
      </c>
      <c r="DO19" s="160">
        <v>46058.57</v>
      </c>
      <c r="DP19" s="1">
        <f t="shared" si="49"/>
        <v>115146.425</v>
      </c>
      <c r="DQ19" s="57">
        <v>2.5</v>
      </c>
      <c r="DR19" s="88"/>
      <c r="DS19" s="16">
        <f t="shared" si="50"/>
        <v>0</v>
      </c>
      <c r="DT19" s="160">
        <v>51627.44</v>
      </c>
      <c r="DU19" s="1">
        <f t="shared" si="51"/>
        <v>129068.6</v>
      </c>
      <c r="DV19" s="57">
        <v>2.5</v>
      </c>
      <c r="DW19" s="88"/>
      <c r="DX19" s="16">
        <f t="shared" si="0"/>
        <v>0</v>
      </c>
      <c r="DY19" s="160">
        <v>45718.14</v>
      </c>
      <c r="DZ19" s="1">
        <f t="shared" si="52"/>
        <v>114295.35</v>
      </c>
      <c r="EA19" s="57">
        <v>2.5</v>
      </c>
      <c r="EB19" s="232"/>
      <c r="EC19" s="18">
        <f t="shared" si="53"/>
        <v>0</v>
      </c>
      <c r="ED19" s="160">
        <v>51484.71</v>
      </c>
      <c r="EE19" s="1">
        <f t="shared" si="54"/>
        <v>102969.42</v>
      </c>
      <c r="EF19" s="57">
        <v>2</v>
      </c>
      <c r="EG19" s="232"/>
      <c r="EH19" s="16">
        <f t="shared" si="55"/>
        <v>0</v>
      </c>
      <c r="EI19" s="160">
        <v>81525.86</v>
      </c>
      <c r="EJ19" s="1">
        <f t="shared" si="56"/>
        <v>146746.54800000001</v>
      </c>
      <c r="EK19" s="57">
        <v>1.8</v>
      </c>
      <c r="EL19" s="232"/>
      <c r="EM19" s="16">
        <f t="shared" si="57"/>
        <v>0</v>
      </c>
      <c r="EN19" s="160">
        <v>71788.92</v>
      </c>
      <c r="EO19" s="1">
        <f t="shared" si="58"/>
        <v>129220.056</v>
      </c>
      <c r="EP19" s="57">
        <v>1.8</v>
      </c>
      <c r="EQ19" s="232"/>
      <c r="ER19" s="16">
        <f t="shared" si="59"/>
        <v>0</v>
      </c>
      <c r="ES19" s="160">
        <v>65811.199999999997</v>
      </c>
      <c r="ET19" s="1">
        <f t="shared" si="60"/>
        <v>118460.16</v>
      </c>
      <c r="EU19" s="57">
        <v>1.8</v>
      </c>
      <c r="EV19" s="232"/>
      <c r="EW19" s="18">
        <f t="shared" si="61"/>
        <v>0</v>
      </c>
      <c r="EX19" s="160">
        <v>58018.14</v>
      </c>
      <c r="EY19" s="1">
        <f t="shared" si="62"/>
        <v>104432.652</v>
      </c>
      <c r="EZ19" s="57">
        <v>1.8</v>
      </c>
      <c r="FA19" s="232"/>
      <c r="FB19" s="32">
        <f t="shared" si="1"/>
        <v>0</v>
      </c>
      <c r="FC19" s="160">
        <v>61681.52</v>
      </c>
      <c r="FD19" s="1">
        <f t="shared" si="63"/>
        <v>111026.73599999999</v>
      </c>
      <c r="FE19" s="57">
        <v>1.8</v>
      </c>
      <c r="FF19" s="232"/>
      <c r="FG19" s="14">
        <f t="shared" si="64"/>
        <v>0</v>
      </c>
      <c r="FH19" s="160">
        <v>63507.4</v>
      </c>
      <c r="FI19" s="1">
        <f t="shared" si="65"/>
        <v>114313.32</v>
      </c>
      <c r="FJ19" s="57">
        <v>1.8</v>
      </c>
      <c r="FK19" s="232"/>
      <c r="FL19" s="234">
        <f t="shared" si="66"/>
        <v>0</v>
      </c>
      <c r="FM19" s="160">
        <v>57505.55</v>
      </c>
      <c r="FN19" s="1">
        <f t="shared" si="67"/>
        <v>103509.99</v>
      </c>
      <c r="FO19" s="57">
        <v>1.8</v>
      </c>
      <c r="FP19" s="232"/>
      <c r="FQ19" s="13">
        <f t="shared" si="68"/>
        <v>0</v>
      </c>
      <c r="FR19" s="160">
        <v>64451.28</v>
      </c>
      <c r="FS19" s="1">
        <f t="shared" si="69"/>
        <v>100543.99680000001</v>
      </c>
      <c r="FT19" s="57">
        <v>1.56</v>
      </c>
      <c r="FU19" s="88"/>
      <c r="FV19" s="31">
        <f t="shared" si="70"/>
        <v>0</v>
      </c>
      <c r="FW19" s="160">
        <v>55205.54</v>
      </c>
      <c r="FX19" s="1">
        <f t="shared" si="71"/>
        <v>86120.642400000012</v>
      </c>
      <c r="FY19" s="57">
        <v>1.56</v>
      </c>
      <c r="FZ19" s="88"/>
      <c r="GA19" s="14">
        <f t="shared" si="2"/>
        <v>0</v>
      </c>
      <c r="GB19" s="160">
        <v>53022.9</v>
      </c>
      <c r="GC19" s="1">
        <f t="shared" si="72"/>
        <v>82715.724000000002</v>
      </c>
      <c r="GD19" s="57">
        <v>1.56</v>
      </c>
      <c r="GE19" s="88"/>
      <c r="GF19" s="32">
        <f t="shared" si="73"/>
        <v>0</v>
      </c>
      <c r="GG19" s="160">
        <v>56335.3</v>
      </c>
      <c r="GH19" s="1">
        <f t="shared" si="74"/>
        <v>87883.068000000014</v>
      </c>
      <c r="GI19" s="57">
        <v>1.56</v>
      </c>
      <c r="GJ19" s="108"/>
      <c r="GK19" s="32">
        <f t="shared" si="75"/>
        <v>0</v>
      </c>
      <c r="GL19" s="160">
        <v>61617.43</v>
      </c>
      <c r="GM19" s="1">
        <f t="shared" si="76"/>
        <v>96123.190799999997</v>
      </c>
      <c r="GN19" s="57">
        <v>1.56</v>
      </c>
      <c r="GO19" s="108"/>
      <c r="GP19" s="13">
        <f t="shared" si="77"/>
        <v>0</v>
      </c>
      <c r="GQ19" s="160">
        <v>60946.69</v>
      </c>
      <c r="GR19" s="1">
        <f t="shared" si="78"/>
        <v>95076.8364</v>
      </c>
      <c r="GS19" s="57">
        <v>1.56</v>
      </c>
      <c r="GT19" s="108"/>
      <c r="GU19" s="32">
        <f t="shared" si="79"/>
        <v>0</v>
      </c>
      <c r="GV19" s="160">
        <v>60601.15</v>
      </c>
      <c r="GW19" s="1">
        <f t="shared" si="80"/>
        <v>121202.3</v>
      </c>
      <c r="GX19" s="57">
        <v>2</v>
      </c>
      <c r="GY19" s="96"/>
      <c r="GZ19" s="32">
        <f t="shared" si="3"/>
        <v>0</v>
      </c>
      <c r="HA19" s="160">
        <v>28132.58</v>
      </c>
      <c r="HB19" s="1">
        <f t="shared" si="81"/>
        <v>84397.74</v>
      </c>
      <c r="HC19" s="57">
        <v>3</v>
      </c>
      <c r="HD19" s="96"/>
      <c r="HE19" s="32">
        <f t="shared" si="107"/>
        <v>0</v>
      </c>
      <c r="HG19" s="1">
        <f t="shared" si="82"/>
        <v>0</v>
      </c>
      <c r="HH19" s="57">
        <v>5</v>
      </c>
      <c r="HI19" s="96"/>
      <c r="HJ19" s="13" t="e">
        <f t="shared" si="83"/>
        <v>#DIV/0!</v>
      </c>
      <c r="HL19" s="1">
        <f t="shared" si="84"/>
        <v>0</v>
      </c>
      <c r="HM19" s="57">
        <v>5.5</v>
      </c>
      <c r="HN19" s="97"/>
      <c r="HO19" s="14" t="e">
        <f t="shared" si="85"/>
        <v>#DIV/0!</v>
      </c>
      <c r="HQ19" s="1">
        <f t="shared" si="86"/>
        <v>0</v>
      </c>
      <c r="HR19" s="57">
        <v>5</v>
      </c>
      <c r="HS19" s="81"/>
      <c r="HT19" s="14" t="e">
        <f t="shared" si="87"/>
        <v>#DIV/0!</v>
      </c>
      <c r="HU19" s="108">
        <v>12243.55</v>
      </c>
      <c r="HV19" s="1">
        <f t="shared" si="88"/>
        <v>36730.649999999994</v>
      </c>
      <c r="HW19" s="57">
        <v>3</v>
      </c>
      <c r="HX19" s="97"/>
      <c r="HY19" s="14">
        <f t="shared" si="89"/>
        <v>0</v>
      </c>
      <c r="HZ19" s="108">
        <v>98405.31</v>
      </c>
      <c r="IA19" s="1">
        <f t="shared" si="90"/>
        <v>295215.93</v>
      </c>
      <c r="IB19" s="57">
        <v>3</v>
      </c>
      <c r="IC19" s="97"/>
      <c r="ID19" s="14">
        <f t="shared" si="91"/>
        <v>0</v>
      </c>
      <c r="IE19" s="108">
        <v>150489.54</v>
      </c>
      <c r="IF19" s="1">
        <f t="shared" si="92"/>
        <v>225734.31</v>
      </c>
      <c r="IG19" s="57">
        <v>1.5</v>
      </c>
      <c r="IH19" s="88"/>
      <c r="II19" s="32">
        <f t="shared" si="93"/>
        <v>0</v>
      </c>
      <c r="IJ19" s="108">
        <v>181927.19</v>
      </c>
      <c r="IK19" s="1">
        <f t="shared" si="94"/>
        <v>272890.78500000003</v>
      </c>
      <c r="IL19" s="57">
        <v>1.5</v>
      </c>
      <c r="IM19" s="88"/>
      <c r="IN19" s="32">
        <f t="shared" si="95"/>
        <v>0</v>
      </c>
      <c r="IO19" s="108">
        <v>272933.71000000002</v>
      </c>
      <c r="IP19" s="1">
        <f t="shared" si="96"/>
        <v>409400.56500000006</v>
      </c>
      <c r="IQ19" s="57">
        <v>1.5</v>
      </c>
      <c r="IR19" s="88"/>
      <c r="IS19" s="32">
        <f t="shared" si="97"/>
        <v>0</v>
      </c>
      <c r="IT19" s="108">
        <v>255990.16</v>
      </c>
      <c r="IU19" s="1">
        <f t="shared" si="98"/>
        <v>383985.24</v>
      </c>
      <c r="IV19" s="57">
        <v>1.5</v>
      </c>
      <c r="IW19" s="88"/>
      <c r="IX19" s="32">
        <f t="shared" si="99"/>
        <v>0</v>
      </c>
      <c r="IY19" s="108">
        <v>59547.58</v>
      </c>
      <c r="IZ19" s="1">
        <f t="shared" si="100"/>
        <v>89321.37</v>
      </c>
      <c r="JA19" s="57">
        <v>1.5</v>
      </c>
      <c r="JB19" s="88"/>
      <c r="JC19" s="14">
        <f t="shared" si="101"/>
        <v>0</v>
      </c>
      <c r="JD19" s="73">
        <f t="shared" si="102"/>
        <v>730383.5199999999</v>
      </c>
      <c r="JE19" s="73">
        <f t="shared" si="103"/>
        <v>530302.49</v>
      </c>
      <c r="JF19" s="75">
        <f t="shared" si="104"/>
        <v>-200081.02999999991</v>
      </c>
      <c r="JG19" s="11">
        <f t="shared" si="105"/>
        <v>0.72606031691405093</v>
      </c>
    </row>
    <row r="20" spans="3:267">
      <c r="C20" s="71" t="str">
        <f>"A15"</f>
        <v>A15</v>
      </c>
      <c r="D20" s="164">
        <v>73853.5</v>
      </c>
      <c r="E20" s="1">
        <f t="shared" si="4"/>
        <v>44312.1</v>
      </c>
      <c r="F20" s="2">
        <v>0.6</v>
      </c>
      <c r="G20" s="108">
        <v>39206.94</v>
      </c>
      <c r="H20" s="171">
        <f t="shared" si="5"/>
        <v>0.53087450154698157</v>
      </c>
      <c r="I20" s="169">
        <v>59960.58</v>
      </c>
      <c r="J20" s="1">
        <f t="shared" si="6"/>
        <v>32978.319000000003</v>
      </c>
      <c r="K20" s="2">
        <v>0.55000000000000004</v>
      </c>
      <c r="L20" s="108">
        <v>39515.72</v>
      </c>
      <c r="M20" s="14">
        <f t="shared" si="7"/>
        <v>0.65902831493624647</v>
      </c>
      <c r="N20" s="164">
        <v>64052.73</v>
      </c>
      <c r="O20" s="1">
        <f t="shared" si="8"/>
        <v>44836.911</v>
      </c>
      <c r="P20" s="2">
        <v>0.7</v>
      </c>
      <c r="Q20" s="108">
        <v>34446.379999999997</v>
      </c>
      <c r="R20" s="13">
        <f t="shared" si="9"/>
        <v>0.53778160587378543</v>
      </c>
      <c r="S20" s="160">
        <v>60167.83</v>
      </c>
      <c r="T20" s="1">
        <f t="shared" si="10"/>
        <v>33693.984800000006</v>
      </c>
      <c r="U20" s="2">
        <v>0.56000000000000005</v>
      </c>
      <c r="V20" s="108">
        <v>35818.78</v>
      </c>
      <c r="W20" s="13">
        <f t="shared" si="11"/>
        <v>0.59531447286697892</v>
      </c>
      <c r="X20" s="108">
        <v>52765.23</v>
      </c>
      <c r="Y20" s="1">
        <f t="shared" si="12"/>
        <v>34297.399500000007</v>
      </c>
      <c r="Z20" s="2">
        <v>0.65</v>
      </c>
      <c r="AA20" s="108">
        <v>42184.89</v>
      </c>
      <c r="AB20" s="13">
        <f t="shared" si="13"/>
        <v>0.79948272754615102</v>
      </c>
      <c r="AC20" s="108">
        <v>87204.59</v>
      </c>
      <c r="AD20" s="1">
        <f t="shared" si="14"/>
        <v>74123.901499999993</v>
      </c>
      <c r="AE20" s="2">
        <v>0.85</v>
      </c>
      <c r="AF20" s="108">
        <v>50367.61</v>
      </c>
      <c r="AG20" s="13">
        <f t="shared" si="15"/>
        <v>0.57757980399884923</v>
      </c>
      <c r="AH20" s="108">
        <v>58309.26</v>
      </c>
      <c r="AI20" s="1">
        <f t="shared" si="16"/>
        <v>34985.555999999997</v>
      </c>
      <c r="AJ20" s="2">
        <v>0.6</v>
      </c>
      <c r="AK20" s="108">
        <v>31427.16</v>
      </c>
      <c r="AL20" s="13">
        <f t="shared" si="17"/>
        <v>0.53897374104902029</v>
      </c>
      <c r="AM20" s="108">
        <v>56362.63</v>
      </c>
      <c r="AN20" s="1">
        <f t="shared" si="18"/>
        <v>33817.577999999994</v>
      </c>
      <c r="AO20" s="2">
        <v>0.6</v>
      </c>
      <c r="AP20" s="108">
        <v>41290.86</v>
      </c>
      <c r="AQ20" s="13">
        <f t="shared" si="19"/>
        <v>0.7325928545208058</v>
      </c>
      <c r="AR20" s="160">
        <v>63714.46</v>
      </c>
      <c r="AS20" s="1">
        <f t="shared" si="20"/>
        <v>47785.845000000001</v>
      </c>
      <c r="AT20" s="2">
        <v>0.75</v>
      </c>
      <c r="AU20" s="108">
        <v>42105.33</v>
      </c>
      <c r="AV20" s="13">
        <f t="shared" si="21"/>
        <v>0.66084417885673052</v>
      </c>
      <c r="AW20" s="160">
        <v>67685.94</v>
      </c>
      <c r="AX20" s="1">
        <f t="shared" si="22"/>
        <v>50764.455000000002</v>
      </c>
      <c r="AY20" s="2">
        <v>0.75</v>
      </c>
      <c r="AZ20" s="108">
        <v>40564.69</v>
      </c>
      <c r="BA20" s="60">
        <f t="shared" si="23"/>
        <v>0.59930747803753637</v>
      </c>
      <c r="BB20" s="160">
        <v>49073.47</v>
      </c>
      <c r="BC20" s="1">
        <f t="shared" si="24"/>
        <v>34351.428999999996</v>
      </c>
      <c r="BD20" s="2">
        <v>0.7</v>
      </c>
      <c r="BE20" s="108">
        <v>63449.31</v>
      </c>
      <c r="BF20" s="17">
        <f t="shared" si="25"/>
        <v>1.292945251273244</v>
      </c>
      <c r="BG20" s="160">
        <v>37985.800000000003</v>
      </c>
      <c r="BH20" s="1">
        <f t="shared" si="26"/>
        <v>28489.350000000002</v>
      </c>
      <c r="BI20" s="2">
        <v>0.75</v>
      </c>
      <c r="BJ20" s="115"/>
      <c r="BK20" s="60">
        <f t="shared" si="27"/>
        <v>0</v>
      </c>
      <c r="BL20" s="160">
        <v>47332.56</v>
      </c>
      <c r="BM20" s="1">
        <f t="shared" si="28"/>
        <v>35499.42</v>
      </c>
      <c r="BN20" s="2">
        <v>0.75</v>
      </c>
      <c r="BO20" s="115"/>
      <c r="BP20" s="60">
        <f t="shared" si="29"/>
        <v>0</v>
      </c>
      <c r="BQ20" s="160">
        <v>36524.15</v>
      </c>
      <c r="BR20" s="1">
        <f t="shared" si="30"/>
        <v>127834.52500000001</v>
      </c>
      <c r="BS20" s="57">
        <v>3.5</v>
      </c>
      <c r="BT20" s="115"/>
      <c r="BU20" s="16">
        <f t="shared" si="31"/>
        <v>0</v>
      </c>
      <c r="BV20" s="160">
        <v>37359.97</v>
      </c>
      <c r="BW20" s="1">
        <f t="shared" si="32"/>
        <v>130759.895</v>
      </c>
      <c r="BX20" s="57">
        <v>3.5</v>
      </c>
      <c r="BY20" s="108"/>
      <c r="BZ20" s="14">
        <f t="shared" si="33"/>
        <v>0</v>
      </c>
      <c r="CA20" s="160">
        <v>28280.93</v>
      </c>
      <c r="CB20" s="1">
        <f t="shared" si="34"/>
        <v>141404.65</v>
      </c>
      <c r="CC20" s="57">
        <v>5</v>
      </c>
      <c r="CD20" s="115"/>
      <c r="CE20" s="16">
        <f t="shared" si="35"/>
        <v>0</v>
      </c>
      <c r="CF20" s="160">
        <v>36944.400000000001</v>
      </c>
      <c r="CG20" s="1">
        <f t="shared" si="36"/>
        <v>110833.20000000001</v>
      </c>
      <c r="CH20" s="57">
        <v>3</v>
      </c>
      <c r="CI20" s="115"/>
      <c r="CJ20" s="18">
        <f t="shared" si="37"/>
        <v>0</v>
      </c>
      <c r="CK20" s="160"/>
      <c r="CL20" s="1">
        <f t="shared" si="38"/>
        <v>0</v>
      </c>
      <c r="CM20" s="57">
        <v>6.5</v>
      </c>
      <c r="CN20" s="115"/>
      <c r="CO20" s="16" t="e">
        <f t="shared" si="39"/>
        <v>#DIV/0!</v>
      </c>
      <c r="CP20" s="160">
        <v>4091.71</v>
      </c>
      <c r="CQ20" s="1">
        <f t="shared" si="40"/>
        <v>26596.115000000002</v>
      </c>
      <c r="CR20" s="57">
        <v>6.5</v>
      </c>
      <c r="CS20" s="116"/>
      <c r="CT20" s="16">
        <f t="shared" si="41"/>
        <v>0</v>
      </c>
      <c r="CU20" s="160"/>
      <c r="CV20" s="1">
        <f t="shared" si="42"/>
        <v>0</v>
      </c>
      <c r="CW20" s="57">
        <v>6.5</v>
      </c>
      <c r="CX20" s="132"/>
      <c r="CY20" s="130" t="e">
        <f t="shared" si="43"/>
        <v>#DIV/0!</v>
      </c>
      <c r="CZ20" s="160"/>
      <c r="DA20" s="1">
        <f t="shared" si="44"/>
        <v>0</v>
      </c>
      <c r="DB20" s="57">
        <v>6.5</v>
      </c>
      <c r="DC20" s="132"/>
      <c r="DD20" s="18" t="e">
        <f t="shared" si="45"/>
        <v>#DIV/0!</v>
      </c>
      <c r="DE20" s="160">
        <v>31557.67</v>
      </c>
      <c r="DF20" s="1">
        <f t="shared" si="46"/>
        <v>142009.51499999998</v>
      </c>
      <c r="DG20" s="57">
        <v>4.5</v>
      </c>
      <c r="DH20" s="116"/>
      <c r="DI20" s="16">
        <f t="shared" si="47"/>
        <v>0</v>
      </c>
      <c r="DJ20" s="160">
        <v>39056.18</v>
      </c>
      <c r="DK20" s="1">
        <f t="shared" si="48"/>
        <v>117168.54000000001</v>
      </c>
      <c r="DL20" s="57">
        <v>3</v>
      </c>
      <c r="DM20" s="88"/>
      <c r="DN20" s="16">
        <f t="shared" si="106"/>
        <v>0</v>
      </c>
      <c r="DO20" s="160">
        <v>39871.25</v>
      </c>
      <c r="DP20" s="1">
        <f t="shared" si="49"/>
        <v>99678.125</v>
      </c>
      <c r="DQ20" s="57">
        <v>2.5</v>
      </c>
      <c r="DR20" s="88"/>
      <c r="DS20" s="16">
        <f t="shared" si="50"/>
        <v>0</v>
      </c>
      <c r="DT20" s="160">
        <v>41612.720000000001</v>
      </c>
      <c r="DU20" s="1">
        <f t="shared" si="51"/>
        <v>104031.8</v>
      </c>
      <c r="DV20" s="57">
        <v>2.5</v>
      </c>
      <c r="DW20" s="88"/>
      <c r="DX20" s="16">
        <f t="shared" si="0"/>
        <v>0</v>
      </c>
      <c r="DY20" s="160">
        <v>34703.07</v>
      </c>
      <c r="DZ20" s="1">
        <f t="shared" si="52"/>
        <v>86757.675000000003</v>
      </c>
      <c r="EA20" s="57">
        <v>2.5</v>
      </c>
      <c r="EB20" s="232"/>
      <c r="EC20" s="18">
        <f t="shared" si="53"/>
        <v>0</v>
      </c>
      <c r="ED20" s="160">
        <v>46963.48</v>
      </c>
      <c r="EE20" s="1">
        <f t="shared" si="54"/>
        <v>93926.96</v>
      </c>
      <c r="EF20" s="57">
        <v>2</v>
      </c>
      <c r="EG20" s="232"/>
      <c r="EH20" s="16">
        <f t="shared" si="55"/>
        <v>0</v>
      </c>
      <c r="EI20" s="160">
        <v>58483.49</v>
      </c>
      <c r="EJ20" s="1">
        <f t="shared" si="56"/>
        <v>105270.28199999999</v>
      </c>
      <c r="EK20" s="57">
        <v>1.8</v>
      </c>
      <c r="EL20" s="232"/>
      <c r="EM20" s="16">
        <f t="shared" si="57"/>
        <v>0</v>
      </c>
      <c r="EN20" s="160">
        <v>58345.919999999998</v>
      </c>
      <c r="EO20" s="1">
        <f t="shared" si="58"/>
        <v>105022.656</v>
      </c>
      <c r="EP20" s="57">
        <v>1.8</v>
      </c>
      <c r="EQ20" s="232"/>
      <c r="ER20" s="16">
        <f t="shared" si="59"/>
        <v>0</v>
      </c>
      <c r="ES20" s="160">
        <v>43535.12</v>
      </c>
      <c r="ET20" s="1">
        <f t="shared" si="60"/>
        <v>78363.216</v>
      </c>
      <c r="EU20" s="57">
        <v>1.8</v>
      </c>
      <c r="EV20" s="232"/>
      <c r="EW20" s="18">
        <f t="shared" si="61"/>
        <v>0</v>
      </c>
      <c r="EX20" s="160">
        <v>51424.62</v>
      </c>
      <c r="EY20" s="1">
        <f t="shared" si="62"/>
        <v>92564.316000000006</v>
      </c>
      <c r="EZ20" s="57">
        <v>1.8</v>
      </c>
      <c r="FA20" s="232"/>
      <c r="FB20" s="32">
        <f t="shared" si="1"/>
        <v>0</v>
      </c>
      <c r="FC20" s="160">
        <v>52168.12</v>
      </c>
      <c r="FD20" s="1">
        <f t="shared" si="63"/>
        <v>93902.616000000009</v>
      </c>
      <c r="FE20" s="57">
        <v>1.8</v>
      </c>
      <c r="FF20" s="232"/>
      <c r="FG20" s="14">
        <f t="shared" si="64"/>
        <v>0</v>
      </c>
      <c r="FH20" s="160">
        <v>51563.55</v>
      </c>
      <c r="FI20" s="1">
        <f t="shared" si="65"/>
        <v>92814.390000000014</v>
      </c>
      <c r="FJ20" s="57">
        <v>1.8</v>
      </c>
      <c r="FK20" s="232"/>
      <c r="FL20" s="234">
        <f t="shared" si="66"/>
        <v>0</v>
      </c>
      <c r="FM20" s="160">
        <v>40560.17</v>
      </c>
      <c r="FN20" s="1">
        <f t="shared" si="67"/>
        <v>73008.305999999997</v>
      </c>
      <c r="FO20" s="57">
        <v>1.8</v>
      </c>
      <c r="FP20" s="232"/>
      <c r="FQ20" s="13">
        <f t="shared" si="68"/>
        <v>0</v>
      </c>
      <c r="FR20" s="160">
        <v>51481.5</v>
      </c>
      <c r="FS20" s="1">
        <f t="shared" si="69"/>
        <v>80311.14</v>
      </c>
      <c r="FT20" s="57">
        <v>1.56</v>
      </c>
      <c r="FU20" s="88"/>
      <c r="FV20" s="31">
        <f t="shared" si="70"/>
        <v>0</v>
      </c>
      <c r="FW20" s="160">
        <v>42238.04</v>
      </c>
      <c r="FX20" s="1">
        <f t="shared" si="71"/>
        <v>65891.342400000009</v>
      </c>
      <c r="FY20" s="57">
        <v>1.56</v>
      </c>
      <c r="FZ20" s="88"/>
      <c r="GA20" s="14">
        <f t="shared" si="2"/>
        <v>0</v>
      </c>
      <c r="GB20" s="160">
        <v>53348.28</v>
      </c>
      <c r="GC20" s="1">
        <f t="shared" si="72"/>
        <v>83223.316800000001</v>
      </c>
      <c r="GD20" s="57">
        <v>1.56</v>
      </c>
      <c r="GE20" s="88"/>
      <c r="GF20" s="32">
        <f t="shared" si="73"/>
        <v>0</v>
      </c>
      <c r="GG20" s="160">
        <v>44594.080000000002</v>
      </c>
      <c r="GH20" s="1">
        <f t="shared" si="74"/>
        <v>69566.764800000004</v>
      </c>
      <c r="GI20" s="57">
        <v>1.56</v>
      </c>
      <c r="GJ20" s="108"/>
      <c r="GK20" s="32">
        <f t="shared" si="75"/>
        <v>0</v>
      </c>
      <c r="GL20" s="160">
        <v>42491.51</v>
      </c>
      <c r="GM20" s="1">
        <f t="shared" si="76"/>
        <v>66286.755600000004</v>
      </c>
      <c r="GN20" s="57">
        <v>1.56</v>
      </c>
      <c r="GO20" s="108"/>
      <c r="GP20" s="13">
        <f t="shared" si="77"/>
        <v>0</v>
      </c>
      <c r="GQ20" s="160">
        <v>39962.75</v>
      </c>
      <c r="GR20" s="1">
        <f t="shared" si="78"/>
        <v>62341.89</v>
      </c>
      <c r="GS20" s="57">
        <v>1.56</v>
      </c>
      <c r="GT20" s="108"/>
      <c r="GU20" s="32">
        <f t="shared" si="79"/>
        <v>0</v>
      </c>
      <c r="GV20" s="160">
        <v>42600.67</v>
      </c>
      <c r="GW20" s="1">
        <f t="shared" si="80"/>
        <v>85201.34</v>
      </c>
      <c r="GX20" s="57">
        <v>2</v>
      </c>
      <c r="GY20" s="96"/>
      <c r="GZ20" s="32">
        <f t="shared" si="3"/>
        <v>0</v>
      </c>
      <c r="HA20" s="160">
        <v>31243.96</v>
      </c>
      <c r="HB20" s="1">
        <f t="shared" si="81"/>
        <v>93731.88</v>
      </c>
      <c r="HC20" s="57">
        <v>3</v>
      </c>
      <c r="HD20" s="96"/>
      <c r="HE20" s="32">
        <f t="shared" si="107"/>
        <v>0</v>
      </c>
      <c r="HF20" s="108">
        <v>11635.82</v>
      </c>
      <c r="HG20" s="1">
        <f t="shared" si="82"/>
        <v>58179.1</v>
      </c>
      <c r="HH20" s="57">
        <v>5</v>
      </c>
      <c r="HI20" s="96"/>
      <c r="HJ20" s="13">
        <f t="shared" si="83"/>
        <v>0</v>
      </c>
      <c r="HK20" s="108">
        <v>9221.89</v>
      </c>
      <c r="HL20" s="1">
        <f t="shared" si="84"/>
        <v>50720.394999999997</v>
      </c>
      <c r="HM20" s="57">
        <v>5.5</v>
      </c>
      <c r="HN20" s="97"/>
      <c r="HO20" s="14">
        <f t="shared" si="85"/>
        <v>0</v>
      </c>
      <c r="HP20" s="108">
        <v>4674.8900000000003</v>
      </c>
      <c r="HQ20" s="1">
        <f t="shared" si="86"/>
        <v>23374.45</v>
      </c>
      <c r="HR20" s="57">
        <v>5</v>
      </c>
      <c r="HS20" s="81"/>
      <c r="HT20" s="14">
        <f t="shared" si="87"/>
        <v>0</v>
      </c>
      <c r="HU20" s="108">
        <v>20799.810000000001</v>
      </c>
      <c r="HV20" s="1">
        <f t="shared" si="88"/>
        <v>62399.430000000008</v>
      </c>
      <c r="HW20" s="57">
        <v>3</v>
      </c>
      <c r="HX20" s="97"/>
      <c r="HY20" s="14">
        <f t="shared" si="89"/>
        <v>0</v>
      </c>
      <c r="HZ20" s="108">
        <v>68603.48</v>
      </c>
      <c r="IA20" s="1">
        <f t="shared" si="90"/>
        <v>205810.44</v>
      </c>
      <c r="IB20" s="57">
        <v>3</v>
      </c>
      <c r="IC20" s="97"/>
      <c r="ID20" s="14">
        <f t="shared" si="91"/>
        <v>0</v>
      </c>
      <c r="IE20" s="108">
        <v>101184.47</v>
      </c>
      <c r="IF20" s="1">
        <f t="shared" si="92"/>
        <v>151776.70500000002</v>
      </c>
      <c r="IG20" s="57">
        <v>1.5</v>
      </c>
      <c r="IH20" s="88"/>
      <c r="II20" s="32">
        <f t="shared" si="93"/>
        <v>0</v>
      </c>
      <c r="IJ20" s="108">
        <v>117369.03</v>
      </c>
      <c r="IK20" s="1">
        <f t="shared" si="94"/>
        <v>176053.54499999998</v>
      </c>
      <c r="IL20" s="57">
        <v>1.5</v>
      </c>
      <c r="IM20" s="88"/>
      <c r="IN20" s="32">
        <f t="shared" si="95"/>
        <v>0</v>
      </c>
      <c r="IO20" s="108">
        <v>135897.51</v>
      </c>
      <c r="IP20" s="1">
        <f t="shared" si="96"/>
        <v>203846.26500000001</v>
      </c>
      <c r="IQ20" s="57">
        <v>1.5</v>
      </c>
      <c r="IR20" s="88"/>
      <c r="IS20" s="32">
        <f t="shared" si="97"/>
        <v>0</v>
      </c>
      <c r="IT20" s="108">
        <v>220610.68</v>
      </c>
      <c r="IU20" s="1">
        <f t="shared" si="98"/>
        <v>330916.02</v>
      </c>
      <c r="IV20" s="57">
        <v>1.5</v>
      </c>
      <c r="IW20" s="88"/>
      <c r="IX20" s="32">
        <f t="shared" si="99"/>
        <v>0</v>
      </c>
      <c r="IY20" s="108">
        <v>50150.44</v>
      </c>
      <c r="IZ20" s="1">
        <f t="shared" si="100"/>
        <v>75225.66</v>
      </c>
      <c r="JA20" s="57">
        <v>1.5</v>
      </c>
      <c r="JB20" s="88"/>
      <c r="JC20" s="14">
        <f t="shared" si="101"/>
        <v>0</v>
      </c>
      <c r="JD20" s="73">
        <f t="shared" si="102"/>
        <v>693150.22</v>
      </c>
      <c r="JE20" s="73">
        <f t="shared" si="103"/>
        <v>460377.67</v>
      </c>
      <c r="JF20" s="75">
        <f t="shared" si="104"/>
        <v>-232772.55</v>
      </c>
      <c r="JG20" s="11">
        <f t="shared" si="105"/>
        <v>0.66418166901829734</v>
      </c>
    </row>
    <row r="21" spans="3:267">
      <c r="C21" s="71" t="str">
        <f>"A16"</f>
        <v>A16</v>
      </c>
      <c r="D21" s="164">
        <v>77339.47</v>
      </c>
      <c r="E21" s="1">
        <f t="shared" si="4"/>
        <v>46403.682000000001</v>
      </c>
      <c r="F21" s="2">
        <v>0.6</v>
      </c>
      <c r="G21" s="108">
        <v>76349.02</v>
      </c>
      <c r="H21" s="171">
        <f t="shared" si="5"/>
        <v>0.9871934731386186</v>
      </c>
      <c r="I21" s="169">
        <v>84510.28</v>
      </c>
      <c r="J21" s="1">
        <f t="shared" si="6"/>
        <v>54931.682000000001</v>
      </c>
      <c r="K21" s="2">
        <v>0.65</v>
      </c>
      <c r="L21" s="108">
        <v>62088.04</v>
      </c>
      <c r="M21" s="14">
        <f t="shared" si="7"/>
        <v>0.73468032528113747</v>
      </c>
      <c r="N21" s="164">
        <v>69061.710000000006</v>
      </c>
      <c r="O21" s="1">
        <f t="shared" si="8"/>
        <v>51796.282500000001</v>
      </c>
      <c r="P21" s="2">
        <v>0.75</v>
      </c>
      <c r="Q21" s="108">
        <v>59087.16</v>
      </c>
      <c r="R21" s="13">
        <f t="shared" si="9"/>
        <v>0.85557047457990831</v>
      </c>
      <c r="S21" s="160">
        <v>82531.199999999997</v>
      </c>
      <c r="T21" s="1">
        <f t="shared" si="10"/>
        <v>74278.080000000002</v>
      </c>
      <c r="U21" s="2">
        <v>0.9</v>
      </c>
      <c r="V21" s="108">
        <v>58836.52</v>
      </c>
      <c r="W21" s="13">
        <f t="shared" si="11"/>
        <v>0.71290033344965298</v>
      </c>
      <c r="X21" s="108">
        <v>91811.34</v>
      </c>
      <c r="Y21" s="1">
        <f t="shared" si="12"/>
        <v>73449.072</v>
      </c>
      <c r="Z21" s="2">
        <v>0.8</v>
      </c>
      <c r="AA21" s="108">
        <v>68894.31</v>
      </c>
      <c r="AB21" s="13">
        <f t="shared" si="13"/>
        <v>0.75038998450518202</v>
      </c>
      <c r="AC21" s="108">
        <v>143772.21</v>
      </c>
      <c r="AD21" s="1">
        <f t="shared" si="14"/>
        <v>115017.768</v>
      </c>
      <c r="AE21" s="2">
        <v>0.8</v>
      </c>
      <c r="AF21" s="108">
        <v>73515.02</v>
      </c>
      <c r="AG21" s="13">
        <f t="shared" si="15"/>
        <v>0.51132983210037608</v>
      </c>
      <c r="AH21" s="108">
        <v>70393.240000000005</v>
      </c>
      <c r="AI21" s="1">
        <f t="shared" si="16"/>
        <v>42235.944000000003</v>
      </c>
      <c r="AJ21" s="2">
        <v>0.6</v>
      </c>
      <c r="AK21" s="108">
        <v>53527.08</v>
      </c>
      <c r="AL21" s="13">
        <f t="shared" si="17"/>
        <v>0.76040085667316915</v>
      </c>
      <c r="AM21" s="108">
        <v>85670.52</v>
      </c>
      <c r="AN21" s="1">
        <f t="shared" si="18"/>
        <v>51402.311999999998</v>
      </c>
      <c r="AO21" s="2">
        <v>0.6</v>
      </c>
      <c r="AP21" s="108">
        <v>58234.559999999998</v>
      </c>
      <c r="AQ21" s="13">
        <f t="shared" si="19"/>
        <v>0.67975028049321973</v>
      </c>
      <c r="AR21" s="160">
        <v>93756.39</v>
      </c>
      <c r="AS21" s="1">
        <f t="shared" si="20"/>
        <v>70317.292499999996</v>
      </c>
      <c r="AT21" s="2">
        <v>0.75</v>
      </c>
      <c r="AU21" s="108">
        <v>65475.08</v>
      </c>
      <c r="AV21" s="13">
        <f t="shared" si="21"/>
        <v>0.69835325357556965</v>
      </c>
      <c r="AW21" s="160">
        <v>97299.66</v>
      </c>
      <c r="AX21" s="1">
        <f t="shared" si="22"/>
        <v>72974.744999999995</v>
      </c>
      <c r="AY21" s="2">
        <v>0.75</v>
      </c>
      <c r="AZ21" s="108">
        <v>65283.26</v>
      </c>
      <c r="BA21" s="60">
        <f t="shared" si="23"/>
        <v>0.67095054597313086</v>
      </c>
      <c r="BB21" s="160">
        <v>83547.22</v>
      </c>
      <c r="BC21" s="1">
        <f t="shared" si="24"/>
        <v>58483.053999999996</v>
      </c>
      <c r="BD21" s="2">
        <v>0.7</v>
      </c>
      <c r="BE21" s="108">
        <v>83378.149999999994</v>
      </c>
      <c r="BF21" s="17">
        <f t="shared" si="25"/>
        <v>0.99797635397084417</v>
      </c>
      <c r="BG21" s="160">
        <v>59563.48</v>
      </c>
      <c r="BH21" s="1">
        <f t="shared" si="26"/>
        <v>44672.61</v>
      </c>
      <c r="BI21" s="2">
        <v>0.75</v>
      </c>
      <c r="BJ21" s="115"/>
      <c r="BK21" s="60">
        <f t="shared" si="27"/>
        <v>0</v>
      </c>
      <c r="BL21" s="160">
        <v>49633.86</v>
      </c>
      <c r="BM21" s="1">
        <f t="shared" si="28"/>
        <v>37225.395000000004</v>
      </c>
      <c r="BN21" s="2">
        <v>0.75</v>
      </c>
      <c r="BO21" s="115"/>
      <c r="BP21" s="60">
        <f t="shared" si="29"/>
        <v>0</v>
      </c>
      <c r="BQ21" s="160">
        <v>40790.870000000003</v>
      </c>
      <c r="BR21" s="1">
        <f t="shared" si="30"/>
        <v>142768.04500000001</v>
      </c>
      <c r="BS21" s="57">
        <v>3.5</v>
      </c>
      <c r="BT21" s="115"/>
      <c r="BU21" s="16">
        <f t="shared" si="31"/>
        <v>0</v>
      </c>
      <c r="BV21" s="160">
        <v>50829.37</v>
      </c>
      <c r="BW21" s="1">
        <f t="shared" si="32"/>
        <v>177902.79500000001</v>
      </c>
      <c r="BX21" s="57">
        <v>3.5</v>
      </c>
      <c r="BY21" s="108"/>
      <c r="BZ21" s="14">
        <f t="shared" si="33"/>
        <v>0</v>
      </c>
      <c r="CA21" s="160">
        <v>11470.99</v>
      </c>
      <c r="CB21" s="1">
        <f t="shared" si="34"/>
        <v>57354.95</v>
      </c>
      <c r="CC21" s="57">
        <v>5</v>
      </c>
      <c r="CD21" s="115"/>
      <c r="CE21" s="16">
        <f t="shared" si="35"/>
        <v>0</v>
      </c>
      <c r="CF21" s="160"/>
      <c r="CG21" s="1">
        <f t="shared" si="36"/>
        <v>0</v>
      </c>
      <c r="CH21" s="57">
        <v>3</v>
      </c>
      <c r="CI21" s="115"/>
      <c r="CJ21" s="18" t="e">
        <f t="shared" si="37"/>
        <v>#DIV/0!</v>
      </c>
      <c r="CK21" s="160"/>
      <c r="CL21" s="1">
        <f t="shared" si="38"/>
        <v>0</v>
      </c>
      <c r="CM21" s="57">
        <v>6.5</v>
      </c>
      <c r="CN21" s="115"/>
      <c r="CO21" s="16" t="e">
        <f t="shared" si="39"/>
        <v>#DIV/0!</v>
      </c>
      <c r="CP21" s="160"/>
      <c r="CQ21" s="1">
        <f t="shared" si="40"/>
        <v>0</v>
      </c>
      <c r="CR21" s="57">
        <v>6.5</v>
      </c>
      <c r="CS21" s="95"/>
      <c r="CT21" s="16" t="e">
        <f t="shared" si="41"/>
        <v>#DIV/0!</v>
      </c>
      <c r="CU21" s="160"/>
      <c r="CV21" s="1">
        <f t="shared" si="42"/>
        <v>0</v>
      </c>
      <c r="CW21" s="57">
        <v>6.5</v>
      </c>
      <c r="CX21" s="132"/>
      <c r="CY21" s="130" t="e">
        <f t="shared" si="43"/>
        <v>#DIV/0!</v>
      </c>
      <c r="CZ21" s="160"/>
      <c r="DA21" s="1">
        <f t="shared" si="44"/>
        <v>0</v>
      </c>
      <c r="DB21" s="57">
        <v>6.5</v>
      </c>
      <c r="DC21" s="132"/>
      <c r="DD21" s="18" t="e">
        <f t="shared" si="45"/>
        <v>#DIV/0!</v>
      </c>
      <c r="DE21" s="357"/>
      <c r="DF21" s="1">
        <f t="shared" si="46"/>
        <v>0</v>
      </c>
      <c r="DG21" s="57">
        <v>4.5</v>
      </c>
      <c r="DH21" s="132"/>
      <c r="DI21" s="16" t="e">
        <f t="shared" si="47"/>
        <v>#DIV/0!</v>
      </c>
      <c r="DJ21" s="357"/>
      <c r="DK21" s="1">
        <f t="shared" si="48"/>
        <v>0</v>
      </c>
      <c r="DL21" s="57">
        <v>3</v>
      </c>
      <c r="DM21" s="233"/>
      <c r="DN21" s="16" t="e">
        <f t="shared" si="106"/>
        <v>#DIV/0!</v>
      </c>
      <c r="DO21" s="160">
        <v>51394.02</v>
      </c>
      <c r="DP21" s="1">
        <f t="shared" si="49"/>
        <v>128485.04999999999</v>
      </c>
      <c r="DQ21" s="57">
        <v>2.5</v>
      </c>
      <c r="DR21" s="88"/>
      <c r="DS21" s="16">
        <f t="shared" si="50"/>
        <v>0</v>
      </c>
      <c r="DT21" s="160">
        <v>61484.05</v>
      </c>
      <c r="DU21" s="1">
        <f t="shared" si="51"/>
        <v>153710.125</v>
      </c>
      <c r="DV21" s="57">
        <v>2.5</v>
      </c>
      <c r="DW21" s="88"/>
      <c r="DX21" s="16">
        <f t="shared" si="0"/>
        <v>0</v>
      </c>
      <c r="DY21" s="160">
        <v>69460.36</v>
      </c>
      <c r="DZ21" s="1">
        <f t="shared" si="52"/>
        <v>173650.9</v>
      </c>
      <c r="EA21" s="57">
        <v>2.5</v>
      </c>
      <c r="EB21" s="232"/>
      <c r="EC21" s="18">
        <f t="shared" si="53"/>
        <v>0</v>
      </c>
      <c r="ED21" s="160">
        <v>68532.36</v>
      </c>
      <c r="EE21" s="1">
        <f t="shared" si="54"/>
        <v>137064.72</v>
      </c>
      <c r="EF21" s="57">
        <v>2</v>
      </c>
      <c r="EG21" s="232"/>
      <c r="EH21" s="16">
        <f t="shared" si="55"/>
        <v>0</v>
      </c>
      <c r="EI21" s="160">
        <v>79875.520000000004</v>
      </c>
      <c r="EJ21" s="1">
        <f t="shared" si="56"/>
        <v>143775.93600000002</v>
      </c>
      <c r="EK21" s="57">
        <v>1.8</v>
      </c>
      <c r="EL21" s="232"/>
      <c r="EM21" s="16">
        <f t="shared" si="57"/>
        <v>0</v>
      </c>
      <c r="EN21" s="160">
        <v>60675.25</v>
      </c>
      <c r="EO21" s="1">
        <f t="shared" si="58"/>
        <v>109215.45</v>
      </c>
      <c r="EP21" s="57">
        <v>1.8</v>
      </c>
      <c r="EQ21" s="232"/>
      <c r="ER21" s="16">
        <f t="shared" si="59"/>
        <v>0</v>
      </c>
      <c r="ES21" s="160">
        <v>58661.23</v>
      </c>
      <c r="ET21" s="1">
        <f t="shared" si="60"/>
        <v>105590.21400000001</v>
      </c>
      <c r="EU21" s="57">
        <v>1.8</v>
      </c>
      <c r="EV21" s="232"/>
      <c r="EW21" s="18">
        <f t="shared" si="61"/>
        <v>0</v>
      </c>
      <c r="EX21" s="160">
        <v>59191.99</v>
      </c>
      <c r="EY21" s="1">
        <f t="shared" si="62"/>
        <v>106545.58199999999</v>
      </c>
      <c r="EZ21" s="57">
        <v>1.8</v>
      </c>
      <c r="FA21" s="232"/>
      <c r="FB21" s="32">
        <f t="shared" si="1"/>
        <v>0</v>
      </c>
      <c r="FC21" s="160">
        <v>74044.149999999994</v>
      </c>
      <c r="FD21" s="1">
        <f t="shared" si="63"/>
        <v>133279.47</v>
      </c>
      <c r="FE21" s="57">
        <v>1.8</v>
      </c>
      <c r="FF21" s="232"/>
      <c r="FG21" s="14">
        <f t="shared" si="64"/>
        <v>0</v>
      </c>
      <c r="FH21" s="160">
        <v>68200.27</v>
      </c>
      <c r="FI21" s="1">
        <f t="shared" si="65"/>
        <v>122760.486</v>
      </c>
      <c r="FJ21" s="57">
        <v>1.8</v>
      </c>
      <c r="FK21" s="232"/>
      <c r="FL21" s="234">
        <f t="shared" si="66"/>
        <v>0</v>
      </c>
      <c r="FM21" s="160">
        <v>63334.51</v>
      </c>
      <c r="FN21" s="1">
        <f t="shared" si="67"/>
        <v>114002.118</v>
      </c>
      <c r="FO21" s="57">
        <v>1.8</v>
      </c>
      <c r="FP21" s="232"/>
      <c r="FQ21" s="13">
        <f t="shared" si="68"/>
        <v>0</v>
      </c>
      <c r="FR21" s="160">
        <v>67016.52</v>
      </c>
      <c r="FS21" s="1">
        <f t="shared" si="69"/>
        <v>104545.7712</v>
      </c>
      <c r="FT21" s="57">
        <v>1.56</v>
      </c>
      <c r="FU21" s="88"/>
      <c r="FV21" s="31">
        <f t="shared" si="70"/>
        <v>0</v>
      </c>
      <c r="FW21" s="160">
        <v>66415.710000000006</v>
      </c>
      <c r="FX21" s="1">
        <f t="shared" si="71"/>
        <v>103608.50760000001</v>
      </c>
      <c r="FY21" s="57">
        <v>1.56</v>
      </c>
      <c r="FZ21" s="88"/>
      <c r="GA21" s="14">
        <f t="shared" si="2"/>
        <v>0</v>
      </c>
      <c r="GB21" s="160">
        <v>65619.5</v>
      </c>
      <c r="GC21" s="1">
        <f t="shared" si="72"/>
        <v>102366.42</v>
      </c>
      <c r="GD21" s="57">
        <v>1.56</v>
      </c>
      <c r="GE21" s="88"/>
      <c r="GF21" s="32">
        <f t="shared" si="73"/>
        <v>0</v>
      </c>
      <c r="GG21" s="160">
        <v>67777.97</v>
      </c>
      <c r="GH21" s="1">
        <f t="shared" si="74"/>
        <v>105733.63320000001</v>
      </c>
      <c r="GI21" s="57">
        <v>1.56</v>
      </c>
      <c r="GJ21" s="108"/>
      <c r="GK21" s="32">
        <f t="shared" si="75"/>
        <v>0</v>
      </c>
      <c r="GL21" s="160">
        <v>71738.149999999994</v>
      </c>
      <c r="GM21" s="1">
        <f t="shared" si="76"/>
        <v>111911.514</v>
      </c>
      <c r="GN21" s="57">
        <v>1.56</v>
      </c>
      <c r="GO21" s="108"/>
      <c r="GP21" s="13">
        <f t="shared" si="77"/>
        <v>0</v>
      </c>
      <c r="GQ21" s="160">
        <v>81064.02</v>
      </c>
      <c r="GR21" s="1">
        <f t="shared" si="78"/>
        <v>126459.87120000001</v>
      </c>
      <c r="GS21" s="57">
        <v>1.56</v>
      </c>
      <c r="GT21" s="108"/>
      <c r="GU21" s="32">
        <f t="shared" si="79"/>
        <v>0</v>
      </c>
      <c r="GV21" s="160">
        <v>75099.649999999994</v>
      </c>
      <c r="GW21" s="1">
        <f t="shared" si="80"/>
        <v>150199.29999999999</v>
      </c>
      <c r="GX21" s="57">
        <v>2</v>
      </c>
      <c r="GY21" s="96"/>
      <c r="GZ21" s="32">
        <f t="shared" si="3"/>
        <v>0</v>
      </c>
      <c r="HA21" s="160">
        <v>40698.17</v>
      </c>
      <c r="HB21" s="1">
        <f t="shared" si="81"/>
        <v>122094.51</v>
      </c>
      <c r="HC21" s="57">
        <v>3</v>
      </c>
      <c r="HD21" s="96"/>
      <c r="HE21" s="32">
        <f t="shared" si="107"/>
        <v>0</v>
      </c>
      <c r="HG21" s="1">
        <f t="shared" si="82"/>
        <v>0</v>
      </c>
      <c r="HH21" s="57">
        <v>5</v>
      </c>
      <c r="HI21" s="96"/>
      <c r="HJ21" s="13" t="e">
        <f t="shared" si="83"/>
        <v>#DIV/0!</v>
      </c>
      <c r="HL21" s="1">
        <f t="shared" si="84"/>
        <v>0</v>
      </c>
      <c r="HM21" s="57">
        <v>5.5</v>
      </c>
      <c r="HN21" s="97"/>
      <c r="HO21" s="14" t="e">
        <f t="shared" si="85"/>
        <v>#DIV/0!</v>
      </c>
      <c r="HQ21" s="1">
        <f t="shared" si="86"/>
        <v>0</v>
      </c>
      <c r="HR21" s="57">
        <v>5</v>
      </c>
      <c r="HS21" s="81"/>
      <c r="HT21" s="14" t="e">
        <f t="shared" si="87"/>
        <v>#DIV/0!</v>
      </c>
      <c r="HV21" s="1">
        <f t="shared" si="88"/>
        <v>0</v>
      </c>
      <c r="HW21" s="57">
        <v>3</v>
      </c>
      <c r="HX21" s="97"/>
      <c r="HY21" s="14" t="e">
        <f t="shared" si="89"/>
        <v>#DIV/0!</v>
      </c>
      <c r="HZ21" s="108">
        <v>95933.49</v>
      </c>
      <c r="IA21" s="1">
        <f t="shared" si="90"/>
        <v>287800.47000000003</v>
      </c>
      <c r="IB21" s="57">
        <v>3</v>
      </c>
      <c r="IC21" s="97"/>
      <c r="ID21" s="14">
        <f t="shared" si="91"/>
        <v>0</v>
      </c>
      <c r="IE21" s="108">
        <v>145096.69</v>
      </c>
      <c r="IF21" s="1">
        <f t="shared" si="92"/>
        <v>217645.035</v>
      </c>
      <c r="IG21" s="57">
        <v>1.5</v>
      </c>
      <c r="IH21" s="88"/>
      <c r="II21" s="32">
        <f t="shared" si="93"/>
        <v>0</v>
      </c>
      <c r="IJ21" s="108">
        <v>160765.29</v>
      </c>
      <c r="IK21" s="1">
        <f t="shared" si="94"/>
        <v>241147.935</v>
      </c>
      <c r="IL21" s="57">
        <v>1.5</v>
      </c>
      <c r="IM21" s="88"/>
      <c r="IN21" s="32">
        <f t="shared" si="95"/>
        <v>0</v>
      </c>
      <c r="IO21" s="108">
        <v>194481.56</v>
      </c>
      <c r="IP21" s="1">
        <f t="shared" si="96"/>
        <v>291722.33999999997</v>
      </c>
      <c r="IQ21" s="57">
        <v>1.5</v>
      </c>
      <c r="IR21" s="88"/>
      <c r="IS21" s="32">
        <f t="shared" si="97"/>
        <v>0</v>
      </c>
      <c r="IT21" s="108">
        <v>261628.46</v>
      </c>
      <c r="IU21" s="1">
        <f t="shared" si="98"/>
        <v>392442.69</v>
      </c>
      <c r="IV21" s="57">
        <v>1.5</v>
      </c>
      <c r="IW21" s="88"/>
      <c r="IX21" s="32">
        <f t="shared" si="99"/>
        <v>0</v>
      </c>
      <c r="IY21" s="108">
        <v>64631.88</v>
      </c>
      <c r="IZ21" s="1">
        <f t="shared" si="100"/>
        <v>96947.819999999992</v>
      </c>
      <c r="JA21" s="57">
        <v>1.5</v>
      </c>
      <c r="JB21" s="88"/>
      <c r="JC21" s="14">
        <f t="shared" si="101"/>
        <v>0</v>
      </c>
      <c r="JD21" s="73">
        <f t="shared" si="102"/>
        <v>979693.24</v>
      </c>
      <c r="JE21" s="73">
        <f t="shared" si="103"/>
        <v>724668.20000000007</v>
      </c>
      <c r="JF21" s="75">
        <f t="shared" si="104"/>
        <v>-255025.03999999992</v>
      </c>
      <c r="JG21" s="11">
        <f t="shared" si="105"/>
        <v>0.7396888846553642</v>
      </c>
    </row>
    <row r="22" spans="3:267">
      <c r="C22" s="71" t="str">
        <f>"A17"</f>
        <v>A17</v>
      </c>
      <c r="D22" s="164">
        <v>78909.279999999999</v>
      </c>
      <c r="E22" s="1">
        <f t="shared" si="4"/>
        <v>47345.567999999999</v>
      </c>
      <c r="F22" s="2">
        <v>0.6</v>
      </c>
      <c r="G22" s="108">
        <v>45777.68</v>
      </c>
      <c r="H22" s="171">
        <f t="shared" si="5"/>
        <v>0.58013049922645343</v>
      </c>
      <c r="I22" s="169">
        <v>63523.72</v>
      </c>
      <c r="J22" s="1">
        <f t="shared" si="6"/>
        <v>41290.418000000005</v>
      </c>
      <c r="K22" s="2">
        <v>0.65</v>
      </c>
      <c r="L22" s="108">
        <v>29483.53</v>
      </c>
      <c r="M22" s="14">
        <f t="shared" si="7"/>
        <v>0.4641341848367822</v>
      </c>
      <c r="N22" s="164">
        <v>68662.600000000006</v>
      </c>
      <c r="O22" s="1">
        <f t="shared" si="8"/>
        <v>34331.300000000003</v>
      </c>
      <c r="P22" s="2">
        <v>0.5</v>
      </c>
      <c r="Q22" s="108">
        <v>41181.33</v>
      </c>
      <c r="R22" s="13">
        <f t="shared" si="9"/>
        <v>0.59976362677789652</v>
      </c>
      <c r="S22" s="160">
        <v>69238.78</v>
      </c>
      <c r="T22" s="1">
        <f t="shared" si="10"/>
        <v>42928.043599999997</v>
      </c>
      <c r="U22" s="2">
        <v>0.62</v>
      </c>
      <c r="V22" s="108">
        <v>46701.77</v>
      </c>
      <c r="W22" s="13">
        <f t="shared" si="11"/>
        <v>0.67450307472199822</v>
      </c>
      <c r="X22" s="108">
        <v>70101.649999999994</v>
      </c>
      <c r="Y22" s="1">
        <f t="shared" si="12"/>
        <v>49071.154999999992</v>
      </c>
      <c r="Z22" s="2">
        <v>0.7</v>
      </c>
      <c r="AA22" s="108">
        <v>51645.56</v>
      </c>
      <c r="AB22" s="13">
        <f t="shared" si="13"/>
        <v>0.73672388595703531</v>
      </c>
      <c r="AC22" s="108">
        <v>105627.12</v>
      </c>
      <c r="AD22" s="1">
        <f t="shared" si="14"/>
        <v>84501.695999999996</v>
      </c>
      <c r="AE22" s="2">
        <v>0.8</v>
      </c>
      <c r="AF22" s="108">
        <v>54344.31</v>
      </c>
      <c r="AG22" s="13">
        <f t="shared" si="15"/>
        <v>0.51449201682295231</v>
      </c>
      <c r="AH22" s="108">
        <v>66350.649999999994</v>
      </c>
      <c r="AI22" s="1">
        <f t="shared" si="16"/>
        <v>39810.389999999992</v>
      </c>
      <c r="AJ22" s="2">
        <v>0.6</v>
      </c>
      <c r="AK22" s="108">
        <v>43283.06</v>
      </c>
      <c r="AL22" s="13">
        <f t="shared" si="17"/>
        <v>0.65233814589608397</v>
      </c>
      <c r="AM22" s="108">
        <v>66156.81</v>
      </c>
      <c r="AN22" s="1">
        <f t="shared" si="18"/>
        <v>39694.085999999996</v>
      </c>
      <c r="AO22" s="2">
        <v>0.6</v>
      </c>
      <c r="AP22" s="108">
        <v>55409.89</v>
      </c>
      <c r="AQ22" s="13">
        <f t="shared" si="19"/>
        <v>0.83755383610545919</v>
      </c>
      <c r="AR22" s="160">
        <v>70559.31</v>
      </c>
      <c r="AS22" s="1">
        <f t="shared" si="20"/>
        <v>52919.482499999998</v>
      </c>
      <c r="AT22" s="2">
        <v>0.75</v>
      </c>
      <c r="AU22" s="108">
        <v>54038.720000000001</v>
      </c>
      <c r="AV22" s="13">
        <f t="shared" si="21"/>
        <v>0.76586236458378065</v>
      </c>
      <c r="AW22" s="160">
        <v>72060.61</v>
      </c>
      <c r="AX22" s="1">
        <f t="shared" si="22"/>
        <v>54045.457500000004</v>
      </c>
      <c r="AY22" s="2">
        <v>0.75</v>
      </c>
      <c r="AZ22" s="108">
        <v>45444.24</v>
      </c>
      <c r="BA22" s="60">
        <f t="shared" si="23"/>
        <v>0.63063912448146076</v>
      </c>
      <c r="BB22" s="160">
        <v>54621.32</v>
      </c>
      <c r="BC22" s="1">
        <f t="shared" si="24"/>
        <v>38234.923999999999</v>
      </c>
      <c r="BD22" s="2">
        <v>0.7</v>
      </c>
      <c r="BE22" s="108">
        <v>54805.91</v>
      </c>
      <c r="BF22" s="17">
        <f t="shared" si="25"/>
        <v>1.0033794496361494</v>
      </c>
      <c r="BG22" s="160">
        <v>44402.35</v>
      </c>
      <c r="BH22" s="1">
        <f t="shared" si="26"/>
        <v>33301.762499999997</v>
      </c>
      <c r="BI22" s="2">
        <v>0.75</v>
      </c>
      <c r="BJ22" s="115"/>
      <c r="BK22" s="60">
        <f t="shared" si="27"/>
        <v>0</v>
      </c>
      <c r="BL22" s="160">
        <v>52023.13</v>
      </c>
      <c r="BM22" s="1">
        <f t="shared" si="28"/>
        <v>39017.347499999996</v>
      </c>
      <c r="BN22" s="2">
        <v>0.75</v>
      </c>
      <c r="BO22" s="115"/>
      <c r="BP22" s="60">
        <f t="shared" si="29"/>
        <v>0</v>
      </c>
      <c r="BQ22" s="160">
        <v>49008.92</v>
      </c>
      <c r="BR22" s="1">
        <f t="shared" si="30"/>
        <v>171531.22</v>
      </c>
      <c r="BS22" s="57">
        <v>3.5</v>
      </c>
      <c r="BT22" s="115"/>
      <c r="BU22" s="16">
        <f t="shared" si="31"/>
        <v>0</v>
      </c>
      <c r="BV22" s="160">
        <v>42822.79</v>
      </c>
      <c r="BW22" s="1">
        <f t="shared" si="32"/>
        <v>149879.76500000001</v>
      </c>
      <c r="BX22" s="57">
        <v>3.5</v>
      </c>
      <c r="BY22" s="108"/>
      <c r="BZ22" s="14">
        <f t="shared" si="33"/>
        <v>0</v>
      </c>
      <c r="CA22" s="160">
        <v>38727.870000000003</v>
      </c>
      <c r="CB22" s="1">
        <f t="shared" si="34"/>
        <v>193639.35</v>
      </c>
      <c r="CC22" s="57">
        <v>5</v>
      </c>
      <c r="CD22" s="115"/>
      <c r="CE22" s="16">
        <f t="shared" si="35"/>
        <v>0</v>
      </c>
      <c r="CF22" s="160">
        <v>76207.14</v>
      </c>
      <c r="CG22" s="1">
        <f t="shared" si="36"/>
        <v>228621.41999999998</v>
      </c>
      <c r="CH22" s="57">
        <v>3</v>
      </c>
      <c r="CI22" s="115"/>
      <c r="CJ22" s="18">
        <f t="shared" si="37"/>
        <v>0</v>
      </c>
      <c r="CK22" s="160">
        <v>4925.6099999999997</v>
      </c>
      <c r="CL22" s="1">
        <f t="shared" si="38"/>
        <v>32016.464999999997</v>
      </c>
      <c r="CM22" s="57">
        <v>6.5</v>
      </c>
      <c r="CN22" s="115"/>
      <c r="CO22" s="16">
        <f t="shared" si="39"/>
        <v>0</v>
      </c>
      <c r="CP22" s="160">
        <v>41379.879999999997</v>
      </c>
      <c r="CQ22" s="1">
        <f t="shared" si="40"/>
        <v>268969.21999999997</v>
      </c>
      <c r="CR22" s="57">
        <v>6.5</v>
      </c>
      <c r="CS22" s="95"/>
      <c r="CT22" s="16">
        <f t="shared" si="41"/>
        <v>0</v>
      </c>
      <c r="CU22" s="160">
        <v>40824.78</v>
      </c>
      <c r="CV22" s="1">
        <f t="shared" si="42"/>
        <v>265361.07</v>
      </c>
      <c r="CW22" s="57">
        <v>6.5</v>
      </c>
      <c r="CX22" s="116"/>
      <c r="CY22" s="130">
        <f t="shared" si="43"/>
        <v>0</v>
      </c>
      <c r="CZ22" s="160">
        <v>41835.629999999997</v>
      </c>
      <c r="DA22" s="1">
        <f t="shared" si="44"/>
        <v>271931.59499999997</v>
      </c>
      <c r="DB22" s="57">
        <v>6.5</v>
      </c>
      <c r="DC22" s="116"/>
      <c r="DD22" s="18">
        <f t="shared" si="45"/>
        <v>0</v>
      </c>
      <c r="DE22" s="160">
        <v>44031.21</v>
      </c>
      <c r="DF22" s="1">
        <f t="shared" si="46"/>
        <v>198140.44500000001</v>
      </c>
      <c r="DG22" s="57">
        <v>4.5</v>
      </c>
      <c r="DH22" s="116"/>
      <c r="DI22" s="16">
        <f t="shared" si="47"/>
        <v>0</v>
      </c>
      <c r="DJ22" s="160">
        <v>42237.17</v>
      </c>
      <c r="DK22" s="1">
        <f t="shared" si="48"/>
        <v>126711.51</v>
      </c>
      <c r="DL22" s="57">
        <v>3</v>
      </c>
      <c r="DM22" s="88"/>
      <c r="DN22" s="16">
        <f t="shared" si="106"/>
        <v>0</v>
      </c>
      <c r="DO22" s="160">
        <v>49520.38</v>
      </c>
      <c r="DP22" s="1">
        <f t="shared" si="49"/>
        <v>123800.95</v>
      </c>
      <c r="DQ22" s="57">
        <v>2.5</v>
      </c>
      <c r="DR22" s="88"/>
      <c r="DS22" s="16">
        <f t="shared" si="50"/>
        <v>0</v>
      </c>
      <c r="DT22" s="160">
        <v>49321.96</v>
      </c>
      <c r="DU22" s="1">
        <f t="shared" si="51"/>
        <v>123304.9</v>
      </c>
      <c r="DV22" s="57">
        <v>2.5</v>
      </c>
      <c r="DW22" s="88"/>
      <c r="DX22" s="16">
        <f t="shared" si="0"/>
        <v>0</v>
      </c>
      <c r="DY22" s="160">
        <v>55783.18</v>
      </c>
      <c r="DZ22" s="1">
        <f t="shared" si="52"/>
        <v>139457.95000000001</v>
      </c>
      <c r="EA22" s="57">
        <v>2.5</v>
      </c>
      <c r="EB22" s="232"/>
      <c r="EC22" s="18">
        <f t="shared" si="53"/>
        <v>0</v>
      </c>
      <c r="ED22" s="160">
        <v>54353.32</v>
      </c>
      <c r="EE22" s="1">
        <f t="shared" si="54"/>
        <v>108706.64</v>
      </c>
      <c r="EF22" s="57">
        <v>2</v>
      </c>
      <c r="EG22" s="232"/>
      <c r="EH22" s="16">
        <f t="shared" si="55"/>
        <v>0</v>
      </c>
      <c r="EI22" s="160">
        <v>69602.210000000006</v>
      </c>
      <c r="EJ22" s="1">
        <f t="shared" si="56"/>
        <v>125283.97800000002</v>
      </c>
      <c r="EK22" s="57">
        <v>1.8</v>
      </c>
      <c r="EL22" s="232"/>
      <c r="EM22" s="16">
        <f t="shared" si="57"/>
        <v>0</v>
      </c>
      <c r="EN22" s="160">
        <v>55208.97</v>
      </c>
      <c r="EO22" s="1">
        <f t="shared" si="58"/>
        <v>99376.146000000008</v>
      </c>
      <c r="EP22" s="57">
        <v>1.8</v>
      </c>
      <c r="EQ22" s="232"/>
      <c r="ER22" s="16">
        <f t="shared" si="59"/>
        <v>0</v>
      </c>
      <c r="ES22" s="160">
        <v>59106.19</v>
      </c>
      <c r="ET22" s="1">
        <f t="shared" si="60"/>
        <v>106391.14200000001</v>
      </c>
      <c r="EU22" s="57">
        <v>1.8</v>
      </c>
      <c r="EV22" s="232"/>
      <c r="EW22" s="18">
        <f t="shared" si="61"/>
        <v>0</v>
      </c>
      <c r="EX22" s="160">
        <v>58875.8</v>
      </c>
      <c r="EY22" s="1">
        <f t="shared" si="62"/>
        <v>105976.44</v>
      </c>
      <c r="EZ22" s="57">
        <v>1.8</v>
      </c>
      <c r="FA22" s="232"/>
      <c r="FB22" s="32">
        <f t="shared" si="1"/>
        <v>0</v>
      </c>
      <c r="FC22" s="160">
        <v>48275.54</v>
      </c>
      <c r="FD22" s="1">
        <f t="shared" si="63"/>
        <v>86895.972000000009</v>
      </c>
      <c r="FE22" s="57">
        <v>1.8</v>
      </c>
      <c r="FF22" s="232"/>
      <c r="FG22" s="14">
        <f t="shared" si="64"/>
        <v>0</v>
      </c>
      <c r="FH22" s="160">
        <v>51198.92</v>
      </c>
      <c r="FI22" s="1">
        <f t="shared" si="65"/>
        <v>92158.055999999997</v>
      </c>
      <c r="FJ22" s="57">
        <v>1.8</v>
      </c>
      <c r="FK22" s="232"/>
      <c r="FL22" s="234">
        <f t="shared" si="66"/>
        <v>0</v>
      </c>
      <c r="FM22" s="160">
        <v>49836.51</v>
      </c>
      <c r="FN22" s="1">
        <f t="shared" si="67"/>
        <v>89705.718000000008</v>
      </c>
      <c r="FO22" s="57">
        <v>1.8</v>
      </c>
      <c r="FP22" s="232"/>
      <c r="FQ22" s="13">
        <f t="shared" si="68"/>
        <v>0</v>
      </c>
      <c r="FR22" s="160">
        <v>59728.3</v>
      </c>
      <c r="FS22" s="1">
        <f t="shared" si="69"/>
        <v>93176.148000000001</v>
      </c>
      <c r="FT22" s="57">
        <v>1.56</v>
      </c>
      <c r="FU22" s="88"/>
      <c r="FV22" s="31">
        <f t="shared" si="70"/>
        <v>0</v>
      </c>
      <c r="FW22" s="160">
        <v>50110.45</v>
      </c>
      <c r="FX22" s="1">
        <f t="shared" si="71"/>
        <v>78172.301999999996</v>
      </c>
      <c r="FY22" s="57">
        <v>1.56</v>
      </c>
      <c r="FZ22" s="88"/>
      <c r="GA22" s="14">
        <f t="shared" si="2"/>
        <v>0</v>
      </c>
      <c r="GB22" s="160">
        <v>56280.39</v>
      </c>
      <c r="GC22" s="1">
        <f t="shared" si="72"/>
        <v>87797.4084</v>
      </c>
      <c r="GD22" s="57">
        <v>1.56</v>
      </c>
      <c r="GE22" s="88"/>
      <c r="GF22" s="32">
        <f t="shared" si="73"/>
        <v>0</v>
      </c>
      <c r="GG22" s="160">
        <v>42325.87</v>
      </c>
      <c r="GH22" s="1">
        <f t="shared" si="74"/>
        <v>66028.357200000013</v>
      </c>
      <c r="GI22" s="57">
        <v>1.56</v>
      </c>
      <c r="GJ22" s="108"/>
      <c r="GK22" s="32">
        <f t="shared" si="75"/>
        <v>0</v>
      </c>
      <c r="GL22" s="160">
        <v>48448.71</v>
      </c>
      <c r="GM22" s="1">
        <f t="shared" si="76"/>
        <v>75579.987600000008</v>
      </c>
      <c r="GN22" s="57">
        <v>1.56</v>
      </c>
      <c r="GO22" s="108"/>
      <c r="GP22" s="13">
        <f t="shared" si="77"/>
        <v>0</v>
      </c>
      <c r="GQ22" s="160">
        <v>46643.66</v>
      </c>
      <c r="GR22" s="1">
        <f t="shared" si="78"/>
        <v>72764.109600000011</v>
      </c>
      <c r="GS22" s="57">
        <v>1.56</v>
      </c>
      <c r="GT22" s="108"/>
      <c r="GU22" s="32">
        <f t="shared" si="79"/>
        <v>0</v>
      </c>
      <c r="GV22" s="160">
        <v>44280.72</v>
      </c>
      <c r="GW22" s="1">
        <f t="shared" si="80"/>
        <v>88561.44</v>
      </c>
      <c r="GX22" s="57">
        <v>2</v>
      </c>
      <c r="GY22" s="96"/>
      <c r="GZ22" s="32">
        <f t="shared" si="3"/>
        <v>0</v>
      </c>
      <c r="HA22" s="160">
        <v>35411.769999999997</v>
      </c>
      <c r="HB22" s="1">
        <f t="shared" si="81"/>
        <v>106235.31</v>
      </c>
      <c r="HC22" s="57">
        <v>3</v>
      </c>
      <c r="HD22" s="96"/>
      <c r="HE22" s="32">
        <f t="shared" si="107"/>
        <v>0</v>
      </c>
      <c r="HF22" s="108">
        <v>46066.43</v>
      </c>
      <c r="HG22" s="1">
        <f t="shared" si="82"/>
        <v>230332.15</v>
      </c>
      <c r="HH22" s="57">
        <v>5</v>
      </c>
      <c r="HI22" s="96"/>
      <c r="HJ22" s="13">
        <f t="shared" si="83"/>
        <v>0</v>
      </c>
      <c r="HK22" s="108">
        <v>28296.54</v>
      </c>
      <c r="HL22" s="1">
        <f t="shared" si="84"/>
        <v>155630.97</v>
      </c>
      <c r="HM22" s="57">
        <v>5.5</v>
      </c>
      <c r="HN22" s="97"/>
      <c r="HO22" s="14">
        <f t="shared" si="85"/>
        <v>0</v>
      </c>
      <c r="HP22" s="108">
        <v>31390.09</v>
      </c>
      <c r="HQ22" s="1">
        <f t="shared" si="86"/>
        <v>156950.45000000001</v>
      </c>
      <c r="HR22" s="57">
        <v>5</v>
      </c>
      <c r="HS22" s="81"/>
      <c r="HT22" s="14">
        <f t="shared" si="87"/>
        <v>0</v>
      </c>
      <c r="HU22" s="108">
        <v>36717.89</v>
      </c>
      <c r="HV22" s="1">
        <f t="shared" si="88"/>
        <v>110153.67</v>
      </c>
      <c r="HW22" s="57">
        <v>3</v>
      </c>
      <c r="HX22" s="97"/>
      <c r="HY22" s="14">
        <f t="shared" si="89"/>
        <v>0</v>
      </c>
      <c r="HZ22" s="108">
        <v>85330.58</v>
      </c>
      <c r="IA22" s="1">
        <f t="shared" si="90"/>
        <v>255991.74</v>
      </c>
      <c r="IB22" s="57">
        <v>3</v>
      </c>
      <c r="IC22" s="97"/>
      <c r="ID22" s="14">
        <f t="shared" si="91"/>
        <v>0</v>
      </c>
      <c r="IE22" s="108">
        <v>93315.91</v>
      </c>
      <c r="IF22" s="1">
        <f t="shared" si="92"/>
        <v>139973.86499999999</v>
      </c>
      <c r="IG22" s="57">
        <v>1.5</v>
      </c>
      <c r="IH22" s="88"/>
      <c r="II22" s="32">
        <f t="shared" si="93"/>
        <v>0</v>
      </c>
      <c r="IJ22" s="108">
        <v>119253.07</v>
      </c>
      <c r="IK22" s="1">
        <f t="shared" si="94"/>
        <v>178879.60500000001</v>
      </c>
      <c r="IL22" s="57">
        <v>1.5</v>
      </c>
      <c r="IM22" s="88"/>
      <c r="IN22" s="32">
        <f t="shared" si="95"/>
        <v>0</v>
      </c>
      <c r="IO22" s="108">
        <v>139033.5</v>
      </c>
      <c r="IP22" s="1">
        <f t="shared" si="96"/>
        <v>208550.25</v>
      </c>
      <c r="IQ22" s="57">
        <v>1.5</v>
      </c>
      <c r="IR22" s="88"/>
      <c r="IS22" s="32">
        <f t="shared" si="97"/>
        <v>0</v>
      </c>
      <c r="IT22" s="108">
        <v>181941.88</v>
      </c>
      <c r="IU22" s="1">
        <f t="shared" si="98"/>
        <v>272912.82</v>
      </c>
      <c r="IV22" s="57">
        <v>1.5</v>
      </c>
      <c r="IW22" s="88"/>
      <c r="IX22" s="32">
        <f t="shared" si="99"/>
        <v>0</v>
      </c>
      <c r="IY22" s="108">
        <v>53486.34</v>
      </c>
      <c r="IZ22" s="1">
        <f t="shared" si="100"/>
        <v>80229.509999999995</v>
      </c>
      <c r="JA22" s="57">
        <v>1.5</v>
      </c>
      <c r="JB22" s="88"/>
      <c r="JC22" s="14">
        <f t="shared" si="101"/>
        <v>0</v>
      </c>
      <c r="JD22" s="73">
        <f t="shared" si="102"/>
        <v>785811.84999999986</v>
      </c>
      <c r="JE22" s="73">
        <f t="shared" si="103"/>
        <v>522116</v>
      </c>
      <c r="JF22" s="75">
        <f t="shared" si="104"/>
        <v>-263695.84999999986</v>
      </c>
      <c r="JG22" s="11">
        <f t="shared" si="105"/>
        <v>0.66442876879497315</v>
      </c>
    </row>
    <row r="23" spans="3:267">
      <c r="C23" s="71" t="str">
        <f>"A18"</f>
        <v>A18</v>
      </c>
      <c r="D23" s="164">
        <v>103767.51</v>
      </c>
      <c r="E23" s="1">
        <f t="shared" si="4"/>
        <v>62260.505999999994</v>
      </c>
      <c r="F23" s="2">
        <v>0.6</v>
      </c>
      <c r="G23" s="108">
        <v>77741.210000000006</v>
      </c>
      <c r="H23" s="171">
        <f t="shared" si="5"/>
        <v>0.74918642646431444</v>
      </c>
      <c r="I23" s="169">
        <v>98801.85</v>
      </c>
      <c r="J23" s="1">
        <f t="shared" si="6"/>
        <v>69161.294999999998</v>
      </c>
      <c r="K23" s="2">
        <v>0.7</v>
      </c>
      <c r="L23" s="108">
        <v>60518.84</v>
      </c>
      <c r="M23" s="14">
        <f t="shared" si="7"/>
        <v>0.61252739700724224</v>
      </c>
      <c r="N23" s="164">
        <v>89898.47</v>
      </c>
      <c r="O23" s="1">
        <f t="shared" si="8"/>
        <v>58434.005499999999</v>
      </c>
      <c r="P23" s="2">
        <v>0.65</v>
      </c>
      <c r="Q23" s="108">
        <v>62562.04</v>
      </c>
      <c r="R23" s="13">
        <f t="shared" si="9"/>
        <v>0.69591885156666178</v>
      </c>
      <c r="S23" s="160">
        <v>89945.03</v>
      </c>
      <c r="T23" s="1">
        <f t="shared" si="10"/>
        <v>65659.871899999998</v>
      </c>
      <c r="U23" s="2">
        <v>0.73</v>
      </c>
      <c r="V23" s="108">
        <v>59562.89</v>
      </c>
      <c r="W23" s="13">
        <f t="shared" si="11"/>
        <v>0.66221435470086565</v>
      </c>
      <c r="X23" s="108">
        <v>86512.3</v>
      </c>
      <c r="Y23" s="1">
        <f t="shared" si="12"/>
        <v>64884.225000000006</v>
      </c>
      <c r="Z23" s="2">
        <v>0.75</v>
      </c>
      <c r="AA23" s="108">
        <v>69155.199999999997</v>
      </c>
      <c r="AB23" s="13">
        <f t="shared" si="13"/>
        <v>0.79936841350883048</v>
      </c>
      <c r="AC23" s="108">
        <v>136910.54</v>
      </c>
      <c r="AD23" s="1">
        <f t="shared" si="14"/>
        <v>116373.959</v>
      </c>
      <c r="AE23" s="2">
        <v>0.85</v>
      </c>
      <c r="AF23" s="108">
        <v>77467.61</v>
      </c>
      <c r="AG23" s="13">
        <f t="shared" si="15"/>
        <v>0.56582648786572598</v>
      </c>
      <c r="AH23" s="108">
        <v>91629.71</v>
      </c>
      <c r="AI23" s="1">
        <f t="shared" si="16"/>
        <v>54977.826000000001</v>
      </c>
      <c r="AJ23" s="2">
        <v>0.6</v>
      </c>
      <c r="AK23" s="108">
        <v>65010.16</v>
      </c>
      <c r="AL23" s="13">
        <f t="shared" si="17"/>
        <v>0.70948778512995403</v>
      </c>
      <c r="AM23" s="108">
        <v>88591.12</v>
      </c>
      <c r="AN23" s="1">
        <f t="shared" si="18"/>
        <v>53154.671999999999</v>
      </c>
      <c r="AO23" s="2">
        <v>0.6</v>
      </c>
      <c r="AP23" s="108">
        <v>70035.520000000004</v>
      </c>
      <c r="AQ23" s="13">
        <f t="shared" si="19"/>
        <v>0.79054785626369783</v>
      </c>
      <c r="AR23" s="160">
        <v>95873.87</v>
      </c>
      <c r="AS23" s="1">
        <f t="shared" si="20"/>
        <v>71905.402499999997</v>
      </c>
      <c r="AT23" s="2">
        <v>0.75</v>
      </c>
      <c r="AU23" s="108">
        <v>58879.7</v>
      </c>
      <c r="AV23" s="13">
        <f t="shared" si="21"/>
        <v>0.61413709491439117</v>
      </c>
      <c r="AW23" s="160">
        <v>100200.9</v>
      </c>
      <c r="AX23" s="1">
        <f t="shared" si="22"/>
        <v>75150.674999999988</v>
      </c>
      <c r="AY23" s="2">
        <v>0.75</v>
      </c>
      <c r="AZ23" s="108">
        <v>60893.919999999998</v>
      </c>
      <c r="BA23" s="60">
        <f t="shared" si="23"/>
        <v>0.60771829394745958</v>
      </c>
      <c r="BB23" s="160">
        <v>63027.82</v>
      </c>
      <c r="BC23" s="1">
        <f t="shared" si="24"/>
        <v>44119.473999999995</v>
      </c>
      <c r="BD23" s="2">
        <v>0.7</v>
      </c>
      <c r="BE23" s="108">
        <v>74267.92</v>
      </c>
      <c r="BF23" s="17">
        <f t="shared" si="25"/>
        <v>1.1783355350066049</v>
      </c>
      <c r="BG23" s="160">
        <v>57714.66</v>
      </c>
      <c r="BH23" s="1">
        <f t="shared" si="26"/>
        <v>43285.995000000003</v>
      </c>
      <c r="BI23" s="2">
        <v>0.75</v>
      </c>
      <c r="BJ23" s="115"/>
      <c r="BK23" s="60">
        <f t="shared" si="27"/>
        <v>0</v>
      </c>
      <c r="BL23" s="160">
        <v>77770</v>
      </c>
      <c r="BM23" s="1">
        <f t="shared" si="28"/>
        <v>58327.5</v>
      </c>
      <c r="BN23" s="2">
        <v>0.75</v>
      </c>
      <c r="BO23" s="115"/>
      <c r="BP23" s="60">
        <f t="shared" si="29"/>
        <v>0</v>
      </c>
      <c r="BQ23" s="160">
        <v>56226.32</v>
      </c>
      <c r="BR23" s="1">
        <f t="shared" si="30"/>
        <v>196792.12</v>
      </c>
      <c r="BS23" s="57">
        <v>3.5</v>
      </c>
      <c r="BT23" s="115"/>
      <c r="BU23" s="16">
        <f t="shared" si="31"/>
        <v>0</v>
      </c>
      <c r="BV23" s="160">
        <v>60412.89</v>
      </c>
      <c r="BW23" s="1">
        <f t="shared" si="32"/>
        <v>211445.11499999999</v>
      </c>
      <c r="BX23" s="57">
        <v>3.5</v>
      </c>
      <c r="BY23" s="108"/>
      <c r="BZ23" s="14">
        <f t="shared" si="33"/>
        <v>0</v>
      </c>
      <c r="CA23" s="160">
        <v>43990.07</v>
      </c>
      <c r="CB23" s="1">
        <f t="shared" si="34"/>
        <v>219950.35</v>
      </c>
      <c r="CC23" s="57">
        <v>5</v>
      </c>
      <c r="CD23" s="115"/>
      <c r="CE23" s="16">
        <f t="shared" si="35"/>
        <v>0</v>
      </c>
      <c r="CF23" s="160">
        <v>103624.37</v>
      </c>
      <c r="CG23" s="1">
        <f t="shared" si="36"/>
        <v>310873.11</v>
      </c>
      <c r="CH23" s="57">
        <v>3</v>
      </c>
      <c r="CI23" s="115"/>
      <c r="CJ23" s="18">
        <f t="shared" si="37"/>
        <v>0</v>
      </c>
      <c r="CK23" s="160">
        <v>8302.8799999999992</v>
      </c>
      <c r="CL23" s="1">
        <f t="shared" si="38"/>
        <v>53968.719999999994</v>
      </c>
      <c r="CM23" s="57">
        <v>6.5</v>
      </c>
      <c r="CN23" s="115"/>
      <c r="CO23" s="16">
        <f t="shared" si="39"/>
        <v>0</v>
      </c>
      <c r="CP23" s="160">
        <v>73272.28</v>
      </c>
      <c r="CQ23" s="1">
        <f t="shared" si="40"/>
        <v>476269.82</v>
      </c>
      <c r="CR23" s="57">
        <v>6.5</v>
      </c>
      <c r="CS23" s="116"/>
      <c r="CT23" s="16">
        <f t="shared" si="41"/>
        <v>0</v>
      </c>
      <c r="CU23" s="160">
        <v>72211.64</v>
      </c>
      <c r="CV23" s="1">
        <f t="shared" si="42"/>
        <v>469375.66</v>
      </c>
      <c r="CW23" s="57">
        <v>6.5</v>
      </c>
      <c r="CX23" s="116"/>
      <c r="CY23" s="130">
        <f t="shared" si="43"/>
        <v>0</v>
      </c>
      <c r="CZ23" s="160">
        <v>61586.47</v>
      </c>
      <c r="DA23" s="1">
        <f t="shared" si="44"/>
        <v>400312.05499999999</v>
      </c>
      <c r="DB23" s="57">
        <v>6.5</v>
      </c>
      <c r="DC23" s="116"/>
      <c r="DD23" s="18">
        <f t="shared" si="45"/>
        <v>0</v>
      </c>
      <c r="DE23" s="160">
        <v>58201.59</v>
      </c>
      <c r="DF23" s="1">
        <f t="shared" si="46"/>
        <v>261907.15499999997</v>
      </c>
      <c r="DG23" s="57">
        <v>4.5</v>
      </c>
      <c r="DH23" s="116"/>
      <c r="DI23" s="16">
        <f t="shared" si="47"/>
        <v>0</v>
      </c>
      <c r="DJ23" s="160">
        <v>58385.39</v>
      </c>
      <c r="DK23" s="1">
        <f t="shared" si="48"/>
        <v>175156.16999999998</v>
      </c>
      <c r="DL23" s="57">
        <v>3</v>
      </c>
      <c r="DM23" s="88"/>
      <c r="DN23" s="16">
        <f t="shared" si="106"/>
        <v>0</v>
      </c>
      <c r="DO23" s="160">
        <v>39079.68</v>
      </c>
      <c r="DP23" s="1">
        <f t="shared" si="49"/>
        <v>97699.199999999997</v>
      </c>
      <c r="DQ23" s="57">
        <v>2.5</v>
      </c>
      <c r="DR23" s="88"/>
      <c r="DS23" s="16">
        <f t="shared" si="50"/>
        <v>0</v>
      </c>
      <c r="DT23" s="160">
        <v>38162.129999999997</v>
      </c>
      <c r="DU23" s="1">
        <f t="shared" si="51"/>
        <v>95405.324999999997</v>
      </c>
      <c r="DV23" s="57">
        <v>2.5</v>
      </c>
      <c r="DW23" s="88"/>
      <c r="DX23" s="16">
        <f t="shared" si="0"/>
        <v>0</v>
      </c>
      <c r="DY23" s="160">
        <v>51069.99</v>
      </c>
      <c r="DZ23" s="1">
        <f t="shared" si="52"/>
        <v>127674.97499999999</v>
      </c>
      <c r="EA23" s="57">
        <v>2.5</v>
      </c>
      <c r="EB23" s="232"/>
      <c r="EC23" s="18">
        <f t="shared" si="53"/>
        <v>0</v>
      </c>
      <c r="ED23" s="160">
        <v>53605.56</v>
      </c>
      <c r="EE23" s="1">
        <f t="shared" si="54"/>
        <v>107211.12</v>
      </c>
      <c r="EF23" s="57">
        <v>2</v>
      </c>
      <c r="EG23" s="232"/>
      <c r="EH23" s="16">
        <f t="shared" si="55"/>
        <v>0</v>
      </c>
      <c r="EI23" s="160">
        <v>78853.919999999998</v>
      </c>
      <c r="EJ23" s="1">
        <f t="shared" si="56"/>
        <v>141937.05600000001</v>
      </c>
      <c r="EK23" s="57">
        <v>1.8</v>
      </c>
      <c r="EL23" s="232"/>
      <c r="EM23" s="16">
        <f t="shared" si="57"/>
        <v>0</v>
      </c>
      <c r="EN23" s="160">
        <v>62989.41</v>
      </c>
      <c r="EO23" s="1">
        <f t="shared" si="58"/>
        <v>113380.93800000001</v>
      </c>
      <c r="EP23" s="57">
        <v>1.8</v>
      </c>
      <c r="EQ23" s="232"/>
      <c r="ER23" s="16">
        <f t="shared" si="59"/>
        <v>0</v>
      </c>
      <c r="ES23" s="160">
        <v>58546.59</v>
      </c>
      <c r="ET23" s="1">
        <f t="shared" si="60"/>
        <v>105383.86199999999</v>
      </c>
      <c r="EU23" s="57">
        <v>1.8</v>
      </c>
      <c r="EV23" s="232"/>
      <c r="EW23" s="18">
        <f t="shared" si="61"/>
        <v>0</v>
      </c>
      <c r="EX23" s="160">
        <v>73247.72</v>
      </c>
      <c r="EY23" s="1">
        <f t="shared" si="62"/>
        <v>131845.89600000001</v>
      </c>
      <c r="EZ23" s="57">
        <v>1.8</v>
      </c>
      <c r="FA23" s="232"/>
      <c r="FB23" s="32">
        <f t="shared" si="1"/>
        <v>0</v>
      </c>
      <c r="FC23" s="160">
        <v>72321.83</v>
      </c>
      <c r="FD23" s="1">
        <f t="shared" si="63"/>
        <v>130179.29400000001</v>
      </c>
      <c r="FE23" s="57">
        <v>1.8</v>
      </c>
      <c r="FF23" s="232"/>
      <c r="FG23" s="14">
        <f t="shared" si="64"/>
        <v>0</v>
      </c>
      <c r="FH23" s="160">
        <v>74833.31</v>
      </c>
      <c r="FI23" s="1">
        <f t="shared" si="65"/>
        <v>134699.95800000001</v>
      </c>
      <c r="FJ23" s="57">
        <v>1.8</v>
      </c>
      <c r="FK23" s="232"/>
      <c r="FL23" s="234">
        <f t="shared" si="66"/>
        <v>0</v>
      </c>
      <c r="FM23" s="160">
        <v>68040.78</v>
      </c>
      <c r="FN23" s="1">
        <f t="shared" si="67"/>
        <v>122473.40399999999</v>
      </c>
      <c r="FO23" s="57">
        <v>1.8</v>
      </c>
      <c r="FP23" s="232"/>
      <c r="FQ23" s="13">
        <f t="shared" si="68"/>
        <v>0</v>
      </c>
      <c r="FR23" s="160">
        <v>74133.09</v>
      </c>
      <c r="FS23" s="1">
        <f t="shared" si="69"/>
        <v>115647.6204</v>
      </c>
      <c r="FT23" s="57">
        <v>1.56</v>
      </c>
      <c r="FU23" s="88"/>
      <c r="FV23" s="31">
        <f t="shared" si="70"/>
        <v>0</v>
      </c>
      <c r="FW23" s="160">
        <v>57722.96</v>
      </c>
      <c r="FX23" s="1">
        <f t="shared" si="71"/>
        <v>90047.817599999995</v>
      </c>
      <c r="FY23" s="57">
        <v>1.56</v>
      </c>
      <c r="FZ23" s="88"/>
      <c r="GA23" s="14">
        <f t="shared" si="2"/>
        <v>0</v>
      </c>
      <c r="GB23" s="160">
        <v>61843.79</v>
      </c>
      <c r="GC23" s="1">
        <f t="shared" si="72"/>
        <v>96476.31240000001</v>
      </c>
      <c r="GD23" s="57">
        <v>1.56</v>
      </c>
      <c r="GE23" s="88"/>
      <c r="GF23" s="32">
        <f t="shared" si="73"/>
        <v>0</v>
      </c>
      <c r="GG23" s="160">
        <v>52113</v>
      </c>
      <c r="GH23" s="1">
        <f t="shared" si="74"/>
        <v>81296.28</v>
      </c>
      <c r="GI23" s="57">
        <v>1.56</v>
      </c>
      <c r="GJ23" s="108"/>
      <c r="GK23" s="32">
        <f t="shared" si="75"/>
        <v>0</v>
      </c>
      <c r="GL23" s="160">
        <v>55961.03</v>
      </c>
      <c r="GM23" s="1">
        <f t="shared" si="76"/>
        <v>87299.2068</v>
      </c>
      <c r="GN23" s="57">
        <v>1.56</v>
      </c>
      <c r="GO23" s="108"/>
      <c r="GP23" s="13">
        <f t="shared" si="77"/>
        <v>0</v>
      </c>
      <c r="GQ23" s="160">
        <v>50315.26</v>
      </c>
      <c r="GR23" s="1">
        <f t="shared" si="78"/>
        <v>78491.805600000007</v>
      </c>
      <c r="GS23" s="57">
        <v>1.56</v>
      </c>
      <c r="GT23" s="108"/>
      <c r="GU23" s="32">
        <f t="shared" si="79"/>
        <v>0</v>
      </c>
      <c r="GV23" s="160">
        <v>52117.53</v>
      </c>
      <c r="GW23" s="1">
        <f t="shared" si="80"/>
        <v>104235.06</v>
      </c>
      <c r="GX23" s="57">
        <v>2</v>
      </c>
      <c r="GY23" s="96"/>
      <c r="GZ23" s="32">
        <f t="shared" si="3"/>
        <v>0</v>
      </c>
      <c r="HA23" s="160">
        <v>50577.58</v>
      </c>
      <c r="HB23" s="1">
        <f t="shared" si="81"/>
        <v>151732.74</v>
      </c>
      <c r="HC23" s="57">
        <v>3</v>
      </c>
      <c r="HD23" s="96"/>
      <c r="HE23" s="32">
        <f t="shared" si="107"/>
        <v>0</v>
      </c>
      <c r="HF23" s="108">
        <v>38059.89</v>
      </c>
      <c r="HG23" s="1">
        <f t="shared" si="82"/>
        <v>190299.45</v>
      </c>
      <c r="HH23" s="57">
        <v>5</v>
      </c>
      <c r="HI23" s="96"/>
      <c r="HJ23" s="13">
        <f t="shared" si="83"/>
        <v>0</v>
      </c>
      <c r="HK23" s="108">
        <v>31732.05</v>
      </c>
      <c r="HL23" s="1">
        <f t="shared" si="84"/>
        <v>174526.27499999999</v>
      </c>
      <c r="HM23" s="57">
        <v>5.5</v>
      </c>
      <c r="HN23" s="97"/>
      <c r="HO23" s="14">
        <f t="shared" si="85"/>
        <v>0</v>
      </c>
      <c r="HP23" s="108">
        <v>41015.089999999997</v>
      </c>
      <c r="HQ23" s="1">
        <f t="shared" si="86"/>
        <v>205075.44999999998</v>
      </c>
      <c r="HR23" s="57">
        <v>5</v>
      </c>
      <c r="HS23" s="81"/>
      <c r="HT23" s="14">
        <f t="shared" si="87"/>
        <v>0</v>
      </c>
      <c r="HU23" s="108">
        <v>50573.37</v>
      </c>
      <c r="HV23" s="1">
        <f t="shared" si="88"/>
        <v>151720.11000000002</v>
      </c>
      <c r="HW23" s="57">
        <v>3</v>
      </c>
      <c r="HX23" s="97"/>
      <c r="HY23" s="14">
        <f t="shared" si="89"/>
        <v>0</v>
      </c>
      <c r="HZ23" s="108">
        <v>99836.9</v>
      </c>
      <c r="IA23" s="1">
        <f t="shared" si="90"/>
        <v>299510.69999999995</v>
      </c>
      <c r="IB23" s="57">
        <v>3</v>
      </c>
      <c r="IC23" s="97"/>
      <c r="ID23" s="14">
        <f t="shared" si="91"/>
        <v>0</v>
      </c>
      <c r="IE23" s="108">
        <v>118649.4</v>
      </c>
      <c r="IF23" s="1">
        <f t="shared" si="92"/>
        <v>177974.09999999998</v>
      </c>
      <c r="IG23" s="57">
        <v>1.5</v>
      </c>
      <c r="IH23" s="88"/>
      <c r="II23" s="32">
        <f t="shared" si="93"/>
        <v>0</v>
      </c>
      <c r="IJ23" s="108">
        <v>119278.61</v>
      </c>
      <c r="IK23" s="1">
        <f t="shared" si="94"/>
        <v>178917.91500000001</v>
      </c>
      <c r="IL23" s="57">
        <v>1.5</v>
      </c>
      <c r="IM23" s="88"/>
      <c r="IN23" s="32">
        <f t="shared" si="95"/>
        <v>0</v>
      </c>
      <c r="IO23" s="108">
        <v>169712.26</v>
      </c>
      <c r="IP23" s="1">
        <f t="shared" si="96"/>
        <v>254568.39</v>
      </c>
      <c r="IQ23" s="57">
        <v>1.5</v>
      </c>
      <c r="IR23" s="88"/>
      <c r="IS23" s="32">
        <f t="shared" si="97"/>
        <v>0</v>
      </c>
      <c r="IT23" s="108">
        <v>229205.77</v>
      </c>
      <c r="IU23" s="1">
        <f t="shared" si="98"/>
        <v>343808.65499999997</v>
      </c>
      <c r="IV23" s="57">
        <v>1.5</v>
      </c>
      <c r="IW23" s="88"/>
      <c r="IX23" s="32">
        <f t="shared" si="99"/>
        <v>0</v>
      </c>
      <c r="IY23" s="108">
        <v>77241.03</v>
      </c>
      <c r="IZ23" s="1">
        <f t="shared" si="100"/>
        <v>115861.545</v>
      </c>
      <c r="JA23" s="57">
        <v>1.5</v>
      </c>
      <c r="JB23" s="88"/>
      <c r="JC23" s="14">
        <f t="shared" si="101"/>
        <v>0</v>
      </c>
      <c r="JD23" s="73">
        <f t="shared" si="102"/>
        <v>1045159.1199999999</v>
      </c>
      <c r="JE23" s="73">
        <f t="shared" si="103"/>
        <v>736095.01</v>
      </c>
      <c r="JF23" s="75">
        <f t="shared" si="104"/>
        <v>-309064.10999999987</v>
      </c>
      <c r="JG23" s="11">
        <f t="shared" si="105"/>
        <v>0.70428989798223274</v>
      </c>
    </row>
    <row r="24" spans="3:267">
      <c r="C24" s="71" t="str">
        <f>"A22"</f>
        <v>A22</v>
      </c>
      <c r="D24" s="164">
        <v>81541.19</v>
      </c>
      <c r="E24" s="1">
        <f t="shared" si="4"/>
        <v>48924.714</v>
      </c>
      <c r="F24" s="2">
        <v>0.6</v>
      </c>
      <c r="G24" s="108">
        <v>68898.91</v>
      </c>
      <c r="H24" s="171">
        <f t="shared" si="5"/>
        <v>0.84495835785570461</v>
      </c>
      <c r="I24" s="169">
        <v>95330.4</v>
      </c>
      <c r="J24" s="1">
        <f t="shared" si="6"/>
        <v>71497.799999999988</v>
      </c>
      <c r="K24" s="2">
        <v>0.75</v>
      </c>
      <c r="L24" s="108">
        <v>41441.870000000003</v>
      </c>
      <c r="M24" s="14">
        <f t="shared" si="7"/>
        <v>0.43471830601780759</v>
      </c>
      <c r="N24" s="164">
        <v>87883.02</v>
      </c>
      <c r="O24" s="1">
        <f t="shared" si="8"/>
        <v>52729.811999999998</v>
      </c>
      <c r="P24" s="2">
        <v>0.6</v>
      </c>
      <c r="Q24" s="108">
        <v>53601.09</v>
      </c>
      <c r="R24" s="13">
        <f t="shared" si="9"/>
        <v>0.60991406531090986</v>
      </c>
      <c r="S24" s="160">
        <v>85445.01</v>
      </c>
      <c r="T24" s="1">
        <f t="shared" si="10"/>
        <v>59811.506999999991</v>
      </c>
      <c r="U24" s="2">
        <v>0.7</v>
      </c>
      <c r="V24" s="108">
        <v>55616.36</v>
      </c>
      <c r="W24" s="13">
        <f t="shared" si="11"/>
        <v>0.65090237569168763</v>
      </c>
      <c r="X24" s="108">
        <v>80260.7</v>
      </c>
      <c r="Y24" s="1">
        <f t="shared" si="12"/>
        <v>64208.56</v>
      </c>
      <c r="Z24" s="2">
        <v>0.8</v>
      </c>
      <c r="AA24" s="108">
        <v>70205.350000000006</v>
      </c>
      <c r="AB24" s="13">
        <f t="shared" si="13"/>
        <v>0.8747163929544598</v>
      </c>
      <c r="AC24" s="108">
        <v>139661.01</v>
      </c>
      <c r="AD24" s="1">
        <f t="shared" si="14"/>
        <v>139661.01</v>
      </c>
      <c r="AE24" s="2">
        <v>1</v>
      </c>
      <c r="AF24" s="108">
        <v>78758.850000000006</v>
      </c>
      <c r="AG24" s="13">
        <f t="shared" si="15"/>
        <v>0.56392868704014099</v>
      </c>
      <c r="AH24" s="108">
        <v>81040.639999999999</v>
      </c>
      <c r="AI24" s="1">
        <f t="shared" si="16"/>
        <v>48624.383999999998</v>
      </c>
      <c r="AJ24" s="2">
        <v>0.6</v>
      </c>
      <c r="AK24" s="108">
        <v>36939.089999999997</v>
      </c>
      <c r="AL24" s="13">
        <f t="shared" si="17"/>
        <v>0.45580945560153519</v>
      </c>
      <c r="AM24" s="108">
        <v>83438.960000000006</v>
      </c>
      <c r="AN24" s="1">
        <f t="shared" si="18"/>
        <v>50063.376000000004</v>
      </c>
      <c r="AO24" s="2">
        <v>0.6</v>
      </c>
      <c r="AP24" s="108">
        <v>64451.13</v>
      </c>
      <c r="AQ24" s="13">
        <f t="shared" si="19"/>
        <v>0.77243448384303914</v>
      </c>
      <c r="AR24" s="160">
        <v>72365.399999999994</v>
      </c>
      <c r="AS24" s="1">
        <f t="shared" si="20"/>
        <v>54274.049999999996</v>
      </c>
      <c r="AT24" s="2">
        <v>0.75</v>
      </c>
      <c r="AU24" s="108">
        <v>59414.61</v>
      </c>
      <c r="AV24" s="13">
        <f t="shared" si="21"/>
        <v>0.82103615816398456</v>
      </c>
      <c r="AW24" s="160">
        <v>81183.97</v>
      </c>
      <c r="AX24" s="1">
        <f t="shared" si="22"/>
        <v>60887.977500000001</v>
      </c>
      <c r="AY24" s="2">
        <v>0.75</v>
      </c>
      <c r="AZ24" s="108">
        <v>50559.82</v>
      </c>
      <c r="BA24" s="60">
        <f t="shared" si="23"/>
        <v>0.62278082729878814</v>
      </c>
      <c r="BB24" s="160">
        <v>65647.12</v>
      </c>
      <c r="BC24" s="1">
        <f t="shared" si="24"/>
        <v>45952.983999999997</v>
      </c>
      <c r="BD24" s="2">
        <v>0.7</v>
      </c>
      <c r="BE24" s="108">
        <v>68750.19</v>
      </c>
      <c r="BF24" s="17">
        <f t="shared" si="25"/>
        <v>1.0472689434052858</v>
      </c>
      <c r="BG24" s="160">
        <v>40659.1</v>
      </c>
      <c r="BH24" s="1">
        <f t="shared" si="26"/>
        <v>30494.324999999997</v>
      </c>
      <c r="BI24" s="2">
        <v>0.75</v>
      </c>
      <c r="BJ24" s="115"/>
      <c r="BK24" s="60">
        <f t="shared" si="27"/>
        <v>0</v>
      </c>
      <c r="BL24" s="160">
        <v>44906.94</v>
      </c>
      <c r="BM24" s="1">
        <f t="shared" si="28"/>
        <v>33680.205000000002</v>
      </c>
      <c r="BN24" s="2">
        <v>0.75</v>
      </c>
      <c r="BO24" s="115"/>
      <c r="BP24" s="60">
        <f t="shared" si="29"/>
        <v>0</v>
      </c>
      <c r="BQ24" s="160">
        <v>27213.18</v>
      </c>
      <c r="BR24" s="1">
        <f t="shared" si="30"/>
        <v>95246.13</v>
      </c>
      <c r="BS24" s="57">
        <v>3.5</v>
      </c>
      <c r="BT24" s="115"/>
      <c r="BU24" s="16">
        <f t="shared" si="31"/>
        <v>0</v>
      </c>
      <c r="BV24" s="160"/>
      <c r="BW24" s="1">
        <f t="shared" si="32"/>
        <v>0</v>
      </c>
      <c r="BX24" s="57">
        <v>3.5</v>
      </c>
      <c r="BZ24" s="14" t="e">
        <f t="shared" si="33"/>
        <v>#DIV/0!</v>
      </c>
      <c r="CA24" s="160"/>
      <c r="CB24" s="1">
        <f t="shared" si="34"/>
        <v>0</v>
      </c>
      <c r="CC24" s="57">
        <v>5</v>
      </c>
      <c r="CD24" s="115"/>
      <c r="CE24" s="16" t="e">
        <f t="shared" si="35"/>
        <v>#DIV/0!</v>
      </c>
      <c r="CF24" s="160"/>
      <c r="CG24" s="1">
        <f t="shared" si="36"/>
        <v>0</v>
      </c>
      <c r="CH24" s="57">
        <v>3</v>
      </c>
      <c r="CI24" s="115"/>
      <c r="CJ24" s="18" t="e">
        <f t="shared" si="37"/>
        <v>#DIV/0!</v>
      </c>
      <c r="CK24" s="160"/>
      <c r="CL24" s="1">
        <f t="shared" si="38"/>
        <v>0</v>
      </c>
      <c r="CM24" s="57">
        <v>6.5</v>
      </c>
      <c r="CN24" s="115"/>
      <c r="CO24" s="16" t="e">
        <f t="shared" si="39"/>
        <v>#DIV/0!</v>
      </c>
      <c r="CP24" s="160"/>
      <c r="CQ24" s="1">
        <f t="shared" si="40"/>
        <v>0</v>
      </c>
      <c r="CR24" s="57">
        <v>6.5</v>
      </c>
      <c r="CS24" s="116"/>
      <c r="CT24" s="16" t="e">
        <f t="shared" si="41"/>
        <v>#DIV/0!</v>
      </c>
      <c r="CU24" s="160"/>
      <c r="CV24" s="1">
        <f t="shared" si="42"/>
        <v>0</v>
      </c>
      <c r="CW24" s="57">
        <v>6.5</v>
      </c>
      <c r="CX24" s="132"/>
      <c r="CY24" s="130" t="e">
        <f t="shared" si="43"/>
        <v>#DIV/0!</v>
      </c>
      <c r="CZ24" s="160"/>
      <c r="DA24" s="1">
        <f t="shared" si="44"/>
        <v>0</v>
      </c>
      <c r="DB24" s="57">
        <v>6.5</v>
      </c>
      <c r="DC24" s="132"/>
      <c r="DD24" s="18" t="e">
        <f t="shared" si="45"/>
        <v>#DIV/0!</v>
      </c>
      <c r="DE24" s="160">
        <v>78827.08</v>
      </c>
      <c r="DF24" s="1">
        <f t="shared" si="46"/>
        <v>354721.86</v>
      </c>
      <c r="DG24" s="57">
        <v>4.5</v>
      </c>
      <c r="DH24" s="116"/>
      <c r="DI24" s="16">
        <f t="shared" si="47"/>
        <v>0</v>
      </c>
      <c r="DJ24" s="160">
        <v>98307.71</v>
      </c>
      <c r="DK24" s="1">
        <f t="shared" si="48"/>
        <v>294923.13</v>
      </c>
      <c r="DL24" s="57">
        <v>3</v>
      </c>
      <c r="DM24" s="88"/>
      <c r="DN24" s="16">
        <f t="shared" si="106"/>
        <v>0</v>
      </c>
      <c r="DO24" s="160">
        <v>81670.820000000007</v>
      </c>
      <c r="DP24" s="1">
        <f t="shared" si="49"/>
        <v>204177.05000000002</v>
      </c>
      <c r="DQ24" s="57">
        <v>2.5</v>
      </c>
      <c r="DR24" s="88"/>
      <c r="DS24" s="16">
        <f t="shared" si="50"/>
        <v>0</v>
      </c>
      <c r="DT24" s="160">
        <v>70302.289999999994</v>
      </c>
      <c r="DU24" s="1">
        <f t="shared" si="51"/>
        <v>175755.72499999998</v>
      </c>
      <c r="DV24" s="57">
        <v>2.5</v>
      </c>
      <c r="DW24" s="88"/>
      <c r="DX24" s="16">
        <f t="shared" si="0"/>
        <v>0</v>
      </c>
      <c r="DY24" s="160">
        <v>78312.929999999993</v>
      </c>
      <c r="DZ24" s="1">
        <f t="shared" si="52"/>
        <v>195782.32499999998</v>
      </c>
      <c r="EA24" s="57">
        <v>2.5</v>
      </c>
      <c r="EB24" s="232"/>
      <c r="EC24" s="18">
        <f t="shared" si="53"/>
        <v>0</v>
      </c>
      <c r="ED24" s="160">
        <v>84547.43</v>
      </c>
      <c r="EE24" s="1">
        <f t="shared" si="54"/>
        <v>169094.86</v>
      </c>
      <c r="EF24" s="57">
        <v>2</v>
      </c>
      <c r="EG24" s="232"/>
      <c r="EH24" s="16">
        <f t="shared" si="55"/>
        <v>0</v>
      </c>
      <c r="EI24" s="160">
        <v>91261</v>
      </c>
      <c r="EJ24" s="1">
        <f t="shared" si="56"/>
        <v>164269.80000000002</v>
      </c>
      <c r="EK24" s="57">
        <v>1.8</v>
      </c>
      <c r="EL24" s="232"/>
      <c r="EM24" s="16">
        <f t="shared" si="57"/>
        <v>0</v>
      </c>
      <c r="EN24" s="160">
        <v>70090.69</v>
      </c>
      <c r="EO24" s="1">
        <f t="shared" si="58"/>
        <v>126163.24200000001</v>
      </c>
      <c r="EP24" s="57">
        <v>1.8</v>
      </c>
      <c r="EQ24" s="232"/>
      <c r="ER24" s="16">
        <f t="shared" si="59"/>
        <v>0</v>
      </c>
      <c r="ES24" s="160">
        <v>72056.95</v>
      </c>
      <c r="ET24" s="1">
        <f t="shared" si="60"/>
        <v>129702.51</v>
      </c>
      <c r="EU24" s="57">
        <v>1.8</v>
      </c>
      <c r="EV24" s="232"/>
      <c r="EW24" s="18">
        <f t="shared" si="61"/>
        <v>0</v>
      </c>
      <c r="EX24" s="160">
        <v>78995.92</v>
      </c>
      <c r="EY24" s="1">
        <f t="shared" si="62"/>
        <v>142192.65599999999</v>
      </c>
      <c r="EZ24" s="57">
        <v>1.8</v>
      </c>
      <c r="FA24" s="232"/>
      <c r="FB24" s="32">
        <f t="shared" si="1"/>
        <v>0</v>
      </c>
      <c r="FC24" s="160">
        <v>81844.929999999993</v>
      </c>
      <c r="FD24" s="1">
        <f t="shared" si="63"/>
        <v>147320.87399999998</v>
      </c>
      <c r="FE24" s="57">
        <v>1.8</v>
      </c>
      <c r="FF24" s="232"/>
      <c r="FG24" s="14">
        <f t="shared" si="64"/>
        <v>0</v>
      </c>
      <c r="FH24" s="160">
        <v>72919.460000000006</v>
      </c>
      <c r="FI24" s="1">
        <f t="shared" si="65"/>
        <v>131255.02800000002</v>
      </c>
      <c r="FJ24" s="57">
        <v>1.8</v>
      </c>
      <c r="FK24" s="232"/>
      <c r="FL24" s="234">
        <f t="shared" si="66"/>
        <v>0</v>
      </c>
      <c r="FM24" s="160">
        <v>72904.679999999993</v>
      </c>
      <c r="FN24" s="1">
        <f t="shared" si="67"/>
        <v>131228.424</v>
      </c>
      <c r="FO24" s="57">
        <v>1.8</v>
      </c>
      <c r="FP24" s="232"/>
      <c r="FQ24" s="13">
        <f t="shared" si="68"/>
        <v>0</v>
      </c>
      <c r="FR24" s="160">
        <v>86011.16</v>
      </c>
      <c r="FS24" s="1">
        <f t="shared" si="69"/>
        <v>134177.40960000001</v>
      </c>
      <c r="FT24" s="57">
        <v>1.56</v>
      </c>
      <c r="FU24" s="88"/>
      <c r="FV24" s="31">
        <f t="shared" si="70"/>
        <v>0</v>
      </c>
      <c r="FW24" s="160">
        <v>93907.04</v>
      </c>
      <c r="FX24" s="1">
        <f t="shared" si="71"/>
        <v>146494.98240000001</v>
      </c>
      <c r="FY24" s="57">
        <v>1.56</v>
      </c>
      <c r="FZ24" s="88"/>
      <c r="GA24" s="14">
        <f t="shared" si="2"/>
        <v>0</v>
      </c>
      <c r="GB24" s="160">
        <v>79578.47</v>
      </c>
      <c r="GC24" s="1">
        <f t="shared" si="72"/>
        <v>124142.41320000001</v>
      </c>
      <c r="GD24" s="57">
        <v>1.56</v>
      </c>
      <c r="GE24" s="88"/>
      <c r="GF24" s="32">
        <f t="shared" si="73"/>
        <v>0</v>
      </c>
      <c r="GG24" s="160">
        <v>73250.06</v>
      </c>
      <c r="GH24" s="1">
        <f t="shared" si="74"/>
        <v>114270.09360000001</v>
      </c>
      <c r="GI24" s="57">
        <v>1.56</v>
      </c>
      <c r="GJ24" s="108"/>
      <c r="GK24" s="32">
        <f t="shared" si="75"/>
        <v>0</v>
      </c>
      <c r="GL24" s="160">
        <v>63733.19</v>
      </c>
      <c r="GM24" s="1">
        <f t="shared" si="76"/>
        <v>99423.776400000002</v>
      </c>
      <c r="GN24" s="57">
        <v>1.56</v>
      </c>
      <c r="GO24" s="108"/>
      <c r="GP24" s="13">
        <f t="shared" si="77"/>
        <v>0</v>
      </c>
      <c r="GQ24" s="160">
        <v>65870.28</v>
      </c>
      <c r="GR24" s="1">
        <f t="shared" si="78"/>
        <v>102757.63680000001</v>
      </c>
      <c r="GS24" s="57">
        <v>1.56</v>
      </c>
      <c r="GT24" s="108"/>
      <c r="GU24" s="32">
        <f t="shared" si="79"/>
        <v>0</v>
      </c>
      <c r="GV24" s="160">
        <v>88042.91</v>
      </c>
      <c r="GW24" s="1">
        <f t="shared" si="80"/>
        <v>176085.82</v>
      </c>
      <c r="GX24" s="57">
        <v>2</v>
      </c>
      <c r="GY24" s="96"/>
      <c r="GZ24" s="32">
        <f t="shared" si="3"/>
        <v>0</v>
      </c>
      <c r="HA24" s="160">
        <v>66084.740000000005</v>
      </c>
      <c r="HB24" s="1">
        <f t="shared" si="81"/>
        <v>198254.22000000003</v>
      </c>
      <c r="HC24" s="57">
        <v>3</v>
      </c>
      <c r="HD24" s="96"/>
      <c r="HE24" s="32">
        <f t="shared" si="107"/>
        <v>0</v>
      </c>
      <c r="HF24" s="108">
        <v>66626.67</v>
      </c>
      <c r="HG24" s="1">
        <f t="shared" si="82"/>
        <v>333133.34999999998</v>
      </c>
      <c r="HH24" s="57">
        <v>5</v>
      </c>
      <c r="HI24" s="96"/>
      <c r="HJ24" s="13">
        <f t="shared" si="83"/>
        <v>0</v>
      </c>
      <c r="HK24" s="108">
        <v>41313.11</v>
      </c>
      <c r="HL24" s="1">
        <f t="shared" si="84"/>
        <v>227222.10500000001</v>
      </c>
      <c r="HM24" s="57">
        <v>5.5</v>
      </c>
      <c r="HN24" s="97"/>
      <c r="HO24" s="14">
        <f t="shared" si="85"/>
        <v>0</v>
      </c>
      <c r="HP24" s="108">
        <v>43767.44</v>
      </c>
      <c r="HQ24" s="1">
        <f t="shared" si="86"/>
        <v>218837.2</v>
      </c>
      <c r="HR24" s="57">
        <v>5</v>
      </c>
      <c r="HS24" s="81"/>
      <c r="HT24" s="14">
        <f t="shared" si="87"/>
        <v>0</v>
      </c>
      <c r="HU24" s="108">
        <v>99242.53</v>
      </c>
      <c r="HV24" s="1">
        <f t="shared" si="88"/>
        <v>297727.58999999997</v>
      </c>
      <c r="HW24" s="57">
        <v>3</v>
      </c>
      <c r="HX24" s="97"/>
      <c r="HY24" s="14">
        <f t="shared" si="89"/>
        <v>0</v>
      </c>
      <c r="HZ24" s="108">
        <v>140566.96</v>
      </c>
      <c r="IA24" s="1">
        <f t="shared" si="90"/>
        <v>421700.88</v>
      </c>
      <c r="IB24" s="57">
        <v>3</v>
      </c>
      <c r="IC24" s="97"/>
      <c r="ID24" s="14">
        <f t="shared" si="91"/>
        <v>0</v>
      </c>
      <c r="IE24" s="108">
        <v>244975.23</v>
      </c>
      <c r="IF24" s="1">
        <f t="shared" si="92"/>
        <v>367462.84500000003</v>
      </c>
      <c r="IG24" s="57">
        <v>1.5</v>
      </c>
      <c r="IH24" s="88"/>
      <c r="II24" s="32">
        <f t="shared" si="93"/>
        <v>0</v>
      </c>
      <c r="IJ24" s="108">
        <v>259950.19</v>
      </c>
      <c r="IK24" s="1">
        <f t="shared" si="94"/>
        <v>389925.28500000003</v>
      </c>
      <c r="IL24" s="57">
        <v>1.5</v>
      </c>
      <c r="IM24" s="88"/>
      <c r="IN24" s="32">
        <f t="shared" si="95"/>
        <v>0</v>
      </c>
      <c r="IO24" s="108">
        <v>334424.24</v>
      </c>
      <c r="IP24" s="1">
        <f t="shared" si="96"/>
        <v>501636.36</v>
      </c>
      <c r="IQ24" s="57">
        <v>1.5</v>
      </c>
      <c r="IR24" s="88"/>
      <c r="IS24" s="32">
        <f t="shared" si="97"/>
        <v>0</v>
      </c>
      <c r="IT24" s="108">
        <v>363760.25</v>
      </c>
      <c r="IU24" s="1">
        <f t="shared" si="98"/>
        <v>545640.375</v>
      </c>
      <c r="IV24" s="57">
        <v>1.5</v>
      </c>
      <c r="IW24" s="88"/>
      <c r="IX24" s="32">
        <f t="shared" si="99"/>
        <v>0</v>
      </c>
      <c r="IY24" s="108">
        <v>58752.07</v>
      </c>
      <c r="IZ24" s="1">
        <f t="shared" si="100"/>
        <v>88128.104999999996</v>
      </c>
      <c r="JA24" s="57">
        <v>1.5</v>
      </c>
      <c r="JB24" s="88"/>
      <c r="JC24" s="14">
        <f t="shared" si="101"/>
        <v>0</v>
      </c>
      <c r="JD24" s="73">
        <f t="shared" si="102"/>
        <v>953797.42</v>
      </c>
      <c r="JE24" s="73">
        <f t="shared" si="103"/>
        <v>648637.26999999979</v>
      </c>
      <c r="JF24" s="75">
        <f t="shared" si="104"/>
        <v>-305160.15000000026</v>
      </c>
      <c r="JG24" s="11">
        <f t="shared" si="105"/>
        <v>0.68005768981845194</v>
      </c>
    </row>
    <row r="25" spans="3:267">
      <c r="C25" s="71" t="str">
        <f>"A23"</f>
        <v>A23</v>
      </c>
      <c r="D25" s="164">
        <v>59586.879999999997</v>
      </c>
      <c r="E25" s="1">
        <f t="shared" si="4"/>
        <v>35752.127999999997</v>
      </c>
      <c r="F25" s="2">
        <v>0.6</v>
      </c>
      <c r="G25" s="108">
        <v>38382.82</v>
      </c>
      <c r="H25" s="171">
        <f t="shared" si="5"/>
        <v>0.64414884618895973</v>
      </c>
      <c r="I25" s="169">
        <v>59319.94</v>
      </c>
      <c r="J25" s="1">
        <f t="shared" si="6"/>
        <v>38557.961000000003</v>
      </c>
      <c r="K25" s="2">
        <v>0.65</v>
      </c>
      <c r="L25" s="108">
        <v>35876.82</v>
      </c>
      <c r="M25" s="14">
        <f t="shared" si="7"/>
        <v>0.60480202778357495</v>
      </c>
      <c r="N25" s="164">
        <v>55121.04</v>
      </c>
      <c r="O25" s="1">
        <f t="shared" si="8"/>
        <v>35828.675999999999</v>
      </c>
      <c r="P25" s="2">
        <v>0.65</v>
      </c>
      <c r="Q25" s="108">
        <v>43448.41</v>
      </c>
      <c r="R25" s="13">
        <f t="shared" si="9"/>
        <v>0.7882363975715988</v>
      </c>
      <c r="S25" s="160">
        <v>55430.42</v>
      </c>
      <c r="T25" s="1">
        <f t="shared" si="10"/>
        <v>44344.336000000003</v>
      </c>
      <c r="U25" s="2">
        <v>0.8</v>
      </c>
      <c r="V25" s="108">
        <v>45799.28</v>
      </c>
      <c r="W25" s="13">
        <f t="shared" si="11"/>
        <v>0.82624811430257972</v>
      </c>
      <c r="X25" s="108">
        <v>55269.9</v>
      </c>
      <c r="Y25" s="1">
        <f t="shared" si="12"/>
        <v>46979.415000000001</v>
      </c>
      <c r="Z25" s="2">
        <v>0.85</v>
      </c>
      <c r="AA25" s="108">
        <v>44379.7</v>
      </c>
      <c r="AB25" s="13">
        <f t="shared" si="13"/>
        <v>0.80296327657549582</v>
      </c>
      <c r="AC25" s="108">
        <v>91840.59</v>
      </c>
      <c r="AD25" s="1">
        <f t="shared" si="14"/>
        <v>78064.501499999998</v>
      </c>
      <c r="AE25" s="2">
        <v>0.85</v>
      </c>
      <c r="AF25" s="108">
        <v>59061.919999999998</v>
      </c>
      <c r="AG25" s="13">
        <f t="shared" si="15"/>
        <v>0.64309168745540513</v>
      </c>
      <c r="AH25" s="108">
        <v>52046.07</v>
      </c>
      <c r="AI25" s="1">
        <f t="shared" si="16"/>
        <v>31227.642</v>
      </c>
      <c r="AJ25" s="2">
        <v>0.6</v>
      </c>
      <c r="AK25" s="108">
        <v>51325.36</v>
      </c>
      <c r="AL25" s="13">
        <f t="shared" si="17"/>
        <v>0.98615246069491891</v>
      </c>
      <c r="AM25" s="108">
        <v>53752.95</v>
      </c>
      <c r="AN25" s="1">
        <f t="shared" si="18"/>
        <v>32251.769999999997</v>
      </c>
      <c r="AO25" s="2">
        <v>0.6</v>
      </c>
      <c r="AP25" s="108">
        <v>45811.14</v>
      </c>
      <c r="AQ25" s="13">
        <f t="shared" si="19"/>
        <v>0.85225350422627966</v>
      </c>
      <c r="AR25" s="160">
        <v>53050.13</v>
      </c>
      <c r="AS25" s="1">
        <f t="shared" si="20"/>
        <v>39787.597499999996</v>
      </c>
      <c r="AT25" s="2">
        <v>0.75</v>
      </c>
      <c r="AU25" s="108">
        <v>51810.02</v>
      </c>
      <c r="AV25" s="13">
        <f t="shared" si="21"/>
        <v>0.97662380846192076</v>
      </c>
      <c r="AW25" s="160">
        <v>51475.06</v>
      </c>
      <c r="AX25" s="1">
        <f t="shared" si="22"/>
        <v>38606.294999999998</v>
      </c>
      <c r="AY25" s="2">
        <v>0.75</v>
      </c>
      <c r="AZ25" s="108">
        <v>54824.53</v>
      </c>
      <c r="BA25" s="60">
        <f t="shared" si="23"/>
        <v>1.0650697638817712</v>
      </c>
      <c r="BB25" s="160">
        <v>37964.57</v>
      </c>
      <c r="BC25" s="1">
        <f t="shared" si="24"/>
        <v>26575.198999999997</v>
      </c>
      <c r="BD25" s="2">
        <v>0.7</v>
      </c>
      <c r="BE25" s="108">
        <v>51295.82</v>
      </c>
      <c r="BF25" s="17">
        <f t="shared" si="25"/>
        <v>1.3511497693770798</v>
      </c>
      <c r="BG25" s="160">
        <v>27893.33</v>
      </c>
      <c r="BH25" s="1">
        <f t="shared" si="26"/>
        <v>20919.997500000001</v>
      </c>
      <c r="BI25" s="2">
        <v>0.75</v>
      </c>
      <c r="BJ25" s="115"/>
      <c r="BK25" s="60">
        <f t="shared" si="27"/>
        <v>0</v>
      </c>
      <c r="BL25" s="160">
        <v>30723.9</v>
      </c>
      <c r="BM25" s="1">
        <f t="shared" si="28"/>
        <v>23042.925000000003</v>
      </c>
      <c r="BN25" s="2">
        <v>0.75</v>
      </c>
      <c r="BO25" s="115"/>
      <c r="BP25" s="60">
        <f t="shared" si="29"/>
        <v>0</v>
      </c>
      <c r="BQ25" s="160">
        <v>27074</v>
      </c>
      <c r="BR25" s="1">
        <f t="shared" si="30"/>
        <v>94759</v>
      </c>
      <c r="BS25" s="57">
        <v>3.5</v>
      </c>
      <c r="BT25" s="115"/>
      <c r="BU25" s="16">
        <f t="shared" si="31"/>
        <v>0</v>
      </c>
      <c r="BV25" s="160">
        <v>28985.279999999999</v>
      </c>
      <c r="BW25" s="1">
        <f t="shared" si="32"/>
        <v>101448.48</v>
      </c>
      <c r="BX25" s="57">
        <v>3.5</v>
      </c>
      <c r="BY25" s="108"/>
      <c r="BZ25" s="14">
        <f t="shared" si="33"/>
        <v>0</v>
      </c>
      <c r="CA25" s="160">
        <v>28814.19</v>
      </c>
      <c r="CB25" s="1">
        <f t="shared" si="34"/>
        <v>144070.94999999998</v>
      </c>
      <c r="CC25" s="57">
        <v>5</v>
      </c>
      <c r="CD25" s="115"/>
      <c r="CE25" s="16">
        <f t="shared" si="35"/>
        <v>0</v>
      </c>
      <c r="CF25" s="160">
        <v>59087.32</v>
      </c>
      <c r="CG25" s="1">
        <f t="shared" si="36"/>
        <v>177261.96</v>
      </c>
      <c r="CH25" s="57">
        <v>3</v>
      </c>
      <c r="CI25" s="115"/>
      <c r="CJ25" s="18">
        <f t="shared" si="37"/>
        <v>0</v>
      </c>
      <c r="CK25" s="160">
        <v>3012.03</v>
      </c>
      <c r="CL25" s="1">
        <f t="shared" si="38"/>
        <v>19578.195</v>
      </c>
      <c r="CM25" s="57">
        <v>6.5</v>
      </c>
      <c r="CN25" s="115"/>
      <c r="CO25" s="16">
        <f t="shared" si="39"/>
        <v>0</v>
      </c>
      <c r="CP25" s="160">
        <v>18057.189999999999</v>
      </c>
      <c r="CQ25" s="1">
        <f t="shared" si="40"/>
        <v>117371.73499999999</v>
      </c>
      <c r="CR25" s="57">
        <v>6.5</v>
      </c>
      <c r="CS25" s="116"/>
      <c r="CT25" s="16">
        <f t="shared" si="41"/>
        <v>0</v>
      </c>
      <c r="CU25" s="160">
        <v>24085.78</v>
      </c>
      <c r="CV25" s="1">
        <f t="shared" si="42"/>
        <v>156557.57</v>
      </c>
      <c r="CW25" s="57">
        <v>6.5</v>
      </c>
      <c r="CX25" s="116"/>
      <c r="CY25" s="130">
        <f t="shared" si="43"/>
        <v>0</v>
      </c>
      <c r="CZ25" s="160">
        <v>25078.7</v>
      </c>
      <c r="DA25" s="1">
        <f t="shared" si="44"/>
        <v>163011.55000000002</v>
      </c>
      <c r="DB25" s="57">
        <v>6.5</v>
      </c>
      <c r="DC25" s="116"/>
      <c r="DD25" s="18">
        <f t="shared" si="45"/>
        <v>0</v>
      </c>
      <c r="DE25" s="160">
        <v>27516.02</v>
      </c>
      <c r="DF25" s="1">
        <f t="shared" si="46"/>
        <v>123822.09</v>
      </c>
      <c r="DG25" s="57">
        <v>4.5</v>
      </c>
      <c r="DH25" s="116"/>
      <c r="DI25" s="16">
        <f t="shared" si="47"/>
        <v>0</v>
      </c>
      <c r="DJ25" s="160">
        <v>31552.42</v>
      </c>
      <c r="DK25" s="1">
        <f t="shared" si="48"/>
        <v>94657.26</v>
      </c>
      <c r="DL25" s="57">
        <v>3</v>
      </c>
      <c r="DM25" s="88"/>
      <c r="DN25" s="16">
        <f t="shared" si="106"/>
        <v>0</v>
      </c>
      <c r="DO25" s="160">
        <v>51909.35</v>
      </c>
      <c r="DP25" s="1">
        <f t="shared" si="49"/>
        <v>129773.375</v>
      </c>
      <c r="DQ25" s="57">
        <v>2.5</v>
      </c>
      <c r="DR25" s="88"/>
      <c r="DS25" s="16">
        <f t="shared" si="50"/>
        <v>0</v>
      </c>
      <c r="DT25" s="160">
        <v>46251.24</v>
      </c>
      <c r="DU25" s="1">
        <f t="shared" si="51"/>
        <v>115628.09999999999</v>
      </c>
      <c r="DV25" s="57">
        <v>2.5</v>
      </c>
      <c r="DW25" s="88"/>
      <c r="DX25" s="16">
        <f t="shared" si="0"/>
        <v>0</v>
      </c>
      <c r="DY25" s="160">
        <v>44001.67</v>
      </c>
      <c r="DZ25" s="1">
        <f t="shared" si="52"/>
        <v>110004.17499999999</v>
      </c>
      <c r="EA25" s="57">
        <v>2.5</v>
      </c>
      <c r="EB25" s="232"/>
      <c r="EC25" s="18">
        <f t="shared" si="53"/>
        <v>0</v>
      </c>
      <c r="ED25" s="160">
        <v>46734.58</v>
      </c>
      <c r="EE25" s="1">
        <f t="shared" si="54"/>
        <v>93469.16</v>
      </c>
      <c r="EF25" s="57">
        <v>2</v>
      </c>
      <c r="EG25" s="232"/>
      <c r="EH25" s="16">
        <f t="shared" si="55"/>
        <v>0</v>
      </c>
      <c r="EI25" s="160">
        <v>40420.120000000003</v>
      </c>
      <c r="EJ25" s="1">
        <f t="shared" si="56"/>
        <v>72756.216</v>
      </c>
      <c r="EK25" s="57">
        <v>1.8</v>
      </c>
      <c r="EL25" s="232"/>
      <c r="EM25" s="16">
        <f t="shared" si="57"/>
        <v>0</v>
      </c>
      <c r="EN25" s="160">
        <v>46577.05</v>
      </c>
      <c r="EO25" s="1">
        <f t="shared" si="58"/>
        <v>83838.69</v>
      </c>
      <c r="EP25" s="57">
        <v>1.8</v>
      </c>
      <c r="EQ25" s="232"/>
      <c r="ER25" s="16">
        <f t="shared" si="59"/>
        <v>0</v>
      </c>
      <c r="ES25" s="160">
        <v>49989.06</v>
      </c>
      <c r="ET25" s="1">
        <f t="shared" si="60"/>
        <v>89980.308000000005</v>
      </c>
      <c r="EU25" s="57">
        <v>1.8</v>
      </c>
      <c r="EV25" s="232"/>
      <c r="EW25" s="18">
        <f t="shared" si="61"/>
        <v>0</v>
      </c>
      <c r="EX25" s="160">
        <v>52503.11</v>
      </c>
      <c r="EY25" s="1">
        <f t="shared" si="62"/>
        <v>94505.597999999998</v>
      </c>
      <c r="EZ25" s="57">
        <v>1.8</v>
      </c>
      <c r="FA25" s="232"/>
      <c r="FB25" s="32">
        <f t="shared" si="1"/>
        <v>0</v>
      </c>
      <c r="FC25" s="160">
        <v>51947.82</v>
      </c>
      <c r="FD25" s="1">
        <f t="shared" si="63"/>
        <v>93506.076000000001</v>
      </c>
      <c r="FE25" s="57">
        <v>1.8</v>
      </c>
      <c r="FF25" s="232"/>
      <c r="FG25" s="14">
        <f t="shared" si="64"/>
        <v>0</v>
      </c>
      <c r="FH25" s="160">
        <v>41590.699999999997</v>
      </c>
      <c r="FI25" s="1">
        <f t="shared" si="65"/>
        <v>74863.259999999995</v>
      </c>
      <c r="FJ25" s="57">
        <v>1.8</v>
      </c>
      <c r="FK25" s="232"/>
      <c r="FL25" s="234">
        <f t="shared" si="66"/>
        <v>0</v>
      </c>
      <c r="FM25" s="160">
        <v>47581.78</v>
      </c>
      <c r="FN25" s="1">
        <f t="shared" si="67"/>
        <v>85647.203999999998</v>
      </c>
      <c r="FO25" s="57">
        <v>1.8</v>
      </c>
      <c r="FP25" s="232"/>
      <c r="FQ25" s="13">
        <f t="shared" si="68"/>
        <v>0</v>
      </c>
      <c r="FR25" s="160">
        <v>51362.74</v>
      </c>
      <c r="FS25" s="1">
        <f t="shared" si="69"/>
        <v>80125.874400000001</v>
      </c>
      <c r="FT25" s="57">
        <v>1.56</v>
      </c>
      <c r="FU25" s="88"/>
      <c r="FV25" s="31">
        <f t="shared" si="70"/>
        <v>0</v>
      </c>
      <c r="FW25" s="160">
        <v>49175.58</v>
      </c>
      <c r="FX25" s="1">
        <f t="shared" si="71"/>
        <v>76713.904800000004</v>
      </c>
      <c r="FY25" s="57">
        <v>1.56</v>
      </c>
      <c r="FZ25" s="88"/>
      <c r="GA25" s="14">
        <f t="shared" si="2"/>
        <v>0</v>
      </c>
      <c r="GB25" s="160">
        <v>61385.760000000002</v>
      </c>
      <c r="GC25" s="1">
        <f t="shared" si="72"/>
        <v>95761.785600000003</v>
      </c>
      <c r="GD25" s="57">
        <v>1.56</v>
      </c>
      <c r="GE25" s="88"/>
      <c r="GF25" s="32">
        <f t="shared" si="73"/>
        <v>0</v>
      </c>
      <c r="GG25" s="160">
        <v>40931.86</v>
      </c>
      <c r="GH25" s="1">
        <f t="shared" si="74"/>
        <v>63853.7016</v>
      </c>
      <c r="GI25" s="57">
        <v>1.56</v>
      </c>
      <c r="GJ25" s="108"/>
      <c r="GK25" s="32">
        <f t="shared" si="75"/>
        <v>0</v>
      </c>
      <c r="GL25" s="160">
        <v>53642.01</v>
      </c>
      <c r="GM25" s="1">
        <f t="shared" si="76"/>
        <v>83681.535600000003</v>
      </c>
      <c r="GN25" s="57">
        <v>1.56</v>
      </c>
      <c r="GO25" s="108"/>
      <c r="GP25" s="13">
        <f t="shared" si="77"/>
        <v>0</v>
      </c>
      <c r="GQ25" s="160">
        <v>42922.46</v>
      </c>
      <c r="GR25" s="1">
        <f t="shared" si="78"/>
        <v>66959.037599999996</v>
      </c>
      <c r="GS25" s="57">
        <v>1.56</v>
      </c>
      <c r="GT25" s="108"/>
      <c r="GU25" s="32">
        <f t="shared" si="79"/>
        <v>0</v>
      </c>
      <c r="GV25" s="160">
        <v>39768.76</v>
      </c>
      <c r="GW25" s="1">
        <f t="shared" si="80"/>
        <v>79537.52</v>
      </c>
      <c r="GX25" s="57">
        <v>2</v>
      </c>
      <c r="GY25" s="96"/>
      <c r="GZ25" s="32">
        <f t="shared" si="3"/>
        <v>0</v>
      </c>
      <c r="HA25" s="160">
        <v>35975.42</v>
      </c>
      <c r="HB25" s="1">
        <f t="shared" si="81"/>
        <v>107926.26</v>
      </c>
      <c r="HC25" s="57">
        <v>3</v>
      </c>
      <c r="HD25" s="96"/>
      <c r="HE25" s="32">
        <f t="shared" si="107"/>
        <v>0</v>
      </c>
      <c r="HF25" s="108">
        <v>31906.240000000002</v>
      </c>
      <c r="HG25" s="1">
        <f t="shared" si="82"/>
        <v>159531.20000000001</v>
      </c>
      <c r="HH25" s="57">
        <v>5</v>
      </c>
      <c r="HI25" s="96"/>
      <c r="HJ25" s="13">
        <f t="shared" si="83"/>
        <v>0</v>
      </c>
      <c r="HK25" s="108">
        <v>17396.45</v>
      </c>
      <c r="HL25" s="1">
        <f t="shared" si="84"/>
        <v>95680.475000000006</v>
      </c>
      <c r="HM25" s="57">
        <v>5.5</v>
      </c>
      <c r="HN25" s="97"/>
      <c r="HO25" s="14">
        <f t="shared" si="85"/>
        <v>0</v>
      </c>
      <c r="HP25" s="108">
        <v>16814.47</v>
      </c>
      <c r="HQ25" s="1">
        <f t="shared" si="86"/>
        <v>84072.35</v>
      </c>
      <c r="HR25" s="57">
        <v>5</v>
      </c>
      <c r="HS25" s="81"/>
      <c r="HT25" s="14">
        <f t="shared" si="87"/>
        <v>0</v>
      </c>
      <c r="HU25" s="108">
        <v>43275.839999999997</v>
      </c>
      <c r="HV25" s="1">
        <f t="shared" si="88"/>
        <v>129827.51999999999</v>
      </c>
      <c r="HW25" s="57">
        <v>3</v>
      </c>
      <c r="HX25" s="97"/>
      <c r="HY25" s="14">
        <f t="shared" si="89"/>
        <v>0</v>
      </c>
      <c r="HZ25" s="108">
        <v>52988.2</v>
      </c>
      <c r="IA25" s="1">
        <f t="shared" si="90"/>
        <v>158964.59999999998</v>
      </c>
      <c r="IB25" s="57">
        <v>3</v>
      </c>
      <c r="IC25" s="97"/>
      <c r="ID25" s="14">
        <f t="shared" si="91"/>
        <v>0</v>
      </c>
      <c r="IE25" s="108">
        <v>94000.01</v>
      </c>
      <c r="IF25" s="1">
        <f t="shared" si="92"/>
        <v>141000.01499999998</v>
      </c>
      <c r="IG25" s="57">
        <v>1.5</v>
      </c>
      <c r="IH25" s="88"/>
      <c r="II25" s="32">
        <f t="shared" si="93"/>
        <v>0</v>
      </c>
      <c r="IJ25" s="108">
        <v>94600.29</v>
      </c>
      <c r="IK25" s="1">
        <f t="shared" si="94"/>
        <v>141900.435</v>
      </c>
      <c r="IL25" s="57">
        <v>1.5</v>
      </c>
      <c r="IM25" s="88"/>
      <c r="IN25" s="32">
        <f t="shared" si="95"/>
        <v>0</v>
      </c>
      <c r="IO25" s="108">
        <v>148226.15</v>
      </c>
      <c r="IP25" s="1">
        <f t="shared" si="96"/>
        <v>222339.22499999998</v>
      </c>
      <c r="IQ25" s="57">
        <v>1.5</v>
      </c>
      <c r="IR25" s="88"/>
      <c r="IS25" s="32">
        <f t="shared" si="97"/>
        <v>0</v>
      </c>
      <c r="IT25" s="108">
        <v>198436.94</v>
      </c>
      <c r="IU25" s="1">
        <f t="shared" si="98"/>
        <v>297655.41000000003</v>
      </c>
      <c r="IV25" s="57">
        <v>1.5</v>
      </c>
      <c r="IW25" s="88"/>
      <c r="IX25" s="32">
        <f t="shared" si="99"/>
        <v>0</v>
      </c>
      <c r="IY25" s="108">
        <v>39470.870000000003</v>
      </c>
      <c r="IZ25" s="1">
        <f t="shared" si="100"/>
        <v>59206.305000000008</v>
      </c>
      <c r="JA25" s="57">
        <v>1.5</v>
      </c>
      <c r="JB25" s="88"/>
      <c r="JC25" s="14">
        <f t="shared" si="101"/>
        <v>0</v>
      </c>
      <c r="JD25" s="73">
        <f t="shared" si="102"/>
        <v>624857.54999999993</v>
      </c>
      <c r="JE25" s="73">
        <f t="shared" si="103"/>
        <v>522015.82</v>
      </c>
      <c r="JF25" s="75">
        <f t="shared" si="104"/>
        <v>-102841.72999999992</v>
      </c>
      <c r="JG25" s="11">
        <f t="shared" si="105"/>
        <v>0.83541571995089137</v>
      </c>
    </row>
    <row r="26" spans="3:267">
      <c r="C26" s="71" t="s">
        <v>27</v>
      </c>
      <c r="D26" s="164">
        <v>41561.57</v>
      </c>
      <c r="E26" s="1">
        <f t="shared" si="4"/>
        <v>24936.941999999999</v>
      </c>
      <c r="F26" s="2">
        <v>0.6</v>
      </c>
      <c r="G26" s="108">
        <v>80177.56</v>
      </c>
      <c r="H26" s="171">
        <f t="shared" si="5"/>
        <v>1.9291273164127341</v>
      </c>
      <c r="I26" s="169">
        <v>38908.65</v>
      </c>
      <c r="J26" s="1">
        <f t="shared" si="6"/>
        <v>25290.622500000001</v>
      </c>
      <c r="K26" s="2">
        <v>0.65</v>
      </c>
      <c r="L26" s="108">
        <v>54697.21</v>
      </c>
      <c r="M26" s="14">
        <f t="shared" si="7"/>
        <v>1.4057853459320742</v>
      </c>
      <c r="N26" s="164">
        <v>37025.94</v>
      </c>
      <c r="O26" s="1">
        <f t="shared" si="8"/>
        <v>61092.800999999999</v>
      </c>
      <c r="P26" s="2">
        <v>1.65</v>
      </c>
      <c r="Q26" s="108">
        <v>73384.240000000005</v>
      </c>
      <c r="R26" s="13">
        <f t="shared" si="9"/>
        <v>1.9819683173472435</v>
      </c>
      <c r="S26" s="160">
        <v>30886.97</v>
      </c>
      <c r="T26" s="1">
        <f t="shared" si="10"/>
        <v>63318.288499999995</v>
      </c>
      <c r="U26" s="2">
        <v>2.0499999999999998</v>
      </c>
      <c r="V26" s="108">
        <v>76564.5</v>
      </c>
      <c r="W26" s="13">
        <f t="shared" si="11"/>
        <v>2.4788608270736816</v>
      </c>
      <c r="X26" s="108">
        <v>31657.03</v>
      </c>
      <c r="Y26" s="1">
        <f t="shared" si="12"/>
        <v>82308.278000000006</v>
      </c>
      <c r="Z26" s="2">
        <v>2.6</v>
      </c>
      <c r="AA26" s="108">
        <v>89097.81</v>
      </c>
      <c r="AB26" s="13">
        <f t="shared" si="13"/>
        <v>2.8144715407604566</v>
      </c>
      <c r="AC26" s="108">
        <v>56670.69</v>
      </c>
      <c r="AD26" s="1">
        <f t="shared" si="14"/>
        <v>175679.13900000002</v>
      </c>
      <c r="AE26" s="2">
        <v>3.1</v>
      </c>
      <c r="AF26" s="108">
        <v>107508.87</v>
      </c>
      <c r="AG26" s="13">
        <f t="shared" si="15"/>
        <v>1.8970806602143011</v>
      </c>
      <c r="AH26" s="108">
        <v>22119.08</v>
      </c>
      <c r="AI26" s="1">
        <f t="shared" si="16"/>
        <v>13271.448</v>
      </c>
      <c r="AJ26" s="2">
        <v>0.6</v>
      </c>
      <c r="AK26" s="108">
        <v>66441.89</v>
      </c>
      <c r="AL26" s="13">
        <f t="shared" si="17"/>
        <v>3.0038270126967301</v>
      </c>
      <c r="AM26" s="108">
        <v>30730.93</v>
      </c>
      <c r="AN26" s="1">
        <f t="shared" si="18"/>
        <v>18438.558000000001</v>
      </c>
      <c r="AO26" s="2">
        <v>0.6</v>
      </c>
      <c r="AP26" s="108">
        <v>83980.1</v>
      </c>
      <c r="AQ26" s="13">
        <f t="shared" si="19"/>
        <v>2.7327549149993184</v>
      </c>
      <c r="AR26" s="160">
        <v>34613.339999999997</v>
      </c>
      <c r="AS26" s="1">
        <f t="shared" si="20"/>
        <v>69226.679999999993</v>
      </c>
      <c r="AT26" s="2">
        <v>2</v>
      </c>
      <c r="AU26" s="108">
        <v>74838.289999999994</v>
      </c>
      <c r="AV26" s="13">
        <f t="shared" si="21"/>
        <v>2.1621227538284371</v>
      </c>
      <c r="AW26" s="160">
        <v>36944.730000000003</v>
      </c>
      <c r="AX26" s="1">
        <f t="shared" si="22"/>
        <v>73889.460000000006</v>
      </c>
      <c r="AY26" s="2">
        <v>2</v>
      </c>
      <c r="AZ26" s="108">
        <v>72754.429999999993</v>
      </c>
      <c r="BA26" s="60">
        <f t="shared" si="23"/>
        <v>1.969277620921847</v>
      </c>
      <c r="BB26" s="160">
        <v>11735.4</v>
      </c>
      <c r="BC26" s="1">
        <f t="shared" si="24"/>
        <v>23470.799999999999</v>
      </c>
      <c r="BD26" s="2">
        <v>2</v>
      </c>
      <c r="BE26" s="108">
        <v>96165.65</v>
      </c>
      <c r="BF26" s="17">
        <f t="shared" si="25"/>
        <v>8.1944927313939022</v>
      </c>
      <c r="BG26" s="160"/>
      <c r="BH26" s="1">
        <f t="shared" si="26"/>
        <v>0</v>
      </c>
      <c r="BI26" s="2">
        <v>2</v>
      </c>
      <c r="BJ26" s="115"/>
      <c r="BK26" s="60" t="e">
        <f t="shared" si="27"/>
        <v>#DIV/0!</v>
      </c>
      <c r="BL26" s="160"/>
      <c r="BM26" s="1">
        <f t="shared" si="28"/>
        <v>0</v>
      </c>
      <c r="BN26" s="2">
        <v>2</v>
      </c>
      <c r="BO26" s="115"/>
      <c r="BP26" s="60" t="e">
        <f t="shared" si="29"/>
        <v>#DIV/0!</v>
      </c>
      <c r="BQ26" s="160"/>
      <c r="BR26" s="1">
        <f t="shared" si="30"/>
        <v>0</v>
      </c>
      <c r="BS26" s="57">
        <v>3.5</v>
      </c>
      <c r="BT26" s="115"/>
      <c r="BU26" s="16" t="e">
        <f t="shared" si="31"/>
        <v>#DIV/0!</v>
      </c>
      <c r="BV26" s="160"/>
      <c r="BW26" s="1">
        <f t="shared" si="32"/>
        <v>0</v>
      </c>
      <c r="BX26" s="57">
        <v>3.5</v>
      </c>
      <c r="BZ26" s="14" t="e">
        <f t="shared" si="33"/>
        <v>#DIV/0!</v>
      </c>
      <c r="CA26" s="160"/>
      <c r="CB26" s="1">
        <f t="shared" si="34"/>
        <v>0</v>
      </c>
      <c r="CC26" s="57">
        <v>5</v>
      </c>
      <c r="CD26" s="115"/>
      <c r="CE26" s="16" t="e">
        <f t="shared" si="35"/>
        <v>#DIV/0!</v>
      </c>
      <c r="CF26" s="160"/>
      <c r="CG26" s="1">
        <f t="shared" si="36"/>
        <v>0</v>
      </c>
      <c r="CH26" s="57">
        <v>3</v>
      </c>
      <c r="CI26" s="115"/>
      <c r="CJ26" s="18" t="e">
        <f t="shared" si="37"/>
        <v>#DIV/0!</v>
      </c>
      <c r="CK26" s="160"/>
      <c r="CL26" s="1">
        <f t="shared" si="38"/>
        <v>0</v>
      </c>
      <c r="CM26" s="57">
        <v>6.5</v>
      </c>
      <c r="CN26" s="115"/>
      <c r="CO26" s="16" t="e">
        <f t="shared" si="39"/>
        <v>#DIV/0!</v>
      </c>
      <c r="CP26" s="160"/>
      <c r="CQ26" s="1">
        <f t="shared" si="40"/>
        <v>0</v>
      </c>
      <c r="CR26" s="57">
        <v>6.5</v>
      </c>
      <c r="CS26" s="95"/>
      <c r="CT26" s="16" t="e">
        <f t="shared" si="41"/>
        <v>#DIV/0!</v>
      </c>
      <c r="CU26" s="160"/>
      <c r="CV26" s="1">
        <f t="shared" si="42"/>
        <v>0</v>
      </c>
      <c r="CW26" s="57">
        <v>6.5</v>
      </c>
      <c r="CX26" s="132"/>
      <c r="CY26" s="130" t="e">
        <f t="shared" si="43"/>
        <v>#DIV/0!</v>
      </c>
      <c r="CZ26" s="160"/>
      <c r="DA26" s="1">
        <f t="shared" si="44"/>
        <v>0</v>
      </c>
      <c r="DB26" s="57">
        <v>6.5</v>
      </c>
      <c r="DC26" s="132"/>
      <c r="DD26" s="18" t="e">
        <f t="shared" si="45"/>
        <v>#DIV/0!</v>
      </c>
      <c r="DE26" s="357"/>
      <c r="DF26" s="1">
        <f t="shared" si="46"/>
        <v>0</v>
      </c>
      <c r="DG26" s="57">
        <v>4.5</v>
      </c>
      <c r="DH26" s="132"/>
      <c r="DI26" s="16" t="e">
        <f t="shared" si="47"/>
        <v>#DIV/0!</v>
      </c>
      <c r="DJ26" s="357"/>
      <c r="DK26" s="1">
        <f t="shared" si="48"/>
        <v>0</v>
      </c>
      <c r="DL26" s="57">
        <v>3</v>
      </c>
      <c r="DM26" s="233"/>
      <c r="DN26" s="16" t="e">
        <f t="shared" si="106"/>
        <v>#DIV/0!</v>
      </c>
      <c r="DO26" s="357"/>
      <c r="DP26" s="1">
        <f t="shared" si="49"/>
        <v>0</v>
      </c>
      <c r="DQ26" s="57">
        <v>2.5</v>
      </c>
      <c r="DR26" s="233"/>
      <c r="DS26" s="16" t="e">
        <f t="shared" si="50"/>
        <v>#DIV/0!</v>
      </c>
      <c r="DT26" s="357"/>
      <c r="DU26" s="1">
        <f t="shared" si="51"/>
        <v>0</v>
      </c>
      <c r="DV26" s="57">
        <v>2.5</v>
      </c>
      <c r="DW26" s="233"/>
      <c r="DX26" s="16" t="e">
        <f t="shared" si="0"/>
        <v>#DIV/0!</v>
      </c>
      <c r="DY26" s="357"/>
      <c r="DZ26" s="1">
        <f t="shared" si="52"/>
        <v>0</v>
      </c>
      <c r="EA26" s="57">
        <v>2.5</v>
      </c>
      <c r="EB26" s="233"/>
      <c r="EC26" s="18" t="e">
        <f t="shared" si="53"/>
        <v>#DIV/0!</v>
      </c>
      <c r="ED26" s="357"/>
      <c r="EE26" s="1">
        <f t="shared" si="54"/>
        <v>0</v>
      </c>
      <c r="EF26" s="57">
        <v>2</v>
      </c>
      <c r="EG26" s="233"/>
      <c r="EH26" s="16" t="e">
        <f t="shared" si="55"/>
        <v>#DIV/0!</v>
      </c>
      <c r="EI26" s="357"/>
      <c r="EJ26" s="1">
        <f t="shared" si="56"/>
        <v>0</v>
      </c>
      <c r="EK26" s="57">
        <v>1.8</v>
      </c>
      <c r="EL26" s="233"/>
      <c r="EM26" s="16" t="e">
        <f t="shared" si="57"/>
        <v>#DIV/0!</v>
      </c>
      <c r="EN26" s="357"/>
      <c r="EO26" s="1">
        <f t="shared" si="58"/>
        <v>0</v>
      </c>
      <c r="EP26" s="57">
        <v>1.8</v>
      </c>
      <c r="EQ26" s="233"/>
      <c r="ER26" s="16" t="e">
        <f t="shared" si="59"/>
        <v>#DIV/0!</v>
      </c>
      <c r="ES26" s="160">
        <v>23435.3</v>
      </c>
      <c r="ET26" s="1">
        <f t="shared" si="60"/>
        <v>42183.54</v>
      </c>
      <c r="EU26" s="57">
        <v>1.8</v>
      </c>
      <c r="EV26" s="232"/>
      <c r="EW26" s="18">
        <f t="shared" si="61"/>
        <v>0</v>
      </c>
      <c r="EX26" s="160">
        <v>103568.97</v>
      </c>
      <c r="EY26" s="1">
        <f t="shared" si="62"/>
        <v>186424.14600000001</v>
      </c>
      <c r="EZ26" s="57">
        <v>1.8</v>
      </c>
      <c r="FA26" s="232"/>
      <c r="FB26" s="32">
        <f t="shared" si="1"/>
        <v>0</v>
      </c>
      <c r="FC26" s="160">
        <v>109279.8</v>
      </c>
      <c r="FD26" s="1">
        <f t="shared" si="63"/>
        <v>196703.64</v>
      </c>
      <c r="FE26" s="57">
        <v>1.8</v>
      </c>
      <c r="FF26" s="232"/>
      <c r="FG26" s="14">
        <f t="shared" si="64"/>
        <v>0</v>
      </c>
      <c r="FH26" s="160">
        <v>106505.69</v>
      </c>
      <c r="FI26" s="1">
        <f t="shared" si="65"/>
        <v>191710.242</v>
      </c>
      <c r="FJ26" s="57">
        <v>1.8</v>
      </c>
      <c r="FK26" s="232"/>
      <c r="FL26" s="234">
        <f t="shared" si="66"/>
        <v>0</v>
      </c>
      <c r="FM26" s="160">
        <v>103944.21</v>
      </c>
      <c r="FN26" s="1">
        <f t="shared" si="67"/>
        <v>187099.57800000001</v>
      </c>
      <c r="FO26" s="57">
        <v>1.8</v>
      </c>
      <c r="FP26" s="232"/>
      <c r="FQ26" s="13">
        <f t="shared" si="68"/>
        <v>0</v>
      </c>
      <c r="FR26" s="160">
        <v>109691.52</v>
      </c>
      <c r="FS26" s="1">
        <f t="shared" si="69"/>
        <v>171118.77120000002</v>
      </c>
      <c r="FT26" s="57">
        <v>1.56</v>
      </c>
      <c r="FU26" s="88"/>
      <c r="FV26" s="31">
        <f t="shared" si="70"/>
        <v>0</v>
      </c>
      <c r="FW26" s="160">
        <v>100664.55</v>
      </c>
      <c r="FX26" s="1">
        <f t="shared" si="71"/>
        <v>157036.698</v>
      </c>
      <c r="FY26" s="57">
        <v>1.56</v>
      </c>
      <c r="FZ26" s="88"/>
      <c r="GA26" s="14">
        <f t="shared" si="2"/>
        <v>0</v>
      </c>
      <c r="GB26" s="160">
        <v>97807.1</v>
      </c>
      <c r="GC26" s="1">
        <f t="shared" si="72"/>
        <v>152579.076</v>
      </c>
      <c r="GD26" s="57">
        <v>1.56</v>
      </c>
      <c r="GE26" s="88"/>
      <c r="GF26" s="32">
        <f t="shared" si="73"/>
        <v>0</v>
      </c>
      <c r="GG26" s="160">
        <v>86280.2</v>
      </c>
      <c r="GH26" s="1">
        <f t="shared" si="74"/>
        <v>134597.11199999999</v>
      </c>
      <c r="GI26" s="57">
        <v>1.56</v>
      </c>
      <c r="GJ26" s="108"/>
      <c r="GK26" s="32">
        <f t="shared" si="75"/>
        <v>0</v>
      </c>
      <c r="GL26" s="160">
        <v>81037.679999999993</v>
      </c>
      <c r="GM26" s="1">
        <f t="shared" si="76"/>
        <v>126418.78079999999</v>
      </c>
      <c r="GN26" s="57">
        <v>1.56</v>
      </c>
      <c r="GO26" s="108"/>
      <c r="GP26" s="13">
        <f t="shared" si="77"/>
        <v>0</v>
      </c>
      <c r="GQ26" s="160">
        <v>91942.47</v>
      </c>
      <c r="GR26" s="1">
        <f t="shared" si="78"/>
        <v>143430.25320000001</v>
      </c>
      <c r="GS26" s="57">
        <v>1.56</v>
      </c>
      <c r="GT26" s="108"/>
      <c r="GU26" s="32">
        <f t="shared" si="79"/>
        <v>0</v>
      </c>
      <c r="GV26" s="160">
        <v>104307.58</v>
      </c>
      <c r="GW26" s="1">
        <f t="shared" si="80"/>
        <v>208615.16</v>
      </c>
      <c r="GX26" s="57">
        <v>2</v>
      </c>
      <c r="GY26" s="96"/>
      <c r="GZ26" s="32">
        <f t="shared" si="3"/>
        <v>0</v>
      </c>
      <c r="HA26" s="160">
        <v>39438.339999999997</v>
      </c>
      <c r="HB26" s="1">
        <f t="shared" si="81"/>
        <v>118315.01999999999</v>
      </c>
      <c r="HC26" s="57">
        <v>3</v>
      </c>
      <c r="HD26" s="96"/>
      <c r="HE26" s="32">
        <f t="shared" si="107"/>
        <v>0</v>
      </c>
      <c r="HF26" s="108">
        <v>9592.99</v>
      </c>
      <c r="HG26" s="1">
        <f t="shared" si="82"/>
        <v>47964.95</v>
      </c>
      <c r="HH26" s="57">
        <v>5</v>
      </c>
      <c r="HI26" s="96"/>
      <c r="HJ26" s="13">
        <f t="shared" si="83"/>
        <v>0</v>
      </c>
      <c r="HK26" s="108">
        <v>1028.6600000000001</v>
      </c>
      <c r="HL26" s="1">
        <f t="shared" si="84"/>
        <v>5657.63</v>
      </c>
      <c r="HM26" s="57">
        <v>5.5</v>
      </c>
      <c r="HN26" s="97"/>
      <c r="HO26" s="14">
        <f t="shared" si="85"/>
        <v>0</v>
      </c>
      <c r="HQ26" s="1">
        <f t="shared" si="86"/>
        <v>0</v>
      </c>
      <c r="HR26" s="57">
        <v>5</v>
      </c>
      <c r="HS26" s="81"/>
      <c r="HT26" s="14" t="e">
        <f t="shared" si="87"/>
        <v>#DIV/0!</v>
      </c>
      <c r="HU26" s="108">
        <v>1222.82</v>
      </c>
      <c r="HV26" s="1">
        <f t="shared" si="88"/>
        <v>3668.46</v>
      </c>
      <c r="HW26" s="57">
        <v>3</v>
      </c>
      <c r="HX26" s="97"/>
      <c r="HY26" s="14">
        <f t="shared" si="89"/>
        <v>0</v>
      </c>
      <c r="HZ26" s="108">
        <v>91571.520000000004</v>
      </c>
      <c r="IA26" s="1">
        <f t="shared" si="90"/>
        <v>274714.56</v>
      </c>
      <c r="IB26" s="57">
        <v>3</v>
      </c>
      <c r="IC26" s="97"/>
      <c r="ID26" s="14">
        <f t="shared" si="91"/>
        <v>0</v>
      </c>
      <c r="IE26" s="108">
        <v>217171.73</v>
      </c>
      <c r="IF26" s="1">
        <f t="shared" si="92"/>
        <v>325757.59500000003</v>
      </c>
      <c r="IG26" s="57">
        <v>1.5</v>
      </c>
      <c r="IH26" s="88"/>
      <c r="II26" s="32">
        <f t="shared" si="93"/>
        <v>0</v>
      </c>
      <c r="IJ26" s="108">
        <v>322529.96000000002</v>
      </c>
      <c r="IK26" s="1">
        <f t="shared" si="94"/>
        <v>483794.94000000006</v>
      </c>
      <c r="IL26" s="57">
        <v>1.5</v>
      </c>
      <c r="IM26" s="88"/>
      <c r="IN26" s="32">
        <f t="shared" si="95"/>
        <v>0</v>
      </c>
      <c r="IO26" s="108">
        <v>376211.89</v>
      </c>
      <c r="IP26" s="1">
        <f t="shared" si="96"/>
        <v>564317.83499999996</v>
      </c>
      <c r="IQ26" s="57">
        <v>1.5</v>
      </c>
      <c r="IR26" s="88"/>
      <c r="IS26" s="32">
        <f t="shared" si="97"/>
        <v>0</v>
      </c>
      <c r="IT26" s="108">
        <v>378702.13</v>
      </c>
      <c r="IU26" s="1">
        <f t="shared" si="98"/>
        <v>568053.19500000007</v>
      </c>
      <c r="IV26" s="57">
        <v>1.5</v>
      </c>
      <c r="IW26" s="88"/>
      <c r="IX26" s="32">
        <f t="shared" si="99"/>
        <v>0</v>
      </c>
      <c r="IY26" s="108">
        <v>76774.03</v>
      </c>
      <c r="IZ26" s="1">
        <f t="shared" si="100"/>
        <v>115161.045</v>
      </c>
      <c r="JA26" s="57">
        <v>1.5</v>
      </c>
      <c r="JB26" s="88"/>
      <c r="JC26" s="14">
        <f t="shared" si="101"/>
        <v>0</v>
      </c>
      <c r="JD26" s="73">
        <f t="shared" si="102"/>
        <v>372854.33000000007</v>
      </c>
      <c r="JE26" s="73">
        <f t="shared" si="103"/>
        <v>875610.55000000016</v>
      </c>
      <c r="JF26" s="75">
        <f t="shared" si="104"/>
        <v>502756.22000000009</v>
      </c>
      <c r="JG26" s="11">
        <f t="shared" si="105"/>
        <v>2.3483985019028744</v>
      </c>
    </row>
    <row r="27" spans="3:267">
      <c r="C27" s="71" t="str">
        <f>"E1"</f>
        <v>E1</v>
      </c>
      <c r="D27" s="164">
        <v>118884.64</v>
      </c>
      <c r="E27" s="1">
        <f t="shared" si="4"/>
        <v>71330.784</v>
      </c>
      <c r="F27" s="2">
        <v>0.6</v>
      </c>
      <c r="G27" s="108">
        <v>128000.92</v>
      </c>
      <c r="H27" s="171">
        <f t="shared" si="5"/>
        <v>1.076681731130279</v>
      </c>
      <c r="I27" s="169">
        <v>119483.05</v>
      </c>
      <c r="J27" s="1">
        <f t="shared" si="6"/>
        <v>131431.35500000001</v>
      </c>
      <c r="K27" s="2">
        <v>1.1000000000000001</v>
      </c>
      <c r="L27" s="108">
        <v>110741.69</v>
      </c>
      <c r="M27" s="14">
        <f t="shared" si="7"/>
        <v>0.92684016686885717</v>
      </c>
      <c r="N27" s="164">
        <v>111835.23</v>
      </c>
      <c r="O27" s="1">
        <f t="shared" si="8"/>
        <v>111835.23</v>
      </c>
      <c r="P27" s="2">
        <v>1</v>
      </c>
      <c r="Q27" s="108">
        <v>106989.57</v>
      </c>
      <c r="R27" s="13">
        <f t="shared" si="9"/>
        <v>0.95667143528921983</v>
      </c>
      <c r="S27" s="160">
        <v>126047.76</v>
      </c>
      <c r="T27" s="1">
        <f t="shared" si="10"/>
        <v>126047.76</v>
      </c>
      <c r="U27" s="2">
        <v>1</v>
      </c>
      <c r="V27" s="108">
        <v>110480.23</v>
      </c>
      <c r="W27" s="13">
        <f t="shared" si="11"/>
        <v>0.87649498888357869</v>
      </c>
      <c r="X27" s="108">
        <v>112660.36</v>
      </c>
      <c r="Y27" s="1">
        <f t="shared" si="12"/>
        <v>101394.32400000001</v>
      </c>
      <c r="Z27" s="2">
        <v>0.9</v>
      </c>
      <c r="AA27" s="108">
        <v>114015.42</v>
      </c>
      <c r="AB27" s="13">
        <f t="shared" si="13"/>
        <v>1.0120278330372812</v>
      </c>
      <c r="AC27" s="108">
        <v>161849.45000000001</v>
      </c>
      <c r="AD27" s="1">
        <f t="shared" si="14"/>
        <v>169941.92250000002</v>
      </c>
      <c r="AE27" s="2">
        <v>1.05</v>
      </c>
      <c r="AF27" s="108">
        <v>144155.81</v>
      </c>
      <c r="AG27" s="13">
        <f t="shared" si="15"/>
        <v>0.89067840514749963</v>
      </c>
      <c r="AH27" s="108">
        <v>114223.34</v>
      </c>
      <c r="AI27" s="1">
        <f t="shared" si="16"/>
        <v>68534.004000000001</v>
      </c>
      <c r="AJ27" s="2">
        <v>0.6</v>
      </c>
      <c r="AK27" s="108">
        <v>106579.34</v>
      </c>
      <c r="AL27" s="13">
        <f t="shared" si="17"/>
        <v>0.93307847590518711</v>
      </c>
      <c r="AM27" s="108">
        <v>112345.23</v>
      </c>
      <c r="AN27" s="1">
        <f t="shared" si="18"/>
        <v>67407.137999999992</v>
      </c>
      <c r="AO27" s="2">
        <v>0.6</v>
      </c>
      <c r="AP27" s="108">
        <v>104221.6</v>
      </c>
      <c r="AQ27" s="13">
        <f t="shared" si="19"/>
        <v>0.9276904769343568</v>
      </c>
      <c r="AR27" s="160">
        <v>127510.81</v>
      </c>
      <c r="AS27" s="1">
        <f t="shared" si="20"/>
        <v>95633.107499999998</v>
      </c>
      <c r="AT27" s="2">
        <v>0.75</v>
      </c>
      <c r="AU27" s="108">
        <v>120137.09</v>
      </c>
      <c r="AV27" s="13">
        <f t="shared" si="21"/>
        <v>0.94217180488462116</v>
      </c>
      <c r="AW27" s="160">
        <v>162991.01999999999</v>
      </c>
      <c r="AX27" s="1">
        <f t="shared" si="22"/>
        <v>122243.26499999998</v>
      </c>
      <c r="AY27" s="2">
        <v>0.75</v>
      </c>
      <c r="AZ27" s="108">
        <v>125687.13</v>
      </c>
      <c r="BA27" s="60">
        <f t="shared" si="23"/>
        <v>0.77112917018373173</v>
      </c>
      <c r="BB27" s="160">
        <v>116903.87</v>
      </c>
      <c r="BC27" s="1">
        <f t="shared" si="24"/>
        <v>81832.708999999988</v>
      </c>
      <c r="BD27" s="2">
        <v>0.7</v>
      </c>
      <c r="BE27" s="108">
        <v>118266.87</v>
      </c>
      <c r="BF27" s="17">
        <f t="shared" si="25"/>
        <v>1.0116591520879505</v>
      </c>
      <c r="BG27" s="160">
        <v>94889.55</v>
      </c>
      <c r="BH27" s="1">
        <f t="shared" si="26"/>
        <v>71167.162500000006</v>
      </c>
      <c r="BI27" s="2">
        <v>0.75</v>
      </c>
      <c r="BJ27" s="115"/>
      <c r="BK27" s="60">
        <f t="shared" si="27"/>
        <v>0</v>
      </c>
      <c r="BL27" s="160">
        <v>105238.36</v>
      </c>
      <c r="BM27" s="1">
        <f t="shared" si="28"/>
        <v>78928.77</v>
      </c>
      <c r="BN27" s="2">
        <v>0.75</v>
      </c>
      <c r="BO27" s="115"/>
      <c r="BP27" s="60">
        <f t="shared" si="29"/>
        <v>0</v>
      </c>
      <c r="BQ27" s="160">
        <v>70584.899999999994</v>
      </c>
      <c r="BR27" s="1">
        <f t="shared" si="30"/>
        <v>247047.14999999997</v>
      </c>
      <c r="BS27" s="57">
        <v>3.5</v>
      </c>
      <c r="BT27" s="115"/>
      <c r="BU27" s="16">
        <f t="shared" si="31"/>
        <v>0</v>
      </c>
      <c r="BV27" s="160">
        <v>80611.83</v>
      </c>
      <c r="BW27" s="1">
        <f t="shared" si="32"/>
        <v>282141.40500000003</v>
      </c>
      <c r="BX27" s="57">
        <v>3.5</v>
      </c>
      <c r="BY27" s="108"/>
      <c r="BZ27" s="14">
        <f t="shared" si="33"/>
        <v>0</v>
      </c>
      <c r="CA27" s="160">
        <v>48184.88</v>
      </c>
      <c r="CB27" s="1">
        <f t="shared" si="34"/>
        <v>240924.4</v>
      </c>
      <c r="CC27" s="57">
        <v>5</v>
      </c>
      <c r="CD27" s="115"/>
      <c r="CE27" s="16">
        <f t="shared" si="35"/>
        <v>0</v>
      </c>
      <c r="CF27" s="160">
        <v>69647.69</v>
      </c>
      <c r="CG27" s="1">
        <f t="shared" si="36"/>
        <v>208943.07</v>
      </c>
      <c r="CH27" s="57">
        <v>3</v>
      </c>
      <c r="CI27" s="115"/>
      <c r="CJ27" s="18">
        <f t="shared" si="37"/>
        <v>0</v>
      </c>
      <c r="CK27" s="160">
        <v>5557.05</v>
      </c>
      <c r="CL27" s="1">
        <f t="shared" si="38"/>
        <v>36120.825000000004</v>
      </c>
      <c r="CM27" s="57">
        <v>6.5</v>
      </c>
      <c r="CN27" s="115"/>
      <c r="CO27" s="16">
        <f t="shared" si="39"/>
        <v>0</v>
      </c>
      <c r="CP27" s="160">
        <v>68928.69</v>
      </c>
      <c r="CQ27" s="1">
        <f t="shared" si="40"/>
        <v>448036.48499999999</v>
      </c>
      <c r="CR27" s="57">
        <v>6.5</v>
      </c>
      <c r="CS27" s="116"/>
      <c r="CT27" s="16">
        <f t="shared" si="41"/>
        <v>0</v>
      </c>
      <c r="CU27" s="160">
        <v>48151.01</v>
      </c>
      <c r="CV27" s="1">
        <f t="shared" si="42"/>
        <v>312981.565</v>
      </c>
      <c r="CW27" s="57">
        <v>6.5</v>
      </c>
      <c r="CX27" s="116"/>
      <c r="CY27" s="130">
        <f t="shared" si="43"/>
        <v>0</v>
      </c>
      <c r="CZ27" s="160">
        <v>57234.5</v>
      </c>
      <c r="DA27" s="1">
        <f t="shared" si="44"/>
        <v>372024.25</v>
      </c>
      <c r="DB27" s="57">
        <v>6.5</v>
      </c>
      <c r="DC27" s="116"/>
      <c r="DD27" s="18">
        <f t="shared" si="45"/>
        <v>0</v>
      </c>
      <c r="DE27" s="160">
        <v>68897.59</v>
      </c>
      <c r="DF27" s="1">
        <f t="shared" si="46"/>
        <v>310039.15499999997</v>
      </c>
      <c r="DG27" s="57">
        <v>4.5</v>
      </c>
      <c r="DH27" s="116"/>
      <c r="DI27" s="16">
        <f t="shared" si="47"/>
        <v>0</v>
      </c>
      <c r="DJ27" s="160">
        <v>73484.039999999994</v>
      </c>
      <c r="DK27" s="1">
        <f t="shared" si="48"/>
        <v>220452.12</v>
      </c>
      <c r="DL27" s="57">
        <v>3</v>
      </c>
      <c r="DM27" s="88"/>
      <c r="DN27" s="16">
        <f t="shared" si="106"/>
        <v>0</v>
      </c>
      <c r="DO27" s="160">
        <v>82418.080000000002</v>
      </c>
      <c r="DP27" s="1">
        <f t="shared" si="49"/>
        <v>206045.2</v>
      </c>
      <c r="DQ27" s="57">
        <v>2.5</v>
      </c>
      <c r="DR27" s="88"/>
      <c r="DS27" s="16">
        <f t="shared" si="50"/>
        <v>0</v>
      </c>
      <c r="DT27" s="160">
        <v>53717.8</v>
      </c>
      <c r="DU27" s="1">
        <f t="shared" si="51"/>
        <v>134294.5</v>
      </c>
      <c r="DV27" s="57">
        <v>2.5</v>
      </c>
      <c r="DW27" s="88"/>
      <c r="DX27" s="16">
        <f t="shared" si="0"/>
        <v>0</v>
      </c>
      <c r="DY27" s="160">
        <v>100376.16</v>
      </c>
      <c r="DZ27" s="1">
        <f t="shared" si="52"/>
        <v>250940.40000000002</v>
      </c>
      <c r="EA27" s="57">
        <v>2.5</v>
      </c>
      <c r="EB27" s="232"/>
      <c r="EC27" s="18">
        <f t="shared" si="53"/>
        <v>0</v>
      </c>
      <c r="ED27" s="160">
        <v>88143.84</v>
      </c>
      <c r="EE27" s="1">
        <f t="shared" si="54"/>
        <v>176287.68</v>
      </c>
      <c r="EF27" s="57">
        <v>2</v>
      </c>
      <c r="EG27" s="232"/>
      <c r="EH27" s="16">
        <f t="shared" si="55"/>
        <v>0</v>
      </c>
      <c r="EI27" s="160">
        <v>107487.37</v>
      </c>
      <c r="EJ27" s="1">
        <f t="shared" si="56"/>
        <v>193477.266</v>
      </c>
      <c r="EK27" s="57">
        <v>1.8</v>
      </c>
      <c r="EL27" s="232"/>
      <c r="EM27" s="16">
        <f t="shared" si="57"/>
        <v>0</v>
      </c>
      <c r="EN27" s="160">
        <v>101576.34</v>
      </c>
      <c r="EO27" s="1">
        <f t="shared" si="58"/>
        <v>182837.41200000001</v>
      </c>
      <c r="EP27" s="57">
        <v>1.8</v>
      </c>
      <c r="EQ27" s="232"/>
      <c r="ER27" s="16">
        <f t="shared" si="59"/>
        <v>0</v>
      </c>
      <c r="ES27" s="160">
        <v>101557.12</v>
      </c>
      <c r="ET27" s="1">
        <f t="shared" si="60"/>
        <v>182802.81599999999</v>
      </c>
      <c r="EU27" s="57">
        <v>1.8</v>
      </c>
      <c r="EV27" s="232"/>
      <c r="EW27" s="18">
        <f t="shared" si="61"/>
        <v>0</v>
      </c>
      <c r="EX27" s="160">
        <v>104593.58</v>
      </c>
      <c r="EY27" s="1">
        <f t="shared" si="62"/>
        <v>188268.44400000002</v>
      </c>
      <c r="EZ27" s="57">
        <v>1.8</v>
      </c>
      <c r="FA27" s="232"/>
      <c r="FB27" s="32">
        <f t="shared" si="1"/>
        <v>0</v>
      </c>
      <c r="FC27" s="160">
        <v>88201.84</v>
      </c>
      <c r="FD27" s="1">
        <f t="shared" si="63"/>
        <v>158763.31200000001</v>
      </c>
      <c r="FE27" s="57">
        <v>1.8</v>
      </c>
      <c r="FF27" s="232"/>
      <c r="FG27" s="14">
        <f t="shared" si="64"/>
        <v>0</v>
      </c>
      <c r="FH27" s="160">
        <v>83571.100000000006</v>
      </c>
      <c r="FI27" s="1">
        <f t="shared" si="65"/>
        <v>150427.98000000001</v>
      </c>
      <c r="FJ27" s="57">
        <v>1.8</v>
      </c>
      <c r="FK27" s="232"/>
      <c r="FL27" s="234">
        <f t="shared" si="66"/>
        <v>0</v>
      </c>
      <c r="FM27" s="160">
        <v>88897.66</v>
      </c>
      <c r="FN27" s="1">
        <f t="shared" si="67"/>
        <v>160015.788</v>
      </c>
      <c r="FO27" s="57">
        <v>1.8</v>
      </c>
      <c r="FP27" s="232"/>
      <c r="FQ27" s="13">
        <f t="shared" si="68"/>
        <v>0</v>
      </c>
      <c r="FR27" s="160">
        <v>90661.8</v>
      </c>
      <c r="FS27" s="1">
        <f t="shared" si="69"/>
        <v>141432.408</v>
      </c>
      <c r="FT27" s="57">
        <v>1.56</v>
      </c>
      <c r="FU27" s="88"/>
      <c r="FV27" s="31">
        <f t="shared" si="70"/>
        <v>0</v>
      </c>
      <c r="FW27" s="160">
        <v>86240.79</v>
      </c>
      <c r="FX27" s="1">
        <f t="shared" si="71"/>
        <v>134535.6324</v>
      </c>
      <c r="FY27" s="57">
        <v>1.56</v>
      </c>
      <c r="FZ27" s="88"/>
      <c r="GA27" s="14">
        <f t="shared" si="2"/>
        <v>0</v>
      </c>
      <c r="GB27" s="160">
        <v>108219.54</v>
      </c>
      <c r="GC27" s="1">
        <f t="shared" si="72"/>
        <v>168822.48240000001</v>
      </c>
      <c r="GD27" s="57">
        <v>1.56</v>
      </c>
      <c r="GE27" s="88"/>
      <c r="GF27" s="32">
        <f t="shared" si="73"/>
        <v>0</v>
      </c>
      <c r="GG27" s="160">
        <v>104858.97</v>
      </c>
      <c r="GH27" s="1">
        <f t="shared" si="74"/>
        <v>163579.9932</v>
      </c>
      <c r="GI27" s="57">
        <v>1.56</v>
      </c>
      <c r="GJ27" s="108"/>
      <c r="GK27" s="32">
        <f t="shared" si="75"/>
        <v>0</v>
      </c>
      <c r="GL27" s="160">
        <v>114101.4</v>
      </c>
      <c r="GM27" s="1">
        <f t="shared" si="76"/>
        <v>177998.18400000001</v>
      </c>
      <c r="GN27" s="57">
        <v>1.56</v>
      </c>
      <c r="GO27" s="108"/>
      <c r="GP27" s="13">
        <f t="shared" si="77"/>
        <v>0</v>
      </c>
      <c r="GQ27" s="160">
        <v>108532.38</v>
      </c>
      <c r="GR27" s="1">
        <f t="shared" si="78"/>
        <v>169310.51280000003</v>
      </c>
      <c r="GS27" s="57">
        <v>1.56</v>
      </c>
      <c r="GT27" s="108"/>
      <c r="GU27" s="32">
        <f t="shared" si="79"/>
        <v>0</v>
      </c>
      <c r="GV27" s="160">
        <v>106488.25</v>
      </c>
      <c r="GW27" s="1">
        <f t="shared" si="80"/>
        <v>212976.5</v>
      </c>
      <c r="GX27" s="57">
        <v>2</v>
      </c>
      <c r="GY27" s="97"/>
      <c r="GZ27" s="32">
        <f t="shared" si="3"/>
        <v>0</v>
      </c>
      <c r="HA27" s="160">
        <v>74650.84</v>
      </c>
      <c r="HB27" s="1">
        <f t="shared" si="81"/>
        <v>223952.52</v>
      </c>
      <c r="HC27" s="57">
        <v>3</v>
      </c>
      <c r="HD27" s="97"/>
      <c r="HE27" s="32">
        <f t="shared" si="107"/>
        <v>0</v>
      </c>
      <c r="HF27" s="108">
        <v>32694.94</v>
      </c>
      <c r="HG27" s="1">
        <f t="shared" si="82"/>
        <v>163474.69999999998</v>
      </c>
      <c r="HH27" s="57">
        <v>5</v>
      </c>
      <c r="HI27" s="97"/>
      <c r="HJ27" s="13">
        <f t="shared" si="83"/>
        <v>0</v>
      </c>
      <c r="HK27" s="108">
        <v>21583.43</v>
      </c>
      <c r="HL27" s="1">
        <f t="shared" si="84"/>
        <v>118708.86500000001</v>
      </c>
      <c r="HM27" s="57">
        <v>5.5</v>
      </c>
      <c r="HN27" s="96"/>
      <c r="HO27" s="14">
        <f t="shared" si="85"/>
        <v>0</v>
      </c>
      <c r="HP27" s="108">
        <v>31066.79</v>
      </c>
      <c r="HQ27" s="1">
        <f t="shared" si="86"/>
        <v>155333.95000000001</v>
      </c>
      <c r="HR27" s="57">
        <v>5</v>
      </c>
      <c r="HS27" s="81"/>
      <c r="HT27" s="14">
        <f t="shared" si="87"/>
        <v>0</v>
      </c>
      <c r="HU27" s="108">
        <v>51840.19</v>
      </c>
      <c r="HV27" s="1">
        <f t="shared" si="88"/>
        <v>155520.57</v>
      </c>
      <c r="HW27" s="57">
        <v>3</v>
      </c>
      <c r="HX27" s="96"/>
      <c r="HY27" s="14">
        <f t="shared" si="89"/>
        <v>0</v>
      </c>
      <c r="HZ27" s="108">
        <v>73791.89</v>
      </c>
      <c r="IA27" s="1">
        <f t="shared" si="90"/>
        <v>221375.66999999998</v>
      </c>
      <c r="IB27" s="57">
        <v>3</v>
      </c>
      <c r="IC27" s="96"/>
      <c r="ID27" s="14">
        <f t="shared" si="91"/>
        <v>0</v>
      </c>
      <c r="IE27" s="108">
        <v>109829.51</v>
      </c>
      <c r="IF27" s="1">
        <f t="shared" si="92"/>
        <v>164744.26499999998</v>
      </c>
      <c r="IG27" s="57">
        <v>1.5</v>
      </c>
      <c r="IH27" s="88"/>
      <c r="II27" s="32">
        <f t="shared" si="93"/>
        <v>0</v>
      </c>
      <c r="IJ27" s="108">
        <v>238111.98</v>
      </c>
      <c r="IK27" s="1">
        <f t="shared" si="94"/>
        <v>357167.97000000003</v>
      </c>
      <c r="IL27" s="57">
        <v>1.5</v>
      </c>
      <c r="IM27" s="88"/>
      <c r="IN27" s="32">
        <f t="shared" si="95"/>
        <v>0</v>
      </c>
      <c r="IO27" s="108">
        <v>331981.15000000002</v>
      </c>
      <c r="IP27" s="1">
        <f t="shared" si="96"/>
        <v>497971.72500000003</v>
      </c>
      <c r="IQ27" s="57">
        <v>1.5</v>
      </c>
      <c r="IR27" s="88"/>
      <c r="IS27" s="32">
        <f t="shared" si="97"/>
        <v>0</v>
      </c>
      <c r="IT27" s="108">
        <v>415942.88</v>
      </c>
      <c r="IU27" s="1">
        <f t="shared" si="98"/>
        <v>623914.32000000007</v>
      </c>
      <c r="IV27" s="57">
        <v>1.5</v>
      </c>
      <c r="IW27" s="88"/>
      <c r="IX27" s="32">
        <f t="shared" si="99"/>
        <v>0</v>
      </c>
      <c r="IY27" s="108">
        <v>145624.12</v>
      </c>
      <c r="IZ27" s="1">
        <f t="shared" si="100"/>
        <v>218436.18</v>
      </c>
      <c r="JA27" s="57">
        <v>1.5</v>
      </c>
      <c r="JB27" s="88"/>
      <c r="JC27" s="14">
        <f t="shared" si="101"/>
        <v>0</v>
      </c>
      <c r="JD27" s="73">
        <f t="shared" si="102"/>
        <v>1384734.7599999998</v>
      </c>
      <c r="JE27" s="73">
        <f t="shared" si="103"/>
        <v>1289275.67</v>
      </c>
      <c r="JF27" s="75">
        <f t="shared" si="104"/>
        <v>-95459.089999999851</v>
      </c>
      <c r="JG27" s="11">
        <f t="shared" si="105"/>
        <v>0.93106326730759625</v>
      </c>
    </row>
    <row r="28" spans="3:267">
      <c r="C28" s="71" t="str">
        <f>"E2"</f>
        <v>E2</v>
      </c>
      <c r="D28" s="164">
        <v>144354.29</v>
      </c>
      <c r="E28" s="1">
        <f t="shared" si="4"/>
        <v>0</v>
      </c>
      <c r="F28" s="2">
        <v>0</v>
      </c>
      <c r="H28" s="171">
        <f t="shared" si="5"/>
        <v>0</v>
      </c>
      <c r="I28" s="169">
        <v>130226.05</v>
      </c>
      <c r="J28" s="1">
        <f t="shared" si="6"/>
        <v>84646.93250000001</v>
      </c>
      <c r="K28" s="2">
        <v>0.65</v>
      </c>
      <c r="M28" s="14">
        <f t="shared" si="7"/>
        <v>0</v>
      </c>
      <c r="N28" s="164">
        <v>0</v>
      </c>
      <c r="O28" s="1">
        <v>0</v>
      </c>
      <c r="P28" s="2">
        <v>0.65</v>
      </c>
      <c r="R28" s="13" t="e">
        <f t="shared" si="9"/>
        <v>#DIV/0!</v>
      </c>
      <c r="S28" s="160">
        <v>113913.35</v>
      </c>
      <c r="T28" s="1">
        <f t="shared" si="10"/>
        <v>0</v>
      </c>
      <c r="U28" s="2">
        <v>0</v>
      </c>
      <c r="W28" s="13">
        <f t="shared" si="11"/>
        <v>0</v>
      </c>
      <c r="X28" s="108">
        <v>128522.83</v>
      </c>
      <c r="Y28" s="1">
        <f>X28*(Z28+30%)</f>
        <v>38556.849000000002</v>
      </c>
      <c r="Z28" s="2">
        <v>0</v>
      </c>
      <c r="AB28" s="13">
        <f t="shared" si="13"/>
        <v>0</v>
      </c>
      <c r="AC28" s="108">
        <v>156231.88</v>
      </c>
      <c r="AD28" s="1">
        <v>0</v>
      </c>
      <c r="AE28" s="2">
        <v>0</v>
      </c>
      <c r="AG28" s="13">
        <f t="shared" si="15"/>
        <v>0</v>
      </c>
      <c r="AH28" s="108">
        <v>117146.19</v>
      </c>
      <c r="AI28" s="1">
        <f>AH28*(AJ28+30%)</f>
        <v>105431.571</v>
      </c>
      <c r="AJ28" s="2">
        <v>0.6</v>
      </c>
      <c r="AL28" s="13">
        <f t="shared" si="17"/>
        <v>0</v>
      </c>
      <c r="AM28" s="108">
        <v>127508.13</v>
      </c>
      <c r="AN28" s="1">
        <f>AM28*(AO28+30%)</f>
        <v>114757.317</v>
      </c>
      <c r="AO28" s="2">
        <v>0.6</v>
      </c>
      <c r="AP28" s="108">
        <v>115075.13</v>
      </c>
      <c r="AQ28" s="13">
        <f t="shared" si="19"/>
        <v>0.90249249204736981</v>
      </c>
      <c r="AR28" s="160">
        <v>120068.5</v>
      </c>
      <c r="AS28" s="1">
        <f t="shared" si="20"/>
        <v>180102.75</v>
      </c>
      <c r="AT28" s="2">
        <v>1.5</v>
      </c>
      <c r="AU28" s="108">
        <v>238828.13</v>
      </c>
      <c r="AV28" s="13">
        <f t="shared" si="21"/>
        <v>1.9890989726697677</v>
      </c>
      <c r="AW28" s="160">
        <v>140544.79</v>
      </c>
      <c r="AX28" s="1">
        <f t="shared" si="22"/>
        <v>210817.185</v>
      </c>
      <c r="AY28" s="2">
        <v>1.5</v>
      </c>
      <c r="AZ28" s="108">
        <v>203299.52</v>
      </c>
      <c r="BA28" s="60">
        <f t="shared" si="23"/>
        <v>1.4465105394515156</v>
      </c>
      <c r="BB28" s="160">
        <v>74011.09</v>
      </c>
      <c r="BC28" s="1">
        <f t="shared" si="24"/>
        <v>111016.63499999999</v>
      </c>
      <c r="BD28" s="2">
        <v>1.5</v>
      </c>
      <c r="BE28" s="108">
        <v>214711.35</v>
      </c>
      <c r="BF28" s="17">
        <f t="shared" si="25"/>
        <v>2.9010699612720203</v>
      </c>
      <c r="BG28" s="160">
        <v>19354.759999999998</v>
      </c>
      <c r="BH28" s="1">
        <f t="shared" si="26"/>
        <v>29032.14</v>
      </c>
      <c r="BI28" s="2">
        <v>1.5</v>
      </c>
      <c r="BJ28" s="115"/>
      <c r="BK28" s="60">
        <f t="shared" si="27"/>
        <v>0</v>
      </c>
      <c r="BL28" s="160"/>
      <c r="BM28" s="1">
        <f t="shared" si="28"/>
        <v>0</v>
      </c>
      <c r="BN28" s="2">
        <v>1.5</v>
      </c>
      <c r="BO28" s="115"/>
      <c r="BP28" s="60" t="e">
        <f t="shared" si="29"/>
        <v>#DIV/0!</v>
      </c>
      <c r="BQ28" s="160"/>
      <c r="BR28" s="1">
        <f t="shared" si="30"/>
        <v>0</v>
      </c>
      <c r="BS28" s="57">
        <v>3.5</v>
      </c>
      <c r="BT28" s="115"/>
      <c r="BU28" s="16" t="e">
        <f t="shared" si="31"/>
        <v>#DIV/0!</v>
      </c>
      <c r="BV28" s="160"/>
      <c r="BW28" s="1">
        <f>BV28*(BX28+30%)</f>
        <v>0</v>
      </c>
      <c r="BX28" s="57">
        <v>3.5</v>
      </c>
      <c r="BZ28" s="14" t="e">
        <f t="shared" si="33"/>
        <v>#DIV/0!</v>
      </c>
      <c r="CA28" s="160"/>
      <c r="CB28" s="1">
        <f>CA28*(CC28+30%)</f>
        <v>0</v>
      </c>
      <c r="CC28" s="57">
        <v>5</v>
      </c>
      <c r="CD28" s="115"/>
      <c r="CE28" s="16" t="e">
        <f t="shared" si="35"/>
        <v>#DIV/0!</v>
      </c>
      <c r="CF28" s="160"/>
      <c r="CG28" s="1">
        <f>CF28*(CH28+30%)</f>
        <v>0</v>
      </c>
      <c r="CH28" s="57">
        <v>3</v>
      </c>
      <c r="CI28" s="115"/>
      <c r="CJ28" s="18" t="e">
        <f t="shared" si="37"/>
        <v>#DIV/0!</v>
      </c>
      <c r="CK28" s="160"/>
      <c r="CL28" s="1">
        <f>CK28*(CM28+30%)</f>
        <v>0</v>
      </c>
      <c r="CM28" s="57">
        <v>6.5</v>
      </c>
      <c r="CN28" s="115"/>
      <c r="CO28" s="16" t="e">
        <f t="shared" si="39"/>
        <v>#DIV/0!</v>
      </c>
      <c r="CP28" s="160"/>
      <c r="CQ28" s="1">
        <f>CP28*(CR28+30%)</f>
        <v>0</v>
      </c>
      <c r="CR28" s="57">
        <v>6.5</v>
      </c>
      <c r="CS28" s="95"/>
      <c r="CT28" s="16" t="e">
        <f t="shared" si="41"/>
        <v>#DIV/0!</v>
      </c>
      <c r="CU28" s="160"/>
      <c r="CV28" s="1">
        <f>CU28*(CW28+30%)</f>
        <v>0</v>
      </c>
      <c r="CW28" s="57">
        <v>6.5</v>
      </c>
      <c r="CX28" s="132"/>
      <c r="CY28" s="130" t="e">
        <f t="shared" si="43"/>
        <v>#DIV/0!</v>
      </c>
      <c r="CZ28" s="160"/>
      <c r="DA28" s="1">
        <f>CZ28*(DB28+30%)</f>
        <v>0</v>
      </c>
      <c r="DB28" s="57">
        <v>6.5</v>
      </c>
      <c r="DC28" s="132"/>
      <c r="DD28" s="18" t="e">
        <f t="shared" si="45"/>
        <v>#DIV/0!</v>
      </c>
      <c r="DE28" s="357"/>
      <c r="DF28" s="1">
        <f>DE28*(DG28+30%)</f>
        <v>0</v>
      </c>
      <c r="DG28" s="57">
        <v>4.5</v>
      </c>
      <c r="DH28" s="132"/>
      <c r="DI28" s="16" t="e">
        <f t="shared" si="47"/>
        <v>#DIV/0!</v>
      </c>
      <c r="DJ28" s="357"/>
      <c r="DK28" s="1">
        <f>DJ28*(DL28+30%)</f>
        <v>0</v>
      </c>
      <c r="DL28" s="57">
        <v>3</v>
      </c>
      <c r="DM28" s="233"/>
      <c r="DN28" s="16" t="e">
        <f t="shared" si="106"/>
        <v>#DIV/0!</v>
      </c>
      <c r="DO28" s="357"/>
      <c r="DP28" s="1">
        <f>DO28*(DQ28+30%)</f>
        <v>0</v>
      </c>
      <c r="DQ28" s="57">
        <v>2.5</v>
      </c>
      <c r="DR28" s="233"/>
      <c r="DS28" s="16" t="e">
        <f t="shared" si="50"/>
        <v>#DIV/0!</v>
      </c>
      <c r="DT28" s="357"/>
      <c r="DU28" s="1">
        <f>DT28*(DV28+30%)</f>
        <v>0</v>
      </c>
      <c r="DV28" s="57">
        <v>2.5</v>
      </c>
      <c r="DW28" s="233"/>
      <c r="DX28" s="16" t="e">
        <f t="shared" si="0"/>
        <v>#DIV/0!</v>
      </c>
      <c r="DY28" s="357"/>
      <c r="DZ28" s="1">
        <f>DY28*(EA28+30%)</f>
        <v>0</v>
      </c>
      <c r="EA28" s="57">
        <v>2.5</v>
      </c>
      <c r="EB28" s="233"/>
      <c r="EC28" s="18" t="e">
        <f t="shared" si="53"/>
        <v>#DIV/0!</v>
      </c>
      <c r="ED28" s="357"/>
      <c r="EE28" s="1">
        <f>ED28*(EF28+30%)</f>
        <v>0</v>
      </c>
      <c r="EF28" s="57">
        <v>2</v>
      </c>
      <c r="EG28" s="233"/>
      <c r="EH28" s="16" t="e">
        <f t="shared" si="55"/>
        <v>#DIV/0!</v>
      </c>
      <c r="EI28" s="357"/>
      <c r="EJ28" s="1">
        <f>EI28*(EK28+30%)</f>
        <v>0</v>
      </c>
      <c r="EK28" s="57">
        <v>1.8</v>
      </c>
      <c r="EL28" s="233"/>
      <c r="EM28" s="16" t="e">
        <f t="shared" si="57"/>
        <v>#DIV/0!</v>
      </c>
      <c r="EN28" s="357"/>
      <c r="EO28" s="1">
        <f>EN28*(EP28+30%)</f>
        <v>0</v>
      </c>
      <c r="EP28" s="57">
        <v>1.8</v>
      </c>
      <c r="EQ28" s="233"/>
      <c r="ER28" s="16" t="e">
        <f t="shared" si="59"/>
        <v>#DIV/0!</v>
      </c>
      <c r="ES28" s="357"/>
      <c r="ET28" s="1">
        <f>ES28*(EU28+30%)</f>
        <v>0</v>
      </c>
      <c r="EU28" s="57">
        <v>1.8</v>
      </c>
      <c r="EV28" s="233"/>
      <c r="EW28" s="18" t="e">
        <f t="shared" si="61"/>
        <v>#DIV/0!</v>
      </c>
      <c r="EX28" s="357"/>
      <c r="EY28" s="1">
        <f>EX28*(EZ28+30%)</f>
        <v>0</v>
      </c>
      <c r="EZ28" s="57">
        <v>1.8</v>
      </c>
      <c r="FA28" s="233"/>
      <c r="FB28" s="32" t="e">
        <f t="shared" si="1"/>
        <v>#DIV/0!</v>
      </c>
      <c r="FC28" s="357"/>
      <c r="FD28" s="1">
        <f>FC28*(FE28+30%)</f>
        <v>0</v>
      </c>
      <c r="FE28" s="57">
        <v>1.8</v>
      </c>
      <c r="FF28" s="232"/>
      <c r="FG28" s="14" t="e">
        <f t="shared" si="64"/>
        <v>#DIV/0!</v>
      </c>
      <c r="FH28" s="357"/>
      <c r="FI28" s="1">
        <f>FH28*(FJ28+30%)</f>
        <v>0</v>
      </c>
      <c r="FJ28" s="57">
        <v>1.8</v>
      </c>
      <c r="FK28" s="232"/>
      <c r="FL28" s="234" t="e">
        <f t="shared" si="66"/>
        <v>#DIV/0!</v>
      </c>
      <c r="FM28" s="357"/>
      <c r="FN28" s="1">
        <f>FM28*(FO28+30%)</f>
        <v>0</v>
      </c>
      <c r="FO28" s="57">
        <v>1.8</v>
      </c>
      <c r="FP28" s="232"/>
      <c r="FQ28" s="13" t="e">
        <f t="shared" si="68"/>
        <v>#DIV/0!</v>
      </c>
      <c r="FR28" s="357"/>
      <c r="FS28" s="1">
        <f>FR28*(FT28+30%)</f>
        <v>0</v>
      </c>
      <c r="FT28" s="57">
        <v>1.56</v>
      </c>
      <c r="FU28" s="88"/>
      <c r="FV28" s="31" t="e">
        <f t="shared" si="70"/>
        <v>#DIV/0!</v>
      </c>
      <c r="FW28" s="357"/>
      <c r="FX28" s="1">
        <f>FW28*(FY28+30%)</f>
        <v>0</v>
      </c>
      <c r="FY28" s="57">
        <v>1.56</v>
      </c>
      <c r="FZ28" s="88"/>
      <c r="GA28" s="14" t="e">
        <f t="shared" si="2"/>
        <v>#DIV/0!</v>
      </c>
      <c r="GB28" s="357"/>
      <c r="GC28" s="1">
        <f>GB28*(GD28+30%)</f>
        <v>0</v>
      </c>
      <c r="GD28" s="57">
        <v>1.56</v>
      </c>
      <c r="GE28" s="88"/>
      <c r="GF28" s="32" t="e">
        <f t="shared" si="73"/>
        <v>#DIV/0!</v>
      </c>
      <c r="GG28" s="357"/>
      <c r="GH28" s="1">
        <f>GG28*(GI28+30%)</f>
        <v>0</v>
      </c>
      <c r="GI28" s="57">
        <v>1.56</v>
      </c>
      <c r="GJ28" s="108"/>
      <c r="GK28" s="32" t="e">
        <f t="shared" si="75"/>
        <v>#DIV/0!</v>
      </c>
      <c r="GL28" s="357"/>
      <c r="GM28" s="1">
        <f>GL28*(GN28+30%)</f>
        <v>0</v>
      </c>
      <c r="GN28" s="57">
        <v>1.56</v>
      </c>
      <c r="GP28" s="13" t="e">
        <f t="shared" si="77"/>
        <v>#DIV/0!</v>
      </c>
      <c r="GQ28" s="357"/>
      <c r="GR28" s="1">
        <f>GQ28*(GS28+30%)</f>
        <v>0</v>
      </c>
      <c r="GS28" s="57">
        <v>1.56</v>
      </c>
      <c r="GU28" s="32" t="e">
        <f t="shared" si="79"/>
        <v>#DIV/0!</v>
      </c>
      <c r="GV28" s="357"/>
      <c r="GW28" s="1">
        <f>GV28*(GX28+30%)</f>
        <v>0</v>
      </c>
      <c r="GX28" s="57">
        <v>2</v>
      </c>
      <c r="GY28" s="97"/>
      <c r="GZ28" s="32" t="e">
        <f t="shared" si="3"/>
        <v>#DIV/0!</v>
      </c>
      <c r="HA28" s="357"/>
      <c r="HB28" s="1">
        <f>HA28*(HC28+30%)</f>
        <v>0</v>
      </c>
      <c r="HC28" s="57">
        <v>3</v>
      </c>
      <c r="HD28" s="97"/>
      <c r="HE28" s="32" t="e">
        <f t="shared" si="107"/>
        <v>#DIV/0!</v>
      </c>
      <c r="HG28" s="1">
        <f>HF28*(HH28+30%)</f>
        <v>0</v>
      </c>
      <c r="HH28" s="57">
        <v>5</v>
      </c>
      <c r="HI28" s="97"/>
      <c r="HJ28" s="13" t="e">
        <f t="shared" si="83"/>
        <v>#DIV/0!</v>
      </c>
      <c r="HL28" s="1">
        <f>HK28*(HM28+30%)</f>
        <v>0</v>
      </c>
      <c r="HM28" s="57">
        <v>5.5</v>
      </c>
      <c r="HN28" s="96"/>
      <c r="HO28" s="14" t="e">
        <f t="shared" si="85"/>
        <v>#DIV/0!</v>
      </c>
      <c r="HQ28" s="1">
        <f>HP28*(HR28+30%)</f>
        <v>0</v>
      </c>
      <c r="HR28" s="57">
        <v>5</v>
      </c>
      <c r="HS28" s="81"/>
      <c r="HT28" s="14" t="e">
        <f t="shared" si="87"/>
        <v>#DIV/0!</v>
      </c>
      <c r="HV28" s="1">
        <f>HU28*(HW28+30%)</f>
        <v>0</v>
      </c>
      <c r="HW28" s="57">
        <v>3</v>
      </c>
      <c r="HX28" s="96"/>
      <c r="HY28" s="14" t="e">
        <f t="shared" si="89"/>
        <v>#DIV/0!</v>
      </c>
      <c r="IA28" s="1">
        <f>HZ28*(IB28+30%)</f>
        <v>0</v>
      </c>
      <c r="IB28" s="57">
        <v>3</v>
      </c>
      <c r="IC28" s="96"/>
      <c r="ID28" s="14" t="e">
        <f t="shared" si="91"/>
        <v>#DIV/0!</v>
      </c>
      <c r="IF28" s="1">
        <f>IE28*(IG28+30%)</f>
        <v>0</v>
      </c>
      <c r="IG28" s="57">
        <v>1.5</v>
      </c>
      <c r="IH28" s="88"/>
      <c r="II28" s="32" t="e">
        <f t="shared" si="93"/>
        <v>#DIV/0!</v>
      </c>
      <c r="IK28" s="1">
        <f>IJ28*(IL28+30%)</f>
        <v>0</v>
      </c>
      <c r="IL28" s="57">
        <v>1.5</v>
      </c>
      <c r="IM28" s="88"/>
      <c r="IN28" s="32" t="e">
        <f t="shared" si="95"/>
        <v>#DIV/0!</v>
      </c>
      <c r="IP28" s="1">
        <f>IO28*(IQ28+30%)</f>
        <v>0</v>
      </c>
      <c r="IQ28" s="57">
        <v>1.5</v>
      </c>
      <c r="IR28" s="88"/>
      <c r="IS28" s="32" t="e">
        <f t="shared" si="97"/>
        <v>#DIV/0!</v>
      </c>
      <c r="IU28" s="1">
        <f>IT28*(IV28+30%)</f>
        <v>0</v>
      </c>
      <c r="IV28" s="57">
        <v>1.5</v>
      </c>
      <c r="IW28" s="88"/>
      <c r="IX28" s="32" t="e">
        <f t="shared" si="99"/>
        <v>#DIV/0!</v>
      </c>
      <c r="IZ28" s="1">
        <f>IY28*(JA28+30%)</f>
        <v>0</v>
      </c>
      <c r="JA28" s="57">
        <v>1.5</v>
      </c>
      <c r="JB28" s="88"/>
      <c r="JC28" s="14" t="e">
        <f t="shared" si="101"/>
        <v>#DIV/0!</v>
      </c>
      <c r="JD28" s="73">
        <f t="shared" si="102"/>
        <v>1252527.1000000003</v>
      </c>
      <c r="JE28" s="73">
        <f t="shared" si="103"/>
        <v>771914.13</v>
      </c>
      <c r="JF28" s="75">
        <f t="shared" si="104"/>
        <v>-480612.97000000032</v>
      </c>
      <c r="JG28" s="11">
        <f t="shared" si="105"/>
        <v>0.61628537218875323</v>
      </c>
    </row>
    <row r="29" spans="3:267">
      <c r="C29" s="71" t="str">
        <f>"E3"</f>
        <v>E3</v>
      </c>
      <c r="D29" s="164">
        <v>102439.15</v>
      </c>
      <c r="E29" s="1">
        <f t="shared" si="4"/>
        <v>61463.489999999991</v>
      </c>
      <c r="F29" s="2">
        <v>0.6</v>
      </c>
      <c r="G29" s="108">
        <v>97043.74</v>
      </c>
      <c r="H29" s="171">
        <f t="shared" si="5"/>
        <v>0.94733058601130538</v>
      </c>
      <c r="I29" s="169">
        <v>119602.1</v>
      </c>
      <c r="J29" s="1">
        <f t="shared" si="6"/>
        <v>77741.365000000005</v>
      </c>
      <c r="K29" s="2">
        <v>0.65</v>
      </c>
      <c r="L29" s="108">
        <v>81012.240000000005</v>
      </c>
      <c r="M29" s="14">
        <f t="shared" si="7"/>
        <v>0.67734797298709637</v>
      </c>
      <c r="N29" s="164">
        <v>80619.039999999994</v>
      </c>
      <c r="O29" s="1">
        <f t="shared" si="8"/>
        <v>56433.327999999994</v>
      </c>
      <c r="P29" s="2">
        <v>0.7</v>
      </c>
      <c r="Q29" s="108">
        <v>79000.56</v>
      </c>
      <c r="R29" s="13">
        <f t="shared" si="9"/>
        <v>0.97992434541517737</v>
      </c>
      <c r="S29" s="160">
        <v>93326.6</v>
      </c>
      <c r="T29" s="1">
        <f t="shared" si="10"/>
        <v>93326.6</v>
      </c>
      <c r="U29" s="2">
        <v>1</v>
      </c>
      <c r="V29" s="108">
        <v>83351.14</v>
      </c>
      <c r="W29" s="13">
        <f t="shared" si="11"/>
        <v>0.89311236024884644</v>
      </c>
      <c r="X29" s="108">
        <v>92400.28</v>
      </c>
      <c r="Y29" s="1">
        <f t="shared" si="12"/>
        <v>83160.252000000008</v>
      </c>
      <c r="Z29" s="2">
        <v>0.9</v>
      </c>
      <c r="AA29" s="108">
        <v>87365.71</v>
      </c>
      <c r="AB29" s="13">
        <f t="shared" si="13"/>
        <v>0.94551347679898812</v>
      </c>
      <c r="AC29" s="108">
        <v>128318.79</v>
      </c>
      <c r="AD29" s="1">
        <f t="shared" si="14"/>
        <v>128318.79</v>
      </c>
      <c r="AE29" s="2">
        <v>1</v>
      </c>
      <c r="AF29" s="108">
        <v>92581.78</v>
      </c>
      <c r="AG29" s="13">
        <f t="shared" si="15"/>
        <v>0.72149823108525257</v>
      </c>
      <c r="AH29" s="108">
        <v>87321.53</v>
      </c>
      <c r="AI29" s="1">
        <f t="shared" si="16"/>
        <v>52392.917999999998</v>
      </c>
      <c r="AJ29" s="2">
        <v>0.6</v>
      </c>
      <c r="AK29" s="108">
        <v>74808.740000000005</v>
      </c>
      <c r="AL29" s="13">
        <f t="shared" si="17"/>
        <v>0.85670441184436419</v>
      </c>
      <c r="AM29" s="108">
        <v>97027.78</v>
      </c>
      <c r="AN29" s="1">
        <f t="shared" si="18"/>
        <v>58216.667999999998</v>
      </c>
      <c r="AO29" s="2">
        <v>0.6</v>
      </c>
      <c r="AP29" s="108">
        <v>71502.25</v>
      </c>
      <c r="AQ29" s="13">
        <f t="shared" si="19"/>
        <v>0.73692554853877934</v>
      </c>
      <c r="AR29" s="160">
        <v>100487.9</v>
      </c>
      <c r="AS29" s="1">
        <f t="shared" si="20"/>
        <v>75365.924999999988</v>
      </c>
      <c r="AT29" s="2">
        <v>0.75</v>
      </c>
      <c r="AU29" s="108">
        <v>95284.3</v>
      </c>
      <c r="AV29" s="13">
        <f t="shared" si="21"/>
        <v>0.94821665095996643</v>
      </c>
      <c r="AW29" s="160">
        <v>97171.05</v>
      </c>
      <c r="AX29" s="1">
        <f t="shared" si="22"/>
        <v>72878.287500000006</v>
      </c>
      <c r="AY29" s="2">
        <v>0.75</v>
      </c>
      <c r="AZ29" s="108">
        <v>101041.7</v>
      </c>
      <c r="BA29" s="60">
        <f t="shared" si="23"/>
        <v>1.039833366007674</v>
      </c>
      <c r="BB29" s="160">
        <v>77753.33</v>
      </c>
      <c r="BC29" s="1">
        <f t="shared" si="24"/>
        <v>54427.330999999998</v>
      </c>
      <c r="BD29" s="2">
        <v>0.7</v>
      </c>
      <c r="BE29" s="108">
        <v>111955</v>
      </c>
      <c r="BF29" s="17">
        <f t="shared" si="25"/>
        <v>1.4398740221158373</v>
      </c>
      <c r="BG29" s="160">
        <v>48189.14</v>
      </c>
      <c r="BH29" s="1">
        <f t="shared" si="26"/>
        <v>36141.854999999996</v>
      </c>
      <c r="BI29" s="2">
        <v>0.75</v>
      </c>
      <c r="BJ29" s="115"/>
      <c r="BK29" s="60">
        <f t="shared" si="27"/>
        <v>0</v>
      </c>
      <c r="BL29" s="160">
        <v>67077.52</v>
      </c>
      <c r="BM29" s="1">
        <f t="shared" si="28"/>
        <v>50308.14</v>
      </c>
      <c r="BN29" s="2">
        <v>0.75</v>
      </c>
      <c r="BO29" s="115"/>
      <c r="BP29" s="60">
        <f t="shared" si="29"/>
        <v>0</v>
      </c>
      <c r="BQ29" s="160">
        <v>47628.09</v>
      </c>
      <c r="BR29" s="1">
        <f t="shared" si="30"/>
        <v>166698.315</v>
      </c>
      <c r="BS29" s="57">
        <v>3.5</v>
      </c>
      <c r="BT29" s="115"/>
      <c r="BU29" s="16">
        <f t="shared" si="31"/>
        <v>0</v>
      </c>
      <c r="BV29" s="160">
        <v>51621.120000000003</v>
      </c>
      <c r="BW29" s="1">
        <f t="shared" si="32"/>
        <v>180673.92000000001</v>
      </c>
      <c r="BX29" s="57">
        <v>3.5</v>
      </c>
      <c r="BY29" s="108"/>
      <c r="BZ29" s="14">
        <f t="shared" si="33"/>
        <v>0</v>
      </c>
      <c r="CA29" s="160">
        <v>16599.009999999998</v>
      </c>
      <c r="CB29" s="1">
        <f t="shared" si="34"/>
        <v>82995.049999999988</v>
      </c>
      <c r="CC29" s="57">
        <v>5</v>
      </c>
      <c r="CD29" s="115"/>
      <c r="CE29" s="16">
        <f t="shared" si="35"/>
        <v>0</v>
      </c>
      <c r="CF29" s="160"/>
      <c r="CG29" s="1">
        <f t="shared" si="36"/>
        <v>0</v>
      </c>
      <c r="CH29" s="57">
        <v>3</v>
      </c>
      <c r="CI29" s="115"/>
      <c r="CJ29" s="18" t="e">
        <f t="shared" si="37"/>
        <v>#DIV/0!</v>
      </c>
      <c r="CK29" s="160"/>
      <c r="CL29" s="1">
        <f t="shared" si="38"/>
        <v>0</v>
      </c>
      <c r="CM29" s="57">
        <v>6.5</v>
      </c>
      <c r="CN29" s="115"/>
      <c r="CO29" s="16" t="e">
        <f t="shared" si="39"/>
        <v>#DIV/0!</v>
      </c>
      <c r="CP29" s="160"/>
      <c r="CQ29" s="1">
        <f t="shared" ref="CQ29:CQ36" si="108">CP29*CR29</f>
        <v>0</v>
      </c>
      <c r="CR29" s="57">
        <v>6.5</v>
      </c>
      <c r="CS29" s="95"/>
      <c r="CT29" s="16" t="e">
        <f t="shared" si="41"/>
        <v>#DIV/0!</v>
      </c>
      <c r="CU29" s="160"/>
      <c r="CV29" s="1">
        <f t="shared" ref="CV29:CV36" si="109">CU29*CW29</f>
        <v>0</v>
      </c>
      <c r="CW29" s="57">
        <v>6.5</v>
      </c>
      <c r="CX29" s="132"/>
      <c r="CY29" s="130" t="e">
        <f t="shared" si="43"/>
        <v>#DIV/0!</v>
      </c>
      <c r="CZ29" s="160"/>
      <c r="DA29" s="1">
        <f t="shared" ref="DA29:DA36" si="110">CZ29*DB29</f>
        <v>0</v>
      </c>
      <c r="DB29" s="57">
        <v>6.5</v>
      </c>
      <c r="DC29" s="132"/>
      <c r="DD29" s="18" t="e">
        <f t="shared" si="45"/>
        <v>#DIV/0!</v>
      </c>
      <c r="DE29" s="357"/>
      <c r="DF29" s="1">
        <f t="shared" ref="DF29:DF36" si="111">DE29*DG29</f>
        <v>0</v>
      </c>
      <c r="DG29" s="57">
        <v>4.5</v>
      </c>
      <c r="DH29" s="132"/>
      <c r="DI29" s="16" t="e">
        <f t="shared" si="47"/>
        <v>#DIV/0!</v>
      </c>
      <c r="DJ29" s="357"/>
      <c r="DK29" s="1">
        <f t="shared" ref="DK29:DK36" si="112">DJ29*DL29</f>
        <v>0</v>
      </c>
      <c r="DL29" s="57">
        <v>3</v>
      </c>
      <c r="DM29" s="233"/>
      <c r="DN29" s="16" t="e">
        <f t="shared" si="106"/>
        <v>#DIV/0!</v>
      </c>
      <c r="DO29" s="160">
        <v>86047.12</v>
      </c>
      <c r="DP29" s="1">
        <f t="shared" ref="DP29:DP36" si="113">DO29*DQ29</f>
        <v>215117.8</v>
      </c>
      <c r="DQ29" s="57">
        <v>2.5</v>
      </c>
      <c r="DR29" s="88"/>
      <c r="DS29" s="16">
        <f t="shared" si="50"/>
        <v>0</v>
      </c>
      <c r="DT29" s="160">
        <v>83390.89</v>
      </c>
      <c r="DU29" s="1">
        <f t="shared" ref="DU29:DU36" si="114">DT29*DV29</f>
        <v>208477.22500000001</v>
      </c>
      <c r="DV29" s="57">
        <v>2.5</v>
      </c>
      <c r="DW29" s="88"/>
      <c r="DX29" s="16">
        <f t="shared" si="0"/>
        <v>0</v>
      </c>
      <c r="DY29" s="160">
        <v>106907.11</v>
      </c>
      <c r="DZ29" s="1">
        <f t="shared" ref="DZ29:DZ36" si="115">DY29*EA29</f>
        <v>267267.77500000002</v>
      </c>
      <c r="EA29" s="57">
        <v>2.5</v>
      </c>
      <c r="EB29" s="232"/>
      <c r="EC29" s="18">
        <f t="shared" si="53"/>
        <v>0</v>
      </c>
      <c r="ED29" s="160">
        <v>92256.25</v>
      </c>
      <c r="EE29" s="1">
        <f t="shared" ref="EE29:EE36" si="116">ED29*EF29</f>
        <v>184512.5</v>
      </c>
      <c r="EF29" s="57">
        <v>2</v>
      </c>
      <c r="EG29" s="232"/>
      <c r="EH29" s="16">
        <f t="shared" si="55"/>
        <v>0</v>
      </c>
      <c r="EI29" s="160">
        <v>119015.16</v>
      </c>
      <c r="EJ29" s="1">
        <f t="shared" ref="EJ29:EJ36" si="117">EI29*EK29</f>
        <v>214227.288</v>
      </c>
      <c r="EK29" s="57">
        <v>1.8</v>
      </c>
      <c r="EL29" s="232"/>
      <c r="EM29" s="16">
        <f t="shared" si="57"/>
        <v>0</v>
      </c>
      <c r="EN29" s="160">
        <v>122422.47</v>
      </c>
      <c r="EO29" s="1">
        <f t="shared" ref="EO29:EO36" si="118">EN29*EP29</f>
        <v>220360.446</v>
      </c>
      <c r="EP29" s="57">
        <v>1.8</v>
      </c>
      <c r="EQ29" s="232"/>
      <c r="ER29" s="16">
        <f t="shared" si="59"/>
        <v>0</v>
      </c>
      <c r="ES29" s="160">
        <v>91307.28</v>
      </c>
      <c r="ET29" s="1">
        <f t="shared" ref="ET29:ET36" si="119">ES29*EU29</f>
        <v>164353.10399999999</v>
      </c>
      <c r="EU29" s="57">
        <v>1.8</v>
      </c>
      <c r="EV29" s="232"/>
      <c r="EW29" s="18">
        <f t="shared" si="61"/>
        <v>0</v>
      </c>
      <c r="EX29" s="160">
        <v>91220.04</v>
      </c>
      <c r="EY29" s="1">
        <f t="shared" ref="EY29:EY36" si="120">EX29*EZ29</f>
        <v>164196.07199999999</v>
      </c>
      <c r="EZ29" s="57">
        <v>1.8</v>
      </c>
      <c r="FA29" s="232"/>
      <c r="FB29" s="32">
        <f t="shared" si="1"/>
        <v>0</v>
      </c>
      <c r="FC29" s="160">
        <v>96112.58</v>
      </c>
      <c r="FD29" s="1">
        <f t="shared" ref="FD29:FD36" si="121">FC29*FE29</f>
        <v>173002.644</v>
      </c>
      <c r="FE29" s="57">
        <v>1.8</v>
      </c>
      <c r="FF29" s="232"/>
      <c r="FG29" s="14">
        <f t="shared" si="64"/>
        <v>0</v>
      </c>
      <c r="FH29" s="160">
        <v>94075.7</v>
      </c>
      <c r="FI29" s="1">
        <f t="shared" ref="FI29:FI36" si="122">FH29*FJ29</f>
        <v>169336.26</v>
      </c>
      <c r="FJ29" s="57">
        <v>1.8</v>
      </c>
      <c r="FK29" s="232"/>
      <c r="FL29" s="234">
        <f t="shared" si="66"/>
        <v>0</v>
      </c>
      <c r="FM29" s="160">
        <v>85062.78</v>
      </c>
      <c r="FN29" s="1">
        <f t="shared" ref="FN29:FN36" si="123">FM29*FO29</f>
        <v>153113.00400000002</v>
      </c>
      <c r="FO29" s="57">
        <v>1.8</v>
      </c>
      <c r="FP29" s="232"/>
      <c r="FQ29" s="13">
        <f t="shared" si="68"/>
        <v>0</v>
      </c>
      <c r="FR29" s="160">
        <v>100541.37</v>
      </c>
      <c r="FS29" s="1">
        <f t="shared" ref="FS29:FS36" si="124">FR29*FT29</f>
        <v>156844.53719999999</v>
      </c>
      <c r="FT29" s="57">
        <v>1.56</v>
      </c>
      <c r="FU29" s="88"/>
      <c r="FV29" s="31">
        <f t="shared" si="70"/>
        <v>0</v>
      </c>
      <c r="FW29" s="160">
        <v>86798.04</v>
      </c>
      <c r="FX29" s="1">
        <f t="shared" ref="FX29:FX36" si="125">FW29*FY29</f>
        <v>135404.9424</v>
      </c>
      <c r="FY29" s="57">
        <v>1.56</v>
      </c>
      <c r="FZ29" s="88"/>
      <c r="GA29" s="14">
        <f t="shared" si="2"/>
        <v>0</v>
      </c>
      <c r="GB29" s="160">
        <v>99887.69</v>
      </c>
      <c r="GC29" s="1">
        <f t="shared" ref="GC29:GC36" si="126">GB29*GD29</f>
        <v>155824.79640000002</v>
      </c>
      <c r="GD29" s="57">
        <v>1.56</v>
      </c>
      <c r="GE29" s="88"/>
      <c r="GF29" s="32">
        <f t="shared" si="73"/>
        <v>0</v>
      </c>
      <c r="GG29" s="160">
        <v>92627.5</v>
      </c>
      <c r="GH29" s="1">
        <f t="shared" ref="GH29:GH36" si="127">GG29*GI29</f>
        <v>144498.9</v>
      </c>
      <c r="GI29" s="57">
        <v>1.56</v>
      </c>
      <c r="GJ29" s="108"/>
      <c r="GK29" s="32">
        <f t="shared" si="75"/>
        <v>0</v>
      </c>
      <c r="GL29" s="160">
        <v>107181.47</v>
      </c>
      <c r="GM29" s="1">
        <f t="shared" ref="GM29:GM36" si="128">GL29*GN29</f>
        <v>167203.0932</v>
      </c>
      <c r="GN29" s="57">
        <v>1.56</v>
      </c>
      <c r="GO29" s="108"/>
      <c r="GP29" s="13">
        <f t="shared" si="77"/>
        <v>0</v>
      </c>
      <c r="GQ29" s="160">
        <v>79641.88</v>
      </c>
      <c r="GR29" s="1">
        <f t="shared" ref="GR29:GR36" si="129">GQ29*GS29</f>
        <v>124241.33280000002</v>
      </c>
      <c r="GS29" s="57">
        <v>1.56</v>
      </c>
      <c r="GT29" s="108"/>
      <c r="GU29" s="32">
        <f t="shared" si="79"/>
        <v>0</v>
      </c>
      <c r="GV29" s="160">
        <v>101274.27</v>
      </c>
      <c r="GW29" s="1">
        <f t="shared" ref="GW29:GW36" si="130">GV29*GX29</f>
        <v>202548.54</v>
      </c>
      <c r="GX29" s="57">
        <v>2</v>
      </c>
      <c r="GY29" s="97"/>
      <c r="GZ29" s="32">
        <f t="shared" si="3"/>
        <v>0</v>
      </c>
      <c r="HA29" s="160">
        <v>58800.45</v>
      </c>
      <c r="HB29" s="1">
        <f t="shared" ref="HB29:HB36" si="131">HA29*HC29</f>
        <v>176401.34999999998</v>
      </c>
      <c r="HC29" s="57">
        <v>3</v>
      </c>
      <c r="HD29" s="97"/>
      <c r="HE29" s="32">
        <f>HD29/HA29</f>
        <v>0</v>
      </c>
      <c r="HG29" s="1">
        <f t="shared" ref="HG29:HG36" si="132">HF29*HH29</f>
        <v>0</v>
      </c>
      <c r="HH29" s="57">
        <v>5</v>
      </c>
      <c r="HI29" s="97"/>
      <c r="HJ29" s="13" t="e">
        <f t="shared" si="83"/>
        <v>#DIV/0!</v>
      </c>
      <c r="HL29" s="1">
        <f t="shared" ref="HL29:HL36" si="133">HK29*HM29</f>
        <v>0</v>
      </c>
      <c r="HM29" s="57">
        <v>5.5</v>
      </c>
      <c r="HN29" s="96"/>
      <c r="HO29" s="14" t="e">
        <f t="shared" si="85"/>
        <v>#DIV/0!</v>
      </c>
      <c r="HQ29" s="1">
        <f t="shared" ref="HQ29:HQ36" si="134">HP29*HR29</f>
        <v>0</v>
      </c>
      <c r="HR29" s="57">
        <v>5</v>
      </c>
      <c r="HS29" s="81"/>
      <c r="HT29" s="14" t="e">
        <f t="shared" si="87"/>
        <v>#DIV/0!</v>
      </c>
      <c r="HU29" s="108">
        <v>18669.79</v>
      </c>
      <c r="HV29" s="1">
        <f t="shared" ref="HV29:HV36" si="135">HU29*HW29</f>
        <v>56009.37</v>
      </c>
      <c r="HW29" s="57">
        <v>3</v>
      </c>
      <c r="HX29" s="96"/>
      <c r="HY29" s="14">
        <f t="shared" si="89"/>
        <v>0</v>
      </c>
      <c r="HZ29" s="108">
        <v>70003.070000000007</v>
      </c>
      <c r="IA29" s="1">
        <f t="shared" ref="IA29:IA36" si="136">HZ29*IB29</f>
        <v>210009.21000000002</v>
      </c>
      <c r="IB29" s="57">
        <v>3</v>
      </c>
      <c r="IC29" s="96"/>
      <c r="ID29" s="14">
        <f t="shared" si="91"/>
        <v>0</v>
      </c>
      <c r="IE29" s="108">
        <v>108302.86</v>
      </c>
      <c r="IF29" s="1">
        <f t="shared" ref="IF29:IF36" si="137">IE29*IG29</f>
        <v>162454.29</v>
      </c>
      <c r="IG29" s="57">
        <v>1.5</v>
      </c>
      <c r="IH29" s="88"/>
      <c r="II29" s="32">
        <f t="shared" si="93"/>
        <v>0</v>
      </c>
      <c r="IJ29" s="108">
        <v>185903.8</v>
      </c>
      <c r="IK29" s="1">
        <f t="shared" ref="IK29:IK36" si="138">IJ29*IL29</f>
        <v>278855.69999999995</v>
      </c>
      <c r="IL29" s="57">
        <v>1.5</v>
      </c>
      <c r="IM29" s="88"/>
      <c r="IN29" s="32">
        <f t="shared" si="95"/>
        <v>0</v>
      </c>
      <c r="IO29" s="108">
        <v>259531.64</v>
      </c>
      <c r="IP29" s="1">
        <f t="shared" ref="IP29:IP36" si="139">IO29*IQ29</f>
        <v>389297.46</v>
      </c>
      <c r="IQ29" s="57">
        <v>1.5</v>
      </c>
      <c r="IR29" s="88"/>
      <c r="IS29" s="32">
        <f t="shared" si="97"/>
        <v>0</v>
      </c>
      <c r="IT29" s="108">
        <v>295198.34000000003</v>
      </c>
      <c r="IU29" s="1">
        <f t="shared" ref="IU29:IU36" si="140">IT29*IV29</f>
        <v>442797.51</v>
      </c>
      <c r="IV29" s="57">
        <v>1.5</v>
      </c>
      <c r="IW29" s="88"/>
      <c r="IX29" s="32">
        <f t="shared" si="99"/>
        <v>0</v>
      </c>
      <c r="IY29" s="108">
        <v>120888.09</v>
      </c>
      <c r="IZ29" s="1">
        <f t="shared" ref="IZ29:IZ36" si="141">IY29*JA29</f>
        <v>181332.13500000001</v>
      </c>
      <c r="JA29" s="57">
        <v>1.5</v>
      </c>
      <c r="JB29" s="88"/>
      <c r="JC29" s="14">
        <f t="shared" si="101"/>
        <v>0</v>
      </c>
      <c r="JD29" s="73">
        <f t="shared" si="102"/>
        <v>1076467.5500000003</v>
      </c>
      <c r="JE29" s="73">
        <f t="shared" si="103"/>
        <v>974947.16</v>
      </c>
      <c r="JF29" s="75">
        <f t="shared" si="104"/>
        <v>-101520.39000000025</v>
      </c>
      <c r="JG29" s="11">
        <f t="shared" si="105"/>
        <v>0.90569117480596584</v>
      </c>
    </row>
    <row r="30" spans="3:267">
      <c r="C30" s="71" t="s">
        <v>228</v>
      </c>
      <c r="D30" s="164">
        <v>130015.74</v>
      </c>
      <c r="E30" s="1">
        <f t="shared" si="4"/>
        <v>78009.444000000003</v>
      </c>
      <c r="F30" s="2">
        <v>0.6</v>
      </c>
      <c r="G30" s="108">
        <v>125089.58</v>
      </c>
      <c r="H30" s="171">
        <f t="shared" si="5"/>
        <v>0.96211104901606526</v>
      </c>
      <c r="I30" s="169">
        <v>138790.81</v>
      </c>
      <c r="J30" s="1">
        <f t="shared" si="6"/>
        <v>90214.026500000007</v>
      </c>
      <c r="K30" s="2">
        <v>0.65</v>
      </c>
      <c r="L30" s="108">
        <v>126367.89</v>
      </c>
      <c r="M30" s="14">
        <f t="shared" si="7"/>
        <v>0.91049176815093158</v>
      </c>
      <c r="N30" s="164">
        <v>121696.05</v>
      </c>
      <c r="O30" s="1">
        <f t="shared" si="8"/>
        <v>121696.05</v>
      </c>
      <c r="P30" s="2">
        <v>1</v>
      </c>
      <c r="Q30" s="108">
        <v>128171.35</v>
      </c>
      <c r="R30" s="13">
        <f t="shared" si="9"/>
        <v>1.0532087935475309</v>
      </c>
      <c r="S30" s="160">
        <v>140211.53</v>
      </c>
      <c r="T30" s="1">
        <f t="shared" si="10"/>
        <v>151428.45240000001</v>
      </c>
      <c r="U30" s="2">
        <v>1.08</v>
      </c>
      <c r="V30" s="108">
        <v>119807.62</v>
      </c>
      <c r="W30" s="13">
        <f t="shared" si="11"/>
        <v>0.85447765957621313</v>
      </c>
      <c r="X30" s="108">
        <v>142490.17000000001</v>
      </c>
      <c r="Y30" s="1">
        <f t="shared" si="12"/>
        <v>123966.44790000001</v>
      </c>
      <c r="Z30" s="2">
        <v>0.87</v>
      </c>
      <c r="AA30" s="108">
        <v>130305.36</v>
      </c>
      <c r="AB30" s="13">
        <f t="shared" si="13"/>
        <v>0.914486662483454</v>
      </c>
      <c r="AC30" s="108">
        <v>202911.98</v>
      </c>
      <c r="AD30" s="1">
        <f t="shared" si="14"/>
        <v>202911.98</v>
      </c>
      <c r="AE30" s="2">
        <v>1</v>
      </c>
      <c r="AF30" s="108">
        <v>153118.06</v>
      </c>
      <c r="AG30" s="13">
        <f t="shared" si="15"/>
        <v>0.75460335067451412</v>
      </c>
      <c r="AH30" s="108">
        <v>131151.67000000001</v>
      </c>
      <c r="AI30" s="1">
        <f t="shared" si="16"/>
        <v>78691.002000000008</v>
      </c>
      <c r="AJ30" s="2">
        <v>0.6</v>
      </c>
      <c r="AK30" s="108">
        <v>115948.22</v>
      </c>
      <c r="AL30" s="13">
        <f t="shared" si="17"/>
        <v>0.88407734342993871</v>
      </c>
      <c r="AM30" s="108">
        <v>146210.67000000001</v>
      </c>
      <c r="AN30" s="1">
        <f t="shared" si="18"/>
        <v>87726.402000000002</v>
      </c>
      <c r="AO30" s="2">
        <v>0.6</v>
      </c>
      <c r="AP30" s="108">
        <v>126070.97</v>
      </c>
      <c r="AQ30" s="13">
        <f t="shared" si="19"/>
        <v>0.86225560692663528</v>
      </c>
      <c r="AR30" s="160">
        <v>162015.70000000001</v>
      </c>
      <c r="AS30" s="1">
        <f t="shared" si="20"/>
        <v>121511.77500000001</v>
      </c>
      <c r="AT30" s="2">
        <v>0.75</v>
      </c>
      <c r="AU30" s="108">
        <v>125534.47</v>
      </c>
      <c r="AV30" s="13">
        <f t="shared" si="21"/>
        <v>0.77482904434570221</v>
      </c>
      <c r="AW30" s="160">
        <v>185412.78</v>
      </c>
      <c r="AX30" s="1">
        <f t="shared" si="22"/>
        <v>139059.58499999999</v>
      </c>
      <c r="AY30" s="2">
        <v>0.75</v>
      </c>
      <c r="AZ30" s="108">
        <v>153065.63</v>
      </c>
      <c r="BA30" s="60">
        <f t="shared" si="23"/>
        <v>0.82553980367480606</v>
      </c>
      <c r="BB30" s="160">
        <v>104729.21</v>
      </c>
      <c r="BC30" s="1">
        <f t="shared" si="24"/>
        <v>73310.447</v>
      </c>
      <c r="BD30" s="2">
        <v>0.7</v>
      </c>
      <c r="BE30" s="108">
        <v>140766.9</v>
      </c>
      <c r="BF30" s="17">
        <f t="shared" si="25"/>
        <v>1.3441035218350257</v>
      </c>
      <c r="BG30" s="160">
        <v>22606.93</v>
      </c>
      <c r="BH30" s="1">
        <f t="shared" si="26"/>
        <v>16955.197500000002</v>
      </c>
      <c r="BI30" s="2">
        <v>0.75</v>
      </c>
      <c r="BJ30" s="115"/>
      <c r="BK30" s="60">
        <f t="shared" si="27"/>
        <v>0</v>
      </c>
      <c r="BL30" s="160"/>
      <c r="BM30" s="1">
        <f t="shared" si="28"/>
        <v>0</v>
      </c>
      <c r="BN30" s="2">
        <v>0.75</v>
      </c>
      <c r="BO30" s="115"/>
      <c r="BP30" s="60" t="e">
        <f t="shared" si="29"/>
        <v>#DIV/0!</v>
      </c>
      <c r="BQ30" s="160"/>
      <c r="BR30" s="1">
        <f t="shared" si="30"/>
        <v>0</v>
      </c>
      <c r="BS30" s="57">
        <v>3.5</v>
      </c>
      <c r="BT30" s="115"/>
      <c r="BU30" s="16" t="e">
        <f t="shared" si="31"/>
        <v>#DIV/0!</v>
      </c>
      <c r="BV30" s="160"/>
      <c r="BW30" s="1">
        <f t="shared" si="32"/>
        <v>0</v>
      </c>
      <c r="BX30" s="57">
        <v>3.5</v>
      </c>
      <c r="BZ30" s="14" t="e">
        <f t="shared" si="33"/>
        <v>#DIV/0!</v>
      </c>
      <c r="CA30" s="160"/>
      <c r="CB30" s="1">
        <f t="shared" si="34"/>
        <v>0</v>
      </c>
      <c r="CC30" s="57">
        <v>5</v>
      </c>
      <c r="CD30" s="115"/>
      <c r="CE30" s="16" t="e">
        <f t="shared" si="35"/>
        <v>#DIV/0!</v>
      </c>
      <c r="CF30" s="160"/>
      <c r="CG30" s="1">
        <f t="shared" si="36"/>
        <v>0</v>
      </c>
      <c r="CH30" s="57">
        <v>3</v>
      </c>
      <c r="CI30" s="115"/>
      <c r="CJ30" s="18" t="e">
        <f t="shared" si="37"/>
        <v>#DIV/0!</v>
      </c>
      <c r="CK30" s="160"/>
      <c r="CL30" s="1">
        <f t="shared" si="38"/>
        <v>0</v>
      </c>
      <c r="CM30" s="57">
        <v>6.5</v>
      </c>
      <c r="CN30" s="115"/>
      <c r="CO30" s="16" t="e">
        <f t="shared" si="39"/>
        <v>#DIV/0!</v>
      </c>
      <c r="CP30" s="160"/>
      <c r="CQ30" s="1">
        <f t="shared" si="108"/>
        <v>0</v>
      </c>
      <c r="CR30" s="57">
        <v>6.5</v>
      </c>
      <c r="CS30" s="95"/>
      <c r="CT30" s="16" t="e">
        <f t="shared" si="41"/>
        <v>#DIV/0!</v>
      </c>
      <c r="CU30" s="160"/>
      <c r="CV30" s="1">
        <f t="shared" si="109"/>
        <v>0</v>
      </c>
      <c r="CW30" s="57">
        <v>6.5</v>
      </c>
      <c r="CX30" s="132"/>
      <c r="CY30" s="130" t="e">
        <f t="shared" si="43"/>
        <v>#DIV/0!</v>
      </c>
      <c r="CZ30" s="160"/>
      <c r="DA30" s="1">
        <f t="shared" si="110"/>
        <v>0</v>
      </c>
      <c r="DB30" s="57">
        <v>6.5</v>
      </c>
      <c r="DC30" s="132"/>
      <c r="DD30" s="18" t="e">
        <f t="shared" si="45"/>
        <v>#DIV/0!</v>
      </c>
      <c r="DE30" s="357">
        <v>34.99</v>
      </c>
      <c r="DF30" s="1">
        <f t="shared" si="111"/>
        <v>157.45500000000001</v>
      </c>
      <c r="DG30" s="57">
        <v>4.5</v>
      </c>
      <c r="DH30" s="132"/>
      <c r="DI30" s="16">
        <f t="shared" si="47"/>
        <v>0</v>
      </c>
      <c r="DJ30" s="357"/>
      <c r="DK30" s="1">
        <f t="shared" si="112"/>
        <v>0</v>
      </c>
      <c r="DL30" s="57">
        <v>3</v>
      </c>
      <c r="DM30" s="233"/>
      <c r="DN30" s="16" t="e">
        <f t="shared" si="106"/>
        <v>#DIV/0!</v>
      </c>
      <c r="DO30" s="357"/>
      <c r="DP30" s="1">
        <f t="shared" si="113"/>
        <v>0</v>
      </c>
      <c r="DQ30" s="57">
        <v>2.5</v>
      </c>
      <c r="DR30" s="233"/>
      <c r="DS30" s="16" t="e">
        <f t="shared" si="50"/>
        <v>#DIV/0!</v>
      </c>
      <c r="DT30" s="357"/>
      <c r="DU30" s="1">
        <f t="shared" si="114"/>
        <v>0</v>
      </c>
      <c r="DV30" s="57">
        <v>2.5</v>
      </c>
      <c r="DW30" s="233"/>
      <c r="DX30" s="16" t="e">
        <f t="shared" si="0"/>
        <v>#DIV/0!</v>
      </c>
      <c r="DY30" s="357"/>
      <c r="DZ30" s="1">
        <f t="shared" si="115"/>
        <v>0</v>
      </c>
      <c r="EA30" s="57">
        <v>2.5</v>
      </c>
      <c r="EB30" s="233"/>
      <c r="EC30" s="18" t="e">
        <f t="shared" si="53"/>
        <v>#DIV/0!</v>
      </c>
      <c r="ED30" s="357"/>
      <c r="EE30" s="1">
        <f t="shared" si="116"/>
        <v>0</v>
      </c>
      <c r="EF30" s="57">
        <v>2</v>
      </c>
      <c r="EG30" s="233"/>
      <c r="EH30" s="16" t="e">
        <f t="shared" si="55"/>
        <v>#DIV/0!</v>
      </c>
      <c r="EI30" s="357"/>
      <c r="EJ30" s="1">
        <f t="shared" si="117"/>
        <v>0</v>
      </c>
      <c r="EK30" s="57">
        <v>1.8</v>
      </c>
      <c r="EL30" s="233"/>
      <c r="EM30" s="16" t="e">
        <f t="shared" si="57"/>
        <v>#DIV/0!</v>
      </c>
      <c r="EN30" s="357"/>
      <c r="EO30" s="1">
        <f t="shared" si="118"/>
        <v>0</v>
      </c>
      <c r="EP30" s="57">
        <v>1.8</v>
      </c>
      <c r="EQ30" s="233"/>
      <c r="ER30" s="16" t="e">
        <f t="shared" si="59"/>
        <v>#DIV/0!</v>
      </c>
      <c r="ES30" s="357"/>
      <c r="ET30" s="1">
        <f t="shared" si="119"/>
        <v>0</v>
      </c>
      <c r="EU30" s="57">
        <v>1.8</v>
      </c>
      <c r="EV30" s="233"/>
      <c r="EW30" s="18" t="e">
        <f t="shared" si="61"/>
        <v>#DIV/0!</v>
      </c>
      <c r="EX30" s="357"/>
      <c r="EY30" s="1">
        <f t="shared" si="120"/>
        <v>0</v>
      </c>
      <c r="EZ30" s="57">
        <v>1.8</v>
      </c>
      <c r="FA30" s="233"/>
      <c r="FB30" s="32" t="e">
        <f t="shared" si="1"/>
        <v>#DIV/0!</v>
      </c>
      <c r="FC30" s="160">
        <v>46586.06</v>
      </c>
      <c r="FD30" s="1">
        <f t="shared" si="121"/>
        <v>83854.907999999996</v>
      </c>
      <c r="FE30" s="57">
        <v>1.8</v>
      </c>
      <c r="FF30" s="232"/>
      <c r="FG30" s="14">
        <f t="shared" si="64"/>
        <v>0</v>
      </c>
      <c r="FH30" s="160">
        <v>66064.899999999994</v>
      </c>
      <c r="FI30" s="1">
        <f t="shared" si="122"/>
        <v>118916.81999999999</v>
      </c>
      <c r="FJ30" s="57">
        <v>1.8</v>
      </c>
      <c r="FK30" s="232"/>
      <c r="FL30" s="234">
        <f t="shared" si="66"/>
        <v>0</v>
      </c>
      <c r="FM30" s="160">
        <v>70505.95</v>
      </c>
      <c r="FN30" s="1">
        <f t="shared" si="123"/>
        <v>126910.70999999999</v>
      </c>
      <c r="FO30" s="57">
        <v>1.8</v>
      </c>
      <c r="FP30" s="232"/>
      <c r="FQ30" s="13">
        <f t="shared" si="68"/>
        <v>0</v>
      </c>
      <c r="FR30" s="160">
        <v>78635.42</v>
      </c>
      <c r="FS30" s="1">
        <f t="shared" si="124"/>
        <v>122671.2552</v>
      </c>
      <c r="FT30" s="57">
        <v>1.56</v>
      </c>
      <c r="FU30" s="88"/>
      <c r="FV30" s="31">
        <f t="shared" si="70"/>
        <v>0</v>
      </c>
      <c r="FW30" s="160">
        <v>71118.53</v>
      </c>
      <c r="FX30" s="1">
        <f t="shared" si="125"/>
        <v>110944.9068</v>
      </c>
      <c r="FY30" s="57">
        <v>1.56</v>
      </c>
      <c r="FZ30" s="88"/>
      <c r="GA30" s="14">
        <f t="shared" si="2"/>
        <v>0</v>
      </c>
      <c r="GB30" s="160">
        <v>88054.41</v>
      </c>
      <c r="GC30" s="1">
        <f t="shared" si="126"/>
        <v>137364.87960000001</v>
      </c>
      <c r="GD30" s="57">
        <v>1.56</v>
      </c>
      <c r="GE30" s="88"/>
      <c r="GF30" s="32">
        <f t="shared" si="73"/>
        <v>0</v>
      </c>
      <c r="GG30" s="160">
        <v>87946.93</v>
      </c>
      <c r="GH30" s="1">
        <f t="shared" si="127"/>
        <v>137197.2108</v>
      </c>
      <c r="GI30" s="57">
        <v>1.56</v>
      </c>
      <c r="GJ30" s="108"/>
      <c r="GK30" s="32">
        <f t="shared" si="75"/>
        <v>0</v>
      </c>
      <c r="GL30" s="160">
        <v>130963.76</v>
      </c>
      <c r="GM30" s="1">
        <f t="shared" si="128"/>
        <v>204303.4656</v>
      </c>
      <c r="GN30" s="57">
        <v>1.56</v>
      </c>
      <c r="GO30" s="108"/>
      <c r="GP30" s="13">
        <f t="shared" si="77"/>
        <v>0</v>
      </c>
      <c r="GQ30" s="160">
        <v>131965.04999999999</v>
      </c>
      <c r="GR30" s="1">
        <f t="shared" si="129"/>
        <v>205865.478</v>
      </c>
      <c r="GS30" s="57">
        <v>1.56</v>
      </c>
      <c r="GT30" s="108"/>
      <c r="GU30" s="32">
        <f t="shared" si="79"/>
        <v>0</v>
      </c>
      <c r="GV30" s="160">
        <v>137161.91</v>
      </c>
      <c r="GW30" s="1">
        <f t="shared" si="130"/>
        <v>274323.82</v>
      </c>
      <c r="GX30" s="57">
        <v>2</v>
      </c>
      <c r="GY30" s="97"/>
      <c r="GZ30" s="32">
        <f t="shared" si="3"/>
        <v>0</v>
      </c>
      <c r="HA30" s="160">
        <v>54086.43</v>
      </c>
      <c r="HB30" s="1">
        <f t="shared" si="131"/>
        <v>162259.29</v>
      </c>
      <c r="HC30" s="57">
        <v>3</v>
      </c>
      <c r="HD30" s="97"/>
      <c r="HE30" s="32">
        <f t="shared" si="107"/>
        <v>0</v>
      </c>
      <c r="HG30" s="1">
        <f t="shared" si="132"/>
        <v>0</v>
      </c>
      <c r="HH30" s="57">
        <v>5</v>
      </c>
      <c r="HI30" s="97"/>
      <c r="HJ30" s="13" t="e">
        <f t="shared" si="83"/>
        <v>#DIV/0!</v>
      </c>
      <c r="HL30" s="1">
        <f t="shared" si="133"/>
        <v>0</v>
      </c>
      <c r="HM30" s="57">
        <v>5.5</v>
      </c>
      <c r="HN30" s="96"/>
      <c r="HO30" s="14" t="e">
        <f t="shared" si="85"/>
        <v>#DIV/0!</v>
      </c>
      <c r="HQ30" s="1">
        <f t="shared" si="134"/>
        <v>0</v>
      </c>
      <c r="HR30" s="57">
        <v>5</v>
      </c>
      <c r="HS30" s="81"/>
      <c r="HT30" s="14" t="e">
        <f t="shared" si="87"/>
        <v>#DIV/0!</v>
      </c>
      <c r="HV30" s="1">
        <f t="shared" si="135"/>
        <v>0</v>
      </c>
      <c r="HW30" s="57">
        <v>3</v>
      </c>
      <c r="HX30" s="96"/>
      <c r="HY30" s="14" t="e">
        <f t="shared" si="89"/>
        <v>#DIV/0!</v>
      </c>
      <c r="HZ30" s="108">
        <v>69237.05</v>
      </c>
      <c r="IA30" s="1">
        <f t="shared" si="136"/>
        <v>207711.15000000002</v>
      </c>
      <c r="IB30" s="57">
        <v>3</v>
      </c>
      <c r="IC30" s="96"/>
      <c r="ID30" s="14">
        <f t="shared" si="91"/>
        <v>0</v>
      </c>
      <c r="IE30" s="108">
        <v>161561.03</v>
      </c>
      <c r="IF30" s="1">
        <f t="shared" si="137"/>
        <v>242341.54499999998</v>
      </c>
      <c r="IG30" s="57">
        <v>1.5</v>
      </c>
      <c r="IH30" s="88"/>
      <c r="II30" s="32">
        <f t="shared" si="93"/>
        <v>0</v>
      </c>
      <c r="IJ30" s="108">
        <v>260959.89</v>
      </c>
      <c r="IK30" s="1">
        <f t="shared" si="138"/>
        <v>391439.83500000002</v>
      </c>
      <c r="IL30" s="57">
        <v>1.5</v>
      </c>
      <c r="IM30" s="88"/>
      <c r="IN30" s="32">
        <f t="shared" si="95"/>
        <v>0</v>
      </c>
      <c r="IO30" s="108">
        <v>343904.85</v>
      </c>
      <c r="IP30" s="1">
        <f t="shared" si="139"/>
        <v>515857.27499999997</v>
      </c>
      <c r="IQ30" s="57">
        <v>1.5</v>
      </c>
      <c r="IR30" s="88"/>
      <c r="IS30" s="32">
        <f t="shared" si="97"/>
        <v>0</v>
      </c>
      <c r="IT30" s="108">
        <v>397445.18</v>
      </c>
      <c r="IU30" s="1">
        <f t="shared" si="140"/>
        <v>596167.77</v>
      </c>
      <c r="IV30" s="57">
        <v>1.5</v>
      </c>
      <c r="IW30" s="88"/>
      <c r="IX30" s="32">
        <f t="shared" si="99"/>
        <v>0</v>
      </c>
      <c r="IY30" s="108">
        <v>165011.9</v>
      </c>
      <c r="IZ30" s="1">
        <f t="shared" si="141"/>
        <v>247517.84999999998</v>
      </c>
      <c r="JA30" s="57">
        <v>1.5</v>
      </c>
      <c r="JB30" s="88"/>
      <c r="JC30" s="14">
        <f t="shared" si="101"/>
        <v>0</v>
      </c>
      <c r="JD30" s="73">
        <f t="shared" si="102"/>
        <v>1605636.31</v>
      </c>
      <c r="JE30" s="73">
        <f t="shared" si="103"/>
        <v>1444246.0499999998</v>
      </c>
      <c r="JF30" s="75">
        <f t="shared" si="104"/>
        <v>-161390.26000000024</v>
      </c>
      <c r="JG30" s="11">
        <f t="shared" si="105"/>
        <v>0.89948517046179643</v>
      </c>
    </row>
    <row r="31" spans="3:267">
      <c r="C31" s="72" t="s">
        <v>229</v>
      </c>
      <c r="D31" s="164">
        <v>217664.67</v>
      </c>
      <c r="E31" s="1">
        <f t="shared" si="4"/>
        <v>130598.802</v>
      </c>
      <c r="F31" s="2">
        <v>0.6</v>
      </c>
      <c r="G31" s="108">
        <v>168610.96</v>
      </c>
      <c r="H31" s="171">
        <f t="shared" si="5"/>
        <v>0.77463632476506172</v>
      </c>
      <c r="I31" s="169">
        <v>203879.1</v>
      </c>
      <c r="J31" s="1">
        <f t="shared" si="6"/>
        <v>163103.28000000003</v>
      </c>
      <c r="K31" s="2">
        <v>0.8</v>
      </c>
      <c r="L31" s="108">
        <v>152377.65</v>
      </c>
      <c r="M31" s="14">
        <f t="shared" si="7"/>
        <v>0.74739220449766552</v>
      </c>
      <c r="N31" s="164">
        <v>198348.26</v>
      </c>
      <c r="O31" s="1">
        <f t="shared" si="8"/>
        <v>158678.60800000001</v>
      </c>
      <c r="P31" s="2">
        <v>0.8</v>
      </c>
      <c r="Q31" s="108">
        <v>152088.89000000001</v>
      </c>
      <c r="R31" s="13">
        <f t="shared" si="9"/>
        <v>0.7667770314697997</v>
      </c>
      <c r="S31" s="160">
        <v>202790.18</v>
      </c>
      <c r="T31" s="1">
        <f t="shared" si="10"/>
        <v>172371.65299999999</v>
      </c>
      <c r="U31" s="2">
        <v>0.85</v>
      </c>
      <c r="V31" s="108">
        <v>140483.67000000001</v>
      </c>
      <c r="W31" s="13">
        <f t="shared" si="11"/>
        <v>0.69275381086007226</v>
      </c>
      <c r="X31" s="108">
        <v>196922.03</v>
      </c>
      <c r="Y31" s="1">
        <f t="shared" si="12"/>
        <v>147691.52249999999</v>
      </c>
      <c r="Z31" s="2">
        <v>0.75</v>
      </c>
      <c r="AA31" s="108">
        <v>155427.07</v>
      </c>
      <c r="AB31" s="13">
        <f t="shared" si="13"/>
        <v>0.78928228598902828</v>
      </c>
      <c r="AC31" s="108">
        <v>262765.67</v>
      </c>
      <c r="AD31" s="1">
        <f t="shared" si="14"/>
        <v>236489.103</v>
      </c>
      <c r="AE31" s="2">
        <v>0.9</v>
      </c>
      <c r="AF31" s="108">
        <v>209500.16</v>
      </c>
      <c r="AG31" s="13">
        <f t="shared" si="15"/>
        <v>0.79728893047558314</v>
      </c>
      <c r="AH31" s="108">
        <v>186064.43</v>
      </c>
      <c r="AI31" s="1">
        <f t="shared" si="16"/>
        <v>111638.658</v>
      </c>
      <c r="AJ31" s="2">
        <v>0.6</v>
      </c>
      <c r="AK31" s="108">
        <v>119605.94</v>
      </c>
      <c r="AL31" s="13">
        <f t="shared" si="17"/>
        <v>0.64282001670066657</v>
      </c>
      <c r="AM31" s="108">
        <v>202429.3</v>
      </c>
      <c r="AN31" s="1">
        <f t="shared" si="18"/>
        <v>121457.57999999999</v>
      </c>
      <c r="AO31" s="2">
        <v>0.6</v>
      </c>
      <c r="AP31" s="108">
        <v>146395.82999999999</v>
      </c>
      <c r="AQ31" s="13">
        <f t="shared" si="19"/>
        <v>0.72319486358941121</v>
      </c>
      <c r="AR31" s="160">
        <v>192149.21</v>
      </c>
      <c r="AS31" s="1">
        <f t="shared" si="20"/>
        <v>144111.9075</v>
      </c>
      <c r="AT31" s="2">
        <v>0.75</v>
      </c>
      <c r="AU31" s="108">
        <v>150698.29999999999</v>
      </c>
      <c r="AV31" s="13">
        <f t="shared" si="21"/>
        <v>0.78427748935319586</v>
      </c>
      <c r="AW31" s="160">
        <v>231351.42</v>
      </c>
      <c r="AX31" s="1">
        <f t="shared" si="22"/>
        <v>173513.565</v>
      </c>
      <c r="AY31" s="2">
        <v>0.75</v>
      </c>
      <c r="AZ31" s="108">
        <v>149651.76999999999</v>
      </c>
      <c r="BA31" s="60">
        <f t="shared" si="23"/>
        <v>0.64685909427311916</v>
      </c>
      <c r="BB31" s="160">
        <v>139977.38</v>
      </c>
      <c r="BC31" s="1">
        <f t="shared" si="24"/>
        <v>97984.165999999997</v>
      </c>
      <c r="BD31" s="2">
        <v>0.7</v>
      </c>
      <c r="BE31" s="108">
        <v>168415.05</v>
      </c>
      <c r="BF31" s="17">
        <f t="shared" si="25"/>
        <v>1.2031590389818696</v>
      </c>
      <c r="BG31" s="160">
        <v>59656.02</v>
      </c>
      <c r="BH31" s="1">
        <f t="shared" si="26"/>
        <v>44742.014999999999</v>
      </c>
      <c r="BI31" s="2">
        <v>0.75</v>
      </c>
      <c r="BJ31" s="115"/>
      <c r="BK31" s="60">
        <f t="shared" si="27"/>
        <v>0</v>
      </c>
      <c r="BL31" s="160">
        <v>44459.28</v>
      </c>
      <c r="BM31" s="1">
        <f t="shared" si="28"/>
        <v>33344.46</v>
      </c>
      <c r="BN31" s="2">
        <v>0.75</v>
      </c>
      <c r="BO31" s="115"/>
      <c r="BP31" s="60">
        <f t="shared" si="29"/>
        <v>0</v>
      </c>
      <c r="BQ31" s="160"/>
      <c r="BR31" s="1">
        <f t="shared" si="30"/>
        <v>0</v>
      </c>
      <c r="BS31" s="57">
        <v>3.5</v>
      </c>
      <c r="BT31" s="115"/>
      <c r="BU31" s="16" t="e">
        <f t="shared" si="31"/>
        <v>#DIV/0!</v>
      </c>
      <c r="BV31" s="160"/>
      <c r="BW31" s="1">
        <f t="shared" si="32"/>
        <v>0</v>
      </c>
      <c r="BX31" s="57">
        <v>3.5</v>
      </c>
      <c r="BZ31" s="14" t="e">
        <f t="shared" si="33"/>
        <v>#DIV/0!</v>
      </c>
      <c r="CA31" s="160"/>
      <c r="CB31" s="1">
        <f t="shared" si="34"/>
        <v>0</v>
      </c>
      <c r="CC31" s="57">
        <v>5</v>
      </c>
      <c r="CD31" s="115"/>
      <c r="CE31" s="16" t="e">
        <f t="shared" si="35"/>
        <v>#DIV/0!</v>
      </c>
      <c r="CF31" s="160"/>
      <c r="CG31" s="1">
        <f t="shared" si="36"/>
        <v>0</v>
      </c>
      <c r="CH31" s="57">
        <v>3</v>
      </c>
      <c r="CI31" s="115"/>
      <c r="CJ31" s="18" t="e">
        <f t="shared" si="37"/>
        <v>#DIV/0!</v>
      </c>
      <c r="CK31" s="160"/>
      <c r="CL31" s="1">
        <f t="shared" si="38"/>
        <v>0</v>
      </c>
      <c r="CM31" s="57">
        <v>6.5</v>
      </c>
      <c r="CN31" s="115"/>
      <c r="CO31" s="16" t="e">
        <f t="shared" si="39"/>
        <v>#DIV/0!</v>
      </c>
      <c r="CP31" s="160"/>
      <c r="CQ31" s="1">
        <f t="shared" si="108"/>
        <v>0</v>
      </c>
      <c r="CR31" s="57">
        <v>6.5</v>
      </c>
      <c r="CS31" s="95"/>
      <c r="CT31" s="16" t="e">
        <f t="shared" si="41"/>
        <v>#DIV/0!</v>
      </c>
      <c r="CU31" s="160"/>
      <c r="CV31" s="1">
        <f t="shared" si="109"/>
        <v>0</v>
      </c>
      <c r="CW31" s="57">
        <v>6.5</v>
      </c>
      <c r="CX31" s="132"/>
      <c r="CY31" s="130" t="e">
        <f t="shared" si="43"/>
        <v>#DIV/0!</v>
      </c>
      <c r="CZ31" s="160"/>
      <c r="DA31" s="1">
        <f t="shared" si="110"/>
        <v>0</v>
      </c>
      <c r="DB31" s="57">
        <v>6.5</v>
      </c>
      <c r="DC31" s="132"/>
      <c r="DD31" s="18" t="e">
        <f t="shared" si="45"/>
        <v>#DIV/0!</v>
      </c>
      <c r="DE31" s="357"/>
      <c r="DF31" s="1">
        <f t="shared" si="111"/>
        <v>0</v>
      </c>
      <c r="DG31" s="57">
        <v>4.5</v>
      </c>
      <c r="DH31" s="132"/>
      <c r="DI31" s="16" t="e">
        <f t="shared" si="47"/>
        <v>#DIV/0!</v>
      </c>
      <c r="DJ31" s="357"/>
      <c r="DK31" s="1">
        <f t="shared" si="112"/>
        <v>0</v>
      </c>
      <c r="DL31" s="57">
        <v>3</v>
      </c>
      <c r="DM31" s="233"/>
      <c r="DN31" s="16" t="e">
        <f t="shared" si="106"/>
        <v>#DIV/0!</v>
      </c>
      <c r="DO31" s="160">
        <v>133012.42000000001</v>
      </c>
      <c r="DP31" s="1">
        <f t="shared" si="113"/>
        <v>332531.05000000005</v>
      </c>
      <c r="DQ31" s="57">
        <v>2.5</v>
      </c>
      <c r="DR31" s="88"/>
      <c r="DS31" s="16">
        <f t="shared" si="50"/>
        <v>0</v>
      </c>
      <c r="DT31" s="160">
        <v>134183.24</v>
      </c>
      <c r="DU31" s="1">
        <f t="shared" si="114"/>
        <v>335458.09999999998</v>
      </c>
      <c r="DV31" s="57">
        <v>2.5</v>
      </c>
      <c r="DW31" s="88"/>
      <c r="DX31" s="16">
        <f t="shared" si="0"/>
        <v>0</v>
      </c>
      <c r="DY31" s="160">
        <v>201424.41</v>
      </c>
      <c r="DZ31" s="1">
        <f t="shared" si="115"/>
        <v>503561.02500000002</v>
      </c>
      <c r="EA31" s="57">
        <v>2.5</v>
      </c>
      <c r="EB31" s="232"/>
      <c r="EC31" s="18">
        <f t="shared" si="53"/>
        <v>0</v>
      </c>
      <c r="ED31" s="160">
        <v>156878.74</v>
      </c>
      <c r="EE31" s="1">
        <f t="shared" si="116"/>
        <v>313757.48</v>
      </c>
      <c r="EF31" s="57">
        <v>2</v>
      </c>
      <c r="EG31" s="232"/>
      <c r="EH31" s="16">
        <f t="shared" si="55"/>
        <v>0</v>
      </c>
      <c r="EI31" s="160">
        <v>170085.91</v>
      </c>
      <c r="EJ31" s="1">
        <f t="shared" si="117"/>
        <v>306154.63800000004</v>
      </c>
      <c r="EK31" s="57">
        <v>1.8</v>
      </c>
      <c r="EL31" s="232"/>
      <c r="EM31" s="16">
        <f t="shared" si="57"/>
        <v>0</v>
      </c>
      <c r="EN31" s="160">
        <v>178417.75</v>
      </c>
      <c r="EO31" s="1">
        <f t="shared" si="118"/>
        <v>321151.95</v>
      </c>
      <c r="EP31" s="57">
        <v>1.8</v>
      </c>
      <c r="EQ31" s="232"/>
      <c r="ER31" s="16">
        <f t="shared" si="59"/>
        <v>0</v>
      </c>
      <c r="ES31" s="160">
        <v>166778.63</v>
      </c>
      <c r="ET31" s="1">
        <f t="shared" si="119"/>
        <v>300201.53400000004</v>
      </c>
      <c r="EU31" s="57">
        <v>1.8</v>
      </c>
      <c r="EV31" s="232"/>
      <c r="EW31" s="18">
        <f t="shared" si="61"/>
        <v>0</v>
      </c>
      <c r="EX31" s="160">
        <v>160059.76999999999</v>
      </c>
      <c r="EY31" s="1">
        <f t="shared" si="120"/>
        <v>288107.58600000001</v>
      </c>
      <c r="EZ31" s="57">
        <v>1.8</v>
      </c>
      <c r="FA31" s="232"/>
      <c r="FB31" s="32">
        <f t="shared" si="1"/>
        <v>0</v>
      </c>
      <c r="FC31" s="160">
        <v>172454.97</v>
      </c>
      <c r="FD31" s="1">
        <f t="shared" si="121"/>
        <v>310418.946</v>
      </c>
      <c r="FE31" s="57">
        <v>1.8</v>
      </c>
      <c r="FF31" s="232"/>
      <c r="FG31" s="14">
        <f t="shared" si="64"/>
        <v>0</v>
      </c>
      <c r="FH31" s="160">
        <v>144730.15</v>
      </c>
      <c r="FI31" s="1">
        <f t="shared" si="122"/>
        <v>260514.27</v>
      </c>
      <c r="FJ31" s="57">
        <v>1.8</v>
      </c>
      <c r="FK31" s="232"/>
      <c r="FL31" s="234">
        <f t="shared" si="66"/>
        <v>0</v>
      </c>
      <c r="FM31" s="160">
        <v>153134.39000000001</v>
      </c>
      <c r="FN31" s="1">
        <f t="shared" si="123"/>
        <v>275641.90200000006</v>
      </c>
      <c r="FO31" s="57">
        <v>1.8</v>
      </c>
      <c r="FP31" s="232"/>
      <c r="FQ31" s="13">
        <f t="shared" si="68"/>
        <v>0</v>
      </c>
      <c r="FR31" s="160">
        <v>186425.34</v>
      </c>
      <c r="FS31" s="1">
        <f t="shared" si="124"/>
        <v>290823.53039999999</v>
      </c>
      <c r="FT31" s="57">
        <v>1.56</v>
      </c>
      <c r="FU31" s="88"/>
      <c r="FV31" s="31">
        <f t="shared" si="70"/>
        <v>0</v>
      </c>
      <c r="FW31" s="160">
        <v>186859.01</v>
      </c>
      <c r="FX31" s="1">
        <f t="shared" si="125"/>
        <v>291500.05560000002</v>
      </c>
      <c r="FY31" s="57">
        <v>1.56</v>
      </c>
      <c r="FZ31" s="88"/>
      <c r="GA31" s="14">
        <f t="shared" si="2"/>
        <v>0</v>
      </c>
      <c r="GB31" s="160">
        <v>187360.07</v>
      </c>
      <c r="GC31" s="1">
        <f t="shared" si="126"/>
        <v>292281.70920000004</v>
      </c>
      <c r="GD31" s="57">
        <v>1.56</v>
      </c>
      <c r="GE31" s="88"/>
      <c r="GF31" s="32">
        <f t="shared" si="73"/>
        <v>0</v>
      </c>
      <c r="GG31" s="160">
        <v>179281.84</v>
      </c>
      <c r="GH31" s="1">
        <f t="shared" si="127"/>
        <v>279679.6704</v>
      </c>
      <c r="GI31" s="57">
        <v>1.56</v>
      </c>
      <c r="GJ31" s="108"/>
      <c r="GK31" s="32">
        <f t="shared" si="75"/>
        <v>0</v>
      </c>
      <c r="GL31" s="160">
        <v>163781.07999999999</v>
      </c>
      <c r="GM31" s="1">
        <f t="shared" si="128"/>
        <v>255498.48479999998</v>
      </c>
      <c r="GN31" s="57">
        <v>1.56</v>
      </c>
      <c r="GO31" s="108"/>
      <c r="GP31" s="13">
        <f t="shared" si="77"/>
        <v>0</v>
      </c>
      <c r="GQ31" s="160">
        <v>162514.74</v>
      </c>
      <c r="GR31" s="1">
        <f t="shared" si="129"/>
        <v>253522.9944</v>
      </c>
      <c r="GS31" s="57">
        <v>1.56</v>
      </c>
      <c r="GT31" s="108"/>
      <c r="GU31" s="32">
        <f t="shared" si="79"/>
        <v>0</v>
      </c>
      <c r="GV31" s="160">
        <v>179515.88</v>
      </c>
      <c r="GW31" s="1">
        <f t="shared" si="130"/>
        <v>359031.76</v>
      </c>
      <c r="GX31" s="57">
        <v>2</v>
      </c>
      <c r="GY31" s="97"/>
      <c r="GZ31" s="32">
        <f t="shared" si="3"/>
        <v>0</v>
      </c>
      <c r="HA31" s="160">
        <v>79772.44</v>
      </c>
      <c r="HB31" s="1">
        <f t="shared" si="131"/>
        <v>239317.32</v>
      </c>
      <c r="HC31" s="57">
        <v>3</v>
      </c>
      <c r="HD31" s="97"/>
      <c r="HE31" s="32">
        <f t="shared" si="107"/>
        <v>0</v>
      </c>
      <c r="HG31" s="1">
        <f t="shared" si="132"/>
        <v>0</v>
      </c>
      <c r="HH31" s="57">
        <v>5</v>
      </c>
      <c r="HI31" s="97"/>
      <c r="HJ31" s="13" t="e">
        <f t="shared" si="83"/>
        <v>#DIV/0!</v>
      </c>
      <c r="HL31" s="1">
        <f t="shared" si="133"/>
        <v>0</v>
      </c>
      <c r="HM31" s="57">
        <v>5.5</v>
      </c>
      <c r="HN31" s="96"/>
      <c r="HO31" s="14" t="e">
        <f t="shared" si="85"/>
        <v>#DIV/0!</v>
      </c>
      <c r="HQ31" s="1">
        <f t="shared" si="134"/>
        <v>0</v>
      </c>
      <c r="HR31" s="57">
        <v>5</v>
      </c>
      <c r="HS31" s="81"/>
      <c r="HT31" s="14" t="e">
        <f t="shared" si="87"/>
        <v>#DIV/0!</v>
      </c>
      <c r="HV31" s="1">
        <f t="shared" si="135"/>
        <v>0</v>
      </c>
      <c r="HW31" s="57">
        <v>3</v>
      </c>
      <c r="HX31" s="96"/>
      <c r="HY31" s="14" t="e">
        <f t="shared" si="89"/>
        <v>#DIV/0!</v>
      </c>
      <c r="HZ31" s="108">
        <v>133884.37</v>
      </c>
      <c r="IA31" s="1">
        <f t="shared" si="136"/>
        <v>401653.11</v>
      </c>
      <c r="IB31" s="57">
        <v>3</v>
      </c>
      <c r="IC31" s="96"/>
      <c r="ID31" s="14">
        <f t="shared" si="91"/>
        <v>0</v>
      </c>
      <c r="IE31" s="108">
        <v>203875.27</v>
      </c>
      <c r="IF31" s="1">
        <f t="shared" si="137"/>
        <v>305812.90499999997</v>
      </c>
      <c r="IG31" s="57">
        <v>1.5</v>
      </c>
      <c r="IH31" s="88"/>
      <c r="II31" s="32">
        <f t="shared" si="93"/>
        <v>0</v>
      </c>
      <c r="IJ31" s="108">
        <v>362835.66</v>
      </c>
      <c r="IK31" s="1">
        <f t="shared" si="138"/>
        <v>544253.49</v>
      </c>
      <c r="IL31" s="57">
        <v>1.5</v>
      </c>
      <c r="IM31" s="88"/>
      <c r="IN31" s="32">
        <f t="shared" si="95"/>
        <v>0</v>
      </c>
      <c r="IO31" s="108">
        <v>487351.76</v>
      </c>
      <c r="IP31" s="1">
        <f t="shared" si="139"/>
        <v>731027.64</v>
      </c>
      <c r="IQ31" s="57">
        <v>1.5</v>
      </c>
      <c r="IR31" s="88"/>
      <c r="IS31" s="32">
        <f t="shared" si="97"/>
        <v>0</v>
      </c>
      <c r="IT31" s="108">
        <v>497368.71</v>
      </c>
      <c r="IU31" s="1">
        <f t="shared" si="140"/>
        <v>746053.06500000006</v>
      </c>
      <c r="IV31" s="57">
        <v>1.5</v>
      </c>
      <c r="IW31" s="88"/>
      <c r="IX31" s="32">
        <f t="shared" si="99"/>
        <v>0</v>
      </c>
      <c r="IY31" s="108">
        <v>163690.9</v>
      </c>
      <c r="IZ31" s="1">
        <f t="shared" si="141"/>
        <v>245536.34999999998</v>
      </c>
      <c r="JA31" s="57">
        <v>1.5</v>
      </c>
      <c r="JB31" s="88"/>
      <c r="JC31" s="14">
        <f t="shared" si="101"/>
        <v>0</v>
      </c>
      <c r="JD31" s="73">
        <f t="shared" si="102"/>
        <v>2234341.65</v>
      </c>
      <c r="JE31" s="73">
        <f t="shared" si="103"/>
        <v>1713255.29</v>
      </c>
      <c r="JF31" s="75">
        <f t="shared" si="104"/>
        <v>-521086.35999999987</v>
      </c>
      <c r="JG31" s="11">
        <f t="shared" si="105"/>
        <v>0.76678304322886348</v>
      </c>
    </row>
    <row r="32" spans="3:267">
      <c r="C32" s="72" t="s">
        <v>230</v>
      </c>
      <c r="D32" s="164">
        <v>87218.94</v>
      </c>
      <c r="E32" s="1">
        <f t="shared" si="4"/>
        <v>52331.364000000001</v>
      </c>
      <c r="F32" s="2">
        <v>0.6</v>
      </c>
      <c r="G32" s="108">
        <v>57960.36</v>
      </c>
      <c r="H32" s="171">
        <f t="shared" si="5"/>
        <v>0.66453868850045639</v>
      </c>
      <c r="I32" s="169">
        <v>99511.56</v>
      </c>
      <c r="J32" s="1">
        <f t="shared" si="6"/>
        <v>64682.514000000003</v>
      </c>
      <c r="K32" s="2">
        <v>0.65</v>
      </c>
      <c r="L32" s="108">
        <v>49984.92</v>
      </c>
      <c r="M32" s="14">
        <f t="shared" si="7"/>
        <v>0.50230264704924732</v>
      </c>
      <c r="N32" s="164">
        <v>66244.61</v>
      </c>
      <c r="O32" s="1">
        <f t="shared" si="8"/>
        <v>39746.765999999996</v>
      </c>
      <c r="P32" s="2">
        <v>0.6</v>
      </c>
      <c r="Q32" s="108">
        <v>53537.1</v>
      </c>
      <c r="R32" s="13">
        <f t="shared" si="9"/>
        <v>0.8081729215403336</v>
      </c>
      <c r="S32" s="160">
        <v>66048.789999999994</v>
      </c>
      <c r="T32" s="1">
        <f t="shared" si="10"/>
        <v>56141.471499999992</v>
      </c>
      <c r="U32" s="2">
        <v>0.85</v>
      </c>
      <c r="V32" s="108">
        <v>55308.31</v>
      </c>
      <c r="W32" s="13">
        <f t="shared" si="11"/>
        <v>0.83738566595996689</v>
      </c>
      <c r="X32" s="108">
        <v>85960.87</v>
      </c>
      <c r="Y32" s="1">
        <f t="shared" si="12"/>
        <v>74785.95689999999</v>
      </c>
      <c r="Z32" s="2">
        <v>0.87</v>
      </c>
      <c r="AA32" s="108">
        <v>46277.97</v>
      </c>
      <c r="AB32" s="13">
        <f t="shared" si="13"/>
        <v>0.53836088443497609</v>
      </c>
      <c r="AC32" s="108">
        <v>164747.09</v>
      </c>
      <c r="AD32" s="1">
        <f t="shared" si="14"/>
        <v>82373.544999999998</v>
      </c>
      <c r="AE32" s="2">
        <v>0.5</v>
      </c>
      <c r="AF32" s="108">
        <v>69165.16</v>
      </c>
      <c r="AG32" s="13">
        <f t="shared" si="15"/>
        <v>0.41982629253117615</v>
      </c>
      <c r="AH32" s="108">
        <v>97482.26</v>
      </c>
      <c r="AI32" s="1">
        <f t="shared" si="16"/>
        <v>58489.355999999992</v>
      </c>
      <c r="AJ32" s="2">
        <v>0.6</v>
      </c>
      <c r="AK32" s="108">
        <v>56143.61</v>
      </c>
      <c r="AL32" s="13">
        <f t="shared" si="17"/>
        <v>0.57593668837796752</v>
      </c>
      <c r="AM32" s="108">
        <v>104270</v>
      </c>
      <c r="AN32" s="1">
        <f t="shared" si="18"/>
        <v>62562</v>
      </c>
      <c r="AO32" s="2">
        <v>0.6</v>
      </c>
      <c r="AP32" s="108">
        <v>49260.47</v>
      </c>
      <c r="AQ32" s="13">
        <f t="shared" si="19"/>
        <v>0.4724318595952815</v>
      </c>
      <c r="AR32" s="160">
        <v>109658.05</v>
      </c>
      <c r="AS32" s="1">
        <f t="shared" si="20"/>
        <v>82243.537500000006</v>
      </c>
      <c r="AT32" s="2">
        <v>0.75</v>
      </c>
      <c r="AU32" s="108">
        <v>66759.850000000006</v>
      </c>
      <c r="AV32" s="13">
        <f t="shared" si="21"/>
        <v>0.6088002659175501</v>
      </c>
      <c r="AW32" s="160">
        <v>121576.07</v>
      </c>
      <c r="AX32" s="1">
        <f t="shared" si="22"/>
        <v>91182.052500000005</v>
      </c>
      <c r="AY32" s="2">
        <v>0.75</v>
      </c>
      <c r="AZ32" s="108">
        <v>66178.990000000005</v>
      </c>
      <c r="BA32" s="60">
        <f t="shared" si="23"/>
        <v>0.54434223774464829</v>
      </c>
      <c r="BB32" s="160">
        <v>58750.76</v>
      </c>
      <c r="BC32" s="1">
        <f t="shared" si="24"/>
        <v>41125.531999999999</v>
      </c>
      <c r="BD32" s="2">
        <v>0.7</v>
      </c>
      <c r="BE32" s="108">
        <v>67426.2</v>
      </c>
      <c r="BF32" s="17">
        <f t="shared" si="25"/>
        <v>1.1476651536082256</v>
      </c>
      <c r="BG32" s="160">
        <v>29379.83</v>
      </c>
      <c r="BH32" s="1">
        <f t="shared" si="26"/>
        <v>22034.872500000001</v>
      </c>
      <c r="BI32" s="2">
        <v>0.75</v>
      </c>
      <c r="BJ32" s="115"/>
      <c r="BK32" s="60">
        <f t="shared" si="27"/>
        <v>0</v>
      </c>
      <c r="BL32" s="160">
        <v>40225.18</v>
      </c>
      <c r="BM32" s="1">
        <f t="shared" si="28"/>
        <v>30168.885000000002</v>
      </c>
      <c r="BN32" s="2">
        <v>0.75</v>
      </c>
      <c r="BO32" s="115"/>
      <c r="BP32" s="60">
        <f t="shared" si="29"/>
        <v>0</v>
      </c>
      <c r="BQ32" s="160">
        <v>15193.87</v>
      </c>
      <c r="BR32" s="1">
        <f t="shared" si="30"/>
        <v>53178.545000000006</v>
      </c>
      <c r="BS32" s="57">
        <v>3.5</v>
      </c>
      <c r="BT32" s="115"/>
      <c r="BU32" s="16"/>
      <c r="BV32" s="160"/>
      <c r="BW32" s="1">
        <f t="shared" si="32"/>
        <v>0</v>
      </c>
      <c r="BX32" s="57">
        <v>3.5</v>
      </c>
      <c r="BZ32" s="14"/>
      <c r="CA32" s="160"/>
      <c r="CB32" s="1">
        <f t="shared" si="34"/>
        <v>0</v>
      </c>
      <c r="CC32" s="57">
        <v>5</v>
      </c>
      <c r="CD32" s="115"/>
      <c r="CE32" s="16" t="e">
        <f t="shared" si="35"/>
        <v>#DIV/0!</v>
      </c>
      <c r="CF32" s="160"/>
      <c r="CG32" s="1">
        <f t="shared" si="36"/>
        <v>0</v>
      </c>
      <c r="CH32" s="57">
        <v>3</v>
      </c>
      <c r="CI32" s="115"/>
      <c r="CJ32" s="18" t="e">
        <f t="shared" si="37"/>
        <v>#DIV/0!</v>
      </c>
      <c r="CK32" s="160"/>
      <c r="CL32" s="1">
        <f t="shared" si="38"/>
        <v>0</v>
      </c>
      <c r="CM32" s="57">
        <v>6.5</v>
      </c>
      <c r="CN32" s="115"/>
      <c r="CO32" s="16" t="e">
        <f t="shared" si="39"/>
        <v>#DIV/0!</v>
      </c>
      <c r="CP32" s="160"/>
      <c r="CQ32" s="1">
        <f t="shared" si="108"/>
        <v>0</v>
      </c>
      <c r="CR32" s="57">
        <v>6.5</v>
      </c>
      <c r="CS32" s="95"/>
      <c r="CT32" s="16" t="e">
        <f t="shared" si="41"/>
        <v>#DIV/0!</v>
      </c>
      <c r="CU32" s="160"/>
      <c r="CV32" s="1">
        <f t="shared" si="109"/>
        <v>0</v>
      </c>
      <c r="CW32" s="57">
        <v>6.5</v>
      </c>
      <c r="CX32" s="132"/>
      <c r="CY32" s="130" t="e">
        <f t="shared" si="43"/>
        <v>#DIV/0!</v>
      </c>
      <c r="CZ32" s="160"/>
      <c r="DA32" s="1">
        <f t="shared" si="110"/>
        <v>0</v>
      </c>
      <c r="DB32" s="57">
        <v>6.5</v>
      </c>
      <c r="DC32" s="132"/>
      <c r="DD32" s="18" t="e">
        <f t="shared" si="45"/>
        <v>#DIV/0!</v>
      </c>
      <c r="DE32" s="160">
        <v>35574.94</v>
      </c>
      <c r="DF32" s="1">
        <f t="shared" si="111"/>
        <v>160087.23000000001</v>
      </c>
      <c r="DG32" s="57">
        <v>4.5</v>
      </c>
      <c r="DH32" s="116"/>
      <c r="DI32" s="16">
        <f t="shared" si="47"/>
        <v>0</v>
      </c>
      <c r="DJ32" s="160">
        <v>34051.279999999999</v>
      </c>
      <c r="DK32" s="1">
        <f t="shared" si="112"/>
        <v>102153.84</v>
      </c>
      <c r="DL32" s="57">
        <v>3</v>
      </c>
      <c r="DM32" s="88"/>
      <c r="DN32" s="16">
        <f t="shared" si="106"/>
        <v>0</v>
      </c>
      <c r="DO32" s="160">
        <v>21688.87</v>
      </c>
      <c r="DP32" s="1">
        <f t="shared" si="113"/>
        <v>54222.174999999996</v>
      </c>
      <c r="DQ32" s="57">
        <v>2.5</v>
      </c>
      <c r="DR32" s="88"/>
      <c r="DS32" s="16">
        <f t="shared" si="50"/>
        <v>0</v>
      </c>
      <c r="DT32" s="160">
        <v>29837.48</v>
      </c>
      <c r="DU32" s="1">
        <f t="shared" si="114"/>
        <v>74593.7</v>
      </c>
      <c r="DV32" s="57">
        <v>2.5</v>
      </c>
      <c r="DW32" s="88"/>
      <c r="DX32" s="16"/>
      <c r="DY32" s="160">
        <v>58372.82</v>
      </c>
      <c r="DZ32" s="1">
        <f t="shared" si="115"/>
        <v>145932.04999999999</v>
      </c>
      <c r="EA32" s="57">
        <v>2.5</v>
      </c>
      <c r="EB32" s="232"/>
      <c r="EC32" s="18">
        <f t="shared" si="53"/>
        <v>0</v>
      </c>
      <c r="ED32" s="160">
        <v>53458.07</v>
      </c>
      <c r="EE32" s="1">
        <f t="shared" si="116"/>
        <v>106916.14</v>
      </c>
      <c r="EF32" s="57">
        <v>2</v>
      </c>
      <c r="EG32" s="232"/>
      <c r="EH32" s="16">
        <f t="shared" si="55"/>
        <v>0</v>
      </c>
      <c r="EI32" s="160">
        <v>68211.72</v>
      </c>
      <c r="EJ32" s="1">
        <f t="shared" si="117"/>
        <v>122781.09600000001</v>
      </c>
      <c r="EK32" s="57">
        <v>1.8</v>
      </c>
      <c r="EL32" s="232"/>
      <c r="EM32" s="16">
        <f t="shared" si="57"/>
        <v>0</v>
      </c>
      <c r="EN32" s="160">
        <v>58158.06</v>
      </c>
      <c r="EO32" s="1">
        <f t="shared" si="118"/>
        <v>104684.508</v>
      </c>
      <c r="EP32" s="57">
        <v>1.8</v>
      </c>
      <c r="EQ32" s="232"/>
      <c r="ER32" s="16">
        <f t="shared" si="59"/>
        <v>0</v>
      </c>
      <c r="ES32" s="160">
        <v>63979.58</v>
      </c>
      <c r="ET32" s="1">
        <f t="shared" si="119"/>
        <v>115163.24400000001</v>
      </c>
      <c r="EU32" s="57">
        <v>1.8</v>
      </c>
      <c r="EV32" s="232"/>
      <c r="EW32" s="18">
        <f t="shared" si="61"/>
        <v>0</v>
      </c>
      <c r="EX32" s="160">
        <v>67499.55</v>
      </c>
      <c r="EY32" s="1">
        <f t="shared" si="120"/>
        <v>121499.19</v>
      </c>
      <c r="EZ32" s="57">
        <v>1.8</v>
      </c>
      <c r="FA32" s="232"/>
      <c r="FB32" s="32">
        <f t="shared" si="1"/>
        <v>0</v>
      </c>
      <c r="FC32" s="160">
        <v>66695.31</v>
      </c>
      <c r="FD32" s="1">
        <f t="shared" si="121"/>
        <v>120051.558</v>
      </c>
      <c r="FE32" s="57">
        <v>1.8</v>
      </c>
      <c r="FF32" s="232"/>
      <c r="FG32" s="14">
        <f t="shared" si="64"/>
        <v>0</v>
      </c>
      <c r="FH32" s="160">
        <v>66070.149999999994</v>
      </c>
      <c r="FI32" s="1">
        <f t="shared" si="122"/>
        <v>118926.26999999999</v>
      </c>
      <c r="FJ32" s="57">
        <v>1.8</v>
      </c>
      <c r="FK32" s="232"/>
      <c r="FL32" s="234">
        <f t="shared" si="66"/>
        <v>0</v>
      </c>
      <c r="FM32" s="160">
        <v>66374.13</v>
      </c>
      <c r="FN32" s="1">
        <f t="shared" si="123"/>
        <v>119473.43400000001</v>
      </c>
      <c r="FO32" s="57">
        <v>1.8</v>
      </c>
      <c r="FP32" s="232"/>
      <c r="FQ32" s="13">
        <f t="shared" si="68"/>
        <v>0</v>
      </c>
      <c r="FR32" s="160">
        <v>64042.16</v>
      </c>
      <c r="FS32" s="1">
        <f t="shared" si="124"/>
        <v>99905.769600000014</v>
      </c>
      <c r="FT32" s="57">
        <v>1.56</v>
      </c>
      <c r="FU32" s="88"/>
      <c r="FV32" s="31">
        <f t="shared" si="70"/>
        <v>0</v>
      </c>
      <c r="FW32" s="160">
        <v>53672.38</v>
      </c>
      <c r="FX32" s="1">
        <f t="shared" si="125"/>
        <v>83728.912800000006</v>
      </c>
      <c r="FY32" s="57">
        <v>1.56</v>
      </c>
      <c r="FZ32" s="88"/>
      <c r="GA32" s="14">
        <f t="shared" si="2"/>
        <v>0</v>
      </c>
      <c r="GB32" s="160">
        <v>62543.18</v>
      </c>
      <c r="GC32" s="1">
        <f t="shared" si="126"/>
        <v>97567.360800000009</v>
      </c>
      <c r="GD32" s="57">
        <v>1.56</v>
      </c>
      <c r="GE32" s="88"/>
      <c r="GF32" s="32">
        <f t="shared" si="73"/>
        <v>0</v>
      </c>
      <c r="GG32" s="160">
        <v>56684.37</v>
      </c>
      <c r="GH32" s="1">
        <f t="shared" si="127"/>
        <v>88427.617200000008</v>
      </c>
      <c r="GI32" s="57">
        <v>1.56</v>
      </c>
      <c r="GJ32" s="108"/>
      <c r="GK32" s="32">
        <f t="shared" si="75"/>
        <v>0</v>
      </c>
      <c r="GL32" s="160">
        <v>69440.47</v>
      </c>
      <c r="GM32" s="1">
        <f t="shared" si="128"/>
        <v>108327.13320000001</v>
      </c>
      <c r="GN32" s="57">
        <v>1.56</v>
      </c>
      <c r="GO32" s="108"/>
      <c r="GP32" s="13">
        <f t="shared" si="77"/>
        <v>0</v>
      </c>
      <c r="GQ32" s="160">
        <v>70783.31</v>
      </c>
      <c r="GR32" s="1">
        <f t="shared" si="129"/>
        <v>110421.9636</v>
      </c>
      <c r="GS32" s="57">
        <v>1.56</v>
      </c>
      <c r="GT32" s="108"/>
      <c r="GU32" s="32">
        <f t="shared" si="79"/>
        <v>0</v>
      </c>
      <c r="GV32" s="160">
        <v>66003.95</v>
      </c>
      <c r="GW32" s="1">
        <f t="shared" si="130"/>
        <v>132007.9</v>
      </c>
      <c r="GX32" s="57">
        <v>2</v>
      </c>
      <c r="GY32" s="97"/>
      <c r="GZ32" s="32">
        <f t="shared" si="3"/>
        <v>0</v>
      </c>
      <c r="HA32" s="160">
        <v>51309.88</v>
      </c>
      <c r="HB32" s="1">
        <f t="shared" si="131"/>
        <v>153929.63999999998</v>
      </c>
      <c r="HC32" s="57">
        <v>3</v>
      </c>
      <c r="HD32" s="97"/>
      <c r="HE32" s="32">
        <f t="shared" si="107"/>
        <v>0</v>
      </c>
      <c r="HF32" s="108">
        <v>45073.88</v>
      </c>
      <c r="HG32" s="1">
        <f t="shared" si="132"/>
        <v>225369.4</v>
      </c>
      <c r="HH32" s="57">
        <v>5</v>
      </c>
      <c r="HI32" s="97"/>
      <c r="HJ32" s="13">
        <f t="shared" si="83"/>
        <v>0</v>
      </c>
      <c r="HK32" s="108">
        <v>26429.85</v>
      </c>
      <c r="HL32" s="1">
        <f t="shared" si="133"/>
        <v>145364.17499999999</v>
      </c>
      <c r="HM32" s="57">
        <v>5.5</v>
      </c>
      <c r="HN32" s="96"/>
      <c r="HO32" s="14">
        <f t="shared" si="85"/>
        <v>0</v>
      </c>
      <c r="HP32" s="108">
        <v>17302.88</v>
      </c>
      <c r="HQ32" s="1">
        <f t="shared" si="134"/>
        <v>86514.400000000009</v>
      </c>
      <c r="HR32" s="57">
        <v>5</v>
      </c>
      <c r="HS32" s="81"/>
      <c r="HT32" s="14">
        <f t="shared" si="87"/>
        <v>0</v>
      </c>
      <c r="HU32" s="108">
        <v>5318.78</v>
      </c>
      <c r="HV32" s="1">
        <f t="shared" si="135"/>
        <v>15956.34</v>
      </c>
      <c r="HW32" s="57">
        <v>3</v>
      </c>
      <c r="HX32" s="96"/>
      <c r="HY32" s="14">
        <f t="shared" si="89"/>
        <v>0</v>
      </c>
      <c r="HZ32" s="108">
        <v>18830.55</v>
      </c>
      <c r="IA32" s="1">
        <f t="shared" si="136"/>
        <v>56491.649999999994</v>
      </c>
      <c r="IB32" s="57">
        <v>3</v>
      </c>
      <c r="IC32" s="96"/>
      <c r="ID32" s="14">
        <f t="shared" si="91"/>
        <v>0</v>
      </c>
      <c r="IE32" s="108">
        <v>73382.09</v>
      </c>
      <c r="IF32" s="1">
        <f t="shared" si="137"/>
        <v>110073.13499999999</v>
      </c>
      <c r="IG32" s="57">
        <v>1.5</v>
      </c>
      <c r="IH32" s="88"/>
      <c r="II32" s="32">
        <f t="shared" si="93"/>
        <v>0</v>
      </c>
      <c r="IJ32" s="108">
        <v>104001.18</v>
      </c>
      <c r="IK32" s="1">
        <f t="shared" si="138"/>
        <v>156001.76999999999</v>
      </c>
      <c r="IL32" s="57">
        <v>1.5</v>
      </c>
      <c r="IM32" s="88"/>
      <c r="IN32" s="32">
        <f t="shared" si="95"/>
        <v>0</v>
      </c>
      <c r="IO32" s="108">
        <v>154795.91</v>
      </c>
      <c r="IP32" s="1">
        <f t="shared" si="139"/>
        <v>232193.86499999999</v>
      </c>
      <c r="IQ32" s="57">
        <v>1.5</v>
      </c>
      <c r="IR32" s="88"/>
      <c r="IS32" s="32">
        <f t="shared" si="97"/>
        <v>0</v>
      </c>
      <c r="IT32" s="108">
        <v>167662.51999999999</v>
      </c>
      <c r="IU32" s="1">
        <f t="shared" si="140"/>
        <v>251493.77999999997</v>
      </c>
      <c r="IV32" s="57">
        <v>1.5</v>
      </c>
      <c r="IW32" s="88"/>
      <c r="IX32" s="32">
        <f t="shared" si="99"/>
        <v>0</v>
      </c>
      <c r="IY32" s="108">
        <v>67810.55</v>
      </c>
      <c r="IZ32" s="1">
        <f t="shared" si="141"/>
        <v>101715.82500000001</v>
      </c>
      <c r="JA32" s="57">
        <v>1.5</v>
      </c>
      <c r="JB32" s="88"/>
      <c r="JC32" s="14">
        <f t="shared" si="101"/>
        <v>0</v>
      </c>
      <c r="JD32" s="73">
        <f t="shared" si="102"/>
        <v>1061469</v>
      </c>
      <c r="JE32" s="73">
        <f t="shared" si="103"/>
        <v>638002.93999999994</v>
      </c>
      <c r="JF32" s="75">
        <f t="shared" si="104"/>
        <v>-423466.06000000006</v>
      </c>
      <c r="JG32" s="11">
        <f t="shared" si="105"/>
        <v>0.60105659232629494</v>
      </c>
    </row>
    <row r="33" spans="3:267">
      <c r="C33" s="72" t="s">
        <v>231</v>
      </c>
      <c r="D33" s="164">
        <v>22765.5</v>
      </c>
      <c r="E33" s="1">
        <f t="shared" si="4"/>
        <v>13659.3</v>
      </c>
      <c r="F33" s="2">
        <v>0.6</v>
      </c>
      <c r="G33" s="108">
        <v>10206.799999999999</v>
      </c>
      <c r="H33" s="171">
        <f t="shared" si="5"/>
        <v>0.4483450835694362</v>
      </c>
      <c r="I33" s="169">
        <v>27072.84</v>
      </c>
      <c r="J33" s="1">
        <f t="shared" si="6"/>
        <v>17597.346000000001</v>
      </c>
      <c r="K33" s="2">
        <v>0.65</v>
      </c>
      <c r="L33" s="108">
        <v>13432.96</v>
      </c>
      <c r="M33" s="14">
        <f t="shared" si="7"/>
        <v>0.49617845781971892</v>
      </c>
      <c r="N33" s="164">
        <v>19998.93</v>
      </c>
      <c r="O33" s="1">
        <f t="shared" si="8"/>
        <v>11999.358</v>
      </c>
      <c r="P33" s="2">
        <v>0.6</v>
      </c>
      <c r="Q33" s="108">
        <v>12613.18</v>
      </c>
      <c r="R33" s="13">
        <f t="shared" si="9"/>
        <v>0.63069274206170034</v>
      </c>
      <c r="S33" s="160">
        <v>25109.14</v>
      </c>
      <c r="T33" s="1">
        <f t="shared" si="10"/>
        <v>16320.941000000001</v>
      </c>
      <c r="U33" s="2">
        <v>0.65</v>
      </c>
      <c r="V33" s="108">
        <v>9618.66</v>
      </c>
      <c r="W33" s="13">
        <f t="shared" si="11"/>
        <v>0.38307405191894267</v>
      </c>
      <c r="X33" s="108">
        <v>32094.44</v>
      </c>
      <c r="Y33" s="1">
        <f t="shared" si="12"/>
        <v>12837.776</v>
      </c>
      <c r="Z33" s="2">
        <v>0.4</v>
      </c>
      <c r="AA33" s="108">
        <v>14528.83</v>
      </c>
      <c r="AB33" s="13">
        <f t="shared" si="13"/>
        <v>0.4526899363254196</v>
      </c>
      <c r="AC33" s="108">
        <v>91697.75</v>
      </c>
      <c r="AD33" s="1">
        <f t="shared" si="14"/>
        <v>45848.875</v>
      </c>
      <c r="AE33" s="2">
        <v>0.5</v>
      </c>
      <c r="AF33" s="108">
        <v>19000.72</v>
      </c>
      <c r="AG33" s="13">
        <f t="shared" si="15"/>
        <v>0.20721031868284664</v>
      </c>
      <c r="AH33" s="108">
        <v>75298.149999999994</v>
      </c>
      <c r="AI33" s="1">
        <f t="shared" si="16"/>
        <v>45178.889999999992</v>
      </c>
      <c r="AJ33" s="2">
        <v>0.6</v>
      </c>
      <c r="AK33" s="108">
        <v>11321.59</v>
      </c>
      <c r="AL33" s="13">
        <f t="shared" si="17"/>
        <v>0.15035681487526587</v>
      </c>
      <c r="AM33" s="108">
        <v>27733.69</v>
      </c>
      <c r="AN33" s="1">
        <f t="shared" si="18"/>
        <v>16640.214</v>
      </c>
      <c r="AO33" s="2">
        <v>0.6</v>
      </c>
      <c r="AP33" s="108">
        <v>8046.49</v>
      </c>
      <c r="AQ33" s="13">
        <f t="shared" si="19"/>
        <v>0.29013412928463539</v>
      </c>
      <c r="AR33" s="160">
        <v>42694.63</v>
      </c>
      <c r="AS33" s="1">
        <f t="shared" si="20"/>
        <v>32020.972499999996</v>
      </c>
      <c r="AT33" s="2">
        <v>0.75</v>
      </c>
      <c r="AV33" s="13">
        <f t="shared" si="21"/>
        <v>0</v>
      </c>
      <c r="AW33" s="160">
        <v>47343.46</v>
      </c>
      <c r="AX33" s="1">
        <f t="shared" si="22"/>
        <v>35507.595000000001</v>
      </c>
      <c r="AY33" s="2">
        <v>0.75</v>
      </c>
      <c r="BA33" s="60">
        <f t="shared" si="23"/>
        <v>0</v>
      </c>
      <c r="BB33" s="160">
        <v>20149.599999999999</v>
      </c>
      <c r="BC33" s="1">
        <f t="shared" si="24"/>
        <v>0</v>
      </c>
      <c r="BD33" s="2">
        <v>0</v>
      </c>
      <c r="BE33" s="108">
        <v>8394.66</v>
      </c>
      <c r="BF33" s="17">
        <f t="shared" si="25"/>
        <v>0.41661670703140513</v>
      </c>
      <c r="BG33" s="160">
        <v>10458.32</v>
      </c>
      <c r="BH33" s="1">
        <f t="shared" si="26"/>
        <v>0</v>
      </c>
      <c r="BI33" s="2">
        <v>0</v>
      </c>
      <c r="BJ33" s="115"/>
      <c r="BK33" s="60">
        <f t="shared" si="27"/>
        <v>0</v>
      </c>
      <c r="BL33" s="160">
        <v>12148.02</v>
      </c>
      <c r="BM33" s="1">
        <f t="shared" si="28"/>
        <v>9111.0149999999994</v>
      </c>
      <c r="BN33" s="2">
        <v>0.75</v>
      </c>
      <c r="BO33" s="115"/>
      <c r="BP33" s="60"/>
      <c r="BQ33" s="160">
        <v>2701.39</v>
      </c>
      <c r="BR33" s="1">
        <f t="shared" si="30"/>
        <v>9454.8649999999998</v>
      </c>
      <c r="BS33" s="57">
        <v>3.5</v>
      </c>
      <c r="BT33" s="115"/>
      <c r="BU33" s="16"/>
      <c r="BV33" s="160"/>
      <c r="BW33" s="1">
        <f t="shared" si="32"/>
        <v>0</v>
      </c>
      <c r="BX33" s="57">
        <v>3.5</v>
      </c>
      <c r="BZ33" s="14"/>
      <c r="CA33" s="160"/>
      <c r="CB33" s="1">
        <f t="shared" si="34"/>
        <v>0</v>
      </c>
      <c r="CC33" s="57">
        <v>5</v>
      </c>
      <c r="CD33" s="115"/>
      <c r="CE33" s="16"/>
      <c r="CF33" s="160"/>
      <c r="CG33" s="1">
        <f t="shared" si="36"/>
        <v>0</v>
      </c>
      <c r="CH33" s="57">
        <v>3</v>
      </c>
      <c r="CI33" s="115"/>
      <c r="CJ33" s="18" t="e">
        <f t="shared" si="37"/>
        <v>#DIV/0!</v>
      </c>
      <c r="CK33" s="160"/>
      <c r="CL33" s="1">
        <f t="shared" si="38"/>
        <v>0</v>
      </c>
      <c r="CM33" s="57">
        <v>6.5</v>
      </c>
      <c r="CN33" s="115"/>
      <c r="CO33" s="16"/>
      <c r="CP33" s="160"/>
      <c r="CQ33" s="1">
        <f t="shared" si="108"/>
        <v>0</v>
      </c>
      <c r="CR33" s="57">
        <v>6.5</v>
      </c>
      <c r="CS33" s="95"/>
      <c r="CT33" s="16"/>
      <c r="CU33" s="160"/>
      <c r="CV33" s="1">
        <f t="shared" si="109"/>
        <v>0</v>
      </c>
      <c r="CW33" s="57">
        <v>6.5</v>
      </c>
      <c r="CX33" s="132"/>
      <c r="CY33" s="130"/>
      <c r="CZ33" s="160"/>
      <c r="DA33" s="1">
        <f t="shared" si="110"/>
        <v>0</v>
      </c>
      <c r="DB33" s="57">
        <v>6.5</v>
      </c>
      <c r="DC33" s="132"/>
      <c r="DD33" s="18"/>
      <c r="DE33" s="357"/>
      <c r="DF33" s="1">
        <f t="shared" si="111"/>
        <v>0</v>
      </c>
      <c r="DG33" s="57">
        <v>4.5</v>
      </c>
      <c r="DH33" s="132"/>
      <c r="DI33" s="16" t="e">
        <f t="shared" si="47"/>
        <v>#DIV/0!</v>
      </c>
      <c r="DJ33" s="357"/>
      <c r="DK33" s="1">
        <f t="shared" si="112"/>
        <v>0</v>
      </c>
      <c r="DL33" s="57">
        <v>3</v>
      </c>
      <c r="DM33" s="233"/>
      <c r="DN33" s="16"/>
      <c r="DO33" s="357"/>
      <c r="DP33" s="1">
        <f t="shared" si="113"/>
        <v>0</v>
      </c>
      <c r="DQ33" s="57">
        <v>2.5</v>
      </c>
      <c r="DR33" s="233"/>
      <c r="DS33" s="16" t="e">
        <f t="shared" si="50"/>
        <v>#DIV/0!</v>
      </c>
      <c r="DT33" s="357"/>
      <c r="DU33" s="1">
        <f t="shared" si="114"/>
        <v>0</v>
      </c>
      <c r="DV33" s="57">
        <v>2.5</v>
      </c>
      <c r="DW33" s="233"/>
      <c r="DX33" s="16"/>
      <c r="DY33" s="160">
        <v>3715.32</v>
      </c>
      <c r="DZ33" s="1">
        <f t="shared" si="115"/>
        <v>9288.3000000000011</v>
      </c>
      <c r="EA33" s="57">
        <v>2.5</v>
      </c>
      <c r="EB33" s="232"/>
      <c r="EC33" s="18">
        <f t="shared" si="53"/>
        <v>0</v>
      </c>
      <c r="ED33" s="160">
        <v>5288.36</v>
      </c>
      <c r="EE33" s="1">
        <f t="shared" si="116"/>
        <v>10576.72</v>
      </c>
      <c r="EF33" s="57">
        <v>2</v>
      </c>
      <c r="EG33" s="232"/>
      <c r="EH33" s="16"/>
      <c r="EI33" s="160">
        <v>10542.77</v>
      </c>
      <c r="EJ33" s="1">
        <f t="shared" si="117"/>
        <v>18976.986000000001</v>
      </c>
      <c r="EK33" s="57">
        <v>1.8</v>
      </c>
      <c r="EL33" s="232"/>
      <c r="EM33" s="16"/>
      <c r="EN33" s="160">
        <v>5782.03</v>
      </c>
      <c r="EO33" s="1">
        <f t="shared" si="118"/>
        <v>10407.654</v>
      </c>
      <c r="EP33" s="57">
        <v>1.8</v>
      </c>
      <c r="EQ33" s="232"/>
      <c r="ER33" s="16">
        <f t="shared" si="59"/>
        <v>0</v>
      </c>
      <c r="ES33" s="160">
        <v>3113.08</v>
      </c>
      <c r="ET33" s="1">
        <f t="shared" si="119"/>
        <v>5603.5439999999999</v>
      </c>
      <c r="EU33" s="57">
        <v>1.8</v>
      </c>
      <c r="EV33" s="232"/>
      <c r="EW33" s="18"/>
      <c r="EX33" s="160">
        <v>5641.54</v>
      </c>
      <c r="EY33" s="1">
        <f t="shared" si="120"/>
        <v>10154.772000000001</v>
      </c>
      <c r="EZ33" s="57">
        <v>1.8</v>
      </c>
      <c r="FA33" s="232"/>
      <c r="FB33" s="32"/>
      <c r="FC33" s="160">
        <v>4894.32</v>
      </c>
      <c r="FD33" s="1">
        <f t="shared" si="121"/>
        <v>8809.7759999999998</v>
      </c>
      <c r="FE33" s="57">
        <v>1.8</v>
      </c>
      <c r="FF33" s="232"/>
      <c r="FG33" s="14">
        <f t="shared" si="64"/>
        <v>0</v>
      </c>
      <c r="FH33" s="160">
        <v>7631.59</v>
      </c>
      <c r="FI33" s="1">
        <f t="shared" si="122"/>
        <v>13736.862000000001</v>
      </c>
      <c r="FJ33" s="57">
        <v>1.8</v>
      </c>
      <c r="FK33" s="232"/>
      <c r="FL33" s="234"/>
      <c r="FM33" s="160">
        <v>8549.58</v>
      </c>
      <c r="FN33" s="1">
        <f t="shared" si="123"/>
        <v>15389.244000000001</v>
      </c>
      <c r="FO33" s="57">
        <v>1.8</v>
      </c>
      <c r="FP33" s="232"/>
      <c r="FQ33" s="13"/>
      <c r="FR33" s="160">
        <v>11284.81</v>
      </c>
      <c r="FS33" s="1">
        <f t="shared" si="124"/>
        <v>17604.303599999999</v>
      </c>
      <c r="FT33" s="57">
        <v>1.56</v>
      </c>
      <c r="FU33" s="88"/>
      <c r="FV33" s="31">
        <f t="shared" si="70"/>
        <v>0</v>
      </c>
      <c r="FW33" s="160">
        <v>11992.22</v>
      </c>
      <c r="FX33" s="1">
        <f t="shared" si="125"/>
        <v>18707.8632</v>
      </c>
      <c r="FY33" s="57">
        <v>1.56</v>
      </c>
      <c r="FZ33" s="88"/>
      <c r="GA33" s="14">
        <f t="shared" si="2"/>
        <v>0</v>
      </c>
      <c r="GB33" s="160">
        <v>17110.759999999998</v>
      </c>
      <c r="GC33" s="1">
        <f t="shared" si="126"/>
        <v>26692.785599999999</v>
      </c>
      <c r="GD33" s="57">
        <v>1.56</v>
      </c>
      <c r="GE33" s="88"/>
      <c r="GF33" s="32">
        <f t="shared" si="73"/>
        <v>0</v>
      </c>
      <c r="GG33" s="160">
        <v>9390.18</v>
      </c>
      <c r="GH33" s="1">
        <f t="shared" si="127"/>
        <v>14648.6808</v>
      </c>
      <c r="GI33" s="57">
        <v>1.56</v>
      </c>
      <c r="GJ33" s="108"/>
      <c r="GK33" s="32">
        <f t="shared" si="75"/>
        <v>0</v>
      </c>
      <c r="GL33" s="160">
        <v>13071.3</v>
      </c>
      <c r="GM33" s="1">
        <f t="shared" si="128"/>
        <v>20391.227999999999</v>
      </c>
      <c r="GN33" s="57">
        <v>1.56</v>
      </c>
      <c r="GO33" s="108"/>
      <c r="GP33" s="13"/>
      <c r="GQ33" s="160">
        <v>18249.63</v>
      </c>
      <c r="GR33" s="1">
        <f t="shared" si="129"/>
        <v>28469.422800000004</v>
      </c>
      <c r="GS33" s="57">
        <v>1.56</v>
      </c>
      <c r="GT33" s="108"/>
      <c r="GU33" s="32">
        <f t="shared" si="79"/>
        <v>0</v>
      </c>
      <c r="GV33" s="160">
        <v>9874</v>
      </c>
      <c r="GW33" s="1">
        <f t="shared" si="130"/>
        <v>19748</v>
      </c>
      <c r="GX33" s="57">
        <v>2</v>
      </c>
      <c r="GY33" s="97"/>
      <c r="GZ33" s="32"/>
      <c r="HA33" s="357"/>
      <c r="HB33" s="1">
        <f t="shared" si="131"/>
        <v>0</v>
      </c>
      <c r="HC33" s="57">
        <v>3</v>
      </c>
      <c r="HD33" s="97"/>
      <c r="HE33" s="32"/>
      <c r="HG33" s="1">
        <f t="shared" si="132"/>
        <v>0</v>
      </c>
      <c r="HH33" s="57">
        <v>5</v>
      </c>
      <c r="HI33" s="97"/>
      <c r="HJ33" s="13"/>
      <c r="HL33" s="1">
        <f t="shared" si="133"/>
        <v>0</v>
      </c>
      <c r="HM33" s="57">
        <v>5.5</v>
      </c>
      <c r="HN33" s="96"/>
      <c r="HO33" s="14"/>
      <c r="HQ33" s="1">
        <f t="shared" si="134"/>
        <v>0</v>
      </c>
      <c r="HR33" s="57">
        <v>5</v>
      </c>
      <c r="HS33" s="81"/>
      <c r="HT33" s="14"/>
      <c r="HV33" s="1">
        <f t="shared" si="135"/>
        <v>0</v>
      </c>
      <c r="HW33" s="57">
        <v>3</v>
      </c>
      <c r="HX33" s="96"/>
      <c r="HY33" s="14" t="e">
        <f t="shared" si="89"/>
        <v>#DIV/0!</v>
      </c>
      <c r="IA33" s="1">
        <f t="shared" si="136"/>
        <v>0</v>
      </c>
      <c r="IB33" s="57">
        <v>3</v>
      </c>
      <c r="IC33" s="96"/>
      <c r="ID33" s="14" t="e">
        <f t="shared" si="91"/>
        <v>#DIV/0!</v>
      </c>
      <c r="IF33" s="1">
        <f t="shared" si="137"/>
        <v>0</v>
      </c>
      <c r="IG33" s="57">
        <v>1.5</v>
      </c>
      <c r="IH33" s="88"/>
      <c r="II33" s="32" t="e">
        <f t="shared" si="93"/>
        <v>#DIV/0!</v>
      </c>
      <c r="IK33" s="1">
        <f t="shared" si="138"/>
        <v>0</v>
      </c>
      <c r="IL33" s="57">
        <v>1.5</v>
      </c>
      <c r="IM33" s="88"/>
      <c r="IN33" s="32" t="e">
        <f t="shared" si="95"/>
        <v>#DIV/0!</v>
      </c>
      <c r="IP33" s="1">
        <f t="shared" si="139"/>
        <v>0</v>
      </c>
      <c r="IQ33" s="57">
        <v>1.5</v>
      </c>
      <c r="IR33" s="88"/>
      <c r="IS33" s="32" t="e">
        <f t="shared" si="97"/>
        <v>#DIV/0!</v>
      </c>
      <c r="IT33" s="108">
        <v>40249.5</v>
      </c>
      <c r="IU33" s="1">
        <f t="shared" si="140"/>
        <v>60374.25</v>
      </c>
      <c r="IV33" s="57">
        <v>1.5</v>
      </c>
      <c r="IW33" s="88"/>
      <c r="IX33" s="32">
        <f t="shared" si="99"/>
        <v>0</v>
      </c>
      <c r="IY33" s="108">
        <v>21248.57</v>
      </c>
      <c r="IZ33" s="1">
        <f t="shared" si="141"/>
        <v>31872.855</v>
      </c>
      <c r="JA33" s="57">
        <v>1.5</v>
      </c>
      <c r="JB33" s="88"/>
      <c r="JC33" s="14">
        <f t="shared" si="101"/>
        <v>0</v>
      </c>
      <c r="JD33" s="73">
        <f t="shared" si="102"/>
        <v>431958.12999999995</v>
      </c>
      <c r="JE33" s="73">
        <f t="shared" si="103"/>
        <v>107163.89000000001</v>
      </c>
      <c r="JF33" s="75">
        <f t="shared" si="104"/>
        <v>-324794.23999999993</v>
      </c>
      <c r="JG33" s="11">
        <f t="shared" si="105"/>
        <v>0.24808860525440285</v>
      </c>
    </row>
    <row r="34" spans="3:267">
      <c r="C34" s="72" t="s">
        <v>232</v>
      </c>
      <c r="D34" s="164">
        <v>36325.21</v>
      </c>
      <c r="E34" s="1">
        <f t="shared" si="4"/>
        <v>21795.126</v>
      </c>
      <c r="F34" s="2">
        <v>0.6</v>
      </c>
      <c r="G34" s="108">
        <v>24077.7</v>
      </c>
      <c r="H34" s="171">
        <f t="shared" si="5"/>
        <v>0.66283718662603741</v>
      </c>
      <c r="I34" s="169">
        <v>39585.019999999997</v>
      </c>
      <c r="J34" s="1">
        <f t="shared" si="6"/>
        <v>25730.262999999999</v>
      </c>
      <c r="K34" s="2">
        <v>0.65</v>
      </c>
      <c r="L34" s="108">
        <v>20839.78</v>
      </c>
      <c r="M34" s="14">
        <f t="shared" si="7"/>
        <v>0.52645622005496018</v>
      </c>
      <c r="N34" s="164">
        <v>35615.040000000001</v>
      </c>
      <c r="O34" s="1">
        <f t="shared" si="8"/>
        <v>21369.024000000001</v>
      </c>
      <c r="P34" s="2">
        <v>0.6</v>
      </c>
      <c r="Q34" s="108">
        <v>14602.39</v>
      </c>
      <c r="R34" s="13">
        <f t="shared" si="9"/>
        <v>0.41000627824649361</v>
      </c>
      <c r="S34" s="160">
        <v>40310.129999999997</v>
      </c>
      <c r="T34" s="1">
        <f t="shared" si="10"/>
        <v>20155.064999999999</v>
      </c>
      <c r="U34" s="2">
        <v>0.5</v>
      </c>
      <c r="V34" s="108">
        <v>24278.639999999999</v>
      </c>
      <c r="W34" s="13">
        <f t="shared" si="11"/>
        <v>0.60229624662584813</v>
      </c>
      <c r="X34" s="108">
        <v>52457.11</v>
      </c>
      <c r="Y34" s="1">
        <f t="shared" si="12"/>
        <v>33047.979299999999</v>
      </c>
      <c r="Z34" s="2">
        <v>0.63</v>
      </c>
      <c r="AA34" s="108">
        <v>19517.05</v>
      </c>
      <c r="AB34" s="13">
        <f t="shared" si="13"/>
        <v>0.37205728641932428</v>
      </c>
      <c r="AC34" s="108">
        <v>140126.70000000001</v>
      </c>
      <c r="AD34" s="1">
        <f t="shared" si="14"/>
        <v>56050.680000000008</v>
      </c>
      <c r="AE34" s="2">
        <v>0.4</v>
      </c>
      <c r="AF34" s="108">
        <v>27892.47</v>
      </c>
      <c r="AG34" s="13">
        <f t="shared" si="15"/>
        <v>0.19905178670446103</v>
      </c>
      <c r="AH34" s="108">
        <v>71899.22</v>
      </c>
      <c r="AI34" s="1">
        <f t="shared" si="16"/>
        <v>43139.531999999999</v>
      </c>
      <c r="AJ34" s="2">
        <v>0.6</v>
      </c>
      <c r="AK34" s="108">
        <v>21252.73</v>
      </c>
      <c r="AL34" s="13">
        <f t="shared" si="17"/>
        <v>0.29559055021737368</v>
      </c>
      <c r="AM34" s="108">
        <v>45930.68</v>
      </c>
      <c r="AN34" s="1">
        <f t="shared" si="18"/>
        <v>27558.407999999999</v>
      </c>
      <c r="AO34" s="2">
        <v>0.6</v>
      </c>
      <c r="AP34" s="108">
        <v>2038.33</v>
      </c>
      <c r="AQ34" s="13">
        <f t="shared" si="19"/>
        <v>4.437839805550451E-2</v>
      </c>
      <c r="AR34" s="160">
        <v>69007.199999999997</v>
      </c>
      <c r="AS34" s="1">
        <f t="shared" si="20"/>
        <v>0</v>
      </c>
      <c r="AT34" s="2">
        <v>0</v>
      </c>
      <c r="AV34" s="13">
        <f t="shared" si="21"/>
        <v>0</v>
      </c>
      <c r="AW34" s="160">
        <v>73280.47</v>
      </c>
      <c r="AX34" s="1">
        <f t="shared" si="22"/>
        <v>0</v>
      </c>
      <c r="AY34" s="2">
        <v>0</v>
      </c>
      <c r="BA34" s="60">
        <f t="shared" si="23"/>
        <v>0</v>
      </c>
      <c r="BB34" s="160">
        <v>45754.400000000001</v>
      </c>
      <c r="BC34" s="1">
        <f t="shared" si="24"/>
        <v>34315.800000000003</v>
      </c>
      <c r="BD34" s="2">
        <v>0.75</v>
      </c>
      <c r="BE34" s="108">
        <v>12535.19</v>
      </c>
      <c r="BF34" s="17">
        <f t="shared" si="25"/>
        <v>0.27396687531690944</v>
      </c>
      <c r="BG34" s="160">
        <v>19450.84</v>
      </c>
      <c r="BH34" s="1">
        <f t="shared" si="26"/>
        <v>14588.130000000001</v>
      </c>
      <c r="BI34" s="2">
        <v>0.75</v>
      </c>
      <c r="BJ34" s="115"/>
      <c r="BK34" s="60">
        <f t="shared" si="27"/>
        <v>0</v>
      </c>
      <c r="BL34" s="160">
        <v>18571.64</v>
      </c>
      <c r="BM34" s="1">
        <f t="shared" si="28"/>
        <v>13928.73</v>
      </c>
      <c r="BN34" s="2">
        <v>0.75</v>
      </c>
      <c r="BO34" s="115"/>
      <c r="BP34" s="60"/>
      <c r="BQ34" s="160">
        <v>4741.34</v>
      </c>
      <c r="BR34" s="1">
        <f t="shared" si="30"/>
        <v>16594.690000000002</v>
      </c>
      <c r="BS34" s="57">
        <v>3.5</v>
      </c>
      <c r="BT34" s="115"/>
      <c r="BU34" s="16"/>
      <c r="BV34" s="160"/>
      <c r="BW34" s="1">
        <f t="shared" si="32"/>
        <v>0</v>
      </c>
      <c r="BX34" s="57">
        <v>3.5</v>
      </c>
      <c r="BZ34" s="14"/>
      <c r="CA34" s="160"/>
      <c r="CB34" s="1">
        <f t="shared" si="34"/>
        <v>0</v>
      </c>
      <c r="CC34" s="57">
        <v>5</v>
      </c>
      <c r="CD34" s="115"/>
      <c r="CE34" s="16"/>
      <c r="CF34" s="160"/>
      <c r="CG34" s="1">
        <f t="shared" si="36"/>
        <v>0</v>
      </c>
      <c r="CH34" s="57">
        <v>3</v>
      </c>
      <c r="CI34" s="115"/>
      <c r="CJ34" s="18" t="e">
        <f t="shared" si="37"/>
        <v>#DIV/0!</v>
      </c>
      <c r="CK34" s="160"/>
      <c r="CL34" s="1">
        <f t="shared" si="38"/>
        <v>0</v>
      </c>
      <c r="CM34" s="57">
        <v>6.5</v>
      </c>
      <c r="CN34" s="115"/>
      <c r="CO34" s="16"/>
      <c r="CP34" s="160"/>
      <c r="CQ34" s="1">
        <f t="shared" si="108"/>
        <v>0</v>
      </c>
      <c r="CR34" s="57">
        <v>6.5</v>
      </c>
      <c r="CS34" s="79"/>
      <c r="CT34" s="16"/>
      <c r="CU34" s="160"/>
      <c r="CV34" s="1">
        <f t="shared" si="109"/>
        <v>0</v>
      </c>
      <c r="CW34" s="57">
        <v>6.5</v>
      </c>
      <c r="CX34" s="128"/>
      <c r="CY34" s="130"/>
      <c r="CZ34" s="160"/>
      <c r="DA34" s="1">
        <f t="shared" si="110"/>
        <v>0</v>
      </c>
      <c r="DB34" s="57">
        <v>6.5</v>
      </c>
      <c r="DC34" s="128"/>
      <c r="DD34" s="18"/>
      <c r="DE34" s="357"/>
      <c r="DF34" s="1">
        <f t="shared" si="111"/>
        <v>0</v>
      </c>
      <c r="DG34" s="57">
        <v>4.5</v>
      </c>
      <c r="DH34" s="128"/>
      <c r="DI34" s="16" t="e">
        <f t="shared" si="47"/>
        <v>#DIV/0!</v>
      </c>
      <c r="DJ34" s="357"/>
      <c r="DK34" s="1">
        <f t="shared" si="112"/>
        <v>0</v>
      </c>
      <c r="DL34" s="57">
        <v>3</v>
      </c>
      <c r="DM34" s="230"/>
      <c r="DN34" s="16"/>
      <c r="DO34" s="357"/>
      <c r="DP34" s="1">
        <f t="shared" si="113"/>
        <v>0</v>
      </c>
      <c r="DQ34" s="57">
        <v>2.5</v>
      </c>
      <c r="DR34" s="233"/>
      <c r="DS34" s="16" t="e">
        <f t="shared" si="50"/>
        <v>#DIV/0!</v>
      </c>
      <c r="DT34" s="160">
        <v>2156.54</v>
      </c>
      <c r="DU34" s="1">
        <f t="shared" si="114"/>
        <v>5391.35</v>
      </c>
      <c r="DV34" s="57">
        <v>2.5</v>
      </c>
      <c r="DW34" s="88"/>
      <c r="DX34" s="16"/>
      <c r="DY34" s="160">
        <v>3906.96</v>
      </c>
      <c r="DZ34" s="1">
        <f t="shared" si="115"/>
        <v>9767.4</v>
      </c>
      <c r="EA34" s="57">
        <v>2.5</v>
      </c>
      <c r="EB34" s="232"/>
      <c r="EC34" s="18">
        <f t="shared" si="53"/>
        <v>0</v>
      </c>
      <c r="ED34" s="160">
        <v>9742.9699999999993</v>
      </c>
      <c r="EE34" s="1">
        <f t="shared" si="116"/>
        <v>19485.939999999999</v>
      </c>
      <c r="EF34" s="57">
        <v>2</v>
      </c>
      <c r="EG34" s="232"/>
      <c r="EH34" s="16"/>
      <c r="EI34" s="160">
        <v>16326.49</v>
      </c>
      <c r="EJ34" s="1">
        <f t="shared" si="117"/>
        <v>29387.682000000001</v>
      </c>
      <c r="EK34" s="57">
        <v>1.8</v>
      </c>
      <c r="EL34" s="232"/>
      <c r="EM34" s="16"/>
      <c r="EN34" s="160">
        <v>17755.349999999999</v>
      </c>
      <c r="EO34" s="1">
        <f t="shared" si="118"/>
        <v>31959.629999999997</v>
      </c>
      <c r="EP34" s="57">
        <v>1.8</v>
      </c>
      <c r="EQ34" s="232"/>
      <c r="ER34" s="16">
        <f t="shared" si="59"/>
        <v>0</v>
      </c>
      <c r="ES34" s="160">
        <v>20350.150000000001</v>
      </c>
      <c r="ET34" s="1">
        <f t="shared" si="119"/>
        <v>36630.270000000004</v>
      </c>
      <c r="EU34" s="57">
        <v>1.8</v>
      </c>
      <c r="EV34" s="232"/>
      <c r="EW34" s="18"/>
      <c r="EX34" s="160">
        <v>24313.919999999998</v>
      </c>
      <c r="EY34" s="1">
        <f t="shared" si="120"/>
        <v>43765.055999999997</v>
      </c>
      <c r="EZ34" s="57">
        <v>1.8</v>
      </c>
      <c r="FA34" s="232"/>
      <c r="FB34" s="32"/>
      <c r="FC34" s="160">
        <v>18464.55</v>
      </c>
      <c r="FD34" s="1">
        <f t="shared" si="121"/>
        <v>33236.19</v>
      </c>
      <c r="FE34" s="57">
        <v>1.8</v>
      </c>
      <c r="FF34" s="232"/>
      <c r="FG34" s="14">
        <f t="shared" si="64"/>
        <v>0</v>
      </c>
      <c r="FH34" s="160">
        <v>26451.78</v>
      </c>
      <c r="FI34" s="1">
        <f t="shared" si="122"/>
        <v>47613.203999999998</v>
      </c>
      <c r="FJ34" s="57">
        <v>1.8</v>
      </c>
      <c r="FK34" s="232"/>
      <c r="FL34" s="234"/>
      <c r="FM34" s="160">
        <v>21603.93</v>
      </c>
      <c r="FN34" s="1">
        <f t="shared" si="123"/>
        <v>38887.074000000001</v>
      </c>
      <c r="FO34" s="57">
        <v>1.8</v>
      </c>
      <c r="FP34" s="232"/>
      <c r="FQ34" s="13"/>
      <c r="FR34" s="160">
        <v>20387.580000000002</v>
      </c>
      <c r="FS34" s="1">
        <f t="shared" si="124"/>
        <v>31804.624800000005</v>
      </c>
      <c r="FT34" s="57">
        <v>1.56</v>
      </c>
      <c r="FU34" s="88"/>
      <c r="FV34" s="31">
        <f t="shared" si="70"/>
        <v>0</v>
      </c>
      <c r="FW34" s="160">
        <v>17723.599999999999</v>
      </c>
      <c r="FX34" s="1">
        <f t="shared" si="125"/>
        <v>27648.815999999999</v>
      </c>
      <c r="FY34" s="57">
        <v>1.56</v>
      </c>
      <c r="FZ34" s="88"/>
      <c r="GA34" s="14">
        <f t="shared" si="2"/>
        <v>0</v>
      </c>
      <c r="GB34" s="160">
        <v>26996.62</v>
      </c>
      <c r="GC34" s="1">
        <f t="shared" si="126"/>
        <v>42114.727200000001</v>
      </c>
      <c r="GD34" s="57">
        <v>1.56</v>
      </c>
      <c r="GE34" s="88"/>
      <c r="GF34" s="32">
        <f t="shared" si="73"/>
        <v>0</v>
      </c>
      <c r="GG34" s="160">
        <v>21497.95</v>
      </c>
      <c r="GH34" s="1">
        <f t="shared" si="127"/>
        <v>33536.802000000003</v>
      </c>
      <c r="GI34" s="57">
        <v>1.56</v>
      </c>
      <c r="GJ34" s="108"/>
      <c r="GK34" s="32">
        <f t="shared" si="75"/>
        <v>0</v>
      </c>
      <c r="GL34" s="160">
        <v>22169.32</v>
      </c>
      <c r="GM34" s="1">
        <f t="shared" si="128"/>
        <v>34584.139199999998</v>
      </c>
      <c r="GN34" s="57">
        <v>1.56</v>
      </c>
      <c r="GO34" s="108"/>
      <c r="GP34" s="13"/>
      <c r="GQ34" s="160">
        <v>26954.58</v>
      </c>
      <c r="GR34" s="1">
        <f t="shared" si="129"/>
        <v>42049.144800000002</v>
      </c>
      <c r="GS34" s="57">
        <v>1.56</v>
      </c>
      <c r="GT34" s="108"/>
      <c r="GU34" s="32">
        <f t="shared" si="79"/>
        <v>0</v>
      </c>
      <c r="GV34" s="160">
        <v>23063.75</v>
      </c>
      <c r="GW34" s="1">
        <f t="shared" si="130"/>
        <v>46127.5</v>
      </c>
      <c r="GX34" s="57">
        <v>2</v>
      </c>
      <c r="GY34" s="97"/>
      <c r="GZ34" s="32"/>
      <c r="HA34" s="160">
        <v>26590.05</v>
      </c>
      <c r="HB34" s="1">
        <f t="shared" si="131"/>
        <v>79770.149999999994</v>
      </c>
      <c r="HC34" s="57">
        <v>3</v>
      </c>
      <c r="HD34" s="97"/>
      <c r="HE34" s="32"/>
      <c r="HF34" s="108">
        <v>23437.93</v>
      </c>
      <c r="HG34" s="1">
        <f t="shared" si="132"/>
        <v>117189.65</v>
      </c>
      <c r="HH34" s="57">
        <v>5</v>
      </c>
      <c r="HI34" s="97"/>
      <c r="HJ34" s="13"/>
      <c r="HK34" s="108">
        <v>18940.73</v>
      </c>
      <c r="HL34" s="1">
        <f t="shared" si="133"/>
        <v>104174.015</v>
      </c>
      <c r="HM34" s="57">
        <v>5.5</v>
      </c>
      <c r="HN34" s="96"/>
      <c r="HO34" s="14"/>
      <c r="HP34" s="108">
        <v>19422.919999999998</v>
      </c>
      <c r="HQ34" s="1">
        <f t="shared" si="134"/>
        <v>97114.599999999991</v>
      </c>
      <c r="HR34" s="57">
        <v>5</v>
      </c>
      <c r="HS34" s="81"/>
      <c r="HT34" s="14"/>
      <c r="HU34" s="108">
        <v>25130.45</v>
      </c>
      <c r="HV34" s="1">
        <f t="shared" si="135"/>
        <v>75391.350000000006</v>
      </c>
      <c r="HW34" s="57">
        <v>3</v>
      </c>
      <c r="HX34" s="96"/>
      <c r="HY34" s="14">
        <f t="shared" si="89"/>
        <v>0</v>
      </c>
      <c r="HZ34" s="108">
        <v>5055.0600000000004</v>
      </c>
      <c r="IA34" s="1">
        <f t="shared" si="136"/>
        <v>15165.18</v>
      </c>
      <c r="IB34" s="57">
        <v>3</v>
      </c>
      <c r="IC34" s="96"/>
      <c r="ID34" s="14">
        <f t="shared" si="91"/>
        <v>0</v>
      </c>
      <c r="IE34" s="108">
        <v>14913.33</v>
      </c>
      <c r="IF34" s="1">
        <f t="shared" si="137"/>
        <v>22369.994999999999</v>
      </c>
      <c r="IG34" s="57">
        <v>1.5</v>
      </c>
      <c r="IH34" s="88"/>
      <c r="II34" s="32">
        <f t="shared" si="93"/>
        <v>0</v>
      </c>
      <c r="IJ34" s="108">
        <v>35331.410000000003</v>
      </c>
      <c r="IK34" s="1">
        <f t="shared" si="138"/>
        <v>52997.115000000005</v>
      </c>
      <c r="IL34" s="57">
        <v>1.5</v>
      </c>
      <c r="IM34" s="88"/>
      <c r="IN34" s="32">
        <f t="shared" si="95"/>
        <v>0</v>
      </c>
      <c r="IO34" s="108">
        <v>62208.46</v>
      </c>
      <c r="IP34" s="1">
        <f t="shared" si="139"/>
        <v>93312.69</v>
      </c>
      <c r="IQ34" s="57">
        <v>1.5</v>
      </c>
      <c r="IR34" s="88"/>
      <c r="IS34" s="32">
        <f t="shared" si="97"/>
        <v>0</v>
      </c>
      <c r="IT34" s="108">
        <v>99208.68</v>
      </c>
      <c r="IU34" s="1">
        <f t="shared" si="140"/>
        <v>148813.01999999999</v>
      </c>
      <c r="IV34" s="57">
        <v>1.5</v>
      </c>
      <c r="IW34" s="88"/>
      <c r="IX34" s="32">
        <f t="shared" si="99"/>
        <v>0</v>
      </c>
      <c r="IY34" s="108">
        <v>39733</v>
      </c>
      <c r="IZ34" s="1">
        <f t="shared" si="141"/>
        <v>59599.5</v>
      </c>
      <c r="JA34" s="57">
        <v>1.5</v>
      </c>
      <c r="JB34" s="88"/>
      <c r="JC34" s="14">
        <f t="shared" si="101"/>
        <v>0</v>
      </c>
      <c r="JD34" s="73">
        <f t="shared" si="102"/>
        <v>650291.17999999993</v>
      </c>
      <c r="JE34" s="73">
        <f t="shared" si="103"/>
        <v>167034.28</v>
      </c>
      <c r="JF34" s="75">
        <f t="shared" si="104"/>
        <v>-483256.89999999991</v>
      </c>
      <c r="JG34" s="11">
        <f t="shared" si="105"/>
        <v>0.25686074967216999</v>
      </c>
    </row>
    <row r="35" spans="3:267">
      <c r="C35" s="72" t="s">
        <v>233</v>
      </c>
      <c r="D35" s="164">
        <v>39735.83</v>
      </c>
      <c r="E35" s="1">
        <f t="shared" si="4"/>
        <v>23841.498</v>
      </c>
      <c r="F35" s="2">
        <v>0.6</v>
      </c>
      <c r="G35" s="108">
        <v>19274</v>
      </c>
      <c r="H35" s="171">
        <f t="shared" si="5"/>
        <v>0.48505341400947205</v>
      </c>
      <c r="I35" s="169">
        <v>37393.370000000003</v>
      </c>
      <c r="J35" s="1">
        <f t="shared" si="6"/>
        <v>18696.685000000001</v>
      </c>
      <c r="K35" s="2">
        <v>0.5</v>
      </c>
      <c r="L35" s="108">
        <v>21640.3</v>
      </c>
      <c r="M35" s="14">
        <f t="shared" si="7"/>
        <v>0.57872023837380793</v>
      </c>
      <c r="N35" s="164">
        <v>27892.02</v>
      </c>
      <c r="O35" s="1">
        <f t="shared" si="8"/>
        <v>16735.212</v>
      </c>
      <c r="P35" s="2">
        <v>0.6</v>
      </c>
      <c r="Q35" s="108">
        <v>26575.75</v>
      </c>
      <c r="R35" s="13">
        <f t="shared" si="9"/>
        <v>0.95280836597707874</v>
      </c>
      <c r="S35" s="160">
        <v>36936.699999999997</v>
      </c>
      <c r="T35" s="1">
        <f t="shared" si="10"/>
        <v>36936.699999999997</v>
      </c>
      <c r="U35" s="2">
        <v>1</v>
      </c>
      <c r="V35" s="108">
        <v>22788.97</v>
      </c>
      <c r="W35" s="13">
        <f t="shared" si="11"/>
        <v>0.61697363326989152</v>
      </c>
      <c r="X35" s="108">
        <v>58735.7</v>
      </c>
      <c r="Y35" s="1">
        <f t="shared" si="12"/>
        <v>38178.205000000002</v>
      </c>
      <c r="Z35" s="2">
        <v>0.65</v>
      </c>
      <c r="AA35" s="108">
        <v>22498.55</v>
      </c>
      <c r="AB35" s="13">
        <f t="shared" si="13"/>
        <v>0.38304727789061849</v>
      </c>
      <c r="AC35" s="108">
        <v>104916.42</v>
      </c>
      <c r="AD35" s="1">
        <f t="shared" si="14"/>
        <v>41966.567999999999</v>
      </c>
      <c r="AE35" s="2">
        <v>0.4</v>
      </c>
      <c r="AF35" s="108">
        <v>42149.48</v>
      </c>
      <c r="AG35" s="13">
        <f t="shared" si="15"/>
        <v>0.40174340679943144</v>
      </c>
      <c r="AH35" s="108">
        <v>57553.67</v>
      </c>
      <c r="AI35" s="1">
        <f t="shared" si="16"/>
        <v>34532.201999999997</v>
      </c>
      <c r="AJ35" s="2">
        <v>0.6</v>
      </c>
      <c r="AK35" s="108">
        <v>29594.2</v>
      </c>
      <c r="AL35" s="13">
        <f t="shared" si="17"/>
        <v>0.51420178765315927</v>
      </c>
      <c r="AM35" s="108">
        <v>37806.339999999997</v>
      </c>
      <c r="AN35" s="1">
        <f t="shared" si="18"/>
        <v>22683.803999999996</v>
      </c>
      <c r="AO35" s="2">
        <v>0.6</v>
      </c>
      <c r="AP35" s="108">
        <v>19444.21</v>
      </c>
      <c r="AQ35" s="13">
        <f t="shared" si="19"/>
        <v>0.51431082723162314</v>
      </c>
      <c r="AR35" s="160">
        <v>83202.28</v>
      </c>
      <c r="AS35" s="1">
        <f t="shared" si="20"/>
        <v>62401.71</v>
      </c>
      <c r="AT35" s="2">
        <v>0.75</v>
      </c>
      <c r="AU35" s="108">
        <v>22482.32</v>
      </c>
      <c r="AV35" s="13">
        <f t="shared" si="21"/>
        <v>0.27021278743803656</v>
      </c>
      <c r="AW35" s="160">
        <v>77458.429999999993</v>
      </c>
      <c r="AX35" s="1">
        <f t="shared" si="22"/>
        <v>58093.822499999995</v>
      </c>
      <c r="AY35" s="2">
        <v>0.75</v>
      </c>
      <c r="AZ35" s="108">
        <v>7200.29</v>
      </c>
      <c r="BA35" s="60">
        <f t="shared" si="23"/>
        <v>9.2956828585345722E-2</v>
      </c>
      <c r="BB35" s="160">
        <v>50607.62</v>
      </c>
      <c r="BC35" s="1">
        <f t="shared" si="24"/>
        <v>0</v>
      </c>
      <c r="BD35" s="2">
        <v>0</v>
      </c>
      <c r="BE35" s="108">
        <v>11573.06</v>
      </c>
      <c r="BF35" s="17">
        <f t="shared" si="25"/>
        <v>0.22868216288377125</v>
      </c>
      <c r="BG35" s="160">
        <v>19479.27</v>
      </c>
      <c r="BH35" s="1">
        <f t="shared" si="26"/>
        <v>0</v>
      </c>
      <c r="BI35" s="2">
        <v>0</v>
      </c>
      <c r="BJ35" s="115"/>
      <c r="BK35" s="60"/>
      <c r="BL35" s="160">
        <v>24564.61</v>
      </c>
      <c r="BM35" s="1">
        <f t="shared" si="28"/>
        <v>18423.4575</v>
      </c>
      <c r="BN35" s="2">
        <v>0.75</v>
      </c>
      <c r="BO35" s="115"/>
      <c r="BP35" s="60"/>
      <c r="BQ35" s="160">
        <v>9465.1200000000008</v>
      </c>
      <c r="BR35" s="1">
        <f t="shared" si="30"/>
        <v>33127.920000000006</v>
      </c>
      <c r="BS35" s="57">
        <v>3.5</v>
      </c>
      <c r="BT35" s="115"/>
      <c r="BU35" s="16"/>
      <c r="BV35" s="160"/>
      <c r="BW35" s="1">
        <f t="shared" si="32"/>
        <v>0</v>
      </c>
      <c r="BX35" s="57">
        <v>3.5</v>
      </c>
      <c r="BZ35" s="14"/>
      <c r="CA35" s="160"/>
      <c r="CB35" s="1">
        <f t="shared" si="34"/>
        <v>0</v>
      </c>
      <c r="CC35" s="57">
        <v>5</v>
      </c>
      <c r="CD35" s="115"/>
      <c r="CE35" s="16"/>
      <c r="CF35" s="160"/>
      <c r="CG35" s="1">
        <f t="shared" si="36"/>
        <v>0</v>
      </c>
      <c r="CH35" s="57">
        <v>3</v>
      </c>
      <c r="CI35" s="115"/>
      <c r="CJ35" s="18" t="e">
        <f t="shared" si="37"/>
        <v>#DIV/0!</v>
      </c>
      <c r="CK35" s="160"/>
      <c r="CL35" s="1">
        <f t="shared" si="38"/>
        <v>0</v>
      </c>
      <c r="CM35" s="57">
        <v>6.5</v>
      </c>
      <c r="CN35" s="115"/>
      <c r="CO35" s="16"/>
      <c r="CP35" s="160"/>
      <c r="CQ35" s="1">
        <f t="shared" si="108"/>
        <v>0</v>
      </c>
      <c r="CR35" s="57">
        <v>6.5</v>
      </c>
      <c r="CS35" s="80"/>
      <c r="CT35" s="16"/>
      <c r="CU35" s="160"/>
      <c r="CV35" s="1">
        <f t="shared" si="109"/>
        <v>0</v>
      </c>
      <c r="CW35" s="57">
        <v>6.5</v>
      </c>
      <c r="CX35" s="128"/>
      <c r="CY35" s="130"/>
      <c r="CZ35" s="160">
        <v>6318.03</v>
      </c>
      <c r="DA35" s="1">
        <f t="shared" si="110"/>
        <v>41067.195</v>
      </c>
      <c r="DB35" s="57">
        <v>6.5</v>
      </c>
      <c r="DC35" s="128"/>
      <c r="DD35" s="18"/>
      <c r="DE35" s="160">
        <v>10434.74</v>
      </c>
      <c r="DF35" s="1">
        <f t="shared" si="111"/>
        <v>46956.33</v>
      </c>
      <c r="DG35" s="57">
        <v>4.5</v>
      </c>
      <c r="DH35" s="116"/>
      <c r="DI35" s="16">
        <f t="shared" si="47"/>
        <v>0</v>
      </c>
      <c r="DJ35" s="160">
        <v>13222.63</v>
      </c>
      <c r="DK35" s="1">
        <f t="shared" si="112"/>
        <v>39667.89</v>
      </c>
      <c r="DL35" s="57">
        <v>3</v>
      </c>
      <c r="DM35" s="88"/>
      <c r="DN35" s="16"/>
      <c r="DO35" s="160">
        <v>21826.560000000001</v>
      </c>
      <c r="DP35" s="1">
        <f t="shared" si="113"/>
        <v>54566.400000000001</v>
      </c>
      <c r="DQ35" s="57">
        <v>2.5</v>
      </c>
      <c r="DR35" s="88"/>
      <c r="DS35" s="16">
        <f t="shared" si="50"/>
        <v>0</v>
      </c>
      <c r="DT35" s="160">
        <v>23677.03</v>
      </c>
      <c r="DU35" s="1">
        <f t="shared" si="114"/>
        <v>59192.574999999997</v>
      </c>
      <c r="DV35" s="57">
        <v>2.5</v>
      </c>
      <c r="DW35" s="88"/>
      <c r="DX35" s="16"/>
      <c r="DY35" s="160">
        <v>24864.16</v>
      </c>
      <c r="DZ35" s="1">
        <f t="shared" si="115"/>
        <v>62160.4</v>
      </c>
      <c r="EA35" s="57">
        <v>2.5</v>
      </c>
      <c r="EB35" s="232"/>
      <c r="EC35" s="18">
        <f t="shared" si="53"/>
        <v>0</v>
      </c>
      <c r="ED35" s="160">
        <v>23405.45</v>
      </c>
      <c r="EE35" s="1">
        <f t="shared" si="116"/>
        <v>46810.9</v>
      </c>
      <c r="EF35" s="57">
        <v>2</v>
      </c>
      <c r="EG35" s="232"/>
      <c r="EH35" s="16"/>
      <c r="EI35" s="160">
        <v>24358.71</v>
      </c>
      <c r="EJ35" s="1">
        <f t="shared" si="117"/>
        <v>43845.678</v>
      </c>
      <c r="EK35" s="57">
        <v>1.8</v>
      </c>
      <c r="EL35" s="232"/>
      <c r="EM35" s="16"/>
      <c r="EN35" s="160">
        <v>25670.17</v>
      </c>
      <c r="EO35" s="1">
        <f t="shared" si="118"/>
        <v>46206.305999999997</v>
      </c>
      <c r="EP35" s="57">
        <v>1.8</v>
      </c>
      <c r="EQ35" s="232"/>
      <c r="ER35" s="16">
        <f t="shared" si="59"/>
        <v>0</v>
      </c>
      <c r="ES35" s="160">
        <v>20067.439999999999</v>
      </c>
      <c r="ET35" s="1">
        <f t="shared" si="119"/>
        <v>36121.392</v>
      </c>
      <c r="EU35" s="57">
        <v>1.8</v>
      </c>
      <c r="EV35" s="232"/>
      <c r="EW35" s="18"/>
      <c r="EX35" s="160">
        <v>19880.740000000002</v>
      </c>
      <c r="EY35" s="1">
        <f t="shared" si="120"/>
        <v>35785.332000000002</v>
      </c>
      <c r="EZ35" s="57">
        <v>1.8</v>
      </c>
      <c r="FA35" s="232"/>
      <c r="FB35" s="32"/>
      <c r="FC35" s="160">
        <v>22294.68</v>
      </c>
      <c r="FD35" s="1">
        <f t="shared" si="121"/>
        <v>40130.423999999999</v>
      </c>
      <c r="FE35" s="57">
        <v>1.8</v>
      </c>
      <c r="FF35" s="232"/>
      <c r="FG35" s="14">
        <f t="shared" si="64"/>
        <v>0</v>
      </c>
      <c r="FH35" s="160">
        <v>27593.24</v>
      </c>
      <c r="FI35" s="1">
        <f t="shared" si="122"/>
        <v>49667.832000000002</v>
      </c>
      <c r="FJ35" s="57">
        <v>1.8</v>
      </c>
      <c r="FK35" s="232"/>
      <c r="FL35" s="234"/>
      <c r="FM35" s="160">
        <v>21489.63</v>
      </c>
      <c r="FN35" s="1">
        <f t="shared" si="123"/>
        <v>38681.334000000003</v>
      </c>
      <c r="FO35" s="57">
        <v>1.8</v>
      </c>
      <c r="FP35" s="232"/>
      <c r="FQ35" s="13"/>
      <c r="FR35" s="160">
        <v>19242.14</v>
      </c>
      <c r="FS35" s="1">
        <f t="shared" si="124"/>
        <v>30017.738399999998</v>
      </c>
      <c r="FT35" s="57">
        <v>1.56</v>
      </c>
      <c r="FU35" s="88"/>
      <c r="FV35" s="31">
        <f t="shared" si="70"/>
        <v>0</v>
      </c>
      <c r="FW35" s="160">
        <v>22124.61</v>
      </c>
      <c r="FX35" s="1">
        <f t="shared" si="125"/>
        <v>34514.391600000003</v>
      </c>
      <c r="FY35" s="57">
        <v>1.56</v>
      </c>
      <c r="FZ35" s="88"/>
      <c r="GA35" s="14">
        <f t="shared" si="2"/>
        <v>0</v>
      </c>
      <c r="GB35" s="160">
        <v>25065.17</v>
      </c>
      <c r="GC35" s="1">
        <f t="shared" si="126"/>
        <v>39101.665199999996</v>
      </c>
      <c r="GD35" s="57">
        <v>1.56</v>
      </c>
      <c r="GE35" s="88"/>
      <c r="GF35" s="32">
        <f t="shared" si="73"/>
        <v>0</v>
      </c>
      <c r="GG35" s="160">
        <v>22038.22</v>
      </c>
      <c r="GH35" s="1">
        <f t="shared" si="127"/>
        <v>34379.623200000002</v>
      </c>
      <c r="GI35" s="57">
        <v>1.56</v>
      </c>
      <c r="GJ35" s="108"/>
      <c r="GK35" s="32">
        <f t="shared" si="75"/>
        <v>0</v>
      </c>
      <c r="GL35" s="160">
        <v>9722.98</v>
      </c>
      <c r="GM35" s="1">
        <f t="shared" si="128"/>
        <v>15167.8488</v>
      </c>
      <c r="GN35" s="57">
        <v>1.56</v>
      </c>
      <c r="GO35" s="108"/>
      <c r="GP35" s="13"/>
      <c r="GQ35" s="160">
        <v>19138.98</v>
      </c>
      <c r="GR35" s="1">
        <f t="shared" si="129"/>
        <v>29856.808799999999</v>
      </c>
      <c r="GS35" s="57">
        <v>1.56</v>
      </c>
      <c r="GT35" s="108"/>
      <c r="GU35" s="32">
        <f t="shared" si="79"/>
        <v>0</v>
      </c>
      <c r="GV35" s="160">
        <v>7429.13</v>
      </c>
      <c r="GW35" s="1">
        <f t="shared" si="130"/>
        <v>14858.26</v>
      </c>
      <c r="GX35" s="57">
        <v>2</v>
      </c>
      <c r="GY35" s="97"/>
      <c r="GZ35" s="32"/>
      <c r="HA35" s="357"/>
      <c r="HB35" s="1">
        <f t="shared" si="131"/>
        <v>0</v>
      </c>
      <c r="HC35" s="57">
        <v>3</v>
      </c>
      <c r="HD35" s="97"/>
      <c r="HE35" s="32"/>
      <c r="HG35" s="1">
        <f t="shared" si="132"/>
        <v>0</v>
      </c>
      <c r="HH35" s="57">
        <v>5</v>
      </c>
      <c r="HI35" s="97"/>
      <c r="HJ35" s="13"/>
      <c r="HL35" s="1">
        <f t="shared" si="133"/>
        <v>0</v>
      </c>
      <c r="HM35" s="57">
        <v>5.5</v>
      </c>
      <c r="HN35" s="96"/>
      <c r="HO35" s="14"/>
      <c r="HQ35" s="1">
        <f t="shared" si="134"/>
        <v>0</v>
      </c>
      <c r="HR35" s="57">
        <v>5</v>
      </c>
      <c r="HS35" s="81"/>
      <c r="HT35" s="14"/>
      <c r="HV35" s="1">
        <f t="shared" si="135"/>
        <v>0</v>
      </c>
      <c r="HW35" s="57">
        <v>3</v>
      </c>
      <c r="HX35" s="96"/>
      <c r="HY35" s="14"/>
      <c r="IA35" s="1">
        <f t="shared" si="136"/>
        <v>0</v>
      </c>
      <c r="IB35" s="57">
        <v>3</v>
      </c>
      <c r="IC35" s="96"/>
      <c r="ID35" s="14"/>
      <c r="IF35" s="1">
        <f t="shared" si="137"/>
        <v>0</v>
      </c>
      <c r="IG35" s="57">
        <v>1.5</v>
      </c>
      <c r="IH35" s="88"/>
      <c r="II35" s="32" t="e">
        <f t="shared" si="93"/>
        <v>#DIV/0!</v>
      </c>
      <c r="IK35" s="1">
        <f t="shared" si="138"/>
        <v>0</v>
      </c>
      <c r="IL35" s="57">
        <v>1.5</v>
      </c>
      <c r="IM35" s="88"/>
      <c r="IN35" s="32" t="e">
        <f t="shared" si="95"/>
        <v>#DIV/0!</v>
      </c>
      <c r="IP35" s="1">
        <f t="shared" si="139"/>
        <v>0</v>
      </c>
      <c r="IQ35" s="57">
        <v>1.5</v>
      </c>
      <c r="IR35" s="88"/>
      <c r="IS35" s="32" t="e">
        <f t="shared" si="97"/>
        <v>#DIV/0!</v>
      </c>
      <c r="IT35" s="108">
        <v>103309.87</v>
      </c>
      <c r="IU35" s="1">
        <f t="shared" si="140"/>
        <v>154964.80499999999</v>
      </c>
      <c r="IV35" s="57">
        <v>1.5</v>
      </c>
      <c r="IW35" s="88"/>
      <c r="IX35" s="32">
        <f t="shared" si="99"/>
        <v>0</v>
      </c>
      <c r="IY35" s="108">
        <v>42824.51</v>
      </c>
      <c r="IZ35" s="1">
        <f t="shared" si="141"/>
        <v>64236.764999999999</v>
      </c>
      <c r="JA35" s="57">
        <v>1.5</v>
      </c>
      <c r="JB35" s="88"/>
      <c r="JC35" s="14">
        <f t="shared" si="101"/>
        <v>0</v>
      </c>
      <c r="JD35" s="73">
        <f t="shared" si="102"/>
        <v>612238.38</v>
      </c>
      <c r="JE35" s="73">
        <f t="shared" si="103"/>
        <v>245221.13000000003</v>
      </c>
      <c r="JF35" s="75">
        <f t="shared" si="104"/>
        <v>-367017.25</v>
      </c>
      <c r="JG35" s="11">
        <f t="shared" si="105"/>
        <v>0.40053210973150694</v>
      </c>
    </row>
    <row r="36" spans="3:267">
      <c r="C36" s="98" t="s">
        <v>37</v>
      </c>
      <c r="D36" s="165">
        <v>57213.93</v>
      </c>
      <c r="E36" s="37">
        <f t="shared" si="4"/>
        <v>34328.358</v>
      </c>
      <c r="F36" s="2">
        <v>0.6</v>
      </c>
      <c r="G36" s="108">
        <v>28050.47</v>
      </c>
      <c r="H36" s="171">
        <f t="shared" si="5"/>
        <v>0.49027343515818617</v>
      </c>
      <c r="I36" s="170">
        <v>54723.56</v>
      </c>
      <c r="J36" s="37">
        <f t="shared" si="6"/>
        <v>32834.135999999999</v>
      </c>
      <c r="K36" s="2">
        <v>0.6</v>
      </c>
      <c r="L36" s="108">
        <v>31404.59</v>
      </c>
      <c r="M36" s="14">
        <f t="shared" si="7"/>
        <v>0.57387695537351735</v>
      </c>
      <c r="N36" s="165">
        <v>51169.47</v>
      </c>
      <c r="O36" s="37">
        <f t="shared" si="8"/>
        <v>30701.682000000001</v>
      </c>
      <c r="P36" s="2">
        <v>0.6</v>
      </c>
      <c r="Q36" s="108">
        <v>32848.22</v>
      </c>
      <c r="R36" s="13">
        <f t="shared" si="9"/>
        <v>0.6419495843908487</v>
      </c>
      <c r="S36" s="160">
        <v>55604.800000000003</v>
      </c>
      <c r="T36" s="37">
        <f t="shared" si="10"/>
        <v>37811.264000000003</v>
      </c>
      <c r="U36" s="2">
        <v>0.68</v>
      </c>
      <c r="V36" s="108">
        <v>34623.660000000003</v>
      </c>
      <c r="W36" s="13">
        <f t="shared" si="11"/>
        <v>0.62267394181797253</v>
      </c>
      <c r="X36" s="108">
        <v>74817</v>
      </c>
      <c r="Y36" s="37">
        <f t="shared" si="12"/>
        <v>48631.05</v>
      </c>
      <c r="Z36" s="2">
        <v>0.65</v>
      </c>
      <c r="AA36" s="108">
        <v>35727.86</v>
      </c>
      <c r="AB36" s="13">
        <f t="shared" si="13"/>
        <v>0.47753665610756912</v>
      </c>
      <c r="AC36" s="108">
        <v>177921.4</v>
      </c>
      <c r="AD36" s="37">
        <f t="shared" si="14"/>
        <v>106752.84</v>
      </c>
      <c r="AE36" s="2">
        <v>0.6</v>
      </c>
      <c r="AF36" s="108">
        <v>45525.77</v>
      </c>
      <c r="AG36" s="13">
        <f t="shared" si="15"/>
        <v>0.25587574063603363</v>
      </c>
      <c r="AH36" s="108">
        <v>104297.59</v>
      </c>
      <c r="AI36" s="37">
        <f t="shared" si="16"/>
        <v>62578.553999999996</v>
      </c>
      <c r="AJ36" s="2">
        <v>0.6</v>
      </c>
      <c r="AK36" s="108">
        <v>24883.99</v>
      </c>
      <c r="AL36" s="13">
        <f t="shared" si="17"/>
        <v>0.23858643330109547</v>
      </c>
      <c r="AM36" s="108">
        <v>57240.24</v>
      </c>
      <c r="AN36" s="37">
        <f t="shared" si="18"/>
        <v>34344.144</v>
      </c>
      <c r="AO36" s="2">
        <v>0.6</v>
      </c>
      <c r="AP36" s="108">
        <v>32770.76</v>
      </c>
      <c r="AQ36" s="13">
        <f t="shared" si="19"/>
        <v>0.57251262398620273</v>
      </c>
      <c r="AR36" s="160">
        <v>93922.12</v>
      </c>
      <c r="AS36" s="1">
        <f t="shared" si="20"/>
        <v>70441.59</v>
      </c>
      <c r="AT36" s="2">
        <v>0.75</v>
      </c>
      <c r="AU36" s="108">
        <v>40356.57</v>
      </c>
      <c r="AV36" s="13">
        <f t="shared" si="21"/>
        <v>0.42968120821804279</v>
      </c>
      <c r="AW36" s="160">
        <v>105242.3</v>
      </c>
      <c r="AX36" s="1">
        <f t="shared" si="22"/>
        <v>78931.725000000006</v>
      </c>
      <c r="AY36" s="2">
        <v>0.75</v>
      </c>
      <c r="AZ36" s="108">
        <v>43803.75</v>
      </c>
      <c r="BA36" s="60">
        <f t="shared" si="23"/>
        <v>0.41621809861624082</v>
      </c>
      <c r="BB36" s="160">
        <v>54922.46</v>
      </c>
      <c r="BC36" s="1">
        <f t="shared" si="24"/>
        <v>41191.845000000001</v>
      </c>
      <c r="BD36" s="2">
        <v>0.75</v>
      </c>
      <c r="BE36" s="108">
        <v>41191.22</v>
      </c>
      <c r="BF36" s="17">
        <f t="shared" si="25"/>
        <v>0.74998862032035718</v>
      </c>
      <c r="BG36" s="160">
        <v>25860.42</v>
      </c>
      <c r="BH36" s="1">
        <f t="shared" si="26"/>
        <v>19395.314999999999</v>
      </c>
      <c r="BI36" s="2">
        <v>0.75</v>
      </c>
      <c r="BJ36" s="115"/>
      <c r="BK36" s="62"/>
      <c r="BL36" s="160">
        <v>35799.9</v>
      </c>
      <c r="BM36" s="1">
        <f t="shared" si="28"/>
        <v>26849.925000000003</v>
      </c>
      <c r="BN36" s="2">
        <v>0.75</v>
      </c>
      <c r="BO36" s="230"/>
      <c r="BP36" s="62"/>
      <c r="BQ36" s="160">
        <v>17767.009999999998</v>
      </c>
      <c r="BR36" s="1">
        <f t="shared" si="30"/>
        <v>62184.534999999996</v>
      </c>
      <c r="BS36" s="57">
        <v>3.5</v>
      </c>
      <c r="BT36" s="115"/>
      <c r="BU36" s="100"/>
      <c r="BV36" s="160"/>
      <c r="BW36" s="37">
        <f t="shared" si="32"/>
        <v>0</v>
      </c>
      <c r="BX36" s="57">
        <v>3.5</v>
      </c>
      <c r="BZ36" s="61"/>
      <c r="CA36" s="160"/>
      <c r="CB36" s="37">
        <f t="shared" si="34"/>
        <v>0</v>
      </c>
      <c r="CC36" s="57">
        <v>5</v>
      </c>
      <c r="CD36" s="115"/>
      <c r="CE36" s="100"/>
      <c r="CF36" s="160"/>
      <c r="CG36" s="37">
        <f t="shared" si="36"/>
        <v>0</v>
      </c>
      <c r="CH36" s="57">
        <v>3</v>
      </c>
      <c r="CI36" s="115"/>
      <c r="CJ36" s="101"/>
      <c r="CK36" s="160"/>
      <c r="CL36" s="37">
        <f t="shared" si="38"/>
        <v>0</v>
      </c>
      <c r="CM36" s="57">
        <v>6.5</v>
      </c>
      <c r="CN36" s="115"/>
      <c r="CO36" s="100"/>
      <c r="CP36" s="160"/>
      <c r="CQ36" s="37">
        <f t="shared" si="108"/>
        <v>0</v>
      </c>
      <c r="CR36" s="57">
        <v>6.5</v>
      </c>
      <c r="CS36" s="99"/>
      <c r="CT36" s="100"/>
      <c r="CU36" s="160"/>
      <c r="CV36" s="37">
        <f t="shared" si="109"/>
        <v>0</v>
      </c>
      <c r="CW36" s="57">
        <v>6.5</v>
      </c>
      <c r="CX36" s="128"/>
      <c r="CY36" s="131"/>
      <c r="CZ36" s="160"/>
      <c r="DA36" s="37">
        <f t="shared" si="110"/>
        <v>0</v>
      </c>
      <c r="DB36" s="57">
        <v>6.5</v>
      </c>
      <c r="DC36" s="128"/>
      <c r="DD36" s="101"/>
      <c r="DE36" s="357"/>
      <c r="DF36" s="37">
        <f t="shared" si="111"/>
        <v>0</v>
      </c>
      <c r="DG36" s="57">
        <v>4.5</v>
      </c>
      <c r="DH36" s="128"/>
      <c r="DI36" s="16" t="e">
        <f t="shared" si="47"/>
        <v>#DIV/0!</v>
      </c>
      <c r="DJ36" s="160">
        <v>43710.07</v>
      </c>
      <c r="DK36" s="37">
        <f t="shared" si="112"/>
        <v>131130.21</v>
      </c>
      <c r="DL36" s="57">
        <v>3</v>
      </c>
      <c r="DM36" s="88"/>
      <c r="DN36" s="100"/>
      <c r="DO36" s="160">
        <v>45234.52</v>
      </c>
      <c r="DP36" s="37">
        <f t="shared" si="113"/>
        <v>113086.29999999999</v>
      </c>
      <c r="DQ36" s="57">
        <v>2.5</v>
      </c>
      <c r="DR36" s="88"/>
      <c r="DS36" s="16"/>
      <c r="DT36" s="160">
        <v>40501.81</v>
      </c>
      <c r="DU36" s="37">
        <f t="shared" si="114"/>
        <v>101254.52499999999</v>
      </c>
      <c r="DV36" s="57">
        <v>2.5</v>
      </c>
      <c r="DW36" s="88"/>
      <c r="DX36" s="100"/>
      <c r="DY36" s="160">
        <v>39408.480000000003</v>
      </c>
      <c r="DZ36" s="37">
        <f t="shared" si="115"/>
        <v>98521.200000000012</v>
      </c>
      <c r="EA36" s="57">
        <v>2.5</v>
      </c>
      <c r="EB36" s="232"/>
      <c r="EC36" s="18"/>
      <c r="ED36" s="160">
        <v>29037.7</v>
      </c>
      <c r="EE36" s="37">
        <f t="shared" si="116"/>
        <v>58075.4</v>
      </c>
      <c r="EF36" s="57">
        <v>2</v>
      </c>
      <c r="EG36" s="232"/>
      <c r="EH36" s="100"/>
      <c r="EI36" s="160">
        <v>34861.410000000003</v>
      </c>
      <c r="EJ36" s="37">
        <f t="shared" si="117"/>
        <v>62750.538000000008</v>
      </c>
      <c r="EK36" s="57">
        <v>1.8</v>
      </c>
      <c r="EL36" s="232"/>
      <c r="EM36" s="100"/>
      <c r="EN36" s="160">
        <v>31568.67</v>
      </c>
      <c r="EO36" s="37">
        <f t="shared" si="118"/>
        <v>56823.606</v>
      </c>
      <c r="EP36" s="57">
        <v>1.8</v>
      </c>
      <c r="EQ36" s="232"/>
      <c r="ER36" s="100"/>
      <c r="ES36" s="160">
        <v>32909.24</v>
      </c>
      <c r="ET36" s="37">
        <f t="shared" si="119"/>
        <v>59236.631999999998</v>
      </c>
      <c r="EU36" s="57">
        <v>1.8</v>
      </c>
      <c r="EV36" s="232"/>
      <c r="EW36" s="101"/>
      <c r="EX36" s="160">
        <v>45446.03</v>
      </c>
      <c r="EY36" s="37">
        <f t="shared" si="120"/>
        <v>81802.854000000007</v>
      </c>
      <c r="EZ36" s="57">
        <v>1.8</v>
      </c>
      <c r="FA36" s="232"/>
      <c r="FB36" s="48"/>
      <c r="FC36" s="160">
        <v>52450.97</v>
      </c>
      <c r="FD36" s="37">
        <f t="shared" si="121"/>
        <v>94411.745999999999</v>
      </c>
      <c r="FE36" s="57">
        <v>1.8</v>
      </c>
      <c r="FF36" s="232"/>
      <c r="FG36" s="14">
        <f t="shared" si="64"/>
        <v>0</v>
      </c>
      <c r="FH36" s="160">
        <v>59410.13</v>
      </c>
      <c r="FI36" s="37">
        <f t="shared" si="122"/>
        <v>106938.234</v>
      </c>
      <c r="FJ36" s="57">
        <v>1.8</v>
      </c>
      <c r="FK36" s="232"/>
      <c r="FL36" s="235"/>
      <c r="FM36" s="160">
        <v>55743.78</v>
      </c>
      <c r="FN36" s="37">
        <f t="shared" si="123"/>
        <v>100338.804</v>
      </c>
      <c r="FO36" s="57">
        <v>1.8</v>
      </c>
      <c r="FP36" s="232"/>
      <c r="FQ36" s="63"/>
      <c r="FR36" s="160">
        <v>50883.49</v>
      </c>
      <c r="FS36" s="37">
        <f t="shared" si="124"/>
        <v>79378.244399999996</v>
      </c>
      <c r="FT36" s="57">
        <v>1.56</v>
      </c>
      <c r="FU36" s="88"/>
      <c r="FV36" s="31">
        <f t="shared" si="70"/>
        <v>0</v>
      </c>
      <c r="FW36" s="160">
        <v>56058.3</v>
      </c>
      <c r="FX36" s="37">
        <f t="shared" si="125"/>
        <v>87450.948000000004</v>
      </c>
      <c r="FY36" s="57">
        <v>1.56</v>
      </c>
      <c r="FZ36" s="88"/>
      <c r="GA36" s="14">
        <f t="shared" si="2"/>
        <v>0</v>
      </c>
      <c r="GB36" s="160">
        <v>58034.98</v>
      </c>
      <c r="GC36" s="37">
        <f t="shared" si="126"/>
        <v>90534.568800000008</v>
      </c>
      <c r="GD36" s="57">
        <v>1.56</v>
      </c>
      <c r="GE36" s="88"/>
      <c r="GF36" s="32">
        <f t="shared" si="73"/>
        <v>0</v>
      </c>
      <c r="GG36" s="160">
        <v>49619.74</v>
      </c>
      <c r="GH36" s="37">
        <f t="shared" si="127"/>
        <v>77406.794399999999</v>
      </c>
      <c r="GI36" s="57">
        <v>1.56</v>
      </c>
      <c r="GJ36" s="108"/>
      <c r="GK36" s="32">
        <f t="shared" si="75"/>
        <v>0</v>
      </c>
      <c r="GL36" s="160">
        <v>55872.480000000003</v>
      </c>
      <c r="GM36" s="37">
        <f t="shared" si="128"/>
        <v>87161.068800000008</v>
      </c>
      <c r="GN36" s="57">
        <v>1.56</v>
      </c>
      <c r="GO36" s="108"/>
      <c r="GP36" s="63"/>
      <c r="GQ36" s="160">
        <v>44868.04</v>
      </c>
      <c r="GR36" s="37">
        <f t="shared" si="129"/>
        <v>69994.142399999997</v>
      </c>
      <c r="GS36" s="57">
        <v>1.56</v>
      </c>
      <c r="GT36" s="108"/>
      <c r="GU36" s="32">
        <f t="shared" si="79"/>
        <v>0</v>
      </c>
      <c r="GV36" s="160">
        <v>46074.13</v>
      </c>
      <c r="GW36" s="37">
        <f t="shared" si="130"/>
        <v>92148.26</v>
      </c>
      <c r="GX36" s="57">
        <v>2</v>
      </c>
      <c r="GY36" s="103"/>
      <c r="GZ36" s="48"/>
      <c r="HA36" s="160">
        <v>41914.559999999998</v>
      </c>
      <c r="HB36" s="37">
        <f t="shared" si="131"/>
        <v>125743.67999999999</v>
      </c>
      <c r="HC36" s="57">
        <v>3</v>
      </c>
      <c r="HD36" s="103"/>
      <c r="HE36" s="48"/>
      <c r="HF36" s="108">
        <v>44361.34</v>
      </c>
      <c r="HG36" s="37">
        <f t="shared" si="132"/>
        <v>221806.69999999998</v>
      </c>
      <c r="HH36" s="57">
        <v>5</v>
      </c>
      <c r="HI36" s="103"/>
      <c r="HJ36" s="63"/>
      <c r="HK36" s="108">
        <v>34041.24</v>
      </c>
      <c r="HL36" s="37">
        <f t="shared" si="133"/>
        <v>187226.81999999998</v>
      </c>
      <c r="HM36" s="57">
        <v>5.5</v>
      </c>
      <c r="HN36" s="102"/>
      <c r="HO36" s="61"/>
      <c r="HP36" s="108">
        <v>41567.39</v>
      </c>
      <c r="HQ36" s="37">
        <f t="shared" si="134"/>
        <v>207836.95</v>
      </c>
      <c r="HR36" s="57">
        <v>5</v>
      </c>
      <c r="HS36" s="104"/>
      <c r="HT36" s="61"/>
      <c r="HU36" s="108">
        <v>38987.72</v>
      </c>
      <c r="HV36" s="37">
        <f t="shared" si="135"/>
        <v>116963.16</v>
      </c>
      <c r="HW36" s="57">
        <v>3</v>
      </c>
      <c r="HX36" s="102"/>
      <c r="HY36" s="61"/>
      <c r="HZ36" s="108">
        <v>37854.51</v>
      </c>
      <c r="IA36" s="37">
        <f t="shared" si="136"/>
        <v>113563.53</v>
      </c>
      <c r="IB36" s="57">
        <v>3</v>
      </c>
      <c r="IC36" s="102"/>
      <c r="ID36" s="61"/>
      <c r="IE36" s="108">
        <v>42180.12</v>
      </c>
      <c r="IF36" s="37">
        <f t="shared" si="137"/>
        <v>63270.180000000008</v>
      </c>
      <c r="IG36" s="57">
        <v>1.5</v>
      </c>
      <c r="IH36" s="105"/>
      <c r="II36" s="48">
        <f t="shared" si="93"/>
        <v>0</v>
      </c>
      <c r="IJ36" s="108">
        <v>49136.25</v>
      </c>
      <c r="IK36" s="37">
        <f t="shared" si="138"/>
        <v>73704.375</v>
      </c>
      <c r="IL36" s="57">
        <v>1.5</v>
      </c>
      <c r="IM36" s="105"/>
      <c r="IN36" s="48">
        <f t="shared" si="95"/>
        <v>0</v>
      </c>
      <c r="IO36" s="108">
        <v>34627.480000000003</v>
      </c>
      <c r="IP36" s="37">
        <f t="shared" si="139"/>
        <v>51941.22</v>
      </c>
      <c r="IQ36" s="57">
        <v>1.5</v>
      </c>
      <c r="IR36" s="105"/>
      <c r="IS36" s="48">
        <f t="shared" si="97"/>
        <v>0</v>
      </c>
      <c r="IT36" s="108">
        <v>179719.2</v>
      </c>
      <c r="IU36" s="37">
        <f t="shared" si="140"/>
        <v>269578.80000000005</v>
      </c>
      <c r="IV36" s="57">
        <v>1.5</v>
      </c>
      <c r="IW36" s="105"/>
      <c r="IX36" s="48">
        <f t="shared" si="99"/>
        <v>0</v>
      </c>
      <c r="IY36" s="108">
        <v>71687.710000000006</v>
      </c>
      <c r="IZ36" s="37">
        <f t="shared" si="141"/>
        <v>107531.565</v>
      </c>
      <c r="JA36" s="57">
        <v>1.5</v>
      </c>
      <c r="JB36" s="105"/>
      <c r="JC36" s="61">
        <f t="shared" si="101"/>
        <v>0</v>
      </c>
      <c r="JD36" s="73">
        <f t="shared" si="102"/>
        <v>887074.87</v>
      </c>
      <c r="JE36" s="73">
        <f t="shared" si="103"/>
        <v>391186.86</v>
      </c>
      <c r="JF36" s="76">
        <f t="shared" si="104"/>
        <v>-495888.01</v>
      </c>
      <c r="JG36" s="11">
        <f t="shared" si="105"/>
        <v>0.44098516735120674</v>
      </c>
    </row>
    <row r="37" spans="3:267">
      <c r="C37" s="121"/>
      <c r="D37" s="172"/>
      <c r="E37" s="29"/>
      <c r="F37" s="122"/>
      <c r="G37" s="108"/>
      <c r="H37" s="123"/>
      <c r="I37" s="172"/>
      <c r="J37" s="29"/>
      <c r="K37" s="122"/>
      <c r="L37" s="108"/>
      <c r="M37" s="124"/>
      <c r="N37" s="29"/>
      <c r="O37" s="29"/>
      <c r="P37" s="122"/>
      <c r="Q37" s="108"/>
      <c r="R37" s="124"/>
      <c r="S37" s="29"/>
      <c r="T37" s="29"/>
      <c r="U37" s="122"/>
      <c r="V37" s="108"/>
      <c r="W37" s="124"/>
      <c r="X37" s="172"/>
      <c r="Y37" s="29"/>
      <c r="Z37" s="122"/>
      <c r="AA37" s="108"/>
      <c r="AB37" s="122"/>
      <c r="AC37" s="172"/>
      <c r="AD37" s="29"/>
      <c r="AE37" s="122"/>
      <c r="AF37" s="108"/>
      <c r="AG37" s="122"/>
      <c r="AH37" s="172"/>
      <c r="AI37" s="29"/>
      <c r="AJ37" s="122"/>
      <c r="AK37" s="108"/>
      <c r="AL37" s="122"/>
      <c r="AM37" s="172"/>
      <c r="AN37" s="29"/>
      <c r="AO37" s="122"/>
      <c r="AP37" s="108"/>
      <c r="AQ37" s="124"/>
      <c r="AR37" s="172"/>
      <c r="AS37" s="29"/>
      <c r="AT37" s="122"/>
      <c r="AU37" s="108"/>
      <c r="AV37" s="124"/>
      <c r="AW37" s="172"/>
      <c r="AX37" s="29"/>
      <c r="AY37" s="122"/>
      <c r="AZ37" s="108"/>
      <c r="BA37" s="122"/>
      <c r="BB37" s="172"/>
      <c r="BC37" s="29"/>
      <c r="BD37" s="122"/>
      <c r="BE37" s="125"/>
      <c r="BF37" s="122"/>
      <c r="BG37" s="126"/>
      <c r="BH37" s="29"/>
      <c r="BI37" s="122"/>
      <c r="BJ37" s="125"/>
      <c r="BK37" s="122"/>
      <c r="BL37" s="126"/>
      <c r="BM37" s="29"/>
      <c r="BN37" s="122"/>
      <c r="BO37" s="172"/>
      <c r="BP37" s="122"/>
      <c r="BQ37" s="126"/>
      <c r="BR37" s="29"/>
      <c r="BS37" s="122"/>
      <c r="BT37" s="125"/>
      <c r="BU37" s="122"/>
      <c r="BV37" s="126"/>
      <c r="BW37" s="29"/>
      <c r="BX37" s="122"/>
      <c r="BY37" s="127"/>
      <c r="BZ37" s="124"/>
      <c r="CA37" s="126"/>
      <c r="CB37" s="29"/>
      <c r="CC37" s="122"/>
      <c r="CD37" s="125"/>
      <c r="CE37" s="122"/>
      <c r="CF37" s="172"/>
      <c r="CG37" s="29"/>
      <c r="CH37" s="122"/>
      <c r="CI37" s="125"/>
      <c r="CJ37" s="122"/>
      <c r="CK37" s="172"/>
      <c r="CL37" s="29"/>
      <c r="CM37" s="122"/>
      <c r="CN37" s="125"/>
      <c r="CO37" s="122"/>
      <c r="CP37" s="172"/>
      <c r="CQ37" s="29"/>
      <c r="CR37" s="122"/>
      <c r="CS37" s="172"/>
      <c r="CT37" s="122"/>
      <c r="CU37" s="172"/>
      <c r="CV37" s="29"/>
      <c r="CW37" s="122"/>
      <c r="CX37" s="128"/>
      <c r="CY37" s="122"/>
      <c r="CZ37" s="172"/>
      <c r="DA37" s="29"/>
      <c r="DB37" s="124"/>
      <c r="DC37" s="172"/>
      <c r="DD37" s="122"/>
      <c r="DE37" s="172"/>
      <c r="DF37" s="29"/>
      <c r="DG37" s="124"/>
      <c r="DH37" s="172"/>
      <c r="DI37" s="122"/>
      <c r="DJ37" s="172"/>
      <c r="DK37" s="29"/>
      <c r="DL37" s="124"/>
      <c r="DM37" s="172"/>
      <c r="DN37" s="122"/>
      <c r="DO37" s="173"/>
      <c r="DP37" s="29"/>
      <c r="DQ37" s="124"/>
      <c r="DR37" s="173"/>
      <c r="DS37" s="122"/>
      <c r="DT37" s="173"/>
      <c r="DU37" s="29"/>
      <c r="DV37" s="122"/>
      <c r="DW37" s="173"/>
      <c r="DX37" s="122"/>
      <c r="DY37" s="173"/>
      <c r="DZ37" s="29"/>
      <c r="EA37" s="122"/>
      <c r="EB37" s="173"/>
      <c r="EC37" s="122"/>
      <c r="ED37" s="173"/>
      <c r="EE37" s="29">
        <v>0</v>
      </c>
      <c r="EF37" s="122"/>
      <c r="EG37" s="173"/>
      <c r="EH37" s="122"/>
      <c r="EI37" s="173"/>
      <c r="EJ37" s="29">
        <v>0</v>
      </c>
      <c r="EK37" s="122"/>
      <c r="EL37" s="173"/>
      <c r="EM37" s="122"/>
      <c r="EN37" s="173"/>
      <c r="EO37" s="29">
        <v>0</v>
      </c>
      <c r="EP37" s="122"/>
      <c r="EQ37" s="173"/>
      <c r="ER37" s="122"/>
      <c r="ES37" s="173"/>
      <c r="ET37" s="29">
        <v>0</v>
      </c>
      <c r="EU37" s="122"/>
      <c r="EV37" s="173"/>
      <c r="EW37" s="122"/>
      <c r="EX37" s="173"/>
      <c r="EY37" s="29">
        <v>0</v>
      </c>
      <c r="EZ37" s="122"/>
      <c r="FA37" s="173"/>
      <c r="FB37" s="124"/>
      <c r="FC37" s="173"/>
      <c r="FD37" s="29">
        <v>0</v>
      </c>
      <c r="FE37" s="124"/>
      <c r="FF37" s="173"/>
      <c r="FG37" s="124"/>
      <c r="FH37" s="173"/>
      <c r="FI37" s="29">
        <v>0</v>
      </c>
      <c r="FJ37" s="124"/>
      <c r="FK37" s="233"/>
      <c r="FL37" s="124"/>
      <c r="FM37" s="173"/>
      <c r="FN37" s="29">
        <v>0</v>
      </c>
      <c r="FO37" s="124"/>
      <c r="FP37" s="173"/>
      <c r="FQ37" s="124"/>
      <c r="FR37" s="173"/>
      <c r="FS37" s="29">
        <v>0</v>
      </c>
      <c r="FT37" s="124"/>
      <c r="FU37" s="173"/>
      <c r="FV37" s="124"/>
      <c r="FW37" s="29"/>
      <c r="FX37" s="29">
        <v>0</v>
      </c>
      <c r="FY37" s="122"/>
      <c r="FZ37" s="96"/>
      <c r="GA37" s="124"/>
      <c r="GB37" s="29"/>
      <c r="GC37" s="29">
        <v>0</v>
      </c>
      <c r="GD37" s="124"/>
      <c r="GE37" s="96"/>
      <c r="GF37" s="124"/>
      <c r="GG37" s="29"/>
      <c r="GH37" s="29">
        <v>0</v>
      </c>
      <c r="GI37" s="124"/>
      <c r="GJ37" s="96"/>
      <c r="GK37" s="124"/>
      <c r="GL37" s="96"/>
      <c r="GM37" s="29">
        <v>0</v>
      </c>
      <c r="GN37" s="124"/>
      <c r="GO37" s="96"/>
      <c r="GP37" s="124"/>
      <c r="GQ37" s="96"/>
      <c r="GR37" s="29">
        <v>0</v>
      </c>
      <c r="GS37" s="124"/>
      <c r="GT37" s="96"/>
      <c r="GU37" s="124"/>
      <c r="GV37" s="96"/>
      <c r="GW37" s="29">
        <v>0</v>
      </c>
      <c r="GX37" s="122"/>
      <c r="GY37" s="96"/>
      <c r="GZ37" s="124"/>
      <c r="HA37" s="96"/>
      <c r="HB37" s="29">
        <v>0</v>
      </c>
      <c r="HC37" s="124"/>
      <c r="HD37" s="96"/>
      <c r="HE37" s="124"/>
      <c r="HF37" s="96"/>
      <c r="HG37" s="29">
        <v>0</v>
      </c>
      <c r="HH37" s="124"/>
      <c r="HI37" s="96"/>
      <c r="HJ37" s="124"/>
      <c r="HK37" s="96"/>
      <c r="HL37" s="29">
        <v>0</v>
      </c>
      <c r="HM37" s="124"/>
      <c r="HN37" s="96"/>
      <c r="HO37" s="124"/>
      <c r="HP37" s="96"/>
      <c r="HQ37" s="29">
        <v>0</v>
      </c>
      <c r="HR37" s="124"/>
      <c r="HS37" s="96"/>
      <c r="HT37" s="124"/>
      <c r="HU37" s="96"/>
      <c r="HV37" s="29">
        <v>0</v>
      </c>
      <c r="HW37" s="124"/>
      <c r="HX37" s="96"/>
      <c r="HY37" s="124"/>
      <c r="HZ37" s="96"/>
      <c r="IA37" s="29">
        <v>0</v>
      </c>
      <c r="IB37" s="124"/>
      <c r="IC37" s="96"/>
      <c r="ID37" s="124"/>
      <c r="IE37" s="108"/>
      <c r="IF37" s="29">
        <v>0</v>
      </c>
      <c r="IG37" s="124"/>
      <c r="IH37" s="108"/>
      <c r="II37" s="124"/>
      <c r="IJ37" s="108"/>
      <c r="IK37" s="29"/>
      <c r="IL37" s="124"/>
      <c r="IM37" s="108"/>
      <c r="IN37" s="124"/>
      <c r="IO37" s="108"/>
      <c r="IP37" s="29"/>
      <c r="IQ37" s="124"/>
      <c r="IR37" s="108"/>
      <c r="IS37" s="124"/>
      <c r="IT37" s="108"/>
      <c r="IU37" s="29"/>
      <c r="IV37" s="124"/>
      <c r="IW37" s="108"/>
      <c r="IX37" s="124"/>
      <c r="IY37" s="108"/>
      <c r="IZ37" s="29"/>
      <c r="JA37" s="124"/>
      <c r="JB37" s="108"/>
      <c r="JC37" s="124"/>
      <c r="JD37" s="73">
        <f t="shared" ref="JD37" si="142">D37+I37+N37+S37+X37+AC37+AH37+AM37+AR37+AW37+BB37+BG37+BL37+BQ37+BV37+CA37+CF37+CK37+CP37+CU37+CZ37+DE37+DJ37+DO37+DT37+DY37+ED37+EI37+EN37+ES37+EX37+FC37+FH37+FM37</f>
        <v>0</v>
      </c>
      <c r="JE37" s="76">
        <f t="shared" ref="JE37" si="143">G37+L37+Q37+V37+AA37+AF37+AK37+AP37+AU37+AZ37+BE37+BJ37+BO37+BT37+BY37+CD37+CI37+CN37+CS37+CX37+DC37+DH37+DM37+DR37+DW37+EB37+EG37+EL37+EQ37+EV37+FA37+FF37+FK37+FP37+FU37+FZ37+GE37+GJ37+GO37+GT37+GY37+HD37+HI37+HN37+HS37+HX37+IC37+IH37+IM37+IR37+IW37+JB37</f>
        <v>0</v>
      </c>
      <c r="JF37" s="76">
        <f t="shared" si="104"/>
        <v>0</v>
      </c>
      <c r="JG37" s="174"/>
    </row>
    <row r="38" spans="3:267">
      <c r="E38" s="12"/>
      <c r="H38" s="12"/>
      <c r="L38" s="12"/>
      <c r="Q38" s="12"/>
      <c r="V38" s="12"/>
      <c r="AP38" s="12"/>
      <c r="AU38" s="12"/>
      <c r="BY38" s="12"/>
      <c r="CX38" s="12"/>
      <c r="DW38" s="12"/>
      <c r="EX38" s="12"/>
      <c r="GE38" s="30"/>
    </row>
    <row r="39" spans="3:267">
      <c r="C39" s="84" t="s">
        <v>234</v>
      </c>
      <c r="D39" s="87">
        <f>SUM(D8:D26)</f>
        <v>1536340.73</v>
      </c>
      <c r="E39" s="87">
        <f>SUM(E8:E26)</f>
        <v>921804.43799999997</v>
      </c>
      <c r="F39" s="78">
        <f>E39/D39</f>
        <v>0.6</v>
      </c>
      <c r="G39" s="87">
        <f>SUM(G8:G26)</f>
        <v>1155598.1600000001</v>
      </c>
      <c r="H39" s="89">
        <f>G39/D39</f>
        <v>0.75217569737931778</v>
      </c>
      <c r="I39" s="87">
        <f>SUM(I8:I26)</f>
        <v>1458680.2399999998</v>
      </c>
      <c r="J39" s="87">
        <f>SUM(J8:J26)</f>
        <v>991595.48859999992</v>
      </c>
      <c r="K39" s="78">
        <f>J39/I39</f>
        <v>0.67978948463715394</v>
      </c>
      <c r="L39" s="87">
        <f>SUM(L8:L26)</f>
        <v>925508.04999999981</v>
      </c>
      <c r="M39" s="89">
        <f>L39/I39</f>
        <v>0.63448316129928517</v>
      </c>
      <c r="N39" s="87">
        <f>SUM(N8:N26)</f>
        <v>1417371.34</v>
      </c>
      <c r="O39" s="87">
        <f>SUM(O8:O26)</f>
        <v>1011331.2084999999</v>
      </c>
      <c r="P39" s="304">
        <f>O39/N39</f>
        <v>0.71352593350730509</v>
      </c>
      <c r="Q39" s="87">
        <f>SUM(Q8:Q26)</f>
        <v>975016.55999999994</v>
      </c>
      <c r="R39" s="304">
        <f>Q39/N39</f>
        <v>0.68790480834754275</v>
      </c>
      <c r="S39" s="87">
        <f>SUM(S8:S26)</f>
        <v>1353398.0299999998</v>
      </c>
      <c r="T39" s="87">
        <f>SUM(T8:T26)</f>
        <v>1061297.3110999998</v>
      </c>
      <c r="U39" s="78">
        <f>T39/S39</f>
        <v>0.78417234810072833</v>
      </c>
      <c r="V39" s="87">
        <f>SUM(V8:V26)</f>
        <v>1023206.3800000001</v>
      </c>
      <c r="W39" s="304">
        <f>V39/S39</f>
        <v>0.75602768536614484</v>
      </c>
      <c r="X39" s="87">
        <f>SUM(X8:X26)</f>
        <v>1411709.66</v>
      </c>
      <c r="Y39" s="87">
        <f>SUM(Y8:Y26)</f>
        <v>1185363.4715</v>
      </c>
      <c r="Z39" s="78">
        <f>Y39/X39</f>
        <v>0.83966519822496655</v>
      </c>
      <c r="AA39" s="87">
        <f>SUM(AA8:AA26)</f>
        <v>1175755.9900000002</v>
      </c>
      <c r="AB39" s="304">
        <f>AA39/X39</f>
        <v>0.83285963347449243</v>
      </c>
      <c r="AC39" s="87">
        <f>SUM(AC8:AC26)</f>
        <v>2155980.12</v>
      </c>
      <c r="AD39" s="87">
        <f>SUM(AD8:AD26)</f>
        <v>1981001.8622999999</v>
      </c>
      <c r="AE39" s="78">
        <f>AD39/AC39</f>
        <v>0.91884050503211501</v>
      </c>
      <c r="AF39" s="87">
        <f>SUM(AF8:AF26)</f>
        <v>1352029.56</v>
      </c>
      <c r="AG39" s="304">
        <f>AF39/AC39</f>
        <v>0.62710669150325926</v>
      </c>
      <c r="AH39" s="87">
        <f>SUM(AH8:AH26)</f>
        <v>1292665.2700000003</v>
      </c>
      <c r="AI39" s="87">
        <f>SUM(AI8:AI26)</f>
        <v>775599.16200000001</v>
      </c>
      <c r="AJ39" s="78">
        <f>AI39/AH39</f>
        <v>0.59999999999999987</v>
      </c>
      <c r="AK39" s="87">
        <f>SUM(AK8:AK26)</f>
        <v>978967.34000000008</v>
      </c>
      <c r="AL39" s="89">
        <f>AK39/AH39</f>
        <v>0.75732470169945842</v>
      </c>
      <c r="AM39" s="87">
        <f>SUM(AM8:AM26)</f>
        <v>1317602.06</v>
      </c>
      <c r="AN39" s="87">
        <f>SUM(AN8:AN26)</f>
        <v>790561.23600000003</v>
      </c>
      <c r="AO39" s="78">
        <f>AN39/AM39</f>
        <v>0.6</v>
      </c>
      <c r="AP39" s="87">
        <f>SUM(AP8:AP26)</f>
        <v>1099274.29</v>
      </c>
      <c r="AQ39" s="89">
        <f>AP39/AM39</f>
        <v>0.83429915857903258</v>
      </c>
      <c r="AR39" s="87">
        <f>SUM(AR8:AR26)</f>
        <v>1324962.4799999997</v>
      </c>
      <c r="AS39" s="87">
        <f>SUM(AS8:AS26)</f>
        <v>1036988.5349999999</v>
      </c>
      <c r="AT39" s="78">
        <f>AS39/AR39</f>
        <v>0.78265501903118051</v>
      </c>
      <c r="AU39" s="87">
        <f>SUM(AU8:AU26)</f>
        <v>1062978.1299999999</v>
      </c>
      <c r="AV39" s="89">
        <f>AU39/AR39</f>
        <v>0.80227036315775535</v>
      </c>
      <c r="AW39" s="87">
        <f>SUM(AW8:AW26)</f>
        <v>1398980.96</v>
      </c>
      <c r="AX39" s="87">
        <f>SUM(AX8:AX26)</f>
        <v>1095416.6325000001</v>
      </c>
      <c r="AY39" s="78">
        <f>AX39/AW39</f>
        <v>0.78301039386554627</v>
      </c>
      <c r="AZ39" s="87">
        <f>SUM(AZ8:AZ26)</f>
        <v>1080989.2999999998</v>
      </c>
      <c r="BA39" s="89">
        <f>AZ39/AW39</f>
        <v>0.77269764986651412</v>
      </c>
      <c r="BB39" s="87">
        <f>SUM(BB8:BB26)</f>
        <v>1091460.4599999997</v>
      </c>
      <c r="BC39" s="87">
        <f>SUM(BC8:BC26)</f>
        <v>779278.34199999995</v>
      </c>
      <c r="BD39" s="78">
        <f>BC39/BB39</f>
        <v>0.71397762040779755</v>
      </c>
      <c r="BE39" s="87">
        <f>SUM(BE8:BE26)</f>
        <v>1267350.5199999998</v>
      </c>
      <c r="BF39" s="89">
        <f>BE39/BB39</f>
        <v>1.161151105739552</v>
      </c>
      <c r="BG39" s="87">
        <f>SUM(BG8:BG26)</f>
        <v>734748.23</v>
      </c>
      <c r="BH39" s="87">
        <f>SUM(BH8:BH26)</f>
        <v>551061.17249999999</v>
      </c>
      <c r="BI39" s="78">
        <f>BH39/BG39</f>
        <v>0.75</v>
      </c>
      <c r="BJ39" s="87">
        <f>SUM(BJ8:BJ26)</f>
        <v>0</v>
      </c>
      <c r="BK39" s="89">
        <f>BJ39/BG39</f>
        <v>0</v>
      </c>
      <c r="BL39" s="87">
        <f>SUM(BL8:BL26)</f>
        <v>793578.9800000001</v>
      </c>
      <c r="BM39" s="87">
        <f>SUM(BM8:BM26)</f>
        <v>595184.23499999999</v>
      </c>
      <c r="BN39" s="78">
        <f>BM39/BL39</f>
        <v>0.74999999999999989</v>
      </c>
      <c r="BO39" s="87">
        <f>SUM(BO8:BO26)</f>
        <v>0</v>
      </c>
      <c r="BP39" s="89">
        <f>BO39/BL39</f>
        <v>0</v>
      </c>
      <c r="BQ39" s="87">
        <f>SUM(BQ8:BQ26)</f>
        <v>617952.88000000012</v>
      </c>
      <c r="BR39" s="87">
        <f>SUM(BR8:BR26)</f>
        <v>2162835.0799999996</v>
      </c>
      <c r="BS39" s="78">
        <f>BR39/BQ39</f>
        <v>3.4999999999999987</v>
      </c>
      <c r="BT39" s="87">
        <f>SUM(BT8:BT26)</f>
        <v>0</v>
      </c>
      <c r="BU39" s="89">
        <f>BT39/BQ39</f>
        <v>0</v>
      </c>
      <c r="BV39" s="87">
        <f>SUM(BV8:BV26)</f>
        <v>592353.01</v>
      </c>
      <c r="BW39" s="87">
        <f>SUM(BW8:BW26)</f>
        <v>2073235.5349999999</v>
      </c>
      <c r="BX39" s="78">
        <f>BW39/BV39</f>
        <v>3.5</v>
      </c>
      <c r="BY39" s="87">
        <f>SUM(BY8:BY26)</f>
        <v>0</v>
      </c>
      <c r="BZ39" s="89">
        <f>BY39/BV39</f>
        <v>0</v>
      </c>
      <c r="CA39" s="87">
        <f>SUM(CA8:CA26)</f>
        <v>410514.41000000003</v>
      </c>
      <c r="CB39" s="87">
        <f>SUM(CB8:CB26)</f>
        <v>2052572.05</v>
      </c>
      <c r="CC39" s="78">
        <f>CB39/CA39</f>
        <v>5</v>
      </c>
      <c r="CD39" s="87">
        <f>SUM(CD8:CD26)</f>
        <v>0</v>
      </c>
      <c r="CE39" s="89">
        <f>CD39/CA39</f>
        <v>0</v>
      </c>
      <c r="CF39" s="87">
        <f>SUM(CF8:CF26)</f>
        <v>790288.03999999992</v>
      </c>
      <c r="CG39" s="87">
        <f>SUM(CG8:CG26)</f>
        <v>2370864.12</v>
      </c>
      <c r="CH39" s="78">
        <f>CG39/CF39</f>
        <v>3.0000000000000004</v>
      </c>
      <c r="CI39" s="87">
        <f>SUM(CI8:CI26)</f>
        <v>0</v>
      </c>
      <c r="CJ39" s="89">
        <f>CI39/CF39</f>
        <v>0</v>
      </c>
      <c r="CK39" s="87">
        <f>SUM(CK8:CK26)</f>
        <v>49718.84</v>
      </c>
      <c r="CL39" s="87">
        <f>SUM(CL8:CL26)</f>
        <v>323172.45999999996</v>
      </c>
      <c r="CM39" s="78">
        <f>CL39/CK39</f>
        <v>6.5</v>
      </c>
      <c r="CN39" s="87">
        <f>SUM(CN8:CN26)</f>
        <v>0</v>
      </c>
      <c r="CO39" s="89">
        <f>CN39/CK39</f>
        <v>0</v>
      </c>
      <c r="CP39" s="87">
        <f>SUM(CP8:CP26)</f>
        <v>366902.83</v>
      </c>
      <c r="CQ39" s="87">
        <f>SUM(CQ8:CQ26)</f>
        <v>2384868.395</v>
      </c>
      <c r="CR39" s="78">
        <f>CQ39/CP39</f>
        <v>6.5</v>
      </c>
      <c r="CS39" s="87">
        <f>SUM(CS8:CS26)</f>
        <v>0</v>
      </c>
      <c r="CT39" s="89">
        <f>CS39/CP39</f>
        <v>0</v>
      </c>
      <c r="CU39" s="87">
        <f>SUM(CU8:CU26)</f>
        <v>424365.64000000013</v>
      </c>
      <c r="CV39" s="87">
        <f>SUM(CV8:CV26)</f>
        <v>2758376.6599999997</v>
      </c>
      <c r="CW39" s="78">
        <f>CV39/CU39</f>
        <v>6.4999999999999973</v>
      </c>
      <c r="CX39" s="87">
        <f>SUM(CX8:CX26)</f>
        <v>0</v>
      </c>
      <c r="CY39" s="89">
        <f>CX39/CU39</f>
        <v>0</v>
      </c>
      <c r="CZ39" s="87">
        <f>SUM(CZ8:CZ26)</f>
        <v>396235.10000000003</v>
      </c>
      <c r="DA39" s="87">
        <f>SUM(DA8:DA26)</f>
        <v>2575528.15</v>
      </c>
      <c r="DB39" s="78">
        <f>DA39/CZ39</f>
        <v>6.4999999999999991</v>
      </c>
      <c r="DC39" s="87">
        <f>SUM(DC8:DC26)</f>
        <v>0</v>
      </c>
      <c r="DD39" s="89">
        <f>DC39/CZ39</f>
        <v>0</v>
      </c>
      <c r="DE39" s="87">
        <f>SUM(DE8:DE26)</f>
        <v>551323.84</v>
      </c>
      <c r="DF39" s="87">
        <f>SUM(DF8:DF26)</f>
        <v>2480957.2799999998</v>
      </c>
      <c r="DG39" s="78">
        <f>DF39/DE39</f>
        <v>4.5</v>
      </c>
      <c r="DH39" s="87">
        <f>SUM(DH8:DH26)</f>
        <v>0</v>
      </c>
      <c r="DI39" s="89">
        <f>DH39/DE39</f>
        <v>0</v>
      </c>
      <c r="DJ39" s="87">
        <f>SUM(DJ8:DJ26)</f>
        <v>657976.98</v>
      </c>
      <c r="DK39" s="87">
        <f>SUM(DK8:DK26)</f>
        <v>1973930.9400000002</v>
      </c>
      <c r="DL39" s="78">
        <f>DK39/DJ39</f>
        <v>3.0000000000000004</v>
      </c>
      <c r="DM39" s="87">
        <f>SUM(DM8:DM26)</f>
        <v>0</v>
      </c>
      <c r="DN39" s="89">
        <f>DM39/DJ39</f>
        <v>0</v>
      </c>
      <c r="DO39" s="87">
        <f>SUM(DO8:DO26)</f>
        <v>924425.37</v>
      </c>
      <c r="DP39" s="87">
        <f>SUM(DP8:DP26)</f>
        <v>2311063.4249999998</v>
      </c>
      <c r="DQ39" s="78">
        <f>DP39/DO39</f>
        <v>2.5</v>
      </c>
      <c r="DR39" s="87">
        <f>SUM(DR8:DR26)</f>
        <v>0</v>
      </c>
      <c r="DS39" s="89">
        <f>DR39/DO39</f>
        <v>0</v>
      </c>
      <c r="DT39" s="87">
        <f>SUM(DT8:DT26)</f>
        <v>888957.1</v>
      </c>
      <c r="DU39" s="87">
        <f>SUM(DU8:DU26)</f>
        <v>2222392.75</v>
      </c>
      <c r="DV39" s="78">
        <f>DU39/DT39</f>
        <v>2.5</v>
      </c>
      <c r="DW39" s="87">
        <f>SUM(DW8:DW26)</f>
        <v>0</v>
      </c>
      <c r="DX39" s="89">
        <f>DW39/DT39</f>
        <v>0</v>
      </c>
      <c r="DY39" s="87">
        <f>SUM(DY8:DY26)</f>
        <v>1020380.7699999999</v>
      </c>
      <c r="DZ39" s="87">
        <f>SUM(DZ8:DZ26)</f>
        <v>2550951.9250000003</v>
      </c>
      <c r="EA39" s="78">
        <f>DZ39/DY39</f>
        <v>2.5000000000000004</v>
      </c>
      <c r="EB39" s="87">
        <f>SUM(EB8:EB26)</f>
        <v>0</v>
      </c>
      <c r="EC39" s="89">
        <f>EB39/DY39</f>
        <v>0</v>
      </c>
      <c r="ED39" s="87">
        <f>SUM(ED8:ED26)</f>
        <v>1077293.72</v>
      </c>
      <c r="EE39" s="87">
        <f>SUM(EE8:EE26)</f>
        <v>2154587.44</v>
      </c>
      <c r="EF39" s="78">
        <f>EE39/ED39</f>
        <v>2</v>
      </c>
      <c r="EG39" s="87">
        <f>SUM(EG8:EG26)</f>
        <v>0</v>
      </c>
      <c r="EH39" s="89">
        <f>EG39/ED39</f>
        <v>0</v>
      </c>
      <c r="EI39" s="87">
        <f>SUM(EI8:EI26)</f>
        <v>1213392.47</v>
      </c>
      <c r="EJ39" s="87">
        <f>SUM(EJ8:EJ26)</f>
        <v>2184106.4460000005</v>
      </c>
      <c r="EK39" s="78">
        <f>EJ39/EI39</f>
        <v>1.8000000000000005</v>
      </c>
      <c r="EL39" s="87">
        <f>SUM(EL8:EL26)</f>
        <v>0</v>
      </c>
      <c r="EM39" s="89">
        <f>EL39/EI39</f>
        <v>0</v>
      </c>
      <c r="EN39" s="87">
        <f>SUM(EN8:EN26)</f>
        <v>1057155.1600000001</v>
      </c>
      <c r="EO39" s="87">
        <f>SUM(EO8:EO26)</f>
        <v>1902879.2879999999</v>
      </c>
      <c r="EP39" s="78">
        <f>EO39/EN39</f>
        <v>1.7999999999999996</v>
      </c>
      <c r="EQ39" s="87">
        <f>SUM(EQ8:EQ26)</f>
        <v>0</v>
      </c>
      <c r="ER39" s="89">
        <f>EQ39/EN39</f>
        <v>0</v>
      </c>
      <c r="ES39" s="87">
        <f>SUM(ES8:ES26)</f>
        <v>1040322.5199999998</v>
      </c>
      <c r="ET39" s="87">
        <f>SUM(ET8:ET26)</f>
        <v>1872580.5359999998</v>
      </c>
      <c r="EU39" s="78">
        <f>ET39/ES39</f>
        <v>1.8000000000000003</v>
      </c>
      <c r="EV39" s="87">
        <f>SUM(EV8:EV26)</f>
        <v>0</v>
      </c>
      <c r="EW39" s="89">
        <f>EV39/ES39</f>
        <v>0</v>
      </c>
      <c r="EX39" s="87">
        <f>SUM(EX8:EX26)</f>
        <v>1155050.24</v>
      </c>
      <c r="EY39" s="87">
        <f>SUM(EY8:EY26)</f>
        <v>2079090.4319999998</v>
      </c>
      <c r="EZ39" s="78">
        <f>EY39/EX39</f>
        <v>1.7999999999999998</v>
      </c>
      <c r="FA39" s="87">
        <f>SUM(FA8:FA26)</f>
        <v>0</v>
      </c>
      <c r="FB39" s="133">
        <f>FA39/EX39</f>
        <v>0</v>
      </c>
      <c r="FC39" s="87">
        <f>SUM(FC8:FC26)</f>
        <v>1193741.4200000002</v>
      </c>
      <c r="FD39" s="87">
        <f>SUM(FD8:FD26)</f>
        <v>2148734.5560000003</v>
      </c>
      <c r="FE39" s="78">
        <f>FD39/FC39</f>
        <v>1.8</v>
      </c>
      <c r="FF39" s="87">
        <f>SUM(FF8:FF26)</f>
        <v>0</v>
      </c>
      <c r="FG39" s="141">
        <f>FF39/FC39</f>
        <v>0</v>
      </c>
      <c r="FH39" s="87">
        <f>SUM(FH8:FH26)</f>
        <v>1146839.3699999999</v>
      </c>
      <c r="FI39" s="87">
        <f>SUM(FI8:FI26)</f>
        <v>2064310.8660000004</v>
      </c>
      <c r="FJ39" s="78">
        <f>FI39/FH39</f>
        <v>1.8000000000000005</v>
      </c>
      <c r="FK39" s="87">
        <f>SUM(FK8:FK26)</f>
        <v>0</v>
      </c>
      <c r="FL39" s="141">
        <f>FK39/FH39</f>
        <v>0</v>
      </c>
      <c r="FM39" s="87">
        <f>SUM(FM8:FM26)</f>
        <v>1093189.7100000002</v>
      </c>
      <c r="FN39" s="87">
        <f>SUM(FN8:FN26)</f>
        <v>1967741.4780000004</v>
      </c>
      <c r="FO39" s="78">
        <f>FN39/FM39</f>
        <v>1.8</v>
      </c>
      <c r="FP39" s="87">
        <f>SUM(FP8:FP26)</f>
        <v>0</v>
      </c>
      <c r="FQ39" s="89">
        <f>FP39/FM39</f>
        <v>0</v>
      </c>
      <c r="FR39" s="87">
        <f>SUM(FR8:FR26)</f>
        <v>1215625.79</v>
      </c>
      <c r="FS39" s="87">
        <f>SUM(FS8:FS26)</f>
        <v>1896376.2324000003</v>
      </c>
      <c r="FT39" s="78">
        <f>FS39/FR39</f>
        <v>1.5600000000000003</v>
      </c>
      <c r="FU39" s="87">
        <f>SUM(FU8:FU26)</f>
        <v>0</v>
      </c>
      <c r="FV39" s="89">
        <f>FU39/FR39</f>
        <v>0</v>
      </c>
      <c r="FW39" s="87">
        <f>SUM(FW8:FW26)</f>
        <v>1175956.9100000001</v>
      </c>
      <c r="FX39" s="87">
        <f>SUM(FX8:FX26)</f>
        <v>1834492.7796</v>
      </c>
      <c r="FY39" s="78">
        <f>FX39/FW39</f>
        <v>1.5599999999999998</v>
      </c>
      <c r="FZ39" s="87">
        <f>SUM(FZ8:FZ26)</f>
        <v>0</v>
      </c>
      <c r="GA39" s="89">
        <f>FZ39/FW39</f>
        <v>0</v>
      </c>
      <c r="GB39" s="87">
        <f>SUM(GB8:GB26)</f>
        <v>1202228.3700000001</v>
      </c>
      <c r="GC39" s="87">
        <f>SUM(GC8:GC26)</f>
        <v>1875476.2571999999</v>
      </c>
      <c r="GD39" s="78">
        <f>GC39/GB39</f>
        <v>1.5599999999999998</v>
      </c>
      <c r="GE39" s="87">
        <f>SUM(GE8:GE26)</f>
        <v>0</v>
      </c>
      <c r="GF39" s="89">
        <f>GE39/GB39</f>
        <v>0</v>
      </c>
      <c r="GG39" s="87">
        <f>SUM(GG8:GG26)</f>
        <v>1060822.47</v>
      </c>
      <c r="GH39" s="87">
        <f>SUM(GH8:GH26)</f>
        <v>1654883.0532</v>
      </c>
      <c r="GI39" s="78">
        <f>GH39/GG39</f>
        <v>1.56</v>
      </c>
      <c r="GJ39" s="87">
        <f>SUM(GJ8:GJ26)</f>
        <v>0</v>
      </c>
      <c r="GK39" s="89">
        <f>GJ39/GG39</f>
        <v>0</v>
      </c>
      <c r="GL39" s="87">
        <f>SUM(GL8:GL26)</f>
        <v>1129450.02</v>
      </c>
      <c r="GM39" s="87">
        <f>SUM(GM8:GM26)</f>
        <v>1761942.0312000006</v>
      </c>
      <c r="GN39" s="78">
        <f>GM39/GL39</f>
        <v>1.5600000000000005</v>
      </c>
      <c r="GO39" s="87">
        <f>SUM(GO8:GO26)</f>
        <v>0</v>
      </c>
      <c r="GP39" s="89">
        <f>GO39/GL39</f>
        <v>0</v>
      </c>
      <c r="GQ39" s="87">
        <f>SUM(GQ8:GQ26)</f>
        <v>1136260.6500000001</v>
      </c>
      <c r="GR39" s="87">
        <f>SUM(GR8:GR26)</f>
        <v>1772566.6139999998</v>
      </c>
      <c r="GS39" s="78">
        <f>GR39/GQ39</f>
        <v>1.5599999999999996</v>
      </c>
      <c r="GT39" s="87">
        <f>SUM(GT8:GT26)</f>
        <v>0</v>
      </c>
      <c r="GU39" s="89">
        <f>GT39/GQ39</f>
        <v>0</v>
      </c>
      <c r="GV39" s="87">
        <f>SUM(GV8:GV26)</f>
        <v>1128478.8000000003</v>
      </c>
      <c r="GW39" s="87">
        <f>SUM(GW8:GW26)</f>
        <v>2256957.6000000006</v>
      </c>
      <c r="GX39" s="78">
        <f>GW39/GV39</f>
        <v>2</v>
      </c>
      <c r="GY39" s="87">
        <f>SUM(GY8:GY26)</f>
        <v>0</v>
      </c>
      <c r="GZ39" s="89">
        <f>GY39/GV39</f>
        <v>0</v>
      </c>
      <c r="HA39" s="87">
        <f>SUM(HA8:HA26)</f>
        <v>794145.06</v>
      </c>
      <c r="HB39" s="87">
        <f>SUM(HB8:HB26)</f>
        <v>2382435.1799999997</v>
      </c>
      <c r="HC39" s="78">
        <f>HB39/HA39</f>
        <v>2.9999999999999996</v>
      </c>
      <c r="HD39" s="87">
        <f>SUM(HD8:HD26)</f>
        <v>0</v>
      </c>
      <c r="HE39" s="89">
        <f>HD39/HA39</f>
        <v>0</v>
      </c>
      <c r="HF39" s="87">
        <f>SUM(HF8:HF26)</f>
        <v>548412.8600000001</v>
      </c>
      <c r="HG39" s="87">
        <f>SUM(HG8:HG26)</f>
        <v>2689396.6300000008</v>
      </c>
      <c r="HH39" s="78">
        <f>HG39/HF39</f>
        <v>4.9039634665022263</v>
      </c>
      <c r="HI39" s="87">
        <f>SUM(HI8:HI26)</f>
        <v>0</v>
      </c>
      <c r="HJ39" s="89">
        <f>HI39/HF39</f>
        <v>0</v>
      </c>
      <c r="HK39" s="87">
        <f>SUM(HK8:HK26)</f>
        <v>317479.2</v>
      </c>
      <c r="HL39" s="87">
        <f>SUM(HL8:HL26)</f>
        <v>1746135.5999999999</v>
      </c>
      <c r="HM39" s="78">
        <f>HL39/HK39</f>
        <v>5.4999999999999991</v>
      </c>
      <c r="HN39" s="87">
        <f>SUM(HN8:HN26)</f>
        <v>0</v>
      </c>
      <c r="HO39" s="89">
        <f>HN39/HK39</f>
        <v>0</v>
      </c>
      <c r="HP39" s="87">
        <f>SUM(HP8:HP26)</f>
        <v>384906.43000000005</v>
      </c>
      <c r="HQ39" s="87">
        <f>SUM(HQ8:HQ26)</f>
        <v>1887351.19</v>
      </c>
      <c r="HR39" s="78">
        <f>HQ39/HP39</f>
        <v>4.9034026009905824</v>
      </c>
      <c r="HS39" s="87">
        <f>SUM(HS8:HS26)</f>
        <v>0</v>
      </c>
      <c r="HT39" s="89">
        <f>HS39/HP39</f>
        <v>0</v>
      </c>
      <c r="HU39" s="87">
        <f>SUM(HU8:HU26)</f>
        <v>888004.64</v>
      </c>
      <c r="HV39" s="87">
        <f>SUM(HV8:HV26)</f>
        <v>2664013.9199999995</v>
      </c>
      <c r="HW39" s="78">
        <f>HV39/HU39</f>
        <v>2.9999999999999996</v>
      </c>
      <c r="HX39" s="87">
        <f>SUM(HX8:HX26)</f>
        <v>0</v>
      </c>
      <c r="HY39" s="89">
        <f>HX39/HU39</f>
        <v>0</v>
      </c>
      <c r="HZ39" s="87">
        <f>SUM(HZ8:HZ26)</f>
        <v>1916545.4899999998</v>
      </c>
      <c r="IA39" s="87">
        <f>SUM(IA8:IA26)</f>
        <v>5749636.4699999997</v>
      </c>
      <c r="IB39" s="78">
        <f>IA39/HZ39</f>
        <v>3.0000000000000004</v>
      </c>
      <c r="IC39" s="87">
        <f>SUM(IC8:IC26)</f>
        <v>0</v>
      </c>
      <c r="ID39" s="89">
        <f>IC39/HZ39</f>
        <v>0</v>
      </c>
      <c r="IE39" s="87">
        <f>SUM(IE8:IE26)</f>
        <v>2800420.5399999996</v>
      </c>
      <c r="IF39" s="87">
        <f>SUM(IF8:IF26)</f>
        <v>4200630.8100000015</v>
      </c>
      <c r="IG39" s="78">
        <f>IF39/IE39</f>
        <v>1.5000000000000007</v>
      </c>
      <c r="IH39" s="87">
        <f>SUM(IH8:IH26)</f>
        <v>0</v>
      </c>
      <c r="II39" s="89">
        <f>IH39/IE39</f>
        <v>0</v>
      </c>
      <c r="IJ39" s="87">
        <f>SUM(IJ8:IJ26)</f>
        <v>3365138.4399999995</v>
      </c>
      <c r="IK39" s="87">
        <f>SUM(IK8:IK26)</f>
        <v>5047707.66</v>
      </c>
      <c r="IL39" s="78">
        <f>IK39/IJ39</f>
        <v>1.5000000000000002</v>
      </c>
      <c r="IM39" s="87">
        <f>SUM(IM8:IM26)</f>
        <v>0</v>
      </c>
      <c r="IN39" s="89">
        <f>IM39/IJ39</f>
        <v>0</v>
      </c>
      <c r="IO39" s="87">
        <f>SUM(IO8:IO26)</f>
        <v>4315455.8500000006</v>
      </c>
      <c r="IP39" s="87">
        <f>SUM(IP8:IP26)</f>
        <v>6473183.7749999994</v>
      </c>
      <c r="IQ39" s="78">
        <f>IP39/IO39</f>
        <v>1.4999999999999998</v>
      </c>
      <c r="IR39" s="87">
        <f>SUM(IR8:IR26)</f>
        <v>0</v>
      </c>
      <c r="IS39" s="89">
        <f>IR39/IO39</f>
        <v>0</v>
      </c>
      <c r="IT39" s="87">
        <f>SUM(IT8:IT26)</f>
        <v>5290250.75</v>
      </c>
      <c r="IU39" s="87">
        <f>SUM(IU8:IU26)</f>
        <v>7935376.1250000019</v>
      </c>
      <c r="IV39" s="78">
        <f>IU39/IT39</f>
        <v>1.5000000000000004</v>
      </c>
      <c r="IW39" s="87">
        <f>SUM(IW8:IW26)</f>
        <v>0</v>
      </c>
      <c r="IX39" s="89">
        <f>IW39/IT39</f>
        <v>0</v>
      </c>
      <c r="IY39" s="87">
        <f>SUM(IY8:IY26)</f>
        <v>1206125.02</v>
      </c>
      <c r="IZ39" s="87">
        <f>SUM(IZ8:IZ26)</f>
        <v>1809187.5299999998</v>
      </c>
      <c r="JA39" s="78">
        <f>IZ39/IY39</f>
        <v>1.4999999999999998</v>
      </c>
      <c r="JB39" s="87">
        <f>SUM(JB8:JB26)</f>
        <v>0</v>
      </c>
      <c r="JC39" s="109">
        <f>JB39/IY39</f>
        <v>0</v>
      </c>
      <c r="JD39" s="110">
        <f>SUM(JD8:JD26)</f>
        <v>15759151.35</v>
      </c>
      <c r="JE39" s="111">
        <f>SUM(JE8:JE26)</f>
        <v>12096674.279999999</v>
      </c>
      <c r="JF39" s="112">
        <f>JE39-JD39</f>
        <v>-3662477.0700000003</v>
      </c>
      <c r="JG39" s="78">
        <f>JE39/JD39</f>
        <v>0.76759680844108391</v>
      </c>
    </row>
    <row r="40" spans="3:267">
      <c r="C40" s="291" t="s">
        <v>42</v>
      </c>
      <c r="D40" s="292"/>
      <c r="E40" s="292"/>
      <c r="F40" s="293"/>
      <c r="G40" s="292"/>
      <c r="H40" s="89"/>
      <c r="I40" s="292"/>
      <c r="J40" s="292"/>
      <c r="K40" s="293"/>
      <c r="L40" s="292"/>
      <c r="M40" s="89"/>
      <c r="N40" s="292">
        <f>N8+N9+N15+N16+N11+N17+N19</f>
        <v>568638.52</v>
      </c>
      <c r="O40" s="292">
        <f>O8+O9+O15+O16+O11+O17+O19</f>
        <v>426045.59600000002</v>
      </c>
      <c r="P40" s="78">
        <f t="shared" ref="P40:P42" si="144">O40/N40</f>
        <v>0.74923801503985343</v>
      </c>
      <c r="Q40" s="292">
        <f>Q8+Q9+Q15+Q16+Q11+Q17+Q19</f>
        <v>374975.12000000005</v>
      </c>
      <c r="R40" s="89">
        <f t="shared" ref="R40:R42" si="145">Q40/N40</f>
        <v>0.65942616761171935</v>
      </c>
      <c r="S40" s="292">
        <f>S8+S9+S15+S16+S11+S17+S19</f>
        <v>500228.73000000004</v>
      </c>
      <c r="T40" s="292">
        <f>T8+T9+T15+T16+T11+T17+T19</f>
        <v>418076.58429999999</v>
      </c>
      <c r="U40" s="78">
        <f t="shared" ref="U40:U45" si="146">T40/S40</f>
        <v>0.83577083687296405</v>
      </c>
      <c r="V40" s="292">
        <f>V8+V9+V15+V16+V11+V17+V19</f>
        <v>389542.98</v>
      </c>
      <c r="W40" s="89">
        <f t="shared" ref="W40:W45" si="147">V40/S40</f>
        <v>0.77872972230123594</v>
      </c>
      <c r="X40" s="292">
        <f>X8+X9+X15+X16+X11+X17+X19</f>
        <v>498924.37</v>
      </c>
      <c r="Y40" s="292">
        <f>Y8+Y9+Y15+Y16+Y11+Y17+Y19</f>
        <v>443637.87100000004</v>
      </c>
      <c r="Z40" s="78">
        <f t="shared" ref="Z40:Z42" si="148">Y40/X40</f>
        <v>0.88918861790615689</v>
      </c>
      <c r="AA40" s="292">
        <f>AA8+AA9+AA15+AA16+AA11+AA17+AA19</f>
        <v>420618.97</v>
      </c>
      <c r="AB40" s="89">
        <f t="shared" ref="AB40:AB45" si="149">AA40/X40</f>
        <v>0.84305156310564655</v>
      </c>
      <c r="AC40" s="292">
        <f>AC8+AC9+AC15+AC16+AC11+AC17+AC19</f>
        <v>780758.99</v>
      </c>
      <c r="AD40" s="292">
        <f>AD8+AD9+AD15+AD16+AD11+AD17+AD19</f>
        <v>727159.1664000001</v>
      </c>
      <c r="AE40" s="78">
        <f t="shared" ref="AE40:AE42" si="150">AD40/AC40</f>
        <v>0.93134907918255305</v>
      </c>
      <c r="AF40" s="292">
        <f>AF8+AF9+AF15+AF16+AF11+AF17+AF19</f>
        <v>486985.31</v>
      </c>
      <c r="AG40" s="89">
        <f t="shared" ref="AG40:AG45" si="151">AF40/AC40</f>
        <v>0.62373320863074533</v>
      </c>
      <c r="AH40" s="292">
        <f>AH8+AH9+AH15+AH16+AH11+AH17+AH19</f>
        <v>454595.75</v>
      </c>
      <c r="AI40" s="292">
        <f>AI8+AI9+AI15+AI16+AI11+AI17+AI19</f>
        <v>272757.44999999995</v>
      </c>
      <c r="AJ40" s="78">
        <f t="shared" ref="AJ40:AJ42" si="152">AI40/AH40</f>
        <v>0.59999999999999987</v>
      </c>
      <c r="AK40" s="292">
        <f>AK8+AK9+AK15+AK16+AK11+AK17+AK19</f>
        <v>373786.44000000006</v>
      </c>
      <c r="AL40" s="89">
        <f t="shared" ref="AL40:AL45" si="153">AK40/AH40</f>
        <v>0.82223918723393274</v>
      </c>
      <c r="AM40" s="292">
        <f>AM8+AM9+AM15+AM16+AM11+AM17+AM19</f>
        <v>461380.82</v>
      </c>
      <c r="AN40" s="292">
        <f>AN8+AN9+AN15+AN16+AN11+AN17+AN19</f>
        <v>276828.49199999997</v>
      </c>
      <c r="AO40" s="78">
        <f t="shared" ref="AO40:AO45" si="154">AN40/AM40</f>
        <v>0.6</v>
      </c>
      <c r="AP40" s="292">
        <f>AP8+AP9+AP15+AP16+AP11+AP17+AP19</f>
        <v>353010.27</v>
      </c>
      <c r="AQ40" s="89">
        <f t="shared" ref="AQ40:AQ45" si="155">AP40/AM40</f>
        <v>0.76511691578336527</v>
      </c>
      <c r="AR40" s="292">
        <f>AR8+AR9+AR15+AR16+AR11+AR17+AR19</f>
        <v>441504.83</v>
      </c>
      <c r="AS40" s="292">
        <f>AS8+AS9+AS15+AS16+AS11+AS17+AS19</f>
        <v>331128.6225</v>
      </c>
      <c r="AT40" s="78">
        <f t="shared" ref="AT40:AT45" si="156">AS40/AR40</f>
        <v>0.75</v>
      </c>
      <c r="AU40" s="292">
        <f>AU8+AU9+AU15+AU16+AU11+AU17+AU19</f>
        <v>349530.48</v>
      </c>
      <c r="AV40" s="89">
        <f t="shared" ref="AV40:AV45" si="157">AU40/AR40</f>
        <v>0.7916798554616038</v>
      </c>
      <c r="AW40" s="292">
        <f>AW8+AW9+AW15+AW16+AW11+AW17+AW19</f>
        <v>479836.88</v>
      </c>
      <c r="AX40" s="292">
        <f>AX8+AX9+AX15+AX16+AX11+AX17+AX19</f>
        <v>359877.66</v>
      </c>
      <c r="AY40" s="293"/>
      <c r="AZ40" s="292">
        <f>AZ8+AZ9+AZ15+AZ16+AZ11+AZ17+AZ19</f>
        <v>385850.70000000007</v>
      </c>
      <c r="BA40" s="89"/>
      <c r="BB40" s="292">
        <f>BB8+BB9+BB15+BB16+BB11+BB17+BB19</f>
        <v>411964.85000000003</v>
      </c>
      <c r="BC40" s="292">
        <f>BC8+BC9+BC15+BC16+BC11+BC17+BC19</f>
        <v>288375.39499999996</v>
      </c>
      <c r="BD40" s="293"/>
      <c r="BE40" s="292">
        <f>BE8+BE9+BE15+BE16+BE11+BE17+BE19</f>
        <v>444448.90999999992</v>
      </c>
      <c r="BF40" s="89"/>
      <c r="BG40" s="292">
        <f>BG8+BG9+BG15+BG16+BG11+BG17+BG19</f>
        <v>285662.17</v>
      </c>
      <c r="BH40" s="292">
        <f>BH8+BH9+BH15+BH16+BH11+BH17+BH19</f>
        <v>214246.6275</v>
      </c>
      <c r="BI40" s="293"/>
      <c r="BJ40" s="292">
        <f>BJ8+BJ9+BJ15+BJ16+BJ11+BJ17+BJ19</f>
        <v>0</v>
      </c>
      <c r="BK40" s="89"/>
      <c r="BL40" s="292">
        <f>BL8+BL9+BL15+BL16+BL11+BL17+BL19</f>
        <v>321258.46000000002</v>
      </c>
      <c r="BM40" s="292">
        <f>BM8+BM9+BM15+BM16+BM11+BM17+BM19</f>
        <v>240943.84499999997</v>
      </c>
      <c r="BN40" s="293"/>
      <c r="BO40" s="292"/>
      <c r="BP40" s="89"/>
      <c r="BQ40" s="292"/>
      <c r="BR40" s="292"/>
      <c r="BS40" s="293"/>
      <c r="BT40" s="292"/>
      <c r="BU40" s="89"/>
      <c r="BV40" s="292"/>
      <c r="BW40" s="292"/>
      <c r="BX40" s="293"/>
      <c r="BY40" s="292"/>
      <c r="BZ40" s="89"/>
      <c r="CA40" s="292"/>
      <c r="CB40" s="292"/>
      <c r="CC40" s="293"/>
      <c r="CD40" s="292"/>
      <c r="CE40" s="89"/>
      <c r="CF40" s="292"/>
      <c r="CG40" s="292"/>
      <c r="CH40" s="293"/>
      <c r="CI40" s="292"/>
      <c r="CJ40" s="89"/>
      <c r="CK40" s="292"/>
      <c r="CL40" s="292"/>
      <c r="CM40" s="293"/>
      <c r="CN40" s="292"/>
      <c r="CO40" s="89"/>
      <c r="CP40" s="292"/>
      <c r="CQ40" s="292"/>
      <c r="CR40" s="293"/>
      <c r="CS40" s="292"/>
      <c r="CT40" s="89"/>
      <c r="CU40" s="292"/>
      <c r="CV40" s="292"/>
      <c r="CW40" s="293"/>
      <c r="CX40" s="292"/>
      <c r="CY40" s="89"/>
      <c r="CZ40" s="292"/>
      <c r="DA40" s="292"/>
      <c r="DB40" s="293"/>
      <c r="DC40" s="292"/>
      <c r="DD40" s="89"/>
      <c r="DE40" s="292"/>
      <c r="DF40" s="292"/>
      <c r="DG40" s="293"/>
      <c r="DH40" s="292"/>
      <c r="DI40" s="89"/>
      <c r="DJ40" s="292"/>
      <c r="DK40" s="292"/>
      <c r="DL40" s="293"/>
      <c r="DM40" s="292"/>
      <c r="DN40" s="89"/>
      <c r="DO40" s="292"/>
      <c r="DP40" s="292"/>
      <c r="DQ40" s="293"/>
      <c r="DR40" s="292"/>
      <c r="DS40" s="89"/>
      <c r="DT40" s="292"/>
      <c r="DU40" s="292"/>
      <c r="DV40" s="293"/>
      <c r="DW40" s="292"/>
      <c r="DX40" s="89"/>
      <c r="DY40" s="292"/>
      <c r="DZ40" s="292"/>
      <c r="EA40" s="293"/>
      <c r="EB40" s="292"/>
      <c r="EC40" s="89"/>
      <c r="ED40" s="292"/>
      <c r="EE40" s="292"/>
      <c r="EF40" s="293"/>
      <c r="EG40" s="292"/>
      <c r="EH40" s="89"/>
      <c r="EI40" s="292"/>
      <c r="EJ40" s="292"/>
      <c r="EK40" s="293"/>
      <c r="EL40" s="292"/>
      <c r="EM40" s="89"/>
      <c r="EN40" s="292"/>
      <c r="EO40" s="292"/>
      <c r="EP40" s="293"/>
      <c r="EQ40" s="292"/>
      <c r="ER40" s="89"/>
      <c r="ES40" s="292"/>
      <c r="ET40" s="292"/>
      <c r="EU40" s="293"/>
      <c r="EV40" s="292"/>
      <c r="EW40" s="89"/>
      <c r="EX40" s="292"/>
      <c r="EY40" s="292"/>
      <c r="EZ40" s="293"/>
      <c r="FA40" s="292"/>
      <c r="FB40" s="133"/>
      <c r="FC40" s="292"/>
      <c r="FD40" s="292"/>
      <c r="FE40" s="293"/>
      <c r="FF40" s="292"/>
      <c r="FG40" s="141"/>
      <c r="FH40" s="292"/>
      <c r="FI40" s="292"/>
      <c r="FJ40" s="293"/>
      <c r="FK40" s="292"/>
      <c r="FL40" s="141"/>
      <c r="FM40" s="292"/>
      <c r="FN40" s="292"/>
      <c r="FO40" s="293"/>
      <c r="FP40" s="292"/>
      <c r="FQ40" s="89"/>
      <c r="FR40" s="292"/>
      <c r="FS40" s="292"/>
      <c r="FT40" s="293"/>
      <c r="FU40" s="292"/>
      <c r="FV40" s="89"/>
      <c r="FW40" s="292"/>
      <c r="FX40" s="292"/>
      <c r="FY40" s="293"/>
      <c r="FZ40" s="292"/>
      <c r="GA40" s="89"/>
      <c r="GB40" s="292"/>
      <c r="GC40" s="292"/>
      <c r="GD40" s="293"/>
      <c r="GE40" s="292"/>
      <c r="GF40" s="89"/>
      <c r="GG40" s="292"/>
      <c r="GH40" s="292"/>
      <c r="GI40" s="293"/>
      <c r="GJ40" s="292"/>
      <c r="GK40" s="89"/>
      <c r="GL40" s="292"/>
      <c r="GM40" s="292"/>
      <c r="GN40" s="293"/>
      <c r="GO40" s="292"/>
      <c r="GP40" s="89"/>
      <c r="GQ40" s="292"/>
      <c r="GR40" s="292"/>
      <c r="GS40" s="293"/>
      <c r="GT40" s="292"/>
      <c r="GU40" s="89"/>
      <c r="GV40" s="292"/>
      <c r="GW40" s="292"/>
      <c r="GX40" s="293"/>
      <c r="GY40" s="292"/>
      <c r="GZ40" s="89"/>
      <c r="HA40" s="292"/>
      <c r="HB40" s="292"/>
      <c r="HC40" s="293"/>
      <c r="HD40" s="292"/>
      <c r="HE40" s="89"/>
      <c r="HF40" s="292"/>
      <c r="HG40" s="292"/>
      <c r="HH40" s="293"/>
      <c r="HI40" s="292"/>
      <c r="HJ40" s="89"/>
      <c r="HK40" s="292"/>
      <c r="HL40" s="292"/>
      <c r="HM40" s="293"/>
      <c r="HN40" s="292"/>
      <c r="HO40" s="89"/>
      <c r="HP40" s="292"/>
      <c r="HQ40" s="292"/>
      <c r="HR40" s="293"/>
      <c r="HS40" s="292"/>
      <c r="HT40" s="89"/>
      <c r="HU40" s="292"/>
      <c r="HV40" s="292"/>
      <c r="HW40" s="293"/>
      <c r="HX40" s="292"/>
      <c r="HY40" s="89"/>
      <c r="HZ40" s="292"/>
      <c r="IA40" s="292"/>
      <c r="IB40" s="293"/>
      <c r="IC40" s="292"/>
      <c r="ID40" s="89"/>
      <c r="IE40" s="292"/>
      <c r="IF40" s="292"/>
      <c r="IG40" s="293"/>
      <c r="IH40" s="292"/>
      <c r="II40" s="89"/>
      <c r="IJ40" s="292"/>
      <c r="IK40" s="292"/>
      <c r="IL40" s="293"/>
      <c r="IM40" s="292"/>
      <c r="IN40" s="89"/>
      <c r="IO40" s="292"/>
      <c r="IP40" s="292"/>
      <c r="IQ40" s="293"/>
      <c r="IR40" s="292"/>
      <c r="IS40" s="89"/>
      <c r="IT40" s="292"/>
      <c r="IU40" s="292"/>
      <c r="IV40" s="293"/>
      <c r="IW40" s="292"/>
      <c r="IX40" s="89"/>
      <c r="IY40" s="292"/>
      <c r="IZ40" s="292"/>
      <c r="JA40" s="293"/>
      <c r="JB40" s="292"/>
      <c r="JC40" s="109"/>
      <c r="JD40" s="294"/>
      <c r="JE40" s="295"/>
      <c r="JF40" s="296"/>
      <c r="JG40" s="293"/>
    </row>
    <row r="41" spans="3:267">
      <c r="C41" s="291" t="s">
        <v>43</v>
      </c>
      <c r="D41" s="292"/>
      <c r="E41" s="292"/>
      <c r="F41" s="293"/>
      <c r="G41" s="292"/>
      <c r="H41" s="89"/>
      <c r="I41" s="292"/>
      <c r="J41" s="292"/>
      <c r="K41" s="293"/>
      <c r="L41" s="292"/>
      <c r="M41" s="89"/>
      <c r="N41" s="292">
        <f>N10+N12+N14+N18+N22+N25+N26</f>
        <v>439530.41000000003</v>
      </c>
      <c r="O41" s="292">
        <f>O10+O12+O14+O18+O22+O25+O26</f>
        <v>318504.71350000001</v>
      </c>
      <c r="P41" s="78">
        <f t="shared" si="144"/>
        <v>0.72464772915257447</v>
      </c>
      <c r="Q41" s="292">
        <f>Q10+Q12+Q14+Q18+Q22+Q25+Q26</f>
        <v>328751.74000000005</v>
      </c>
      <c r="R41" s="89">
        <f t="shared" si="145"/>
        <v>0.74796130715961162</v>
      </c>
      <c r="S41" s="292">
        <f>S10+S12+S14+S18+S22+S25+S26</f>
        <v>439612.12</v>
      </c>
      <c r="T41" s="292">
        <f>T10+T12+T14+T18+T22+T25+T26</f>
        <v>342949.60609999998</v>
      </c>
      <c r="U41" s="78">
        <f t="shared" si="146"/>
        <v>0.78011863298946349</v>
      </c>
      <c r="V41" s="292">
        <f>V10+V12+V14+V18+V22+V25+V26</f>
        <v>354472.43</v>
      </c>
      <c r="W41" s="89">
        <f t="shared" si="147"/>
        <v>0.80632997561577691</v>
      </c>
      <c r="X41" s="292">
        <f>X10+X12+X14+X18+X22+X25+X26</f>
        <v>495526.34000000008</v>
      </c>
      <c r="Y41" s="292">
        <f>Y10+Y12+Y14+Y18+Y22+Y25+Y26</f>
        <v>414863.37099999993</v>
      </c>
      <c r="Z41" s="78">
        <f t="shared" si="148"/>
        <v>0.83721759573870458</v>
      </c>
      <c r="AA41" s="292">
        <f>AA10+AA12+AA14+AA18+AA22+AA25+AA26</f>
        <v>430582.31</v>
      </c>
      <c r="AB41" s="89">
        <f t="shared" si="149"/>
        <v>0.86893929795941816</v>
      </c>
      <c r="AC41" s="292">
        <f>AC10+AC12+AC14+AC18+AC22+AC25+AC26</f>
        <v>709504.86999999988</v>
      </c>
      <c r="AD41" s="292">
        <f>AD10+AD12+AD14+AD18+AD22+AD25+AD26</f>
        <v>690040.12489999994</v>
      </c>
      <c r="AE41" s="78">
        <f t="shared" si="150"/>
        <v>0.97256573432681304</v>
      </c>
      <c r="AF41" s="292">
        <f>AF10+AF12+AF14+AF18+AF22+AF25+AF26</f>
        <v>504901.93</v>
      </c>
      <c r="AG41" s="89">
        <f t="shared" si="151"/>
        <v>0.71162574261118194</v>
      </c>
      <c r="AH41" s="292">
        <f>AH10+AH12+AH14+AH18+AH22+AH25+AH26</f>
        <v>444885.4800000001</v>
      </c>
      <c r="AI41" s="292">
        <f>AI10+AI12+AI14+AI18+AI22+AI25+AI26</f>
        <v>266931.288</v>
      </c>
      <c r="AJ41" s="78">
        <f t="shared" si="152"/>
        <v>0.59999999999999987</v>
      </c>
      <c r="AK41" s="292">
        <f>AK10+AK12+AK14+AK18+AK22+AK25+AK26</f>
        <v>365293.97000000003</v>
      </c>
      <c r="AL41" s="89">
        <f t="shared" si="153"/>
        <v>0.82109663367750274</v>
      </c>
      <c r="AM41" s="292">
        <f>AM10+AM12+AM14+AM18+AM22+AM25+AM26</f>
        <v>452242.09</v>
      </c>
      <c r="AN41" s="292">
        <f>AN10+AN12+AN14+AN18+AN22+AN25+AN26</f>
        <v>271345.25399999996</v>
      </c>
      <c r="AO41" s="78">
        <f t="shared" si="154"/>
        <v>0.59999999999999987</v>
      </c>
      <c r="AP41" s="292">
        <f>AP10+AP12+AP14+AP18+AP22+AP25+AP26</f>
        <v>425239.32000000007</v>
      </c>
      <c r="AQ41" s="89">
        <f t="shared" si="155"/>
        <v>0.94029133820781707</v>
      </c>
      <c r="AR41" s="292">
        <f>AR10+AR12+AR14+AR18+AR22+AR25+AR26</f>
        <v>456470.1</v>
      </c>
      <c r="AS41" s="292">
        <f>AS10+AS12+AS14+AS18+AS22+AS25+AS26</f>
        <v>385619.24999999994</v>
      </c>
      <c r="AT41" s="78">
        <f t="shared" si="156"/>
        <v>0.84478534300494157</v>
      </c>
      <c r="AU41" s="292">
        <f>AU10+AU12+AU14+AU18+AU22+AU25+AU26</f>
        <v>419172.01</v>
      </c>
      <c r="AV41" s="89">
        <f t="shared" si="157"/>
        <v>0.91829017935676405</v>
      </c>
      <c r="AW41" s="292">
        <f>AW10+AW12+AW14+AW18+AW22+AW25+AW26</f>
        <v>477312.39999999997</v>
      </c>
      <c r="AX41" s="292">
        <f>AX10+AX12+AX14+AX18+AX22+AX25+AX26</f>
        <v>404165.21250000002</v>
      </c>
      <c r="AY41" s="293"/>
      <c r="AZ41" s="292">
        <f>AZ10+AZ12+AZ14+AZ18+AZ22+AZ25+AZ26</f>
        <v>407395.74999999994</v>
      </c>
      <c r="BA41" s="89"/>
      <c r="BB41" s="292">
        <f>BB10+BB12+BB14+BB18+BB22+BB25+BB26</f>
        <v>332458.61000000004</v>
      </c>
      <c r="BC41" s="292">
        <f>BC10+BC12+BC14+BC18+BC22+BC25+BC26</f>
        <v>247977.04699999996</v>
      </c>
      <c r="BD41" s="293"/>
      <c r="BE41" s="292">
        <f>BE10+BE12+BE14+BE18+BE22+BE25+BE26</f>
        <v>473248.18999999994</v>
      </c>
      <c r="BF41" s="89"/>
      <c r="BG41" s="292">
        <f>BG10+BG12+BG14+BG18+BG22+BG25+BG26</f>
        <v>196748.88</v>
      </c>
      <c r="BH41" s="292">
        <f>BH10+BH12+BH14+BH18+BH22+BH25+BH26</f>
        <v>147561.66</v>
      </c>
      <c r="BI41" s="293"/>
      <c r="BJ41" s="292">
        <f>BJ10+BJ12+BJ14+BJ18+BJ22+BJ25+BJ26</f>
        <v>0</v>
      </c>
      <c r="BK41" s="89"/>
      <c r="BL41" s="292">
        <f>BL10+BL12+BL14+BL18+BL22+BL25+BL26</f>
        <v>187129.54</v>
      </c>
      <c r="BM41" s="292">
        <f>BM10+BM12+BM14+BM18+BM22+BM25+BM26</f>
        <v>140347.15500000003</v>
      </c>
      <c r="BN41" s="293"/>
      <c r="BO41" s="292"/>
      <c r="BP41" s="89"/>
      <c r="BQ41" s="292"/>
      <c r="BR41" s="292"/>
      <c r="BS41" s="293"/>
      <c r="BT41" s="292"/>
      <c r="BU41" s="89"/>
      <c r="BV41" s="292"/>
      <c r="BW41" s="292"/>
      <c r="BX41" s="293"/>
      <c r="BY41" s="292"/>
      <c r="BZ41" s="89"/>
      <c r="CA41" s="292"/>
      <c r="CB41" s="292"/>
      <c r="CC41" s="293"/>
      <c r="CD41" s="292"/>
      <c r="CE41" s="89"/>
      <c r="CF41" s="292"/>
      <c r="CG41" s="292"/>
      <c r="CH41" s="293"/>
      <c r="CI41" s="292"/>
      <c r="CJ41" s="89"/>
      <c r="CK41" s="292"/>
      <c r="CL41" s="292"/>
      <c r="CM41" s="293"/>
      <c r="CN41" s="292"/>
      <c r="CO41" s="89"/>
      <c r="CP41" s="292"/>
      <c r="CQ41" s="292"/>
      <c r="CR41" s="293"/>
      <c r="CS41" s="292"/>
      <c r="CT41" s="89"/>
      <c r="CU41" s="292"/>
      <c r="CV41" s="292"/>
      <c r="CW41" s="293"/>
      <c r="CX41" s="292"/>
      <c r="CY41" s="89"/>
      <c r="CZ41" s="292"/>
      <c r="DA41" s="292"/>
      <c r="DB41" s="293"/>
      <c r="DC41" s="292"/>
      <c r="DD41" s="89"/>
      <c r="DE41" s="292"/>
      <c r="DF41" s="292"/>
      <c r="DG41" s="293"/>
      <c r="DH41" s="292"/>
      <c r="DI41" s="89"/>
      <c r="DJ41" s="292"/>
      <c r="DK41" s="292"/>
      <c r="DL41" s="293"/>
      <c r="DM41" s="292"/>
      <c r="DN41" s="89"/>
      <c r="DO41" s="292"/>
      <c r="DP41" s="292"/>
      <c r="DQ41" s="293"/>
      <c r="DR41" s="292"/>
      <c r="DS41" s="89"/>
      <c r="DT41" s="292"/>
      <c r="DU41" s="292"/>
      <c r="DV41" s="293"/>
      <c r="DW41" s="292"/>
      <c r="DX41" s="89"/>
      <c r="DY41" s="292"/>
      <c r="DZ41" s="292"/>
      <c r="EA41" s="293"/>
      <c r="EB41" s="292"/>
      <c r="EC41" s="89"/>
      <c r="ED41" s="292"/>
      <c r="EE41" s="292"/>
      <c r="EF41" s="293"/>
      <c r="EG41" s="292"/>
      <c r="EH41" s="89"/>
      <c r="EI41" s="292"/>
      <c r="EJ41" s="292"/>
      <c r="EK41" s="293"/>
      <c r="EL41" s="292"/>
      <c r="EM41" s="89"/>
      <c r="EN41" s="292"/>
      <c r="EO41" s="292"/>
      <c r="EP41" s="293"/>
      <c r="EQ41" s="292"/>
      <c r="ER41" s="89"/>
      <c r="ES41" s="292"/>
      <c r="ET41" s="292"/>
      <c r="EU41" s="293"/>
      <c r="EV41" s="292"/>
      <c r="EW41" s="89"/>
      <c r="EX41" s="292"/>
      <c r="EY41" s="292"/>
      <c r="EZ41" s="293"/>
      <c r="FA41" s="292"/>
      <c r="FB41" s="133"/>
      <c r="FC41" s="292"/>
      <c r="FD41" s="292"/>
      <c r="FE41" s="293"/>
      <c r="FF41" s="292"/>
      <c r="FG41" s="141"/>
      <c r="FH41" s="292"/>
      <c r="FI41" s="292"/>
      <c r="FJ41" s="293"/>
      <c r="FK41" s="292"/>
      <c r="FL41" s="141"/>
      <c r="FM41" s="292"/>
      <c r="FN41" s="292"/>
      <c r="FO41" s="293"/>
      <c r="FP41" s="292"/>
      <c r="FQ41" s="89"/>
      <c r="FR41" s="292"/>
      <c r="FS41" s="292"/>
      <c r="FT41" s="293"/>
      <c r="FU41" s="292"/>
      <c r="FV41" s="89"/>
      <c r="FW41" s="292"/>
      <c r="FX41" s="292"/>
      <c r="FY41" s="293"/>
      <c r="FZ41" s="292"/>
      <c r="GA41" s="89"/>
      <c r="GB41" s="292"/>
      <c r="GC41" s="292"/>
      <c r="GD41" s="293"/>
      <c r="GE41" s="292"/>
      <c r="GF41" s="89"/>
      <c r="GG41" s="292"/>
      <c r="GH41" s="292"/>
      <c r="GI41" s="293"/>
      <c r="GJ41" s="292"/>
      <c r="GK41" s="89"/>
      <c r="GL41" s="292"/>
      <c r="GM41" s="292"/>
      <c r="GN41" s="293"/>
      <c r="GO41" s="292"/>
      <c r="GP41" s="89"/>
      <c r="GQ41" s="292"/>
      <c r="GR41" s="292"/>
      <c r="GS41" s="293"/>
      <c r="GT41" s="292"/>
      <c r="GU41" s="89"/>
      <c r="GV41" s="292"/>
      <c r="GW41" s="292"/>
      <c r="GX41" s="293"/>
      <c r="GY41" s="292"/>
      <c r="GZ41" s="89"/>
      <c r="HA41" s="292"/>
      <c r="HB41" s="292"/>
      <c r="HC41" s="293"/>
      <c r="HD41" s="292"/>
      <c r="HE41" s="89"/>
      <c r="HF41" s="292"/>
      <c r="HG41" s="292"/>
      <c r="HH41" s="293"/>
      <c r="HI41" s="292"/>
      <c r="HJ41" s="89"/>
      <c r="HK41" s="292"/>
      <c r="HL41" s="292"/>
      <c r="HM41" s="293"/>
      <c r="HN41" s="292"/>
      <c r="HO41" s="89"/>
      <c r="HP41" s="292"/>
      <c r="HQ41" s="292"/>
      <c r="HR41" s="293"/>
      <c r="HS41" s="292"/>
      <c r="HT41" s="89"/>
      <c r="HU41" s="292"/>
      <c r="HV41" s="292"/>
      <c r="HW41" s="293"/>
      <c r="HX41" s="292"/>
      <c r="HY41" s="89"/>
      <c r="HZ41" s="292"/>
      <c r="IA41" s="292"/>
      <c r="IB41" s="293"/>
      <c r="IC41" s="292"/>
      <c r="ID41" s="89"/>
      <c r="IE41" s="292"/>
      <c r="IF41" s="292"/>
      <c r="IG41" s="293"/>
      <c r="IH41" s="292"/>
      <c r="II41" s="89"/>
      <c r="IJ41" s="292"/>
      <c r="IK41" s="292"/>
      <c r="IL41" s="293"/>
      <c r="IM41" s="292"/>
      <c r="IN41" s="89"/>
      <c r="IO41" s="292"/>
      <c r="IP41" s="292"/>
      <c r="IQ41" s="293"/>
      <c r="IR41" s="292"/>
      <c r="IS41" s="89"/>
      <c r="IT41" s="292"/>
      <c r="IU41" s="292"/>
      <c r="IV41" s="293"/>
      <c r="IW41" s="292"/>
      <c r="IX41" s="89"/>
      <c r="IY41" s="292"/>
      <c r="IZ41" s="292"/>
      <c r="JA41" s="293"/>
      <c r="JB41" s="292"/>
      <c r="JC41" s="109"/>
      <c r="JD41" s="294"/>
      <c r="JE41" s="295"/>
      <c r="JF41" s="296"/>
      <c r="JG41" s="293"/>
    </row>
    <row r="42" spans="3:267">
      <c r="C42" s="291" t="s">
        <v>44</v>
      </c>
      <c r="D42" s="292"/>
      <c r="E42" s="292"/>
      <c r="F42" s="293"/>
      <c r="G42" s="292"/>
      <c r="H42" s="89"/>
      <c r="I42" s="292"/>
      <c r="J42" s="292"/>
      <c r="K42" s="293"/>
      <c r="L42" s="292"/>
      <c r="M42" s="89"/>
      <c r="N42" s="292">
        <f>N13+N20+N21+N23+N24</f>
        <v>409202.41000000003</v>
      </c>
      <c r="O42" s="292">
        <f>O13+O20+O21+O23+O24</f>
        <v>266780.89899999998</v>
      </c>
      <c r="P42" s="78">
        <f t="shared" si="144"/>
        <v>0.65195339147684872</v>
      </c>
      <c r="Q42" s="292">
        <f>Q13+Q20+Q21+Q23+Q24</f>
        <v>271289.7</v>
      </c>
      <c r="R42" s="89">
        <f t="shared" si="145"/>
        <v>0.66297190185170218</v>
      </c>
      <c r="S42" s="292">
        <f>S13+S20+S21+S23+S24</f>
        <v>413557.18000000005</v>
      </c>
      <c r="T42" s="292">
        <f>T13+T20+T21+T23+T24</f>
        <v>300271.12070000003</v>
      </c>
      <c r="U42" s="78">
        <f t="shared" si="146"/>
        <v>0.72606917548862282</v>
      </c>
      <c r="V42" s="292">
        <f>V13+V20+V21+V23+V24</f>
        <v>279190.96999999997</v>
      </c>
      <c r="W42" s="89">
        <f t="shared" si="147"/>
        <v>0.67509641592971481</v>
      </c>
      <c r="X42" s="292">
        <f>X13+X20+X21+X23+X24</f>
        <v>417258.95</v>
      </c>
      <c r="Y42" s="292">
        <f>Y13+Y20+Y21+Y23+Y24</f>
        <v>326862.22949999996</v>
      </c>
      <c r="Z42" s="78">
        <f t="shared" si="148"/>
        <v>0.78335582616022958</v>
      </c>
      <c r="AA42" s="292">
        <f>AA13+AA20+AA21+AA23+AA24</f>
        <v>324554.70999999996</v>
      </c>
      <c r="AB42" s="89">
        <f t="shared" si="149"/>
        <v>0.77782564040867175</v>
      </c>
      <c r="AC42" s="292">
        <f>AC13+AC20+AC21+AC23+AC24</f>
        <v>665716.26</v>
      </c>
      <c r="AD42" s="292">
        <f>AD13+AD20+AD21+AD23+AD24</f>
        <v>563802.571</v>
      </c>
      <c r="AE42" s="78">
        <f t="shared" si="150"/>
        <v>0.84691122160663457</v>
      </c>
      <c r="AF42" s="292">
        <f>AF13+AF20+AF21+AF23+AF24</f>
        <v>360142.31999999995</v>
      </c>
      <c r="AG42" s="89">
        <f t="shared" si="151"/>
        <v>0.54098471321700925</v>
      </c>
      <c r="AH42" s="292">
        <f>AH13+AH20+AH21+AH23+AH24</f>
        <v>393184.04000000004</v>
      </c>
      <c r="AI42" s="292">
        <f>AI13+AI20+AI21+AI23+AI24</f>
        <v>235910.42399999997</v>
      </c>
      <c r="AJ42" s="78">
        <f t="shared" si="152"/>
        <v>0.59999999999999987</v>
      </c>
      <c r="AK42" s="292">
        <f>AK13+AK20+AK21+AK23+AK24</f>
        <v>239886.93</v>
      </c>
      <c r="AL42" s="89">
        <f t="shared" si="153"/>
        <v>0.61011359972800516</v>
      </c>
      <c r="AM42" s="292">
        <f>AM13+AM20+AM21+AM23+AM24</f>
        <v>403979.15</v>
      </c>
      <c r="AN42" s="292">
        <f>AN13+AN20+AN21+AN23+AN24</f>
        <v>242387.49</v>
      </c>
      <c r="AO42" s="78">
        <f t="shared" si="154"/>
        <v>0.6</v>
      </c>
      <c r="AP42" s="292">
        <f>AP13+AP20+AP21+AP23+AP24</f>
        <v>321024.7</v>
      </c>
      <c r="AQ42" s="89">
        <f t="shared" si="155"/>
        <v>0.79465660542134409</v>
      </c>
      <c r="AR42" s="292">
        <f>AR13+AR20+AR21+AR23+AR24</f>
        <v>426987.54999999993</v>
      </c>
      <c r="AS42" s="292">
        <f>AS13+AS20+AS21+AS23+AS24</f>
        <v>320240.66249999998</v>
      </c>
      <c r="AT42" s="78">
        <f t="shared" si="156"/>
        <v>0.75000000000000011</v>
      </c>
      <c r="AU42" s="292">
        <f>AU13+AU20+AU21+AU23+AU24</f>
        <v>294275.64</v>
      </c>
      <c r="AV42" s="89">
        <f t="shared" si="157"/>
        <v>0.68919021175207584</v>
      </c>
      <c r="AW42" s="292">
        <f>AW13+AW20+AW21+AW23+AW24</f>
        <v>441831.68000000005</v>
      </c>
      <c r="AX42" s="292">
        <f>AX13+AX20+AX21+AX23+AX24</f>
        <v>331373.75999999995</v>
      </c>
      <c r="AY42" s="293"/>
      <c r="AZ42" s="292">
        <f>AZ13+AZ20+AZ21+AZ23+AZ24</f>
        <v>287742.85000000003</v>
      </c>
      <c r="BA42" s="89"/>
      <c r="BB42" s="292">
        <f>BB13+BB20+BB21+BB23+BB24</f>
        <v>347037</v>
      </c>
      <c r="BC42" s="292">
        <f>BC13+BC20+BC21+BC23+BC24</f>
        <v>242925.89999999997</v>
      </c>
      <c r="BD42" s="293"/>
      <c r="BE42" s="292">
        <f>BE13+BE20+BE21+BE23+BE24</f>
        <v>349653.42</v>
      </c>
      <c r="BF42" s="89"/>
      <c r="BG42" s="292">
        <f>BG13+BG20+BG21+BG23+BG24</f>
        <v>252337.18000000002</v>
      </c>
      <c r="BH42" s="292">
        <f>BH13+BH20+BH21+BH23+BH24</f>
        <v>189252.88500000001</v>
      </c>
      <c r="BI42" s="293"/>
      <c r="BJ42" s="292">
        <f>BJ13+BJ20+BJ21+BJ23+BJ24</f>
        <v>0</v>
      </c>
      <c r="BK42" s="89"/>
      <c r="BL42" s="292">
        <f>BL13+BL20+BL21+BL23+BL24</f>
        <v>285190.98</v>
      </c>
      <c r="BM42" s="292">
        <f>BM13+BM20+BM21+BM23+BM24</f>
        <v>213893.23499999999</v>
      </c>
      <c r="BN42" s="293"/>
      <c r="BO42" s="292"/>
      <c r="BP42" s="89"/>
      <c r="BQ42" s="292"/>
      <c r="BR42" s="292"/>
      <c r="BS42" s="293"/>
      <c r="BT42" s="292"/>
      <c r="BU42" s="89"/>
      <c r="BV42" s="292"/>
      <c r="BW42" s="292"/>
      <c r="BX42" s="293"/>
      <c r="BY42" s="292"/>
      <c r="BZ42" s="89"/>
      <c r="CA42" s="292"/>
      <c r="CB42" s="292"/>
      <c r="CC42" s="293"/>
      <c r="CD42" s="292"/>
      <c r="CE42" s="89"/>
      <c r="CF42" s="292"/>
      <c r="CG42" s="292"/>
      <c r="CH42" s="293"/>
      <c r="CI42" s="292"/>
      <c r="CJ42" s="89"/>
      <c r="CK42" s="292"/>
      <c r="CL42" s="292"/>
      <c r="CM42" s="293"/>
      <c r="CN42" s="292"/>
      <c r="CO42" s="89"/>
      <c r="CP42" s="292"/>
      <c r="CQ42" s="292"/>
      <c r="CR42" s="293"/>
      <c r="CS42" s="292"/>
      <c r="CT42" s="89"/>
      <c r="CU42" s="292"/>
      <c r="CV42" s="292"/>
      <c r="CW42" s="293"/>
      <c r="CX42" s="292"/>
      <c r="CY42" s="89"/>
      <c r="CZ42" s="292"/>
      <c r="DA42" s="292"/>
      <c r="DB42" s="293"/>
      <c r="DC42" s="292"/>
      <c r="DD42" s="89"/>
      <c r="DE42" s="292"/>
      <c r="DF42" s="292"/>
      <c r="DG42" s="293"/>
      <c r="DH42" s="292"/>
      <c r="DI42" s="89"/>
      <c r="DJ42" s="292"/>
      <c r="DK42" s="292"/>
      <c r="DL42" s="293"/>
      <c r="DM42" s="292"/>
      <c r="DN42" s="89"/>
      <c r="DO42" s="292"/>
      <c r="DP42" s="292"/>
      <c r="DQ42" s="293"/>
      <c r="DR42" s="292"/>
      <c r="DS42" s="89"/>
      <c r="DT42" s="292"/>
      <c r="DU42" s="292"/>
      <c r="DV42" s="293"/>
      <c r="DW42" s="292"/>
      <c r="DX42" s="89"/>
      <c r="DY42" s="292"/>
      <c r="DZ42" s="292"/>
      <c r="EA42" s="293"/>
      <c r="EB42" s="292"/>
      <c r="EC42" s="89"/>
      <c r="ED42" s="292"/>
      <c r="EE42" s="292"/>
      <c r="EF42" s="293"/>
      <c r="EG42" s="292"/>
      <c r="EH42" s="89"/>
      <c r="EI42" s="292"/>
      <c r="EJ42" s="292"/>
      <c r="EK42" s="293"/>
      <c r="EL42" s="292"/>
      <c r="EM42" s="89"/>
      <c r="EN42" s="292"/>
      <c r="EO42" s="292"/>
      <c r="EP42" s="293"/>
      <c r="EQ42" s="292"/>
      <c r="ER42" s="89"/>
      <c r="ES42" s="292"/>
      <c r="ET42" s="292"/>
      <c r="EU42" s="293"/>
      <c r="EV42" s="292"/>
      <c r="EW42" s="89"/>
      <c r="EX42" s="292"/>
      <c r="EY42" s="292"/>
      <c r="EZ42" s="293"/>
      <c r="FA42" s="292"/>
      <c r="FB42" s="133"/>
      <c r="FC42" s="292"/>
      <c r="FD42" s="292"/>
      <c r="FE42" s="293"/>
      <c r="FF42" s="292"/>
      <c r="FG42" s="141"/>
      <c r="FH42" s="292"/>
      <c r="FI42" s="292"/>
      <c r="FJ42" s="293"/>
      <c r="FK42" s="292"/>
      <c r="FL42" s="141"/>
      <c r="FM42" s="292"/>
      <c r="FN42" s="292"/>
      <c r="FO42" s="293"/>
      <c r="FP42" s="292"/>
      <c r="FQ42" s="89"/>
      <c r="FR42" s="292"/>
      <c r="FS42" s="292"/>
      <c r="FT42" s="293"/>
      <c r="FU42" s="292"/>
      <c r="FV42" s="89"/>
      <c r="FW42" s="292"/>
      <c r="FX42" s="292"/>
      <c r="FY42" s="293"/>
      <c r="FZ42" s="292"/>
      <c r="GA42" s="89"/>
      <c r="GB42" s="292"/>
      <c r="GC42" s="292"/>
      <c r="GD42" s="293"/>
      <c r="GE42" s="292"/>
      <c r="GF42" s="89"/>
      <c r="GG42" s="292"/>
      <c r="GH42" s="292"/>
      <c r="GI42" s="293"/>
      <c r="GJ42" s="292"/>
      <c r="GK42" s="89"/>
      <c r="GL42" s="292"/>
      <c r="GM42" s="292"/>
      <c r="GN42" s="293"/>
      <c r="GO42" s="292"/>
      <c r="GP42" s="89"/>
      <c r="GQ42" s="292"/>
      <c r="GR42" s="292"/>
      <c r="GS42" s="293"/>
      <c r="GT42" s="292"/>
      <c r="GU42" s="89"/>
      <c r="GV42" s="292"/>
      <c r="GW42" s="292"/>
      <c r="GX42" s="293"/>
      <c r="GY42" s="292"/>
      <c r="GZ42" s="89"/>
      <c r="HA42" s="292"/>
      <c r="HB42" s="292"/>
      <c r="HC42" s="293"/>
      <c r="HD42" s="292"/>
      <c r="HE42" s="89"/>
      <c r="HF42" s="292"/>
      <c r="HG42" s="292"/>
      <c r="HH42" s="293"/>
      <c r="HI42" s="292"/>
      <c r="HJ42" s="89"/>
      <c r="HK42" s="292"/>
      <c r="HL42" s="292"/>
      <c r="HM42" s="293"/>
      <c r="HN42" s="292"/>
      <c r="HO42" s="89"/>
      <c r="HP42" s="292"/>
      <c r="HQ42" s="292"/>
      <c r="HR42" s="293"/>
      <c r="HS42" s="292"/>
      <c r="HT42" s="89"/>
      <c r="HU42" s="292"/>
      <c r="HV42" s="292"/>
      <c r="HW42" s="293"/>
      <c r="HX42" s="292"/>
      <c r="HY42" s="89"/>
      <c r="HZ42" s="292"/>
      <c r="IA42" s="292"/>
      <c r="IB42" s="293"/>
      <c r="IC42" s="292"/>
      <c r="ID42" s="89"/>
      <c r="IE42" s="292"/>
      <c r="IF42" s="292"/>
      <c r="IG42" s="293"/>
      <c r="IH42" s="292"/>
      <c r="II42" s="89"/>
      <c r="IJ42" s="292"/>
      <c r="IK42" s="292"/>
      <c r="IL42" s="293"/>
      <c r="IM42" s="292"/>
      <c r="IN42" s="89"/>
      <c r="IO42" s="292"/>
      <c r="IP42" s="292"/>
      <c r="IQ42" s="293"/>
      <c r="IR42" s="292"/>
      <c r="IS42" s="89"/>
      <c r="IT42" s="292"/>
      <c r="IU42" s="292"/>
      <c r="IV42" s="293"/>
      <c r="IW42" s="292"/>
      <c r="IX42" s="89"/>
      <c r="IY42" s="292"/>
      <c r="IZ42" s="292"/>
      <c r="JA42" s="293"/>
      <c r="JB42" s="292"/>
      <c r="JC42" s="109"/>
      <c r="JD42" s="294"/>
      <c r="JE42" s="295"/>
      <c r="JF42" s="296"/>
      <c r="JG42" s="293"/>
    </row>
    <row r="43" spans="3:267">
      <c r="C43" s="85" t="s">
        <v>235</v>
      </c>
      <c r="D43" s="82">
        <f>SUM(D27:D36)</f>
        <v>956617.89999999991</v>
      </c>
      <c r="E43" s="82">
        <f>SUM(E27:E36)</f>
        <v>487358.16600000003</v>
      </c>
      <c r="F43" s="11">
        <f>E43/D43</f>
        <v>0.5094595930099155</v>
      </c>
      <c r="G43" s="82">
        <f>SUM(G27:G36)</f>
        <v>658314.52999999991</v>
      </c>
      <c r="H43" s="89">
        <f>G43/D43</f>
        <v>0.68816873487314001</v>
      </c>
      <c r="I43" s="82">
        <f>SUM(I27:I36)</f>
        <v>970267.46</v>
      </c>
      <c r="J43" s="82">
        <f>SUM(J27:J36)</f>
        <v>706677.90300000017</v>
      </c>
      <c r="K43" s="11">
        <f>J43/I43</f>
        <v>0.72833309590739048</v>
      </c>
      <c r="L43" s="82">
        <f>SUM(L27:L36)</f>
        <v>607802.02</v>
      </c>
      <c r="M43" s="89">
        <f>L43/I43</f>
        <v>0.62642729459359592</v>
      </c>
      <c r="N43" s="82">
        <f>SUM(N27:N36)</f>
        <v>713418.65000000014</v>
      </c>
      <c r="O43" s="82">
        <f>SUM(O27:O36)</f>
        <v>569195.25800000003</v>
      </c>
      <c r="P43" s="305">
        <f>O43/N43</f>
        <v>0.79784185344748126</v>
      </c>
      <c r="Q43" s="82">
        <f>SUM(Q27:Q36)</f>
        <v>606427.01</v>
      </c>
      <c r="R43" s="89">
        <f>Q43/N43</f>
        <v>0.85002965649972828</v>
      </c>
      <c r="S43" s="82">
        <f>SUM(S27:S36)</f>
        <v>900298.98</v>
      </c>
      <c r="T43" s="82">
        <f>SUM(T27:T36)</f>
        <v>710539.90689999983</v>
      </c>
      <c r="U43" s="78">
        <f>T43/S43</f>
        <v>0.78922660436647374</v>
      </c>
      <c r="V43" s="82">
        <f>SUM(V27:V36)</f>
        <v>600740.9</v>
      </c>
      <c r="W43" s="305">
        <f t="shared" si="147"/>
        <v>0.6672682223854125</v>
      </c>
      <c r="X43" s="82">
        <f>SUM(X29:X36,X27)</f>
        <v>848537.95999999985</v>
      </c>
      <c r="Y43" s="82">
        <f>SUM(Y29:Y36,Y27)</f>
        <v>663693.51360000006</v>
      </c>
      <c r="Z43" s="78">
        <f>Y43/X43</f>
        <v>0.78216125251485524</v>
      </c>
      <c r="AA43" s="82">
        <f>SUM(AA29:AA36,AA27)</f>
        <v>625663.81999999995</v>
      </c>
      <c r="AB43" s="305">
        <f t="shared" si="149"/>
        <v>0.73734334760933984</v>
      </c>
      <c r="AC43" s="82">
        <f>SUM(AC29:AC36,AC27)</f>
        <v>1435255.2499999998</v>
      </c>
      <c r="AD43" s="82">
        <f>SUM(AD29:AD36,AD27)</f>
        <v>1070654.3035000002</v>
      </c>
      <c r="AE43" s="78">
        <f>AD43/AC43</f>
        <v>0.74596787122011943</v>
      </c>
      <c r="AF43" s="82">
        <f>SUM(AF29:AF36,AF27)</f>
        <v>803089.40999999992</v>
      </c>
      <c r="AG43" s="305">
        <f t="shared" si="151"/>
        <v>0.55954465939072517</v>
      </c>
      <c r="AH43" s="82">
        <f>SUM(AH29:AH36,AH27)</f>
        <v>925291.86</v>
      </c>
      <c r="AI43" s="82">
        <f>SUM(AI29:AI36,AI27)</f>
        <v>555175.11600000004</v>
      </c>
      <c r="AJ43" s="78">
        <f>AI43/AH43</f>
        <v>0.60000000000000009</v>
      </c>
      <c r="AK43" s="82">
        <f>SUM(AK29:AK36,AK27)</f>
        <v>560138.36</v>
      </c>
      <c r="AL43" s="89">
        <f t="shared" si="153"/>
        <v>0.60536397672405762</v>
      </c>
      <c r="AM43" s="82">
        <f>SUM(AM29:AM36,AM27)</f>
        <v>830993.92999999993</v>
      </c>
      <c r="AN43" s="82">
        <f>SUM(AN29:AN36,AN27)</f>
        <v>498596.35799999995</v>
      </c>
      <c r="AO43" s="78">
        <f t="shared" si="154"/>
        <v>0.6</v>
      </c>
      <c r="AP43" s="82">
        <f>SUM(AP29:AP36,AP27)</f>
        <v>559750.91</v>
      </c>
      <c r="AQ43" s="89">
        <f t="shared" si="155"/>
        <v>0.67359205620190277</v>
      </c>
      <c r="AR43" s="82">
        <f>SUM(AR29:AR36,AR27:AR28)</f>
        <v>1100716.3999999999</v>
      </c>
      <c r="AS43" s="82">
        <f>SUM(AS29:AS36,AS27:AS28)</f>
        <v>863833.27500000002</v>
      </c>
      <c r="AT43" s="78">
        <f t="shared" si="156"/>
        <v>0.78479186373529108</v>
      </c>
      <c r="AU43" s="82">
        <f>SUM(AU29:AU36,AU27:AU28)</f>
        <v>860081.03</v>
      </c>
      <c r="AV43" s="89">
        <f t="shared" si="157"/>
        <v>0.78138295204832064</v>
      </c>
      <c r="AW43" s="82">
        <f t="shared" ref="AW43:AX43" si="158">SUM(AW29:AW36,AW27:AW28)</f>
        <v>1242371.79</v>
      </c>
      <c r="AX43" s="82">
        <f t="shared" si="158"/>
        <v>982227.08250000002</v>
      </c>
      <c r="AY43" s="11">
        <f>AX43/AW43</f>
        <v>0.79060639528848287</v>
      </c>
      <c r="AZ43" s="82">
        <f>SUM(AZ29:AZ36,AZ27:AZ28)</f>
        <v>849928.78</v>
      </c>
      <c r="BA43" s="89">
        <f>AZ43/AW43</f>
        <v>0.68411790000479644</v>
      </c>
      <c r="BB43" s="82">
        <f t="shared" ref="BB43:BC43" si="159">SUM(BB29:BB36,BB27:BB28)</f>
        <v>743559.72</v>
      </c>
      <c r="BC43" s="82">
        <f t="shared" si="159"/>
        <v>535204.46499999985</v>
      </c>
      <c r="BD43" s="11">
        <f>BC43/BB43</f>
        <v>0.71978679130171264</v>
      </c>
      <c r="BE43" s="82">
        <f t="shared" ref="BE43" si="160">SUM(BE29:BE36,BE27:BE28)</f>
        <v>895235.49999999988</v>
      </c>
      <c r="BF43" s="89">
        <f>BE43/BB43</f>
        <v>1.2039860093551058</v>
      </c>
      <c r="BG43" s="82">
        <f t="shared" ref="BG43:BH43" si="161">SUM(BG29:BG36,BG27:BG28)</f>
        <v>349325.07999999996</v>
      </c>
      <c r="BH43" s="82">
        <f t="shared" si="161"/>
        <v>254056.6875</v>
      </c>
      <c r="BI43" s="11">
        <f>BH43/BG43</f>
        <v>0.7272786926721666</v>
      </c>
      <c r="BJ43" s="82">
        <f t="shared" ref="BJ43" si="162">SUM(BJ29:BJ36,BJ27:BJ28)</f>
        <v>0</v>
      </c>
      <c r="BK43" s="89">
        <f>BJ43/BG43</f>
        <v>0</v>
      </c>
      <c r="BL43" s="82">
        <f t="shared" ref="BL43:BM43" si="163">SUM(BL29:BL36,BL27:BL28)</f>
        <v>348084.51</v>
      </c>
      <c r="BM43" s="82">
        <f t="shared" si="163"/>
        <v>261063.38250000001</v>
      </c>
      <c r="BN43" s="11">
        <f>BM43/BL43</f>
        <v>0.75</v>
      </c>
      <c r="BO43" s="82">
        <f t="shared" ref="BO43" si="164">SUM(BO29:BO36,BO27:BO28)</f>
        <v>0</v>
      </c>
      <c r="BP43" s="89">
        <f>BO43/BL43</f>
        <v>0</v>
      </c>
      <c r="BQ43" s="82">
        <f t="shared" ref="BQ43:BR43" si="165">SUM(BQ29:BQ36,BQ27:BQ28)</f>
        <v>168081.71999999997</v>
      </c>
      <c r="BR43" s="82">
        <f t="shared" si="165"/>
        <v>588286.02</v>
      </c>
      <c r="BS43" s="11">
        <f>BR43/BQ43</f>
        <v>3.5000000000000009</v>
      </c>
      <c r="BT43" s="82">
        <f t="shared" ref="BT43" si="166">SUM(BT29:BT36,BT27:BT28)</f>
        <v>0</v>
      </c>
      <c r="BU43" s="89">
        <f>BT43/BQ43</f>
        <v>0</v>
      </c>
      <c r="BV43" s="82">
        <f>SUM(BV27:BV36)</f>
        <v>132232.95000000001</v>
      </c>
      <c r="BW43" s="82">
        <f>SUM(BW27:BW36)</f>
        <v>462815.32500000007</v>
      </c>
      <c r="BX43" s="11">
        <f>BW43/BV43</f>
        <v>3.5</v>
      </c>
      <c r="BY43" s="82">
        <f>SUM(BY27:BY36)</f>
        <v>0</v>
      </c>
      <c r="BZ43" s="89">
        <f>BY43/BV43</f>
        <v>0</v>
      </c>
      <c r="CA43" s="82">
        <f>SUM(CA27:CA36)</f>
        <v>64783.89</v>
      </c>
      <c r="CB43" s="82">
        <f>SUM(CB27:CB36)</f>
        <v>323919.44999999995</v>
      </c>
      <c r="CC43" s="11">
        <f>CB43/CA43</f>
        <v>4.9999999999999991</v>
      </c>
      <c r="CD43" s="82">
        <f>SUM(CD27:CD36)</f>
        <v>0</v>
      </c>
      <c r="CE43" s="89">
        <f>CD43/CA43</f>
        <v>0</v>
      </c>
      <c r="CF43" s="82">
        <f>SUM(CF27:CF36)</f>
        <v>69647.69</v>
      </c>
      <c r="CG43" s="82">
        <f>SUM(CG27:CG36)</f>
        <v>208943.07</v>
      </c>
      <c r="CH43" s="11">
        <f>CG43/CF43</f>
        <v>3</v>
      </c>
      <c r="CI43" s="82">
        <f>SUM(CI27:CI36)</f>
        <v>0</v>
      </c>
      <c r="CJ43" s="89">
        <f>CI43/CF43</f>
        <v>0</v>
      </c>
      <c r="CK43" s="82">
        <f>SUM(CK27:CK36)</f>
        <v>5557.05</v>
      </c>
      <c r="CL43" s="82">
        <f>SUM(CL27:CL36)</f>
        <v>36120.825000000004</v>
      </c>
      <c r="CM43" s="11">
        <f>CL43/CK43</f>
        <v>6.5000000000000009</v>
      </c>
      <c r="CN43" s="82">
        <f>SUM(CN27:CN36)</f>
        <v>0</v>
      </c>
      <c r="CO43" s="89">
        <f>CN43/CK43</f>
        <v>0</v>
      </c>
      <c r="CP43" s="82">
        <f>SUM(CP27:CP36)</f>
        <v>68928.69</v>
      </c>
      <c r="CQ43" s="82">
        <f>SUM(CQ27:CQ36)</f>
        <v>448036.48499999999</v>
      </c>
      <c r="CR43" s="11">
        <f>CQ43/CP43</f>
        <v>6.5</v>
      </c>
      <c r="CS43" s="82">
        <f>SUM(CS27:CS36)</f>
        <v>0</v>
      </c>
      <c r="CT43" s="89">
        <f>CS43/CP43</f>
        <v>0</v>
      </c>
      <c r="CU43" s="82">
        <f>SUM(CU27:CU36)</f>
        <v>48151.01</v>
      </c>
      <c r="CV43" s="82">
        <f>SUM(CV27:CV36)</f>
        <v>312981.565</v>
      </c>
      <c r="CW43" s="11">
        <f>CV43/CU43</f>
        <v>6.5</v>
      </c>
      <c r="CX43" s="82">
        <f>SUM(CX27:CX36)</f>
        <v>0</v>
      </c>
      <c r="CY43" s="89">
        <f>CX43/CU43</f>
        <v>0</v>
      </c>
      <c r="CZ43" s="82">
        <f>SUM(CZ27:CZ36)</f>
        <v>63552.53</v>
      </c>
      <c r="DA43" s="82">
        <f>SUM(DA27:DA36)</f>
        <v>413091.44500000001</v>
      </c>
      <c r="DB43" s="11">
        <f>DA43/CZ43</f>
        <v>6.5</v>
      </c>
      <c r="DC43" s="82">
        <f>SUM(DC27:DC36)</f>
        <v>0</v>
      </c>
      <c r="DD43" s="89">
        <f>DC43/CZ43</f>
        <v>0</v>
      </c>
      <c r="DE43" s="82">
        <f>SUM(DE27:DE36)</f>
        <v>114942.26000000001</v>
      </c>
      <c r="DF43" s="82">
        <f>SUM(DF27:DF36)</f>
        <v>517240.17</v>
      </c>
      <c r="DG43" s="11">
        <f>DF43/DE43</f>
        <v>4.4999999999999991</v>
      </c>
      <c r="DH43" s="82">
        <f>SUM(DH27:DH36)</f>
        <v>0</v>
      </c>
      <c r="DI43" s="89">
        <f>DH43/DE43</f>
        <v>0</v>
      </c>
      <c r="DJ43" s="82">
        <f>SUM(DJ27:DJ36)</f>
        <v>164468.01999999999</v>
      </c>
      <c r="DK43" s="82">
        <f>SUM(DK27:DK36)</f>
        <v>493404.05999999994</v>
      </c>
      <c r="DL43" s="11">
        <f>DK43/DJ43</f>
        <v>3</v>
      </c>
      <c r="DM43" s="82">
        <f>SUM(DM27:DM36)</f>
        <v>0</v>
      </c>
      <c r="DN43" s="89">
        <f>DM43/DJ43</f>
        <v>0</v>
      </c>
      <c r="DO43" s="82">
        <f>SUM(DO27:DO36)</f>
        <v>390227.57</v>
      </c>
      <c r="DP43" s="82">
        <f>SUM(DP27:DP36)</f>
        <v>975568.92500000005</v>
      </c>
      <c r="DQ43" s="11">
        <f>DP43/DO43</f>
        <v>2.5</v>
      </c>
      <c r="DR43" s="82">
        <f>SUM(DR27:DR36)</f>
        <v>0</v>
      </c>
      <c r="DS43" s="89">
        <f>DR43/DO43</f>
        <v>0</v>
      </c>
      <c r="DT43" s="82">
        <f>SUM(DT27:DT36)</f>
        <v>367464.79</v>
      </c>
      <c r="DU43" s="82">
        <f>SUM(DU27:DU36)</f>
        <v>918661.97499999986</v>
      </c>
      <c r="DV43" s="11">
        <f>DU43/DT43</f>
        <v>2.4999999999999996</v>
      </c>
      <c r="DW43" s="82">
        <f>SUM(DW27:DW36)</f>
        <v>0</v>
      </c>
      <c r="DX43" s="89">
        <f>DW43/DT43</f>
        <v>0</v>
      </c>
      <c r="DY43" s="82">
        <f>SUM(DY27:DY36)</f>
        <v>538975.42000000004</v>
      </c>
      <c r="DZ43" s="82">
        <f>SUM(DZ27:DZ36)</f>
        <v>1347438.5499999998</v>
      </c>
      <c r="EA43" s="11">
        <f>DZ43/DY43</f>
        <v>2.4999999999999996</v>
      </c>
      <c r="EB43" s="82">
        <f>SUM(EB27:EB36)</f>
        <v>0</v>
      </c>
      <c r="EC43" s="89">
        <f>EB43/DY43</f>
        <v>0</v>
      </c>
      <c r="ED43" s="82">
        <f>SUM(ED27:ED36)</f>
        <v>458211.37999999995</v>
      </c>
      <c r="EE43" s="82">
        <f>SUM(EE27:EE36)</f>
        <v>916422.75999999989</v>
      </c>
      <c r="EF43" s="11">
        <f>EE43/ED43</f>
        <v>2</v>
      </c>
      <c r="EG43" s="82">
        <f>SUM(EG27:EG36)</f>
        <v>0</v>
      </c>
      <c r="EH43" s="89">
        <f>EG43/ED43</f>
        <v>0</v>
      </c>
      <c r="EI43" s="82">
        <f>SUM(EI27:EI36)</f>
        <v>550889.54</v>
      </c>
      <c r="EJ43" s="82">
        <f>SUM(EJ27:EJ36)</f>
        <v>991601.17200000014</v>
      </c>
      <c r="EK43" s="11">
        <f>EJ43/EI43</f>
        <v>1.8</v>
      </c>
      <c r="EL43" s="82">
        <f>SUM(EL27:EL36)</f>
        <v>0</v>
      </c>
      <c r="EM43" s="89">
        <f>EL43/EI43</f>
        <v>0</v>
      </c>
      <c r="EN43" s="82">
        <f>SUM(EN27:EN36)</f>
        <v>541350.84</v>
      </c>
      <c r="EO43" s="82">
        <f>SUM(EO27:EO36)</f>
        <v>974431.51199999999</v>
      </c>
      <c r="EP43" s="11">
        <f>EO43/EN43</f>
        <v>1.8</v>
      </c>
      <c r="EQ43" s="82">
        <f>SUM(EQ27:EQ36)</f>
        <v>0</v>
      </c>
      <c r="ER43" s="89">
        <f>EQ43/EN43</f>
        <v>0</v>
      </c>
      <c r="ES43" s="82">
        <f>SUM(ES27:ES36)</f>
        <v>500062.52000000008</v>
      </c>
      <c r="ET43" s="82">
        <f>SUM(ET27:ET36)</f>
        <v>900112.53600000008</v>
      </c>
      <c r="EU43" s="11">
        <f>ET43/ES43</f>
        <v>1.7999999999999998</v>
      </c>
      <c r="EV43" s="82">
        <f>SUM(EV27:EV36)</f>
        <v>0</v>
      </c>
      <c r="EW43" s="89">
        <f>EV43/ES43</f>
        <v>0</v>
      </c>
      <c r="EX43" s="82">
        <f>SUM(EX27:EX36)</f>
        <v>518655.16999999993</v>
      </c>
      <c r="EY43" s="82">
        <f>SUM(EY27:EY36)</f>
        <v>933579.30599999998</v>
      </c>
      <c r="EZ43" s="11">
        <f>EY43/EX43</f>
        <v>1.8000000000000003</v>
      </c>
      <c r="FA43" s="82">
        <f>SUM(FA27:FA36)</f>
        <v>0</v>
      </c>
      <c r="FB43" s="89">
        <f>FA43/EX43</f>
        <v>0</v>
      </c>
      <c r="FC43" s="82">
        <f>SUM(FC27:FC36)</f>
        <v>568155.27999999991</v>
      </c>
      <c r="FD43" s="82">
        <f>SUM(FD27:FD36)</f>
        <v>1022679.5040000001</v>
      </c>
      <c r="FE43" s="11">
        <f>FD43/FC43</f>
        <v>1.8000000000000005</v>
      </c>
      <c r="FF43" s="82">
        <f>SUM(FF27:FF36)</f>
        <v>0</v>
      </c>
      <c r="FG43" s="89">
        <f>FF43/FC43</f>
        <v>0</v>
      </c>
      <c r="FH43" s="82">
        <f>SUM(FH27:FH36)</f>
        <v>575598.74</v>
      </c>
      <c r="FI43" s="82">
        <f>SUM(FI27:FI36)</f>
        <v>1036077.7320000001</v>
      </c>
      <c r="FJ43" s="11">
        <f>FI43/FH43</f>
        <v>1.8000000000000003</v>
      </c>
      <c r="FK43" s="82">
        <f>SUM(FK27:FK36)</f>
        <v>0</v>
      </c>
      <c r="FL43" s="89">
        <f>FK43/FH43</f>
        <v>0</v>
      </c>
      <c r="FM43" s="82">
        <f>SUM(FM27:FM36)</f>
        <v>571361.83000000007</v>
      </c>
      <c r="FN43" s="82">
        <f>SUM(FN27:FN36)</f>
        <v>1028451.2940000001</v>
      </c>
      <c r="FO43" s="11">
        <f>FN43/FM43</f>
        <v>1.8</v>
      </c>
      <c r="FP43" s="82">
        <f>SUM(FP27:FP36)</f>
        <v>0</v>
      </c>
      <c r="FQ43" s="89">
        <f>FP43/FM43</f>
        <v>0</v>
      </c>
      <c r="FR43" s="82">
        <f>SUM(FR27:FR36)</f>
        <v>622104.11</v>
      </c>
      <c r="FS43" s="82">
        <f>SUM(FS27:FS36)</f>
        <v>970482.41159999999</v>
      </c>
      <c r="FT43" s="11">
        <f>FS43/FR43</f>
        <v>1.56</v>
      </c>
      <c r="FU43" s="82">
        <f>SUM(FU27:FU36)</f>
        <v>0</v>
      </c>
      <c r="FV43" s="89">
        <f>FU43/FR43</f>
        <v>0</v>
      </c>
      <c r="FW43" s="82">
        <f>SUM(FW27:FW36)</f>
        <v>592587.48</v>
      </c>
      <c r="FX43" s="82">
        <f>SUM(FX27:FX36)</f>
        <v>924436.46880000003</v>
      </c>
      <c r="FY43" s="11">
        <f>FX43/FW43</f>
        <v>1.56</v>
      </c>
      <c r="FZ43" s="82">
        <f>SUM(FZ27:FZ36)</f>
        <v>0</v>
      </c>
      <c r="GA43" s="89">
        <f>FZ43/FW43</f>
        <v>0</v>
      </c>
      <c r="GB43" s="82">
        <f>SUM(GB27:GB36)</f>
        <v>673272.42</v>
      </c>
      <c r="GC43" s="82">
        <f>SUM(GC27:GC36)</f>
        <v>1050304.9752000002</v>
      </c>
      <c r="GD43" s="11">
        <f>GC43/GB43</f>
        <v>1.5600000000000003</v>
      </c>
      <c r="GE43" s="82">
        <f>SUM(GE27:GE36)</f>
        <v>0</v>
      </c>
      <c r="GF43" s="89">
        <f>GE43/GB43</f>
        <v>0</v>
      </c>
      <c r="GG43" s="82">
        <f>SUM(GG27:GG36)</f>
        <v>623945.69999999995</v>
      </c>
      <c r="GH43" s="82">
        <f>SUM(GH27:GH36)</f>
        <v>973355.29200000002</v>
      </c>
      <c r="GI43" s="11">
        <f>GH43/GG43</f>
        <v>1.56</v>
      </c>
      <c r="GJ43" s="82">
        <f>SUM(GJ27:GJ36)</f>
        <v>0</v>
      </c>
      <c r="GK43" s="89">
        <f>GJ43/GG43</f>
        <v>0</v>
      </c>
      <c r="GL43" s="82">
        <f>SUM(GL27:GL36)</f>
        <v>686304.25999999989</v>
      </c>
      <c r="GM43" s="82">
        <f>SUM(GM27:GM36)</f>
        <v>1070634.6455999999</v>
      </c>
      <c r="GN43" s="11">
        <f>GM43/GL43</f>
        <v>1.56</v>
      </c>
      <c r="GO43" s="82">
        <f>SUM(GO27:GO36)</f>
        <v>0</v>
      </c>
      <c r="GP43" s="89">
        <f>GO43/GL43</f>
        <v>0</v>
      </c>
      <c r="GQ43" s="82">
        <f>SUM(GQ27:GQ36)</f>
        <v>662648.59</v>
      </c>
      <c r="GR43" s="82">
        <f>SUM(GR27:GR36)</f>
        <v>1033731.8004000002</v>
      </c>
      <c r="GS43" s="11">
        <f>GR43/GQ43</f>
        <v>1.5600000000000003</v>
      </c>
      <c r="GT43" s="82">
        <f>SUM(GT27:GT36)</f>
        <v>0</v>
      </c>
      <c r="GU43" s="89">
        <f>GT43/GQ43</f>
        <v>0</v>
      </c>
      <c r="GV43" s="82">
        <f>SUM(GV27:GV36)</f>
        <v>676885.27</v>
      </c>
      <c r="GW43" s="82">
        <f>SUM(GW27:GW36)</f>
        <v>1353770.54</v>
      </c>
      <c r="GX43" s="11">
        <f>GW43/GV43</f>
        <v>2</v>
      </c>
      <c r="GY43" s="82">
        <f>SUM(GY27:GY36)</f>
        <v>0</v>
      </c>
      <c r="GZ43" s="89">
        <f>GY43/GV43</f>
        <v>0</v>
      </c>
      <c r="HA43" s="82">
        <f>SUM(HA27:HA36)</f>
        <v>387124.64999999997</v>
      </c>
      <c r="HB43" s="82">
        <f>SUM(HB27:HB36)</f>
        <v>1161373.95</v>
      </c>
      <c r="HC43" s="11">
        <f>HB43/HA43</f>
        <v>3</v>
      </c>
      <c r="HD43" s="82">
        <f>SUM(HD27:HD36)</f>
        <v>0</v>
      </c>
      <c r="HE43" s="89">
        <f>HD43/HA43</f>
        <v>0</v>
      </c>
      <c r="HF43" s="82">
        <f>SUM(HF27:HF36)</f>
        <v>145568.09</v>
      </c>
      <c r="HG43" s="82">
        <f>SUM(HG27:HG36)</f>
        <v>727840.45</v>
      </c>
      <c r="HH43" s="11">
        <f>HG43/HF43</f>
        <v>5</v>
      </c>
      <c r="HI43" s="82">
        <f>SUM(HI27:HI36)</f>
        <v>0</v>
      </c>
      <c r="HJ43" s="89">
        <f>HI43/HF43</f>
        <v>0</v>
      </c>
      <c r="HK43" s="82">
        <f>SUM(HK27:HK36)</f>
        <v>100995.25</v>
      </c>
      <c r="HL43" s="82">
        <f>SUM(HL27:HL36)</f>
        <v>555473.875</v>
      </c>
      <c r="HM43" s="11">
        <f>HL43/HK43</f>
        <v>5.5</v>
      </c>
      <c r="HN43" s="82">
        <f>SUM(HN27:HN36)</f>
        <v>0</v>
      </c>
      <c r="HO43" s="89">
        <f>HN43/HK43</f>
        <v>0</v>
      </c>
      <c r="HP43" s="82">
        <f>SUM(HP27:HP36)</f>
        <v>109359.98</v>
      </c>
      <c r="HQ43" s="82">
        <f>SUM(HQ27:HQ36)</f>
        <v>546799.9</v>
      </c>
      <c r="HR43" s="11">
        <f>HQ43/HP43</f>
        <v>5</v>
      </c>
      <c r="HS43" s="82">
        <f>SUM(HS27:HS36)</f>
        <v>0</v>
      </c>
      <c r="HT43" s="89">
        <f>HS43/HP43</f>
        <v>0</v>
      </c>
      <c r="HU43" s="82">
        <f>SUM(HU27:HU36)</f>
        <v>139946.93</v>
      </c>
      <c r="HV43" s="82">
        <f>SUM(HV27:HV36)</f>
        <v>419840.79000000004</v>
      </c>
      <c r="HW43" s="11">
        <f>HV43/HU43</f>
        <v>3.0000000000000004</v>
      </c>
      <c r="HX43" s="82">
        <f>SUM(HX27:HX36)</f>
        <v>0</v>
      </c>
      <c r="HY43" s="89">
        <f>HX43/HU43</f>
        <v>0</v>
      </c>
      <c r="HZ43" s="82">
        <f>SUM(HZ27:HZ36)</f>
        <v>408656.5</v>
      </c>
      <c r="IA43" s="82">
        <f>SUM(IA27:IA36)</f>
        <v>1225969.5</v>
      </c>
      <c r="IB43" s="11">
        <f>IA43/HZ43</f>
        <v>3</v>
      </c>
      <c r="IC43" s="82">
        <f>SUM(IC27:IC36)</f>
        <v>0</v>
      </c>
      <c r="ID43" s="89">
        <f>IC43/HZ43</f>
        <v>0</v>
      </c>
      <c r="IE43" s="82">
        <f>SUM(IE27:IE36)</f>
        <v>714044.21</v>
      </c>
      <c r="IF43" s="82">
        <f>SUM(IF27:IF36)</f>
        <v>1071066.3149999999</v>
      </c>
      <c r="IG43" s="11">
        <f>IF43/IE43</f>
        <v>1.5</v>
      </c>
      <c r="IH43" s="82">
        <f>SUM(IH27:IH36)</f>
        <v>0</v>
      </c>
      <c r="II43" s="89">
        <f>IH43/IE43</f>
        <v>0</v>
      </c>
      <c r="IJ43" s="82">
        <f>SUM(IJ27:IJ36)</f>
        <v>1236280.17</v>
      </c>
      <c r="IK43" s="82">
        <f>SUM(IK27:IK36)</f>
        <v>1854420.2549999999</v>
      </c>
      <c r="IL43" s="11">
        <f>IK43/IJ43</f>
        <v>1.5</v>
      </c>
      <c r="IM43" s="82">
        <f>SUM(IM27:IM36)</f>
        <v>0</v>
      </c>
      <c r="IN43" s="89">
        <f>IM43/IJ43</f>
        <v>0</v>
      </c>
      <c r="IO43" s="82">
        <f>SUM(IO27:IO36)</f>
        <v>1674401.2499999998</v>
      </c>
      <c r="IP43" s="82">
        <f>SUM(IP27:IP36)</f>
        <v>2511601.875</v>
      </c>
      <c r="IQ43" s="11">
        <f>IP43/IO43</f>
        <v>1.5000000000000002</v>
      </c>
      <c r="IR43" s="82">
        <f>SUM(IR27:IR36)</f>
        <v>0</v>
      </c>
      <c r="IS43" s="89">
        <f>IR43/IO43</f>
        <v>0</v>
      </c>
      <c r="IT43" s="82">
        <f>SUM(IT27:IT36)</f>
        <v>2196104.88</v>
      </c>
      <c r="IU43" s="82">
        <f>SUM(IU27:IU36)</f>
        <v>3294157.3200000003</v>
      </c>
      <c r="IV43" s="11">
        <f>IU43/IT43</f>
        <v>1.5000000000000002</v>
      </c>
      <c r="IW43" s="82">
        <f>SUM(IW27:IW36)</f>
        <v>0</v>
      </c>
      <c r="IX43" s="89">
        <f>IW43/IT43</f>
        <v>0</v>
      </c>
      <c r="IY43" s="82">
        <f>SUM(IY27:IY36)</f>
        <v>838519.35</v>
      </c>
      <c r="IZ43" s="82">
        <f>SUM(IZ27:IZ36)</f>
        <v>1257779.0249999999</v>
      </c>
      <c r="JA43" s="11">
        <f>IZ43/IY43</f>
        <v>1.5</v>
      </c>
      <c r="JB43" s="82">
        <f>SUM(JB27:JB36)</f>
        <v>0</v>
      </c>
      <c r="JC43" s="109">
        <f>JB43/IY43</f>
        <v>0</v>
      </c>
      <c r="JD43" s="113">
        <f>SUM(JD29:JD36,JD27)</f>
        <v>9944211.8299999982</v>
      </c>
      <c r="JE43" s="113">
        <f>SUM(JE29:JE36,JE27)</f>
        <v>6970333.2699999996</v>
      </c>
      <c r="JF43" s="114">
        <f>JE43-JD43</f>
        <v>-2973878.5599999987</v>
      </c>
      <c r="JG43" s="11">
        <f>JE43/JD43</f>
        <v>0.70094376398657232</v>
      </c>
    </row>
    <row r="44" spans="3:267">
      <c r="C44" s="297" t="s">
        <v>42</v>
      </c>
      <c r="D44" s="298"/>
      <c r="E44" s="298"/>
      <c r="F44" s="299"/>
      <c r="G44" s="298"/>
      <c r="H44" s="89"/>
      <c r="I44" s="298"/>
      <c r="J44" s="298"/>
      <c r="K44" s="299"/>
      <c r="L44" s="298"/>
      <c r="M44" s="89"/>
      <c r="N44" s="298">
        <f>SUM(N27,N29:N31)</f>
        <v>512498.58</v>
      </c>
      <c r="O44" s="298">
        <f>SUM(O27,O29:O31)</f>
        <v>448643.21600000001</v>
      </c>
      <c r="P44" s="11">
        <f t="shared" ref="P44:P45" si="167">O44/N44</f>
        <v>0.87540382258229865</v>
      </c>
      <c r="Q44" s="298">
        <f>SUM(Q27,Q29:Q31)</f>
        <v>466250.37</v>
      </c>
      <c r="R44" s="89">
        <f t="shared" ref="R44:R45" si="168">Q44/N44</f>
        <v>0.90975934021124505</v>
      </c>
      <c r="S44" s="298">
        <f>SUM(S27,S29:S31)</f>
        <v>562376.07000000007</v>
      </c>
      <c r="T44" s="298">
        <f>SUM(T27,T29:T31)</f>
        <v>543174.46539999999</v>
      </c>
      <c r="U44" s="78">
        <f t="shared" si="146"/>
        <v>0.96585629150258812</v>
      </c>
      <c r="V44" s="298">
        <f>SUM(V27,V29:V31)</f>
        <v>454122.66000000003</v>
      </c>
      <c r="W44" s="89">
        <f t="shared" si="147"/>
        <v>0.80750708329392462</v>
      </c>
      <c r="X44" s="298">
        <f>SUM(X27,X29:X31)</f>
        <v>544472.84000000008</v>
      </c>
      <c r="Y44" s="298">
        <f>SUM(Y27,Y29:Y31)</f>
        <v>456212.54639999999</v>
      </c>
      <c r="Z44" s="78">
        <f t="shared" ref="Z44:Z45" si="169">Y44/X44</f>
        <v>0.83789771111447897</v>
      </c>
      <c r="AA44" s="298">
        <f>SUM(AA27,AA29:AA31)</f>
        <v>487113.56</v>
      </c>
      <c r="AB44" s="89">
        <f t="shared" si="149"/>
        <v>0.89465171485872452</v>
      </c>
      <c r="AC44" s="298">
        <f>SUM(AC27,AC29:AC31)</f>
        <v>755845.8899999999</v>
      </c>
      <c r="AD44" s="298">
        <f>SUM(AD27,AD29:AD31)</f>
        <v>737661.79550000001</v>
      </c>
      <c r="AE44" s="78">
        <f t="shared" ref="AE44:AE45" si="170">AD44/AC44</f>
        <v>0.97594206075526868</v>
      </c>
      <c r="AF44" s="298">
        <f>SUM(AF27,AF29:AF31)</f>
        <v>599355.81000000006</v>
      </c>
      <c r="AG44" s="89">
        <f t="shared" si="151"/>
        <v>0.79296033481110828</v>
      </c>
      <c r="AH44" s="298">
        <f>SUM(AH27,AH29:AH31)</f>
        <v>518760.97000000003</v>
      </c>
      <c r="AI44" s="298">
        <f>SUM(AI27,AI29:AI31)</f>
        <v>311256.58199999999</v>
      </c>
      <c r="AJ44" s="78">
        <f t="shared" ref="AJ44:AJ45" si="171">AI44/AH44</f>
        <v>0.6</v>
      </c>
      <c r="AK44" s="298">
        <f>SUM(AK27,AK29:AK31)</f>
        <v>416942.24000000005</v>
      </c>
      <c r="AL44" s="89">
        <f t="shared" si="153"/>
        <v>0.80372708070154164</v>
      </c>
      <c r="AM44" s="298">
        <f>SUM(AM27,AM29:AM31)</f>
        <v>558012.98</v>
      </c>
      <c r="AN44" s="298">
        <f>SUM(AN27,AN29:AN31)</f>
        <v>334807.78799999994</v>
      </c>
      <c r="AO44" s="78">
        <f t="shared" si="154"/>
        <v>0.59999999999999987</v>
      </c>
      <c r="AP44" s="298">
        <f>SUM(AP27,AP29:AP31)</f>
        <v>448190.65</v>
      </c>
      <c r="AQ44" s="89">
        <f t="shared" si="155"/>
        <v>0.80319036664702681</v>
      </c>
      <c r="AR44" s="298">
        <f>SUM(AR27:AR28,AR29:AR31)</f>
        <v>702232.12</v>
      </c>
      <c r="AS44" s="298">
        <f>SUM(AS27:AS28,AS29:AS31)</f>
        <v>616725.46499999997</v>
      </c>
      <c r="AT44" s="78">
        <f t="shared" si="156"/>
        <v>0.87823591008625468</v>
      </c>
      <c r="AU44" s="298">
        <f>SUM(AU27:AU28,AU29:AU31)</f>
        <v>730482.29</v>
      </c>
      <c r="AV44" s="89">
        <f t="shared" si="157"/>
        <v>1.0402291054416595</v>
      </c>
      <c r="AW44" s="298">
        <f t="shared" ref="AW44:AX44" si="172">SUM(AW27:AW28,AW29:AW31)</f>
        <v>817471.06</v>
      </c>
      <c r="AX44" s="298">
        <f t="shared" si="172"/>
        <v>718511.88749999995</v>
      </c>
      <c r="AY44" s="299"/>
      <c r="AZ44" s="298">
        <f>SUM(AZ27:AZ28,AZ29:AZ31)</f>
        <v>732745.75</v>
      </c>
      <c r="BA44" s="89"/>
      <c r="BB44" s="298">
        <f t="shared" ref="BB44:BC44" si="173">SUM(BB27:BB28,BB29:BB31)</f>
        <v>513374.88</v>
      </c>
      <c r="BC44" s="298">
        <f t="shared" si="173"/>
        <v>418571.28799999994</v>
      </c>
      <c r="BD44" s="299"/>
      <c r="BE44" s="298">
        <f t="shared" ref="BE44" si="174">SUM(BE27:BE28,BE29:BE31)</f>
        <v>754115.16999999993</v>
      </c>
      <c r="BF44" s="89"/>
      <c r="BG44" s="298">
        <f t="shared" ref="BG44:BH44" si="175">SUM(BG27:BG28,BG29:BG31)</f>
        <v>244696.4</v>
      </c>
      <c r="BH44" s="298">
        <f t="shared" si="175"/>
        <v>198038.37</v>
      </c>
      <c r="BI44" s="299"/>
      <c r="BJ44" s="298">
        <f t="shared" ref="BJ44" si="176">SUM(BJ27:BJ28,BJ29:BJ31)</f>
        <v>0</v>
      </c>
      <c r="BK44" s="89"/>
      <c r="BL44" s="298">
        <f t="shared" ref="BL44:BM44" si="177">SUM(BL27:BL28,BL29:BL31)</f>
        <v>216775.16</v>
      </c>
      <c r="BM44" s="298">
        <f t="shared" si="177"/>
        <v>162581.37</v>
      </c>
      <c r="BN44" s="299"/>
      <c r="BO44" s="298">
        <f t="shared" ref="BO44" si="178">SUM(BO27:BO28,BO29:BO31)</f>
        <v>0</v>
      </c>
      <c r="BP44" s="89"/>
      <c r="BQ44" s="298">
        <f t="shared" ref="BQ44:BR44" si="179">SUM(BQ27:BQ28,BQ29:BQ31)</f>
        <v>118212.98999999999</v>
      </c>
      <c r="BR44" s="298">
        <f t="shared" si="179"/>
        <v>413745.46499999997</v>
      </c>
      <c r="BS44" s="299"/>
      <c r="BT44" s="298">
        <f t="shared" ref="BT44" si="180">SUM(BT27:BT28,BT29:BT31)</f>
        <v>0</v>
      </c>
      <c r="BU44" s="89"/>
      <c r="BV44" s="298"/>
      <c r="BW44" s="298"/>
      <c r="BX44" s="299"/>
      <c r="BY44" s="298"/>
      <c r="BZ44" s="89"/>
      <c r="CA44" s="298"/>
      <c r="CB44" s="298"/>
      <c r="CC44" s="299"/>
      <c r="CD44" s="298"/>
      <c r="CE44" s="89"/>
      <c r="CF44" s="298"/>
      <c r="CG44" s="298"/>
      <c r="CH44" s="299"/>
      <c r="CI44" s="298"/>
      <c r="CJ44" s="89"/>
      <c r="CK44" s="298"/>
      <c r="CL44" s="298"/>
      <c r="CM44" s="299"/>
      <c r="CN44" s="298"/>
      <c r="CO44" s="89"/>
      <c r="CP44" s="298"/>
      <c r="CQ44" s="298"/>
      <c r="CR44" s="299"/>
      <c r="CS44" s="298"/>
      <c r="CT44" s="89"/>
      <c r="CU44" s="298"/>
      <c r="CV44" s="298"/>
      <c r="CW44" s="299"/>
      <c r="CX44" s="298"/>
      <c r="CY44" s="89"/>
      <c r="CZ44" s="298"/>
      <c r="DA44" s="298"/>
      <c r="DB44" s="299"/>
      <c r="DC44" s="298"/>
      <c r="DD44" s="89"/>
      <c r="DE44" s="298"/>
      <c r="DF44" s="298"/>
      <c r="DG44" s="299"/>
      <c r="DH44" s="298"/>
      <c r="DI44" s="89"/>
      <c r="DJ44" s="298"/>
      <c r="DK44" s="298"/>
      <c r="DL44" s="299"/>
      <c r="DM44" s="298"/>
      <c r="DN44" s="89"/>
      <c r="DO44" s="298"/>
      <c r="DP44" s="298"/>
      <c r="DQ44" s="299"/>
      <c r="DR44" s="298"/>
      <c r="DS44" s="89"/>
      <c r="DT44" s="298"/>
      <c r="DU44" s="298"/>
      <c r="DV44" s="299"/>
      <c r="DW44" s="298"/>
      <c r="DX44" s="89"/>
      <c r="DY44" s="298"/>
      <c r="DZ44" s="298"/>
      <c r="EA44" s="299"/>
      <c r="EB44" s="298"/>
      <c r="EC44" s="89"/>
      <c r="ED44" s="298"/>
      <c r="EE44" s="298"/>
      <c r="EF44" s="299"/>
      <c r="EG44" s="298"/>
      <c r="EH44" s="89"/>
      <c r="EI44" s="298"/>
      <c r="EJ44" s="298"/>
      <c r="EK44" s="299"/>
      <c r="EL44" s="298"/>
      <c r="EM44" s="89"/>
      <c r="EN44" s="298"/>
      <c r="EO44" s="298"/>
      <c r="EP44" s="299"/>
      <c r="EQ44" s="298"/>
      <c r="ER44" s="89"/>
      <c r="ES44" s="298"/>
      <c r="ET44" s="298"/>
      <c r="EU44" s="299"/>
      <c r="EV44" s="298"/>
      <c r="EW44" s="89"/>
      <c r="EX44" s="298"/>
      <c r="EY44" s="298"/>
      <c r="EZ44" s="299"/>
      <c r="FA44" s="298"/>
      <c r="FB44" s="89"/>
      <c r="FC44" s="298"/>
      <c r="FD44" s="298"/>
      <c r="FE44" s="299"/>
      <c r="FF44" s="298"/>
      <c r="FG44" s="89"/>
      <c r="FH44" s="298"/>
      <c r="FI44" s="298"/>
      <c r="FJ44" s="299"/>
      <c r="FK44" s="298"/>
      <c r="FL44" s="89"/>
      <c r="FM44" s="298"/>
      <c r="FN44" s="298"/>
      <c r="FO44" s="299"/>
      <c r="FP44" s="298"/>
      <c r="FQ44" s="89"/>
      <c r="FR44" s="298"/>
      <c r="FS44" s="298"/>
      <c r="FT44" s="299"/>
      <c r="FU44" s="298"/>
      <c r="FV44" s="89"/>
      <c r="FW44" s="298"/>
      <c r="FX44" s="298"/>
      <c r="FY44" s="299"/>
      <c r="FZ44" s="298"/>
      <c r="GA44" s="89"/>
      <c r="GB44" s="298"/>
      <c r="GC44" s="298"/>
      <c r="GD44" s="299"/>
      <c r="GE44" s="298"/>
      <c r="GF44" s="89"/>
      <c r="GG44" s="298"/>
      <c r="GH44" s="298"/>
      <c r="GI44" s="299"/>
      <c r="GJ44" s="298"/>
      <c r="GK44" s="89"/>
      <c r="GL44" s="298"/>
      <c r="GM44" s="298"/>
      <c r="GN44" s="299"/>
      <c r="GO44" s="298"/>
      <c r="GP44" s="89"/>
      <c r="GQ44" s="298"/>
      <c r="GR44" s="298"/>
      <c r="GS44" s="299"/>
      <c r="GT44" s="298"/>
      <c r="GU44" s="89"/>
      <c r="GV44" s="298"/>
      <c r="GW44" s="298"/>
      <c r="GX44" s="299"/>
      <c r="GY44" s="298"/>
      <c r="GZ44" s="89"/>
      <c r="HA44" s="298"/>
      <c r="HB44" s="298"/>
      <c r="HC44" s="299"/>
      <c r="HD44" s="298"/>
      <c r="HE44" s="89"/>
      <c r="HF44" s="298"/>
      <c r="HG44" s="298"/>
      <c r="HH44" s="299"/>
      <c r="HI44" s="298"/>
      <c r="HJ44" s="89"/>
      <c r="HK44" s="298"/>
      <c r="HL44" s="298"/>
      <c r="HM44" s="299"/>
      <c r="HN44" s="298"/>
      <c r="HO44" s="89"/>
      <c r="HP44" s="298"/>
      <c r="HQ44" s="298"/>
      <c r="HR44" s="299"/>
      <c r="HS44" s="298"/>
      <c r="HT44" s="89"/>
      <c r="HU44" s="298"/>
      <c r="HV44" s="298"/>
      <c r="HW44" s="299"/>
      <c r="HX44" s="298"/>
      <c r="HY44" s="89"/>
      <c r="HZ44" s="298"/>
      <c r="IA44" s="298"/>
      <c r="IB44" s="299"/>
      <c r="IC44" s="298"/>
      <c r="ID44" s="89"/>
      <c r="IE44" s="298"/>
      <c r="IF44" s="298"/>
      <c r="IG44" s="299"/>
      <c r="IH44" s="298"/>
      <c r="II44" s="89"/>
      <c r="IJ44" s="298"/>
      <c r="IK44" s="298"/>
      <c r="IL44" s="299"/>
      <c r="IM44" s="298"/>
      <c r="IN44" s="89"/>
      <c r="IO44" s="298"/>
      <c r="IP44" s="298"/>
      <c r="IQ44" s="299"/>
      <c r="IR44" s="298"/>
      <c r="IS44" s="89"/>
      <c r="IT44" s="298"/>
      <c r="IU44" s="298"/>
      <c r="IV44" s="299"/>
      <c r="IW44" s="298"/>
      <c r="IX44" s="89"/>
      <c r="IY44" s="298"/>
      <c r="IZ44" s="298"/>
      <c r="JA44" s="299"/>
      <c r="JB44" s="298"/>
      <c r="JC44" s="109"/>
      <c r="JD44" s="300"/>
      <c r="JE44" s="301"/>
      <c r="JF44" s="302"/>
      <c r="JG44" s="299"/>
    </row>
    <row r="45" spans="3:267">
      <c r="C45" s="297" t="s">
        <v>43</v>
      </c>
      <c r="D45" s="298"/>
      <c r="E45" s="298"/>
      <c r="F45" s="299"/>
      <c r="G45" s="298"/>
      <c r="H45" s="89"/>
      <c r="I45" s="298"/>
      <c r="J45" s="298"/>
      <c r="K45" s="299"/>
      <c r="L45" s="298"/>
      <c r="M45" s="89"/>
      <c r="N45" s="298">
        <f>SUM(N32:N36)</f>
        <v>200920.07</v>
      </c>
      <c r="O45" s="298">
        <f>SUM(O32:O36)</f>
        <v>120552.042</v>
      </c>
      <c r="P45" s="11">
        <f t="shared" si="167"/>
        <v>0.6</v>
      </c>
      <c r="Q45" s="298">
        <f>SUM(Q32:Q36)</f>
        <v>140176.64000000001</v>
      </c>
      <c r="R45" s="89">
        <f t="shared" si="168"/>
        <v>0.69767365699205663</v>
      </c>
      <c r="S45" s="298">
        <f>SUM(S32:S36)</f>
        <v>224009.56</v>
      </c>
      <c r="T45" s="298">
        <f>SUM(T32:T36)</f>
        <v>167365.44149999999</v>
      </c>
      <c r="U45" s="78">
        <f t="shared" si="146"/>
        <v>0.74713526288788745</v>
      </c>
      <c r="V45" s="298">
        <f>SUM(V32:V36)</f>
        <v>146618.23999999999</v>
      </c>
      <c r="W45" s="89">
        <f t="shared" si="147"/>
        <v>0.65451778040187214</v>
      </c>
      <c r="X45" s="298">
        <f>SUM(X32:X36)</f>
        <v>304065.12</v>
      </c>
      <c r="Y45" s="298">
        <f>SUM(Y32:Y36)</f>
        <v>207480.96719999996</v>
      </c>
      <c r="Z45" s="78">
        <f t="shared" si="169"/>
        <v>0.68235701352394496</v>
      </c>
      <c r="AA45" s="298">
        <f>SUM(AA32:AA36)</f>
        <v>138550.26</v>
      </c>
      <c r="AB45" s="89">
        <f t="shared" si="149"/>
        <v>0.45565982707914676</v>
      </c>
      <c r="AC45" s="298">
        <f>SUM(AC32:AC36)</f>
        <v>679409.36</v>
      </c>
      <c r="AD45" s="298">
        <f>SUM(AD32:AD36)</f>
        <v>332992.50800000003</v>
      </c>
      <c r="AE45" s="78">
        <f t="shared" si="170"/>
        <v>0.49012057767352518</v>
      </c>
      <c r="AF45" s="298">
        <f>SUM(AF32:AF36)</f>
        <v>203733.6</v>
      </c>
      <c r="AG45" s="89">
        <f t="shared" si="151"/>
        <v>0.29986869771708768</v>
      </c>
      <c r="AH45" s="298">
        <f>SUM(AH32:AH36)</f>
        <v>406530.89</v>
      </c>
      <c r="AI45" s="298">
        <f>SUM(AI32:AI36)</f>
        <v>243918.53399999999</v>
      </c>
      <c r="AJ45" s="78">
        <f t="shared" si="171"/>
        <v>0.6</v>
      </c>
      <c r="AK45" s="298">
        <f>SUM(AK32:AK36)</f>
        <v>143196.12</v>
      </c>
      <c r="AL45" s="89">
        <f t="shared" si="153"/>
        <v>0.35223921114579998</v>
      </c>
      <c r="AM45" s="298">
        <f>SUM(AM32:AM36)</f>
        <v>272980.95</v>
      </c>
      <c r="AN45" s="298">
        <f>SUM(AN32:AN36)</f>
        <v>163788.57</v>
      </c>
      <c r="AO45" s="78">
        <f t="shared" si="154"/>
        <v>0.6</v>
      </c>
      <c r="AP45" s="298">
        <f>SUM(AP32:AP36)</f>
        <v>111560.26000000001</v>
      </c>
      <c r="AQ45" s="89">
        <f t="shared" si="155"/>
        <v>0.40867415839823257</v>
      </c>
      <c r="AR45" s="298">
        <f>SUM(AR32:AR36)</f>
        <v>398484.28</v>
      </c>
      <c r="AS45" s="298">
        <f>SUM(AS32:AS36)</f>
        <v>247107.81</v>
      </c>
      <c r="AT45" s="78">
        <f t="shared" si="156"/>
        <v>0.62011934322729112</v>
      </c>
      <c r="AU45" s="298">
        <f>SUM(AU32:AU36)</f>
        <v>129598.74000000002</v>
      </c>
      <c r="AV45" s="89">
        <f t="shared" si="157"/>
        <v>0.32522924116354102</v>
      </c>
      <c r="AW45" s="298">
        <f t="shared" ref="AW45:AX45" si="181">SUM(AW32:AW36)</f>
        <v>424900.73</v>
      </c>
      <c r="AX45" s="298">
        <f t="shared" si="181"/>
        <v>263715.19500000001</v>
      </c>
      <c r="AY45" s="299"/>
      <c r="AZ45" s="298">
        <f>SUM(AZ32:AZ36)</f>
        <v>117183.03</v>
      </c>
      <c r="BA45" s="89"/>
      <c r="BB45" s="298">
        <f t="shared" ref="BB45:BC45" si="182">SUM(BB32:BB36)</f>
        <v>230184.84</v>
      </c>
      <c r="BC45" s="298">
        <f t="shared" si="182"/>
        <v>116633.177</v>
      </c>
      <c r="BD45" s="299"/>
      <c r="BE45" s="298">
        <f t="shared" ref="BE45" si="183">SUM(BE32:BE36)</f>
        <v>141120.33000000002</v>
      </c>
      <c r="BF45" s="89"/>
      <c r="BG45" s="298">
        <f t="shared" ref="BG45:BH45" si="184">SUM(BG32:BG36)</f>
        <v>104628.68000000001</v>
      </c>
      <c r="BH45" s="298">
        <f t="shared" si="184"/>
        <v>56018.317500000005</v>
      </c>
      <c r="BI45" s="299"/>
      <c r="BJ45" s="298">
        <f t="shared" ref="BJ45" si="185">SUM(BJ32:BJ36)</f>
        <v>0</v>
      </c>
      <c r="BK45" s="89"/>
      <c r="BL45" s="298">
        <f t="shared" ref="BL45:BM45" si="186">SUM(BL32:BL36)</f>
        <v>131309.35</v>
      </c>
      <c r="BM45" s="298">
        <f t="shared" si="186"/>
        <v>98482.012500000012</v>
      </c>
      <c r="BN45" s="299"/>
      <c r="BO45" s="298">
        <f t="shared" ref="BO45" si="187">SUM(BO32:BO36)</f>
        <v>0</v>
      </c>
      <c r="BP45" s="89"/>
      <c r="BQ45" s="298">
        <f t="shared" ref="BQ45:BR45" si="188">SUM(BQ32:BQ36)</f>
        <v>49868.729999999996</v>
      </c>
      <c r="BR45" s="298">
        <f t="shared" si="188"/>
        <v>174540.55500000002</v>
      </c>
      <c r="BS45" s="299"/>
      <c r="BT45" s="298">
        <f t="shared" ref="BT45" si="189">SUM(BT32:BT36)</f>
        <v>0</v>
      </c>
      <c r="BU45" s="89"/>
      <c r="BV45" s="298"/>
      <c r="BW45" s="298"/>
      <c r="BX45" s="299"/>
      <c r="BY45" s="298"/>
      <c r="BZ45" s="89"/>
      <c r="CA45" s="298"/>
      <c r="CB45" s="298"/>
      <c r="CC45" s="299"/>
      <c r="CD45" s="298"/>
      <c r="CE45" s="89"/>
      <c r="CF45" s="298"/>
      <c r="CG45" s="298"/>
      <c r="CH45" s="299"/>
      <c r="CI45" s="298"/>
      <c r="CJ45" s="89"/>
      <c r="CK45" s="298"/>
      <c r="CL45" s="298"/>
      <c r="CM45" s="299"/>
      <c r="CN45" s="298"/>
      <c r="CO45" s="89"/>
      <c r="CP45" s="298"/>
      <c r="CQ45" s="298"/>
      <c r="CR45" s="299"/>
      <c r="CS45" s="298"/>
      <c r="CT45" s="89"/>
      <c r="CU45" s="298"/>
      <c r="CV45" s="298"/>
      <c r="CW45" s="299"/>
      <c r="CX45" s="298"/>
      <c r="CY45" s="89"/>
      <c r="CZ45" s="298"/>
      <c r="DA45" s="298"/>
      <c r="DB45" s="299"/>
      <c r="DC45" s="298"/>
      <c r="DD45" s="89"/>
      <c r="DE45" s="298"/>
      <c r="DF45" s="298"/>
      <c r="DG45" s="299"/>
      <c r="DH45" s="298"/>
      <c r="DI45" s="89"/>
      <c r="DJ45" s="298"/>
      <c r="DK45" s="298"/>
      <c r="DL45" s="299"/>
      <c r="DM45" s="298"/>
      <c r="DN45" s="89"/>
      <c r="DO45" s="298"/>
      <c r="DP45" s="298"/>
      <c r="DQ45" s="299"/>
      <c r="DR45" s="298"/>
      <c r="DS45" s="89"/>
      <c r="DT45" s="298"/>
      <c r="DU45" s="298"/>
      <c r="DV45" s="299"/>
      <c r="DW45" s="298"/>
      <c r="DX45" s="89"/>
      <c r="DY45" s="298"/>
      <c r="DZ45" s="298"/>
      <c r="EA45" s="299"/>
      <c r="EB45" s="298"/>
      <c r="EC45" s="89"/>
      <c r="ED45" s="298"/>
      <c r="EE45" s="298"/>
      <c r="EF45" s="299"/>
      <c r="EG45" s="298"/>
      <c r="EH45" s="89"/>
      <c r="EI45" s="298"/>
      <c r="EJ45" s="298"/>
      <c r="EK45" s="299"/>
      <c r="EL45" s="298"/>
      <c r="EM45" s="89"/>
      <c r="EN45" s="298"/>
      <c r="EO45" s="298"/>
      <c r="EP45" s="299"/>
      <c r="EQ45" s="298"/>
      <c r="ER45" s="89"/>
      <c r="ES45" s="298"/>
      <c r="ET45" s="298"/>
      <c r="EU45" s="299"/>
      <c r="EV45" s="298"/>
      <c r="EW45" s="89"/>
      <c r="EX45" s="298"/>
      <c r="EY45" s="298"/>
      <c r="EZ45" s="299"/>
      <c r="FA45" s="298"/>
      <c r="FB45" s="89"/>
      <c r="FC45" s="298"/>
      <c r="FD45" s="298"/>
      <c r="FE45" s="299"/>
      <c r="FF45" s="298"/>
      <c r="FG45" s="89"/>
      <c r="FH45" s="298"/>
      <c r="FI45" s="298"/>
      <c r="FJ45" s="299"/>
      <c r="FK45" s="298"/>
      <c r="FL45" s="89"/>
      <c r="FM45" s="298"/>
      <c r="FN45" s="298"/>
      <c r="FO45" s="299"/>
      <c r="FP45" s="298"/>
      <c r="FQ45" s="89"/>
      <c r="FR45" s="298"/>
      <c r="FS45" s="298"/>
      <c r="FT45" s="299"/>
      <c r="FU45" s="298"/>
      <c r="FV45" s="89"/>
      <c r="FW45" s="298"/>
      <c r="FX45" s="298"/>
      <c r="FY45" s="299"/>
      <c r="FZ45" s="298"/>
      <c r="GA45" s="89"/>
      <c r="GB45" s="298"/>
      <c r="GC45" s="298"/>
      <c r="GD45" s="299"/>
      <c r="GE45" s="298"/>
      <c r="GF45" s="89"/>
      <c r="GG45" s="298"/>
      <c r="GH45" s="298"/>
      <c r="GI45" s="299"/>
      <c r="GJ45" s="298"/>
      <c r="GK45" s="89"/>
      <c r="GL45" s="298"/>
      <c r="GM45" s="298"/>
      <c r="GN45" s="299"/>
      <c r="GO45" s="298"/>
      <c r="GP45" s="89"/>
      <c r="GQ45" s="298"/>
      <c r="GR45" s="298"/>
      <c r="GS45" s="299"/>
      <c r="GT45" s="298"/>
      <c r="GU45" s="89"/>
      <c r="GV45" s="298"/>
      <c r="GW45" s="298"/>
      <c r="GX45" s="299"/>
      <c r="GY45" s="298"/>
      <c r="GZ45" s="89"/>
      <c r="HA45" s="298"/>
      <c r="HB45" s="298"/>
      <c r="HC45" s="299"/>
      <c r="HD45" s="298"/>
      <c r="HE45" s="89"/>
      <c r="HF45" s="298"/>
      <c r="HG45" s="298"/>
      <c r="HH45" s="299"/>
      <c r="HI45" s="298"/>
      <c r="HJ45" s="89"/>
      <c r="HK45" s="298"/>
      <c r="HL45" s="298"/>
      <c r="HM45" s="299"/>
      <c r="HN45" s="298"/>
      <c r="HO45" s="89"/>
      <c r="HP45" s="298"/>
      <c r="HQ45" s="298"/>
      <c r="HR45" s="299"/>
      <c r="HS45" s="298"/>
      <c r="HT45" s="89"/>
      <c r="HU45" s="298"/>
      <c r="HV45" s="298"/>
      <c r="HW45" s="299"/>
      <c r="HX45" s="298"/>
      <c r="HY45" s="89"/>
      <c r="HZ45" s="298"/>
      <c r="IA45" s="298"/>
      <c r="IB45" s="299"/>
      <c r="IC45" s="298"/>
      <c r="ID45" s="89"/>
      <c r="IE45" s="298"/>
      <c r="IF45" s="298"/>
      <c r="IG45" s="299"/>
      <c r="IH45" s="298"/>
      <c r="II45" s="89"/>
      <c r="IJ45" s="298"/>
      <c r="IK45" s="298"/>
      <c r="IL45" s="299"/>
      <c r="IM45" s="298"/>
      <c r="IN45" s="89"/>
      <c r="IO45" s="298"/>
      <c r="IP45" s="298"/>
      <c r="IQ45" s="299"/>
      <c r="IR45" s="298"/>
      <c r="IS45" s="89"/>
      <c r="IT45" s="298"/>
      <c r="IU45" s="298"/>
      <c r="IV45" s="299"/>
      <c r="IW45" s="298"/>
      <c r="IX45" s="89"/>
      <c r="IY45" s="298"/>
      <c r="IZ45" s="298"/>
      <c r="JA45" s="299"/>
      <c r="JB45" s="298"/>
      <c r="JC45" s="109"/>
      <c r="JD45" s="300"/>
      <c r="JE45" s="301"/>
      <c r="JF45" s="302"/>
      <c r="JG45" s="299"/>
    </row>
    <row r="46" spans="3:267" s="134" customFormat="1" ht="23.25">
      <c r="C46" s="290" t="s">
        <v>236</v>
      </c>
      <c r="D46" s="135">
        <f>SUM(D8:D36)</f>
        <v>2492958.63</v>
      </c>
      <c r="E46" s="135">
        <f>SUM(E8:E36)</f>
        <v>1409162.6039999996</v>
      </c>
      <c r="F46" s="136">
        <f>E46/D46</f>
        <v>0.5652571153978595</v>
      </c>
      <c r="G46" s="135">
        <f>SUM(G8:G36)</f>
        <v>1813912.6900000002</v>
      </c>
      <c r="H46" s="137">
        <f>G46/D46</f>
        <v>0.72761443698726769</v>
      </c>
      <c r="I46" s="135">
        <f>SUM(I8:I36)</f>
        <v>2428947.7000000002</v>
      </c>
      <c r="J46" s="135">
        <f>SUM(J8:J36)</f>
        <v>1698273.3916</v>
      </c>
      <c r="K46" s="136">
        <f>J46/I46</f>
        <v>0.6991807158301514</v>
      </c>
      <c r="L46" s="135">
        <f>SUM(L8:L36)</f>
        <v>1533310.0699999996</v>
      </c>
      <c r="M46" s="137">
        <f>L46/I46</f>
        <v>0.63126516474603367</v>
      </c>
      <c r="N46" s="303">
        <f>SUM(N8:N36)</f>
        <v>2130789.9900000002</v>
      </c>
      <c r="O46" s="135">
        <f>SUM(O8:O36)</f>
        <v>1580526.4665000001</v>
      </c>
      <c r="P46" s="306">
        <f>O46/N46</f>
        <v>0.74175609699574374</v>
      </c>
      <c r="Q46" s="135">
        <f>SUM(Q8:Q36)</f>
        <v>1581443.57</v>
      </c>
      <c r="R46" s="137">
        <f>Q46/N46</f>
        <v>0.7421865023873141</v>
      </c>
      <c r="S46" s="135">
        <f>SUM(S8:S36)</f>
        <v>2253697.0099999998</v>
      </c>
      <c r="T46" s="135">
        <f>SUM(T8:T36)</f>
        <v>1771837.2179999999</v>
      </c>
      <c r="U46" s="136">
        <f>T46/S46</f>
        <v>0.78619140467333715</v>
      </c>
      <c r="V46" s="135">
        <f>SUM(V8:V36)</f>
        <v>1623947.2799999998</v>
      </c>
      <c r="W46" s="137">
        <f>V46/S46</f>
        <v>0.72057036628894489</v>
      </c>
      <c r="X46" s="135">
        <f>SUM(X8:X36)</f>
        <v>2388770.4500000002</v>
      </c>
      <c r="Y46" s="135">
        <f>SUM(Y8:Y36)</f>
        <v>1887613.8341000001</v>
      </c>
      <c r="Z46" s="136">
        <f>Y46/X46</f>
        <v>0.79020310808851468</v>
      </c>
      <c r="AA46" s="135">
        <f>SUM(AA8:AA36)</f>
        <v>1801419.8100000005</v>
      </c>
      <c r="AB46" s="137">
        <f>AA46/X46</f>
        <v>0.75412009973582872</v>
      </c>
      <c r="AC46" s="135">
        <f>SUM(AC29:AC36,AC8:AC27)</f>
        <v>3591235.3699999996</v>
      </c>
      <c r="AD46" s="135">
        <f>SUM(AD29:AD36,AD8:AD27)</f>
        <v>3051656.1658000001</v>
      </c>
      <c r="AE46" s="136">
        <f>AD46/AC46</f>
        <v>0.84975108880151184</v>
      </c>
      <c r="AF46" s="135">
        <f>SUM(AF8:AF36)</f>
        <v>2155118.9700000002</v>
      </c>
      <c r="AG46" s="137">
        <f>AF46/AC46</f>
        <v>0.60010518608809549</v>
      </c>
      <c r="AH46" s="135">
        <f>SUM(AH29:AH36,AH8:AH27)</f>
        <v>2217957.13</v>
      </c>
      <c r="AI46" s="135">
        <f>SUM(AI29:AI36,AI8:AI27)</f>
        <v>1330774.2779999999</v>
      </c>
      <c r="AJ46" s="136">
        <f>AI46/AH46</f>
        <v>0.6</v>
      </c>
      <c r="AK46" s="135">
        <f>SUM(AK8:AK36)</f>
        <v>1539105.7000000002</v>
      </c>
      <c r="AL46" s="137">
        <f>AK46/AH46</f>
        <v>0.69392941783324746</v>
      </c>
      <c r="AM46" s="135">
        <f>SUM(AM8:AM36)</f>
        <v>2276104.12</v>
      </c>
      <c r="AN46" s="135">
        <f>SUM(AN8:AN36)</f>
        <v>1403914.9110000001</v>
      </c>
      <c r="AO46" s="136">
        <f>AN46/AM46</f>
        <v>0.6168061024378797</v>
      </c>
      <c r="AP46" s="135">
        <f>SUM(AP8:AP36)</f>
        <v>1774100.33</v>
      </c>
      <c r="AQ46" s="137">
        <f>AP46/AM46</f>
        <v>0.77944603430531989</v>
      </c>
      <c r="AR46" s="135">
        <f>SUM(AR8:AR36)</f>
        <v>2425678.8799999994</v>
      </c>
      <c r="AS46" s="135">
        <f>SUM(AS8:AS36)</f>
        <v>1900821.8099999998</v>
      </c>
      <c r="AT46" s="136">
        <f>AS46/AR46</f>
        <v>0.78362466923074348</v>
      </c>
      <c r="AU46" s="135">
        <f>SUM(AU8:AU36)</f>
        <v>1923059.1600000004</v>
      </c>
      <c r="AV46" s="137">
        <f>AU46/AR46</f>
        <v>0.79279214402856191</v>
      </c>
      <c r="AW46" s="135">
        <f>SUM(AW8:AW36)</f>
        <v>2641352.75</v>
      </c>
      <c r="AX46" s="135">
        <f>SUM(AX8:AX36)</f>
        <v>2077643.7150000001</v>
      </c>
      <c r="AY46" s="136">
        <f>AX46/AW46</f>
        <v>0.78658320627564804</v>
      </c>
      <c r="AZ46" s="135">
        <f>SUM(AZ8:AZ36)</f>
        <v>1930918.0799999998</v>
      </c>
      <c r="BA46" s="137">
        <f>AZ46/AW46</f>
        <v>0.73103377805179559</v>
      </c>
      <c r="BB46" s="135">
        <f>SUM(BB8:BB36)</f>
        <v>1835020.18</v>
      </c>
      <c r="BC46" s="135">
        <f>SUM(BC8:BC36)</f>
        <v>1314482.8069999998</v>
      </c>
      <c r="BD46" s="136">
        <f>BC46/BB46</f>
        <v>0.71633152666473665</v>
      </c>
      <c r="BE46" s="135">
        <f>SUM(BE8:BE36)</f>
        <v>2162586.02</v>
      </c>
      <c r="BF46" s="137">
        <f>BE46/BB46</f>
        <v>1.1785080314484608</v>
      </c>
      <c r="BG46" s="135">
        <f>SUM(BG8:BG36)</f>
        <v>1084073.3099999998</v>
      </c>
      <c r="BH46" s="135">
        <f>SUM(BH8:BH36)</f>
        <v>805117.86</v>
      </c>
      <c r="BI46" s="136">
        <f>BH46/BG46</f>
        <v>0.74267842642486981</v>
      </c>
      <c r="BJ46" s="135">
        <f>SUM(BJ8:BJ36)</f>
        <v>0</v>
      </c>
      <c r="BK46" s="137">
        <f>BJ46/BG46</f>
        <v>0</v>
      </c>
      <c r="BL46" s="135">
        <f>SUM(BL8:BL36)</f>
        <v>1141663.49</v>
      </c>
      <c r="BM46" s="135">
        <f>SUM(BM8:BM36)</f>
        <v>856247.61750000005</v>
      </c>
      <c r="BN46" s="136">
        <f>BM46/BL46</f>
        <v>0.75</v>
      </c>
      <c r="BO46" s="135">
        <f>SUM(BO8:BO36)</f>
        <v>0</v>
      </c>
      <c r="BP46" s="137">
        <f>BO46/BL46</f>
        <v>0</v>
      </c>
      <c r="BQ46" s="135">
        <f>SUM(BQ8:BQ36)</f>
        <v>786034.60000000009</v>
      </c>
      <c r="BR46" s="135">
        <f>SUM(BR8:BR36)</f>
        <v>2751121.0999999996</v>
      </c>
      <c r="BS46" s="136">
        <f>BR46/BQ46</f>
        <v>3.4999999999999991</v>
      </c>
      <c r="BT46" s="135">
        <f>SUM(BT8:BT36)</f>
        <v>0</v>
      </c>
      <c r="BU46" s="137">
        <f>BT46/BQ46</f>
        <v>0</v>
      </c>
      <c r="BV46" s="135">
        <f>SUM(BV8:BV36)</f>
        <v>724585.96</v>
      </c>
      <c r="BW46" s="135">
        <f>SUM(BW8:BW36)</f>
        <v>2536050.86</v>
      </c>
      <c r="BX46" s="136">
        <f>BW46/BV46</f>
        <v>3.5</v>
      </c>
      <c r="BY46" s="135">
        <f>SUM(BY8:BY36)</f>
        <v>0</v>
      </c>
      <c r="BZ46" s="137">
        <f>BY46/BV46</f>
        <v>0</v>
      </c>
      <c r="CA46" s="135">
        <f>SUM(CA8:CA36)</f>
        <v>475298.30000000005</v>
      </c>
      <c r="CB46" s="135">
        <f>SUM(CB8:CB36)</f>
        <v>2376491.5</v>
      </c>
      <c r="CC46" s="136">
        <f>CB46/CA46</f>
        <v>4.9999999999999991</v>
      </c>
      <c r="CD46" s="135">
        <f>SUM(CD8:CD36)</f>
        <v>0</v>
      </c>
      <c r="CE46" s="137">
        <f>CD46/CA46</f>
        <v>0</v>
      </c>
      <c r="CF46" s="135">
        <f>SUM(CF8:CF36)</f>
        <v>859935.73</v>
      </c>
      <c r="CG46" s="135">
        <f>SUM(CG8:CG36)</f>
        <v>2579807.19</v>
      </c>
      <c r="CH46" s="136">
        <f>CG46/CF46</f>
        <v>3</v>
      </c>
      <c r="CI46" s="135">
        <f>SUM(CI8:CI36)</f>
        <v>0</v>
      </c>
      <c r="CJ46" s="137">
        <f>CI46/CF46</f>
        <v>0</v>
      </c>
      <c r="CK46" s="135">
        <f>SUM(CK8:CK36)</f>
        <v>55275.89</v>
      </c>
      <c r="CL46" s="135">
        <f>SUM(CL8:CL36)</f>
        <v>359293.28499999997</v>
      </c>
      <c r="CM46" s="136">
        <f>CL46/CK46</f>
        <v>6.5</v>
      </c>
      <c r="CN46" s="135">
        <f>SUM(CN8:CN36)</f>
        <v>0</v>
      </c>
      <c r="CO46" s="137">
        <f>CN46/CK46</f>
        <v>0</v>
      </c>
      <c r="CP46" s="135">
        <f>SUM(CP8:CP36)</f>
        <v>435831.52</v>
      </c>
      <c r="CQ46" s="135">
        <f>SUM(CQ8:CQ36)</f>
        <v>2832904.88</v>
      </c>
      <c r="CR46" s="136">
        <f>CQ46/CP46</f>
        <v>6.4999999999999991</v>
      </c>
      <c r="CS46" s="135">
        <f>SUM(CS8:CS36)</f>
        <v>0</v>
      </c>
      <c r="CT46" s="137">
        <f>CS46/CP46</f>
        <v>0</v>
      </c>
      <c r="CU46" s="135">
        <f>SUM(CU8:CU36)</f>
        <v>472516.65000000014</v>
      </c>
      <c r="CV46" s="135">
        <f>SUM(CV8:CV36)</f>
        <v>3071358.2249999996</v>
      </c>
      <c r="CW46" s="136">
        <f>CV46/CU46</f>
        <v>6.4999999999999973</v>
      </c>
      <c r="CX46" s="135">
        <f>SUM(CX8:CX36)</f>
        <v>0</v>
      </c>
      <c r="CY46" s="137">
        <f>CX46/CU46</f>
        <v>0</v>
      </c>
      <c r="CZ46" s="135">
        <f>SUM(CZ8:CZ36)</f>
        <v>459787.63000000006</v>
      </c>
      <c r="DA46" s="135">
        <f>SUM(DA8:DA36)</f>
        <v>2988619.5949999997</v>
      </c>
      <c r="DB46" s="136">
        <f>DA46/CZ46</f>
        <v>6.4999999999999982</v>
      </c>
      <c r="DC46" s="135">
        <f>SUM(DC8:DC36)</f>
        <v>0</v>
      </c>
      <c r="DD46" s="137">
        <f>DC46/CZ46</f>
        <v>0</v>
      </c>
      <c r="DE46" s="135">
        <f>SUM(DE8:DE36)</f>
        <v>666266.09999999986</v>
      </c>
      <c r="DF46" s="135">
        <f>SUM(DF8:DF36)</f>
        <v>2998197.4499999997</v>
      </c>
      <c r="DG46" s="136">
        <f>DF46/DE46</f>
        <v>4.5000000000000009</v>
      </c>
      <c r="DH46" s="135">
        <f>SUM(DH8:DH36)</f>
        <v>0</v>
      </c>
      <c r="DI46" s="137">
        <f>DH46/DE46</f>
        <v>0</v>
      </c>
      <c r="DJ46" s="135">
        <f>SUM(DJ8:DJ36)</f>
        <v>822445</v>
      </c>
      <c r="DK46" s="135">
        <f>SUM(DK8:DK36)</f>
        <v>2467335</v>
      </c>
      <c r="DL46" s="136">
        <f>DK46/DJ46</f>
        <v>3</v>
      </c>
      <c r="DM46" s="135">
        <f>SUM(DM8:DM36)</f>
        <v>0</v>
      </c>
      <c r="DN46" s="137">
        <f>DM46/DJ46</f>
        <v>0</v>
      </c>
      <c r="DO46" s="135">
        <f>SUM(DO8:DO36)</f>
        <v>1314652.94</v>
      </c>
      <c r="DP46" s="135">
        <f>SUM(DP8:DP36)</f>
        <v>3286632.3499999992</v>
      </c>
      <c r="DQ46" s="136">
        <f>DP46/DO46</f>
        <v>2.4999999999999996</v>
      </c>
      <c r="DR46" s="135">
        <f>SUM(DR8:DR36)</f>
        <v>0</v>
      </c>
      <c r="DS46" s="137">
        <f>DR46/DO46</f>
        <v>0</v>
      </c>
      <c r="DT46" s="135">
        <f>SUM(DT8:DT36)</f>
        <v>1256421.8900000001</v>
      </c>
      <c r="DU46" s="135">
        <f>SUM(DU8:DU36)</f>
        <v>3141054.7250000006</v>
      </c>
      <c r="DV46" s="136">
        <f>DU46/DT46</f>
        <v>2.5</v>
      </c>
      <c r="DW46" s="135">
        <f>SUM(DW8:DW36)</f>
        <v>0</v>
      </c>
      <c r="DX46" s="137">
        <f>DW46/DT46</f>
        <v>0</v>
      </c>
      <c r="DY46" s="135">
        <f>SUM(DY8:DY36)</f>
        <v>1559356.19</v>
      </c>
      <c r="DZ46" s="135">
        <f>SUM(DZ8:DZ36)</f>
        <v>3898390.4749999996</v>
      </c>
      <c r="EA46" s="136">
        <f>DZ46/DY46</f>
        <v>2.5</v>
      </c>
      <c r="EB46" s="135">
        <f>SUM(EB8:EB36)</f>
        <v>0</v>
      </c>
      <c r="EC46" s="137">
        <f>EB46/DY46</f>
        <v>0</v>
      </c>
      <c r="ED46" s="135">
        <f>SUM(ED8:ED36)</f>
        <v>1535505.1</v>
      </c>
      <c r="EE46" s="135">
        <f>SUM(EE8:EE36)</f>
        <v>3071010.2</v>
      </c>
      <c r="EF46" s="136">
        <f>EE46/ED46</f>
        <v>2</v>
      </c>
      <c r="EG46" s="135">
        <f>SUM(EG8:EG36)</f>
        <v>0</v>
      </c>
      <c r="EH46" s="137">
        <f>EG46/ED46</f>
        <v>0</v>
      </c>
      <c r="EI46" s="135">
        <f>SUM(EI8:EI36)</f>
        <v>1764282.0099999995</v>
      </c>
      <c r="EJ46" s="135">
        <f>SUM(EJ8:EJ36)</f>
        <v>3175707.6180000002</v>
      </c>
      <c r="EK46" s="136">
        <f>EJ46/EI46</f>
        <v>1.8000000000000007</v>
      </c>
      <c r="EL46" s="135">
        <f>SUM(EL8:EL36)</f>
        <v>0</v>
      </c>
      <c r="EM46" s="137">
        <f>EL46/EI46</f>
        <v>0</v>
      </c>
      <c r="EN46" s="135">
        <f>SUM(EN8:EN36)</f>
        <v>1598506.0000000002</v>
      </c>
      <c r="EO46" s="135">
        <f>SUM(EO8:EO36)</f>
        <v>2877310.8</v>
      </c>
      <c r="EP46" s="136">
        <f>EO46/EN46</f>
        <v>1.7999999999999996</v>
      </c>
      <c r="EQ46" s="135">
        <f>SUM(EQ8:EQ36)</f>
        <v>0</v>
      </c>
      <c r="ER46" s="137">
        <f>EQ46/EN46</f>
        <v>0</v>
      </c>
      <c r="ES46" s="135">
        <f>SUM(ES8:ES36)</f>
        <v>1540385.0399999998</v>
      </c>
      <c r="ET46" s="135">
        <f>SUM(ET8:ET36)</f>
        <v>2772693.0720000002</v>
      </c>
      <c r="EU46" s="136">
        <f>ET46/ES46</f>
        <v>1.8000000000000003</v>
      </c>
      <c r="EV46" s="135">
        <f>SUM(EV8:EV36)</f>
        <v>0</v>
      </c>
      <c r="EW46" s="137">
        <f>EV46/ES46</f>
        <v>0</v>
      </c>
      <c r="EX46" s="135">
        <f>SUM(EX8:EX36)</f>
        <v>1673705.4100000001</v>
      </c>
      <c r="EY46" s="135">
        <f>SUM(EY8:EY36)</f>
        <v>3012669.7379999994</v>
      </c>
      <c r="EZ46" s="136">
        <f>EY46/EX46</f>
        <v>1.7999999999999996</v>
      </c>
      <c r="FA46" s="135">
        <f>SUM(FA8:FA36)</f>
        <v>0</v>
      </c>
      <c r="FB46" s="137">
        <f>FA46/EX46</f>
        <v>0</v>
      </c>
      <c r="FC46" s="135">
        <f>SUM(FC8:FC36)</f>
        <v>1761896.7000000004</v>
      </c>
      <c r="FD46" s="135">
        <f>SUM(FD8:FD36)</f>
        <v>3171414.06</v>
      </c>
      <c r="FE46" s="136">
        <f>FD46/FC46</f>
        <v>1.7999999999999996</v>
      </c>
      <c r="FF46" s="135">
        <f>SUM(FF8:FF36)</f>
        <v>0</v>
      </c>
      <c r="FG46" s="137">
        <f>FF46/FC46</f>
        <v>0</v>
      </c>
      <c r="FH46" s="135">
        <f>SUM(FH8:FH36)</f>
        <v>1722438.1099999996</v>
      </c>
      <c r="FI46" s="135">
        <f>SUM(FI8:FI36)</f>
        <v>3100388.5980000007</v>
      </c>
      <c r="FJ46" s="136">
        <f>FI46/FH46</f>
        <v>1.8000000000000007</v>
      </c>
      <c r="FK46" s="135">
        <f>SUM(FK8:FK36)</f>
        <v>0</v>
      </c>
      <c r="FL46" s="137">
        <f>FK46/FH46</f>
        <v>0</v>
      </c>
      <c r="FM46" s="135">
        <f>SUM(FM8:FM36)</f>
        <v>1664551.54</v>
      </c>
      <c r="FN46" s="135">
        <f>SUM(FN8:FN36)</f>
        <v>2996192.7720000003</v>
      </c>
      <c r="FO46" s="136">
        <f>FN46/FM46</f>
        <v>1.8000000000000003</v>
      </c>
      <c r="FP46" s="135">
        <f>SUM(FP8:FP36)</f>
        <v>0</v>
      </c>
      <c r="FQ46" s="137">
        <f>FP46/FM46</f>
        <v>0</v>
      </c>
      <c r="FR46" s="135">
        <f>SUM(FR8:FR36)</f>
        <v>1837729.9</v>
      </c>
      <c r="FS46" s="135">
        <f>SUM(FS8:FS36)</f>
        <v>2866858.6440000013</v>
      </c>
      <c r="FT46" s="136">
        <f>FS46/FR46</f>
        <v>1.5600000000000007</v>
      </c>
      <c r="FU46" s="135">
        <f>SUM(FU8:FU36)</f>
        <v>0</v>
      </c>
      <c r="FV46" s="137">
        <f>FU46/FR46</f>
        <v>0</v>
      </c>
      <c r="FW46" s="135">
        <f>SUM(FW8:FW36)</f>
        <v>1768544.3900000004</v>
      </c>
      <c r="FX46" s="135">
        <f>SUM(FX8:FX36)</f>
        <v>2758929.2484000004</v>
      </c>
      <c r="FY46" s="136">
        <f>FX46/FW46</f>
        <v>1.5599999999999998</v>
      </c>
      <c r="FZ46" s="135">
        <f>SUM(FZ8:FZ36)</f>
        <v>0</v>
      </c>
      <c r="GA46" s="137">
        <f>FZ46/FW46</f>
        <v>0</v>
      </c>
      <c r="GB46" s="135">
        <f>SUM(GB8:GB36)</f>
        <v>1875500.79</v>
      </c>
      <c r="GC46" s="135">
        <f>SUM(GC8:GC36)</f>
        <v>2925781.2324000001</v>
      </c>
      <c r="GD46" s="136">
        <f>GC46/GB46</f>
        <v>1.56</v>
      </c>
      <c r="GE46" s="135">
        <f>SUM(GE8:GE36)</f>
        <v>0</v>
      </c>
      <c r="GF46" s="137">
        <f>GE46/GB46</f>
        <v>0</v>
      </c>
      <c r="GG46" s="135">
        <f>SUM(GG8:GG36)</f>
        <v>1684768.17</v>
      </c>
      <c r="GH46" s="135">
        <f>SUM(GH8:GH36)</f>
        <v>2628238.3452000003</v>
      </c>
      <c r="GI46" s="136">
        <f>GH46/GG46</f>
        <v>1.5600000000000003</v>
      </c>
      <c r="GJ46" s="135">
        <f>SUM(GJ8:GJ36)</f>
        <v>0</v>
      </c>
      <c r="GK46" s="137">
        <f>GJ46/GG46</f>
        <v>0</v>
      </c>
      <c r="GL46" s="135">
        <f>SUM(GL8:GL36)</f>
        <v>1815754.28</v>
      </c>
      <c r="GM46" s="135">
        <f>SUM(GM8:GM36)</f>
        <v>2832576.6768</v>
      </c>
      <c r="GN46" s="136">
        <f>GM46/GL46</f>
        <v>1.56</v>
      </c>
      <c r="GO46" s="135">
        <f>SUM(GO8:GO36)</f>
        <v>0</v>
      </c>
      <c r="GP46" s="137">
        <f>GO46/GL46</f>
        <v>0</v>
      </c>
      <c r="GQ46" s="135">
        <f>SUM(GQ8:GQ36)</f>
        <v>1798909.2400000002</v>
      </c>
      <c r="GR46" s="135">
        <f>SUM(GR8:GR36)</f>
        <v>2806298.4143999997</v>
      </c>
      <c r="GS46" s="136">
        <f>GR46/GQ46</f>
        <v>1.5599999999999996</v>
      </c>
      <c r="GT46" s="135">
        <f>SUM(GT8:GT36)</f>
        <v>0</v>
      </c>
      <c r="GU46" s="137">
        <f>GT46/GQ46</f>
        <v>0</v>
      </c>
      <c r="GV46" s="135">
        <f>SUM(GV8:GV36)</f>
        <v>1805364.07</v>
      </c>
      <c r="GW46" s="135">
        <f>SUM(GW8:GW36)</f>
        <v>3610728.14</v>
      </c>
      <c r="GX46" s="136">
        <f>GW46/GV46</f>
        <v>2</v>
      </c>
      <c r="GY46" s="135">
        <f>SUM(GY8:GY36)</f>
        <v>0</v>
      </c>
      <c r="GZ46" s="137">
        <f>GY46/GV46</f>
        <v>0</v>
      </c>
      <c r="HA46" s="135">
        <f>SUM(HA8:HA36)</f>
        <v>1181269.71</v>
      </c>
      <c r="HB46" s="135">
        <f>SUM(HB8:HB36)</f>
        <v>3543809.13</v>
      </c>
      <c r="HC46" s="136">
        <f>HB46/HA46</f>
        <v>3</v>
      </c>
      <c r="HD46" s="135">
        <f>SUM(HD8:HD36)</f>
        <v>0</v>
      </c>
      <c r="HE46" s="137">
        <f>HD46/HA46</f>
        <v>0</v>
      </c>
      <c r="HF46" s="135">
        <f>SUM(HF8:HF36)</f>
        <v>693980.95000000007</v>
      </c>
      <c r="HG46" s="135">
        <f>SUM(HG8:HG36)</f>
        <v>3417237.080000001</v>
      </c>
      <c r="HH46" s="136">
        <f>HG46/HF46</f>
        <v>4.9241079023855061</v>
      </c>
      <c r="HI46" s="135">
        <f>SUM(HI8:HI36)</f>
        <v>0</v>
      </c>
      <c r="HJ46" s="137">
        <f>HI46/HF46</f>
        <v>0</v>
      </c>
      <c r="HK46" s="135">
        <f>SUM(HK8:HK36)</f>
        <v>418474.44999999995</v>
      </c>
      <c r="HL46" s="135">
        <f>SUM(HL8:HL36)</f>
        <v>2301609.4749999996</v>
      </c>
      <c r="HM46" s="136">
        <f>HL46/HK46</f>
        <v>5.5</v>
      </c>
      <c r="HN46" s="135">
        <f>SUM(HN8:HN36)</f>
        <v>0</v>
      </c>
      <c r="HO46" s="137">
        <f>HN46/HK46</f>
        <v>0</v>
      </c>
      <c r="HP46" s="135">
        <f>SUM(HP8:HP36)</f>
        <v>494266.41000000003</v>
      </c>
      <c r="HQ46" s="135">
        <f>SUM(HQ8:HQ36)</f>
        <v>2434151.0900000003</v>
      </c>
      <c r="HR46" s="136">
        <f>HQ46/HP46</f>
        <v>4.9247754667366532</v>
      </c>
      <c r="HS46" s="135">
        <f>SUM(HS8:HS36)</f>
        <v>0</v>
      </c>
      <c r="HT46" s="137">
        <f>HS46/HP46</f>
        <v>0</v>
      </c>
      <c r="HU46" s="135">
        <f>SUM(HU8:HU36)</f>
        <v>1027951.5700000001</v>
      </c>
      <c r="HV46" s="135">
        <f>SUM(HV8:HV36)</f>
        <v>3083854.7099999995</v>
      </c>
      <c r="HW46" s="136">
        <f>HV46/HU46</f>
        <v>2.9999999999999991</v>
      </c>
      <c r="HX46" s="135">
        <f>SUM(HX8:HX36)</f>
        <v>0</v>
      </c>
      <c r="HY46" s="137">
        <f>HX46/HU46</f>
        <v>0</v>
      </c>
      <c r="HZ46" s="135">
        <f>SUM(HZ8:HZ36)</f>
        <v>2325201.9899999993</v>
      </c>
      <c r="IA46" s="135">
        <f>SUM(IA8:IA36)</f>
        <v>6975605.9700000007</v>
      </c>
      <c r="IB46" s="136">
        <f>IA46/HZ46</f>
        <v>3.0000000000000013</v>
      </c>
      <c r="IC46" s="135">
        <f>SUM(IC8:IC36)</f>
        <v>0</v>
      </c>
      <c r="ID46" s="137">
        <f>IC46/HZ46</f>
        <v>0</v>
      </c>
      <c r="IE46" s="135">
        <f>SUM(IE8:IE36)</f>
        <v>3514464.7499999991</v>
      </c>
      <c r="IF46" s="135">
        <f>SUM(IF8:IF36)</f>
        <v>5271697.1250000009</v>
      </c>
      <c r="IG46" s="136">
        <f>IF46/IE46</f>
        <v>1.5000000000000007</v>
      </c>
      <c r="IH46" s="135">
        <f>SUM(IH8:IH36)</f>
        <v>0</v>
      </c>
      <c r="II46" s="137">
        <f>IH46/IE46</f>
        <v>0</v>
      </c>
      <c r="IJ46" s="135">
        <f>SUM(IJ8:IJ36)</f>
        <v>4601418.6099999994</v>
      </c>
      <c r="IK46" s="135">
        <f>SUM(IK8:IK36)</f>
        <v>6902127.915</v>
      </c>
      <c r="IL46" s="136">
        <f>IK46/IJ46</f>
        <v>1.5000000000000002</v>
      </c>
      <c r="IM46" s="135">
        <f>SUM(IM8:IM36)</f>
        <v>0</v>
      </c>
      <c r="IN46" s="137">
        <f>IM46/IJ46</f>
        <v>0</v>
      </c>
      <c r="IO46" s="135">
        <f>SUM(IO8:IO36)</f>
        <v>5989857.1000000006</v>
      </c>
      <c r="IP46" s="135">
        <f>SUM(IP8:IP36)</f>
        <v>8984785.6500000004</v>
      </c>
      <c r="IQ46" s="136">
        <f>IP46/IO46</f>
        <v>1.5</v>
      </c>
      <c r="IR46" s="135">
        <f>SUM(IR8:IR36)</f>
        <v>0</v>
      </c>
      <c r="IS46" s="137">
        <f>IR46/IO46</f>
        <v>0</v>
      </c>
      <c r="IT46" s="135">
        <f>SUM(IT8:IT36)</f>
        <v>7486355.629999999</v>
      </c>
      <c r="IU46" s="135">
        <f>SUM(IU8:IU36)</f>
        <v>11229533.445</v>
      </c>
      <c r="IV46" s="136">
        <f>IU46/IT46</f>
        <v>1.5000000000000002</v>
      </c>
      <c r="IW46" s="135">
        <f>SUM(IW8:IW36)</f>
        <v>0</v>
      </c>
      <c r="IX46" s="137">
        <f>IW46/IT46</f>
        <v>0</v>
      </c>
      <c r="IY46" s="135">
        <f>SUM(IY8:IY36)</f>
        <v>2044644.37</v>
      </c>
      <c r="IZ46" s="135">
        <f>SUM(IZ8:IZ36)</f>
        <v>3066966.5550000002</v>
      </c>
      <c r="JA46" s="136">
        <f>IZ46/IY46</f>
        <v>1.5</v>
      </c>
      <c r="JB46" s="135">
        <f>SUM(JB8:JB36)</f>
        <v>0</v>
      </c>
      <c r="JC46" s="138">
        <f>JB46/IY46</f>
        <v>0</v>
      </c>
      <c r="JD46" s="139">
        <f>SUM(JD8:JD27,JD29:JD36)</f>
        <v>25703363.179999996</v>
      </c>
      <c r="JE46" s="139">
        <f>SUM(JE8:JE27,JE29:JE36)</f>
        <v>19067007.550000001</v>
      </c>
      <c r="JF46" s="140">
        <f>JE46-JD46</f>
        <v>-6636355.6299999952</v>
      </c>
      <c r="JG46" s="136">
        <f>JE46/JD46</f>
        <v>0.74180983307414805</v>
      </c>
    </row>
    <row r="47" spans="3:267" s="134" customFormat="1" ht="23.25">
      <c r="C47" s="343" t="s">
        <v>237</v>
      </c>
      <c r="D47" s="344"/>
      <c r="E47" s="344"/>
      <c r="F47" s="345"/>
      <c r="G47" s="344"/>
      <c r="H47" s="345"/>
      <c r="I47" s="344"/>
      <c r="J47" s="344"/>
      <c r="K47" s="345"/>
      <c r="L47" s="344"/>
      <c r="M47" s="345"/>
      <c r="N47" s="346"/>
      <c r="O47" s="344"/>
      <c r="P47" s="347"/>
      <c r="Q47" s="344"/>
      <c r="R47" s="345"/>
      <c r="S47" s="344"/>
      <c r="T47" s="344"/>
      <c r="U47" s="345"/>
      <c r="V47" s="344"/>
      <c r="W47" s="345"/>
      <c r="X47" s="344"/>
      <c r="Y47" s="344"/>
      <c r="Z47" s="345"/>
      <c r="AA47" s="344"/>
      <c r="AB47" s="345"/>
      <c r="AC47" s="344">
        <f>SUM(AC8:AC36)</f>
        <v>3747467.25</v>
      </c>
      <c r="AD47" s="344">
        <f>SUM(AD8:AD36)</f>
        <v>3051656.1658000001</v>
      </c>
      <c r="AE47" s="136">
        <f>AD47/AC47</f>
        <v>0.81432497263318315</v>
      </c>
      <c r="AF47" s="344">
        <f>SUM(AF8:AF36)</f>
        <v>2155118.9700000002</v>
      </c>
      <c r="AG47" s="137">
        <f>AF47/AC47</f>
        <v>0.57508680562852155</v>
      </c>
      <c r="AH47" s="344">
        <f>SUM(AH8:AH36)</f>
        <v>2335103.3200000003</v>
      </c>
      <c r="AI47" s="344">
        <f>SUM(AI8:AI36)</f>
        <v>1436205.8489999997</v>
      </c>
      <c r="AJ47" s="136">
        <f>AI47/AH47</f>
        <v>0.61505023640666978</v>
      </c>
      <c r="AK47" s="344">
        <f>SUM(AK8:AK36)</f>
        <v>1539105.7000000002</v>
      </c>
      <c r="AL47" s="137">
        <f>AK47/AH47</f>
        <v>0.65911674520680308</v>
      </c>
      <c r="AM47" s="344">
        <f>SUM(AM8:AM36)</f>
        <v>2276104.12</v>
      </c>
      <c r="AN47" s="344">
        <f>SUM(AN8:AN36)</f>
        <v>1403914.9110000001</v>
      </c>
      <c r="AO47" s="136">
        <f>AN47/AM47</f>
        <v>0.6168061024378797</v>
      </c>
      <c r="AP47" s="344">
        <f>SUM(AP8:AP36)</f>
        <v>1774100.33</v>
      </c>
      <c r="AQ47" s="137">
        <f>AP47/AM47</f>
        <v>0.77944603430531989</v>
      </c>
      <c r="AR47" s="344">
        <f>SUM(AR8:AR36)</f>
        <v>2425678.8799999994</v>
      </c>
      <c r="AS47" s="344">
        <f>SUM(AS8:AS36)</f>
        <v>1900821.8099999998</v>
      </c>
      <c r="AT47" s="136">
        <f>AS47/AR47</f>
        <v>0.78362466923074348</v>
      </c>
      <c r="AU47" s="344">
        <f>SUM(AU8:AU36)</f>
        <v>1923059.1600000004</v>
      </c>
      <c r="AV47" s="137">
        <f>AU47/AR47</f>
        <v>0.79279214402856191</v>
      </c>
      <c r="AW47" s="344"/>
      <c r="AX47" s="344"/>
      <c r="AY47" s="345"/>
      <c r="AZ47" s="344"/>
      <c r="BA47" s="345"/>
      <c r="BB47" s="344"/>
      <c r="BC47" s="344"/>
      <c r="BD47" s="345"/>
      <c r="BE47" s="344"/>
      <c r="BF47" s="345"/>
      <c r="BG47" s="344"/>
      <c r="BH47" s="344"/>
      <c r="BI47" s="345"/>
      <c r="BJ47" s="344"/>
      <c r="BK47" s="345"/>
      <c r="BL47" s="344"/>
      <c r="BM47" s="344"/>
      <c r="BN47" s="345"/>
      <c r="BO47" s="344"/>
      <c r="BP47" s="345"/>
      <c r="BQ47" s="344"/>
      <c r="BR47" s="344"/>
      <c r="BS47" s="345"/>
      <c r="BT47" s="344"/>
      <c r="BU47" s="345"/>
      <c r="BV47" s="344"/>
      <c r="BW47" s="344"/>
      <c r="BX47" s="345"/>
      <c r="BY47" s="344"/>
      <c r="BZ47" s="345"/>
      <c r="CA47" s="344"/>
      <c r="CB47" s="344"/>
      <c r="CC47" s="345"/>
      <c r="CD47" s="344"/>
      <c r="CE47" s="345"/>
      <c r="CF47" s="344"/>
      <c r="CG47" s="344"/>
      <c r="CH47" s="345"/>
      <c r="CI47" s="344"/>
      <c r="CJ47" s="345"/>
      <c r="CK47" s="344"/>
      <c r="CL47" s="344"/>
      <c r="CM47" s="345"/>
      <c r="CN47" s="344"/>
      <c r="CO47" s="345"/>
      <c r="CP47" s="344"/>
      <c r="CQ47" s="344"/>
      <c r="CR47" s="345"/>
      <c r="CS47" s="344"/>
      <c r="CT47" s="345"/>
      <c r="CU47" s="344"/>
      <c r="CV47" s="344"/>
      <c r="CW47" s="345"/>
      <c r="CX47" s="344"/>
      <c r="CY47" s="345"/>
      <c r="CZ47" s="344"/>
      <c r="DA47" s="344"/>
      <c r="DB47" s="345"/>
      <c r="DC47" s="344"/>
      <c r="DD47" s="345"/>
      <c r="DE47" s="344"/>
      <c r="DF47" s="344"/>
      <c r="DG47" s="345"/>
      <c r="DH47" s="344"/>
      <c r="DI47" s="345"/>
      <c r="DJ47" s="344"/>
      <c r="DK47" s="344"/>
      <c r="DL47" s="345"/>
      <c r="DM47" s="344"/>
      <c r="DN47" s="345"/>
      <c r="DO47" s="344"/>
      <c r="DP47" s="344"/>
      <c r="DQ47" s="345"/>
      <c r="DR47" s="344"/>
      <c r="DS47" s="345"/>
      <c r="DT47" s="344"/>
      <c r="DU47" s="344"/>
      <c r="DV47" s="345"/>
      <c r="DW47" s="344"/>
      <c r="DX47" s="345"/>
      <c r="DY47" s="344"/>
      <c r="DZ47" s="344"/>
      <c r="EA47" s="345"/>
      <c r="EB47" s="344"/>
      <c r="EC47" s="345"/>
      <c r="ED47" s="344"/>
      <c r="EE47" s="344"/>
      <c r="EF47" s="345"/>
      <c r="EG47" s="344"/>
      <c r="EH47" s="345"/>
      <c r="EI47" s="344"/>
      <c r="EJ47" s="344"/>
      <c r="EK47" s="345"/>
      <c r="EL47" s="344"/>
      <c r="EM47" s="345"/>
      <c r="EN47" s="344"/>
      <c r="EO47" s="344"/>
      <c r="EP47" s="345"/>
      <c r="EQ47" s="344"/>
      <c r="ER47" s="345"/>
      <c r="ES47" s="344"/>
      <c r="ET47" s="344"/>
      <c r="EU47" s="345"/>
      <c r="EV47" s="344"/>
      <c r="EW47" s="345"/>
      <c r="EX47" s="344"/>
      <c r="EY47" s="344"/>
      <c r="EZ47" s="345"/>
      <c r="FA47" s="344"/>
      <c r="FB47" s="345"/>
      <c r="FC47" s="344"/>
      <c r="FD47" s="344"/>
      <c r="FE47" s="345"/>
      <c r="FF47" s="344"/>
      <c r="FG47" s="345"/>
      <c r="FH47" s="344"/>
      <c r="FI47" s="344"/>
      <c r="FJ47" s="345"/>
      <c r="FK47" s="344"/>
      <c r="FL47" s="345"/>
      <c r="FM47" s="344"/>
      <c r="FN47" s="344"/>
      <c r="FO47" s="345"/>
      <c r="FP47" s="344"/>
      <c r="FQ47" s="345"/>
      <c r="FR47" s="344"/>
      <c r="FS47" s="344"/>
      <c r="FT47" s="345"/>
      <c r="FU47" s="344"/>
      <c r="FV47" s="345"/>
      <c r="FW47" s="344"/>
      <c r="FX47" s="344"/>
      <c r="FY47" s="345"/>
      <c r="FZ47" s="344"/>
      <c r="GA47" s="345"/>
      <c r="GB47" s="344"/>
      <c r="GC47" s="344"/>
      <c r="GD47" s="345"/>
      <c r="GE47" s="344"/>
      <c r="GF47" s="345"/>
      <c r="GG47" s="344"/>
      <c r="GH47" s="344"/>
      <c r="GI47" s="345"/>
      <c r="GJ47" s="344"/>
      <c r="GK47" s="345"/>
      <c r="GL47" s="344"/>
      <c r="GM47" s="344"/>
      <c r="GN47" s="345"/>
      <c r="GO47" s="344"/>
      <c r="GP47" s="345"/>
      <c r="GQ47" s="344"/>
      <c r="GR47" s="344"/>
      <c r="GS47" s="345"/>
      <c r="GT47" s="344"/>
      <c r="GU47" s="345"/>
      <c r="GV47" s="344"/>
      <c r="GW47" s="344"/>
      <c r="GX47" s="345"/>
      <c r="GY47" s="344"/>
      <c r="GZ47" s="345"/>
      <c r="HA47" s="344"/>
      <c r="HB47" s="344"/>
      <c r="HC47" s="345"/>
      <c r="HD47" s="344"/>
      <c r="HE47" s="345"/>
      <c r="HF47" s="344"/>
      <c r="HG47" s="344"/>
      <c r="HH47" s="345"/>
      <c r="HI47" s="344"/>
      <c r="HJ47" s="345"/>
      <c r="HK47" s="344"/>
      <c r="HL47" s="344"/>
      <c r="HM47" s="345"/>
      <c r="HN47" s="344"/>
      <c r="HO47" s="345"/>
      <c r="HP47" s="344"/>
      <c r="HQ47" s="344"/>
      <c r="HR47" s="345"/>
      <c r="HS47" s="344"/>
      <c r="HT47" s="345"/>
      <c r="HU47" s="344"/>
      <c r="HV47" s="344"/>
      <c r="HW47" s="345"/>
      <c r="HX47" s="344"/>
      <c r="HY47" s="345"/>
      <c r="HZ47" s="344"/>
      <c r="IA47" s="344"/>
      <c r="IB47" s="345"/>
      <c r="IC47" s="344"/>
      <c r="ID47" s="345"/>
      <c r="IE47" s="344"/>
      <c r="IF47" s="344"/>
      <c r="IG47" s="345"/>
      <c r="IH47" s="344"/>
      <c r="II47" s="345"/>
      <c r="IJ47" s="344"/>
      <c r="IK47" s="344"/>
      <c r="IL47" s="345"/>
      <c r="IM47" s="344"/>
      <c r="IN47" s="345"/>
      <c r="IO47" s="344"/>
      <c r="IP47" s="344"/>
      <c r="IQ47" s="345"/>
      <c r="IR47" s="344"/>
      <c r="IS47" s="345"/>
      <c r="IT47" s="344"/>
      <c r="IU47" s="344"/>
      <c r="IV47" s="345"/>
      <c r="IW47" s="344"/>
      <c r="IX47" s="345"/>
      <c r="IY47" s="344"/>
      <c r="IZ47" s="344"/>
      <c r="JA47" s="345"/>
      <c r="JB47" s="344"/>
      <c r="JC47" s="345"/>
      <c r="JD47" s="139">
        <f>SUM(JD8:JD36)</f>
        <v>26955890.279999997</v>
      </c>
      <c r="JE47" s="139">
        <f>SUM(JE8:JE36)</f>
        <v>19838921.68</v>
      </c>
      <c r="JF47" s="140">
        <f>JE47-JD47</f>
        <v>-7116968.5999999978</v>
      </c>
      <c r="JG47" s="136">
        <f>JE47/JD47</f>
        <v>0.7359772381444788</v>
      </c>
    </row>
    <row r="48" spans="3:267">
      <c r="V48" s="12"/>
      <c r="GH48" s="30">
        <f>GH46*0.5</f>
        <v>1314119.1726000002</v>
      </c>
      <c r="GM48" s="30">
        <f>GM46*0.5</f>
        <v>1416288.3384</v>
      </c>
      <c r="GR48" s="30">
        <f>GR46*0.5</f>
        <v>1403149.2071999998</v>
      </c>
    </row>
    <row r="49" spans="3:200">
      <c r="C49" s="195" t="s">
        <v>238</v>
      </c>
      <c r="D49" s="196"/>
      <c r="E49" s="197">
        <f>E46*0.5</f>
        <v>704581.30199999979</v>
      </c>
      <c r="F49" s="196"/>
      <c r="G49" s="197">
        <f>G46*0.5</f>
        <v>906956.34500000009</v>
      </c>
      <c r="H49" s="196"/>
      <c r="I49" s="196"/>
      <c r="J49" s="197">
        <f>J46*0.5</f>
        <v>849136.69579999999</v>
      </c>
      <c r="K49" s="196"/>
      <c r="L49" s="197">
        <f>L46*0.5</f>
        <v>766655.0349999998</v>
      </c>
      <c r="M49" s="196"/>
      <c r="N49" s="196"/>
      <c r="O49" s="197">
        <f>O46*0.5</f>
        <v>790263.23325000005</v>
      </c>
      <c r="P49" s="196"/>
      <c r="Q49" s="197">
        <f>Q46*0.5</f>
        <v>790721.78500000003</v>
      </c>
      <c r="R49" s="196"/>
      <c r="S49" s="196"/>
      <c r="T49" s="197">
        <f>T46*0.5</f>
        <v>885918.60899999994</v>
      </c>
      <c r="U49" s="196"/>
      <c r="V49" s="197">
        <f>V46*0.5</f>
        <v>811973.6399999999</v>
      </c>
      <c r="W49" s="198"/>
      <c r="Y49" s="197">
        <f>Y46*0.5</f>
        <v>943806.91705000005</v>
      </c>
      <c r="Z49" s="196"/>
      <c r="AA49" s="197">
        <f>AA46*0.5</f>
        <v>900709.90500000026</v>
      </c>
      <c r="AC49" s="197">
        <f>AC46*0.5</f>
        <v>1795617.6849999998</v>
      </c>
      <c r="AD49" s="197">
        <f>AD46*0.5</f>
        <v>1525828.0829</v>
      </c>
      <c r="AE49" s="196"/>
      <c r="AF49" s="197">
        <f>AF46*0.5</f>
        <v>1077559.4850000001</v>
      </c>
      <c r="AH49" s="197">
        <f>AH46*0.5</f>
        <v>1108978.5649999999</v>
      </c>
      <c r="AI49" s="197">
        <f>AI46*0.5</f>
        <v>665387.13899999997</v>
      </c>
      <c r="AK49" s="197">
        <f>AK46*0.5</f>
        <v>769552.85000000009</v>
      </c>
      <c r="AM49" s="197">
        <f>AM46*0.5</f>
        <v>1138052.06</v>
      </c>
      <c r="AN49" s="197">
        <f>AN46*0.5</f>
        <v>701957.45550000004</v>
      </c>
      <c r="AR49" s="197">
        <f>AR46*0.5</f>
        <v>1212839.4399999997</v>
      </c>
      <c r="AS49" s="197">
        <f>AS46*0.5</f>
        <v>950410.90499999991</v>
      </c>
      <c r="AU49" s="197">
        <f>AU46*0.5</f>
        <v>961529.58000000019</v>
      </c>
      <c r="AW49" s="197">
        <f>AW46*0.5</f>
        <v>1320676.375</v>
      </c>
      <c r="AX49" s="197">
        <f>AX46*0.5</f>
        <v>1038821.8575</v>
      </c>
      <c r="AZ49" s="197">
        <f>AZ46*0.5</f>
        <v>965459.03999999992</v>
      </c>
      <c r="BB49" s="197">
        <f>BB46*0.5</f>
        <v>917510.09</v>
      </c>
      <c r="BC49" s="197">
        <f>BC46*0.5</f>
        <v>657241.4034999999</v>
      </c>
      <c r="BE49" s="197">
        <f>BE46*0.5</f>
        <v>1081293.01</v>
      </c>
      <c r="GH49" s="30">
        <f>GH48*0.65</f>
        <v>854177.46219000011</v>
      </c>
      <c r="GM49" s="30">
        <f>GM48*0.65</f>
        <v>920587.41996000009</v>
      </c>
      <c r="GR49" s="30">
        <f>GR48*0.65</f>
        <v>912046.98467999988</v>
      </c>
    </row>
    <row r="50" spans="3:200">
      <c r="C50" s="199" t="s">
        <v>239</v>
      </c>
      <c r="D50" s="22"/>
      <c r="E50" s="147">
        <f>E49*0.1</f>
        <v>70458.130199999985</v>
      </c>
      <c r="F50" s="22"/>
      <c r="G50" s="147">
        <f>G49*0.1</f>
        <v>90695.634500000015</v>
      </c>
      <c r="H50" s="22"/>
      <c r="I50" s="22"/>
      <c r="J50" s="147">
        <f>J49*0.1</f>
        <v>84913.669580000002</v>
      </c>
      <c r="K50" s="22"/>
      <c r="L50" s="147">
        <f>L49*0.1</f>
        <v>76665.503499999977</v>
      </c>
      <c r="M50" s="22"/>
      <c r="N50" s="22"/>
      <c r="O50" s="147">
        <f>O49*0.1</f>
        <v>79026.323325000005</v>
      </c>
      <c r="P50" s="22"/>
      <c r="Q50" s="147">
        <f>Q49*0.1</f>
        <v>79072.178500000009</v>
      </c>
      <c r="R50" s="22"/>
      <c r="S50" s="22"/>
      <c r="T50" s="147">
        <f>T49*0.1</f>
        <v>88591.8609</v>
      </c>
      <c r="U50" s="22"/>
      <c r="V50" s="147">
        <f>V49*0.1</f>
        <v>81197.364000000001</v>
      </c>
      <c r="W50" s="200"/>
      <c r="Y50" s="147">
        <f>Y49*0.1</f>
        <v>94380.691705000005</v>
      </c>
      <c r="Z50" s="22"/>
      <c r="AA50" s="147">
        <f>AA49*0.1</f>
        <v>90070.990500000029</v>
      </c>
      <c r="AC50" s="147">
        <f>AC49*0.1</f>
        <v>179561.76850000001</v>
      </c>
      <c r="AD50" s="147">
        <f>AD49*0.1</f>
        <v>152582.80829000002</v>
      </c>
      <c r="AE50" s="22"/>
      <c r="AF50" s="147">
        <f>AF49*0.1</f>
        <v>107755.94850000001</v>
      </c>
      <c r="AH50" s="147">
        <f>AH49*0.1</f>
        <v>110897.85649999999</v>
      </c>
      <c r="AI50" s="147">
        <f>AI49*0.1</f>
        <v>66538.713900000002</v>
      </c>
      <c r="AK50" s="147">
        <f>AK49*0.1</f>
        <v>76955.285000000018</v>
      </c>
      <c r="AM50" s="147">
        <f>AM49*0.1</f>
        <v>113805.20600000001</v>
      </c>
      <c r="AN50" s="147">
        <f>AN49*0.1</f>
        <v>70195.745550000007</v>
      </c>
      <c r="AR50" s="147">
        <f>AR49*0.1</f>
        <v>121283.94399999997</v>
      </c>
      <c r="AS50" s="147">
        <f>AS49*0.1</f>
        <v>95041.090499999991</v>
      </c>
      <c r="AU50" s="147">
        <f>AU49*0.1</f>
        <v>96152.958000000028</v>
      </c>
      <c r="AW50" s="147">
        <f>AW49*0.1</f>
        <v>132067.63750000001</v>
      </c>
      <c r="AX50" s="147">
        <f>AX49*0.1</f>
        <v>103882.18575</v>
      </c>
      <c r="AZ50" s="147">
        <f>AZ49*0.1</f>
        <v>96545.903999999995</v>
      </c>
      <c r="BB50" s="147">
        <f>BB49*0.1</f>
        <v>91751.009000000005</v>
      </c>
      <c r="BC50" s="147">
        <f>BC49*0.1</f>
        <v>65724.140349999987</v>
      </c>
      <c r="BE50" s="147">
        <f>BE49*0.1</f>
        <v>108129.30100000001</v>
      </c>
    </row>
    <row r="51" spans="3:200">
      <c r="C51" s="199" t="s">
        <v>240</v>
      </c>
      <c r="D51" s="22"/>
      <c r="E51" s="147">
        <f>E49*0.15</f>
        <v>105687.19529999996</v>
      </c>
      <c r="F51" s="22"/>
      <c r="G51" s="147">
        <f>G49*0.15</f>
        <v>136043.45175000001</v>
      </c>
      <c r="H51" s="22"/>
      <c r="I51" s="22"/>
      <c r="J51" s="147">
        <f>J49*0.15</f>
        <v>127370.50437</v>
      </c>
      <c r="K51" s="22"/>
      <c r="L51" s="147">
        <f>L49*0.15</f>
        <v>114998.25524999997</v>
      </c>
      <c r="M51" s="22"/>
      <c r="N51" s="22"/>
      <c r="O51" s="147">
        <f>O49*0.15</f>
        <v>118539.48498750001</v>
      </c>
      <c r="P51" s="22"/>
      <c r="Q51" s="147">
        <f>Q49*0.15</f>
        <v>118608.26775</v>
      </c>
      <c r="R51" s="22"/>
      <c r="S51" s="22"/>
      <c r="T51" s="147">
        <f>T49*0.15</f>
        <v>132887.79134999998</v>
      </c>
      <c r="U51" s="22"/>
      <c r="V51" s="147">
        <f>V49*0.15</f>
        <v>121796.04599999997</v>
      </c>
      <c r="W51" s="200"/>
      <c r="Y51" s="147">
        <f>Y49*0.15</f>
        <v>141571.03755750001</v>
      </c>
      <c r="Z51" s="22"/>
      <c r="AA51" s="147">
        <f>AA49*0.15</f>
        <v>135106.48575000002</v>
      </c>
      <c r="AC51" s="147">
        <f>AC49*0.15</f>
        <v>269342.65274999995</v>
      </c>
      <c r="AD51" s="147">
        <f>AD49*0.15</f>
        <v>228874.21243499999</v>
      </c>
      <c r="AE51" s="22"/>
      <c r="AF51" s="147">
        <f>AF49*0.15</f>
        <v>161633.92275</v>
      </c>
      <c r="AH51" s="147">
        <f>AH49*0.15</f>
        <v>166346.78474999999</v>
      </c>
      <c r="AI51" s="147">
        <f>AI49*0.15</f>
        <v>99808.070849999989</v>
      </c>
      <c r="AK51" s="147">
        <f>AK49*0.15</f>
        <v>115432.92750000001</v>
      </c>
      <c r="AM51" s="147">
        <f>AM49*0.15</f>
        <v>170707.80900000001</v>
      </c>
      <c r="AN51" s="147">
        <f>AN49*0.15</f>
        <v>105293.618325</v>
      </c>
      <c r="AR51" s="147">
        <f>AR49*0.15</f>
        <v>181925.91599999994</v>
      </c>
      <c r="AS51" s="147">
        <f>AS49*0.15</f>
        <v>142561.63574999999</v>
      </c>
      <c r="AU51" s="147">
        <f>AU49*0.15</f>
        <v>144229.43700000003</v>
      </c>
      <c r="AW51" s="147">
        <f>AW49*0.15</f>
        <v>198101.45624999999</v>
      </c>
      <c r="AX51" s="147">
        <f>AX49*0.15</f>
        <v>155823.27862500001</v>
      </c>
      <c r="AZ51" s="147">
        <f>AZ49*0.15</f>
        <v>144818.85599999997</v>
      </c>
      <c r="BB51" s="147">
        <f>BB49*0.15</f>
        <v>137626.5135</v>
      </c>
      <c r="BC51" s="147">
        <f>BC49*0.15</f>
        <v>98586.210524999988</v>
      </c>
      <c r="BE51" s="147">
        <f>BE49*0.15</f>
        <v>162193.9515</v>
      </c>
      <c r="DQ51" t="s">
        <v>241</v>
      </c>
      <c r="DR51" t="s">
        <v>242</v>
      </c>
      <c r="DS51" t="s">
        <v>243</v>
      </c>
      <c r="DT51" t="s">
        <v>244</v>
      </c>
      <c r="DU51" t="s">
        <v>245</v>
      </c>
      <c r="GG51" s="149" t="s">
        <v>246</v>
      </c>
      <c r="GH51" s="147">
        <f>($GH$46*0.5)*0.65*0.55</f>
        <v>469797.60420450009</v>
      </c>
      <c r="GL51" s="149" t="s">
        <v>246</v>
      </c>
      <c r="GM51" s="147">
        <f>($GM$46*0.5)*0.65*0.55</f>
        <v>506323.08097800007</v>
      </c>
      <c r="GQ51" s="149" t="s">
        <v>246</v>
      </c>
      <c r="GR51" s="147">
        <f>($GR$46*0.5)*0.65*0.55</f>
        <v>501625.84157399996</v>
      </c>
    </row>
    <row r="52" spans="3:200">
      <c r="C52" s="201" t="s">
        <v>247</v>
      </c>
      <c r="D52" s="202"/>
      <c r="E52" s="203">
        <f>E49*0.65</f>
        <v>457977.84629999986</v>
      </c>
      <c r="F52" s="202"/>
      <c r="G52" s="203">
        <f>G49*0.65</f>
        <v>589521.62425000011</v>
      </c>
      <c r="H52" s="202"/>
      <c r="I52" s="202"/>
      <c r="J52" s="203">
        <f>J49*0.65</f>
        <v>551938.85227000003</v>
      </c>
      <c r="K52" s="202"/>
      <c r="L52" s="203">
        <f>L49*0.65</f>
        <v>498325.77274999989</v>
      </c>
      <c r="M52" s="202"/>
      <c r="N52" s="202"/>
      <c r="O52" s="203">
        <f>O49*0.65</f>
        <v>513671.10161250003</v>
      </c>
      <c r="P52" s="202"/>
      <c r="Q52" s="203">
        <f>Q49*0.65</f>
        <v>513969.16025000002</v>
      </c>
      <c r="R52" s="202"/>
      <c r="S52" s="202"/>
      <c r="T52" s="203">
        <f>T49*0.65</f>
        <v>575847.09584999993</v>
      </c>
      <c r="U52" s="202"/>
      <c r="V52" s="203">
        <f>V49*0.65</f>
        <v>527782.86599999992</v>
      </c>
      <c r="W52" s="204"/>
      <c r="Y52" s="203">
        <f>Y49*0.65</f>
        <v>613474.49608250009</v>
      </c>
      <c r="Z52" s="202"/>
      <c r="AA52" s="203">
        <f>AA49*0.65</f>
        <v>585461.43825000024</v>
      </c>
      <c r="AC52" s="203">
        <f>AC49*0.65</f>
        <v>1167151.4952499999</v>
      </c>
      <c r="AD52" s="203">
        <f>AD49*0.65</f>
        <v>991788.25388500001</v>
      </c>
      <c r="AE52" s="202"/>
      <c r="AF52" s="203">
        <f>AF49*0.65</f>
        <v>700413.66525000008</v>
      </c>
      <c r="AH52" s="203">
        <f>AH49*0.65</f>
        <v>720836.06724999996</v>
      </c>
      <c r="AI52" s="203">
        <f>AI49*0.65</f>
        <v>432501.64035</v>
      </c>
      <c r="AK52" s="203">
        <f>AK49*0.65</f>
        <v>500209.3525000001</v>
      </c>
      <c r="AM52" s="203">
        <f>AM49*0.65</f>
        <v>739733.83900000004</v>
      </c>
      <c r="AN52" s="203">
        <f>AN49*0.65</f>
        <v>456272.34607500007</v>
      </c>
      <c r="AR52" s="203">
        <f>AR49*0.65</f>
        <v>788345.63599999982</v>
      </c>
      <c r="AS52" s="203">
        <f>AS49*0.65</f>
        <v>617767.08824999991</v>
      </c>
      <c r="AU52" s="203">
        <f>AU49*0.65</f>
        <v>624994.22700000019</v>
      </c>
      <c r="AW52" s="203">
        <f>AW49*0.65</f>
        <v>858439.64375000005</v>
      </c>
      <c r="AX52" s="203">
        <f>AX49*0.65</f>
        <v>675234.207375</v>
      </c>
      <c r="AZ52" s="203">
        <f>AZ49*0.65</f>
        <v>627548.37599999993</v>
      </c>
      <c r="BB52" s="203">
        <f>BB49*0.65</f>
        <v>596381.55850000004</v>
      </c>
      <c r="BC52" s="203">
        <f>BC49*0.65</f>
        <v>427206.91227499995</v>
      </c>
      <c r="BE52" s="203">
        <f>BE49*0.65</f>
        <v>702840.45650000009</v>
      </c>
      <c r="DQ52" t="s">
        <v>9</v>
      </c>
      <c r="DR52">
        <v>457</v>
      </c>
      <c r="DS52" s="108">
        <v>43911.97</v>
      </c>
      <c r="DT52">
        <v>0</v>
      </c>
      <c r="DU52" s="108">
        <v>43911.97</v>
      </c>
      <c r="GG52" s="149" t="s">
        <v>248</v>
      </c>
      <c r="GH52" s="147">
        <f>($GH$46*0.5)*0.65*0.18</f>
        <v>153751.94319420002</v>
      </c>
      <c r="GL52" s="149" t="s">
        <v>248</v>
      </c>
      <c r="GM52" s="147">
        <f>($GM$46*0.5)*0.65*0.18</f>
        <v>165705.73559280002</v>
      </c>
      <c r="GQ52" s="149" t="s">
        <v>248</v>
      </c>
      <c r="GR52" s="147">
        <f>($GR$46*0.5)*0.65*0.18</f>
        <v>164168.45724239998</v>
      </c>
    </row>
    <row r="53" spans="3:200">
      <c r="DQ53" t="s">
        <v>10</v>
      </c>
      <c r="DR53">
        <v>798</v>
      </c>
      <c r="DS53" s="108">
        <v>62961.74</v>
      </c>
      <c r="DT53">
        <v>299</v>
      </c>
      <c r="DU53" s="108">
        <v>62662.74</v>
      </c>
      <c r="GG53" s="149" t="s">
        <v>249</v>
      </c>
      <c r="GH53" s="147">
        <f>($GH$46*0.5)*0.65*0.1</f>
        <v>85417.746219000022</v>
      </c>
      <c r="GL53" s="149" t="s">
        <v>249</v>
      </c>
      <c r="GM53" s="147">
        <f>($GM$46*0.5)*0.65*0.1</f>
        <v>92058.741996000012</v>
      </c>
      <c r="GQ53" s="149" t="s">
        <v>249</v>
      </c>
      <c r="GR53" s="147">
        <f>($GR$46*0.5)*0.65*0.1</f>
        <v>91204.698467999988</v>
      </c>
    </row>
    <row r="54" spans="3:200" s="142" customFormat="1" ht="15.75" thickBot="1">
      <c r="DI54" s="142" t="s">
        <v>241</v>
      </c>
      <c r="DJ54" s="142" t="s">
        <v>242</v>
      </c>
      <c r="DK54" s="142" t="s">
        <v>243</v>
      </c>
      <c r="DL54" s="142" t="s">
        <v>244</v>
      </c>
      <c r="DM54" s="142" t="s">
        <v>245</v>
      </c>
      <c r="DQ54" s="142" t="s">
        <v>11</v>
      </c>
      <c r="DR54" s="142">
        <v>558</v>
      </c>
      <c r="DS54" s="143">
        <v>50964.31</v>
      </c>
      <c r="DT54" s="142">
        <v>19.989999999999998</v>
      </c>
      <c r="DU54" s="143">
        <v>50944.32</v>
      </c>
      <c r="FS54" s="148" t="s">
        <v>250</v>
      </c>
      <c r="FT54" s="148" t="s">
        <v>251</v>
      </c>
      <c r="FU54" s="148" t="s">
        <v>5</v>
      </c>
      <c r="FV54" s="148" t="s">
        <v>252</v>
      </c>
      <c r="FW54" s="148" t="s">
        <v>253</v>
      </c>
      <c r="FX54" s="148" t="s">
        <v>254</v>
      </c>
      <c r="FY54" s="148" t="s">
        <v>255</v>
      </c>
      <c r="FZ54" s="148" t="s">
        <v>256</v>
      </c>
      <c r="GA54" s="148" t="s">
        <v>257</v>
      </c>
      <c r="GG54" s="150" t="s">
        <v>258</v>
      </c>
      <c r="GH54" s="147">
        <f>($GH$46*0.5)*0.65*0.17</f>
        <v>145210.16857230003</v>
      </c>
      <c r="GL54" s="150" t="s">
        <v>258</v>
      </c>
      <c r="GM54" s="147">
        <f>($GM$46*0.5)*0.65*0.17</f>
        <v>156499.86139320003</v>
      </c>
      <c r="GQ54" s="150" t="s">
        <v>258</v>
      </c>
      <c r="GR54" s="147">
        <f>($GR$46*0.5)*0.65*0.17</f>
        <v>155047.98739559998</v>
      </c>
    </row>
    <row r="55" spans="3:200">
      <c r="DI55" t="s">
        <v>9</v>
      </c>
      <c r="DJ55">
        <v>464</v>
      </c>
      <c r="DK55" s="108">
        <v>43338.03</v>
      </c>
      <c r="DL55">
        <v>0</v>
      </c>
      <c r="DM55" s="108">
        <v>43338.03</v>
      </c>
      <c r="DQ55" t="s">
        <v>12</v>
      </c>
      <c r="DR55">
        <v>445</v>
      </c>
      <c r="DS55" s="108">
        <v>36589.1</v>
      </c>
      <c r="DT55">
        <v>374.86</v>
      </c>
      <c r="DU55" s="108">
        <v>36214.239999999998</v>
      </c>
      <c r="FR55" s="1640" t="s">
        <v>259</v>
      </c>
      <c r="FS55" s="157">
        <v>31</v>
      </c>
      <c r="FT55" s="152">
        <f>FR46</f>
        <v>1837729.9</v>
      </c>
      <c r="FU55" s="153">
        <v>0.55000000000000004</v>
      </c>
      <c r="FV55" s="154">
        <f>FT55*FU55</f>
        <v>1010751.4450000001</v>
      </c>
      <c r="FW55" s="154">
        <f>(FV55*0.5)*0.65</f>
        <v>328494.21962500003</v>
      </c>
      <c r="FX55" s="154">
        <f>FW55*0.17</f>
        <v>55844.017336250006</v>
      </c>
      <c r="FY55" s="154">
        <f>FW55*0.55</f>
        <v>180671.82079375003</v>
      </c>
      <c r="FZ55" s="154">
        <f>FW55*0.1</f>
        <v>32849.421962500004</v>
      </c>
      <c r="GA55" s="155">
        <f>FW55*0.18</f>
        <v>59128.959532500005</v>
      </c>
      <c r="GG55" s="149" t="s">
        <v>38</v>
      </c>
      <c r="GH55" s="147">
        <f>SUM(GH51:GH54)</f>
        <v>854177.46219000022</v>
      </c>
      <c r="GL55" s="149" t="s">
        <v>38</v>
      </c>
      <c r="GM55" s="147">
        <f>SUM(GM51:GM54)</f>
        <v>920587.41996000009</v>
      </c>
      <c r="GQ55" s="149" t="s">
        <v>38</v>
      </c>
      <c r="GR55" s="147">
        <f>SUM(GR51:GR54)</f>
        <v>912046.98467999976</v>
      </c>
    </row>
    <row r="56" spans="3:200">
      <c r="DI56" t="s">
        <v>10</v>
      </c>
      <c r="DJ56">
        <v>518</v>
      </c>
      <c r="DK56" s="108">
        <v>40303.24</v>
      </c>
      <c r="DL56">
        <v>177.99</v>
      </c>
      <c r="DM56" s="108">
        <v>40125.25</v>
      </c>
      <c r="DQ56" t="s">
        <v>13</v>
      </c>
      <c r="DR56">
        <v>499</v>
      </c>
      <c r="DS56" s="108">
        <v>44251.01</v>
      </c>
      <c r="DT56">
        <v>427.88</v>
      </c>
      <c r="DU56" s="108">
        <v>43823.13</v>
      </c>
      <c r="FR56" s="1641"/>
      <c r="FS56" s="157">
        <v>32</v>
      </c>
      <c r="FT56" s="152">
        <f>FW46</f>
        <v>1768544.3900000004</v>
      </c>
      <c r="FU56" s="153">
        <v>0.55000000000000004</v>
      </c>
      <c r="FV56" s="154">
        <f t="shared" ref="FV56:FV72" si="190">FT56*FU56</f>
        <v>972699.4145000003</v>
      </c>
      <c r="FW56" s="154">
        <f t="shared" ref="FW56:FW72" si="191">(FV56*0.5)*0.65</f>
        <v>316127.30971250014</v>
      </c>
      <c r="FX56" s="154">
        <f t="shared" ref="FX56:FX72" si="192">FW56*0.17</f>
        <v>53741.642651125025</v>
      </c>
      <c r="FY56" s="154">
        <f t="shared" ref="FY56:FY72" si="193">FW56*0.55</f>
        <v>173870.02034187509</v>
      </c>
      <c r="FZ56" s="154">
        <f t="shared" ref="FZ56:FZ72" si="194">FW56*0.1</f>
        <v>31612.730971250014</v>
      </c>
      <c r="GA56" s="155">
        <f t="shared" ref="GA56:GA72" si="195">FW56*0.18</f>
        <v>56902.915748250023</v>
      </c>
    </row>
    <row r="57" spans="3:200">
      <c r="DI57" t="s">
        <v>11</v>
      </c>
      <c r="DJ57">
        <v>330</v>
      </c>
      <c r="DK57" s="108">
        <v>33769.379999999997</v>
      </c>
      <c r="DL57">
        <v>79</v>
      </c>
      <c r="DM57" s="108">
        <v>33690.379999999997</v>
      </c>
      <c r="DQ57" t="s">
        <v>14</v>
      </c>
      <c r="DR57">
        <v>574</v>
      </c>
      <c r="DS57" s="108">
        <v>56108.78</v>
      </c>
      <c r="DT57">
        <v>99.96</v>
      </c>
      <c r="DU57" s="108">
        <v>56008.82</v>
      </c>
      <c r="FR57" s="1641"/>
      <c r="FS57" s="157">
        <v>33</v>
      </c>
      <c r="FT57" s="152">
        <f>GB46</f>
        <v>1875500.79</v>
      </c>
      <c r="FU57" s="153">
        <v>0.55000000000000004</v>
      </c>
      <c r="FV57" s="154">
        <f t="shared" si="190"/>
        <v>1031525.4345000001</v>
      </c>
      <c r="FW57" s="154">
        <f t="shared" si="191"/>
        <v>335245.76621250005</v>
      </c>
      <c r="FX57" s="154">
        <f t="shared" si="192"/>
        <v>56991.780256125014</v>
      </c>
      <c r="FY57" s="154">
        <f t="shared" si="193"/>
        <v>184385.17141687503</v>
      </c>
      <c r="FZ57" s="154">
        <f t="shared" si="194"/>
        <v>33524.576621250009</v>
      </c>
      <c r="GA57" s="155">
        <f t="shared" si="195"/>
        <v>60344.237918250008</v>
      </c>
    </row>
    <row r="58" spans="3:200">
      <c r="DI58" t="s">
        <v>12</v>
      </c>
      <c r="DJ58">
        <v>317</v>
      </c>
      <c r="DK58" s="108">
        <v>26206.21</v>
      </c>
      <c r="DL58">
        <v>109.92</v>
      </c>
      <c r="DM58" s="108">
        <v>26096.29</v>
      </c>
      <c r="DQ58" t="s">
        <v>16</v>
      </c>
      <c r="DR58">
        <v>513</v>
      </c>
      <c r="DS58" s="108">
        <v>49616.44</v>
      </c>
      <c r="DT58">
        <v>34.99</v>
      </c>
      <c r="DU58" s="108">
        <v>49581.45</v>
      </c>
      <c r="FR58" s="1641"/>
      <c r="FS58" s="157">
        <v>34</v>
      </c>
      <c r="FT58" s="152">
        <f>GG46</f>
        <v>1684768.17</v>
      </c>
      <c r="FU58" s="153">
        <v>0.6</v>
      </c>
      <c r="FV58" s="154">
        <f t="shared" si="190"/>
        <v>1010860.9019999999</v>
      </c>
      <c r="FW58" s="154">
        <f t="shared" si="191"/>
        <v>328529.79314999998</v>
      </c>
      <c r="FX58" s="154">
        <f t="shared" si="192"/>
        <v>55850.064835500001</v>
      </c>
      <c r="FY58" s="154">
        <f t="shared" si="193"/>
        <v>180691.38623249999</v>
      </c>
      <c r="FZ58" s="154">
        <f t="shared" si="194"/>
        <v>32852.979314999997</v>
      </c>
      <c r="GA58" s="155">
        <f t="shared" si="195"/>
        <v>59135.362766999991</v>
      </c>
    </row>
    <row r="59" spans="3:200" ht="15.75" thickBot="1">
      <c r="DI59" t="s">
        <v>13</v>
      </c>
      <c r="DJ59">
        <v>271</v>
      </c>
      <c r="DK59" s="108">
        <v>20585.330000000002</v>
      </c>
      <c r="DL59">
        <v>0</v>
      </c>
      <c r="DM59" s="108">
        <v>20585.330000000002</v>
      </c>
      <c r="DQ59" t="s">
        <v>17</v>
      </c>
      <c r="DR59">
        <v>1258</v>
      </c>
      <c r="DS59" s="108">
        <v>119715.17</v>
      </c>
      <c r="DT59">
        <v>839.98</v>
      </c>
      <c r="DU59" s="108">
        <v>118875.19</v>
      </c>
      <c r="FR59" s="1642"/>
      <c r="FS59" s="157">
        <v>35</v>
      </c>
      <c r="FT59" s="152">
        <f>GL46</f>
        <v>1815754.28</v>
      </c>
      <c r="FU59" s="153">
        <v>0.6</v>
      </c>
      <c r="FV59" s="154">
        <f t="shared" si="190"/>
        <v>1089452.568</v>
      </c>
      <c r="FW59" s="154">
        <f t="shared" si="191"/>
        <v>354072.0846</v>
      </c>
      <c r="FX59" s="154">
        <f t="shared" si="192"/>
        <v>60192.254382000006</v>
      </c>
      <c r="FY59" s="154">
        <f t="shared" si="193"/>
        <v>194739.64653000003</v>
      </c>
      <c r="FZ59" s="154">
        <f t="shared" si="194"/>
        <v>35407.208460000002</v>
      </c>
      <c r="GA59" s="155">
        <f t="shared" si="195"/>
        <v>63732.975227999996</v>
      </c>
    </row>
    <row r="60" spans="3:200">
      <c r="DI60" t="s">
        <v>14</v>
      </c>
      <c r="DJ60">
        <v>327</v>
      </c>
      <c r="DK60" s="108">
        <v>33838.839999999997</v>
      </c>
      <c r="DL60">
        <v>79</v>
      </c>
      <c r="DM60" s="108">
        <v>33759.839999999997</v>
      </c>
      <c r="DQ60" t="s">
        <v>18</v>
      </c>
      <c r="DR60">
        <v>558</v>
      </c>
      <c r="DS60" s="108">
        <v>54450.87</v>
      </c>
      <c r="DT60">
        <v>453.98</v>
      </c>
      <c r="DU60" s="108">
        <v>53996.89</v>
      </c>
      <c r="FR60" s="1643" t="s">
        <v>260</v>
      </c>
      <c r="FS60" s="144">
        <v>36</v>
      </c>
      <c r="FT60" s="145">
        <f>GQ46</f>
        <v>1798909.2400000002</v>
      </c>
      <c r="FU60" s="146">
        <v>0.6</v>
      </c>
      <c r="FV60" s="147">
        <f t="shared" si="190"/>
        <v>1079345.544</v>
      </c>
      <c r="FW60" s="147">
        <f t="shared" si="191"/>
        <v>350787.30180000002</v>
      </c>
      <c r="FX60" s="147">
        <f t="shared" si="192"/>
        <v>59633.841306000009</v>
      </c>
      <c r="FY60" s="147">
        <f t="shared" si="193"/>
        <v>192933.01599000001</v>
      </c>
      <c r="FZ60" s="147">
        <f t="shared" si="194"/>
        <v>35078.730180000006</v>
      </c>
      <c r="GA60" s="30">
        <f t="shared" si="195"/>
        <v>63141.714324</v>
      </c>
    </row>
    <row r="61" spans="3:200">
      <c r="DI61" t="s">
        <v>16</v>
      </c>
      <c r="DJ61">
        <v>421</v>
      </c>
      <c r="DK61" s="108">
        <v>39658.76</v>
      </c>
      <c r="DL61">
        <v>447</v>
      </c>
      <c r="DM61" s="108">
        <v>39211.760000000002</v>
      </c>
      <c r="DQ61" t="s">
        <v>19</v>
      </c>
      <c r="DR61">
        <v>589</v>
      </c>
      <c r="DS61" s="108">
        <v>49041.53</v>
      </c>
      <c r="DT61">
        <v>138.97999999999999</v>
      </c>
      <c r="DU61" s="108">
        <v>48902.55</v>
      </c>
      <c r="FR61" s="1643"/>
      <c r="FS61" s="144">
        <v>37</v>
      </c>
      <c r="FT61" s="145">
        <f>GV46</f>
        <v>1805364.07</v>
      </c>
      <c r="FU61" s="146">
        <v>0.6</v>
      </c>
      <c r="FV61" s="147">
        <f t="shared" si="190"/>
        <v>1083218.442</v>
      </c>
      <c r="FW61" s="147">
        <f t="shared" si="191"/>
        <v>352045.99365000002</v>
      </c>
      <c r="FX61" s="147">
        <f t="shared" si="192"/>
        <v>59847.818920500009</v>
      </c>
      <c r="FY61" s="147">
        <f t="shared" si="193"/>
        <v>193625.29650750002</v>
      </c>
      <c r="FZ61" s="147">
        <f t="shared" si="194"/>
        <v>35204.599365000002</v>
      </c>
      <c r="GA61" s="30">
        <f t="shared" si="195"/>
        <v>63368.278856999998</v>
      </c>
    </row>
    <row r="62" spans="3:200">
      <c r="DI62" t="s">
        <v>17</v>
      </c>
      <c r="DJ62">
        <v>1030</v>
      </c>
      <c r="DK62" s="108">
        <v>111428.76</v>
      </c>
      <c r="DL62">
        <v>223.96</v>
      </c>
      <c r="DM62" s="108">
        <v>111204.8</v>
      </c>
      <c r="DQ62" t="s">
        <v>20</v>
      </c>
      <c r="DR62">
        <v>513</v>
      </c>
      <c r="DS62" s="108">
        <v>46058.57</v>
      </c>
      <c r="DT62">
        <v>0</v>
      </c>
      <c r="DU62" s="108">
        <v>46058.57</v>
      </c>
      <c r="FR62" s="1643"/>
      <c r="FS62" s="144">
        <v>38</v>
      </c>
      <c r="FT62" s="145">
        <f>HA46</f>
        <v>1181269.71</v>
      </c>
      <c r="FU62" s="146">
        <v>0.6</v>
      </c>
      <c r="FV62" s="147">
        <f t="shared" si="190"/>
        <v>708761.826</v>
      </c>
      <c r="FW62" s="147">
        <f t="shared" si="191"/>
        <v>230347.59345000001</v>
      </c>
      <c r="FX62" s="147">
        <f t="shared" si="192"/>
        <v>39159.090886500002</v>
      </c>
      <c r="FY62" s="147">
        <f t="shared" si="193"/>
        <v>126691.17639750002</v>
      </c>
      <c r="FZ62" s="147">
        <f t="shared" si="194"/>
        <v>23034.759345000002</v>
      </c>
      <c r="GA62" s="30">
        <f t="shared" si="195"/>
        <v>41462.566821</v>
      </c>
    </row>
    <row r="63" spans="3:200">
      <c r="DI63" t="s">
        <v>18</v>
      </c>
      <c r="DJ63">
        <v>420</v>
      </c>
      <c r="DK63" s="108">
        <v>40576.39</v>
      </c>
      <c r="DL63">
        <v>149.96</v>
      </c>
      <c r="DM63" s="108">
        <v>40426.43</v>
      </c>
      <c r="DQ63" t="s">
        <v>21</v>
      </c>
      <c r="DR63">
        <v>449</v>
      </c>
      <c r="DS63" s="108">
        <v>39871.25</v>
      </c>
      <c r="DT63">
        <v>0</v>
      </c>
      <c r="DU63" s="108">
        <v>39871.25</v>
      </c>
      <c r="FR63" s="1643"/>
      <c r="FS63" s="144">
        <v>39</v>
      </c>
      <c r="FT63" s="145">
        <f>HF46</f>
        <v>693980.95000000007</v>
      </c>
      <c r="FU63" s="146">
        <v>0.6</v>
      </c>
      <c r="FV63" s="147">
        <f t="shared" si="190"/>
        <v>416388.57</v>
      </c>
      <c r="FW63" s="147">
        <f t="shared" si="191"/>
        <v>135326.28525000002</v>
      </c>
      <c r="FX63" s="147">
        <f t="shared" si="192"/>
        <v>23005.468492500004</v>
      </c>
      <c r="FY63" s="147">
        <f t="shared" si="193"/>
        <v>74429.456887500011</v>
      </c>
      <c r="FZ63" s="147">
        <f t="shared" si="194"/>
        <v>13532.628525000002</v>
      </c>
      <c r="GA63" s="30">
        <f t="shared" si="195"/>
        <v>24358.731345</v>
      </c>
    </row>
    <row r="64" spans="3:200">
      <c r="DI64" t="s">
        <v>21</v>
      </c>
      <c r="DJ64">
        <v>422</v>
      </c>
      <c r="DK64" s="108">
        <v>39056.18</v>
      </c>
      <c r="DL64">
        <v>0</v>
      </c>
      <c r="DM64" s="108">
        <v>39056.18</v>
      </c>
      <c r="DQ64" t="s">
        <v>22</v>
      </c>
      <c r="DR64">
        <v>402</v>
      </c>
      <c r="DS64" s="108">
        <v>51843.83</v>
      </c>
      <c r="DT64">
        <v>449.81</v>
      </c>
      <c r="DU64" s="108">
        <v>51394.02</v>
      </c>
      <c r="FR64" s="1643" t="s">
        <v>261</v>
      </c>
      <c r="FS64" s="151">
        <v>40</v>
      </c>
      <c r="FT64" s="152">
        <f>HK46</f>
        <v>418474.44999999995</v>
      </c>
      <c r="FU64" s="153">
        <v>0.7</v>
      </c>
      <c r="FV64" s="154">
        <f t="shared" si="190"/>
        <v>292932.11499999993</v>
      </c>
      <c r="FW64" s="154">
        <f t="shared" si="191"/>
        <v>95202.93737499998</v>
      </c>
      <c r="FX64" s="154">
        <f t="shared" si="192"/>
        <v>16184.499353749998</v>
      </c>
      <c r="FY64" s="154">
        <f t="shared" si="193"/>
        <v>52361.615556249992</v>
      </c>
      <c r="FZ64" s="154">
        <f t="shared" si="194"/>
        <v>9520.2937374999983</v>
      </c>
      <c r="GA64" s="155">
        <f t="shared" si="195"/>
        <v>17136.528727499997</v>
      </c>
    </row>
    <row r="65" spans="113:183">
      <c r="DI65" t="s">
        <v>23</v>
      </c>
      <c r="DJ65">
        <v>507</v>
      </c>
      <c r="DK65" s="108">
        <v>42336.160000000003</v>
      </c>
      <c r="DL65">
        <v>98.99</v>
      </c>
      <c r="DM65" s="108">
        <v>42237.17</v>
      </c>
      <c r="DQ65" t="s">
        <v>23</v>
      </c>
      <c r="DR65">
        <v>658</v>
      </c>
      <c r="DS65" s="108">
        <v>49771.34</v>
      </c>
      <c r="DT65">
        <v>250.96</v>
      </c>
      <c r="DU65" s="108">
        <v>49520.38</v>
      </c>
      <c r="FR65" s="1643"/>
      <c r="FS65" s="151">
        <v>41</v>
      </c>
      <c r="FT65" s="156">
        <f>HP46</f>
        <v>494266.41000000003</v>
      </c>
      <c r="FU65" s="153">
        <v>0.7</v>
      </c>
      <c r="FV65" s="154">
        <f t="shared" si="190"/>
        <v>345986.48700000002</v>
      </c>
      <c r="FW65" s="154">
        <f t="shared" si="191"/>
        <v>112445.60827500001</v>
      </c>
      <c r="FX65" s="154">
        <f t="shared" si="192"/>
        <v>19115.753406750002</v>
      </c>
      <c r="FY65" s="154">
        <f t="shared" si="193"/>
        <v>61845.084551250009</v>
      </c>
      <c r="FZ65" s="154">
        <f t="shared" si="194"/>
        <v>11244.560827500001</v>
      </c>
      <c r="GA65" s="155">
        <f t="shared" si="195"/>
        <v>20240.209489500001</v>
      </c>
    </row>
    <row r="66" spans="113:183">
      <c r="DI66" t="s">
        <v>24</v>
      </c>
      <c r="DJ66">
        <v>661</v>
      </c>
      <c r="DK66" s="108">
        <v>58806.33</v>
      </c>
      <c r="DL66">
        <v>420.94</v>
      </c>
      <c r="DM66" s="108">
        <v>58385.39</v>
      </c>
      <c r="DQ66" t="s">
        <v>24</v>
      </c>
      <c r="DR66">
        <v>474</v>
      </c>
      <c r="DS66" s="108">
        <v>39139.660000000003</v>
      </c>
      <c r="DT66">
        <v>59.98</v>
      </c>
      <c r="DU66" s="108">
        <v>39079.68</v>
      </c>
      <c r="FR66" s="1643"/>
      <c r="FS66" s="151">
        <v>42</v>
      </c>
      <c r="FT66" s="156">
        <f>HU46</f>
        <v>1027951.5700000001</v>
      </c>
      <c r="FU66" s="153">
        <v>0.7</v>
      </c>
      <c r="FV66" s="154">
        <f t="shared" si="190"/>
        <v>719566.09900000005</v>
      </c>
      <c r="FW66" s="154">
        <f t="shared" si="191"/>
        <v>233858.98217500001</v>
      </c>
      <c r="FX66" s="154">
        <f t="shared" si="192"/>
        <v>39756.026969750004</v>
      </c>
      <c r="FY66" s="154">
        <f t="shared" si="193"/>
        <v>128622.44019625001</v>
      </c>
      <c r="FZ66" s="154">
        <f t="shared" si="194"/>
        <v>23385.898217500002</v>
      </c>
      <c r="GA66" s="155">
        <f t="shared" si="195"/>
        <v>42094.616791500004</v>
      </c>
    </row>
    <row r="67" spans="113:183">
      <c r="DI67" t="s">
        <v>25</v>
      </c>
      <c r="DJ67">
        <v>838</v>
      </c>
      <c r="DK67" s="108">
        <v>98307.71</v>
      </c>
      <c r="DL67">
        <v>0</v>
      </c>
      <c r="DM67" s="108">
        <v>98307.71</v>
      </c>
      <c r="DQ67" t="s">
        <v>25</v>
      </c>
      <c r="DR67">
        <v>876</v>
      </c>
      <c r="DS67" s="108">
        <v>81670.820000000007</v>
      </c>
      <c r="DT67">
        <v>0</v>
      </c>
      <c r="DU67" s="108">
        <v>81670.820000000007</v>
      </c>
      <c r="FR67" s="1643"/>
      <c r="FS67" s="151">
        <v>43</v>
      </c>
      <c r="FT67" s="156">
        <f>HZ46</f>
        <v>2325201.9899999993</v>
      </c>
      <c r="FU67" s="153">
        <v>0.7</v>
      </c>
      <c r="FV67" s="154">
        <f t="shared" si="190"/>
        <v>1627641.3929999995</v>
      </c>
      <c r="FW67" s="154">
        <f t="shared" si="191"/>
        <v>528983.45272499986</v>
      </c>
      <c r="FX67" s="154">
        <f t="shared" si="192"/>
        <v>89927.186963249987</v>
      </c>
      <c r="FY67" s="154">
        <f t="shared" si="193"/>
        <v>290940.89899874997</v>
      </c>
      <c r="FZ67" s="154">
        <f t="shared" si="194"/>
        <v>52898.345272499988</v>
      </c>
      <c r="GA67" s="155">
        <f t="shared" si="195"/>
        <v>95217.021490499974</v>
      </c>
    </row>
    <row r="68" spans="113:183">
      <c r="DI68" t="s">
        <v>26</v>
      </c>
      <c r="DJ68">
        <v>313</v>
      </c>
      <c r="DK68" s="108">
        <v>31687.35</v>
      </c>
      <c r="DL68">
        <v>134.93</v>
      </c>
      <c r="DM68" s="108">
        <v>31552.42</v>
      </c>
      <c r="DQ68" t="s">
        <v>26</v>
      </c>
      <c r="DR68">
        <v>454</v>
      </c>
      <c r="DS68" s="108">
        <v>52138.35</v>
      </c>
      <c r="DT68">
        <v>229</v>
      </c>
      <c r="DU68" s="108">
        <v>51909.35</v>
      </c>
      <c r="FR68" s="1643" t="s">
        <v>262</v>
      </c>
      <c r="FS68" s="144">
        <v>44</v>
      </c>
      <c r="FT68" s="12">
        <f>IE46</f>
        <v>3514464.7499999991</v>
      </c>
      <c r="FU68" s="146">
        <v>0.8</v>
      </c>
      <c r="FV68" s="147">
        <f t="shared" si="190"/>
        <v>2811571.7999999993</v>
      </c>
      <c r="FW68" s="147">
        <f t="shared" si="191"/>
        <v>913760.83499999985</v>
      </c>
      <c r="FX68" s="147" t="s">
        <v>263</v>
      </c>
      <c r="FY68" s="147">
        <f t="shared" si="193"/>
        <v>502568.45924999996</v>
      </c>
      <c r="FZ68" s="147">
        <f t="shared" si="194"/>
        <v>91376.083499999993</v>
      </c>
      <c r="GA68" s="30">
        <f t="shared" si="195"/>
        <v>164476.95029999997</v>
      </c>
    </row>
    <row r="69" spans="113:183">
      <c r="DI69" t="s">
        <v>28</v>
      </c>
      <c r="DJ69">
        <v>583</v>
      </c>
      <c r="DK69" s="108">
        <v>73484.039999999994</v>
      </c>
      <c r="DL69">
        <v>0</v>
      </c>
      <c r="DM69" s="108">
        <v>73484.039999999994</v>
      </c>
      <c r="DQ69" t="s">
        <v>28</v>
      </c>
      <c r="DR69">
        <v>596</v>
      </c>
      <c r="DS69" s="108">
        <v>82418.080000000002</v>
      </c>
      <c r="DT69">
        <v>0</v>
      </c>
      <c r="DU69" s="108">
        <v>82418.080000000002</v>
      </c>
      <c r="FR69" s="1643"/>
      <c r="FS69" s="144">
        <v>45</v>
      </c>
      <c r="FT69" s="12">
        <f>IJ46</f>
        <v>4601418.6099999994</v>
      </c>
      <c r="FU69" s="146">
        <v>0.8</v>
      </c>
      <c r="FV69" s="147">
        <f t="shared" si="190"/>
        <v>3681134.8879999998</v>
      </c>
      <c r="FW69" s="147">
        <f t="shared" si="191"/>
        <v>1196368.8385999999</v>
      </c>
      <c r="FX69" s="147">
        <f t="shared" si="192"/>
        <v>203382.70256199999</v>
      </c>
      <c r="FY69" s="147">
        <f t="shared" si="193"/>
        <v>658002.86123000004</v>
      </c>
      <c r="FZ69" s="147">
        <f t="shared" si="194"/>
        <v>119636.88386</v>
      </c>
      <c r="GA69" s="30">
        <f t="shared" si="195"/>
        <v>215346.39094799999</v>
      </c>
    </row>
    <row r="70" spans="113:183">
      <c r="DI70" t="s">
        <v>33</v>
      </c>
      <c r="DJ70">
        <v>306</v>
      </c>
      <c r="DK70" s="108">
        <v>34051.279999999999</v>
      </c>
      <c r="DL70">
        <v>0</v>
      </c>
      <c r="DM70" s="108">
        <v>34051.279999999999</v>
      </c>
      <c r="DQ70" t="s">
        <v>30</v>
      </c>
      <c r="DR70">
        <v>775</v>
      </c>
      <c r="DS70" s="108">
        <v>86047.12</v>
      </c>
      <c r="DT70">
        <v>0</v>
      </c>
      <c r="DU70" s="108">
        <v>86047.12</v>
      </c>
      <c r="FR70" s="1643"/>
      <c r="FS70" s="144">
        <v>46</v>
      </c>
      <c r="FT70" s="12">
        <f>IO46</f>
        <v>5989857.1000000006</v>
      </c>
      <c r="FU70" s="146">
        <v>0.8</v>
      </c>
      <c r="FV70" s="147">
        <f t="shared" si="190"/>
        <v>4791885.6800000006</v>
      </c>
      <c r="FW70" s="147">
        <f t="shared" si="191"/>
        <v>1557362.8460000004</v>
      </c>
      <c r="FX70" s="147">
        <f t="shared" si="192"/>
        <v>264751.68382000009</v>
      </c>
      <c r="FY70" s="147">
        <f t="shared" si="193"/>
        <v>856549.56530000025</v>
      </c>
      <c r="FZ70" s="147">
        <f t="shared" si="194"/>
        <v>155736.28460000004</v>
      </c>
      <c r="GA70" s="30">
        <f t="shared" si="195"/>
        <v>280325.31228000007</v>
      </c>
    </row>
    <row r="71" spans="113:183">
      <c r="DI71" t="s">
        <v>36</v>
      </c>
      <c r="DJ71">
        <v>126</v>
      </c>
      <c r="DK71" s="108">
        <v>13222.63</v>
      </c>
      <c r="DL71">
        <v>0</v>
      </c>
      <c r="DM71" s="108">
        <v>13222.63</v>
      </c>
      <c r="DQ71" t="s">
        <v>32</v>
      </c>
      <c r="DR71">
        <v>974</v>
      </c>
      <c r="DS71" s="108">
        <v>133012.42000000001</v>
      </c>
      <c r="DT71">
        <v>0</v>
      </c>
      <c r="DU71" s="108">
        <v>133012.42000000001</v>
      </c>
      <c r="FR71" s="1643"/>
      <c r="FS71" s="144">
        <v>47</v>
      </c>
      <c r="FT71" s="12">
        <f>IT46</f>
        <v>7486355.629999999</v>
      </c>
      <c r="FU71" s="146">
        <v>0.8</v>
      </c>
      <c r="FV71" s="147">
        <f t="shared" si="190"/>
        <v>5989084.5039999997</v>
      </c>
      <c r="FW71" s="147">
        <f t="shared" si="191"/>
        <v>1946452.4638</v>
      </c>
      <c r="FX71" s="147">
        <f t="shared" si="192"/>
        <v>330896.91884600004</v>
      </c>
      <c r="FY71" s="147">
        <f t="shared" si="193"/>
        <v>1070548.8550900002</v>
      </c>
      <c r="FZ71" s="147">
        <f t="shared" si="194"/>
        <v>194645.24638000003</v>
      </c>
      <c r="GA71" s="30">
        <f t="shared" si="195"/>
        <v>350361.44348399999</v>
      </c>
    </row>
    <row r="72" spans="113:183">
      <c r="DI72" t="s">
        <v>37</v>
      </c>
      <c r="DJ72">
        <v>361</v>
      </c>
      <c r="DK72" s="108">
        <v>43710.07</v>
      </c>
      <c r="DL72">
        <v>0</v>
      </c>
      <c r="DM72" s="108">
        <v>43710.07</v>
      </c>
      <c r="DQ72" t="s">
        <v>33</v>
      </c>
      <c r="DR72">
        <v>197</v>
      </c>
      <c r="DS72" s="108">
        <v>21688.87</v>
      </c>
      <c r="DT72">
        <v>0</v>
      </c>
      <c r="DU72" s="108">
        <v>21688.87</v>
      </c>
      <c r="FR72" s="1643"/>
      <c r="FS72" s="144">
        <v>48</v>
      </c>
      <c r="FT72" s="12">
        <f>IY46</f>
        <v>2044644.37</v>
      </c>
      <c r="FU72" s="146">
        <v>0.8</v>
      </c>
      <c r="FV72" s="147">
        <f t="shared" si="190"/>
        <v>1635715.4960000003</v>
      </c>
      <c r="FW72" s="147">
        <f t="shared" si="191"/>
        <v>531607.53620000009</v>
      </c>
      <c r="FX72" s="147">
        <f t="shared" si="192"/>
        <v>90373.281154000026</v>
      </c>
      <c r="FY72" s="147">
        <f t="shared" si="193"/>
        <v>292384.14491000009</v>
      </c>
      <c r="FZ72" s="147">
        <f t="shared" si="194"/>
        <v>53160.75362000001</v>
      </c>
      <c r="GA72" s="30">
        <f t="shared" si="195"/>
        <v>95689.356516000014</v>
      </c>
    </row>
    <row r="73" spans="113:183">
      <c r="DQ73" t="s">
        <v>36</v>
      </c>
      <c r="DR73">
        <v>201</v>
      </c>
      <c r="DS73" s="108">
        <v>21826.560000000001</v>
      </c>
      <c r="DT73">
        <v>0</v>
      </c>
      <c r="DU73" s="108">
        <v>21826.560000000001</v>
      </c>
    </row>
    <row r="74" spans="113:183">
      <c r="DQ74" t="s">
        <v>37</v>
      </c>
      <c r="DR74">
        <v>413</v>
      </c>
      <c r="DS74" s="108">
        <v>45234.52</v>
      </c>
      <c r="DT74">
        <v>0</v>
      </c>
      <c r="DU74" s="108">
        <v>45234.52</v>
      </c>
    </row>
    <row r="77" spans="113:183">
      <c r="DQ77" t="s">
        <v>241</v>
      </c>
      <c r="DR77" t="s">
        <v>242</v>
      </c>
      <c r="DS77" t="s">
        <v>243</v>
      </c>
      <c r="DT77" t="s">
        <v>244</v>
      </c>
      <c r="DU77" t="s">
        <v>245</v>
      </c>
    </row>
    <row r="78" spans="113:183">
      <c r="DQ78" t="s">
        <v>9</v>
      </c>
      <c r="DR78">
        <v>438</v>
      </c>
      <c r="DS78" s="108">
        <v>33139.599999999999</v>
      </c>
      <c r="DT78">
        <v>367.98</v>
      </c>
      <c r="DU78" s="108">
        <v>32771.620000000003</v>
      </c>
    </row>
    <row r="79" spans="113:183">
      <c r="DQ79" t="s">
        <v>10</v>
      </c>
      <c r="DR79">
        <v>817</v>
      </c>
      <c r="DS79" s="108">
        <v>63737.45</v>
      </c>
      <c r="DT79">
        <v>425.89</v>
      </c>
      <c r="DU79" s="108">
        <v>63311.56</v>
      </c>
    </row>
    <row r="80" spans="113:183">
      <c r="DQ80" t="s">
        <v>11</v>
      </c>
      <c r="DR80">
        <v>468</v>
      </c>
      <c r="DS80" s="108">
        <v>42603.39</v>
      </c>
      <c r="DT80">
        <v>89.99</v>
      </c>
      <c r="DU80" s="108">
        <v>42513.4</v>
      </c>
    </row>
    <row r="81" spans="121:125">
      <c r="DQ81" t="s">
        <v>12</v>
      </c>
      <c r="DR81">
        <v>422</v>
      </c>
      <c r="DS81" s="108">
        <v>32384.28</v>
      </c>
      <c r="DT81">
        <v>299.85000000000002</v>
      </c>
      <c r="DU81" s="108">
        <v>32084.43</v>
      </c>
    </row>
    <row r="82" spans="121:125">
      <c r="DQ82" t="s">
        <v>13</v>
      </c>
      <c r="DR82">
        <v>481</v>
      </c>
      <c r="DS82" s="108">
        <v>43586.79</v>
      </c>
      <c r="DT82">
        <v>44.98</v>
      </c>
      <c r="DU82" s="108">
        <v>43541.81</v>
      </c>
    </row>
    <row r="83" spans="121:125">
      <c r="DQ83" t="s">
        <v>14</v>
      </c>
      <c r="DR83">
        <v>566</v>
      </c>
      <c r="DS83" s="108">
        <v>60407.44</v>
      </c>
      <c r="DT83">
        <v>98.99</v>
      </c>
      <c r="DU83" s="108">
        <v>60308.45</v>
      </c>
    </row>
    <row r="84" spans="121:125">
      <c r="DQ84" t="s">
        <v>16</v>
      </c>
      <c r="DR84">
        <v>439</v>
      </c>
      <c r="DS84" s="108">
        <v>47582.65</v>
      </c>
      <c r="DT84">
        <v>103.99</v>
      </c>
      <c r="DU84" s="108">
        <v>47478.66</v>
      </c>
    </row>
    <row r="85" spans="121:125">
      <c r="DQ85" t="s">
        <v>17</v>
      </c>
      <c r="DR85">
        <v>1065</v>
      </c>
      <c r="DS85" s="108">
        <v>92527.81</v>
      </c>
      <c r="DT85">
        <v>725.91</v>
      </c>
      <c r="DU85" s="108">
        <v>91801.9</v>
      </c>
    </row>
    <row r="86" spans="121:125">
      <c r="DQ86" t="s">
        <v>18</v>
      </c>
      <c r="DR86">
        <v>570</v>
      </c>
      <c r="DS86" s="108">
        <v>52398.04</v>
      </c>
      <c r="DT86">
        <v>439</v>
      </c>
      <c r="DU86" s="108">
        <v>51959.040000000001</v>
      </c>
    </row>
    <row r="87" spans="121:125">
      <c r="DQ87" t="s">
        <v>19</v>
      </c>
      <c r="DR87">
        <v>766</v>
      </c>
      <c r="DS87" s="108">
        <v>64837.95</v>
      </c>
      <c r="DT87">
        <v>413.55</v>
      </c>
      <c r="DU87" s="108">
        <v>64424.4</v>
      </c>
    </row>
    <row r="88" spans="121:125">
      <c r="DQ88" t="s">
        <v>20</v>
      </c>
      <c r="DR88">
        <v>565</v>
      </c>
      <c r="DS88" s="108">
        <v>51627.44</v>
      </c>
      <c r="DT88">
        <v>0</v>
      </c>
      <c r="DU88" s="108">
        <v>51627.44</v>
      </c>
    </row>
    <row r="89" spans="121:125">
      <c r="DQ89" t="s">
        <v>21</v>
      </c>
      <c r="DR89">
        <v>476</v>
      </c>
      <c r="DS89" s="108">
        <v>41612.720000000001</v>
      </c>
      <c r="DT89">
        <v>0</v>
      </c>
      <c r="DU89" s="108">
        <v>41612.720000000001</v>
      </c>
    </row>
    <row r="90" spans="121:125">
      <c r="DQ90" t="s">
        <v>22</v>
      </c>
      <c r="DR90">
        <v>423</v>
      </c>
      <c r="DS90" s="108">
        <v>61569.03</v>
      </c>
      <c r="DT90">
        <v>84.98</v>
      </c>
      <c r="DU90" s="108">
        <v>61484.05</v>
      </c>
    </row>
    <row r="91" spans="121:125">
      <c r="DQ91" t="s">
        <v>23</v>
      </c>
      <c r="DR91">
        <v>655</v>
      </c>
      <c r="DS91" s="108">
        <v>49859.14</v>
      </c>
      <c r="DT91">
        <v>537.17999999999995</v>
      </c>
      <c r="DU91" s="108">
        <v>49321.96</v>
      </c>
    </row>
    <row r="92" spans="121:125">
      <c r="DQ92" t="s">
        <v>24</v>
      </c>
      <c r="DR92">
        <v>554</v>
      </c>
      <c r="DS92" s="108">
        <v>38222.129999999997</v>
      </c>
      <c r="DT92">
        <v>60</v>
      </c>
      <c r="DU92" s="108">
        <v>38162.129999999997</v>
      </c>
    </row>
    <row r="93" spans="121:125">
      <c r="DQ93" t="s">
        <v>25</v>
      </c>
      <c r="DR93">
        <v>783</v>
      </c>
      <c r="DS93" s="108">
        <v>70422.259999999995</v>
      </c>
      <c r="DT93">
        <v>119.97</v>
      </c>
      <c r="DU93" s="108">
        <v>70302.289999999994</v>
      </c>
    </row>
    <row r="94" spans="121:125">
      <c r="DQ94" t="s">
        <v>26</v>
      </c>
      <c r="DR94">
        <v>450</v>
      </c>
      <c r="DS94" s="108">
        <v>46629.24</v>
      </c>
      <c r="DT94">
        <v>378</v>
      </c>
      <c r="DU94" s="108">
        <v>46251.24</v>
      </c>
    </row>
    <row r="95" spans="121:125">
      <c r="DQ95" t="s">
        <v>28</v>
      </c>
      <c r="DR95">
        <v>479</v>
      </c>
      <c r="DS95" s="108">
        <v>53717.8</v>
      </c>
      <c r="DT95">
        <v>0</v>
      </c>
      <c r="DU95" s="108">
        <v>53717.8</v>
      </c>
    </row>
    <row r="96" spans="121:125">
      <c r="DQ96" t="s">
        <v>30</v>
      </c>
      <c r="DR96">
        <v>760</v>
      </c>
      <c r="DS96" s="108">
        <v>83390.89</v>
      </c>
      <c r="DT96">
        <v>0</v>
      </c>
      <c r="DU96" s="108">
        <v>83390.89</v>
      </c>
    </row>
    <row r="97" spans="121:125">
      <c r="DQ97" t="s">
        <v>32</v>
      </c>
      <c r="DR97">
        <v>1035</v>
      </c>
      <c r="DS97" s="108">
        <v>134183.24</v>
      </c>
      <c r="DT97">
        <v>0</v>
      </c>
      <c r="DU97" s="108">
        <v>134183.24</v>
      </c>
    </row>
    <row r="98" spans="121:125">
      <c r="DQ98" t="s">
        <v>33</v>
      </c>
      <c r="DR98">
        <v>225</v>
      </c>
      <c r="DS98" s="108">
        <v>29837.48</v>
      </c>
      <c r="DT98">
        <v>0</v>
      </c>
      <c r="DU98" s="108">
        <v>29837.48</v>
      </c>
    </row>
    <row r="99" spans="121:125">
      <c r="DQ99" t="s">
        <v>35</v>
      </c>
      <c r="DR99">
        <v>19</v>
      </c>
      <c r="DS99" s="108">
        <v>2156.54</v>
      </c>
      <c r="DT99">
        <v>0</v>
      </c>
      <c r="DU99" s="108">
        <v>2156.54</v>
      </c>
    </row>
    <row r="100" spans="121:125">
      <c r="DQ100" t="s">
        <v>36</v>
      </c>
      <c r="DR100">
        <v>230</v>
      </c>
      <c r="DS100" s="108">
        <v>23677.03</v>
      </c>
      <c r="DT100">
        <v>0</v>
      </c>
      <c r="DU100" s="108">
        <v>23677.03</v>
      </c>
    </row>
    <row r="101" spans="121:125">
      <c r="DQ101" t="s">
        <v>37</v>
      </c>
      <c r="DR101">
        <v>370</v>
      </c>
      <c r="DS101" s="108">
        <v>40501.81</v>
      </c>
      <c r="DT101">
        <v>0</v>
      </c>
      <c r="DU101" s="108">
        <v>40501.81</v>
      </c>
    </row>
  </sheetData>
  <autoFilter ref="DQ77:DU77" xr:uid="{00000000-0009-0000-0000-000002000000}">
    <sortState xmlns:xlrd2="http://schemas.microsoft.com/office/spreadsheetml/2017/richdata2" ref="DQ79:DU102">
      <sortCondition ref="DQ78"/>
    </sortState>
  </autoFilter>
  <mergeCells count="74">
    <mergeCell ref="D3:W3"/>
    <mergeCell ref="X3:AQ3"/>
    <mergeCell ref="AR3:BP3"/>
    <mergeCell ref="BQ3:CJ3"/>
    <mergeCell ref="CK3:DD3"/>
    <mergeCell ref="Z4:Z7"/>
    <mergeCell ref="AE4:AE7"/>
    <mergeCell ref="AO4:AO7"/>
    <mergeCell ref="AT4:AT7"/>
    <mergeCell ref="CC4:CC7"/>
    <mergeCell ref="AY4:AY7"/>
    <mergeCell ref="BD4:BD7"/>
    <mergeCell ref="BI4:BI7"/>
    <mergeCell ref="CH4:CH7"/>
    <mergeCell ref="CM4:CM7"/>
    <mergeCell ref="BN4:BN7"/>
    <mergeCell ref="GQ3:HJ3"/>
    <mergeCell ref="HK3:ID3"/>
    <mergeCell ref="BS4:BS7"/>
    <mergeCell ref="BX4:BX7"/>
    <mergeCell ref="DG4:DG7"/>
    <mergeCell ref="DL4:DL7"/>
    <mergeCell ref="DQ4:DQ7"/>
    <mergeCell ref="CR4:CR7"/>
    <mergeCell ref="FJ4:FJ7"/>
    <mergeCell ref="DV4:DV7"/>
    <mergeCell ref="EA4:EA7"/>
    <mergeCell ref="EF4:EF7"/>
    <mergeCell ref="DE3:EC3"/>
    <mergeCell ref="C4:C7"/>
    <mergeCell ref="F4:F7"/>
    <mergeCell ref="K4:K7"/>
    <mergeCell ref="P4:P7"/>
    <mergeCell ref="U4:U7"/>
    <mergeCell ref="ED3:EW3"/>
    <mergeCell ref="EX3:FQ3"/>
    <mergeCell ref="FR3:GP3"/>
    <mergeCell ref="AJ4:AJ7"/>
    <mergeCell ref="FO4:FO7"/>
    <mergeCell ref="CW4:CW7"/>
    <mergeCell ref="DB4:DB7"/>
    <mergeCell ref="EK4:EK7"/>
    <mergeCell ref="EP4:EP7"/>
    <mergeCell ref="EU4:EU7"/>
    <mergeCell ref="EZ4:EZ7"/>
    <mergeCell ref="FE4:FE7"/>
    <mergeCell ref="GD4:GD7"/>
    <mergeCell ref="GI4:GI7"/>
    <mergeCell ref="GN4:GN7"/>
    <mergeCell ref="FT4:FT7"/>
    <mergeCell ref="IL4:IL7"/>
    <mergeCell ref="IQ4:IQ7"/>
    <mergeCell ref="IV4:IV7"/>
    <mergeCell ref="IE3:JC3"/>
    <mergeCell ref="HW4:HW7"/>
    <mergeCell ref="IB4:IB7"/>
    <mergeCell ref="IG4:IG7"/>
    <mergeCell ref="JD3:JG3"/>
    <mergeCell ref="JA4:JA7"/>
    <mergeCell ref="JD4:JD7"/>
    <mergeCell ref="JE4:JE7"/>
    <mergeCell ref="JF4:JF7"/>
    <mergeCell ref="JG4:JG7"/>
    <mergeCell ref="FR55:FR59"/>
    <mergeCell ref="FR60:FR63"/>
    <mergeCell ref="FR64:FR67"/>
    <mergeCell ref="FR68:FR72"/>
    <mergeCell ref="FY4:FY7"/>
    <mergeCell ref="HH4:HH7"/>
    <mergeCell ref="HM4:HM7"/>
    <mergeCell ref="HR4:HR7"/>
    <mergeCell ref="GS4:GS7"/>
    <mergeCell ref="GX4:GX7"/>
    <mergeCell ref="HC4:HC7"/>
  </mergeCells>
  <pageMargins left="0.7" right="0.7" top="0.75" bottom="0.75" header="0.3" footer="0.3"/>
  <pageSetup paperSize="9" scale="86" orientation="landscape" verticalDpi="36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009-245F-425E-AF96-CAA72553CA95}">
  <dimension ref="A2:T82"/>
  <sheetViews>
    <sheetView workbookViewId="0">
      <pane xSplit="1" ySplit="2" topLeftCell="E13" activePane="bottomRight" state="frozen"/>
      <selection pane="bottomRight" activeCell="E13" sqref="E13"/>
      <selection pane="bottomLeft"/>
      <selection pane="topRight"/>
    </sheetView>
  </sheetViews>
  <sheetFormatPr defaultRowHeight="15"/>
  <cols>
    <col min="1" max="1" width="10.5703125" bestFit="1" customWidth="1"/>
  </cols>
  <sheetData>
    <row r="2" spans="1:20" s="1007" customFormat="1">
      <c r="A2" s="1004"/>
      <c r="B2" s="1005">
        <v>44348</v>
      </c>
      <c r="C2" s="1005">
        <v>44378</v>
      </c>
      <c r="D2" s="1005">
        <v>44409</v>
      </c>
      <c r="E2" s="1005">
        <v>44440</v>
      </c>
      <c r="F2" s="1005">
        <v>44470</v>
      </c>
      <c r="G2" s="1005">
        <v>44501</v>
      </c>
      <c r="H2" s="1005">
        <v>44531</v>
      </c>
      <c r="I2" s="1005">
        <v>44562</v>
      </c>
      <c r="J2" s="1005">
        <v>44593</v>
      </c>
      <c r="K2" s="1005">
        <v>44621</v>
      </c>
      <c r="L2" s="1005">
        <v>44652</v>
      </c>
      <c r="M2" s="1005">
        <v>44682</v>
      </c>
      <c r="N2" s="1005">
        <v>44713</v>
      </c>
      <c r="O2" s="1005">
        <v>44743</v>
      </c>
      <c r="P2" s="1005">
        <v>44774</v>
      </c>
      <c r="Q2" s="1005">
        <v>44805</v>
      </c>
      <c r="R2" s="1005">
        <v>44835</v>
      </c>
      <c r="S2" s="1006">
        <v>44866</v>
      </c>
      <c r="T2" s="1005">
        <v>44896</v>
      </c>
    </row>
    <row r="3" spans="1:20">
      <c r="A3" s="1003" t="s">
        <v>199</v>
      </c>
      <c r="B3" s="1008">
        <v>0.83482014601391941</v>
      </c>
      <c r="C3" s="1008">
        <v>0.86661831320139249</v>
      </c>
      <c r="D3" s="1008">
        <v>0.91829332643420658</v>
      </c>
      <c r="E3" s="1008">
        <v>0.95083999548330644</v>
      </c>
      <c r="F3" s="1008">
        <v>0.98333316581523744</v>
      </c>
      <c r="G3" s="1008">
        <v>1.0238965700643567</v>
      </c>
      <c r="H3" s="1008">
        <v>1.0569961629766176</v>
      </c>
      <c r="I3" s="1008">
        <v>1.113423092804803</v>
      </c>
      <c r="J3" s="1008">
        <v>1.1162388288070839</v>
      </c>
      <c r="K3" s="1008">
        <v>1.1210595033067876</v>
      </c>
      <c r="L3" s="1008">
        <v>1.1013963488642029</v>
      </c>
      <c r="M3" s="1008">
        <v>1.1101052997235084</v>
      </c>
      <c r="N3" s="1008">
        <v>1.1020175194740853</v>
      </c>
      <c r="O3" s="1008">
        <v>1.1133737154873171</v>
      </c>
      <c r="P3" s="1008">
        <v>1.0480100869175781</v>
      </c>
      <c r="Q3" s="1008">
        <v>1.0174352024540152</v>
      </c>
      <c r="R3" s="1008">
        <v>1.0284394643360337</v>
      </c>
      <c r="S3" s="1009">
        <v>1.042052507184378</v>
      </c>
      <c r="T3" s="1008">
        <v>1.0614339422379264</v>
      </c>
    </row>
    <row r="4" spans="1:20">
      <c r="A4" s="1003" t="s">
        <v>200</v>
      </c>
      <c r="B4" s="1013">
        <v>0.81539351101059032</v>
      </c>
      <c r="C4" s="1008">
        <v>0.76266755895885696</v>
      </c>
      <c r="D4" s="1008">
        <v>0.82855475706422399</v>
      </c>
      <c r="E4" s="1008">
        <v>0.86077329042245909</v>
      </c>
      <c r="F4" s="1008">
        <v>0.88957894418234917</v>
      </c>
      <c r="G4" s="1008">
        <v>0.91803856609207046</v>
      </c>
      <c r="H4" s="1008">
        <v>0.94880498483132025</v>
      </c>
      <c r="I4" s="1008">
        <v>0.99642289404045847</v>
      </c>
      <c r="J4" s="1008">
        <v>1.0017643407011398</v>
      </c>
      <c r="K4" s="1008">
        <v>1.0017664377825779</v>
      </c>
      <c r="L4" s="1008">
        <v>0.99710318235620821</v>
      </c>
      <c r="M4" s="1008">
        <v>0.99934931854843578</v>
      </c>
      <c r="N4" s="1008">
        <v>0.99951189238214544</v>
      </c>
      <c r="O4" s="1008">
        <v>0.99758246273116424</v>
      </c>
      <c r="P4" s="1008">
        <v>1.0013460693377629</v>
      </c>
      <c r="Q4" s="1008">
        <v>1.0009510144538907</v>
      </c>
      <c r="R4" s="1008">
        <v>1.0048235380064243</v>
      </c>
      <c r="S4" s="1009">
        <v>1.0010029385287584</v>
      </c>
      <c r="T4" s="1008">
        <v>0.99660606474036961</v>
      </c>
    </row>
    <row r="5" spans="1:20">
      <c r="A5" s="1011" t="s">
        <v>201</v>
      </c>
      <c r="B5" s="1010"/>
      <c r="C5" s="1012">
        <v>0.82068819418586325</v>
      </c>
      <c r="D5" s="1008">
        <v>0.85543310763513225</v>
      </c>
      <c r="E5" s="1008">
        <v>0.86077329042245909</v>
      </c>
      <c r="F5" s="1008">
        <v>0.88957894418234917</v>
      </c>
      <c r="G5" s="1008">
        <v>0.91803856609207046</v>
      </c>
      <c r="H5" s="1008">
        <v>0.94880498483132025</v>
      </c>
      <c r="I5" s="1008">
        <v>0.99642289404045847</v>
      </c>
      <c r="J5" s="1008">
        <v>1.0017643407011398</v>
      </c>
      <c r="K5" s="1008">
        <v>1.0017664377825779</v>
      </c>
      <c r="L5" s="1008">
        <v>0.99710318235620821</v>
      </c>
      <c r="M5" s="1008">
        <v>0.99934931854843578</v>
      </c>
      <c r="N5" s="1008">
        <v>0.99951189238214544</v>
      </c>
      <c r="O5" s="1008">
        <v>0.99758246273116424</v>
      </c>
      <c r="P5" s="1008">
        <v>1.0013460693377629</v>
      </c>
      <c r="Q5" s="1008">
        <v>1.0009510144538907</v>
      </c>
      <c r="R5" s="1008">
        <v>1.0048235380064243</v>
      </c>
      <c r="S5" s="1009">
        <v>1.0010029385287584</v>
      </c>
      <c r="T5" s="1008">
        <v>0.99660606474036961</v>
      </c>
    </row>
    <row r="6" spans="1:20">
      <c r="A6" s="1011" t="s">
        <v>202</v>
      </c>
      <c r="B6" s="1010"/>
      <c r="C6" s="1012">
        <v>0.84007382634134886</v>
      </c>
      <c r="D6" s="1008">
        <v>0.8950681275386041</v>
      </c>
      <c r="E6" s="1008">
        <v>0.87229756008186587</v>
      </c>
      <c r="F6" s="1008">
        <v>0.88957894418234917</v>
      </c>
      <c r="G6" s="1008">
        <v>0.91803856609207046</v>
      </c>
      <c r="H6" s="1008">
        <v>0.94880498483132025</v>
      </c>
      <c r="I6" s="1008">
        <v>0.99642289404045847</v>
      </c>
      <c r="J6" s="1008">
        <v>1.0017643407011398</v>
      </c>
      <c r="K6" s="1008">
        <v>1.0017664377825779</v>
      </c>
      <c r="L6" s="1008">
        <v>0.99710318235620821</v>
      </c>
      <c r="M6" s="1008">
        <v>0.99934931854843578</v>
      </c>
      <c r="N6" s="1008">
        <v>0.99951189238214544</v>
      </c>
      <c r="O6" s="1008">
        <v>0.99758246273116424</v>
      </c>
      <c r="P6" s="1008">
        <v>1.0013460693377629</v>
      </c>
      <c r="Q6" s="1008">
        <v>1.0009510144538907</v>
      </c>
      <c r="R6" s="1008">
        <v>1.0048235380064243</v>
      </c>
      <c r="S6" s="1009">
        <v>1.0010029385287584</v>
      </c>
      <c r="T6" s="1008">
        <v>0.99660606474036961</v>
      </c>
    </row>
    <row r="7" spans="1:20">
      <c r="A7" s="1011" t="s">
        <v>203</v>
      </c>
      <c r="B7" s="1010"/>
      <c r="C7" s="1012">
        <v>0.84692886068341444</v>
      </c>
      <c r="D7" s="1008">
        <v>0.9078326075346026</v>
      </c>
      <c r="E7" s="1008">
        <v>0.88954796211539333</v>
      </c>
      <c r="F7" s="1008">
        <v>0.88957894418234917</v>
      </c>
      <c r="G7" s="1008">
        <v>0.91803856609207046</v>
      </c>
      <c r="H7" s="1008">
        <v>0.94880498483132025</v>
      </c>
      <c r="I7" s="1008">
        <v>0.99642289404045847</v>
      </c>
      <c r="J7" s="1008">
        <v>1.0017643407011398</v>
      </c>
      <c r="K7" s="1008">
        <v>1.0017664377825779</v>
      </c>
      <c r="L7" s="1008">
        <v>0.99710318235620821</v>
      </c>
      <c r="M7" s="1008">
        <v>0.99934931854843578</v>
      </c>
      <c r="N7" s="1008">
        <v>0.99951189238214544</v>
      </c>
      <c r="O7" s="1008">
        <v>0.99758246273116424</v>
      </c>
      <c r="P7" s="1008">
        <v>1.0013460693377629</v>
      </c>
      <c r="Q7" s="1008">
        <v>1.0009510144538907</v>
      </c>
      <c r="R7" s="1008">
        <v>1.0048235380064243</v>
      </c>
      <c r="S7" s="1009">
        <v>1.0010029385287584</v>
      </c>
      <c r="T7" s="1008">
        <v>0.99660606474036961</v>
      </c>
    </row>
    <row r="8" spans="1:20">
      <c r="A8" s="1011" t="s">
        <v>204</v>
      </c>
      <c r="B8" s="1010"/>
      <c r="C8" s="1016">
        <v>0.84692886068341444</v>
      </c>
      <c r="D8" s="1008">
        <v>0.89776871802495639</v>
      </c>
      <c r="E8" s="1008">
        <v>0.89915168561840042</v>
      </c>
      <c r="F8" s="1008">
        <v>0.89896197815874523</v>
      </c>
      <c r="G8" s="1008">
        <v>0.91803856609207046</v>
      </c>
      <c r="H8" s="1008">
        <v>0.94880498483132025</v>
      </c>
      <c r="I8" s="1008">
        <v>0.99642289404045847</v>
      </c>
      <c r="J8" s="1008">
        <v>1.0017643407011398</v>
      </c>
      <c r="K8" s="1008">
        <v>1.0017664377825779</v>
      </c>
      <c r="L8" s="1008">
        <v>0.99710318235620821</v>
      </c>
      <c r="M8" s="1008">
        <v>0.99934931854843578</v>
      </c>
      <c r="N8" s="1008">
        <v>0.99951189238214544</v>
      </c>
      <c r="O8" s="1008">
        <v>0.99758246273116424</v>
      </c>
      <c r="P8" s="1008">
        <v>1.0013460693377629</v>
      </c>
      <c r="Q8" s="1008">
        <v>1.0009510144538907</v>
      </c>
      <c r="R8" s="1008">
        <v>1.0048235380064243</v>
      </c>
      <c r="S8" s="1009">
        <v>1.0010029385287584</v>
      </c>
      <c r="T8" s="1008">
        <v>0.99660606474036961</v>
      </c>
    </row>
    <row r="9" spans="1:20">
      <c r="A9" s="1011" t="s">
        <v>205</v>
      </c>
      <c r="B9" s="1010"/>
      <c r="C9" s="1010"/>
      <c r="D9" s="1008">
        <v>0.89776871802495639</v>
      </c>
      <c r="E9" s="1008">
        <v>0.89915168561840042</v>
      </c>
      <c r="F9" s="1008">
        <v>0.89896197815874523</v>
      </c>
      <c r="G9" s="1008">
        <v>0.91803856609207046</v>
      </c>
      <c r="H9" s="1008">
        <v>0.94880498483132025</v>
      </c>
      <c r="I9" s="1008">
        <v>0.99642289404045847</v>
      </c>
      <c r="J9" s="1008">
        <v>1.0017643407011398</v>
      </c>
      <c r="K9" s="1008">
        <v>1.0017664377825779</v>
      </c>
      <c r="L9" s="1008">
        <v>0.99710318235620821</v>
      </c>
      <c r="M9" s="1008">
        <v>0.99934931854843578</v>
      </c>
      <c r="N9" s="1008">
        <v>0.99951189238214544</v>
      </c>
      <c r="O9" s="1008">
        <v>0.99758246273116424</v>
      </c>
      <c r="P9" s="1008">
        <v>1.0013460693377629</v>
      </c>
      <c r="Q9" s="1008">
        <v>1.0009510144538907</v>
      </c>
      <c r="R9" s="1008">
        <v>1.0048235380064243</v>
      </c>
      <c r="S9" s="1009">
        <v>1.0010029385287584</v>
      </c>
      <c r="T9" s="1008">
        <v>0.99660606474036961</v>
      </c>
    </row>
    <row r="10" spans="1:20">
      <c r="A10" s="1011" t="s">
        <v>206</v>
      </c>
      <c r="B10" s="1010"/>
      <c r="C10" s="1010"/>
      <c r="D10" s="1012">
        <v>0.88</v>
      </c>
      <c r="E10" s="1008">
        <v>0.89915168561840042</v>
      </c>
      <c r="F10" s="1008">
        <v>0.89896197815874523</v>
      </c>
      <c r="G10" s="1008">
        <v>0.91803856609207046</v>
      </c>
      <c r="H10" s="1008">
        <v>0.94880498483132025</v>
      </c>
      <c r="I10" s="1008">
        <v>0.99642289404045847</v>
      </c>
      <c r="J10" s="1008">
        <v>1.0017643407011398</v>
      </c>
      <c r="K10" s="1008">
        <v>1.0017664377825779</v>
      </c>
      <c r="L10" s="1008">
        <v>0.99710318235620821</v>
      </c>
      <c r="M10" s="1008">
        <v>0.99934931854843578</v>
      </c>
      <c r="N10" s="1008">
        <v>0.99951189238214544</v>
      </c>
      <c r="O10" s="1008">
        <v>0.99758246273116424</v>
      </c>
      <c r="P10" s="1008">
        <v>1.0013460693377629</v>
      </c>
      <c r="Q10" s="1008">
        <v>1.0009510144538907</v>
      </c>
      <c r="R10" s="1008">
        <v>1.0048235380064243</v>
      </c>
      <c r="S10" s="1009">
        <v>1.0010029385287584</v>
      </c>
      <c r="T10" s="1008">
        <v>0.99660606474036961</v>
      </c>
    </row>
    <row r="11" spans="1:20">
      <c r="A11" s="1011" t="s">
        <v>207</v>
      </c>
      <c r="B11" s="1010"/>
      <c r="C11" s="1010"/>
      <c r="D11" s="1012">
        <v>0.84987902692580097</v>
      </c>
      <c r="E11" s="1008">
        <v>0.89915168561840042</v>
      </c>
      <c r="F11" s="1008">
        <v>0.89896197815874523</v>
      </c>
      <c r="G11" s="1008">
        <v>0.91803856609207046</v>
      </c>
      <c r="H11" s="1008">
        <v>0.94880498483132025</v>
      </c>
      <c r="I11" s="1008">
        <v>0.99642289404045847</v>
      </c>
      <c r="J11" s="1008">
        <v>1.0017643407011398</v>
      </c>
      <c r="K11" s="1008">
        <v>1.0017664377825779</v>
      </c>
      <c r="L11" s="1008">
        <v>0.99710318235620821</v>
      </c>
      <c r="M11" s="1008">
        <v>0.99934931854843578</v>
      </c>
      <c r="N11" s="1008">
        <v>0.99951189238214544</v>
      </c>
      <c r="O11" s="1008">
        <v>0.99758246273116424</v>
      </c>
      <c r="P11" s="1008">
        <v>1.0013460693377629</v>
      </c>
      <c r="Q11" s="1008">
        <v>1.0009510144538907</v>
      </c>
      <c r="R11" s="1008">
        <v>1.0048235380064243</v>
      </c>
      <c r="S11" s="1009">
        <v>1.0010029385287584</v>
      </c>
      <c r="T11" s="1008">
        <v>0.99660606474036961</v>
      </c>
    </row>
    <row r="12" spans="1:20">
      <c r="A12" s="1011" t="s">
        <v>208</v>
      </c>
      <c r="B12" s="1010"/>
      <c r="C12" s="1010"/>
      <c r="D12" s="1016">
        <v>0.82477526448609451</v>
      </c>
      <c r="E12" s="1008">
        <v>0.77990528855728858</v>
      </c>
      <c r="F12" s="1008">
        <v>0.83991042784140335</v>
      </c>
      <c r="G12" s="1008">
        <v>0.89191777716183174</v>
      </c>
      <c r="H12" s="1008">
        <v>0.93114739458552798</v>
      </c>
      <c r="I12" s="1008">
        <v>0.99642289404045847</v>
      </c>
      <c r="J12" s="1008">
        <v>1.0017643407011398</v>
      </c>
      <c r="K12" s="1008">
        <v>1.0017664377825779</v>
      </c>
      <c r="L12" s="1008">
        <v>0.99710318235620821</v>
      </c>
      <c r="M12" s="1008">
        <v>0.99934931854843578</v>
      </c>
      <c r="N12" s="1008">
        <v>0.99951189238214544</v>
      </c>
      <c r="O12" s="1008">
        <v>0.99758246273116424</v>
      </c>
      <c r="P12" s="1008">
        <v>1.0013460693377629</v>
      </c>
      <c r="Q12" s="1008">
        <v>1.0009510144538907</v>
      </c>
      <c r="R12" s="1008">
        <v>1.0048235380064243</v>
      </c>
      <c r="S12" s="1009">
        <v>1.0010029385287584</v>
      </c>
      <c r="T12" s="1008">
        <v>0.99660606474036961</v>
      </c>
    </row>
    <row r="13" spans="1:20">
      <c r="A13" s="1011" t="s">
        <v>209</v>
      </c>
      <c r="B13" s="1010"/>
      <c r="C13" s="1010"/>
      <c r="D13" s="1010"/>
      <c r="E13" s="1012">
        <f>'Proy 2021 vs 2019 Sem'!$HV$3</f>
        <v>0.79461826585195716</v>
      </c>
      <c r="F13" s="1008">
        <f>'Proy 2021 vs 2019 Sem'!$IT$3</f>
        <v>0.8272751580942812</v>
      </c>
      <c r="G13" s="1008">
        <f>'Proy 2021 vs 2019 Sem'!$JS$3</f>
        <v>0.90217239802489813</v>
      </c>
      <c r="H13" s="1008">
        <f>'Proy 2021 vs 2019 Sem'!$KV$3</f>
        <v>0.95962035322184069</v>
      </c>
      <c r="I13" s="1008">
        <f>'Proy 2022 vs 2019 sem'!$W$3</f>
        <v>0.99642289404045847</v>
      </c>
      <c r="J13" s="1008">
        <f>'Proy 2022 vs 2019 sem'!$AU$3</f>
        <v>1.0017643407011398</v>
      </c>
      <c r="K13" s="1008">
        <f>'Proy 2022 vs 2019 sem'!$BX$3</f>
        <v>1.0017664377825779</v>
      </c>
      <c r="L13" s="1008">
        <f>'Proy 2022 vs 2019 sem'!$CV$3</f>
        <v>0.99710318235620821</v>
      </c>
      <c r="M13" s="1008">
        <f>'Proy 2022 vs 2019 sem'!$DT$3</f>
        <v>0.99934931854843578</v>
      </c>
      <c r="N13" s="1008">
        <f>'Proy 2022 vs 2019 sem'!$EW$3</f>
        <v>0.99951189238214544</v>
      </c>
      <c r="O13" s="1008">
        <f>'Proy 2022 vs 2019 sem'!$FU$3</f>
        <v>0.99758246273116424</v>
      </c>
      <c r="P13" s="1008">
        <f>'Proy 2022 vs 2019 sem'!$GS$3</f>
        <v>1.0013460693377629</v>
      </c>
      <c r="Q13" s="1008">
        <f>'Proy 2022 vs 2019 sem'!$HV$3</f>
        <v>1.0009510144538907</v>
      </c>
      <c r="R13" s="1008">
        <f>'Proy 2022 vs 2019 sem'!$IT$3</f>
        <v>1.0048235380064243</v>
      </c>
      <c r="S13" s="1009">
        <f>'Proy 2022 vs 2019 sem'!$JR$3</f>
        <v>1.0010029385287584</v>
      </c>
      <c r="T13" s="1008">
        <f>'Proy 2022 vs 2019 sem'!$KU$3</f>
        <v>0.99660606474036961</v>
      </c>
    </row>
    <row r="14" spans="1:20">
      <c r="A14" s="1011" t="s">
        <v>210</v>
      </c>
      <c r="B14" s="1010"/>
      <c r="C14" s="1010"/>
      <c r="D14" s="1010"/>
      <c r="E14" s="1012">
        <f>'Proy 2021 vs 2019 Sem'!$HV$3</f>
        <v>0.79461826585195716</v>
      </c>
      <c r="F14" s="1008">
        <f>'Proy 2021 vs 2019 Sem'!$IT$3</f>
        <v>0.8272751580942812</v>
      </c>
      <c r="G14" s="1008">
        <f>'Proy 2021 vs 2019 Sem'!$JS$3</f>
        <v>0.90217239802489813</v>
      </c>
      <c r="H14" s="1008">
        <f>'Proy 2021 vs 2019 Sem'!$KV$3</f>
        <v>0.95962035322184069</v>
      </c>
      <c r="I14" s="1008">
        <f>'Proy 2022 vs 2019 sem'!$W$3</f>
        <v>0.99642289404045847</v>
      </c>
      <c r="J14" s="1008">
        <f>'Proy 2022 vs 2019 sem'!$AU$3</f>
        <v>1.0017643407011398</v>
      </c>
      <c r="K14" s="1008">
        <f>'Proy 2022 vs 2019 sem'!$BX$3</f>
        <v>1.0017664377825779</v>
      </c>
      <c r="L14" s="1008">
        <f>'Proy 2022 vs 2019 sem'!$CV$3</f>
        <v>0.99710318235620821</v>
      </c>
      <c r="M14" s="1008">
        <f>'Proy 2022 vs 2019 sem'!$DT$3</f>
        <v>0.99934931854843578</v>
      </c>
      <c r="N14" s="1008">
        <f>'Proy 2022 vs 2019 sem'!$EW$3</f>
        <v>0.99951189238214544</v>
      </c>
      <c r="O14" s="1008">
        <f>'Proy 2022 vs 2019 sem'!$FU$3</f>
        <v>0.99758246273116424</v>
      </c>
      <c r="P14" s="1008">
        <f>'Proy 2022 vs 2019 sem'!$GS$3</f>
        <v>1.0013460693377629</v>
      </c>
      <c r="Q14" s="1008">
        <f>'Proy 2022 vs 2019 sem'!$HV$3</f>
        <v>1.0009510144538907</v>
      </c>
      <c r="R14" s="1008">
        <f>'Proy 2022 vs 2019 sem'!$IT$3</f>
        <v>1.0048235380064243</v>
      </c>
      <c r="S14" s="1009">
        <f>'Proy 2022 vs 2019 sem'!$JR$3</f>
        <v>1.0010029385287584</v>
      </c>
      <c r="T14" s="1008">
        <f>'Proy 2022 vs 2019 sem'!$KU$3</f>
        <v>0.99660606474036961</v>
      </c>
    </row>
    <row r="15" spans="1:20">
      <c r="A15" s="1011" t="s">
        <v>211</v>
      </c>
      <c r="B15" s="1010"/>
      <c r="C15" s="1010"/>
      <c r="D15" s="1010"/>
      <c r="E15" s="1012">
        <f>'Proy 2021 vs 2019 Sem'!$HV$3</f>
        <v>0.79461826585195716</v>
      </c>
      <c r="F15" s="1008">
        <f>'Proy 2021 vs 2019 Sem'!$IT$3</f>
        <v>0.8272751580942812</v>
      </c>
      <c r="G15" s="1008">
        <f>'Proy 2021 vs 2019 Sem'!$JS$3</f>
        <v>0.90217239802489813</v>
      </c>
      <c r="H15" s="1008">
        <f>'Proy 2021 vs 2019 Sem'!$KV$3</f>
        <v>0.95962035322184069</v>
      </c>
      <c r="I15" s="1008">
        <f>'Proy 2022 vs 2019 sem'!$W$3</f>
        <v>0.99642289404045847</v>
      </c>
      <c r="J15" s="1008">
        <f>'Proy 2022 vs 2019 sem'!$AU$3</f>
        <v>1.0017643407011398</v>
      </c>
      <c r="K15" s="1008">
        <f>'Proy 2022 vs 2019 sem'!$BX$3</f>
        <v>1.0017664377825779</v>
      </c>
      <c r="L15" s="1008">
        <f>'Proy 2022 vs 2019 sem'!$CV$3</f>
        <v>0.99710318235620821</v>
      </c>
      <c r="M15" s="1008">
        <f>'Proy 2022 vs 2019 sem'!$DT$3</f>
        <v>0.99934931854843578</v>
      </c>
      <c r="N15" s="1008">
        <f>'Proy 2022 vs 2019 sem'!$EW$3</f>
        <v>0.99951189238214544</v>
      </c>
      <c r="O15" s="1008">
        <f>'Proy 2022 vs 2019 sem'!$FU$3</f>
        <v>0.99758246273116424</v>
      </c>
      <c r="P15" s="1008">
        <f>'Proy 2022 vs 2019 sem'!$GS$3</f>
        <v>1.0013460693377629</v>
      </c>
      <c r="Q15" s="1008">
        <f>'Proy 2022 vs 2019 sem'!$HV$3</f>
        <v>1.0009510144538907</v>
      </c>
      <c r="R15" s="1008">
        <f>'Proy 2022 vs 2019 sem'!$IT$3</f>
        <v>1.0048235380064243</v>
      </c>
      <c r="S15" s="1009">
        <f>'Proy 2022 vs 2019 sem'!$JR$3</f>
        <v>1.0010029385287584</v>
      </c>
      <c r="T15" s="1008">
        <f>'Proy 2022 vs 2019 sem'!$KU$3</f>
        <v>0.99660606474036961</v>
      </c>
    </row>
    <row r="16" spans="1:20">
      <c r="A16" s="1011" t="s">
        <v>212</v>
      </c>
      <c r="B16" s="1010"/>
      <c r="C16" s="1010"/>
      <c r="D16" s="1010"/>
      <c r="E16" s="1012">
        <f>'Proy 2021 vs 2019 Sem'!$HV$3</f>
        <v>0.79461826585195716</v>
      </c>
      <c r="F16" s="1008">
        <f>'Proy 2021 vs 2019 Sem'!$IT$3</f>
        <v>0.8272751580942812</v>
      </c>
      <c r="G16" s="1008">
        <f>'Proy 2021 vs 2019 Sem'!$JS$3</f>
        <v>0.90217239802489813</v>
      </c>
      <c r="H16" s="1008">
        <f>'Proy 2021 vs 2019 Sem'!$KV$3</f>
        <v>0.95962035322184069</v>
      </c>
      <c r="I16" s="1008">
        <f>'Proy 2022 vs 2019 sem'!$W$3</f>
        <v>0.99642289404045847</v>
      </c>
      <c r="J16" s="1008">
        <f>'Proy 2022 vs 2019 sem'!$AU$3</f>
        <v>1.0017643407011398</v>
      </c>
      <c r="K16" s="1008">
        <f>'Proy 2022 vs 2019 sem'!$BX$3</f>
        <v>1.0017664377825779</v>
      </c>
      <c r="L16" s="1008">
        <f>'Proy 2022 vs 2019 sem'!$CV$3</f>
        <v>0.99710318235620821</v>
      </c>
      <c r="M16" s="1008">
        <f>'Proy 2022 vs 2019 sem'!$DT$3</f>
        <v>0.99934931854843578</v>
      </c>
      <c r="N16" s="1008">
        <f>'Proy 2022 vs 2019 sem'!$EW$3</f>
        <v>0.99951189238214544</v>
      </c>
      <c r="O16" s="1008">
        <f>'Proy 2022 vs 2019 sem'!$FU$3</f>
        <v>0.99758246273116424</v>
      </c>
      <c r="P16" s="1008">
        <f>'Proy 2022 vs 2019 sem'!$GS$3</f>
        <v>1.0013460693377629</v>
      </c>
      <c r="Q16" s="1008">
        <f>'Proy 2022 vs 2019 sem'!$HV$3</f>
        <v>1.0009510144538907</v>
      </c>
      <c r="R16" s="1008">
        <f>'Proy 2022 vs 2019 sem'!$IT$3</f>
        <v>1.0048235380064243</v>
      </c>
      <c r="S16" s="1009">
        <f>'Proy 2022 vs 2019 sem'!$JR$3</f>
        <v>1.0010029385287584</v>
      </c>
      <c r="T16" s="1008">
        <f>'Proy 2022 vs 2019 sem'!$KU$3</f>
        <v>0.99660606474036961</v>
      </c>
    </row>
    <row r="17" spans="1:20">
      <c r="A17" s="1011" t="s">
        <v>213</v>
      </c>
      <c r="B17" s="1010"/>
      <c r="C17" s="1010"/>
      <c r="D17" s="1010"/>
      <c r="E17" s="1016">
        <f>'Proy 2021 vs 2019 Sem'!$HV$3</f>
        <v>0.79461826585195716</v>
      </c>
      <c r="F17" s="1008">
        <f>'Proy 2021 vs 2019 Sem'!$IT$3</f>
        <v>0.8272751580942812</v>
      </c>
      <c r="G17" s="1008">
        <f>'Proy 2021 vs 2019 Sem'!$JS$3</f>
        <v>0.90217239802489813</v>
      </c>
      <c r="H17" s="1008">
        <f>'Proy 2021 vs 2019 Sem'!$KV$3</f>
        <v>0.95962035322184069</v>
      </c>
      <c r="I17" s="1008">
        <f>'Proy 2022 vs 2019 sem'!$W$3</f>
        <v>0.99642289404045847</v>
      </c>
      <c r="J17" s="1008">
        <f>'Proy 2022 vs 2019 sem'!$AU$3</f>
        <v>1.0017643407011398</v>
      </c>
      <c r="K17" s="1008">
        <f>'Proy 2022 vs 2019 sem'!$BX$3</f>
        <v>1.0017664377825779</v>
      </c>
      <c r="L17" s="1008">
        <f>'Proy 2022 vs 2019 sem'!$CV$3</f>
        <v>0.99710318235620821</v>
      </c>
      <c r="M17" s="1008">
        <f>'Proy 2022 vs 2019 sem'!$DT$3</f>
        <v>0.99934931854843578</v>
      </c>
      <c r="N17" s="1008">
        <f>'Proy 2022 vs 2019 sem'!$EW$3</f>
        <v>0.99951189238214544</v>
      </c>
      <c r="O17" s="1008">
        <f>'Proy 2022 vs 2019 sem'!$FU$3</f>
        <v>0.99758246273116424</v>
      </c>
      <c r="P17" s="1008">
        <f>'Proy 2022 vs 2019 sem'!$GS$3</f>
        <v>1.0013460693377629</v>
      </c>
      <c r="Q17" s="1008">
        <f>'Proy 2022 vs 2019 sem'!$HV$3</f>
        <v>1.0009510144538907</v>
      </c>
      <c r="R17" s="1008">
        <f>'Proy 2022 vs 2019 sem'!$IT$3</f>
        <v>1.0048235380064243</v>
      </c>
      <c r="S17" s="1009">
        <f>'Proy 2022 vs 2019 sem'!$JR$3</f>
        <v>1.0010029385287584</v>
      </c>
      <c r="T17" s="1008">
        <f>'Proy 2022 vs 2019 sem'!$KU$3</f>
        <v>0.99660606474036961</v>
      </c>
    </row>
    <row r="18" spans="1:20">
      <c r="A18" s="1011" t="s">
        <v>214</v>
      </c>
      <c r="B18" s="1010"/>
      <c r="C18" s="1010"/>
      <c r="D18" s="1010"/>
      <c r="E18" s="1010"/>
      <c r="F18" s="1012">
        <f>'Proy 2021 vs 2019 Sem'!$IT$3</f>
        <v>0.8272751580942812</v>
      </c>
      <c r="G18" s="1008">
        <f>'Proy 2021 vs 2019 Sem'!$JS$3</f>
        <v>0.90217239802489813</v>
      </c>
      <c r="H18" s="1008">
        <f>'Proy 2021 vs 2019 Sem'!$KV$3</f>
        <v>0.95962035322184069</v>
      </c>
      <c r="I18" s="1008">
        <f>'Proy 2022 vs 2019 sem'!$W$3</f>
        <v>0.99642289404045847</v>
      </c>
      <c r="J18" s="1008">
        <f>'Proy 2022 vs 2019 sem'!$AU$3</f>
        <v>1.0017643407011398</v>
      </c>
      <c r="K18" s="1008">
        <f>'Proy 2022 vs 2019 sem'!$BX$3</f>
        <v>1.0017664377825779</v>
      </c>
      <c r="L18" s="1008">
        <f>'Proy 2022 vs 2019 sem'!$CV$3</f>
        <v>0.99710318235620821</v>
      </c>
      <c r="M18" s="1008">
        <f>'Proy 2022 vs 2019 sem'!$DT$3</f>
        <v>0.99934931854843578</v>
      </c>
      <c r="N18" s="1008">
        <f>'Proy 2022 vs 2019 sem'!$EW$3</f>
        <v>0.99951189238214544</v>
      </c>
      <c r="O18" s="1008">
        <f>'Proy 2022 vs 2019 sem'!$FU$3</f>
        <v>0.99758246273116424</v>
      </c>
      <c r="P18" s="1008">
        <f>'Proy 2022 vs 2019 sem'!$GS$3</f>
        <v>1.0013460693377629</v>
      </c>
      <c r="Q18" s="1008">
        <f>'Proy 2022 vs 2019 sem'!$HV$3</f>
        <v>1.0009510144538907</v>
      </c>
      <c r="R18" s="1008">
        <f>'Proy 2022 vs 2019 sem'!$IT$3</f>
        <v>1.0048235380064243</v>
      </c>
      <c r="S18" s="1009">
        <f>'Proy 2022 vs 2019 sem'!$JR$3</f>
        <v>1.0010029385287584</v>
      </c>
      <c r="T18" s="1008">
        <f>'Proy 2022 vs 2019 sem'!$KU$3</f>
        <v>0.99660606474036961</v>
      </c>
    </row>
    <row r="19" spans="1:20">
      <c r="A19" s="1011" t="s">
        <v>215</v>
      </c>
      <c r="B19" s="1010"/>
      <c r="C19" s="1010"/>
      <c r="D19" s="1010"/>
      <c r="E19" s="1010"/>
      <c r="F19" s="1012">
        <f>'Proy 2021 vs 2019 Sem'!$IT$3</f>
        <v>0.8272751580942812</v>
      </c>
      <c r="G19" s="1008">
        <f>'Proy 2021 vs 2019 Sem'!$JS$3</f>
        <v>0.90217239802489813</v>
      </c>
      <c r="H19" s="1008">
        <f>'Proy 2021 vs 2019 Sem'!$KV$3</f>
        <v>0.95962035322184069</v>
      </c>
      <c r="I19" s="1008">
        <f>'Proy 2022 vs 2019 sem'!$W$3</f>
        <v>0.99642289404045847</v>
      </c>
      <c r="J19" s="1008">
        <f>'Proy 2022 vs 2019 sem'!$AU$3</f>
        <v>1.0017643407011398</v>
      </c>
      <c r="K19" s="1008">
        <f>'Proy 2022 vs 2019 sem'!$BX$3</f>
        <v>1.0017664377825779</v>
      </c>
      <c r="L19" s="1008">
        <f>'Proy 2022 vs 2019 sem'!$CV$3</f>
        <v>0.99710318235620821</v>
      </c>
      <c r="M19" s="1008">
        <f>'Proy 2022 vs 2019 sem'!$DT$3</f>
        <v>0.99934931854843578</v>
      </c>
      <c r="N19" s="1008">
        <f>'Proy 2022 vs 2019 sem'!$EW$3</f>
        <v>0.99951189238214544</v>
      </c>
      <c r="O19" s="1008">
        <f>'Proy 2022 vs 2019 sem'!$FU$3</f>
        <v>0.99758246273116424</v>
      </c>
      <c r="P19" s="1008">
        <f>'Proy 2022 vs 2019 sem'!$GS$3</f>
        <v>1.0013460693377629</v>
      </c>
      <c r="Q19" s="1008">
        <f>'Proy 2022 vs 2019 sem'!$HV$3</f>
        <v>1.0009510144538907</v>
      </c>
      <c r="R19" s="1008">
        <f>'Proy 2022 vs 2019 sem'!$IT$3</f>
        <v>1.0048235380064243</v>
      </c>
      <c r="S19" s="1009">
        <f>'Proy 2022 vs 2019 sem'!$JR$3</f>
        <v>1.0010029385287584</v>
      </c>
      <c r="T19" s="1008">
        <f>'Proy 2022 vs 2019 sem'!$KU$3</f>
        <v>0.99660606474036961</v>
      </c>
    </row>
    <row r="20" spans="1:20">
      <c r="A20" s="1011" t="s">
        <v>216</v>
      </c>
      <c r="B20" s="1010"/>
      <c r="C20" s="1010"/>
      <c r="D20" s="1010"/>
      <c r="E20" s="1010"/>
      <c r="F20" s="1012">
        <f>'Proy 2021 vs 2019 Sem'!$IT$3</f>
        <v>0.8272751580942812</v>
      </c>
      <c r="G20" s="1008">
        <f>'Proy 2021 vs 2019 Sem'!$JS$3</f>
        <v>0.90217239802489813</v>
      </c>
      <c r="H20" s="1008">
        <f>'Proy 2021 vs 2019 Sem'!$KV$3</f>
        <v>0.95962035322184069</v>
      </c>
      <c r="I20" s="1008">
        <f>'Proy 2022 vs 2019 sem'!$W$3</f>
        <v>0.99642289404045847</v>
      </c>
      <c r="J20" s="1008">
        <f>'Proy 2022 vs 2019 sem'!$AU$3</f>
        <v>1.0017643407011398</v>
      </c>
      <c r="K20" s="1008">
        <f>'Proy 2022 vs 2019 sem'!$BX$3</f>
        <v>1.0017664377825779</v>
      </c>
      <c r="L20" s="1008">
        <f>'Proy 2022 vs 2019 sem'!$CV$3</f>
        <v>0.99710318235620821</v>
      </c>
      <c r="M20" s="1008">
        <f>'Proy 2022 vs 2019 sem'!$DT$3</f>
        <v>0.99934931854843578</v>
      </c>
      <c r="N20" s="1008">
        <f>'Proy 2022 vs 2019 sem'!$EW$3</f>
        <v>0.99951189238214544</v>
      </c>
      <c r="O20" s="1008">
        <f>'Proy 2022 vs 2019 sem'!$FU$3</f>
        <v>0.99758246273116424</v>
      </c>
      <c r="P20" s="1008">
        <f>'Proy 2022 vs 2019 sem'!$GS$3</f>
        <v>1.0013460693377629</v>
      </c>
      <c r="Q20" s="1008">
        <f>'Proy 2022 vs 2019 sem'!$HV$3</f>
        <v>1.0009510144538907</v>
      </c>
      <c r="R20" s="1008">
        <f>'Proy 2022 vs 2019 sem'!$IT$3</f>
        <v>1.0048235380064243</v>
      </c>
      <c r="S20" s="1009">
        <f>'Proy 2022 vs 2019 sem'!$JR$3</f>
        <v>1.0010029385287584</v>
      </c>
      <c r="T20" s="1008">
        <f>'Proy 2022 vs 2019 sem'!$KU$3</f>
        <v>0.99660606474036961</v>
      </c>
    </row>
    <row r="21" spans="1:20">
      <c r="A21" s="1011" t="s">
        <v>217</v>
      </c>
      <c r="B21" s="1010"/>
      <c r="C21" s="1010"/>
      <c r="D21" s="1010"/>
      <c r="E21" s="1010"/>
      <c r="F21" s="1016">
        <f>'Proy 2021 vs 2019 Sem'!$IT$3</f>
        <v>0.8272751580942812</v>
      </c>
      <c r="G21" s="1008">
        <f>'Proy 2021 vs 2019 Sem'!$JS$3</f>
        <v>0.90217239802489813</v>
      </c>
      <c r="H21" s="1008">
        <f>'Proy 2021 vs 2019 Sem'!$KV$3</f>
        <v>0.95962035322184069</v>
      </c>
      <c r="I21" s="1008">
        <f>'Proy 2022 vs 2019 sem'!$W$3</f>
        <v>0.99642289404045847</v>
      </c>
      <c r="J21" s="1008">
        <f>'Proy 2022 vs 2019 sem'!$AU$3</f>
        <v>1.0017643407011398</v>
      </c>
      <c r="K21" s="1008">
        <f>'Proy 2022 vs 2019 sem'!$BX$3</f>
        <v>1.0017664377825779</v>
      </c>
      <c r="L21" s="1008">
        <f>'Proy 2022 vs 2019 sem'!$CV$3</f>
        <v>0.99710318235620821</v>
      </c>
      <c r="M21" s="1008">
        <f>'Proy 2022 vs 2019 sem'!$DT$3</f>
        <v>0.99934931854843578</v>
      </c>
      <c r="N21" s="1008">
        <f>'Proy 2022 vs 2019 sem'!$EW$3</f>
        <v>0.99951189238214544</v>
      </c>
      <c r="O21" s="1008">
        <f>'Proy 2022 vs 2019 sem'!$FU$3</f>
        <v>0.99758246273116424</v>
      </c>
      <c r="P21" s="1008">
        <f>'Proy 2022 vs 2019 sem'!$GS$3</f>
        <v>1.0013460693377629</v>
      </c>
      <c r="Q21" s="1008">
        <f>'Proy 2022 vs 2019 sem'!$HV$3</f>
        <v>1.0009510144538907</v>
      </c>
      <c r="R21" s="1008">
        <f>'Proy 2022 vs 2019 sem'!$IT$3</f>
        <v>1.0048235380064243</v>
      </c>
      <c r="S21" s="1009">
        <f>'Proy 2022 vs 2019 sem'!$JR$3</f>
        <v>1.0010029385287584</v>
      </c>
      <c r="T21" s="1008">
        <f>'Proy 2022 vs 2019 sem'!$KU$3</f>
        <v>0.99660606474036961</v>
      </c>
    </row>
    <row r="22" spans="1:20">
      <c r="A22" s="1011" t="s">
        <v>218</v>
      </c>
      <c r="B22" s="1010"/>
      <c r="C22" s="1010"/>
      <c r="D22" s="1010"/>
      <c r="E22" s="1010"/>
      <c r="F22" s="1010"/>
      <c r="G22" s="1012">
        <f>'Proy 2021 vs 2019 Sem'!$JS$3</f>
        <v>0.90217239802489813</v>
      </c>
      <c r="H22" s="1008">
        <f>'Proy 2021 vs 2019 Sem'!$KV$3</f>
        <v>0.95962035322184069</v>
      </c>
      <c r="I22" s="1008">
        <f>'Proy 2022 vs 2019 sem'!$W$3</f>
        <v>0.99642289404045847</v>
      </c>
      <c r="J22" s="1008">
        <f>'Proy 2022 vs 2019 sem'!$AU$3</f>
        <v>1.0017643407011398</v>
      </c>
      <c r="K22" s="1008">
        <f>'Proy 2022 vs 2019 sem'!$BX$3</f>
        <v>1.0017664377825779</v>
      </c>
      <c r="L22" s="1008">
        <f>'Proy 2022 vs 2019 sem'!$CV$3</f>
        <v>0.99710318235620821</v>
      </c>
      <c r="M22" s="1008">
        <f>'Proy 2022 vs 2019 sem'!$DT$3</f>
        <v>0.99934931854843578</v>
      </c>
      <c r="N22" s="1008">
        <f>'Proy 2022 vs 2019 sem'!$EW$3</f>
        <v>0.99951189238214544</v>
      </c>
      <c r="O22" s="1008">
        <f>'Proy 2022 vs 2019 sem'!$FU$3</f>
        <v>0.99758246273116424</v>
      </c>
      <c r="P22" s="1008">
        <f>'Proy 2022 vs 2019 sem'!$GS$3</f>
        <v>1.0013460693377629</v>
      </c>
      <c r="Q22" s="1008">
        <f>'Proy 2022 vs 2019 sem'!$HV$3</f>
        <v>1.0009510144538907</v>
      </c>
      <c r="R22" s="1008">
        <f>'Proy 2022 vs 2019 sem'!$IT$3</f>
        <v>1.0048235380064243</v>
      </c>
      <c r="S22" s="1009">
        <f>'Proy 2022 vs 2019 sem'!$JR$3</f>
        <v>1.0010029385287584</v>
      </c>
      <c r="T22" s="1008">
        <f>'Proy 2022 vs 2019 sem'!$KU$3</f>
        <v>0.99660606474036961</v>
      </c>
    </row>
    <row r="23" spans="1:20">
      <c r="A23" s="1011" t="s">
        <v>219</v>
      </c>
      <c r="B23" s="1010"/>
      <c r="C23" s="1010"/>
      <c r="D23" s="1010"/>
      <c r="E23" s="1010"/>
      <c r="F23" s="1010"/>
      <c r="G23" s="1012">
        <f>'Proy 2021 vs 2019 Sem'!$JS$3</f>
        <v>0.90217239802489813</v>
      </c>
      <c r="H23" s="1008">
        <f>'Proy 2021 vs 2019 Sem'!$KV$3</f>
        <v>0.95962035322184069</v>
      </c>
      <c r="I23" s="1008">
        <f>'Proy 2022 vs 2019 sem'!$W$3</f>
        <v>0.99642289404045847</v>
      </c>
      <c r="J23" s="1008">
        <f>'Proy 2022 vs 2019 sem'!$AU$3</f>
        <v>1.0017643407011398</v>
      </c>
      <c r="K23" s="1008">
        <f>'Proy 2022 vs 2019 sem'!$BX$3</f>
        <v>1.0017664377825779</v>
      </c>
      <c r="L23" s="1008">
        <f>'Proy 2022 vs 2019 sem'!$CV$3</f>
        <v>0.99710318235620821</v>
      </c>
      <c r="M23" s="1008">
        <f>'Proy 2022 vs 2019 sem'!$DT$3</f>
        <v>0.99934931854843578</v>
      </c>
      <c r="N23" s="1008">
        <f>'Proy 2022 vs 2019 sem'!$EW$3</f>
        <v>0.99951189238214544</v>
      </c>
      <c r="O23" s="1008">
        <f>'Proy 2022 vs 2019 sem'!$FU$3</f>
        <v>0.99758246273116424</v>
      </c>
      <c r="P23" s="1008">
        <f>'Proy 2022 vs 2019 sem'!$GS$3</f>
        <v>1.0013460693377629</v>
      </c>
      <c r="Q23" s="1008">
        <f>'Proy 2022 vs 2019 sem'!$HV$3</f>
        <v>1.0009510144538907</v>
      </c>
      <c r="R23" s="1008">
        <f>'Proy 2022 vs 2019 sem'!$IT$3</f>
        <v>1.0048235380064243</v>
      </c>
      <c r="S23" s="1009">
        <f>'Proy 2022 vs 2019 sem'!$JR$3</f>
        <v>1.0010029385287584</v>
      </c>
      <c r="T23" s="1008">
        <f>'Proy 2022 vs 2019 sem'!$KU$3</f>
        <v>0.99660606474036961</v>
      </c>
    </row>
    <row r="24" spans="1:20">
      <c r="A24" s="1011" t="s">
        <v>220</v>
      </c>
      <c r="B24" s="1010"/>
      <c r="C24" s="1010"/>
      <c r="D24" s="1010"/>
      <c r="E24" s="1010"/>
      <c r="F24" s="1010"/>
      <c r="G24" s="1012">
        <f>'Proy 2021 vs 2019 Sem'!$JS$3</f>
        <v>0.90217239802489813</v>
      </c>
      <c r="H24" s="1008">
        <f>'Proy 2021 vs 2019 Sem'!$KV$3</f>
        <v>0.95962035322184069</v>
      </c>
      <c r="I24" s="1008">
        <f>'Proy 2022 vs 2019 sem'!$W$3</f>
        <v>0.99642289404045847</v>
      </c>
      <c r="J24" s="1008">
        <f>'Proy 2022 vs 2019 sem'!$AU$3</f>
        <v>1.0017643407011398</v>
      </c>
      <c r="K24" s="1008">
        <f>'Proy 2022 vs 2019 sem'!$BX$3</f>
        <v>1.0017664377825779</v>
      </c>
      <c r="L24" s="1008">
        <f>'Proy 2022 vs 2019 sem'!$CV$3</f>
        <v>0.99710318235620821</v>
      </c>
      <c r="M24" s="1008">
        <f>'Proy 2022 vs 2019 sem'!$DT$3</f>
        <v>0.99934931854843578</v>
      </c>
      <c r="N24" s="1008">
        <f>'Proy 2022 vs 2019 sem'!$EW$3</f>
        <v>0.99951189238214544</v>
      </c>
      <c r="O24" s="1008">
        <f>'Proy 2022 vs 2019 sem'!$FU$3</f>
        <v>0.99758246273116424</v>
      </c>
      <c r="P24" s="1008">
        <f>'Proy 2022 vs 2019 sem'!$GS$3</f>
        <v>1.0013460693377629</v>
      </c>
      <c r="Q24" s="1008">
        <f>'Proy 2022 vs 2019 sem'!$HV$3</f>
        <v>1.0009510144538907</v>
      </c>
      <c r="R24" s="1008">
        <f>'Proy 2022 vs 2019 sem'!$IT$3</f>
        <v>1.0048235380064243</v>
      </c>
      <c r="S24" s="1009">
        <f>'Proy 2022 vs 2019 sem'!$JR$3</f>
        <v>1.0010029385287584</v>
      </c>
      <c r="T24" s="1008">
        <f>'Proy 2022 vs 2019 sem'!$KU$3</f>
        <v>0.99660606474036961</v>
      </c>
    </row>
    <row r="25" spans="1:20">
      <c r="A25" s="1011" t="s">
        <v>221</v>
      </c>
      <c r="B25" s="1010"/>
      <c r="C25" s="1010"/>
      <c r="D25" s="1010"/>
      <c r="E25" s="1010"/>
      <c r="F25" s="1010"/>
      <c r="G25" s="1016">
        <f>'Proy 2021 vs 2019 Sem'!$JS$3</f>
        <v>0.90217239802489813</v>
      </c>
      <c r="H25" s="1008">
        <f>'Proy 2021 vs 2019 Sem'!$KV$3</f>
        <v>0.95962035322184069</v>
      </c>
      <c r="I25" s="1008">
        <f>'Proy 2022 vs 2019 sem'!$W$3</f>
        <v>0.99642289404045847</v>
      </c>
      <c r="J25" s="1008">
        <f>'Proy 2022 vs 2019 sem'!$AU$3</f>
        <v>1.0017643407011398</v>
      </c>
      <c r="K25" s="1008">
        <f>'Proy 2022 vs 2019 sem'!$BX$3</f>
        <v>1.0017664377825779</v>
      </c>
      <c r="L25" s="1008">
        <f>'Proy 2022 vs 2019 sem'!$CV$3</f>
        <v>0.99710318235620821</v>
      </c>
      <c r="M25" s="1008">
        <f>'Proy 2022 vs 2019 sem'!$DT$3</f>
        <v>0.99934931854843578</v>
      </c>
      <c r="N25" s="1008">
        <f>'Proy 2022 vs 2019 sem'!$EW$3</f>
        <v>0.99951189238214544</v>
      </c>
      <c r="O25" s="1008">
        <f>'Proy 2022 vs 2019 sem'!$FU$3</f>
        <v>0.99758246273116424</v>
      </c>
      <c r="P25" s="1008">
        <f>'Proy 2022 vs 2019 sem'!$GS$3</f>
        <v>1.0013460693377629</v>
      </c>
      <c r="Q25" s="1008">
        <f>'Proy 2022 vs 2019 sem'!$HV$3</f>
        <v>1.0009510144538907</v>
      </c>
      <c r="R25" s="1008">
        <f>'Proy 2022 vs 2019 sem'!$IT$3</f>
        <v>1.0048235380064243</v>
      </c>
      <c r="S25" s="1009">
        <f>'Proy 2022 vs 2019 sem'!$JR$3</f>
        <v>1.0010029385287584</v>
      </c>
      <c r="T25" s="1008">
        <f>'Proy 2022 vs 2019 sem'!$KU$3</f>
        <v>0.99660606474036961</v>
      </c>
    </row>
    <row r="26" spans="1:20">
      <c r="A26" s="1011" t="s">
        <v>222</v>
      </c>
      <c r="B26" s="1010"/>
      <c r="C26" s="1010"/>
      <c r="D26" s="1010"/>
      <c r="E26" s="1010"/>
      <c r="F26" s="1010"/>
      <c r="G26" s="1010"/>
      <c r="H26" s="1012">
        <f>'Proy 2021 vs 2019 Sem'!$KV$3</f>
        <v>0.95962035322184069</v>
      </c>
      <c r="I26" s="1008">
        <f>'Proy 2022 vs 2019 sem'!$W$3</f>
        <v>0.99642289404045847</v>
      </c>
      <c r="J26" s="1008">
        <f>'Proy 2022 vs 2019 sem'!$AU$3</f>
        <v>1.0017643407011398</v>
      </c>
      <c r="K26" s="1008">
        <f>'Proy 2022 vs 2019 sem'!$BX$3</f>
        <v>1.0017664377825779</v>
      </c>
      <c r="L26" s="1008">
        <f>'Proy 2022 vs 2019 sem'!$CV$3</f>
        <v>0.99710318235620821</v>
      </c>
      <c r="M26" s="1008">
        <f>'Proy 2022 vs 2019 sem'!$DT$3</f>
        <v>0.99934931854843578</v>
      </c>
      <c r="N26" s="1008">
        <f>'Proy 2022 vs 2019 sem'!$EW$3</f>
        <v>0.99951189238214544</v>
      </c>
      <c r="O26" s="1008">
        <f>'Proy 2022 vs 2019 sem'!$FU$3</f>
        <v>0.99758246273116424</v>
      </c>
      <c r="P26" s="1008">
        <f>'Proy 2022 vs 2019 sem'!$GS$3</f>
        <v>1.0013460693377629</v>
      </c>
      <c r="Q26" s="1008">
        <f>'Proy 2022 vs 2019 sem'!$HV$3</f>
        <v>1.0009510144538907</v>
      </c>
      <c r="R26" s="1008">
        <f>'Proy 2022 vs 2019 sem'!$IT$3</f>
        <v>1.0048235380064243</v>
      </c>
      <c r="S26" s="1009">
        <f>'Proy 2022 vs 2019 sem'!$JR$3</f>
        <v>1.0010029385287584</v>
      </c>
      <c r="T26" s="1008">
        <f>'Proy 2022 vs 2019 sem'!$KU$3</f>
        <v>0.99660606474036961</v>
      </c>
    </row>
    <row r="27" spans="1:20">
      <c r="A27" s="1011" t="s">
        <v>223</v>
      </c>
      <c r="B27" s="1010"/>
      <c r="C27" s="1010"/>
      <c r="D27" s="1010"/>
      <c r="E27" s="1010"/>
      <c r="F27" s="1010"/>
      <c r="G27" s="1010"/>
      <c r="H27" s="1012">
        <f>'Proy 2021 vs 2019 Sem'!$KV$3</f>
        <v>0.95962035322184069</v>
      </c>
      <c r="I27" s="1008">
        <f>'Proy 2022 vs 2019 sem'!$W$3</f>
        <v>0.99642289404045847</v>
      </c>
      <c r="J27" s="1008">
        <f>'Proy 2022 vs 2019 sem'!$AU$3</f>
        <v>1.0017643407011398</v>
      </c>
      <c r="K27" s="1008">
        <f>'Proy 2022 vs 2019 sem'!$BX$3</f>
        <v>1.0017664377825779</v>
      </c>
      <c r="L27" s="1008">
        <f>'Proy 2022 vs 2019 sem'!$CV$3</f>
        <v>0.99710318235620821</v>
      </c>
      <c r="M27" s="1008">
        <f>'Proy 2022 vs 2019 sem'!$DT$3</f>
        <v>0.99934931854843578</v>
      </c>
      <c r="N27" s="1008">
        <f>'Proy 2022 vs 2019 sem'!$EW$3</f>
        <v>0.99951189238214544</v>
      </c>
      <c r="O27" s="1008">
        <f>'Proy 2022 vs 2019 sem'!$FU$3</f>
        <v>0.99758246273116424</v>
      </c>
      <c r="P27" s="1008">
        <f>'Proy 2022 vs 2019 sem'!$GS$3</f>
        <v>1.0013460693377629</v>
      </c>
      <c r="Q27" s="1008">
        <f>'Proy 2022 vs 2019 sem'!$HV$3</f>
        <v>1.0009510144538907</v>
      </c>
      <c r="R27" s="1008">
        <f>'Proy 2022 vs 2019 sem'!$IT$3</f>
        <v>1.0048235380064243</v>
      </c>
      <c r="S27" s="1009">
        <f>'Proy 2022 vs 2019 sem'!$JR$3</f>
        <v>1.0010029385287584</v>
      </c>
      <c r="T27" s="1008">
        <f>'Proy 2022 vs 2019 sem'!$KU$3</f>
        <v>0.99660606474036961</v>
      </c>
    </row>
    <row r="28" spans="1:20">
      <c r="A28" s="1011" t="s">
        <v>224</v>
      </c>
      <c r="B28" s="1010"/>
      <c r="C28" s="1010"/>
      <c r="D28" s="1010"/>
      <c r="E28" s="1010"/>
      <c r="F28" s="1010"/>
      <c r="G28" s="1010"/>
      <c r="H28" s="1012">
        <f>'Proy 2021 vs 2019 Sem'!$KV$3</f>
        <v>0.95962035322184069</v>
      </c>
      <c r="I28" s="1008">
        <f>'Proy 2022 vs 2019 sem'!$W$3</f>
        <v>0.99642289404045847</v>
      </c>
      <c r="J28" s="1008">
        <f>'Proy 2022 vs 2019 sem'!$AU$3</f>
        <v>1.0017643407011398</v>
      </c>
      <c r="K28" s="1008">
        <f>'Proy 2022 vs 2019 sem'!$BX$3</f>
        <v>1.0017664377825779</v>
      </c>
      <c r="L28" s="1008">
        <f>'Proy 2022 vs 2019 sem'!$CV$3</f>
        <v>0.99710318235620821</v>
      </c>
      <c r="M28" s="1008">
        <f>'Proy 2022 vs 2019 sem'!$DT$3</f>
        <v>0.99934931854843578</v>
      </c>
      <c r="N28" s="1008">
        <f>'Proy 2022 vs 2019 sem'!$EW$3</f>
        <v>0.99951189238214544</v>
      </c>
      <c r="O28" s="1008">
        <f>'Proy 2022 vs 2019 sem'!$FU$3</f>
        <v>0.99758246273116424</v>
      </c>
      <c r="P28" s="1008">
        <f>'Proy 2022 vs 2019 sem'!$GS$3</f>
        <v>1.0013460693377629</v>
      </c>
      <c r="Q28" s="1008">
        <f>'Proy 2022 vs 2019 sem'!$HV$3</f>
        <v>1.0009510144538907</v>
      </c>
      <c r="R28" s="1008">
        <f>'Proy 2022 vs 2019 sem'!$IT$3</f>
        <v>1.0048235380064243</v>
      </c>
      <c r="S28" s="1009">
        <f>'Proy 2022 vs 2019 sem'!$JR$3</f>
        <v>1.0010029385287584</v>
      </c>
      <c r="T28" s="1008">
        <f>'Proy 2022 vs 2019 sem'!$KU$3</f>
        <v>0.99660606474036961</v>
      </c>
    </row>
    <row r="29" spans="1:20">
      <c r="A29" s="1011" t="s">
        <v>225</v>
      </c>
      <c r="B29" s="1010"/>
      <c r="C29" s="1010"/>
      <c r="D29" s="1010"/>
      <c r="E29" s="1010"/>
      <c r="F29" s="1010"/>
      <c r="G29" s="1010"/>
      <c r="H29" s="1012">
        <f>'Proy 2021 vs 2019 Sem'!$KV$3</f>
        <v>0.95962035322184069</v>
      </c>
      <c r="I29" s="1008">
        <f>'Proy 2022 vs 2019 sem'!$W$3</f>
        <v>0.99642289404045847</v>
      </c>
      <c r="J29" s="1008">
        <f>'Proy 2022 vs 2019 sem'!$AU$3</f>
        <v>1.0017643407011398</v>
      </c>
      <c r="K29" s="1008">
        <f>'Proy 2022 vs 2019 sem'!$BX$3</f>
        <v>1.0017664377825779</v>
      </c>
      <c r="L29" s="1008">
        <f>'Proy 2022 vs 2019 sem'!$CV$3</f>
        <v>0.99710318235620821</v>
      </c>
      <c r="M29" s="1008">
        <f>'Proy 2022 vs 2019 sem'!$DT$3</f>
        <v>0.99934931854843578</v>
      </c>
      <c r="N29" s="1008">
        <f>'Proy 2022 vs 2019 sem'!$EW$3</f>
        <v>0.99951189238214544</v>
      </c>
      <c r="O29" s="1008">
        <f>'Proy 2022 vs 2019 sem'!$FU$3</f>
        <v>0.99758246273116424</v>
      </c>
      <c r="P29" s="1008">
        <f>'Proy 2022 vs 2019 sem'!$GS$3</f>
        <v>1.0013460693377629</v>
      </c>
      <c r="Q29" s="1008">
        <f>'Proy 2022 vs 2019 sem'!$HV$3</f>
        <v>1.0009510144538907</v>
      </c>
      <c r="R29" s="1008">
        <f>'Proy 2022 vs 2019 sem'!$IT$3</f>
        <v>1.0048235380064243</v>
      </c>
      <c r="S29" s="1009">
        <f>'Proy 2022 vs 2019 sem'!$JR$3</f>
        <v>1.0010029385287584</v>
      </c>
      <c r="T29" s="1008">
        <f>'Proy 2022 vs 2019 sem'!$KU$3</f>
        <v>0.99660606474036961</v>
      </c>
    </row>
    <row r="30" spans="1:20">
      <c r="A30" s="1011" t="s">
        <v>226</v>
      </c>
      <c r="B30" s="1010"/>
      <c r="C30" s="1010"/>
      <c r="D30" s="1010"/>
      <c r="E30" s="1010"/>
      <c r="F30" s="1010"/>
      <c r="G30" s="1010"/>
      <c r="H30" s="1016">
        <f>'Proy 2021 vs 2019 Sem'!$KV$3</f>
        <v>0.95962035322184069</v>
      </c>
      <c r="I30" s="1008">
        <f>'Proy 2022 vs 2019 sem'!$W$3</f>
        <v>0.99642289404045847</v>
      </c>
      <c r="J30" s="1008">
        <f>'Proy 2022 vs 2019 sem'!$AU$3</f>
        <v>1.0017643407011398</v>
      </c>
      <c r="K30" s="1008">
        <f>'Proy 2022 vs 2019 sem'!$BX$3</f>
        <v>1.0017664377825779</v>
      </c>
      <c r="L30" s="1008">
        <f>'Proy 2022 vs 2019 sem'!$CV$3</f>
        <v>0.99710318235620821</v>
      </c>
      <c r="M30" s="1008">
        <f>'Proy 2022 vs 2019 sem'!$DT$3</f>
        <v>0.99934931854843578</v>
      </c>
      <c r="N30" s="1008">
        <f>'Proy 2022 vs 2019 sem'!$EW$3</f>
        <v>0.99951189238214544</v>
      </c>
      <c r="O30" s="1008">
        <f>'Proy 2022 vs 2019 sem'!$FU$3</f>
        <v>0.99758246273116424</v>
      </c>
      <c r="P30" s="1008">
        <f>'Proy 2022 vs 2019 sem'!$GS$3</f>
        <v>1.0013460693377629</v>
      </c>
      <c r="Q30" s="1008">
        <f>'Proy 2022 vs 2019 sem'!$HV$3</f>
        <v>1.0009510144538907</v>
      </c>
      <c r="R30" s="1008">
        <f>'Proy 2022 vs 2019 sem'!$IT$3</f>
        <v>1.0048235380064243</v>
      </c>
      <c r="S30" s="1009">
        <f>'Proy 2022 vs 2019 sem'!$JR$3</f>
        <v>1.0010029385287584</v>
      </c>
      <c r="T30" s="1008">
        <f>'Proy 2022 vs 2019 sem'!$KU$3</f>
        <v>0.99660606474036961</v>
      </c>
    </row>
    <row r="31" spans="1:20">
      <c r="A31" s="1011" t="s">
        <v>175</v>
      </c>
      <c r="B31" s="1010"/>
      <c r="C31" s="1010"/>
      <c r="D31" s="1010"/>
      <c r="E31" s="1010"/>
      <c r="F31" s="1010"/>
      <c r="G31" s="1010"/>
      <c r="H31" s="1010"/>
      <c r="I31" s="1012">
        <f>'Proy 2022 vs 2019 sem'!$W$3</f>
        <v>0.99642289404045847</v>
      </c>
      <c r="J31" s="1008">
        <f>'Proy 2022 vs 2019 sem'!$AU$3</f>
        <v>1.0017643407011398</v>
      </c>
      <c r="K31" s="1008">
        <f>'Proy 2022 vs 2019 sem'!$BX$3</f>
        <v>1.0017664377825779</v>
      </c>
      <c r="L31" s="1008">
        <f>'Proy 2022 vs 2019 sem'!$CV$3</f>
        <v>0.99710318235620821</v>
      </c>
      <c r="M31" s="1008">
        <f>'Proy 2022 vs 2019 sem'!$DT$3</f>
        <v>0.99934931854843578</v>
      </c>
      <c r="N31" s="1008">
        <f>'Proy 2022 vs 2019 sem'!$EW$3</f>
        <v>0.99951189238214544</v>
      </c>
      <c r="O31" s="1008">
        <f>'Proy 2022 vs 2019 sem'!$FU$3</f>
        <v>0.99758246273116424</v>
      </c>
      <c r="P31" s="1008">
        <f>'Proy 2022 vs 2019 sem'!$GS$3</f>
        <v>1.0013460693377629</v>
      </c>
      <c r="Q31" s="1008">
        <f>'Proy 2022 vs 2019 sem'!$HV$3</f>
        <v>1.0009510144538907</v>
      </c>
      <c r="R31" s="1008">
        <f>'Proy 2022 vs 2019 sem'!$IT$3</f>
        <v>1.0048235380064243</v>
      </c>
      <c r="S31" s="1009">
        <f>'Proy 2022 vs 2019 sem'!$JR$3</f>
        <v>1.0010029385287584</v>
      </c>
      <c r="T31" s="1008">
        <f>'Proy 2022 vs 2019 sem'!$KU$3</f>
        <v>0.99660606474036961</v>
      </c>
    </row>
    <row r="32" spans="1:20">
      <c r="A32" s="1011" t="s">
        <v>176</v>
      </c>
      <c r="B32" s="1010"/>
      <c r="C32" s="1010"/>
      <c r="D32" s="1010"/>
      <c r="E32" s="1010"/>
      <c r="F32" s="1010"/>
      <c r="G32" s="1010"/>
      <c r="H32" s="1010"/>
      <c r="I32" s="1012">
        <f>'Proy 2022 vs 2019 sem'!$W$3</f>
        <v>0.99642289404045847</v>
      </c>
      <c r="J32" s="1008">
        <f>'Proy 2022 vs 2019 sem'!$AU$3</f>
        <v>1.0017643407011398</v>
      </c>
      <c r="K32" s="1008">
        <f>'Proy 2022 vs 2019 sem'!$BX$3</f>
        <v>1.0017664377825779</v>
      </c>
      <c r="L32" s="1008">
        <f>'Proy 2022 vs 2019 sem'!$CV$3</f>
        <v>0.99710318235620821</v>
      </c>
      <c r="M32" s="1008">
        <f>'Proy 2022 vs 2019 sem'!$DT$3</f>
        <v>0.99934931854843578</v>
      </c>
      <c r="N32" s="1008">
        <f>'Proy 2022 vs 2019 sem'!$EW$3</f>
        <v>0.99951189238214544</v>
      </c>
      <c r="O32" s="1008">
        <f>'Proy 2022 vs 2019 sem'!$FU$3</f>
        <v>0.99758246273116424</v>
      </c>
      <c r="P32" s="1008">
        <f>'Proy 2022 vs 2019 sem'!$GS$3</f>
        <v>1.0013460693377629</v>
      </c>
      <c r="Q32" s="1008">
        <f>'Proy 2022 vs 2019 sem'!$HV$3</f>
        <v>1.0009510144538907</v>
      </c>
      <c r="R32" s="1008">
        <f>'Proy 2022 vs 2019 sem'!$IT$3</f>
        <v>1.0048235380064243</v>
      </c>
      <c r="S32" s="1009">
        <f>'Proy 2022 vs 2019 sem'!$JR$3</f>
        <v>1.0010029385287584</v>
      </c>
      <c r="T32" s="1008">
        <f>'Proy 2022 vs 2019 sem'!$KU$3</f>
        <v>0.99660606474036961</v>
      </c>
    </row>
    <row r="33" spans="1:20">
      <c r="A33" s="1011" t="s">
        <v>177</v>
      </c>
      <c r="B33" s="1010"/>
      <c r="C33" s="1010"/>
      <c r="D33" s="1010"/>
      <c r="E33" s="1010"/>
      <c r="F33" s="1010"/>
      <c r="G33" s="1010"/>
      <c r="H33" s="1010"/>
      <c r="I33" s="1012">
        <f>'Proy 2022 vs 2019 sem'!$W$3</f>
        <v>0.99642289404045847</v>
      </c>
      <c r="J33" s="1008">
        <f>'Proy 2022 vs 2019 sem'!$AU$3</f>
        <v>1.0017643407011398</v>
      </c>
      <c r="K33" s="1008">
        <f>'Proy 2022 vs 2019 sem'!$BX$3</f>
        <v>1.0017664377825779</v>
      </c>
      <c r="L33" s="1008">
        <f>'Proy 2022 vs 2019 sem'!$CV$3</f>
        <v>0.99710318235620821</v>
      </c>
      <c r="M33" s="1008">
        <f>'Proy 2022 vs 2019 sem'!$DT$3</f>
        <v>0.99934931854843578</v>
      </c>
      <c r="N33" s="1008">
        <f>'Proy 2022 vs 2019 sem'!$EW$3</f>
        <v>0.99951189238214544</v>
      </c>
      <c r="O33" s="1008">
        <f>'Proy 2022 vs 2019 sem'!$FU$3</f>
        <v>0.99758246273116424</v>
      </c>
      <c r="P33" s="1008">
        <f>'Proy 2022 vs 2019 sem'!$GS$3</f>
        <v>1.0013460693377629</v>
      </c>
      <c r="Q33" s="1008">
        <f>'Proy 2022 vs 2019 sem'!$HV$3</f>
        <v>1.0009510144538907</v>
      </c>
      <c r="R33" s="1008">
        <f>'Proy 2022 vs 2019 sem'!$IT$3</f>
        <v>1.0048235380064243</v>
      </c>
      <c r="S33" s="1009">
        <f>'Proy 2022 vs 2019 sem'!$JR$3</f>
        <v>1.0010029385287584</v>
      </c>
      <c r="T33" s="1008">
        <f>'Proy 2022 vs 2019 sem'!$KU$3</f>
        <v>0.99660606474036961</v>
      </c>
    </row>
    <row r="34" spans="1:20">
      <c r="A34" s="1011" t="s">
        <v>178</v>
      </c>
      <c r="B34" s="1010"/>
      <c r="C34" s="1010"/>
      <c r="D34" s="1010"/>
      <c r="E34" s="1010"/>
      <c r="F34" s="1010"/>
      <c r="G34" s="1010"/>
      <c r="H34" s="1010"/>
      <c r="I34" s="1016">
        <f>'Proy 2022 vs 2019 sem'!$W$3</f>
        <v>0.99642289404045847</v>
      </c>
      <c r="J34" s="1008">
        <f>'Proy 2022 vs 2019 sem'!$AU$3</f>
        <v>1.0017643407011398</v>
      </c>
      <c r="K34" s="1008">
        <f>'Proy 2022 vs 2019 sem'!$BX$3</f>
        <v>1.0017664377825779</v>
      </c>
      <c r="L34" s="1008">
        <f>'Proy 2022 vs 2019 sem'!$CV$3</f>
        <v>0.99710318235620821</v>
      </c>
      <c r="M34" s="1008">
        <f>'Proy 2022 vs 2019 sem'!$DT$3</f>
        <v>0.99934931854843578</v>
      </c>
      <c r="N34" s="1008">
        <f>'Proy 2022 vs 2019 sem'!$EW$3</f>
        <v>0.99951189238214544</v>
      </c>
      <c r="O34" s="1008">
        <f>'Proy 2022 vs 2019 sem'!$FU$3</f>
        <v>0.99758246273116424</v>
      </c>
      <c r="P34" s="1008">
        <f>'Proy 2022 vs 2019 sem'!$GS$3</f>
        <v>1.0013460693377629</v>
      </c>
      <c r="Q34" s="1008">
        <f>'Proy 2022 vs 2019 sem'!$HV$3</f>
        <v>1.0009510144538907</v>
      </c>
      <c r="R34" s="1008">
        <f>'Proy 2022 vs 2019 sem'!$IT$3</f>
        <v>1.0048235380064243</v>
      </c>
      <c r="S34" s="1009">
        <f>'Proy 2022 vs 2019 sem'!$JR$3</f>
        <v>1.0010029385287584</v>
      </c>
      <c r="T34" s="1008">
        <f>'Proy 2022 vs 2019 sem'!$KU$3</f>
        <v>0.99660606474036961</v>
      </c>
    </row>
    <row r="35" spans="1:20">
      <c r="A35" s="1011" t="s">
        <v>179</v>
      </c>
      <c r="B35" s="1010"/>
      <c r="C35" s="1010"/>
      <c r="D35" s="1010"/>
      <c r="E35" s="1010"/>
      <c r="F35" s="1010"/>
      <c r="G35" s="1010"/>
      <c r="H35" s="1010"/>
      <c r="I35" s="1010"/>
      <c r="J35" s="1012">
        <f>'Proy 2022 vs 2019 sem'!$AU$3</f>
        <v>1.0017643407011398</v>
      </c>
      <c r="K35" s="1008">
        <f>'Proy 2022 vs 2019 sem'!$BX$3</f>
        <v>1.0017664377825779</v>
      </c>
      <c r="L35" s="1008">
        <f>'Proy 2022 vs 2019 sem'!$CV$3</f>
        <v>0.99710318235620821</v>
      </c>
      <c r="M35" s="1008">
        <f>'Proy 2022 vs 2019 sem'!$DT$3</f>
        <v>0.99934931854843578</v>
      </c>
      <c r="N35" s="1008">
        <f>'Proy 2022 vs 2019 sem'!$EW$3</f>
        <v>0.99951189238214544</v>
      </c>
      <c r="O35" s="1008">
        <f>'Proy 2022 vs 2019 sem'!$FU$3</f>
        <v>0.99758246273116424</v>
      </c>
      <c r="P35" s="1008">
        <f>'Proy 2022 vs 2019 sem'!$GS$3</f>
        <v>1.0013460693377629</v>
      </c>
      <c r="Q35" s="1008">
        <f>'Proy 2022 vs 2019 sem'!$HV$3</f>
        <v>1.0009510144538907</v>
      </c>
      <c r="R35" s="1008">
        <f>'Proy 2022 vs 2019 sem'!$IT$3</f>
        <v>1.0048235380064243</v>
      </c>
      <c r="S35" s="1009">
        <f>'Proy 2022 vs 2019 sem'!$JR$3</f>
        <v>1.0010029385287584</v>
      </c>
      <c r="T35" s="1008">
        <f>'Proy 2022 vs 2019 sem'!$KU$3</f>
        <v>0.99660606474036961</v>
      </c>
    </row>
    <row r="36" spans="1:20">
      <c r="A36" s="1011" t="s">
        <v>180</v>
      </c>
      <c r="B36" s="1010"/>
      <c r="C36" s="1010"/>
      <c r="D36" s="1010"/>
      <c r="E36" s="1010"/>
      <c r="F36" s="1010"/>
      <c r="G36" s="1010"/>
      <c r="H36" s="1010"/>
      <c r="I36" s="1010"/>
      <c r="J36" s="1012">
        <f>'Proy 2022 vs 2019 sem'!$AU$3</f>
        <v>1.0017643407011398</v>
      </c>
      <c r="K36" s="1008">
        <f>'Proy 2022 vs 2019 sem'!$BX$3</f>
        <v>1.0017664377825779</v>
      </c>
      <c r="L36" s="1008">
        <f>'Proy 2022 vs 2019 sem'!$CV$3</f>
        <v>0.99710318235620821</v>
      </c>
      <c r="M36" s="1008">
        <f>'Proy 2022 vs 2019 sem'!$DT$3</f>
        <v>0.99934931854843578</v>
      </c>
      <c r="N36" s="1008">
        <f>'Proy 2022 vs 2019 sem'!$EW$3</f>
        <v>0.99951189238214544</v>
      </c>
      <c r="O36" s="1008">
        <f>'Proy 2022 vs 2019 sem'!$FU$3</f>
        <v>0.99758246273116424</v>
      </c>
      <c r="P36" s="1008">
        <f>'Proy 2022 vs 2019 sem'!$GS$3</f>
        <v>1.0013460693377629</v>
      </c>
      <c r="Q36" s="1008">
        <f>'Proy 2022 vs 2019 sem'!$HV$3</f>
        <v>1.0009510144538907</v>
      </c>
      <c r="R36" s="1008">
        <f>'Proy 2022 vs 2019 sem'!$IT$3</f>
        <v>1.0048235380064243</v>
      </c>
      <c r="S36" s="1009">
        <f>'Proy 2022 vs 2019 sem'!$JR$3</f>
        <v>1.0010029385287584</v>
      </c>
      <c r="T36" s="1008">
        <f>'Proy 2022 vs 2019 sem'!$KU$3</f>
        <v>0.99660606474036961</v>
      </c>
    </row>
    <row r="37" spans="1:20">
      <c r="A37" s="1011" t="s">
        <v>181</v>
      </c>
      <c r="B37" s="1010"/>
      <c r="C37" s="1010"/>
      <c r="D37" s="1010"/>
      <c r="E37" s="1010"/>
      <c r="F37" s="1010"/>
      <c r="G37" s="1010"/>
      <c r="H37" s="1010"/>
      <c r="I37" s="1010"/>
      <c r="J37" s="1012">
        <f>'Proy 2022 vs 2019 sem'!$AU$3</f>
        <v>1.0017643407011398</v>
      </c>
      <c r="K37" s="1008">
        <f>'Proy 2022 vs 2019 sem'!$BX$3</f>
        <v>1.0017664377825779</v>
      </c>
      <c r="L37" s="1008">
        <f>'Proy 2022 vs 2019 sem'!$CV$3</f>
        <v>0.99710318235620821</v>
      </c>
      <c r="M37" s="1008">
        <f>'Proy 2022 vs 2019 sem'!$DT$3</f>
        <v>0.99934931854843578</v>
      </c>
      <c r="N37" s="1008">
        <f>'Proy 2022 vs 2019 sem'!$EW$3</f>
        <v>0.99951189238214544</v>
      </c>
      <c r="O37" s="1008">
        <f>'Proy 2022 vs 2019 sem'!$FU$3</f>
        <v>0.99758246273116424</v>
      </c>
      <c r="P37" s="1008">
        <f>'Proy 2022 vs 2019 sem'!$GS$3</f>
        <v>1.0013460693377629</v>
      </c>
      <c r="Q37" s="1008">
        <f>'Proy 2022 vs 2019 sem'!$HV$3</f>
        <v>1.0009510144538907</v>
      </c>
      <c r="R37" s="1008">
        <f>'Proy 2022 vs 2019 sem'!$IT$3</f>
        <v>1.0048235380064243</v>
      </c>
      <c r="S37" s="1009">
        <f>'Proy 2022 vs 2019 sem'!$JR$3</f>
        <v>1.0010029385287584</v>
      </c>
      <c r="T37" s="1008">
        <f>'Proy 2022 vs 2019 sem'!$KU$3</f>
        <v>0.99660606474036961</v>
      </c>
    </row>
    <row r="38" spans="1:20">
      <c r="A38" s="1011" t="s">
        <v>182</v>
      </c>
      <c r="B38" s="1010"/>
      <c r="C38" s="1010"/>
      <c r="D38" s="1010"/>
      <c r="E38" s="1010"/>
      <c r="F38" s="1010"/>
      <c r="G38" s="1010"/>
      <c r="H38" s="1010"/>
      <c r="I38" s="1010"/>
      <c r="J38" s="1016">
        <f>'Proy 2022 vs 2019 sem'!$AU$3</f>
        <v>1.0017643407011398</v>
      </c>
      <c r="K38" s="1008">
        <f>'Proy 2022 vs 2019 sem'!$BX$3</f>
        <v>1.0017664377825779</v>
      </c>
      <c r="L38" s="1008">
        <f>'Proy 2022 vs 2019 sem'!$CV$3</f>
        <v>0.99710318235620821</v>
      </c>
      <c r="M38" s="1008">
        <f>'Proy 2022 vs 2019 sem'!$DT$3</f>
        <v>0.99934931854843578</v>
      </c>
      <c r="N38" s="1008">
        <f>'Proy 2022 vs 2019 sem'!$EW$3</f>
        <v>0.99951189238214544</v>
      </c>
      <c r="O38" s="1008">
        <f>'Proy 2022 vs 2019 sem'!$FU$3</f>
        <v>0.99758246273116424</v>
      </c>
      <c r="P38" s="1008">
        <f>'Proy 2022 vs 2019 sem'!$GS$3</f>
        <v>1.0013460693377629</v>
      </c>
      <c r="Q38" s="1008">
        <f>'Proy 2022 vs 2019 sem'!$HV$3</f>
        <v>1.0009510144538907</v>
      </c>
      <c r="R38" s="1008">
        <f>'Proy 2022 vs 2019 sem'!$IT$3</f>
        <v>1.0048235380064243</v>
      </c>
      <c r="S38" s="1009">
        <f>'Proy 2022 vs 2019 sem'!$JR$3</f>
        <v>1.0010029385287584</v>
      </c>
      <c r="T38" s="1008">
        <f>'Proy 2022 vs 2019 sem'!$KU$3</f>
        <v>0.99660606474036961</v>
      </c>
    </row>
    <row r="39" spans="1:20">
      <c r="A39" s="1011" t="s">
        <v>183</v>
      </c>
      <c r="B39" s="1010"/>
      <c r="C39" s="1010"/>
      <c r="D39" s="1010"/>
      <c r="E39" s="1010"/>
      <c r="F39" s="1010"/>
      <c r="G39" s="1010"/>
      <c r="H39" s="1010"/>
      <c r="I39" s="1010"/>
      <c r="J39" s="1010"/>
      <c r="K39" s="1012">
        <f>'Proy 2022 vs 2019 sem'!$BX$3</f>
        <v>1.0017664377825779</v>
      </c>
      <c r="L39" s="1008">
        <f>'Proy 2022 vs 2019 sem'!$CV$3</f>
        <v>0.99710318235620821</v>
      </c>
      <c r="M39" s="1008">
        <f>'Proy 2022 vs 2019 sem'!$DT$3</f>
        <v>0.99934931854843578</v>
      </c>
      <c r="N39" s="1008">
        <f>'Proy 2022 vs 2019 sem'!$EW$3</f>
        <v>0.99951189238214544</v>
      </c>
      <c r="O39" s="1008">
        <f>'Proy 2022 vs 2019 sem'!$FU$3</f>
        <v>0.99758246273116424</v>
      </c>
      <c r="P39" s="1008">
        <f>'Proy 2022 vs 2019 sem'!$GS$3</f>
        <v>1.0013460693377629</v>
      </c>
      <c r="Q39" s="1008">
        <f>'Proy 2022 vs 2019 sem'!$HV$3</f>
        <v>1.0009510144538907</v>
      </c>
      <c r="R39" s="1008">
        <f>'Proy 2022 vs 2019 sem'!$IT$3</f>
        <v>1.0048235380064243</v>
      </c>
      <c r="S39" s="1009">
        <f>'Proy 2022 vs 2019 sem'!$JR$3</f>
        <v>1.0010029385287584</v>
      </c>
      <c r="T39" s="1008">
        <f>'Proy 2022 vs 2019 sem'!$KU$3</f>
        <v>0.99660606474036961</v>
      </c>
    </row>
    <row r="40" spans="1:20">
      <c r="A40" s="1011" t="s">
        <v>184</v>
      </c>
      <c r="B40" s="1010"/>
      <c r="C40" s="1010"/>
      <c r="D40" s="1010"/>
      <c r="E40" s="1010"/>
      <c r="F40" s="1010"/>
      <c r="G40" s="1010"/>
      <c r="H40" s="1010"/>
      <c r="I40" s="1010"/>
      <c r="J40" s="1010"/>
      <c r="K40" s="1012">
        <f>'Proy 2022 vs 2019 sem'!$BX$3</f>
        <v>1.0017664377825779</v>
      </c>
      <c r="L40" s="1008">
        <f>'Proy 2022 vs 2019 sem'!$CV$3</f>
        <v>0.99710318235620821</v>
      </c>
      <c r="M40" s="1008">
        <f>'Proy 2022 vs 2019 sem'!$DT$3</f>
        <v>0.99934931854843578</v>
      </c>
      <c r="N40" s="1008">
        <f>'Proy 2022 vs 2019 sem'!$EW$3</f>
        <v>0.99951189238214544</v>
      </c>
      <c r="O40" s="1008">
        <f>'Proy 2022 vs 2019 sem'!$FU$3</f>
        <v>0.99758246273116424</v>
      </c>
      <c r="P40" s="1008">
        <f>'Proy 2022 vs 2019 sem'!$GS$3</f>
        <v>1.0013460693377629</v>
      </c>
      <c r="Q40" s="1008">
        <f>'Proy 2022 vs 2019 sem'!$HV$3</f>
        <v>1.0009510144538907</v>
      </c>
      <c r="R40" s="1008">
        <f>'Proy 2022 vs 2019 sem'!$IT$3</f>
        <v>1.0048235380064243</v>
      </c>
      <c r="S40" s="1009">
        <f>'Proy 2022 vs 2019 sem'!$JR$3</f>
        <v>1.0010029385287584</v>
      </c>
      <c r="T40" s="1008">
        <f>'Proy 2022 vs 2019 sem'!$KU$3</f>
        <v>0.99660606474036961</v>
      </c>
    </row>
    <row r="41" spans="1:20">
      <c r="A41" s="1011" t="s">
        <v>185</v>
      </c>
      <c r="B41" s="1010"/>
      <c r="C41" s="1010"/>
      <c r="D41" s="1010"/>
      <c r="E41" s="1010"/>
      <c r="F41" s="1010"/>
      <c r="G41" s="1010"/>
      <c r="H41" s="1010"/>
      <c r="I41" s="1010"/>
      <c r="J41" s="1010"/>
      <c r="K41" s="1012">
        <f>'Proy 2022 vs 2019 sem'!$BX$3</f>
        <v>1.0017664377825779</v>
      </c>
      <c r="L41" s="1008">
        <f>'Proy 2022 vs 2019 sem'!$CV$3</f>
        <v>0.99710318235620821</v>
      </c>
      <c r="M41" s="1008">
        <f>'Proy 2022 vs 2019 sem'!$DT$3</f>
        <v>0.99934931854843578</v>
      </c>
      <c r="N41" s="1008">
        <f>'Proy 2022 vs 2019 sem'!$EW$3</f>
        <v>0.99951189238214544</v>
      </c>
      <c r="O41" s="1008">
        <f>'Proy 2022 vs 2019 sem'!$FU$3</f>
        <v>0.99758246273116424</v>
      </c>
      <c r="P41" s="1008">
        <f>'Proy 2022 vs 2019 sem'!$GS$3</f>
        <v>1.0013460693377629</v>
      </c>
      <c r="Q41" s="1008">
        <f>'Proy 2022 vs 2019 sem'!$HV$3</f>
        <v>1.0009510144538907</v>
      </c>
      <c r="R41" s="1008">
        <f>'Proy 2022 vs 2019 sem'!$IT$3</f>
        <v>1.0048235380064243</v>
      </c>
      <c r="S41" s="1009">
        <f>'Proy 2022 vs 2019 sem'!$JR$3</f>
        <v>1.0010029385287584</v>
      </c>
      <c r="T41" s="1008">
        <f>'Proy 2022 vs 2019 sem'!$KU$3</f>
        <v>0.99660606474036961</v>
      </c>
    </row>
    <row r="42" spans="1:20">
      <c r="A42" s="1011" t="s">
        <v>186</v>
      </c>
      <c r="B42" s="1010"/>
      <c r="C42" s="1010"/>
      <c r="D42" s="1010"/>
      <c r="E42" s="1010"/>
      <c r="F42" s="1010"/>
      <c r="G42" s="1010"/>
      <c r="H42" s="1010"/>
      <c r="I42" s="1010"/>
      <c r="J42" s="1010"/>
      <c r="K42" s="1012">
        <f>'Proy 2022 vs 2019 sem'!$BX$3</f>
        <v>1.0017664377825779</v>
      </c>
      <c r="L42" s="1008">
        <f>'Proy 2022 vs 2019 sem'!$CV$3</f>
        <v>0.99710318235620821</v>
      </c>
      <c r="M42" s="1008">
        <f>'Proy 2022 vs 2019 sem'!$DT$3</f>
        <v>0.99934931854843578</v>
      </c>
      <c r="N42" s="1008">
        <f>'Proy 2022 vs 2019 sem'!$EW$3</f>
        <v>0.99951189238214544</v>
      </c>
      <c r="O42" s="1008">
        <f>'Proy 2022 vs 2019 sem'!$FU$3</f>
        <v>0.99758246273116424</v>
      </c>
      <c r="P42" s="1008">
        <f>'Proy 2022 vs 2019 sem'!$GS$3</f>
        <v>1.0013460693377629</v>
      </c>
      <c r="Q42" s="1008">
        <f>'Proy 2022 vs 2019 sem'!$HV$3</f>
        <v>1.0009510144538907</v>
      </c>
      <c r="R42" s="1008">
        <f>'Proy 2022 vs 2019 sem'!$IT$3</f>
        <v>1.0048235380064243</v>
      </c>
      <c r="S42" s="1009">
        <f>'Proy 2022 vs 2019 sem'!$JR$3</f>
        <v>1.0010029385287584</v>
      </c>
      <c r="T42" s="1008">
        <f>'Proy 2022 vs 2019 sem'!$KU$3</f>
        <v>0.99660606474036961</v>
      </c>
    </row>
    <row r="43" spans="1:20">
      <c r="A43" s="1011" t="s">
        <v>187</v>
      </c>
      <c r="B43" s="1010"/>
      <c r="C43" s="1010"/>
      <c r="D43" s="1010"/>
      <c r="E43" s="1010"/>
      <c r="F43" s="1010"/>
      <c r="G43" s="1010"/>
      <c r="H43" s="1010"/>
      <c r="I43" s="1010"/>
      <c r="J43" s="1010"/>
      <c r="K43" s="1016">
        <f>'Proy 2022 vs 2019 sem'!$BX$3</f>
        <v>1.0017664377825779</v>
      </c>
      <c r="L43" s="1008">
        <f>'Proy 2022 vs 2019 sem'!$CV$3</f>
        <v>0.99710318235620821</v>
      </c>
      <c r="M43" s="1008">
        <f>'Proy 2022 vs 2019 sem'!$DT$3</f>
        <v>0.99934931854843578</v>
      </c>
      <c r="N43" s="1008">
        <f>'Proy 2022 vs 2019 sem'!$EW$3</f>
        <v>0.99951189238214544</v>
      </c>
      <c r="O43" s="1008">
        <f>'Proy 2022 vs 2019 sem'!$FU$3</f>
        <v>0.99758246273116424</v>
      </c>
      <c r="P43" s="1008">
        <f>'Proy 2022 vs 2019 sem'!$GS$3</f>
        <v>1.0013460693377629</v>
      </c>
      <c r="Q43" s="1008">
        <f>'Proy 2022 vs 2019 sem'!$HV$3</f>
        <v>1.0009510144538907</v>
      </c>
      <c r="R43" s="1008">
        <f>'Proy 2022 vs 2019 sem'!$IT$3</f>
        <v>1.0048235380064243</v>
      </c>
      <c r="S43" s="1009">
        <f>'Proy 2022 vs 2019 sem'!$JR$3</f>
        <v>1.0010029385287584</v>
      </c>
      <c r="T43" s="1008">
        <f>'Proy 2022 vs 2019 sem'!$KU$3</f>
        <v>0.99660606474036961</v>
      </c>
    </row>
    <row r="44" spans="1:20">
      <c r="A44" s="1011" t="s">
        <v>188</v>
      </c>
      <c r="B44" s="1010"/>
      <c r="C44" s="1010"/>
      <c r="D44" s="1010"/>
      <c r="E44" s="1010"/>
      <c r="F44" s="1010"/>
      <c r="G44" s="1010"/>
      <c r="H44" s="1010"/>
      <c r="I44" s="1010"/>
      <c r="J44" s="1010"/>
      <c r="K44" s="1010"/>
      <c r="L44" s="1012">
        <f>'Proy 2022 vs 2019 sem'!$CV$3</f>
        <v>0.99710318235620821</v>
      </c>
      <c r="M44" s="1008">
        <f>'Proy 2022 vs 2019 sem'!$DT$3</f>
        <v>0.99934931854843578</v>
      </c>
      <c r="N44" s="1008">
        <f>'Proy 2022 vs 2019 sem'!$EW$3</f>
        <v>0.99951189238214544</v>
      </c>
      <c r="O44" s="1008">
        <f>'Proy 2022 vs 2019 sem'!$FU$3</f>
        <v>0.99758246273116424</v>
      </c>
      <c r="P44" s="1008">
        <f>'Proy 2022 vs 2019 sem'!$GS$3</f>
        <v>1.0013460693377629</v>
      </c>
      <c r="Q44" s="1008">
        <f>'Proy 2022 vs 2019 sem'!$HV$3</f>
        <v>1.0009510144538907</v>
      </c>
      <c r="R44" s="1008">
        <f>'Proy 2022 vs 2019 sem'!$IT$3</f>
        <v>1.0048235380064243</v>
      </c>
      <c r="S44" s="1009">
        <f>'Proy 2022 vs 2019 sem'!$JR$3</f>
        <v>1.0010029385287584</v>
      </c>
      <c r="T44" s="1008">
        <f>'Proy 2022 vs 2019 sem'!$KU$3</f>
        <v>0.99660606474036961</v>
      </c>
    </row>
    <row r="45" spans="1:20">
      <c r="A45" s="1011" t="s">
        <v>189</v>
      </c>
      <c r="B45" s="1010"/>
      <c r="C45" s="1010"/>
      <c r="D45" s="1010"/>
      <c r="E45" s="1010"/>
      <c r="F45" s="1010"/>
      <c r="G45" s="1010"/>
      <c r="H45" s="1010"/>
      <c r="I45" s="1010"/>
      <c r="J45" s="1010"/>
      <c r="K45" s="1010"/>
      <c r="L45" s="1012">
        <f>'Proy 2022 vs 2019 sem'!$CV$3</f>
        <v>0.99710318235620821</v>
      </c>
      <c r="M45" s="1008">
        <f>'Proy 2022 vs 2019 sem'!$DT$3</f>
        <v>0.99934931854843578</v>
      </c>
      <c r="N45" s="1008">
        <f>'Proy 2022 vs 2019 sem'!$EW$3</f>
        <v>0.99951189238214544</v>
      </c>
      <c r="O45" s="1008">
        <f>'Proy 2022 vs 2019 sem'!$FU$3</f>
        <v>0.99758246273116424</v>
      </c>
      <c r="P45" s="1008">
        <f>'Proy 2022 vs 2019 sem'!$GS$3</f>
        <v>1.0013460693377629</v>
      </c>
      <c r="Q45" s="1008">
        <f>'Proy 2022 vs 2019 sem'!$HV$3</f>
        <v>1.0009510144538907</v>
      </c>
      <c r="R45" s="1008">
        <f>'Proy 2022 vs 2019 sem'!$IT$3</f>
        <v>1.0048235380064243</v>
      </c>
      <c r="S45" s="1009">
        <f>'Proy 2022 vs 2019 sem'!$JR$3</f>
        <v>1.0010029385287584</v>
      </c>
      <c r="T45" s="1008">
        <f>'Proy 2022 vs 2019 sem'!$KU$3</f>
        <v>0.99660606474036961</v>
      </c>
    </row>
    <row r="46" spans="1:20">
      <c r="A46" s="1011" t="s">
        <v>190</v>
      </c>
      <c r="B46" s="1010"/>
      <c r="C46" s="1010"/>
      <c r="D46" s="1010"/>
      <c r="E46" s="1010"/>
      <c r="F46" s="1010"/>
      <c r="G46" s="1010"/>
      <c r="H46" s="1010"/>
      <c r="I46" s="1010"/>
      <c r="J46" s="1010"/>
      <c r="K46" s="1010"/>
      <c r="L46" s="1012">
        <f>'Proy 2022 vs 2019 sem'!$CV$3</f>
        <v>0.99710318235620821</v>
      </c>
      <c r="M46" s="1008">
        <f>'Proy 2022 vs 2019 sem'!$DT$3</f>
        <v>0.99934931854843578</v>
      </c>
      <c r="N46" s="1008">
        <f>'Proy 2022 vs 2019 sem'!$EW$3</f>
        <v>0.99951189238214544</v>
      </c>
      <c r="O46" s="1008">
        <f>'Proy 2022 vs 2019 sem'!$FU$3</f>
        <v>0.99758246273116424</v>
      </c>
      <c r="P46" s="1008">
        <f>'Proy 2022 vs 2019 sem'!$GS$3</f>
        <v>1.0013460693377629</v>
      </c>
      <c r="Q46" s="1008">
        <f>'Proy 2022 vs 2019 sem'!$HV$3</f>
        <v>1.0009510144538907</v>
      </c>
      <c r="R46" s="1008">
        <f>'Proy 2022 vs 2019 sem'!$IT$3</f>
        <v>1.0048235380064243</v>
      </c>
      <c r="S46" s="1009">
        <f>'Proy 2022 vs 2019 sem'!$JR$3</f>
        <v>1.0010029385287584</v>
      </c>
      <c r="T46" s="1008">
        <f>'Proy 2022 vs 2019 sem'!$KU$3</f>
        <v>0.99660606474036961</v>
      </c>
    </row>
    <row r="47" spans="1:20">
      <c r="A47" s="1011" t="s">
        <v>191</v>
      </c>
      <c r="B47" s="1010"/>
      <c r="C47" s="1010"/>
      <c r="D47" s="1010"/>
      <c r="E47" s="1010"/>
      <c r="F47" s="1010"/>
      <c r="G47" s="1010"/>
      <c r="H47" s="1010"/>
      <c r="I47" s="1010"/>
      <c r="J47" s="1010"/>
      <c r="K47" s="1010"/>
      <c r="L47" s="1016">
        <f>'Proy 2022 vs 2019 sem'!$CV$3</f>
        <v>0.99710318235620821</v>
      </c>
      <c r="M47" s="1008">
        <f>'Proy 2022 vs 2019 sem'!$DT$3</f>
        <v>0.99934931854843578</v>
      </c>
      <c r="N47" s="1008">
        <f>'Proy 2022 vs 2019 sem'!$EW$3</f>
        <v>0.99951189238214544</v>
      </c>
      <c r="O47" s="1008">
        <f>'Proy 2022 vs 2019 sem'!$FU$3</f>
        <v>0.99758246273116424</v>
      </c>
      <c r="P47" s="1008">
        <f>'Proy 2022 vs 2019 sem'!$GS$3</f>
        <v>1.0013460693377629</v>
      </c>
      <c r="Q47" s="1008">
        <f>'Proy 2022 vs 2019 sem'!$HV$3</f>
        <v>1.0009510144538907</v>
      </c>
      <c r="R47" s="1008">
        <f>'Proy 2022 vs 2019 sem'!$IT$3</f>
        <v>1.0048235380064243</v>
      </c>
      <c r="S47" s="1009">
        <f>'Proy 2022 vs 2019 sem'!$JR$3</f>
        <v>1.0010029385287584</v>
      </c>
      <c r="T47" s="1008">
        <f>'Proy 2022 vs 2019 sem'!$KU$3</f>
        <v>0.99660606474036961</v>
      </c>
    </row>
    <row r="48" spans="1:20">
      <c r="A48" s="1011" t="s">
        <v>192</v>
      </c>
      <c r="B48" s="1010"/>
      <c r="C48" s="1010"/>
      <c r="D48" s="1010"/>
      <c r="E48" s="1010"/>
      <c r="F48" s="1010"/>
      <c r="G48" s="1010"/>
      <c r="H48" s="1010"/>
      <c r="I48" s="1010"/>
      <c r="J48" s="1010"/>
      <c r="K48" s="1010"/>
      <c r="L48" s="1010"/>
      <c r="M48" s="1012">
        <f>'Proy 2022 vs 2019 sem'!$DT$3</f>
        <v>0.99934931854843578</v>
      </c>
      <c r="N48" s="1008">
        <f>'Proy 2022 vs 2019 sem'!$EW$3</f>
        <v>0.99951189238214544</v>
      </c>
      <c r="O48" s="1008">
        <f>'Proy 2022 vs 2019 sem'!$FU$3</f>
        <v>0.99758246273116424</v>
      </c>
      <c r="P48" s="1008">
        <f>'Proy 2022 vs 2019 sem'!$GS$3</f>
        <v>1.0013460693377629</v>
      </c>
      <c r="Q48" s="1008">
        <f>'Proy 2022 vs 2019 sem'!$HV$3</f>
        <v>1.0009510144538907</v>
      </c>
      <c r="R48" s="1008">
        <f>'Proy 2022 vs 2019 sem'!$IT$3</f>
        <v>1.0048235380064243</v>
      </c>
      <c r="S48" s="1009">
        <f>'Proy 2022 vs 2019 sem'!$JR$3</f>
        <v>1.0010029385287584</v>
      </c>
      <c r="T48" s="1008">
        <f>'Proy 2022 vs 2019 sem'!$KU$3</f>
        <v>0.99660606474036961</v>
      </c>
    </row>
    <row r="49" spans="1:20">
      <c r="A49" s="1011" t="s">
        <v>193</v>
      </c>
      <c r="B49" s="1010"/>
      <c r="C49" s="1010"/>
      <c r="D49" s="1010"/>
      <c r="E49" s="1010"/>
      <c r="F49" s="1010"/>
      <c r="G49" s="1010"/>
      <c r="H49" s="1010"/>
      <c r="I49" s="1010"/>
      <c r="J49" s="1010"/>
      <c r="K49" s="1010"/>
      <c r="L49" s="1010"/>
      <c r="M49" s="1012">
        <f>'Proy 2022 vs 2019 sem'!$DT$3</f>
        <v>0.99934931854843578</v>
      </c>
      <c r="N49" s="1008">
        <f>'Proy 2022 vs 2019 sem'!$EW$3</f>
        <v>0.99951189238214544</v>
      </c>
      <c r="O49" s="1008">
        <f>'Proy 2022 vs 2019 sem'!$FU$3</f>
        <v>0.99758246273116424</v>
      </c>
      <c r="P49" s="1008">
        <f>'Proy 2022 vs 2019 sem'!$GS$3</f>
        <v>1.0013460693377629</v>
      </c>
      <c r="Q49" s="1008">
        <f>'Proy 2022 vs 2019 sem'!$HV$3</f>
        <v>1.0009510144538907</v>
      </c>
      <c r="R49" s="1008">
        <f>'Proy 2022 vs 2019 sem'!$IT$3</f>
        <v>1.0048235380064243</v>
      </c>
      <c r="S49" s="1009">
        <f>'Proy 2022 vs 2019 sem'!$JR$3</f>
        <v>1.0010029385287584</v>
      </c>
      <c r="T49" s="1008">
        <f>'Proy 2022 vs 2019 sem'!$KU$3</f>
        <v>0.99660606474036961</v>
      </c>
    </row>
    <row r="50" spans="1:20">
      <c r="A50" s="1011" t="s">
        <v>194</v>
      </c>
      <c r="B50" s="1010"/>
      <c r="C50" s="1010"/>
      <c r="D50" s="1010"/>
      <c r="E50" s="1010"/>
      <c r="F50" s="1010"/>
      <c r="G50" s="1010"/>
      <c r="H50" s="1010"/>
      <c r="I50" s="1010"/>
      <c r="J50" s="1010"/>
      <c r="K50" s="1010"/>
      <c r="L50" s="1010"/>
      <c r="M50" s="1012">
        <f>'Proy 2022 vs 2019 sem'!$DT$3</f>
        <v>0.99934931854843578</v>
      </c>
      <c r="N50" s="1008">
        <f>'Proy 2022 vs 2019 sem'!$EW$3</f>
        <v>0.99951189238214544</v>
      </c>
      <c r="O50" s="1008">
        <f>'Proy 2022 vs 2019 sem'!$FU$3</f>
        <v>0.99758246273116424</v>
      </c>
      <c r="P50" s="1008">
        <f>'Proy 2022 vs 2019 sem'!$GS$3</f>
        <v>1.0013460693377629</v>
      </c>
      <c r="Q50" s="1008">
        <f>'Proy 2022 vs 2019 sem'!$HV$3</f>
        <v>1.0009510144538907</v>
      </c>
      <c r="R50" s="1008">
        <f>'Proy 2022 vs 2019 sem'!$IT$3</f>
        <v>1.0048235380064243</v>
      </c>
      <c r="S50" s="1009">
        <f>'Proy 2022 vs 2019 sem'!$JR$3</f>
        <v>1.0010029385287584</v>
      </c>
      <c r="T50" s="1008">
        <f>'Proy 2022 vs 2019 sem'!$KU$3</f>
        <v>0.99660606474036961</v>
      </c>
    </row>
    <row r="51" spans="1:20">
      <c r="A51" s="1011" t="s">
        <v>195</v>
      </c>
      <c r="B51" s="1010"/>
      <c r="C51" s="1010"/>
      <c r="D51" s="1010"/>
      <c r="E51" s="1010"/>
      <c r="F51" s="1010"/>
      <c r="G51" s="1010"/>
      <c r="H51" s="1010"/>
      <c r="I51" s="1010"/>
      <c r="J51" s="1010"/>
      <c r="K51" s="1010"/>
      <c r="L51" s="1010"/>
      <c r="M51" s="1016">
        <f>'Proy 2022 vs 2019 sem'!$DT$3</f>
        <v>0.99934931854843578</v>
      </c>
      <c r="N51" s="1008">
        <f>'Proy 2022 vs 2019 sem'!$EW$3</f>
        <v>0.99951189238214544</v>
      </c>
      <c r="O51" s="1008">
        <f>'Proy 2022 vs 2019 sem'!$FU$3</f>
        <v>0.99758246273116424</v>
      </c>
      <c r="P51" s="1008">
        <f>'Proy 2022 vs 2019 sem'!$GS$3</f>
        <v>1.0013460693377629</v>
      </c>
      <c r="Q51" s="1008">
        <f>'Proy 2022 vs 2019 sem'!$HV$3</f>
        <v>1.0009510144538907</v>
      </c>
      <c r="R51" s="1008">
        <f>'Proy 2022 vs 2019 sem'!$IT$3</f>
        <v>1.0048235380064243</v>
      </c>
      <c r="S51" s="1009">
        <f>'Proy 2022 vs 2019 sem'!$JR$3</f>
        <v>1.0010029385287584</v>
      </c>
      <c r="T51" s="1008">
        <f>'Proy 2022 vs 2019 sem'!$KU$3</f>
        <v>0.99660606474036961</v>
      </c>
    </row>
    <row r="52" spans="1:20">
      <c r="A52" s="1011" t="s">
        <v>196</v>
      </c>
      <c r="B52" s="1010"/>
      <c r="C52" s="1010"/>
      <c r="D52" s="1010"/>
      <c r="E52" s="1010"/>
      <c r="F52" s="1010"/>
      <c r="G52" s="1010"/>
      <c r="H52" s="1010"/>
      <c r="I52" s="1010"/>
      <c r="J52" s="1010"/>
      <c r="K52" s="1010"/>
      <c r="L52" s="1010"/>
      <c r="M52" s="1010"/>
      <c r="N52" s="1012">
        <f>'Proy 2022 vs 2019 sem'!$EW$3</f>
        <v>0.99951189238214544</v>
      </c>
      <c r="O52" s="1008">
        <f>'Proy 2022 vs 2019 sem'!$FU$3</f>
        <v>0.99758246273116424</v>
      </c>
      <c r="P52" s="1008">
        <f>'Proy 2022 vs 2019 sem'!$GS$3</f>
        <v>1.0013460693377629</v>
      </c>
      <c r="Q52" s="1008">
        <f>'Proy 2022 vs 2019 sem'!$HV$3</f>
        <v>1.0009510144538907</v>
      </c>
      <c r="R52" s="1008">
        <f>'Proy 2022 vs 2019 sem'!$IT$3</f>
        <v>1.0048235380064243</v>
      </c>
      <c r="S52" s="1009">
        <f>'Proy 2022 vs 2019 sem'!$JR$3</f>
        <v>1.0010029385287584</v>
      </c>
      <c r="T52" s="1008">
        <f>'Proy 2022 vs 2019 sem'!$KU$3</f>
        <v>0.99660606474036961</v>
      </c>
    </row>
    <row r="53" spans="1:20">
      <c r="A53" s="1011" t="s">
        <v>197</v>
      </c>
      <c r="B53" s="1010"/>
      <c r="C53" s="1010"/>
      <c r="D53" s="1010"/>
      <c r="E53" s="1010"/>
      <c r="F53" s="1010"/>
      <c r="G53" s="1010"/>
      <c r="H53" s="1010"/>
      <c r="I53" s="1010"/>
      <c r="J53" s="1010"/>
      <c r="K53" s="1010"/>
      <c r="L53" s="1010"/>
      <c r="M53" s="1010"/>
      <c r="N53" s="1012">
        <f>'Proy 2022 vs 2019 sem'!$EW$3</f>
        <v>0.99951189238214544</v>
      </c>
      <c r="O53" s="1008">
        <f>'Proy 2022 vs 2019 sem'!$FU$3</f>
        <v>0.99758246273116424</v>
      </c>
      <c r="P53" s="1008">
        <f>'Proy 2022 vs 2019 sem'!$GS$3</f>
        <v>1.0013460693377629</v>
      </c>
      <c r="Q53" s="1008">
        <f>'Proy 2022 vs 2019 sem'!$HV$3</f>
        <v>1.0009510144538907</v>
      </c>
      <c r="R53" s="1008">
        <f>'Proy 2022 vs 2019 sem'!$IT$3</f>
        <v>1.0048235380064243</v>
      </c>
      <c r="S53" s="1009">
        <f>'Proy 2022 vs 2019 sem'!$JR$3</f>
        <v>1.0010029385287584</v>
      </c>
      <c r="T53" s="1008">
        <f>'Proy 2022 vs 2019 sem'!$KU$3</f>
        <v>0.99660606474036961</v>
      </c>
    </row>
    <row r="54" spans="1:20">
      <c r="A54" s="1011" t="s">
        <v>198</v>
      </c>
      <c r="B54" s="1010"/>
      <c r="C54" s="1010"/>
      <c r="D54" s="1010"/>
      <c r="E54" s="1010"/>
      <c r="F54" s="1010"/>
      <c r="G54" s="1010"/>
      <c r="H54" s="1010"/>
      <c r="I54" s="1010"/>
      <c r="J54" s="1010"/>
      <c r="K54" s="1010"/>
      <c r="L54" s="1010"/>
      <c r="M54" s="1010"/>
      <c r="N54" s="1012">
        <f>'Proy 2022 vs 2019 sem'!$EW$3</f>
        <v>0.99951189238214544</v>
      </c>
      <c r="O54" s="1008">
        <f>'Proy 2022 vs 2019 sem'!$FU$3</f>
        <v>0.99758246273116424</v>
      </c>
      <c r="P54" s="1008">
        <f>'Proy 2022 vs 2019 sem'!$GS$3</f>
        <v>1.0013460693377629</v>
      </c>
      <c r="Q54" s="1008">
        <f>'Proy 2022 vs 2019 sem'!$HV$3</f>
        <v>1.0009510144538907</v>
      </c>
      <c r="R54" s="1008">
        <f>'Proy 2022 vs 2019 sem'!$IT$3</f>
        <v>1.0048235380064243</v>
      </c>
      <c r="S54" s="1009">
        <f>'Proy 2022 vs 2019 sem'!$JR$3</f>
        <v>1.0010029385287584</v>
      </c>
      <c r="T54" s="1008">
        <f>'Proy 2022 vs 2019 sem'!$KU$3</f>
        <v>0.99660606474036961</v>
      </c>
    </row>
    <row r="55" spans="1:20">
      <c r="A55" s="1011" t="s">
        <v>199</v>
      </c>
      <c r="B55" s="1010"/>
      <c r="C55" s="1010"/>
      <c r="D55" s="1010"/>
      <c r="E55" s="1010"/>
      <c r="F55" s="1010"/>
      <c r="G55" s="1010"/>
      <c r="H55" s="1010"/>
      <c r="I55" s="1010"/>
      <c r="J55" s="1010"/>
      <c r="K55" s="1010"/>
      <c r="L55" s="1010"/>
      <c r="M55" s="1010"/>
      <c r="N55" s="1012">
        <f>'Proy 2022 vs 2019 sem'!$EW$3</f>
        <v>0.99951189238214544</v>
      </c>
      <c r="O55" s="1008">
        <f>'Proy 2022 vs 2019 sem'!$FU$3</f>
        <v>0.99758246273116424</v>
      </c>
      <c r="P55" s="1008">
        <f>'Proy 2022 vs 2019 sem'!$GS$3</f>
        <v>1.0013460693377629</v>
      </c>
      <c r="Q55" s="1008">
        <f>'Proy 2022 vs 2019 sem'!$HV$3</f>
        <v>1.0009510144538907</v>
      </c>
      <c r="R55" s="1008">
        <f>'Proy 2022 vs 2019 sem'!$IT$3</f>
        <v>1.0048235380064243</v>
      </c>
      <c r="S55" s="1009">
        <f>'Proy 2022 vs 2019 sem'!$JR$3</f>
        <v>1.0010029385287584</v>
      </c>
      <c r="T55" s="1008">
        <f>'Proy 2022 vs 2019 sem'!$KU$3</f>
        <v>0.99660606474036961</v>
      </c>
    </row>
    <row r="56" spans="1:20">
      <c r="A56" s="1011" t="s">
        <v>200</v>
      </c>
      <c r="B56" s="1010"/>
      <c r="C56" s="1010"/>
      <c r="D56" s="1010"/>
      <c r="E56" s="1010"/>
      <c r="F56" s="1010"/>
      <c r="G56" s="1010"/>
      <c r="H56" s="1010"/>
      <c r="I56" s="1010"/>
      <c r="J56" s="1010"/>
      <c r="K56" s="1010"/>
      <c r="L56" s="1010"/>
      <c r="M56" s="1010"/>
      <c r="N56" s="1016">
        <f>'Proy 2022 vs 2019 sem'!$EW$3</f>
        <v>0.99951189238214544</v>
      </c>
      <c r="O56" s="1008">
        <f>'Proy 2022 vs 2019 sem'!$FU$3</f>
        <v>0.99758246273116424</v>
      </c>
      <c r="P56" s="1008">
        <f>'Proy 2022 vs 2019 sem'!$GS$3</f>
        <v>1.0013460693377629</v>
      </c>
      <c r="Q56" s="1008">
        <f>'Proy 2022 vs 2019 sem'!$HV$3</f>
        <v>1.0009510144538907</v>
      </c>
      <c r="R56" s="1008">
        <f>'Proy 2022 vs 2019 sem'!$IT$3</f>
        <v>1.0048235380064243</v>
      </c>
      <c r="S56" s="1009">
        <f>'Proy 2022 vs 2019 sem'!$JR$3</f>
        <v>1.0010029385287584</v>
      </c>
      <c r="T56" s="1008">
        <f>'Proy 2022 vs 2019 sem'!$KU$3</f>
        <v>0.99660606474036961</v>
      </c>
    </row>
    <row r="57" spans="1:20">
      <c r="A57" s="1011" t="s">
        <v>201</v>
      </c>
      <c r="B57" s="1010"/>
      <c r="C57" s="1010"/>
      <c r="D57" s="1010"/>
      <c r="E57" s="1010"/>
      <c r="F57" s="1010"/>
      <c r="G57" s="1010"/>
      <c r="H57" s="1010"/>
      <c r="I57" s="1010"/>
      <c r="J57" s="1010"/>
      <c r="K57" s="1010"/>
      <c r="L57" s="1010"/>
      <c r="M57" s="1010"/>
      <c r="N57" s="1010"/>
      <c r="O57" s="1012">
        <f>'Proy 2022 vs 2019 sem'!$FU$3</f>
        <v>0.99758246273116424</v>
      </c>
      <c r="P57" s="1008">
        <f>'Proy 2022 vs 2019 sem'!$GS$3</f>
        <v>1.0013460693377629</v>
      </c>
      <c r="Q57" s="1008">
        <f>'Proy 2022 vs 2019 sem'!$HV$3</f>
        <v>1.0009510144538907</v>
      </c>
      <c r="R57" s="1008">
        <f>'Proy 2022 vs 2019 sem'!$IT$3</f>
        <v>1.0048235380064243</v>
      </c>
      <c r="S57" s="1009">
        <f>'Proy 2022 vs 2019 sem'!$JR$3</f>
        <v>1.0010029385287584</v>
      </c>
      <c r="T57" s="1008">
        <f>'Proy 2022 vs 2019 sem'!$KU$3</f>
        <v>0.99660606474036961</v>
      </c>
    </row>
    <row r="58" spans="1:20">
      <c r="A58" s="1011" t="s">
        <v>202</v>
      </c>
      <c r="B58" s="1010"/>
      <c r="C58" s="1010"/>
      <c r="D58" s="1010"/>
      <c r="E58" s="1010"/>
      <c r="F58" s="1010"/>
      <c r="G58" s="1010"/>
      <c r="H58" s="1010"/>
      <c r="I58" s="1010"/>
      <c r="J58" s="1010"/>
      <c r="K58" s="1010"/>
      <c r="L58" s="1010"/>
      <c r="M58" s="1010"/>
      <c r="N58" s="1010"/>
      <c r="O58" s="1012">
        <f>'Proy 2022 vs 2019 sem'!$FU$3</f>
        <v>0.99758246273116424</v>
      </c>
      <c r="P58" s="1008">
        <f>'Proy 2022 vs 2019 sem'!$GS$3</f>
        <v>1.0013460693377629</v>
      </c>
      <c r="Q58" s="1008">
        <f>'Proy 2022 vs 2019 sem'!$HV$3</f>
        <v>1.0009510144538907</v>
      </c>
      <c r="R58" s="1008">
        <f>'Proy 2022 vs 2019 sem'!$IT$3</f>
        <v>1.0048235380064243</v>
      </c>
      <c r="S58" s="1009">
        <f>'Proy 2022 vs 2019 sem'!$JR$3</f>
        <v>1.0010029385287584</v>
      </c>
      <c r="T58" s="1008">
        <f>'Proy 2022 vs 2019 sem'!$KU$3</f>
        <v>0.99660606474036961</v>
      </c>
    </row>
    <row r="59" spans="1:20">
      <c r="A59" s="1011" t="s">
        <v>203</v>
      </c>
      <c r="B59" s="1010"/>
      <c r="C59" s="1010"/>
      <c r="D59" s="1010"/>
      <c r="E59" s="1010"/>
      <c r="F59" s="1010"/>
      <c r="G59" s="1010"/>
      <c r="H59" s="1010"/>
      <c r="I59" s="1010"/>
      <c r="J59" s="1010"/>
      <c r="K59" s="1010"/>
      <c r="L59" s="1010"/>
      <c r="M59" s="1010"/>
      <c r="N59" s="1010"/>
      <c r="O59" s="1012">
        <f>'Proy 2022 vs 2019 sem'!$FU$3</f>
        <v>0.99758246273116424</v>
      </c>
      <c r="P59" s="1008">
        <f>'Proy 2022 vs 2019 sem'!$GS$3</f>
        <v>1.0013460693377629</v>
      </c>
      <c r="Q59" s="1008">
        <f>'Proy 2022 vs 2019 sem'!$HV$3</f>
        <v>1.0009510144538907</v>
      </c>
      <c r="R59" s="1008">
        <f>'Proy 2022 vs 2019 sem'!$IT$3</f>
        <v>1.0048235380064243</v>
      </c>
      <c r="S59" s="1009">
        <f>'Proy 2022 vs 2019 sem'!$JR$3</f>
        <v>1.0010029385287584</v>
      </c>
      <c r="T59" s="1008">
        <f>'Proy 2022 vs 2019 sem'!$KU$3</f>
        <v>0.99660606474036961</v>
      </c>
    </row>
    <row r="60" spans="1:20">
      <c r="A60" s="1011" t="s">
        <v>204</v>
      </c>
      <c r="B60" s="1010"/>
      <c r="C60" s="1010"/>
      <c r="D60" s="1010"/>
      <c r="E60" s="1010"/>
      <c r="F60" s="1010"/>
      <c r="G60" s="1010"/>
      <c r="H60" s="1010"/>
      <c r="I60" s="1010"/>
      <c r="J60" s="1010"/>
      <c r="K60" s="1010"/>
      <c r="L60" s="1010"/>
      <c r="M60" s="1010"/>
      <c r="N60" s="1010"/>
      <c r="O60" s="1016">
        <f>'Proy 2022 vs 2019 sem'!$FU$3</f>
        <v>0.99758246273116424</v>
      </c>
      <c r="P60" s="1008">
        <f>'Proy 2022 vs 2019 sem'!$GS$3</f>
        <v>1.0013460693377629</v>
      </c>
      <c r="Q60" s="1008">
        <f>'Proy 2022 vs 2019 sem'!$HV$3</f>
        <v>1.0009510144538907</v>
      </c>
      <c r="R60" s="1008">
        <f>'Proy 2022 vs 2019 sem'!$IT$3</f>
        <v>1.0048235380064243</v>
      </c>
      <c r="S60" s="1009">
        <f>'Proy 2022 vs 2019 sem'!$JR$3</f>
        <v>1.0010029385287584</v>
      </c>
      <c r="T60" s="1008">
        <f>'Proy 2022 vs 2019 sem'!$KU$3</f>
        <v>0.99660606474036961</v>
      </c>
    </row>
    <row r="61" spans="1:20">
      <c r="A61" s="1011" t="s">
        <v>205</v>
      </c>
      <c r="B61" s="1010"/>
      <c r="C61" s="1010"/>
      <c r="D61" s="1010"/>
      <c r="E61" s="1010"/>
      <c r="F61" s="1010"/>
      <c r="G61" s="1010"/>
      <c r="H61" s="1010"/>
      <c r="I61" s="1010"/>
      <c r="J61" s="1010"/>
      <c r="K61" s="1010"/>
      <c r="L61" s="1010"/>
      <c r="M61" s="1010"/>
      <c r="N61" s="1010"/>
      <c r="O61" s="1010"/>
      <c r="P61" s="1012">
        <f>'Proy 2022 vs 2019 sem'!$GS$3</f>
        <v>1.0013460693377629</v>
      </c>
      <c r="Q61" s="1008">
        <f>'Proy 2022 vs 2019 sem'!$HV$3</f>
        <v>1.0009510144538907</v>
      </c>
      <c r="R61" s="1008">
        <f>'Proy 2022 vs 2019 sem'!$IT$3</f>
        <v>1.0048235380064243</v>
      </c>
      <c r="S61" s="1009">
        <f>'Proy 2022 vs 2019 sem'!$JR$3</f>
        <v>1.0010029385287584</v>
      </c>
      <c r="T61" s="1008">
        <f>'Proy 2022 vs 2019 sem'!$KU$3</f>
        <v>0.99660606474036961</v>
      </c>
    </row>
    <row r="62" spans="1:20">
      <c r="A62" s="1011" t="s">
        <v>206</v>
      </c>
      <c r="B62" s="1010"/>
      <c r="C62" s="1010"/>
      <c r="D62" s="1010"/>
      <c r="E62" s="1010"/>
      <c r="F62" s="1010"/>
      <c r="G62" s="1010"/>
      <c r="H62" s="1010"/>
      <c r="I62" s="1010"/>
      <c r="J62" s="1010"/>
      <c r="K62" s="1010"/>
      <c r="L62" s="1010"/>
      <c r="M62" s="1010"/>
      <c r="N62" s="1010"/>
      <c r="O62" s="1010"/>
      <c r="P62" s="1012">
        <f>'Proy 2022 vs 2019 sem'!$GS$3</f>
        <v>1.0013460693377629</v>
      </c>
      <c r="Q62" s="1008">
        <f>'Proy 2022 vs 2019 sem'!$HV$3</f>
        <v>1.0009510144538907</v>
      </c>
      <c r="R62" s="1008">
        <f>'Proy 2022 vs 2019 sem'!$IT$3</f>
        <v>1.0048235380064243</v>
      </c>
      <c r="S62" s="1009">
        <f>'Proy 2022 vs 2019 sem'!$JR$3</f>
        <v>1.0010029385287584</v>
      </c>
      <c r="T62" s="1008">
        <f>'Proy 2022 vs 2019 sem'!$KU$3</f>
        <v>0.99660606474036961</v>
      </c>
    </row>
    <row r="63" spans="1:20">
      <c r="A63" s="1011" t="s">
        <v>207</v>
      </c>
      <c r="B63" s="1010"/>
      <c r="C63" s="1010"/>
      <c r="D63" s="1010"/>
      <c r="E63" s="1010"/>
      <c r="F63" s="1010"/>
      <c r="G63" s="1010"/>
      <c r="H63" s="1010"/>
      <c r="I63" s="1010"/>
      <c r="J63" s="1010"/>
      <c r="K63" s="1010"/>
      <c r="L63" s="1010"/>
      <c r="M63" s="1010"/>
      <c r="N63" s="1010"/>
      <c r="O63" s="1010"/>
      <c r="P63" s="1012">
        <f>'Proy 2022 vs 2019 sem'!$GS$3</f>
        <v>1.0013460693377629</v>
      </c>
      <c r="Q63" s="1008">
        <f>'Proy 2022 vs 2019 sem'!$HV$3</f>
        <v>1.0009510144538907</v>
      </c>
      <c r="R63" s="1008">
        <f>'Proy 2022 vs 2019 sem'!$IT$3</f>
        <v>1.0048235380064243</v>
      </c>
      <c r="S63" s="1009">
        <f>'Proy 2022 vs 2019 sem'!$JR$3</f>
        <v>1.0010029385287584</v>
      </c>
      <c r="T63" s="1008">
        <f>'Proy 2022 vs 2019 sem'!$KU$3</f>
        <v>0.99660606474036961</v>
      </c>
    </row>
    <row r="64" spans="1:20">
      <c r="A64" s="1011" t="s">
        <v>208</v>
      </c>
      <c r="B64" s="1010"/>
      <c r="C64" s="1010"/>
      <c r="D64" s="1010"/>
      <c r="E64" s="1010"/>
      <c r="F64" s="1010"/>
      <c r="G64" s="1010"/>
      <c r="H64" s="1010"/>
      <c r="I64" s="1010"/>
      <c r="J64" s="1010"/>
      <c r="K64" s="1010"/>
      <c r="L64" s="1010"/>
      <c r="M64" s="1010"/>
      <c r="N64" s="1010"/>
      <c r="O64" s="1010"/>
      <c r="P64" s="1016">
        <f>'Proy 2022 vs 2019 sem'!$GS$3</f>
        <v>1.0013460693377629</v>
      </c>
      <c r="Q64" s="1008">
        <f>'Proy 2022 vs 2019 sem'!$HV$3</f>
        <v>1.0009510144538907</v>
      </c>
      <c r="R64" s="1008">
        <f>'Proy 2022 vs 2019 sem'!$IT$3</f>
        <v>1.0048235380064243</v>
      </c>
      <c r="S64" s="1009">
        <f>'Proy 2022 vs 2019 sem'!$JR$3</f>
        <v>1.0010029385287584</v>
      </c>
      <c r="T64" s="1008">
        <f>'Proy 2022 vs 2019 sem'!$KU$3</f>
        <v>0.99660606474036961</v>
      </c>
    </row>
    <row r="65" spans="1:20">
      <c r="A65" s="1011" t="s">
        <v>209</v>
      </c>
      <c r="B65" s="1010"/>
      <c r="C65" s="1010"/>
      <c r="D65" s="1010"/>
      <c r="E65" s="1010"/>
      <c r="F65" s="1010"/>
      <c r="G65" s="1010"/>
      <c r="H65" s="1010"/>
      <c r="I65" s="1010"/>
      <c r="J65" s="1010"/>
      <c r="K65" s="1010"/>
      <c r="L65" s="1010"/>
      <c r="M65" s="1010"/>
      <c r="N65" s="1010"/>
      <c r="O65" s="1010"/>
      <c r="P65" s="1010"/>
      <c r="Q65" s="1012">
        <f>'Proy 2022 vs 2019 sem'!$HV$3</f>
        <v>1.0009510144538907</v>
      </c>
      <c r="R65" s="1008">
        <f>'Proy 2022 vs 2019 sem'!$IT$3</f>
        <v>1.0048235380064243</v>
      </c>
      <c r="S65" s="1009">
        <f>'Proy 2022 vs 2019 sem'!$JR$3</f>
        <v>1.0010029385287584</v>
      </c>
      <c r="T65" s="1008">
        <f>'Proy 2022 vs 2019 sem'!$KU$3</f>
        <v>0.99660606474036961</v>
      </c>
    </row>
    <row r="66" spans="1:20">
      <c r="A66" s="1011" t="s">
        <v>210</v>
      </c>
      <c r="B66" s="1010"/>
      <c r="C66" s="1010"/>
      <c r="D66" s="1010"/>
      <c r="E66" s="1010"/>
      <c r="F66" s="1010"/>
      <c r="G66" s="1010"/>
      <c r="H66" s="1010"/>
      <c r="I66" s="1010"/>
      <c r="J66" s="1010"/>
      <c r="K66" s="1010"/>
      <c r="L66" s="1010"/>
      <c r="M66" s="1010"/>
      <c r="N66" s="1010"/>
      <c r="O66" s="1010"/>
      <c r="P66" s="1010"/>
      <c r="Q66" s="1012">
        <f>'Proy 2022 vs 2019 sem'!$HV$3</f>
        <v>1.0009510144538907</v>
      </c>
      <c r="R66" s="1008">
        <f>'Proy 2022 vs 2019 sem'!$IT$3</f>
        <v>1.0048235380064243</v>
      </c>
      <c r="S66" s="1009">
        <f>'Proy 2022 vs 2019 sem'!$JR$3</f>
        <v>1.0010029385287584</v>
      </c>
      <c r="T66" s="1008">
        <f>'Proy 2022 vs 2019 sem'!$KU$3</f>
        <v>0.99660606474036961</v>
      </c>
    </row>
    <row r="67" spans="1:20">
      <c r="A67" s="1011" t="s">
        <v>211</v>
      </c>
      <c r="B67" s="1010"/>
      <c r="C67" s="1010"/>
      <c r="D67" s="1010"/>
      <c r="E67" s="1010"/>
      <c r="F67" s="1010"/>
      <c r="G67" s="1010"/>
      <c r="H67" s="1010"/>
      <c r="I67" s="1010"/>
      <c r="J67" s="1010"/>
      <c r="K67" s="1010"/>
      <c r="L67" s="1010"/>
      <c r="M67" s="1010"/>
      <c r="N67" s="1010"/>
      <c r="O67" s="1010"/>
      <c r="P67" s="1010"/>
      <c r="Q67" s="1012">
        <f>'Proy 2022 vs 2019 sem'!$HV$3</f>
        <v>1.0009510144538907</v>
      </c>
      <c r="R67" s="1008">
        <f>'Proy 2022 vs 2019 sem'!$IT$3</f>
        <v>1.0048235380064243</v>
      </c>
      <c r="S67" s="1009">
        <f>'Proy 2022 vs 2019 sem'!$JR$3</f>
        <v>1.0010029385287584</v>
      </c>
      <c r="T67" s="1008">
        <f>'Proy 2022 vs 2019 sem'!$KU$3</f>
        <v>0.99660606474036961</v>
      </c>
    </row>
    <row r="68" spans="1:20">
      <c r="A68" s="1011" t="s">
        <v>212</v>
      </c>
      <c r="B68" s="1010"/>
      <c r="C68" s="1010"/>
      <c r="D68" s="1010"/>
      <c r="E68" s="1010"/>
      <c r="F68" s="1010"/>
      <c r="G68" s="1010"/>
      <c r="H68" s="1010"/>
      <c r="I68" s="1010"/>
      <c r="J68" s="1010"/>
      <c r="K68" s="1010"/>
      <c r="L68" s="1010"/>
      <c r="M68" s="1010"/>
      <c r="N68" s="1010"/>
      <c r="O68" s="1010"/>
      <c r="P68" s="1010"/>
      <c r="Q68" s="1012">
        <f>'Proy 2022 vs 2019 sem'!$HV$3</f>
        <v>1.0009510144538907</v>
      </c>
      <c r="R68" s="1008">
        <f>'Proy 2022 vs 2019 sem'!$IT$3</f>
        <v>1.0048235380064243</v>
      </c>
      <c r="S68" s="1009">
        <f>'Proy 2022 vs 2019 sem'!$JR$3</f>
        <v>1.0010029385287584</v>
      </c>
      <c r="T68" s="1008">
        <f>'Proy 2022 vs 2019 sem'!$KU$3</f>
        <v>0.99660606474036961</v>
      </c>
    </row>
    <row r="69" spans="1:20">
      <c r="A69" s="1011" t="s">
        <v>213</v>
      </c>
      <c r="B69" s="1010"/>
      <c r="C69" s="1010"/>
      <c r="D69" s="1010"/>
      <c r="E69" s="1010"/>
      <c r="F69" s="1010"/>
      <c r="G69" s="1010"/>
      <c r="H69" s="1010"/>
      <c r="I69" s="1010"/>
      <c r="J69" s="1010"/>
      <c r="K69" s="1010"/>
      <c r="L69" s="1010"/>
      <c r="M69" s="1010"/>
      <c r="N69" s="1010"/>
      <c r="O69" s="1010"/>
      <c r="P69" s="1010"/>
      <c r="Q69" s="1016">
        <f>'Proy 2022 vs 2019 sem'!$HV$3</f>
        <v>1.0009510144538907</v>
      </c>
      <c r="R69" s="1008">
        <f>'Proy 2022 vs 2019 sem'!$IT$3</f>
        <v>1.0048235380064243</v>
      </c>
      <c r="S69" s="1009">
        <f>'Proy 2022 vs 2019 sem'!$JR$3</f>
        <v>1.0010029385287584</v>
      </c>
      <c r="T69" s="1008">
        <f>'Proy 2022 vs 2019 sem'!$KU$3</f>
        <v>0.99660606474036961</v>
      </c>
    </row>
    <row r="70" spans="1:20">
      <c r="A70" s="1011" t="s">
        <v>214</v>
      </c>
      <c r="B70" s="1010"/>
      <c r="C70" s="1010"/>
      <c r="D70" s="1010"/>
      <c r="E70" s="1010"/>
      <c r="F70" s="1010"/>
      <c r="G70" s="1010"/>
      <c r="H70" s="1010"/>
      <c r="I70" s="1010"/>
      <c r="J70" s="1010"/>
      <c r="K70" s="1010"/>
      <c r="L70" s="1010"/>
      <c r="M70" s="1010"/>
      <c r="N70" s="1010"/>
      <c r="O70" s="1010"/>
      <c r="P70" s="1010"/>
      <c r="Q70" s="1010"/>
      <c r="R70" s="1012">
        <f>'Proy 2022 vs 2019 sem'!$IT$3</f>
        <v>1.0048235380064243</v>
      </c>
      <c r="S70" s="1009">
        <f>'Proy 2022 vs 2019 sem'!$JR$3</f>
        <v>1.0010029385287584</v>
      </c>
      <c r="T70" s="1008">
        <f>'Proy 2022 vs 2019 sem'!$KU$3</f>
        <v>0.99660606474036961</v>
      </c>
    </row>
    <row r="71" spans="1:20">
      <c r="A71" s="1011" t="s">
        <v>215</v>
      </c>
      <c r="B71" s="1010"/>
      <c r="C71" s="1010"/>
      <c r="D71" s="1010"/>
      <c r="E71" s="1010"/>
      <c r="F71" s="1010"/>
      <c r="G71" s="1010"/>
      <c r="H71" s="1010"/>
      <c r="I71" s="1010"/>
      <c r="J71" s="1010"/>
      <c r="K71" s="1010"/>
      <c r="L71" s="1010"/>
      <c r="M71" s="1010"/>
      <c r="N71" s="1010"/>
      <c r="O71" s="1010"/>
      <c r="P71" s="1010"/>
      <c r="Q71" s="1010"/>
      <c r="R71" s="1012">
        <f>'Proy 2022 vs 2019 sem'!$IT$3</f>
        <v>1.0048235380064243</v>
      </c>
      <c r="S71" s="1009">
        <f>'Proy 2022 vs 2019 sem'!$JR$3</f>
        <v>1.0010029385287584</v>
      </c>
      <c r="T71" s="1008">
        <f>'Proy 2022 vs 2019 sem'!$KU$3</f>
        <v>0.99660606474036961</v>
      </c>
    </row>
    <row r="72" spans="1:20">
      <c r="A72" s="1011" t="s">
        <v>216</v>
      </c>
      <c r="B72" s="1010"/>
      <c r="C72" s="1010"/>
      <c r="D72" s="1010"/>
      <c r="E72" s="1010"/>
      <c r="F72" s="1010"/>
      <c r="G72" s="1010"/>
      <c r="H72" s="1010"/>
      <c r="I72" s="1010"/>
      <c r="J72" s="1010"/>
      <c r="K72" s="1010"/>
      <c r="L72" s="1010"/>
      <c r="M72" s="1010"/>
      <c r="N72" s="1010"/>
      <c r="O72" s="1010"/>
      <c r="P72" s="1010"/>
      <c r="Q72" s="1010"/>
      <c r="R72" s="1012">
        <f>'Proy 2022 vs 2019 sem'!$IT$3</f>
        <v>1.0048235380064243</v>
      </c>
      <c r="S72" s="1009">
        <f>'Proy 2022 vs 2019 sem'!$JR$3</f>
        <v>1.0010029385287584</v>
      </c>
      <c r="T72" s="1008">
        <f>'Proy 2022 vs 2019 sem'!$KU$3</f>
        <v>0.99660606474036961</v>
      </c>
    </row>
    <row r="73" spans="1:20">
      <c r="A73" s="1011" t="s">
        <v>217</v>
      </c>
      <c r="B73" s="1010"/>
      <c r="C73" s="1010"/>
      <c r="D73" s="1010"/>
      <c r="E73" s="1010"/>
      <c r="F73" s="1010"/>
      <c r="G73" s="1010"/>
      <c r="H73" s="1010"/>
      <c r="I73" s="1010"/>
      <c r="J73" s="1010"/>
      <c r="K73" s="1010"/>
      <c r="L73" s="1010"/>
      <c r="M73" s="1010"/>
      <c r="N73" s="1010"/>
      <c r="O73" s="1010"/>
      <c r="P73" s="1010"/>
      <c r="Q73" s="1010"/>
      <c r="R73" s="1016">
        <f>'Proy 2022 vs 2019 sem'!$IT$3</f>
        <v>1.0048235380064243</v>
      </c>
      <c r="S73" s="1009">
        <f>'Proy 2022 vs 2019 sem'!$JR$3</f>
        <v>1.0010029385287584</v>
      </c>
      <c r="T73" s="1008">
        <f>'Proy 2022 vs 2019 sem'!$KU$3</f>
        <v>0.99660606474036961</v>
      </c>
    </row>
    <row r="74" spans="1:20">
      <c r="A74" s="1011" t="s">
        <v>218</v>
      </c>
      <c r="B74" s="1010"/>
      <c r="C74" s="1010"/>
      <c r="D74" s="1010"/>
      <c r="E74" s="1010"/>
      <c r="F74" s="1010"/>
      <c r="G74" s="1010"/>
      <c r="H74" s="1010"/>
      <c r="I74" s="1010"/>
      <c r="J74" s="1010"/>
      <c r="K74" s="1010"/>
      <c r="L74" s="1010"/>
      <c r="M74" s="1010"/>
      <c r="N74" s="1010"/>
      <c r="O74" s="1010"/>
      <c r="P74" s="1010"/>
      <c r="Q74" s="1010"/>
      <c r="R74" s="1010"/>
      <c r="S74" s="1014">
        <f>'Proy 2022 vs 2019 sem'!$JR$3</f>
        <v>1.0010029385287584</v>
      </c>
      <c r="T74" s="1008">
        <f>'Proy 2022 vs 2019 sem'!$KU$3</f>
        <v>0.99660606474036961</v>
      </c>
    </row>
    <row r="75" spans="1:20">
      <c r="A75" s="1011" t="s">
        <v>219</v>
      </c>
      <c r="B75" s="1010"/>
      <c r="C75" s="1010"/>
      <c r="D75" s="1010"/>
      <c r="E75" s="1010"/>
      <c r="F75" s="1010"/>
      <c r="G75" s="1010"/>
      <c r="H75" s="1010"/>
      <c r="I75" s="1010"/>
      <c r="J75" s="1010"/>
      <c r="K75" s="1010"/>
      <c r="L75" s="1010"/>
      <c r="M75" s="1010"/>
      <c r="N75" s="1010"/>
      <c r="O75" s="1010"/>
      <c r="P75" s="1010"/>
      <c r="Q75" s="1010"/>
      <c r="R75" s="1010"/>
      <c r="S75" s="1014">
        <f>'Proy 2022 vs 2019 sem'!$JR$3</f>
        <v>1.0010029385287584</v>
      </c>
      <c r="T75" s="1008">
        <f>'Proy 2022 vs 2019 sem'!$KU$3</f>
        <v>0.99660606474036961</v>
      </c>
    </row>
    <row r="76" spans="1:20">
      <c r="A76" s="1011" t="s">
        <v>220</v>
      </c>
      <c r="B76" s="1010"/>
      <c r="C76" s="1010"/>
      <c r="D76" s="1010"/>
      <c r="E76" s="1010"/>
      <c r="F76" s="1010"/>
      <c r="G76" s="1010"/>
      <c r="H76" s="1010"/>
      <c r="I76" s="1010"/>
      <c r="J76" s="1010"/>
      <c r="K76" s="1010"/>
      <c r="L76" s="1010"/>
      <c r="M76" s="1010"/>
      <c r="N76" s="1010"/>
      <c r="O76" s="1010"/>
      <c r="P76" s="1010"/>
      <c r="Q76" s="1010"/>
      <c r="R76" s="1010"/>
      <c r="S76" s="1015">
        <f>'Proy 2022 vs 2019 sem'!$JR$3</f>
        <v>1.0010029385287584</v>
      </c>
      <c r="T76" s="1008">
        <f>'Proy 2022 vs 2019 sem'!$KU$3</f>
        <v>0.99660606474036961</v>
      </c>
    </row>
    <row r="77" spans="1:20">
      <c r="A77" s="1011" t="s">
        <v>221</v>
      </c>
      <c r="B77" s="1010"/>
      <c r="C77" s="1010"/>
      <c r="D77" s="1010"/>
      <c r="E77" s="1010"/>
      <c r="F77" s="1010"/>
      <c r="G77" s="1010"/>
      <c r="H77" s="1010"/>
      <c r="I77" s="1010"/>
      <c r="J77" s="1010"/>
      <c r="K77" s="1010"/>
      <c r="L77" s="1010"/>
      <c r="M77" s="1010"/>
      <c r="N77" s="1010"/>
      <c r="O77" s="1010"/>
      <c r="P77" s="1010"/>
      <c r="Q77" s="1010"/>
      <c r="R77" s="1010"/>
      <c r="S77" s="566">
        <f>'Proy 2022 vs 2019 sem'!$JR$3</f>
        <v>1.0010029385287584</v>
      </c>
      <c r="T77" s="1012">
        <f>'Proy 2022 vs 2019 sem'!$KU$3</f>
        <v>0.99660606474036961</v>
      </c>
    </row>
    <row r="78" spans="1:20">
      <c r="A78" s="1011" t="s">
        <v>222</v>
      </c>
      <c r="B78" s="1010"/>
      <c r="C78" s="1010"/>
      <c r="D78" s="1010"/>
      <c r="E78" s="1010"/>
      <c r="F78" s="1010"/>
      <c r="G78" s="1010"/>
      <c r="H78" s="1010"/>
      <c r="I78" s="1010"/>
      <c r="J78" s="1010"/>
      <c r="K78" s="1010"/>
      <c r="L78" s="1010"/>
      <c r="M78" s="1010"/>
      <c r="N78" s="1010"/>
      <c r="O78" s="1010"/>
      <c r="P78" s="1010"/>
      <c r="Q78" s="1010"/>
      <c r="R78" s="1010"/>
      <c r="S78" s="1010"/>
      <c r="T78" s="1012">
        <f>'Proy 2022 vs 2019 sem'!$KU$3</f>
        <v>0.99660606474036961</v>
      </c>
    </row>
    <row r="79" spans="1:20">
      <c r="A79" s="1011" t="s">
        <v>223</v>
      </c>
      <c r="B79" s="1010"/>
      <c r="C79" s="1010"/>
      <c r="D79" s="1010"/>
      <c r="E79" s="1010"/>
      <c r="F79" s="1010"/>
      <c r="G79" s="1010"/>
      <c r="H79" s="1010"/>
      <c r="I79" s="1010"/>
      <c r="J79" s="1010"/>
      <c r="K79" s="1010"/>
      <c r="L79" s="1010"/>
      <c r="M79" s="1010"/>
      <c r="N79" s="1010"/>
      <c r="O79" s="1010"/>
      <c r="P79" s="1010"/>
      <c r="Q79" s="1010"/>
      <c r="R79" s="1010"/>
      <c r="S79" s="1010"/>
      <c r="T79" s="1012">
        <f>'Proy 2022 vs 2019 sem'!$KU$3</f>
        <v>0.99660606474036961</v>
      </c>
    </row>
    <row r="80" spans="1:20">
      <c r="A80" s="1011" t="s">
        <v>224</v>
      </c>
      <c r="B80" s="1010"/>
      <c r="C80" s="1010"/>
      <c r="D80" s="1010"/>
      <c r="E80" s="1010"/>
      <c r="F80" s="1010"/>
      <c r="G80" s="1010"/>
      <c r="H80" s="1010"/>
      <c r="I80" s="1010"/>
      <c r="J80" s="1010"/>
      <c r="K80" s="1010"/>
      <c r="L80" s="1010"/>
      <c r="M80" s="1010"/>
      <c r="N80" s="1010"/>
      <c r="O80" s="1010"/>
      <c r="P80" s="1010"/>
      <c r="Q80" s="1010"/>
      <c r="R80" s="1010"/>
      <c r="S80" s="1010"/>
      <c r="T80" s="1012">
        <f>'Proy 2022 vs 2019 sem'!$KU$3</f>
        <v>0.99660606474036961</v>
      </c>
    </row>
    <row r="81" spans="1:20">
      <c r="A81" s="1011" t="s">
        <v>225</v>
      </c>
      <c r="B81" s="1010"/>
      <c r="C81" s="1010"/>
      <c r="D81" s="1010"/>
      <c r="E81" s="1010"/>
      <c r="F81" s="1010"/>
      <c r="G81" s="1010"/>
      <c r="H81" s="1010"/>
      <c r="I81" s="1010"/>
      <c r="J81" s="1010"/>
      <c r="K81" s="1010"/>
      <c r="L81" s="1010"/>
      <c r="M81" s="1010"/>
      <c r="N81" s="1010"/>
      <c r="O81" s="1010"/>
      <c r="P81" s="1010"/>
      <c r="Q81" s="1010"/>
      <c r="R81" s="1010"/>
      <c r="S81" s="1010"/>
      <c r="T81" s="1012">
        <f>'Proy 2022 vs 2019 sem'!$KU$3</f>
        <v>0.99660606474036961</v>
      </c>
    </row>
    <row r="82" spans="1:20">
      <c r="A82" s="1011" t="s">
        <v>226</v>
      </c>
      <c r="B82" s="1010"/>
      <c r="C82" s="1010"/>
      <c r="D82" s="1010"/>
      <c r="E82" s="1010"/>
      <c r="F82" s="1010"/>
      <c r="G82" s="1010"/>
      <c r="H82" s="1010"/>
      <c r="I82" s="1010"/>
      <c r="J82" s="1010"/>
      <c r="K82" s="1010"/>
      <c r="L82" s="1010"/>
      <c r="M82" s="1010"/>
      <c r="N82" s="1010"/>
      <c r="O82" s="1010"/>
      <c r="P82" s="1010"/>
      <c r="Q82" s="1010"/>
      <c r="R82" s="1010"/>
      <c r="S82" s="1010"/>
      <c r="T82" s="1012">
        <f>'Proy 2022 vs 2019 sem'!$KU$3</f>
        <v>0.99660606474036961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BT59"/>
  <sheetViews>
    <sheetView topLeftCell="A4" zoomScaleNormal="100" zoomScaleSheetLayoutView="100" workbookViewId="0">
      <pane xSplit="2" ySplit="5" topLeftCell="T9" activePane="bottomRight" state="frozen"/>
      <selection pane="bottomRight" activeCell="D4" sqref="D4"/>
      <selection pane="bottomLeft" activeCell="A9" sqref="A9"/>
      <selection pane="topRight" activeCell="D4" sqref="D4"/>
    </sheetView>
  </sheetViews>
  <sheetFormatPr defaultColWidth="11.42578125" defaultRowHeight="15"/>
  <cols>
    <col min="1" max="1" width="5.42578125" customWidth="1"/>
    <col min="2" max="2" width="15.5703125" bestFit="1" customWidth="1"/>
    <col min="3" max="3" width="15.140625" style="20" customWidth="1"/>
    <col min="4" max="4" width="15.140625" bestFit="1" customWidth="1"/>
    <col min="5" max="5" width="14.140625" customWidth="1"/>
    <col min="6" max="6" width="18.42578125" customWidth="1"/>
    <col min="7" max="7" width="17.85546875" customWidth="1"/>
    <col min="8" max="8" width="18.42578125" style="20" customWidth="1"/>
    <col min="9" max="9" width="18.5703125" customWidth="1"/>
    <col min="10" max="10" width="12" customWidth="1"/>
    <col min="11" max="11" width="22.5703125" customWidth="1"/>
    <col min="12" max="12" width="10.28515625" customWidth="1"/>
    <col min="13" max="13" width="16.140625" customWidth="1"/>
    <col min="14" max="14" width="17" style="20" customWidth="1"/>
    <col min="15" max="15" width="15.140625" customWidth="1"/>
    <col min="16" max="16" width="22.5703125" customWidth="1"/>
    <col min="17" max="17" width="13.28515625" customWidth="1"/>
    <col min="18" max="18" width="15.7109375" style="20" customWidth="1"/>
    <col min="19" max="19" width="15.7109375" customWidth="1"/>
    <col min="20" max="20" width="14.85546875" bestFit="1" customWidth="1"/>
    <col min="21" max="21" width="22.5703125" customWidth="1"/>
    <col min="22" max="22" width="15.140625" customWidth="1"/>
    <col min="23" max="23" width="16.28515625" customWidth="1"/>
    <col min="24" max="24" width="15.85546875" customWidth="1"/>
    <col min="25" max="25" width="11.7109375" customWidth="1"/>
    <col min="26" max="26" width="22.5703125" customWidth="1"/>
    <col min="27" max="27" width="13.28515625" customWidth="1"/>
    <col min="28" max="28" width="15.42578125" style="20" customWidth="1"/>
    <col min="29" max="29" width="16.7109375" customWidth="1"/>
    <col min="30" max="30" width="13.5703125" customWidth="1"/>
    <col min="31" max="31" width="22.5703125" customWidth="1"/>
    <col min="32" max="32" width="13.28515625" customWidth="1"/>
    <col min="33" max="33" width="15.28515625" style="20" customWidth="1"/>
    <col min="34" max="34" width="16.85546875" customWidth="1"/>
    <col min="35" max="35" width="13.140625" customWidth="1"/>
    <col min="36" max="36" width="22.5703125" customWidth="1"/>
    <col min="37" max="37" width="13.28515625" customWidth="1"/>
    <col min="38" max="38" width="17.140625" style="20" customWidth="1"/>
    <col min="39" max="39" width="18.42578125" customWidth="1"/>
    <col min="40" max="40" width="12.7109375" customWidth="1"/>
    <col min="41" max="41" width="12.42578125" customWidth="1"/>
    <col min="42" max="42" width="13.28515625" customWidth="1"/>
    <col min="43" max="43" width="16.42578125" style="20" customWidth="1"/>
    <col min="44" max="44" width="17.28515625" bestFit="1" customWidth="1"/>
    <col min="45" max="45" width="12.7109375" customWidth="1"/>
    <col min="46" max="46" width="17.5703125" customWidth="1"/>
    <col min="47" max="47" width="13.28515625" customWidth="1"/>
    <col min="48" max="48" width="16.42578125" style="20" customWidth="1"/>
    <col min="49" max="49" width="16.85546875" bestFit="1" customWidth="1"/>
    <col min="50" max="50" width="14.5703125" customWidth="1"/>
    <col min="51" max="51" width="22.5703125" customWidth="1"/>
    <col min="52" max="52" width="13.28515625" customWidth="1"/>
    <col min="53" max="53" width="16.85546875" customWidth="1"/>
    <col min="54" max="54" width="16.7109375" bestFit="1" customWidth="1"/>
    <col min="55" max="55" width="12.7109375" customWidth="1"/>
    <col min="56" max="57" width="13.28515625" customWidth="1"/>
    <col min="58" max="58" width="17.140625" style="20" customWidth="1"/>
    <col min="59" max="59" width="17.85546875" bestFit="1" customWidth="1"/>
    <col min="60" max="60" width="12" customWidth="1"/>
    <col min="61" max="61" width="13.85546875" customWidth="1"/>
    <col min="62" max="62" width="10.28515625" customWidth="1"/>
    <col min="63" max="63" width="20.85546875" hidden="1" customWidth="1"/>
    <col min="64" max="64" width="18" hidden="1" customWidth="1"/>
    <col min="65" max="65" width="11.5703125" hidden="1" customWidth="1"/>
    <col min="66" max="66" width="19.85546875" customWidth="1"/>
    <col min="67" max="68" width="21" customWidth="1"/>
    <col min="69" max="69" width="9.7109375" customWidth="1"/>
    <col min="70" max="70" width="25.5703125" customWidth="1"/>
    <col min="71" max="71" width="26.85546875" bestFit="1" customWidth="1"/>
    <col min="72" max="72" width="25.5703125" customWidth="1"/>
  </cols>
  <sheetData>
    <row r="1" spans="1:71">
      <c r="A1" t="s">
        <v>47</v>
      </c>
    </row>
    <row r="2" spans="1:71">
      <c r="C2" s="1702" t="s">
        <v>264</v>
      </c>
      <c r="D2" s="1703"/>
      <c r="E2" s="1703"/>
      <c r="F2" s="1703"/>
      <c r="G2" s="1703"/>
      <c r="H2" s="1703"/>
      <c r="I2" s="1703"/>
      <c r="J2" s="1703"/>
      <c r="K2" s="1703"/>
      <c r="L2" s="1703"/>
      <c r="M2" s="1703"/>
      <c r="N2" s="1703"/>
      <c r="O2" s="1703"/>
      <c r="P2" s="1703"/>
      <c r="Q2" s="1703"/>
      <c r="R2" s="1703"/>
      <c r="S2" s="1703"/>
      <c r="T2" s="1703"/>
      <c r="U2" s="1703"/>
      <c r="V2" s="1703"/>
      <c r="W2" s="1703"/>
      <c r="X2" s="1703"/>
      <c r="Y2" s="1703"/>
      <c r="Z2" s="1703"/>
      <c r="AA2" s="1703"/>
      <c r="AB2" s="1703"/>
      <c r="AC2" s="1703"/>
      <c r="AD2" s="1703"/>
      <c r="AE2" s="1703"/>
      <c r="AF2" s="1703"/>
      <c r="AG2" s="1703"/>
      <c r="AH2" s="1703"/>
      <c r="AI2" s="1703"/>
      <c r="AJ2" s="1703"/>
      <c r="AK2" s="1703"/>
      <c r="AL2" s="1703"/>
      <c r="AM2" s="1703"/>
      <c r="AN2" s="1703"/>
      <c r="AO2" s="1703"/>
      <c r="AP2" s="1703"/>
      <c r="AQ2" s="1703"/>
      <c r="AR2" s="1703"/>
      <c r="AS2" s="1703"/>
      <c r="AT2" s="1703"/>
      <c r="AU2" s="1703"/>
      <c r="AV2" s="1703"/>
      <c r="AW2" s="1703"/>
      <c r="AX2" s="1703"/>
      <c r="AY2" s="1703"/>
      <c r="AZ2" s="1703"/>
      <c r="BA2" s="1703"/>
      <c r="BB2" s="1703"/>
      <c r="BC2" s="1703"/>
      <c r="BD2" s="1703"/>
      <c r="BE2" s="1703"/>
      <c r="BF2" s="1703"/>
      <c r="BG2" s="1703"/>
      <c r="BH2" s="1703"/>
      <c r="BI2" s="1703"/>
      <c r="BJ2" s="1703"/>
      <c r="BK2" s="1703"/>
      <c r="BL2" s="1703"/>
      <c r="BM2" s="1703"/>
      <c r="BN2" s="1703"/>
      <c r="BO2" s="1703"/>
      <c r="BP2" s="1703"/>
      <c r="BQ2" s="1703"/>
      <c r="BR2" s="1703"/>
      <c r="BS2" s="1703"/>
    </row>
    <row r="3" spans="1:71">
      <c r="C3" s="21"/>
      <c r="F3" s="9"/>
      <c r="G3" s="9"/>
    </row>
    <row r="4" spans="1:71" s="28" customFormat="1" ht="18">
      <c r="C4" s="1704" t="s">
        <v>48</v>
      </c>
      <c r="D4" s="1705"/>
      <c r="E4" s="1705"/>
      <c r="F4" s="1705"/>
      <c r="G4" s="1705"/>
      <c r="H4" s="1706" t="s">
        <v>265</v>
      </c>
      <c r="I4" s="1707"/>
      <c r="J4" s="1707"/>
      <c r="K4" s="1707"/>
      <c r="L4" s="1707"/>
      <c r="M4" s="1708" t="s">
        <v>266</v>
      </c>
      <c r="N4" s="1709"/>
      <c r="O4" s="1709"/>
      <c r="P4" s="1709"/>
      <c r="Q4" s="1709"/>
      <c r="R4" s="1710" t="s">
        <v>267</v>
      </c>
      <c r="S4" s="1710"/>
      <c r="T4" s="1710"/>
      <c r="U4" s="1710"/>
      <c r="V4" s="1710"/>
      <c r="W4" s="1711" t="s">
        <v>268</v>
      </c>
      <c r="X4" s="1711"/>
      <c r="Y4" s="1711"/>
      <c r="Z4" s="1711"/>
      <c r="AA4" s="1711"/>
      <c r="AB4" s="1712" t="s">
        <v>269</v>
      </c>
      <c r="AC4" s="1713"/>
      <c r="AD4" s="1713"/>
      <c r="AE4" s="1713"/>
      <c r="AF4" s="1713"/>
      <c r="AG4" s="1714" t="s">
        <v>270</v>
      </c>
      <c r="AH4" s="1714"/>
      <c r="AI4" s="1714"/>
      <c r="AJ4" s="1714"/>
      <c r="AK4" s="1714"/>
      <c r="AL4" s="1715" t="s">
        <v>271</v>
      </c>
      <c r="AM4" s="1716"/>
      <c r="AN4" s="1716"/>
      <c r="AO4" s="1716"/>
      <c r="AP4" s="1716"/>
      <c r="AQ4" s="1717" t="s">
        <v>272</v>
      </c>
      <c r="AR4" s="1710"/>
      <c r="AS4" s="1710"/>
      <c r="AT4" s="1710"/>
      <c r="AU4" s="1710"/>
      <c r="AV4" s="1718" t="s">
        <v>273</v>
      </c>
      <c r="AW4" s="1719"/>
      <c r="AX4" s="1719"/>
      <c r="AY4" s="1719"/>
      <c r="AZ4" s="1719"/>
      <c r="BA4" s="1720" t="s">
        <v>274</v>
      </c>
      <c r="BB4" s="1721"/>
      <c r="BC4" s="1721"/>
      <c r="BD4" s="1721"/>
      <c r="BE4" s="1721"/>
      <c r="BF4" s="1722" t="s">
        <v>275</v>
      </c>
      <c r="BG4" s="1723"/>
      <c r="BH4" s="1723"/>
      <c r="BI4" s="1723"/>
      <c r="BJ4" s="1723"/>
    </row>
    <row r="5" spans="1:71" s="25" customFormat="1" ht="30" customHeight="1">
      <c r="B5" s="1697" t="s">
        <v>276</v>
      </c>
      <c r="C5" s="23" t="s">
        <v>277</v>
      </c>
      <c r="D5" s="24" t="s">
        <v>63</v>
      </c>
      <c r="E5" s="24" t="s">
        <v>63</v>
      </c>
      <c r="F5" s="1690" t="s">
        <v>278</v>
      </c>
      <c r="G5" s="205" t="s">
        <v>279</v>
      </c>
      <c r="H5" s="24" t="s">
        <v>277</v>
      </c>
      <c r="I5" s="24" t="s">
        <v>63</v>
      </c>
      <c r="J5" s="24" t="s">
        <v>63</v>
      </c>
      <c r="K5" s="1690" t="s">
        <v>280</v>
      </c>
      <c r="L5" s="24" t="s">
        <v>279</v>
      </c>
      <c r="M5" s="26" t="s">
        <v>277</v>
      </c>
      <c r="N5" s="27" t="s">
        <v>63</v>
      </c>
      <c r="O5" s="27" t="s">
        <v>63</v>
      </c>
      <c r="P5" s="1691" t="s">
        <v>281</v>
      </c>
      <c r="Q5" s="27" t="s">
        <v>279</v>
      </c>
      <c r="R5" s="26" t="s">
        <v>277</v>
      </c>
      <c r="S5" s="27" t="s">
        <v>63</v>
      </c>
      <c r="T5" s="27" t="s">
        <v>63</v>
      </c>
      <c r="U5" s="1691" t="s">
        <v>282</v>
      </c>
      <c r="V5" s="27" t="s">
        <v>279</v>
      </c>
      <c r="W5" s="26" t="s">
        <v>277</v>
      </c>
      <c r="X5" s="27" t="s">
        <v>63</v>
      </c>
      <c r="Y5" s="27" t="s">
        <v>63</v>
      </c>
      <c r="Z5" s="1691" t="s">
        <v>283</v>
      </c>
      <c r="AA5" s="27" t="s">
        <v>279</v>
      </c>
      <c r="AB5" s="26" t="s">
        <v>277</v>
      </c>
      <c r="AC5" s="27" t="s">
        <v>63</v>
      </c>
      <c r="AD5" s="27" t="s">
        <v>63</v>
      </c>
      <c r="AE5" s="1691" t="s">
        <v>284</v>
      </c>
      <c r="AF5" s="27" t="s">
        <v>279</v>
      </c>
      <c r="AG5" s="26" t="s">
        <v>277</v>
      </c>
      <c r="AH5" s="27" t="s">
        <v>63</v>
      </c>
      <c r="AI5" s="27" t="s">
        <v>63</v>
      </c>
      <c r="AJ5" s="1691" t="s">
        <v>285</v>
      </c>
      <c r="AK5" s="27" t="s">
        <v>279</v>
      </c>
      <c r="AL5" s="26" t="s">
        <v>277</v>
      </c>
      <c r="AM5" s="27" t="s">
        <v>63</v>
      </c>
      <c r="AN5" s="27" t="s">
        <v>63</v>
      </c>
      <c r="AO5" s="1691" t="s">
        <v>286</v>
      </c>
      <c r="AP5" s="27" t="s">
        <v>279</v>
      </c>
      <c r="AQ5" s="27" t="s">
        <v>63</v>
      </c>
      <c r="AR5" s="27" t="s">
        <v>63</v>
      </c>
      <c r="AS5" s="27" t="s">
        <v>63</v>
      </c>
      <c r="AT5" s="1691" t="s">
        <v>287</v>
      </c>
      <c r="AU5" s="27" t="s">
        <v>279</v>
      </c>
      <c r="AV5" s="26" t="s">
        <v>277</v>
      </c>
      <c r="AW5" s="27" t="s">
        <v>63</v>
      </c>
      <c r="AX5" s="27" t="s">
        <v>63</v>
      </c>
      <c r="AY5" s="1691" t="s">
        <v>288</v>
      </c>
      <c r="AZ5" s="27" t="s">
        <v>279</v>
      </c>
      <c r="BA5" s="26" t="s">
        <v>277</v>
      </c>
      <c r="BB5" s="27" t="s">
        <v>63</v>
      </c>
      <c r="BC5" s="27" t="s">
        <v>63</v>
      </c>
      <c r="BD5" s="1691" t="s">
        <v>289</v>
      </c>
      <c r="BE5" s="27" t="s">
        <v>279</v>
      </c>
      <c r="BF5" s="26" t="s">
        <v>277</v>
      </c>
      <c r="BG5" s="27" t="s">
        <v>63</v>
      </c>
      <c r="BH5" s="27" t="s">
        <v>63</v>
      </c>
      <c r="BI5" s="1691" t="s">
        <v>290</v>
      </c>
      <c r="BJ5" s="27" t="s">
        <v>279</v>
      </c>
      <c r="BK5" s="1700" t="s">
        <v>291</v>
      </c>
      <c r="BL5" s="1695" t="s">
        <v>292</v>
      </c>
      <c r="BM5" s="1695" t="s">
        <v>293</v>
      </c>
      <c r="BN5" s="1690" t="s">
        <v>294</v>
      </c>
      <c r="BO5" s="1690" t="s">
        <v>295</v>
      </c>
      <c r="BP5" s="1690" t="s">
        <v>296</v>
      </c>
      <c r="BQ5" s="1558"/>
      <c r="BR5" s="1692" t="s">
        <v>297</v>
      </c>
      <c r="BS5" s="1692" t="s">
        <v>298</v>
      </c>
    </row>
    <row r="6" spans="1:71" s="25" customFormat="1" ht="15" customHeight="1">
      <c r="B6" s="1698"/>
      <c r="C6" s="26">
        <v>2020</v>
      </c>
      <c r="D6" s="27">
        <v>2021</v>
      </c>
      <c r="E6" s="27" t="s">
        <v>299</v>
      </c>
      <c r="F6" s="1691"/>
      <c r="G6" s="206" t="s">
        <v>299</v>
      </c>
      <c r="H6" s="27">
        <v>2020</v>
      </c>
      <c r="I6" s="27">
        <v>2021</v>
      </c>
      <c r="J6" s="27" t="s">
        <v>299</v>
      </c>
      <c r="K6" s="1691"/>
      <c r="L6" s="27" t="s">
        <v>299</v>
      </c>
      <c r="M6" s="27">
        <v>2020</v>
      </c>
      <c r="N6" s="27">
        <v>2021</v>
      </c>
      <c r="O6" s="27" t="s">
        <v>299</v>
      </c>
      <c r="P6" s="1691"/>
      <c r="Q6" s="27" t="s">
        <v>299</v>
      </c>
      <c r="R6" s="27">
        <v>2020</v>
      </c>
      <c r="S6" s="27">
        <v>2021</v>
      </c>
      <c r="T6" s="27" t="s">
        <v>299</v>
      </c>
      <c r="U6" s="1691"/>
      <c r="V6" s="27" t="s">
        <v>299</v>
      </c>
      <c r="W6" s="27">
        <v>2020</v>
      </c>
      <c r="X6" s="27">
        <v>2021</v>
      </c>
      <c r="Y6" s="27" t="s">
        <v>299</v>
      </c>
      <c r="Z6" s="1691"/>
      <c r="AA6" s="27" t="s">
        <v>299</v>
      </c>
      <c r="AB6" s="27">
        <v>2020</v>
      </c>
      <c r="AC6" s="27">
        <v>2021</v>
      </c>
      <c r="AD6" s="27" t="s">
        <v>299</v>
      </c>
      <c r="AE6" s="1691"/>
      <c r="AF6" s="27" t="s">
        <v>299</v>
      </c>
      <c r="AG6" s="27">
        <v>2020</v>
      </c>
      <c r="AH6" s="27">
        <v>2021</v>
      </c>
      <c r="AI6" s="27" t="s">
        <v>299</v>
      </c>
      <c r="AJ6" s="1691"/>
      <c r="AK6" s="27" t="s">
        <v>299</v>
      </c>
      <c r="AL6" s="27">
        <v>2020</v>
      </c>
      <c r="AM6" s="27">
        <v>2021</v>
      </c>
      <c r="AN6" s="27" t="s">
        <v>299</v>
      </c>
      <c r="AO6" s="1691"/>
      <c r="AP6" s="27" t="s">
        <v>299</v>
      </c>
      <c r="AQ6" s="27">
        <v>2020</v>
      </c>
      <c r="AR6" s="27">
        <v>2021</v>
      </c>
      <c r="AS6" s="27" t="s">
        <v>299</v>
      </c>
      <c r="AT6" s="1691"/>
      <c r="AU6" s="27" t="s">
        <v>299</v>
      </c>
      <c r="AV6" s="27">
        <v>2020</v>
      </c>
      <c r="AW6" s="27">
        <v>2021</v>
      </c>
      <c r="AX6" s="27" t="s">
        <v>299</v>
      </c>
      <c r="AY6" s="1691"/>
      <c r="AZ6" s="27" t="s">
        <v>299</v>
      </c>
      <c r="BA6" s="27">
        <v>2020</v>
      </c>
      <c r="BB6" s="27">
        <v>2021</v>
      </c>
      <c r="BC6" s="27" t="s">
        <v>299</v>
      </c>
      <c r="BD6" s="1691"/>
      <c r="BE6" s="27" t="s">
        <v>299</v>
      </c>
      <c r="BF6" s="27">
        <v>2020</v>
      </c>
      <c r="BG6" s="27">
        <v>2021</v>
      </c>
      <c r="BH6" s="27" t="s">
        <v>299</v>
      </c>
      <c r="BI6" s="1691"/>
      <c r="BJ6" s="27" t="s">
        <v>299</v>
      </c>
      <c r="BK6" s="1701"/>
      <c r="BL6" s="1696"/>
      <c r="BM6" s="1696"/>
      <c r="BN6" s="1691"/>
      <c r="BO6" s="1691"/>
      <c r="BP6" s="1691"/>
      <c r="BQ6" s="1559" t="s">
        <v>300</v>
      </c>
      <c r="BR6" s="1693"/>
      <c r="BS6" s="1693"/>
    </row>
    <row r="7" spans="1:71" ht="15" customHeight="1">
      <c r="B7" s="1698"/>
      <c r="C7" s="19">
        <v>43835</v>
      </c>
      <c r="D7" s="4">
        <v>44199</v>
      </c>
      <c r="E7" s="4" t="s">
        <v>5</v>
      </c>
      <c r="F7" s="1691"/>
      <c r="G7" s="207" t="s">
        <v>5</v>
      </c>
      <c r="H7" s="4">
        <v>43863</v>
      </c>
      <c r="I7" s="4">
        <v>44227</v>
      </c>
      <c r="J7" s="4" t="s">
        <v>5</v>
      </c>
      <c r="K7" s="1691"/>
      <c r="L7" s="4" t="s">
        <v>5</v>
      </c>
      <c r="M7" s="5">
        <v>43891</v>
      </c>
      <c r="N7" s="5">
        <v>44255</v>
      </c>
      <c r="O7" s="4" t="s">
        <v>5</v>
      </c>
      <c r="P7" s="1691"/>
      <c r="Q7" s="4" t="s">
        <v>5</v>
      </c>
      <c r="R7" s="5">
        <v>43562</v>
      </c>
      <c r="S7" s="5">
        <v>44290</v>
      </c>
      <c r="T7" s="4" t="s">
        <v>5</v>
      </c>
      <c r="U7" s="1691"/>
      <c r="V7" s="4" t="s">
        <v>5</v>
      </c>
      <c r="W7" s="5">
        <v>43893</v>
      </c>
      <c r="X7" s="5">
        <v>44318</v>
      </c>
      <c r="Y7" s="4" t="s">
        <v>5</v>
      </c>
      <c r="Z7" s="1691"/>
      <c r="AA7" s="4" t="s">
        <v>5</v>
      </c>
      <c r="AB7" s="5">
        <v>43982</v>
      </c>
      <c r="AC7" s="5">
        <v>44346</v>
      </c>
      <c r="AD7" s="4" t="s">
        <v>5</v>
      </c>
      <c r="AE7" s="1691"/>
      <c r="AF7" s="4" t="s">
        <v>5</v>
      </c>
      <c r="AG7" s="5">
        <v>44017</v>
      </c>
      <c r="AH7" s="5">
        <v>44381</v>
      </c>
      <c r="AI7" s="4" t="s">
        <v>5</v>
      </c>
      <c r="AJ7" s="1691"/>
      <c r="AK7" s="4" t="s">
        <v>5</v>
      </c>
      <c r="AL7" s="5">
        <v>44045</v>
      </c>
      <c r="AM7" s="5">
        <v>44409</v>
      </c>
      <c r="AN7" s="4" t="s">
        <v>5</v>
      </c>
      <c r="AO7" s="1691"/>
      <c r="AP7" s="4" t="s">
        <v>5</v>
      </c>
      <c r="AQ7" s="5">
        <v>44073</v>
      </c>
      <c r="AR7" s="5">
        <v>44437</v>
      </c>
      <c r="AS7" s="4" t="s">
        <v>5</v>
      </c>
      <c r="AT7" s="1691"/>
      <c r="AU7" s="4" t="s">
        <v>5</v>
      </c>
      <c r="AV7" s="5">
        <v>44108</v>
      </c>
      <c r="AW7" s="5">
        <v>44472</v>
      </c>
      <c r="AX7" s="4" t="s">
        <v>5</v>
      </c>
      <c r="AY7" s="1691"/>
      <c r="AZ7" s="4" t="s">
        <v>5</v>
      </c>
      <c r="BA7" s="5">
        <v>44136</v>
      </c>
      <c r="BB7" s="5">
        <v>44500</v>
      </c>
      <c r="BC7" s="4" t="s">
        <v>5</v>
      </c>
      <c r="BD7" s="1691"/>
      <c r="BE7" s="4" t="s">
        <v>5</v>
      </c>
      <c r="BF7" s="5">
        <v>44164</v>
      </c>
      <c r="BG7" s="5">
        <v>44528</v>
      </c>
      <c r="BH7" s="4" t="s">
        <v>5</v>
      </c>
      <c r="BI7" s="1691"/>
      <c r="BJ7" s="4" t="s">
        <v>5</v>
      </c>
      <c r="BK7" s="1701"/>
      <c r="BL7" s="1696"/>
      <c r="BM7" s="1696"/>
      <c r="BN7" s="1691"/>
      <c r="BO7" s="1691"/>
      <c r="BP7" s="1691"/>
      <c r="BQ7" s="1559"/>
      <c r="BR7" s="1693"/>
      <c r="BS7" s="1693"/>
    </row>
    <row r="8" spans="1:71" ht="15" customHeight="1">
      <c r="B8" s="1698"/>
      <c r="C8" s="208">
        <v>43862</v>
      </c>
      <c r="D8" s="209">
        <v>44226</v>
      </c>
      <c r="E8" s="209"/>
      <c r="F8" s="1699"/>
      <c r="G8" s="210"/>
      <c r="H8" s="4">
        <v>43890</v>
      </c>
      <c r="I8" s="4">
        <v>44223</v>
      </c>
      <c r="J8" s="4"/>
      <c r="K8" s="1699"/>
      <c r="L8" s="1559"/>
      <c r="M8" s="4">
        <v>43925</v>
      </c>
      <c r="N8" s="4">
        <v>44289</v>
      </c>
      <c r="O8" s="4"/>
      <c r="P8" s="1691"/>
      <c r="Q8" s="1559"/>
      <c r="R8" s="4">
        <v>43589</v>
      </c>
      <c r="S8" s="4">
        <v>44317</v>
      </c>
      <c r="T8" s="4"/>
      <c r="U8" s="1691"/>
      <c r="V8" s="1559"/>
      <c r="W8" s="4">
        <v>43920</v>
      </c>
      <c r="X8" s="4">
        <v>44345</v>
      </c>
      <c r="Y8" s="4"/>
      <c r="Z8" s="1691"/>
      <c r="AA8" s="1559"/>
      <c r="AB8" s="4">
        <v>44016</v>
      </c>
      <c r="AC8" s="4">
        <v>44380</v>
      </c>
      <c r="AD8" s="4"/>
      <c r="AE8" s="1691"/>
      <c r="AF8" s="1559"/>
      <c r="AG8" s="4">
        <v>44044</v>
      </c>
      <c r="AH8" s="4">
        <v>44408</v>
      </c>
      <c r="AI8" s="4"/>
      <c r="AJ8" s="1691"/>
      <c r="AK8" s="1559"/>
      <c r="AL8" s="4">
        <v>44072</v>
      </c>
      <c r="AM8" s="4">
        <v>44436</v>
      </c>
      <c r="AN8" s="4"/>
      <c r="AO8" s="1691"/>
      <c r="AP8" s="1559"/>
      <c r="AQ8" s="4">
        <v>44107</v>
      </c>
      <c r="AR8" s="4">
        <v>44471</v>
      </c>
      <c r="AS8" s="4"/>
      <c r="AT8" s="1691"/>
      <c r="AU8" s="1559"/>
      <c r="AV8" s="4">
        <v>44135</v>
      </c>
      <c r="AW8" s="4">
        <v>44499</v>
      </c>
      <c r="AX8" s="4"/>
      <c r="AY8" s="1691"/>
      <c r="AZ8" s="1559"/>
      <c r="BA8" s="4">
        <v>44163</v>
      </c>
      <c r="BB8" s="4">
        <v>44527</v>
      </c>
      <c r="BC8" s="4"/>
      <c r="BD8" s="1691"/>
      <c r="BE8" s="1559"/>
      <c r="BF8" s="4">
        <v>44198</v>
      </c>
      <c r="BG8" s="4">
        <v>44562</v>
      </c>
      <c r="BH8" s="4"/>
      <c r="BI8" s="1691"/>
      <c r="BJ8" s="1559"/>
      <c r="BK8" s="1701"/>
      <c r="BL8" s="1696"/>
      <c r="BM8" s="1696"/>
      <c r="BN8" s="1691"/>
      <c r="BO8" s="1691"/>
      <c r="BP8" s="1691"/>
      <c r="BQ8" s="1559"/>
      <c r="BR8" s="1694"/>
      <c r="BS8" s="1694"/>
    </row>
    <row r="9" spans="1:71">
      <c r="B9" s="185" t="str">
        <f>"A1"</f>
        <v>A1</v>
      </c>
      <c r="C9" s="188">
        <f>'Ventas Semanales'!D8+'Ventas Semanales'!I8+'Ventas Semanales'!N8+'Ventas Semanales'!S8</f>
        <v>360742.5</v>
      </c>
      <c r="D9" s="34">
        <f>C9*E9</f>
        <v>245304.90000000002</v>
      </c>
      <c r="E9" s="39">
        <v>0.68</v>
      </c>
      <c r="F9" s="40">
        <f>'Ventas Semanales'!G8+'Ventas Semanales'!L8+'Ventas Semanales'!Q8+'Ventas Semanales'!V8</f>
        <v>214246.41</v>
      </c>
      <c r="G9" s="41">
        <f>F9/C9</f>
        <v>0.59390398968793534</v>
      </c>
      <c r="H9" s="10">
        <f>'Ventas Semanales'!X8+'Ventas Semanales'!AC8+'Ventas Semanales'!AH8+'Ventas Semanales'!AM8</f>
        <v>258608.42</v>
      </c>
      <c r="I9" s="34">
        <f>H9*J9</f>
        <v>181025.894</v>
      </c>
      <c r="J9" s="2">
        <v>0.7</v>
      </c>
      <c r="K9" s="3">
        <f>'Ventas Semanales'!AA8+'Ventas Semanales'!AF8+'Ventas Semanales'!AK8+'Ventas Semanales'!AP8</f>
        <v>235015.69999999998</v>
      </c>
      <c r="L9" s="41">
        <f>K9/H9</f>
        <v>0.90877048782866376</v>
      </c>
      <c r="M9" s="38">
        <f>'Ventas Semanales'!AR8+'Ventas Semanales'!AW8+'Ventas Semanales'!BB8+'Ventas Semanales'!BG8+'Ventas Semanales'!BL8</f>
        <v>201760.28</v>
      </c>
      <c r="N9" s="34">
        <f>M9*O9</f>
        <v>211848.29399999999</v>
      </c>
      <c r="O9" s="39">
        <v>1.05</v>
      </c>
      <c r="P9" s="35">
        <f>'Ventas Semanales'!AU8+'Ventas Semanales'!AZ8+'Ventas Semanales'!BE8+'Ventas Semanales'!BJ8+'Ventas Semanales'!BO8</f>
        <v>154820.95000000001</v>
      </c>
      <c r="Q9" s="46">
        <f>P9/M9</f>
        <v>0.76735098702281745</v>
      </c>
      <c r="R9" s="38">
        <f>'Ventas Semanales'!BQ8+'Ventas Semanales'!BV8+'Ventas Semanales'!CA8+'Ventas Semanales'!CF8</f>
        <v>160090.09</v>
      </c>
      <c r="S9" s="34">
        <f>R9*T9</f>
        <v>472265.76550000004</v>
      </c>
      <c r="T9" s="39">
        <v>2.95</v>
      </c>
      <c r="U9" s="35"/>
      <c r="V9" s="46">
        <f>U9/R9</f>
        <v>0</v>
      </c>
      <c r="W9" s="38">
        <f>'Ventas Semanales'!CK8+'Ventas Semanales'!CP8+'Ventas Semanales'!CU8+'Ventas Semanales'!CZ8</f>
        <v>111042.37</v>
      </c>
      <c r="X9" s="34">
        <f>W9*Y9</f>
        <v>666254.22</v>
      </c>
      <c r="Y9" s="39">
        <v>6</v>
      </c>
      <c r="Z9" s="35"/>
      <c r="AA9" s="36">
        <f>Z9/W9</f>
        <v>0</v>
      </c>
      <c r="AB9" s="38">
        <f>'Ventas Semanales'!DE8+'Ventas Semanales'!DJ8+'Ventas Semanales'!DO8+'Ventas Semanales'!DT8+'Ventas Semanales'!DY8</f>
        <v>196832.53999999998</v>
      </c>
      <c r="AC9" s="34">
        <f>AB9*AD9</f>
        <v>472398.0959999999</v>
      </c>
      <c r="AD9" s="39">
        <v>2.4</v>
      </c>
      <c r="AE9" s="35"/>
      <c r="AF9" s="36">
        <f>AE9/AB9</f>
        <v>0</v>
      </c>
      <c r="AG9" s="38">
        <f>'Ventas Semanales'!ED8+'Ventas Semanales'!EI8+'Ventas Semanales'!EN8+'Ventas Semanales'!ES8</f>
        <v>222574.06999999998</v>
      </c>
      <c r="AH9" s="34">
        <f>AG9*AI9</f>
        <v>378375.91899999994</v>
      </c>
      <c r="AI9" s="39">
        <v>1.7</v>
      </c>
      <c r="AJ9" s="35"/>
      <c r="AK9" s="36">
        <f>AJ9/AG9</f>
        <v>0</v>
      </c>
      <c r="AL9" s="38">
        <f>'Ventas Semanales'!EX8+'Ventas Semanales'!FC8+'Ventas Semanales'!FH8+'Ventas Semanales'!FM8</f>
        <v>224787.27</v>
      </c>
      <c r="AM9" s="34">
        <f>AL9*AN9</f>
        <v>382138.359</v>
      </c>
      <c r="AN9" s="39">
        <v>1.7</v>
      </c>
      <c r="AO9" s="35"/>
      <c r="AP9" s="46">
        <f>AO9/AL9</f>
        <v>0</v>
      </c>
      <c r="AQ9" s="38">
        <f>'Ventas Semanales'!FR8+'Ventas Semanales'!FW8+'Ventas Semanales'!GB8+'Ventas Semanales'!GG8+'Ventas Semanales'!GL8</f>
        <v>266702.93</v>
      </c>
      <c r="AR9" s="34">
        <f>AQ9*AS9</f>
        <v>448060.92239999998</v>
      </c>
      <c r="AS9" s="39">
        <v>1.68</v>
      </c>
      <c r="AT9" s="35"/>
      <c r="AU9" s="46">
        <f>AT9/AQ9</f>
        <v>0</v>
      </c>
      <c r="AV9" s="10">
        <f>'Ventas Semanales'!GQ8+'Ventas Semanales'!GV8+'Ventas Semanales'!HA8+'Ventas Semanales'!HF8</f>
        <v>205646.37</v>
      </c>
      <c r="AW9" s="34">
        <f>AV9*AX9</f>
        <v>472986.65099999995</v>
      </c>
      <c r="AX9" s="39">
        <v>2.2999999999999998</v>
      </c>
      <c r="AY9" s="3"/>
      <c r="AZ9" s="46">
        <f>AY9/AV9</f>
        <v>0</v>
      </c>
      <c r="BA9" s="6">
        <f>'Ventas Semanales'!HK8+'Ventas Semanales'!HP8+'Ventas Semanales'!HU8+'Ventas Semanales'!HZ8</f>
        <v>242791.06</v>
      </c>
      <c r="BB9" s="34">
        <f>BA9*BC9</f>
        <v>752652.28599999996</v>
      </c>
      <c r="BC9" s="39">
        <v>3.1</v>
      </c>
      <c r="BD9" s="3">
        <f>'Ventas Semanales'!HN8+'Ventas Semanales'!HS8+'Ventas Semanales'!HX8+'Ventas Semanales'!IC8</f>
        <v>0</v>
      </c>
      <c r="BE9" s="46">
        <f>BD9/BA9</f>
        <v>0</v>
      </c>
      <c r="BF9" s="10">
        <f>'Ventas Semanales'!IE8+'Ventas Semanales'!IJ8+'Ventas Semanales'!IO8+'Ventas Semanales'!IT8+'Ventas Semanales'!IY8</f>
        <v>823598.16</v>
      </c>
      <c r="BG9" s="34">
        <f>BF9*BH9</f>
        <v>1153037.4239999999</v>
      </c>
      <c r="BH9" s="39">
        <v>1.4</v>
      </c>
      <c r="BI9" s="3">
        <f>'Ventas Semanales'!IH8+'Ventas Semanales'!IM8+'Ventas Semanales'!IR8+'Ventas Semanales'!IW8+'Ventas Semanales'!JB8</f>
        <v>0</v>
      </c>
      <c r="BJ9" s="46">
        <f>BI9/BF9</f>
        <v>0</v>
      </c>
      <c r="BK9" s="51">
        <f>F9</f>
        <v>214246.41</v>
      </c>
      <c r="BL9" s="51">
        <f>D9</f>
        <v>245304.90000000002</v>
      </c>
      <c r="BM9" s="189">
        <f>BK9/BL9</f>
        <v>0.87338822012931649</v>
      </c>
      <c r="BN9" s="64">
        <f>'Ventas Semanales'!JD8</f>
        <v>750815.39</v>
      </c>
      <c r="BO9" s="69">
        <f>'Ventas Semanales'!JE8</f>
        <v>604083.05999999994</v>
      </c>
      <c r="BP9" s="67">
        <f>BO9-BN9</f>
        <v>-146732.33000000007</v>
      </c>
      <c r="BQ9" s="65">
        <f t="shared" ref="BQ9:BQ42" si="0">BO9/BN9</f>
        <v>0.80456936291622894</v>
      </c>
      <c r="BR9" s="54">
        <f t="shared" ref="BR9:BR37" si="1">D9+I9+N9+S9+X9+AC9+AH9+AM9+AR9+AW9+BB9+BG9</f>
        <v>5836348.7308999998</v>
      </c>
      <c r="BS9" s="54">
        <f>F9+K9+N9+S9+X9+AC9+AH9+AM9+AR9+AW9+BB9+BG9</f>
        <v>5859280.0468999995</v>
      </c>
    </row>
    <row r="10" spans="1:71">
      <c r="B10" s="185" t="str">
        <f>"A2"</f>
        <v>A2</v>
      </c>
      <c r="C10" s="106">
        <f>'Ventas Semanales'!D9+'Ventas Semanales'!I9+'Ventas Semanales'!N9+'Ventas Semanales'!S9</f>
        <v>272985.71999999997</v>
      </c>
      <c r="D10" s="1">
        <f t="shared" ref="D10:D37" si="2">C10*E10</f>
        <v>185630.28959999999</v>
      </c>
      <c r="E10" s="39">
        <v>0.68</v>
      </c>
      <c r="F10" s="107">
        <f>'Ventas Semanales'!G9+'Ventas Semanales'!L9+'Ventas Semanales'!Q9+'Ventas Semanales'!V9</f>
        <v>191664.74000000002</v>
      </c>
      <c r="G10" s="42">
        <f t="shared" ref="G10:G37" si="3">F10/C10</f>
        <v>0.70210537020031683</v>
      </c>
      <c r="H10" s="10">
        <f>'Ventas Semanales'!X9+'Ventas Semanales'!AC9+'Ventas Semanales'!AH9+'Ventas Semanales'!AM9</f>
        <v>318195.95</v>
      </c>
      <c r="I10" s="1">
        <f t="shared" ref="I10:I37" si="4">H10*J10</f>
        <v>222737.16500000001</v>
      </c>
      <c r="J10" s="2">
        <v>0.7</v>
      </c>
      <c r="K10" s="3">
        <f>'Ventas Semanales'!AA9+'Ventas Semanales'!AF9+'Ventas Semanales'!AK9+'Ventas Semanales'!AP9</f>
        <v>199083.92</v>
      </c>
      <c r="L10" s="42">
        <f t="shared" ref="L10:L37" si="5">K10/H10</f>
        <v>0.62566453155673418</v>
      </c>
      <c r="M10" s="38">
        <f>'Ventas Semanales'!AR9+'Ventas Semanales'!AW9+'Ventas Semanales'!BB9+'Ventas Semanales'!BG9+'Ventas Semanales'!BL9</f>
        <v>323657.94</v>
      </c>
      <c r="N10" s="34">
        <f t="shared" ref="N10:N35" si="6">M10*O10</f>
        <v>339840.837</v>
      </c>
      <c r="O10" s="39">
        <v>1.05</v>
      </c>
      <c r="P10" s="35">
        <f>'Ventas Semanales'!AU9+'Ventas Semanales'!AZ9+'Ventas Semanales'!BE9+'Ventas Semanales'!BJ9+'Ventas Semanales'!BO9</f>
        <v>157495.24</v>
      </c>
      <c r="Q10" s="45">
        <f t="shared" ref="Q10:Q37" si="7">P10/M10</f>
        <v>0.48661015391743517</v>
      </c>
      <c r="R10" s="38">
        <f>'Ventas Semanales'!BQ9+'Ventas Semanales'!BV9+'Ventas Semanales'!CA9+'Ventas Semanales'!CF9</f>
        <v>42772.68</v>
      </c>
      <c r="S10" s="34">
        <f t="shared" ref="S10:S18" si="8">R10*T10</f>
        <v>126179.406</v>
      </c>
      <c r="T10" s="39">
        <v>2.95</v>
      </c>
      <c r="U10" s="35"/>
      <c r="V10" s="46">
        <f t="shared" ref="V10:V36" si="9">U10/R10</f>
        <v>0</v>
      </c>
      <c r="W10" s="38">
        <f>'Ventas Semanales'!CK9+'Ventas Semanales'!CP9+'Ventas Semanales'!CU9+'Ventas Semanales'!CZ9</f>
        <v>46582.38</v>
      </c>
      <c r="X10" s="34">
        <f t="shared" ref="X10:X18" si="10">W10*Y10</f>
        <v>279494.27999999997</v>
      </c>
      <c r="Y10" s="39">
        <v>6</v>
      </c>
      <c r="Z10" s="35"/>
      <c r="AA10" s="33">
        <f t="shared" ref="AA10:AA33" si="11">Z10/W10</f>
        <v>0</v>
      </c>
      <c r="AB10" s="38">
        <f>'Ventas Semanales'!DE9+'Ventas Semanales'!DJ9+'Ventas Semanales'!DO9+'Ventas Semanales'!DT9+'Ventas Semanales'!DY9</f>
        <v>269212.79999999999</v>
      </c>
      <c r="AC10" s="34">
        <f t="shared" ref="AC10:AC18" si="12">AB10*AD10</f>
        <v>646110.71999999997</v>
      </c>
      <c r="AD10" s="39">
        <v>2.4</v>
      </c>
      <c r="AE10" s="35"/>
      <c r="AF10" s="33">
        <f t="shared" ref="AF10:AF33" si="13">AE10/AB10</f>
        <v>0</v>
      </c>
      <c r="AG10" s="38">
        <f>'Ventas Semanales'!ED9+'Ventas Semanales'!EI9+'Ventas Semanales'!EN9+'Ventas Semanales'!ES9</f>
        <v>283233.27999999997</v>
      </c>
      <c r="AH10" s="34">
        <f t="shared" ref="AH10:AH18" si="14">AG10*AI10</f>
        <v>481496.57599999994</v>
      </c>
      <c r="AI10" s="39">
        <v>1.7</v>
      </c>
      <c r="AJ10" s="35"/>
      <c r="AK10" s="33">
        <f t="shared" ref="AK10:AK33" si="15">AJ10/AG10</f>
        <v>0</v>
      </c>
      <c r="AL10" s="38">
        <f>'Ventas Semanales'!EX9+'Ventas Semanales'!FC9+'Ventas Semanales'!FH9+'Ventas Semanales'!FM9</f>
        <v>250971.95</v>
      </c>
      <c r="AM10" s="34">
        <f t="shared" ref="AM10:AM18" si="16">AL10*AN10</f>
        <v>426652.315</v>
      </c>
      <c r="AN10" s="39">
        <v>1.7</v>
      </c>
      <c r="AO10" s="35"/>
      <c r="AP10" s="7">
        <f t="shared" ref="AP10:AP33" si="17">AO10/AL10</f>
        <v>0</v>
      </c>
      <c r="AQ10" s="38">
        <f>'Ventas Semanales'!FR9+'Ventas Semanales'!FW9+'Ventas Semanales'!GB9+'Ventas Semanales'!GG9+'Ventas Semanales'!GL9</f>
        <v>296422.12</v>
      </c>
      <c r="AR10" s="34">
        <f t="shared" ref="AR10:AR18" si="18">AQ10*AS10</f>
        <v>497989.16159999999</v>
      </c>
      <c r="AS10" s="39">
        <v>1.68</v>
      </c>
      <c r="AT10" s="35"/>
      <c r="AU10" s="46">
        <f t="shared" ref="AU10:AU37" si="19">AT10/AQ10</f>
        <v>0</v>
      </c>
      <c r="AV10" s="10">
        <f>'Ventas Semanales'!GQ9+'Ventas Semanales'!GV9+'Ventas Semanales'!HA9+'Ventas Semanales'!HF9</f>
        <v>222123.44</v>
      </c>
      <c r="AW10" s="34">
        <f t="shared" ref="AW10:AW18" si="20">AV10*AX10</f>
        <v>510883.91199999995</v>
      </c>
      <c r="AX10" s="39">
        <v>2.2999999999999998</v>
      </c>
      <c r="AY10" s="3"/>
      <c r="AZ10" s="7">
        <f t="shared" ref="AZ10:AZ33" si="21">AY10/AV10</f>
        <v>0</v>
      </c>
      <c r="BA10" s="6">
        <f>'Ventas Semanales'!HK9+'Ventas Semanales'!HP9+'Ventas Semanales'!HU9+'Ventas Semanales'!HZ9</f>
        <v>223241.39</v>
      </c>
      <c r="BB10" s="34">
        <f t="shared" ref="BB10:BB18" si="22">BA10*BC10</f>
        <v>692048.30900000001</v>
      </c>
      <c r="BC10" s="39">
        <v>3.1</v>
      </c>
      <c r="BD10" s="3">
        <f>'Ventas Semanales'!HN9+'Ventas Semanales'!HS9+'Ventas Semanales'!HX9+'Ventas Semanales'!IC9</f>
        <v>0</v>
      </c>
      <c r="BE10" s="7">
        <f t="shared" ref="BE10:BE33" si="23">BD10/BA10</f>
        <v>0</v>
      </c>
      <c r="BF10" s="10">
        <f>'Ventas Semanales'!IE9+'Ventas Semanales'!IJ9+'Ventas Semanales'!IO9+'Ventas Semanales'!IT9+'Ventas Semanales'!IY9</f>
        <v>655579.87000000011</v>
      </c>
      <c r="BG10" s="34">
        <f t="shared" ref="BG10:BG18" si="24">BF10*BH10</f>
        <v>917811.81800000009</v>
      </c>
      <c r="BH10" s="39">
        <v>1.4</v>
      </c>
      <c r="BI10" s="3">
        <f>'Ventas Semanales'!IH9+'Ventas Semanales'!IM9+'Ventas Semanales'!IR9+'Ventas Semanales'!IW9+'Ventas Semanales'!JB9</f>
        <v>0</v>
      </c>
      <c r="BJ10" s="7">
        <f t="shared" ref="BJ10:BJ38" si="25">BI10/BF10</f>
        <v>0</v>
      </c>
      <c r="BK10" s="51">
        <f t="shared" ref="BK10:BK37" si="26">F10</f>
        <v>191664.74000000002</v>
      </c>
      <c r="BL10" s="51">
        <f t="shared" ref="BL10:BL37" si="27">D10</f>
        <v>185630.28959999999</v>
      </c>
      <c r="BM10" s="189">
        <f t="shared" ref="BM10:BM37" si="28">BK10/BL10</f>
        <v>1.032507897353407</v>
      </c>
      <c r="BN10" s="64">
        <f>'Ventas Semanales'!JD9</f>
        <v>808856.67</v>
      </c>
      <c r="BO10" s="69">
        <f>'Ventas Semanales'!JE9</f>
        <v>548243.9</v>
      </c>
      <c r="BP10" s="68">
        <f t="shared" ref="BP10:BP39" si="29">BO10-BN10</f>
        <v>-260612.77000000002</v>
      </c>
      <c r="BQ10" s="66">
        <f t="shared" si="0"/>
        <v>0.67780104972120714</v>
      </c>
      <c r="BR10" s="54">
        <f t="shared" si="1"/>
        <v>5326874.7891999995</v>
      </c>
      <c r="BS10" s="54">
        <f t="shared" ref="BS10:BS37" si="30">F10+K10+N10+S10+X10+AC10+AH10+AM10+AR10+AW10+BB10+BG10</f>
        <v>5309255.9945999999</v>
      </c>
    </row>
    <row r="11" spans="1:71">
      <c r="B11" s="185" t="str">
        <f>"A3"</f>
        <v>A3</v>
      </c>
      <c r="C11" s="106">
        <f>'Ventas Semanales'!D10+'Ventas Semanales'!I10+'Ventas Semanales'!N10+'Ventas Semanales'!S10</f>
        <v>214790.91</v>
      </c>
      <c r="D11" s="1">
        <f t="shared" si="2"/>
        <v>146057.81880000001</v>
      </c>
      <c r="E11" s="39">
        <v>0.68</v>
      </c>
      <c r="F11" s="107">
        <f>'Ventas Semanales'!G10+'Ventas Semanales'!L10+'Ventas Semanales'!Q10+'Ventas Semanales'!V10</f>
        <v>148088.06</v>
      </c>
      <c r="G11" s="42">
        <f t="shared" si="3"/>
        <v>0.68945217467536213</v>
      </c>
      <c r="H11" s="10">
        <f>'Ventas Semanales'!X10+'Ventas Semanales'!AC10+'Ventas Semanales'!AH10+'Ventas Semanales'!AM10</f>
        <v>249682.33</v>
      </c>
      <c r="I11" s="1">
        <f t="shared" si="4"/>
        <v>174777.63099999999</v>
      </c>
      <c r="J11" s="2">
        <v>0.7</v>
      </c>
      <c r="K11" s="3">
        <f>'Ventas Semanales'!AA10+'Ventas Semanales'!AF10+'Ventas Semanales'!AK10+'Ventas Semanales'!AP10</f>
        <v>177763.47999999998</v>
      </c>
      <c r="L11" s="42">
        <f t="shared" si="5"/>
        <v>0.71195859154310193</v>
      </c>
      <c r="M11" s="38">
        <f>'Ventas Semanales'!AR10+'Ventas Semanales'!AW10+'Ventas Semanales'!BB10+'Ventas Semanales'!BG10+'Ventas Semanales'!BL10</f>
        <v>251497.38</v>
      </c>
      <c r="N11" s="34">
        <f t="shared" si="6"/>
        <v>264072.24900000001</v>
      </c>
      <c r="O11" s="39">
        <v>1.05</v>
      </c>
      <c r="P11" s="35">
        <f>'Ventas Semanales'!AU10+'Ventas Semanales'!AZ10+'Ventas Semanales'!BE10+'Ventas Semanales'!BJ10+'Ventas Semanales'!BO10</f>
        <v>132236.29</v>
      </c>
      <c r="Q11" s="45">
        <f t="shared" si="7"/>
        <v>0.52579589497115242</v>
      </c>
      <c r="R11" s="38">
        <f>'Ventas Semanales'!BQ10+'Ventas Semanales'!BV10+'Ventas Semanales'!CA10+'Ventas Semanales'!CF10</f>
        <v>211092.92</v>
      </c>
      <c r="S11" s="34">
        <f t="shared" si="8"/>
        <v>622724.11400000006</v>
      </c>
      <c r="T11" s="39">
        <v>2.95</v>
      </c>
      <c r="U11" s="35"/>
      <c r="V11" s="47">
        <f t="shared" si="9"/>
        <v>0</v>
      </c>
      <c r="W11" s="38">
        <f>'Ventas Semanales'!CK10+'Ventas Semanales'!CP10+'Ventas Semanales'!CU10+'Ventas Semanales'!CZ10</f>
        <v>78298.559999999998</v>
      </c>
      <c r="X11" s="34">
        <f t="shared" si="10"/>
        <v>469791.36</v>
      </c>
      <c r="Y11" s="39">
        <v>6</v>
      </c>
      <c r="Z11" s="35"/>
      <c r="AA11" s="33">
        <f t="shared" si="11"/>
        <v>0</v>
      </c>
      <c r="AB11" s="38">
        <f>'Ventas Semanales'!DE10+'Ventas Semanales'!DJ10+'Ventas Semanales'!DO10+'Ventas Semanales'!DT10+'Ventas Semanales'!DY10</f>
        <v>209237.82</v>
      </c>
      <c r="AC11" s="34">
        <f t="shared" si="12"/>
        <v>502170.76799999998</v>
      </c>
      <c r="AD11" s="39">
        <v>2.4</v>
      </c>
      <c r="AE11" s="35"/>
      <c r="AF11" s="33">
        <f t="shared" si="13"/>
        <v>0</v>
      </c>
      <c r="AG11" s="38">
        <f>'Ventas Semanales'!ED10+'Ventas Semanales'!EI10+'Ventas Semanales'!EN10+'Ventas Semanales'!ES10</f>
        <v>202624.32</v>
      </c>
      <c r="AH11" s="34">
        <f t="shared" si="14"/>
        <v>344461.34399999998</v>
      </c>
      <c r="AI11" s="39">
        <v>1.7</v>
      </c>
      <c r="AJ11" s="35"/>
      <c r="AK11" s="33">
        <f t="shared" si="15"/>
        <v>0</v>
      </c>
      <c r="AL11" s="38">
        <f>'Ventas Semanales'!EX10+'Ventas Semanales'!FC10+'Ventas Semanales'!FH10+'Ventas Semanales'!FM10</f>
        <v>169959.65</v>
      </c>
      <c r="AM11" s="34">
        <f t="shared" si="16"/>
        <v>288931.40499999997</v>
      </c>
      <c r="AN11" s="39">
        <v>1.7</v>
      </c>
      <c r="AO11" s="35"/>
      <c r="AP11" s="7">
        <f t="shared" si="17"/>
        <v>0</v>
      </c>
      <c r="AQ11" s="38">
        <f>'Ventas Semanales'!FR10+'Ventas Semanales'!FW10+'Ventas Semanales'!GB10+'Ventas Semanales'!GG10+'Ventas Semanales'!GL10</f>
        <v>198081.8</v>
      </c>
      <c r="AR11" s="34">
        <f t="shared" si="18"/>
        <v>332777.42399999994</v>
      </c>
      <c r="AS11" s="39">
        <v>1.68</v>
      </c>
      <c r="AT11" s="35"/>
      <c r="AU11" s="46">
        <f t="shared" si="19"/>
        <v>0</v>
      </c>
      <c r="AV11" s="10">
        <f>'Ventas Semanales'!GQ10+'Ventas Semanales'!GV10+'Ventas Semanales'!HA10+'Ventas Semanales'!HF10</f>
        <v>148169.54</v>
      </c>
      <c r="AW11" s="34">
        <f t="shared" si="20"/>
        <v>340789.94199999998</v>
      </c>
      <c r="AX11" s="39">
        <v>2.2999999999999998</v>
      </c>
      <c r="AY11" s="3"/>
      <c r="AZ11" s="7">
        <f t="shared" si="21"/>
        <v>0</v>
      </c>
      <c r="BA11" s="6">
        <f>'Ventas Semanales'!HK10+'Ventas Semanales'!HP10+'Ventas Semanales'!HU10+'Ventas Semanales'!HZ10</f>
        <v>232565.79</v>
      </c>
      <c r="BB11" s="34">
        <f t="shared" si="22"/>
        <v>720953.94900000002</v>
      </c>
      <c r="BC11" s="39">
        <v>3.1</v>
      </c>
      <c r="BD11" s="3">
        <f>'Ventas Semanales'!HN10+'Ventas Semanales'!HS10+'Ventas Semanales'!HX10+'Ventas Semanales'!IC10</f>
        <v>0</v>
      </c>
      <c r="BE11" s="7">
        <f t="shared" si="23"/>
        <v>0</v>
      </c>
      <c r="BF11" s="10">
        <f>'Ventas Semanales'!IE10+'Ventas Semanales'!IJ10+'Ventas Semanales'!IO10+'Ventas Semanales'!IT10+'Ventas Semanales'!IY10</f>
        <v>548054.35</v>
      </c>
      <c r="BG11" s="34">
        <f t="shared" si="24"/>
        <v>767276.09</v>
      </c>
      <c r="BH11" s="39">
        <v>1.4</v>
      </c>
      <c r="BI11" s="3">
        <f>'Ventas Semanales'!IH10+'Ventas Semanales'!IM10+'Ventas Semanales'!IR10+'Ventas Semanales'!IW10+'Ventas Semanales'!JB10</f>
        <v>0</v>
      </c>
      <c r="BJ11" s="7">
        <f t="shared" si="25"/>
        <v>0</v>
      </c>
      <c r="BK11" s="51">
        <f t="shared" si="26"/>
        <v>148088.06</v>
      </c>
      <c r="BL11" s="51">
        <f t="shared" si="27"/>
        <v>146057.81880000001</v>
      </c>
      <c r="BM11" s="189">
        <f t="shared" si="28"/>
        <v>1.0139002568755326</v>
      </c>
      <c r="BN11" s="64">
        <f>'Ventas Semanales'!JD10</f>
        <v>623233.64999999991</v>
      </c>
      <c r="BO11" s="69">
        <f>'Ventas Semanales'!JE10</f>
        <v>458087.82999999996</v>
      </c>
      <c r="BP11" s="68">
        <f t="shared" si="29"/>
        <v>-165145.81999999995</v>
      </c>
      <c r="BQ11" s="66">
        <f t="shared" si="0"/>
        <v>0.73501780592238564</v>
      </c>
      <c r="BR11" s="54">
        <f t="shared" si="1"/>
        <v>4974784.0947999991</v>
      </c>
      <c r="BS11" s="54">
        <f t="shared" si="30"/>
        <v>4979800.1849999996</v>
      </c>
    </row>
    <row r="12" spans="1:71">
      <c r="B12" s="185" t="str">
        <f>"A4"</f>
        <v>A4</v>
      </c>
      <c r="C12" s="106">
        <f>'Ventas Semanales'!D11+'Ventas Semanales'!I11+'Ventas Semanales'!N11+'Ventas Semanales'!S11</f>
        <v>232687.44</v>
      </c>
      <c r="D12" s="1">
        <f t="shared" si="2"/>
        <v>158227.45920000001</v>
      </c>
      <c r="E12" s="39">
        <v>0.68</v>
      </c>
      <c r="F12" s="107">
        <f>'Ventas Semanales'!G11+'Ventas Semanales'!L11+'Ventas Semanales'!Q11+'Ventas Semanales'!V11</f>
        <v>135347.06</v>
      </c>
      <c r="G12" s="42">
        <f t="shared" si="3"/>
        <v>0.5816689547145304</v>
      </c>
      <c r="H12" s="10">
        <f>'Ventas Semanales'!X11+'Ventas Semanales'!AC11+'Ventas Semanales'!AH11+'Ventas Semanales'!AM11</f>
        <v>220511.5</v>
      </c>
      <c r="I12" s="1">
        <f t="shared" si="4"/>
        <v>154358.04999999999</v>
      </c>
      <c r="J12" s="2">
        <v>0.7</v>
      </c>
      <c r="K12" s="3">
        <f>'Ventas Semanales'!AA11+'Ventas Semanales'!AF11+'Ventas Semanales'!AK11+'Ventas Semanales'!AP11</f>
        <v>128813.4</v>
      </c>
      <c r="L12" s="42">
        <f t="shared" si="5"/>
        <v>0.58415728884888085</v>
      </c>
      <c r="M12" s="38">
        <f>'Ventas Semanales'!AR11+'Ventas Semanales'!AW11+'Ventas Semanales'!BB11+'Ventas Semanales'!BG11+'Ventas Semanales'!BL11</f>
        <v>208118.27000000002</v>
      </c>
      <c r="N12" s="34">
        <f t="shared" si="6"/>
        <v>218524.18350000004</v>
      </c>
      <c r="O12" s="39">
        <v>1.05</v>
      </c>
      <c r="P12" s="35">
        <f>'Ventas Semanales'!AU11+'Ventas Semanales'!AZ11+'Ventas Semanales'!BE11+'Ventas Semanales'!BJ11+'Ventas Semanales'!BO11</f>
        <v>90557.19</v>
      </c>
      <c r="Q12" s="45">
        <f t="shared" si="7"/>
        <v>0.4351236919276717</v>
      </c>
      <c r="R12" s="38">
        <f>'Ventas Semanales'!BQ11+'Ventas Semanales'!BV11+'Ventas Semanales'!CA11+'Ventas Semanales'!CF11</f>
        <v>81143.100000000006</v>
      </c>
      <c r="S12" s="34">
        <f t="shared" si="8"/>
        <v>239372.14500000002</v>
      </c>
      <c r="T12" s="39">
        <v>2.95</v>
      </c>
      <c r="U12" s="35"/>
      <c r="V12" s="36">
        <f t="shared" si="9"/>
        <v>0</v>
      </c>
      <c r="W12" s="38">
        <f>'Ventas Semanales'!CK11+'Ventas Semanales'!CP11+'Ventas Semanales'!CU11+'Ventas Semanales'!CZ11</f>
        <v>0</v>
      </c>
      <c r="X12" s="34">
        <f t="shared" si="10"/>
        <v>0</v>
      </c>
      <c r="Y12" s="39">
        <v>6</v>
      </c>
      <c r="Z12" s="35"/>
      <c r="AA12" s="33" t="e">
        <f t="shared" si="11"/>
        <v>#DIV/0!</v>
      </c>
      <c r="AB12" s="38">
        <f>'Ventas Semanales'!DE11+'Ventas Semanales'!DJ11+'Ventas Semanales'!DO11+'Ventas Semanales'!DT11+'Ventas Semanales'!DY11</f>
        <v>145992.76999999999</v>
      </c>
      <c r="AC12" s="34">
        <f t="shared" si="12"/>
        <v>350382.64799999999</v>
      </c>
      <c r="AD12" s="39">
        <v>2.4</v>
      </c>
      <c r="AE12" s="35"/>
      <c r="AF12" s="33">
        <f t="shared" si="13"/>
        <v>0</v>
      </c>
      <c r="AG12" s="38">
        <f>'Ventas Semanales'!ED11+'Ventas Semanales'!EI11+'Ventas Semanales'!EN11+'Ventas Semanales'!ES11</f>
        <v>147621.4</v>
      </c>
      <c r="AH12" s="34">
        <f t="shared" si="14"/>
        <v>250956.37999999998</v>
      </c>
      <c r="AI12" s="39">
        <v>1.7</v>
      </c>
      <c r="AJ12" s="35"/>
      <c r="AK12" s="33">
        <f t="shared" si="15"/>
        <v>0</v>
      </c>
      <c r="AL12" s="38">
        <f>'Ventas Semanales'!EX11+'Ventas Semanales'!FC11+'Ventas Semanales'!FH11+'Ventas Semanales'!FM11</f>
        <v>152953.84</v>
      </c>
      <c r="AM12" s="34">
        <f t="shared" si="16"/>
        <v>260021.52799999999</v>
      </c>
      <c r="AN12" s="39">
        <v>1.7</v>
      </c>
      <c r="AO12" s="35"/>
      <c r="AP12" s="7">
        <f t="shared" si="17"/>
        <v>0</v>
      </c>
      <c r="AQ12" s="38">
        <f>'Ventas Semanales'!FR11+'Ventas Semanales'!FW11+'Ventas Semanales'!GB11+'Ventas Semanales'!GG11+'Ventas Semanales'!GL11</f>
        <v>178243.66</v>
      </c>
      <c r="AR12" s="34">
        <f t="shared" si="18"/>
        <v>299449.34879999998</v>
      </c>
      <c r="AS12" s="39">
        <v>1.68</v>
      </c>
      <c r="AT12" s="35"/>
      <c r="AU12" s="46">
        <f t="shared" si="19"/>
        <v>0</v>
      </c>
      <c r="AV12" s="10">
        <f>'Ventas Semanales'!GQ11+'Ventas Semanales'!GV11+'Ventas Semanales'!HA11+'Ventas Semanales'!HF11</f>
        <v>97225.81</v>
      </c>
      <c r="AW12" s="34">
        <f t="shared" si="20"/>
        <v>223619.36299999998</v>
      </c>
      <c r="AX12" s="39">
        <v>2.2999999999999998</v>
      </c>
      <c r="AY12" s="3"/>
      <c r="AZ12" s="7">
        <f t="shared" si="21"/>
        <v>0</v>
      </c>
      <c r="BA12" s="6">
        <f>'Ventas Semanales'!HK11+'Ventas Semanales'!HP11+'Ventas Semanales'!HU11+'Ventas Semanales'!HZ11</f>
        <v>68179.240000000005</v>
      </c>
      <c r="BB12" s="34">
        <f t="shared" si="22"/>
        <v>211355.64400000003</v>
      </c>
      <c r="BC12" s="39">
        <v>3.1</v>
      </c>
      <c r="BD12" s="3">
        <f>'Ventas Semanales'!HN11+'Ventas Semanales'!HS11+'Ventas Semanales'!HX11+'Ventas Semanales'!IC11</f>
        <v>0</v>
      </c>
      <c r="BE12" s="7">
        <f t="shared" si="23"/>
        <v>0</v>
      </c>
      <c r="BF12" s="10">
        <f>'Ventas Semanales'!IE11+'Ventas Semanales'!IJ11+'Ventas Semanales'!IO11+'Ventas Semanales'!IT11+'Ventas Semanales'!IY11</f>
        <v>445681.83999999997</v>
      </c>
      <c r="BG12" s="34">
        <f t="shared" si="24"/>
        <v>623954.57599999988</v>
      </c>
      <c r="BH12" s="39">
        <v>1.4</v>
      </c>
      <c r="BI12" s="3">
        <f>'Ventas Semanales'!IH11+'Ventas Semanales'!IM11+'Ventas Semanales'!IR11+'Ventas Semanales'!IW11+'Ventas Semanales'!JB11</f>
        <v>0</v>
      </c>
      <c r="BJ12" s="7">
        <f t="shared" si="25"/>
        <v>0</v>
      </c>
      <c r="BK12" s="51">
        <f t="shared" si="26"/>
        <v>135347.06</v>
      </c>
      <c r="BL12" s="51">
        <f t="shared" si="27"/>
        <v>158227.45920000001</v>
      </c>
      <c r="BM12" s="189">
        <f t="shared" si="28"/>
        <v>0.85539552163901511</v>
      </c>
      <c r="BN12" s="64">
        <f>'Ventas Semanales'!JD11</f>
        <v>589375.11</v>
      </c>
      <c r="BO12" s="69">
        <f>'Ventas Semanales'!JE11</f>
        <v>354717.65</v>
      </c>
      <c r="BP12" s="68">
        <f t="shared" si="29"/>
        <v>-234657.45999999996</v>
      </c>
      <c r="BQ12" s="66">
        <f t="shared" si="0"/>
        <v>0.60185380071445505</v>
      </c>
      <c r="BR12" s="54">
        <f t="shared" si="1"/>
        <v>2990221.3254999998</v>
      </c>
      <c r="BS12" s="54">
        <f t="shared" si="30"/>
        <v>2941796.2762999996</v>
      </c>
    </row>
    <row r="13" spans="1:71" ht="16.5" customHeight="1">
      <c r="B13" s="185" t="str">
        <f>"A5"</f>
        <v>A5</v>
      </c>
      <c r="C13" s="106">
        <f>'Ventas Semanales'!D12+'Ventas Semanales'!I12+'Ventas Semanales'!N12+'Ventas Semanales'!S12</f>
        <v>239309.32000000004</v>
      </c>
      <c r="D13" s="1">
        <f t="shared" si="2"/>
        <v>162730.33760000003</v>
      </c>
      <c r="E13" s="39">
        <v>0.68</v>
      </c>
      <c r="F13" s="107">
        <f>'Ventas Semanales'!G12+'Ventas Semanales'!L12+'Ventas Semanales'!Q12+'Ventas Semanales'!V12</f>
        <v>167237.32999999999</v>
      </c>
      <c r="G13" s="42">
        <f t="shared" si="3"/>
        <v>0.69883333419692961</v>
      </c>
      <c r="H13" s="10">
        <f>'Ventas Semanales'!X12+'Ventas Semanales'!AC12+'Ventas Semanales'!AH12+'Ventas Semanales'!AM12</f>
        <v>253857.63</v>
      </c>
      <c r="I13" s="1">
        <f t="shared" si="4"/>
        <v>177700.34099999999</v>
      </c>
      <c r="J13" s="2">
        <v>0.7</v>
      </c>
      <c r="K13" s="3">
        <f>'Ventas Semanales'!AA12+'Ventas Semanales'!AF12+'Ventas Semanales'!AK12+'Ventas Semanales'!AP12</f>
        <v>172981.18</v>
      </c>
      <c r="L13" s="42">
        <f t="shared" si="5"/>
        <v>0.68141020618525427</v>
      </c>
      <c r="M13" s="38">
        <f>'Ventas Semanales'!AR12+'Ventas Semanales'!AW12+'Ventas Semanales'!BB12+'Ventas Semanales'!BG12+'Ventas Semanales'!BL12</f>
        <v>218140.67</v>
      </c>
      <c r="N13" s="34">
        <f t="shared" si="6"/>
        <v>229047.70350000003</v>
      </c>
      <c r="O13" s="39">
        <v>1.05</v>
      </c>
      <c r="P13" s="35">
        <f>'Ventas Semanales'!AU12+'Ventas Semanales'!AZ12+'Ventas Semanales'!BE12+'Ventas Semanales'!BJ12+'Ventas Semanales'!BO12</f>
        <v>155984.26999999999</v>
      </c>
      <c r="Q13" s="45">
        <f t="shared" si="7"/>
        <v>0.7150627620241562</v>
      </c>
      <c r="R13" s="38">
        <f>'Ventas Semanales'!BQ12+'Ventas Semanales'!BV12+'Ventas Semanales'!CA12+'Ventas Semanales'!CF12</f>
        <v>181731.40999999997</v>
      </c>
      <c r="S13" s="34">
        <f t="shared" si="8"/>
        <v>536107.65949999995</v>
      </c>
      <c r="T13" s="39">
        <v>2.95</v>
      </c>
      <c r="U13" s="35"/>
      <c r="V13" s="33">
        <f t="shared" si="9"/>
        <v>0</v>
      </c>
      <c r="W13" s="38">
        <f>'Ventas Semanales'!CK12+'Ventas Semanales'!CP12+'Ventas Semanales'!CU12+'Ventas Semanales'!CZ12</f>
        <v>63859.880000000005</v>
      </c>
      <c r="X13" s="34">
        <f t="shared" si="10"/>
        <v>383159.28</v>
      </c>
      <c r="Y13" s="39">
        <v>6</v>
      </c>
      <c r="Z13" s="35"/>
      <c r="AA13" s="33">
        <f t="shared" si="11"/>
        <v>0</v>
      </c>
      <c r="AB13" s="38">
        <f>'Ventas Semanales'!DE12+'Ventas Semanales'!DJ12+'Ventas Semanales'!DO12+'Ventas Semanales'!DT12+'Ventas Semanales'!DY12</f>
        <v>179854.97</v>
      </c>
      <c r="AC13" s="34">
        <f t="shared" si="12"/>
        <v>431651.92800000001</v>
      </c>
      <c r="AD13" s="39">
        <v>2.4</v>
      </c>
      <c r="AE13" s="35"/>
      <c r="AF13" s="33">
        <f t="shared" si="13"/>
        <v>0</v>
      </c>
      <c r="AG13" s="38">
        <f>'Ventas Semanales'!ED12+'Ventas Semanales'!EI12+'Ventas Semanales'!EN12+'Ventas Semanales'!ES12</f>
        <v>187051.07</v>
      </c>
      <c r="AH13" s="34">
        <f t="shared" si="14"/>
        <v>317986.81900000002</v>
      </c>
      <c r="AI13" s="39">
        <v>1.7</v>
      </c>
      <c r="AJ13" s="35"/>
      <c r="AK13" s="33">
        <f t="shared" si="15"/>
        <v>0</v>
      </c>
      <c r="AL13" s="38">
        <f>'Ventas Semanales'!EX12+'Ventas Semanales'!FC12+'Ventas Semanales'!FH12+'Ventas Semanales'!FM12</f>
        <v>193833.37</v>
      </c>
      <c r="AM13" s="34">
        <f t="shared" si="16"/>
        <v>329516.72899999999</v>
      </c>
      <c r="AN13" s="39">
        <v>1.7</v>
      </c>
      <c r="AO13" s="35"/>
      <c r="AP13" s="7">
        <f t="shared" si="17"/>
        <v>0</v>
      </c>
      <c r="AQ13" s="38">
        <f>'Ventas Semanales'!FR12+'Ventas Semanales'!FW12+'Ventas Semanales'!GB12+'Ventas Semanales'!GG12+'Ventas Semanales'!GL12</f>
        <v>243391.29000000004</v>
      </c>
      <c r="AR13" s="34">
        <f t="shared" si="18"/>
        <v>408897.36720000004</v>
      </c>
      <c r="AS13" s="39">
        <v>1.68</v>
      </c>
      <c r="AT13" s="35"/>
      <c r="AU13" s="46">
        <f t="shared" si="19"/>
        <v>0</v>
      </c>
      <c r="AV13" s="10">
        <f>'Ventas Semanales'!GQ12+'Ventas Semanales'!GV12+'Ventas Semanales'!HA12+'Ventas Semanales'!HF12</f>
        <v>140869.64000000001</v>
      </c>
      <c r="AW13" s="34">
        <f t="shared" si="20"/>
        <v>324000.17200000002</v>
      </c>
      <c r="AX13" s="39">
        <v>2.2999999999999998</v>
      </c>
      <c r="AY13" s="3"/>
      <c r="AZ13" s="7">
        <f t="shared" si="21"/>
        <v>0</v>
      </c>
      <c r="BA13" s="6">
        <f>'Ventas Semanales'!HK12+'Ventas Semanales'!HP12+'Ventas Semanales'!HU12+'Ventas Semanales'!HZ12</f>
        <v>76831.59</v>
      </c>
      <c r="BB13" s="34">
        <f t="shared" si="22"/>
        <v>238177.929</v>
      </c>
      <c r="BC13" s="39">
        <v>3.1</v>
      </c>
      <c r="BD13" s="3">
        <f>'Ventas Semanales'!HN12+'Ventas Semanales'!HS12+'Ventas Semanales'!HX12+'Ventas Semanales'!IC12</f>
        <v>0</v>
      </c>
      <c r="BE13" s="7">
        <f t="shared" si="23"/>
        <v>0</v>
      </c>
      <c r="BF13" s="10">
        <f>'Ventas Semanales'!IE12+'Ventas Semanales'!IJ12+'Ventas Semanales'!IO12+'Ventas Semanales'!IT12+'Ventas Semanales'!IY12</f>
        <v>650993.52999999991</v>
      </c>
      <c r="BG13" s="34">
        <f t="shared" si="24"/>
        <v>911390.94199999981</v>
      </c>
      <c r="BH13" s="39">
        <v>1.4</v>
      </c>
      <c r="BI13" s="3">
        <f>'Ventas Semanales'!IH12+'Ventas Semanales'!IM12+'Ventas Semanales'!IR12+'Ventas Semanales'!IW12+'Ventas Semanales'!JB12</f>
        <v>0</v>
      </c>
      <c r="BJ13" s="7">
        <f t="shared" si="25"/>
        <v>0</v>
      </c>
      <c r="BK13" s="51">
        <f t="shared" si="26"/>
        <v>167237.32999999999</v>
      </c>
      <c r="BL13" s="51">
        <f t="shared" si="27"/>
        <v>162730.33760000003</v>
      </c>
      <c r="BM13" s="189">
        <f t="shared" si="28"/>
        <v>1.027696079701367</v>
      </c>
      <c r="BN13" s="64">
        <f>'Ventas Semanales'!JD12</f>
        <v>645500.92000000004</v>
      </c>
      <c r="BO13" s="69">
        <f>'Ventas Semanales'!JE12</f>
        <v>496202.77999999997</v>
      </c>
      <c r="BP13" s="68">
        <f t="shared" si="29"/>
        <v>-149298.14000000007</v>
      </c>
      <c r="BQ13" s="66">
        <f t="shared" si="0"/>
        <v>0.76870964025891697</v>
      </c>
      <c r="BR13" s="54">
        <f t="shared" si="1"/>
        <v>4450367.2078000009</v>
      </c>
      <c r="BS13" s="54">
        <f t="shared" si="30"/>
        <v>4450155.0392000005</v>
      </c>
    </row>
    <row r="14" spans="1:71">
      <c r="B14" s="185" t="str">
        <f>"A6"</f>
        <v>A6</v>
      </c>
      <c r="C14" s="106">
        <f>'Ventas Semanales'!D13+'Ventas Semanales'!I13+'Ventas Semanales'!N13+'Ventas Semanales'!S13</f>
        <v>385826.37999999995</v>
      </c>
      <c r="D14" s="1">
        <f t="shared" si="2"/>
        <v>262361.93839999998</v>
      </c>
      <c r="E14" s="39">
        <v>0.68</v>
      </c>
      <c r="F14" s="107">
        <f>'Ventas Semanales'!G13+'Ventas Semanales'!L13+'Ventas Semanales'!Q13+'Ventas Semanales'!V13</f>
        <v>259270.28999999998</v>
      </c>
      <c r="G14" s="42">
        <f t="shared" si="3"/>
        <v>0.67198694397205294</v>
      </c>
      <c r="H14" s="10">
        <f>'Ventas Semanales'!X13+'Ventas Semanales'!AC13+'Ventas Semanales'!AH13+'Ventas Semanales'!AM13</f>
        <v>445804.4</v>
      </c>
      <c r="I14" s="1">
        <f t="shared" si="4"/>
        <v>312063.08</v>
      </c>
      <c r="J14" s="2">
        <v>0.7</v>
      </c>
      <c r="K14" s="3">
        <f>'Ventas Semanales'!AA13+'Ventas Semanales'!AF13+'Ventas Semanales'!AK13+'Ventas Semanales'!AP13</f>
        <v>294144.26</v>
      </c>
      <c r="L14" s="42">
        <f t="shared" si="5"/>
        <v>0.65980564570470812</v>
      </c>
      <c r="M14" s="38">
        <f>'Ventas Semanales'!AR13+'Ventas Semanales'!AW13+'Ventas Semanales'!BB13+'Ventas Semanales'!BG13+'Ventas Semanales'!BL13</f>
        <v>404441.77</v>
      </c>
      <c r="N14" s="34">
        <f t="shared" si="6"/>
        <v>424663.85850000003</v>
      </c>
      <c r="O14" s="39">
        <v>1.05</v>
      </c>
      <c r="P14" s="35">
        <f>'Ventas Semanales'!AU13+'Ventas Semanales'!AZ13+'Ventas Semanales'!BE13+'Ventas Semanales'!BJ13+'Ventas Semanales'!BO13</f>
        <v>198649.93000000002</v>
      </c>
      <c r="Q14" s="45">
        <f t="shared" si="7"/>
        <v>0.49117065727409909</v>
      </c>
      <c r="R14" s="38">
        <f>'Ventas Semanales'!BQ13+'Ventas Semanales'!BV13+'Ventas Semanales'!CA13+'Ventas Semanales'!CF13</f>
        <v>97228.479999999996</v>
      </c>
      <c r="S14" s="34">
        <f t="shared" si="8"/>
        <v>286824.016</v>
      </c>
      <c r="T14" s="39">
        <v>2.95</v>
      </c>
      <c r="U14" s="35"/>
      <c r="V14" s="33">
        <f t="shared" si="9"/>
        <v>0</v>
      </c>
      <c r="W14" s="38">
        <f>'Ventas Semanales'!CK13+'Ventas Semanales'!CP13+'Ventas Semanales'!CU13+'Ventas Semanales'!CZ13</f>
        <v>0</v>
      </c>
      <c r="X14" s="34">
        <f t="shared" si="10"/>
        <v>0</v>
      </c>
      <c r="Y14" s="39">
        <v>6</v>
      </c>
      <c r="Z14" s="35"/>
      <c r="AA14" s="33" t="e">
        <f t="shared" si="11"/>
        <v>#DIV/0!</v>
      </c>
      <c r="AB14" s="38">
        <f>'Ventas Semanales'!DE13+'Ventas Semanales'!DJ13+'Ventas Semanales'!DO13+'Ventas Semanales'!DT13+'Ventas Semanales'!DY13</f>
        <v>228903.81</v>
      </c>
      <c r="AC14" s="34">
        <f t="shared" si="12"/>
        <v>549369.14399999997</v>
      </c>
      <c r="AD14" s="39">
        <v>2.4</v>
      </c>
      <c r="AE14" s="35"/>
      <c r="AF14" s="33">
        <f t="shared" si="13"/>
        <v>0</v>
      </c>
      <c r="AG14" s="38">
        <f>'Ventas Semanales'!ED13+'Ventas Semanales'!EI13+'Ventas Semanales'!EN13+'Ventas Semanales'!ES13</f>
        <v>287770.2</v>
      </c>
      <c r="AH14" s="34">
        <f t="shared" si="14"/>
        <v>489209.34</v>
      </c>
      <c r="AI14" s="39">
        <v>1.7</v>
      </c>
      <c r="AJ14" s="35"/>
      <c r="AK14" s="33">
        <f t="shared" si="15"/>
        <v>0</v>
      </c>
      <c r="AL14" s="38">
        <f>'Ventas Semanales'!EX13+'Ventas Semanales'!FC13+'Ventas Semanales'!FH13+'Ventas Semanales'!FM13</f>
        <v>266855.01999999996</v>
      </c>
      <c r="AM14" s="34">
        <f t="shared" si="16"/>
        <v>453653.53399999993</v>
      </c>
      <c r="AN14" s="39">
        <v>1.7</v>
      </c>
      <c r="AO14" s="35"/>
      <c r="AP14" s="7">
        <f t="shared" si="17"/>
        <v>0</v>
      </c>
      <c r="AQ14" s="38">
        <f>'Ventas Semanales'!FR13+'Ventas Semanales'!FW13+'Ventas Semanales'!GB13+'Ventas Semanales'!GG13+'Ventas Semanales'!GL13</f>
        <v>438812.49</v>
      </c>
      <c r="AR14" s="34">
        <f t="shared" si="18"/>
        <v>737204.9831999999</v>
      </c>
      <c r="AS14" s="39">
        <v>1.68</v>
      </c>
      <c r="AT14" s="35"/>
      <c r="AU14" s="46">
        <f t="shared" si="19"/>
        <v>0</v>
      </c>
      <c r="AV14" s="10">
        <f>'Ventas Semanales'!GQ13+'Ventas Semanales'!GV13+'Ventas Semanales'!HA13+'Ventas Semanales'!HF13</f>
        <v>212363.39</v>
      </c>
      <c r="AW14" s="34">
        <f t="shared" si="20"/>
        <v>488435.79700000002</v>
      </c>
      <c r="AX14" s="39">
        <v>2.2999999999999998</v>
      </c>
      <c r="AY14" s="3"/>
      <c r="AZ14" s="7">
        <f t="shared" si="21"/>
        <v>0</v>
      </c>
      <c r="BA14" s="6">
        <f>'Ventas Semanales'!HK13+'Ventas Semanales'!HP13+'Ventas Semanales'!HU13+'Ventas Semanales'!HZ13</f>
        <v>232825.55</v>
      </c>
      <c r="BB14" s="34">
        <f t="shared" si="22"/>
        <v>721759.20499999996</v>
      </c>
      <c r="BC14" s="39">
        <v>3.1</v>
      </c>
      <c r="BD14" s="3">
        <f>'Ventas Semanales'!HN13+'Ventas Semanales'!HS13+'Ventas Semanales'!HX13+'Ventas Semanales'!IC13</f>
        <v>0</v>
      </c>
      <c r="BE14" s="7">
        <f t="shared" si="23"/>
        <v>0</v>
      </c>
      <c r="BF14" s="10">
        <f>'Ventas Semanales'!IE13+'Ventas Semanales'!IJ13+'Ventas Semanales'!IO13+'Ventas Semanales'!IT13+'Ventas Semanales'!IY13</f>
        <v>1167304.8</v>
      </c>
      <c r="BG14" s="34">
        <f t="shared" si="24"/>
        <v>1634226.72</v>
      </c>
      <c r="BH14" s="39">
        <v>1.4</v>
      </c>
      <c r="BI14" s="3">
        <f>'Ventas Semanales'!IH13+'Ventas Semanales'!IM13+'Ventas Semanales'!IR13+'Ventas Semanales'!IW13+'Ventas Semanales'!JB13</f>
        <v>0</v>
      </c>
      <c r="BJ14" s="7">
        <f t="shared" si="25"/>
        <v>0</v>
      </c>
      <c r="BK14" s="51">
        <f t="shared" si="26"/>
        <v>259270.28999999998</v>
      </c>
      <c r="BL14" s="51">
        <f t="shared" si="27"/>
        <v>262361.93839999998</v>
      </c>
      <c r="BM14" s="189">
        <f t="shared" si="28"/>
        <v>0.98821609407654842</v>
      </c>
      <c r="BN14" s="64">
        <f>'Ventas Semanales'!JD13</f>
        <v>1114110.79</v>
      </c>
      <c r="BO14" s="69">
        <f>'Ventas Semanales'!JE13</f>
        <v>752064.4800000001</v>
      </c>
      <c r="BP14" s="68">
        <f t="shared" si="29"/>
        <v>-362046.30999999994</v>
      </c>
      <c r="BQ14" s="66">
        <f t="shared" si="0"/>
        <v>0.6750356308819162</v>
      </c>
      <c r="BR14" s="54">
        <f t="shared" si="1"/>
        <v>6359771.6161000002</v>
      </c>
      <c r="BS14" s="54">
        <f t="shared" si="30"/>
        <v>6338761.1476999996</v>
      </c>
    </row>
    <row r="15" spans="1:71">
      <c r="B15" s="185" t="str">
        <f>"A8"</f>
        <v>A8</v>
      </c>
      <c r="C15" s="106">
        <f>'Ventas Semanales'!D14+'Ventas Semanales'!I14+'Ventas Semanales'!N14+'Ventas Semanales'!S14</f>
        <v>284136.20999999996</v>
      </c>
      <c r="D15" s="1">
        <f t="shared" si="2"/>
        <v>193212.62279999998</v>
      </c>
      <c r="E15" s="39">
        <v>0.68</v>
      </c>
      <c r="F15" s="107">
        <f>'Ventas Semanales'!G14+'Ventas Semanales'!L14+'Ventas Semanales'!Q14+'Ventas Semanales'!V14</f>
        <v>209126.28</v>
      </c>
      <c r="G15" s="42">
        <f t="shared" si="3"/>
        <v>0.73600714248986432</v>
      </c>
      <c r="H15" s="10">
        <f>'Ventas Semanales'!X14+'Ventas Semanales'!AC14+'Ventas Semanales'!AH14+'Ventas Semanales'!AM14</f>
        <v>355045.67000000004</v>
      </c>
      <c r="I15" s="1">
        <f t="shared" si="4"/>
        <v>248531.96900000001</v>
      </c>
      <c r="J15" s="2">
        <v>0.7</v>
      </c>
      <c r="K15" s="3">
        <f>'Ventas Semanales'!AA14+'Ventas Semanales'!AF14+'Ventas Semanales'!AK14+'Ventas Semanales'!AP14</f>
        <v>249401.02</v>
      </c>
      <c r="L15" s="42">
        <f t="shared" si="5"/>
        <v>0.7024477160924113</v>
      </c>
      <c r="M15" s="38">
        <f>'Ventas Semanales'!AR14+'Ventas Semanales'!AW14+'Ventas Semanales'!BB14+'Ventas Semanales'!BG14+'Ventas Semanales'!BL14</f>
        <v>230113.79</v>
      </c>
      <c r="N15" s="34">
        <f t="shared" si="6"/>
        <v>241619.47950000002</v>
      </c>
      <c r="O15" s="39">
        <v>1.05</v>
      </c>
      <c r="P15" s="35">
        <f>'Ventas Semanales'!AU14+'Ventas Semanales'!AZ14+'Ventas Semanales'!BE14+'Ventas Semanales'!BJ14+'Ventas Semanales'!BO14</f>
        <v>205138.26</v>
      </c>
      <c r="Q15" s="45">
        <f t="shared" si="7"/>
        <v>0.89146443592102842</v>
      </c>
      <c r="R15" s="38">
        <f>'Ventas Semanales'!BQ14+'Ventas Semanales'!BV14+'Ventas Semanales'!CA14+'Ventas Semanales'!CF14</f>
        <v>0</v>
      </c>
      <c r="S15" s="34">
        <f t="shared" si="8"/>
        <v>0</v>
      </c>
      <c r="T15" s="39">
        <v>2.95</v>
      </c>
      <c r="U15" s="35"/>
      <c r="V15" s="33" t="e">
        <f t="shared" si="9"/>
        <v>#DIV/0!</v>
      </c>
      <c r="W15" s="38">
        <f>'Ventas Semanales'!CK14+'Ventas Semanales'!CP14+'Ventas Semanales'!CU14+'Ventas Semanales'!CZ14</f>
        <v>0</v>
      </c>
      <c r="X15" s="34">
        <f t="shared" si="10"/>
        <v>0</v>
      </c>
      <c r="Y15" s="39">
        <v>6</v>
      </c>
      <c r="Z15" s="35"/>
      <c r="AA15" s="33" t="e">
        <f t="shared" si="11"/>
        <v>#DIV/0!</v>
      </c>
      <c r="AB15" s="38">
        <f>'Ventas Semanales'!DE14+'Ventas Semanales'!DJ14+'Ventas Semanales'!DO14+'Ventas Semanales'!DT14+'Ventas Semanales'!DY14</f>
        <v>0</v>
      </c>
      <c r="AC15" s="34">
        <f t="shared" si="12"/>
        <v>0</v>
      </c>
      <c r="AD15" s="39">
        <v>2.4</v>
      </c>
      <c r="AE15" s="35"/>
      <c r="AF15" s="33" t="e">
        <f t="shared" si="13"/>
        <v>#DIV/0!</v>
      </c>
      <c r="AG15" s="38">
        <f>'Ventas Semanales'!ED14+'Ventas Semanales'!EI14+'Ventas Semanales'!EN14+'Ventas Semanales'!ES14</f>
        <v>0</v>
      </c>
      <c r="AH15" s="34">
        <f t="shared" si="14"/>
        <v>0</v>
      </c>
      <c r="AI15" s="39">
        <v>1.7</v>
      </c>
      <c r="AJ15" s="35"/>
      <c r="AK15" s="33" t="e">
        <f t="shared" si="15"/>
        <v>#DIV/0!</v>
      </c>
      <c r="AL15" s="38">
        <f>'Ventas Semanales'!EX14+'Ventas Semanales'!FC14+'Ventas Semanales'!FH14+'Ventas Semanales'!FM14</f>
        <v>46757.07</v>
      </c>
      <c r="AM15" s="34">
        <f t="shared" si="16"/>
        <v>79487.019</v>
      </c>
      <c r="AN15" s="39">
        <v>1.7</v>
      </c>
      <c r="AO15" s="35"/>
      <c r="AP15" s="7">
        <f t="shared" si="17"/>
        <v>0</v>
      </c>
      <c r="AQ15" s="38">
        <f>'Ventas Semanales'!FR14+'Ventas Semanales'!FW14+'Ventas Semanales'!GB14+'Ventas Semanales'!GG14+'Ventas Semanales'!GL14</f>
        <v>125355.86</v>
      </c>
      <c r="AR15" s="34">
        <f t="shared" si="18"/>
        <v>210597.84479999999</v>
      </c>
      <c r="AS15" s="39">
        <v>1.68</v>
      </c>
      <c r="AT15" s="35"/>
      <c r="AU15" s="46">
        <f t="shared" si="19"/>
        <v>0</v>
      </c>
      <c r="AV15" s="10">
        <f>'Ventas Semanales'!GQ14+'Ventas Semanales'!GV14+'Ventas Semanales'!HA14+'Ventas Semanales'!HF14</f>
        <v>91725.22</v>
      </c>
      <c r="AW15" s="34">
        <f t="shared" si="20"/>
        <v>210968.00599999999</v>
      </c>
      <c r="AX15" s="39">
        <v>2.2999999999999998</v>
      </c>
      <c r="AY15" s="3"/>
      <c r="AZ15" s="7">
        <f t="shared" si="21"/>
        <v>0</v>
      </c>
      <c r="BA15" s="6">
        <f>'Ventas Semanales'!HK14+'Ventas Semanales'!HP14+'Ventas Semanales'!HU14+'Ventas Semanales'!HZ14</f>
        <v>30851.15</v>
      </c>
      <c r="BB15" s="34">
        <f t="shared" si="22"/>
        <v>95638.565000000002</v>
      </c>
      <c r="BC15" s="39">
        <v>3.1</v>
      </c>
      <c r="BD15" s="3">
        <f>'Ventas Semanales'!HN14+'Ventas Semanales'!HS14+'Ventas Semanales'!HX14+'Ventas Semanales'!IC14</f>
        <v>0</v>
      </c>
      <c r="BE15" s="7">
        <f t="shared" si="23"/>
        <v>0</v>
      </c>
      <c r="BF15" s="10">
        <f>'Ventas Semanales'!IE14+'Ventas Semanales'!IJ14+'Ventas Semanales'!IO14+'Ventas Semanales'!IT14+'Ventas Semanales'!IY14</f>
        <v>736199.4</v>
      </c>
      <c r="BG15" s="34">
        <f t="shared" si="24"/>
        <v>1030679.1599999999</v>
      </c>
      <c r="BH15" s="39">
        <v>1.4</v>
      </c>
      <c r="BI15" s="3">
        <f>'Ventas Semanales'!IH14+'Ventas Semanales'!IM14+'Ventas Semanales'!IR14+'Ventas Semanales'!IW14+'Ventas Semanales'!JB14</f>
        <v>0</v>
      </c>
      <c r="BJ15" s="7">
        <f t="shared" si="25"/>
        <v>0</v>
      </c>
      <c r="BK15" s="51">
        <f t="shared" si="26"/>
        <v>209126.28</v>
      </c>
      <c r="BL15" s="51">
        <f t="shared" si="27"/>
        <v>193212.62279999998</v>
      </c>
      <c r="BM15" s="189">
        <f t="shared" si="28"/>
        <v>1.0823634448380357</v>
      </c>
      <c r="BN15" s="64">
        <f>'Ventas Semanales'!JD14</f>
        <v>858788.73999999987</v>
      </c>
      <c r="BO15" s="69">
        <f>'Ventas Semanales'!JE14</f>
        <v>663665.56000000006</v>
      </c>
      <c r="BP15" s="68">
        <f t="shared" si="29"/>
        <v>-195123.17999999982</v>
      </c>
      <c r="BQ15" s="66">
        <f t="shared" si="0"/>
        <v>0.77279257294407488</v>
      </c>
      <c r="BR15" s="54">
        <f t="shared" si="1"/>
        <v>2310734.6661</v>
      </c>
      <c r="BS15" s="54">
        <f t="shared" si="30"/>
        <v>2327517.3742999998</v>
      </c>
    </row>
    <row r="16" spans="1:71">
      <c r="B16" s="185" t="str">
        <f>"A9"</f>
        <v>A9</v>
      </c>
      <c r="C16" s="106">
        <f>'Ventas Semanales'!D15+'Ventas Semanales'!I15+'Ventas Semanales'!N15+'Ventas Semanales'!S15</f>
        <v>249937.83000000002</v>
      </c>
      <c r="D16" s="1">
        <f t="shared" si="2"/>
        <v>169957.72440000004</v>
      </c>
      <c r="E16" s="39">
        <v>0.68</v>
      </c>
      <c r="F16" s="107">
        <f>'Ventas Semanales'!G15+'Ventas Semanales'!L15+'Ventas Semanales'!Q15+'Ventas Semanales'!V15</f>
        <v>184284.71999999997</v>
      </c>
      <c r="G16" s="42">
        <f t="shared" si="3"/>
        <v>0.73732223729397006</v>
      </c>
      <c r="H16" s="10">
        <f>'Ventas Semanales'!X15+'Ventas Semanales'!AC15+'Ventas Semanales'!AH15+'Ventas Semanales'!AM15</f>
        <v>250941.64</v>
      </c>
      <c r="I16" s="1">
        <f t="shared" si="4"/>
        <v>175659.14799999999</v>
      </c>
      <c r="J16" s="2">
        <v>0.7</v>
      </c>
      <c r="K16" s="3">
        <f>'Ventas Semanales'!AA15+'Ventas Semanales'!AF15+'Ventas Semanales'!AK15+'Ventas Semanales'!AP15</f>
        <v>225991.03</v>
      </c>
      <c r="L16" s="42">
        <f t="shared" si="5"/>
        <v>0.9005720612968019</v>
      </c>
      <c r="M16" s="38">
        <f>'Ventas Semanales'!AR15+'Ventas Semanales'!AW15+'Ventas Semanales'!BB15+'Ventas Semanales'!BG15+'Ventas Semanales'!BL15</f>
        <v>258591.05</v>
      </c>
      <c r="N16" s="34">
        <f t="shared" si="6"/>
        <v>271520.60249999998</v>
      </c>
      <c r="O16" s="39">
        <v>1.05</v>
      </c>
      <c r="P16" s="35">
        <f>'Ventas Semanales'!AU15+'Ventas Semanales'!AZ15+'Ventas Semanales'!BE15+'Ventas Semanales'!BJ15+'Ventas Semanales'!BO15</f>
        <v>156326.02000000002</v>
      </c>
      <c r="Q16" s="45">
        <f t="shared" si="7"/>
        <v>0.60452989382269817</v>
      </c>
      <c r="R16" s="38">
        <f>'Ventas Semanales'!BQ15+'Ventas Semanales'!BV15+'Ventas Semanales'!CA15+'Ventas Semanales'!CF15</f>
        <v>190351.45</v>
      </c>
      <c r="S16" s="34">
        <f t="shared" si="8"/>
        <v>561536.77750000008</v>
      </c>
      <c r="T16" s="39">
        <v>2.95</v>
      </c>
      <c r="U16" s="35"/>
      <c r="V16" s="33">
        <f t="shared" si="9"/>
        <v>0</v>
      </c>
      <c r="W16" s="38">
        <f>'Ventas Semanales'!CK15+'Ventas Semanales'!CP15+'Ventas Semanales'!CU15+'Ventas Semanales'!CZ15</f>
        <v>153631.56</v>
      </c>
      <c r="X16" s="34">
        <f t="shared" si="10"/>
        <v>921789.36</v>
      </c>
      <c r="Y16" s="39">
        <v>6</v>
      </c>
      <c r="Z16" s="35"/>
      <c r="AA16" s="33">
        <f t="shared" si="11"/>
        <v>0</v>
      </c>
      <c r="AB16" s="38">
        <f>'Ventas Semanales'!DE15+'Ventas Semanales'!DJ15+'Ventas Semanales'!DO15+'Ventas Semanales'!DT15+'Ventas Semanales'!DY15</f>
        <v>233598.99</v>
      </c>
      <c r="AC16" s="34">
        <f t="shared" si="12"/>
        <v>560637.576</v>
      </c>
      <c r="AD16" s="39">
        <v>2.4</v>
      </c>
      <c r="AE16" s="35"/>
      <c r="AF16" s="33">
        <f t="shared" si="13"/>
        <v>0</v>
      </c>
      <c r="AG16" s="38">
        <f>'Ventas Semanales'!ED15+'Ventas Semanales'!EI15+'Ventas Semanales'!EN15+'Ventas Semanales'!ES15</f>
        <v>264521.05000000005</v>
      </c>
      <c r="AH16" s="34">
        <f t="shared" si="14"/>
        <v>449685.78500000009</v>
      </c>
      <c r="AI16" s="39">
        <v>1.7</v>
      </c>
      <c r="AJ16" s="35"/>
      <c r="AK16" s="33">
        <f t="shared" si="15"/>
        <v>0</v>
      </c>
      <c r="AL16" s="38">
        <f>'Ventas Semanales'!EX15+'Ventas Semanales'!FC15+'Ventas Semanales'!FH15+'Ventas Semanales'!FM15</f>
        <v>215763.37</v>
      </c>
      <c r="AM16" s="34">
        <f t="shared" si="16"/>
        <v>366797.72899999999</v>
      </c>
      <c r="AN16" s="39">
        <v>1.7</v>
      </c>
      <c r="AO16" s="35"/>
      <c r="AP16" s="7">
        <f t="shared" si="17"/>
        <v>0</v>
      </c>
      <c r="AQ16" s="38">
        <f>'Ventas Semanales'!FR15+'Ventas Semanales'!FW15+'Ventas Semanales'!GB15+'Ventas Semanales'!GG15+'Ventas Semanales'!GL15</f>
        <v>246865.78</v>
      </c>
      <c r="AR16" s="34">
        <f t="shared" si="18"/>
        <v>414734.51039999997</v>
      </c>
      <c r="AS16" s="39">
        <v>1.68</v>
      </c>
      <c r="AT16" s="35"/>
      <c r="AU16" s="46">
        <f t="shared" si="19"/>
        <v>0</v>
      </c>
      <c r="AV16" s="10">
        <f>'Ventas Semanales'!GQ15+'Ventas Semanales'!GV15+'Ventas Semanales'!HA15+'Ventas Semanales'!HF15</f>
        <v>227050.53</v>
      </c>
      <c r="AW16" s="34">
        <f t="shared" si="20"/>
        <v>522216.21899999998</v>
      </c>
      <c r="AX16" s="39">
        <v>2.2999999999999998</v>
      </c>
      <c r="AY16" s="3"/>
      <c r="AZ16" s="7">
        <f t="shared" si="21"/>
        <v>0</v>
      </c>
      <c r="BA16" s="6">
        <f>'Ventas Semanales'!HK15+'Ventas Semanales'!HP15+'Ventas Semanales'!HU15+'Ventas Semanales'!HZ15</f>
        <v>282194.53000000003</v>
      </c>
      <c r="BB16" s="34">
        <f t="shared" si="22"/>
        <v>874803.04300000006</v>
      </c>
      <c r="BC16" s="39">
        <v>3.1</v>
      </c>
      <c r="BD16" s="3">
        <f>'Ventas Semanales'!HN15+'Ventas Semanales'!HS15+'Ventas Semanales'!HX15+'Ventas Semanales'!IC15</f>
        <v>0</v>
      </c>
      <c r="BE16" s="7">
        <f t="shared" si="23"/>
        <v>0</v>
      </c>
      <c r="BF16" s="10">
        <f>'Ventas Semanales'!IE15+'Ventas Semanales'!IJ15+'Ventas Semanales'!IO15+'Ventas Semanales'!IT15+'Ventas Semanales'!IY15</f>
        <v>738547.70000000007</v>
      </c>
      <c r="BG16" s="34">
        <f t="shared" si="24"/>
        <v>1033966.78</v>
      </c>
      <c r="BH16" s="39">
        <v>1.4</v>
      </c>
      <c r="BI16" s="3">
        <f>'Ventas Semanales'!IH15+'Ventas Semanales'!IM15+'Ventas Semanales'!IR15+'Ventas Semanales'!IW15+'Ventas Semanales'!JB15</f>
        <v>0</v>
      </c>
      <c r="BJ16" s="7">
        <f t="shared" si="25"/>
        <v>0</v>
      </c>
      <c r="BK16" s="51">
        <f t="shared" si="26"/>
        <v>184284.71999999997</v>
      </c>
      <c r="BL16" s="51">
        <f t="shared" si="27"/>
        <v>169957.72440000004</v>
      </c>
      <c r="BM16" s="189">
        <f t="shared" si="28"/>
        <v>1.0842974077852501</v>
      </c>
      <c r="BN16" s="64">
        <f>'Ventas Semanales'!JD15</f>
        <v>670713.41</v>
      </c>
      <c r="BO16" s="69">
        <f>'Ventas Semanales'!JE15</f>
        <v>566601.7699999999</v>
      </c>
      <c r="BP16" s="68">
        <f t="shared" si="29"/>
        <v>-104111.64000000013</v>
      </c>
      <c r="BQ16" s="66">
        <f t="shared" si="0"/>
        <v>0.84477477496685194</v>
      </c>
      <c r="BR16" s="54">
        <f t="shared" si="1"/>
        <v>6323305.2548000002</v>
      </c>
      <c r="BS16" s="54">
        <f t="shared" si="30"/>
        <v>6387964.1323999995</v>
      </c>
    </row>
    <row r="17" spans="2:71">
      <c r="B17" s="185" t="str">
        <f>"A10"</f>
        <v>A10</v>
      </c>
      <c r="C17" s="106">
        <f>'Ventas Semanales'!D16+'Ventas Semanales'!I16+'Ventas Semanales'!N16+'Ventas Semanales'!S16</f>
        <v>446548.13</v>
      </c>
      <c r="D17" s="1">
        <f t="shared" si="2"/>
        <v>303652.72840000002</v>
      </c>
      <c r="E17" s="39">
        <v>0.68</v>
      </c>
      <c r="F17" s="107">
        <f>'Ventas Semanales'!G16+'Ventas Semanales'!L16+'Ventas Semanales'!Q16+'Ventas Semanales'!V16</f>
        <v>389065.28</v>
      </c>
      <c r="G17" s="42">
        <f t="shared" si="3"/>
        <v>0.87127289056165125</v>
      </c>
      <c r="H17" s="10">
        <f>'Ventas Semanales'!X16+'Ventas Semanales'!AC16+'Ventas Semanales'!AH16+'Ventas Semanales'!AM16</f>
        <v>485536.91999999993</v>
      </c>
      <c r="I17" s="1">
        <f t="shared" si="4"/>
        <v>339875.84399999992</v>
      </c>
      <c r="J17" s="2">
        <v>0.7</v>
      </c>
      <c r="K17" s="3">
        <f>'Ventas Semanales'!AA16+'Ventas Semanales'!AF16+'Ventas Semanales'!AK16+'Ventas Semanales'!AP16</f>
        <v>389051.63</v>
      </c>
      <c r="L17" s="42">
        <f t="shared" si="5"/>
        <v>0.80128124963185099</v>
      </c>
      <c r="M17" s="38">
        <f>'Ventas Semanales'!AR16+'Ventas Semanales'!AW16+'Ventas Semanales'!BB16+'Ventas Semanales'!BG16+'Ventas Semanales'!BL16</f>
        <v>443803.31999999995</v>
      </c>
      <c r="N17" s="34">
        <f t="shared" si="6"/>
        <v>465993.48599999998</v>
      </c>
      <c r="O17" s="39">
        <v>1.05</v>
      </c>
      <c r="P17" s="35">
        <f>'Ventas Semanales'!AU16+'Ventas Semanales'!AZ16+'Ventas Semanales'!BE16+'Ventas Semanales'!BJ16+'Ventas Semanales'!BO16</f>
        <v>282229.07999999996</v>
      </c>
      <c r="Q17" s="45">
        <f t="shared" si="7"/>
        <v>0.63593278211618609</v>
      </c>
      <c r="R17" s="38">
        <f>'Ventas Semanales'!BQ16+'Ventas Semanales'!BV16+'Ventas Semanales'!CA16+'Ventas Semanales'!CF16</f>
        <v>334372.75</v>
      </c>
      <c r="S17" s="34">
        <f t="shared" si="8"/>
        <v>986399.61250000005</v>
      </c>
      <c r="T17" s="39">
        <v>2.95</v>
      </c>
      <c r="U17" s="35"/>
      <c r="V17" s="33">
        <f t="shared" si="9"/>
        <v>0</v>
      </c>
      <c r="W17" s="38">
        <f>'Ventas Semanales'!CK16+'Ventas Semanales'!CP16+'Ventas Semanales'!CU16+'Ventas Semanales'!CZ16</f>
        <v>267657.19</v>
      </c>
      <c r="X17" s="34">
        <f t="shared" si="10"/>
        <v>1605943.1400000001</v>
      </c>
      <c r="Y17" s="39">
        <v>6</v>
      </c>
      <c r="Z17" s="35"/>
      <c r="AA17" s="33">
        <f t="shared" si="11"/>
        <v>0</v>
      </c>
      <c r="AB17" s="38">
        <f>'Ventas Semanales'!DE16+'Ventas Semanales'!DJ16+'Ventas Semanales'!DO16+'Ventas Semanales'!DT16+'Ventas Semanales'!DY16</f>
        <v>544786.66999999993</v>
      </c>
      <c r="AC17" s="34">
        <f t="shared" si="12"/>
        <v>1307488.0079999997</v>
      </c>
      <c r="AD17" s="39">
        <v>2.4</v>
      </c>
      <c r="AE17" s="35"/>
      <c r="AF17" s="33">
        <f t="shared" si="13"/>
        <v>0</v>
      </c>
      <c r="AG17" s="38">
        <f>'Ventas Semanales'!ED16+'Ventas Semanales'!EI16+'Ventas Semanales'!EN16+'Ventas Semanales'!ES16</f>
        <v>494751.9</v>
      </c>
      <c r="AH17" s="34">
        <f t="shared" si="14"/>
        <v>841078.23</v>
      </c>
      <c r="AI17" s="39">
        <v>1.7</v>
      </c>
      <c r="AJ17" s="35"/>
      <c r="AK17" s="33">
        <f t="shared" si="15"/>
        <v>0</v>
      </c>
      <c r="AL17" s="38">
        <f>'Ventas Semanales'!EX16+'Ventas Semanales'!FC16+'Ventas Semanales'!FH16+'Ventas Semanales'!FM16</f>
        <v>415272.76</v>
      </c>
      <c r="AM17" s="34">
        <f t="shared" si="16"/>
        <v>705963.69200000004</v>
      </c>
      <c r="AN17" s="39">
        <v>1.7</v>
      </c>
      <c r="AO17" s="35"/>
      <c r="AP17" s="7">
        <f t="shared" si="17"/>
        <v>0</v>
      </c>
      <c r="AQ17" s="38">
        <f>'Ventas Semanales'!FR16+'Ventas Semanales'!FW16+'Ventas Semanales'!GB16+'Ventas Semanales'!GG16+'Ventas Semanales'!GL16</f>
        <v>585733.59</v>
      </c>
      <c r="AR17" s="34">
        <f t="shared" si="18"/>
        <v>984032.43119999988</v>
      </c>
      <c r="AS17" s="39">
        <v>1.68</v>
      </c>
      <c r="AT17" s="35"/>
      <c r="AU17" s="46">
        <f t="shared" si="19"/>
        <v>0</v>
      </c>
      <c r="AV17" s="10">
        <f>'Ventas Semanales'!GQ16+'Ventas Semanales'!GV16+'Ventas Semanales'!HA16+'Ventas Semanales'!HF16</f>
        <v>402359.02</v>
      </c>
      <c r="AW17" s="34">
        <f t="shared" si="20"/>
        <v>925425.74599999993</v>
      </c>
      <c r="AX17" s="39">
        <v>2.2999999999999998</v>
      </c>
      <c r="AY17" s="3"/>
      <c r="AZ17" s="7">
        <f t="shared" si="21"/>
        <v>0</v>
      </c>
      <c r="BA17" s="6">
        <f>'Ventas Semanales'!HK16+'Ventas Semanales'!HP16+'Ventas Semanales'!HU16+'Ventas Semanales'!HZ16</f>
        <v>594990.55000000005</v>
      </c>
      <c r="BB17" s="34">
        <f t="shared" si="22"/>
        <v>1844470.7050000003</v>
      </c>
      <c r="BC17" s="39">
        <v>3.1</v>
      </c>
      <c r="BD17" s="3">
        <f>'Ventas Semanales'!HN16+'Ventas Semanales'!HS16+'Ventas Semanales'!HX16+'Ventas Semanales'!IC16</f>
        <v>0</v>
      </c>
      <c r="BE17" s="7">
        <f t="shared" si="23"/>
        <v>0</v>
      </c>
      <c r="BF17" s="10">
        <f>'Ventas Semanales'!IE16+'Ventas Semanales'!IJ16+'Ventas Semanales'!IO16+'Ventas Semanales'!IT16+'Ventas Semanales'!IY16</f>
        <v>2214764.7599999998</v>
      </c>
      <c r="BG17" s="34">
        <f t="shared" si="24"/>
        <v>3100670.6639999994</v>
      </c>
      <c r="BH17" s="39">
        <v>1.4</v>
      </c>
      <c r="BI17" s="3">
        <f>'Ventas Semanales'!IH16+'Ventas Semanales'!IM16+'Ventas Semanales'!IR16+'Ventas Semanales'!IW16+'Ventas Semanales'!JB16</f>
        <v>0</v>
      </c>
      <c r="BJ17" s="7">
        <f t="shared" si="25"/>
        <v>0</v>
      </c>
      <c r="BK17" s="51">
        <f t="shared" si="26"/>
        <v>389065.28</v>
      </c>
      <c r="BL17" s="51">
        <f t="shared" si="27"/>
        <v>303652.72840000002</v>
      </c>
      <c r="BM17" s="189">
        <f t="shared" si="28"/>
        <v>1.2812836625906636</v>
      </c>
      <c r="BN17" s="64">
        <f>'Ventas Semanales'!JD16</f>
        <v>1244030.02</v>
      </c>
      <c r="BO17" s="69">
        <f>'Ventas Semanales'!JE16</f>
        <v>1060345.99</v>
      </c>
      <c r="BP17" s="68">
        <f t="shared" si="29"/>
        <v>-183684.03000000003</v>
      </c>
      <c r="BQ17" s="66">
        <f t="shared" si="0"/>
        <v>0.85234759045444897</v>
      </c>
      <c r="BR17" s="54">
        <f t="shared" si="1"/>
        <v>13410994.287099997</v>
      </c>
      <c r="BS17" s="54">
        <f t="shared" si="30"/>
        <v>13545582.624699997</v>
      </c>
    </row>
    <row r="18" spans="2:71">
      <c r="B18" s="185" t="str">
        <f>"A11"</f>
        <v>A11</v>
      </c>
      <c r="C18" s="106">
        <f>'Ventas Semanales'!D17+'Ventas Semanales'!I17+'Ventas Semanales'!N17+'Ventas Semanales'!S17</f>
        <v>365801.38000000006</v>
      </c>
      <c r="D18" s="1">
        <f t="shared" si="2"/>
        <v>248744.93840000007</v>
      </c>
      <c r="E18" s="39">
        <v>0.68</v>
      </c>
      <c r="F18" s="107">
        <f>'Ventas Semanales'!G17+'Ventas Semanales'!L17+'Ventas Semanales'!Q17+'Ventas Semanales'!V17</f>
        <v>260480.87</v>
      </c>
      <c r="G18" s="42">
        <f t="shared" si="3"/>
        <v>0.71208279750065451</v>
      </c>
      <c r="H18" s="10">
        <f>'Ventas Semanales'!X17+'Ventas Semanales'!AC17+'Ventas Semanales'!AH17+'Ventas Semanales'!AM17</f>
        <v>364472.95999999996</v>
      </c>
      <c r="I18" s="1">
        <f t="shared" si="4"/>
        <v>255131.07199999996</v>
      </c>
      <c r="J18" s="2">
        <v>0.7</v>
      </c>
      <c r="K18" s="3">
        <f>'Ventas Semanales'!AA17+'Ventas Semanales'!AF17+'Ventas Semanales'!AK17+'Ventas Semanales'!AP17</f>
        <v>261392.02000000002</v>
      </c>
      <c r="L18" s="42">
        <f t="shared" si="5"/>
        <v>0.71717808640728808</v>
      </c>
      <c r="M18" s="38">
        <f>'Ventas Semanales'!AR17+'Ventas Semanales'!AW17+'Ventas Semanales'!BB17+'Ventas Semanales'!BG17+'Ventas Semanales'!BL17</f>
        <v>283658.54000000004</v>
      </c>
      <c r="N18" s="34">
        <f t="shared" si="6"/>
        <v>297841.46700000006</v>
      </c>
      <c r="O18" s="39">
        <v>1.05</v>
      </c>
      <c r="P18" s="35">
        <f>'Ventas Semanales'!AU17+'Ventas Semanales'!AZ17+'Ventas Semanales'!BE17+'Ventas Semanales'!BJ17+'Ventas Semanales'!BO17</f>
        <v>193863.79</v>
      </c>
      <c r="Q18" s="45">
        <f t="shared" si="7"/>
        <v>0.68344069598609647</v>
      </c>
      <c r="R18" s="38">
        <f>'Ventas Semanales'!BQ17+'Ventas Semanales'!BV17+'Ventas Semanales'!CA17+'Ventas Semanales'!CF17</f>
        <v>170057.00999999998</v>
      </c>
      <c r="S18" s="34">
        <f t="shared" si="8"/>
        <v>501668.17949999997</v>
      </c>
      <c r="T18" s="39">
        <v>2.95</v>
      </c>
      <c r="U18" s="35"/>
      <c r="V18" s="33">
        <f t="shared" si="9"/>
        <v>0</v>
      </c>
      <c r="W18" s="38">
        <f>'Ventas Semanales'!CK17+'Ventas Semanales'!CP17+'Ventas Semanales'!CU17+'Ventas Semanales'!CZ17</f>
        <v>97485.89</v>
      </c>
      <c r="X18" s="34">
        <f t="shared" si="10"/>
        <v>584915.34</v>
      </c>
      <c r="Y18" s="39">
        <v>6</v>
      </c>
      <c r="Z18" s="35"/>
      <c r="AA18" s="33">
        <f t="shared" si="11"/>
        <v>0</v>
      </c>
      <c r="AB18" s="38">
        <f>'Ventas Semanales'!DE17+'Ventas Semanales'!DJ17+'Ventas Semanales'!DO17+'Ventas Semanales'!DT17+'Ventas Semanales'!DY17</f>
        <v>243309.75</v>
      </c>
      <c r="AC18" s="34">
        <f t="shared" si="12"/>
        <v>583943.4</v>
      </c>
      <c r="AD18" s="39">
        <v>2.4</v>
      </c>
      <c r="AE18" s="35"/>
      <c r="AF18" s="33">
        <f t="shared" si="13"/>
        <v>0</v>
      </c>
      <c r="AG18" s="38">
        <f>'Ventas Semanales'!ED17+'Ventas Semanales'!EI17+'Ventas Semanales'!EN17+'Ventas Semanales'!ES17</f>
        <v>254104.11000000002</v>
      </c>
      <c r="AH18" s="34">
        <f t="shared" si="14"/>
        <v>431976.98700000002</v>
      </c>
      <c r="AI18" s="39">
        <v>1.7</v>
      </c>
      <c r="AJ18" s="35"/>
      <c r="AK18" s="33">
        <f t="shared" si="15"/>
        <v>0</v>
      </c>
      <c r="AL18" s="38">
        <f>'Ventas Semanales'!EX17+'Ventas Semanales'!FC17+'Ventas Semanales'!FH17+'Ventas Semanales'!FM17</f>
        <v>273951.02</v>
      </c>
      <c r="AM18" s="34">
        <f t="shared" si="16"/>
        <v>465716.734</v>
      </c>
      <c r="AN18" s="39">
        <v>1.7</v>
      </c>
      <c r="AO18" s="35"/>
      <c r="AP18" s="7">
        <f t="shared" si="17"/>
        <v>0</v>
      </c>
      <c r="AQ18" s="38">
        <f>'Ventas Semanales'!FR17+'Ventas Semanales'!FW17+'Ventas Semanales'!GB17+'Ventas Semanales'!GG17+'Ventas Semanales'!GL17</f>
        <v>298958.64</v>
      </c>
      <c r="AR18" s="34">
        <f t="shared" si="18"/>
        <v>502250.51520000002</v>
      </c>
      <c r="AS18" s="39">
        <v>1.68</v>
      </c>
      <c r="AT18" s="35"/>
      <c r="AU18" s="46">
        <f t="shared" si="19"/>
        <v>0</v>
      </c>
      <c r="AV18" s="10">
        <f>'Ventas Semanales'!GQ17+'Ventas Semanales'!GV17+'Ventas Semanales'!HA17+'Ventas Semanales'!HF17</f>
        <v>160259.67000000001</v>
      </c>
      <c r="AW18" s="34">
        <f t="shared" si="20"/>
        <v>368597.24099999998</v>
      </c>
      <c r="AX18" s="39">
        <v>2.2999999999999998</v>
      </c>
      <c r="AY18" s="3"/>
      <c r="AZ18" s="7">
        <f t="shared" si="21"/>
        <v>0</v>
      </c>
      <c r="BA18" s="6">
        <f>'Ventas Semanales'!HK17+'Ventas Semanales'!HP17+'Ventas Semanales'!HU17+'Ventas Semanales'!HZ17</f>
        <v>148616.38</v>
      </c>
      <c r="BB18" s="34">
        <f t="shared" si="22"/>
        <v>460710.77800000005</v>
      </c>
      <c r="BC18" s="39">
        <v>3.1</v>
      </c>
      <c r="BD18" s="3">
        <f>'Ventas Semanales'!HN17+'Ventas Semanales'!HS17+'Ventas Semanales'!HX17+'Ventas Semanales'!IC17</f>
        <v>0</v>
      </c>
      <c r="BE18" s="7">
        <f t="shared" si="23"/>
        <v>0</v>
      </c>
      <c r="BF18" s="10">
        <f>'Ventas Semanales'!IE17+'Ventas Semanales'!IJ17+'Ventas Semanales'!IO17+'Ventas Semanales'!IT17+'Ventas Semanales'!IY17</f>
        <v>1028064.6599999999</v>
      </c>
      <c r="BG18" s="34">
        <f t="shared" si="24"/>
        <v>1439290.5239999997</v>
      </c>
      <c r="BH18" s="39">
        <v>1.4</v>
      </c>
      <c r="BI18" s="3">
        <f>'Ventas Semanales'!IH17+'Ventas Semanales'!IM17+'Ventas Semanales'!IR17+'Ventas Semanales'!IW17+'Ventas Semanales'!JB17</f>
        <v>0</v>
      </c>
      <c r="BJ18" s="7">
        <f t="shared" si="25"/>
        <v>0</v>
      </c>
      <c r="BK18" s="51">
        <f t="shared" si="26"/>
        <v>260480.87</v>
      </c>
      <c r="BL18" s="51">
        <f t="shared" si="27"/>
        <v>248744.93840000007</v>
      </c>
      <c r="BM18" s="189">
        <f t="shared" si="28"/>
        <v>1.0471805845597859</v>
      </c>
      <c r="BN18" s="64">
        <f>'Ventas Semanales'!JD17</f>
        <v>934576.06000000017</v>
      </c>
      <c r="BO18" s="69">
        <f>'Ventas Semanales'!JE17</f>
        <v>715736.67999999993</v>
      </c>
      <c r="BP18" s="68">
        <f t="shared" si="29"/>
        <v>-218839.38000000024</v>
      </c>
      <c r="BQ18" s="66">
        <f t="shared" si="0"/>
        <v>0.76584101672794802</v>
      </c>
      <c r="BR18" s="54">
        <f t="shared" si="1"/>
        <v>6140787.1761000007</v>
      </c>
      <c r="BS18" s="54">
        <f t="shared" si="30"/>
        <v>6158784.0557000004</v>
      </c>
    </row>
    <row r="19" spans="2:71">
      <c r="B19" s="186" t="str">
        <f>"A12"</f>
        <v>A12</v>
      </c>
      <c r="C19" s="106">
        <f>'Ventas Semanales'!D18+'Ventas Semanales'!I18+'Ventas Semanales'!N18+'Ventas Semanales'!S18</f>
        <v>479678.25999999995</v>
      </c>
      <c r="D19" s="1">
        <f t="shared" si="2"/>
        <v>326181.21679999999</v>
      </c>
      <c r="E19" s="39">
        <v>0.68</v>
      </c>
      <c r="F19" s="107">
        <f>'Ventas Semanales'!G18+'Ventas Semanales'!L18+'Ventas Semanales'!Q18+'Ventas Semanales'!V18</f>
        <v>233039.81</v>
      </c>
      <c r="G19" s="42">
        <f t="shared" si="3"/>
        <v>0.48582524878238181</v>
      </c>
      <c r="H19" s="10">
        <f>'Ventas Semanales'!X18+'Ventas Semanales'!AC18+'Ventas Semanales'!AH18+'Ventas Semanales'!AM18</f>
        <v>541249.68000000005</v>
      </c>
      <c r="I19" s="1">
        <f t="shared" si="4"/>
        <v>378874.77600000001</v>
      </c>
      <c r="J19" s="2">
        <v>0.7</v>
      </c>
      <c r="K19" s="3">
        <f>'Ventas Semanales'!AA18+'Ventas Semanales'!AF18+'Ventas Semanales'!AK18+'Ventas Semanales'!AP18</f>
        <v>373582.24</v>
      </c>
      <c r="L19" s="42">
        <f t="shared" si="5"/>
        <v>0.69022163671302306</v>
      </c>
      <c r="M19" s="38">
        <f>'Ventas Semanales'!AR18+'Ventas Semanales'!AW18+'Ventas Semanales'!BB18+'Ventas Semanales'!BG18+'Ventas Semanales'!BL18</f>
        <v>372300.51</v>
      </c>
      <c r="N19" s="34">
        <f>N17*0.7</f>
        <v>326195.44019999995</v>
      </c>
      <c r="O19" s="39">
        <v>1.05</v>
      </c>
      <c r="P19" s="35">
        <f>'Ventas Semanales'!AU18+'Ventas Semanales'!AZ18+'Ventas Semanales'!BE18+'Ventas Semanales'!BJ18+'Ventas Semanales'!BO18</f>
        <v>250479.52</v>
      </c>
      <c r="Q19" s="45">
        <f t="shared" si="7"/>
        <v>0.67278854922868625</v>
      </c>
      <c r="R19" s="38">
        <f>'Ventas Semanales'!BQ18+'Ventas Semanales'!BV18+'Ventas Semanales'!CA18+'Ventas Semanales'!CF18</f>
        <v>0</v>
      </c>
      <c r="S19" s="34">
        <f>S17*0.7</f>
        <v>690479.72875000001</v>
      </c>
      <c r="T19" s="39">
        <v>2.95</v>
      </c>
      <c r="U19" s="35"/>
      <c r="V19" s="33" t="e">
        <f t="shared" si="9"/>
        <v>#DIV/0!</v>
      </c>
      <c r="W19" s="38">
        <f>'Ventas Semanales'!CK18+'Ventas Semanales'!CP18+'Ventas Semanales'!CU18+'Ventas Semanales'!CZ18</f>
        <v>0</v>
      </c>
      <c r="X19" s="34">
        <f>X17*0.7</f>
        <v>1124160.1980000001</v>
      </c>
      <c r="Y19" s="39">
        <v>6</v>
      </c>
      <c r="Z19" s="35"/>
      <c r="AA19" s="33" t="e">
        <f t="shared" si="11"/>
        <v>#DIV/0!</v>
      </c>
      <c r="AB19" s="38">
        <f>'Ventas Semanales'!DE18+'Ventas Semanales'!DJ18+'Ventas Semanales'!DO18+'Ventas Semanales'!DT18+'Ventas Semanales'!DY18</f>
        <v>184346.26</v>
      </c>
      <c r="AC19" s="34">
        <f>AC17*0.7</f>
        <v>915241.60559999978</v>
      </c>
      <c r="AD19" s="39">
        <v>2.4</v>
      </c>
      <c r="AE19" s="35"/>
      <c r="AF19" s="33">
        <f t="shared" si="13"/>
        <v>0</v>
      </c>
      <c r="AG19" s="38">
        <f>'Ventas Semanales'!ED18+'Ventas Semanales'!EI18+'Ventas Semanales'!EN18+'Ventas Semanales'!ES18</f>
        <v>280851.06</v>
      </c>
      <c r="AH19" s="34">
        <f>AH17*0.7</f>
        <v>588754.76099999994</v>
      </c>
      <c r="AI19" s="39">
        <v>1.7</v>
      </c>
      <c r="AJ19" s="35"/>
      <c r="AK19" s="33">
        <f t="shared" si="15"/>
        <v>0</v>
      </c>
      <c r="AL19" s="38">
        <f>'Ventas Semanales'!EX18+'Ventas Semanales'!FC18+'Ventas Semanales'!FH18+'Ventas Semanales'!FM18</f>
        <v>256297.95</v>
      </c>
      <c r="AM19" s="34">
        <f>AM17*0.7</f>
        <v>494174.58439999999</v>
      </c>
      <c r="AN19" s="39">
        <v>1.7</v>
      </c>
      <c r="AO19" s="35"/>
      <c r="AP19" s="7">
        <f t="shared" si="17"/>
        <v>0</v>
      </c>
      <c r="AQ19" s="38">
        <f>'Ventas Semanales'!FR18+'Ventas Semanales'!FW18+'Ventas Semanales'!GB18+'Ventas Semanales'!GG18+'Ventas Semanales'!GL18</f>
        <v>355035.18000000005</v>
      </c>
      <c r="AR19" s="34">
        <f>AR17*0.7</f>
        <v>688822.70183999988</v>
      </c>
      <c r="AS19" s="39">
        <v>1.68</v>
      </c>
      <c r="AT19" s="35"/>
      <c r="AU19" s="46">
        <f t="shared" si="19"/>
        <v>0</v>
      </c>
      <c r="AV19" s="10">
        <f>'Ventas Semanales'!GQ18+'Ventas Semanales'!GV18+'Ventas Semanales'!HA18+'Ventas Semanales'!HF18</f>
        <v>181567.58</v>
      </c>
      <c r="AW19" s="34">
        <f>AW17*0.7</f>
        <v>647798.02219999989</v>
      </c>
      <c r="AX19" s="39">
        <v>2.2999999999999998</v>
      </c>
      <c r="AY19" s="3"/>
      <c r="AZ19" s="7">
        <f t="shared" si="21"/>
        <v>0</v>
      </c>
      <c r="BA19" s="6">
        <f>'Ventas Semanales'!HK18+'Ventas Semanales'!HP18+'Ventas Semanales'!HU18+'Ventas Semanales'!HZ18</f>
        <v>109885.6</v>
      </c>
      <c r="BB19" s="34">
        <f>BB17*0.7</f>
        <v>1291129.4935000001</v>
      </c>
      <c r="BC19" s="39">
        <v>3.1</v>
      </c>
      <c r="BD19" s="3">
        <f>'Ventas Semanales'!HN18+'Ventas Semanales'!HS18+'Ventas Semanales'!HX18+'Ventas Semanales'!IC18</f>
        <v>0</v>
      </c>
      <c r="BE19" s="7">
        <f t="shared" si="23"/>
        <v>0</v>
      </c>
      <c r="BF19" s="10">
        <f>'Ventas Semanales'!IE18+'Ventas Semanales'!IJ18+'Ventas Semanales'!IO18+'Ventas Semanales'!IT18+'Ventas Semanales'!IY18</f>
        <v>1086793.5899999999</v>
      </c>
      <c r="BG19" s="34">
        <f>BG17*0.7</f>
        <v>2170469.4647999993</v>
      </c>
      <c r="BH19" s="39">
        <v>1.4</v>
      </c>
      <c r="BI19" s="3">
        <f>'Ventas Semanales'!IH18+'Ventas Semanales'!IM18+'Ventas Semanales'!IR18+'Ventas Semanales'!IW18+'Ventas Semanales'!JB18</f>
        <v>0</v>
      </c>
      <c r="BJ19" s="7">
        <f t="shared" si="25"/>
        <v>0</v>
      </c>
      <c r="BK19" s="51">
        <f t="shared" si="26"/>
        <v>233039.81</v>
      </c>
      <c r="BL19" s="51">
        <f t="shared" si="27"/>
        <v>326181.21679999999</v>
      </c>
      <c r="BM19" s="189">
        <f t="shared" si="28"/>
        <v>0.71444889526820843</v>
      </c>
      <c r="BN19" s="64">
        <f>'Ventas Semanales'!JD18</f>
        <v>1333443.3400000001</v>
      </c>
      <c r="BO19" s="69">
        <f>'Ventas Semanales'!JE18</f>
        <v>857101.56999999983</v>
      </c>
      <c r="BP19" s="68">
        <f t="shared" si="29"/>
        <v>-476341.77000000025</v>
      </c>
      <c r="BQ19" s="66">
        <f t="shared" si="0"/>
        <v>0.64277314550163023</v>
      </c>
      <c r="BR19" s="54">
        <f t="shared" si="1"/>
        <v>9642281.99309</v>
      </c>
      <c r="BS19" s="54">
        <f t="shared" si="30"/>
        <v>9543848.0502899997</v>
      </c>
    </row>
    <row r="20" spans="2:71">
      <c r="B20" s="186" t="str">
        <f>"A14"</f>
        <v>A14</v>
      </c>
      <c r="C20" s="106">
        <f>'Ventas Semanales'!D19+'Ventas Semanales'!I19+'Ventas Semanales'!N19+'Ventas Semanales'!S19</f>
        <v>271080.69</v>
      </c>
      <c r="D20" s="1">
        <f t="shared" si="2"/>
        <v>184334.86920000002</v>
      </c>
      <c r="E20" s="39">
        <v>0.68</v>
      </c>
      <c r="F20" s="107">
        <f>'Ventas Semanales'!G19+'Ventas Semanales'!L19+'Ventas Semanales'!Q19+'Ventas Semanales'!V19</f>
        <v>190711.38</v>
      </c>
      <c r="G20" s="42">
        <f t="shared" si="3"/>
        <v>0.70352255632815452</v>
      </c>
      <c r="H20" s="10">
        <f>'Ventas Semanales'!X19+'Ventas Semanales'!AC19+'Ventas Semanales'!AH19+'Ventas Semanales'!AM19</f>
        <v>297392.53999999998</v>
      </c>
      <c r="I20" s="1">
        <f t="shared" si="4"/>
        <v>208174.77799999996</v>
      </c>
      <c r="J20" s="2">
        <v>0.7</v>
      </c>
      <c r="K20" s="3">
        <f>'Ventas Semanales'!AA19+'Ventas Semanales'!AF19+'Ventas Semanales'!AK19+'Ventas Semanales'!AP19</f>
        <v>195053.28999999998</v>
      </c>
      <c r="L20" s="42">
        <f t="shared" si="5"/>
        <v>0.65587822075160318</v>
      </c>
      <c r="M20" s="38">
        <f>'Ventas Semanales'!AR19+'Ventas Semanales'!AW19+'Ventas Semanales'!BB19+'Ventas Semanales'!BG19+'Ventas Semanales'!BL19</f>
        <v>220637.79000000004</v>
      </c>
      <c r="N20" s="34">
        <f>M20*(O20+40%)</f>
        <v>319924.79550000007</v>
      </c>
      <c r="O20" s="39">
        <v>1.05</v>
      </c>
      <c r="P20" s="35">
        <f>'Ventas Semanales'!AU19+'Ventas Semanales'!AZ19+'Ventas Semanales'!BE19+'Ventas Semanales'!BJ19+'Ventas Semanales'!BO19</f>
        <v>144537.82</v>
      </c>
      <c r="Q20" s="45">
        <f t="shared" si="7"/>
        <v>0.65509095246104476</v>
      </c>
      <c r="R20" s="38">
        <f>'Ventas Semanales'!BQ19+'Ventas Semanales'!BV19+'Ventas Semanales'!CA19+'Ventas Semanales'!CF19</f>
        <v>57873.43</v>
      </c>
      <c r="S20" s="34">
        <f>R20*(T20+40%)</f>
        <v>193875.99050000001</v>
      </c>
      <c r="T20" s="39">
        <v>2.95</v>
      </c>
      <c r="U20" s="35"/>
      <c r="V20" s="33">
        <f t="shared" si="9"/>
        <v>0</v>
      </c>
      <c r="W20" s="38">
        <f>'Ventas Semanales'!CK19+'Ventas Semanales'!CP19+'Ventas Semanales'!CU19+'Ventas Semanales'!CZ19</f>
        <v>0</v>
      </c>
      <c r="X20" s="34">
        <f>W20*(Y20+40%)</f>
        <v>0</v>
      </c>
      <c r="Y20" s="39">
        <v>6</v>
      </c>
      <c r="Z20" s="35"/>
      <c r="AA20" s="33" t="e">
        <f t="shared" si="11"/>
        <v>#DIV/0!</v>
      </c>
      <c r="AB20" s="38">
        <f>'Ventas Semanales'!DE19+'Ventas Semanales'!DJ19+'Ventas Semanales'!DO19+'Ventas Semanales'!DT19+'Ventas Semanales'!DY19</f>
        <v>143404.15000000002</v>
      </c>
      <c r="AC20" s="34">
        <f>AB20*(AD20+40%)</f>
        <v>401531.62000000005</v>
      </c>
      <c r="AD20" s="39">
        <v>2.4</v>
      </c>
      <c r="AE20" s="35"/>
      <c r="AF20" s="33">
        <f t="shared" si="13"/>
        <v>0</v>
      </c>
      <c r="AG20" s="38">
        <f>'Ventas Semanales'!ED19+'Ventas Semanales'!EI19+'Ventas Semanales'!EN19+'Ventas Semanales'!ES19</f>
        <v>270610.69</v>
      </c>
      <c r="AH20" s="34">
        <f>AG20*(AI20+40%)</f>
        <v>568282.44900000002</v>
      </c>
      <c r="AI20" s="39">
        <v>1.7</v>
      </c>
      <c r="AJ20" s="35"/>
      <c r="AK20" s="33">
        <f t="shared" si="15"/>
        <v>0</v>
      </c>
      <c r="AL20" s="38">
        <f>'Ventas Semanales'!EX19+'Ventas Semanales'!FC19+'Ventas Semanales'!FH19+'Ventas Semanales'!FM19</f>
        <v>240712.61</v>
      </c>
      <c r="AM20" s="34">
        <f>AL20*(AN20+40%)</f>
        <v>505496.48099999997</v>
      </c>
      <c r="AN20" s="39">
        <v>1.7</v>
      </c>
      <c r="AO20" s="35"/>
      <c r="AP20" s="7">
        <f t="shared" si="17"/>
        <v>0</v>
      </c>
      <c r="AQ20" s="38">
        <f>'Ventas Semanales'!FR19+'Ventas Semanales'!FW19+'Ventas Semanales'!GB19+'Ventas Semanales'!GG19+'Ventas Semanales'!GL19</f>
        <v>290632.45</v>
      </c>
      <c r="AR20" s="34">
        <f>AQ20*(AS20+40%)</f>
        <v>604515.49600000004</v>
      </c>
      <c r="AS20" s="39">
        <v>1.68</v>
      </c>
      <c r="AT20" s="35"/>
      <c r="AU20" s="46">
        <f t="shared" si="19"/>
        <v>0</v>
      </c>
      <c r="AV20" s="10">
        <f>'Ventas Semanales'!GQ19+'Ventas Semanales'!GV19+'Ventas Semanales'!HA19+'Ventas Semanales'!HF19</f>
        <v>149680.41999999998</v>
      </c>
      <c r="AW20" s="34">
        <f>AV20*(AX20+40%)</f>
        <v>404137.1339999999</v>
      </c>
      <c r="AX20" s="39">
        <v>2.2999999999999998</v>
      </c>
      <c r="AY20" s="3"/>
      <c r="AZ20" s="7">
        <f t="shared" si="21"/>
        <v>0</v>
      </c>
      <c r="BA20" s="6">
        <f>'Ventas Semanales'!HK19+'Ventas Semanales'!HP19+'Ventas Semanales'!HU19+'Ventas Semanales'!HZ19</f>
        <v>110648.86</v>
      </c>
      <c r="BB20" s="34">
        <f>BA20*(BC20+40%)</f>
        <v>387271.01</v>
      </c>
      <c r="BC20" s="39">
        <v>3.1</v>
      </c>
      <c r="BD20" s="3">
        <f>'Ventas Semanales'!HN19+'Ventas Semanales'!HS19+'Ventas Semanales'!HX19+'Ventas Semanales'!IC19</f>
        <v>0</v>
      </c>
      <c r="BE20" s="7">
        <f t="shared" si="23"/>
        <v>0</v>
      </c>
      <c r="BF20" s="10">
        <f>'Ventas Semanales'!IE19+'Ventas Semanales'!IJ19+'Ventas Semanales'!IO19+'Ventas Semanales'!IT19+'Ventas Semanales'!IY19</f>
        <v>920888.17999999993</v>
      </c>
      <c r="BG20" s="34">
        <f>BF20*(BH20+40%)</f>
        <v>1657598.7239999997</v>
      </c>
      <c r="BH20" s="39">
        <v>1.4</v>
      </c>
      <c r="BI20" s="3">
        <f>'Ventas Semanales'!IH19+'Ventas Semanales'!IM19+'Ventas Semanales'!IR19+'Ventas Semanales'!IW19+'Ventas Semanales'!JB19</f>
        <v>0</v>
      </c>
      <c r="BJ20" s="7">
        <f t="shared" si="25"/>
        <v>0</v>
      </c>
      <c r="BK20" s="51">
        <f t="shared" si="26"/>
        <v>190711.38</v>
      </c>
      <c r="BL20" s="51">
        <f t="shared" si="27"/>
        <v>184334.86920000002</v>
      </c>
      <c r="BM20" s="189">
        <f t="shared" si="28"/>
        <v>1.0345919946002271</v>
      </c>
      <c r="BN20" s="64">
        <f>'Ventas Semanales'!JD19</f>
        <v>730383.5199999999</v>
      </c>
      <c r="BO20" s="69">
        <f>'Ventas Semanales'!JE19</f>
        <v>530302.49</v>
      </c>
      <c r="BP20" s="68">
        <f t="shared" si="29"/>
        <v>-200081.02999999991</v>
      </c>
      <c r="BQ20" s="66">
        <f t="shared" si="0"/>
        <v>0.72606031691405093</v>
      </c>
      <c r="BR20" s="54">
        <f t="shared" si="1"/>
        <v>5435143.3471999997</v>
      </c>
      <c r="BS20" s="54">
        <f t="shared" si="30"/>
        <v>5428398.3700000001</v>
      </c>
    </row>
    <row r="21" spans="2:71">
      <c r="B21" s="185" t="str">
        <f>"A15"</f>
        <v>A15</v>
      </c>
      <c r="C21" s="106">
        <f>'Ventas Semanales'!D20+'Ventas Semanales'!I20+'Ventas Semanales'!N20+'Ventas Semanales'!S20</f>
        <v>258034.64</v>
      </c>
      <c r="D21" s="1">
        <f t="shared" si="2"/>
        <v>175463.55520000003</v>
      </c>
      <c r="E21" s="39">
        <v>0.68</v>
      </c>
      <c r="F21" s="107">
        <f>'Ventas Semanales'!G20+'Ventas Semanales'!L20+'Ventas Semanales'!Q20+'Ventas Semanales'!V20</f>
        <v>148987.82</v>
      </c>
      <c r="G21" s="42">
        <f t="shared" si="3"/>
        <v>0.57739464747833857</v>
      </c>
      <c r="H21" s="10">
        <f>'Ventas Semanales'!X20+'Ventas Semanales'!AC20+'Ventas Semanales'!AH20+'Ventas Semanales'!AM20</f>
        <v>254641.71000000002</v>
      </c>
      <c r="I21" s="1">
        <f t="shared" si="4"/>
        <v>178249.19700000001</v>
      </c>
      <c r="J21" s="2">
        <v>0.7</v>
      </c>
      <c r="K21" s="3">
        <f>'Ventas Semanales'!AA20+'Ventas Semanales'!AF20+'Ventas Semanales'!AK20+'Ventas Semanales'!AP20</f>
        <v>165270.52000000002</v>
      </c>
      <c r="L21" s="42">
        <f t="shared" si="5"/>
        <v>0.64903161387032782</v>
      </c>
      <c r="M21" s="38">
        <f>'Ventas Semanales'!AR20+'Ventas Semanales'!AW20+'Ventas Semanales'!BB20+'Ventas Semanales'!BG20+'Ventas Semanales'!BL20</f>
        <v>265792.23</v>
      </c>
      <c r="N21" s="34">
        <f t="shared" si="6"/>
        <v>279081.84149999998</v>
      </c>
      <c r="O21" s="39">
        <v>1.05</v>
      </c>
      <c r="P21" s="35">
        <f>'Ventas Semanales'!AU20+'Ventas Semanales'!AZ20+'Ventas Semanales'!BE20+'Ventas Semanales'!BJ20+'Ventas Semanales'!BO20</f>
        <v>146119.33000000002</v>
      </c>
      <c r="Q21" s="45">
        <f t="shared" si="7"/>
        <v>0.54975019397670133</v>
      </c>
      <c r="R21" s="38">
        <f>'Ventas Semanales'!BQ20+'Ventas Semanales'!BV20+'Ventas Semanales'!CA20+'Ventas Semanales'!CF20</f>
        <v>139109.44999999998</v>
      </c>
      <c r="S21" s="34">
        <f t="shared" ref="S21:S26" si="31">R21*T21</f>
        <v>410372.87749999994</v>
      </c>
      <c r="T21" s="39">
        <v>2.95</v>
      </c>
      <c r="U21" s="35"/>
      <c r="V21" s="33">
        <f t="shared" si="9"/>
        <v>0</v>
      </c>
      <c r="W21" s="38">
        <f>'Ventas Semanales'!CK20+'Ventas Semanales'!CP20+'Ventas Semanales'!CU20+'Ventas Semanales'!CZ20</f>
        <v>4091.71</v>
      </c>
      <c r="X21" s="34">
        <f t="shared" ref="X21:X26" si="32">W21*Y21</f>
        <v>24550.260000000002</v>
      </c>
      <c r="Y21" s="39">
        <v>6</v>
      </c>
      <c r="Z21" s="35"/>
      <c r="AA21" s="33">
        <f t="shared" si="11"/>
        <v>0</v>
      </c>
      <c r="AB21" s="38">
        <f>'Ventas Semanales'!DE20+'Ventas Semanales'!DJ20+'Ventas Semanales'!DO20+'Ventas Semanales'!DT20+'Ventas Semanales'!DY20</f>
        <v>186800.89</v>
      </c>
      <c r="AC21" s="34">
        <f t="shared" ref="AC21:AC26" si="33">AB21*AD21</f>
        <v>448322.136</v>
      </c>
      <c r="AD21" s="39">
        <v>2.4</v>
      </c>
      <c r="AE21" s="35"/>
      <c r="AF21" s="33">
        <f t="shared" si="13"/>
        <v>0</v>
      </c>
      <c r="AG21" s="38">
        <f>'Ventas Semanales'!ED20+'Ventas Semanales'!EI20+'Ventas Semanales'!EN20+'Ventas Semanales'!ES20</f>
        <v>207328.01</v>
      </c>
      <c r="AH21" s="34">
        <f t="shared" ref="AH21:AH26" si="34">AG21*AI21</f>
        <v>352457.61700000003</v>
      </c>
      <c r="AI21" s="39">
        <v>1.7</v>
      </c>
      <c r="AJ21" s="35"/>
      <c r="AK21" s="33">
        <f t="shared" si="15"/>
        <v>0</v>
      </c>
      <c r="AL21" s="38">
        <f>'Ventas Semanales'!EX20+'Ventas Semanales'!FC20+'Ventas Semanales'!FH20+'Ventas Semanales'!FM20</f>
        <v>195716.46000000002</v>
      </c>
      <c r="AM21" s="34">
        <f t="shared" ref="AM21:AM26" si="35">AL21*AN21</f>
        <v>332717.98200000002</v>
      </c>
      <c r="AN21" s="39">
        <v>1.7</v>
      </c>
      <c r="AO21" s="35"/>
      <c r="AP21" s="7">
        <f t="shared" si="17"/>
        <v>0</v>
      </c>
      <c r="AQ21" s="38">
        <f>'Ventas Semanales'!FR20+'Ventas Semanales'!FW20+'Ventas Semanales'!GB20+'Ventas Semanales'!GG20+'Ventas Semanales'!GL20</f>
        <v>234153.41000000003</v>
      </c>
      <c r="AR21" s="34">
        <f t="shared" ref="AR21:AR26" si="36">AQ21*AS21</f>
        <v>393377.72880000004</v>
      </c>
      <c r="AS21" s="39">
        <v>1.68</v>
      </c>
      <c r="AT21" s="35"/>
      <c r="AU21" s="46">
        <f t="shared" si="19"/>
        <v>0</v>
      </c>
      <c r="AV21" s="10">
        <f>'Ventas Semanales'!GQ20+'Ventas Semanales'!GV20+'Ventas Semanales'!HA20+'Ventas Semanales'!HF20</f>
        <v>125443.20000000001</v>
      </c>
      <c r="AW21" s="34">
        <f t="shared" ref="AW21:AW26" si="37">AV21*AX21</f>
        <v>288519.36</v>
      </c>
      <c r="AX21" s="39">
        <v>2.2999999999999998</v>
      </c>
      <c r="AY21" s="3"/>
      <c r="AZ21" s="7">
        <f t="shared" si="21"/>
        <v>0</v>
      </c>
      <c r="BA21" s="6">
        <f>'Ventas Semanales'!HK20+'Ventas Semanales'!HP20+'Ventas Semanales'!HU20+'Ventas Semanales'!HZ20</f>
        <v>103300.06999999999</v>
      </c>
      <c r="BB21" s="34">
        <f t="shared" ref="BB21:BB26" si="38">BA21*BC21</f>
        <v>320230.217</v>
      </c>
      <c r="BC21" s="39">
        <v>3.1</v>
      </c>
      <c r="BD21" s="3">
        <f>'Ventas Semanales'!HN20+'Ventas Semanales'!HS20+'Ventas Semanales'!HX20+'Ventas Semanales'!IC20</f>
        <v>0</v>
      </c>
      <c r="BE21" s="7">
        <f t="shared" si="23"/>
        <v>0</v>
      </c>
      <c r="BF21" s="10">
        <f>'Ventas Semanales'!IE20+'Ventas Semanales'!IJ20+'Ventas Semanales'!IO20+'Ventas Semanales'!IT20+'Ventas Semanales'!IY20</f>
        <v>625212.12999999989</v>
      </c>
      <c r="BG21" s="34">
        <f t="shared" ref="BG21:BG26" si="39">BF21*BH21</f>
        <v>875296.98199999984</v>
      </c>
      <c r="BH21" s="39">
        <v>1.4</v>
      </c>
      <c r="BI21" s="3">
        <f>'Ventas Semanales'!IH20+'Ventas Semanales'!IM20+'Ventas Semanales'!IR20+'Ventas Semanales'!IW20+'Ventas Semanales'!JB20</f>
        <v>0</v>
      </c>
      <c r="BJ21" s="7">
        <f t="shared" si="25"/>
        <v>0</v>
      </c>
      <c r="BK21" s="51">
        <f t="shared" si="26"/>
        <v>148987.82</v>
      </c>
      <c r="BL21" s="51">
        <f t="shared" si="27"/>
        <v>175463.55520000003</v>
      </c>
      <c r="BM21" s="189">
        <f t="shared" si="28"/>
        <v>0.84910977570343893</v>
      </c>
      <c r="BN21" s="64">
        <f>'Ventas Semanales'!JD20</f>
        <v>693150.22</v>
      </c>
      <c r="BO21" s="69">
        <f>'Ventas Semanales'!JE20</f>
        <v>460377.67</v>
      </c>
      <c r="BP21" s="68">
        <f t="shared" si="29"/>
        <v>-232772.55</v>
      </c>
      <c r="BQ21" s="66">
        <f t="shared" si="0"/>
        <v>0.66418166901829734</v>
      </c>
      <c r="BR21" s="54">
        <f t="shared" si="1"/>
        <v>4078639.7540000002</v>
      </c>
      <c r="BS21" s="54">
        <f t="shared" si="30"/>
        <v>4039185.3418000001</v>
      </c>
    </row>
    <row r="22" spans="2:71">
      <c r="B22" s="185" t="str">
        <f>"A16"</f>
        <v>A16</v>
      </c>
      <c r="C22" s="106">
        <f>'Ventas Semanales'!D21+'Ventas Semanales'!I21+'Ventas Semanales'!N21+'Ventas Semanales'!S21</f>
        <v>313442.66000000003</v>
      </c>
      <c r="D22" s="1">
        <f t="shared" si="2"/>
        <v>213141.00880000004</v>
      </c>
      <c r="E22" s="39">
        <v>0.68</v>
      </c>
      <c r="F22" s="107">
        <f>'Ventas Semanales'!G21+'Ventas Semanales'!L21+'Ventas Semanales'!Q21+'Ventas Semanales'!V21</f>
        <v>256360.74</v>
      </c>
      <c r="G22" s="42">
        <f t="shared" si="3"/>
        <v>0.81788720144220306</v>
      </c>
      <c r="H22" s="10">
        <f>'Ventas Semanales'!X21+'Ventas Semanales'!AC21+'Ventas Semanales'!AH21+'Ventas Semanales'!AM21</f>
        <v>391647.31</v>
      </c>
      <c r="I22" s="1">
        <f t="shared" si="4"/>
        <v>274153.11699999997</v>
      </c>
      <c r="J22" s="2">
        <v>0.7</v>
      </c>
      <c r="K22" s="3">
        <f>'Ventas Semanales'!AA21+'Ventas Semanales'!AF21+'Ventas Semanales'!AK21+'Ventas Semanales'!AP21</f>
        <v>254170.97000000003</v>
      </c>
      <c r="L22" s="42">
        <f t="shared" si="5"/>
        <v>0.64897923082888032</v>
      </c>
      <c r="M22" s="38">
        <f>'Ventas Semanales'!AR21+'Ventas Semanales'!AW21+'Ventas Semanales'!BB21+'Ventas Semanales'!BG21+'Ventas Semanales'!BL21</f>
        <v>383800.61</v>
      </c>
      <c r="N22" s="34">
        <f t="shared" si="6"/>
        <v>402990.64049999998</v>
      </c>
      <c r="O22" s="39">
        <v>1.05</v>
      </c>
      <c r="P22" s="35">
        <f>'Ventas Semanales'!AU21+'Ventas Semanales'!AZ21+'Ventas Semanales'!BE21+'Ventas Semanales'!BJ21+'Ventas Semanales'!BO21</f>
        <v>214136.49</v>
      </c>
      <c r="Q22" s="45">
        <f t="shared" si="7"/>
        <v>0.5579368151603511</v>
      </c>
      <c r="R22" s="38">
        <f>'Ventas Semanales'!BQ21+'Ventas Semanales'!BV21+'Ventas Semanales'!CA21+'Ventas Semanales'!CF21</f>
        <v>103091.23000000001</v>
      </c>
      <c r="S22" s="34">
        <f t="shared" si="31"/>
        <v>304119.12850000005</v>
      </c>
      <c r="T22" s="39">
        <v>2.95</v>
      </c>
      <c r="U22" s="35"/>
      <c r="V22" s="33">
        <f t="shared" si="9"/>
        <v>0</v>
      </c>
      <c r="W22" s="38">
        <f>'Ventas Semanales'!CK21+'Ventas Semanales'!CP21+'Ventas Semanales'!CU21+'Ventas Semanales'!CZ21</f>
        <v>0</v>
      </c>
      <c r="X22" s="34">
        <f t="shared" si="32"/>
        <v>0</v>
      </c>
      <c r="Y22" s="39">
        <v>6</v>
      </c>
      <c r="Z22" s="35"/>
      <c r="AA22" s="33" t="e">
        <f t="shared" si="11"/>
        <v>#DIV/0!</v>
      </c>
      <c r="AB22" s="38">
        <f>'Ventas Semanales'!DE21+'Ventas Semanales'!DJ21+'Ventas Semanales'!DO21+'Ventas Semanales'!DT21+'Ventas Semanales'!DY21</f>
        <v>182338.43</v>
      </c>
      <c r="AC22" s="34">
        <f t="shared" si="33"/>
        <v>437612.23199999996</v>
      </c>
      <c r="AD22" s="39">
        <v>2.4</v>
      </c>
      <c r="AE22" s="35"/>
      <c r="AF22" s="33">
        <f t="shared" si="13"/>
        <v>0</v>
      </c>
      <c r="AG22" s="38">
        <f>'Ventas Semanales'!ED21+'Ventas Semanales'!EI21+'Ventas Semanales'!EN21+'Ventas Semanales'!ES21</f>
        <v>267744.36</v>
      </c>
      <c r="AH22" s="34">
        <f t="shared" si="34"/>
        <v>455165.41199999995</v>
      </c>
      <c r="AI22" s="39">
        <v>1.7</v>
      </c>
      <c r="AJ22" s="35"/>
      <c r="AK22" s="33">
        <f t="shared" si="15"/>
        <v>0</v>
      </c>
      <c r="AL22" s="38">
        <f>'Ventas Semanales'!EX21+'Ventas Semanales'!FC21+'Ventas Semanales'!FH21+'Ventas Semanales'!FM21</f>
        <v>264770.92</v>
      </c>
      <c r="AM22" s="34">
        <f t="shared" si="35"/>
        <v>450110.56399999995</v>
      </c>
      <c r="AN22" s="39">
        <v>1.7</v>
      </c>
      <c r="AO22" s="35"/>
      <c r="AP22" s="7">
        <f t="shared" si="17"/>
        <v>0</v>
      </c>
      <c r="AQ22" s="38">
        <f>'Ventas Semanales'!FR21+'Ventas Semanales'!FW21+'Ventas Semanales'!GB21+'Ventas Semanales'!GG21+'Ventas Semanales'!GL21</f>
        <v>338567.85</v>
      </c>
      <c r="AR22" s="34">
        <f t="shared" si="36"/>
        <v>568793.9879999999</v>
      </c>
      <c r="AS22" s="39">
        <v>1.68</v>
      </c>
      <c r="AT22" s="35"/>
      <c r="AU22" s="46">
        <f t="shared" si="19"/>
        <v>0</v>
      </c>
      <c r="AV22" s="10">
        <f>'Ventas Semanales'!GQ21+'Ventas Semanales'!GV21+'Ventas Semanales'!HA21+'Ventas Semanales'!HF21</f>
        <v>196861.83999999997</v>
      </c>
      <c r="AW22" s="34">
        <f t="shared" si="37"/>
        <v>452782.2319999999</v>
      </c>
      <c r="AX22" s="39">
        <v>2.2999999999999998</v>
      </c>
      <c r="AY22" s="3"/>
      <c r="AZ22" s="7">
        <f t="shared" si="21"/>
        <v>0</v>
      </c>
      <c r="BA22" s="6">
        <f>'Ventas Semanales'!HK21+'Ventas Semanales'!HP21+'Ventas Semanales'!HU21+'Ventas Semanales'!HZ21</f>
        <v>95933.49</v>
      </c>
      <c r="BB22" s="34">
        <f t="shared" si="38"/>
        <v>297393.81900000002</v>
      </c>
      <c r="BC22" s="39">
        <v>3.1</v>
      </c>
      <c r="BD22" s="3">
        <f>'Ventas Semanales'!HN21+'Ventas Semanales'!HS21+'Ventas Semanales'!HX21+'Ventas Semanales'!IC21</f>
        <v>0</v>
      </c>
      <c r="BE22" s="7">
        <f t="shared" si="23"/>
        <v>0</v>
      </c>
      <c r="BF22" s="10">
        <f>'Ventas Semanales'!IE21+'Ventas Semanales'!IJ21+'Ventas Semanales'!IO21+'Ventas Semanales'!IT21+'Ventas Semanales'!IY21</f>
        <v>826603.88</v>
      </c>
      <c r="BG22" s="34">
        <f t="shared" si="39"/>
        <v>1157245.432</v>
      </c>
      <c r="BH22" s="39">
        <v>1.4</v>
      </c>
      <c r="BI22" s="3">
        <f>'Ventas Semanales'!IH21+'Ventas Semanales'!IM21+'Ventas Semanales'!IR21+'Ventas Semanales'!IW21+'Ventas Semanales'!JB21</f>
        <v>0</v>
      </c>
      <c r="BJ22" s="7">
        <f t="shared" si="25"/>
        <v>0</v>
      </c>
      <c r="BK22" s="51">
        <f t="shared" si="26"/>
        <v>256360.74</v>
      </c>
      <c r="BL22" s="51">
        <f t="shared" si="27"/>
        <v>213141.00880000004</v>
      </c>
      <c r="BM22" s="189">
        <f t="shared" si="28"/>
        <v>1.2027752962385339</v>
      </c>
      <c r="BN22" s="64">
        <f>'Ventas Semanales'!JD21</f>
        <v>979693.24</v>
      </c>
      <c r="BO22" s="69">
        <f>'Ventas Semanales'!JE21</f>
        <v>724668.20000000007</v>
      </c>
      <c r="BP22" s="68">
        <f t="shared" si="29"/>
        <v>-255025.03999999992</v>
      </c>
      <c r="BQ22" s="66">
        <f t="shared" si="0"/>
        <v>0.7396888846553642</v>
      </c>
      <c r="BR22" s="54">
        <f t="shared" si="1"/>
        <v>5013507.5737999994</v>
      </c>
      <c r="BS22" s="54">
        <f t="shared" si="30"/>
        <v>5036745.1579999998</v>
      </c>
    </row>
    <row r="23" spans="2:71">
      <c r="B23" s="185" t="str">
        <f>"A17"</f>
        <v>A17</v>
      </c>
      <c r="C23" s="106">
        <f>'Ventas Semanales'!D22+'Ventas Semanales'!I22+'Ventas Semanales'!N22+'Ventas Semanales'!S22</f>
        <v>280334.38</v>
      </c>
      <c r="D23" s="1">
        <f t="shared" si="2"/>
        <v>190627.37840000002</v>
      </c>
      <c r="E23" s="39">
        <v>0.68</v>
      </c>
      <c r="F23" s="107">
        <f>'Ventas Semanales'!G22+'Ventas Semanales'!L22+'Ventas Semanales'!Q22+'Ventas Semanales'!V22</f>
        <v>163144.31</v>
      </c>
      <c r="G23" s="42">
        <f t="shared" si="3"/>
        <v>0.58196326115976216</v>
      </c>
      <c r="H23" s="10">
        <f>'Ventas Semanales'!X22+'Ventas Semanales'!AC22+'Ventas Semanales'!AH22+'Ventas Semanales'!AM22</f>
        <v>308236.23</v>
      </c>
      <c r="I23" s="1">
        <f t="shared" si="4"/>
        <v>215765.36099999998</v>
      </c>
      <c r="J23" s="2">
        <v>0.7</v>
      </c>
      <c r="K23" s="3">
        <f>'Ventas Semanales'!AA22+'Ventas Semanales'!AF22+'Ventas Semanales'!AK22+'Ventas Semanales'!AP22</f>
        <v>204682.82</v>
      </c>
      <c r="L23" s="42">
        <f t="shared" si="5"/>
        <v>0.66404530058001299</v>
      </c>
      <c r="M23" s="38">
        <f>'Ventas Semanales'!AR22+'Ventas Semanales'!AW22+'Ventas Semanales'!BB22+'Ventas Semanales'!BG22+'Ventas Semanales'!BL22</f>
        <v>293666.71999999997</v>
      </c>
      <c r="N23" s="34">
        <f t="shared" si="6"/>
        <v>308350.05599999998</v>
      </c>
      <c r="O23" s="39">
        <v>1.05</v>
      </c>
      <c r="P23" s="35">
        <f>'Ventas Semanales'!AU22+'Ventas Semanales'!AZ22+'Ventas Semanales'!BE22+'Ventas Semanales'!BJ22+'Ventas Semanales'!BO22</f>
        <v>154288.87</v>
      </c>
      <c r="Q23" s="45">
        <f t="shared" si="7"/>
        <v>0.52538765713731539</v>
      </c>
      <c r="R23" s="38">
        <f>'Ventas Semanales'!BQ22+'Ventas Semanales'!BV22+'Ventas Semanales'!CA22+'Ventas Semanales'!CF22</f>
        <v>206766.71999999997</v>
      </c>
      <c r="S23" s="34">
        <f t="shared" si="31"/>
        <v>609961.82399999991</v>
      </c>
      <c r="T23" s="39">
        <v>2.95</v>
      </c>
      <c r="U23" s="35"/>
      <c r="V23" s="33">
        <f t="shared" si="9"/>
        <v>0</v>
      </c>
      <c r="W23" s="38">
        <f>'Ventas Semanales'!CK22+'Ventas Semanales'!CP22+'Ventas Semanales'!CU22+'Ventas Semanales'!CZ22</f>
        <v>128965.9</v>
      </c>
      <c r="X23" s="34">
        <f t="shared" si="32"/>
        <v>773795.39999999991</v>
      </c>
      <c r="Y23" s="39">
        <v>6</v>
      </c>
      <c r="Z23" s="35"/>
      <c r="AA23" s="33">
        <f t="shared" si="11"/>
        <v>0</v>
      </c>
      <c r="AB23" s="38">
        <f>'Ventas Semanales'!DE22+'Ventas Semanales'!DJ22+'Ventas Semanales'!DO22+'Ventas Semanales'!DT22+'Ventas Semanales'!DY22</f>
        <v>240893.9</v>
      </c>
      <c r="AC23" s="34">
        <f t="shared" si="33"/>
        <v>578145.36</v>
      </c>
      <c r="AD23" s="39">
        <v>2.4</v>
      </c>
      <c r="AE23" s="35"/>
      <c r="AF23" s="33">
        <f t="shared" si="13"/>
        <v>0</v>
      </c>
      <c r="AG23" s="38">
        <f>'Ventas Semanales'!ED22+'Ventas Semanales'!EI22+'Ventas Semanales'!EN22+'Ventas Semanales'!ES22</f>
        <v>238270.69</v>
      </c>
      <c r="AH23" s="34">
        <f t="shared" si="34"/>
        <v>405060.17300000001</v>
      </c>
      <c r="AI23" s="39">
        <v>1.7</v>
      </c>
      <c r="AJ23" s="35"/>
      <c r="AK23" s="33">
        <f t="shared" si="15"/>
        <v>0</v>
      </c>
      <c r="AL23" s="38">
        <f>'Ventas Semanales'!EX22+'Ventas Semanales'!FC22+'Ventas Semanales'!FH22+'Ventas Semanales'!FM22</f>
        <v>208186.77000000002</v>
      </c>
      <c r="AM23" s="34">
        <f t="shared" si="35"/>
        <v>353917.50900000002</v>
      </c>
      <c r="AN23" s="39">
        <v>1.7</v>
      </c>
      <c r="AO23" s="35"/>
      <c r="AP23" s="7">
        <f t="shared" si="17"/>
        <v>0</v>
      </c>
      <c r="AQ23" s="38">
        <f>'Ventas Semanales'!FR22+'Ventas Semanales'!FW22+'Ventas Semanales'!GB22+'Ventas Semanales'!GG22+'Ventas Semanales'!GL22</f>
        <v>256893.72</v>
      </c>
      <c r="AR23" s="34">
        <f t="shared" si="36"/>
        <v>431581.44959999999</v>
      </c>
      <c r="AS23" s="39">
        <v>1.68</v>
      </c>
      <c r="AT23" s="35"/>
      <c r="AU23" s="46">
        <f t="shared" si="19"/>
        <v>0</v>
      </c>
      <c r="AV23" s="10">
        <f>'Ventas Semanales'!GQ22+'Ventas Semanales'!GV22+'Ventas Semanales'!HA22+'Ventas Semanales'!HF22</f>
        <v>172402.58</v>
      </c>
      <c r="AW23" s="34">
        <f t="shared" si="37"/>
        <v>396525.93399999995</v>
      </c>
      <c r="AX23" s="39">
        <v>2.2999999999999998</v>
      </c>
      <c r="AY23" s="3"/>
      <c r="AZ23" s="7">
        <f t="shared" si="21"/>
        <v>0</v>
      </c>
      <c r="BA23" s="6">
        <f>'Ventas Semanales'!HK22+'Ventas Semanales'!HP22+'Ventas Semanales'!HU22+'Ventas Semanales'!HZ22</f>
        <v>181735.1</v>
      </c>
      <c r="BB23" s="34">
        <f t="shared" si="38"/>
        <v>563378.81000000006</v>
      </c>
      <c r="BC23" s="39">
        <v>3.1</v>
      </c>
      <c r="BD23" s="3">
        <f>'Ventas Semanales'!HN22+'Ventas Semanales'!HS22+'Ventas Semanales'!HX22+'Ventas Semanales'!IC22</f>
        <v>0</v>
      </c>
      <c r="BE23" s="7">
        <f t="shared" si="23"/>
        <v>0</v>
      </c>
      <c r="BF23" s="10">
        <f>'Ventas Semanales'!IE22+'Ventas Semanales'!IJ22+'Ventas Semanales'!IO22+'Ventas Semanales'!IT22+'Ventas Semanales'!IY22</f>
        <v>587030.69999999995</v>
      </c>
      <c r="BG23" s="34">
        <f t="shared" si="39"/>
        <v>821842.97999999986</v>
      </c>
      <c r="BH23" s="39">
        <v>1.4</v>
      </c>
      <c r="BI23" s="3">
        <f>'Ventas Semanales'!IH22+'Ventas Semanales'!IM22+'Ventas Semanales'!IR22+'Ventas Semanales'!IW22+'Ventas Semanales'!JB22</f>
        <v>0</v>
      </c>
      <c r="BJ23" s="7">
        <f t="shared" si="25"/>
        <v>0</v>
      </c>
      <c r="BK23" s="51">
        <f t="shared" si="26"/>
        <v>163144.31</v>
      </c>
      <c r="BL23" s="51">
        <f t="shared" si="27"/>
        <v>190627.37840000002</v>
      </c>
      <c r="BM23" s="189">
        <f t="shared" si="28"/>
        <v>0.85582832523494423</v>
      </c>
      <c r="BN23" s="64">
        <f>'Ventas Semanales'!JD22</f>
        <v>785811.84999999986</v>
      </c>
      <c r="BO23" s="69">
        <f>'Ventas Semanales'!JE22</f>
        <v>522116</v>
      </c>
      <c r="BP23" s="68">
        <f t="shared" si="29"/>
        <v>-263695.84999999986</v>
      </c>
      <c r="BQ23" s="66">
        <f t="shared" si="0"/>
        <v>0.66442876879497315</v>
      </c>
      <c r="BR23" s="54">
        <f t="shared" si="1"/>
        <v>5648952.2349999985</v>
      </c>
      <c r="BS23" s="54">
        <f t="shared" si="30"/>
        <v>5610386.6255999999</v>
      </c>
    </row>
    <row r="24" spans="2:71">
      <c r="B24" s="185" t="str">
        <f>"A18"</f>
        <v>A18</v>
      </c>
      <c r="C24" s="106">
        <f>'Ventas Semanales'!D23+'Ventas Semanales'!I23+'Ventas Semanales'!N23+'Ventas Semanales'!S23</f>
        <v>382412.86</v>
      </c>
      <c r="D24" s="1">
        <f t="shared" si="2"/>
        <v>260040.74480000001</v>
      </c>
      <c r="E24" s="39">
        <v>0.68</v>
      </c>
      <c r="F24" s="107">
        <f>'Ventas Semanales'!G23+'Ventas Semanales'!L23+'Ventas Semanales'!Q23+'Ventas Semanales'!V23</f>
        <v>260384.97999999998</v>
      </c>
      <c r="G24" s="42">
        <f t="shared" si="3"/>
        <v>0.68090016638038786</v>
      </c>
      <c r="H24" s="10">
        <f>'Ventas Semanales'!X23+'Ventas Semanales'!AC23+'Ventas Semanales'!AH23+'Ventas Semanales'!AM23</f>
        <v>403643.67000000004</v>
      </c>
      <c r="I24" s="1">
        <f t="shared" si="4"/>
        <v>282550.56900000002</v>
      </c>
      <c r="J24" s="2">
        <v>0.7</v>
      </c>
      <c r="K24" s="3">
        <f>'Ventas Semanales'!AA23+'Ventas Semanales'!AF23+'Ventas Semanales'!AK23+'Ventas Semanales'!AP23</f>
        <v>281668.49</v>
      </c>
      <c r="L24" s="42">
        <f t="shared" si="5"/>
        <v>0.6978147087008697</v>
      </c>
      <c r="M24" s="38">
        <f>'Ventas Semanales'!AR23+'Ventas Semanales'!AW23+'Ventas Semanales'!BB23+'Ventas Semanales'!BG23+'Ventas Semanales'!BL23</f>
        <v>394587.25</v>
      </c>
      <c r="N24" s="34">
        <f t="shared" si="6"/>
        <v>414316.61250000005</v>
      </c>
      <c r="O24" s="39">
        <v>1.05</v>
      </c>
      <c r="P24" s="35">
        <f>'Ventas Semanales'!AU23+'Ventas Semanales'!AZ23+'Ventas Semanales'!BE23+'Ventas Semanales'!BJ23+'Ventas Semanales'!BO23</f>
        <v>194041.53999999998</v>
      </c>
      <c r="Q24" s="45">
        <f t="shared" si="7"/>
        <v>0.49175826132243244</v>
      </c>
      <c r="R24" s="38">
        <f>'Ventas Semanales'!BQ23+'Ventas Semanales'!BV23+'Ventas Semanales'!CA23+'Ventas Semanales'!CF23</f>
        <v>264253.65000000002</v>
      </c>
      <c r="S24" s="34">
        <f t="shared" si="31"/>
        <v>779548.26750000007</v>
      </c>
      <c r="T24" s="39">
        <v>2.95</v>
      </c>
      <c r="U24" s="35"/>
      <c r="V24" s="33">
        <f t="shared" si="9"/>
        <v>0</v>
      </c>
      <c r="W24" s="38">
        <f>'Ventas Semanales'!CK23+'Ventas Semanales'!CP23+'Ventas Semanales'!CU23+'Ventas Semanales'!CZ23</f>
        <v>215373.27</v>
      </c>
      <c r="X24" s="34">
        <f t="shared" si="32"/>
        <v>1292239.6199999999</v>
      </c>
      <c r="Y24" s="39">
        <v>6</v>
      </c>
      <c r="Z24" s="35"/>
      <c r="AA24" s="33">
        <f t="shared" si="11"/>
        <v>0</v>
      </c>
      <c r="AB24" s="38">
        <f>'Ventas Semanales'!DE23+'Ventas Semanales'!DJ23+'Ventas Semanales'!DO23+'Ventas Semanales'!DT23+'Ventas Semanales'!DY23</f>
        <v>244898.78</v>
      </c>
      <c r="AC24" s="34">
        <f t="shared" si="33"/>
        <v>587757.07199999993</v>
      </c>
      <c r="AD24" s="39">
        <v>2.4</v>
      </c>
      <c r="AE24" s="35"/>
      <c r="AF24" s="33">
        <f t="shared" si="13"/>
        <v>0</v>
      </c>
      <c r="AG24" s="38">
        <f>'Ventas Semanales'!ED23+'Ventas Semanales'!EI23+'Ventas Semanales'!EN23+'Ventas Semanales'!ES23</f>
        <v>253995.47999999998</v>
      </c>
      <c r="AH24" s="34">
        <f t="shared" si="34"/>
        <v>431792.31599999993</v>
      </c>
      <c r="AI24" s="39">
        <v>1.7</v>
      </c>
      <c r="AJ24" s="35"/>
      <c r="AK24" s="33">
        <f t="shared" si="15"/>
        <v>0</v>
      </c>
      <c r="AL24" s="38">
        <f>'Ventas Semanales'!EX23+'Ventas Semanales'!FC23+'Ventas Semanales'!FH23+'Ventas Semanales'!FM23</f>
        <v>288443.64</v>
      </c>
      <c r="AM24" s="34">
        <f t="shared" si="35"/>
        <v>490354.18800000002</v>
      </c>
      <c r="AN24" s="39">
        <v>1.7</v>
      </c>
      <c r="AO24" s="35"/>
      <c r="AP24" s="7">
        <f t="shared" si="17"/>
        <v>0</v>
      </c>
      <c r="AQ24" s="38">
        <f>'Ventas Semanales'!FR23+'Ventas Semanales'!FW23+'Ventas Semanales'!GB23+'Ventas Semanales'!GG23+'Ventas Semanales'!GL23</f>
        <v>301773.87</v>
      </c>
      <c r="AR24" s="34">
        <f t="shared" si="36"/>
        <v>506980.10159999999</v>
      </c>
      <c r="AS24" s="39">
        <v>1.68</v>
      </c>
      <c r="AT24" s="35"/>
      <c r="AU24" s="46">
        <f t="shared" si="19"/>
        <v>0</v>
      </c>
      <c r="AV24" s="10">
        <f>'Ventas Semanales'!GQ23+'Ventas Semanales'!GV23+'Ventas Semanales'!HA23+'Ventas Semanales'!HF23</f>
        <v>191070.26</v>
      </c>
      <c r="AW24" s="34">
        <f t="shared" si="37"/>
        <v>439461.598</v>
      </c>
      <c r="AX24" s="39">
        <v>2.2999999999999998</v>
      </c>
      <c r="AY24" s="3"/>
      <c r="AZ24" s="7">
        <f t="shared" si="21"/>
        <v>0</v>
      </c>
      <c r="BA24" s="6">
        <f>'Ventas Semanales'!HK23+'Ventas Semanales'!HP23+'Ventas Semanales'!HU23+'Ventas Semanales'!HZ23</f>
        <v>223157.41</v>
      </c>
      <c r="BB24" s="34">
        <f t="shared" si="38"/>
        <v>691787.97100000002</v>
      </c>
      <c r="BC24" s="39">
        <v>3.1</v>
      </c>
      <c r="BD24" s="3">
        <f>'Ventas Semanales'!HN23+'Ventas Semanales'!HS23+'Ventas Semanales'!HX23+'Ventas Semanales'!IC23</f>
        <v>0</v>
      </c>
      <c r="BE24" s="7">
        <f t="shared" si="23"/>
        <v>0</v>
      </c>
      <c r="BF24" s="10">
        <f>'Ventas Semanales'!IE23+'Ventas Semanales'!IJ23+'Ventas Semanales'!IO23+'Ventas Semanales'!IT23+'Ventas Semanales'!IY23</f>
        <v>714087.07000000007</v>
      </c>
      <c r="BG24" s="34">
        <f t="shared" si="39"/>
        <v>999721.89800000004</v>
      </c>
      <c r="BH24" s="39">
        <v>1.4</v>
      </c>
      <c r="BI24" s="3">
        <f>'Ventas Semanales'!IH23+'Ventas Semanales'!IM23+'Ventas Semanales'!IR23+'Ventas Semanales'!IW23+'Ventas Semanales'!JB23</f>
        <v>0</v>
      </c>
      <c r="BJ24" s="7">
        <f t="shared" si="25"/>
        <v>0</v>
      </c>
      <c r="BK24" s="51">
        <f t="shared" si="26"/>
        <v>260384.97999999998</v>
      </c>
      <c r="BL24" s="51">
        <f t="shared" si="27"/>
        <v>260040.74480000001</v>
      </c>
      <c r="BM24" s="189">
        <f t="shared" si="28"/>
        <v>1.0013237740888057</v>
      </c>
      <c r="BN24" s="64">
        <f>'Ventas Semanales'!JD23</f>
        <v>1045159.1199999999</v>
      </c>
      <c r="BO24" s="69">
        <f>'Ventas Semanales'!JE23</f>
        <v>736095.01</v>
      </c>
      <c r="BP24" s="68">
        <f t="shared" si="29"/>
        <v>-309064.10999999987</v>
      </c>
      <c r="BQ24" s="66">
        <f t="shared" si="0"/>
        <v>0.70428989798223274</v>
      </c>
      <c r="BR24" s="54">
        <f t="shared" si="1"/>
        <v>7176550.958399999</v>
      </c>
      <c r="BS24" s="54">
        <f t="shared" si="30"/>
        <v>7176013.114599999</v>
      </c>
    </row>
    <row r="25" spans="2:71">
      <c r="B25" s="185" t="str">
        <f>"A22"</f>
        <v>A22</v>
      </c>
      <c r="C25" s="106">
        <f>'Ventas Semanales'!D24+'Ventas Semanales'!I24+'Ventas Semanales'!N24+'Ventas Semanales'!S24</f>
        <v>350199.62</v>
      </c>
      <c r="D25" s="1">
        <f t="shared" si="2"/>
        <v>238135.74160000001</v>
      </c>
      <c r="E25" s="39">
        <v>0.68</v>
      </c>
      <c r="F25" s="107">
        <f>'Ventas Semanales'!G24+'Ventas Semanales'!L24+'Ventas Semanales'!Q24+'Ventas Semanales'!V24</f>
        <v>219558.22999999998</v>
      </c>
      <c r="G25" s="42">
        <f t="shared" si="3"/>
        <v>0.62695165117540674</v>
      </c>
      <c r="H25" s="10">
        <f>'Ventas Semanales'!X24+'Ventas Semanales'!AC24+'Ventas Semanales'!AH24+'Ventas Semanales'!AM24</f>
        <v>384401.31000000006</v>
      </c>
      <c r="I25" s="1">
        <f t="shared" si="4"/>
        <v>269080.91700000002</v>
      </c>
      <c r="J25" s="2">
        <v>0.7</v>
      </c>
      <c r="K25" s="3">
        <f>'Ventas Semanales'!AA24+'Ventas Semanales'!AF24+'Ventas Semanales'!AK24+'Ventas Semanales'!AP24</f>
        <v>250354.42</v>
      </c>
      <c r="L25" s="42">
        <f t="shared" si="5"/>
        <v>0.65128399276266769</v>
      </c>
      <c r="M25" s="38">
        <f>'Ventas Semanales'!AR24+'Ventas Semanales'!AW24+'Ventas Semanales'!BB24+'Ventas Semanales'!BG24+'Ventas Semanales'!BL24</f>
        <v>304762.53000000003</v>
      </c>
      <c r="N25" s="34">
        <f t="shared" si="6"/>
        <v>320000.65650000004</v>
      </c>
      <c r="O25" s="39">
        <v>1.05</v>
      </c>
      <c r="P25" s="35">
        <f>'Ventas Semanales'!AU24+'Ventas Semanales'!AZ24+'Ventas Semanales'!BE24+'Ventas Semanales'!BJ24+'Ventas Semanales'!BO24</f>
        <v>178724.62</v>
      </c>
      <c r="Q25" s="45">
        <f t="shared" si="7"/>
        <v>0.58643895625882869</v>
      </c>
      <c r="R25" s="38">
        <f>'Ventas Semanales'!BQ24+'Ventas Semanales'!BV24+'Ventas Semanales'!CA24+'Ventas Semanales'!CF24</f>
        <v>27213.18</v>
      </c>
      <c r="S25" s="34">
        <f t="shared" si="31"/>
        <v>80278.881000000008</v>
      </c>
      <c r="T25" s="39">
        <v>2.95</v>
      </c>
      <c r="U25" s="35"/>
      <c r="V25" s="33">
        <f t="shared" si="9"/>
        <v>0</v>
      </c>
      <c r="W25" s="38">
        <f>'Ventas Semanales'!CK24+'Ventas Semanales'!CP24+'Ventas Semanales'!CU24+'Ventas Semanales'!CZ24</f>
        <v>0</v>
      </c>
      <c r="X25" s="34">
        <f t="shared" si="32"/>
        <v>0</v>
      </c>
      <c r="Y25" s="39">
        <v>6</v>
      </c>
      <c r="Z25" s="35"/>
      <c r="AA25" s="33" t="e">
        <f t="shared" si="11"/>
        <v>#DIV/0!</v>
      </c>
      <c r="AB25" s="38">
        <f>'Ventas Semanales'!DE24+'Ventas Semanales'!DJ24+'Ventas Semanales'!DO24+'Ventas Semanales'!DT24+'Ventas Semanales'!DY24</f>
        <v>407420.83</v>
      </c>
      <c r="AC25" s="34">
        <f t="shared" si="33"/>
        <v>977809.99199999997</v>
      </c>
      <c r="AD25" s="39">
        <v>2.4</v>
      </c>
      <c r="AE25" s="35"/>
      <c r="AF25" s="33">
        <f t="shared" si="13"/>
        <v>0</v>
      </c>
      <c r="AG25" s="38">
        <f>'Ventas Semanales'!ED24+'Ventas Semanales'!EI24+'Ventas Semanales'!EN24+'Ventas Semanales'!ES24</f>
        <v>317956.07</v>
      </c>
      <c r="AH25" s="34">
        <f t="shared" si="34"/>
        <v>540525.31900000002</v>
      </c>
      <c r="AI25" s="39">
        <v>1.7</v>
      </c>
      <c r="AJ25" s="35"/>
      <c r="AK25" s="33">
        <f t="shared" si="15"/>
        <v>0</v>
      </c>
      <c r="AL25" s="38">
        <f>'Ventas Semanales'!EX24+'Ventas Semanales'!FC24+'Ventas Semanales'!FH24+'Ventas Semanales'!FM24</f>
        <v>306664.99</v>
      </c>
      <c r="AM25" s="34">
        <f t="shared" si="35"/>
        <v>521330.48299999995</v>
      </c>
      <c r="AN25" s="39">
        <v>1.7</v>
      </c>
      <c r="AO25" s="35"/>
      <c r="AP25" s="7">
        <f t="shared" si="17"/>
        <v>0</v>
      </c>
      <c r="AQ25" s="38">
        <f>'Ventas Semanales'!FR24+'Ventas Semanales'!FW24+'Ventas Semanales'!GB24+'Ventas Semanales'!GG24+'Ventas Semanales'!GL24</f>
        <v>396479.92</v>
      </c>
      <c r="AR25" s="34">
        <f t="shared" si="36"/>
        <v>666086.26559999993</v>
      </c>
      <c r="AS25" s="39">
        <v>1.68</v>
      </c>
      <c r="AT25" s="35"/>
      <c r="AU25" s="46">
        <f t="shared" si="19"/>
        <v>0</v>
      </c>
      <c r="AV25" s="10">
        <f>'Ventas Semanales'!GQ24+'Ventas Semanales'!GV24+'Ventas Semanales'!HA24+'Ventas Semanales'!HF24</f>
        <v>286624.59999999998</v>
      </c>
      <c r="AW25" s="34">
        <f t="shared" si="37"/>
        <v>659236.57999999984</v>
      </c>
      <c r="AX25" s="39">
        <v>2.2999999999999998</v>
      </c>
      <c r="AY25" s="3"/>
      <c r="AZ25" s="7">
        <f t="shared" si="21"/>
        <v>0</v>
      </c>
      <c r="BA25" s="6">
        <f>'Ventas Semanales'!HK24+'Ventas Semanales'!HP24+'Ventas Semanales'!HU24+'Ventas Semanales'!HZ24</f>
        <v>324890.04000000004</v>
      </c>
      <c r="BB25" s="34">
        <f t="shared" si="38"/>
        <v>1007159.1240000002</v>
      </c>
      <c r="BC25" s="39">
        <v>3.1</v>
      </c>
      <c r="BD25" s="3">
        <f>'Ventas Semanales'!HN24+'Ventas Semanales'!HS24+'Ventas Semanales'!HX24+'Ventas Semanales'!IC24</f>
        <v>0</v>
      </c>
      <c r="BE25" s="7">
        <f t="shared" si="23"/>
        <v>0</v>
      </c>
      <c r="BF25" s="10">
        <f>'Ventas Semanales'!IE24+'Ventas Semanales'!IJ24+'Ventas Semanales'!IO24+'Ventas Semanales'!IT24+'Ventas Semanales'!IY24</f>
        <v>1261861.9800000002</v>
      </c>
      <c r="BG25" s="34">
        <f t="shared" si="39"/>
        <v>1766606.7720000001</v>
      </c>
      <c r="BH25" s="39">
        <v>1.4</v>
      </c>
      <c r="BI25" s="3">
        <f>'Ventas Semanales'!IH24+'Ventas Semanales'!IM24+'Ventas Semanales'!IR24+'Ventas Semanales'!IW24+'Ventas Semanales'!JB24</f>
        <v>0</v>
      </c>
      <c r="BJ25" s="7">
        <f t="shared" si="25"/>
        <v>0</v>
      </c>
      <c r="BK25" s="51">
        <f t="shared" si="26"/>
        <v>219558.22999999998</v>
      </c>
      <c r="BL25" s="51">
        <f t="shared" si="27"/>
        <v>238135.74160000001</v>
      </c>
      <c r="BM25" s="189">
        <f t="shared" si="28"/>
        <v>0.92198772231677451</v>
      </c>
      <c r="BN25" s="64">
        <f>'Ventas Semanales'!JD24</f>
        <v>953797.42</v>
      </c>
      <c r="BO25" s="69">
        <f>'Ventas Semanales'!JE24</f>
        <v>648637.26999999979</v>
      </c>
      <c r="BP25" s="68">
        <f t="shared" si="29"/>
        <v>-305160.15000000026</v>
      </c>
      <c r="BQ25" s="66">
        <f t="shared" si="0"/>
        <v>0.68005768981845194</v>
      </c>
      <c r="BR25" s="54">
        <f t="shared" si="1"/>
        <v>7046250.7316999994</v>
      </c>
      <c r="BS25" s="54">
        <f t="shared" si="30"/>
        <v>7008946.7231000001</v>
      </c>
    </row>
    <row r="26" spans="2:71">
      <c r="B26" s="185" t="str">
        <f>"A23"</f>
        <v>A23</v>
      </c>
      <c r="C26" s="106">
        <f>'Ventas Semanales'!D25+'Ventas Semanales'!I25+'Ventas Semanales'!N25+'Ventas Semanales'!S25</f>
        <v>229458.28000000003</v>
      </c>
      <c r="D26" s="1">
        <f t="shared" si="2"/>
        <v>156031.63040000002</v>
      </c>
      <c r="E26" s="39">
        <v>0.68</v>
      </c>
      <c r="F26" s="107">
        <f>'Ventas Semanales'!G25+'Ventas Semanales'!L25+'Ventas Semanales'!Q25+'Ventas Semanales'!V25</f>
        <v>163507.33000000002</v>
      </c>
      <c r="G26" s="42">
        <f t="shared" si="3"/>
        <v>0.7125797770296195</v>
      </c>
      <c r="H26" s="10">
        <f>'Ventas Semanales'!X25+'Ventas Semanales'!AC25+'Ventas Semanales'!AH25+'Ventas Semanales'!AM25</f>
        <v>252909.51</v>
      </c>
      <c r="I26" s="1">
        <f t="shared" si="4"/>
        <v>177036.65700000001</v>
      </c>
      <c r="J26" s="2">
        <v>0.7</v>
      </c>
      <c r="K26" s="3">
        <f>'Ventas Semanales'!AA25+'Ventas Semanales'!AF25+'Ventas Semanales'!AK25+'Ventas Semanales'!AP25</f>
        <v>200578.12</v>
      </c>
      <c r="L26" s="42">
        <f t="shared" si="5"/>
        <v>0.79308255351884549</v>
      </c>
      <c r="M26" s="38">
        <f>'Ventas Semanales'!AR25+'Ventas Semanales'!AW25+'Ventas Semanales'!BB25+'Ventas Semanales'!BG25+'Ventas Semanales'!BL25</f>
        <v>201106.99000000002</v>
      </c>
      <c r="N26" s="34">
        <f t="shared" si="6"/>
        <v>211162.33950000003</v>
      </c>
      <c r="O26" s="39">
        <v>1.05</v>
      </c>
      <c r="P26" s="35">
        <f>'Ventas Semanales'!AU25+'Ventas Semanales'!AZ25+'Ventas Semanales'!BE25+'Ventas Semanales'!BJ25+'Ventas Semanales'!BO25</f>
        <v>157930.37</v>
      </c>
      <c r="Q26" s="45">
        <f t="shared" si="7"/>
        <v>0.78530522484573995</v>
      </c>
      <c r="R26" s="38">
        <f>'Ventas Semanales'!BQ25+'Ventas Semanales'!BV25+'Ventas Semanales'!CA25+'Ventas Semanales'!CF25</f>
        <v>143960.79</v>
      </c>
      <c r="S26" s="34">
        <f t="shared" si="31"/>
        <v>424684.33050000004</v>
      </c>
      <c r="T26" s="39">
        <v>2.95</v>
      </c>
      <c r="U26" s="35"/>
      <c r="V26" s="33">
        <f t="shared" si="9"/>
        <v>0</v>
      </c>
      <c r="W26" s="38">
        <f>'Ventas Semanales'!CK25+'Ventas Semanales'!CP25+'Ventas Semanales'!CU25+'Ventas Semanales'!CZ25</f>
        <v>70233.7</v>
      </c>
      <c r="X26" s="34">
        <f t="shared" si="32"/>
        <v>421402.19999999995</v>
      </c>
      <c r="Y26" s="39">
        <v>6</v>
      </c>
      <c r="Z26" s="35"/>
      <c r="AA26" s="33">
        <f t="shared" si="11"/>
        <v>0</v>
      </c>
      <c r="AB26" s="38">
        <f>'Ventas Semanales'!DE25+'Ventas Semanales'!DJ25+'Ventas Semanales'!DO25+'Ventas Semanales'!DT25+'Ventas Semanales'!DY25</f>
        <v>201230.7</v>
      </c>
      <c r="AC26" s="34">
        <f t="shared" si="33"/>
        <v>482953.68</v>
      </c>
      <c r="AD26" s="39">
        <v>2.4</v>
      </c>
      <c r="AE26" s="35"/>
      <c r="AF26" s="33">
        <f t="shared" si="13"/>
        <v>0</v>
      </c>
      <c r="AG26" s="38">
        <f>'Ventas Semanales'!ED25+'Ventas Semanales'!EI25+'Ventas Semanales'!EN25+'Ventas Semanales'!ES25</f>
        <v>183720.81</v>
      </c>
      <c r="AH26" s="34">
        <f t="shared" si="34"/>
        <v>312325.37699999998</v>
      </c>
      <c r="AI26" s="39">
        <v>1.7</v>
      </c>
      <c r="AJ26" s="35"/>
      <c r="AK26" s="33">
        <f t="shared" si="15"/>
        <v>0</v>
      </c>
      <c r="AL26" s="38">
        <f>'Ventas Semanales'!EX25+'Ventas Semanales'!FC25+'Ventas Semanales'!FH25+'Ventas Semanales'!FM25</f>
        <v>193623.41</v>
      </c>
      <c r="AM26" s="34">
        <f t="shared" si="35"/>
        <v>329159.79700000002</v>
      </c>
      <c r="AN26" s="39">
        <v>1.7</v>
      </c>
      <c r="AO26" s="35"/>
      <c r="AP26" s="7">
        <f t="shared" si="17"/>
        <v>0</v>
      </c>
      <c r="AQ26" s="38">
        <f>'Ventas Semanales'!FR25+'Ventas Semanales'!FW25+'Ventas Semanales'!GB25+'Ventas Semanales'!GG25+'Ventas Semanales'!GL25</f>
        <v>256497.95</v>
      </c>
      <c r="AR26" s="34">
        <f t="shared" si="36"/>
        <v>430916.55599999998</v>
      </c>
      <c r="AS26" s="39">
        <v>1.68</v>
      </c>
      <c r="AT26" s="35"/>
      <c r="AU26" s="46">
        <f t="shared" si="19"/>
        <v>0</v>
      </c>
      <c r="AV26" s="10">
        <f>'Ventas Semanales'!GQ25+'Ventas Semanales'!GV25+'Ventas Semanales'!HA25+'Ventas Semanales'!HF25</f>
        <v>150572.88</v>
      </c>
      <c r="AW26" s="34">
        <f t="shared" si="37"/>
        <v>346317.62400000001</v>
      </c>
      <c r="AX26" s="39">
        <v>2.2999999999999998</v>
      </c>
      <c r="AY26" s="3"/>
      <c r="AZ26" s="7">
        <f t="shared" si="21"/>
        <v>0</v>
      </c>
      <c r="BA26" s="6">
        <f>'Ventas Semanales'!HK25+'Ventas Semanales'!HP25+'Ventas Semanales'!HU25+'Ventas Semanales'!HZ25</f>
        <v>130474.95999999999</v>
      </c>
      <c r="BB26" s="34">
        <f t="shared" si="38"/>
        <v>404472.37599999999</v>
      </c>
      <c r="BC26" s="39">
        <v>3.1</v>
      </c>
      <c r="BD26" s="3">
        <f>'Ventas Semanales'!HN25+'Ventas Semanales'!HS25+'Ventas Semanales'!HX25+'Ventas Semanales'!IC25</f>
        <v>0</v>
      </c>
      <c r="BE26" s="7">
        <f t="shared" si="23"/>
        <v>0</v>
      </c>
      <c r="BF26" s="10">
        <f>'Ventas Semanales'!IE25+'Ventas Semanales'!IJ25+'Ventas Semanales'!IO25+'Ventas Semanales'!IT25+'Ventas Semanales'!IY25</f>
        <v>574734.25999999989</v>
      </c>
      <c r="BG26" s="34">
        <f t="shared" si="39"/>
        <v>804627.9639999998</v>
      </c>
      <c r="BH26" s="39">
        <v>1.4</v>
      </c>
      <c r="BI26" s="3">
        <f>'Ventas Semanales'!IH25+'Ventas Semanales'!IM25+'Ventas Semanales'!IR25+'Ventas Semanales'!IW25+'Ventas Semanales'!JB25</f>
        <v>0</v>
      </c>
      <c r="BJ26" s="7">
        <f t="shared" si="25"/>
        <v>0</v>
      </c>
      <c r="BK26" s="51">
        <f t="shared" si="26"/>
        <v>163507.33000000002</v>
      </c>
      <c r="BL26" s="51">
        <f t="shared" si="27"/>
        <v>156031.63040000002</v>
      </c>
      <c r="BM26" s="189">
        <f t="shared" si="28"/>
        <v>1.0479114368082638</v>
      </c>
      <c r="BN26" s="64">
        <f>'Ventas Semanales'!JD25</f>
        <v>624857.54999999993</v>
      </c>
      <c r="BO26" s="69">
        <f>'Ventas Semanales'!JE25</f>
        <v>522015.82</v>
      </c>
      <c r="BP26" s="68">
        <f t="shared" si="29"/>
        <v>-102841.72999999992</v>
      </c>
      <c r="BQ26" s="66">
        <f t="shared" si="0"/>
        <v>0.83541571995089137</v>
      </c>
      <c r="BR26" s="54">
        <f t="shared" si="1"/>
        <v>4501090.5313999997</v>
      </c>
      <c r="BS26" s="54">
        <f t="shared" si="30"/>
        <v>4532107.6939999992</v>
      </c>
    </row>
    <row r="27" spans="2:71">
      <c r="B27" s="186" t="s">
        <v>27</v>
      </c>
      <c r="C27" s="106">
        <f>'Ventas Semanales'!D26+'Ventas Semanales'!I26+'Ventas Semanales'!N26+'Ventas Semanales'!S26</f>
        <v>148383.13</v>
      </c>
      <c r="D27" s="1">
        <f t="shared" si="2"/>
        <v>100900.52840000001</v>
      </c>
      <c r="E27" s="39">
        <v>0.68</v>
      </c>
      <c r="F27" s="107">
        <f>'Ventas Semanales'!G26+'Ventas Semanales'!L26+'Ventas Semanales'!Q26+'Ventas Semanales'!V26</f>
        <v>284823.51</v>
      </c>
      <c r="G27" s="42">
        <f t="shared" si="3"/>
        <v>1.919514098401887</v>
      </c>
      <c r="H27" s="10">
        <f>'Ventas Semanales'!X26+'Ventas Semanales'!AC26+'Ventas Semanales'!AH26+'Ventas Semanales'!AM26</f>
        <v>141177.73000000001</v>
      </c>
      <c r="I27" s="1">
        <f t="shared" si="4"/>
        <v>98824.411000000007</v>
      </c>
      <c r="J27" s="2">
        <v>0.7</v>
      </c>
      <c r="K27" s="3">
        <f>'Ventas Semanales'!AA26+'Ventas Semanales'!AF26+'Ventas Semanales'!AK26+'Ventas Semanales'!AP26</f>
        <v>347028.67000000004</v>
      </c>
      <c r="L27" s="42">
        <f t="shared" si="5"/>
        <v>2.4580978175523862</v>
      </c>
      <c r="M27" s="38">
        <f>'Ventas Semanales'!AR26+'Ventas Semanales'!AW26+'Ventas Semanales'!BB26+'Ventas Semanales'!BG26+'Ventas Semanales'!BL26</f>
        <v>83293.47</v>
      </c>
      <c r="N27" s="34">
        <f>N17*1</f>
        <v>465993.48599999998</v>
      </c>
      <c r="O27" s="39">
        <v>1.05</v>
      </c>
      <c r="P27" s="35">
        <f>'Ventas Semanales'!AU26+'Ventas Semanales'!AZ26+'Ventas Semanales'!BE26+'Ventas Semanales'!BJ26+'Ventas Semanales'!BO26</f>
        <v>243758.36999999997</v>
      </c>
      <c r="Q27" s="45">
        <f t="shared" si="7"/>
        <v>2.9265003607125499</v>
      </c>
      <c r="R27" s="38">
        <f>'Ventas Semanales'!BQ26+'Ventas Semanales'!BV26+'Ventas Semanales'!CA26+'Ventas Semanales'!CF26</f>
        <v>0</v>
      </c>
      <c r="S27" s="34">
        <f>S17*0.9</f>
        <v>887759.65125000011</v>
      </c>
      <c r="T27" s="39">
        <v>2.95</v>
      </c>
      <c r="U27" s="35"/>
      <c r="V27" s="33" t="e">
        <f t="shared" si="9"/>
        <v>#DIV/0!</v>
      </c>
      <c r="W27" s="38">
        <f>'Ventas Semanales'!CK26+'Ventas Semanales'!CP26+'Ventas Semanales'!CU26+'Ventas Semanales'!CZ26</f>
        <v>0</v>
      </c>
      <c r="X27" s="34">
        <f>X17*0.9</f>
        <v>1445348.8260000001</v>
      </c>
      <c r="Y27" s="39">
        <v>6</v>
      </c>
      <c r="Z27" s="35"/>
      <c r="AA27" s="33" t="e">
        <f t="shared" si="11"/>
        <v>#DIV/0!</v>
      </c>
      <c r="AB27" s="38">
        <f>'Ventas Semanales'!DE26+'Ventas Semanales'!DJ26+'Ventas Semanales'!DO26+'Ventas Semanales'!DT26+'Ventas Semanales'!DY26</f>
        <v>0</v>
      </c>
      <c r="AC27" s="34">
        <f>AC17*0.9</f>
        <v>1176739.2071999998</v>
      </c>
      <c r="AD27" s="39">
        <v>2.4</v>
      </c>
      <c r="AE27" s="35"/>
      <c r="AF27" s="33" t="e">
        <f t="shared" si="13"/>
        <v>#DIV/0!</v>
      </c>
      <c r="AG27" s="38">
        <f>'Ventas Semanales'!ED26+'Ventas Semanales'!EI26+'Ventas Semanales'!EN26+'Ventas Semanales'!ES26</f>
        <v>23435.3</v>
      </c>
      <c r="AH27" s="34">
        <f>AH17*0.9</f>
        <v>756970.40700000001</v>
      </c>
      <c r="AI27" s="39">
        <v>1.7</v>
      </c>
      <c r="AJ27" s="35"/>
      <c r="AK27" s="33">
        <f t="shared" si="15"/>
        <v>0</v>
      </c>
      <c r="AL27" s="38">
        <f>'Ventas Semanales'!EX26+'Ventas Semanales'!FC26+'Ventas Semanales'!FH26+'Ventas Semanales'!FM26</f>
        <v>423298.67000000004</v>
      </c>
      <c r="AM27" s="34">
        <f>AM17*0.9</f>
        <v>635367.32280000008</v>
      </c>
      <c r="AN27" s="39">
        <v>1.7</v>
      </c>
      <c r="AO27" s="35"/>
      <c r="AP27" s="7">
        <f t="shared" si="17"/>
        <v>0</v>
      </c>
      <c r="AQ27" s="38">
        <f>'Ventas Semanales'!FR26+'Ventas Semanales'!FW26+'Ventas Semanales'!GB26+'Ventas Semanales'!GG26+'Ventas Semanales'!GL26</f>
        <v>475481.05000000005</v>
      </c>
      <c r="AR27" s="34">
        <f>AR17*0.9</f>
        <v>885629.18807999988</v>
      </c>
      <c r="AS27" s="39">
        <v>1.68</v>
      </c>
      <c r="AT27" s="35"/>
      <c r="AU27" s="46">
        <f t="shared" si="19"/>
        <v>0</v>
      </c>
      <c r="AV27" s="10">
        <f>'Ventas Semanales'!GQ26+'Ventas Semanales'!GV26+'Ventas Semanales'!HA26+'Ventas Semanales'!HF26</f>
        <v>245281.37999999998</v>
      </c>
      <c r="AW27" s="34">
        <f>AW17*0.9</f>
        <v>832883.17139999999</v>
      </c>
      <c r="AX27" s="39">
        <v>2.2999999999999998</v>
      </c>
      <c r="AY27" s="3"/>
      <c r="AZ27" s="7">
        <f t="shared" si="21"/>
        <v>0</v>
      </c>
      <c r="BA27" s="6">
        <f>'Ventas Semanales'!HK26+'Ventas Semanales'!HP26+'Ventas Semanales'!HU26+'Ventas Semanales'!HZ26</f>
        <v>93823</v>
      </c>
      <c r="BB27" s="34">
        <f>BB17*0.9</f>
        <v>1660023.6345000004</v>
      </c>
      <c r="BC27" s="39">
        <v>3.1</v>
      </c>
      <c r="BD27" s="3">
        <f>'Ventas Semanales'!HN26+'Ventas Semanales'!HS26+'Ventas Semanales'!HX26+'Ventas Semanales'!IC26</f>
        <v>0</v>
      </c>
      <c r="BE27" s="7">
        <f t="shared" si="23"/>
        <v>0</v>
      </c>
      <c r="BF27" s="10">
        <f>'Ventas Semanales'!IE26+'Ventas Semanales'!IJ26+'Ventas Semanales'!IO26+'Ventas Semanales'!IT26+'Ventas Semanales'!IY26</f>
        <v>1371389.74</v>
      </c>
      <c r="BG27" s="34">
        <f>BG17*0.9</f>
        <v>2790603.5975999995</v>
      </c>
      <c r="BH27" s="39">
        <v>1.4</v>
      </c>
      <c r="BI27" s="3">
        <f>'Ventas Semanales'!IH26+'Ventas Semanales'!IM26+'Ventas Semanales'!IR26+'Ventas Semanales'!IW26+'Ventas Semanales'!JB26</f>
        <v>0</v>
      </c>
      <c r="BJ27" s="7">
        <f t="shared" si="25"/>
        <v>0</v>
      </c>
      <c r="BK27" s="51">
        <f t="shared" si="26"/>
        <v>284823.51</v>
      </c>
      <c r="BL27" s="51">
        <f t="shared" si="27"/>
        <v>100900.52840000001</v>
      </c>
      <c r="BM27" s="189">
        <f t="shared" si="28"/>
        <v>2.8228148505910102</v>
      </c>
      <c r="BN27" s="64">
        <f>'Ventas Semanales'!JD26</f>
        <v>372854.33000000007</v>
      </c>
      <c r="BO27" s="69">
        <f>'Ventas Semanales'!JE26</f>
        <v>875610.55000000016</v>
      </c>
      <c r="BP27" s="68">
        <f t="shared" si="29"/>
        <v>502756.22000000009</v>
      </c>
      <c r="BQ27" s="66">
        <f t="shared" si="0"/>
        <v>2.3483985019028744</v>
      </c>
      <c r="BR27" s="54">
        <f t="shared" si="1"/>
        <v>11737043.431230001</v>
      </c>
      <c r="BS27" s="54">
        <f t="shared" si="30"/>
        <v>12169170.67183</v>
      </c>
    </row>
    <row r="28" spans="2:71">
      <c r="B28" s="185" t="str">
        <f>"E1"</f>
        <v>E1</v>
      </c>
      <c r="C28" s="106">
        <f>'Ventas Semanales'!D27+'Ventas Semanales'!I27+'Ventas Semanales'!N27+'Ventas Semanales'!S27</f>
        <v>476250.68</v>
      </c>
      <c r="D28" s="1">
        <f t="shared" si="2"/>
        <v>323850.46240000002</v>
      </c>
      <c r="E28" s="39">
        <v>0.68</v>
      </c>
      <c r="F28" s="107">
        <f>'Ventas Semanales'!G27+'Ventas Semanales'!L27+'Ventas Semanales'!Q27+'Ventas Semanales'!V27</f>
        <v>456212.41</v>
      </c>
      <c r="G28" s="42">
        <f t="shared" si="3"/>
        <v>0.9579249524641098</v>
      </c>
      <c r="H28" s="10">
        <f>'Ventas Semanales'!X27+'Ventas Semanales'!AC27+'Ventas Semanales'!AH27+'Ventas Semanales'!AM27</f>
        <v>501078.38</v>
      </c>
      <c r="I28" s="1">
        <f t="shared" si="4"/>
        <v>350754.86599999998</v>
      </c>
      <c r="J28" s="2">
        <v>0.7</v>
      </c>
      <c r="K28" s="3">
        <f>'Ventas Semanales'!AA27+'Ventas Semanales'!AF27+'Ventas Semanales'!AK27+'Ventas Semanales'!AP27</f>
        <v>468972.16999999993</v>
      </c>
      <c r="L28" s="42">
        <f t="shared" si="5"/>
        <v>0.93592577273040578</v>
      </c>
      <c r="M28" s="38">
        <f>'Ventas Semanales'!AR27+'Ventas Semanales'!AW27+'Ventas Semanales'!BB27+'Ventas Semanales'!BG27+'Ventas Semanales'!BL27</f>
        <v>607533.61</v>
      </c>
      <c r="N28" s="34">
        <f t="shared" si="6"/>
        <v>637910.2905</v>
      </c>
      <c r="O28" s="39">
        <v>1.05</v>
      </c>
      <c r="P28" s="35">
        <f>'Ventas Semanales'!AU27+'Ventas Semanales'!AZ27+'Ventas Semanales'!BE27+'Ventas Semanales'!BJ27+'Ventas Semanales'!BO27</f>
        <v>364091.08999999997</v>
      </c>
      <c r="Q28" s="45">
        <f t="shared" si="7"/>
        <v>0.59929374113145772</v>
      </c>
      <c r="R28" s="38">
        <f>'Ventas Semanales'!BQ27+'Ventas Semanales'!BV27+'Ventas Semanales'!CA27+'Ventas Semanales'!CF27</f>
        <v>269029.3</v>
      </c>
      <c r="S28" s="34">
        <f t="shared" ref="S28" si="40">R28*T28</f>
        <v>793636.43500000006</v>
      </c>
      <c r="T28" s="39">
        <v>2.95</v>
      </c>
      <c r="U28" s="35"/>
      <c r="V28" s="33">
        <f t="shared" si="9"/>
        <v>0</v>
      </c>
      <c r="W28" s="38">
        <f>'Ventas Semanales'!CK27+'Ventas Semanales'!CP27+'Ventas Semanales'!CU27+'Ventas Semanales'!CZ27</f>
        <v>179871.25</v>
      </c>
      <c r="X28" s="34">
        <f t="shared" ref="X28" si="41">W28*Y28</f>
        <v>1079227.5</v>
      </c>
      <c r="Y28" s="39">
        <v>6</v>
      </c>
      <c r="Z28" s="35"/>
      <c r="AA28" s="33">
        <f t="shared" si="11"/>
        <v>0</v>
      </c>
      <c r="AB28" s="38">
        <f>'Ventas Semanales'!DE27+'Ventas Semanales'!DJ27+'Ventas Semanales'!DO27+'Ventas Semanales'!DT27+'Ventas Semanales'!DY27</f>
        <v>378893.67000000004</v>
      </c>
      <c r="AC28" s="34">
        <f t="shared" ref="AC28" si="42">AB28*AD28</f>
        <v>909344.80800000008</v>
      </c>
      <c r="AD28" s="39">
        <v>2.4</v>
      </c>
      <c r="AE28" s="35"/>
      <c r="AF28" s="33">
        <f t="shared" si="13"/>
        <v>0</v>
      </c>
      <c r="AG28" s="38">
        <f>'Ventas Semanales'!ED27+'Ventas Semanales'!EI27+'Ventas Semanales'!EN27+'Ventas Semanales'!ES27</f>
        <v>398764.67</v>
      </c>
      <c r="AH28" s="34">
        <f t="shared" ref="AH28" si="43">AG28*AI28</f>
        <v>677899.9389999999</v>
      </c>
      <c r="AI28" s="39">
        <v>1.7</v>
      </c>
      <c r="AJ28" s="35"/>
      <c r="AK28" s="33">
        <f t="shared" si="15"/>
        <v>0</v>
      </c>
      <c r="AL28" s="38">
        <f>'Ventas Semanales'!EX27+'Ventas Semanales'!FC27+'Ventas Semanales'!FH27+'Ventas Semanales'!FM27</f>
        <v>365264.18000000005</v>
      </c>
      <c r="AM28" s="34">
        <f t="shared" ref="AM28" si="44">AL28*AN28</f>
        <v>620949.10600000003</v>
      </c>
      <c r="AN28" s="39">
        <v>1.7</v>
      </c>
      <c r="AO28" s="35"/>
      <c r="AP28" s="7">
        <f t="shared" si="17"/>
        <v>0</v>
      </c>
      <c r="AQ28" s="38">
        <f>'Ventas Semanales'!FR27+'Ventas Semanales'!FW27+'Ventas Semanales'!GB27+'Ventas Semanales'!GG27+'Ventas Semanales'!GL27</f>
        <v>504082.5</v>
      </c>
      <c r="AR28" s="34">
        <f t="shared" ref="AR28" si="45">AQ28*AS28</f>
        <v>846858.6</v>
      </c>
      <c r="AS28" s="39">
        <v>1.68</v>
      </c>
      <c r="AT28" s="35"/>
      <c r="AU28" s="46">
        <f t="shared" si="19"/>
        <v>0</v>
      </c>
      <c r="AV28" s="10">
        <f>'Ventas Semanales'!GQ27+'Ventas Semanales'!GV27+'Ventas Semanales'!HA27+'Ventas Semanales'!HF27</f>
        <v>322366.40999999997</v>
      </c>
      <c r="AW28" s="34">
        <f t="shared" ref="AW28" si="46">AV28*AX28</f>
        <v>741442.7429999999</v>
      </c>
      <c r="AX28" s="39">
        <v>2.2999999999999998</v>
      </c>
      <c r="AY28" s="3"/>
      <c r="AZ28" s="7">
        <f t="shared" si="21"/>
        <v>0</v>
      </c>
      <c r="BA28" s="6">
        <f>'Ventas Semanales'!HK27+'Ventas Semanales'!HP27+'Ventas Semanales'!HU27+'Ventas Semanales'!HZ27</f>
        <v>178282.3</v>
      </c>
      <c r="BB28" s="34">
        <f t="shared" ref="BB28" si="47">BA28*BC28</f>
        <v>552675.13</v>
      </c>
      <c r="BC28" s="39">
        <v>3.1</v>
      </c>
      <c r="BD28" s="3">
        <f>'Ventas Semanales'!HN27+'Ventas Semanales'!HS27+'Ventas Semanales'!HX27+'Ventas Semanales'!IC27</f>
        <v>0</v>
      </c>
      <c r="BE28" s="7">
        <f t="shared" si="23"/>
        <v>0</v>
      </c>
      <c r="BF28" s="10">
        <f>'Ventas Semanales'!IE27+'Ventas Semanales'!IJ27+'Ventas Semanales'!IO27+'Ventas Semanales'!IT27+'Ventas Semanales'!IY27</f>
        <v>1241489.6400000001</v>
      </c>
      <c r="BG28" s="34">
        <f t="shared" ref="BG28" si="48">BF28*BH28</f>
        <v>1738085.496</v>
      </c>
      <c r="BH28" s="39">
        <v>1.4</v>
      </c>
      <c r="BI28" s="3">
        <f>'Ventas Semanales'!IH27+'Ventas Semanales'!IM27+'Ventas Semanales'!IR27+'Ventas Semanales'!IW27+'Ventas Semanales'!JB27</f>
        <v>0</v>
      </c>
      <c r="BJ28" s="7">
        <f t="shared" si="25"/>
        <v>0</v>
      </c>
      <c r="BK28" s="51">
        <f t="shared" si="26"/>
        <v>456212.41</v>
      </c>
      <c r="BL28" s="51">
        <f t="shared" si="27"/>
        <v>323850.46240000002</v>
      </c>
      <c r="BM28" s="189">
        <f t="shared" si="28"/>
        <v>1.4087131653883966</v>
      </c>
      <c r="BN28" s="64">
        <f>'Ventas Semanales'!JD27</f>
        <v>1384734.7599999998</v>
      </c>
      <c r="BO28" s="69">
        <f>'Ventas Semanales'!JE27</f>
        <v>1289275.67</v>
      </c>
      <c r="BP28" s="68">
        <f t="shared" si="29"/>
        <v>-95459.089999999851</v>
      </c>
      <c r="BQ28" s="66">
        <f t="shared" si="0"/>
        <v>0.93106326730759625</v>
      </c>
      <c r="BR28" s="54">
        <f t="shared" si="1"/>
        <v>9272635.3758999985</v>
      </c>
      <c r="BS28" s="54">
        <f t="shared" si="30"/>
        <v>9523214.6274999995</v>
      </c>
    </row>
    <row r="29" spans="2:71">
      <c r="B29" s="186" t="str">
        <f>"E2"</f>
        <v>E2</v>
      </c>
      <c r="C29" s="106">
        <f>'Ventas Semanales'!D28+'Ventas Semanales'!I28+'Ventas Semanales'!N28+'Ventas Semanales'!S28</f>
        <v>388493.69000000006</v>
      </c>
      <c r="D29" s="1">
        <f t="shared" si="2"/>
        <v>264175.70920000004</v>
      </c>
      <c r="E29" s="39">
        <v>0.68</v>
      </c>
      <c r="F29" s="107">
        <f>'Ventas Semanales'!G28+'Ventas Semanales'!L28+'Ventas Semanales'!Q28+'Ventas Semanales'!V28</f>
        <v>0</v>
      </c>
      <c r="G29" s="42">
        <f t="shared" si="3"/>
        <v>0</v>
      </c>
      <c r="H29" s="10">
        <f>'Ventas Semanales'!X28+'Ventas Semanales'!AC28+'Ventas Semanales'!AH28+'Ventas Semanales'!AM28</f>
        <v>529409.03</v>
      </c>
      <c r="I29" s="34">
        <f>H29*(J29+30%)</f>
        <v>529409.03</v>
      </c>
      <c r="J29" s="2">
        <v>0.7</v>
      </c>
      <c r="K29" s="3">
        <f>'Ventas Semanales'!AA28+'Ventas Semanales'!AF28+'Ventas Semanales'!AK28+'Ventas Semanales'!AP28</f>
        <v>115075.13</v>
      </c>
      <c r="L29" s="42">
        <f t="shared" si="5"/>
        <v>0.21736525725675665</v>
      </c>
      <c r="M29" s="38">
        <f>'Ventas Semanales'!AR28+'Ventas Semanales'!AW28+'Ventas Semanales'!BB28+'Ventas Semanales'!BG28+'Ventas Semanales'!BL28</f>
        <v>353979.14</v>
      </c>
      <c r="N29" s="34">
        <f>M29*(O29+30%)</f>
        <v>477871.83900000004</v>
      </c>
      <c r="O29" s="39">
        <v>1.05</v>
      </c>
      <c r="P29" s="35">
        <f>'Ventas Semanales'!AU28+'Ventas Semanales'!AZ28+'Ventas Semanales'!BE28+'Ventas Semanales'!BJ28+'Ventas Semanales'!BO28</f>
        <v>656839</v>
      </c>
      <c r="Q29" s="45">
        <f t="shared" si="7"/>
        <v>1.8555867444618346</v>
      </c>
      <c r="R29" s="38">
        <f>'Ventas Semanales'!BQ28+'Ventas Semanales'!BV28+'Ventas Semanales'!CA28+'Ventas Semanales'!CF28</f>
        <v>0</v>
      </c>
      <c r="S29" s="34">
        <f>R29*(T29+30%)</f>
        <v>0</v>
      </c>
      <c r="T29" s="39">
        <v>2.95</v>
      </c>
      <c r="U29" s="35"/>
      <c r="V29" s="33" t="e">
        <f t="shared" si="9"/>
        <v>#DIV/0!</v>
      </c>
      <c r="W29" s="38">
        <f>'Ventas Semanales'!CK28+'Ventas Semanales'!CP28+'Ventas Semanales'!CU28+'Ventas Semanales'!CZ28</f>
        <v>0</v>
      </c>
      <c r="X29" s="34">
        <f>W29*(Y29+30%)</f>
        <v>0</v>
      </c>
      <c r="Y29" s="39">
        <v>6</v>
      </c>
      <c r="Z29" s="35"/>
      <c r="AA29" s="33" t="e">
        <f t="shared" si="11"/>
        <v>#DIV/0!</v>
      </c>
      <c r="AB29" s="38">
        <f>'Ventas Semanales'!DE28+'Ventas Semanales'!DJ28+'Ventas Semanales'!DO28+'Ventas Semanales'!DT28+'Ventas Semanales'!DY28</f>
        <v>0</v>
      </c>
      <c r="AC29" s="34">
        <f>AB29*(AD29+30%)</f>
        <v>0</v>
      </c>
      <c r="AD29" s="39">
        <v>2.4</v>
      </c>
      <c r="AE29" s="35"/>
      <c r="AF29" s="33" t="e">
        <f t="shared" si="13"/>
        <v>#DIV/0!</v>
      </c>
      <c r="AG29" s="38">
        <f>'Ventas Semanales'!ED28+'Ventas Semanales'!EI28+'Ventas Semanales'!EN28+'Ventas Semanales'!ES28</f>
        <v>0</v>
      </c>
      <c r="AH29" s="34">
        <f>AG29*(AI29+30%)</f>
        <v>0</v>
      </c>
      <c r="AI29" s="39">
        <v>1.7</v>
      </c>
      <c r="AJ29" s="35"/>
      <c r="AK29" s="33" t="e">
        <f t="shared" si="15"/>
        <v>#DIV/0!</v>
      </c>
      <c r="AL29" s="38">
        <f>'Ventas Semanales'!EX28+'Ventas Semanales'!FC28+'Ventas Semanales'!FH28+'Ventas Semanales'!FM28</f>
        <v>0</v>
      </c>
      <c r="AM29" s="34">
        <f>AL29*(AN29+30%)</f>
        <v>0</v>
      </c>
      <c r="AN29" s="39">
        <v>1.7</v>
      </c>
      <c r="AO29" s="35"/>
      <c r="AP29" s="7" t="e">
        <f t="shared" si="17"/>
        <v>#DIV/0!</v>
      </c>
      <c r="AQ29" s="38">
        <f>'Ventas Semanales'!FR28+'Ventas Semanales'!FW28+'Ventas Semanales'!GB28+'Ventas Semanales'!GG28+'Ventas Semanales'!GL28</f>
        <v>0</v>
      </c>
      <c r="AR29" s="34">
        <f>AQ29*(AS29+30%)</f>
        <v>0</v>
      </c>
      <c r="AS29" s="39">
        <v>1.68</v>
      </c>
      <c r="AT29" s="35"/>
      <c r="AU29" s="46" t="e">
        <f t="shared" si="19"/>
        <v>#DIV/0!</v>
      </c>
      <c r="AV29" s="10">
        <f>'Ventas Semanales'!GQ28+'Ventas Semanales'!GV28+'Ventas Semanales'!HA28+'Ventas Semanales'!HF28</f>
        <v>0</v>
      </c>
      <c r="AW29" s="34">
        <f>AV29*(AX29+30%)</f>
        <v>0</v>
      </c>
      <c r="AX29" s="39">
        <v>2.2999999999999998</v>
      </c>
      <c r="AY29" s="3"/>
      <c r="AZ29" s="7" t="e">
        <f t="shared" si="21"/>
        <v>#DIV/0!</v>
      </c>
      <c r="BA29" s="6">
        <f>'Ventas Semanales'!HK28+'Ventas Semanales'!HP28+'Ventas Semanales'!HU28+'Ventas Semanales'!HZ28</f>
        <v>0</v>
      </c>
      <c r="BB29" s="34">
        <f>BA29*(BC29+30%)</f>
        <v>0</v>
      </c>
      <c r="BC29" s="39">
        <v>3.1</v>
      </c>
      <c r="BD29" s="3">
        <f>'Ventas Semanales'!HN28+'Ventas Semanales'!HS28+'Ventas Semanales'!HX28+'Ventas Semanales'!IC28</f>
        <v>0</v>
      </c>
      <c r="BE29" s="7" t="e">
        <f t="shared" si="23"/>
        <v>#DIV/0!</v>
      </c>
      <c r="BF29" s="10">
        <f>'Ventas Semanales'!IE28+'Ventas Semanales'!IJ28+'Ventas Semanales'!IO28+'Ventas Semanales'!IT28+'Ventas Semanales'!IY28</f>
        <v>0</v>
      </c>
      <c r="BG29" s="34">
        <f>BF29*(BH29+30%)</f>
        <v>0</v>
      </c>
      <c r="BH29" s="39">
        <v>1.4</v>
      </c>
      <c r="BI29" s="3">
        <f>'Ventas Semanales'!IH28+'Ventas Semanales'!IM28+'Ventas Semanales'!IR28+'Ventas Semanales'!IW28+'Ventas Semanales'!JB28</f>
        <v>0</v>
      </c>
      <c r="BJ29" s="7" t="e">
        <f t="shared" si="25"/>
        <v>#DIV/0!</v>
      </c>
      <c r="BK29" s="51">
        <f t="shared" si="26"/>
        <v>0</v>
      </c>
      <c r="BL29" s="51">
        <f t="shared" si="27"/>
        <v>264175.70920000004</v>
      </c>
      <c r="BM29" s="189">
        <f t="shared" si="28"/>
        <v>0</v>
      </c>
      <c r="BN29" s="64">
        <f>'Ventas Semanales'!JD28</f>
        <v>1252527.1000000003</v>
      </c>
      <c r="BO29" s="69">
        <f>'Ventas Semanales'!JE28</f>
        <v>771914.13</v>
      </c>
      <c r="BP29" s="68">
        <f t="shared" si="29"/>
        <v>-480612.97000000032</v>
      </c>
      <c r="BQ29" s="66">
        <f t="shared" si="0"/>
        <v>0.61628537218875323</v>
      </c>
      <c r="BR29" s="54">
        <f t="shared" si="1"/>
        <v>1271456.5782000001</v>
      </c>
      <c r="BS29" s="54">
        <f t="shared" si="30"/>
        <v>592946.96900000004</v>
      </c>
    </row>
    <row r="30" spans="2:71">
      <c r="B30" s="185" t="str">
        <f>"E3"</f>
        <v>E3</v>
      </c>
      <c r="C30" s="106">
        <f>'Ventas Semanales'!D29+'Ventas Semanales'!I29+'Ventas Semanales'!N29+'Ventas Semanales'!S29</f>
        <v>395986.89</v>
      </c>
      <c r="D30" s="1">
        <f t="shared" si="2"/>
        <v>269271.08520000003</v>
      </c>
      <c r="E30" s="39">
        <v>0.68</v>
      </c>
      <c r="F30" s="107">
        <f>'Ventas Semanales'!G29+'Ventas Semanales'!L29+'Ventas Semanales'!Q29+'Ventas Semanales'!V29</f>
        <v>340407.68</v>
      </c>
      <c r="G30" s="42">
        <f t="shared" si="3"/>
        <v>0.85964381295552483</v>
      </c>
      <c r="H30" s="10">
        <f>'Ventas Semanales'!X29+'Ventas Semanales'!AC29+'Ventas Semanales'!AH29+'Ventas Semanales'!AM29</f>
        <v>405068.38</v>
      </c>
      <c r="I30" s="1">
        <f t="shared" si="4"/>
        <v>283547.86599999998</v>
      </c>
      <c r="J30" s="2">
        <v>0.7</v>
      </c>
      <c r="K30" s="3">
        <f>'Ventas Semanales'!AA29+'Ventas Semanales'!AF29+'Ventas Semanales'!AK29+'Ventas Semanales'!AP29</f>
        <v>326258.48</v>
      </c>
      <c r="L30" s="42">
        <f t="shared" si="5"/>
        <v>0.80544050365027253</v>
      </c>
      <c r="M30" s="38">
        <f>'Ventas Semanales'!AR29+'Ventas Semanales'!AW29+'Ventas Semanales'!BB29+'Ventas Semanales'!BG29+'Ventas Semanales'!BL29</f>
        <v>390678.94000000006</v>
      </c>
      <c r="N30" s="358">
        <f>M30*(O30+30%)</f>
        <v>527416.56900000013</v>
      </c>
      <c r="O30" s="39">
        <v>1.05</v>
      </c>
      <c r="P30" s="35">
        <f>'Ventas Semanales'!AU29+'Ventas Semanales'!AZ29+'Ventas Semanales'!BE29+'Ventas Semanales'!BJ29+'Ventas Semanales'!BO29</f>
        <v>308281</v>
      </c>
      <c r="Q30" s="45">
        <f t="shared" si="7"/>
        <v>0.78909039734775555</v>
      </c>
      <c r="R30" s="38">
        <f>'Ventas Semanales'!BQ29+'Ventas Semanales'!BV29+'Ventas Semanales'!CA29+'Ventas Semanales'!CF29</f>
        <v>115848.21999999999</v>
      </c>
      <c r="S30" s="34">
        <f>R30*(T30+30%)</f>
        <v>376506.71499999997</v>
      </c>
      <c r="T30" s="39">
        <v>2.95</v>
      </c>
      <c r="U30" s="35"/>
      <c r="V30" s="33">
        <f t="shared" si="9"/>
        <v>0</v>
      </c>
      <c r="W30" s="38">
        <f>'Ventas Semanales'!CK29+'Ventas Semanales'!CP29+'Ventas Semanales'!CU29+'Ventas Semanales'!CZ29</f>
        <v>0</v>
      </c>
      <c r="X30" s="34">
        <f>W30*(Y30+30%)</f>
        <v>0</v>
      </c>
      <c r="Y30" s="39">
        <v>6</v>
      </c>
      <c r="Z30" s="35"/>
      <c r="AA30" s="33" t="e">
        <f t="shared" si="11"/>
        <v>#DIV/0!</v>
      </c>
      <c r="AB30" s="38">
        <f>'Ventas Semanales'!DE29+'Ventas Semanales'!DJ29+'Ventas Semanales'!DO29+'Ventas Semanales'!DT29+'Ventas Semanales'!DY29</f>
        <v>276345.12</v>
      </c>
      <c r="AC30" s="34">
        <f>AB30*(AD30+30%)</f>
        <v>746131.82399999991</v>
      </c>
      <c r="AD30" s="39">
        <v>2.4</v>
      </c>
      <c r="AE30" s="35"/>
      <c r="AF30" s="33">
        <f t="shared" si="13"/>
        <v>0</v>
      </c>
      <c r="AG30" s="38">
        <f>'Ventas Semanales'!ED29+'Ventas Semanales'!EI29+'Ventas Semanales'!EN29+'Ventas Semanales'!ES29</f>
        <v>425001.16000000003</v>
      </c>
      <c r="AH30" s="34">
        <f>AG30*(AI30+30%)</f>
        <v>850002.32000000007</v>
      </c>
      <c r="AI30" s="39">
        <v>1.7</v>
      </c>
      <c r="AJ30" s="35"/>
      <c r="AK30" s="33">
        <f t="shared" si="15"/>
        <v>0</v>
      </c>
      <c r="AL30" s="38">
        <f>'Ventas Semanales'!EX29+'Ventas Semanales'!FC29+'Ventas Semanales'!FH29+'Ventas Semanales'!FM29</f>
        <v>366471.1</v>
      </c>
      <c r="AM30" s="34">
        <f>AL30*(AN30+30%)</f>
        <v>732942.2</v>
      </c>
      <c r="AN30" s="39">
        <v>1.7</v>
      </c>
      <c r="AO30" s="35"/>
      <c r="AP30" s="7">
        <f t="shared" si="17"/>
        <v>0</v>
      </c>
      <c r="AQ30" s="38">
        <f>'Ventas Semanales'!FR29+'Ventas Semanales'!FW29+'Ventas Semanales'!GB29+'Ventas Semanales'!GG29+'Ventas Semanales'!GL29</f>
        <v>487036.06999999995</v>
      </c>
      <c r="AR30" s="34">
        <f>AQ30*(AS30+30%)</f>
        <v>964331.41859999986</v>
      </c>
      <c r="AS30" s="39">
        <v>1.68</v>
      </c>
      <c r="AT30" s="35"/>
      <c r="AU30" s="46">
        <f t="shared" si="19"/>
        <v>0</v>
      </c>
      <c r="AV30" s="10">
        <f>'Ventas Semanales'!GQ29+'Ventas Semanales'!GV29+'Ventas Semanales'!HA29+'Ventas Semanales'!HF29</f>
        <v>239716.60000000003</v>
      </c>
      <c r="AW30" s="34">
        <f>AV30*(AX30+30%)</f>
        <v>623263.16</v>
      </c>
      <c r="AX30" s="39">
        <v>2.2999999999999998</v>
      </c>
      <c r="AY30" s="3"/>
      <c r="AZ30" s="7">
        <f t="shared" si="21"/>
        <v>0</v>
      </c>
      <c r="BA30" s="6">
        <f>'Ventas Semanales'!HK29+'Ventas Semanales'!HP29+'Ventas Semanales'!HU29+'Ventas Semanales'!HZ29</f>
        <v>88672.860000000015</v>
      </c>
      <c r="BB30" s="34">
        <f>BA30*(BC30+30%)</f>
        <v>301487.72400000005</v>
      </c>
      <c r="BC30" s="39">
        <v>3.1</v>
      </c>
      <c r="BD30" s="3">
        <f>'Ventas Semanales'!HN29+'Ventas Semanales'!HS29+'Ventas Semanales'!HX29+'Ventas Semanales'!IC29</f>
        <v>0</v>
      </c>
      <c r="BE30" s="7">
        <f t="shared" si="23"/>
        <v>0</v>
      </c>
      <c r="BF30" s="10">
        <f>'Ventas Semanales'!IE29+'Ventas Semanales'!IJ29+'Ventas Semanales'!IO29+'Ventas Semanales'!IT29+'Ventas Semanales'!IY29</f>
        <v>969824.7300000001</v>
      </c>
      <c r="BG30" s="34">
        <f>BF30*(BH30+30%)</f>
        <v>1648702.0410000002</v>
      </c>
      <c r="BH30" s="39">
        <v>1.4</v>
      </c>
      <c r="BI30" s="3">
        <f>'Ventas Semanales'!IH29+'Ventas Semanales'!IM29+'Ventas Semanales'!IR29+'Ventas Semanales'!IW29+'Ventas Semanales'!JB29</f>
        <v>0</v>
      </c>
      <c r="BJ30" s="7">
        <f t="shared" si="25"/>
        <v>0</v>
      </c>
      <c r="BK30" s="51">
        <f t="shared" si="26"/>
        <v>340407.68</v>
      </c>
      <c r="BL30" s="51">
        <f t="shared" si="27"/>
        <v>269271.08520000003</v>
      </c>
      <c r="BM30" s="189">
        <f t="shared" si="28"/>
        <v>1.2641820778757717</v>
      </c>
      <c r="BN30" s="64">
        <f>'Ventas Semanales'!JD29</f>
        <v>1076467.5500000003</v>
      </c>
      <c r="BO30" s="69">
        <f>'Ventas Semanales'!JE29</f>
        <v>974947.16</v>
      </c>
      <c r="BP30" s="68">
        <f t="shared" si="29"/>
        <v>-101520.39000000025</v>
      </c>
      <c r="BQ30" s="66">
        <f t="shared" si="0"/>
        <v>0.90569117480596584</v>
      </c>
      <c r="BR30" s="54">
        <f t="shared" si="1"/>
        <v>7323602.9228000008</v>
      </c>
      <c r="BS30" s="54">
        <f t="shared" si="30"/>
        <v>7437450.1316000009</v>
      </c>
    </row>
    <row r="31" spans="2:71">
      <c r="B31" s="185" t="s">
        <v>228</v>
      </c>
      <c r="C31" s="106">
        <f>'Ventas Semanales'!D30+'Ventas Semanales'!I30+'Ventas Semanales'!N30+'Ventas Semanales'!S30</f>
        <v>530714.13</v>
      </c>
      <c r="D31" s="1">
        <f t="shared" si="2"/>
        <v>360885.60840000003</v>
      </c>
      <c r="E31" s="39">
        <v>0.68</v>
      </c>
      <c r="F31" s="107">
        <f>'Ventas Semanales'!G30+'Ventas Semanales'!L30+'Ventas Semanales'!Q30+'Ventas Semanales'!V30</f>
        <v>499436.44</v>
      </c>
      <c r="G31" s="42">
        <f t="shared" si="3"/>
        <v>0.9410649006085442</v>
      </c>
      <c r="H31" s="10">
        <f>'Ventas Semanales'!X30+'Ventas Semanales'!AC30+'Ventas Semanales'!AH30+'Ventas Semanales'!AM30</f>
        <v>622764.49000000011</v>
      </c>
      <c r="I31" s="1">
        <f t="shared" si="4"/>
        <v>435935.14300000004</v>
      </c>
      <c r="J31" s="2">
        <v>0.7</v>
      </c>
      <c r="K31" s="3">
        <f>'Ventas Semanales'!AA30+'Ventas Semanales'!AF30+'Ventas Semanales'!AK30+'Ventas Semanales'!AP30</f>
        <v>525442.61</v>
      </c>
      <c r="L31" s="42">
        <f t="shared" si="5"/>
        <v>0.84372602875928249</v>
      </c>
      <c r="M31" s="38">
        <f>'Ventas Semanales'!AR30+'Ventas Semanales'!AW30+'Ventas Semanales'!BB30+'Ventas Semanales'!BG30+'Ventas Semanales'!BL30</f>
        <v>474764.62</v>
      </c>
      <c r="N31" s="34">
        <f t="shared" si="6"/>
        <v>498502.85100000002</v>
      </c>
      <c r="O31" s="39">
        <v>1.05</v>
      </c>
      <c r="P31" s="35">
        <f>'Ventas Semanales'!AU30+'Ventas Semanales'!AZ30+'Ventas Semanales'!BE30+'Ventas Semanales'!BJ30+'Ventas Semanales'!BO30</f>
        <v>419367</v>
      </c>
      <c r="Q31" s="45">
        <f t="shared" si="7"/>
        <v>0.88331561016488547</v>
      </c>
      <c r="R31" s="38">
        <f>'Ventas Semanales'!BQ30+'Ventas Semanales'!BV30+'Ventas Semanales'!CA30+'Ventas Semanales'!CF30</f>
        <v>0</v>
      </c>
      <c r="S31" s="34">
        <f t="shared" ref="S31:S35" si="49">R31*T31</f>
        <v>0</v>
      </c>
      <c r="T31" s="39">
        <v>2.95</v>
      </c>
      <c r="U31" s="35"/>
      <c r="V31" s="33" t="e">
        <f t="shared" si="9"/>
        <v>#DIV/0!</v>
      </c>
      <c r="W31" s="38">
        <f>'Ventas Semanales'!CK30+'Ventas Semanales'!CP30+'Ventas Semanales'!CU30+'Ventas Semanales'!CZ30</f>
        <v>0</v>
      </c>
      <c r="X31" s="34">
        <f t="shared" ref="X31:X35" si="50">W31*Y31</f>
        <v>0</v>
      </c>
      <c r="Y31" s="39">
        <v>6</v>
      </c>
      <c r="Z31" s="35">
        <f>'Ventas Semanales'!CN30+'Ventas Semanales'!CS30+'Ventas Semanales'!CX30+'Ventas Semanales'!DC30</f>
        <v>0</v>
      </c>
      <c r="AA31" s="33" t="e">
        <f t="shared" si="11"/>
        <v>#DIV/0!</v>
      </c>
      <c r="AB31" s="38">
        <f>'Ventas Semanales'!DE30+'Ventas Semanales'!DJ30+'Ventas Semanales'!DO30+'Ventas Semanales'!DT30+'Ventas Semanales'!DY30</f>
        <v>34.99</v>
      </c>
      <c r="AC31" s="34">
        <f t="shared" ref="AC31:AC35" si="51">AB31*AD31</f>
        <v>83.975999999999999</v>
      </c>
      <c r="AD31" s="39">
        <v>2.4</v>
      </c>
      <c r="AE31" s="35"/>
      <c r="AF31" s="33">
        <f t="shared" si="13"/>
        <v>0</v>
      </c>
      <c r="AG31" s="38">
        <f>'Ventas Semanales'!ED30+'Ventas Semanales'!EI30+'Ventas Semanales'!EN30+'Ventas Semanales'!ES30</f>
        <v>0</v>
      </c>
      <c r="AH31" s="34">
        <f t="shared" ref="AH31:AH35" si="52">AG31*AI31</f>
        <v>0</v>
      </c>
      <c r="AI31" s="39">
        <v>1.7</v>
      </c>
      <c r="AJ31" s="35"/>
      <c r="AK31" s="33" t="e">
        <f t="shared" si="15"/>
        <v>#DIV/0!</v>
      </c>
      <c r="AL31" s="38">
        <f>'Ventas Semanales'!EX30+'Ventas Semanales'!FC30+'Ventas Semanales'!FH30+'Ventas Semanales'!FM30</f>
        <v>183156.90999999997</v>
      </c>
      <c r="AM31" s="34">
        <f t="shared" ref="AM31:AM35" si="53">AL31*AN31</f>
        <v>311366.74699999997</v>
      </c>
      <c r="AN31" s="39">
        <v>1.7</v>
      </c>
      <c r="AO31" s="35"/>
      <c r="AP31" s="7">
        <f t="shared" si="17"/>
        <v>0</v>
      </c>
      <c r="AQ31" s="38">
        <f>'Ventas Semanales'!FR30+'Ventas Semanales'!FW30+'Ventas Semanales'!GB30+'Ventas Semanales'!GG30+'Ventas Semanales'!GL30</f>
        <v>456719.05000000005</v>
      </c>
      <c r="AR31" s="34">
        <f t="shared" ref="AR31:AR35" si="54">AQ31*AS31</f>
        <v>767288.00400000007</v>
      </c>
      <c r="AS31" s="39">
        <v>1.68</v>
      </c>
      <c r="AT31" s="35"/>
      <c r="AU31" s="46">
        <f t="shared" si="19"/>
        <v>0</v>
      </c>
      <c r="AV31" s="10">
        <f>'Ventas Semanales'!GQ30+'Ventas Semanales'!GV30+'Ventas Semanales'!HA30+'Ventas Semanales'!HF30</f>
        <v>323213.38999999996</v>
      </c>
      <c r="AW31" s="34">
        <f t="shared" ref="AW31:AW35" si="55">AV31*AX31</f>
        <v>743390.79699999979</v>
      </c>
      <c r="AX31" s="39">
        <v>2.2999999999999998</v>
      </c>
      <c r="AY31" s="3"/>
      <c r="AZ31" s="7">
        <f t="shared" si="21"/>
        <v>0</v>
      </c>
      <c r="BA31" s="6">
        <f>'Ventas Semanales'!HK30+'Ventas Semanales'!HP30+'Ventas Semanales'!HU30+'Ventas Semanales'!HZ30</f>
        <v>69237.05</v>
      </c>
      <c r="BB31" s="34">
        <f t="shared" ref="BB31:BB35" si="56">BA31*BC31</f>
        <v>214634.85500000001</v>
      </c>
      <c r="BC31" s="39">
        <v>3.1</v>
      </c>
      <c r="BD31" s="3">
        <f>'Ventas Semanales'!HN30+'Ventas Semanales'!HS30+'Ventas Semanales'!HX30+'Ventas Semanales'!IC30</f>
        <v>0</v>
      </c>
      <c r="BE31" s="7">
        <f t="shared" si="23"/>
        <v>0</v>
      </c>
      <c r="BF31" s="10">
        <f>'Ventas Semanales'!IE30+'Ventas Semanales'!IJ30+'Ventas Semanales'!IO30+'Ventas Semanales'!IT30+'Ventas Semanales'!IY30</f>
        <v>1328882.8499999999</v>
      </c>
      <c r="BG31" s="34">
        <f t="shared" ref="BG31:BG35" si="57">BF31*BH31</f>
        <v>1860435.9899999998</v>
      </c>
      <c r="BH31" s="39">
        <v>1.4</v>
      </c>
      <c r="BI31" s="3">
        <f>'Ventas Semanales'!IH30+'Ventas Semanales'!IM30+'Ventas Semanales'!IR30+'Ventas Semanales'!IW30+'Ventas Semanales'!JB30</f>
        <v>0</v>
      </c>
      <c r="BJ31" s="7">
        <f t="shared" si="25"/>
        <v>0</v>
      </c>
      <c r="BK31" s="51">
        <f t="shared" si="26"/>
        <v>499436.44</v>
      </c>
      <c r="BL31" s="51">
        <f t="shared" si="27"/>
        <v>360885.60840000003</v>
      </c>
      <c r="BM31" s="189">
        <f t="shared" si="28"/>
        <v>1.383918971483153</v>
      </c>
      <c r="BN31" s="64">
        <f>'Ventas Semanales'!JD30</f>
        <v>1605636.31</v>
      </c>
      <c r="BO31" s="69">
        <f>'Ventas Semanales'!JE30</f>
        <v>1444246.0499999998</v>
      </c>
      <c r="BP31" s="68">
        <f t="shared" si="29"/>
        <v>-161390.26000000024</v>
      </c>
      <c r="BQ31" s="66">
        <f t="shared" si="0"/>
        <v>0.89948517046179643</v>
      </c>
      <c r="BR31" s="54">
        <f t="shared" si="1"/>
        <v>5192523.9714000002</v>
      </c>
      <c r="BS31" s="54">
        <f t="shared" si="30"/>
        <v>5420582.2699999996</v>
      </c>
    </row>
    <row r="32" spans="2:71">
      <c r="B32" s="185" t="s">
        <v>229</v>
      </c>
      <c r="C32" s="106">
        <f>'Ventas Semanales'!D31+'Ventas Semanales'!I31+'Ventas Semanales'!N31+'Ventas Semanales'!S31</f>
        <v>822682.21</v>
      </c>
      <c r="D32" s="1">
        <f t="shared" si="2"/>
        <v>559423.90280000004</v>
      </c>
      <c r="E32" s="39">
        <v>0.68</v>
      </c>
      <c r="F32" s="107">
        <f>'Ventas Semanales'!G31+'Ventas Semanales'!L31+'Ventas Semanales'!Q31+'Ventas Semanales'!V31</f>
        <v>613561.17000000004</v>
      </c>
      <c r="G32" s="42">
        <f t="shared" si="3"/>
        <v>0.74580580756693415</v>
      </c>
      <c r="H32" s="10">
        <f>'Ventas Semanales'!X31+'Ventas Semanales'!AC31+'Ventas Semanales'!AH31+'Ventas Semanales'!AM31</f>
        <v>848181.42999999993</v>
      </c>
      <c r="I32" s="1">
        <f t="shared" si="4"/>
        <v>593727.00099999993</v>
      </c>
      <c r="J32" s="2">
        <v>0.7</v>
      </c>
      <c r="K32" s="3">
        <f>'Ventas Semanales'!AA31+'Ventas Semanales'!AF31+'Ventas Semanales'!AK31+'Ventas Semanales'!AP31</f>
        <v>630929</v>
      </c>
      <c r="L32" s="42">
        <f t="shared" si="5"/>
        <v>0.74386089777985365</v>
      </c>
      <c r="M32" s="38">
        <f>'Ventas Semanales'!AR31+'Ventas Semanales'!AW31+'Ventas Semanales'!BB31+'Ventas Semanales'!BG31+'Ventas Semanales'!BL31</f>
        <v>667593.31000000006</v>
      </c>
      <c r="N32" s="34">
        <f t="shared" si="6"/>
        <v>700972.97550000006</v>
      </c>
      <c r="O32" s="39">
        <v>1.05</v>
      </c>
      <c r="P32" s="35">
        <f>'Ventas Semanales'!AU31+'Ventas Semanales'!AZ31+'Ventas Semanales'!BE31+'Ventas Semanales'!BJ31+'Ventas Semanales'!BO31</f>
        <v>468765.11999999994</v>
      </c>
      <c r="Q32" s="45">
        <f t="shared" si="7"/>
        <v>0.70217168593256263</v>
      </c>
      <c r="R32" s="38">
        <f>'Ventas Semanales'!BQ31+'Ventas Semanales'!BV31+'Ventas Semanales'!CA31+'Ventas Semanales'!CF31</f>
        <v>0</v>
      </c>
      <c r="S32" s="34">
        <f t="shared" si="49"/>
        <v>0</v>
      </c>
      <c r="T32" s="39">
        <v>2.95</v>
      </c>
      <c r="U32" s="35"/>
      <c r="V32" s="33" t="e">
        <f t="shared" si="9"/>
        <v>#DIV/0!</v>
      </c>
      <c r="W32" s="38">
        <f>'Ventas Semanales'!CK31+'Ventas Semanales'!CP31+'Ventas Semanales'!CU31+'Ventas Semanales'!CZ31</f>
        <v>0</v>
      </c>
      <c r="X32" s="34">
        <f t="shared" si="50"/>
        <v>0</v>
      </c>
      <c r="Y32" s="39">
        <v>6</v>
      </c>
      <c r="Z32" s="35">
        <f>'Ventas Semanales'!CN31+'Ventas Semanales'!CS31+'Ventas Semanales'!CX31+'Ventas Semanales'!DC31</f>
        <v>0</v>
      </c>
      <c r="AA32" s="33" t="e">
        <f t="shared" si="11"/>
        <v>#DIV/0!</v>
      </c>
      <c r="AB32" s="38">
        <f>'Ventas Semanales'!DE31+'Ventas Semanales'!DJ31+'Ventas Semanales'!DO31+'Ventas Semanales'!DT31+'Ventas Semanales'!DY31</f>
        <v>468620.07000000007</v>
      </c>
      <c r="AC32" s="34">
        <f t="shared" si="51"/>
        <v>1124688.1680000001</v>
      </c>
      <c r="AD32" s="39">
        <v>2.4</v>
      </c>
      <c r="AE32" s="35"/>
      <c r="AF32" s="33">
        <f t="shared" si="13"/>
        <v>0</v>
      </c>
      <c r="AG32" s="38">
        <f>'Ventas Semanales'!ED31+'Ventas Semanales'!EI31+'Ventas Semanales'!EN31+'Ventas Semanales'!ES31</f>
        <v>672161.03</v>
      </c>
      <c r="AH32" s="34">
        <f t="shared" si="52"/>
        <v>1142673.7509999999</v>
      </c>
      <c r="AI32" s="39">
        <v>1.7</v>
      </c>
      <c r="AJ32" s="35"/>
      <c r="AK32" s="33">
        <f t="shared" si="15"/>
        <v>0</v>
      </c>
      <c r="AL32" s="38">
        <f>'Ventas Semanales'!EX31+'Ventas Semanales'!FC31+'Ventas Semanales'!FH31+'Ventas Semanales'!FM31</f>
        <v>630379.28</v>
      </c>
      <c r="AM32" s="34">
        <f t="shared" si="53"/>
        <v>1071644.7760000001</v>
      </c>
      <c r="AN32" s="39">
        <v>1.7</v>
      </c>
      <c r="AO32" s="35"/>
      <c r="AP32" s="7">
        <f t="shared" si="17"/>
        <v>0</v>
      </c>
      <c r="AQ32" s="38">
        <f>'Ventas Semanales'!FR31+'Ventas Semanales'!FW31+'Ventas Semanales'!GB31+'Ventas Semanales'!GG31+'Ventas Semanales'!GL31</f>
        <v>903707.33999999985</v>
      </c>
      <c r="AR32" s="34">
        <f t="shared" si="54"/>
        <v>1518228.3311999997</v>
      </c>
      <c r="AS32" s="39">
        <v>1.68</v>
      </c>
      <c r="AT32" s="35"/>
      <c r="AU32" s="46">
        <f t="shared" si="19"/>
        <v>0</v>
      </c>
      <c r="AV32" s="10">
        <f>'Ventas Semanales'!GQ31+'Ventas Semanales'!GV31+'Ventas Semanales'!HA31+'Ventas Semanales'!HF31</f>
        <v>421803.06</v>
      </c>
      <c r="AW32" s="34">
        <f t="shared" si="55"/>
        <v>970147.03799999994</v>
      </c>
      <c r="AX32" s="39">
        <v>2.2999999999999998</v>
      </c>
      <c r="AY32" s="3"/>
      <c r="AZ32" s="7">
        <f t="shared" si="21"/>
        <v>0</v>
      </c>
      <c r="BA32" s="6">
        <f>'Ventas Semanales'!HK31+'Ventas Semanales'!HP31+'Ventas Semanales'!HU31+'Ventas Semanales'!HZ31</f>
        <v>133884.37</v>
      </c>
      <c r="BB32" s="34">
        <f t="shared" si="56"/>
        <v>415041.54700000002</v>
      </c>
      <c r="BC32" s="39">
        <v>3.1</v>
      </c>
      <c r="BD32" s="3">
        <f>'Ventas Semanales'!HN31+'Ventas Semanales'!HS31+'Ventas Semanales'!HX31+'Ventas Semanales'!IC31</f>
        <v>0</v>
      </c>
      <c r="BE32" s="7">
        <f t="shared" si="23"/>
        <v>0</v>
      </c>
      <c r="BF32" s="10">
        <f>'Ventas Semanales'!IE31+'Ventas Semanales'!IJ31+'Ventas Semanales'!IO31+'Ventas Semanales'!IT31+'Ventas Semanales'!IY31</f>
        <v>1715122.2999999998</v>
      </c>
      <c r="BG32" s="34">
        <f t="shared" si="57"/>
        <v>2401171.2199999997</v>
      </c>
      <c r="BH32" s="39">
        <v>1.4</v>
      </c>
      <c r="BI32" s="3">
        <f>'Ventas Semanales'!IH31+'Ventas Semanales'!IM31+'Ventas Semanales'!IR31+'Ventas Semanales'!IW31+'Ventas Semanales'!JB31</f>
        <v>0</v>
      </c>
      <c r="BJ32" s="7">
        <f t="shared" si="25"/>
        <v>0</v>
      </c>
      <c r="BK32" s="51">
        <f t="shared" si="26"/>
        <v>613561.17000000004</v>
      </c>
      <c r="BL32" s="51">
        <f t="shared" si="27"/>
        <v>559423.90280000004</v>
      </c>
      <c r="BM32" s="189">
        <f t="shared" si="28"/>
        <v>1.0967732464219617</v>
      </c>
      <c r="BN32" s="64">
        <f>'Ventas Semanales'!JD31</f>
        <v>2234341.65</v>
      </c>
      <c r="BO32" s="69">
        <f>'Ventas Semanales'!JE31</f>
        <v>1713255.29</v>
      </c>
      <c r="BP32" s="68">
        <f t="shared" si="29"/>
        <v>-521086.35999999987</v>
      </c>
      <c r="BQ32" s="66">
        <f t="shared" si="0"/>
        <v>0.76678304322886348</v>
      </c>
      <c r="BR32" s="54">
        <f t="shared" si="1"/>
        <v>10497718.7105</v>
      </c>
      <c r="BS32" s="54">
        <f t="shared" si="30"/>
        <v>10589057.9767</v>
      </c>
    </row>
    <row r="33" spans="2:72">
      <c r="B33" s="185" t="s">
        <v>230</v>
      </c>
      <c r="C33" s="106">
        <f>'Ventas Semanales'!D32+'Ventas Semanales'!I32+'Ventas Semanales'!N32+'Ventas Semanales'!S32</f>
        <v>319023.89999999997</v>
      </c>
      <c r="D33" s="1">
        <f t="shared" si="2"/>
        <v>216936.25199999998</v>
      </c>
      <c r="E33" s="39">
        <v>0.68</v>
      </c>
      <c r="F33" s="107">
        <f>'Ventas Semanales'!G32+'Ventas Semanales'!L32+'Ventas Semanales'!Q32+'Ventas Semanales'!V32</f>
        <v>216790.69</v>
      </c>
      <c r="G33" s="42">
        <f t="shared" si="3"/>
        <v>0.67954372697468757</v>
      </c>
      <c r="H33" s="10">
        <f>'Ventas Semanales'!X32+'Ventas Semanales'!AC32+'Ventas Semanales'!AH32+'Ventas Semanales'!AM32</f>
        <v>452460.22</v>
      </c>
      <c r="I33" s="1">
        <f t="shared" si="4"/>
        <v>316722.15399999998</v>
      </c>
      <c r="J33" s="2">
        <v>0.7</v>
      </c>
      <c r="K33" s="3">
        <f>'Ventas Semanales'!AA32+'Ventas Semanales'!AF32+'Ventas Semanales'!AK32+'Ventas Semanales'!AP32</f>
        <v>220847.21</v>
      </c>
      <c r="L33" s="42">
        <f t="shared" si="5"/>
        <v>0.48810304251719633</v>
      </c>
      <c r="M33" s="38">
        <f>'Ventas Semanales'!AR32+'Ventas Semanales'!AW32+'Ventas Semanales'!BB32+'Ventas Semanales'!BG32+'Ventas Semanales'!BL32</f>
        <v>359589.89</v>
      </c>
      <c r="N33" s="34">
        <f t="shared" si="6"/>
        <v>377569.38450000004</v>
      </c>
      <c r="O33" s="39">
        <v>1.05</v>
      </c>
      <c r="P33" s="35">
        <f>'Ventas Semanales'!AU32+'Ventas Semanales'!AZ32+'Ventas Semanales'!BE32+'Ventas Semanales'!BJ32+'Ventas Semanales'!BO32</f>
        <v>200365.04000000004</v>
      </c>
      <c r="Q33" s="45">
        <f t="shared" si="7"/>
        <v>0.55720431962088823</v>
      </c>
      <c r="R33" s="38">
        <f>'Ventas Semanales'!BQ32+'Ventas Semanales'!BV32+'Ventas Semanales'!CA32+'Ventas Semanales'!CF32</f>
        <v>15193.87</v>
      </c>
      <c r="S33" s="34">
        <f t="shared" si="49"/>
        <v>44821.916500000007</v>
      </c>
      <c r="T33" s="39">
        <v>2.95</v>
      </c>
      <c r="U33" s="35"/>
      <c r="V33" s="33">
        <f t="shared" si="9"/>
        <v>0</v>
      </c>
      <c r="W33" s="38">
        <f>'Ventas Semanales'!CK32+'Ventas Semanales'!CP32+'Ventas Semanales'!CU32+'Ventas Semanales'!CZ32</f>
        <v>0</v>
      </c>
      <c r="X33" s="34">
        <f t="shared" si="50"/>
        <v>0</v>
      </c>
      <c r="Y33" s="39">
        <v>6</v>
      </c>
      <c r="Z33" s="35">
        <f>'Ventas Semanales'!CN32+'Ventas Semanales'!CS32+'Ventas Semanales'!CX32+'Ventas Semanales'!DC32</f>
        <v>0</v>
      </c>
      <c r="AA33" s="33" t="e">
        <f t="shared" si="11"/>
        <v>#DIV/0!</v>
      </c>
      <c r="AB33" s="38">
        <f>'Ventas Semanales'!DE32+'Ventas Semanales'!DJ32+'Ventas Semanales'!DO32+'Ventas Semanales'!DT32+'Ventas Semanales'!DY32</f>
        <v>179525.38999999998</v>
      </c>
      <c r="AC33" s="34">
        <f t="shared" si="51"/>
        <v>430860.93599999993</v>
      </c>
      <c r="AD33" s="39">
        <v>2.4</v>
      </c>
      <c r="AE33" s="35"/>
      <c r="AF33" s="33">
        <f t="shared" si="13"/>
        <v>0</v>
      </c>
      <c r="AG33" s="38">
        <f>'Ventas Semanales'!ED32+'Ventas Semanales'!EI32+'Ventas Semanales'!EN32+'Ventas Semanales'!ES32</f>
        <v>243807.43</v>
      </c>
      <c r="AH33" s="34">
        <f t="shared" si="52"/>
        <v>414472.63099999999</v>
      </c>
      <c r="AI33" s="39">
        <v>1.7</v>
      </c>
      <c r="AJ33" s="35"/>
      <c r="AK33" s="33">
        <f t="shared" si="15"/>
        <v>0</v>
      </c>
      <c r="AL33" s="38">
        <f>'Ventas Semanales'!EX32+'Ventas Semanales'!FC32+'Ventas Semanales'!FH32+'Ventas Semanales'!FM32</f>
        <v>266639.14</v>
      </c>
      <c r="AM33" s="34">
        <f t="shared" si="53"/>
        <v>453286.538</v>
      </c>
      <c r="AN33" s="39">
        <v>1.7</v>
      </c>
      <c r="AO33" s="35"/>
      <c r="AP33" s="7">
        <f t="shared" si="17"/>
        <v>0</v>
      </c>
      <c r="AQ33" s="38">
        <f>'Ventas Semanales'!FR32+'Ventas Semanales'!FW32+'Ventas Semanales'!GB32+'Ventas Semanales'!GG32+'Ventas Semanales'!GL32</f>
        <v>306382.56</v>
      </c>
      <c r="AR33" s="34">
        <f t="shared" si="54"/>
        <v>514722.70079999999</v>
      </c>
      <c r="AS33" s="39">
        <v>1.68</v>
      </c>
      <c r="AT33" s="35"/>
      <c r="AU33" s="46">
        <f t="shared" si="19"/>
        <v>0</v>
      </c>
      <c r="AV33" s="10">
        <f>'Ventas Semanales'!GQ32+'Ventas Semanales'!GV32+'Ventas Semanales'!HA32+'Ventas Semanales'!HF32</f>
        <v>233171.02000000002</v>
      </c>
      <c r="AW33" s="34">
        <f t="shared" si="55"/>
        <v>536293.34600000002</v>
      </c>
      <c r="AX33" s="39">
        <v>2.2999999999999998</v>
      </c>
      <c r="AY33" s="3"/>
      <c r="AZ33" s="7">
        <f t="shared" si="21"/>
        <v>0</v>
      </c>
      <c r="BA33" s="6">
        <f>'Ventas Semanales'!HK32+'Ventas Semanales'!HP32+'Ventas Semanales'!HU32+'Ventas Semanales'!HZ32</f>
        <v>67882.06</v>
      </c>
      <c r="BB33" s="34">
        <f t="shared" si="56"/>
        <v>210434.386</v>
      </c>
      <c r="BC33" s="39">
        <v>3.1</v>
      </c>
      <c r="BD33" s="3">
        <f>'Ventas Semanales'!HN32+'Ventas Semanales'!HS32+'Ventas Semanales'!HX32+'Ventas Semanales'!IC32</f>
        <v>0</v>
      </c>
      <c r="BE33" s="7">
        <f t="shared" si="23"/>
        <v>0</v>
      </c>
      <c r="BF33" s="10">
        <f>'Ventas Semanales'!IE32+'Ventas Semanales'!IJ32+'Ventas Semanales'!IO32+'Ventas Semanales'!IT32+'Ventas Semanales'!IY32</f>
        <v>567652.25</v>
      </c>
      <c r="BG33" s="34">
        <f t="shared" si="57"/>
        <v>794713.14999999991</v>
      </c>
      <c r="BH33" s="39">
        <v>1.4</v>
      </c>
      <c r="BI33" s="3">
        <f>'Ventas Semanales'!IH32+'Ventas Semanales'!IM32+'Ventas Semanales'!IR32+'Ventas Semanales'!IW32+'Ventas Semanales'!JB32</f>
        <v>0</v>
      </c>
      <c r="BJ33" s="7">
        <f t="shared" si="25"/>
        <v>0</v>
      </c>
      <c r="BK33" s="51">
        <f t="shared" si="26"/>
        <v>216790.69</v>
      </c>
      <c r="BL33" s="51">
        <f t="shared" si="27"/>
        <v>216936.25199999998</v>
      </c>
      <c r="BM33" s="189">
        <f t="shared" si="28"/>
        <v>0.99932901025689347</v>
      </c>
      <c r="BN33" s="64">
        <f>'Ventas Semanales'!JD32</f>
        <v>1061469</v>
      </c>
      <c r="BO33" s="69">
        <f>'Ventas Semanales'!JE32</f>
        <v>638002.93999999994</v>
      </c>
      <c r="BP33" s="68">
        <f t="shared" si="29"/>
        <v>-423466.06000000006</v>
      </c>
      <c r="BQ33" s="66">
        <f t="shared" si="0"/>
        <v>0.60105659232629494</v>
      </c>
      <c r="BR33" s="54">
        <f t="shared" si="1"/>
        <v>4310833.3947999999</v>
      </c>
      <c r="BS33" s="54">
        <f t="shared" si="30"/>
        <v>4214812.8888000008</v>
      </c>
    </row>
    <row r="34" spans="2:72">
      <c r="B34" s="185" t="s">
        <v>231</v>
      </c>
      <c r="C34" s="106">
        <f>'Ventas Semanales'!D33+'Ventas Semanales'!I33+'Ventas Semanales'!N33+'Ventas Semanales'!S33</f>
        <v>94946.409999999989</v>
      </c>
      <c r="D34" s="1">
        <f t="shared" si="2"/>
        <v>64563.558799999999</v>
      </c>
      <c r="E34" s="39">
        <v>0.68</v>
      </c>
      <c r="F34" s="107">
        <f>'Ventas Semanales'!G33+'Ventas Semanales'!L33+'Ventas Semanales'!Q33+'Ventas Semanales'!V33</f>
        <v>45871.600000000006</v>
      </c>
      <c r="G34" s="42">
        <f t="shared" si="3"/>
        <v>0.48313148438155812</v>
      </c>
      <c r="H34" s="10">
        <f>'Ventas Semanales'!X33+'Ventas Semanales'!AC33+'Ventas Semanales'!AH33+'Ventas Semanales'!AM33</f>
        <v>226824.03</v>
      </c>
      <c r="I34" s="1">
        <f t="shared" si="4"/>
        <v>158776.821</v>
      </c>
      <c r="J34" s="2">
        <v>0.7</v>
      </c>
      <c r="K34" s="3">
        <f>'Ventas Semanales'!AA33+'Ventas Semanales'!AF33+'Ventas Semanales'!AK33+'Ventas Semanales'!AP33</f>
        <v>52897.63</v>
      </c>
      <c r="L34" s="42">
        <f t="shared" si="5"/>
        <v>0.2332099910225561</v>
      </c>
      <c r="M34" s="38">
        <f>'Ventas Semanales'!AR33+'Ventas Semanales'!AW33+'Ventas Semanales'!BB33+'Ventas Semanales'!BG33+'Ventas Semanales'!BL33</f>
        <v>132794.03</v>
      </c>
      <c r="N34" s="34">
        <f t="shared" si="6"/>
        <v>26558.806</v>
      </c>
      <c r="O34" s="39">
        <v>0.2</v>
      </c>
      <c r="P34" s="35">
        <f>'Ventas Semanales'!AU33+'Ventas Semanales'!AZ33+'Ventas Semanales'!BE33+'Ventas Semanales'!BJ33+'Ventas Semanales'!BO33</f>
        <v>8394.66</v>
      </c>
      <c r="Q34" s="45">
        <f t="shared" si="7"/>
        <v>6.3215643052628195E-2</v>
      </c>
      <c r="R34" s="38">
        <f>'Ventas Semanales'!BQ33+'Ventas Semanales'!BV33+'Ventas Semanales'!CA33+'Ventas Semanales'!CF33</f>
        <v>2701.39</v>
      </c>
      <c r="S34" s="34">
        <f t="shared" si="49"/>
        <v>7969.1005000000005</v>
      </c>
      <c r="T34" s="39">
        <v>2.95</v>
      </c>
      <c r="U34" s="35"/>
      <c r="V34" s="33">
        <f t="shared" si="9"/>
        <v>0</v>
      </c>
      <c r="W34" s="38">
        <f>'Ventas Semanales'!CK33+'Ventas Semanales'!CP33+'Ventas Semanales'!CU33+'Ventas Semanales'!CZ33</f>
        <v>0</v>
      </c>
      <c r="X34" s="34">
        <f t="shared" si="50"/>
        <v>0</v>
      </c>
      <c r="Y34" s="39">
        <v>6</v>
      </c>
      <c r="Z34" s="35">
        <f>'Ventas Semanales'!CN33+'Ventas Semanales'!CS33+'Ventas Semanales'!CX33+'Ventas Semanales'!DC33</f>
        <v>0</v>
      </c>
      <c r="AA34" s="33"/>
      <c r="AB34" s="38">
        <f>'Ventas Semanales'!DE33+'Ventas Semanales'!DJ33+'Ventas Semanales'!DO33+'Ventas Semanales'!DT33+'Ventas Semanales'!DY33</f>
        <v>3715.32</v>
      </c>
      <c r="AC34" s="34">
        <f t="shared" si="51"/>
        <v>8916.768</v>
      </c>
      <c r="AD34" s="39">
        <v>2.4</v>
      </c>
      <c r="AE34" s="35"/>
      <c r="AF34" s="33"/>
      <c r="AG34" s="38">
        <f>'Ventas Semanales'!ED33+'Ventas Semanales'!EI33+'Ventas Semanales'!EN33+'Ventas Semanales'!ES33</f>
        <v>24726.239999999998</v>
      </c>
      <c r="AH34" s="34">
        <f t="shared" si="52"/>
        <v>42034.607999999993</v>
      </c>
      <c r="AI34" s="39">
        <v>1.7</v>
      </c>
      <c r="AJ34" s="35"/>
      <c r="AK34" s="33"/>
      <c r="AL34" s="38">
        <f>'Ventas Semanales'!EX33+'Ventas Semanales'!FC33+'Ventas Semanales'!FH33+'Ventas Semanales'!FM33</f>
        <v>26717.03</v>
      </c>
      <c r="AM34" s="34">
        <f t="shared" si="53"/>
        <v>45418.950999999994</v>
      </c>
      <c r="AN34" s="39">
        <v>1.7</v>
      </c>
      <c r="AO34" s="35"/>
      <c r="AP34" s="7"/>
      <c r="AQ34" s="38">
        <f>'Ventas Semanales'!FR33+'Ventas Semanales'!FW33+'Ventas Semanales'!GB33+'Ventas Semanales'!GG33+'Ventas Semanales'!GL33</f>
        <v>62849.26999999999</v>
      </c>
      <c r="AR34" s="34">
        <f t="shared" si="54"/>
        <v>105586.77359999997</v>
      </c>
      <c r="AS34" s="39">
        <v>1.68</v>
      </c>
      <c r="AT34" s="35"/>
      <c r="AU34" s="46">
        <f t="shared" si="19"/>
        <v>0</v>
      </c>
      <c r="AV34" s="10">
        <f>'Ventas Semanales'!GQ33+'Ventas Semanales'!GV33+'Ventas Semanales'!HA33+'Ventas Semanales'!HF33</f>
        <v>28123.63</v>
      </c>
      <c r="AW34" s="34">
        <f t="shared" si="55"/>
        <v>64684.348999999995</v>
      </c>
      <c r="AX34" s="39">
        <v>2.2999999999999998</v>
      </c>
      <c r="AY34" s="3"/>
      <c r="AZ34" s="7"/>
      <c r="BA34" s="6">
        <f>'Ventas Semanales'!HK33+'Ventas Semanales'!HP33+'Ventas Semanales'!HU33+'Ventas Semanales'!HZ33</f>
        <v>0</v>
      </c>
      <c r="BB34" s="34">
        <f t="shared" si="56"/>
        <v>0</v>
      </c>
      <c r="BC34" s="39">
        <v>3.1</v>
      </c>
      <c r="BD34" s="3">
        <f>'Ventas Semanales'!HN33+'Ventas Semanales'!HS33+'Ventas Semanales'!HX33+'Ventas Semanales'!IC33</f>
        <v>0</v>
      </c>
      <c r="BE34" s="7"/>
      <c r="BF34" s="10">
        <f>'Ventas Semanales'!IE33+'Ventas Semanales'!IJ33+'Ventas Semanales'!IO33+'Ventas Semanales'!IT33+'Ventas Semanales'!IY33</f>
        <v>61498.07</v>
      </c>
      <c r="BG34" s="34">
        <f t="shared" si="57"/>
        <v>86097.297999999995</v>
      </c>
      <c r="BH34" s="39">
        <v>1.4</v>
      </c>
      <c r="BI34" s="3">
        <f>'Ventas Semanales'!IH33+'Ventas Semanales'!IM33+'Ventas Semanales'!IR33+'Ventas Semanales'!IW33+'Ventas Semanales'!JB33</f>
        <v>0</v>
      </c>
      <c r="BJ34" s="7">
        <f t="shared" si="25"/>
        <v>0</v>
      </c>
      <c r="BK34" s="51">
        <f t="shared" si="26"/>
        <v>45871.600000000006</v>
      </c>
      <c r="BL34" s="51">
        <f t="shared" si="27"/>
        <v>64563.558799999999</v>
      </c>
      <c r="BM34" s="189">
        <f t="shared" si="28"/>
        <v>0.71048747703170301</v>
      </c>
      <c r="BN34" s="64">
        <f>'Ventas Semanales'!JD33</f>
        <v>431958.12999999995</v>
      </c>
      <c r="BO34" s="69">
        <f>'Ventas Semanales'!JE33</f>
        <v>107163.89000000001</v>
      </c>
      <c r="BP34" s="68">
        <f t="shared" si="29"/>
        <v>-324794.23999999993</v>
      </c>
      <c r="BQ34" s="66">
        <f t="shared" si="0"/>
        <v>0.24808860525440285</v>
      </c>
      <c r="BR34" s="54">
        <f t="shared" si="1"/>
        <v>610607.03389999992</v>
      </c>
      <c r="BS34" s="54">
        <f t="shared" si="30"/>
        <v>486035.88409999997</v>
      </c>
    </row>
    <row r="35" spans="2:72">
      <c r="B35" s="185" t="s">
        <v>232</v>
      </c>
      <c r="C35" s="106">
        <f>'Ventas Semanales'!D34+'Ventas Semanales'!I34+'Ventas Semanales'!N34+'Ventas Semanales'!S34</f>
        <v>151835.4</v>
      </c>
      <c r="D35" s="1">
        <f t="shared" si="2"/>
        <v>103248.072</v>
      </c>
      <c r="E35" s="39">
        <v>0.68</v>
      </c>
      <c r="F35" s="107">
        <f>'Ventas Semanales'!G34+'Ventas Semanales'!L34+'Ventas Semanales'!Q34+'Ventas Semanales'!V34</f>
        <v>83798.509999999995</v>
      </c>
      <c r="G35" s="42">
        <f t="shared" si="3"/>
        <v>0.55190364038952711</v>
      </c>
      <c r="H35" s="10">
        <f>'Ventas Semanales'!X34+'Ventas Semanales'!AC34+'Ventas Semanales'!AH34+'Ventas Semanales'!AM34</f>
        <v>310413.71000000002</v>
      </c>
      <c r="I35" s="1">
        <f t="shared" si="4"/>
        <v>217289.59700000001</v>
      </c>
      <c r="J35" s="2">
        <v>0.7</v>
      </c>
      <c r="K35" s="3">
        <f>'Ventas Semanales'!AA34+'Ventas Semanales'!AF34+'Ventas Semanales'!AK34+'Ventas Semanales'!AP34</f>
        <v>70700.58</v>
      </c>
      <c r="L35" s="42">
        <f t="shared" si="5"/>
        <v>0.22776242711702391</v>
      </c>
      <c r="M35" s="38">
        <f>'Ventas Semanales'!AR34+'Ventas Semanales'!AW34+'Ventas Semanales'!BB34+'Ventas Semanales'!BG34+'Ventas Semanales'!BL34</f>
        <v>226064.55</v>
      </c>
      <c r="N35" s="34">
        <f t="shared" si="6"/>
        <v>45212.91</v>
      </c>
      <c r="O35" s="39">
        <v>0.2</v>
      </c>
      <c r="P35" s="35">
        <f>'Ventas Semanales'!AU34+'Ventas Semanales'!AZ34+'Ventas Semanales'!BE34+'Ventas Semanales'!BJ34+'Ventas Semanales'!BO34</f>
        <v>12535.19</v>
      </c>
      <c r="Q35" s="45">
        <f t="shared" si="7"/>
        <v>5.5449604991140808E-2</v>
      </c>
      <c r="R35" s="38">
        <f>'Ventas Semanales'!BQ34+'Ventas Semanales'!BV34+'Ventas Semanales'!CA34+'Ventas Semanales'!CF34</f>
        <v>4741.34</v>
      </c>
      <c r="S35" s="34">
        <f t="shared" si="49"/>
        <v>13986.953000000001</v>
      </c>
      <c r="T35" s="39">
        <v>2.95</v>
      </c>
      <c r="U35" s="35"/>
      <c r="V35" s="33">
        <f t="shared" si="9"/>
        <v>0</v>
      </c>
      <c r="W35" s="38">
        <f>'Ventas Semanales'!CK34+'Ventas Semanales'!CP34+'Ventas Semanales'!CU34+'Ventas Semanales'!CZ34</f>
        <v>0</v>
      </c>
      <c r="X35" s="34">
        <f t="shared" si="50"/>
        <v>0</v>
      </c>
      <c r="Y35" s="39">
        <v>6</v>
      </c>
      <c r="Z35" s="35">
        <f>'Ventas Semanales'!CN34+'Ventas Semanales'!CS34+'Ventas Semanales'!CX34+'Ventas Semanales'!DC34</f>
        <v>0</v>
      </c>
      <c r="AA35" s="33"/>
      <c r="AB35" s="38">
        <f>'Ventas Semanales'!DE34+'Ventas Semanales'!DJ34+'Ventas Semanales'!DO34+'Ventas Semanales'!DT34+'Ventas Semanales'!DY34</f>
        <v>6063.5</v>
      </c>
      <c r="AC35" s="34">
        <f t="shared" si="51"/>
        <v>14552.4</v>
      </c>
      <c r="AD35" s="39">
        <v>2.4</v>
      </c>
      <c r="AE35" s="35"/>
      <c r="AF35" s="33"/>
      <c r="AG35" s="38">
        <f>'Ventas Semanales'!ED34+'Ventas Semanales'!EI34+'Ventas Semanales'!EN34+'Ventas Semanales'!ES34</f>
        <v>64174.96</v>
      </c>
      <c r="AH35" s="34">
        <f t="shared" si="52"/>
        <v>109097.432</v>
      </c>
      <c r="AI35" s="39">
        <v>1.7</v>
      </c>
      <c r="AJ35" s="35"/>
      <c r="AK35" s="33"/>
      <c r="AL35" s="38">
        <f>'Ventas Semanales'!EX34+'Ventas Semanales'!FC34+'Ventas Semanales'!FH34+'Ventas Semanales'!FM34</f>
        <v>90834.18</v>
      </c>
      <c r="AM35" s="34">
        <f t="shared" si="53"/>
        <v>154418.10599999997</v>
      </c>
      <c r="AN35" s="39">
        <v>1.7</v>
      </c>
      <c r="AO35" s="35"/>
      <c r="AP35" s="7"/>
      <c r="AQ35" s="38">
        <f>'Ventas Semanales'!FR34+'Ventas Semanales'!FW34+'Ventas Semanales'!GB34+'Ventas Semanales'!GG34+'Ventas Semanales'!GL34</f>
        <v>108775.07</v>
      </c>
      <c r="AR35" s="34">
        <f t="shared" si="54"/>
        <v>182742.1176</v>
      </c>
      <c r="AS35" s="39">
        <v>1.68</v>
      </c>
      <c r="AT35" s="35"/>
      <c r="AU35" s="46">
        <f t="shared" si="19"/>
        <v>0</v>
      </c>
      <c r="AV35" s="10">
        <f>'Ventas Semanales'!GQ34+'Ventas Semanales'!GV34+'Ventas Semanales'!HA34+'Ventas Semanales'!HF34</f>
        <v>100046.31</v>
      </c>
      <c r="AW35" s="34">
        <f t="shared" si="55"/>
        <v>230106.51299999998</v>
      </c>
      <c r="AX35" s="39">
        <v>2.2999999999999998</v>
      </c>
      <c r="AY35" s="3"/>
      <c r="AZ35" s="7"/>
      <c r="BA35" s="6">
        <f>'Ventas Semanales'!HK34+'Ventas Semanales'!HP34+'Ventas Semanales'!HU34+'Ventas Semanales'!HZ34</f>
        <v>68549.159999999989</v>
      </c>
      <c r="BB35" s="34">
        <f t="shared" si="56"/>
        <v>212502.39599999998</v>
      </c>
      <c r="BC35" s="39">
        <v>3.1</v>
      </c>
      <c r="BD35" s="3">
        <f>'Ventas Semanales'!HN34+'Ventas Semanales'!HS34+'Ventas Semanales'!HX34+'Ventas Semanales'!IC34</f>
        <v>0</v>
      </c>
      <c r="BE35" s="7"/>
      <c r="BF35" s="10">
        <f>'Ventas Semanales'!IE34+'Ventas Semanales'!IJ34+'Ventas Semanales'!IO34+'Ventas Semanales'!IT34+'Ventas Semanales'!IY34</f>
        <v>251394.88</v>
      </c>
      <c r="BG35" s="34">
        <f t="shared" si="57"/>
        <v>351952.83199999999</v>
      </c>
      <c r="BH35" s="39">
        <v>1.4</v>
      </c>
      <c r="BI35" s="3">
        <f>'Ventas Semanales'!IH34+'Ventas Semanales'!IM34+'Ventas Semanales'!IR34+'Ventas Semanales'!IW34+'Ventas Semanales'!JB34</f>
        <v>0</v>
      </c>
      <c r="BJ35" s="7">
        <f t="shared" si="25"/>
        <v>0</v>
      </c>
      <c r="BK35" s="51">
        <f t="shared" si="26"/>
        <v>83798.509999999995</v>
      </c>
      <c r="BL35" s="51">
        <f t="shared" si="27"/>
        <v>103248.072</v>
      </c>
      <c r="BM35" s="189">
        <f t="shared" si="28"/>
        <v>0.81162300057283387</v>
      </c>
      <c r="BN35" s="64">
        <f>'Ventas Semanales'!JD34</f>
        <v>650291.17999999993</v>
      </c>
      <c r="BO35" s="69">
        <f>'Ventas Semanales'!JE34</f>
        <v>167034.28</v>
      </c>
      <c r="BP35" s="68">
        <f t="shared" si="29"/>
        <v>-483256.89999999991</v>
      </c>
      <c r="BQ35" s="66">
        <f t="shared" si="0"/>
        <v>0.25686074967216999</v>
      </c>
      <c r="BR35" s="54">
        <f t="shared" si="1"/>
        <v>1635109.3285999999</v>
      </c>
      <c r="BS35" s="54">
        <f t="shared" si="30"/>
        <v>1469070.7496</v>
      </c>
    </row>
    <row r="36" spans="2:72">
      <c r="B36" s="186" t="s">
        <v>233</v>
      </c>
      <c r="C36" s="106">
        <f>'Ventas Semanales'!D35+'Ventas Semanales'!I35+'Ventas Semanales'!N35+'Ventas Semanales'!S35</f>
        <v>141957.92000000001</v>
      </c>
      <c r="D36" s="1">
        <f t="shared" si="2"/>
        <v>96531.385600000009</v>
      </c>
      <c r="E36" s="39">
        <v>0.68</v>
      </c>
      <c r="F36" s="107">
        <f>'Ventas Semanales'!G35+'Ventas Semanales'!L35+'Ventas Semanales'!Q35+'Ventas Semanales'!V35</f>
        <v>90279.02</v>
      </c>
      <c r="G36" s="42">
        <f t="shared" si="3"/>
        <v>0.63595620448651258</v>
      </c>
      <c r="H36" s="10">
        <f>'Ventas Semanales'!X35+'Ventas Semanales'!AC35+'Ventas Semanales'!AH35+'Ventas Semanales'!AM35</f>
        <v>259012.12999999998</v>
      </c>
      <c r="I36" s="1">
        <f t="shared" si="4"/>
        <v>181308.49099999998</v>
      </c>
      <c r="J36" s="2">
        <v>0.7</v>
      </c>
      <c r="K36" s="3">
        <f>'Ventas Semanales'!AA35+'Ventas Semanales'!AF35+'Ventas Semanales'!AK35+'Ventas Semanales'!AP35</f>
        <v>113686.44</v>
      </c>
      <c r="L36" s="42">
        <f t="shared" si="5"/>
        <v>0.43892322726352628</v>
      </c>
      <c r="M36" s="38">
        <f>'Ventas Semanales'!AR35+'Ventas Semanales'!AW35+'Ventas Semanales'!BB35+'Ventas Semanales'!BG35+'Ventas Semanales'!BL35</f>
        <v>255312.20999999996</v>
      </c>
      <c r="N36" s="34">
        <f>N33*0.6</f>
        <v>226541.63070000001</v>
      </c>
      <c r="O36" s="39">
        <v>0.25</v>
      </c>
      <c r="P36" s="35">
        <f>'Ventas Semanales'!AU35+'Ventas Semanales'!AZ35+'Ventas Semanales'!BE35+'Ventas Semanales'!BJ35+'Ventas Semanales'!BO35</f>
        <v>41255.67</v>
      </c>
      <c r="Q36" s="45">
        <f t="shared" si="7"/>
        <v>0.16158909908774047</v>
      </c>
      <c r="R36" s="38"/>
      <c r="S36" s="34">
        <f>S33*0.6</f>
        <v>26893.149900000004</v>
      </c>
      <c r="T36" s="39">
        <v>2.95</v>
      </c>
      <c r="U36" s="35"/>
      <c r="V36" s="33" t="e">
        <f t="shared" si="9"/>
        <v>#DIV/0!</v>
      </c>
      <c r="W36" s="38"/>
      <c r="X36" s="34">
        <f>X33*0.6</f>
        <v>0</v>
      </c>
      <c r="Y36" s="39">
        <v>6</v>
      </c>
      <c r="Z36" s="35">
        <f>'Ventas Semanales'!CN35+'Ventas Semanales'!CS35+'Ventas Semanales'!CX35+'Ventas Semanales'!DC35</f>
        <v>0</v>
      </c>
      <c r="AA36" s="33"/>
      <c r="AB36" s="38">
        <f>'Ventas Semanales'!DE35+'Ventas Semanales'!DJ35+'Ventas Semanales'!DO35+'Ventas Semanales'!DT35+'Ventas Semanales'!DY35</f>
        <v>94025.12</v>
      </c>
      <c r="AC36" s="34">
        <f>AC33*0.6</f>
        <v>258516.56159999996</v>
      </c>
      <c r="AD36" s="39">
        <v>2.4</v>
      </c>
      <c r="AE36" s="35"/>
      <c r="AF36" s="33"/>
      <c r="AG36" s="38">
        <f>'Ventas Semanales'!ED35+'Ventas Semanales'!EI35+'Ventas Semanales'!EN35+'Ventas Semanales'!ES35</f>
        <v>93501.77</v>
      </c>
      <c r="AH36" s="34">
        <f>AH33*0.6</f>
        <v>248683.57859999998</v>
      </c>
      <c r="AI36" s="39">
        <v>1.7</v>
      </c>
      <c r="AJ36" s="35"/>
      <c r="AK36" s="33"/>
      <c r="AL36" s="38">
        <f>'Ventas Semanales'!EX35+'Ventas Semanales'!FC35+'Ventas Semanales'!FH35+'Ventas Semanales'!FM35</f>
        <v>91258.290000000008</v>
      </c>
      <c r="AM36" s="34">
        <f>AM33*0.6</f>
        <v>271971.9228</v>
      </c>
      <c r="AN36" s="39">
        <v>1.7</v>
      </c>
      <c r="AO36" s="35"/>
      <c r="AP36" s="7"/>
      <c r="AQ36" s="38">
        <f>'Ventas Semanales'!FR35+'Ventas Semanales'!FW35+'Ventas Semanales'!GB35+'Ventas Semanales'!GG35+'Ventas Semanales'!GL35</f>
        <v>98193.12</v>
      </c>
      <c r="AR36" s="34">
        <f>AR33*0.6</f>
        <v>308833.62047999998</v>
      </c>
      <c r="AS36" s="39">
        <v>1.68</v>
      </c>
      <c r="AT36" s="35"/>
      <c r="AU36" s="46">
        <f t="shared" si="19"/>
        <v>0</v>
      </c>
      <c r="AV36" s="10">
        <f>'Ventas Semanales'!GQ35+'Ventas Semanales'!GV35+'Ventas Semanales'!HA35+'Ventas Semanales'!HF35</f>
        <v>26568.11</v>
      </c>
      <c r="AW36" s="34">
        <f>AW33*0.6</f>
        <v>321776.00760000001</v>
      </c>
      <c r="AX36" s="39">
        <v>2.2999999999999998</v>
      </c>
      <c r="AY36" s="3"/>
      <c r="AZ36" s="7"/>
      <c r="BA36" s="6">
        <f>'Ventas Semanales'!HK35+'Ventas Semanales'!HP35+'Ventas Semanales'!HU35+'Ventas Semanales'!HZ35</f>
        <v>0</v>
      </c>
      <c r="BB36" s="34">
        <f>BB33*0.6</f>
        <v>126260.63159999999</v>
      </c>
      <c r="BC36" s="39">
        <v>3.1</v>
      </c>
      <c r="BD36" s="3">
        <f>'Ventas Semanales'!HN35+'Ventas Semanales'!HS35+'Ventas Semanales'!HX35+'Ventas Semanales'!IC35</f>
        <v>0</v>
      </c>
      <c r="BE36" s="7"/>
      <c r="BF36" s="10">
        <f>'Ventas Semanales'!IE35+'Ventas Semanales'!IJ35+'Ventas Semanales'!IO35+'Ventas Semanales'!IT35+'Ventas Semanales'!IY35</f>
        <v>146134.38</v>
      </c>
      <c r="BG36" s="34">
        <f>BG33*0.6</f>
        <v>476827.8899999999</v>
      </c>
      <c r="BH36" s="39">
        <v>1.4</v>
      </c>
      <c r="BI36" s="3"/>
      <c r="BJ36" s="7">
        <f t="shared" si="25"/>
        <v>0</v>
      </c>
      <c r="BK36" s="51">
        <f t="shared" si="26"/>
        <v>90279.02</v>
      </c>
      <c r="BL36" s="51">
        <f t="shared" si="27"/>
        <v>96531.385600000009</v>
      </c>
      <c r="BM36" s="189">
        <f t="shared" si="28"/>
        <v>0.93522971248016562</v>
      </c>
      <c r="BN36" s="64">
        <f>'Ventas Semanales'!JD35</f>
        <v>612238.38</v>
      </c>
      <c r="BO36" s="69">
        <f>'Ventas Semanales'!JE35</f>
        <v>245221.13000000003</v>
      </c>
      <c r="BP36" s="68">
        <f t="shared" si="29"/>
        <v>-367017.25</v>
      </c>
      <c r="BQ36" s="66">
        <f t="shared" si="0"/>
        <v>0.40053210973150694</v>
      </c>
      <c r="BR36" s="54">
        <f t="shared" si="1"/>
        <v>2544144.8698800001</v>
      </c>
      <c r="BS36" s="54">
        <f t="shared" si="30"/>
        <v>2470270.45328</v>
      </c>
    </row>
    <row r="37" spans="2:72">
      <c r="B37" s="187" t="s">
        <v>37</v>
      </c>
      <c r="C37" s="161">
        <f>'Ventas Semanales'!D36+'Ventas Semanales'!I36+'Ventas Semanales'!N36+'Ventas Semanales'!S36</f>
        <v>218711.76</v>
      </c>
      <c r="D37" s="37">
        <f t="shared" si="2"/>
        <v>148723.99680000002</v>
      </c>
      <c r="E37" s="39">
        <v>0.68</v>
      </c>
      <c r="F37" s="43">
        <f>'Ventas Semanales'!G36+'Ventas Semanales'!L36+'Ventas Semanales'!Q36+'Ventas Semanales'!V36</f>
        <v>126926.94</v>
      </c>
      <c r="G37" s="44">
        <f t="shared" si="3"/>
        <v>0.58033888987039384</v>
      </c>
      <c r="H37" s="10">
        <f>'Ventas Semanales'!X36+'Ventas Semanales'!AC36+'Ventas Semanales'!AH36+'Ventas Semanales'!AM36</f>
        <v>414276.23</v>
      </c>
      <c r="I37" s="37">
        <f t="shared" si="4"/>
        <v>289993.36099999998</v>
      </c>
      <c r="J37" s="2">
        <v>0.7</v>
      </c>
      <c r="K37" s="3">
        <f>'Ventas Semanales'!AA36+'Ventas Semanales'!AF36+'Ventas Semanales'!AK36+'Ventas Semanales'!AP36</f>
        <v>138908.38</v>
      </c>
      <c r="L37" s="117">
        <f t="shared" si="5"/>
        <v>0.33530376579896948</v>
      </c>
      <c r="M37" s="175">
        <f>'Ventas Semanales'!AR36+'Ventas Semanales'!AW36+'Ventas Semanales'!BB36+'Ventas Semanales'!BG36+'Ventas Semanales'!BL36</f>
        <v>315747.20000000001</v>
      </c>
      <c r="N37" s="34">
        <f>N33*0.8</f>
        <v>302055.50760000007</v>
      </c>
      <c r="O37" s="39">
        <v>1.05</v>
      </c>
      <c r="P37" s="35">
        <f>'Ventas Semanales'!AU36+'Ventas Semanales'!AZ36+'Ventas Semanales'!BE36+'Ventas Semanales'!BJ36+'Ventas Semanales'!BO36</f>
        <v>125351.54000000001</v>
      </c>
      <c r="Q37" s="45">
        <f t="shared" si="7"/>
        <v>0.39699968835828159</v>
      </c>
      <c r="R37" s="175"/>
      <c r="S37" s="34">
        <f>S33*0.8</f>
        <v>35857.533200000005</v>
      </c>
      <c r="T37" s="39">
        <v>2.95</v>
      </c>
      <c r="U37" s="176"/>
      <c r="V37" s="120"/>
      <c r="W37" s="175"/>
      <c r="X37" s="34">
        <f>X33*0.8</f>
        <v>0</v>
      </c>
      <c r="Y37" s="39">
        <v>6</v>
      </c>
      <c r="Z37" s="176"/>
      <c r="AA37" s="120"/>
      <c r="AB37" s="175">
        <f>'Ventas Semanales'!DE36+'Ventas Semanales'!DJ36+'Ventas Semanales'!DO36+'Ventas Semanales'!DT36+'Ventas Semanales'!DY36</f>
        <v>168854.88</v>
      </c>
      <c r="AC37" s="34">
        <f>AC33*0.8</f>
        <v>344688.74879999994</v>
      </c>
      <c r="AD37" s="39">
        <v>2.4</v>
      </c>
      <c r="AE37" s="176"/>
      <c r="AF37" s="120"/>
      <c r="AG37" s="175">
        <f>'Ventas Semanales'!ED36+'Ventas Semanales'!EI36+'Ventas Semanales'!EN36+'Ventas Semanales'!ES36</f>
        <v>128377.01999999999</v>
      </c>
      <c r="AH37" s="34">
        <f>AH33*0.8</f>
        <v>331578.10480000003</v>
      </c>
      <c r="AI37" s="39">
        <v>1.7</v>
      </c>
      <c r="AJ37" s="176"/>
      <c r="AK37" s="120"/>
      <c r="AL37" s="175"/>
      <c r="AM37" s="34">
        <f>AM33*0.8</f>
        <v>362629.2304</v>
      </c>
      <c r="AN37" s="39">
        <v>1.7</v>
      </c>
      <c r="AO37" s="176"/>
      <c r="AP37" s="8"/>
      <c r="AQ37" s="175">
        <f>'Ventas Semanales'!FR36+'Ventas Semanales'!FW36+'Ventas Semanales'!GB36+'Ventas Semanales'!GG36+'Ventas Semanales'!GL36</f>
        <v>270468.99</v>
      </c>
      <c r="AR37" s="34">
        <f>AR33*0.8</f>
        <v>411778.16064000002</v>
      </c>
      <c r="AS37" s="39">
        <v>1.68</v>
      </c>
      <c r="AT37" s="176"/>
      <c r="AU37" s="47">
        <f t="shared" si="19"/>
        <v>0</v>
      </c>
      <c r="AV37" s="118">
        <f>'Ventas Semanales'!GQ36+'Ventas Semanales'!GV36+'Ventas Semanales'!HA36+'Ventas Semanales'!HF36</f>
        <v>177218.06999999998</v>
      </c>
      <c r="AW37" s="34">
        <f>AW33*0.8</f>
        <v>429034.67680000002</v>
      </c>
      <c r="AX37" s="39">
        <v>2.2999999999999998</v>
      </c>
      <c r="AY37" s="15"/>
      <c r="AZ37" s="8"/>
      <c r="BA37" s="119">
        <f>'Ventas Semanales'!HK36+'Ventas Semanales'!HP36+'Ventas Semanales'!HU36+'Ventas Semanales'!HZ36</f>
        <v>152450.86000000002</v>
      </c>
      <c r="BB37" s="34">
        <f>BB33*0.8</f>
        <v>168347.50880000001</v>
      </c>
      <c r="BC37" s="39">
        <v>3.1</v>
      </c>
      <c r="BD37" s="15">
        <f>'Ventas Semanales'!HN36+'Ventas Semanales'!HS36+'Ventas Semanales'!HX36+'Ventas Semanales'!IC36</f>
        <v>0</v>
      </c>
      <c r="BE37" s="8"/>
      <c r="BF37" s="118">
        <f>'Ventas Semanales'!IE36+'Ventas Semanales'!IJ36+'Ventas Semanales'!IO36+'Ventas Semanales'!IT36+'Ventas Semanales'!IY36</f>
        <v>377350.76000000007</v>
      </c>
      <c r="BG37" s="34">
        <f>BG33*0.8</f>
        <v>635770.52</v>
      </c>
      <c r="BH37" s="39">
        <v>1.4</v>
      </c>
      <c r="BI37" s="15"/>
      <c r="BJ37" s="8">
        <f t="shared" si="25"/>
        <v>0</v>
      </c>
      <c r="BK37" s="51">
        <f t="shared" si="26"/>
        <v>126926.94</v>
      </c>
      <c r="BL37" s="51">
        <f t="shared" si="27"/>
        <v>148723.99680000002</v>
      </c>
      <c r="BM37" s="189">
        <f t="shared" si="28"/>
        <v>0.85343954392704957</v>
      </c>
      <c r="BN37" s="177">
        <f>'Ventas Semanales'!JD36</f>
        <v>887074.87</v>
      </c>
      <c r="BO37" s="178">
        <f>'Ventas Semanales'!JE36</f>
        <v>391186.86</v>
      </c>
      <c r="BP37" s="179">
        <f t="shared" si="29"/>
        <v>-495888.01</v>
      </c>
      <c r="BQ37" s="180">
        <f t="shared" si="0"/>
        <v>0.44098516735120674</v>
      </c>
      <c r="BR37" s="54">
        <f t="shared" si="1"/>
        <v>3460457.3488400001</v>
      </c>
      <c r="BS37" s="54">
        <f t="shared" si="30"/>
        <v>3287575.3110400001</v>
      </c>
    </row>
    <row r="38" spans="2:72">
      <c r="B38" s="53"/>
      <c r="C38" s="29"/>
      <c r="D38" s="29"/>
      <c r="E38" s="39"/>
      <c r="F38" s="29"/>
      <c r="G38" s="181"/>
      <c r="H38" s="29"/>
      <c r="I38" s="29"/>
      <c r="J38" s="181"/>
      <c r="K38" s="29"/>
      <c r="L38" s="181"/>
      <c r="M38" s="29"/>
      <c r="N38" s="29"/>
      <c r="O38" s="181"/>
      <c r="P38" s="29"/>
      <c r="Q38" s="122"/>
      <c r="R38" s="29"/>
      <c r="S38" s="29"/>
      <c r="T38" s="181"/>
      <c r="U38" s="29"/>
      <c r="V38" s="124"/>
      <c r="W38" s="29"/>
      <c r="X38" s="29"/>
      <c r="Y38" s="181"/>
      <c r="Z38" s="29"/>
      <c r="AA38" s="124"/>
      <c r="AB38" s="29"/>
      <c r="AC38" s="29"/>
      <c r="AD38" s="181"/>
      <c r="AE38" s="29"/>
      <c r="AF38" s="124"/>
      <c r="AG38" s="29"/>
      <c r="AH38" s="29">
        <f>'Ventas Semanales'!EE37+'Ventas Semanales'!EJ37+'Ventas Semanales'!EO37+'Ventas Semanales'!ET37</f>
        <v>0</v>
      </c>
      <c r="AI38" s="181"/>
      <c r="AJ38" s="29"/>
      <c r="AK38" s="124"/>
      <c r="AL38" s="29"/>
      <c r="AM38" s="29">
        <f>'Ventas Semanales'!EY37+'Ventas Semanales'!FD37+'Ventas Semanales'!FI37+'Ventas Semanales'!FN37</f>
        <v>0</v>
      </c>
      <c r="AN38" s="181"/>
      <c r="AO38" s="29"/>
      <c r="AP38" s="124"/>
      <c r="AQ38" s="29"/>
      <c r="AR38" s="29">
        <f>'Ventas Semanales'!FS37+'Ventas Semanales'!FX37+'Ventas Semanales'!GC37+'Ventas Semanales'!GH37+'Ventas Semanales'!GM37</f>
        <v>0</v>
      </c>
      <c r="AS38" s="181"/>
      <c r="AT38" s="29"/>
      <c r="AU38" s="124"/>
      <c r="AV38" s="29"/>
      <c r="AW38" s="29">
        <f>'Ventas Semanales'!GR37+'Ventas Semanales'!GW37+'Ventas Semanales'!HB37+'Ventas Semanales'!HG37</f>
        <v>0</v>
      </c>
      <c r="AX38" s="181"/>
      <c r="AY38" s="29"/>
      <c r="AZ38" s="124"/>
      <c r="BA38" s="29"/>
      <c r="BB38" s="29"/>
      <c r="BC38" s="181"/>
      <c r="BD38" s="29"/>
      <c r="BE38" s="124"/>
      <c r="BF38" s="29"/>
      <c r="BG38" s="29">
        <v>0</v>
      </c>
      <c r="BH38" s="181"/>
      <c r="BI38" s="29"/>
      <c r="BJ38" s="124" t="e">
        <f t="shared" si="25"/>
        <v>#DIV/0!</v>
      </c>
      <c r="BK38" s="182"/>
      <c r="BL38" s="182"/>
      <c r="BM38" s="182"/>
      <c r="BN38" s="184"/>
      <c r="BO38" s="182"/>
      <c r="BP38" s="182"/>
      <c r="BQ38" s="180"/>
      <c r="BR38" s="183"/>
      <c r="BS38" s="182"/>
    </row>
    <row r="39" spans="2:72">
      <c r="B39" s="53"/>
      <c r="C39" s="29"/>
      <c r="D39" s="29"/>
      <c r="E39" s="181"/>
      <c r="F39" s="29"/>
      <c r="G39" s="181"/>
      <c r="H39" s="29"/>
      <c r="I39" s="29"/>
      <c r="J39" s="181"/>
      <c r="K39" s="29"/>
      <c r="L39" s="181"/>
      <c r="M39" s="29"/>
      <c r="N39" s="29"/>
      <c r="O39" s="181"/>
      <c r="P39" s="29"/>
      <c r="Q39" s="122"/>
      <c r="R39" s="29"/>
      <c r="S39" s="29"/>
      <c r="T39" s="181"/>
      <c r="U39" s="29"/>
      <c r="V39" s="124"/>
      <c r="W39" s="29"/>
      <c r="X39" s="29"/>
      <c r="Y39" s="181"/>
      <c r="Z39" s="29"/>
      <c r="AA39" s="124"/>
      <c r="AB39" s="29"/>
      <c r="AC39" s="29"/>
      <c r="AD39" s="181"/>
      <c r="AE39" s="29"/>
      <c r="AF39" s="124"/>
      <c r="AG39" s="29"/>
      <c r="AH39" s="29"/>
      <c r="AI39" s="29"/>
      <c r="AJ39" s="29"/>
      <c r="AK39" s="124"/>
      <c r="AL39" s="29"/>
      <c r="AM39" s="29"/>
      <c r="AN39" s="181"/>
      <c r="AO39" s="29"/>
      <c r="AP39" s="124"/>
      <c r="AQ39" s="29"/>
      <c r="AR39" s="29"/>
      <c r="AS39" s="181"/>
      <c r="AT39" s="29"/>
      <c r="AU39" s="124"/>
      <c r="AV39" s="29"/>
      <c r="AW39" s="29"/>
      <c r="AX39" s="181"/>
      <c r="AY39" s="29"/>
      <c r="AZ39" s="124"/>
      <c r="BA39" s="29"/>
      <c r="BB39" s="29"/>
      <c r="BC39" s="181"/>
      <c r="BD39" s="29"/>
      <c r="BE39" s="124"/>
      <c r="BF39" s="29"/>
      <c r="BG39" s="29"/>
      <c r="BH39" s="181"/>
      <c r="BI39" s="29"/>
      <c r="BJ39" s="124"/>
      <c r="BK39" s="182"/>
      <c r="BL39" s="182"/>
      <c r="BM39" s="182"/>
      <c r="BN39" s="184"/>
      <c r="BO39" s="182"/>
      <c r="BP39" s="182">
        <f t="shared" si="29"/>
        <v>0</v>
      </c>
      <c r="BQ39" s="180"/>
      <c r="BR39" s="183"/>
      <c r="BS39" s="182"/>
    </row>
    <row r="40" spans="2:72">
      <c r="B40" s="84" t="s">
        <v>301</v>
      </c>
      <c r="C40" s="87">
        <f>SUM(C9:C27)</f>
        <v>5765790.3399999999</v>
      </c>
      <c r="D40" s="52">
        <f>SUM(D9:D27)</f>
        <v>3920737.4312</v>
      </c>
      <c r="E40" s="158">
        <f>D40/C40</f>
        <v>0.68</v>
      </c>
      <c r="F40" s="52">
        <f>SUM(F9:F27)</f>
        <v>4079329.1500000004</v>
      </c>
      <c r="G40" s="78">
        <f>F40/C40</f>
        <v>0.70750563399778432</v>
      </c>
      <c r="H40" s="191">
        <f>SUM(H9:H27)</f>
        <v>6177957.1100000013</v>
      </c>
      <c r="I40" s="87">
        <f>SUM(I9:I27)</f>
        <v>4324569.9770000009</v>
      </c>
      <c r="J40" s="78">
        <f>I40/H40</f>
        <v>0.7</v>
      </c>
      <c r="K40" s="87">
        <f>SUM(K9:K27)</f>
        <v>4606027.18</v>
      </c>
      <c r="L40" s="89">
        <f>K40/H40</f>
        <v>0.74555829669720686</v>
      </c>
      <c r="M40" s="87">
        <f>SUM(M9:M27)</f>
        <v>5343731.1100000003</v>
      </c>
      <c r="N40" s="52">
        <f>SUM(N9:N27)</f>
        <v>6012988.0287000006</v>
      </c>
      <c r="O40" s="158">
        <f>N40/M40</f>
        <v>1.1252415035344097</v>
      </c>
      <c r="P40" s="52">
        <f>SUM(P9:P27)</f>
        <v>3411317.95</v>
      </c>
      <c r="Q40" s="78">
        <f>P40/M40</f>
        <v>0.63837754553484638</v>
      </c>
      <c r="R40" s="87">
        <f>SUM(R9:R27)</f>
        <v>2411108.34</v>
      </c>
      <c r="S40" s="52">
        <f>SUM(S9:S27)</f>
        <v>8714158.3550000004</v>
      </c>
      <c r="T40" s="158">
        <f>S40/R40</f>
        <v>3.6141712134760402</v>
      </c>
      <c r="U40" s="52">
        <f>SUM(U9:U27)</f>
        <v>0</v>
      </c>
      <c r="V40" s="78">
        <f>U40/R40</f>
        <v>0</v>
      </c>
      <c r="W40" s="87">
        <f>SUM(W9:W27)</f>
        <v>1237222.4099999999</v>
      </c>
      <c r="X40" s="52">
        <f>SUM(X9:X27)</f>
        <v>9992843.4839999992</v>
      </c>
      <c r="Y40" s="158">
        <f>X40/W40</f>
        <v>8.0768367944450663</v>
      </c>
      <c r="Z40" s="52">
        <f>SUM(Z9:Z27)</f>
        <v>0</v>
      </c>
      <c r="AA40" s="78">
        <f>Z40/W40</f>
        <v>0</v>
      </c>
      <c r="AB40" s="87">
        <f>SUM(AB9:AB27)</f>
        <v>4043064.06</v>
      </c>
      <c r="AC40" s="52">
        <f>SUM(AC9:AC27)</f>
        <v>11410265.1928</v>
      </c>
      <c r="AD40" s="158">
        <f>AC40/AB40</f>
        <v>2.8221826375909562</v>
      </c>
      <c r="AE40" s="52">
        <f>SUM(AE9:AE27)</f>
        <v>0</v>
      </c>
      <c r="AF40" s="78">
        <f>AE40/AB40</f>
        <v>0</v>
      </c>
      <c r="AG40" s="87">
        <f>SUM(AG9:AG27)</f>
        <v>4388163.8699999992</v>
      </c>
      <c r="AH40" s="52">
        <f>SUM(AH9:AH27)</f>
        <v>8396561.2109999992</v>
      </c>
      <c r="AI40" s="158">
        <f>AH40/AG40</f>
        <v>1.9134566209807475</v>
      </c>
      <c r="AJ40" s="52">
        <f>SUM(AJ9:AJ27)</f>
        <v>0</v>
      </c>
      <c r="AK40" s="78">
        <f>AJ40/AG40</f>
        <v>0</v>
      </c>
      <c r="AL40" s="87">
        <f>SUM(AL9:AL27)</f>
        <v>4588820.74</v>
      </c>
      <c r="AM40" s="52">
        <f>SUM(AM9:AM27)</f>
        <v>7871507.9551999997</v>
      </c>
      <c r="AN40" s="158">
        <f>AM40/AL40</f>
        <v>1.7153661912711804</v>
      </c>
      <c r="AO40" s="52">
        <f>SUM(AO9:AO27)</f>
        <v>0</v>
      </c>
      <c r="AP40" s="78">
        <f>AO40/AL40</f>
        <v>0</v>
      </c>
      <c r="AQ40" s="87">
        <f>SUM(AQ9:AQ27)</f>
        <v>5784083.5600000015</v>
      </c>
      <c r="AR40" s="52">
        <f>SUM(AR9:AR27)</f>
        <v>10012697.98432</v>
      </c>
      <c r="AS40" s="158">
        <f>AR40/AQ40</f>
        <v>1.7310776859385477</v>
      </c>
      <c r="AT40" s="52">
        <f>SUM(AT9:AT27)</f>
        <v>0</v>
      </c>
      <c r="AU40" s="78">
        <f>AT40/AQ40</f>
        <v>0</v>
      </c>
      <c r="AV40" s="87">
        <f>SUM(AV9:AV27)</f>
        <v>3607297.3699999996</v>
      </c>
      <c r="AW40" s="52">
        <f>SUM(AW9:AW27)</f>
        <v>8855584.7045999989</v>
      </c>
      <c r="AX40" s="158">
        <f>AW40/AV40</f>
        <v>2.4549084248632376</v>
      </c>
      <c r="AY40" s="52">
        <f>SUM(AY9:AY27)</f>
        <v>0</v>
      </c>
      <c r="AZ40" s="78">
        <f>AY40/AV40</f>
        <v>0</v>
      </c>
      <c r="BA40" s="87">
        <f>SUM(BA9:BA27)</f>
        <v>3506935.7600000002</v>
      </c>
      <c r="BB40" s="52">
        <f>SUM(BB9:BB27)</f>
        <v>13235416.868000001</v>
      </c>
      <c r="BC40" s="158">
        <f>BB40/BA40</f>
        <v>3.7740688092900796</v>
      </c>
      <c r="BD40" s="52">
        <f>SUM(BD9:BD27)</f>
        <v>0</v>
      </c>
      <c r="BE40" s="78">
        <f>BD40/BA40</f>
        <v>0</v>
      </c>
      <c r="BF40" s="87">
        <f>SUM(BF9:BF27)</f>
        <v>16977390.599999998</v>
      </c>
      <c r="BG40" s="52">
        <f>SUM(BG9:BG27)</f>
        <v>25656318.512400001</v>
      </c>
      <c r="BH40" s="158">
        <f>BG40/BF40</f>
        <v>1.5112050559995953</v>
      </c>
      <c r="BI40" s="52">
        <f>SUM(BI9:BI27)</f>
        <v>0</v>
      </c>
      <c r="BJ40" s="78">
        <f>BI40/BF40</f>
        <v>0</v>
      </c>
      <c r="BK40" s="52">
        <f>SUM(BK9:BK27)</f>
        <v>4079329.1500000004</v>
      </c>
      <c r="BL40" s="52">
        <f>SUM(BL9:BL27)</f>
        <v>3920737.4312</v>
      </c>
      <c r="BN40" s="52">
        <f>SUM(BN9:BN27)</f>
        <v>15759151.35</v>
      </c>
      <c r="BO40" s="52">
        <f>SUM(BO9:BO27)</f>
        <v>12096674.279999999</v>
      </c>
      <c r="BP40" s="52">
        <f>SUM(BP9:BP27)</f>
        <v>-3662477.07</v>
      </c>
      <c r="BQ40" s="180">
        <f t="shared" si="0"/>
        <v>0.76759680844108391</v>
      </c>
      <c r="BR40" s="52">
        <f>SUM(BR9:BR27)</f>
        <v>118403649.70422</v>
      </c>
      <c r="BS40" s="52">
        <f>SUM(BS9:BS27)</f>
        <v>118843698.62602</v>
      </c>
    </row>
    <row r="41" spans="2:72">
      <c r="B41" s="85" t="s">
        <v>302</v>
      </c>
      <c r="C41" s="82">
        <f>SUM(C28:C37)</f>
        <v>3540602.99</v>
      </c>
      <c r="D41" s="190">
        <f>SUM(D28:D37)</f>
        <v>2407610.0331999999</v>
      </c>
      <c r="E41" s="146">
        <f>D41/C41</f>
        <v>0.67999999999999994</v>
      </c>
      <c r="F41" s="190">
        <f>SUM(F28:F37)</f>
        <v>2473284.46</v>
      </c>
      <c r="G41" s="11">
        <f>F41/C41</f>
        <v>0.69854893841119414</v>
      </c>
      <c r="H41" s="192">
        <f>SUM(H28:H37)</f>
        <v>4569488.0299999993</v>
      </c>
      <c r="I41" s="82">
        <f>SUM(I28:I37)</f>
        <v>3357464.3299999996</v>
      </c>
      <c r="J41" s="11">
        <f>I41/H41</f>
        <v>0.73475722180631253</v>
      </c>
      <c r="K41" s="82">
        <f>SUM(K28:K37)</f>
        <v>2663717.63</v>
      </c>
      <c r="L41" s="89">
        <f>K41/H41</f>
        <v>0.58293568393481499</v>
      </c>
      <c r="M41" s="82">
        <f>SUM(M28:M37)</f>
        <v>3784057.5</v>
      </c>
      <c r="N41" s="190">
        <f>SUM(N28:N37)</f>
        <v>3820612.7638000008</v>
      </c>
      <c r="O41" s="146">
        <f>N41/M41</f>
        <v>1.0096603351825391</v>
      </c>
      <c r="P41" s="190">
        <f>SUM(P28:P37)</f>
        <v>2605245.31</v>
      </c>
      <c r="Q41" s="11">
        <f>P41/M41</f>
        <v>0.68847931354108649</v>
      </c>
      <c r="R41" s="82">
        <f>SUM(R28:R37)</f>
        <v>407514.12</v>
      </c>
      <c r="S41" s="190">
        <f>SUM(S28:S37)</f>
        <v>1299671.8030999999</v>
      </c>
      <c r="T41" s="146">
        <f>S41/R41</f>
        <v>3.1892681487944512</v>
      </c>
      <c r="U41" s="190">
        <f>SUM(U28:U37)</f>
        <v>0</v>
      </c>
      <c r="V41" s="11">
        <f>U41/R41</f>
        <v>0</v>
      </c>
      <c r="W41" s="82">
        <f>SUM(W28:W37)</f>
        <v>179871.25</v>
      </c>
      <c r="X41" s="190">
        <f>SUM(X28:X37)</f>
        <v>1079227.5</v>
      </c>
      <c r="Y41" s="146">
        <f>X41/W41</f>
        <v>6</v>
      </c>
      <c r="Z41" s="190">
        <f>SUM(Z28:Z37)</f>
        <v>0</v>
      </c>
      <c r="AA41" s="11">
        <f>Z41/W41</f>
        <v>0</v>
      </c>
      <c r="AB41" s="82">
        <f>SUM(AB28:AB37)</f>
        <v>1576078.06</v>
      </c>
      <c r="AC41" s="190">
        <f>SUM(AC28:AC37)</f>
        <v>3837784.1903999997</v>
      </c>
      <c r="AD41" s="146">
        <f>AC41/AB41</f>
        <v>2.4350216450573519</v>
      </c>
      <c r="AE41" s="190">
        <f>SUM(AE28:AE37)</f>
        <v>0</v>
      </c>
      <c r="AF41" s="11">
        <f>AE41/AB41</f>
        <v>0</v>
      </c>
      <c r="AG41" s="82">
        <f>SUM(AG28:AG37)</f>
        <v>2050514.28</v>
      </c>
      <c r="AH41" s="190">
        <f>SUM(AH28:AH37)</f>
        <v>3816442.3643999998</v>
      </c>
      <c r="AI41" s="146">
        <f>AH41/AG41</f>
        <v>1.8612122829985851</v>
      </c>
      <c r="AJ41" s="190">
        <f>SUM(AJ28:AJ37)</f>
        <v>0</v>
      </c>
      <c r="AK41" s="11">
        <f>AJ41/AG41</f>
        <v>0</v>
      </c>
      <c r="AL41" s="82">
        <f>SUM(AL28:AL37)</f>
        <v>2020720.1099999999</v>
      </c>
      <c r="AM41" s="190">
        <f>SUM(AM28:AM37)</f>
        <v>4024627.5772000002</v>
      </c>
      <c r="AN41" s="146">
        <f>AM41/AL41</f>
        <v>1.9916798755469407</v>
      </c>
      <c r="AO41" s="190">
        <f>SUM(AO28:AO37)</f>
        <v>0</v>
      </c>
      <c r="AP41" s="11">
        <f>AO41/AL41</f>
        <v>0</v>
      </c>
      <c r="AQ41" s="82">
        <f>SUM(AQ28:AQ37)</f>
        <v>3198213.9699999997</v>
      </c>
      <c r="AR41" s="190">
        <f>SUM(AR28:AR37)</f>
        <v>5620369.7269199993</v>
      </c>
      <c r="AS41" s="146">
        <f>AR41/AQ41</f>
        <v>1.7573463750832155</v>
      </c>
      <c r="AT41" s="190">
        <f>SUM(AT28:AT37)</f>
        <v>0</v>
      </c>
      <c r="AU41" s="11">
        <f>AT41/AQ41</f>
        <v>0</v>
      </c>
      <c r="AV41" s="82">
        <f>SUM(AV28:AV37)</f>
        <v>1872226.6</v>
      </c>
      <c r="AW41" s="190">
        <f>SUM(AW28:AW37)</f>
        <v>4660138.6304000001</v>
      </c>
      <c r="AX41" s="146">
        <f>AW41/AV41</f>
        <v>2.4890889972399708</v>
      </c>
      <c r="AY41" s="190">
        <f>SUM(AY28:AY37)</f>
        <v>0</v>
      </c>
      <c r="AZ41" s="11">
        <f>AY41/AV41</f>
        <v>0</v>
      </c>
      <c r="BA41" s="82">
        <f>SUM(BA28:BA37)</f>
        <v>758958.66</v>
      </c>
      <c r="BB41" s="190">
        <f>SUM(BB28:BB37)</f>
        <v>2201384.1784000001</v>
      </c>
      <c r="BC41" s="146">
        <f>BB41/BA41</f>
        <v>2.9005323931609133</v>
      </c>
      <c r="BD41" s="190">
        <f>SUM(BD28:BD37)</f>
        <v>0</v>
      </c>
      <c r="BE41" s="11">
        <f>BD41/BA41</f>
        <v>0</v>
      </c>
      <c r="BF41" s="82">
        <f>SUM(BF28:BF37)</f>
        <v>6659349.8599999994</v>
      </c>
      <c r="BG41" s="190">
        <f>SUM(BG28:BG37)</f>
        <v>9993756.4370000008</v>
      </c>
      <c r="BH41" s="146">
        <f>BG41/BF41</f>
        <v>1.5007105268681591</v>
      </c>
      <c r="BI41" s="190">
        <f>SUM(BI28:BI37)</f>
        <v>0</v>
      </c>
      <c r="BJ41" s="11">
        <f>BI41/BF41</f>
        <v>0</v>
      </c>
      <c r="BK41" s="190">
        <f>SUM(BK28:BK37)</f>
        <v>2473284.46</v>
      </c>
      <c r="BL41" s="190">
        <f>SUM(BL28:BL37)</f>
        <v>2407610.0331999999</v>
      </c>
      <c r="BN41" s="190">
        <f>SUM(BN28:BN37)</f>
        <v>11196738.930000002</v>
      </c>
      <c r="BO41" s="190">
        <f>SUM(BO28:BO37)</f>
        <v>7742247.4000000004</v>
      </c>
      <c r="BP41" s="190">
        <f>SUM(BP28:BP37)</f>
        <v>-3454491.5300000003</v>
      </c>
      <c r="BQ41" s="180">
        <f t="shared" si="0"/>
        <v>0.69147342350331997</v>
      </c>
      <c r="BR41" s="190">
        <f>SUM(BR28:BR37)</f>
        <v>46119089.53481999</v>
      </c>
      <c r="BS41" s="190">
        <f>SUM(BS28:BS37)</f>
        <v>45491017.261620007</v>
      </c>
      <c r="BT41" t="s">
        <v>303</v>
      </c>
    </row>
    <row r="42" spans="2:72" ht="21">
      <c r="B42" s="86" t="s">
        <v>237</v>
      </c>
      <c r="C42" s="83">
        <f>SUM(C9:C37)</f>
        <v>9306393.3300000001</v>
      </c>
      <c r="D42" s="194">
        <f>SUM(D9:D37)</f>
        <v>6328347.4643999999</v>
      </c>
      <c r="E42" s="159">
        <f>D42/C42</f>
        <v>0.67999999999999994</v>
      </c>
      <c r="F42" s="194">
        <f>SUM(F9:F37)</f>
        <v>6552613.6100000003</v>
      </c>
      <c r="G42" s="77">
        <f>F42/C42</f>
        <v>0.70409807297495774</v>
      </c>
      <c r="H42" s="193">
        <f>SUM(H9:H37)</f>
        <v>10747445.140000004</v>
      </c>
      <c r="I42" s="83">
        <f>SUM(I9:I37)</f>
        <v>7682034.3070000028</v>
      </c>
      <c r="J42" s="77">
        <f>I42/H42</f>
        <v>0.71477771758135256</v>
      </c>
      <c r="K42" s="83">
        <f>SUM(K9:K37)</f>
        <v>7269744.8099999996</v>
      </c>
      <c r="L42" s="89">
        <f>K42/H42</f>
        <v>0.67641608915437523</v>
      </c>
      <c r="M42" s="83">
        <f>SUM(M9:M37)</f>
        <v>9127788.6099999994</v>
      </c>
      <c r="N42" s="194">
        <f>SUM(N9:N37)</f>
        <v>9833600.7925000004</v>
      </c>
      <c r="O42" s="159">
        <f>N42/M42</f>
        <v>1.0773256494707539</v>
      </c>
      <c r="P42" s="194">
        <f>SUM(P9:P37)</f>
        <v>6016563.2600000007</v>
      </c>
      <c r="Q42" s="77">
        <f>P42/M42</f>
        <v>0.65914796201661829</v>
      </c>
      <c r="R42" s="83">
        <f>SUM(R9:R37)</f>
        <v>2818622.46</v>
      </c>
      <c r="S42" s="194">
        <f>SUM(S9:S37)</f>
        <v>10013830.158100002</v>
      </c>
      <c r="T42" s="159">
        <f>S42/R42</f>
        <v>3.5527390774073382</v>
      </c>
      <c r="U42" s="194">
        <f>SUM(U9:U37)</f>
        <v>0</v>
      </c>
      <c r="V42" s="77">
        <f>U42/R42</f>
        <v>0</v>
      </c>
      <c r="W42" s="83">
        <f>SUM(W9:W37)</f>
        <v>1417093.66</v>
      </c>
      <c r="X42" s="194">
        <f>SUM(X9:X37)</f>
        <v>11072070.983999999</v>
      </c>
      <c r="Y42" s="159">
        <f>X42/W42</f>
        <v>7.8132245570839682</v>
      </c>
      <c r="Z42" s="194">
        <f>SUM(Z9:Z37)</f>
        <v>0</v>
      </c>
      <c r="AA42" s="77">
        <f>Z42/W42</f>
        <v>0</v>
      </c>
      <c r="AB42" s="83">
        <f>SUM(AB9:AB37)</f>
        <v>5619142.120000001</v>
      </c>
      <c r="AC42" s="194">
        <f>SUM(AC9:AC37)</f>
        <v>15248049.383199999</v>
      </c>
      <c r="AD42" s="159">
        <f>AC42/AB42</f>
        <v>2.7135902701104837</v>
      </c>
      <c r="AE42" s="194">
        <f>SUM(AE9:AE37)</f>
        <v>0</v>
      </c>
      <c r="AF42" s="77">
        <f>AE42/AB42</f>
        <v>0</v>
      </c>
      <c r="AG42" s="83">
        <f>SUM(AG9:AG37)</f>
        <v>6438678.1499999985</v>
      </c>
      <c r="AH42" s="194">
        <f>SUM(AH9:AH37)</f>
        <v>12213003.575399999</v>
      </c>
      <c r="AI42" s="159">
        <f>AH42/AG42</f>
        <v>1.8968184603853824</v>
      </c>
      <c r="AJ42" s="194">
        <f>SUM(AJ9:AJ37)</f>
        <v>0</v>
      </c>
      <c r="AK42" s="77">
        <f>AJ42/AG42</f>
        <v>0</v>
      </c>
      <c r="AL42" s="83">
        <f>SUM(AL9:AL37)</f>
        <v>6609540.8499999996</v>
      </c>
      <c r="AM42" s="194">
        <f>SUM(AM9:AM37)</f>
        <v>11896135.532400001</v>
      </c>
      <c r="AN42" s="159">
        <f>AM42/AL42</f>
        <v>1.7998429546584922</v>
      </c>
      <c r="AO42" s="194">
        <f>SUM(AO9:AO37)</f>
        <v>0</v>
      </c>
      <c r="AP42" s="77">
        <f>AO42/AL42</f>
        <v>0</v>
      </c>
      <c r="AQ42" s="83">
        <f>SUM(AQ9:AQ37)</f>
        <v>8982297.5300000012</v>
      </c>
      <c r="AR42" s="194">
        <f>SUM(AR9:AR37)</f>
        <v>15633067.711239999</v>
      </c>
      <c r="AS42" s="159">
        <f>AR42/AQ42</f>
        <v>1.7404308484579889</v>
      </c>
      <c r="AT42" s="194">
        <f>SUM(AT9:AT37)</f>
        <v>0</v>
      </c>
      <c r="AU42" s="77">
        <f>AT42/AQ42</f>
        <v>0</v>
      </c>
      <c r="AV42" s="83">
        <f>SUM(AV9:AV37)</f>
        <v>5479523.9699999997</v>
      </c>
      <c r="AW42" s="194">
        <f>SUM(AW9:AW37)</f>
        <v>13515723.335000001</v>
      </c>
      <c r="AX42" s="159">
        <f>AW42/AV42</f>
        <v>2.4665871358529712</v>
      </c>
      <c r="AY42" s="194">
        <f>SUM(AY9:AY37)</f>
        <v>0</v>
      </c>
      <c r="AZ42" s="77">
        <f>AY42/AV42</f>
        <v>0</v>
      </c>
      <c r="BA42" s="83">
        <f>SUM(BA9:BA37)</f>
        <v>4265894.42</v>
      </c>
      <c r="BB42" s="194">
        <f>SUM(BB9:BB37)</f>
        <v>15436801.046400001</v>
      </c>
      <c r="BC42" s="159">
        <f>BB42/BA42</f>
        <v>3.6186552048796372</v>
      </c>
      <c r="BD42" s="194">
        <f>SUM(BD9:BD37)</f>
        <v>0</v>
      </c>
      <c r="BE42" s="77">
        <f>BD42/BA42</f>
        <v>0</v>
      </c>
      <c r="BF42" s="83">
        <f>SUM(BF9:BF37)</f>
        <v>23636740.460000001</v>
      </c>
      <c r="BG42" s="194">
        <f>SUM(BG9:BG37)</f>
        <v>35650074.949400008</v>
      </c>
      <c r="BH42" s="159">
        <f>BG42/BF42</f>
        <v>1.5082483563979534</v>
      </c>
      <c r="BI42" s="194">
        <f>SUM(BI9:BI37)</f>
        <v>0</v>
      </c>
      <c r="BJ42" s="77">
        <f>BI42/BF42</f>
        <v>0</v>
      </c>
      <c r="BK42" s="194">
        <f>SUM(BK9:BK37)</f>
        <v>6552613.6100000003</v>
      </c>
      <c r="BL42" s="194">
        <f>SUM(BL9:BL37)</f>
        <v>6328347.4643999999</v>
      </c>
      <c r="BN42" s="194">
        <f>SUM(BN9:BN37)</f>
        <v>26955890.279999997</v>
      </c>
      <c r="BO42" s="194">
        <f>SUM(BO9:BO37)</f>
        <v>19838921.68</v>
      </c>
      <c r="BP42" s="194">
        <f>SUM(BP9:BP37)</f>
        <v>-7116968.6000000015</v>
      </c>
      <c r="BQ42" s="180">
        <f t="shared" si="0"/>
        <v>0.7359772381444788</v>
      </c>
      <c r="BR42" s="382">
        <f>SUM(BR9:BR37)</f>
        <v>164522739.23903996</v>
      </c>
      <c r="BS42" s="231">
        <f>SUM(BS9:BS37)</f>
        <v>164334715.88764</v>
      </c>
      <c r="BT42" s="231">
        <f>BR42-5000000</f>
        <v>159522739.23903996</v>
      </c>
    </row>
    <row r="43" spans="2:72" ht="21">
      <c r="B43" s="390" t="s">
        <v>304</v>
      </c>
      <c r="C43" s="377" t="e">
        <f>#REF!</f>
        <v>#REF!</v>
      </c>
      <c r="D43" s="375"/>
      <c r="E43" s="380" t="e">
        <f>D42/C43</f>
        <v>#REF!</v>
      </c>
      <c r="F43" s="375"/>
      <c r="G43" s="380" t="e">
        <f>F42/C43</f>
        <v>#REF!</v>
      </c>
      <c r="H43" s="378" t="e">
        <f>#REF!</f>
        <v>#REF!</v>
      </c>
      <c r="I43" s="375"/>
      <c r="J43" s="380" t="e">
        <f>I42/H43</f>
        <v>#REF!</v>
      </c>
      <c r="K43" s="375"/>
      <c r="L43" s="380" t="e">
        <f>K42/H43</f>
        <v>#REF!</v>
      </c>
      <c r="M43" s="377" t="e">
        <f>#REF!</f>
        <v>#REF!</v>
      </c>
      <c r="N43" s="375"/>
      <c r="O43" s="380" t="e">
        <f>N42/M43</f>
        <v>#REF!</v>
      </c>
      <c r="P43" s="375"/>
      <c r="Q43" s="380" t="e">
        <f>P42/M43</f>
        <v>#REF!</v>
      </c>
      <c r="R43" s="377" t="e">
        <f>#REF!</f>
        <v>#REF!</v>
      </c>
      <c r="S43" s="375"/>
      <c r="T43" s="380" t="e">
        <f>S42/R43</f>
        <v>#REF!</v>
      </c>
      <c r="U43" s="375"/>
      <c r="V43" s="376"/>
      <c r="W43" s="377" t="e">
        <f>#REF!</f>
        <v>#REF!</v>
      </c>
      <c r="X43" s="375"/>
      <c r="Y43" s="380" t="e">
        <f>X42/W43</f>
        <v>#REF!</v>
      </c>
      <c r="Z43" s="375"/>
      <c r="AA43" s="376"/>
      <c r="AB43" s="377" t="e">
        <f>#REF!</f>
        <v>#REF!</v>
      </c>
      <c r="AC43" s="375"/>
      <c r="AD43" s="380" t="e">
        <f>AC42/AB43</f>
        <v>#REF!</v>
      </c>
      <c r="AE43" s="375"/>
      <c r="AF43" s="376"/>
      <c r="AG43" s="377" t="e">
        <f>#REF!</f>
        <v>#REF!</v>
      </c>
      <c r="AH43" s="375"/>
      <c r="AI43" s="380" t="e">
        <f>AH42/AG43</f>
        <v>#REF!</v>
      </c>
      <c r="AJ43" s="375"/>
      <c r="AK43" s="376"/>
      <c r="AL43" s="377" t="e">
        <f>#REF!</f>
        <v>#REF!</v>
      </c>
      <c r="AM43" s="375"/>
      <c r="AN43" s="380" t="e">
        <f>AM42/AL43</f>
        <v>#REF!</v>
      </c>
      <c r="AO43" s="375"/>
      <c r="AP43" s="376"/>
      <c r="AQ43" s="377" t="e">
        <f>#REF!</f>
        <v>#REF!</v>
      </c>
      <c r="AR43" s="375"/>
      <c r="AS43" s="380" t="e">
        <f>AR42/AQ43</f>
        <v>#REF!</v>
      </c>
      <c r="AT43" s="375"/>
      <c r="AU43" s="376"/>
      <c r="AV43" s="377" t="e">
        <f>#REF!</f>
        <v>#REF!</v>
      </c>
      <c r="AW43" s="375"/>
      <c r="AX43" s="380" t="e">
        <f>AW42/AV43</f>
        <v>#REF!</v>
      </c>
      <c r="AY43" s="375"/>
      <c r="AZ43" s="376"/>
      <c r="BA43" s="377" t="e">
        <f>#REF!</f>
        <v>#REF!</v>
      </c>
      <c r="BB43" s="375"/>
      <c r="BC43" s="380" t="e">
        <f>BB42/BA43</f>
        <v>#REF!</v>
      </c>
      <c r="BD43" s="375"/>
      <c r="BE43" s="376"/>
      <c r="BF43" s="377" t="e">
        <f>#REF!</f>
        <v>#REF!</v>
      </c>
      <c r="BG43" s="375"/>
      <c r="BH43" s="379" t="e">
        <f>BG42/BF43</f>
        <v>#REF!</v>
      </c>
      <c r="BI43" s="375"/>
      <c r="BJ43" s="376"/>
      <c r="BK43" s="375"/>
      <c r="BL43" s="375"/>
      <c r="BN43" s="375"/>
      <c r="BO43" s="375"/>
      <c r="BP43" s="375"/>
      <c r="BQ43" s="183"/>
      <c r="BR43" s="381"/>
      <c r="BS43" s="375"/>
      <c r="BT43" s="381"/>
    </row>
    <row r="44" spans="2:72">
      <c r="C44"/>
      <c r="H44"/>
      <c r="N44"/>
      <c r="R44"/>
      <c r="AB44"/>
      <c r="AG44"/>
      <c r="AL44"/>
      <c r="AQ44"/>
      <c r="AV44"/>
      <c r="BF44"/>
    </row>
    <row r="45" spans="2:72">
      <c r="B45" s="212" t="s">
        <v>238</v>
      </c>
      <c r="C45" s="213"/>
      <c r="D45" s="214">
        <f>D42*0.5</f>
        <v>3164173.7322</v>
      </c>
      <c r="E45" s="215"/>
      <c r="F45" s="214">
        <f>F42*0.5</f>
        <v>3276306.8050000002</v>
      </c>
      <c r="G45" s="227"/>
      <c r="H45" s="224"/>
      <c r="I45" s="214">
        <f>I42*0.5</f>
        <v>3841017.1535000014</v>
      </c>
      <c r="J45" s="215"/>
      <c r="K45" s="214">
        <f>K42*0.5</f>
        <v>3634872.4049999998</v>
      </c>
      <c r="L45" s="216"/>
      <c r="M45" s="213"/>
      <c r="N45" s="214">
        <f>N42*0.5</f>
        <v>4916800.3962500002</v>
      </c>
      <c r="O45" s="215"/>
      <c r="P45" s="214">
        <f>P42*0.5</f>
        <v>3008281.6300000004</v>
      </c>
      <c r="Q45" s="227"/>
      <c r="R45" s="213"/>
      <c r="S45" s="214">
        <f>S42*0.5</f>
        <v>5006915.0790500008</v>
      </c>
      <c r="T45" s="215"/>
      <c r="U45" s="214">
        <f>U42*0.5</f>
        <v>0</v>
      </c>
      <c r="V45" s="227"/>
      <c r="W45" s="213"/>
      <c r="X45" s="214">
        <f>X42*0.5</f>
        <v>5536035.4919999996</v>
      </c>
      <c r="Y45" s="215"/>
      <c r="Z45" s="214">
        <f>Z42*0.5</f>
        <v>0</v>
      </c>
      <c r="AA45" s="227"/>
      <c r="AB45" s="213"/>
      <c r="AC45" s="214">
        <f>AC42*0.5</f>
        <v>7624024.6915999996</v>
      </c>
      <c r="AD45" s="215"/>
      <c r="AE45" s="214">
        <f>AE42*0.5</f>
        <v>0</v>
      </c>
      <c r="AF45" s="227"/>
      <c r="AG45" s="213"/>
      <c r="AH45" s="214">
        <f>AH42*0.5</f>
        <v>6106501.7876999993</v>
      </c>
      <c r="AI45" s="215"/>
      <c r="AJ45" s="214">
        <f>AJ42*0.5</f>
        <v>0</v>
      </c>
      <c r="AK45" s="227"/>
      <c r="AL45" s="213"/>
      <c r="AM45" s="214">
        <f>AM42*0.5</f>
        <v>5948067.7662000004</v>
      </c>
      <c r="AN45" s="215"/>
      <c r="AO45" s="214">
        <f>AO42*0.5</f>
        <v>0</v>
      </c>
      <c r="AP45" s="227"/>
      <c r="AQ45" s="213"/>
      <c r="AR45" s="214">
        <f>AR42*0.5</f>
        <v>7816533.8556199996</v>
      </c>
      <c r="AS45" s="215"/>
      <c r="AT45" s="214">
        <f>AT42*0.5</f>
        <v>0</v>
      </c>
      <c r="AU45" s="227"/>
      <c r="AV45" s="213"/>
      <c r="AW45" s="214">
        <f>AW42*0.5</f>
        <v>6757861.6675000004</v>
      </c>
      <c r="AX45" s="215"/>
      <c r="AY45" s="214">
        <f>AY42*0.5</f>
        <v>0</v>
      </c>
      <c r="AZ45" s="227"/>
      <c r="BA45" s="213"/>
      <c r="BB45" s="214">
        <f>BB42*0.5</f>
        <v>7718400.5232000006</v>
      </c>
      <c r="BC45" s="215"/>
      <c r="BD45" s="214">
        <f>BD42*0.5</f>
        <v>0</v>
      </c>
      <c r="BE45" s="227"/>
      <c r="BF45" s="213"/>
      <c r="BG45" s="214">
        <f>BG42*0.5</f>
        <v>17825037.474700004</v>
      </c>
      <c r="BH45" s="215"/>
      <c r="BI45" s="214">
        <f>BI42*0.5</f>
        <v>0</v>
      </c>
      <c r="BJ45" s="227"/>
      <c r="BK45" s="214">
        <f>BK42*0.5</f>
        <v>3276306.8050000002</v>
      </c>
      <c r="BL45" s="214">
        <f>BL42*0.5</f>
        <v>3164173.7322</v>
      </c>
      <c r="BN45" s="214">
        <f>BN42*0.5</f>
        <v>13477945.139999999</v>
      </c>
      <c r="BO45" s="214">
        <f>BO42*0.5</f>
        <v>9919460.8399999999</v>
      </c>
      <c r="BP45" s="214">
        <f>BP42*0.5</f>
        <v>-3558484.3000000007</v>
      </c>
      <c r="BR45" s="214">
        <f>BR42*0.5</f>
        <v>82261369.619519979</v>
      </c>
      <c r="BS45" s="214">
        <f>BS42*0.5</f>
        <v>82167357.94382</v>
      </c>
    </row>
    <row r="46" spans="2:72">
      <c r="B46" s="217" t="s">
        <v>239</v>
      </c>
      <c r="C46" s="211"/>
      <c r="D46" s="147">
        <f>D45*0.1</f>
        <v>316417.37322000001</v>
      </c>
      <c r="E46" s="22"/>
      <c r="F46" s="147">
        <f>F45*0.1</f>
        <v>327630.68050000002</v>
      </c>
      <c r="G46" s="228"/>
      <c r="H46" s="225"/>
      <c r="I46" s="147">
        <f>I45*0.1</f>
        <v>384101.71535000019</v>
      </c>
      <c r="J46" s="22"/>
      <c r="K46" s="147">
        <f>K45*0.1</f>
        <v>363487.24050000001</v>
      </c>
      <c r="L46" s="218"/>
      <c r="M46" s="211"/>
      <c r="N46" s="147">
        <f>N45*0.1</f>
        <v>491680.03962500003</v>
      </c>
      <c r="O46" s="22"/>
      <c r="P46" s="147">
        <f>P45*0.1</f>
        <v>300828.16300000006</v>
      </c>
      <c r="Q46" s="228"/>
      <c r="R46" s="211"/>
      <c r="S46" s="147">
        <f>S45*0.1</f>
        <v>500691.50790500012</v>
      </c>
      <c r="T46" s="22"/>
      <c r="U46" s="147">
        <f>U45*0.1</f>
        <v>0</v>
      </c>
      <c r="V46" s="228"/>
      <c r="W46" s="211"/>
      <c r="X46" s="147">
        <f>X45*0.1</f>
        <v>553603.54920000001</v>
      </c>
      <c r="Y46" s="22"/>
      <c r="Z46" s="147">
        <f>Z45*0.1</f>
        <v>0</v>
      </c>
      <c r="AA46" s="228"/>
      <c r="AB46" s="211"/>
      <c r="AC46" s="147">
        <f>AC45*0.1</f>
        <v>762402.46915999998</v>
      </c>
      <c r="AD46" s="22"/>
      <c r="AE46" s="147">
        <f>AE45*0.1</f>
        <v>0</v>
      </c>
      <c r="AF46" s="228"/>
      <c r="AG46" s="211"/>
      <c r="AH46" s="147">
        <f>AH45*0.1</f>
        <v>610650.17877</v>
      </c>
      <c r="AI46" s="22"/>
      <c r="AJ46" s="147">
        <f>AJ45*0.1</f>
        <v>0</v>
      </c>
      <c r="AK46" s="228"/>
      <c r="AL46" s="211"/>
      <c r="AM46" s="147">
        <f>AM45*0.1</f>
        <v>594806.77662000002</v>
      </c>
      <c r="AN46" s="22"/>
      <c r="AO46" s="147">
        <f>AO45*0.1</f>
        <v>0</v>
      </c>
      <c r="AP46" s="228"/>
      <c r="AQ46" s="211"/>
      <c r="AR46" s="147">
        <f>AR45*0.1</f>
        <v>781653.38556199998</v>
      </c>
      <c r="AS46" s="22"/>
      <c r="AT46" s="147">
        <f>AT45*0.1</f>
        <v>0</v>
      </c>
      <c r="AU46" s="228"/>
      <c r="AV46" s="211"/>
      <c r="AW46" s="147">
        <f>AW45*0.1</f>
        <v>675786.16675000009</v>
      </c>
      <c r="AX46" s="22"/>
      <c r="AY46" s="147">
        <f>AY45*0.1</f>
        <v>0</v>
      </c>
      <c r="AZ46" s="228"/>
      <c r="BA46" s="211"/>
      <c r="BB46" s="147">
        <f>BB45*0.1</f>
        <v>771840.05232000013</v>
      </c>
      <c r="BC46" s="22"/>
      <c r="BD46" s="147">
        <f>BD45*0.1</f>
        <v>0</v>
      </c>
      <c r="BE46" s="228"/>
      <c r="BF46" s="211"/>
      <c r="BG46" s="147">
        <f>BG45*0.1</f>
        <v>1782503.7474700005</v>
      </c>
      <c r="BH46" s="22"/>
      <c r="BI46" s="147">
        <f>BI45*0.1</f>
        <v>0</v>
      </c>
      <c r="BJ46" s="228"/>
      <c r="BK46" s="147">
        <f>BK45*0.1</f>
        <v>327630.68050000002</v>
      </c>
      <c r="BL46" s="147">
        <f>BL45*0.1</f>
        <v>316417.37322000001</v>
      </c>
      <c r="BN46" s="147">
        <f>BN45*0.1</f>
        <v>1347794.514</v>
      </c>
      <c r="BO46" s="147">
        <f>BO45*0.1</f>
        <v>991946.08400000003</v>
      </c>
      <c r="BP46" s="147">
        <f>BP45*0.1</f>
        <v>-355848.43000000011</v>
      </c>
      <c r="BR46" s="147">
        <f>BR45*0.1</f>
        <v>8226136.9619519981</v>
      </c>
      <c r="BS46" s="147">
        <f>BS45*0.1</f>
        <v>8216735.7943820003</v>
      </c>
    </row>
    <row r="47" spans="2:72">
      <c r="B47" s="217" t="s">
        <v>240</v>
      </c>
      <c r="C47" s="211"/>
      <c r="D47" s="147">
        <f>D45*0.15</f>
        <v>474626.05982999998</v>
      </c>
      <c r="E47" s="22"/>
      <c r="F47" s="147">
        <f>F45*0.15</f>
        <v>491446.02075000003</v>
      </c>
      <c r="G47" s="228"/>
      <c r="H47" s="225"/>
      <c r="I47" s="147">
        <f>I45*0.15</f>
        <v>576152.57302500017</v>
      </c>
      <c r="J47" s="22"/>
      <c r="K47" s="147">
        <f>K45*0.15</f>
        <v>545230.86074999999</v>
      </c>
      <c r="L47" s="218"/>
      <c r="M47" s="211"/>
      <c r="N47" s="147">
        <f>N45*0.15</f>
        <v>737520.05943749996</v>
      </c>
      <c r="O47" s="22"/>
      <c r="P47" s="147">
        <f>P45*0.15</f>
        <v>451242.24450000003</v>
      </c>
      <c r="Q47" s="228"/>
      <c r="R47" s="211"/>
      <c r="S47" s="147">
        <f>S45*0.15</f>
        <v>751037.26185750007</v>
      </c>
      <c r="T47" s="22"/>
      <c r="U47" s="147">
        <f>U45*0.15</f>
        <v>0</v>
      </c>
      <c r="V47" s="228"/>
      <c r="W47" s="211"/>
      <c r="X47" s="147">
        <f>X45*0.15</f>
        <v>830405.3237999999</v>
      </c>
      <c r="Y47" s="22"/>
      <c r="Z47" s="147">
        <f>Z45*0.15</f>
        <v>0</v>
      </c>
      <c r="AA47" s="228"/>
      <c r="AB47" s="211"/>
      <c r="AC47" s="147">
        <f>AC45*0.15</f>
        <v>1143603.7037399998</v>
      </c>
      <c r="AD47" s="22"/>
      <c r="AE47" s="147">
        <f>AE45*0.15</f>
        <v>0</v>
      </c>
      <c r="AF47" s="228"/>
      <c r="AG47" s="211"/>
      <c r="AH47" s="147">
        <f>AH45*0.15</f>
        <v>915975.26815499982</v>
      </c>
      <c r="AI47" s="22"/>
      <c r="AJ47" s="147">
        <f>AJ45*0.15</f>
        <v>0</v>
      </c>
      <c r="AK47" s="228"/>
      <c r="AL47" s="211"/>
      <c r="AM47" s="147">
        <f>AM45*0.15</f>
        <v>892210.16493000009</v>
      </c>
      <c r="AN47" s="22"/>
      <c r="AO47" s="147">
        <f>AO45*0.15</f>
        <v>0</v>
      </c>
      <c r="AP47" s="228"/>
      <c r="AQ47" s="211"/>
      <c r="AR47" s="147">
        <f>AR45*0.15</f>
        <v>1172480.0783429998</v>
      </c>
      <c r="AS47" s="22"/>
      <c r="AT47" s="147">
        <f>AT45*0.15</f>
        <v>0</v>
      </c>
      <c r="AU47" s="228"/>
      <c r="AV47" s="211"/>
      <c r="AW47" s="147">
        <f>AW45*0.15</f>
        <v>1013679.250125</v>
      </c>
      <c r="AX47" s="22"/>
      <c r="AY47" s="147">
        <f>AY45*0.15</f>
        <v>0</v>
      </c>
      <c r="AZ47" s="228"/>
      <c r="BA47" s="211"/>
      <c r="BB47" s="147">
        <f>BB45*0.15</f>
        <v>1157760.0784800001</v>
      </c>
      <c r="BC47" s="22"/>
      <c r="BD47" s="147">
        <f>BD45*0.15</f>
        <v>0</v>
      </c>
      <c r="BE47" s="228"/>
      <c r="BF47" s="211"/>
      <c r="BG47" s="147">
        <f>BG45*0.15</f>
        <v>2673755.6212050007</v>
      </c>
      <c r="BH47" s="22"/>
      <c r="BI47" s="147">
        <f>BI45*0.15</f>
        <v>0</v>
      </c>
      <c r="BJ47" s="228"/>
      <c r="BK47" s="147">
        <f>BK45*0.15</f>
        <v>491446.02075000003</v>
      </c>
      <c r="BL47" s="147">
        <f>BL45*0.15</f>
        <v>474626.05982999998</v>
      </c>
      <c r="BN47" s="147">
        <f>BN45*0.15</f>
        <v>2021691.7709999997</v>
      </c>
      <c r="BO47" s="147">
        <f>BO45*0.15</f>
        <v>1487919.1259999999</v>
      </c>
      <c r="BP47" s="147">
        <f>BP45*0.15</f>
        <v>-533772.64500000014</v>
      </c>
      <c r="BR47" s="147">
        <f>BR45*0.15</f>
        <v>12339205.442927996</v>
      </c>
      <c r="BS47" s="147">
        <f>BS45*0.15</f>
        <v>12325103.691573</v>
      </c>
    </row>
    <row r="48" spans="2:72">
      <c r="B48" s="219" t="s">
        <v>247</v>
      </c>
      <c r="C48" s="220"/>
      <c r="D48" s="221">
        <f>D45*0.65</f>
        <v>2056712.9259300001</v>
      </c>
      <c r="E48" s="222"/>
      <c r="F48" s="221">
        <f>F45*0.65</f>
        <v>2129599.42325</v>
      </c>
      <c r="G48" s="229"/>
      <c r="H48" s="226"/>
      <c r="I48" s="221">
        <f>I45*0.65</f>
        <v>2496661.1497750012</v>
      </c>
      <c r="J48" s="222"/>
      <c r="K48" s="221">
        <f>K45*0.65</f>
        <v>2362667.0632500001</v>
      </c>
      <c r="L48" s="223"/>
      <c r="M48" s="220"/>
      <c r="N48" s="221">
        <f>N45*0.65</f>
        <v>3195920.2575625004</v>
      </c>
      <c r="O48" s="222"/>
      <c r="P48" s="221">
        <f>P45*0.65</f>
        <v>1955383.0595000002</v>
      </c>
      <c r="Q48" s="229"/>
      <c r="R48" s="220"/>
      <c r="S48" s="221">
        <f>S45*0.65</f>
        <v>3254494.8013825007</v>
      </c>
      <c r="T48" s="222"/>
      <c r="U48" s="221">
        <f>U45*0.65</f>
        <v>0</v>
      </c>
      <c r="V48" s="229"/>
      <c r="W48" s="220"/>
      <c r="X48" s="221">
        <f>X45*0.65</f>
        <v>3598423.0697999997</v>
      </c>
      <c r="Y48" s="222"/>
      <c r="Z48" s="221">
        <f>Z45*0.65</f>
        <v>0</v>
      </c>
      <c r="AA48" s="229"/>
      <c r="AB48" s="220"/>
      <c r="AC48" s="221">
        <f>AC45*0.65</f>
        <v>4955616.04954</v>
      </c>
      <c r="AD48" s="222"/>
      <c r="AE48" s="221">
        <f>AE45*0.65</f>
        <v>0</v>
      </c>
      <c r="AF48" s="229"/>
      <c r="AG48" s="220"/>
      <c r="AH48" s="221">
        <f>AH45*0.65</f>
        <v>3969226.1620049998</v>
      </c>
      <c r="AI48" s="222"/>
      <c r="AJ48" s="221">
        <f>AJ45*0.65</f>
        <v>0</v>
      </c>
      <c r="AK48" s="229"/>
      <c r="AL48" s="220"/>
      <c r="AM48" s="221">
        <f>AM45*0.65</f>
        <v>3866244.0480300002</v>
      </c>
      <c r="AN48" s="222"/>
      <c r="AO48" s="221">
        <f>AO45*0.65</f>
        <v>0</v>
      </c>
      <c r="AP48" s="229"/>
      <c r="AQ48" s="220"/>
      <c r="AR48" s="221">
        <f>AR45*0.65</f>
        <v>5080747.0061529996</v>
      </c>
      <c r="AS48" s="222"/>
      <c r="AT48" s="221">
        <f>AT45*0.65</f>
        <v>0</v>
      </c>
      <c r="AU48" s="229"/>
      <c r="AV48" s="220"/>
      <c r="AW48" s="221">
        <f>AW45*0.65</f>
        <v>4392610.0838750005</v>
      </c>
      <c r="AX48" s="222"/>
      <c r="AY48" s="221">
        <f>AY45*0.65</f>
        <v>0</v>
      </c>
      <c r="AZ48" s="229"/>
      <c r="BA48" s="220"/>
      <c r="BB48" s="221">
        <f>BB45*0.65</f>
        <v>5016960.3400800005</v>
      </c>
      <c r="BC48" s="222"/>
      <c r="BD48" s="221">
        <f>BD45*0.65</f>
        <v>0</v>
      </c>
      <c r="BE48" s="229"/>
      <c r="BF48" s="220"/>
      <c r="BG48" s="221">
        <f>BG45*0.65</f>
        <v>11586274.358555002</v>
      </c>
      <c r="BH48" s="222"/>
      <c r="BI48" s="221">
        <f>BI45*0.65</f>
        <v>0</v>
      </c>
      <c r="BJ48" s="229"/>
      <c r="BK48" s="221">
        <f>BK45*0.65</f>
        <v>2129599.42325</v>
      </c>
      <c r="BL48" s="221">
        <f>BL45*0.65</f>
        <v>2056712.9259300001</v>
      </c>
      <c r="BN48" s="221">
        <f>BN45*0.65</f>
        <v>8760664.341</v>
      </c>
      <c r="BO48" s="221">
        <f>BO45*0.65</f>
        <v>6447649.5460000001</v>
      </c>
      <c r="BP48" s="221">
        <f>BP45*0.65</f>
        <v>-2313014.7950000004</v>
      </c>
      <c r="BR48" s="221">
        <f>BR45*0.65</f>
        <v>53469890.252687991</v>
      </c>
      <c r="BS48" s="221">
        <f>BS45*0.65</f>
        <v>53408782.663483001</v>
      </c>
    </row>
    <row r="50" spans="13:23">
      <c r="M50" t="s">
        <v>246</v>
      </c>
      <c r="N50" s="20">
        <v>1500000</v>
      </c>
      <c r="R50" s="22"/>
      <c r="S50" s="22"/>
      <c r="T50" s="22"/>
      <c r="U50" s="22"/>
      <c r="V50" s="22" t="s">
        <v>305</v>
      </c>
      <c r="W50" s="22" t="s">
        <v>306</v>
      </c>
    </row>
    <row r="51" spans="13:23">
      <c r="M51" t="s">
        <v>249</v>
      </c>
      <c r="N51" s="20">
        <v>350000</v>
      </c>
      <c r="R51" s="22" t="s">
        <v>307</v>
      </c>
      <c r="S51" s="403">
        <v>0.7</v>
      </c>
      <c r="T51" s="147" t="e">
        <f>S51*R43/T43</f>
        <v>#REF!</v>
      </c>
      <c r="U51" s="147" t="e">
        <f>T51*0.5*0.65</f>
        <v>#REF!</v>
      </c>
      <c r="V51" s="404">
        <v>1010500.2</v>
      </c>
      <c r="W51" s="405">
        <f>V51/4</f>
        <v>252625.05</v>
      </c>
    </row>
    <row r="52" spans="13:23">
      <c r="M52" t="s">
        <v>308</v>
      </c>
      <c r="N52" s="20">
        <v>400000</v>
      </c>
      <c r="R52" s="22" t="s">
        <v>309</v>
      </c>
      <c r="S52" s="403">
        <v>0.7</v>
      </c>
      <c r="T52" s="147" t="e">
        <f>(S52*W43)/Y43</f>
        <v>#REF!</v>
      </c>
      <c r="U52" s="147" t="e">
        <f>T52*0.5*0.65</f>
        <v>#REF!</v>
      </c>
      <c r="V52" s="404">
        <v>815285.6</v>
      </c>
      <c r="W52" s="405">
        <f t="shared" ref="W52:W58" si="58">V52/4</f>
        <v>203821.4</v>
      </c>
    </row>
    <row r="53" spans="13:23">
      <c r="M53" t="s">
        <v>310</v>
      </c>
      <c r="N53" s="351">
        <v>50000</v>
      </c>
      <c r="R53" s="22" t="s">
        <v>311</v>
      </c>
      <c r="S53" s="403">
        <v>0.7</v>
      </c>
      <c r="T53" s="147" t="e">
        <f>(S53*AB43)/AD43</f>
        <v>#REF!</v>
      </c>
      <c r="U53" s="147" t="e">
        <f>T53*0.5*0.65</f>
        <v>#REF!</v>
      </c>
      <c r="V53" s="404">
        <v>1066178.53</v>
      </c>
      <c r="W53" s="405">
        <f>V53/5</f>
        <v>213235.70600000001</v>
      </c>
    </row>
    <row r="54" spans="13:23">
      <c r="M54" t="s">
        <v>312</v>
      </c>
      <c r="N54" s="350">
        <v>100000</v>
      </c>
      <c r="R54" s="22" t="s">
        <v>313</v>
      </c>
      <c r="S54" s="403">
        <v>0.9</v>
      </c>
      <c r="T54" s="147" t="e">
        <f>S54*AG43/AI43</f>
        <v>#REF!</v>
      </c>
      <c r="U54" s="147" t="e">
        <f>T54*0.5*0.65</f>
        <v>#REF!</v>
      </c>
      <c r="V54" s="404">
        <v>1089834</v>
      </c>
      <c r="W54" s="405">
        <f t="shared" si="58"/>
        <v>272458.5</v>
      </c>
    </row>
    <row r="55" spans="13:23">
      <c r="M55" t="s">
        <v>258</v>
      </c>
      <c r="N55" s="350">
        <f>N48-SUM(N50:N54)</f>
        <v>795920.25756250042</v>
      </c>
      <c r="R55" s="22" t="s">
        <v>314</v>
      </c>
      <c r="S55" s="403">
        <v>0.95</v>
      </c>
      <c r="T55" s="147" t="e">
        <f>S55*AL43/AN43</f>
        <v>#REF!</v>
      </c>
      <c r="U55" s="147" t="e">
        <f t="shared" ref="U55:U59" si="59">T55*0.5*0.65</f>
        <v>#REF!</v>
      </c>
      <c r="V55" s="404">
        <v>898279</v>
      </c>
      <c r="W55" s="405">
        <f t="shared" si="58"/>
        <v>224569.75</v>
      </c>
    </row>
    <row r="56" spans="13:23">
      <c r="R56" s="22" t="s">
        <v>315</v>
      </c>
      <c r="S56" s="403">
        <v>1</v>
      </c>
      <c r="T56" s="147" t="e">
        <f>S56*AQ43/AS43</f>
        <v>#REF!</v>
      </c>
      <c r="U56" s="147" t="e">
        <f t="shared" si="59"/>
        <v>#REF!</v>
      </c>
      <c r="V56" s="404">
        <v>1276438</v>
      </c>
      <c r="W56" s="405">
        <f>V56/5</f>
        <v>255287.6</v>
      </c>
    </row>
    <row r="57" spans="13:23">
      <c r="R57" s="22" t="s">
        <v>316</v>
      </c>
      <c r="S57" s="403">
        <v>1.05</v>
      </c>
      <c r="T57" s="147" t="e">
        <f>S57*AV43/AX43</f>
        <v>#REF!</v>
      </c>
      <c r="U57" s="147" t="e">
        <f t="shared" si="59"/>
        <v>#REF!</v>
      </c>
      <c r="V57" s="404">
        <v>1309058</v>
      </c>
      <c r="W57" s="405">
        <f t="shared" si="58"/>
        <v>327264.5</v>
      </c>
    </row>
    <row r="58" spans="13:23">
      <c r="R58" s="22" t="s">
        <v>317</v>
      </c>
      <c r="S58" s="403">
        <v>1.1000000000000001</v>
      </c>
      <c r="T58" s="147" t="e">
        <f>S58*BA43/BC43</f>
        <v>#REF!</v>
      </c>
      <c r="U58" s="147" t="e">
        <f t="shared" si="59"/>
        <v>#REF!</v>
      </c>
      <c r="V58" s="404">
        <v>2378173</v>
      </c>
      <c r="W58" s="405">
        <f t="shared" si="58"/>
        <v>594543.25</v>
      </c>
    </row>
    <row r="59" spans="13:23">
      <c r="R59" s="22" t="s">
        <v>318</v>
      </c>
      <c r="S59" s="403">
        <v>1.1200000000000001</v>
      </c>
      <c r="T59" s="147" t="e">
        <f>S59*BF43/BH43</f>
        <v>#REF!</v>
      </c>
      <c r="U59" s="147" t="e">
        <f t="shared" si="59"/>
        <v>#REF!</v>
      </c>
      <c r="V59" s="404">
        <v>8382042</v>
      </c>
      <c r="W59" s="405">
        <f>V59/5</f>
        <v>1676408.4</v>
      </c>
    </row>
  </sheetData>
  <mergeCells count="34">
    <mergeCell ref="C2:BS2"/>
    <mergeCell ref="C4:G4"/>
    <mergeCell ref="H4:L4"/>
    <mergeCell ref="M4:Q4"/>
    <mergeCell ref="R4:V4"/>
    <mergeCell ref="W4:AA4"/>
    <mergeCell ref="AB4:AF4"/>
    <mergeCell ref="AG4:AK4"/>
    <mergeCell ref="AL4:AP4"/>
    <mergeCell ref="AQ4:AU4"/>
    <mergeCell ref="AV4:AZ4"/>
    <mergeCell ref="BA4:BE4"/>
    <mergeCell ref="BF4:BJ4"/>
    <mergeCell ref="BL5:BL8"/>
    <mergeCell ref="B5:B8"/>
    <mergeCell ref="F5:F8"/>
    <mergeCell ref="K5:K8"/>
    <mergeCell ref="P5:P8"/>
    <mergeCell ref="BD5:BD8"/>
    <mergeCell ref="U5:U8"/>
    <mergeCell ref="Z5:Z8"/>
    <mergeCell ref="BI5:BI8"/>
    <mergeCell ref="BK5:BK8"/>
    <mergeCell ref="AE5:AE8"/>
    <mergeCell ref="AJ5:AJ8"/>
    <mergeCell ref="AO5:AO8"/>
    <mergeCell ref="AT5:AT8"/>
    <mergeCell ref="AY5:AY8"/>
    <mergeCell ref="BO5:BO8"/>
    <mergeCell ref="BP5:BP8"/>
    <mergeCell ref="BS5:BS8"/>
    <mergeCell ref="BM5:BM8"/>
    <mergeCell ref="BR5:BR8"/>
    <mergeCell ref="BN5:BN8"/>
  </mergeCells>
  <pageMargins left="0.7" right="0.7" top="0.75" bottom="0.75" header="0.3" footer="0.3"/>
  <pageSetup paperSize="9" scale="58" orientation="landscape" verticalDpi="360" r:id="rId1"/>
  <colBreaks count="1" manualBreakCount="1">
    <brk id="15" max="4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D630F-DE5A-4F7B-883D-0114EE946631}">
  <dimension ref="A1:BA949"/>
  <sheetViews>
    <sheetView workbookViewId="0">
      <pane xSplit="3" ySplit="2" topLeftCell="D703" activePane="bottomRight" state="frozen"/>
      <selection pane="bottomRight" activeCell="G736" sqref="G736"/>
      <selection pane="bottomLeft"/>
      <selection pane="topRight"/>
    </sheetView>
  </sheetViews>
  <sheetFormatPr defaultColWidth="11.42578125" defaultRowHeight="15"/>
  <cols>
    <col min="1" max="1" width="5.140625" customWidth="1"/>
    <col min="2" max="2" width="7.28515625" bestFit="1" customWidth="1"/>
    <col min="3" max="3" width="11.5703125" hidden="1" customWidth="1"/>
    <col min="4" max="4" width="11.42578125" customWidth="1"/>
    <col min="5" max="5" width="11.42578125" hidden="1" customWidth="1"/>
    <col min="6" max="6" width="13.28515625" customWidth="1"/>
    <col min="7" max="7" width="13.42578125" customWidth="1"/>
    <col min="8" max="8" width="11.85546875" customWidth="1"/>
    <col min="9" max="9" width="11.85546875" hidden="1" customWidth="1"/>
    <col min="10" max="10" width="11.42578125" customWidth="1"/>
    <col min="11" max="11" width="10" hidden="1" customWidth="1"/>
    <col min="12" max="12" width="31.140625" customWidth="1"/>
    <col min="13" max="13" width="13.85546875" customWidth="1"/>
    <col min="14" max="14" width="14.140625" customWidth="1"/>
    <col min="15" max="15" width="6.5703125" customWidth="1"/>
    <col min="16" max="16" width="7.85546875" customWidth="1"/>
    <col min="17" max="17" width="5.42578125" customWidth="1"/>
    <col min="18" max="18" width="12" bestFit="1" customWidth="1"/>
    <col min="19" max="19" width="8.85546875" customWidth="1"/>
    <col min="20" max="20" width="11.85546875" style="566" bestFit="1" customWidth="1"/>
    <col min="21" max="43" width="9.140625"/>
    <col min="44" max="44" width="14.42578125" customWidth="1"/>
    <col min="45" max="45" width="16.28515625" customWidth="1"/>
    <col min="46" max="46" width="15" bestFit="1" customWidth="1"/>
    <col min="47" max="47" width="18.7109375" bestFit="1" customWidth="1"/>
    <col min="48" max="48" width="21.42578125" bestFit="1" customWidth="1"/>
    <col min="49" max="49" width="16.7109375" bestFit="1" customWidth="1"/>
    <col min="50" max="50" width="12.7109375" bestFit="1" customWidth="1"/>
    <col min="51" max="52" width="12.7109375" customWidth="1"/>
  </cols>
  <sheetData>
    <row r="1" spans="1:32">
      <c r="A1" s="1017"/>
      <c r="B1" s="1017"/>
      <c r="C1" s="1017"/>
      <c r="D1" s="1018"/>
      <c r="E1" s="1018"/>
      <c r="F1" s="1018"/>
      <c r="G1" s="1018"/>
      <c r="H1" s="1018"/>
      <c r="I1" s="1018"/>
      <c r="J1" s="1018"/>
      <c r="K1" s="1018"/>
      <c r="L1" s="1018"/>
      <c r="M1" s="1017"/>
      <c r="N1" s="1017"/>
      <c r="O1" s="1017"/>
      <c r="P1" s="1017"/>
      <c r="Q1" s="1017"/>
      <c r="R1" s="1017"/>
      <c r="S1" s="1017"/>
      <c r="T1" s="1351"/>
      <c r="U1" s="1017"/>
      <c r="V1" s="1017"/>
      <c r="W1" s="1017"/>
      <c r="X1" s="1017"/>
      <c r="Y1" s="1017"/>
      <c r="Z1" s="1017"/>
      <c r="AA1" s="1017"/>
      <c r="AB1" s="1017"/>
      <c r="AC1" s="1017"/>
      <c r="AD1" s="1017"/>
      <c r="AE1" s="1017"/>
      <c r="AF1" s="1017"/>
    </row>
    <row r="2" spans="1:32" ht="30">
      <c r="A2" s="1017"/>
      <c r="B2" s="1019"/>
      <c r="C2" s="1454" t="s">
        <v>319</v>
      </c>
      <c r="D2" s="1459" t="s">
        <v>319</v>
      </c>
      <c r="E2" s="1513"/>
      <c r="F2" s="1460" t="s">
        <v>304</v>
      </c>
      <c r="G2" s="1460" t="s">
        <v>7</v>
      </c>
      <c r="H2" s="1460" t="s">
        <v>320</v>
      </c>
      <c r="I2" s="1460" t="s">
        <v>321</v>
      </c>
      <c r="J2" s="1460" t="s">
        <v>322</v>
      </c>
      <c r="K2" s="1460" t="s">
        <v>323</v>
      </c>
      <c r="L2" s="1461" t="s">
        <v>324</v>
      </c>
      <c r="M2" s="1020"/>
      <c r="N2" s="1020"/>
      <c r="O2" s="1020"/>
      <c r="P2" s="1020"/>
      <c r="Q2" s="1021"/>
      <c r="R2" s="1017"/>
      <c r="S2" s="1017"/>
      <c r="T2" s="1351"/>
      <c r="U2" s="1017"/>
      <c r="V2" s="1017"/>
      <c r="W2" s="1017"/>
      <c r="X2" s="1017"/>
      <c r="Y2" s="1017"/>
      <c r="Z2" s="1017"/>
      <c r="AA2" s="1017"/>
      <c r="AB2" s="1017"/>
      <c r="AC2" s="1017"/>
      <c r="AD2" s="1017"/>
      <c r="AE2" s="1017"/>
      <c r="AF2" s="1017"/>
    </row>
    <row r="3" spans="1:32" ht="16.5">
      <c r="A3" s="1022"/>
      <c r="B3" s="1770" t="s">
        <v>325</v>
      </c>
      <c r="C3" s="1023">
        <v>43471</v>
      </c>
      <c r="D3" s="1088">
        <v>43835</v>
      </c>
      <c r="E3" s="1514"/>
      <c r="F3" s="1455">
        <v>269461.35286372999</v>
      </c>
      <c r="G3">
        <v>368653.13000000006</v>
      </c>
      <c r="H3" s="1206">
        <f t="shared" ref="H3:H66" si="0">(G3*0.5)*0.65</f>
        <v>119812.26725000002</v>
      </c>
      <c r="I3" s="1125">
        <f t="shared" ref="I3:I66" si="1">F3*1</f>
        <v>269461.35286372999</v>
      </c>
      <c r="J3" s="1456">
        <f t="shared" ref="J3:J66" si="2">G3/F3</f>
        <v>1.3681113305566777</v>
      </c>
      <c r="K3" s="1457"/>
      <c r="L3" s="1458"/>
      <c r="M3" s="1020"/>
      <c r="N3" s="1020"/>
      <c r="O3" s="1020"/>
      <c r="P3" s="1020"/>
      <c r="Q3" s="1021"/>
      <c r="R3" s="1017"/>
      <c r="S3" s="1017"/>
      <c r="T3" s="1351"/>
      <c r="U3" s="1017"/>
      <c r="V3" s="1017"/>
      <c r="W3" s="1017"/>
      <c r="X3" s="1017"/>
      <c r="Y3" s="1017"/>
      <c r="Z3" s="1017"/>
      <c r="AA3" s="1017"/>
      <c r="AB3" s="1017"/>
      <c r="AC3" s="1017"/>
      <c r="AD3" s="1017"/>
      <c r="AE3" s="1017"/>
      <c r="AF3" s="1017"/>
    </row>
    <row r="4" spans="1:32" ht="16.5">
      <c r="A4" s="1022"/>
      <c r="B4" s="1771"/>
      <c r="C4" s="1023">
        <v>43472</v>
      </c>
      <c r="D4" s="1024">
        <v>43836</v>
      </c>
      <c r="E4" s="1514"/>
      <c r="F4" s="1030">
        <v>275478.84218969999</v>
      </c>
      <c r="G4">
        <v>407438.5799999999</v>
      </c>
      <c r="H4" s="1026">
        <f t="shared" si="0"/>
        <v>132417.53849999997</v>
      </c>
      <c r="I4" s="1027">
        <f t="shared" si="1"/>
        <v>275478.84218969999</v>
      </c>
      <c r="J4" s="1029">
        <f t="shared" si="2"/>
        <v>1.4790195020473837</v>
      </c>
      <c r="K4" s="1114"/>
      <c r="L4" s="150"/>
      <c r="M4" s="1020"/>
      <c r="N4" s="1020"/>
      <c r="O4" s="1020"/>
      <c r="P4" s="1020"/>
      <c r="Q4" s="1021"/>
      <c r="R4" s="1017"/>
      <c r="S4" s="1017"/>
      <c r="T4" s="1351"/>
      <c r="U4" s="1017"/>
      <c r="V4" s="1017"/>
      <c r="W4" s="1017"/>
      <c r="X4" s="1017"/>
      <c r="Y4" s="1017"/>
      <c r="Z4" s="1017"/>
      <c r="AA4" s="1017"/>
      <c r="AB4" s="1017"/>
      <c r="AC4" s="1017"/>
      <c r="AD4" s="1017"/>
      <c r="AE4" s="1017"/>
      <c r="AF4" s="1017"/>
    </row>
    <row r="5" spans="1:32" ht="16.5">
      <c r="A5" s="1022"/>
      <c r="B5" s="1771"/>
      <c r="C5" s="1023">
        <v>43473</v>
      </c>
      <c r="D5" s="1024">
        <v>43837</v>
      </c>
      <c r="E5" s="1514"/>
      <c r="F5" s="1025">
        <v>226236.50783270999</v>
      </c>
      <c r="G5">
        <v>333457.70999999996</v>
      </c>
      <c r="H5" s="1026">
        <f t="shared" si="0"/>
        <v>108373.75575</v>
      </c>
      <c r="I5" s="1027">
        <f t="shared" si="1"/>
        <v>226236.50783270999</v>
      </c>
      <c r="J5" s="1029">
        <f t="shared" si="2"/>
        <v>1.473934128467782</v>
      </c>
      <c r="K5" s="1114"/>
      <c r="L5" s="150"/>
      <c r="M5" s="1020"/>
      <c r="N5" s="1020"/>
      <c r="O5" s="1020"/>
      <c r="P5" s="1020"/>
      <c r="Q5" s="1021"/>
      <c r="R5" s="1017"/>
      <c r="S5" s="1017"/>
      <c r="T5" s="1351"/>
      <c r="U5" s="1017"/>
      <c r="V5" s="1017"/>
      <c r="W5" s="1017"/>
      <c r="X5" s="1017"/>
      <c r="Y5" s="1017"/>
      <c r="Z5" s="1017"/>
      <c r="AA5" s="1017"/>
      <c r="AB5" s="1017"/>
      <c r="AC5" s="1017"/>
      <c r="AD5" s="1017"/>
      <c r="AE5" s="1017"/>
      <c r="AF5" s="1017"/>
    </row>
    <row r="6" spans="1:32" ht="16.5">
      <c r="A6" s="1022"/>
      <c r="B6" s="1771"/>
      <c r="C6" s="1023">
        <v>43474</v>
      </c>
      <c r="D6" s="1024">
        <v>43838</v>
      </c>
      <c r="E6" s="1514"/>
      <c r="F6" s="1030">
        <v>232593.97675984001</v>
      </c>
      <c r="G6">
        <v>272618.46999999991</v>
      </c>
      <c r="H6" s="1026">
        <f t="shared" si="0"/>
        <v>88601.002749999971</v>
      </c>
      <c r="I6" s="1027">
        <f t="shared" si="1"/>
        <v>232593.97675984001</v>
      </c>
      <c r="J6" s="1029">
        <f t="shared" si="2"/>
        <v>1.1720788035774734</v>
      </c>
      <c r="K6" s="1114"/>
      <c r="L6" s="150"/>
      <c r="M6" s="1020"/>
      <c r="N6" s="1020"/>
      <c r="O6" s="1020"/>
      <c r="P6" s="1020"/>
      <c r="Q6" s="1021"/>
      <c r="R6" s="1017"/>
      <c r="S6" s="1017"/>
      <c r="T6" s="1351"/>
      <c r="U6" s="1017"/>
      <c r="V6" s="1017"/>
      <c r="W6" s="1017"/>
      <c r="X6" s="1017"/>
      <c r="Y6" s="1017"/>
      <c r="Z6" s="1017"/>
      <c r="AA6" s="1017"/>
      <c r="AB6" s="1017"/>
      <c r="AC6" s="1017"/>
      <c r="AD6" s="1017"/>
      <c r="AE6" s="1017"/>
      <c r="AF6" s="1017"/>
    </row>
    <row r="7" spans="1:32" ht="16.5">
      <c r="A7" s="1022"/>
      <c r="B7" s="1771"/>
      <c r="C7" s="1023">
        <v>43475</v>
      </c>
      <c r="D7" s="1024">
        <v>43839</v>
      </c>
      <c r="E7" s="1514"/>
      <c r="F7" s="1025">
        <v>229156.74599254</v>
      </c>
      <c r="G7">
        <v>292256.06000000006</v>
      </c>
      <c r="H7" s="1026">
        <f t="shared" si="0"/>
        <v>94983.219500000021</v>
      </c>
      <c r="I7" s="1027">
        <f t="shared" si="1"/>
        <v>229156.74599254</v>
      </c>
      <c r="J7" s="1029">
        <f t="shared" si="2"/>
        <v>1.2753543812736554</v>
      </c>
      <c r="K7" s="1114"/>
      <c r="L7" s="150"/>
      <c r="M7" s="1020"/>
      <c r="N7" s="1020"/>
      <c r="O7" s="1020"/>
      <c r="P7" s="1020"/>
      <c r="Q7" s="1021"/>
      <c r="R7" s="1017"/>
      <c r="S7" s="1017"/>
      <c r="T7" s="1351"/>
      <c r="U7" s="1017"/>
      <c r="V7" s="1017"/>
      <c r="W7" s="1017"/>
      <c r="X7" s="1017"/>
      <c r="Y7" s="1017"/>
      <c r="Z7" s="1017"/>
      <c r="AA7" s="1017"/>
      <c r="AB7" s="1017"/>
      <c r="AC7" s="1017"/>
      <c r="AD7" s="1017"/>
      <c r="AE7" s="1017"/>
      <c r="AF7" s="1017"/>
    </row>
    <row r="8" spans="1:32" ht="16.5">
      <c r="A8" s="1022"/>
      <c r="B8" s="1771"/>
      <c r="C8" s="1023">
        <v>43476</v>
      </c>
      <c r="D8" s="1024">
        <v>43840</v>
      </c>
      <c r="E8" s="1514"/>
      <c r="F8" s="1030">
        <v>271976.27464532002</v>
      </c>
      <c r="G8">
        <v>312673.40000000002</v>
      </c>
      <c r="H8" s="1026">
        <f t="shared" si="0"/>
        <v>101618.85500000001</v>
      </c>
      <c r="I8" s="1027">
        <f t="shared" si="1"/>
        <v>271976.27464532002</v>
      </c>
      <c r="J8" s="1029">
        <f t="shared" si="2"/>
        <v>1.1496348363759026</v>
      </c>
      <c r="K8" s="1114"/>
      <c r="L8" s="150"/>
      <c r="M8" s="1020"/>
      <c r="N8" s="1020"/>
      <c r="O8" s="1020"/>
      <c r="P8" s="1020"/>
      <c r="Q8" s="1021"/>
      <c r="R8" s="1017"/>
      <c r="S8" s="1017"/>
      <c r="T8" s="1351"/>
      <c r="U8" s="1017"/>
      <c r="V8" s="1017"/>
      <c r="W8" s="1017"/>
      <c r="X8" s="1017"/>
      <c r="Y8" s="1017"/>
      <c r="Z8" s="1017"/>
      <c r="AA8" s="1017"/>
      <c r="AB8" s="1017"/>
      <c r="AC8" s="1017"/>
      <c r="AD8" s="1017"/>
      <c r="AE8" s="1017"/>
      <c r="AF8" s="1017"/>
    </row>
    <row r="9" spans="1:32" ht="16.5">
      <c r="A9" s="1022"/>
      <c r="B9" s="1772"/>
      <c r="C9" s="1023">
        <v>43477</v>
      </c>
      <c r="D9" s="1024">
        <v>43841</v>
      </c>
      <c r="E9" s="1514"/>
      <c r="F9" s="1025">
        <v>482438.53782799997</v>
      </c>
      <c r="G9">
        <v>505861.27999999997</v>
      </c>
      <c r="H9" s="1026">
        <f t="shared" si="0"/>
        <v>164404.916</v>
      </c>
      <c r="I9" s="1027">
        <f t="shared" si="1"/>
        <v>482438.53782799997</v>
      </c>
      <c r="J9" s="1029">
        <f t="shared" si="2"/>
        <v>1.0485507278864001</v>
      </c>
      <c r="K9" s="1114"/>
      <c r="L9" s="150"/>
      <c r="M9" s="1020"/>
      <c r="N9" s="1020"/>
      <c r="O9" s="1020"/>
      <c r="P9" s="1020"/>
      <c r="Q9" s="1021"/>
      <c r="R9" s="1017"/>
      <c r="S9" s="1017"/>
      <c r="T9" s="1351"/>
      <c r="U9" s="1017"/>
      <c r="V9" s="1017"/>
      <c r="W9" s="1017"/>
      <c r="X9" s="1017"/>
      <c r="Y9" s="1017"/>
      <c r="Z9" s="1017"/>
      <c r="AA9" s="1017"/>
      <c r="AB9" s="1017"/>
      <c r="AC9" s="1017"/>
      <c r="AD9" s="1017"/>
      <c r="AE9" s="1017"/>
      <c r="AF9" s="1017"/>
    </row>
    <row r="10" spans="1:32" ht="16.5">
      <c r="A10" s="1022"/>
      <c r="B10" s="1770" t="s">
        <v>326</v>
      </c>
      <c r="C10" s="1023">
        <v>43478</v>
      </c>
      <c r="D10" s="1024">
        <v>43842</v>
      </c>
      <c r="E10" s="1514"/>
      <c r="F10" s="1030">
        <v>276019.04318202997</v>
      </c>
      <c r="G10" s="108">
        <v>330236.88</v>
      </c>
      <c r="H10" s="1026">
        <f t="shared" si="0"/>
        <v>107326.986</v>
      </c>
      <c r="I10" s="1027">
        <f t="shared" si="1"/>
        <v>276019.04318202997</v>
      </c>
      <c r="J10" s="1029">
        <f t="shared" si="2"/>
        <v>1.1964278848043621</v>
      </c>
      <c r="K10" s="1114"/>
      <c r="L10" s="150"/>
      <c r="M10" s="1020"/>
      <c r="N10" s="1020"/>
      <c r="O10" s="1020"/>
      <c r="P10" s="1020"/>
      <c r="Q10" s="1021"/>
      <c r="R10" s="1017"/>
      <c r="S10" s="1017"/>
      <c r="T10" s="1351"/>
      <c r="U10" s="1017"/>
      <c r="V10" s="1017"/>
      <c r="W10" s="1017"/>
      <c r="X10" s="1017"/>
      <c r="Y10" s="1017"/>
      <c r="Z10" s="1017"/>
      <c r="AA10" s="1017"/>
      <c r="AB10" s="1017"/>
      <c r="AC10" s="1017"/>
      <c r="AD10" s="1017"/>
      <c r="AE10" s="1017"/>
      <c r="AF10" s="1017"/>
    </row>
    <row r="11" spans="1:32" ht="16.5">
      <c r="A11" s="1022"/>
      <c r="B11" s="1771"/>
      <c r="C11" s="1023">
        <v>43479</v>
      </c>
      <c r="D11" s="1024">
        <v>43843</v>
      </c>
      <c r="E11" s="1514"/>
      <c r="F11" s="1025">
        <v>255118.46271344999</v>
      </c>
      <c r="G11" s="108">
        <v>281378.17000000004</v>
      </c>
      <c r="H11" s="1026">
        <f t="shared" si="0"/>
        <v>91447.905250000011</v>
      </c>
      <c r="I11" s="1027">
        <f t="shared" si="1"/>
        <v>255118.46271344999</v>
      </c>
      <c r="J11" s="1029">
        <f t="shared" si="2"/>
        <v>1.1029314264724348</v>
      </c>
      <c r="K11" s="1114"/>
      <c r="L11" s="150"/>
      <c r="M11" s="1020"/>
      <c r="N11" s="1020"/>
      <c r="O11" s="1020"/>
      <c r="P11" s="1020"/>
      <c r="Q11" s="1021"/>
      <c r="R11" s="1017"/>
      <c r="S11" s="1017"/>
      <c r="T11" s="1351"/>
      <c r="U11" s="1017"/>
      <c r="V11" s="1017"/>
      <c r="W11" s="1017"/>
      <c r="X11" s="1017"/>
      <c r="Y11" s="1017"/>
      <c r="Z11" s="1017"/>
      <c r="AA11" s="1017"/>
      <c r="AB11" s="1017"/>
      <c r="AC11" s="1017"/>
      <c r="AD11" s="1017"/>
      <c r="AE11" s="1017"/>
      <c r="AF11" s="1017"/>
    </row>
    <row r="12" spans="1:32" ht="16.5">
      <c r="A12" s="1022"/>
      <c r="B12" s="1771"/>
      <c r="C12" s="1023">
        <v>43480</v>
      </c>
      <c r="D12" s="1024">
        <v>43844</v>
      </c>
      <c r="E12" s="1514"/>
      <c r="F12" s="1030">
        <v>246007.03662510999</v>
      </c>
      <c r="G12" s="108">
        <v>266468.52999999997</v>
      </c>
      <c r="H12" s="1026">
        <f t="shared" si="0"/>
        <v>86602.272249999995</v>
      </c>
      <c r="I12" s="1027">
        <f t="shared" si="1"/>
        <v>246007.03662510999</v>
      </c>
      <c r="J12" s="1029">
        <f t="shared" si="2"/>
        <v>1.0831744232018503</v>
      </c>
      <c r="K12" s="1114"/>
      <c r="L12" s="150"/>
      <c r="M12" s="1020"/>
      <c r="N12" s="1020"/>
      <c r="O12" s="1020"/>
      <c r="P12" s="1020"/>
      <c r="Q12" s="1021"/>
      <c r="R12" s="1017"/>
      <c r="S12" s="1017"/>
      <c r="T12" s="1351"/>
      <c r="U12" s="1017"/>
      <c r="V12" s="1017"/>
      <c r="W12" s="1017"/>
      <c r="X12" s="1017"/>
      <c r="Y12" s="1017"/>
      <c r="Z12" s="1017"/>
      <c r="AA12" s="1017"/>
      <c r="AB12" s="1017"/>
      <c r="AC12" s="1017"/>
      <c r="AD12" s="1017"/>
      <c r="AE12" s="1017"/>
      <c r="AF12" s="1017"/>
    </row>
    <row r="13" spans="1:32" ht="16.5">
      <c r="A13" s="1022"/>
      <c r="B13" s="1771"/>
      <c r="C13" s="1023">
        <v>43481</v>
      </c>
      <c r="D13" s="1024">
        <v>43845</v>
      </c>
      <c r="E13" s="1514"/>
      <c r="F13" s="1025">
        <v>244157.91200578</v>
      </c>
      <c r="G13">
        <v>284474.34000000003</v>
      </c>
      <c r="H13" s="1026">
        <f t="shared" si="0"/>
        <v>92454.160500000013</v>
      </c>
      <c r="I13" s="1027">
        <f t="shared" si="1"/>
        <v>244157.91200578</v>
      </c>
      <c r="J13" s="1029">
        <f t="shared" si="2"/>
        <v>1.1651243970060885</v>
      </c>
      <c r="K13" s="1114"/>
      <c r="L13" s="150"/>
      <c r="M13" s="1020"/>
      <c r="N13" s="1020"/>
      <c r="O13" s="1020"/>
      <c r="P13" s="1020"/>
      <c r="Q13" s="1021"/>
      <c r="R13" s="1017"/>
      <c r="S13" s="1017"/>
      <c r="T13" s="1351"/>
      <c r="U13" s="1017"/>
      <c r="V13" s="1017"/>
      <c r="W13" s="1017"/>
      <c r="X13" s="1017"/>
      <c r="Y13" s="1017"/>
      <c r="Z13" s="1017"/>
      <c r="AA13" s="1017"/>
      <c r="AB13" s="1017"/>
      <c r="AC13" s="1017"/>
      <c r="AD13" s="1017"/>
      <c r="AE13" s="1017"/>
      <c r="AF13" s="1017"/>
    </row>
    <row r="14" spans="1:32" ht="16.5">
      <c r="A14" s="1022"/>
      <c r="B14" s="1771"/>
      <c r="C14" s="1023">
        <v>43482</v>
      </c>
      <c r="D14" s="1024">
        <v>43846</v>
      </c>
      <c r="E14" s="1514"/>
      <c r="F14" s="1030">
        <v>260270.24471192999</v>
      </c>
      <c r="G14" s="108">
        <v>324633.74000000005</v>
      </c>
      <c r="H14" s="1026">
        <f t="shared" si="0"/>
        <v>105505.96550000002</v>
      </c>
      <c r="I14" s="1027">
        <f t="shared" si="1"/>
        <v>260270.24471192999</v>
      </c>
      <c r="J14" s="1029">
        <f t="shared" si="2"/>
        <v>1.2472948659932612</v>
      </c>
      <c r="K14" s="1114"/>
      <c r="L14" s="150"/>
      <c r="M14" s="1020"/>
      <c r="N14" s="1020"/>
      <c r="O14" s="1020"/>
      <c r="P14" s="1020"/>
      <c r="Q14" s="1021"/>
      <c r="R14" s="1017"/>
      <c r="S14" s="1017"/>
      <c r="T14" s="1351"/>
      <c r="U14" s="1017"/>
      <c r="V14" s="1017"/>
      <c r="W14" s="1017"/>
      <c r="X14" s="1017"/>
      <c r="Y14" s="1017"/>
      <c r="Z14" s="1017"/>
      <c r="AA14" s="1017"/>
      <c r="AB14" s="1017"/>
      <c r="AC14" s="1017"/>
      <c r="AD14" s="1017"/>
      <c r="AE14" s="1017"/>
      <c r="AF14" s="1017"/>
    </row>
    <row r="15" spans="1:32" ht="16.5">
      <c r="A15" s="1022"/>
      <c r="B15" s="1771"/>
      <c r="C15" s="1023">
        <v>43483</v>
      </c>
      <c r="D15" s="1024">
        <v>43847</v>
      </c>
      <c r="E15" s="1514"/>
      <c r="F15" s="1025">
        <v>313787.80952026998</v>
      </c>
      <c r="G15">
        <v>380356.05000000005</v>
      </c>
      <c r="H15" s="1026">
        <f t="shared" si="0"/>
        <v>123615.71625000001</v>
      </c>
      <c r="I15" s="1027">
        <f t="shared" si="1"/>
        <v>313787.80952026998</v>
      </c>
      <c r="J15" s="1029">
        <f t="shared" si="2"/>
        <v>1.2121441256162946</v>
      </c>
      <c r="K15" s="1114"/>
      <c r="L15" s="150"/>
      <c r="M15" s="1020"/>
      <c r="N15" s="1020"/>
      <c r="O15" s="1020"/>
      <c r="P15" s="1020"/>
      <c r="Q15" s="1021"/>
      <c r="R15" s="1017"/>
      <c r="S15" s="1017"/>
      <c r="T15" s="1351"/>
      <c r="U15" s="1017"/>
      <c r="V15" s="1017"/>
      <c r="W15" s="1017"/>
      <c r="X15" s="1017"/>
      <c r="Y15" s="1017"/>
      <c r="Z15" s="1017"/>
      <c r="AA15" s="1017"/>
      <c r="AB15" s="1017"/>
      <c r="AC15" s="1017"/>
      <c r="AD15" s="1017"/>
      <c r="AE15" s="1017"/>
      <c r="AF15" s="1017"/>
    </row>
    <row r="16" spans="1:32" ht="16.5">
      <c r="A16" s="1022"/>
      <c r="B16" s="1772"/>
      <c r="C16" s="1023">
        <v>43484</v>
      </c>
      <c r="D16" s="1024">
        <v>43848</v>
      </c>
      <c r="E16" s="1514"/>
      <c r="F16" s="1030">
        <v>616938.69940446003</v>
      </c>
      <c r="G16">
        <v>561399.99</v>
      </c>
      <c r="H16" s="1026">
        <f t="shared" si="0"/>
        <v>182454.99674999999</v>
      </c>
      <c r="I16" s="1027">
        <f t="shared" si="1"/>
        <v>616938.69940446003</v>
      </c>
      <c r="J16" s="1029">
        <f t="shared" si="2"/>
        <v>0.90997694024046094</v>
      </c>
      <c r="K16" s="1114"/>
      <c r="L16" s="150"/>
      <c r="M16" s="1020"/>
      <c r="N16" s="1020"/>
      <c r="O16" s="1020"/>
      <c r="P16" s="1020"/>
      <c r="Q16" s="1021"/>
      <c r="R16" s="1017"/>
      <c r="S16" s="1017"/>
      <c r="T16" s="1351"/>
      <c r="U16" s="1017"/>
      <c r="V16" s="1017"/>
      <c r="W16" s="1017"/>
      <c r="X16" s="1017"/>
      <c r="Y16" s="1017"/>
      <c r="Z16" s="1017"/>
      <c r="AA16" s="1017"/>
      <c r="AB16" s="1017"/>
      <c r="AC16" s="1017"/>
      <c r="AD16" s="1017"/>
      <c r="AE16" s="1017"/>
      <c r="AF16" s="1017"/>
    </row>
    <row r="17" spans="1:32" ht="16.5">
      <c r="A17" s="1022"/>
      <c r="B17" s="1770" t="s">
        <v>327</v>
      </c>
      <c r="C17" s="1023">
        <v>43485</v>
      </c>
      <c r="D17" s="1024">
        <v>43849</v>
      </c>
      <c r="E17" s="1514"/>
      <c r="F17" s="1025">
        <v>301518.76152861997</v>
      </c>
      <c r="G17" s="108">
        <v>341911.63000000006</v>
      </c>
      <c r="H17" s="1026">
        <f t="shared" si="0"/>
        <v>111121.27975000003</v>
      </c>
      <c r="I17" s="1027">
        <f t="shared" si="1"/>
        <v>301518.76152861997</v>
      </c>
      <c r="J17" s="1029">
        <f t="shared" si="2"/>
        <v>1.1339646934956849</v>
      </c>
      <c r="K17" s="1114"/>
      <c r="L17" s="150"/>
      <c r="M17" s="1020"/>
      <c r="N17" s="1020"/>
      <c r="O17" s="1020"/>
      <c r="P17" s="1020"/>
      <c r="Q17" s="1021"/>
      <c r="R17" s="1017"/>
      <c r="S17" s="1017"/>
      <c r="T17" s="1351"/>
      <c r="U17" s="1017"/>
      <c r="V17" s="1017"/>
      <c r="W17" s="1017"/>
      <c r="X17" s="1017"/>
      <c r="Y17" s="1017"/>
      <c r="Z17" s="1017"/>
      <c r="AA17" s="1017"/>
      <c r="AB17" s="1017"/>
      <c r="AC17" s="1017"/>
      <c r="AD17" s="1017"/>
      <c r="AE17" s="1017"/>
      <c r="AF17" s="1017"/>
    </row>
    <row r="18" spans="1:32" ht="16.5">
      <c r="A18" s="1022"/>
      <c r="B18" s="1771"/>
      <c r="C18" s="1023">
        <v>43486</v>
      </c>
      <c r="D18" s="1024">
        <v>43850</v>
      </c>
      <c r="E18" s="1514"/>
      <c r="F18" s="1030">
        <v>260843.43928322999</v>
      </c>
      <c r="G18" s="108">
        <v>367432.43000000005</v>
      </c>
      <c r="H18" s="1026">
        <f t="shared" si="0"/>
        <v>119415.53975000003</v>
      </c>
      <c r="I18" s="1027">
        <f t="shared" si="1"/>
        <v>260843.43928322999</v>
      </c>
      <c r="J18" s="1029">
        <f t="shared" si="2"/>
        <v>1.4086320553419525</v>
      </c>
      <c r="K18" s="1114"/>
      <c r="L18" s="150"/>
      <c r="M18" s="1020"/>
      <c r="N18" s="1020"/>
      <c r="O18" s="1020"/>
      <c r="P18" s="1020"/>
      <c r="Q18" s="1021"/>
      <c r="R18" s="1017"/>
      <c r="S18" s="1017"/>
      <c r="T18" s="1351"/>
      <c r="U18" s="1017"/>
      <c r="V18" s="1017"/>
      <c r="W18" s="1017"/>
      <c r="X18" s="1017"/>
      <c r="Y18" s="1017"/>
      <c r="Z18" s="1017"/>
      <c r="AA18" s="1017"/>
      <c r="AB18" s="1017"/>
      <c r="AC18" s="1017"/>
      <c r="AD18" s="1017"/>
      <c r="AE18" s="1017"/>
      <c r="AF18" s="1017"/>
    </row>
    <row r="19" spans="1:32" ht="16.5">
      <c r="A19" s="1022"/>
      <c r="B19" s="1771"/>
      <c r="C19" s="1023">
        <v>43487</v>
      </c>
      <c r="D19" s="1024">
        <v>43851</v>
      </c>
      <c r="E19" s="1514"/>
      <c r="F19" s="1025">
        <v>218487.7283784</v>
      </c>
      <c r="G19">
        <v>228687.98999999996</v>
      </c>
      <c r="H19" s="1026">
        <f t="shared" si="0"/>
        <v>74323.596749999997</v>
      </c>
      <c r="I19" s="1027">
        <f t="shared" si="1"/>
        <v>218487.7283784</v>
      </c>
      <c r="J19" s="1029">
        <f t="shared" si="2"/>
        <v>1.0466857415622632</v>
      </c>
      <c r="K19" s="1114"/>
      <c r="L19" s="150"/>
      <c r="M19" s="1020"/>
      <c r="N19" s="1020"/>
      <c r="O19" s="1020"/>
      <c r="P19" s="1020"/>
      <c r="Q19" s="1021"/>
      <c r="R19" s="1017"/>
      <c r="S19" s="1017"/>
      <c r="T19" s="1351"/>
      <c r="U19" s="1017"/>
      <c r="V19" s="1017"/>
      <c r="W19" s="1017"/>
      <c r="X19" s="1017"/>
      <c r="Y19" s="1017"/>
      <c r="Z19" s="1017"/>
      <c r="AA19" s="1017"/>
      <c r="AB19" s="1017"/>
      <c r="AC19" s="1017"/>
      <c r="AD19" s="1017"/>
      <c r="AE19" s="1017"/>
      <c r="AF19" s="1017"/>
    </row>
    <row r="20" spans="1:32" ht="16.5">
      <c r="A20" s="1022"/>
      <c r="B20" s="1771"/>
      <c r="C20" s="1023">
        <v>43488</v>
      </c>
      <c r="D20" s="1024">
        <v>43852</v>
      </c>
      <c r="E20" s="1514"/>
      <c r="F20" s="1030">
        <v>225471.04455744999</v>
      </c>
      <c r="G20" s="108">
        <v>227493.45</v>
      </c>
      <c r="H20" s="1026">
        <f t="shared" si="0"/>
        <v>73935.371250000011</v>
      </c>
      <c r="I20" s="1027">
        <f t="shared" si="1"/>
        <v>225471.04455744999</v>
      </c>
      <c r="J20" s="1029">
        <f t="shared" si="2"/>
        <v>1.0089696903055536</v>
      </c>
      <c r="K20" s="1114"/>
      <c r="L20" s="150"/>
      <c r="M20" s="1020"/>
      <c r="N20" s="1020"/>
      <c r="O20" s="1020"/>
      <c r="P20" s="1020"/>
      <c r="Q20" s="1021"/>
      <c r="R20" s="1017"/>
      <c r="S20" s="1017"/>
      <c r="T20" s="1351"/>
      <c r="U20" s="1017"/>
      <c r="V20" s="1017"/>
      <c r="W20" s="1017"/>
      <c r="X20" s="1017"/>
      <c r="Y20" s="1017"/>
      <c r="Z20" s="1017"/>
      <c r="AA20" s="1017"/>
      <c r="AB20" s="1017"/>
      <c r="AC20" s="1017"/>
      <c r="AD20" s="1017"/>
      <c r="AE20" s="1017"/>
      <c r="AF20" s="1017"/>
    </row>
    <row r="21" spans="1:32" ht="16.5">
      <c r="A21" s="1022"/>
      <c r="B21" s="1771"/>
      <c r="C21" s="1023">
        <v>43489</v>
      </c>
      <c r="D21" s="1024">
        <v>43853</v>
      </c>
      <c r="E21" s="1514"/>
      <c r="F21" s="1025">
        <v>246387.53679010001</v>
      </c>
      <c r="G21">
        <v>236628.98</v>
      </c>
      <c r="H21" s="1026">
        <f t="shared" si="0"/>
        <v>76904.4185</v>
      </c>
      <c r="I21" s="1027">
        <f t="shared" si="1"/>
        <v>246387.53679010001</v>
      </c>
      <c r="J21" s="1029">
        <f t="shared" si="2"/>
        <v>0.96039346422618199</v>
      </c>
      <c r="K21" s="1114"/>
      <c r="L21" s="150"/>
      <c r="M21" s="1020"/>
      <c r="N21" s="1020"/>
      <c r="O21" s="1020"/>
      <c r="P21" s="1020"/>
      <c r="Q21" s="1021"/>
      <c r="R21" s="1017"/>
      <c r="S21" s="1017"/>
      <c r="T21" s="1351"/>
      <c r="U21" s="1017"/>
      <c r="V21" s="1017"/>
      <c r="W21" s="1017"/>
      <c r="X21" s="1017"/>
      <c r="Y21" s="1017"/>
      <c r="Z21" s="1017"/>
      <c r="AA21" s="1017"/>
      <c r="AB21" s="1017"/>
      <c r="AC21" s="1017"/>
      <c r="AD21" s="1017"/>
      <c r="AE21" s="1017"/>
      <c r="AF21" s="1017"/>
    </row>
    <row r="22" spans="1:32" ht="16.5">
      <c r="A22" s="1022"/>
      <c r="B22" s="1771"/>
      <c r="C22" s="1023">
        <v>43490</v>
      </c>
      <c r="D22" s="1024">
        <v>43854</v>
      </c>
      <c r="E22" s="1514"/>
      <c r="F22" s="1030">
        <v>340482.07557983999</v>
      </c>
      <c r="G22">
        <v>316358.07999999996</v>
      </c>
      <c r="H22" s="1026">
        <f t="shared" si="0"/>
        <v>102816.37599999999</v>
      </c>
      <c r="I22" s="1027">
        <f t="shared" si="1"/>
        <v>340482.07557983999</v>
      </c>
      <c r="J22" s="1029">
        <f t="shared" si="2"/>
        <v>0.92914753136782036</v>
      </c>
      <c r="K22" s="1114"/>
      <c r="L22" s="150"/>
      <c r="M22" s="1020"/>
      <c r="N22" s="1020"/>
      <c r="O22" s="1020"/>
      <c r="P22" s="1020"/>
      <c r="Q22" s="1021"/>
      <c r="R22" s="1017"/>
      <c r="S22" s="1017"/>
      <c r="T22" s="1351"/>
      <c r="U22" s="1017"/>
      <c r="V22" s="1017"/>
      <c r="W22" s="1017"/>
      <c r="X22" s="1017"/>
      <c r="Y22" s="1017"/>
      <c r="Z22" s="1017"/>
      <c r="AA22" s="1017"/>
      <c r="AB22" s="1017"/>
      <c r="AC22" s="1017"/>
      <c r="AD22" s="1017"/>
      <c r="AE22" s="1017"/>
      <c r="AF22" s="1017"/>
    </row>
    <row r="23" spans="1:32" ht="16.5">
      <c r="A23" s="1022"/>
      <c r="B23" s="1772"/>
      <c r="C23" s="1023">
        <v>43491</v>
      </c>
      <c r="D23" s="1024">
        <v>43855</v>
      </c>
      <c r="E23" s="1514"/>
      <c r="F23" s="1025">
        <v>491989.56665229</v>
      </c>
      <c r="G23">
        <v>530231.54</v>
      </c>
      <c r="H23" s="1026">
        <f t="shared" si="0"/>
        <v>172325.25050000002</v>
      </c>
      <c r="I23" s="1027">
        <f t="shared" si="1"/>
        <v>491989.56665229</v>
      </c>
      <c r="J23" s="1029">
        <f t="shared" si="2"/>
        <v>1.0777292364306117</v>
      </c>
      <c r="K23" s="1114"/>
      <c r="L23" s="150"/>
      <c r="M23" s="1020"/>
      <c r="N23" s="1020"/>
      <c r="O23" s="1020"/>
      <c r="P23" s="1020"/>
      <c r="Q23" s="1021"/>
      <c r="R23" s="1017"/>
      <c r="S23" s="1017"/>
      <c r="T23" s="1351"/>
      <c r="U23" s="1017"/>
      <c r="V23" s="1017"/>
      <c r="W23" s="1017"/>
      <c r="X23" s="1017"/>
      <c r="Y23" s="1017"/>
      <c r="Z23" s="1017"/>
      <c r="AA23" s="1017"/>
      <c r="AB23" s="1017"/>
      <c r="AC23" s="1017"/>
      <c r="AD23" s="1017"/>
      <c r="AE23" s="1017"/>
      <c r="AF23" s="1017"/>
    </row>
    <row r="24" spans="1:32" ht="16.5">
      <c r="A24" s="1022"/>
      <c r="B24" s="1770" t="s">
        <v>328</v>
      </c>
      <c r="C24" s="1023">
        <v>43492</v>
      </c>
      <c r="D24" s="1024">
        <v>43856</v>
      </c>
      <c r="E24" s="1514"/>
      <c r="F24" s="1030">
        <v>298831.62704108999</v>
      </c>
      <c r="G24" s="108">
        <v>341911.63000000006</v>
      </c>
      <c r="H24" s="1026">
        <f t="shared" si="0"/>
        <v>111121.27975000003</v>
      </c>
      <c r="I24" s="1027">
        <f t="shared" si="1"/>
        <v>298831.62704108999</v>
      </c>
      <c r="J24" s="1029">
        <f t="shared" si="2"/>
        <v>1.1441614576926507</v>
      </c>
      <c r="K24" s="1114"/>
      <c r="L24" s="150"/>
      <c r="M24" s="1020"/>
      <c r="N24" s="1020"/>
      <c r="O24" s="1020"/>
      <c r="P24" s="1020"/>
      <c r="Q24" s="1021"/>
      <c r="R24" s="1017"/>
      <c r="S24" s="1017"/>
      <c r="T24" s="1351"/>
      <c r="U24" s="1017"/>
      <c r="V24" s="1017"/>
      <c r="W24" s="1017"/>
      <c r="X24" s="1017"/>
      <c r="Y24" s="1017"/>
      <c r="Z24" s="1017"/>
      <c r="AA24" s="1017"/>
      <c r="AB24" s="1017"/>
      <c r="AC24" s="1017"/>
      <c r="AD24" s="1017"/>
      <c r="AE24" s="1017"/>
      <c r="AF24" s="1017"/>
    </row>
    <row r="25" spans="1:32" ht="16.5">
      <c r="A25" s="1022"/>
      <c r="B25" s="1771"/>
      <c r="C25" s="1023">
        <v>43493</v>
      </c>
      <c r="D25" s="1024">
        <v>43857</v>
      </c>
      <c r="E25" s="1514"/>
      <c r="F25" s="1025">
        <v>234897.85789617</v>
      </c>
      <c r="G25" s="108">
        <v>236494.81000000003</v>
      </c>
      <c r="H25" s="1026">
        <f t="shared" si="0"/>
        <v>76860.813250000007</v>
      </c>
      <c r="I25" s="1027">
        <f t="shared" si="1"/>
        <v>234897.85789617</v>
      </c>
      <c r="J25" s="1029">
        <f t="shared" si="2"/>
        <v>1.0067984958148741</v>
      </c>
      <c r="K25" s="1114"/>
      <c r="L25" s="150"/>
      <c r="M25" s="1020"/>
      <c r="N25" s="1020"/>
      <c r="O25" s="1020"/>
      <c r="P25" s="1020"/>
      <c r="Q25" s="1021"/>
      <c r="R25" s="1017"/>
      <c r="S25" s="1017"/>
      <c r="T25" s="1351"/>
      <c r="U25" s="1017"/>
      <c r="V25" s="1017"/>
      <c r="W25" s="1017"/>
      <c r="X25" s="1017"/>
      <c r="Y25" s="1017"/>
      <c r="Z25" s="1017"/>
      <c r="AA25" s="1017"/>
      <c r="AB25" s="1017"/>
      <c r="AC25" s="1017"/>
      <c r="AD25" s="1017"/>
      <c r="AE25" s="1017"/>
      <c r="AF25" s="1017"/>
    </row>
    <row r="26" spans="1:32" ht="16.5">
      <c r="A26" s="1022"/>
      <c r="B26" s="1771"/>
      <c r="C26" s="1023">
        <v>43494</v>
      </c>
      <c r="D26" s="1024">
        <v>43858</v>
      </c>
      <c r="E26" s="1514"/>
      <c r="F26" s="1030">
        <v>213344.51271416</v>
      </c>
      <c r="G26" s="108">
        <v>222824.80000000002</v>
      </c>
      <c r="H26" s="1026">
        <f t="shared" si="0"/>
        <v>72418.060000000012</v>
      </c>
      <c r="I26" s="1027">
        <f t="shared" si="1"/>
        <v>213344.51271416</v>
      </c>
      <c r="J26" s="1029">
        <f t="shared" si="2"/>
        <v>1.0444365180300734</v>
      </c>
      <c r="K26" s="1114"/>
      <c r="L26" s="150"/>
      <c r="M26" s="1020"/>
      <c r="N26" s="1020"/>
      <c r="O26" s="1020"/>
      <c r="P26" s="1020"/>
      <c r="Q26" s="1021"/>
      <c r="R26" s="1017"/>
      <c r="S26" s="1017"/>
      <c r="T26" s="1351"/>
      <c r="U26" s="1017"/>
      <c r="V26" s="1017"/>
      <c r="W26" s="1017"/>
      <c r="X26" s="1017"/>
      <c r="Y26" s="1017"/>
      <c r="Z26" s="1017"/>
      <c r="AA26" s="1017"/>
      <c r="AB26" s="1017"/>
      <c r="AC26" s="1017"/>
      <c r="AD26" s="1017"/>
      <c r="AE26" s="1017"/>
      <c r="AF26" s="1017"/>
    </row>
    <row r="27" spans="1:32" ht="16.5">
      <c r="A27" s="1022"/>
      <c r="B27" s="1771"/>
      <c r="C27" s="1023">
        <v>43495</v>
      </c>
      <c r="D27" s="1024">
        <v>43859</v>
      </c>
      <c r="E27" s="1514"/>
      <c r="F27" s="1025">
        <v>223839.10569338</v>
      </c>
      <c r="G27" s="108">
        <v>231515.60000000009</v>
      </c>
      <c r="H27" s="1026">
        <f t="shared" si="0"/>
        <v>75242.570000000036</v>
      </c>
      <c r="I27" s="1027">
        <f t="shared" si="1"/>
        <v>223839.10569338</v>
      </c>
      <c r="J27" s="1029">
        <f t="shared" si="2"/>
        <v>1.0342946970005122</v>
      </c>
      <c r="K27" s="1114"/>
      <c r="L27" s="150"/>
      <c r="M27" s="1020"/>
      <c r="N27" s="1020"/>
      <c r="O27" s="1020"/>
      <c r="P27" s="1020"/>
      <c r="Q27" s="1021"/>
      <c r="R27" s="1017"/>
      <c r="S27" s="1017"/>
      <c r="T27" s="1351"/>
      <c r="U27" s="1017"/>
      <c r="V27" s="1017"/>
      <c r="W27" s="1017"/>
      <c r="X27" s="1017"/>
      <c r="Y27" s="1017"/>
      <c r="Z27" s="1017"/>
      <c r="AA27" s="1017"/>
      <c r="AB27" s="1017"/>
      <c r="AC27" s="1017"/>
      <c r="AD27" s="1017"/>
      <c r="AE27" s="1017"/>
      <c r="AF27" s="1017"/>
    </row>
    <row r="28" spans="1:32" ht="16.5">
      <c r="A28" s="1022"/>
      <c r="B28" s="1771"/>
      <c r="C28" s="1023">
        <v>43496</v>
      </c>
      <c r="D28" s="1024">
        <v>43860</v>
      </c>
      <c r="E28" s="1514"/>
      <c r="F28" s="1030">
        <v>288176.87731257</v>
      </c>
      <c r="G28" s="108">
        <v>244865.99999999997</v>
      </c>
      <c r="H28" s="1026">
        <f t="shared" si="0"/>
        <v>79581.45</v>
      </c>
      <c r="I28" s="1027">
        <f t="shared" si="1"/>
        <v>288176.87731257</v>
      </c>
      <c r="J28" s="1029">
        <f t="shared" si="2"/>
        <v>0.84970731268771071</v>
      </c>
      <c r="K28" s="1114"/>
      <c r="L28" s="150"/>
      <c r="M28" s="1020"/>
      <c r="N28" s="1020"/>
      <c r="O28" s="1020"/>
      <c r="P28" s="1020"/>
      <c r="Q28" s="1021"/>
      <c r="R28" s="1017"/>
      <c r="S28" s="1017"/>
      <c r="T28" s="1351"/>
      <c r="U28" s="1017"/>
      <c r="V28" s="1017"/>
      <c r="W28" s="1017"/>
      <c r="X28" s="1017"/>
      <c r="Y28" s="1017"/>
      <c r="Z28" s="1017"/>
      <c r="AA28" s="1017"/>
      <c r="AB28" s="1017"/>
      <c r="AC28" s="1017"/>
      <c r="AD28" s="1017"/>
      <c r="AE28" s="1017"/>
      <c r="AF28" s="1017"/>
    </row>
    <row r="29" spans="1:32" ht="16.5">
      <c r="A29" s="1022"/>
      <c r="B29" s="1771"/>
      <c r="C29" s="1023">
        <v>43497</v>
      </c>
      <c r="D29" s="1024">
        <v>43861</v>
      </c>
      <c r="E29" s="1514"/>
      <c r="F29" s="1025">
        <v>334550.32915475999</v>
      </c>
      <c r="G29">
        <v>388914.4</v>
      </c>
      <c r="H29" s="1026">
        <f t="shared" si="0"/>
        <v>126397.18000000001</v>
      </c>
      <c r="I29" s="1027">
        <f t="shared" si="1"/>
        <v>334550.32915475999</v>
      </c>
      <c r="J29" s="1029">
        <f t="shared" si="2"/>
        <v>1.1624989309757687</v>
      </c>
      <c r="K29" s="1114"/>
      <c r="L29" s="150"/>
      <c r="M29" s="1020"/>
      <c r="N29" s="1020"/>
      <c r="O29" s="1020"/>
      <c r="P29" s="1020"/>
      <c r="Q29" s="1021"/>
      <c r="R29" s="1017"/>
      <c r="S29" s="1017"/>
      <c r="T29" s="1351"/>
      <c r="U29" s="1017"/>
      <c r="V29" s="1017"/>
      <c r="W29" s="1017"/>
      <c r="X29" s="1017"/>
      <c r="Y29" s="1017"/>
      <c r="Z29" s="1017"/>
      <c r="AA29" s="1017"/>
      <c r="AB29" s="1017"/>
      <c r="AC29" s="1017"/>
      <c r="AD29" s="1017"/>
      <c r="AE29" s="1017"/>
      <c r="AF29" s="1017"/>
    </row>
    <row r="30" spans="1:32" ht="16.5">
      <c r="A30" s="1022"/>
      <c r="B30" s="1772"/>
      <c r="C30" s="1023">
        <v>43498</v>
      </c>
      <c r="D30" s="1024">
        <v>43862</v>
      </c>
      <c r="E30" s="1514"/>
      <c r="F30" s="1030">
        <v>516328.5934062</v>
      </c>
      <c r="G30">
        <v>589783.33000000007</v>
      </c>
      <c r="H30" s="1026">
        <f t="shared" si="0"/>
        <v>191679.58225000004</v>
      </c>
      <c r="I30" s="1027">
        <f t="shared" si="1"/>
        <v>516328.5934062</v>
      </c>
      <c r="J30" s="1029">
        <f t="shared" si="2"/>
        <v>1.1422635459896227</v>
      </c>
      <c r="K30" s="1114"/>
      <c r="L30" s="150"/>
      <c r="M30" s="1020"/>
      <c r="N30" s="1020"/>
      <c r="O30" s="1020"/>
      <c r="P30" s="1020"/>
      <c r="Q30" s="1021"/>
      <c r="R30" s="1017"/>
      <c r="S30" s="1017"/>
      <c r="T30" s="1351"/>
      <c r="U30" s="1017"/>
      <c r="V30" s="1017"/>
      <c r="W30" s="1017"/>
      <c r="X30" s="1017"/>
      <c r="Y30" s="1017"/>
      <c r="Z30" s="1017"/>
      <c r="AA30" s="1017"/>
      <c r="AB30" s="1017"/>
      <c r="AC30" s="1017"/>
      <c r="AD30" s="1017"/>
      <c r="AE30" s="1017"/>
      <c r="AF30" s="1017"/>
    </row>
    <row r="31" spans="1:32" ht="16.5">
      <c r="A31" s="1022"/>
      <c r="B31" s="1770" t="s">
        <v>329</v>
      </c>
      <c r="C31" s="1023">
        <v>43499</v>
      </c>
      <c r="D31" s="1024">
        <v>43863</v>
      </c>
      <c r="E31" s="1514"/>
      <c r="F31" s="1025">
        <v>308556.51229916001</v>
      </c>
      <c r="G31" s="1031">
        <v>316464.39</v>
      </c>
      <c r="H31" s="1026">
        <f t="shared" si="0"/>
        <v>102850.92675000001</v>
      </c>
      <c r="I31" s="1027">
        <f t="shared" si="1"/>
        <v>308556.51229916001</v>
      </c>
      <c r="J31" s="1029">
        <f t="shared" si="2"/>
        <v>1.0256286203195508</v>
      </c>
      <c r="K31" s="1114"/>
      <c r="L31" s="150"/>
      <c r="M31" s="1020"/>
      <c r="N31" s="1020"/>
      <c r="O31" s="1020"/>
      <c r="P31" s="1020"/>
      <c r="Q31" s="1021"/>
      <c r="R31" s="1017"/>
      <c r="S31" s="1017"/>
      <c r="T31" s="1351"/>
      <c r="U31" s="1017"/>
      <c r="V31" s="1017"/>
      <c r="W31" s="1017"/>
      <c r="X31" s="1017"/>
      <c r="Y31" s="1017"/>
      <c r="Z31" s="1017"/>
      <c r="AA31" s="1017"/>
      <c r="AB31" s="1017"/>
      <c r="AC31" s="1017"/>
      <c r="AD31" s="1017"/>
      <c r="AE31" s="1017"/>
      <c r="AF31" s="1017"/>
    </row>
    <row r="32" spans="1:32" ht="16.5">
      <c r="A32" s="1022"/>
      <c r="B32" s="1771"/>
      <c r="C32" s="1023">
        <v>43500</v>
      </c>
      <c r="D32" s="1024">
        <v>43864</v>
      </c>
      <c r="E32" s="1514"/>
      <c r="F32" s="1030">
        <v>371259.68343594001</v>
      </c>
      <c r="G32" s="401">
        <v>383607.41</v>
      </c>
      <c r="H32" s="1026">
        <f t="shared" si="0"/>
        <v>124672.40824999999</v>
      </c>
      <c r="I32" s="1027">
        <f t="shared" si="1"/>
        <v>371259.68343594001</v>
      </c>
      <c r="J32" s="1029">
        <f t="shared" si="2"/>
        <v>1.0332590020273249</v>
      </c>
      <c r="K32" s="1114"/>
      <c r="L32" s="150"/>
      <c r="M32" s="1020"/>
      <c r="N32" s="1020"/>
      <c r="O32" s="1020"/>
      <c r="P32" s="1020"/>
      <c r="Q32" s="1021"/>
      <c r="R32" s="1017"/>
      <c r="S32" s="1017"/>
      <c r="T32" s="1351"/>
      <c r="U32" s="1017"/>
      <c r="V32" s="1017"/>
      <c r="W32" s="1017"/>
      <c r="X32" s="1017"/>
      <c r="Y32" s="1017"/>
      <c r="Z32" s="1017"/>
      <c r="AA32" s="1017"/>
      <c r="AB32" s="1017"/>
      <c r="AC32" s="1017"/>
      <c r="AD32" s="1017"/>
      <c r="AE32" s="1017"/>
      <c r="AF32" s="1017"/>
    </row>
    <row r="33" spans="1:32" ht="16.5">
      <c r="A33" s="1022"/>
      <c r="B33" s="1771"/>
      <c r="C33" s="1023">
        <v>43501</v>
      </c>
      <c r="D33" s="1024">
        <v>43865</v>
      </c>
      <c r="E33" s="1514"/>
      <c r="F33" s="1025">
        <v>220148.71500503001</v>
      </c>
      <c r="G33" s="401">
        <v>253633.04</v>
      </c>
      <c r="H33" s="1026">
        <f t="shared" si="0"/>
        <v>82430.738000000012</v>
      </c>
      <c r="I33" s="1027">
        <f t="shared" si="1"/>
        <v>220148.71500503001</v>
      </c>
      <c r="J33" s="1029">
        <f t="shared" si="2"/>
        <v>1.1520986620076568</v>
      </c>
      <c r="K33" s="1114"/>
      <c r="L33" s="150"/>
      <c r="M33" s="1020"/>
      <c r="N33" s="1020"/>
      <c r="O33" s="1020"/>
      <c r="P33" s="1020"/>
      <c r="Q33" s="1021"/>
      <c r="R33" s="1017"/>
      <c r="S33" s="1017"/>
      <c r="T33" s="1351"/>
      <c r="U33" s="1017"/>
      <c r="V33" s="1017"/>
      <c r="W33" s="1017"/>
      <c r="X33" s="1017"/>
      <c r="Y33" s="1017"/>
      <c r="Z33" s="1017"/>
      <c r="AA33" s="1017"/>
      <c r="AB33" s="1017"/>
      <c r="AC33" s="1017"/>
      <c r="AD33" s="1017"/>
      <c r="AE33" s="1017"/>
      <c r="AF33" s="1017"/>
    </row>
    <row r="34" spans="1:32" ht="16.5">
      <c r="A34" s="1022"/>
      <c r="B34" s="1771"/>
      <c r="C34" s="1023">
        <v>43502</v>
      </c>
      <c r="D34" s="1024">
        <v>43866</v>
      </c>
      <c r="E34" s="1514"/>
      <c r="F34" s="1030">
        <v>204992.08811338001</v>
      </c>
      <c r="G34" s="401">
        <v>192645.4</v>
      </c>
      <c r="H34" s="1026">
        <f t="shared" si="0"/>
        <v>62609.754999999997</v>
      </c>
      <c r="I34" s="1027">
        <f t="shared" si="1"/>
        <v>204992.08811338001</v>
      </c>
      <c r="J34" s="1029">
        <f t="shared" si="2"/>
        <v>0.93976992855182229</v>
      </c>
      <c r="K34" s="1114"/>
      <c r="L34" s="150"/>
      <c r="M34" s="1020"/>
      <c r="N34" s="1020"/>
      <c r="O34" s="1020"/>
      <c r="P34" s="1020"/>
      <c r="Q34" s="1021"/>
      <c r="R34" s="1017"/>
      <c r="S34" s="1017"/>
      <c r="T34" s="1351"/>
      <c r="U34" s="1017"/>
      <c r="V34" s="1017"/>
      <c r="W34" s="1017"/>
      <c r="X34" s="1017"/>
      <c r="Y34" s="1017"/>
      <c r="Z34" s="1017"/>
      <c r="AA34" s="1017"/>
      <c r="AB34" s="1017"/>
      <c r="AC34" s="1017"/>
      <c r="AD34" s="1017"/>
      <c r="AE34" s="1017"/>
      <c r="AF34" s="1017"/>
    </row>
    <row r="35" spans="1:32" ht="16.5">
      <c r="A35" s="1022"/>
      <c r="B35" s="1771"/>
      <c r="C35" s="1023">
        <v>43503</v>
      </c>
      <c r="D35" s="1024">
        <v>43867</v>
      </c>
      <c r="E35" s="1514"/>
      <c r="F35" s="1025">
        <v>245629.01661747001</v>
      </c>
      <c r="G35" s="401">
        <v>255965.35</v>
      </c>
      <c r="H35" s="1026">
        <f t="shared" si="0"/>
        <v>83188.738750000004</v>
      </c>
      <c r="I35" s="1027">
        <f t="shared" si="1"/>
        <v>245629.01661747001</v>
      </c>
      <c r="J35" s="1029">
        <f t="shared" si="2"/>
        <v>1.0420810762705095</v>
      </c>
      <c r="K35" s="1114"/>
      <c r="L35" s="150"/>
      <c r="M35" s="1020"/>
      <c r="N35" s="1020"/>
      <c r="O35" s="1020"/>
      <c r="P35" s="1020"/>
      <c r="Q35" s="1021"/>
      <c r="R35" s="1017"/>
      <c r="S35" s="1017"/>
      <c r="T35" s="1351"/>
      <c r="U35" s="1017"/>
      <c r="V35" s="1017"/>
      <c r="W35" s="1017"/>
      <c r="X35" s="1017"/>
      <c r="Y35" s="1017"/>
      <c r="Z35" s="1017"/>
      <c r="AA35" s="1017"/>
      <c r="AB35" s="1017"/>
      <c r="AC35" s="1017"/>
      <c r="AD35" s="1017"/>
      <c r="AE35" s="1017"/>
      <c r="AF35" s="1017"/>
    </row>
    <row r="36" spans="1:32" ht="16.5">
      <c r="A36" s="1022"/>
      <c r="B36" s="1771"/>
      <c r="C36" s="1023">
        <v>43504</v>
      </c>
      <c r="D36" s="1024">
        <v>43868</v>
      </c>
      <c r="E36" s="1514"/>
      <c r="F36" s="1030">
        <v>300502.13900775998</v>
      </c>
      <c r="G36" s="401">
        <v>336859.1</v>
      </c>
      <c r="H36" s="1026">
        <f t="shared" si="0"/>
        <v>109479.20749999999</v>
      </c>
      <c r="I36" s="1027">
        <f t="shared" si="1"/>
        <v>300502.13900775998</v>
      </c>
      <c r="J36" s="1029">
        <f t="shared" si="2"/>
        <v>1.1209873617282342</v>
      </c>
      <c r="K36" s="1114"/>
      <c r="L36" s="150"/>
      <c r="M36" s="1020"/>
      <c r="N36" s="1020"/>
      <c r="O36" s="1020"/>
      <c r="P36" s="1020"/>
      <c r="Q36" s="1021"/>
      <c r="R36" s="1017"/>
      <c r="S36" s="1017"/>
      <c r="T36" s="1351"/>
      <c r="U36" s="1017"/>
      <c r="V36" s="1017"/>
      <c r="W36" s="1017"/>
      <c r="X36" s="1017"/>
      <c r="Y36" s="1017"/>
      <c r="Z36" s="1017"/>
      <c r="AA36" s="1017"/>
      <c r="AB36" s="1017"/>
      <c r="AC36" s="1017"/>
      <c r="AD36" s="1017"/>
      <c r="AE36" s="1017"/>
      <c r="AF36" s="1017"/>
    </row>
    <row r="37" spans="1:32" ht="16.5">
      <c r="A37" s="1022"/>
      <c r="B37" s="1772"/>
      <c r="C37" s="1023">
        <v>43505</v>
      </c>
      <c r="D37" s="1024">
        <v>43869</v>
      </c>
      <c r="E37" s="1514"/>
      <c r="F37" s="1025">
        <v>521884.52627204999</v>
      </c>
      <c r="G37" s="401">
        <v>649595.76</v>
      </c>
      <c r="H37" s="1026">
        <f t="shared" si="0"/>
        <v>211118.622</v>
      </c>
      <c r="I37" s="1027">
        <f t="shared" si="1"/>
        <v>521884.52627204999</v>
      </c>
      <c r="J37" s="1029">
        <f t="shared" si="2"/>
        <v>1.2447116695339158</v>
      </c>
      <c r="K37" s="1114"/>
      <c r="L37" s="150"/>
      <c r="M37" s="1020"/>
      <c r="N37" s="1020"/>
      <c r="O37" s="1020"/>
      <c r="P37" s="1020"/>
      <c r="Q37" s="1021"/>
      <c r="R37" s="1017"/>
      <c r="S37" s="1017"/>
      <c r="T37" s="1351"/>
      <c r="U37" s="1017"/>
      <c r="V37" s="1017"/>
      <c r="W37" s="1017"/>
      <c r="X37" s="1017"/>
      <c r="Y37" s="1017"/>
      <c r="Z37" s="1017"/>
      <c r="AA37" s="1017"/>
      <c r="AB37" s="1017"/>
      <c r="AC37" s="1017"/>
      <c r="AD37" s="1017"/>
      <c r="AE37" s="1017"/>
      <c r="AF37" s="1017"/>
    </row>
    <row r="38" spans="1:32" ht="16.5">
      <c r="A38" s="1022"/>
      <c r="B38" s="1770" t="s">
        <v>330</v>
      </c>
      <c r="C38" s="1023">
        <v>43506</v>
      </c>
      <c r="D38" s="1024">
        <v>43870</v>
      </c>
      <c r="E38" s="1514"/>
      <c r="F38" s="1030">
        <v>286696.96217334998</v>
      </c>
      <c r="G38" s="1031">
        <v>416821.82</v>
      </c>
      <c r="H38" s="1026">
        <f t="shared" si="0"/>
        <v>135467.09150000001</v>
      </c>
      <c r="I38" s="1027">
        <f t="shared" si="1"/>
        <v>286696.96217334998</v>
      </c>
      <c r="J38" s="1029">
        <f t="shared" si="2"/>
        <v>1.4538759561322825</v>
      </c>
      <c r="K38" s="1114"/>
      <c r="L38" s="150"/>
      <c r="M38" s="1020"/>
      <c r="N38" s="1020"/>
      <c r="O38" s="1020"/>
      <c r="P38" s="1020"/>
      <c r="Q38" s="1021"/>
      <c r="R38" s="1017"/>
      <c r="S38" s="1017"/>
      <c r="T38" s="1351"/>
      <c r="U38" s="1017"/>
      <c r="V38" s="1017"/>
      <c r="W38" s="1017"/>
      <c r="X38" s="1017"/>
      <c r="Y38" s="1017"/>
      <c r="Z38" s="1017"/>
      <c r="AA38" s="1017"/>
      <c r="AB38" s="1017"/>
      <c r="AC38" s="1017"/>
      <c r="AD38" s="1017"/>
      <c r="AE38" s="1017"/>
      <c r="AF38" s="1017"/>
    </row>
    <row r="39" spans="1:32" ht="16.5">
      <c r="A39" s="1022"/>
      <c r="B39" s="1771"/>
      <c r="C39" s="1023">
        <v>43507</v>
      </c>
      <c r="D39" s="1024">
        <v>43871</v>
      </c>
      <c r="E39" s="1514"/>
      <c r="F39" s="1025">
        <v>263213.19731621002</v>
      </c>
      <c r="G39" s="1031">
        <v>303875.57</v>
      </c>
      <c r="H39" s="1026">
        <f t="shared" si="0"/>
        <v>98759.56025000001</v>
      </c>
      <c r="I39" s="1027">
        <f t="shared" si="1"/>
        <v>263213.19731621002</v>
      </c>
      <c r="J39" s="1029">
        <f t="shared" si="2"/>
        <v>1.1544845513005961</v>
      </c>
      <c r="K39" s="1114"/>
      <c r="L39" s="150"/>
      <c r="M39" s="1020"/>
      <c r="N39" s="1020"/>
      <c r="O39" s="1020"/>
      <c r="P39" s="1020"/>
      <c r="Q39" s="1021"/>
      <c r="R39" s="1017"/>
      <c r="S39" s="1017"/>
      <c r="T39" s="1351"/>
      <c r="U39" s="1017"/>
      <c r="V39" s="1017"/>
      <c r="W39" s="1017"/>
      <c r="X39" s="1017"/>
      <c r="Y39" s="1017"/>
      <c r="Z39" s="1017"/>
      <c r="AA39" s="1017"/>
      <c r="AB39" s="1017"/>
      <c r="AC39" s="1017"/>
      <c r="AD39" s="1017"/>
      <c r="AE39" s="1017"/>
      <c r="AF39" s="1017"/>
    </row>
    <row r="40" spans="1:32" ht="16.5">
      <c r="A40" s="1022"/>
      <c r="B40" s="1771"/>
      <c r="C40" s="1023">
        <v>43508</v>
      </c>
      <c r="D40" s="1024">
        <v>43872</v>
      </c>
      <c r="E40" s="1514"/>
      <c r="F40" s="1030">
        <v>311660.88550881</v>
      </c>
      <c r="G40" s="1031">
        <v>323916.98</v>
      </c>
      <c r="H40" s="1026">
        <f t="shared" si="0"/>
        <v>105273.01849999999</v>
      </c>
      <c r="I40" s="1027">
        <f t="shared" si="1"/>
        <v>311660.88550881</v>
      </c>
      <c r="J40" s="1029">
        <f t="shared" si="2"/>
        <v>1.0393250967993015</v>
      </c>
      <c r="K40" s="1114"/>
      <c r="L40" s="150"/>
      <c r="M40" s="1020"/>
      <c r="N40" s="1020"/>
      <c r="O40" s="1020"/>
      <c r="P40" s="1020"/>
      <c r="Q40" s="1021"/>
      <c r="R40" s="1017"/>
      <c r="S40" s="1017"/>
      <c r="T40" s="1351"/>
      <c r="U40" s="1017"/>
      <c r="V40" s="1017"/>
      <c r="W40" s="1017"/>
      <c r="X40" s="1017"/>
      <c r="Y40" s="1017"/>
      <c r="Z40" s="1017"/>
      <c r="AA40" s="1017"/>
      <c r="AB40" s="1017"/>
      <c r="AC40" s="1017"/>
      <c r="AD40" s="1017"/>
      <c r="AE40" s="1017"/>
      <c r="AF40" s="1017"/>
    </row>
    <row r="41" spans="1:32" ht="16.5">
      <c r="A41" s="1022"/>
      <c r="B41" s="1771"/>
      <c r="C41" s="1023">
        <v>43509</v>
      </c>
      <c r="D41" s="1024">
        <v>43873</v>
      </c>
      <c r="E41" s="1514"/>
      <c r="F41" s="1025">
        <v>561968.01656191004</v>
      </c>
      <c r="G41" s="1031">
        <v>421347.41</v>
      </c>
      <c r="H41" s="1026">
        <f t="shared" si="0"/>
        <v>136937.90825000001</v>
      </c>
      <c r="I41" s="1027">
        <f t="shared" si="1"/>
        <v>561968.01656191004</v>
      </c>
      <c r="J41" s="1029">
        <f t="shared" si="2"/>
        <v>0.74977115704516539</v>
      </c>
      <c r="K41" s="1114"/>
      <c r="L41" s="150"/>
      <c r="M41" s="1020"/>
      <c r="N41" s="1020"/>
      <c r="O41" s="1020"/>
      <c r="P41" s="1020"/>
      <c r="Q41" s="1021"/>
      <c r="R41" s="1017"/>
      <c r="S41" s="1017"/>
      <c r="T41" s="1351"/>
      <c r="U41" s="1017"/>
      <c r="V41" s="1017"/>
      <c r="W41" s="1017"/>
      <c r="X41" s="1017"/>
      <c r="Y41" s="1017"/>
      <c r="Z41" s="1017"/>
      <c r="AA41" s="1017"/>
      <c r="AB41" s="1017"/>
      <c r="AC41" s="1017"/>
      <c r="AD41" s="1017"/>
      <c r="AE41" s="1017"/>
      <c r="AF41" s="1017"/>
    </row>
    <row r="42" spans="1:32" ht="16.5">
      <c r="A42" s="1022"/>
      <c r="B42" s="1771"/>
      <c r="C42" s="1023">
        <v>43510</v>
      </c>
      <c r="D42" s="1024">
        <v>43874</v>
      </c>
      <c r="E42" s="1514"/>
      <c r="F42" s="1030">
        <v>520611.92338768003</v>
      </c>
      <c r="G42" s="1031">
        <v>802094.86</v>
      </c>
      <c r="H42" s="1026">
        <f t="shared" si="0"/>
        <v>260680.82949999999</v>
      </c>
      <c r="I42" s="1027">
        <f t="shared" si="1"/>
        <v>520611.92338768003</v>
      </c>
      <c r="J42" s="1029">
        <f t="shared" si="2"/>
        <v>1.5406770839605037</v>
      </c>
      <c r="K42" s="1114"/>
      <c r="L42" s="150"/>
      <c r="M42" s="1020"/>
      <c r="N42" s="1020"/>
      <c r="O42" s="1020"/>
      <c r="P42" s="1020"/>
      <c r="Q42" s="1021"/>
      <c r="R42" s="1017"/>
      <c r="S42" s="1017"/>
      <c r="T42" s="1351"/>
      <c r="U42" s="1017"/>
      <c r="V42" s="1017"/>
      <c r="W42" s="1017"/>
      <c r="X42" s="1017"/>
      <c r="Y42" s="1017"/>
      <c r="Z42" s="1017"/>
      <c r="AA42" s="1017"/>
      <c r="AB42" s="1017"/>
      <c r="AC42" s="1017"/>
      <c r="AD42" s="1017"/>
      <c r="AE42" s="1017"/>
      <c r="AF42" s="1017"/>
    </row>
    <row r="43" spans="1:32" ht="16.5">
      <c r="A43" s="1022"/>
      <c r="B43" s="1771"/>
      <c r="C43" s="1023">
        <v>43511</v>
      </c>
      <c r="D43" s="1024">
        <v>43875</v>
      </c>
      <c r="E43" s="1514"/>
      <c r="F43" s="1025">
        <v>368403.47034005</v>
      </c>
      <c r="G43" s="1031">
        <v>791449.78</v>
      </c>
      <c r="H43" s="1026">
        <f t="shared" si="0"/>
        <v>257221.17850000001</v>
      </c>
      <c r="I43" s="1027">
        <f t="shared" si="1"/>
        <v>368403.47034005</v>
      </c>
      <c r="J43" s="1029">
        <f t="shared" si="2"/>
        <v>2.1483233566433637</v>
      </c>
      <c r="K43" s="1114"/>
      <c r="L43" s="150"/>
      <c r="M43" s="1020"/>
      <c r="N43" s="1020"/>
      <c r="O43" s="1020"/>
      <c r="P43" s="1020"/>
      <c r="Q43" s="1021"/>
      <c r="R43" s="1017"/>
      <c r="S43" s="1017"/>
      <c r="T43" s="1351"/>
      <c r="U43" s="1017"/>
      <c r="V43" s="1017"/>
      <c r="W43" s="1017"/>
      <c r="X43" s="1017"/>
      <c r="Y43" s="1017"/>
      <c r="Z43" s="1017"/>
      <c r="AA43" s="1017"/>
      <c r="AB43" s="1017"/>
      <c r="AC43" s="1017"/>
      <c r="AD43" s="1017"/>
      <c r="AE43" s="1017"/>
      <c r="AF43" s="1017"/>
    </row>
    <row r="44" spans="1:32" ht="16.5">
      <c r="A44" s="1022"/>
      <c r="B44" s="1772"/>
      <c r="C44" s="1023">
        <v>43512</v>
      </c>
      <c r="D44" s="1024">
        <v>43876</v>
      </c>
      <c r="E44" s="1514"/>
      <c r="F44" s="1030">
        <v>570105.41960181994</v>
      </c>
      <c r="G44" s="1031">
        <v>687960.83</v>
      </c>
      <c r="H44" s="1026">
        <f t="shared" si="0"/>
        <v>223587.26975000001</v>
      </c>
      <c r="I44" s="1027">
        <f t="shared" si="1"/>
        <v>570105.41960181994</v>
      </c>
      <c r="J44" s="1029">
        <f t="shared" si="2"/>
        <v>1.2067256446719872</v>
      </c>
      <c r="K44" s="1114"/>
      <c r="L44" s="150"/>
      <c r="M44" s="1020"/>
      <c r="N44" s="1020"/>
      <c r="O44" s="1020"/>
      <c r="P44" s="1020"/>
      <c r="Q44" s="1021"/>
      <c r="R44" s="1017"/>
      <c r="S44" s="1017"/>
      <c r="T44" s="1351"/>
      <c r="U44" s="1017"/>
      <c r="V44" s="1017"/>
      <c r="W44" s="1017"/>
      <c r="X44" s="1017"/>
      <c r="Y44" s="1017"/>
      <c r="Z44" s="1017"/>
      <c r="AA44" s="1017"/>
      <c r="AB44" s="1017"/>
      <c r="AC44" s="1017"/>
      <c r="AD44" s="1017"/>
      <c r="AE44" s="1017"/>
      <c r="AF44" s="1017"/>
    </row>
    <row r="45" spans="1:32" ht="16.5">
      <c r="A45" s="1022"/>
      <c r="B45" s="1770" t="s">
        <v>331</v>
      </c>
      <c r="C45" s="1023">
        <v>43513</v>
      </c>
      <c r="D45" s="1024">
        <v>43877</v>
      </c>
      <c r="E45" s="1514"/>
      <c r="F45" s="1025">
        <v>311151.19423493999</v>
      </c>
      <c r="G45" s="1031">
        <v>441508.92</v>
      </c>
      <c r="H45" s="1026">
        <f t="shared" si="0"/>
        <v>143490.399</v>
      </c>
      <c r="I45" s="1027">
        <f t="shared" si="1"/>
        <v>311151.19423493999</v>
      </c>
      <c r="J45" s="1029">
        <f t="shared" si="2"/>
        <v>1.4189529983504778</v>
      </c>
      <c r="K45" s="1114"/>
      <c r="L45" s="150"/>
      <c r="M45" s="1020"/>
      <c r="N45" s="1020"/>
      <c r="O45" s="1020"/>
      <c r="P45" s="1020"/>
      <c r="Q45" s="1021"/>
      <c r="R45" s="1017"/>
      <c r="S45" s="1017"/>
      <c r="T45" s="1351"/>
      <c r="U45" s="1017"/>
      <c r="V45" s="1017"/>
      <c r="W45" s="1017"/>
      <c r="X45" s="1017"/>
      <c r="Y45" s="1017"/>
      <c r="Z45" s="1017"/>
      <c r="AA45" s="1017"/>
      <c r="AB45" s="1017"/>
      <c r="AC45" s="1017"/>
      <c r="AD45" s="1017"/>
      <c r="AE45" s="1017"/>
      <c r="AF45" s="1017"/>
    </row>
    <row r="46" spans="1:32" ht="16.5">
      <c r="A46" s="1022"/>
      <c r="B46" s="1771"/>
      <c r="C46" s="1023">
        <v>43514</v>
      </c>
      <c r="D46" s="1024">
        <v>43878</v>
      </c>
      <c r="E46" s="1514"/>
      <c r="F46" s="1030">
        <v>244143.51011880001</v>
      </c>
      <c r="G46" s="1031">
        <v>298238.95</v>
      </c>
      <c r="H46" s="1026">
        <f t="shared" si="0"/>
        <v>96927.658750000002</v>
      </c>
      <c r="I46" s="1027">
        <f t="shared" si="1"/>
        <v>244143.51011880001</v>
      </c>
      <c r="J46" s="1029">
        <f t="shared" si="2"/>
        <v>1.2215723033345314</v>
      </c>
      <c r="K46" s="1114"/>
      <c r="L46" s="150"/>
      <c r="M46" s="1020"/>
      <c r="N46" s="1020"/>
      <c r="O46" s="1020"/>
      <c r="P46" s="1020"/>
      <c r="Q46" s="1021"/>
      <c r="R46" s="1017"/>
      <c r="S46" s="1017"/>
      <c r="T46" s="1351"/>
      <c r="U46" s="1017"/>
      <c r="V46" s="1017"/>
      <c r="W46" s="1017"/>
      <c r="X46" s="1017"/>
      <c r="Y46" s="1017"/>
      <c r="Z46" s="1017"/>
      <c r="AA46" s="1017"/>
      <c r="AB46" s="1017"/>
      <c r="AC46" s="1017"/>
      <c r="AD46" s="1017"/>
      <c r="AE46" s="1017"/>
      <c r="AF46" s="1017"/>
    </row>
    <row r="47" spans="1:32" ht="16.5">
      <c r="A47" s="1022"/>
      <c r="B47" s="1771"/>
      <c r="C47" s="1023">
        <v>43515</v>
      </c>
      <c r="D47" s="1024">
        <v>43879</v>
      </c>
      <c r="E47" s="1514"/>
      <c r="F47" s="1025">
        <v>199306.71925848001</v>
      </c>
      <c r="G47" s="1031">
        <v>227432.2</v>
      </c>
      <c r="H47" s="1026">
        <f t="shared" si="0"/>
        <v>73915.465000000011</v>
      </c>
      <c r="I47" s="1027">
        <f t="shared" si="1"/>
        <v>199306.71925848001</v>
      </c>
      <c r="J47" s="1029">
        <f t="shared" si="2"/>
        <v>1.1411165707115183</v>
      </c>
      <c r="K47" s="1114"/>
      <c r="L47" s="150"/>
      <c r="M47" s="1020"/>
      <c r="N47" s="1020"/>
      <c r="O47" s="1020"/>
      <c r="P47" s="1020"/>
      <c r="Q47" s="1021"/>
      <c r="R47" s="1017"/>
      <c r="S47" s="1017"/>
      <c r="T47" s="1351"/>
      <c r="U47" s="1017"/>
      <c r="V47" s="1017"/>
      <c r="W47" s="1017"/>
      <c r="X47" s="1017"/>
      <c r="Y47" s="1017"/>
      <c r="Z47" s="1017"/>
      <c r="AA47" s="1017"/>
      <c r="AB47" s="1017"/>
      <c r="AC47" s="1017"/>
      <c r="AD47" s="1017"/>
      <c r="AE47" s="1017"/>
      <c r="AF47" s="1017"/>
    </row>
    <row r="48" spans="1:32" ht="16.5">
      <c r="A48" s="1022"/>
      <c r="B48" s="1771"/>
      <c r="C48" s="1023">
        <v>43516</v>
      </c>
      <c r="D48" s="1024">
        <v>43880</v>
      </c>
      <c r="E48" s="1514"/>
      <c r="F48" s="1030">
        <v>218153.75349511</v>
      </c>
      <c r="G48" s="1031">
        <v>249406.32</v>
      </c>
      <c r="H48" s="1026">
        <f t="shared" si="0"/>
        <v>81057.054000000004</v>
      </c>
      <c r="I48" s="1027">
        <f t="shared" si="1"/>
        <v>218153.75349511</v>
      </c>
      <c r="J48" s="1029">
        <f t="shared" si="2"/>
        <v>1.1432593572385659</v>
      </c>
      <c r="K48" s="1114"/>
      <c r="L48" s="150"/>
      <c r="M48" s="1020"/>
      <c r="N48" s="1020"/>
      <c r="O48" s="1020"/>
      <c r="P48" s="1020"/>
      <c r="Q48" s="1021"/>
      <c r="R48" s="1017"/>
      <c r="S48" s="1017"/>
      <c r="T48" s="1351"/>
      <c r="U48" s="1017"/>
      <c r="V48" s="1017"/>
      <c r="W48" s="1017"/>
      <c r="X48" s="1017"/>
      <c r="Y48" s="1017"/>
      <c r="Z48" s="1017"/>
      <c r="AA48" s="1017"/>
      <c r="AB48" s="1017"/>
      <c r="AC48" s="1017"/>
      <c r="AD48" s="1017"/>
      <c r="AE48" s="1017"/>
      <c r="AF48" s="1017"/>
    </row>
    <row r="49" spans="1:32" ht="16.5">
      <c r="A49" s="1022"/>
      <c r="B49" s="1771"/>
      <c r="C49" s="1023">
        <v>43517</v>
      </c>
      <c r="D49" s="1024">
        <v>43881</v>
      </c>
      <c r="E49" s="1514"/>
      <c r="F49" s="1025">
        <v>241491.54410550001</v>
      </c>
      <c r="G49" s="1031">
        <v>255511.15</v>
      </c>
      <c r="H49" s="1026">
        <f t="shared" si="0"/>
        <v>83041.123749999999</v>
      </c>
      <c r="I49" s="1027">
        <f t="shared" si="1"/>
        <v>241491.54410550001</v>
      </c>
      <c r="J49" s="1029">
        <f t="shared" si="2"/>
        <v>1.0580542310350016</v>
      </c>
      <c r="K49" s="1114"/>
      <c r="L49" s="150"/>
      <c r="M49" s="1020"/>
      <c r="N49" s="1020"/>
      <c r="O49" s="1020"/>
      <c r="P49" s="1020"/>
      <c r="Q49" s="1021"/>
      <c r="R49" s="1017"/>
      <c r="S49" s="1017"/>
      <c r="T49" s="1351"/>
      <c r="U49" s="1017"/>
      <c r="V49" s="1017"/>
      <c r="W49" s="1017"/>
      <c r="X49" s="1017"/>
      <c r="Y49" s="1017"/>
      <c r="Z49" s="1017"/>
      <c r="AA49" s="1017"/>
      <c r="AB49" s="1017"/>
      <c r="AC49" s="1017"/>
      <c r="AD49" s="1017"/>
      <c r="AE49" s="1017"/>
      <c r="AF49" s="1017"/>
    </row>
    <row r="50" spans="1:32" ht="16.5">
      <c r="A50" s="1022"/>
      <c r="B50" s="1771"/>
      <c r="C50" s="1023">
        <v>43518</v>
      </c>
      <c r="D50" s="1024">
        <v>43882</v>
      </c>
      <c r="E50" s="1514"/>
      <c r="F50" s="1030">
        <v>299218.54411820002</v>
      </c>
      <c r="G50" s="1031">
        <v>340270.74</v>
      </c>
      <c r="H50" s="1026">
        <f t="shared" si="0"/>
        <v>110587.9905</v>
      </c>
      <c r="I50" s="1027">
        <f t="shared" si="1"/>
        <v>299218.54411820002</v>
      </c>
      <c r="J50" s="1029">
        <f t="shared" si="2"/>
        <v>1.1371980336405325</v>
      </c>
      <c r="K50" s="1114"/>
      <c r="L50" s="150"/>
      <c r="M50" s="1020"/>
      <c r="N50" s="1020"/>
      <c r="O50" s="1020"/>
      <c r="P50" s="1020"/>
      <c r="Q50" s="1021"/>
      <c r="R50" s="1017"/>
      <c r="S50" s="1017"/>
      <c r="T50" s="1351"/>
      <c r="U50" s="1017"/>
      <c r="V50" s="1017"/>
      <c r="W50" s="1017"/>
      <c r="X50" s="1017"/>
      <c r="Y50" s="1017"/>
      <c r="Z50" s="1017"/>
      <c r="AA50" s="1017"/>
      <c r="AB50" s="1017"/>
      <c r="AC50" s="1017"/>
      <c r="AD50" s="1017"/>
      <c r="AE50" s="1017"/>
      <c r="AF50" s="1017"/>
    </row>
    <row r="51" spans="1:32" ht="16.5">
      <c r="A51" s="1022"/>
      <c r="B51" s="1772"/>
      <c r="C51" s="1023">
        <v>43519</v>
      </c>
      <c r="D51" s="1024">
        <v>43883</v>
      </c>
      <c r="E51" s="1514"/>
      <c r="F51" s="1025">
        <v>513760.87198674999</v>
      </c>
      <c r="G51" s="1031">
        <v>530020.62</v>
      </c>
      <c r="H51" s="1026">
        <f t="shared" si="0"/>
        <v>172256.7015</v>
      </c>
      <c r="I51" s="1027">
        <f t="shared" si="1"/>
        <v>513760.87198674999</v>
      </c>
      <c r="J51" s="1029">
        <f t="shared" si="2"/>
        <v>1.0316484748057446</v>
      </c>
      <c r="K51" s="1114"/>
      <c r="L51" s="150"/>
      <c r="M51" s="1020"/>
      <c r="N51" s="1020"/>
      <c r="O51" s="1020"/>
      <c r="P51" s="1020"/>
      <c r="Q51" s="1021"/>
      <c r="R51" s="1017"/>
      <c r="S51" s="1017"/>
      <c r="T51" s="1351"/>
      <c r="U51" s="1017"/>
      <c r="V51" s="1017"/>
      <c r="W51" s="1017"/>
      <c r="X51" s="1017"/>
      <c r="Y51" s="1017"/>
      <c r="Z51" s="1017"/>
      <c r="AA51" s="1017"/>
      <c r="AB51" s="1017"/>
      <c r="AC51" s="1017"/>
      <c r="AD51" s="1017"/>
      <c r="AE51" s="1017"/>
      <c r="AF51" s="1017"/>
    </row>
    <row r="52" spans="1:32" ht="16.5">
      <c r="A52" s="1022"/>
      <c r="B52" s="1770" t="s">
        <v>332</v>
      </c>
      <c r="C52" s="1023">
        <v>43520</v>
      </c>
      <c r="D52" s="1024">
        <v>43884</v>
      </c>
      <c r="E52" s="1514"/>
      <c r="F52" s="1030">
        <v>301037.10832672002</v>
      </c>
      <c r="G52" s="1031">
        <v>329363.95</v>
      </c>
      <c r="H52" s="1026">
        <f t="shared" si="0"/>
        <v>107043.28375</v>
      </c>
      <c r="I52" s="1027">
        <f t="shared" si="1"/>
        <v>301037.10832672002</v>
      </c>
      <c r="J52" s="1029">
        <f t="shared" si="2"/>
        <v>1.0940975078811097</v>
      </c>
      <c r="K52" s="1114"/>
      <c r="L52" s="150"/>
      <c r="M52" s="1020"/>
      <c r="N52" s="1020"/>
      <c r="O52" s="1020"/>
      <c r="P52" s="1020"/>
      <c r="Q52" s="1021"/>
      <c r="R52" s="1017"/>
      <c r="S52" s="1017"/>
      <c r="T52" s="1351"/>
      <c r="U52" s="1017"/>
      <c r="V52" s="1017"/>
      <c r="W52" s="1017"/>
      <c r="X52" s="1017"/>
      <c r="Y52" s="1017"/>
      <c r="Z52" s="1017"/>
      <c r="AA52" s="1017"/>
      <c r="AB52" s="1017"/>
      <c r="AC52" s="1017"/>
      <c r="AD52" s="1017"/>
      <c r="AE52" s="1017"/>
      <c r="AF52" s="1017"/>
    </row>
    <row r="53" spans="1:32" ht="16.5">
      <c r="A53" s="1022"/>
      <c r="B53" s="1771"/>
      <c r="C53" s="1023">
        <v>43521</v>
      </c>
      <c r="D53" s="1024">
        <v>43885</v>
      </c>
      <c r="E53" s="1514"/>
      <c r="F53" s="1025">
        <v>263032.64878915</v>
      </c>
      <c r="G53" s="1031">
        <v>238345.98</v>
      </c>
      <c r="H53" s="1026">
        <f t="shared" si="0"/>
        <v>77462.443500000008</v>
      </c>
      <c r="I53" s="1027">
        <f t="shared" si="1"/>
        <v>263032.64878915</v>
      </c>
      <c r="J53" s="1029">
        <f t="shared" si="2"/>
        <v>0.90614599023051656</v>
      </c>
      <c r="K53" s="1114"/>
      <c r="L53" s="150"/>
      <c r="M53" s="1020"/>
      <c r="N53" s="1020"/>
      <c r="O53" s="1020"/>
      <c r="P53" s="1020"/>
      <c r="Q53" s="1021"/>
      <c r="R53" s="1017"/>
      <c r="S53" s="1017"/>
      <c r="T53" s="1351"/>
      <c r="U53" s="1017"/>
      <c r="V53" s="1017"/>
      <c r="W53" s="1017"/>
      <c r="X53" s="1017"/>
      <c r="Y53" s="1017"/>
      <c r="Z53" s="1017"/>
      <c r="AA53" s="1017"/>
      <c r="AB53" s="1017"/>
      <c r="AC53" s="1017"/>
      <c r="AD53" s="1017"/>
      <c r="AE53" s="1017"/>
      <c r="AF53" s="1017"/>
    </row>
    <row r="54" spans="1:32" ht="16.5">
      <c r="A54" s="1022"/>
      <c r="B54" s="1771"/>
      <c r="C54" s="1023">
        <v>43522</v>
      </c>
      <c r="D54" s="1024">
        <v>43886</v>
      </c>
      <c r="E54" s="1514"/>
      <c r="F54" s="1030">
        <v>228258.32770788</v>
      </c>
      <c r="G54" s="401">
        <v>226762.89</v>
      </c>
      <c r="H54" s="1026">
        <f t="shared" si="0"/>
        <v>73697.93925000001</v>
      </c>
      <c r="I54" s="1027">
        <f t="shared" si="1"/>
        <v>228258.32770788</v>
      </c>
      <c r="J54" s="1029">
        <f t="shared" si="2"/>
        <v>0.99344848565703237</v>
      </c>
      <c r="K54" s="1114"/>
      <c r="L54" s="150"/>
      <c r="M54" s="1020"/>
      <c r="N54" s="1020"/>
      <c r="O54" s="1020"/>
      <c r="P54" s="1020"/>
      <c r="Q54" s="1021"/>
      <c r="R54" s="1017"/>
      <c r="S54" s="1017"/>
      <c r="T54" s="1351"/>
      <c r="U54" s="1017"/>
      <c r="V54" s="1017"/>
      <c r="W54" s="1017"/>
      <c r="X54" s="1017"/>
      <c r="Y54" s="1017"/>
      <c r="Z54" s="1017"/>
      <c r="AA54" s="1017"/>
      <c r="AB54" s="1017"/>
      <c r="AC54" s="1017"/>
      <c r="AD54" s="1017"/>
      <c r="AE54" s="1017"/>
      <c r="AF54" s="1017"/>
    </row>
    <row r="55" spans="1:32" ht="16.5">
      <c r="A55" s="1022"/>
      <c r="B55" s="1771"/>
      <c r="C55" s="1023">
        <v>43523</v>
      </c>
      <c r="D55" s="1024">
        <v>43887</v>
      </c>
      <c r="E55" s="1514"/>
      <c r="F55" s="1025">
        <v>231941.76142307001</v>
      </c>
      <c r="G55" s="401">
        <v>205801.33</v>
      </c>
      <c r="H55" s="1026">
        <f t="shared" si="0"/>
        <v>66885.432249999998</v>
      </c>
      <c r="I55" s="1027">
        <f t="shared" si="1"/>
        <v>231941.76142307001</v>
      </c>
      <c r="J55" s="1029">
        <f t="shared" si="2"/>
        <v>0.88729743508591818</v>
      </c>
      <c r="K55" s="1114"/>
      <c r="L55" s="150"/>
      <c r="M55" s="1020"/>
      <c r="N55" s="1020"/>
      <c r="O55" s="1020"/>
      <c r="P55" s="1020"/>
      <c r="Q55" s="1021"/>
      <c r="R55" s="1017"/>
      <c r="S55" s="1017"/>
      <c r="T55" s="1351"/>
      <c r="U55" s="1017"/>
      <c r="V55" s="1017"/>
      <c r="W55" s="1017"/>
      <c r="X55" s="1017"/>
      <c r="Y55" s="1017"/>
      <c r="Z55" s="1017"/>
      <c r="AA55" s="1017"/>
      <c r="AB55" s="1017"/>
      <c r="AC55" s="1017"/>
      <c r="AD55" s="1017"/>
      <c r="AE55" s="1017"/>
      <c r="AF55" s="1017"/>
    </row>
    <row r="56" spans="1:32" ht="16.5">
      <c r="A56" s="1022"/>
      <c r="B56" s="1771"/>
      <c r="C56" s="1023">
        <v>43524</v>
      </c>
      <c r="D56" s="1024">
        <v>43888</v>
      </c>
      <c r="E56" s="1514"/>
      <c r="F56" s="1030">
        <v>298988.94872400002</v>
      </c>
      <c r="G56" s="401">
        <v>258784.01</v>
      </c>
      <c r="H56" s="1026">
        <f t="shared" si="0"/>
        <v>84104.803250000012</v>
      </c>
      <c r="I56" s="1027">
        <f t="shared" si="1"/>
        <v>298988.94872400002</v>
      </c>
      <c r="J56" s="1029">
        <f t="shared" si="2"/>
        <v>0.86553035188898031</v>
      </c>
      <c r="K56" s="1114"/>
      <c r="L56" s="150"/>
      <c r="M56" s="1020"/>
      <c r="N56" s="1020"/>
      <c r="O56" s="1020"/>
      <c r="P56" s="1020"/>
      <c r="Q56" s="1021"/>
      <c r="R56" s="1017"/>
      <c r="S56" s="1017"/>
      <c r="T56" s="1351"/>
      <c r="U56" s="1017"/>
      <c r="V56" s="1017"/>
      <c r="W56" s="1017"/>
      <c r="X56" s="1017"/>
      <c r="Y56" s="1017"/>
      <c r="Z56" s="1017"/>
      <c r="AA56" s="1017"/>
      <c r="AB56" s="1017"/>
      <c r="AC56" s="1017"/>
      <c r="AD56" s="1017"/>
      <c r="AE56" s="1017"/>
      <c r="AF56" s="1017"/>
    </row>
    <row r="57" spans="1:32" ht="16.5">
      <c r="A57" s="1022"/>
      <c r="B57" s="1771"/>
      <c r="C57" s="1023">
        <v>43525</v>
      </c>
      <c r="D57" s="1024">
        <v>43889</v>
      </c>
      <c r="E57" s="1514"/>
      <c r="F57" s="1025">
        <v>396930.66342126997</v>
      </c>
      <c r="G57" s="401">
        <v>393433.38</v>
      </c>
      <c r="H57" s="1026">
        <f t="shared" si="0"/>
        <v>127865.84850000001</v>
      </c>
      <c r="I57" s="1027">
        <f t="shared" si="1"/>
        <v>396930.66342126997</v>
      </c>
      <c r="J57" s="1029">
        <f t="shared" si="2"/>
        <v>0.99118918303986447</v>
      </c>
      <c r="K57" s="1114"/>
      <c r="L57" s="150"/>
      <c r="M57" s="1020"/>
      <c r="N57" s="1020"/>
      <c r="O57" s="1020"/>
      <c r="P57" s="1020"/>
      <c r="Q57" s="1021"/>
      <c r="R57" s="1017"/>
      <c r="S57" s="1017"/>
      <c r="T57" s="1351"/>
      <c r="U57" s="1017"/>
      <c r="V57" s="1017"/>
      <c r="W57" s="1017"/>
      <c r="X57" s="1017"/>
      <c r="Y57" s="1017"/>
      <c r="Z57" s="1017"/>
      <c r="AA57" s="1017"/>
      <c r="AB57" s="1017"/>
      <c r="AC57" s="1017"/>
      <c r="AD57" s="1017"/>
      <c r="AE57" s="1017"/>
      <c r="AF57" s="1017"/>
    </row>
    <row r="58" spans="1:32" ht="16.5">
      <c r="A58" s="1022"/>
      <c r="B58" s="1772"/>
      <c r="C58" s="1023">
        <v>43526</v>
      </c>
      <c r="D58" s="1024">
        <v>43890</v>
      </c>
      <c r="E58" s="1514"/>
      <c r="F58" s="1030">
        <v>606494.73546684999</v>
      </c>
      <c r="G58" s="401">
        <v>623612.57999999996</v>
      </c>
      <c r="H58" s="1026">
        <f t="shared" si="0"/>
        <v>202674.08849999998</v>
      </c>
      <c r="I58" s="1027">
        <f t="shared" si="1"/>
        <v>606494.73546684999</v>
      </c>
      <c r="J58" s="1029">
        <f t="shared" si="2"/>
        <v>1.0282242260849528</v>
      </c>
      <c r="K58" s="1114"/>
      <c r="L58" s="150"/>
      <c r="M58" s="1020"/>
      <c r="N58" s="1020"/>
      <c r="O58" s="1020"/>
      <c r="P58" s="1020"/>
      <c r="Q58" s="1021"/>
      <c r="R58" s="1017"/>
      <c r="S58" s="1017"/>
      <c r="T58" s="1351"/>
      <c r="U58" s="1017"/>
      <c r="V58" s="1017"/>
      <c r="W58" s="1017"/>
      <c r="X58" s="1017"/>
      <c r="Y58" s="1017"/>
      <c r="Z58" s="1017"/>
      <c r="AA58" s="1017"/>
      <c r="AB58" s="1017"/>
      <c r="AC58" s="1017"/>
      <c r="AD58" s="1017"/>
      <c r="AE58" s="1017"/>
      <c r="AF58" s="1017"/>
    </row>
    <row r="59" spans="1:32" ht="16.5">
      <c r="A59" s="1022"/>
      <c r="B59" s="1770" t="s">
        <v>333</v>
      </c>
      <c r="C59" s="1023">
        <v>43527</v>
      </c>
      <c r="D59" s="1024">
        <v>43891</v>
      </c>
      <c r="E59" s="1514"/>
      <c r="F59" s="1025">
        <v>336608.37650613999</v>
      </c>
      <c r="G59" s="1031">
        <v>364922.54</v>
      </c>
      <c r="H59" s="1026">
        <f t="shared" si="0"/>
        <v>118599.82549999999</v>
      </c>
      <c r="I59" s="1027">
        <f t="shared" si="1"/>
        <v>336608.37650613999</v>
      </c>
      <c r="J59" s="1029">
        <f t="shared" si="2"/>
        <v>1.0841160394989264</v>
      </c>
      <c r="K59" s="1114"/>
      <c r="L59" s="150"/>
      <c r="M59" s="1020"/>
      <c r="N59" s="1020"/>
      <c r="O59" s="1020"/>
      <c r="P59" s="1020"/>
      <c r="Q59" s="1021"/>
      <c r="R59" s="1017"/>
      <c r="S59" s="1017"/>
      <c r="T59" s="1351"/>
      <c r="U59" s="1017"/>
      <c r="V59" s="1017"/>
      <c r="W59" s="1017"/>
      <c r="X59" s="1017"/>
      <c r="Y59" s="1017"/>
      <c r="Z59" s="1017"/>
      <c r="AA59" s="1017"/>
      <c r="AB59" s="1017"/>
      <c r="AC59" s="1017"/>
      <c r="AD59" s="1017"/>
      <c r="AE59" s="1017"/>
      <c r="AF59" s="1017"/>
    </row>
    <row r="60" spans="1:32" ht="16.5">
      <c r="A60" s="1022"/>
      <c r="B60" s="1771"/>
      <c r="C60" s="1023">
        <v>43528</v>
      </c>
      <c r="D60" s="1024">
        <v>43892</v>
      </c>
      <c r="E60" s="1514"/>
      <c r="F60" s="1030">
        <v>261802.27521212</v>
      </c>
      <c r="G60" s="1031">
        <v>265800.46000000002</v>
      </c>
      <c r="H60" s="1026">
        <f t="shared" si="0"/>
        <v>86385.149500000014</v>
      </c>
      <c r="I60" s="1027">
        <f t="shared" si="1"/>
        <v>261802.27521212</v>
      </c>
      <c r="J60" s="1029">
        <f t="shared" si="2"/>
        <v>1.0152717725032778</v>
      </c>
      <c r="K60" s="1114"/>
      <c r="L60" s="150"/>
      <c r="M60" s="1020"/>
      <c r="N60" s="1020"/>
      <c r="O60" s="1020"/>
      <c r="P60" s="1020"/>
      <c r="Q60" s="1021"/>
      <c r="R60" s="1017"/>
      <c r="S60" s="1017"/>
      <c r="T60" s="1351"/>
      <c r="U60" s="1017"/>
      <c r="V60" s="1017"/>
      <c r="W60" s="1017"/>
      <c r="X60" s="1017"/>
      <c r="Y60" s="1017"/>
      <c r="Z60" s="1017"/>
      <c r="AA60" s="1017"/>
      <c r="AB60" s="1017"/>
      <c r="AC60" s="1017"/>
      <c r="AD60" s="1017"/>
      <c r="AE60" s="1017"/>
      <c r="AF60" s="1017"/>
    </row>
    <row r="61" spans="1:32" ht="16.5">
      <c r="A61" s="1022"/>
      <c r="B61" s="1771"/>
      <c r="C61" s="1023">
        <v>43529</v>
      </c>
      <c r="D61" s="1024">
        <v>43893</v>
      </c>
      <c r="E61" s="1514"/>
      <c r="F61" s="1025">
        <v>248454.42118971999</v>
      </c>
      <c r="G61" s="1031">
        <v>259594.47</v>
      </c>
      <c r="H61" s="1026">
        <f t="shared" si="0"/>
        <v>84368.202749999997</v>
      </c>
      <c r="I61" s="1027">
        <f t="shared" si="1"/>
        <v>248454.42118971999</v>
      </c>
      <c r="J61" s="1029">
        <f t="shared" si="2"/>
        <v>1.0448373941463229</v>
      </c>
      <c r="K61" s="1114"/>
      <c r="L61" s="150"/>
      <c r="M61" s="1020"/>
      <c r="N61" s="1020"/>
      <c r="O61" s="1020"/>
      <c r="P61" s="1020"/>
      <c r="Q61" s="1021"/>
      <c r="R61" s="1017"/>
      <c r="S61" s="1017"/>
      <c r="T61" s="1351"/>
      <c r="U61" s="1017"/>
      <c r="V61" s="1017"/>
      <c r="W61" s="1017"/>
      <c r="X61" s="1017"/>
      <c r="Y61" s="1017"/>
      <c r="Z61" s="1017"/>
      <c r="AA61" s="1017"/>
      <c r="AB61" s="1017"/>
      <c r="AC61" s="1017"/>
      <c r="AD61" s="1017"/>
      <c r="AE61" s="1017"/>
      <c r="AF61" s="1017"/>
    </row>
    <row r="62" spans="1:32" ht="16.5">
      <c r="A62" s="1022"/>
      <c r="B62" s="1771"/>
      <c r="C62" s="1023">
        <v>43530</v>
      </c>
      <c r="D62" s="1024">
        <v>43894</v>
      </c>
      <c r="E62" s="1514"/>
      <c r="F62" s="1030">
        <v>246096.29999746999</v>
      </c>
      <c r="G62" s="1031">
        <v>257569.71</v>
      </c>
      <c r="H62" s="1026">
        <f t="shared" si="0"/>
        <v>83710.155750000005</v>
      </c>
      <c r="I62" s="1027">
        <f t="shared" si="1"/>
        <v>246096.29999746999</v>
      </c>
      <c r="J62" s="1029">
        <f t="shared" si="2"/>
        <v>1.0466216273980875</v>
      </c>
      <c r="K62" s="1114"/>
      <c r="L62" s="150"/>
      <c r="M62" s="1020"/>
      <c r="N62" s="1020"/>
      <c r="O62" s="1020"/>
      <c r="P62" s="1020"/>
      <c r="Q62" s="1021"/>
      <c r="R62" s="1017"/>
      <c r="S62" s="1017"/>
      <c r="T62" s="1351"/>
      <c r="U62" s="1017"/>
      <c r="V62" s="1017"/>
      <c r="W62" s="1017"/>
      <c r="X62" s="1017"/>
      <c r="Y62" s="1017"/>
      <c r="Z62" s="1017"/>
      <c r="AA62" s="1017"/>
      <c r="AB62" s="1017"/>
      <c r="AC62" s="1017"/>
      <c r="AD62" s="1017"/>
      <c r="AE62" s="1017"/>
      <c r="AF62" s="1017"/>
    </row>
    <row r="63" spans="1:32" ht="16.5">
      <c r="A63" s="1022"/>
      <c r="B63" s="1771"/>
      <c r="C63" s="1023">
        <v>43531</v>
      </c>
      <c r="D63" s="1024">
        <v>43895</v>
      </c>
      <c r="E63" s="1514"/>
      <c r="F63" s="1025">
        <v>269709.44175822003</v>
      </c>
      <c r="G63" s="1031">
        <v>305268.65999999997</v>
      </c>
      <c r="H63" s="1026">
        <f t="shared" si="0"/>
        <v>99212.314499999993</v>
      </c>
      <c r="I63" s="1027">
        <f t="shared" si="1"/>
        <v>269709.44175822003</v>
      </c>
      <c r="J63" s="1029">
        <f t="shared" si="2"/>
        <v>1.1318426897107179</v>
      </c>
      <c r="K63" s="1114"/>
      <c r="L63" s="150"/>
      <c r="M63" s="1020"/>
      <c r="N63" s="1020"/>
      <c r="O63" s="1020"/>
      <c r="P63" s="1020"/>
      <c r="Q63" s="1021"/>
      <c r="R63" s="1017"/>
      <c r="S63" s="1017"/>
      <c r="T63" s="1351"/>
      <c r="U63" s="1017"/>
      <c r="V63" s="1017"/>
      <c r="W63" s="1017"/>
      <c r="X63" s="1017"/>
      <c r="Y63" s="1017"/>
      <c r="Z63" s="1017"/>
      <c r="AA63" s="1017"/>
      <c r="AB63" s="1017"/>
      <c r="AC63" s="1017"/>
      <c r="AD63" s="1017"/>
      <c r="AE63" s="1017"/>
      <c r="AF63" s="1017"/>
    </row>
    <row r="64" spans="1:32" ht="16.5">
      <c r="A64" s="1022"/>
      <c r="B64" s="1771"/>
      <c r="C64" s="1023">
        <v>43532</v>
      </c>
      <c r="D64" s="1024">
        <v>43896</v>
      </c>
      <c r="E64" s="1514"/>
      <c r="F64" s="1030">
        <v>350895.29278825998</v>
      </c>
      <c r="G64" s="1031">
        <v>362789.59</v>
      </c>
      <c r="H64" s="1026">
        <f t="shared" si="0"/>
        <v>117906.61675000002</v>
      </c>
      <c r="I64" s="1027">
        <f t="shared" si="1"/>
        <v>350895.29278825998</v>
      </c>
      <c r="J64" s="1029">
        <f t="shared" si="2"/>
        <v>1.0338969984955524</v>
      </c>
      <c r="K64" s="1114"/>
      <c r="L64" s="150"/>
      <c r="M64" s="1020"/>
      <c r="N64" s="1020"/>
      <c r="O64" s="1020"/>
      <c r="P64" s="1020"/>
      <c r="Q64" s="1021"/>
      <c r="R64" s="1017"/>
      <c r="S64" s="1017"/>
      <c r="T64" s="1351"/>
      <c r="U64" s="1017"/>
      <c r="V64" s="1017"/>
      <c r="W64" s="1017"/>
      <c r="X64" s="1017"/>
      <c r="Y64" s="1017"/>
      <c r="Z64" s="1017"/>
      <c r="AA64" s="1017"/>
      <c r="AB64" s="1017"/>
      <c r="AC64" s="1017"/>
      <c r="AD64" s="1017"/>
      <c r="AE64" s="1017"/>
      <c r="AF64" s="1017"/>
    </row>
    <row r="65" spans="1:53" ht="16.5">
      <c r="A65" s="1022"/>
      <c r="B65" s="1772"/>
      <c r="C65" s="1023">
        <v>43533</v>
      </c>
      <c r="D65" s="1024">
        <v>43897</v>
      </c>
      <c r="E65" s="1514"/>
      <c r="F65" s="1025">
        <v>576595.37312934001</v>
      </c>
      <c r="G65" s="1031">
        <v>609733.44999999995</v>
      </c>
      <c r="H65" s="1026">
        <f t="shared" si="0"/>
        <v>198163.37125</v>
      </c>
      <c r="I65" s="1027">
        <f t="shared" si="1"/>
        <v>576595.37312934001</v>
      </c>
      <c r="J65" s="1029">
        <f t="shared" si="2"/>
        <v>1.0574719784704663</v>
      </c>
      <c r="K65" s="1114"/>
      <c r="L65" s="150"/>
      <c r="M65" s="1020"/>
      <c r="N65" s="1020"/>
      <c r="O65" s="1020"/>
      <c r="P65" s="1020"/>
      <c r="Q65" s="1021"/>
      <c r="R65" s="1017"/>
      <c r="S65" s="1017"/>
      <c r="T65" s="1351"/>
      <c r="U65" s="1017"/>
      <c r="V65" s="1017"/>
      <c r="W65" s="1017"/>
      <c r="X65" s="1017"/>
      <c r="Y65" s="1017"/>
      <c r="Z65" s="1017"/>
      <c r="AA65" s="1017"/>
      <c r="AB65" s="1017"/>
      <c r="AC65" s="1017"/>
      <c r="AD65" s="1017"/>
      <c r="AE65" s="1017"/>
      <c r="AF65" s="1017"/>
    </row>
    <row r="66" spans="1:53" ht="16.5">
      <c r="A66" s="1022"/>
      <c r="B66" s="1770" t="s">
        <v>334</v>
      </c>
      <c r="C66" s="1023">
        <v>43534</v>
      </c>
      <c r="D66" s="1024">
        <v>43898</v>
      </c>
      <c r="E66" s="1514"/>
      <c r="F66" s="1030">
        <v>314147.94355994998</v>
      </c>
      <c r="G66" s="1031">
        <v>434854.29</v>
      </c>
      <c r="H66" s="1026">
        <f t="shared" si="0"/>
        <v>141327.64425000001</v>
      </c>
      <c r="I66" s="1027">
        <f t="shared" si="1"/>
        <v>314147.94355994998</v>
      </c>
      <c r="J66" s="1029">
        <f t="shared" si="2"/>
        <v>1.3842340811535987</v>
      </c>
      <c r="K66" s="1114"/>
      <c r="L66" s="150"/>
      <c r="M66" s="1020"/>
      <c r="N66" s="1020"/>
      <c r="O66" s="1020"/>
      <c r="P66" s="1020"/>
      <c r="Q66" s="1021"/>
      <c r="R66" s="1017"/>
      <c r="S66" s="1017"/>
      <c r="T66" s="1351"/>
      <c r="U66" s="1017"/>
      <c r="V66" s="1017"/>
      <c r="W66" s="1017"/>
      <c r="X66" s="1017"/>
      <c r="Y66" s="1017"/>
      <c r="Z66" s="1017"/>
      <c r="AA66" s="1017"/>
      <c r="AB66" s="1017"/>
      <c r="AC66" s="1017"/>
      <c r="AD66" s="1017"/>
      <c r="AE66" s="1017"/>
      <c r="AF66" s="1017"/>
    </row>
    <row r="67" spans="1:53" ht="16.5">
      <c r="A67" s="1022"/>
      <c r="B67" s="1771"/>
      <c r="C67" s="1023">
        <v>43535</v>
      </c>
      <c r="D67" s="1024">
        <v>43899</v>
      </c>
      <c r="E67" s="1514"/>
      <c r="F67" s="1025">
        <v>260891.97432779</v>
      </c>
      <c r="G67" s="1031">
        <v>274349.94</v>
      </c>
      <c r="H67" s="1026">
        <f t="shared" ref="H67:H130" si="3">(G67*0.5)*0.65</f>
        <v>89163.730500000005</v>
      </c>
      <c r="I67" s="1027">
        <f t="shared" ref="I67:I72" si="4">F67*1</f>
        <v>260891.97432779</v>
      </c>
      <c r="J67" s="1029">
        <f t="shared" ref="J67:J130" si="5">G67/F67</f>
        <v>1.0515844372249685</v>
      </c>
      <c r="K67" s="1114"/>
      <c r="L67" s="150"/>
      <c r="M67" s="1020"/>
      <c r="N67" s="1020"/>
      <c r="O67" s="1020"/>
      <c r="P67" s="1020"/>
      <c r="Q67" s="1021"/>
      <c r="R67" s="1017"/>
      <c r="S67" s="1017"/>
      <c r="T67" s="1351"/>
      <c r="U67" s="1017"/>
      <c r="V67" s="1017"/>
      <c r="W67" s="1017"/>
      <c r="X67" s="1017"/>
      <c r="Y67" s="1017"/>
      <c r="Z67" s="1017"/>
      <c r="AA67" s="1017"/>
      <c r="AB67" s="1017"/>
      <c r="AC67" s="1017"/>
      <c r="AD67" s="1017"/>
      <c r="AE67" s="1017"/>
      <c r="AF67" s="1017"/>
    </row>
    <row r="68" spans="1:53" ht="16.5">
      <c r="A68" s="1022"/>
      <c r="B68" s="1771"/>
      <c r="C68" s="1023">
        <v>43536</v>
      </c>
      <c r="D68" s="1024">
        <v>43900</v>
      </c>
      <c r="E68" s="1514"/>
      <c r="F68" s="1030">
        <v>212844.14268796999</v>
      </c>
      <c r="G68" s="1031">
        <v>266459.62</v>
      </c>
      <c r="H68" s="1026">
        <f t="shared" si="3"/>
        <v>86599.376499999998</v>
      </c>
      <c r="I68" s="1027">
        <f t="shared" si="4"/>
        <v>212844.14268796999</v>
      </c>
      <c r="J68" s="1029">
        <f t="shared" si="5"/>
        <v>1.2519001774487655</v>
      </c>
      <c r="K68" s="1114"/>
      <c r="L68" s="150"/>
      <c r="M68" s="1020"/>
      <c r="N68" s="1020"/>
      <c r="O68" s="1020"/>
      <c r="P68" s="1020"/>
      <c r="Q68" s="1021"/>
      <c r="R68" s="1017"/>
      <c r="S68" s="1017"/>
      <c r="T68" s="1351"/>
      <c r="U68" s="1017"/>
      <c r="V68" s="1017"/>
      <c r="W68" s="1017"/>
      <c r="X68" s="1017"/>
      <c r="Y68" s="1017"/>
      <c r="Z68" s="1017"/>
      <c r="AA68" s="1017"/>
      <c r="AB68" s="1017"/>
      <c r="AC68" s="1017"/>
      <c r="AD68" s="1017"/>
      <c r="AE68" s="1017"/>
      <c r="AF68" s="1017"/>
    </row>
    <row r="69" spans="1:53" ht="16.5">
      <c r="A69" s="1022"/>
      <c r="B69" s="1771"/>
      <c r="C69" s="1023">
        <v>43537</v>
      </c>
      <c r="D69" s="1024">
        <v>43901</v>
      </c>
      <c r="E69" s="1514"/>
      <c r="F69" s="1025">
        <v>260601.78868887</v>
      </c>
      <c r="G69" s="1031">
        <v>258045.05</v>
      </c>
      <c r="H69" s="1026">
        <f t="shared" si="3"/>
        <v>83864.641250000001</v>
      </c>
      <c r="I69" s="1027">
        <f t="shared" si="4"/>
        <v>260601.78868887</v>
      </c>
      <c r="J69" s="1029">
        <f t="shared" si="5"/>
        <v>0.99018909769678332</v>
      </c>
      <c r="K69" s="1114"/>
      <c r="L69" s="150"/>
      <c r="M69" s="1020"/>
      <c r="N69" s="1020"/>
      <c r="O69" s="1020"/>
      <c r="P69" s="1020"/>
      <c r="Q69" s="1021"/>
      <c r="R69" s="1017"/>
      <c r="S69" s="1017"/>
      <c r="T69" s="1351"/>
      <c r="U69" s="1017"/>
      <c r="V69" s="1017"/>
      <c r="W69" s="1017"/>
      <c r="X69" s="1017"/>
      <c r="Y69" s="1017"/>
      <c r="Z69" s="1017"/>
      <c r="AA69" s="1017"/>
      <c r="AB69" s="1017"/>
      <c r="AC69" s="1017"/>
      <c r="AD69" s="1017"/>
      <c r="AE69" s="1017"/>
      <c r="AF69" s="1017"/>
    </row>
    <row r="70" spans="1:53" ht="16.5">
      <c r="A70" s="1022"/>
      <c r="B70" s="1771"/>
      <c r="C70" s="1023">
        <v>43538</v>
      </c>
      <c r="D70" s="1024">
        <v>43902</v>
      </c>
      <c r="E70" s="1514"/>
      <c r="F70" s="1030">
        <v>319484.77213591</v>
      </c>
      <c r="G70" s="1031">
        <v>275258.58</v>
      </c>
      <c r="H70" s="1026">
        <f t="shared" si="3"/>
        <v>89459.03850000001</v>
      </c>
      <c r="I70" s="1027">
        <f t="shared" si="4"/>
        <v>319484.77213591</v>
      </c>
      <c r="J70" s="1029">
        <f t="shared" si="5"/>
        <v>0.86157026564916839</v>
      </c>
      <c r="K70" s="1114"/>
      <c r="L70" s="150"/>
      <c r="M70" s="1020"/>
      <c r="N70" s="1020"/>
      <c r="O70" s="1020"/>
      <c r="P70" s="1020"/>
      <c r="Q70" s="1021"/>
      <c r="R70" s="1017"/>
      <c r="S70" s="1017"/>
      <c r="T70" s="1351"/>
      <c r="U70" s="1017"/>
      <c r="V70" s="1017"/>
      <c r="W70" s="1017"/>
      <c r="X70" s="1017"/>
      <c r="Y70" s="1017"/>
      <c r="Z70" s="1017"/>
      <c r="AA70" s="1017"/>
      <c r="AB70" s="1017"/>
      <c r="AC70" s="1017"/>
      <c r="AD70" s="1017"/>
      <c r="AE70" s="1017"/>
      <c r="AF70" s="1017"/>
    </row>
    <row r="71" spans="1:53" ht="16.5">
      <c r="A71" s="1022"/>
      <c r="B71" s="1771"/>
      <c r="C71" s="1023">
        <v>43539</v>
      </c>
      <c r="D71" s="1024">
        <v>43903</v>
      </c>
      <c r="E71" s="1514"/>
      <c r="F71" s="1025">
        <v>415179.46846827999</v>
      </c>
      <c r="G71" s="1031">
        <v>446342.99</v>
      </c>
      <c r="H71" s="1026">
        <f t="shared" si="3"/>
        <v>145061.47175</v>
      </c>
      <c r="I71" s="1027">
        <f t="shared" si="4"/>
        <v>415179.46846827999</v>
      </c>
      <c r="J71" s="1029">
        <f t="shared" si="5"/>
        <v>1.0750603628033233</v>
      </c>
      <c r="K71" s="1114"/>
      <c r="L71" s="150"/>
      <c r="M71" s="1020"/>
      <c r="N71" s="1020"/>
      <c r="O71" s="1020"/>
      <c r="P71" s="1020"/>
      <c r="Q71" s="1021"/>
      <c r="R71" s="1017"/>
      <c r="S71" s="1017"/>
      <c r="T71" s="1351"/>
      <c r="U71" s="1017"/>
      <c r="V71" s="1017"/>
      <c r="W71" s="1017"/>
      <c r="X71" s="1017"/>
      <c r="Y71" s="1017"/>
      <c r="Z71" s="1017"/>
      <c r="AA71" s="1017"/>
      <c r="AB71" s="1017"/>
      <c r="AC71" s="1017"/>
      <c r="AD71" s="1017"/>
      <c r="AE71" s="1017"/>
      <c r="AF71" s="1017"/>
    </row>
    <row r="72" spans="1:53" ht="16.5">
      <c r="A72" s="1022"/>
      <c r="B72" s="1772"/>
      <c r="C72" s="1023">
        <v>43540</v>
      </c>
      <c r="D72" s="1024">
        <v>43904</v>
      </c>
      <c r="E72" s="1514"/>
      <c r="F72" s="1030">
        <v>683978.82247821998</v>
      </c>
      <c r="G72" s="1031">
        <v>686042.28</v>
      </c>
      <c r="H72" s="1026">
        <f t="shared" si="3"/>
        <v>222963.74100000001</v>
      </c>
      <c r="I72" s="1027">
        <f t="shared" si="4"/>
        <v>683978.82247821998</v>
      </c>
      <c r="J72" s="1029">
        <f t="shared" si="5"/>
        <v>1.003016844168221</v>
      </c>
      <c r="K72" s="1114"/>
      <c r="L72" s="150"/>
      <c r="M72" s="1020"/>
      <c r="N72" s="1020"/>
      <c r="O72" s="1020"/>
      <c r="P72" s="1020"/>
      <c r="Q72" s="1021"/>
      <c r="R72" s="1017"/>
      <c r="S72" s="1017"/>
      <c r="T72" s="1351"/>
      <c r="U72" s="1017"/>
      <c r="V72" s="1017"/>
      <c r="W72" s="1017"/>
      <c r="X72" s="1017"/>
      <c r="Y72" s="1017"/>
      <c r="Z72" s="1017"/>
      <c r="AA72" s="1017"/>
      <c r="AB72" s="1017"/>
      <c r="AC72" s="1017"/>
      <c r="AD72" s="1017"/>
      <c r="AE72" s="1017"/>
      <c r="AF72" s="1017"/>
    </row>
    <row r="73" spans="1:53" ht="15" customHeight="1">
      <c r="A73" s="1032"/>
      <c r="B73" s="1770" t="s">
        <v>335</v>
      </c>
      <c r="C73" s="1023">
        <v>43541</v>
      </c>
      <c r="D73" s="1024">
        <v>43905</v>
      </c>
      <c r="E73" s="1024"/>
      <c r="F73" s="1033">
        <v>390389</v>
      </c>
      <c r="G73" s="1033">
        <v>377208</v>
      </c>
      <c r="H73" s="1026">
        <f t="shared" si="3"/>
        <v>122592.6</v>
      </c>
      <c r="I73" s="1027">
        <f>F73*1</f>
        <v>390389</v>
      </c>
      <c r="J73" s="1029">
        <f t="shared" si="5"/>
        <v>0.96623624128753627</v>
      </c>
      <c r="K73" s="1114"/>
      <c r="L73" s="1028"/>
      <c r="M73" s="1034"/>
      <c r="N73" s="1034"/>
      <c r="O73" s="1034"/>
      <c r="P73" s="1034"/>
      <c r="Q73" s="1021"/>
      <c r="R73" s="1017"/>
      <c r="S73" s="1017"/>
      <c r="T73" s="1351"/>
      <c r="U73" s="1017"/>
      <c r="V73" s="1017"/>
      <c r="W73" s="1017"/>
      <c r="X73" s="1017"/>
      <c r="Y73" s="1017"/>
      <c r="Z73" s="1017"/>
      <c r="AA73" s="1017"/>
      <c r="AB73" s="1017"/>
      <c r="AC73" s="1017"/>
      <c r="AD73" s="1017"/>
      <c r="AE73" s="1017"/>
      <c r="AF73" s="1017"/>
    </row>
    <row r="74" spans="1:53" ht="15" customHeight="1">
      <c r="A74" s="1032"/>
      <c r="B74" s="1771"/>
      <c r="C74" s="1023">
        <v>43542</v>
      </c>
      <c r="D74" s="1024">
        <v>43906</v>
      </c>
      <c r="E74" s="1024"/>
      <c r="F74" s="1033">
        <v>412884</v>
      </c>
      <c r="G74" s="1033">
        <v>353843</v>
      </c>
      <c r="H74" s="1026">
        <f t="shared" si="3"/>
        <v>114998.97500000001</v>
      </c>
      <c r="I74" s="1027">
        <f t="shared" ref="I74:I137" si="6">F74*1</f>
        <v>412884</v>
      </c>
      <c r="J74" s="1029">
        <f t="shared" si="5"/>
        <v>0.85700341984673656</v>
      </c>
      <c r="K74" s="1114"/>
      <c r="L74" s="1028"/>
      <c r="M74" s="1034"/>
      <c r="N74" s="1034"/>
      <c r="O74" s="1034"/>
      <c r="P74" s="1034"/>
      <c r="Q74" s="1021"/>
      <c r="R74" s="1017"/>
      <c r="S74" s="1017"/>
      <c r="T74" s="1351"/>
      <c r="U74" s="1017"/>
      <c r="V74" s="1017"/>
      <c r="W74" s="1017"/>
      <c r="X74" s="1017"/>
      <c r="Y74" s="1017"/>
      <c r="Z74" s="1017"/>
      <c r="AA74" s="1017"/>
      <c r="AB74" s="1017"/>
      <c r="AC74" s="1017"/>
      <c r="AD74" s="1017"/>
      <c r="AE74" s="1017"/>
      <c r="AF74" s="1017"/>
      <c r="AT74" s="1035"/>
    </row>
    <row r="75" spans="1:53" ht="15" customHeight="1">
      <c r="A75" s="1032"/>
      <c r="B75" s="1771"/>
      <c r="C75" s="1023">
        <v>43543</v>
      </c>
      <c r="D75" s="1024">
        <v>43907</v>
      </c>
      <c r="E75" s="1024"/>
      <c r="F75" s="1033">
        <v>296021</v>
      </c>
      <c r="G75" s="1033">
        <v>213546</v>
      </c>
      <c r="H75" s="1026">
        <f t="shared" si="3"/>
        <v>69402.45</v>
      </c>
      <c r="I75" s="1027">
        <f t="shared" si="6"/>
        <v>296021</v>
      </c>
      <c r="J75" s="1029">
        <f t="shared" si="5"/>
        <v>0.7213880096344516</v>
      </c>
      <c r="K75" s="1114"/>
      <c r="L75" s="1028"/>
      <c r="M75" s="1034"/>
      <c r="N75" s="1034"/>
      <c r="O75" s="1034"/>
      <c r="P75" s="1034"/>
      <c r="Q75" s="1021"/>
      <c r="R75" s="1017"/>
      <c r="S75" s="1017"/>
      <c r="T75" s="1351"/>
      <c r="U75" s="1017"/>
      <c r="V75" s="1017"/>
      <c r="W75" s="1017"/>
      <c r="X75" s="1017"/>
      <c r="Y75" s="1017"/>
      <c r="Z75" s="1017"/>
      <c r="AA75" s="1017"/>
      <c r="AB75" s="1017"/>
      <c r="AC75" s="1017"/>
      <c r="AD75" s="1017"/>
      <c r="AE75" s="1017"/>
      <c r="AF75" s="1017"/>
      <c r="AT75" s="1035"/>
    </row>
    <row r="76" spans="1:53" ht="15" customHeight="1">
      <c r="A76" s="1032"/>
      <c r="B76" s="1771"/>
      <c r="C76" s="1023">
        <v>43544</v>
      </c>
      <c r="D76" s="1024">
        <v>43908</v>
      </c>
      <c r="E76" s="1024"/>
      <c r="F76" s="1033">
        <v>304737</v>
      </c>
      <c r="G76" s="1033">
        <v>165692</v>
      </c>
      <c r="H76" s="1026">
        <f t="shared" si="3"/>
        <v>53849.9</v>
      </c>
      <c r="I76" s="1027">
        <f t="shared" si="6"/>
        <v>304737</v>
      </c>
      <c r="J76" s="1029">
        <f t="shared" si="5"/>
        <v>0.54372130722557488</v>
      </c>
      <c r="K76" s="1114"/>
      <c r="L76" s="1028"/>
      <c r="M76" s="1034"/>
      <c r="N76" s="1034"/>
      <c r="O76" s="1034"/>
      <c r="P76" s="1034"/>
      <c r="Q76" s="1021"/>
      <c r="R76" s="1017"/>
      <c r="S76" s="1017"/>
      <c r="T76" s="1351"/>
      <c r="U76" s="1017"/>
      <c r="V76" s="1017"/>
      <c r="W76" s="1017"/>
      <c r="X76" s="1017"/>
      <c r="Y76" s="1017"/>
      <c r="Z76" s="1017"/>
      <c r="AA76" s="1017"/>
      <c r="AB76" s="1017"/>
      <c r="AC76" s="1017"/>
      <c r="AD76" s="1017"/>
      <c r="AE76" s="1017"/>
      <c r="AF76" s="1017"/>
      <c r="AT76" s="1035"/>
    </row>
    <row r="77" spans="1:53" ht="15" customHeight="1">
      <c r="A77" s="1032"/>
      <c r="B77" s="1771"/>
      <c r="C77" s="1023">
        <v>43545</v>
      </c>
      <c r="D77" s="1024">
        <v>43909</v>
      </c>
      <c r="E77" s="1024"/>
      <c r="F77" s="1033">
        <v>324202</v>
      </c>
      <c r="G77" s="1033">
        <v>180855</v>
      </c>
      <c r="H77" s="1026">
        <f t="shared" si="3"/>
        <v>58777.875</v>
      </c>
      <c r="I77" s="1027">
        <f t="shared" si="6"/>
        <v>324202</v>
      </c>
      <c r="J77" s="1029">
        <f t="shared" si="5"/>
        <v>0.55784665116192989</v>
      </c>
      <c r="K77" s="1114"/>
      <c r="L77" s="1028"/>
      <c r="M77" s="1034"/>
      <c r="N77" s="1034"/>
      <c r="O77" s="1034"/>
      <c r="P77" s="1034"/>
      <c r="Q77" s="1036"/>
      <c r="R77" s="1017"/>
      <c r="S77" s="1017"/>
      <c r="T77" s="1351"/>
      <c r="U77" s="1017"/>
      <c r="V77" s="1017"/>
      <c r="W77" s="1017"/>
      <c r="X77" s="1017"/>
      <c r="Y77" s="1017"/>
      <c r="Z77" s="1017"/>
      <c r="AA77" s="1017"/>
      <c r="AB77" s="1017"/>
      <c r="AC77" s="1017"/>
      <c r="AD77" s="1017"/>
      <c r="AE77" s="1017"/>
      <c r="AF77" s="1017"/>
      <c r="AT77" s="1035"/>
    </row>
    <row r="78" spans="1:53" ht="15" customHeight="1">
      <c r="A78" s="1032"/>
      <c r="B78" s="1771"/>
      <c r="C78" s="1023">
        <v>43546</v>
      </c>
      <c r="D78" s="1024">
        <v>43910</v>
      </c>
      <c r="E78" s="1024"/>
      <c r="F78" s="1033">
        <v>398116</v>
      </c>
      <c r="G78" s="1033">
        <v>211386</v>
      </c>
      <c r="H78" s="1026">
        <f t="shared" si="3"/>
        <v>68700.45</v>
      </c>
      <c r="I78" s="1027">
        <f t="shared" si="6"/>
        <v>398116</v>
      </c>
      <c r="J78" s="1029">
        <f t="shared" si="5"/>
        <v>0.53096584914949407</v>
      </c>
      <c r="K78" s="1114"/>
      <c r="L78" s="1028"/>
      <c r="M78" s="1034"/>
      <c r="N78" s="1034"/>
      <c r="O78" s="1034"/>
      <c r="P78" s="1034"/>
      <c r="Q78" s="1021"/>
      <c r="R78" s="1017"/>
      <c r="S78" s="1017"/>
      <c r="T78" s="1351"/>
      <c r="U78" s="1017"/>
      <c r="V78" s="1017"/>
      <c r="W78" s="1017"/>
      <c r="X78" s="1017"/>
      <c r="Y78" s="1017"/>
      <c r="Z78" s="1017"/>
      <c r="AA78" s="1017"/>
      <c r="AB78" s="1017"/>
      <c r="AC78" s="1017"/>
      <c r="AD78" s="1017"/>
      <c r="AE78" s="1017"/>
      <c r="AF78" s="1017"/>
      <c r="AT78" s="1035"/>
    </row>
    <row r="79" spans="1:53" ht="15" customHeight="1">
      <c r="A79" s="1032"/>
      <c r="B79" s="1772"/>
      <c r="C79" s="1023">
        <v>43547</v>
      </c>
      <c r="D79" s="1024">
        <v>43911</v>
      </c>
      <c r="E79" s="1024"/>
      <c r="F79" s="1033">
        <v>632315</v>
      </c>
      <c r="G79" s="1033">
        <v>324884</v>
      </c>
      <c r="H79" s="1026">
        <f t="shared" si="3"/>
        <v>105587.3</v>
      </c>
      <c r="I79" s="1027">
        <f t="shared" si="6"/>
        <v>632315</v>
      </c>
      <c r="J79" s="1029">
        <f t="shared" si="5"/>
        <v>0.51380087456410173</v>
      </c>
      <c r="K79" s="1114"/>
      <c r="L79" s="1028"/>
      <c r="M79" s="1034"/>
      <c r="N79" s="1034"/>
      <c r="O79" s="1034"/>
      <c r="P79" s="1034"/>
      <c r="Q79" s="1021"/>
      <c r="R79" s="1017"/>
      <c r="S79" s="1017"/>
      <c r="T79" s="1351"/>
      <c r="U79" s="1017"/>
      <c r="V79" s="1017"/>
      <c r="W79" s="1017"/>
      <c r="X79" s="1017"/>
      <c r="Y79" s="1017"/>
      <c r="Z79" s="1017"/>
      <c r="AA79" s="1017"/>
      <c r="AB79" s="1017"/>
      <c r="AC79" s="1017"/>
      <c r="AD79" s="1017"/>
      <c r="AE79" s="1017"/>
      <c r="AF79" s="1017"/>
    </row>
    <row r="80" spans="1:53" ht="15" customHeight="1">
      <c r="A80" s="1032"/>
      <c r="B80" s="1770" t="s">
        <v>336</v>
      </c>
      <c r="C80" s="1023">
        <v>43548</v>
      </c>
      <c r="D80" s="1024">
        <v>43912</v>
      </c>
      <c r="E80" s="1024"/>
      <c r="F80" s="1037">
        <v>353175</v>
      </c>
      <c r="G80" s="1037">
        <v>184784</v>
      </c>
      <c r="H80" s="1026">
        <f t="shared" si="3"/>
        <v>60054.8</v>
      </c>
      <c r="I80" s="1027">
        <f t="shared" si="6"/>
        <v>353175</v>
      </c>
      <c r="J80" s="1029">
        <f t="shared" si="5"/>
        <v>0.52320804133927934</v>
      </c>
      <c r="K80" s="1114"/>
      <c r="L80" s="1028"/>
      <c r="M80" s="1034"/>
      <c r="N80" s="1034"/>
      <c r="O80" s="1034"/>
      <c r="P80" s="1034"/>
      <c r="Q80" s="1036"/>
      <c r="R80" s="1017"/>
      <c r="S80" s="1017"/>
      <c r="T80" s="1351"/>
      <c r="U80" s="1017"/>
      <c r="V80" s="1017"/>
      <c r="W80" s="1017"/>
      <c r="X80" s="1017"/>
      <c r="Y80" s="1017"/>
      <c r="Z80" s="1017"/>
      <c r="AA80" s="1017"/>
      <c r="AB80" s="1017"/>
      <c r="AC80" s="1017"/>
      <c r="AD80" s="1017"/>
      <c r="AE80" s="1017"/>
      <c r="AF80" s="1017"/>
      <c r="AS80" s="1038" t="s">
        <v>337</v>
      </c>
      <c r="AT80" s="1039" t="s">
        <v>304</v>
      </c>
      <c r="AU80" s="1039" t="s">
        <v>338</v>
      </c>
      <c r="AV80" s="1039" t="s">
        <v>339</v>
      </c>
      <c r="AW80" s="1039" t="s">
        <v>340</v>
      </c>
      <c r="AX80" s="1040" t="s">
        <v>341</v>
      </c>
      <c r="AY80" s="1040" t="s">
        <v>342</v>
      </c>
      <c r="AZ80" s="1040" t="s">
        <v>343</v>
      </c>
      <c r="BA80" s="1041" t="s">
        <v>344</v>
      </c>
    </row>
    <row r="81" spans="1:53" ht="15" customHeight="1">
      <c r="A81" s="1032"/>
      <c r="B81" s="1771"/>
      <c r="C81" s="1023">
        <v>43549</v>
      </c>
      <c r="D81" s="1024">
        <v>43913</v>
      </c>
      <c r="E81" s="1024"/>
      <c r="F81" s="1037">
        <v>285971</v>
      </c>
      <c r="G81" s="1037">
        <v>144837</v>
      </c>
      <c r="H81" s="1026">
        <f t="shared" si="3"/>
        <v>47072.025000000001</v>
      </c>
      <c r="I81" s="1027">
        <f t="shared" si="6"/>
        <v>285971</v>
      </c>
      <c r="J81" s="1029">
        <f t="shared" si="5"/>
        <v>0.50647443272219905</v>
      </c>
      <c r="K81" s="1114"/>
      <c r="L81" s="1028"/>
      <c r="M81" s="1034"/>
      <c r="N81" s="1034"/>
      <c r="O81" s="1034"/>
      <c r="P81" s="1034"/>
      <c r="Q81" s="1021"/>
      <c r="R81" s="1017"/>
      <c r="S81" s="1017"/>
      <c r="T81" s="1351"/>
      <c r="U81" s="1017"/>
      <c r="V81" s="1017"/>
      <c r="W81" s="1017"/>
      <c r="X81" s="1017"/>
      <c r="Y81" s="1017"/>
      <c r="Z81" s="1017"/>
      <c r="AA81" s="1017"/>
      <c r="AB81" s="1017"/>
      <c r="AC81" s="1017"/>
      <c r="AD81" s="1017"/>
      <c r="AE81" s="1017"/>
      <c r="AF81" s="1017"/>
      <c r="AS81" s="1042" t="s">
        <v>313</v>
      </c>
      <c r="AT81" s="1043">
        <v>12092626</v>
      </c>
      <c r="AU81" s="1044">
        <v>0.5</v>
      </c>
      <c r="AV81" s="1043">
        <f t="shared" ref="AV81:AV86" si="7">AT81*AU81</f>
        <v>6046313</v>
      </c>
      <c r="AW81" s="1043">
        <v>6495064</v>
      </c>
      <c r="AX81" s="1045">
        <f>AW81/AT81</f>
        <v>0.53710947481547844</v>
      </c>
      <c r="AY81" s="1045"/>
      <c r="AZ81" s="1045"/>
      <c r="BA81" s="458"/>
    </row>
    <row r="82" spans="1:53" ht="15" customHeight="1">
      <c r="A82" s="1032"/>
      <c r="B82" s="1771"/>
      <c r="C82" s="1023">
        <v>43550</v>
      </c>
      <c r="D82" s="1024">
        <v>43914</v>
      </c>
      <c r="E82" s="1024"/>
      <c r="F82" s="1037">
        <v>268848</v>
      </c>
      <c r="G82" s="1037">
        <v>116458</v>
      </c>
      <c r="H82" s="1026">
        <f t="shared" si="3"/>
        <v>37848.85</v>
      </c>
      <c r="I82" s="1027">
        <f t="shared" si="6"/>
        <v>268848</v>
      </c>
      <c r="J82" s="1029">
        <f t="shared" si="5"/>
        <v>0.43317413557102896</v>
      </c>
      <c r="K82" s="1114"/>
      <c r="L82" s="1028"/>
      <c r="M82" s="1034"/>
      <c r="N82" s="1034"/>
      <c r="O82" s="1034"/>
      <c r="P82" s="1034"/>
      <c r="Q82" s="1021"/>
      <c r="R82" s="1017"/>
      <c r="S82" s="1017"/>
      <c r="T82" s="1351"/>
      <c r="U82" s="1017"/>
      <c r="V82" s="1017"/>
      <c r="W82" s="1017"/>
      <c r="X82" s="1017"/>
      <c r="Y82" s="1017"/>
      <c r="Z82" s="1017"/>
      <c r="AA82" s="1017"/>
      <c r="AB82" s="1017"/>
      <c r="AC82" s="1017"/>
      <c r="AD82" s="1017"/>
      <c r="AE82" s="1017"/>
      <c r="AF82" s="1017"/>
      <c r="AS82" s="1046" t="s">
        <v>314</v>
      </c>
      <c r="AT82" s="1047">
        <v>11652437</v>
      </c>
      <c r="AU82" s="146">
        <v>0.55000000000000004</v>
      </c>
      <c r="AV82" s="1047">
        <f t="shared" si="7"/>
        <v>6408840.3500000006</v>
      </c>
      <c r="AW82" s="1048">
        <v>6759111</v>
      </c>
      <c r="AX82" s="1049">
        <f>AW82/AT82</f>
        <v>0.58005986215587346</v>
      </c>
      <c r="AY82" s="1045"/>
      <c r="AZ82" s="1045"/>
      <c r="BA82" s="22"/>
    </row>
    <row r="83" spans="1:53" ht="15" customHeight="1">
      <c r="A83" s="1032"/>
      <c r="B83" s="1771"/>
      <c r="C83" s="1023">
        <v>43551</v>
      </c>
      <c r="D83" s="1024">
        <v>43915</v>
      </c>
      <c r="E83" s="1024"/>
      <c r="F83" s="1037">
        <v>268450</v>
      </c>
      <c r="G83" s="1037">
        <v>119461</v>
      </c>
      <c r="H83" s="1026">
        <f t="shared" si="3"/>
        <v>38824.825000000004</v>
      </c>
      <c r="I83" s="1027">
        <f t="shared" si="6"/>
        <v>268450</v>
      </c>
      <c r="J83" s="1029">
        <f t="shared" si="5"/>
        <v>0.44500279381635316</v>
      </c>
      <c r="K83" s="1114"/>
      <c r="L83" s="1028"/>
      <c r="M83" s="1034"/>
      <c r="N83" s="1034"/>
      <c r="O83" s="1034"/>
      <c r="P83" s="1034"/>
      <c r="Q83" s="1036"/>
      <c r="R83" s="1017"/>
      <c r="S83" s="1017"/>
      <c r="T83" s="1351"/>
      <c r="U83" s="1017"/>
      <c r="V83" s="1017"/>
      <c r="W83" s="1017"/>
      <c r="X83" s="1017"/>
      <c r="Y83" s="1017"/>
      <c r="Z83" s="1017"/>
      <c r="AA83" s="1017"/>
      <c r="AB83" s="1017"/>
      <c r="AC83" s="1017"/>
      <c r="AD83" s="1017"/>
      <c r="AE83" s="1017"/>
      <c r="AF83" s="1017"/>
      <c r="AS83" s="1046" t="s">
        <v>345</v>
      </c>
      <c r="AT83" s="1047">
        <v>14143849</v>
      </c>
      <c r="AU83" s="146">
        <v>0.55000000000000004</v>
      </c>
      <c r="AV83" s="1047">
        <f t="shared" si="7"/>
        <v>7779116.9500000002</v>
      </c>
      <c r="AW83" s="1048">
        <f>SUM(G241:G275)</f>
        <v>8874437</v>
      </c>
      <c r="AX83" s="1049">
        <f>AW83/AT83</f>
        <v>0.62744144115226341</v>
      </c>
      <c r="AY83" s="1045"/>
      <c r="AZ83" s="1045"/>
      <c r="BA83" s="1050">
        <v>0.63</v>
      </c>
    </row>
    <row r="84" spans="1:53" ht="15" customHeight="1">
      <c r="A84" s="1032"/>
      <c r="B84" s="1771"/>
      <c r="C84" s="1023">
        <v>43552</v>
      </c>
      <c r="D84" s="1024">
        <v>43916</v>
      </c>
      <c r="E84" s="1024"/>
      <c r="F84" s="1037">
        <v>326262</v>
      </c>
      <c r="G84" s="1037">
        <v>124946</v>
      </c>
      <c r="H84" s="1026">
        <f t="shared" si="3"/>
        <v>40607.450000000004</v>
      </c>
      <c r="I84" s="1027">
        <f t="shared" si="6"/>
        <v>326262</v>
      </c>
      <c r="J84" s="1029">
        <f t="shared" si="5"/>
        <v>0.38296215924624993</v>
      </c>
      <c r="K84" s="1114"/>
      <c r="L84" s="1028"/>
      <c r="M84" s="1034"/>
      <c r="N84" s="1034"/>
      <c r="O84" s="1034"/>
      <c r="P84" s="1034"/>
      <c r="Q84" s="1021"/>
      <c r="R84" s="1017"/>
      <c r="S84" s="1017"/>
      <c r="T84" s="1351"/>
      <c r="U84" s="1017"/>
      <c r="V84" s="1017"/>
      <c r="W84" s="1017"/>
      <c r="X84" s="1017"/>
      <c r="Y84" s="1017"/>
      <c r="Z84" s="1017"/>
      <c r="AA84" s="1017"/>
      <c r="AB84" s="1017"/>
      <c r="AC84" s="1017"/>
      <c r="AD84" s="1017"/>
      <c r="AE84" s="1017"/>
      <c r="AF84" s="1017"/>
      <c r="AS84" s="1046" t="s">
        <v>316</v>
      </c>
      <c r="AT84" s="1047">
        <v>12130139</v>
      </c>
      <c r="AU84" s="146">
        <v>0.6</v>
      </c>
      <c r="AV84" s="1047">
        <f t="shared" si="7"/>
        <v>7278083.3999999994</v>
      </c>
      <c r="AW84" s="1048">
        <v>5435679</v>
      </c>
      <c r="AX84" s="1049">
        <f>AW84/AT84</f>
        <v>0.44811349647353588</v>
      </c>
      <c r="AY84" s="1045"/>
      <c r="AZ84" s="1051">
        <v>0.77</v>
      </c>
      <c r="BA84" s="1052">
        <v>0.86</v>
      </c>
    </row>
    <row r="85" spans="1:53" ht="15" customHeight="1">
      <c r="A85" s="1032"/>
      <c r="B85" s="1771"/>
      <c r="C85" s="1023">
        <v>43553</v>
      </c>
      <c r="D85" s="1024">
        <v>43917</v>
      </c>
      <c r="E85" s="1024"/>
      <c r="F85" s="1037">
        <v>453377</v>
      </c>
      <c r="G85" s="1037">
        <v>170227</v>
      </c>
      <c r="H85" s="1026">
        <f t="shared" si="3"/>
        <v>55323.775000000001</v>
      </c>
      <c r="I85" s="1027">
        <f t="shared" si="6"/>
        <v>453377</v>
      </c>
      <c r="J85" s="1029">
        <f t="shared" si="5"/>
        <v>0.37546456922164118</v>
      </c>
      <c r="K85" s="1114"/>
      <c r="L85" s="1028"/>
      <c r="M85" s="1034"/>
      <c r="N85" s="1034"/>
      <c r="O85" s="1034"/>
      <c r="P85" s="1034"/>
      <c r="Q85" s="1021"/>
      <c r="R85" s="1017"/>
      <c r="S85" s="1017"/>
      <c r="T85" s="1351"/>
      <c r="U85" s="1017"/>
      <c r="V85" s="1017"/>
      <c r="W85" s="1017"/>
      <c r="X85" s="1017"/>
      <c r="Y85" s="1017"/>
      <c r="Z85" s="1017"/>
      <c r="AA85" s="1017"/>
      <c r="AB85" s="1017"/>
      <c r="AC85" s="1017"/>
      <c r="AD85" s="1017"/>
      <c r="AE85" s="1017"/>
      <c r="AF85" s="1017"/>
      <c r="AS85" s="1046" t="s">
        <v>317</v>
      </c>
      <c r="AT85" s="1047">
        <v>14143326</v>
      </c>
      <c r="AU85" s="146">
        <v>0.3</v>
      </c>
      <c r="AV85" s="1047">
        <f t="shared" si="7"/>
        <v>4242997.8</v>
      </c>
      <c r="AW85" s="1053">
        <f>SUM(G304:G331)</f>
        <v>4095019</v>
      </c>
      <c r="AX85" s="1049">
        <f t="shared" ref="AX85:AX87" si="8">AW85/AT85</f>
        <v>0.2895371993829457</v>
      </c>
      <c r="AY85" s="1054">
        <v>0.65</v>
      </c>
      <c r="AZ85" s="1051">
        <v>0.91</v>
      </c>
      <c r="BA85" s="1052">
        <v>0.94</v>
      </c>
    </row>
    <row r="86" spans="1:53" ht="15" customHeight="1">
      <c r="A86" s="1032"/>
      <c r="B86" s="1772"/>
      <c r="C86" s="1023">
        <v>43554</v>
      </c>
      <c r="D86" s="1024">
        <v>43918</v>
      </c>
      <c r="E86" s="1024"/>
      <c r="F86" s="1037">
        <v>667975</v>
      </c>
      <c r="G86" s="1037">
        <v>215951</v>
      </c>
      <c r="H86" s="1026">
        <f t="shared" si="3"/>
        <v>70184.074999999997</v>
      </c>
      <c r="I86" s="1027">
        <f t="shared" si="6"/>
        <v>667975</v>
      </c>
      <c r="J86" s="1029">
        <f t="shared" si="5"/>
        <v>0.32329203937273099</v>
      </c>
      <c r="K86" s="1114"/>
      <c r="L86" s="1028"/>
      <c r="M86" s="1034"/>
      <c r="N86" s="1034"/>
      <c r="O86" s="1034"/>
      <c r="P86" s="1034"/>
      <c r="Q86" s="1036"/>
      <c r="R86" s="1017"/>
      <c r="S86" s="1017"/>
      <c r="T86" s="1351"/>
      <c r="U86" s="1017"/>
      <c r="V86" s="1017"/>
      <c r="W86" s="1017"/>
      <c r="X86" s="1017"/>
      <c r="Y86" s="1017"/>
      <c r="Z86" s="1017"/>
      <c r="AA86" s="1017"/>
      <c r="AB86" s="1017"/>
      <c r="AC86" s="1017"/>
      <c r="AD86" s="1017"/>
      <c r="AE86" s="1017"/>
      <c r="AF86" s="1017"/>
      <c r="AS86" s="1055" t="s">
        <v>346</v>
      </c>
      <c r="AT86" s="1056">
        <v>33575093</v>
      </c>
      <c r="AU86" s="1057">
        <v>0.65</v>
      </c>
      <c r="AV86" s="1056">
        <f t="shared" si="7"/>
        <v>21823810.449999999</v>
      </c>
      <c r="AW86" s="843"/>
      <c r="AX86" s="1049">
        <f t="shared" si="8"/>
        <v>0</v>
      </c>
      <c r="AY86" s="1058">
        <v>0.75</v>
      </c>
      <c r="AZ86" s="1059">
        <v>0.89</v>
      </c>
      <c r="BA86" s="1052">
        <v>0.9</v>
      </c>
    </row>
    <row r="87" spans="1:53" ht="15.75" customHeight="1">
      <c r="A87" s="1032"/>
      <c r="B87" s="1770" t="s">
        <v>347</v>
      </c>
      <c r="C87" s="1023">
        <v>43555</v>
      </c>
      <c r="D87" s="1024">
        <v>43919</v>
      </c>
      <c r="E87" s="1024"/>
      <c r="F87" s="1060">
        <v>400716</v>
      </c>
      <c r="G87" s="1060">
        <v>134205</v>
      </c>
      <c r="H87" s="1026">
        <f t="shared" si="3"/>
        <v>43616.625</v>
      </c>
      <c r="I87" s="1027">
        <f t="shared" si="6"/>
        <v>400716</v>
      </c>
      <c r="J87" s="1029">
        <f t="shared" si="5"/>
        <v>0.33491300571976163</v>
      </c>
      <c r="K87" s="1114"/>
      <c r="L87" s="1028"/>
      <c r="M87" s="1034"/>
      <c r="N87" s="1034"/>
      <c r="O87" s="1034"/>
      <c r="P87" s="1034"/>
      <c r="Q87" s="1021"/>
      <c r="R87" s="1017"/>
      <c r="S87" s="1017"/>
      <c r="T87" s="1351"/>
      <c r="U87" s="1017"/>
      <c r="V87" s="1017"/>
      <c r="W87" s="1017"/>
      <c r="X87" s="1017"/>
      <c r="Y87" s="1017"/>
      <c r="Z87" s="1017"/>
      <c r="AA87" s="1017"/>
      <c r="AB87" s="1017"/>
      <c r="AC87" s="1017"/>
      <c r="AD87" s="1017"/>
      <c r="AE87" s="1017"/>
      <c r="AF87" s="1017"/>
      <c r="AS87" s="1061" t="s">
        <v>38</v>
      </c>
      <c r="AT87" s="1062">
        <f>SUM(AT81:AT86)</f>
        <v>97737470</v>
      </c>
      <c r="AU87" s="1063">
        <f>AV87/AT87</f>
        <v>0.54819468879233324</v>
      </c>
      <c r="AV87" s="1062">
        <f>SUM(AV81:AV86)</f>
        <v>53579161.950000003</v>
      </c>
      <c r="AW87" s="1062">
        <f>SUM(AW81:AW86)</f>
        <v>31659310</v>
      </c>
      <c r="AX87" s="1049">
        <f t="shared" si="8"/>
        <v>0.32392193086233967</v>
      </c>
      <c r="AY87" s="1064"/>
      <c r="AZ87" s="1064"/>
      <c r="BA87" s="22"/>
    </row>
    <row r="88" spans="1:53" ht="15" customHeight="1">
      <c r="A88" s="1032"/>
      <c r="B88" s="1771"/>
      <c r="C88" s="1023">
        <v>43556</v>
      </c>
      <c r="D88" s="1024">
        <v>43920</v>
      </c>
      <c r="E88" s="1024"/>
      <c r="F88" s="1060">
        <v>316602</v>
      </c>
      <c r="G88" s="1060">
        <v>161332</v>
      </c>
      <c r="H88" s="1026">
        <f t="shared" si="3"/>
        <v>52432.9</v>
      </c>
      <c r="I88" s="1027">
        <f t="shared" si="6"/>
        <v>316602</v>
      </c>
      <c r="J88" s="1029">
        <f t="shared" si="5"/>
        <v>0.50957353396377791</v>
      </c>
      <c r="K88" s="1114"/>
      <c r="L88" s="1028"/>
      <c r="M88" s="1034"/>
      <c r="N88" s="1034"/>
      <c r="O88" s="1034"/>
      <c r="P88" s="1034"/>
      <c r="Q88" s="1021"/>
      <c r="R88" s="1017"/>
      <c r="S88" s="1017"/>
      <c r="T88" s="1351"/>
      <c r="U88" s="1017"/>
      <c r="V88" s="1017"/>
      <c r="W88" s="1017"/>
      <c r="X88" s="1017"/>
      <c r="Y88" s="1017"/>
      <c r="Z88" s="1017"/>
      <c r="AA88" s="1017"/>
      <c r="AB88" s="1017"/>
      <c r="AC88" s="1017"/>
      <c r="AD88" s="1017"/>
      <c r="AE88" s="1017"/>
      <c r="AF88" s="1017"/>
    </row>
    <row r="89" spans="1:53" ht="15" customHeight="1">
      <c r="A89" s="1032"/>
      <c r="B89" s="1771"/>
      <c r="C89" s="1023">
        <v>43557</v>
      </c>
      <c r="D89" s="1024">
        <v>43921</v>
      </c>
      <c r="E89" s="1024"/>
      <c r="F89" s="1060">
        <v>289906</v>
      </c>
      <c r="G89" s="1060">
        <v>169055</v>
      </c>
      <c r="H89" s="1026">
        <f t="shared" si="3"/>
        <v>54942.875</v>
      </c>
      <c r="I89" s="1027">
        <f t="shared" si="6"/>
        <v>289906</v>
      </c>
      <c r="J89" s="1029">
        <f t="shared" si="5"/>
        <v>0.58313729277765891</v>
      </c>
      <c r="K89" s="1114"/>
      <c r="L89" s="1028"/>
      <c r="M89" s="1034"/>
      <c r="N89" s="1034"/>
      <c r="O89" s="1034"/>
      <c r="P89" s="1034"/>
      <c r="Q89" s="1036"/>
      <c r="R89" s="1017"/>
      <c r="S89" s="1017"/>
      <c r="T89" s="1351"/>
      <c r="U89" s="1017"/>
      <c r="V89" s="1017"/>
      <c r="W89" s="1017"/>
      <c r="X89" s="1017"/>
      <c r="Y89" s="1017"/>
      <c r="Z89" s="1017"/>
      <c r="AA89" s="1017"/>
      <c r="AB89" s="1017"/>
      <c r="AC89" s="1017"/>
      <c r="AD89" s="1017"/>
      <c r="AE89" s="1017"/>
      <c r="AF89" s="1017"/>
    </row>
    <row r="90" spans="1:53" ht="15" customHeight="1">
      <c r="A90" s="1032"/>
      <c r="B90" s="1771"/>
      <c r="C90" s="1023">
        <v>43558</v>
      </c>
      <c r="D90" s="1024">
        <v>43922</v>
      </c>
      <c r="E90" s="1024"/>
      <c r="F90" s="1060">
        <v>302175</v>
      </c>
      <c r="G90" s="1060">
        <v>160233</v>
      </c>
      <c r="H90" s="1026">
        <f t="shared" si="3"/>
        <v>52075.724999999999</v>
      </c>
      <c r="I90" s="1027">
        <f t="shared" si="6"/>
        <v>302175</v>
      </c>
      <c r="J90" s="1029">
        <f t="shared" si="5"/>
        <v>0.53026557458426404</v>
      </c>
      <c r="K90" s="1114"/>
      <c r="L90" s="1028"/>
      <c r="M90" s="1034"/>
      <c r="N90" s="1034"/>
      <c r="O90" s="1034"/>
      <c r="P90" s="1034"/>
      <c r="Q90" s="1065"/>
      <c r="R90" s="1017"/>
      <c r="S90" s="1017"/>
      <c r="T90" s="1351"/>
      <c r="U90" s="1017"/>
      <c r="V90" s="1017"/>
      <c r="W90" s="1017"/>
      <c r="X90" s="1017"/>
      <c r="Y90" s="1017"/>
      <c r="Z90" s="1017"/>
      <c r="AA90" s="1017"/>
      <c r="AB90" s="1017"/>
      <c r="AC90" s="1017"/>
      <c r="AD90" s="1017"/>
      <c r="AE90" s="1017"/>
      <c r="AF90" s="1017"/>
    </row>
    <row r="91" spans="1:53" ht="15" customHeight="1">
      <c r="A91" s="1032"/>
      <c r="B91" s="1771"/>
      <c r="C91" s="1023">
        <v>43559</v>
      </c>
      <c r="D91" s="1024">
        <v>43923</v>
      </c>
      <c r="E91" s="1024"/>
      <c r="F91" s="1060">
        <v>327873</v>
      </c>
      <c r="G91" s="1060">
        <v>144098</v>
      </c>
      <c r="H91" s="1026">
        <f t="shared" si="3"/>
        <v>46831.85</v>
      </c>
      <c r="I91" s="1027">
        <f t="shared" si="6"/>
        <v>327873</v>
      </c>
      <c r="J91" s="1029">
        <f t="shared" si="5"/>
        <v>0.43949334040924382</v>
      </c>
      <c r="K91" s="1114"/>
      <c r="L91" s="1028"/>
      <c r="M91" s="1034"/>
      <c r="N91" s="1034"/>
      <c r="O91" s="1034"/>
      <c r="P91" s="1034"/>
      <c r="Q91" s="1065"/>
      <c r="R91" s="1017"/>
      <c r="S91" s="1017"/>
      <c r="T91" s="1351"/>
      <c r="U91" s="1017"/>
      <c r="V91" s="1017"/>
      <c r="W91" s="1017"/>
      <c r="X91" s="1017"/>
      <c r="Y91" s="1017"/>
      <c r="Z91" s="1017"/>
      <c r="AA91" s="1017"/>
      <c r="AB91" s="1017"/>
      <c r="AC91" s="1017"/>
      <c r="AD91" s="1017"/>
      <c r="AE91" s="1017"/>
      <c r="AF91" s="1017"/>
    </row>
    <row r="92" spans="1:53" ht="15" customHeight="1">
      <c r="A92" s="1032"/>
      <c r="B92" s="1771"/>
      <c r="C92" s="1023">
        <v>43560</v>
      </c>
      <c r="D92" s="1024">
        <v>43924</v>
      </c>
      <c r="E92" s="1024"/>
      <c r="F92" s="1060">
        <v>433365</v>
      </c>
      <c r="G92" s="1060">
        <v>152843</v>
      </c>
      <c r="H92" s="1026">
        <f t="shared" si="3"/>
        <v>49673.974999999999</v>
      </c>
      <c r="I92" s="1027">
        <f t="shared" si="6"/>
        <v>433365</v>
      </c>
      <c r="J92" s="1029">
        <f t="shared" si="5"/>
        <v>0.35268884196924072</v>
      </c>
      <c r="K92" s="1114"/>
      <c r="L92" s="1028"/>
      <c r="M92" s="1034"/>
      <c r="N92" s="1034"/>
      <c r="O92" s="1034"/>
      <c r="P92" s="1034"/>
      <c r="Q92" s="1036"/>
      <c r="R92" s="1017"/>
      <c r="S92" s="1017"/>
      <c r="T92" s="1351"/>
      <c r="U92" s="1017"/>
      <c r="V92" s="1017"/>
      <c r="W92" s="1017"/>
      <c r="X92" s="1017"/>
      <c r="Y92" s="1017"/>
      <c r="Z92" s="1017"/>
      <c r="AA92" s="1017"/>
      <c r="AB92" s="1017"/>
      <c r="AC92" s="1017"/>
      <c r="AD92" s="1017"/>
      <c r="AE92" s="1017"/>
      <c r="AF92" s="1017"/>
    </row>
    <row r="93" spans="1:53" ht="15" customHeight="1">
      <c r="A93" s="1032"/>
      <c r="B93" s="1772"/>
      <c r="C93" s="1023">
        <v>43561</v>
      </c>
      <c r="D93" s="1024">
        <v>43925</v>
      </c>
      <c r="E93" s="1024"/>
      <c r="F93" s="1060">
        <v>676380</v>
      </c>
      <c r="G93" s="1060">
        <v>185495</v>
      </c>
      <c r="H93" s="1026">
        <f t="shared" si="3"/>
        <v>60285.875</v>
      </c>
      <c r="I93" s="1027">
        <f t="shared" si="6"/>
        <v>676380</v>
      </c>
      <c r="J93" s="1029">
        <f t="shared" si="5"/>
        <v>0.2742467252136373</v>
      </c>
      <c r="K93" s="1114"/>
      <c r="L93" s="1028"/>
      <c r="M93" s="1034"/>
      <c r="N93" s="1034"/>
      <c r="O93" s="1034"/>
      <c r="P93" s="1034"/>
      <c r="Q93" s="1036"/>
      <c r="R93" s="1017"/>
      <c r="S93" s="1017"/>
      <c r="T93" s="1351"/>
      <c r="U93" s="1017"/>
      <c r="V93" s="1017"/>
      <c r="W93" s="1017"/>
      <c r="X93" s="1017"/>
      <c r="Y93" s="1017"/>
      <c r="Z93" s="1017"/>
      <c r="AA93" s="1017"/>
      <c r="AB93" s="1017"/>
      <c r="AC93" s="1017"/>
      <c r="AD93" s="1017"/>
      <c r="AE93" s="1017"/>
      <c r="AF93" s="1017"/>
    </row>
    <row r="94" spans="1:53" ht="15" customHeight="1">
      <c r="A94" s="1032"/>
      <c r="B94" s="1770" t="s">
        <v>348</v>
      </c>
      <c r="C94" s="1023">
        <v>43562</v>
      </c>
      <c r="D94" s="1024">
        <v>43926</v>
      </c>
      <c r="E94" s="1024"/>
      <c r="F94" s="1066">
        <v>349005</v>
      </c>
      <c r="G94" s="1066">
        <v>97721</v>
      </c>
      <c r="H94" s="1026">
        <f t="shared" si="3"/>
        <v>31759.325000000001</v>
      </c>
      <c r="I94" s="1027">
        <f t="shared" si="6"/>
        <v>349005</v>
      </c>
      <c r="J94" s="1029">
        <f t="shared" si="5"/>
        <v>0.27999885388461482</v>
      </c>
      <c r="K94" s="1114"/>
      <c r="L94" s="1028"/>
      <c r="M94" s="1034"/>
      <c r="N94" s="1034"/>
      <c r="O94" s="1034"/>
      <c r="P94" s="1034"/>
      <c r="Q94" s="1036"/>
      <c r="R94" s="1017"/>
      <c r="S94" s="1017"/>
      <c r="T94" s="1351"/>
      <c r="U94" s="1017"/>
      <c r="V94" s="1017"/>
      <c r="W94" s="1017"/>
      <c r="X94" s="1017"/>
      <c r="Y94" s="1017"/>
      <c r="Z94" s="1017"/>
      <c r="AA94" s="1017"/>
      <c r="AB94" s="1017"/>
      <c r="AC94" s="1017"/>
      <c r="AD94" s="1017"/>
      <c r="AE94" s="1017"/>
      <c r="AF94" s="1017"/>
    </row>
    <row r="95" spans="1:53" ht="15" customHeight="1">
      <c r="A95" s="1032"/>
      <c r="B95" s="1771"/>
      <c r="C95" s="1023">
        <v>43563</v>
      </c>
      <c r="D95" s="1024">
        <v>43927</v>
      </c>
      <c r="E95" s="1024"/>
      <c r="F95" s="1066">
        <v>309435</v>
      </c>
      <c r="G95" s="1066">
        <v>148645</v>
      </c>
      <c r="H95" s="1026">
        <f t="shared" si="3"/>
        <v>48309.625</v>
      </c>
      <c r="I95" s="1027">
        <f t="shared" si="6"/>
        <v>309435</v>
      </c>
      <c r="J95" s="1029">
        <f t="shared" si="5"/>
        <v>0.48037552313086757</v>
      </c>
      <c r="K95" s="1114"/>
      <c r="L95" s="1028"/>
      <c r="M95" s="1034"/>
      <c r="N95" s="1034"/>
      <c r="O95" s="1034"/>
      <c r="P95" s="1034"/>
      <c r="Q95" s="1036"/>
      <c r="R95" s="1017"/>
      <c r="S95" s="1017"/>
      <c r="T95" s="1351"/>
      <c r="U95" s="1017"/>
      <c r="V95" s="1017"/>
      <c r="W95" s="1017"/>
      <c r="X95" s="1017"/>
      <c r="Y95" s="1017"/>
      <c r="Z95" s="1017"/>
      <c r="AA95" s="1017"/>
      <c r="AB95" s="1017"/>
      <c r="AC95" s="1017"/>
      <c r="AD95" s="1017"/>
      <c r="AE95" s="1017"/>
      <c r="AF95" s="1017"/>
    </row>
    <row r="96" spans="1:53" ht="15" customHeight="1">
      <c r="A96" s="1032"/>
      <c r="B96" s="1771"/>
      <c r="C96" s="1023">
        <v>43564</v>
      </c>
      <c r="D96" s="1024">
        <v>43928</v>
      </c>
      <c r="E96" s="1024"/>
      <c r="F96" s="1066">
        <v>289895</v>
      </c>
      <c r="G96" s="1066">
        <v>122592</v>
      </c>
      <c r="H96" s="1026">
        <f t="shared" si="3"/>
        <v>39842.400000000001</v>
      </c>
      <c r="I96" s="1027">
        <f t="shared" si="6"/>
        <v>289895</v>
      </c>
      <c r="J96" s="1029">
        <f t="shared" si="5"/>
        <v>0.42288414770865312</v>
      </c>
      <c r="K96" s="1114"/>
      <c r="L96" s="1028"/>
      <c r="M96" s="1034"/>
      <c r="N96" s="1034"/>
      <c r="O96" s="1034"/>
      <c r="P96" s="1034"/>
      <c r="Q96" s="1036"/>
      <c r="R96" s="1017"/>
      <c r="S96" s="1017"/>
      <c r="T96" s="1351"/>
      <c r="U96" s="1017"/>
      <c r="V96" s="1017"/>
      <c r="W96" s="1017"/>
      <c r="X96" s="1017"/>
      <c r="Y96" s="1017"/>
      <c r="Z96" s="1017"/>
      <c r="AA96" s="1017"/>
      <c r="AB96" s="1017"/>
      <c r="AC96" s="1017"/>
      <c r="AD96" s="1017"/>
      <c r="AE96" s="1017"/>
      <c r="AF96" s="1017"/>
    </row>
    <row r="97" spans="1:32" ht="15" customHeight="1">
      <c r="A97" s="1032"/>
      <c r="B97" s="1771"/>
      <c r="C97" s="1023">
        <v>43565</v>
      </c>
      <c r="D97" s="1024">
        <v>43929</v>
      </c>
      <c r="E97" s="1024"/>
      <c r="F97" s="1066">
        <v>319739</v>
      </c>
      <c r="G97" s="1066">
        <v>110998</v>
      </c>
      <c r="H97" s="1026">
        <f t="shared" si="3"/>
        <v>36074.35</v>
      </c>
      <c r="I97" s="1027">
        <f t="shared" si="6"/>
        <v>319739</v>
      </c>
      <c r="J97" s="1029">
        <f t="shared" si="5"/>
        <v>0.34715189576498329</v>
      </c>
      <c r="K97" s="1114"/>
      <c r="L97" s="1028"/>
      <c r="M97" s="1034"/>
      <c r="N97" s="1034"/>
      <c r="O97" s="1034"/>
      <c r="P97" s="1034"/>
      <c r="Q97" s="1036"/>
      <c r="R97" s="1017"/>
      <c r="S97" s="1017"/>
      <c r="T97" s="1351"/>
      <c r="U97" s="1017"/>
      <c r="V97" s="1017"/>
      <c r="W97" s="1017"/>
      <c r="X97" s="1017"/>
      <c r="Y97" s="1017"/>
      <c r="Z97" s="1017"/>
      <c r="AA97" s="1017"/>
      <c r="AB97" s="1017"/>
      <c r="AC97" s="1017"/>
      <c r="AD97" s="1017"/>
      <c r="AE97" s="1017"/>
      <c r="AF97" s="1017"/>
    </row>
    <row r="98" spans="1:32" ht="15" customHeight="1">
      <c r="A98" s="1032"/>
      <c r="B98" s="1771"/>
      <c r="C98" s="1023">
        <v>43566</v>
      </c>
      <c r="D98" s="1024">
        <v>43930</v>
      </c>
      <c r="E98" s="1024"/>
      <c r="F98" s="1066">
        <v>362559</v>
      </c>
      <c r="G98" s="1066">
        <v>118000</v>
      </c>
      <c r="H98" s="1026">
        <f t="shared" si="3"/>
        <v>38350</v>
      </c>
      <c r="I98" s="1027">
        <f t="shared" si="6"/>
        <v>362559</v>
      </c>
      <c r="J98" s="1029">
        <f t="shared" si="5"/>
        <v>0.32546426926376121</v>
      </c>
      <c r="K98" s="1114"/>
      <c r="L98" s="1028"/>
      <c r="M98" s="1034"/>
      <c r="N98" s="1034"/>
      <c r="O98" s="1034"/>
      <c r="P98" s="1034"/>
      <c r="Q98" s="1036"/>
      <c r="R98" s="1017"/>
      <c r="S98" s="1017"/>
      <c r="T98" s="1351"/>
      <c r="U98" s="1017"/>
      <c r="V98" s="1017"/>
      <c r="W98" s="1017"/>
      <c r="X98" s="1017"/>
      <c r="Y98" s="1017"/>
      <c r="Z98" s="1017"/>
      <c r="AA98" s="1017"/>
      <c r="AB98" s="1017"/>
      <c r="AC98" s="1017"/>
      <c r="AD98" s="1017"/>
      <c r="AE98" s="1017"/>
      <c r="AF98" s="1017"/>
    </row>
    <row r="99" spans="1:32" ht="15" customHeight="1">
      <c r="A99" s="1032"/>
      <c r="B99" s="1771"/>
      <c r="C99" s="1023">
        <v>43567</v>
      </c>
      <c r="D99" s="1024">
        <v>43931</v>
      </c>
      <c r="E99" s="1024"/>
      <c r="F99" s="1066">
        <v>479237</v>
      </c>
      <c r="G99" s="1066">
        <v>66689</v>
      </c>
      <c r="H99" s="1026">
        <f t="shared" si="3"/>
        <v>21673.924999999999</v>
      </c>
      <c r="I99" s="1027">
        <f t="shared" si="6"/>
        <v>479237</v>
      </c>
      <c r="J99" s="1029">
        <f t="shared" si="5"/>
        <v>0.13915661770689658</v>
      </c>
      <c r="K99" s="1114"/>
      <c r="L99" s="1028"/>
      <c r="M99" s="1034"/>
      <c r="N99" s="1034"/>
      <c r="O99" s="1034"/>
      <c r="P99" s="1034"/>
      <c r="Q99" s="1036"/>
      <c r="R99" s="1017"/>
      <c r="S99" s="1017"/>
      <c r="T99" s="1351"/>
      <c r="U99" s="1017"/>
      <c r="V99" s="1017"/>
      <c r="W99" s="1017"/>
      <c r="X99" s="1017"/>
      <c r="Y99" s="1017"/>
      <c r="Z99" s="1017"/>
      <c r="AA99" s="1017"/>
      <c r="AB99" s="1017"/>
      <c r="AC99" s="1017"/>
      <c r="AD99" s="1017"/>
      <c r="AE99" s="1017"/>
      <c r="AF99" s="1017"/>
    </row>
    <row r="100" spans="1:32" ht="15" customHeight="1">
      <c r="A100" s="1032"/>
      <c r="B100" s="1772"/>
      <c r="C100" s="1023">
        <v>43568</v>
      </c>
      <c r="D100" s="1024">
        <v>43932</v>
      </c>
      <c r="E100" s="1024"/>
      <c r="F100" s="1066">
        <v>776554</v>
      </c>
      <c r="G100" s="1066">
        <v>122451</v>
      </c>
      <c r="H100" s="1026">
        <f t="shared" si="3"/>
        <v>39796.575000000004</v>
      </c>
      <c r="I100" s="1027">
        <f t="shared" si="6"/>
        <v>776554</v>
      </c>
      <c r="J100" s="1029">
        <f t="shared" si="5"/>
        <v>0.15768510625146481</v>
      </c>
      <c r="K100" s="1114"/>
      <c r="L100" s="1028"/>
      <c r="M100" s="1034"/>
      <c r="N100" s="1034"/>
      <c r="O100" s="1034"/>
      <c r="P100" s="1034"/>
      <c r="Q100" s="1036"/>
      <c r="R100" s="1017"/>
      <c r="S100" s="1017"/>
      <c r="T100" s="1351"/>
      <c r="U100" s="1017"/>
      <c r="V100" s="1017"/>
      <c r="W100" s="1017"/>
      <c r="X100" s="1017"/>
      <c r="Y100" s="1017"/>
      <c r="Z100" s="1017"/>
      <c r="AA100" s="1017"/>
      <c r="AB100" s="1017"/>
      <c r="AC100" s="1017"/>
      <c r="AD100" s="1017"/>
      <c r="AE100" s="1017"/>
      <c r="AF100" s="1017"/>
    </row>
    <row r="101" spans="1:32" ht="15" customHeight="1">
      <c r="A101" s="1032"/>
      <c r="B101" s="1770" t="s">
        <v>349</v>
      </c>
      <c r="C101" s="1023">
        <v>43569</v>
      </c>
      <c r="D101" s="1024">
        <v>43933</v>
      </c>
      <c r="E101" s="1024"/>
      <c r="F101" s="1067">
        <v>373328</v>
      </c>
      <c r="G101" s="1067">
        <v>68529</v>
      </c>
      <c r="H101" s="1026">
        <f t="shared" si="3"/>
        <v>22271.924999999999</v>
      </c>
      <c r="I101" s="1027">
        <f t="shared" si="6"/>
        <v>373328</v>
      </c>
      <c r="J101" s="1029">
        <f t="shared" si="5"/>
        <v>0.18356244374919642</v>
      </c>
      <c r="K101" s="1114"/>
      <c r="L101" s="1028"/>
      <c r="M101" s="1034"/>
      <c r="N101" s="1034"/>
      <c r="O101" s="1034"/>
      <c r="P101" s="1034"/>
      <c r="Q101" s="1036"/>
      <c r="R101" s="1017"/>
      <c r="S101" s="1017"/>
      <c r="T101" s="1351"/>
      <c r="U101" s="1017"/>
      <c r="V101" s="1017"/>
      <c r="W101" s="1017"/>
      <c r="X101" s="1017"/>
      <c r="Y101" s="1017"/>
      <c r="Z101" s="1017"/>
      <c r="AA101" s="1017"/>
      <c r="AB101" s="1017"/>
      <c r="AC101" s="1017"/>
      <c r="AD101" s="1017"/>
      <c r="AE101" s="1017"/>
      <c r="AF101" s="1017"/>
    </row>
    <row r="102" spans="1:32" ht="15" customHeight="1">
      <c r="A102" s="1032"/>
      <c r="B102" s="1771"/>
      <c r="C102" s="1023">
        <v>43570</v>
      </c>
      <c r="D102" s="1024">
        <v>43934</v>
      </c>
      <c r="E102" s="1024"/>
      <c r="F102" s="1067">
        <v>460345</v>
      </c>
      <c r="G102" s="1067">
        <v>89917</v>
      </c>
      <c r="H102" s="1026">
        <f t="shared" si="3"/>
        <v>29223.025000000001</v>
      </c>
      <c r="I102" s="1027">
        <f t="shared" si="6"/>
        <v>460345</v>
      </c>
      <c r="J102" s="1029">
        <f t="shared" si="5"/>
        <v>0.19532524519653738</v>
      </c>
      <c r="K102" s="1114"/>
      <c r="L102" s="1028"/>
      <c r="M102" s="1034"/>
      <c r="N102" s="1034"/>
      <c r="O102" s="1034"/>
      <c r="P102" s="1034"/>
      <c r="Q102" s="1036"/>
      <c r="R102" s="1017"/>
      <c r="S102" s="1017"/>
      <c r="T102" s="1351"/>
      <c r="U102" s="1017"/>
      <c r="V102" s="1017"/>
      <c r="W102" s="1017"/>
      <c r="X102" s="1017"/>
      <c r="Y102" s="1017"/>
      <c r="Z102" s="1017"/>
      <c r="AA102" s="1017"/>
      <c r="AB102" s="1017"/>
      <c r="AC102" s="1017"/>
      <c r="AD102" s="1017"/>
      <c r="AE102" s="1017"/>
      <c r="AF102" s="1017"/>
    </row>
    <row r="103" spans="1:32" ht="15" customHeight="1">
      <c r="A103" s="1032"/>
      <c r="B103" s="1771"/>
      <c r="C103" s="1023">
        <v>43571</v>
      </c>
      <c r="D103" s="1024">
        <v>43935</v>
      </c>
      <c r="E103" s="1024"/>
      <c r="F103" s="1067">
        <v>405603</v>
      </c>
      <c r="G103" s="1067">
        <v>95022</v>
      </c>
      <c r="H103" s="1026">
        <f t="shared" si="3"/>
        <v>30882.15</v>
      </c>
      <c r="I103" s="1027">
        <f t="shared" si="6"/>
        <v>405603</v>
      </c>
      <c r="J103" s="1029">
        <f t="shared" si="5"/>
        <v>0.234273415137462</v>
      </c>
      <c r="K103" s="1114"/>
      <c r="L103" s="1028"/>
      <c r="M103" s="1034"/>
      <c r="N103" s="1034"/>
      <c r="O103" s="1034"/>
      <c r="P103" s="1034"/>
      <c r="Q103" s="1036"/>
      <c r="R103" s="1017"/>
      <c r="S103" s="1017"/>
      <c r="T103" s="1351"/>
      <c r="U103" s="1017"/>
      <c r="V103" s="1017"/>
      <c r="W103" s="1017"/>
      <c r="X103" s="1017"/>
      <c r="Y103" s="1017"/>
      <c r="Z103" s="1017"/>
      <c r="AA103" s="1017"/>
      <c r="AB103" s="1017"/>
      <c r="AC103" s="1017"/>
      <c r="AD103" s="1017"/>
      <c r="AE103" s="1017"/>
      <c r="AF103" s="1017"/>
    </row>
    <row r="104" spans="1:32" ht="15" customHeight="1">
      <c r="A104" s="1032"/>
      <c r="B104" s="1771"/>
      <c r="C104" s="1023">
        <v>43572</v>
      </c>
      <c r="D104" s="1024">
        <v>43936</v>
      </c>
      <c r="E104" s="1024"/>
      <c r="F104" s="1067">
        <v>466597</v>
      </c>
      <c r="G104" s="1067">
        <v>121188</v>
      </c>
      <c r="H104" s="1026">
        <f t="shared" si="3"/>
        <v>39386.1</v>
      </c>
      <c r="I104" s="1027">
        <f t="shared" si="6"/>
        <v>466597</v>
      </c>
      <c r="J104" s="1029">
        <f t="shared" si="5"/>
        <v>0.25972734501079092</v>
      </c>
      <c r="K104" s="1114"/>
      <c r="L104" s="1028"/>
      <c r="M104" s="1034"/>
      <c r="N104" s="1034"/>
      <c r="O104" s="1034"/>
      <c r="P104" s="1034"/>
      <c r="Q104" s="1036"/>
      <c r="R104" s="1017"/>
      <c r="S104" s="1017"/>
      <c r="T104" s="1351"/>
      <c r="U104" s="1017"/>
      <c r="V104" s="1017"/>
      <c r="W104" s="1017"/>
      <c r="X104" s="1017"/>
      <c r="Y104" s="1017"/>
      <c r="Z104" s="1017"/>
      <c r="AA104" s="1017"/>
      <c r="AB104" s="1017"/>
      <c r="AC104" s="1017"/>
      <c r="AD104" s="1017"/>
      <c r="AE104" s="1017"/>
      <c r="AF104" s="1017"/>
    </row>
    <row r="105" spans="1:32" ht="15" customHeight="1">
      <c r="A105" s="1032"/>
      <c r="B105" s="1771"/>
      <c r="C105" s="1023">
        <v>43573</v>
      </c>
      <c r="D105" s="1024">
        <v>43937</v>
      </c>
      <c r="E105" s="1024"/>
      <c r="F105" s="1067">
        <v>524591</v>
      </c>
      <c r="G105" s="1067">
        <v>100740</v>
      </c>
      <c r="H105" s="1026">
        <f t="shared" si="3"/>
        <v>32740.5</v>
      </c>
      <c r="I105" s="1027">
        <f t="shared" si="6"/>
        <v>524591</v>
      </c>
      <c r="J105" s="1029">
        <f t="shared" si="5"/>
        <v>0.19203531894371043</v>
      </c>
      <c r="K105" s="1114"/>
      <c r="L105" s="1028"/>
      <c r="M105" s="1034"/>
      <c r="N105" s="1034"/>
      <c r="O105" s="1034"/>
      <c r="P105" s="1034"/>
      <c r="Q105" s="1036"/>
      <c r="R105" s="1017"/>
      <c r="S105" s="1017"/>
      <c r="T105" s="1351"/>
      <c r="U105" s="1017"/>
      <c r="V105" s="1017"/>
      <c r="W105" s="1017"/>
      <c r="X105" s="1017"/>
      <c r="Y105" s="1017"/>
      <c r="Z105" s="1017"/>
      <c r="AA105" s="1017"/>
      <c r="AB105" s="1017"/>
      <c r="AC105" s="1017"/>
      <c r="AD105" s="1017"/>
      <c r="AE105" s="1017"/>
      <c r="AF105" s="1017"/>
    </row>
    <row r="106" spans="1:32" ht="15" customHeight="1">
      <c r="A106" s="1032"/>
      <c r="B106" s="1771"/>
      <c r="C106" s="1023">
        <v>43574</v>
      </c>
      <c r="D106" s="1024">
        <v>43938</v>
      </c>
      <c r="E106" s="1024"/>
      <c r="F106" s="1067">
        <v>281775</v>
      </c>
      <c r="G106" s="1067">
        <v>109898.59</v>
      </c>
      <c r="H106" s="1026">
        <f t="shared" si="3"/>
        <v>35717.041749999997</v>
      </c>
      <c r="I106" s="1027">
        <f t="shared" si="6"/>
        <v>281775</v>
      </c>
      <c r="J106" s="1029">
        <f t="shared" si="5"/>
        <v>0.39002250022180818</v>
      </c>
      <c r="K106" s="1114"/>
      <c r="L106" s="1028"/>
      <c r="M106" s="1034"/>
      <c r="N106" s="1034"/>
      <c r="O106" s="1034"/>
      <c r="P106" s="1034"/>
      <c r="Q106" s="1036"/>
      <c r="R106" s="1017"/>
      <c r="S106" s="1017"/>
      <c r="T106" s="1351"/>
      <c r="U106" s="1017"/>
      <c r="V106" s="1017"/>
      <c r="W106" s="1017"/>
      <c r="X106" s="1017"/>
      <c r="Y106" s="1017"/>
      <c r="Z106" s="1017"/>
      <c r="AA106" s="1017"/>
      <c r="AB106" s="1017"/>
      <c r="AC106" s="1017"/>
      <c r="AD106" s="1017"/>
      <c r="AE106" s="1017"/>
      <c r="AF106" s="1017"/>
    </row>
    <row r="107" spans="1:32" ht="15" customHeight="1">
      <c r="A107" s="1032"/>
      <c r="B107" s="1771"/>
      <c r="C107" s="1068">
        <v>43575</v>
      </c>
      <c r="D107" s="1069">
        <v>43939</v>
      </c>
      <c r="E107" s="1069"/>
      <c r="F107" s="1070">
        <v>538612</v>
      </c>
      <c r="G107" s="1070">
        <v>137667.88</v>
      </c>
      <c r="H107" s="1026">
        <f t="shared" si="3"/>
        <v>44742.061000000002</v>
      </c>
      <c r="I107" s="1027">
        <f t="shared" si="6"/>
        <v>538612</v>
      </c>
      <c r="J107" s="1029">
        <f t="shared" si="5"/>
        <v>0.25559749875606191</v>
      </c>
      <c r="K107" s="1114"/>
      <c r="L107" s="1028"/>
      <c r="M107" s="1034"/>
      <c r="N107" s="1034"/>
      <c r="O107" s="1034"/>
      <c r="P107" s="1034"/>
      <c r="Q107" s="1036"/>
      <c r="R107" s="1017"/>
      <c r="S107" s="1017"/>
      <c r="T107" s="1351"/>
      <c r="U107" s="1017"/>
      <c r="V107" s="1017"/>
      <c r="W107" s="1017"/>
      <c r="X107" s="1017"/>
      <c r="Y107" s="1017"/>
      <c r="Z107" s="1017"/>
      <c r="AA107" s="1017"/>
      <c r="AB107" s="1017"/>
      <c r="AC107" s="1017"/>
      <c r="AD107" s="1017"/>
      <c r="AE107" s="1017"/>
      <c r="AF107" s="1017"/>
    </row>
    <row r="108" spans="1:32" ht="15" customHeight="1">
      <c r="A108" s="1022"/>
      <c r="B108" s="1776" t="s">
        <v>350</v>
      </c>
      <c r="C108" s="1071">
        <v>43576</v>
      </c>
      <c r="D108" s="1072">
        <v>43940</v>
      </c>
      <c r="E108" s="1072"/>
      <c r="F108" s="1073">
        <v>280933</v>
      </c>
      <c r="G108" s="1074">
        <v>69570.080000000002</v>
      </c>
      <c r="H108" s="1026">
        <f t="shared" si="3"/>
        <v>22610.276000000002</v>
      </c>
      <c r="I108" s="1027">
        <f t="shared" si="6"/>
        <v>280933</v>
      </c>
      <c r="J108" s="1029">
        <f t="shared" si="5"/>
        <v>0.24763940156549782</v>
      </c>
      <c r="K108" s="1114"/>
      <c r="L108" s="1028"/>
      <c r="M108" s="1034"/>
      <c r="N108" s="1034"/>
      <c r="O108" s="1034"/>
      <c r="P108" s="1034"/>
      <c r="Q108" s="1036"/>
      <c r="R108" s="1017"/>
      <c r="S108" s="1017"/>
      <c r="T108" s="1351"/>
      <c r="U108" s="1017"/>
      <c r="V108" s="1017"/>
      <c r="W108" s="1017"/>
      <c r="X108" s="1017"/>
      <c r="Y108" s="1017"/>
      <c r="Z108" s="1017"/>
      <c r="AA108" s="1017"/>
      <c r="AB108" s="1017"/>
      <c r="AC108" s="1017"/>
      <c r="AD108" s="1017"/>
      <c r="AE108" s="1017"/>
      <c r="AF108" s="1017"/>
    </row>
    <row r="109" spans="1:32" ht="15" customHeight="1">
      <c r="A109" s="1022"/>
      <c r="B109" s="1777"/>
      <c r="C109" s="1023">
        <v>43577</v>
      </c>
      <c r="D109" s="1024">
        <v>43941</v>
      </c>
      <c r="E109" s="1024"/>
      <c r="F109" s="1075">
        <v>364571</v>
      </c>
      <c r="G109" s="1076">
        <v>76544.81</v>
      </c>
      <c r="H109" s="1026">
        <f t="shared" si="3"/>
        <v>24877.063249999999</v>
      </c>
      <c r="I109" s="1027">
        <f t="shared" si="6"/>
        <v>364571</v>
      </c>
      <c r="J109" s="1029">
        <f t="shared" si="5"/>
        <v>0.20995858145601268</v>
      </c>
      <c r="K109" s="1114"/>
      <c r="L109" s="1028"/>
      <c r="M109" s="1034"/>
      <c r="N109" s="1034"/>
      <c r="O109" s="1034"/>
      <c r="P109" s="1034"/>
      <c r="Q109" s="1036"/>
      <c r="R109" s="1017"/>
      <c r="S109" s="1017"/>
      <c r="T109" s="1351"/>
      <c r="U109" s="1017"/>
      <c r="V109" s="1017"/>
      <c r="W109" s="1017"/>
      <c r="X109" s="1017"/>
      <c r="Y109" s="1017"/>
      <c r="Z109" s="1017"/>
      <c r="AA109" s="1017"/>
      <c r="AB109" s="1017"/>
      <c r="AC109" s="1017"/>
      <c r="AD109" s="1017"/>
      <c r="AE109" s="1017"/>
      <c r="AF109" s="1017"/>
    </row>
    <row r="110" spans="1:32" ht="15" customHeight="1">
      <c r="A110" s="1022"/>
      <c r="B110" s="1777"/>
      <c r="C110" s="1023">
        <v>43578</v>
      </c>
      <c r="D110" s="1024">
        <v>43942</v>
      </c>
      <c r="E110" s="1024"/>
      <c r="F110" s="1075">
        <v>355293</v>
      </c>
      <c r="G110" s="1076">
        <v>68532.179999999993</v>
      </c>
      <c r="H110" s="1026">
        <f t="shared" si="3"/>
        <v>22272.958499999997</v>
      </c>
      <c r="I110" s="1027">
        <f t="shared" si="6"/>
        <v>355293</v>
      </c>
      <c r="J110" s="1029">
        <f t="shared" si="5"/>
        <v>0.19288919286335501</v>
      </c>
      <c r="K110" s="1114"/>
      <c r="L110" s="1028"/>
      <c r="M110" s="1034"/>
      <c r="N110" s="1034"/>
      <c r="O110" s="1034"/>
      <c r="P110" s="1034"/>
      <c r="Q110" s="1036"/>
      <c r="R110" s="1017"/>
      <c r="S110" s="1017"/>
      <c r="T110" s="1351"/>
      <c r="U110" s="1017"/>
      <c r="V110" s="1017"/>
      <c r="W110" s="1017"/>
      <c r="X110" s="1017"/>
      <c r="Y110" s="1017"/>
      <c r="Z110" s="1017"/>
      <c r="AA110" s="1017"/>
      <c r="AB110" s="1017"/>
      <c r="AC110" s="1017"/>
      <c r="AD110" s="1017"/>
      <c r="AE110" s="1017"/>
      <c r="AF110" s="1017"/>
    </row>
    <row r="111" spans="1:32" ht="15" customHeight="1">
      <c r="A111" s="1022"/>
      <c r="B111" s="1777"/>
      <c r="C111" s="1023">
        <v>43579</v>
      </c>
      <c r="D111" s="1024">
        <v>43943</v>
      </c>
      <c r="E111" s="1024"/>
      <c r="F111" s="1075">
        <v>359292</v>
      </c>
      <c r="G111" s="1076">
        <v>53823.32</v>
      </c>
      <c r="H111" s="1026">
        <f t="shared" si="3"/>
        <v>17492.579000000002</v>
      </c>
      <c r="I111" s="1027">
        <f t="shared" si="6"/>
        <v>359292</v>
      </c>
      <c r="J111" s="1029">
        <f t="shared" si="5"/>
        <v>0.14980383643387551</v>
      </c>
      <c r="K111" s="1114"/>
      <c r="L111" s="1028"/>
      <c r="M111" s="1034"/>
      <c r="N111" s="1034"/>
      <c r="O111" s="1034"/>
      <c r="P111" s="1034"/>
      <c r="Q111" s="1036"/>
      <c r="R111" s="1017"/>
      <c r="S111" s="1017"/>
      <c r="T111" s="1351"/>
      <c r="U111" s="1017"/>
      <c r="V111" s="1017"/>
      <c r="W111" s="1017"/>
      <c r="X111" s="1017"/>
      <c r="Y111" s="1017"/>
      <c r="Z111" s="1017"/>
      <c r="AA111" s="1017"/>
      <c r="AB111" s="1017"/>
      <c r="AC111" s="1017"/>
      <c r="AD111" s="1017"/>
      <c r="AE111" s="1017"/>
      <c r="AF111" s="1017"/>
    </row>
    <row r="112" spans="1:32" ht="15" customHeight="1">
      <c r="A112" s="1022"/>
      <c r="B112" s="1777"/>
      <c r="C112" s="1023">
        <v>43580</v>
      </c>
      <c r="D112" s="1024">
        <v>43944</v>
      </c>
      <c r="E112" s="1024"/>
      <c r="F112" s="1075">
        <v>387329</v>
      </c>
      <c r="G112" s="1076">
        <v>53932</v>
      </c>
      <c r="H112" s="1026">
        <f t="shared" si="3"/>
        <v>17527.900000000001</v>
      </c>
      <c r="I112" s="1027">
        <f t="shared" si="6"/>
        <v>387329</v>
      </c>
      <c r="J112" s="1029">
        <f t="shared" si="5"/>
        <v>0.13924080045645951</v>
      </c>
      <c r="K112" s="1114"/>
      <c r="L112" s="1028"/>
      <c r="M112" s="1034"/>
      <c r="N112" s="1034"/>
      <c r="O112" s="1034"/>
      <c r="P112" s="1034"/>
      <c r="Q112" s="1036"/>
      <c r="R112" s="1017"/>
      <c r="S112" s="1017"/>
      <c r="T112" s="1351"/>
      <c r="U112" s="1017"/>
      <c r="V112" s="1017"/>
      <c r="W112" s="1017"/>
      <c r="X112" s="1017"/>
      <c r="Y112" s="1017"/>
      <c r="Z112" s="1017"/>
      <c r="AA112" s="1017"/>
      <c r="AB112" s="1017"/>
      <c r="AC112" s="1017"/>
      <c r="AD112" s="1017"/>
      <c r="AE112" s="1017"/>
      <c r="AF112" s="1017"/>
    </row>
    <row r="113" spans="1:32" ht="15" customHeight="1">
      <c r="A113" s="1022"/>
      <c r="B113" s="1777"/>
      <c r="C113" s="1023">
        <v>43581</v>
      </c>
      <c r="D113" s="1024">
        <v>43945</v>
      </c>
      <c r="E113" s="1024"/>
      <c r="F113" s="1075">
        <v>499498</v>
      </c>
      <c r="G113" s="1076">
        <v>54528</v>
      </c>
      <c r="H113" s="1026">
        <f t="shared" si="3"/>
        <v>17721.600000000002</v>
      </c>
      <c r="I113" s="1027">
        <f t="shared" si="6"/>
        <v>499498</v>
      </c>
      <c r="J113" s="1029">
        <f t="shared" si="5"/>
        <v>0.10916560226467373</v>
      </c>
      <c r="K113" s="1114"/>
      <c r="L113" s="1028"/>
      <c r="M113" s="1034"/>
      <c r="N113" s="1034"/>
      <c r="O113" s="1034"/>
      <c r="P113" s="1034"/>
      <c r="Q113" s="1036"/>
      <c r="R113" s="1017"/>
      <c r="S113" s="1017"/>
      <c r="T113" s="1351"/>
      <c r="U113" s="1017"/>
      <c r="V113" s="1017"/>
      <c r="W113" s="1017"/>
      <c r="X113" s="1017"/>
      <c r="Y113" s="1017"/>
      <c r="Z113" s="1017"/>
      <c r="AA113" s="1017"/>
      <c r="AB113" s="1017"/>
      <c r="AC113" s="1017"/>
      <c r="AD113" s="1017"/>
      <c r="AE113" s="1017"/>
      <c r="AF113" s="1017"/>
    </row>
    <row r="114" spans="1:32" ht="15" customHeight="1">
      <c r="A114" s="1022"/>
      <c r="B114" s="1777"/>
      <c r="C114" s="1068">
        <v>43582</v>
      </c>
      <c r="D114" s="1069">
        <v>43946</v>
      </c>
      <c r="E114" s="1069"/>
      <c r="F114" s="1077">
        <v>671242</v>
      </c>
      <c r="G114" s="1078">
        <v>95401</v>
      </c>
      <c r="H114" s="1026">
        <f t="shared" si="3"/>
        <v>31005.325000000001</v>
      </c>
      <c r="I114" s="1027">
        <f t="shared" si="6"/>
        <v>671242</v>
      </c>
      <c r="J114" s="1029">
        <f t="shared" si="5"/>
        <v>0.14212608865357054</v>
      </c>
      <c r="K114" s="1114"/>
      <c r="L114" s="1028"/>
      <c r="M114" s="1034"/>
      <c r="N114" s="1034"/>
      <c r="O114" s="1034"/>
      <c r="P114" s="1034"/>
      <c r="Q114" s="1036"/>
      <c r="R114" s="1017"/>
      <c r="S114" s="1017"/>
      <c r="T114" s="1351"/>
      <c r="U114" s="1017"/>
      <c r="V114" s="1017"/>
      <c r="W114" s="1017"/>
      <c r="X114" s="1017"/>
      <c r="Y114" s="1017"/>
      <c r="Z114" s="1017"/>
      <c r="AA114" s="1017"/>
      <c r="AB114" s="1017"/>
      <c r="AC114" s="1017"/>
      <c r="AD114" s="1017"/>
      <c r="AE114" s="1017"/>
      <c r="AF114" s="1017"/>
    </row>
    <row r="115" spans="1:32" ht="16.5">
      <c r="A115" s="1022"/>
      <c r="B115" s="1765" t="s">
        <v>351</v>
      </c>
      <c r="C115" s="1079">
        <v>43583</v>
      </c>
      <c r="D115" s="1072">
        <v>43947</v>
      </c>
      <c r="E115" s="1072"/>
      <c r="F115" s="1073">
        <v>374612.28775189002</v>
      </c>
      <c r="G115" s="1080">
        <v>50212</v>
      </c>
      <c r="H115" s="1026">
        <f t="shared" si="3"/>
        <v>16318.900000000001</v>
      </c>
      <c r="I115" s="1027">
        <f t="shared" si="6"/>
        <v>374612.28775189002</v>
      </c>
      <c r="J115" s="1029">
        <f t="shared" si="5"/>
        <v>0.13403724768701655</v>
      </c>
      <c r="K115" s="1114"/>
      <c r="L115" s="1028"/>
      <c r="M115" s="1034"/>
      <c r="N115" s="1034"/>
      <c r="O115" s="1034"/>
      <c r="P115" s="1034"/>
      <c r="Q115" s="1036"/>
      <c r="R115" s="1017"/>
      <c r="S115" s="1017"/>
      <c r="T115" s="1351"/>
      <c r="U115" s="1017"/>
      <c r="V115" s="1017"/>
      <c r="W115" s="1017"/>
      <c r="X115" s="1017"/>
      <c r="Y115" s="1017"/>
      <c r="Z115" s="1017"/>
      <c r="AA115" s="1017"/>
      <c r="AB115" s="1017"/>
      <c r="AC115" s="1017"/>
      <c r="AD115" s="1017"/>
      <c r="AE115" s="1017"/>
      <c r="AF115" s="1017"/>
    </row>
    <row r="116" spans="1:32" ht="16.5">
      <c r="A116" s="1022"/>
      <c r="B116" s="1766"/>
      <c r="C116" s="1081">
        <v>43584</v>
      </c>
      <c r="D116" s="1024">
        <v>43948</v>
      </c>
      <c r="E116" s="1024"/>
      <c r="F116" s="1075">
        <v>429835.77093638998</v>
      </c>
      <c r="G116" s="1082">
        <v>79413.88</v>
      </c>
      <c r="H116" s="1026">
        <f t="shared" si="3"/>
        <v>25809.511000000002</v>
      </c>
      <c r="I116" s="1027">
        <f t="shared" si="6"/>
        <v>429835.77093638998</v>
      </c>
      <c r="J116" s="1029">
        <f t="shared" si="5"/>
        <v>0.18475400459807756</v>
      </c>
      <c r="K116" s="1114"/>
      <c r="L116" s="1028"/>
      <c r="M116" s="1034"/>
      <c r="N116" s="1034"/>
      <c r="O116" s="1034"/>
      <c r="P116" s="1034"/>
      <c r="Q116" s="1036"/>
      <c r="R116" s="1017"/>
      <c r="S116" s="1017"/>
      <c r="T116" s="1351"/>
      <c r="U116" s="1017"/>
      <c r="V116" s="1017"/>
      <c r="W116" s="1017"/>
      <c r="X116" s="1017"/>
      <c r="Y116" s="1017"/>
      <c r="Z116" s="1017"/>
      <c r="AA116" s="1017"/>
      <c r="AB116" s="1017"/>
      <c r="AC116" s="1017"/>
      <c r="AD116" s="1017"/>
      <c r="AE116" s="1017"/>
      <c r="AF116" s="1017"/>
    </row>
    <row r="117" spans="1:32" ht="16.5">
      <c r="A117" s="1022"/>
      <c r="B117" s="1766"/>
      <c r="C117" s="1081">
        <v>43585</v>
      </c>
      <c r="D117" s="1024">
        <v>43949</v>
      </c>
      <c r="E117" s="1024"/>
      <c r="F117" s="1075">
        <v>604460.00223322003</v>
      </c>
      <c r="G117" s="1082">
        <v>76350.25</v>
      </c>
      <c r="H117" s="1026">
        <f t="shared" si="3"/>
        <v>24813.831249999999</v>
      </c>
      <c r="I117" s="1027">
        <f t="shared" si="6"/>
        <v>604460.00223322003</v>
      </c>
      <c r="J117" s="1029">
        <f t="shared" si="5"/>
        <v>0.1263115007079354</v>
      </c>
      <c r="K117" s="1114"/>
      <c r="L117" s="1028"/>
      <c r="M117" s="1034"/>
      <c r="N117" s="1034"/>
      <c r="O117" s="1034"/>
      <c r="P117" s="1034"/>
      <c r="Q117" s="1036"/>
      <c r="R117" s="1017"/>
      <c r="S117" s="1017"/>
      <c r="T117" s="1351"/>
      <c r="U117" s="1017"/>
      <c r="V117" s="1017"/>
      <c r="W117" s="1017"/>
      <c r="X117" s="1017"/>
      <c r="Y117" s="1017"/>
      <c r="Z117" s="1017"/>
      <c r="AA117" s="1017"/>
      <c r="AB117" s="1017"/>
      <c r="AC117" s="1017"/>
      <c r="AD117" s="1017"/>
      <c r="AE117" s="1017"/>
      <c r="AF117" s="1017"/>
    </row>
    <row r="118" spans="1:32" ht="16.5">
      <c r="A118" s="1022"/>
      <c r="B118" s="1766"/>
      <c r="C118" s="1081">
        <v>43586</v>
      </c>
      <c r="D118" s="1024">
        <v>43950</v>
      </c>
      <c r="E118" s="1024"/>
      <c r="F118" s="1075">
        <v>483755.30151238001</v>
      </c>
      <c r="G118" s="1082">
        <v>89462.25</v>
      </c>
      <c r="H118" s="1026">
        <f t="shared" si="3"/>
        <v>29075.231250000001</v>
      </c>
      <c r="I118" s="1027">
        <f t="shared" si="6"/>
        <v>483755.30151238001</v>
      </c>
      <c r="J118" s="1029">
        <f t="shared" si="5"/>
        <v>0.18493285700500076</v>
      </c>
      <c r="K118" s="1114"/>
      <c r="L118" s="1028"/>
      <c r="M118" s="1034"/>
      <c r="N118" s="1034"/>
      <c r="O118" s="1034"/>
      <c r="P118" s="1034"/>
      <c r="Q118" s="1036"/>
      <c r="R118" s="1017"/>
      <c r="S118" s="1017"/>
      <c r="T118" s="1351"/>
      <c r="U118" s="1017"/>
      <c r="V118" s="1017"/>
      <c r="W118" s="1017"/>
      <c r="X118" s="1017"/>
      <c r="Y118" s="1017"/>
      <c r="Z118" s="1017"/>
      <c r="AA118" s="1017"/>
      <c r="AB118" s="1017"/>
      <c r="AC118" s="1017"/>
      <c r="AD118" s="1017"/>
      <c r="AE118" s="1017"/>
      <c r="AF118" s="1017"/>
    </row>
    <row r="119" spans="1:32" ht="16.5">
      <c r="A119" s="1022"/>
      <c r="B119" s="1766"/>
      <c r="C119" s="1081">
        <v>43587</v>
      </c>
      <c r="D119" s="1024">
        <v>43951</v>
      </c>
      <c r="E119" s="1024"/>
      <c r="F119" s="1075">
        <v>392935.44112251</v>
      </c>
      <c r="G119" s="1082">
        <v>325115</v>
      </c>
      <c r="H119" s="1026">
        <f t="shared" si="3"/>
        <v>105662.375</v>
      </c>
      <c r="I119" s="1027">
        <f t="shared" si="6"/>
        <v>392935.44112251</v>
      </c>
      <c r="J119" s="1029">
        <f t="shared" si="5"/>
        <v>0.82740054974739519</v>
      </c>
      <c r="K119" s="1114"/>
      <c r="L119" s="1028"/>
      <c r="M119" s="1034"/>
      <c r="N119" s="1034"/>
      <c r="O119" s="1034"/>
      <c r="P119" s="1034"/>
      <c r="Q119" s="1036"/>
      <c r="R119" s="1017"/>
      <c r="S119" s="1017"/>
      <c r="T119" s="1351"/>
      <c r="U119" s="1017"/>
      <c r="V119" s="1017"/>
      <c r="W119" s="1017"/>
      <c r="X119" s="1017"/>
      <c r="Y119" s="1017"/>
      <c r="Z119" s="1017"/>
      <c r="AA119" s="1017"/>
      <c r="AB119" s="1017"/>
      <c r="AC119" s="1017"/>
      <c r="AD119" s="1017"/>
      <c r="AE119" s="1017"/>
      <c r="AF119" s="1017"/>
    </row>
    <row r="120" spans="1:32" ht="16.5">
      <c r="A120" s="1022"/>
      <c r="B120" s="1766"/>
      <c r="C120" s="1081">
        <v>43588</v>
      </c>
      <c r="D120" s="1024">
        <v>43952</v>
      </c>
      <c r="E120" s="1024"/>
      <c r="F120" s="1075">
        <v>471855.82457371999</v>
      </c>
      <c r="G120" s="1082">
        <v>106442</v>
      </c>
      <c r="H120" s="1026">
        <f t="shared" si="3"/>
        <v>34593.65</v>
      </c>
      <c r="I120" s="1027">
        <f t="shared" si="6"/>
        <v>471855.82457371999</v>
      </c>
      <c r="J120" s="1029">
        <f t="shared" si="5"/>
        <v>0.22558161721572673</v>
      </c>
      <c r="K120" s="1114"/>
      <c r="L120" s="1028"/>
      <c r="M120" s="1034"/>
      <c r="N120" s="1034"/>
      <c r="O120" s="1034"/>
      <c r="P120" s="1034"/>
      <c r="Q120" s="1036"/>
      <c r="R120" s="1017"/>
      <c r="S120" s="1017"/>
      <c r="T120" s="1351"/>
      <c r="U120" s="1017"/>
      <c r="V120" s="1017"/>
      <c r="W120" s="1017"/>
      <c r="X120" s="1017"/>
      <c r="Y120" s="1017"/>
      <c r="Z120" s="1017"/>
      <c r="AA120" s="1017"/>
      <c r="AB120" s="1017"/>
      <c r="AC120" s="1017"/>
      <c r="AD120" s="1017"/>
      <c r="AE120" s="1017"/>
      <c r="AF120" s="1017"/>
    </row>
    <row r="121" spans="1:32" ht="16.5">
      <c r="A121" s="1022"/>
      <c r="B121" s="1768"/>
      <c r="C121" s="1083">
        <v>43589</v>
      </c>
      <c r="D121" s="1084">
        <v>43953</v>
      </c>
      <c r="E121" s="1084"/>
      <c r="F121" s="1085">
        <v>727506.23427737004</v>
      </c>
      <c r="G121" s="1086">
        <v>121528</v>
      </c>
      <c r="H121" s="1026">
        <f t="shared" si="3"/>
        <v>39496.6</v>
      </c>
      <c r="I121" s="1027">
        <f t="shared" si="6"/>
        <v>727506.23427737004</v>
      </c>
      <c r="J121" s="1029">
        <f t="shared" si="5"/>
        <v>0.1670473657462378</v>
      </c>
      <c r="K121" s="1114"/>
      <c r="L121" s="1028"/>
      <c r="M121" s="1034"/>
      <c r="N121" s="1034"/>
      <c r="O121" s="1034"/>
      <c r="P121" s="1034"/>
      <c r="Q121" s="1036"/>
      <c r="R121" s="1017"/>
      <c r="S121" s="1017"/>
      <c r="T121" s="1351"/>
      <c r="U121" s="1017"/>
      <c r="V121" s="1017"/>
      <c r="W121" s="1017"/>
      <c r="X121" s="1017"/>
      <c r="Y121" s="1017"/>
      <c r="Z121" s="1017"/>
      <c r="AA121" s="1017"/>
      <c r="AB121" s="1017"/>
      <c r="AC121" s="1017"/>
      <c r="AD121" s="1017"/>
      <c r="AE121" s="1017"/>
      <c r="AF121" s="1017"/>
    </row>
    <row r="122" spans="1:32" ht="16.5">
      <c r="A122" s="1022"/>
      <c r="B122" s="1769" t="s">
        <v>352</v>
      </c>
      <c r="C122" s="1087">
        <v>43590</v>
      </c>
      <c r="D122" s="1088">
        <v>43954</v>
      </c>
      <c r="E122" s="1515"/>
      <c r="F122" s="1089">
        <v>394539.08368074999</v>
      </c>
      <c r="G122" s="1090">
        <v>55803</v>
      </c>
      <c r="H122" s="1026">
        <f t="shared" si="3"/>
        <v>18135.975000000002</v>
      </c>
      <c r="I122" s="1027">
        <f t="shared" si="6"/>
        <v>394539.08368074999</v>
      </c>
      <c r="J122" s="1029">
        <f t="shared" si="5"/>
        <v>0.14143845897192336</v>
      </c>
      <c r="K122" s="1114"/>
      <c r="L122" s="1028"/>
      <c r="M122" s="1034"/>
      <c r="N122" s="1034"/>
      <c r="O122" s="1034"/>
      <c r="P122" s="1034"/>
      <c r="Q122" s="1036"/>
      <c r="R122" s="1017"/>
      <c r="S122" s="1017"/>
      <c r="T122" s="1351"/>
      <c r="U122" s="1017"/>
      <c r="V122" s="1017"/>
      <c r="W122" s="1017"/>
      <c r="X122" s="1017"/>
      <c r="Y122" s="1017"/>
      <c r="Z122" s="1017"/>
      <c r="AA122" s="1017"/>
      <c r="AB122" s="1017"/>
      <c r="AC122" s="1017"/>
      <c r="AD122" s="1017"/>
      <c r="AE122" s="1017"/>
      <c r="AF122" s="1017"/>
    </row>
    <row r="123" spans="1:32" ht="16.5">
      <c r="A123" s="1022"/>
      <c r="B123" s="1766"/>
      <c r="C123" s="1081">
        <v>43591</v>
      </c>
      <c r="D123" s="1024">
        <v>43955</v>
      </c>
      <c r="E123" s="1069"/>
      <c r="F123" s="1077">
        <v>415267.62744806003</v>
      </c>
      <c r="G123" s="1091">
        <v>57318.36</v>
      </c>
      <c r="H123" s="1026">
        <f t="shared" si="3"/>
        <v>18628.467000000001</v>
      </c>
      <c r="I123" s="1027">
        <f t="shared" si="6"/>
        <v>415267.62744806003</v>
      </c>
      <c r="J123" s="1029">
        <f t="shared" si="5"/>
        <v>0.13802751818685685</v>
      </c>
      <c r="K123" s="1114"/>
      <c r="L123" s="1028"/>
      <c r="M123" s="1034"/>
      <c r="N123" s="1034"/>
      <c r="O123" s="1034"/>
      <c r="P123" s="1034"/>
      <c r="Q123" s="1036"/>
      <c r="R123" s="1017"/>
      <c r="S123" s="1017"/>
      <c r="T123" s="1351"/>
      <c r="U123" s="1017"/>
      <c r="V123" s="1017"/>
      <c r="W123" s="1017"/>
      <c r="X123" s="1017"/>
      <c r="Y123" s="1017"/>
      <c r="Z123" s="1017"/>
      <c r="AA123" s="1017"/>
      <c r="AB123" s="1017"/>
      <c r="AC123" s="1017"/>
      <c r="AD123" s="1017"/>
      <c r="AE123" s="1017"/>
      <c r="AF123" s="1017"/>
    </row>
    <row r="124" spans="1:32" ht="16.5">
      <c r="A124" s="1022"/>
      <c r="B124" s="1766"/>
      <c r="C124" s="1081">
        <v>43592</v>
      </c>
      <c r="D124" s="1024">
        <v>43956</v>
      </c>
      <c r="E124" s="1069"/>
      <c r="F124" s="1077">
        <v>429853.44856167998</v>
      </c>
      <c r="G124" s="1091">
        <v>65341</v>
      </c>
      <c r="H124" s="1026">
        <f t="shared" si="3"/>
        <v>21235.825000000001</v>
      </c>
      <c r="I124" s="1027">
        <f t="shared" si="6"/>
        <v>429853.44856167998</v>
      </c>
      <c r="J124" s="1029">
        <f t="shared" si="5"/>
        <v>0.15200762078014171</v>
      </c>
      <c r="K124" s="1114"/>
      <c r="L124" s="1028"/>
      <c r="M124" s="1034"/>
      <c r="N124" s="1034"/>
      <c r="O124" s="1034"/>
      <c r="P124" s="1034"/>
      <c r="Q124" s="1036"/>
      <c r="R124" s="1017"/>
      <c r="S124" s="1017"/>
      <c r="T124" s="1351"/>
      <c r="U124" s="1017"/>
      <c r="V124" s="1017"/>
      <c r="W124" s="1017"/>
      <c r="X124" s="1017"/>
      <c r="Y124" s="1017"/>
      <c r="Z124" s="1017"/>
      <c r="AA124" s="1017"/>
      <c r="AB124" s="1017"/>
      <c r="AC124" s="1017"/>
      <c r="AD124" s="1017"/>
      <c r="AE124" s="1017"/>
      <c r="AF124" s="1017"/>
    </row>
    <row r="125" spans="1:32" ht="16.5">
      <c r="A125" s="1022"/>
      <c r="B125" s="1766"/>
      <c r="C125" s="1081">
        <v>43593</v>
      </c>
      <c r="D125" s="1024">
        <v>43957</v>
      </c>
      <c r="E125" s="1069"/>
      <c r="F125" s="1077">
        <v>525654.83243803005</v>
      </c>
      <c r="G125" s="1091">
        <v>44114</v>
      </c>
      <c r="H125" s="1026">
        <f t="shared" si="3"/>
        <v>14337.050000000001</v>
      </c>
      <c r="I125" s="1027">
        <f t="shared" si="6"/>
        <v>525654.83243803005</v>
      </c>
      <c r="J125" s="1029">
        <f t="shared" si="5"/>
        <v>8.3921990777475905E-2</v>
      </c>
      <c r="K125" s="1114"/>
      <c r="L125" s="1028"/>
      <c r="M125" s="1034"/>
      <c r="N125" s="1034"/>
      <c r="O125" s="1034"/>
      <c r="P125" s="1034"/>
      <c r="Q125" s="1036"/>
      <c r="R125" s="1017"/>
      <c r="S125" s="1017"/>
      <c r="T125" s="1351"/>
      <c r="U125" s="1017"/>
      <c r="V125" s="1017"/>
      <c r="W125" s="1017"/>
      <c r="X125" s="1017"/>
      <c r="Y125" s="1017"/>
      <c r="Z125" s="1017"/>
      <c r="AA125" s="1017"/>
      <c r="AB125" s="1017"/>
      <c r="AC125" s="1017"/>
      <c r="AD125" s="1017"/>
      <c r="AE125" s="1017"/>
      <c r="AF125" s="1017"/>
    </row>
    <row r="126" spans="1:32" ht="16.5">
      <c r="A126" s="1022"/>
      <c r="B126" s="1766"/>
      <c r="C126" s="1081">
        <v>43594</v>
      </c>
      <c r="D126" s="1024">
        <v>43958</v>
      </c>
      <c r="E126" s="1069"/>
      <c r="F126" s="1077">
        <v>810050.78550169</v>
      </c>
      <c r="G126" s="1091">
        <v>31309</v>
      </c>
      <c r="H126" s="1026">
        <f t="shared" si="3"/>
        <v>10175.425000000001</v>
      </c>
      <c r="I126" s="1027">
        <f t="shared" si="6"/>
        <v>810050.78550169</v>
      </c>
      <c r="J126" s="1029">
        <f t="shared" si="5"/>
        <v>3.865066309467171E-2</v>
      </c>
      <c r="K126" s="1114"/>
      <c r="L126" s="1028"/>
      <c r="M126" s="1034"/>
      <c r="N126" s="1034"/>
      <c r="O126" s="1034"/>
      <c r="P126" s="1034"/>
      <c r="Q126" s="1036"/>
      <c r="R126" s="1017"/>
      <c r="S126" s="1017"/>
      <c r="T126" s="1351"/>
      <c r="U126" s="1017"/>
      <c r="V126" s="1017"/>
      <c r="W126" s="1017"/>
      <c r="X126" s="1017"/>
      <c r="Y126" s="1017"/>
      <c r="Z126" s="1017"/>
      <c r="AA126" s="1017"/>
      <c r="AB126" s="1017"/>
      <c r="AC126" s="1017"/>
      <c r="AD126" s="1017"/>
      <c r="AE126" s="1017"/>
      <c r="AF126" s="1017"/>
    </row>
    <row r="127" spans="1:32" ht="16.5">
      <c r="A127" s="1022"/>
      <c r="B127" s="1766"/>
      <c r="C127" s="1081">
        <v>43595</v>
      </c>
      <c r="D127" s="1024">
        <v>43959</v>
      </c>
      <c r="E127" s="1069"/>
      <c r="F127" s="1077">
        <v>970060.58108461997</v>
      </c>
      <c r="G127" s="1091">
        <v>62777.64</v>
      </c>
      <c r="H127" s="1026">
        <f t="shared" si="3"/>
        <v>20402.733</v>
      </c>
      <c r="I127" s="1027">
        <f t="shared" si="6"/>
        <v>970060.58108461997</v>
      </c>
      <c r="J127" s="1029">
        <f t="shared" si="5"/>
        <v>6.4715174726313107E-2</v>
      </c>
      <c r="K127" s="1114"/>
      <c r="L127" s="1028"/>
      <c r="M127" s="1034"/>
      <c r="N127" s="1034"/>
      <c r="O127" s="1034"/>
      <c r="P127" s="1034"/>
      <c r="Q127" s="1036"/>
      <c r="R127" s="1017"/>
      <c r="S127" s="1017"/>
      <c r="T127" s="1351"/>
      <c r="U127" s="1017"/>
      <c r="V127" s="1017"/>
      <c r="W127" s="1017"/>
      <c r="X127" s="1017"/>
      <c r="Y127" s="1017"/>
      <c r="Z127" s="1017"/>
      <c r="AA127" s="1017"/>
      <c r="AB127" s="1017"/>
      <c r="AC127" s="1017"/>
      <c r="AD127" s="1017"/>
      <c r="AE127" s="1017"/>
      <c r="AF127" s="1017"/>
    </row>
    <row r="128" spans="1:32" ht="16.5">
      <c r="A128" s="1022"/>
      <c r="B128" s="1768"/>
      <c r="C128" s="1083">
        <v>43596</v>
      </c>
      <c r="D128" s="1084">
        <v>43960</v>
      </c>
      <c r="E128" s="1084"/>
      <c r="F128" s="1085">
        <v>759946.65594924998</v>
      </c>
      <c r="G128" s="1091">
        <v>146146.71</v>
      </c>
      <c r="H128" s="1026">
        <f t="shared" si="3"/>
        <v>47497.68075</v>
      </c>
      <c r="I128" s="1027">
        <f t="shared" si="6"/>
        <v>759946.65594924998</v>
      </c>
      <c r="J128" s="1029">
        <f t="shared" si="5"/>
        <v>0.19231180090850986</v>
      </c>
      <c r="K128" s="1114"/>
      <c r="L128" s="1028"/>
      <c r="M128" s="1034"/>
      <c r="N128" s="1034"/>
      <c r="O128" s="1034"/>
      <c r="P128" s="1034"/>
      <c r="Q128" s="1036"/>
      <c r="R128" s="1017"/>
      <c r="S128" s="1017"/>
      <c r="T128" s="1351"/>
      <c r="U128" s="1017"/>
      <c r="V128" s="1017"/>
      <c r="W128" s="1017"/>
      <c r="X128" s="1017"/>
      <c r="Y128" s="1017"/>
      <c r="Z128" s="1017"/>
      <c r="AA128" s="1017"/>
      <c r="AB128" s="1017"/>
      <c r="AC128" s="1017"/>
      <c r="AD128" s="1017"/>
      <c r="AE128" s="1017"/>
      <c r="AF128" s="1017"/>
    </row>
    <row r="129" spans="1:32" ht="16.5">
      <c r="A129" s="1022"/>
      <c r="B129" s="1765" t="s">
        <v>353</v>
      </c>
      <c r="C129" s="1079">
        <v>43597</v>
      </c>
      <c r="D129" s="1072">
        <v>43961</v>
      </c>
      <c r="E129" s="1516"/>
      <c r="F129" s="1092">
        <v>373582.70083248999</v>
      </c>
      <c r="G129" s="1093">
        <v>107257.60000000001</v>
      </c>
      <c r="H129" s="1026">
        <f t="shared" si="3"/>
        <v>34858.720000000001</v>
      </c>
      <c r="I129" s="1027">
        <f t="shared" si="6"/>
        <v>373582.70083248999</v>
      </c>
      <c r="J129" s="1029">
        <f t="shared" si="5"/>
        <v>0.28710537120960811</v>
      </c>
      <c r="K129" s="1114"/>
      <c r="L129" s="1028"/>
      <c r="M129" s="1034"/>
      <c r="N129" s="1034"/>
      <c r="O129" s="1034"/>
      <c r="P129" s="1034"/>
      <c r="Q129" s="1036"/>
      <c r="R129" s="1017"/>
      <c r="S129" s="1017"/>
      <c r="T129" s="1351"/>
      <c r="U129" s="1017"/>
      <c r="V129" s="1017"/>
      <c r="W129" s="1017"/>
      <c r="X129" s="1017"/>
      <c r="Y129" s="1017"/>
      <c r="Z129" s="1017"/>
      <c r="AA129" s="1017"/>
      <c r="AB129" s="1017"/>
      <c r="AC129" s="1017"/>
      <c r="AD129" s="1017"/>
      <c r="AE129" s="1017"/>
      <c r="AF129" s="1017"/>
    </row>
    <row r="130" spans="1:32" ht="16.5">
      <c r="A130" s="1022"/>
      <c r="B130" s="1766"/>
      <c r="C130" s="1081">
        <v>43598</v>
      </c>
      <c r="D130" s="1024">
        <v>43962</v>
      </c>
      <c r="E130" s="1069"/>
      <c r="F130" s="1077">
        <v>357032.08431284002</v>
      </c>
      <c r="G130" s="1093">
        <v>47873</v>
      </c>
      <c r="H130" s="1026">
        <f t="shared" si="3"/>
        <v>15558.725</v>
      </c>
      <c r="I130" s="1027">
        <f t="shared" si="6"/>
        <v>357032.08431284002</v>
      </c>
      <c r="J130" s="1029">
        <f t="shared" si="5"/>
        <v>0.13408598863639531</v>
      </c>
      <c r="K130" s="1114"/>
      <c r="L130" s="1028"/>
      <c r="M130" s="1034"/>
      <c r="N130" s="1034"/>
      <c r="O130" s="1034"/>
      <c r="P130" s="1034"/>
      <c r="Q130" s="1036"/>
      <c r="R130" s="1017"/>
      <c r="S130" s="1017"/>
      <c r="T130" s="1351"/>
      <c r="U130" s="1017"/>
      <c r="V130" s="1017"/>
      <c r="W130" s="1017"/>
      <c r="X130" s="1017"/>
      <c r="Y130" s="1017"/>
      <c r="Z130" s="1017"/>
      <c r="AA130" s="1017"/>
      <c r="AB130" s="1017"/>
      <c r="AC130" s="1017"/>
      <c r="AD130" s="1017"/>
      <c r="AE130" s="1017"/>
      <c r="AF130" s="1017"/>
    </row>
    <row r="131" spans="1:32" ht="16.5">
      <c r="A131" s="1022"/>
      <c r="B131" s="1766"/>
      <c r="C131" s="1081">
        <v>43599</v>
      </c>
      <c r="D131" s="1024">
        <v>43963</v>
      </c>
      <c r="E131" s="1069"/>
      <c r="F131" s="1077">
        <v>344673.60720397002</v>
      </c>
      <c r="G131" s="1093">
        <v>54219</v>
      </c>
      <c r="H131" s="1026">
        <f t="shared" ref="H131:H194" si="9">(G131*0.5)*0.65</f>
        <v>17621.174999999999</v>
      </c>
      <c r="I131" s="1027">
        <f t="shared" si="6"/>
        <v>344673.60720397002</v>
      </c>
      <c r="J131" s="1029">
        <f t="shared" ref="J131:J194" si="10">G131/F131</f>
        <v>0.15730534298761792</v>
      </c>
      <c r="K131" s="1114"/>
      <c r="L131" s="1028"/>
      <c r="M131" s="1034"/>
      <c r="N131" s="1034"/>
      <c r="O131" s="1034"/>
      <c r="P131" s="1034"/>
      <c r="Q131" s="1036"/>
      <c r="R131" s="1017"/>
      <c r="S131" s="1017"/>
      <c r="T131" s="1351"/>
      <c r="U131" s="1017"/>
      <c r="V131" s="1017"/>
      <c r="W131" s="1017"/>
      <c r="X131" s="1017"/>
      <c r="Y131" s="1017"/>
      <c r="Z131" s="1017"/>
      <c r="AA131" s="1017"/>
      <c r="AB131" s="1017"/>
      <c r="AC131" s="1017"/>
      <c r="AD131" s="1017"/>
      <c r="AE131" s="1017"/>
      <c r="AF131" s="1017"/>
    </row>
    <row r="132" spans="1:32" ht="16.5">
      <c r="A132" s="1022"/>
      <c r="B132" s="1766"/>
      <c r="C132" s="1081">
        <v>43600</v>
      </c>
      <c r="D132" s="1024">
        <v>43964</v>
      </c>
      <c r="E132" s="1069"/>
      <c r="F132" s="1077">
        <v>458855.42498955998</v>
      </c>
      <c r="G132" s="1093">
        <v>44902.9</v>
      </c>
      <c r="H132" s="1026">
        <f t="shared" si="9"/>
        <v>14593.442500000001</v>
      </c>
      <c r="I132" s="1027">
        <f t="shared" si="6"/>
        <v>458855.42498955998</v>
      </c>
      <c r="J132" s="1029">
        <f t="shared" si="10"/>
        <v>9.7858492140572698E-2</v>
      </c>
      <c r="K132" s="1114"/>
      <c r="L132" s="1028"/>
      <c r="M132" s="1034"/>
      <c r="N132" s="1034"/>
      <c r="O132" s="1034"/>
      <c r="P132" s="1034"/>
      <c r="Q132" s="1036"/>
      <c r="R132" s="1017"/>
      <c r="S132" s="1017"/>
      <c r="T132" s="1351"/>
      <c r="U132" s="1017"/>
      <c r="V132" s="1017"/>
      <c r="W132" s="1017"/>
      <c r="X132" s="1017"/>
      <c r="Y132" s="1017"/>
      <c r="Z132" s="1017"/>
      <c r="AA132" s="1017"/>
      <c r="AB132" s="1017"/>
      <c r="AC132" s="1017"/>
      <c r="AD132" s="1017"/>
      <c r="AE132" s="1017"/>
      <c r="AF132" s="1017"/>
    </row>
    <row r="133" spans="1:32" ht="16.5">
      <c r="A133" s="1022"/>
      <c r="B133" s="1766"/>
      <c r="C133" s="1081">
        <v>43601</v>
      </c>
      <c r="D133" s="1024">
        <v>43965</v>
      </c>
      <c r="E133" s="1069"/>
      <c r="F133" s="1077">
        <v>386678.84659123002</v>
      </c>
      <c r="G133" s="1093">
        <v>13300</v>
      </c>
      <c r="H133" s="1026">
        <f t="shared" si="9"/>
        <v>4322.5</v>
      </c>
      <c r="I133" s="1027">
        <f t="shared" si="6"/>
        <v>386678.84659123002</v>
      </c>
      <c r="J133" s="1029">
        <f t="shared" si="10"/>
        <v>3.4395468273597692E-2</v>
      </c>
      <c r="K133" s="1114"/>
      <c r="L133" s="1028"/>
      <c r="M133" s="1034"/>
      <c r="N133" s="1034"/>
      <c r="O133" s="1034"/>
      <c r="P133" s="1034"/>
      <c r="Q133" s="1036"/>
      <c r="R133" s="1017"/>
      <c r="S133" s="1017"/>
      <c r="T133" s="1351"/>
      <c r="U133" s="1017"/>
      <c r="V133" s="1017"/>
      <c r="W133" s="1017"/>
      <c r="X133" s="1017"/>
      <c r="Y133" s="1017"/>
      <c r="Z133" s="1017"/>
      <c r="AA133" s="1017"/>
      <c r="AB133" s="1017"/>
      <c r="AC133" s="1017"/>
      <c r="AD133" s="1017"/>
      <c r="AE133" s="1017"/>
      <c r="AF133" s="1017"/>
    </row>
    <row r="134" spans="1:32" ht="16.5">
      <c r="A134" s="1022"/>
      <c r="B134" s="1766"/>
      <c r="C134" s="1081">
        <v>43602</v>
      </c>
      <c r="D134" s="1024">
        <v>43966</v>
      </c>
      <c r="E134" s="1069"/>
      <c r="F134" s="1077">
        <v>474372.27378674998</v>
      </c>
      <c r="G134" s="1093">
        <v>66157</v>
      </c>
      <c r="H134" s="1026">
        <f t="shared" si="9"/>
        <v>21501.025000000001</v>
      </c>
      <c r="I134" s="1027">
        <f t="shared" si="6"/>
        <v>474372.27378674998</v>
      </c>
      <c r="J134" s="1029">
        <f t="shared" si="10"/>
        <v>0.13946219805784921</v>
      </c>
      <c r="K134" s="1114"/>
      <c r="L134" s="1028"/>
      <c r="M134" s="1034"/>
      <c r="N134" s="1034"/>
      <c r="O134" s="1034"/>
      <c r="P134" s="1034"/>
      <c r="Q134" s="1036"/>
      <c r="R134" s="1017"/>
      <c r="S134" s="1017"/>
      <c r="T134" s="1351"/>
      <c r="U134" s="1017"/>
      <c r="V134" s="1017"/>
      <c r="W134" s="1017"/>
      <c r="X134" s="1017"/>
      <c r="Y134" s="1017"/>
      <c r="Z134" s="1017"/>
      <c r="AA134" s="1017"/>
      <c r="AB134" s="1017"/>
      <c r="AC134" s="1017"/>
      <c r="AD134" s="1017"/>
      <c r="AE134" s="1017"/>
      <c r="AF134" s="1017"/>
    </row>
    <row r="135" spans="1:32" ht="16.5">
      <c r="A135" s="1022"/>
      <c r="B135" s="1767"/>
      <c r="C135" s="1094">
        <v>43603</v>
      </c>
      <c r="D135" s="1069">
        <v>43967</v>
      </c>
      <c r="E135" s="1069"/>
      <c r="F135" s="1077">
        <v>673641.17987657001</v>
      </c>
      <c r="G135" s="1095">
        <v>103216</v>
      </c>
      <c r="H135" s="1026">
        <f t="shared" si="9"/>
        <v>33545.200000000004</v>
      </c>
      <c r="I135" s="1027">
        <f t="shared" si="6"/>
        <v>673641.17987657001</v>
      </c>
      <c r="J135" s="1029">
        <f t="shared" si="10"/>
        <v>0.15322103678238921</v>
      </c>
      <c r="K135" s="1114"/>
      <c r="L135" s="1028"/>
      <c r="M135" s="1034"/>
      <c r="N135" s="1034"/>
      <c r="O135" s="1034"/>
      <c r="P135" s="1034"/>
      <c r="Q135" s="1036"/>
      <c r="R135" s="1017"/>
      <c r="S135" s="1017"/>
      <c r="T135" s="1351"/>
      <c r="U135" s="1017"/>
      <c r="V135" s="1017"/>
      <c r="W135" s="1017"/>
      <c r="X135" s="1017"/>
      <c r="Y135" s="1017"/>
      <c r="Z135" s="1017"/>
      <c r="AA135" s="1017"/>
      <c r="AB135" s="1017"/>
      <c r="AC135" s="1017"/>
      <c r="AD135" s="1017"/>
      <c r="AE135" s="1017"/>
      <c r="AF135" s="1017"/>
    </row>
    <row r="136" spans="1:32" ht="16.5">
      <c r="A136" s="1017"/>
      <c r="B136" s="1765" t="s">
        <v>354</v>
      </c>
      <c r="C136" s="1079">
        <v>43604</v>
      </c>
      <c r="D136" s="1096">
        <v>43968</v>
      </c>
      <c r="E136" s="1096"/>
      <c r="F136" s="1097">
        <v>357326.67509104998</v>
      </c>
      <c r="G136" s="1098">
        <v>66068</v>
      </c>
      <c r="H136" s="1026">
        <f t="shared" si="9"/>
        <v>21472.100000000002</v>
      </c>
      <c r="I136" s="1027">
        <f t="shared" si="6"/>
        <v>357326.67509104998</v>
      </c>
      <c r="J136" s="1029">
        <f t="shared" si="10"/>
        <v>0.18489523622373083</v>
      </c>
      <c r="K136" s="1114"/>
      <c r="L136" s="1028"/>
      <c r="M136" s="1034"/>
      <c r="N136" s="1034"/>
      <c r="O136" s="1034"/>
      <c r="P136" s="1034"/>
      <c r="Q136" s="1017"/>
      <c r="R136" s="1017"/>
      <c r="S136" s="1017"/>
      <c r="T136" s="1351"/>
      <c r="U136" s="1017"/>
      <c r="V136" s="1017"/>
      <c r="W136" s="1017"/>
      <c r="X136" s="1017"/>
      <c r="Y136" s="1017"/>
      <c r="Z136" s="1017"/>
      <c r="AA136" s="1017"/>
      <c r="AB136" s="1017"/>
      <c r="AC136" s="1017"/>
      <c r="AD136" s="1017"/>
      <c r="AE136" s="1017"/>
      <c r="AF136" s="1017"/>
    </row>
    <row r="137" spans="1:32" ht="16.5">
      <c r="A137" s="1017"/>
      <c r="B137" s="1766"/>
      <c r="C137" s="1083">
        <v>43605</v>
      </c>
      <c r="D137" s="1099">
        <v>43969</v>
      </c>
      <c r="E137" s="1103"/>
      <c r="F137" s="1100">
        <v>294123.01926050999</v>
      </c>
      <c r="G137" s="1101">
        <v>53085</v>
      </c>
      <c r="H137" s="1026">
        <f t="shared" si="9"/>
        <v>17252.625</v>
      </c>
      <c r="I137" s="1027">
        <f t="shared" si="6"/>
        <v>294123.01926050999</v>
      </c>
      <c r="J137" s="1029">
        <f t="shared" si="10"/>
        <v>0.18048570334096045</v>
      </c>
      <c r="K137" s="1114"/>
      <c r="L137" s="1028"/>
      <c r="M137" s="1034"/>
      <c r="N137" s="1034"/>
      <c r="O137" s="1034"/>
      <c r="P137" s="1034"/>
      <c r="Q137" s="1017"/>
      <c r="R137" s="1017"/>
      <c r="S137" s="1017"/>
      <c r="T137" s="1351"/>
      <c r="U137" s="1017"/>
      <c r="V137" s="1017"/>
      <c r="W137" s="1017"/>
      <c r="X137" s="1017"/>
      <c r="Y137" s="1017"/>
      <c r="Z137" s="1017"/>
      <c r="AA137" s="1017"/>
      <c r="AB137" s="1017"/>
      <c r="AC137" s="1017"/>
      <c r="AD137" s="1017"/>
      <c r="AE137" s="1017"/>
      <c r="AF137" s="1017"/>
    </row>
    <row r="138" spans="1:32" ht="16.5">
      <c r="A138" s="1017"/>
      <c r="B138" s="1766"/>
      <c r="C138" s="1081">
        <v>43606</v>
      </c>
      <c r="D138" s="1102">
        <v>43970</v>
      </c>
      <c r="E138" s="1102"/>
      <c r="F138" s="1100">
        <v>284160.90317881998</v>
      </c>
      <c r="G138" s="1101">
        <v>56864</v>
      </c>
      <c r="H138" s="1026">
        <f t="shared" si="9"/>
        <v>18480.8</v>
      </c>
      <c r="I138" s="1027">
        <f t="shared" ref="I138:I201" si="11">F138*1</f>
        <v>284160.90317881998</v>
      </c>
      <c r="J138" s="1029">
        <f t="shared" si="10"/>
        <v>0.20011197657341334</v>
      </c>
      <c r="K138" s="1114"/>
      <c r="L138" s="1028"/>
      <c r="M138" s="1034"/>
      <c r="N138" s="1034"/>
      <c r="O138" s="1034"/>
      <c r="P138" s="1034"/>
      <c r="Q138" s="1017"/>
      <c r="R138" s="1017"/>
      <c r="S138" s="1017"/>
      <c r="T138" s="1351"/>
      <c r="U138" s="1017"/>
      <c r="V138" s="1017"/>
      <c r="W138" s="1017"/>
      <c r="X138" s="1017"/>
      <c r="Y138" s="1017"/>
      <c r="Z138" s="1017"/>
      <c r="AA138" s="1017"/>
      <c r="AB138" s="1017"/>
      <c r="AC138" s="1017"/>
      <c r="AD138" s="1017"/>
      <c r="AE138" s="1017"/>
      <c r="AF138" s="1017"/>
    </row>
    <row r="139" spans="1:32" ht="16.5">
      <c r="A139" s="1017"/>
      <c r="B139" s="1766"/>
      <c r="C139" s="1083">
        <v>43607</v>
      </c>
      <c r="D139" s="1099">
        <v>43971</v>
      </c>
      <c r="E139" s="1103"/>
      <c r="F139" s="1100">
        <v>305967.48274558998</v>
      </c>
      <c r="G139" s="1101">
        <v>59618</v>
      </c>
      <c r="H139" s="1026">
        <f t="shared" si="9"/>
        <v>19375.850000000002</v>
      </c>
      <c r="I139" s="1027">
        <f t="shared" si="11"/>
        <v>305967.48274558998</v>
      </c>
      <c r="J139" s="1029">
        <f t="shared" si="10"/>
        <v>0.19485077128137826</v>
      </c>
      <c r="K139" s="1114"/>
      <c r="L139" s="1028"/>
      <c r="M139" s="1034"/>
      <c r="N139" s="1034"/>
      <c r="O139" s="1034"/>
      <c r="P139" s="1034"/>
      <c r="Q139" s="1017"/>
      <c r="R139" s="1017"/>
      <c r="S139" s="1017"/>
      <c r="T139" s="1351"/>
      <c r="U139" s="1017"/>
      <c r="V139" s="1017"/>
      <c r="W139" s="1017"/>
      <c r="X139" s="1017"/>
      <c r="Y139" s="1017"/>
      <c r="Z139" s="1017"/>
      <c r="AA139" s="1017"/>
      <c r="AB139" s="1017"/>
      <c r="AC139" s="1017"/>
      <c r="AD139" s="1017"/>
      <c r="AE139" s="1017"/>
      <c r="AF139" s="1017"/>
    </row>
    <row r="140" spans="1:32" ht="16.5">
      <c r="A140" s="1017"/>
      <c r="B140" s="1766"/>
      <c r="C140" s="1081">
        <v>43608</v>
      </c>
      <c r="D140" s="1102">
        <v>43972</v>
      </c>
      <c r="E140" s="1102"/>
      <c r="F140" s="1100">
        <v>362584.96966298</v>
      </c>
      <c r="G140" s="1101">
        <v>38362</v>
      </c>
      <c r="H140" s="1026">
        <f t="shared" si="9"/>
        <v>12467.65</v>
      </c>
      <c r="I140" s="1027">
        <f t="shared" si="11"/>
        <v>362584.96966298</v>
      </c>
      <c r="J140" s="1029">
        <f t="shared" si="10"/>
        <v>0.10580140714508159</v>
      </c>
      <c r="K140" s="1114"/>
      <c r="L140" s="1028"/>
      <c r="M140" s="1034"/>
      <c r="N140" s="1034"/>
      <c r="O140" s="1034"/>
      <c r="P140" s="1034"/>
      <c r="Q140" s="1017"/>
      <c r="R140" s="1017"/>
      <c r="S140" s="1017"/>
      <c r="T140" s="1351"/>
      <c r="U140" s="1017"/>
      <c r="V140" s="1017"/>
      <c r="W140" s="1017"/>
      <c r="X140" s="1017"/>
      <c r="Y140" s="1017"/>
      <c r="Z140" s="1017"/>
      <c r="AA140" s="1017"/>
      <c r="AB140" s="1017"/>
      <c r="AC140" s="1017"/>
      <c r="AD140" s="1017"/>
      <c r="AE140" s="1017"/>
      <c r="AF140" s="1017"/>
    </row>
    <row r="141" spans="1:32" ht="16.5">
      <c r="A141" s="1017"/>
      <c r="B141" s="1766"/>
      <c r="C141" s="1083">
        <v>43609</v>
      </c>
      <c r="D141" s="1099">
        <v>43973</v>
      </c>
      <c r="E141" s="1103"/>
      <c r="F141" s="1100">
        <v>461019.34070695</v>
      </c>
      <c r="G141" s="1101">
        <v>81234</v>
      </c>
      <c r="H141" s="1026">
        <f t="shared" si="9"/>
        <v>26401.05</v>
      </c>
      <c r="I141" s="1027">
        <f t="shared" si="11"/>
        <v>461019.34070695</v>
      </c>
      <c r="J141" s="1029">
        <f t="shared" si="10"/>
        <v>0.17620518886568129</v>
      </c>
      <c r="K141" s="1114"/>
      <c r="L141" s="1028"/>
      <c r="M141" s="1034"/>
      <c r="N141" s="1034"/>
      <c r="O141" s="1034"/>
      <c r="P141" s="1034"/>
      <c r="Q141" s="1017"/>
      <c r="R141" s="1017"/>
      <c r="S141" s="1017"/>
      <c r="T141" s="1351"/>
      <c r="U141" s="1017"/>
      <c r="V141" s="1017"/>
      <c r="W141" s="1017"/>
      <c r="X141" s="1017"/>
      <c r="Y141" s="1017"/>
      <c r="Z141" s="1017"/>
      <c r="AA141" s="1017"/>
      <c r="AB141" s="1017"/>
      <c r="AC141" s="1017"/>
      <c r="AD141" s="1017"/>
      <c r="AE141" s="1017"/>
      <c r="AF141" s="1017"/>
    </row>
    <row r="142" spans="1:32" ht="16.5">
      <c r="A142" s="1017"/>
      <c r="B142" s="1767"/>
      <c r="C142" s="1094">
        <v>43610</v>
      </c>
      <c r="D142" s="1103">
        <v>43974</v>
      </c>
      <c r="E142" s="1103"/>
      <c r="F142" s="1104">
        <v>666463.86307026003</v>
      </c>
      <c r="G142" s="1105">
        <v>106222</v>
      </c>
      <c r="H142" s="1026">
        <f t="shared" si="9"/>
        <v>34522.15</v>
      </c>
      <c r="I142" s="1027">
        <f t="shared" si="11"/>
        <v>666463.86307026003</v>
      </c>
      <c r="J142" s="1029">
        <f t="shared" si="10"/>
        <v>0.15938148470744895</v>
      </c>
      <c r="K142" s="1114"/>
      <c r="L142" s="1028"/>
      <c r="M142" s="1034"/>
      <c r="N142" s="1034"/>
      <c r="O142" s="1034"/>
      <c r="P142" s="1034"/>
      <c r="Q142" s="1017"/>
      <c r="R142" s="1017"/>
      <c r="S142" s="1017"/>
      <c r="T142" s="1351"/>
      <c r="U142" s="1017"/>
      <c r="V142" s="1017"/>
      <c r="W142" s="1017"/>
      <c r="X142" s="1017"/>
      <c r="Y142" s="1017"/>
      <c r="Z142" s="1017"/>
      <c r="AA142" s="1017"/>
      <c r="AB142" s="1017"/>
      <c r="AC142" s="1017"/>
      <c r="AD142" s="1017"/>
      <c r="AE142" s="1017"/>
      <c r="AF142" s="1017"/>
    </row>
    <row r="143" spans="1:32" ht="16.5">
      <c r="A143" s="1022"/>
      <c r="B143" s="1765" t="s">
        <v>355</v>
      </c>
      <c r="C143" s="1079">
        <v>43611</v>
      </c>
      <c r="D143" s="1072">
        <v>43975</v>
      </c>
      <c r="E143" s="1072"/>
      <c r="F143" s="1097">
        <v>351894.40600453003</v>
      </c>
      <c r="G143" s="1106">
        <v>73140</v>
      </c>
      <c r="H143" s="1026">
        <f t="shared" si="9"/>
        <v>23770.5</v>
      </c>
      <c r="I143" s="1027">
        <f t="shared" si="11"/>
        <v>351894.40600453003</v>
      </c>
      <c r="J143" s="1029">
        <f t="shared" si="10"/>
        <v>0.20784644129596777</v>
      </c>
      <c r="K143" s="1114"/>
      <c r="L143" s="1028"/>
      <c r="M143" s="1034"/>
      <c r="N143" s="1034"/>
      <c r="O143" s="1034"/>
      <c r="P143" s="1034"/>
      <c r="Q143" s="1036"/>
      <c r="R143" s="1017"/>
      <c r="S143" s="1017"/>
      <c r="T143" s="1351"/>
      <c r="U143" s="1017"/>
      <c r="V143" s="1017"/>
      <c r="W143" s="1017"/>
      <c r="X143" s="1017"/>
      <c r="Y143" s="1017"/>
      <c r="Z143" s="1017"/>
      <c r="AA143" s="1017"/>
      <c r="AB143" s="1017"/>
      <c r="AC143" s="1017"/>
      <c r="AD143" s="1017"/>
      <c r="AE143" s="1017"/>
      <c r="AF143" s="1017"/>
    </row>
    <row r="144" spans="1:32" ht="16.5">
      <c r="A144" s="1022"/>
      <c r="B144" s="1766"/>
      <c r="C144" s="1081">
        <v>43612</v>
      </c>
      <c r="D144" s="1024">
        <v>43976</v>
      </c>
      <c r="E144" s="1024"/>
      <c r="F144" s="1100">
        <v>285170.13009619998</v>
      </c>
      <c r="G144" s="1027">
        <v>45173</v>
      </c>
      <c r="H144" s="1026">
        <f t="shared" si="9"/>
        <v>14681.225</v>
      </c>
      <c r="I144" s="1027">
        <f t="shared" si="11"/>
        <v>285170.13009619998</v>
      </c>
      <c r="J144" s="1029">
        <f t="shared" si="10"/>
        <v>0.1584071935751519</v>
      </c>
      <c r="K144" s="1114"/>
      <c r="L144" s="1028"/>
      <c r="M144" s="1034"/>
      <c r="N144" s="1034"/>
      <c r="O144" s="1034"/>
      <c r="P144" s="1034"/>
      <c r="Q144" s="1036"/>
      <c r="R144" s="1017"/>
      <c r="S144" s="1017"/>
      <c r="T144" s="1351"/>
      <c r="U144" s="1017"/>
      <c r="V144" s="1017"/>
      <c r="W144" s="1017"/>
      <c r="X144" s="1017"/>
      <c r="Y144" s="1017"/>
      <c r="Z144" s="1017"/>
      <c r="AA144" s="1017"/>
      <c r="AB144" s="1017"/>
      <c r="AC144" s="1017"/>
      <c r="AD144" s="1017"/>
      <c r="AE144" s="1017"/>
      <c r="AF144" s="1017"/>
    </row>
    <row r="145" spans="1:32" ht="16.5">
      <c r="A145" s="1022"/>
      <c r="B145" s="1766"/>
      <c r="C145" s="1081">
        <v>43613</v>
      </c>
      <c r="D145" s="1024">
        <v>43977</v>
      </c>
      <c r="E145" s="1024"/>
      <c r="F145" s="1100">
        <v>283858.32748585002</v>
      </c>
      <c r="G145" s="1027">
        <v>66938</v>
      </c>
      <c r="H145" s="1026">
        <f t="shared" si="9"/>
        <v>21754.850000000002</v>
      </c>
      <c r="I145" s="1027">
        <f t="shared" si="11"/>
        <v>283858.32748585002</v>
      </c>
      <c r="J145" s="1029">
        <f t="shared" si="10"/>
        <v>0.23581481858529155</v>
      </c>
      <c r="K145" s="1114"/>
      <c r="L145" s="1028"/>
      <c r="M145" s="1034"/>
      <c r="N145" s="1034"/>
      <c r="O145" s="1034"/>
      <c r="P145" s="1034"/>
      <c r="Q145" s="1036"/>
      <c r="R145" s="1017"/>
      <c r="S145" s="1017"/>
      <c r="T145" s="1351"/>
      <c r="U145" s="1017"/>
      <c r="V145" s="1017"/>
      <c r="W145" s="1017"/>
      <c r="X145" s="1017"/>
      <c r="Y145" s="1017"/>
      <c r="Z145" s="1017"/>
      <c r="AA145" s="1017"/>
      <c r="AB145" s="1017"/>
      <c r="AC145" s="1017"/>
      <c r="AD145" s="1017"/>
      <c r="AE145" s="1017"/>
      <c r="AF145" s="1017"/>
    </row>
    <row r="146" spans="1:32" ht="16.5">
      <c r="A146" s="1022"/>
      <c r="B146" s="1766"/>
      <c r="C146" s="1081">
        <v>43614</v>
      </c>
      <c r="D146" s="1024">
        <v>43978</v>
      </c>
      <c r="E146" s="1024"/>
      <c r="F146" s="1100">
        <v>303291.59619602002</v>
      </c>
      <c r="G146" s="1027">
        <v>28346</v>
      </c>
      <c r="H146" s="1026">
        <f t="shared" si="9"/>
        <v>9212.4500000000007</v>
      </c>
      <c r="I146" s="1027">
        <f t="shared" si="11"/>
        <v>303291.59619602002</v>
      </c>
      <c r="J146" s="1029">
        <f t="shared" si="10"/>
        <v>9.3461211439830771E-2</v>
      </c>
      <c r="K146" s="1114"/>
      <c r="L146" s="1028"/>
      <c r="M146" s="1034"/>
      <c r="N146" s="1034"/>
      <c r="O146" s="1034"/>
      <c r="P146" s="1034"/>
      <c r="Q146" s="1036"/>
      <c r="R146" s="1017"/>
      <c r="S146" s="1017"/>
      <c r="T146" s="1351"/>
      <c r="U146" s="1017"/>
      <c r="V146" s="1017"/>
      <c r="W146" s="1017"/>
      <c r="X146" s="1017"/>
      <c r="Y146" s="1017"/>
      <c r="Z146" s="1017"/>
      <c r="AA146" s="1017"/>
      <c r="AB146" s="1017"/>
      <c r="AC146" s="1017"/>
      <c r="AD146" s="1017"/>
      <c r="AE146" s="1017"/>
      <c r="AF146" s="1017"/>
    </row>
    <row r="147" spans="1:32" ht="16.5">
      <c r="A147" s="1022"/>
      <c r="B147" s="1766"/>
      <c r="C147" s="1081">
        <v>43615</v>
      </c>
      <c r="D147" s="1024">
        <v>43979</v>
      </c>
      <c r="E147" s="1024"/>
      <c r="F147" s="1100">
        <v>334783.26167450001</v>
      </c>
      <c r="G147" s="1027">
        <v>51519</v>
      </c>
      <c r="H147" s="1026">
        <f t="shared" si="9"/>
        <v>16743.674999999999</v>
      </c>
      <c r="I147" s="1027">
        <f t="shared" si="11"/>
        <v>334783.26167450001</v>
      </c>
      <c r="J147" s="1029">
        <f t="shared" si="10"/>
        <v>0.15388762192684061</v>
      </c>
      <c r="K147" s="1114"/>
      <c r="L147" s="1028"/>
      <c r="M147" s="1034"/>
      <c r="N147" s="1034"/>
      <c r="O147" s="1034"/>
      <c r="P147" s="1034"/>
      <c r="Q147" s="1036"/>
      <c r="R147" s="1017"/>
      <c r="S147" s="1017"/>
      <c r="T147" s="1351"/>
      <c r="U147" s="1017"/>
      <c r="V147" s="1017"/>
      <c r="W147" s="1017"/>
      <c r="X147" s="1017"/>
      <c r="Y147" s="1017"/>
      <c r="Z147" s="1017"/>
      <c r="AA147" s="1017"/>
      <c r="AB147" s="1017"/>
      <c r="AC147" s="1017"/>
      <c r="AD147" s="1017"/>
      <c r="AE147" s="1017"/>
      <c r="AF147" s="1017"/>
    </row>
    <row r="148" spans="1:32" ht="16.5">
      <c r="A148" s="1022"/>
      <c r="B148" s="1766"/>
      <c r="C148" s="1081">
        <v>43616</v>
      </c>
      <c r="D148" s="1024">
        <v>43980</v>
      </c>
      <c r="E148" s="1024"/>
      <c r="F148" s="1100">
        <v>475887.56479104998</v>
      </c>
      <c r="G148" s="1027">
        <v>72116</v>
      </c>
      <c r="H148" s="1026">
        <f t="shared" si="9"/>
        <v>23437.7</v>
      </c>
      <c r="I148" s="1027">
        <f t="shared" si="11"/>
        <v>475887.56479104998</v>
      </c>
      <c r="J148" s="1029">
        <f t="shared" si="10"/>
        <v>0.1515399967041885</v>
      </c>
      <c r="K148" s="1114"/>
      <c r="L148" s="1028"/>
      <c r="M148" s="1034"/>
      <c r="N148" s="1034"/>
      <c r="O148" s="1034"/>
      <c r="P148" s="1034"/>
      <c r="Q148" s="1036"/>
      <c r="R148" s="1017"/>
      <c r="S148" s="1017"/>
      <c r="T148" s="1351"/>
      <c r="U148" s="1017"/>
      <c r="V148" s="1017"/>
      <c r="W148" s="1017"/>
      <c r="X148" s="1017"/>
      <c r="Y148" s="1017"/>
      <c r="Z148" s="1017"/>
      <c r="AA148" s="1017"/>
      <c r="AB148" s="1017"/>
      <c r="AC148" s="1017"/>
      <c r="AD148" s="1017"/>
      <c r="AE148" s="1017"/>
      <c r="AF148" s="1017"/>
    </row>
    <row r="149" spans="1:32" ht="16.5">
      <c r="A149" s="1022"/>
      <c r="B149" s="1767"/>
      <c r="C149" s="1094">
        <v>43617</v>
      </c>
      <c r="D149" s="1069">
        <v>43981</v>
      </c>
      <c r="E149" s="1069"/>
      <c r="F149" s="1104">
        <v>699035.76661123999</v>
      </c>
      <c r="G149" s="1107">
        <v>107143</v>
      </c>
      <c r="H149" s="1026">
        <f t="shared" si="9"/>
        <v>34821.474999999999</v>
      </c>
      <c r="I149" s="1027">
        <f t="shared" si="11"/>
        <v>699035.76661123999</v>
      </c>
      <c r="J149" s="1029">
        <f t="shared" si="10"/>
        <v>0.15327255788270164</v>
      </c>
      <c r="K149" s="1114"/>
      <c r="L149" s="1028"/>
      <c r="M149" s="1034"/>
      <c r="N149" s="1034"/>
      <c r="O149" s="1034"/>
      <c r="P149" s="1034"/>
      <c r="Q149" s="1036"/>
      <c r="R149" s="1017"/>
      <c r="S149" s="1017"/>
      <c r="T149" s="1351"/>
      <c r="U149" s="1017"/>
      <c r="V149" s="1017"/>
      <c r="W149" s="1017"/>
      <c r="X149" s="1017"/>
      <c r="Y149" s="1017"/>
      <c r="Z149" s="1017"/>
      <c r="AA149" s="1017"/>
      <c r="AB149" s="1017"/>
      <c r="AC149" s="1017"/>
      <c r="AD149" s="1017"/>
      <c r="AE149" s="1017"/>
      <c r="AF149" s="1017"/>
    </row>
    <row r="150" spans="1:32" ht="16.5">
      <c r="A150" s="1022"/>
      <c r="B150" s="1765" t="s">
        <v>356</v>
      </c>
      <c r="C150" s="1079">
        <v>43618</v>
      </c>
      <c r="D150" s="1072">
        <v>43982</v>
      </c>
      <c r="E150" s="1072"/>
      <c r="F150" s="1097">
        <v>370396.76445893</v>
      </c>
      <c r="G150" s="1108">
        <v>68054</v>
      </c>
      <c r="H150" s="1026">
        <f t="shared" si="9"/>
        <v>22117.55</v>
      </c>
      <c r="I150" s="1027">
        <f t="shared" si="11"/>
        <v>370396.76445893</v>
      </c>
      <c r="J150" s="1029">
        <f t="shared" si="10"/>
        <v>0.1837327064652205</v>
      </c>
      <c r="K150" s="1114"/>
      <c r="L150" s="1028"/>
      <c r="M150" s="1034"/>
      <c r="N150" s="1034"/>
      <c r="O150" s="1034"/>
      <c r="P150" s="1034"/>
      <c r="Q150" s="1036"/>
      <c r="R150" s="1017"/>
      <c r="S150" s="1017"/>
      <c r="T150" s="1351"/>
      <c r="U150" s="1017"/>
      <c r="V150" s="1017"/>
      <c r="W150" s="1017"/>
      <c r="X150" s="1017"/>
      <c r="Y150" s="1017"/>
      <c r="Z150" s="1017"/>
      <c r="AA150" s="1017"/>
      <c r="AB150" s="1017"/>
      <c r="AC150" s="1017"/>
      <c r="AD150" s="1017"/>
      <c r="AE150" s="1017"/>
      <c r="AF150" s="1017"/>
    </row>
    <row r="151" spans="1:32" ht="16.5">
      <c r="A151" s="1022"/>
      <c r="B151" s="1766"/>
      <c r="C151" s="1081">
        <v>43619</v>
      </c>
      <c r="D151" s="1024">
        <v>43983</v>
      </c>
      <c r="E151" s="1024"/>
      <c r="F151" s="1100">
        <v>325854.04343220999</v>
      </c>
      <c r="G151" s="1033">
        <v>80778</v>
      </c>
      <c r="H151" s="1026">
        <f t="shared" si="9"/>
        <v>26252.850000000002</v>
      </c>
      <c r="I151" s="1027">
        <f t="shared" si="11"/>
        <v>325854.04343220999</v>
      </c>
      <c r="J151" s="1029">
        <f t="shared" si="10"/>
        <v>0.24789626407322729</v>
      </c>
      <c r="K151" s="1114"/>
      <c r="L151" s="1028"/>
      <c r="M151" s="1034"/>
      <c r="N151" s="1034"/>
      <c r="O151" s="1034"/>
      <c r="P151" s="1034"/>
      <c r="Q151" s="1036"/>
      <c r="R151" s="1017"/>
      <c r="S151" s="1017"/>
      <c r="T151" s="1351"/>
      <c r="U151" s="1017"/>
      <c r="V151" s="1017"/>
      <c r="W151" s="1017"/>
      <c r="X151" s="1017"/>
      <c r="Y151" s="1017"/>
      <c r="Z151" s="1017"/>
      <c r="AA151" s="1017"/>
      <c r="AB151" s="1017"/>
      <c r="AC151" s="1017"/>
      <c r="AD151" s="1017"/>
      <c r="AE151" s="1017"/>
      <c r="AF151" s="1017"/>
    </row>
    <row r="152" spans="1:32" ht="45">
      <c r="A152" s="1022"/>
      <c r="B152" s="1766"/>
      <c r="C152" s="1081">
        <v>43620</v>
      </c>
      <c r="D152" s="1024">
        <v>43984</v>
      </c>
      <c r="E152" s="1024"/>
      <c r="F152" s="1100">
        <v>313570.97673106001</v>
      </c>
      <c r="G152" s="1033">
        <v>80997</v>
      </c>
      <c r="H152" s="1026">
        <f t="shared" si="9"/>
        <v>26324.025000000001</v>
      </c>
      <c r="I152" s="1027">
        <f t="shared" si="11"/>
        <v>313570.97673106001</v>
      </c>
      <c r="J152" s="1029">
        <f t="shared" si="10"/>
        <v>0.25830515580358887</v>
      </c>
      <c r="K152" s="1114"/>
      <c r="L152" s="1028"/>
      <c r="M152" s="1034" t="s">
        <v>357</v>
      </c>
      <c r="N152" s="1034"/>
      <c r="O152" s="1034"/>
      <c r="P152" s="1034"/>
      <c r="Q152" s="1036"/>
      <c r="R152" s="1017"/>
      <c r="S152" s="1017"/>
      <c r="T152" s="1351"/>
      <c r="U152" s="1017"/>
      <c r="V152" s="1017"/>
      <c r="W152" s="1017"/>
      <c r="X152" s="1017"/>
      <c r="Y152" s="1017"/>
      <c r="Z152" s="1017"/>
      <c r="AA152" s="1017"/>
      <c r="AB152" s="1017"/>
      <c r="AC152" s="1017"/>
      <c r="AD152" s="1017"/>
      <c r="AE152" s="1017"/>
      <c r="AF152" s="1017"/>
    </row>
    <row r="153" spans="1:32" ht="16.5">
      <c r="A153" s="1022"/>
      <c r="B153" s="1766"/>
      <c r="C153" s="1081">
        <v>43621</v>
      </c>
      <c r="D153" s="1024">
        <v>43985</v>
      </c>
      <c r="E153" s="1024"/>
      <c r="F153" s="1100">
        <v>325944.04851782002</v>
      </c>
      <c r="G153" s="1033">
        <v>81647</v>
      </c>
      <c r="H153" s="1026">
        <f t="shared" si="9"/>
        <v>26535.275000000001</v>
      </c>
      <c r="I153" s="1027">
        <f t="shared" si="11"/>
        <v>325944.04851782002</v>
      </c>
      <c r="J153" s="1029">
        <f t="shared" si="10"/>
        <v>0.25049391259413101</v>
      </c>
      <c r="K153" s="1114"/>
      <c r="L153" s="1028"/>
      <c r="M153" s="1034"/>
      <c r="N153" s="1034"/>
      <c r="O153" s="1034"/>
      <c r="P153" s="1034"/>
      <c r="Q153" s="1036"/>
      <c r="R153" s="1017"/>
      <c r="S153" s="1017"/>
      <c r="T153" s="1351"/>
      <c r="U153" s="1017"/>
      <c r="V153" s="1017"/>
      <c r="W153" s="1017"/>
      <c r="X153" s="1017"/>
      <c r="Y153" s="1017"/>
      <c r="Z153" s="1017"/>
      <c r="AA153" s="1017"/>
      <c r="AB153" s="1017"/>
      <c r="AC153" s="1017"/>
      <c r="AD153" s="1017"/>
      <c r="AE153" s="1017"/>
      <c r="AF153" s="1017"/>
    </row>
    <row r="154" spans="1:32" ht="16.5">
      <c r="A154" s="1022"/>
      <c r="B154" s="1766"/>
      <c r="C154" s="1081">
        <v>43622</v>
      </c>
      <c r="D154" s="1024">
        <v>43986</v>
      </c>
      <c r="E154" s="1024"/>
      <c r="F154" s="1100">
        <v>347493.83981896</v>
      </c>
      <c r="G154" s="1033">
        <v>90610</v>
      </c>
      <c r="H154" s="1026">
        <f t="shared" si="9"/>
        <v>29448.25</v>
      </c>
      <c r="I154" s="1027">
        <f t="shared" si="11"/>
        <v>347493.83981896</v>
      </c>
      <c r="J154" s="1029">
        <f t="shared" si="10"/>
        <v>0.26075282384058002</v>
      </c>
      <c r="K154" s="1114"/>
      <c r="L154" s="1028"/>
      <c r="M154" s="1034"/>
      <c r="N154" s="1034"/>
      <c r="O154" s="1034"/>
      <c r="P154" s="1034"/>
      <c r="Q154" s="1036"/>
      <c r="R154" s="1017"/>
      <c r="S154" s="1017"/>
      <c r="T154" s="1351"/>
      <c r="U154" s="1017"/>
      <c r="V154" s="1017"/>
      <c r="W154" s="1017"/>
      <c r="X154" s="1017"/>
      <c r="Y154" s="1017"/>
      <c r="Z154" s="1017"/>
      <c r="AA154" s="1017"/>
      <c r="AB154" s="1017"/>
      <c r="AC154" s="1017"/>
      <c r="AD154" s="1017"/>
      <c r="AE154" s="1017"/>
      <c r="AF154" s="1017"/>
    </row>
    <row r="155" spans="1:32" ht="16.5">
      <c r="A155" s="1022"/>
      <c r="B155" s="1766"/>
      <c r="C155" s="1081">
        <v>43623</v>
      </c>
      <c r="D155" s="1024">
        <v>43987</v>
      </c>
      <c r="E155" s="1024"/>
      <c r="F155" s="1100">
        <v>440580.62657614</v>
      </c>
      <c r="G155" s="1033">
        <v>106321</v>
      </c>
      <c r="H155" s="1026">
        <f t="shared" si="9"/>
        <v>34554.325000000004</v>
      </c>
      <c r="I155" s="1027">
        <f t="shared" si="11"/>
        <v>440580.62657614</v>
      </c>
      <c r="J155" s="1029">
        <f t="shared" si="10"/>
        <v>0.24132018882956008</v>
      </c>
      <c r="K155" s="1114"/>
      <c r="L155" s="1028"/>
      <c r="M155" s="1034"/>
      <c r="N155" s="1034"/>
      <c r="O155" s="1034"/>
      <c r="P155" s="1034"/>
      <c r="Q155" s="1036"/>
      <c r="R155" s="1017"/>
      <c r="S155" s="1017"/>
      <c r="T155" s="1351"/>
      <c r="U155" s="1017"/>
      <c r="V155" s="1017"/>
      <c r="W155" s="1017"/>
      <c r="X155" s="1017"/>
      <c r="Y155" s="1017"/>
      <c r="Z155" s="1017"/>
      <c r="AA155" s="1017"/>
      <c r="AB155" s="1017"/>
      <c r="AC155" s="1017"/>
      <c r="AD155" s="1017"/>
      <c r="AE155" s="1017"/>
      <c r="AF155" s="1017"/>
    </row>
    <row r="156" spans="1:32" ht="16.5">
      <c r="A156" s="1022"/>
      <c r="B156" s="1768"/>
      <c r="C156" s="1083">
        <v>43624</v>
      </c>
      <c r="D156" s="1084">
        <v>43988</v>
      </c>
      <c r="E156" s="1084"/>
      <c r="F156" s="1109">
        <v>665446.79334015003</v>
      </c>
      <c r="G156" s="1110">
        <v>146449</v>
      </c>
      <c r="H156" s="1026">
        <f t="shared" si="9"/>
        <v>47595.925000000003</v>
      </c>
      <c r="I156" s="1027">
        <f t="shared" si="11"/>
        <v>665446.79334015003</v>
      </c>
      <c r="J156" s="1029">
        <f t="shared" si="10"/>
        <v>0.22007619762492578</v>
      </c>
      <c r="K156" s="1114"/>
      <c r="L156" s="1028"/>
      <c r="M156" s="1034"/>
      <c r="N156" s="1034"/>
      <c r="O156" s="1034"/>
      <c r="P156" s="1034"/>
      <c r="Q156" s="1036"/>
      <c r="R156" s="1017"/>
      <c r="S156" s="1017"/>
      <c r="T156" s="1351"/>
      <c r="U156" s="1017"/>
      <c r="V156" s="1017"/>
      <c r="W156" s="1017"/>
      <c r="X156" s="1017"/>
      <c r="Y156" s="1017"/>
      <c r="Z156" s="1017"/>
      <c r="AA156" s="1017"/>
      <c r="AB156" s="1017"/>
      <c r="AC156" s="1017"/>
      <c r="AD156" s="1017"/>
      <c r="AE156" s="1017"/>
      <c r="AF156" s="1017"/>
    </row>
    <row r="157" spans="1:32" ht="16.5">
      <c r="A157" s="1017"/>
      <c r="B157" s="1769" t="s">
        <v>358</v>
      </c>
      <c r="C157" s="1111">
        <v>43625</v>
      </c>
      <c r="D157" s="1112">
        <v>43989</v>
      </c>
      <c r="E157" s="1517"/>
      <c r="F157" s="1113">
        <v>370535.86652792001</v>
      </c>
      <c r="G157" s="1027">
        <v>87341</v>
      </c>
      <c r="H157" s="1026">
        <f t="shared" si="9"/>
        <v>28385.825000000001</v>
      </c>
      <c r="I157" s="1027">
        <f t="shared" si="11"/>
        <v>370535.86652792001</v>
      </c>
      <c r="J157" s="1029">
        <f t="shared" si="10"/>
        <v>0.23571537303101756</v>
      </c>
      <c r="K157" s="1114"/>
      <c r="L157" s="1028"/>
      <c r="M157" s="1034"/>
      <c r="N157" s="1034"/>
      <c r="O157" s="1034"/>
      <c r="P157" s="1034"/>
      <c r="Q157" s="1017"/>
      <c r="R157" s="1017"/>
      <c r="S157" s="1017"/>
      <c r="T157" s="1351"/>
      <c r="U157" s="1017"/>
      <c r="V157" s="1017"/>
      <c r="W157" s="1017"/>
      <c r="X157" s="1017"/>
      <c r="Y157" s="1017"/>
      <c r="Z157" s="1017"/>
      <c r="AA157" s="1017"/>
      <c r="AB157" s="1017"/>
      <c r="AC157" s="1017"/>
      <c r="AD157" s="1017"/>
      <c r="AE157" s="1017"/>
      <c r="AF157" s="1017"/>
    </row>
    <row r="158" spans="1:32" ht="16.5">
      <c r="A158" s="1017"/>
      <c r="B158" s="1766"/>
      <c r="C158" s="1083">
        <v>43626</v>
      </c>
      <c r="D158" s="1099">
        <v>43990</v>
      </c>
      <c r="E158" s="1103"/>
      <c r="F158" s="1100">
        <v>354778.26954240003</v>
      </c>
      <c r="G158" s="1027">
        <v>80098</v>
      </c>
      <c r="H158" s="1026">
        <f t="shared" si="9"/>
        <v>26031.850000000002</v>
      </c>
      <c r="I158" s="1027">
        <f t="shared" si="11"/>
        <v>354778.26954240003</v>
      </c>
      <c r="J158" s="1029">
        <f t="shared" si="10"/>
        <v>0.22576918282879041</v>
      </c>
      <c r="K158" s="1114"/>
      <c r="L158" s="1028"/>
      <c r="M158" s="1034"/>
      <c r="N158" s="1034"/>
      <c r="O158" s="1034"/>
      <c r="P158" s="1034"/>
      <c r="Q158" s="1017"/>
      <c r="R158" s="1017"/>
      <c r="S158" s="1017"/>
      <c r="T158" s="1351"/>
      <c r="U158" s="1017"/>
      <c r="V158" s="1017"/>
      <c r="W158" s="1017"/>
      <c r="X158" s="1017"/>
      <c r="Y158" s="1017"/>
      <c r="Z158" s="1017"/>
      <c r="AA158" s="1017"/>
      <c r="AB158" s="1017"/>
      <c r="AC158" s="1017"/>
      <c r="AD158" s="1017"/>
      <c r="AE158" s="1017"/>
      <c r="AF158" s="1017"/>
    </row>
    <row r="159" spans="1:32" ht="16.5">
      <c r="A159" s="1017"/>
      <c r="B159" s="1766"/>
      <c r="C159" s="1083">
        <v>43627</v>
      </c>
      <c r="D159" s="1099">
        <v>43991</v>
      </c>
      <c r="E159" s="1103"/>
      <c r="F159" s="1100">
        <v>319896.00482701999</v>
      </c>
      <c r="G159" s="1027">
        <v>95460</v>
      </c>
      <c r="H159" s="1026">
        <f t="shared" si="9"/>
        <v>31024.5</v>
      </c>
      <c r="I159" s="1027">
        <f t="shared" si="11"/>
        <v>319896.00482701999</v>
      </c>
      <c r="J159" s="1029">
        <f t="shared" si="10"/>
        <v>0.29840947857919914</v>
      </c>
      <c r="K159" s="1114"/>
      <c r="L159" s="1028"/>
      <c r="M159" s="1034"/>
      <c r="N159" s="1034"/>
      <c r="O159" s="1034"/>
      <c r="P159" s="1034"/>
      <c r="Q159" s="1017"/>
      <c r="R159" s="1017"/>
      <c r="S159" s="1017"/>
      <c r="T159" s="1351"/>
      <c r="U159" s="1017"/>
      <c r="V159" s="1017"/>
      <c r="W159" s="1017"/>
      <c r="X159" s="1017"/>
      <c r="Y159" s="1017"/>
      <c r="Z159" s="1017"/>
      <c r="AA159" s="1017"/>
      <c r="AB159" s="1017"/>
      <c r="AC159" s="1017"/>
      <c r="AD159" s="1017"/>
      <c r="AE159" s="1017"/>
      <c r="AF159" s="1017"/>
    </row>
    <row r="160" spans="1:32" ht="16.5">
      <c r="A160" s="1017"/>
      <c r="B160" s="1766"/>
      <c r="C160" s="1083">
        <v>43628</v>
      </c>
      <c r="D160" s="1099">
        <v>43992</v>
      </c>
      <c r="E160" s="1103"/>
      <c r="F160" s="1100">
        <v>359205.64294398</v>
      </c>
      <c r="G160" s="1107">
        <v>113470</v>
      </c>
      <c r="H160" s="1026">
        <f t="shared" si="9"/>
        <v>36877.75</v>
      </c>
      <c r="I160" s="1027">
        <f t="shared" si="11"/>
        <v>359205.64294398</v>
      </c>
      <c r="J160" s="1029">
        <f t="shared" si="10"/>
        <v>0.31589147394796424</v>
      </c>
      <c r="K160" s="1114"/>
      <c r="L160" s="1028"/>
      <c r="M160" s="1034"/>
      <c r="N160" s="1034"/>
      <c r="O160" s="1034"/>
      <c r="P160" s="1034"/>
      <c r="Q160" s="1017"/>
      <c r="R160" s="1017"/>
      <c r="S160" s="1017"/>
      <c r="T160" s="1351"/>
      <c r="U160" s="1017"/>
      <c r="V160" s="1017"/>
      <c r="W160" s="1017"/>
      <c r="X160" s="1017"/>
      <c r="Y160" s="1017"/>
      <c r="Z160" s="1017"/>
      <c r="AA160" s="1017"/>
      <c r="AB160" s="1017"/>
      <c r="AC160" s="1017"/>
      <c r="AD160" s="1017"/>
      <c r="AE160" s="1017"/>
      <c r="AF160" s="1017"/>
    </row>
    <row r="161" spans="1:32" ht="16.5">
      <c r="A161" s="1017"/>
      <c r="B161" s="1766"/>
      <c r="C161" s="1083">
        <v>43629</v>
      </c>
      <c r="D161" s="1099">
        <v>43993</v>
      </c>
      <c r="E161" s="1103"/>
      <c r="F161" s="1100">
        <v>403818.27867948002</v>
      </c>
      <c r="G161" s="1027">
        <v>102752</v>
      </c>
      <c r="H161" s="1026">
        <f t="shared" si="9"/>
        <v>33394.400000000001</v>
      </c>
      <c r="I161" s="1027">
        <f t="shared" si="11"/>
        <v>403818.27867948002</v>
      </c>
      <c r="J161" s="1029">
        <f t="shared" si="10"/>
        <v>0.25445108709790887</v>
      </c>
      <c r="K161" s="1114"/>
      <c r="L161" s="1028"/>
      <c r="M161" s="1034"/>
      <c r="N161" s="1034"/>
      <c r="O161" s="1034"/>
      <c r="P161" s="1034"/>
      <c r="Q161" s="1017"/>
      <c r="R161" s="1017"/>
      <c r="S161" s="1017"/>
      <c r="T161" s="1351"/>
      <c r="U161" s="1017"/>
      <c r="V161" s="1017"/>
      <c r="W161" s="1017"/>
      <c r="X161" s="1017"/>
      <c r="Y161" s="1017"/>
      <c r="Z161" s="1017"/>
      <c r="AA161" s="1017"/>
      <c r="AB161" s="1017"/>
      <c r="AC161" s="1017"/>
      <c r="AD161" s="1017"/>
      <c r="AE161" s="1017"/>
      <c r="AF161" s="1017"/>
    </row>
    <row r="162" spans="1:32" ht="16.5">
      <c r="A162" s="1017"/>
      <c r="B162" s="1766"/>
      <c r="C162" s="1083">
        <v>43630</v>
      </c>
      <c r="D162" s="1099">
        <v>43994</v>
      </c>
      <c r="E162" s="1103"/>
      <c r="F162" s="1100">
        <v>551914.47528768994</v>
      </c>
      <c r="G162" s="1027">
        <v>130168</v>
      </c>
      <c r="H162" s="1026">
        <f t="shared" si="9"/>
        <v>42304.6</v>
      </c>
      <c r="I162" s="1027">
        <f t="shared" si="11"/>
        <v>551914.47528768994</v>
      </c>
      <c r="J162" s="1029">
        <f t="shared" si="10"/>
        <v>0.23584813558685674</v>
      </c>
      <c r="K162" s="1114"/>
      <c r="L162" s="1028"/>
      <c r="M162" s="1034"/>
      <c r="N162" s="1034"/>
      <c r="O162" s="1034"/>
      <c r="P162" s="1034"/>
      <c r="Q162" s="1017"/>
      <c r="R162" s="1017"/>
      <c r="S162" s="1017"/>
      <c r="T162" s="1351"/>
      <c r="U162" s="1017"/>
      <c r="V162" s="1017"/>
      <c r="W162" s="1017"/>
      <c r="X162" s="1017"/>
      <c r="Y162" s="1017"/>
      <c r="Z162" s="1017"/>
      <c r="AA162" s="1017"/>
      <c r="AB162" s="1017"/>
      <c r="AC162" s="1017"/>
      <c r="AD162" s="1017"/>
      <c r="AE162" s="1017"/>
      <c r="AF162" s="1017"/>
    </row>
    <row r="163" spans="1:32" ht="16.5">
      <c r="A163" s="1017"/>
      <c r="B163" s="1767"/>
      <c r="C163" s="1094">
        <v>43631</v>
      </c>
      <c r="D163" s="1103">
        <v>43995</v>
      </c>
      <c r="E163" s="1103"/>
      <c r="F163" s="1104">
        <v>812038.72143399005</v>
      </c>
      <c r="G163" s="1107">
        <v>176772</v>
      </c>
      <c r="H163" s="1026">
        <f t="shared" si="9"/>
        <v>57450.9</v>
      </c>
      <c r="I163" s="1027">
        <f t="shared" si="11"/>
        <v>812038.72143399005</v>
      </c>
      <c r="J163" s="1114">
        <f t="shared" si="10"/>
        <v>0.217689126557704</v>
      </c>
      <c r="K163" s="1114"/>
      <c r="L163" s="1028"/>
      <c r="M163" s="1034"/>
      <c r="N163" s="1034"/>
      <c r="O163" s="1034"/>
      <c r="P163" s="1034"/>
      <c r="Q163" s="1017"/>
      <c r="R163" s="1017"/>
      <c r="S163" s="1017"/>
      <c r="T163" s="1351"/>
      <c r="U163" s="1017"/>
      <c r="V163" s="1017"/>
      <c r="W163" s="1017"/>
      <c r="X163" s="1017"/>
      <c r="Y163" s="1017"/>
      <c r="Z163" s="1017"/>
      <c r="AA163" s="1017"/>
      <c r="AB163" s="1017"/>
      <c r="AC163" s="1017"/>
      <c r="AD163" s="1017"/>
      <c r="AE163" s="1017"/>
      <c r="AF163" s="1017"/>
    </row>
    <row r="164" spans="1:32" ht="16.5">
      <c r="A164" s="1022"/>
      <c r="B164" s="1765" t="s">
        <v>359</v>
      </c>
      <c r="C164" s="1079">
        <v>43632</v>
      </c>
      <c r="D164" s="1072">
        <v>43996</v>
      </c>
      <c r="E164" s="1072"/>
      <c r="F164" s="1097">
        <v>389095.39939581999</v>
      </c>
      <c r="G164" s="1115">
        <v>95351</v>
      </c>
      <c r="H164" s="1026">
        <f t="shared" si="9"/>
        <v>30989.075000000001</v>
      </c>
      <c r="I164" s="1027">
        <f t="shared" si="11"/>
        <v>389095.39939581999</v>
      </c>
      <c r="J164" s="1116">
        <f t="shared" si="10"/>
        <v>0.24505815321399133</v>
      </c>
      <c r="K164" s="1440"/>
      <c r="L164" s="1117"/>
      <c r="M164" s="1034"/>
      <c r="N164" s="1034"/>
      <c r="O164" s="1034"/>
      <c r="P164" s="1034"/>
      <c r="Q164" s="1017"/>
      <c r="R164" s="1017"/>
      <c r="S164" s="1017"/>
      <c r="T164" s="1351"/>
      <c r="U164" s="1017"/>
      <c r="V164" s="1017"/>
      <c r="W164" s="1017"/>
      <c r="X164" s="1017"/>
      <c r="Y164" s="1017"/>
      <c r="Z164" s="1017"/>
      <c r="AA164" s="1017"/>
      <c r="AB164" s="1017"/>
      <c r="AC164" s="1017"/>
      <c r="AD164" s="1017"/>
      <c r="AE164" s="1017"/>
      <c r="AF164" s="1017"/>
    </row>
    <row r="165" spans="1:32" ht="16.5">
      <c r="A165" s="1022"/>
      <c r="B165" s="1766"/>
      <c r="C165" s="1081">
        <v>43633</v>
      </c>
      <c r="D165" s="1024">
        <v>43997</v>
      </c>
      <c r="E165" s="1024"/>
      <c r="F165" s="1100">
        <v>411736.52541301999</v>
      </c>
      <c r="G165" s="1118">
        <v>172329</v>
      </c>
      <c r="H165" s="1026">
        <f t="shared" si="9"/>
        <v>56006.925000000003</v>
      </c>
      <c r="I165" s="1027">
        <f t="shared" si="11"/>
        <v>411736.52541301999</v>
      </c>
      <c r="J165" s="1119">
        <f t="shared" si="10"/>
        <v>0.41854193000519885</v>
      </c>
      <c r="K165" s="1441"/>
      <c r="L165" s="1117"/>
      <c r="M165" s="1034"/>
      <c r="N165" s="1034"/>
      <c r="O165" s="1034"/>
      <c r="P165" s="1034"/>
      <c r="Q165" s="1017"/>
      <c r="R165" s="1017"/>
      <c r="S165" s="1017"/>
      <c r="T165" s="1351"/>
      <c r="U165" s="1017"/>
      <c r="V165" s="1017"/>
      <c r="W165" s="1017"/>
      <c r="X165" s="1017"/>
      <c r="Y165" s="1017"/>
      <c r="Z165" s="1017"/>
      <c r="AA165" s="1017"/>
      <c r="AB165" s="1017"/>
      <c r="AC165" s="1017"/>
      <c r="AD165" s="1017"/>
      <c r="AE165" s="1017"/>
      <c r="AF165" s="1017"/>
    </row>
    <row r="166" spans="1:32" ht="16.5">
      <c r="A166" s="1022"/>
      <c r="B166" s="1766"/>
      <c r="C166" s="1081">
        <v>43634</v>
      </c>
      <c r="D166" s="1024">
        <v>43998</v>
      </c>
      <c r="E166" s="1024"/>
      <c r="F166" s="1100">
        <v>430635.46114160999</v>
      </c>
      <c r="G166" s="1118">
        <v>171637</v>
      </c>
      <c r="H166" s="1026">
        <f t="shared" si="9"/>
        <v>55782.025000000001</v>
      </c>
      <c r="I166" s="1027">
        <f t="shared" si="11"/>
        <v>430635.46114160999</v>
      </c>
      <c r="J166" s="1119">
        <f t="shared" si="10"/>
        <v>0.39856680530904759</v>
      </c>
      <c r="K166" s="1441"/>
      <c r="L166" s="1117"/>
      <c r="M166" s="1034"/>
      <c r="N166" s="1034"/>
      <c r="O166" s="1034"/>
      <c r="P166" s="1034"/>
      <c r="Q166" s="1017"/>
      <c r="R166" s="1017"/>
      <c r="S166" s="1017"/>
      <c r="T166" s="1351"/>
      <c r="U166" s="1017"/>
      <c r="V166" s="1017"/>
      <c r="W166" s="1017"/>
      <c r="X166" s="1017"/>
      <c r="Y166" s="1017"/>
      <c r="Z166" s="1017"/>
      <c r="AA166" s="1017"/>
      <c r="AB166" s="1017"/>
      <c r="AC166" s="1017"/>
      <c r="AD166" s="1017"/>
      <c r="AE166" s="1017"/>
      <c r="AF166" s="1017"/>
    </row>
    <row r="167" spans="1:32" ht="16.5">
      <c r="A167" s="1022"/>
      <c r="B167" s="1766"/>
      <c r="C167" s="1081">
        <v>43635</v>
      </c>
      <c r="D167" s="1024">
        <v>43999</v>
      </c>
      <c r="E167" s="1024"/>
      <c r="F167" s="1100">
        <v>408171.86526443</v>
      </c>
      <c r="G167" s="1118">
        <v>154440</v>
      </c>
      <c r="H167" s="1026">
        <f t="shared" si="9"/>
        <v>50193</v>
      </c>
      <c r="I167" s="1027">
        <f t="shared" si="11"/>
        <v>408171.86526443</v>
      </c>
      <c r="J167" s="1119">
        <f t="shared" si="10"/>
        <v>0.37837002778216378</v>
      </c>
      <c r="K167" s="1441"/>
      <c r="L167" s="1117"/>
      <c r="M167" s="1034"/>
      <c r="N167" s="1034"/>
      <c r="O167" s="1034"/>
      <c r="P167" s="1034"/>
      <c r="Q167" s="1017"/>
      <c r="R167" s="1017"/>
      <c r="S167" s="1017"/>
      <c r="T167" s="1351"/>
      <c r="U167" s="1017"/>
      <c r="V167" s="1017"/>
      <c r="W167" s="1017"/>
      <c r="X167" s="1017"/>
      <c r="Y167" s="1017"/>
      <c r="Z167" s="1017"/>
      <c r="AA167" s="1017"/>
      <c r="AB167" s="1017"/>
      <c r="AC167" s="1017"/>
      <c r="AD167" s="1017"/>
      <c r="AE167" s="1017"/>
      <c r="AF167" s="1017"/>
    </row>
    <row r="168" spans="1:32" ht="16.5">
      <c r="A168" s="1022"/>
      <c r="B168" s="1766"/>
      <c r="C168" s="1081">
        <v>43636</v>
      </c>
      <c r="D168" s="1024">
        <v>44000</v>
      </c>
      <c r="E168" s="1024"/>
      <c r="F168" s="1100">
        <v>461126.96518075</v>
      </c>
      <c r="G168" s="1118">
        <v>165455</v>
      </c>
      <c r="H168" s="1026">
        <f t="shared" si="9"/>
        <v>53772.875</v>
      </c>
      <c r="I168" s="1027">
        <f t="shared" si="11"/>
        <v>461126.96518075</v>
      </c>
      <c r="J168" s="1119">
        <f t="shared" si="10"/>
        <v>0.35880573571564151</v>
      </c>
      <c r="K168" s="1441"/>
      <c r="L168" s="1117"/>
      <c r="M168" s="1034"/>
      <c r="N168" s="1034"/>
      <c r="O168" s="1034"/>
      <c r="P168" s="1034"/>
      <c r="Q168" s="1017"/>
      <c r="R168" s="1017"/>
      <c r="S168" s="1017"/>
      <c r="T168" s="1351"/>
      <c r="U168" s="1017"/>
      <c r="V168" s="1017"/>
      <c r="W168" s="1017"/>
      <c r="X168" s="1017"/>
      <c r="Y168" s="1017"/>
      <c r="Z168" s="1017"/>
      <c r="AA168" s="1017"/>
      <c r="AB168" s="1017"/>
      <c r="AC168" s="1017"/>
      <c r="AD168" s="1017"/>
      <c r="AE168" s="1017"/>
      <c r="AF168" s="1017"/>
    </row>
    <row r="169" spans="1:32" ht="16.5">
      <c r="A169" s="1022"/>
      <c r="B169" s="1766"/>
      <c r="C169" s="1081">
        <v>43637</v>
      </c>
      <c r="D169" s="1024">
        <v>44001</v>
      </c>
      <c r="E169" s="1024"/>
      <c r="F169" s="1100">
        <v>541139.15593182005</v>
      </c>
      <c r="G169" s="1118">
        <v>206938</v>
      </c>
      <c r="H169" s="1026">
        <f t="shared" si="9"/>
        <v>67254.850000000006</v>
      </c>
      <c r="I169" s="1027">
        <f t="shared" si="11"/>
        <v>541139.15593182005</v>
      </c>
      <c r="J169" s="1119">
        <f t="shared" si="10"/>
        <v>0.38241180245709816</v>
      </c>
      <c r="K169" s="1441"/>
      <c r="L169" s="1117"/>
      <c r="M169" s="1034"/>
      <c r="N169" s="1034"/>
      <c r="O169" s="1034"/>
      <c r="P169" s="1034"/>
      <c r="Q169" s="1017"/>
      <c r="R169" s="1017"/>
      <c r="S169" s="1017"/>
      <c r="T169" s="1351"/>
      <c r="U169" s="1017"/>
      <c r="V169" s="1017"/>
      <c r="W169" s="1017"/>
      <c r="X169" s="1017"/>
      <c r="Y169" s="1017"/>
      <c r="Z169" s="1017"/>
      <c r="AA169" s="1017"/>
      <c r="AB169" s="1017"/>
      <c r="AC169" s="1017"/>
      <c r="AD169" s="1017"/>
      <c r="AE169" s="1017"/>
      <c r="AF169" s="1017"/>
    </row>
    <row r="170" spans="1:32" ht="16.5">
      <c r="A170" s="1022"/>
      <c r="B170" s="1768"/>
      <c r="C170" s="1083">
        <v>43638</v>
      </c>
      <c r="D170" s="1084">
        <v>44002</v>
      </c>
      <c r="E170" s="1084"/>
      <c r="F170" s="1109">
        <v>692645.63569796004</v>
      </c>
      <c r="G170" s="1120">
        <v>315513</v>
      </c>
      <c r="H170" s="1026">
        <f t="shared" si="9"/>
        <v>102541.72500000001</v>
      </c>
      <c r="I170" s="1027">
        <f t="shared" si="11"/>
        <v>692645.63569796004</v>
      </c>
      <c r="J170" s="1121">
        <f t="shared" si="10"/>
        <v>0.45551864292347155</v>
      </c>
      <c r="K170" s="1442"/>
      <c r="L170" s="1117"/>
      <c r="M170" s="1034"/>
      <c r="N170" s="1034"/>
      <c r="O170" s="1034"/>
      <c r="P170" s="1034"/>
      <c r="Q170" s="1017"/>
      <c r="R170" s="1017"/>
      <c r="S170" s="1017"/>
      <c r="T170" s="1351"/>
      <c r="U170" s="1017"/>
      <c r="V170" s="1017"/>
      <c r="W170" s="1017"/>
      <c r="X170" s="1017"/>
      <c r="Y170" s="1017"/>
      <c r="Z170" s="1017"/>
      <c r="AA170" s="1017"/>
      <c r="AB170" s="1017"/>
      <c r="AC170" s="1017"/>
      <c r="AD170" s="1017"/>
      <c r="AE170" s="1017"/>
      <c r="AF170" s="1017"/>
    </row>
    <row r="171" spans="1:32" ht="16.5">
      <c r="A171" s="1022"/>
      <c r="B171" s="1769" t="s">
        <v>360</v>
      </c>
      <c r="C171" s="1087">
        <v>43639</v>
      </c>
      <c r="D171" s="1088">
        <v>44003</v>
      </c>
      <c r="E171" s="1088"/>
      <c r="F171" s="1113">
        <v>396879.95282876003</v>
      </c>
      <c r="G171" s="1122">
        <v>136231</v>
      </c>
      <c r="H171" s="1026">
        <f t="shared" si="9"/>
        <v>44275.075000000004</v>
      </c>
      <c r="I171" s="1027">
        <f t="shared" si="11"/>
        <v>396879.95282876003</v>
      </c>
      <c r="J171" s="1123">
        <f t="shared" si="10"/>
        <v>0.34325492892501669</v>
      </c>
      <c r="K171" s="1440"/>
      <c r="L171" s="1117"/>
      <c r="M171" s="1034"/>
      <c r="N171" s="1034"/>
      <c r="O171" s="1034"/>
      <c r="P171" s="1034"/>
      <c r="Q171" s="1017"/>
      <c r="R171" s="1017"/>
      <c r="S171" s="1017"/>
      <c r="T171" s="1351"/>
      <c r="U171" s="1017"/>
      <c r="V171" s="1017"/>
      <c r="W171" s="1017"/>
      <c r="X171" s="1017"/>
      <c r="Y171" s="1017"/>
      <c r="Z171" s="1017"/>
      <c r="AA171" s="1017"/>
      <c r="AB171" s="1017"/>
      <c r="AC171" s="1017"/>
      <c r="AD171" s="1017"/>
      <c r="AE171" s="1017"/>
      <c r="AF171" s="1017"/>
    </row>
    <row r="172" spans="1:32" ht="16.5">
      <c r="A172" s="1022"/>
      <c r="B172" s="1766"/>
      <c r="C172" s="1081">
        <v>43640</v>
      </c>
      <c r="D172" s="1024">
        <v>44004</v>
      </c>
      <c r="E172" s="1024"/>
      <c r="F172" s="1100">
        <v>408452.41804124002</v>
      </c>
      <c r="G172" s="1060">
        <v>142135</v>
      </c>
      <c r="H172" s="1026">
        <f t="shared" si="9"/>
        <v>46193.875</v>
      </c>
      <c r="I172" s="1027">
        <f t="shared" si="11"/>
        <v>408452.41804124002</v>
      </c>
      <c r="J172" s="1119">
        <f t="shared" si="10"/>
        <v>0.34798422955020708</v>
      </c>
      <c r="K172" s="1441"/>
      <c r="L172" s="1117"/>
      <c r="M172" s="1034"/>
      <c r="N172" s="1034"/>
      <c r="O172" s="1034"/>
      <c r="P172" s="1034"/>
      <c r="Q172" s="1017"/>
      <c r="R172" s="1017"/>
      <c r="S172" s="1017"/>
      <c r="T172" s="1351"/>
      <c r="U172" s="1017"/>
      <c r="V172" s="1017"/>
      <c r="W172" s="1017"/>
      <c r="X172" s="1017"/>
      <c r="Y172" s="1017"/>
      <c r="Z172" s="1017"/>
      <c r="AA172" s="1017"/>
      <c r="AB172" s="1017"/>
      <c r="AC172" s="1017"/>
      <c r="AD172" s="1017"/>
      <c r="AE172" s="1017"/>
      <c r="AF172" s="1017"/>
    </row>
    <row r="173" spans="1:32" ht="16.5">
      <c r="A173" s="1022"/>
      <c r="B173" s="1766"/>
      <c r="C173" s="1081">
        <v>43641</v>
      </c>
      <c r="D173" s="1024">
        <v>44005</v>
      </c>
      <c r="E173" s="1024"/>
      <c r="F173" s="1100">
        <v>390713.27144932002</v>
      </c>
      <c r="G173" s="1060">
        <v>156887</v>
      </c>
      <c r="H173" s="1026">
        <f t="shared" si="9"/>
        <v>50988.275000000001</v>
      </c>
      <c r="I173" s="1027">
        <f t="shared" si="11"/>
        <v>390713.27144932002</v>
      </c>
      <c r="J173" s="1119">
        <f t="shared" si="10"/>
        <v>0.40153998203859331</v>
      </c>
      <c r="K173" s="1441"/>
      <c r="L173" s="1117"/>
      <c r="M173" s="1034"/>
      <c r="N173" s="1034"/>
      <c r="O173" s="1034"/>
      <c r="P173" s="1034"/>
      <c r="Q173" s="1017"/>
      <c r="R173" s="1017"/>
      <c r="S173" s="1017"/>
      <c r="T173" s="1351"/>
      <c r="U173" s="1017"/>
      <c r="V173" s="1017"/>
      <c r="W173" s="1017"/>
      <c r="X173" s="1017"/>
      <c r="Y173" s="1017"/>
      <c r="Z173" s="1017"/>
      <c r="AA173" s="1017"/>
      <c r="AB173" s="1017"/>
      <c r="AC173" s="1017"/>
      <c r="AD173" s="1017"/>
      <c r="AE173" s="1017"/>
      <c r="AF173" s="1017"/>
    </row>
    <row r="174" spans="1:32" ht="16.5">
      <c r="A174" s="1022"/>
      <c r="B174" s="1766"/>
      <c r="C174" s="1081">
        <v>43642</v>
      </c>
      <c r="D174" s="1024">
        <v>44006</v>
      </c>
      <c r="E174" s="1024"/>
      <c r="F174" s="1100">
        <v>441197.79105159</v>
      </c>
      <c r="G174" s="1060">
        <v>149146</v>
      </c>
      <c r="H174" s="1026">
        <f t="shared" si="9"/>
        <v>48472.450000000004</v>
      </c>
      <c r="I174" s="1027">
        <f t="shared" si="11"/>
        <v>441197.79105159</v>
      </c>
      <c r="J174" s="1119">
        <f t="shared" si="10"/>
        <v>0.33804793003272338</v>
      </c>
      <c r="K174" s="1441"/>
      <c r="L174" s="1117"/>
      <c r="M174" s="1034"/>
      <c r="N174" s="1034"/>
      <c r="O174" s="1034"/>
      <c r="P174" s="1034"/>
      <c r="Q174" s="1017"/>
      <c r="R174" s="1017"/>
      <c r="S174" s="1017"/>
      <c r="T174" s="1351"/>
      <c r="U174" s="1017"/>
      <c r="V174" s="1017"/>
      <c r="W174" s="1017"/>
      <c r="X174" s="1017"/>
      <c r="Y174" s="1017"/>
      <c r="Z174" s="1017"/>
      <c r="AA174" s="1017"/>
      <c r="AB174" s="1017"/>
      <c r="AC174" s="1017"/>
      <c r="AD174" s="1017"/>
      <c r="AE174" s="1017"/>
      <c r="AF174" s="1017"/>
    </row>
    <row r="175" spans="1:32" ht="16.5">
      <c r="A175" s="1022"/>
      <c r="B175" s="1766"/>
      <c r="C175" s="1081">
        <v>43643</v>
      </c>
      <c r="D175" s="1024">
        <v>44007</v>
      </c>
      <c r="E175" s="1024"/>
      <c r="F175" s="1100">
        <v>407950.44315547001</v>
      </c>
      <c r="G175" s="1060">
        <v>172218</v>
      </c>
      <c r="H175" s="1026">
        <f t="shared" si="9"/>
        <v>55970.85</v>
      </c>
      <c r="I175" s="1027">
        <f t="shared" si="11"/>
        <v>407950.44315547001</v>
      </c>
      <c r="J175" s="1119">
        <f t="shared" si="10"/>
        <v>0.4221542172326252</v>
      </c>
      <c r="K175" s="1441"/>
      <c r="L175" s="1117"/>
      <c r="M175" s="1034"/>
      <c r="N175" s="1034"/>
      <c r="O175" s="1034"/>
      <c r="P175" s="1034"/>
      <c r="Q175" s="1017"/>
      <c r="R175" s="1017"/>
      <c r="S175" s="1017"/>
      <c r="T175" s="1351"/>
      <c r="U175" s="1017"/>
      <c r="V175" s="1017"/>
      <c r="W175" s="1017"/>
      <c r="X175" s="1017"/>
      <c r="Y175" s="1017"/>
      <c r="Z175" s="1017"/>
      <c r="AA175" s="1017"/>
      <c r="AB175" s="1017"/>
      <c r="AC175" s="1017"/>
      <c r="AD175" s="1017"/>
      <c r="AE175" s="1017"/>
      <c r="AF175" s="1017"/>
    </row>
    <row r="176" spans="1:32" ht="16.5">
      <c r="A176" s="1022"/>
      <c r="B176" s="1766"/>
      <c r="C176" s="1081">
        <v>43644</v>
      </c>
      <c r="D176" s="1024">
        <v>44008</v>
      </c>
      <c r="E176" s="1024"/>
      <c r="F176" s="1100">
        <v>548730.98489417997</v>
      </c>
      <c r="G176" s="1060">
        <v>210323</v>
      </c>
      <c r="H176" s="1026">
        <f t="shared" si="9"/>
        <v>68354.975000000006</v>
      </c>
      <c r="I176" s="1027">
        <f t="shared" si="11"/>
        <v>548730.98489417997</v>
      </c>
      <c r="J176" s="1119">
        <f t="shared" si="10"/>
        <v>0.38328981921908373</v>
      </c>
      <c r="K176" s="1441"/>
      <c r="L176" s="1117"/>
      <c r="M176" s="1034"/>
      <c r="N176" s="1034"/>
      <c r="O176" s="1034"/>
      <c r="P176" s="1034"/>
      <c r="Q176" s="1017"/>
      <c r="R176" s="1017"/>
      <c r="S176" s="1017"/>
      <c r="T176" s="1351"/>
      <c r="U176" s="1017"/>
      <c r="V176" s="1017"/>
      <c r="W176" s="1017"/>
      <c r="X176" s="1017"/>
      <c r="Y176" s="1017"/>
      <c r="Z176" s="1017"/>
      <c r="AA176" s="1017"/>
      <c r="AB176" s="1017"/>
      <c r="AC176" s="1017"/>
      <c r="AD176" s="1017"/>
      <c r="AE176" s="1017"/>
      <c r="AF176" s="1017"/>
    </row>
    <row r="177" spans="1:32" ht="16.5">
      <c r="A177" s="1022"/>
      <c r="B177" s="1768"/>
      <c r="C177" s="1083">
        <v>43645</v>
      </c>
      <c r="D177" s="1084">
        <v>44009</v>
      </c>
      <c r="E177" s="1084"/>
      <c r="F177" s="1109">
        <v>802073.13082824997</v>
      </c>
      <c r="G177" s="1124">
        <v>273796</v>
      </c>
      <c r="H177" s="1026">
        <f t="shared" si="9"/>
        <v>88983.7</v>
      </c>
      <c r="I177" s="1027">
        <f t="shared" si="11"/>
        <v>802073.13082824997</v>
      </c>
      <c r="J177" s="1121">
        <f t="shared" si="10"/>
        <v>0.34136039405442775</v>
      </c>
      <c r="K177" s="1442"/>
      <c r="L177" s="1117"/>
      <c r="M177" s="1034"/>
      <c r="N177" s="1034"/>
      <c r="O177" s="1034"/>
      <c r="P177" s="1034"/>
      <c r="Q177" s="1017"/>
      <c r="R177" s="1017"/>
      <c r="S177" s="1017"/>
      <c r="T177" s="1351"/>
      <c r="U177" s="1017"/>
      <c r="V177" s="1017"/>
      <c r="W177" s="1017"/>
      <c r="X177" s="1017"/>
      <c r="Y177" s="1017"/>
      <c r="Z177" s="1017"/>
      <c r="AA177" s="1017"/>
      <c r="AB177" s="1017"/>
      <c r="AC177" s="1017"/>
      <c r="AD177" s="1017"/>
      <c r="AE177" s="1017"/>
      <c r="AF177" s="1017"/>
    </row>
    <row r="178" spans="1:32" ht="16.5">
      <c r="A178" s="1022"/>
      <c r="B178" s="1769" t="s">
        <v>361</v>
      </c>
      <c r="C178" s="1087">
        <v>43646</v>
      </c>
      <c r="D178" s="1088">
        <v>44010</v>
      </c>
      <c r="E178" s="1088"/>
      <c r="F178" s="1113">
        <v>393065.27256064001</v>
      </c>
      <c r="G178" s="1125">
        <v>143060</v>
      </c>
      <c r="H178" s="1026">
        <f t="shared" si="9"/>
        <v>46494.5</v>
      </c>
      <c r="I178" s="1027">
        <f t="shared" si="11"/>
        <v>393065.27256064001</v>
      </c>
      <c r="J178" s="1123">
        <f t="shared" si="10"/>
        <v>0.36395990688271618</v>
      </c>
      <c r="K178" s="1034"/>
      <c r="L178" s="1036"/>
      <c r="M178" s="1036"/>
      <c r="N178" s="1036"/>
      <c r="O178" s="1036"/>
      <c r="P178" s="1036"/>
      <c r="Q178" s="1017"/>
      <c r="R178" s="1017"/>
      <c r="S178" s="1017"/>
      <c r="T178" s="1351"/>
      <c r="U178" s="1017"/>
      <c r="V178" s="1017"/>
      <c r="W178" s="1017"/>
      <c r="X178" s="1017"/>
      <c r="Y178" s="1017"/>
      <c r="Z178" s="1017"/>
      <c r="AA178" s="1017"/>
      <c r="AB178" s="1017"/>
      <c r="AC178" s="1017"/>
      <c r="AD178" s="1017"/>
      <c r="AE178" s="1017"/>
      <c r="AF178" s="1017"/>
    </row>
    <row r="179" spans="1:32" ht="16.5">
      <c r="A179" s="1022"/>
      <c r="B179" s="1766"/>
      <c r="C179" s="1081">
        <v>43647</v>
      </c>
      <c r="D179" s="1024">
        <v>44011</v>
      </c>
      <c r="E179" s="1024"/>
      <c r="F179" s="1100">
        <v>447031</v>
      </c>
      <c r="G179" s="1027">
        <v>171861</v>
      </c>
      <c r="H179" s="1026">
        <f t="shared" si="9"/>
        <v>55854.825000000004</v>
      </c>
      <c r="I179" s="1027">
        <f t="shared" si="11"/>
        <v>447031</v>
      </c>
      <c r="J179" s="1119">
        <f t="shared" si="10"/>
        <v>0.38444984799711879</v>
      </c>
      <c r="K179" s="1034"/>
      <c r="L179" s="1036"/>
      <c r="M179" s="1036"/>
      <c r="N179" s="1036"/>
      <c r="O179" s="1036"/>
      <c r="P179" s="1036"/>
      <c r="Q179" s="1017"/>
      <c r="R179" s="1017"/>
      <c r="S179" s="1017"/>
      <c r="T179" s="1351"/>
      <c r="U179" s="1017"/>
      <c r="V179" s="1017"/>
      <c r="W179" s="1017"/>
      <c r="X179" s="1017"/>
      <c r="Y179" s="1017"/>
      <c r="Z179" s="1017"/>
      <c r="AA179" s="1017"/>
      <c r="AB179" s="1017"/>
      <c r="AC179" s="1017"/>
      <c r="AD179" s="1017"/>
      <c r="AE179" s="1017"/>
      <c r="AF179" s="1017"/>
    </row>
    <row r="180" spans="1:32" ht="16.5">
      <c r="A180" s="1022"/>
      <c r="B180" s="1766"/>
      <c r="C180" s="1081">
        <v>43648</v>
      </c>
      <c r="D180" s="1024">
        <v>44012</v>
      </c>
      <c r="E180" s="1024"/>
      <c r="F180" s="1100">
        <v>404791</v>
      </c>
      <c r="G180" s="1027">
        <v>198095</v>
      </c>
      <c r="H180" s="1026">
        <f t="shared" si="9"/>
        <v>64380.875</v>
      </c>
      <c r="I180" s="1027">
        <f t="shared" si="11"/>
        <v>404791</v>
      </c>
      <c r="J180" s="1119">
        <f t="shared" si="10"/>
        <v>0.48937599897230916</v>
      </c>
      <c r="K180" s="1034"/>
      <c r="L180" s="1036"/>
      <c r="M180" s="1036"/>
      <c r="N180" s="1036"/>
      <c r="O180" s="1036"/>
      <c r="P180" s="1036"/>
      <c r="Q180" s="1017"/>
      <c r="R180" s="1017"/>
      <c r="S180" s="1017"/>
      <c r="T180" s="1351"/>
      <c r="U180" s="1017"/>
      <c r="V180" s="1017"/>
      <c r="W180" s="1017"/>
      <c r="X180" s="1017"/>
      <c r="Y180" s="1017"/>
      <c r="Z180" s="1017"/>
      <c r="AA180" s="1017"/>
      <c r="AB180" s="1017"/>
      <c r="AC180" s="1017"/>
      <c r="AD180" s="1017"/>
      <c r="AE180" s="1017"/>
      <c r="AF180" s="1017"/>
    </row>
    <row r="181" spans="1:32" ht="16.5">
      <c r="A181" s="1022"/>
      <c r="B181" s="1766"/>
      <c r="C181" s="1081">
        <v>43649</v>
      </c>
      <c r="D181" s="1024">
        <v>44013</v>
      </c>
      <c r="E181" s="1024"/>
      <c r="F181" s="1100">
        <v>385439</v>
      </c>
      <c r="G181" s="1027">
        <v>187148</v>
      </c>
      <c r="H181" s="1026">
        <f t="shared" si="9"/>
        <v>60823.1</v>
      </c>
      <c r="I181" s="1027">
        <f t="shared" si="11"/>
        <v>385439</v>
      </c>
      <c r="J181" s="1119">
        <f t="shared" si="10"/>
        <v>0.48554505382174612</v>
      </c>
      <c r="K181" s="1034"/>
      <c r="L181" s="1036"/>
      <c r="M181" s="1036"/>
      <c r="N181" s="1036"/>
      <c r="O181" s="1036"/>
      <c r="P181" s="1036"/>
      <c r="Q181" s="1017"/>
      <c r="R181" s="1017"/>
      <c r="S181" s="1017"/>
      <c r="T181" s="1351"/>
      <c r="U181" s="1017"/>
      <c r="V181" s="1017"/>
      <c r="W181" s="1017"/>
      <c r="X181" s="1017"/>
      <c r="Y181" s="1017"/>
      <c r="Z181" s="1017"/>
      <c r="AA181" s="1017"/>
      <c r="AB181" s="1017"/>
      <c r="AC181" s="1017"/>
      <c r="AD181" s="1017"/>
      <c r="AE181" s="1017"/>
      <c r="AF181" s="1017"/>
    </row>
    <row r="182" spans="1:32" ht="16.5">
      <c r="A182" s="1022"/>
      <c r="B182" s="1766"/>
      <c r="C182" s="1081">
        <v>43650</v>
      </c>
      <c r="D182" s="1024">
        <v>44014</v>
      </c>
      <c r="E182" s="1024"/>
      <c r="F182" s="1100">
        <v>415070</v>
      </c>
      <c r="G182" s="1027">
        <v>226159</v>
      </c>
      <c r="H182" s="1026">
        <f t="shared" si="9"/>
        <v>73501.675000000003</v>
      </c>
      <c r="I182" s="1027">
        <f t="shared" si="11"/>
        <v>415070</v>
      </c>
      <c r="J182" s="1119">
        <f t="shared" si="10"/>
        <v>0.54486954007757726</v>
      </c>
      <c r="K182" s="1034"/>
      <c r="L182" s="1036"/>
      <c r="M182" s="1036"/>
      <c r="N182" s="1036"/>
      <c r="O182" s="1036"/>
      <c r="P182" s="1036"/>
      <c r="Q182" s="1017"/>
      <c r="R182" s="1017"/>
      <c r="S182" s="1017"/>
      <c r="T182" s="1351"/>
      <c r="U182" s="1017"/>
      <c r="V182" s="1017"/>
      <c r="W182" s="1017"/>
      <c r="X182" s="1017"/>
      <c r="Y182" s="1017"/>
      <c r="Z182" s="1017"/>
      <c r="AA182" s="1017"/>
      <c r="AB182" s="1017"/>
      <c r="AC182" s="1017"/>
      <c r="AD182" s="1017"/>
      <c r="AE182" s="1017"/>
      <c r="AF182" s="1017"/>
    </row>
    <row r="183" spans="1:32" ht="16.5">
      <c r="A183" s="1022"/>
      <c r="B183" s="1766"/>
      <c r="C183" s="1081">
        <v>43651</v>
      </c>
      <c r="D183" s="1024">
        <v>44015</v>
      </c>
      <c r="E183" s="1024"/>
      <c r="F183" s="1100">
        <v>519535</v>
      </c>
      <c r="G183" s="1027">
        <v>266059</v>
      </c>
      <c r="H183" s="1026">
        <f t="shared" si="9"/>
        <v>86469.175000000003</v>
      </c>
      <c r="I183" s="1027">
        <f t="shared" si="11"/>
        <v>519535</v>
      </c>
      <c r="J183" s="1119">
        <f t="shared" si="10"/>
        <v>0.51210986747764831</v>
      </c>
      <c r="K183" s="1034"/>
      <c r="L183" s="1036"/>
      <c r="M183" s="1036"/>
      <c r="N183" s="1036"/>
      <c r="O183" s="1036"/>
      <c r="P183" s="1036"/>
      <c r="Q183" s="1017"/>
      <c r="R183" s="1017"/>
      <c r="S183" s="1017"/>
      <c r="T183" s="1351"/>
      <c r="U183" s="1017"/>
      <c r="V183" s="1017"/>
      <c r="W183" s="1017"/>
      <c r="X183" s="1017"/>
      <c r="Y183" s="1017"/>
      <c r="Z183" s="1017"/>
      <c r="AA183" s="1017"/>
      <c r="AB183" s="1017"/>
      <c r="AC183" s="1017"/>
      <c r="AD183" s="1017"/>
      <c r="AE183" s="1017"/>
      <c r="AF183" s="1017"/>
    </row>
    <row r="184" spans="1:32" ht="16.5">
      <c r="A184" s="1022"/>
      <c r="B184" s="1768"/>
      <c r="C184" s="1083">
        <v>43652</v>
      </c>
      <c r="D184" s="1084">
        <v>44016</v>
      </c>
      <c r="E184" s="1084"/>
      <c r="F184" s="1109">
        <v>669645</v>
      </c>
      <c r="G184" s="1126">
        <v>346851</v>
      </c>
      <c r="H184" s="1026">
        <f t="shared" si="9"/>
        <v>112726.575</v>
      </c>
      <c r="I184" s="1027">
        <f t="shared" si="11"/>
        <v>669645</v>
      </c>
      <c r="J184" s="1121">
        <f t="shared" si="10"/>
        <v>0.51796250251999199</v>
      </c>
      <c r="K184" s="1034"/>
      <c r="L184" s="1036"/>
      <c r="M184" s="1036"/>
      <c r="N184" s="1036"/>
      <c r="O184" s="1036"/>
      <c r="P184" s="1036"/>
      <c r="Q184" s="1017"/>
      <c r="R184" s="1017"/>
      <c r="S184" s="1017"/>
      <c r="T184" s="1351"/>
      <c r="U184" s="1017"/>
      <c r="V184" s="1017"/>
      <c r="W184" s="1017"/>
      <c r="X184" s="1017"/>
      <c r="Y184" s="1017"/>
      <c r="Z184" s="1017"/>
      <c r="AA184" s="1017"/>
      <c r="AB184" s="1017"/>
      <c r="AC184" s="1017"/>
      <c r="AD184" s="1017"/>
      <c r="AE184" s="1017"/>
      <c r="AF184" s="1017"/>
    </row>
    <row r="185" spans="1:32" ht="16.5">
      <c r="A185" s="1022"/>
      <c r="B185" s="1769" t="s">
        <v>362</v>
      </c>
      <c r="C185" s="1087">
        <v>43653</v>
      </c>
      <c r="D185" s="1088">
        <v>44017</v>
      </c>
      <c r="E185" s="1088"/>
      <c r="F185" s="1113">
        <v>378115</v>
      </c>
      <c r="G185" s="1127">
        <v>157877</v>
      </c>
      <c r="H185" s="1026">
        <f t="shared" si="9"/>
        <v>51310.025000000001</v>
      </c>
      <c r="I185" s="1027">
        <f t="shared" si="11"/>
        <v>378115</v>
      </c>
      <c r="J185" s="1123">
        <f t="shared" si="10"/>
        <v>0.41753699271385691</v>
      </c>
      <c r="K185" s="1034"/>
      <c r="L185" s="1036"/>
      <c r="M185" s="1036"/>
      <c r="N185" s="1036"/>
      <c r="O185" s="1036"/>
      <c r="P185" s="1036"/>
      <c r="Q185" s="1017"/>
      <c r="R185" s="1017"/>
      <c r="S185" s="1017"/>
      <c r="T185" s="1351"/>
      <c r="U185" s="1017"/>
      <c r="V185" s="1017"/>
      <c r="W185" s="1017"/>
      <c r="X185" s="1017"/>
      <c r="Y185" s="1017"/>
      <c r="Z185" s="1017"/>
      <c r="AA185" s="1017"/>
      <c r="AB185" s="1017"/>
      <c r="AC185" s="1017"/>
      <c r="AD185" s="1017"/>
      <c r="AE185" s="1017"/>
      <c r="AF185" s="1017"/>
    </row>
    <row r="186" spans="1:32" ht="16.5">
      <c r="A186" s="1022"/>
      <c r="B186" s="1766"/>
      <c r="C186" s="1081">
        <v>43654</v>
      </c>
      <c r="D186" s="1024">
        <v>44018</v>
      </c>
      <c r="E186" s="1024"/>
      <c r="F186" s="1100">
        <v>365899</v>
      </c>
      <c r="G186" s="1037">
        <v>181205</v>
      </c>
      <c r="H186" s="1026">
        <f t="shared" si="9"/>
        <v>58891.625</v>
      </c>
      <c r="I186" s="1027">
        <f t="shared" si="11"/>
        <v>365899</v>
      </c>
      <c r="J186" s="1119">
        <f t="shared" si="10"/>
        <v>0.49523229087808385</v>
      </c>
      <c r="K186" s="1034"/>
      <c r="L186" s="1036"/>
      <c r="M186" s="1036"/>
      <c r="N186" s="1036"/>
      <c r="O186" s="1036"/>
      <c r="P186" s="1036"/>
      <c r="Q186" s="1017"/>
      <c r="R186" s="1017"/>
      <c r="S186" s="1017"/>
      <c r="T186" s="1351"/>
      <c r="U186" s="1017"/>
      <c r="V186" s="1017"/>
      <c r="W186" s="1017"/>
      <c r="X186" s="1017"/>
      <c r="Y186" s="1017"/>
      <c r="Z186" s="1017"/>
      <c r="AA186" s="1017"/>
      <c r="AB186" s="1017"/>
      <c r="AC186" s="1017"/>
      <c r="AD186" s="1017"/>
      <c r="AE186" s="1017"/>
      <c r="AF186" s="1017"/>
    </row>
    <row r="187" spans="1:32" ht="16.5">
      <c r="A187" s="1022"/>
      <c r="B187" s="1766"/>
      <c r="C187" s="1081">
        <v>43655</v>
      </c>
      <c r="D187" s="1024">
        <v>44019</v>
      </c>
      <c r="E187" s="1024"/>
      <c r="F187" s="1100">
        <v>366895</v>
      </c>
      <c r="G187" s="1037">
        <v>170611</v>
      </c>
      <c r="H187" s="1026">
        <f t="shared" si="9"/>
        <v>55448.575000000004</v>
      </c>
      <c r="I187" s="1027">
        <f t="shared" si="11"/>
        <v>366895</v>
      </c>
      <c r="J187" s="1119">
        <f t="shared" si="10"/>
        <v>0.4650131509014841</v>
      </c>
      <c r="K187" s="1034"/>
      <c r="L187" s="1036"/>
      <c r="M187" s="1036"/>
      <c r="N187" s="1036"/>
      <c r="O187" s="1036"/>
      <c r="P187" s="1036"/>
      <c r="Q187" s="1017"/>
      <c r="R187" s="1017"/>
      <c r="S187" s="1017"/>
      <c r="T187" s="1351"/>
      <c r="U187" s="1017"/>
      <c r="V187" s="1017"/>
      <c r="W187" s="1017"/>
      <c r="X187" s="1017"/>
      <c r="Y187" s="1017"/>
      <c r="Z187" s="1017"/>
      <c r="AA187" s="1017"/>
      <c r="AB187" s="1017"/>
      <c r="AC187" s="1017"/>
      <c r="AD187" s="1017"/>
      <c r="AE187" s="1017"/>
      <c r="AF187" s="1017"/>
    </row>
    <row r="188" spans="1:32" ht="16.5">
      <c r="A188" s="1022"/>
      <c r="B188" s="1766"/>
      <c r="C188" s="1081">
        <v>43656</v>
      </c>
      <c r="D188" s="1024">
        <v>44020</v>
      </c>
      <c r="E188" s="1024"/>
      <c r="F188" s="1100">
        <v>360905</v>
      </c>
      <c r="G188" s="1037">
        <v>197063</v>
      </c>
      <c r="H188" s="1026">
        <f t="shared" si="9"/>
        <v>64045.475000000006</v>
      </c>
      <c r="I188" s="1027">
        <f t="shared" si="11"/>
        <v>360905</v>
      </c>
      <c r="J188" s="1119">
        <f t="shared" si="10"/>
        <v>0.54602457710477825</v>
      </c>
      <c r="K188" s="1034"/>
      <c r="L188" s="1036"/>
      <c r="M188" s="1036"/>
      <c r="N188" s="1036"/>
      <c r="O188" s="1036"/>
      <c r="P188" s="1036"/>
      <c r="Q188" s="1017"/>
      <c r="R188" s="1017"/>
      <c r="S188" s="1017"/>
      <c r="T188" s="1351"/>
      <c r="U188" s="1017"/>
      <c r="V188" s="1017"/>
      <c r="W188" s="1017"/>
      <c r="X188" s="1017"/>
      <c r="Y188" s="1017"/>
      <c r="Z188" s="1017"/>
      <c r="AA188" s="1017"/>
      <c r="AB188" s="1017"/>
      <c r="AC188" s="1017"/>
      <c r="AD188" s="1017"/>
      <c r="AE188" s="1017"/>
      <c r="AF188" s="1017"/>
    </row>
    <row r="189" spans="1:32" ht="16.5">
      <c r="A189" s="1022"/>
      <c r="B189" s="1766"/>
      <c r="C189" s="1081">
        <v>43657</v>
      </c>
      <c r="D189" s="1024">
        <v>44021</v>
      </c>
      <c r="E189" s="1024"/>
      <c r="F189" s="1100">
        <v>391613</v>
      </c>
      <c r="G189" s="1037">
        <v>201949</v>
      </c>
      <c r="H189" s="1026">
        <f t="shared" si="9"/>
        <v>65633.425000000003</v>
      </c>
      <c r="I189" s="1027">
        <f t="shared" si="11"/>
        <v>391613</v>
      </c>
      <c r="J189" s="1119">
        <f t="shared" si="10"/>
        <v>0.51568512791965537</v>
      </c>
      <c r="K189" s="1034"/>
      <c r="L189" s="1036"/>
      <c r="M189" s="1036"/>
      <c r="N189" s="1036"/>
      <c r="O189" s="1036"/>
      <c r="P189" s="1036"/>
      <c r="Q189" s="1017"/>
      <c r="R189" s="1017"/>
      <c r="S189" s="1017"/>
      <c r="T189" s="1351"/>
      <c r="U189" s="1017"/>
      <c r="V189" s="1017"/>
      <c r="W189" s="1017"/>
      <c r="X189" s="1017"/>
      <c r="Y189" s="1017"/>
      <c r="Z189" s="1017"/>
      <c r="AA189" s="1017"/>
      <c r="AB189" s="1017"/>
      <c r="AC189" s="1017"/>
      <c r="AD189" s="1017"/>
      <c r="AE189" s="1017"/>
      <c r="AF189" s="1017"/>
    </row>
    <row r="190" spans="1:32" ht="16.5">
      <c r="A190" s="1022"/>
      <c r="B190" s="1766"/>
      <c r="C190" s="1081">
        <v>43658</v>
      </c>
      <c r="D190" s="1024">
        <v>44022</v>
      </c>
      <c r="E190" s="1024"/>
      <c r="F190" s="1100">
        <v>529079</v>
      </c>
      <c r="G190" s="1037">
        <v>246155</v>
      </c>
      <c r="H190" s="1026">
        <f t="shared" si="9"/>
        <v>80000.375</v>
      </c>
      <c r="I190" s="1027">
        <f t="shared" si="11"/>
        <v>529079</v>
      </c>
      <c r="J190" s="1119">
        <f t="shared" si="10"/>
        <v>0.46525188109904192</v>
      </c>
      <c r="K190" s="1034"/>
      <c r="L190" s="1036"/>
      <c r="M190" s="1036"/>
      <c r="N190" s="1036"/>
      <c r="O190" s="1036"/>
      <c r="P190" s="1036"/>
      <c r="Q190" s="1017"/>
      <c r="R190" s="1017"/>
      <c r="S190" s="1017"/>
      <c r="T190" s="1351"/>
      <c r="U190" s="1017"/>
      <c r="V190" s="1017"/>
      <c r="W190" s="1017"/>
      <c r="X190" s="1017"/>
      <c r="Y190" s="1017"/>
      <c r="Z190" s="1017"/>
      <c r="AA190" s="1017"/>
      <c r="AB190" s="1017"/>
      <c r="AC190" s="1017"/>
      <c r="AD190" s="1017"/>
      <c r="AE190" s="1017"/>
      <c r="AF190" s="1017"/>
    </row>
    <row r="191" spans="1:32" ht="16.5">
      <c r="A191" s="1022"/>
      <c r="B191" s="1767"/>
      <c r="C191" s="1094">
        <v>43659</v>
      </c>
      <c r="D191" s="1069">
        <v>44023</v>
      </c>
      <c r="E191" s="1069"/>
      <c r="F191" s="1104">
        <v>673753</v>
      </c>
      <c r="G191" s="1128">
        <v>348937</v>
      </c>
      <c r="H191" s="1026">
        <f t="shared" si="9"/>
        <v>113404.52500000001</v>
      </c>
      <c r="I191" s="1027">
        <f t="shared" si="11"/>
        <v>673753</v>
      </c>
      <c r="J191" s="1129">
        <f t="shared" si="10"/>
        <v>0.5179004768809935</v>
      </c>
      <c r="K191" s="1034"/>
      <c r="L191" s="1036"/>
      <c r="M191" s="1036"/>
      <c r="N191" s="1036"/>
      <c r="O191" s="1036"/>
      <c r="P191" s="1036"/>
      <c r="Q191" s="1017"/>
      <c r="R191" s="1017"/>
      <c r="S191" s="1017"/>
      <c r="T191" s="1351"/>
      <c r="U191" s="1017"/>
      <c r="V191" s="1017"/>
      <c r="W191" s="1017"/>
      <c r="X191" s="1017"/>
      <c r="Y191" s="1017"/>
      <c r="Z191" s="1017"/>
      <c r="AA191" s="1017"/>
      <c r="AB191" s="1017"/>
      <c r="AC191" s="1017"/>
      <c r="AD191" s="1017"/>
      <c r="AE191" s="1017"/>
      <c r="AF191" s="1017"/>
    </row>
    <row r="192" spans="1:32" ht="16.5">
      <c r="A192" s="1022"/>
      <c r="B192" s="1765" t="s">
        <v>363</v>
      </c>
      <c r="C192" s="1079">
        <v>43660</v>
      </c>
      <c r="D192" s="1072">
        <v>44024</v>
      </c>
      <c r="E192" s="1072"/>
      <c r="F192" s="1097">
        <v>364100</v>
      </c>
      <c r="G192" s="1106">
        <v>177387</v>
      </c>
      <c r="H192" s="1026">
        <f t="shared" si="9"/>
        <v>57650.775000000001</v>
      </c>
      <c r="I192" s="1027">
        <f t="shared" si="11"/>
        <v>364100</v>
      </c>
      <c r="J192" s="1130">
        <f t="shared" si="10"/>
        <v>0.48719307882449875</v>
      </c>
      <c r="K192" s="1034"/>
      <c r="L192" s="1036"/>
      <c r="M192" s="1036"/>
      <c r="N192" s="1036"/>
      <c r="O192" s="1036"/>
      <c r="P192" s="1036"/>
      <c r="Q192" s="1017"/>
      <c r="R192" s="1017"/>
      <c r="S192" s="1017"/>
      <c r="T192" s="1351"/>
      <c r="U192" s="1017"/>
      <c r="V192" s="1017"/>
      <c r="W192" s="1017"/>
      <c r="X192" s="1017"/>
      <c r="Y192" s="1017"/>
      <c r="Z192" s="1017"/>
      <c r="AA192" s="1017"/>
      <c r="AB192" s="1017"/>
      <c r="AC192" s="1017"/>
      <c r="AD192" s="1017"/>
      <c r="AE192" s="1017"/>
      <c r="AF192" s="1017"/>
    </row>
    <row r="193" spans="1:32" ht="16.5">
      <c r="A193" s="1022"/>
      <c r="B193" s="1766"/>
      <c r="C193" s="1081">
        <v>43661</v>
      </c>
      <c r="D193" s="1024">
        <v>44025</v>
      </c>
      <c r="E193" s="1024"/>
      <c r="F193" s="1100">
        <v>405507</v>
      </c>
      <c r="G193" s="1027">
        <f>154731+61664</f>
        <v>216395</v>
      </c>
      <c r="H193" s="1026">
        <f t="shared" si="9"/>
        <v>70328.375</v>
      </c>
      <c r="I193" s="1027">
        <f t="shared" si="11"/>
        <v>405507</v>
      </c>
      <c r="J193" s="1129">
        <f t="shared" si="10"/>
        <v>0.53364060299822202</v>
      </c>
      <c r="K193" s="1034"/>
      <c r="L193" s="1036"/>
      <c r="M193" s="1036"/>
      <c r="N193" s="1036"/>
      <c r="O193" s="1036"/>
      <c r="P193" s="1036"/>
      <c r="Q193" s="1017"/>
      <c r="R193" s="1017"/>
      <c r="S193" s="1017"/>
      <c r="T193" s="1351"/>
      <c r="U193" s="1017"/>
      <c r="V193" s="1017"/>
      <c r="W193" s="1017"/>
      <c r="X193" s="1017"/>
      <c r="Y193" s="1017"/>
      <c r="Z193" s="1017"/>
      <c r="AA193" s="1017"/>
      <c r="AB193" s="1017"/>
      <c r="AC193" s="1017"/>
      <c r="AD193" s="1017"/>
      <c r="AE193" s="1017"/>
      <c r="AF193" s="1017"/>
    </row>
    <row r="194" spans="1:32" ht="16.5">
      <c r="A194" s="1022"/>
      <c r="B194" s="1766"/>
      <c r="C194" s="1081">
        <v>43662</v>
      </c>
      <c r="D194" s="1024">
        <v>44026</v>
      </c>
      <c r="E194" s="1024"/>
      <c r="F194" s="1100">
        <v>380400</v>
      </c>
      <c r="G194" s="1027">
        <v>212474</v>
      </c>
      <c r="H194" s="1026">
        <f t="shared" si="9"/>
        <v>69054.05</v>
      </c>
      <c r="I194" s="1027">
        <f t="shared" si="11"/>
        <v>380400</v>
      </c>
      <c r="J194" s="1119">
        <f t="shared" si="10"/>
        <v>0.55855415352260773</v>
      </c>
      <c r="K194" s="1034"/>
      <c r="L194" s="1036"/>
      <c r="M194" s="1036"/>
      <c r="N194" s="1036"/>
      <c r="O194" s="1036"/>
      <c r="P194" s="1036"/>
      <c r="Q194" s="1017"/>
      <c r="R194" s="1017"/>
      <c r="S194" s="1017"/>
      <c r="T194" s="1351"/>
      <c r="U194" s="1017"/>
      <c r="V194" s="1017"/>
      <c r="W194" s="1017"/>
      <c r="X194" s="1017"/>
      <c r="Y194" s="1017"/>
      <c r="Z194" s="1017"/>
      <c r="AA194" s="1017"/>
      <c r="AB194" s="1017"/>
      <c r="AC194" s="1017"/>
      <c r="AD194" s="1017"/>
      <c r="AE194" s="1017"/>
      <c r="AF194" s="1017"/>
    </row>
    <row r="195" spans="1:32" ht="16.5">
      <c r="A195" s="1022"/>
      <c r="B195" s="1766"/>
      <c r="C195" s="1081">
        <v>43663</v>
      </c>
      <c r="D195" s="1024">
        <v>44027</v>
      </c>
      <c r="E195" s="1024"/>
      <c r="F195" s="1100">
        <v>386251</v>
      </c>
      <c r="G195" s="1027">
        <v>232142</v>
      </c>
      <c r="H195" s="1026">
        <f t="shared" ref="H195:H258" si="12">(G195*0.5)*0.65</f>
        <v>75446.150000000009</v>
      </c>
      <c r="I195" s="1027">
        <f t="shared" si="11"/>
        <v>386251</v>
      </c>
      <c r="J195" s="1119">
        <f t="shared" ref="J195:J258" si="13">G195/F195</f>
        <v>0.60101333070982343</v>
      </c>
      <c r="K195" s="1034"/>
      <c r="L195" s="1036"/>
      <c r="M195" s="1036"/>
      <c r="N195" s="1036"/>
      <c r="O195" s="1036"/>
      <c r="P195" s="1036"/>
      <c r="Q195" s="1017"/>
      <c r="R195" s="1017"/>
      <c r="S195" s="1017"/>
      <c r="T195" s="1351"/>
      <c r="U195" s="1017"/>
      <c r="V195" s="1017"/>
      <c r="W195" s="1017"/>
      <c r="X195" s="1017"/>
      <c r="Y195" s="1017"/>
      <c r="Z195" s="1017"/>
      <c r="AA195" s="1017"/>
      <c r="AB195" s="1017"/>
      <c r="AC195" s="1017"/>
      <c r="AD195" s="1017"/>
      <c r="AE195" s="1017"/>
      <c r="AF195" s="1017"/>
    </row>
    <row r="196" spans="1:32" ht="16.5">
      <c r="A196" s="1022"/>
      <c r="B196" s="1766"/>
      <c r="C196" s="1081">
        <v>43664</v>
      </c>
      <c r="D196" s="1024">
        <v>44028</v>
      </c>
      <c r="E196" s="1024"/>
      <c r="F196" s="1100">
        <v>433537</v>
      </c>
      <c r="G196" s="1027">
        <v>238979</v>
      </c>
      <c r="H196" s="1026">
        <f t="shared" si="12"/>
        <v>77668.175000000003</v>
      </c>
      <c r="I196" s="1027">
        <f t="shared" si="11"/>
        <v>433537</v>
      </c>
      <c r="J196" s="1119">
        <f t="shared" si="13"/>
        <v>0.55123092146691055</v>
      </c>
      <c r="K196" s="1034"/>
      <c r="L196" s="1036"/>
      <c r="M196" s="1036"/>
      <c r="N196" s="1036"/>
      <c r="O196" s="1036"/>
      <c r="P196" s="1036"/>
      <c r="Q196" s="1017"/>
      <c r="R196" s="1017"/>
      <c r="S196" s="1017"/>
      <c r="T196" s="1351"/>
      <c r="U196" s="1017"/>
      <c r="V196" s="1017"/>
      <c r="W196" s="1017"/>
      <c r="X196" s="1017"/>
      <c r="Y196" s="1017"/>
      <c r="Z196" s="1017"/>
      <c r="AA196" s="1017"/>
      <c r="AB196" s="1017"/>
      <c r="AC196" s="1017"/>
      <c r="AD196" s="1017"/>
      <c r="AE196" s="1017"/>
      <c r="AF196" s="1017"/>
    </row>
    <row r="197" spans="1:32" ht="16.5">
      <c r="A197" s="1022"/>
      <c r="B197" s="1766"/>
      <c r="C197" s="1081">
        <v>43665</v>
      </c>
      <c r="D197" s="1024">
        <v>44029</v>
      </c>
      <c r="E197" s="1024"/>
      <c r="F197" s="1100">
        <v>513491</v>
      </c>
      <c r="G197" s="1027">
        <v>295183</v>
      </c>
      <c r="H197" s="1026">
        <f t="shared" si="12"/>
        <v>95934.475000000006</v>
      </c>
      <c r="I197" s="1027">
        <f t="shared" si="11"/>
        <v>513491</v>
      </c>
      <c r="J197" s="1119">
        <f t="shared" si="13"/>
        <v>0.57485525549620153</v>
      </c>
      <c r="K197" s="1034"/>
      <c r="L197" s="1036"/>
      <c r="M197" s="1036"/>
      <c r="N197" s="1036"/>
      <c r="O197" s="1036"/>
      <c r="P197" s="1036"/>
      <c r="Q197" s="1017"/>
      <c r="R197" s="1017"/>
      <c r="S197" s="1017"/>
      <c r="T197" s="1351"/>
      <c r="U197" s="1017"/>
      <c r="V197" s="1017"/>
      <c r="W197" s="1017"/>
      <c r="X197" s="1017"/>
      <c r="Y197" s="1017"/>
      <c r="Z197" s="1017"/>
      <c r="AA197" s="1017"/>
      <c r="AB197" s="1017"/>
      <c r="AC197" s="1017"/>
      <c r="AD197" s="1017"/>
      <c r="AE197" s="1017"/>
      <c r="AF197" s="1017"/>
    </row>
    <row r="198" spans="1:32" ht="16.5">
      <c r="A198" s="1022"/>
      <c r="B198" s="1768"/>
      <c r="C198" s="1083">
        <v>43666</v>
      </c>
      <c r="D198" s="1084">
        <v>44030</v>
      </c>
      <c r="E198" s="1084"/>
      <c r="F198" s="1109">
        <v>701881</v>
      </c>
      <c r="G198" s="1126">
        <v>377316</v>
      </c>
      <c r="H198" s="1026">
        <f t="shared" si="12"/>
        <v>122627.7</v>
      </c>
      <c r="I198" s="1027">
        <f t="shared" si="11"/>
        <v>701881</v>
      </c>
      <c r="J198" s="1121">
        <f t="shared" si="13"/>
        <v>0.53757830743388124</v>
      </c>
      <c r="K198" s="1034"/>
      <c r="L198" s="1036"/>
      <c r="M198" s="1036"/>
      <c r="N198" s="1036"/>
      <c r="O198" s="1036"/>
      <c r="P198" s="1036"/>
      <c r="Q198" s="1017"/>
      <c r="R198" s="1017"/>
      <c r="S198" s="1017"/>
      <c r="T198" s="1351"/>
      <c r="U198" s="1017"/>
      <c r="V198" s="1017"/>
      <c r="W198" s="1017"/>
      <c r="X198" s="1017"/>
      <c r="Y198" s="1017"/>
      <c r="Z198" s="1017"/>
      <c r="AA198" s="1017"/>
      <c r="AB198" s="1017"/>
      <c r="AC198" s="1017"/>
      <c r="AD198" s="1017"/>
      <c r="AE198" s="1017"/>
      <c r="AF198" s="1017"/>
    </row>
    <row r="199" spans="1:32" ht="16.5">
      <c r="A199" s="1022"/>
      <c r="B199" s="1765" t="s">
        <v>364</v>
      </c>
      <c r="C199" s="1079">
        <v>43667</v>
      </c>
      <c r="D199" s="1072">
        <v>44031</v>
      </c>
      <c r="E199" s="1072"/>
      <c r="F199" s="1097">
        <v>357565</v>
      </c>
      <c r="G199" s="1106">
        <v>165149</v>
      </c>
      <c r="H199" s="1026">
        <f t="shared" si="12"/>
        <v>53673.425000000003</v>
      </c>
      <c r="I199" s="1027">
        <f t="shared" si="11"/>
        <v>357565</v>
      </c>
      <c r="J199" s="1116">
        <f t="shared" si="13"/>
        <v>0.46187126816103363</v>
      </c>
      <c r="K199" s="1034"/>
      <c r="L199" s="1036"/>
      <c r="M199" s="1036"/>
      <c r="N199" s="1036"/>
      <c r="O199" s="1036"/>
      <c r="P199" s="1036"/>
      <c r="Q199" s="1017"/>
      <c r="R199" s="1017"/>
      <c r="S199" s="1017"/>
      <c r="T199" s="1351"/>
      <c r="U199" s="1017"/>
      <c r="V199" s="1017"/>
      <c r="W199" s="1017"/>
      <c r="X199" s="1017"/>
      <c r="Y199" s="1017"/>
      <c r="Z199" s="1017"/>
      <c r="AA199" s="1017"/>
      <c r="AB199" s="1017"/>
      <c r="AC199" s="1017"/>
      <c r="AD199" s="1017"/>
      <c r="AE199" s="1017"/>
      <c r="AF199" s="1017"/>
    </row>
    <row r="200" spans="1:32" ht="16.5">
      <c r="A200" s="1022"/>
      <c r="B200" s="1766"/>
      <c r="C200" s="1081">
        <v>43668</v>
      </c>
      <c r="D200" s="1024">
        <v>44032</v>
      </c>
      <c r="E200" s="1024"/>
      <c r="F200" s="1100">
        <v>361154</v>
      </c>
      <c r="G200" s="1027">
        <v>200757</v>
      </c>
      <c r="H200" s="1026">
        <f t="shared" si="12"/>
        <v>65246.025000000001</v>
      </c>
      <c r="I200" s="1027">
        <f t="shared" si="11"/>
        <v>361154</v>
      </c>
      <c r="J200" s="1119">
        <f t="shared" si="13"/>
        <v>0.5558764405212181</v>
      </c>
      <c r="K200" s="1034"/>
      <c r="L200" s="1036"/>
      <c r="M200" s="1036"/>
      <c r="N200" s="1036"/>
      <c r="O200" s="1036"/>
      <c r="P200" s="1036"/>
      <c r="Q200" s="1017"/>
      <c r="R200" s="1017"/>
      <c r="S200" s="1017"/>
      <c r="T200" s="1351"/>
      <c r="U200" s="1017"/>
      <c r="V200" s="1017"/>
      <c r="W200" s="1017"/>
      <c r="X200" s="1017"/>
      <c r="Y200" s="1017"/>
      <c r="Z200" s="1017"/>
      <c r="AA200" s="1017"/>
      <c r="AB200" s="1017"/>
      <c r="AC200" s="1017"/>
      <c r="AD200" s="1017"/>
      <c r="AE200" s="1017"/>
      <c r="AF200" s="1017"/>
    </row>
    <row r="201" spans="1:32" ht="16.5">
      <c r="A201" s="1022"/>
      <c r="B201" s="1766"/>
      <c r="C201" s="1081">
        <v>43669</v>
      </c>
      <c r="D201" s="1024">
        <v>44033</v>
      </c>
      <c r="E201" s="1024"/>
      <c r="F201" s="1100">
        <v>355231</v>
      </c>
      <c r="G201" s="1027">
        <v>214011</v>
      </c>
      <c r="H201" s="1026">
        <f t="shared" si="12"/>
        <v>69553.574999999997</v>
      </c>
      <c r="I201" s="1027">
        <f t="shared" si="11"/>
        <v>355231</v>
      </c>
      <c r="J201" s="1119">
        <f>G201/F201</f>
        <v>0.60245586674586393</v>
      </c>
      <c r="K201" s="1034"/>
      <c r="L201" s="1036"/>
      <c r="M201" s="1036"/>
      <c r="N201" s="1036"/>
      <c r="O201" s="1036"/>
      <c r="P201" s="1036"/>
      <c r="Q201" s="1017"/>
      <c r="R201" s="1017"/>
      <c r="S201" s="1017"/>
      <c r="T201" s="1351"/>
      <c r="U201" s="1017"/>
      <c r="V201" s="1017"/>
      <c r="W201" s="1017"/>
      <c r="X201" s="1017"/>
      <c r="Y201" s="1017"/>
      <c r="Z201" s="1017"/>
      <c r="AA201" s="1017"/>
      <c r="AB201" s="1017"/>
      <c r="AC201" s="1017"/>
      <c r="AD201" s="1017"/>
      <c r="AE201" s="1017"/>
      <c r="AF201" s="1017"/>
    </row>
    <row r="202" spans="1:32" ht="16.5">
      <c r="A202" s="1022"/>
      <c r="B202" s="1766"/>
      <c r="C202" s="1081">
        <v>43670</v>
      </c>
      <c r="D202" s="1024">
        <v>44034</v>
      </c>
      <c r="E202" s="1024"/>
      <c r="F202" s="1100">
        <v>333909</v>
      </c>
      <c r="G202" s="1027">
        <v>176483</v>
      </c>
      <c r="H202" s="1026">
        <f t="shared" si="12"/>
        <v>57356.974999999999</v>
      </c>
      <c r="I202" s="1027">
        <f t="shared" ref="I202:I265" si="14">F202*1</f>
        <v>333909</v>
      </c>
      <c r="J202" s="1119">
        <f>G202/F202</f>
        <v>0.52853621795159755</v>
      </c>
      <c r="K202" s="1034"/>
      <c r="L202" s="1036"/>
      <c r="M202" s="1036"/>
      <c r="N202" s="1036"/>
      <c r="O202" s="1036"/>
      <c r="P202" s="1036"/>
      <c r="Q202" s="1017"/>
      <c r="R202" s="1017"/>
      <c r="S202" s="1017"/>
      <c r="T202" s="1351"/>
      <c r="U202" s="1017"/>
      <c r="V202" s="1017"/>
      <c r="W202" s="1017"/>
      <c r="X202" s="1017"/>
      <c r="Y202" s="1017"/>
      <c r="Z202" s="1017"/>
      <c r="AA202" s="1017"/>
      <c r="AB202" s="1017"/>
      <c r="AC202" s="1017"/>
      <c r="AD202" s="1017"/>
      <c r="AE202" s="1017"/>
      <c r="AF202" s="1017"/>
    </row>
    <row r="203" spans="1:32" ht="16.5">
      <c r="A203" s="1022"/>
      <c r="B203" s="1766"/>
      <c r="C203" s="1081">
        <v>43671</v>
      </c>
      <c r="D203" s="1024">
        <v>44035</v>
      </c>
      <c r="E203" s="1024"/>
      <c r="F203" s="1100">
        <v>392000</v>
      </c>
      <c r="G203" s="1027">
        <v>217861</v>
      </c>
      <c r="H203" s="1026">
        <f t="shared" si="12"/>
        <v>70804.824999999997</v>
      </c>
      <c r="I203" s="1027">
        <f t="shared" si="14"/>
        <v>392000</v>
      </c>
      <c r="J203" s="1119">
        <f>G203/F203</f>
        <v>0.55576785714285715</v>
      </c>
      <c r="K203" s="1034"/>
      <c r="L203" s="1036"/>
      <c r="M203" s="1036"/>
      <c r="N203" s="1036"/>
      <c r="O203" s="1036"/>
      <c r="P203" s="1036"/>
      <c r="Q203" s="1017"/>
      <c r="R203" s="1017"/>
      <c r="S203" s="1017"/>
      <c r="T203" s="1351"/>
      <c r="U203" s="1017"/>
      <c r="V203" s="1017"/>
      <c r="W203" s="1017"/>
      <c r="X203" s="1017"/>
      <c r="Y203" s="1017"/>
      <c r="Z203" s="1017"/>
      <c r="AA203" s="1017"/>
      <c r="AB203" s="1017"/>
      <c r="AC203" s="1017"/>
      <c r="AD203" s="1017"/>
      <c r="AE203" s="1017"/>
      <c r="AF203" s="1017"/>
    </row>
    <row r="204" spans="1:32" ht="16.5">
      <c r="A204" s="1022"/>
      <c r="B204" s="1766"/>
      <c r="C204" s="1081">
        <v>43672</v>
      </c>
      <c r="D204" s="1024">
        <v>44036</v>
      </c>
      <c r="E204" s="1024"/>
      <c r="F204" s="1100">
        <v>497011</v>
      </c>
      <c r="G204" s="1027">
        <v>250525</v>
      </c>
      <c r="H204" s="1026">
        <f t="shared" si="12"/>
        <v>81420.625</v>
      </c>
      <c r="I204" s="1027">
        <f t="shared" si="14"/>
        <v>497011</v>
      </c>
      <c r="J204" s="1119">
        <f>G204/F204</f>
        <v>0.50406329034971054</v>
      </c>
      <c r="K204" s="1034"/>
      <c r="L204" s="1036"/>
      <c r="M204" s="1036"/>
      <c r="N204" s="1036"/>
      <c r="O204" s="1036"/>
      <c r="P204" s="1036"/>
      <c r="Q204" s="1017"/>
      <c r="R204" s="1017"/>
      <c r="S204" s="1017"/>
      <c r="T204" s="1351"/>
      <c r="U204" s="1017"/>
      <c r="V204" s="1017"/>
      <c r="W204" s="1017"/>
      <c r="X204" s="1017"/>
      <c r="Y204" s="1017"/>
      <c r="Z204" s="1017"/>
      <c r="AA204" s="1017"/>
      <c r="AB204" s="1017"/>
      <c r="AC204" s="1017"/>
      <c r="AD204" s="1017"/>
      <c r="AE204" s="1017"/>
      <c r="AF204" s="1017"/>
    </row>
    <row r="205" spans="1:32" ht="16.5">
      <c r="A205" s="1022"/>
      <c r="B205" s="1767"/>
      <c r="C205" s="1094">
        <v>43673</v>
      </c>
      <c r="D205" s="1069">
        <v>44037</v>
      </c>
      <c r="E205" s="1069"/>
      <c r="F205" s="1104">
        <v>653508</v>
      </c>
      <c r="G205" s="1107">
        <v>347931</v>
      </c>
      <c r="H205" s="1026">
        <f t="shared" si="12"/>
        <v>113077.575</v>
      </c>
      <c r="I205" s="1027">
        <f t="shared" si="14"/>
        <v>653508</v>
      </c>
      <c r="J205" s="1129">
        <f>G205/F205</f>
        <v>0.53240511210268271</v>
      </c>
      <c r="K205" s="1034"/>
      <c r="L205" s="1036"/>
      <c r="M205" s="1036"/>
      <c r="N205" s="1036"/>
      <c r="O205" s="1036"/>
      <c r="P205" s="1036"/>
      <c r="Q205" s="1017"/>
      <c r="R205" s="1017"/>
      <c r="S205" s="1017"/>
      <c r="T205" s="1351"/>
      <c r="U205" s="1017"/>
      <c r="V205" s="1017"/>
      <c r="W205" s="1017"/>
      <c r="X205" s="1017"/>
      <c r="Y205" s="1017"/>
      <c r="Z205" s="1017"/>
      <c r="AA205" s="1017"/>
      <c r="AB205" s="1017"/>
      <c r="AC205" s="1017"/>
      <c r="AD205" s="1017"/>
      <c r="AE205" s="1017"/>
      <c r="AF205" s="1017"/>
    </row>
    <row r="206" spans="1:32" ht="16.5">
      <c r="A206" s="1022"/>
      <c r="B206" s="1765" t="s">
        <v>365</v>
      </c>
      <c r="C206" s="1079">
        <v>43674</v>
      </c>
      <c r="D206" s="1072">
        <v>44038</v>
      </c>
      <c r="E206" s="1072"/>
      <c r="F206" s="1097">
        <v>324842</v>
      </c>
      <c r="G206" s="1131">
        <v>159279</v>
      </c>
      <c r="H206" s="1026">
        <f t="shared" si="12"/>
        <v>51765.675000000003</v>
      </c>
      <c r="I206" s="1027">
        <f t="shared" si="14"/>
        <v>324842</v>
      </c>
      <c r="J206" s="1130">
        <f t="shared" ref="J206:J315" si="15">G206/F206</f>
        <v>0.49032760542048132</v>
      </c>
      <c r="K206" s="1034"/>
      <c r="L206" s="1036"/>
      <c r="M206" s="1036"/>
      <c r="N206" s="1036"/>
      <c r="O206" s="1036"/>
      <c r="P206" s="1036"/>
      <c r="Q206" s="1017"/>
      <c r="R206" s="1017"/>
      <c r="S206" s="1017"/>
      <c r="T206" s="1351"/>
      <c r="U206" s="1017"/>
      <c r="V206" s="1017"/>
      <c r="W206" s="1017"/>
      <c r="X206" s="1017"/>
      <c r="Y206" s="1017"/>
      <c r="Z206" s="1017"/>
      <c r="AA206" s="1017"/>
      <c r="AB206" s="1017"/>
      <c r="AC206" s="1017"/>
      <c r="AD206" s="1017"/>
      <c r="AE206" s="1017"/>
      <c r="AF206" s="1017"/>
    </row>
    <row r="207" spans="1:32" ht="16.5">
      <c r="A207" s="1022"/>
      <c r="B207" s="1766"/>
      <c r="C207" s="1081">
        <v>43675</v>
      </c>
      <c r="D207" s="1024">
        <v>44039</v>
      </c>
      <c r="E207" s="1024"/>
      <c r="F207" s="1100">
        <v>314609</v>
      </c>
      <c r="G207" s="1132">
        <v>179127</v>
      </c>
      <c r="H207" s="1026">
        <f t="shared" si="12"/>
        <v>58216.275000000001</v>
      </c>
      <c r="I207" s="1027">
        <f t="shared" si="14"/>
        <v>314609</v>
      </c>
      <c r="J207" s="1129">
        <f t="shared" si="15"/>
        <v>0.56936387706645386</v>
      </c>
      <c r="K207" s="1034"/>
      <c r="L207" s="1036"/>
      <c r="M207" s="1036"/>
      <c r="N207" s="1036"/>
      <c r="O207" s="1036"/>
      <c r="P207" s="1036"/>
      <c r="Q207" s="1017"/>
      <c r="R207" s="1017"/>
      <c r="S207" s="1017"/>
      <c r="T207" s="1351"/>
      <c r="U207" s="1017"/>
      <c r="V207" s="1017"/>
      <c r="W207" s="1017"/>
      <c r="X207" s="1017"/>
      <c r="Y207" s="1017"/>
      <c r="Z207" s="1017"/>
      <c r="AA207" s="1017"/>
      <c r="AB207" s="1017"/>
      <c r="AC207" s="1017"/>
      <c r="AD207" s="1017"/>
      <c r="AE207" s="1017"/>
      <c r="AF207" s="1017"/>
    </row>
    <row r="208" spans="1:32" ht="16.5">
      <c r="A208" s="1022"/>
      <c r="B208" s="1766"/>
      <c r="C208" s="1081">
        <v>43676</v>
      </c>
      <c r="D208" s="1024">
        <v>44040</v>
      </c>
      <c r="E208" s="1024"/>
      <c r="F208" s="1100">
        <v>310579</v>
      </c>
      <c r="G208" s="1132">
        <v>182878</v>
      </c>
      <c r="H208" s="1026">
        <f t="shared" si="12"/>
        <v>59435.35</v>
      </c>
      <c r="I208" s="1027">
        <f t="shared" si="14"/>
        <v>310579</v>
      </c>
      <c r="J208" s="1129">
        <f t="shared" si="15"/>
        <v>0.58882925117280949</v>
      </c>
      <c r="K208" s="1034"/>
      <c r="L208" s="1036"/>
      <c r="M208" s="1036"/>
      <c r="N208" s="1036"/>
      <c r="O208" s="1036"/>
      <c r="P208" s="1036"/>
      <c r="Q208" s="1017"/>
      <c r="R208" s="1017"/>
      <c r="S208" s="1017"/>
      <c r="T208" s="1351"/>
      <c r="U208" s="1017"/>
      <c r="V208" s="1017"/>
      <c r="W208" s="1017"/>
      <c r="X208" s="1017"/>
      <c r="Y208" s="1017"/>
      <c r="Z208" s="1017"/>
      <c r="AA208" s="1017"/>
      <c r="AB208" s="1017"/>
      <c r="AC208" s="1017"/>
      <c r="AD208" s="1017"/>
      <c r="AE208" s="1017"/>
      <c r="AF208" s="1017"/>
    </row>
    <row r="209" spans="1:32" ht="16.5">
      <c r="A209" s="1022"/>
      <c r="B209" s="1766"/>
      <c r="C209" s="1081">
        <v>43677</v>
      </c>
      <c r="D209" s="1024">
        <v>44041</v>
      </c>
      <c r="E209" s="1024"/>
      <c r="F209" s="1100">
        <v>360856</v>
      </c>
      <c r="G209" s="1132">
        <v>178297</v>
      </c>
      <c r="H209" s="1026">
        <f t="shared" si="12"/>
        <v>57946.525000000001</v>
      </c>
      <c r="I209" s="1027">
        <f t="shared" si="14"/>
        <v>360856</v>
      </c>
      <c r="J209" s="1129">
        <f t="shared" si="15"/>
        <v>0.49409459729088612</v>
      </c>
      <c r="K209" s="1034"/>
      <c r="L209" s="1036"/>
      <c r="M209" s="1036"/>
      <c r="N209" s="1036"/>
      <c r="O209" s="1036"/>
      <c r="P209" s="1036"/>
      <c r="Q209" s="1017"/>
      <c r="R209" s="1017"/>
      <c r="S209" s="1017"/>
      <c r="T209" s="1351"/>
      <c r="U209" s="1017"/>
      <c r="V209" s="1017"/>
      <c r="W209" s="1017"/>
      <c r="X209" s="1017"/>
      <c r="Y209" s="1017"/>
      <c r="Z209" s="1017"/>
      <c r="AA209" s="1017"/>
      <c r="AB209" s="1017"/>
      <c r="AC209" s="1017"/>
      <c r="AD209" s="1017"/>
      <c r="AE209" s="1017"/>
      <c r="AF209" s="1017"/>
    </row>
    <row r="210" spans="1:32" ht="16.5">
      <c r="A210" s="1022"/>
      <c r="B210" s="1766"/>
      <c r="C210" s="1081">
        <v>43678</v>
      </c>
      <c r="D210" s="1024">
        <v>44042</v>
      </c>
      <c r="E210" s="1024"/>
      <c r="F210" s="1100">
        <v>443840</v>
      </c>
      <c r="G210" s="1132">
        <v>204879</v>
      </c>
      <c r="H210" s="1026">
        <f t="shared" si="12"/>
        <v>66585.675000000003</v>
      </c>
      <c r="I210" s="1027">
        <f t="shared" si="14"/>
        <v>443840</v>
      </c>
      <c r="J210" s="1129">
        <f t="shared" si="15"/>
        <v>0.4616055335255948</v>
      </c>
      <c r="K210" s="1034"/>
      <c r="L210" s="1036"/>
      <c r="M210" s="1036"/>
      <c r="N210" s="1036"/>
      <c r="O210" s="1036"/>
      <c r="P210" s="1036"/>
      <c r="Q210" s="1017"/>
      <c r="R210" s="1017"/>
      <c r="S210" s="1017"/>
      <c r="T210" s="1351"/>
      <c r="U210" s="1017"/>
      <c r="V210" s="1017"/>
      <c r="W210" s="1017"/>
      <c r="X210" s="1017"/>
      <c r="Y210" s="1017"/>
      <c r="Z210" s="1017"/>
      <c r="AA210" s="1017"/>
      <c r="AB210" s="1017"/>
      <c r="AC210" s="1017"/>
      <c r="AD210" s="1017"/>
      <c r="AE210" s="1017"/>
      <c r="AF210" s="1017"/>
    </row>
    <row r="211" spans="1:32" ht="16.5">
      <c r="A211" s="1022"/>
      <c r="B211" s="1766"/>
      <c r="C211" s="1081">
        <v>43679</v>
      </c>
      <c r="D211" s="1024">
        <v>44043</v>
      </c>
      <c r="E211" s="1024"/>
      <c r="F211" s="1100">
        <v>533780</v>
      </c>
      <c r="G211" s="1132">
        <v>252948</v>
      </c>
      <c r="H211" s="1026">
        <f t="shared" si="12"/>
        <v>82208.100000000006</v>
      </c>
      <c r="I211" s="1027">
        <f t="shared" si="14"/>
        <v>533780</v>
      </c>
      <c r="J211" s="1129">
        <f t="shared" si="15"/>
        <v>0.47388062497658212</v>
      </c>
      <c r="K211" s="1034"/>
      <c r="L211" s="1036"/>
      <c r="M211" s="1036"/>
      <c r="N211" s="1036"/>
      <c r="O211" s="1036"/>
      <c r="P211" s="1036"/>
      <c r="Q211" s="1017"/>
      <c r="R211" s="1017"/>
      <c r="S211" s="1017"/>
      <c r="T211" s="1351"/>
      <c r="U211" s="1017"/>
      <c r="V211" s="1017"/>
      <c r="W211" s="1017"/>
      <c r="X211" s="1017"/>
      <c r="Y211" s="1017"/>
      <c r="Z211" s="1017"/>
      <c r="AA211" s="1017"/>
      <c r="AB211" s="1017"/>
      <c r="AC211" s="1017"/>
      <c r="AD211" s="1017"/>
      <c r="AE211" s="1017"/>
      <c r="AF211" s="1017"/>
    </row>
    <row r="212" spans="1:32" ht="16.5">
      <c r="A212" s="1022"/>
      <c r="B212" s="1768"/>
      <c r="C212" s="1083">
        <v>43680</v>
      </c>
      <c r="D212" s="1084">
        <v>44044</v>
      </c>
      <c r="E212" s="1084"/>
      <c r="F212" s="1109">
        <v>613093</v>
      </c>
      <c r="G212" s="1133">
        <v>376068</v>
      </c>
      <c r="H212" s="1026">
        <f t="shared" si="12"/>
        <v>122222.1</v>
      </c>
      <c r="I212" s="1027">
        <f t="shared" si="14"/>
        <v>613093</v>
      </c>
      <c r="J212" s="1121">
        <f t="shared" si="15"/>
        <v>0.61339470520785588</v>
      </c>
      <c r="K212" s="1034"/>
      <c r="L212" s="1036"/>
      <c r="M212" s="1036"/>
      <c r="N212" s="1036"/>
      <c r="O212" s="1036"/>
      <c r="P212" s="1036"/>
      <c r="Q212" s="1017"/>
      <c r="R212" s="1017"/>
      <c r="S212" s="1017"/>
      <c r="T212" s="1351"/>
      <c r="U212" s="1017"/>
      <c r="V212" s="1017"/>
      <c r="W212" s="1017"/>
      <c r="X212" s="1017"/>
      <c r="Y212" s="1017"/>
      <c r="Z212" s="1017"/>
      <c r="AA212" s="1017"/>
      <c r="AB212" s="1017"/>
      <c r="AC212" s="1017"/>
      <c r="AD212" s="1017"/>
      <c r="AE212" s="1017"/>
      <c r="AF212" s="1017"/>
    </row>
    <row r="213" spans="1:32" ht="16.5">
      <c r="A213" s="1017"/>
      <c r="B213" s="1765" t="s">
        <v>366</v>
      </c>
      <c r="C213" s="1081">
        <v>43681</v>
      </c>
      <c r="D213" s="1024">
        <v>44045</v>
      </c>
      <c r="E213" s="1024"/>
      <c r="F213" s="1100">
        <v>354585</v>
      </c>
      <c r="G213" s="1027">
        <v>191919</v>
      </c>
      <c r="H213" s="1026">
        <f t="shared" si="12"/>
        <v>62373.675000000003</v>
      </c>
      <c r="I213" s="1027">
        <f t="shared" si="14"/>
        <v>354585</v>
      </c>
      <c r="J213" s="1121">
        <f t="shared" si="15"/>
        <v>0.5412496298489784</v>
      </c>
      <c r="K213" s="1034"/>
      <c r="L213" s="1017"/>
      <c r="M213" s="1017"/>
      <c r="N213" s="1017"/>
      <c r="O213" s="1017"/>
      <c r="P213" s="1017"/>
      <c r="Q213" s="1017"/>
      <c r="R213" s="1017"/>
      <c r="S213" s="1017"/>
      <c r="T213" s="1351"/>
      <c r="U213" s="1017"/>
      <c r="V213" s="1017"/>
      <c r="W213" s="1017"/>
      <c r="X213" s="1017"/>
      <c r="Y213" s="1017"/>
      <c r="Z213" s="1017"/>
      <c r="AA213" s="1017"/>
      <c r="AB213" s="1017"/>
      <c r="AC213" s="1017"/>
      <c r="AD213" s="1017"/>
      <c r="AE213" s="1017"/>
      <c r="AF213" s="1017"/>
    </row>
    <row r="214" spans="1:32" ht="16.5">
      <c r="A214" s="1017"/>
      <c r="B214" s="1766"/>
      <c r="C214" s="1083">
        <v>43682</v>
      </c>
      <c r="D214" s="1084">
        <v>44046</v>
      </c>
      <c r="E214" s="1069"/>
      <c r="F214" s="1100">
        <v>356484</v>
      </c>
      <c r="G214" s="1027">
        <v>209451</v>
      </c>
      <c r="H214" s="1026">
        <f t="shared" si="12"/>
        <v>68071.574999999997</v>
      </c>
      <c r="I214" s="1027">
        <f t="shared" si="14"/>
        <v>356484</v>
      </c>
      <c r="J214" s="1121">
        <f t="shared" si="15"/>
        <v>0.58754670616353044</v>
      </c>
      <c r="K214" s="1034"/>
      <c r="L214" s="1017"/>
      <c r="M214" s="1017"/>
      <c r="N214" s="1017"/>
      <c r="O214" s="1017"/>
      <c r="P214" s="1017"/>
      <c r="Q214" s="1017"/>
      <c r="R214" s="1017"/>
      <c r="S214" s="1017"/>
      <c r="T214" s="1351"/>
      <c r="U214" s="1017"/>
      <c r="V214" s="1017"/>
      <c r="W214" s="1017"/>
      <c r="X214" s="1017"/>
      <c r="Y214" s="1017"/>
      <c r="Z214" s="1017"/>
      <c r="AA214" s="1017"/>
      <c r="AB214" s="1017"/>
      <c r="AC214" s="1017"/>
      <c r="AD214" s="1017"/>
      <c r="AE214" s="1017"/>
      <c r="AF214" s="1017"/>
    </row>
    <row r="215" spans="1:32" ht="16.5">
      <c r="A215" s="1017"/>
      <c r="B215" s="1766"/>
      <c r="C215" s="1081">
        <v>43683</v>
      </c>
      <c r="D215" s="1024">
        <v>44047</v>
      </c>
      <c r="E215" s="1024"/>
      <c r="F215" s="1100">
        <v>339468</v>
      </c>
      <c r="G215" s="1027">
        <v>200940</v>
      </c>
      <c r="H215" s="1026">
        <f t="shared" si="12"/>
        <v>65305.5</v>
      </c>
      <c r="I215" s="1027">
        <f t="shared" si="14"/>
        <v>339468</v>
      </c>
      <c r="J215" s="1121">
        <f t="shared" si="15"/>
        <v>0.59192619039202521</v>
      </c>
      <c r="K215" s="1034"/>
      <c r="L215" s="1017"/>
      <c r="M215" s="1017"/>
      <c r="N215" s="1017"/>
      <c r="O215" s="1017"/>
      <c r="P215" s="1017"/>
      <c r="Q215" s="1017"/>
      <c r="R215" s="1017"/>
      <c r="S215" s="1017"/>
      <c r="T215" s="1351"/>
      <c r="U215" s="1017"/>
      <c r="V215" s="1017"/>
      <c r="W215" s="1017"/>
      <c r="X215" s="1017"/>
      <c r="Y215" s="1017"/>
      <c r="Z215" s="1017"/>
      <c r="AA215" s="1017"/>
      <c r="AB215" s="1017"/>
      <c r="AC215" s="1017"/>
      <c r="AD215" s="1017"/>
      <c r="AE215" s="1017"/>
      <c r="AF215" s="1017"/>
    </row>
    <row r="216" spans="1:32" ht="16.5">
      <c r="A216" s="1017"/>
      <c r="B216" s="1766"/>
      <c r="C216" s="1083">
        <v>43684</v>
      </c>
      <c r="D216" s="1084">
        <v>44048</v>
      </c>
      <c r="E216" s="1069"/>
      <c r="F216" s="1100">
        <v>345946</v>
      </c>
      <c r="G216" s="1027">
        <v>205525</v>
      </c>
      <c r="H216" s="1026">
        <f t="shared" si="12"/>
        <v>66795.625</v>
      </c>
      <c r="I216" s="1027">
        <f t="shared" si="14"/>
        <v>345946</v>
      </c>
      <c r="J216" s="1121">
        <f t="shared" si="15"/>
        <v>0.59409561029756086</v>
      </c>
      <c r="K216" s="1034"/>
      <c r="L216" s="1017"/>
      <c r="M216" s="1017"/>
      <c r="N216" s="1017"/>
      <c r="O216" s="1017"/>
      <c r="P216" s="1017"/>
      <c r="Q216" s="1017"/>
      <c r="R216" s="1017"/>
      <c r="S216" s="1017"/>
      <c r="T216" s="1351"/>
      <c r="U216" s="1017"/>
      <c r="V216" s="1017"/>
      <c r="W216" s="1017"/>
      <c r="X216" s="1017"/>
      <c r="Y216" s="1017"/>
      <c r="Z216" s="1017"/>
      <c r="AA216" s="1017"/>
      <c r="AB216" s="1017"/>
      <c r="AC216" s="1017"/>
      <c r="AD216" s="1017"/>
      <c r="AE216" s="1017"/>
      <c r="AF216" s="1017"/>
    </row>
    <row r="217" spans="1:32" ht="16.5">
      <c r="A217" s="1017"/>
      <c r="B217" s="1766"/>
      <c r="C217" s="1081">
        <v>43685</v>
      </c>
      <c r="D217" s="1024">
        <v>44049</v>
      </c>
      <c r="E217" s="1024"/>
      <c r="F217" s="1100">
        <v>377283</v>
      </c>
      <c r="G217" s="1027">
        <v>223496</v>
      </c>
      <c r="H217" s="1026">
        <f t="shared" si="12"/>
        <v>72636.2</v>
      </c>
      <c r="I217" s="1027">
        <f t="shared" si="14"/>
        <v>377283</v>
      </c>
      <c r="J217" s="1121">
        <f t="shared" si="15"/>
        <v>0.59238290620038536</v>
      </c>
      <c r="K217" s="1034"/>
      <c r="L217" s="1017"/>
      <c r="M217" s="1017"/>
      <c r="N217" s="1017"/>
      <c r="O217" s="1017"/>
      <c r="P217" s="1017"/>
      <c r="Q217" s="1017"/>
      <c r="R217" s="1017"/>
      <c r="S217" s="1017"/>
      <c r="T217" s="1351"/>
      <c r="U217" s="1017"/>
      <c r="V217" s="1017"/>
      <c r="W217" s="1017"/>
      <c r="X217" s="1017"/>
      <c r="Y217" s="1017"/>
      <c r="Z217" s="1017"/>
      <c r="AA217" s="1017"/>
      <c r="AB217" s="1017"/>
      <c r="AC217" s="1017"/>
      <c r="AD217" s="1017"/>
      <c r="AE217" s="1017"/>
      <c r="AF217" s="1017"/>
    </row>
    <row r="218" spans="1:32" ht="16.5">
      <c r="A218" s="1017"/>
      <c r="B218" s="1766"/>
      <c r="C218" s="1083">
        <v>43686</v>
      </c>
      <c r="D218" s="1084">
        <v>44050</v>
      </c>
      <c r="E218" s="1069"/>
      <c r="F218" s="1100">
        <v>431320</v>
      </c>
      <c r="G218" s="1027">
        <v>269374</v>
      </c>
      <c r="H218" s="1026">
        <f t="shared" si="12"/>
        <v>87546.55</v>
      </c>
      <c r="I218" s="1027">
        <f t="shared" si="14"/>
        <v>431320</v>
      </c>
      <c r="J218" s="1121">
        <f t="shared" si="15"/>
        <v>0.62453398868589449</v>
      </c>
      <c r="K218" s="1034"/>
      <c r="L218" s="1017"/>
      <c r="M218" s="1017"/>
      <c r="N218" s="1017"/>
      <c r="O218" s="1017"/>
      <c r="P218" s="1017"/>
      <c r="Q218" s="1017"/>
      <c r="R218" s="1017"/>
      <c r="S218" s="1017"/>
      <c r="T218" s="1351"/>
      <c r="U218" s="1017"/>
      <c r="V218" s="1017"/>
      <c r="W218" s="1017"/>
      <c r="X218" s="1017"/>
      <c r="Y218" s="1017"/>
      <c r="Z218" s="1017"/>
      <c r="AA218" s="1017"/>
      <c r="AB218" s="1017"/>
      <c r="AC218" s="1017"/>
      <c r="AD218" s="1017"/>
      <c r="AE218" s="1017"/>
      <c r="AF218" s="1017"/>
    </row>
    <row r="219" spans="1:32" ht="16.5">
      <c r="A219" s="1017"/>
      <c r="B219" s="1767"/>
      <c r="C219" s="1094">
        <v>43687</v>
      </c>
      <c r="D219" s="1069">
        <v>44051</v>
      </c>
      <c r="E219" s="1069"/>
      <c r="F219" s="1104">
        <v>598096</v>
      </c>
      <c r="G219" s="1107">
        <v>363783</v>
      </c>
      <c r="H219" s="1026">
        <f t="shared" si="12"/>
        <v>118229.47500000001</v>
      </c>
      <c r="I219" s="1027">
        <f t="shared" si="14"/>
        <v>598096</v>
      </c>
      <c r="J219" s="1129">
        <f t="shared" si="15"/>
        <v>0.60823513282148689</v>
      </c>
      <c r="K219" s="1034"/>
      <c r="L219" s="1017"/>
      <c r="M219" s="1017"/>
      <c r="N219" s="1017"/>
      <c r="O219" s="1017"/>
      <c r="P219" s="1017"/>
      <c r="Q219" s="1017"/>
      <c r="R219" s="1017"/>
      <c r="S219" s="1017"/>
      <c r="T219" s="1351"/>
      <c r="U219" s="1017"/>
      <c r="V219" s="1017"/>
      <c r="W219" s="1017"/>
      <c r="X219" s="1017"/>
      <c r="Y219" s="1017"/>
      <c r="Z219" s="1017"/>
      <c r="AA219" s="1017"/>
      <c r="AB219" s="1017"/>
      <c r="AC219" s="1017"/>
      <c r="AD219" s="1017"/>
      <c r="AE219" s="1017"/>
      <c r="AF219" s="1017"/>
    </row>
    <row r="220" spans="1:32" ht="16.5">
      <c r="A220" s="1017"/>
      <c r="B220" s="1765" t="s">
        <v>367</v>
      </c>
      <c r="C220" s="1134">
        <v>43688</v>
      </c>
      <c r="D220" s="1135">
        <v>44052</v>
      </c>
      <c r="E220" s="1516"/>
      <c r="F220" s="1097">
        <v>357030</v>
      </c>
      <c r="G220" s="1136">
        <v>185104</v>
      </c>
      <c r="H220" s="1026">
        <f t="shared" si="12"/>
        <v>60158.8</v>
      </c>
      <c r="I220" s="1027">
        <f t="shared" si="14"/>
        <v>357030</v>
      </c>
      <c r="J220" s="1137">
        <f t="shared" si="15"/>
        <v>0.51845503179004571</v>
      </c>
      <c r="K220" s="1034"/>
      <c r="L220" s="1017"/>
      <c r="M220" s="1017"/>
      <c r="N220" s="1017"/>
      <c r="O220" s="1017"/>
      <c r="P220" s="1017"/>
      <c r="Q220" s="1017"/>
      <c r="R220" s="1017"/>
      <c r="S220" s="1017"/>
      <c r="T220" s="1351"/>
      <c r="U220" s="1017"/>
      <c r="V220" s="1017"/>
      <c r="W220" s="1017"/>
      <c r="X220" s="1017"/>
      <c r="Y220" s="1017"/>
      <c r="Z220" s="1017"/>
      <c r="AA220" s="1017"/>
      <c r="AB220" s="1017"/>
      <c r="AC220" s="1017"/>
      <c r="AD220" s="1017"/>
      <c r="AE220" s="1017"/>
      <c r="AF220" s="1017"/>
    </row>
    <row r="221" spans="1:32" ht="16.5">
      <c r="A221" s="1017"/>
      <c r="B221" s="1766"/>
      <c r="C221" s="1081">
        <v>43689</v>
      </c>
      <c r="D221" s="1024">
        <v>44053</v>
      </c>
      <c r="E221" s="1024"/>
      <c r="F221" s="1100">
        <v>319609</v>
      </c>
      <c r="G221" s="1138">
        <v>196464</v>
      </c>
      <c r="H221" s="1026">
        <f t="shared" si="12"/>
        <v>63850.8</v>
      </c>
      <c r="I221" s="1027">
        <f t="shared" si="14"/>
        <v>319609</v>
      </c>
      <c r="J221" s="1121">
        <f t="shared" si="15"/>
        <v>0.61470108789176781</v>
      </c>
      <c r="K221" s="1034"/>
      <c r="L221" s="1017"/>
      <c r="M221" s="1017"/>
      <c r="N221" s="1017"/>
      <c r="O221" s="1017"/>
      <c r="P221" s="1017"/>
      <c r="Q221" s="1017"/>
      <c r="R221" s="1017"/>
      <c r="S221" s="1017"/>
      <c r="T221" s="1351"/>
      <c r="U221" s="1017"/>
      <c r="V221" s="1017"/>
      <c r="W221" s="1017"/>
      <c r="X221" s="1017"/>
      <c r="Y221" s="1017"/>
      <c r="Z221" s="1017"/>
      <c r="AA221" s="1017"/>
      <c r="AB221" s="1017"/>
      <c r="AC221" s="1017"/>
      <c r="AD221" s="1017"/>
      <c r="AE221" s="1017"/>
      <c r="AF221" s="1017"/>
    </row>
    <row r="222" spans="1:32" ht="16.5">
      <c r="A222" s="1017"/>
      <c r="B222" s="1766"/>
      <c r="C222" s="1083">
        <v>43690</v>
      </c>
      <c r="D222" s="1084">
        <v>44054</v>
      </c>
      <c r="E222" s="1069"/>
      <c r="F222" s="1100">
        <v>327501</v>
      </c>
      <c r="G222" s="1138">
        <v>215505</v>
      </c>
      <c r="H222" s="1026">
        <f t="shared" si="12"/>
        <v>70039.125</v>
      </c>
      <c r="I222" s="1027">
        <f t="shared" si="14"/>
        <v>327501</v>
      </c>
      <c r="J222" s="1121">
        <f t="shared" si="15"/>
        <v>0.6580285251037401</v>
      </c>
      <c r="K222" s="1034"/>
      <c r="L222" s="1017"/>
      <c r="M222" s="1017"/>
      <c r="N222" s="1017"/>
      <c r="O222" s="1017"/>
      <c r="P222" s="1017"/>
      <c r="Q222" s="1017"/>
      <c r="R222" s="1017"/>
      <c r="S222" s="1017"/>
      <c r="T222" s="1351"/>
      <c r="U222" s="1017"/>
      <c r="V222" s="1017"/>
      <c r="W222" s="1017"/>
      <c r="X222" s="1017"/>
      <c r="Y222" s="1017"/>
      <c r="Z222" s="1017"/>
      <c r="AA222" s="1017"/>
      <c r="AB222" s="1017"/>
      <c r="AC222" s="1017"/>
      <c r="AD222" s="1017"/>
      <c r="AE222" s="1017"/>
      <c r="AF222" s="1017"/>
    </row>
    <row r="223" spans="1:32" ht="16.5">
      <c r="A223" s="1017"/>
      <c r="B223" s="1766"/>
      <c r="C223" s="1081">
        <v>43691</v>
      </c>
      <c r="D223" s="1024">
        <v>44055</v>
      </c>
      <c r="E223" s="1024"/>
      <c r="F223" s="1100">
        <v>311561</v>
      </c>
      <c r="G223" s="1138">
        <v>201256</v>
      </c>
      <c r="H223" s="1026">
        <f t="shared" si="12"/>
        <v>65408.200000000004</v>
      </c>
      <c r="I223" s="1027">
        <f t="shared" si="14"/>
        <v>311561</v>
      </c>
      <c r="J223" s="1121">
        <f t="shared" si="15"/>
        <v>0.64596018115232656</v>
      </c>
      <c r="K223" s="1034"/>
      <c r="L223" s="1017"/>
      <c r="M223" s="1017"/>
      <c r="N223" s="1017"/>
      <c r="O223" s="1017"/>
      <c r="P223" s="1017"/>
      <c r="Q223" s="1017"/>
      <c r="R223" s="1017"/>
      <c r="S223" s="1017"/>
      <c r="T223" s="1351"/>
      <c r="U223" s="1017"/>
      <c r="V223" s="1017"/>
      <c r="W223" s="1017"/>
      <c r="X223" s="1017"/>
      <c r="Y223" s="1017"/>
      <c r="Z223" s="1017"/>
      <c r="AA223" s="1017"/>
      <c r="AB223" s="1017"/>
      <c r="AC223" s="1017"/>
      <c r="AD223" s="1017"/>
      <c r="AE223" s="1017"/>
      <c r="AF223" s="1017"/>
    </row>
    <row r="224" spans="1:32" ht="16.5">
      <c r="A224" s="1017"/>
      <c r="B224" s="1766"/>
      <c r="C224" s="1083">
        <v>43692</v>
      </c>
      <c r="D224" s="1084">
        <v>44056</v>
      </c>
      <c r="E224" s="1069"/>
      <c r="F224" s="1100">
        <v>408256</v>
      </c>
      <c r="G224" s="1138">
        <v>223515</v>
      </c>
      <c r="H224" s="1026">
        <f t="shared" si="12"/>
        <v>72642.375</v>
      </c>
      <c r="I224" s="1027">
        <f t="shared" si="14"/>
        <v>408256</v>
      </c>
      <c r="J224" s="1121">
        <f t="shared" si="15"/>
        <v>0.54748736087160998</v>
      </c>
      <c r="K224" s="1034"/>
      <c r="L224" s="1017"/>
      <c r="M224" s="1017"/>
      <c r="N224" s="1017"/>
      <c r="O224" s="1017"/>
      <c r="P224" s="1017"/>
      <c r="Q224" s="1017"/>
      <c r="R224" s="1017"/>
      <c r="S224" s="1017"/>
      <c r="T224" s="1351"/>
      <c r="U224" s="1017"/>
      <c r="V224" s="1017"/>
      <c r="W224" s="1017"/>
      <c r="X224" s="1017"/>
      <c r="Y224" s="1017"/>
      <c r="Z224" s="1017"/>
      <c r="AA224" s="1017"/>
      <c r="AB224" s="1017"/>
      <c r="AC224" s="1017"/>
      <c r="AD224" s="1017"/>
      <c r="AE224" s="1017"/>
      <c r="AF224" s="1017"/>
    </row>
    <row r="225" spans="1:32" ht="16.5">
      <c r="A225" s="1017"/>
      <c r="B225" s="1766"/>
      <c r="C225" s="1081">
        <v>43693</v>
      </c>
      <c r="D225" s="1024">
        <v>44057</v>
      </c>
      <c r="E225" s="1024"/>
      <c r="F225" s="1100">
        <v>478905</v>
      </c>
      <c r="G225" s="1138">
        <v>290163</v>
      </c>
      <c r="H225" s="1026">
        <f t="shared" si="12"/>
        <v>94302.975000000006</v>
      </c>
      <c r="I225" s="1027">
        <f t="shared" si="14"/>
        <v>478905</v>
      </c>
      <c r="J225" s="1121">
        <f t="shared" si="15"/>
        <v>0.6058884329877533</v>
      </c>
      <c r="K225" s="1034"/>
      <c r="L225" s="1017"/>
      <c r="M225" s="1017"/>
      <c r="N225" s="1017"/>
      <c r="O225" s="1017"/>
      <c r="P225" s="1017"/>
      <c r="Q225" s="1017"/>
      <c r="R225" s="1017"/>
      <c r="S225" s="1017"/>
      <c r="T225" s="1351"/>
      <c r="U225" s="1017"/>
      <c r="V225" s="1017"/>
      <c r="W225" s="1017"/>
      <c r="X225" s="1017"/>
      <c r="Y225" s="1017"/>
      <c r="Z225" s="1017"/>
      <c r="AA225" s="1017"/>
      <c r="AB225" s="1017"/>
      <c r="AC225" s="1017"/>
      <c r="AD225" s="1017"/>
      <c r="AE225" s="1017"/>
      <c r="AF225" s="1017"/>
    </row>
    <row r="226" spans="1:32" ht="16.5">
      <c r="A226" s="1017"/>
      <c r="B226" s="1767"/>
      <c r="C226" s="1094">
        <v>43694</v>
      </c>
      <c r="D226" s="1069">
        <v>44058</v>
      </c>
      <c r="E226" s="1069"/>
      <c r="F226" s="1104">
        <v>729454</v>
      </c>
      <c r="G226" s="1139">
        <v>432512</v>
      </c>
      <c r="H226" s="1026">
        <f t="shared" si="12"/>
        <v>140566.39999999999</v>
      </c>
      <c r="I226" s="1027">
        <f t="shared" si="14"/>
        <v>729454</v>
      </c>
      <c r="J226" s="1129">
        <f t="shared" si="15"/>
        <v>0.59292566769117727</v>
      </c>
      <c r="K226" s="1034"/>
      <c r="L226" s="1017"/>
      <c r="M226" s="1017"/>
      <c r="N226" s="1017"/>
      <c r="O226" s="1017"/>
      <c r="P226" s="1017"/>
      <c r="Q226" s="1017"/>
      <c r="R226" s="1017"/>
      <c r="S226" s="1017"/>
      <c r="T226" s="1351"/>
      <c r="U226" s="1017"/>
      <c r="V226" s="1017"/>
      <c r="W226" s="1017"/>
      <c r="X226" s="1017"/>
      <c r="Y226" s="1017"/>
      <c r="Z226" s="1017"/>
      <c r="AA226" s="1017"/>
      <c r="AB226" s="1017"/>
      <c r="AC226" s="1017"/>
      <c r="AD226" s="1017"/>
      <c r="AE226" s="1017"/>
      <c r="AF226" s="1017"/>
    </row>
    <row r="227" spans="1:32" ht="16.5">
      <c r="A227" s="1022"/>
      <c r="B227" s="1765" t="s">
        <v>368</v>
      </c>
      <c r="C227" s="1079">
        <v>43695</v>
      </c>
      <c r="D227" s="1072">
        <v>44059</v>
      </c>
      <c r="E227" s="1072"/>
      <c r="F227" s="1097">
        <v>431104</v>
      </c>
      <c r="G227" s="1106">
        <v>200931</v>
      </c>
      <c r="H227" s="1026">
        <f t="shared" si="12"/>
        <v>65302.575000000004</v>
      </c>
      <c r="I227" s="1027">
        <f t="shared" si="14"/>
        <v>431104</v>
      </c>
      <c r="J227" s="1116">
        <f t="shared" si="15"/>
        <v>0.46608474985154397</v>
      </c>
      <c r="K227" s="1034"/>
      <c r="L227" s="1036"/>
      <c r="M227" s="1036"/>
      <c r="N227" s="1036"/>
      <c r="O227" s="1036"/>
      <c r="P227" s="1036"/>
      <c r="Q227" s="1017"/>
      <c r="R227" s="1017"/>
      <c r="S227" s="1017"/>
      <c r="T227" s="1351"/>
      <c r="U227" s="1017"/>
      <c r="V227" s="1017"/>
      <c r="W227" s="1017"/>
      <c r="X227" s="1017"/>
      <c r="Y227" s="1017"/>
      <c r="Z227" s="1017"/>
      <c r="AA227" s="1017"/>
      <c r="AB227" s="1017"/>
      <c r="AC227" s="1017"/>
      <c r="AD227" s="1017"/>
      <c r="AE227" s="1017"/>
      <c r="AF227" s="1017"/>
    </row>
    <row r="228" spans="1:32" ht="16.5">
      <c r="A228" s="1022"/>
      <c r="B228" s="1766"/>
      <c r="C228" s="1081">
        <v>43696</v>
      </c>
      <c r="D228" s="1024">
        <v>44060</v>
      </c>
      <c r="E228" s="1024"/>
      <c r="F228" s="1100">
        <v>356627</v>
      </c>
      <c r="G228" s="1027">
        <v>233815</v>
      </c>
      <c r="H228" s="1026">
        <f t="shared" si="12"/>
        <v>75989.875</v>
      </c>
      <c r="I228" s="1027">
        <f t="shared" si="14"/>
        <v>356627</v>
      </c>
      <c r="J228" s="1119">
        <f t="shared" si="15"/>
        <v>0.65562899051389822</v>
      </c>
      <c r="K228" s="1034"/>
      <c r="L228" s="1036"/>
      <c r="M228" s="1036"/>
      <c r="N228" s="1036"/>
      <c r="O228" s="1036"/>
      <c r="P228" s="1036"/>
      <c r="Q228" s="1017"/>
      <c r="R228" s="1017"/>
      <c r="S228" s="1017"/>
      <c r="T228" s="1351"/>
      <c r="U228" s="1017"/>
      <c r="V228" s="1017"/>
      <c r="W228" s="1017"/>
      <c r="X228" s="1017"/>
      <c r="Y228" s="1017"/>
      <c r="Z228" s="1017"/>
      <c r="AA228" s="1017"/>
      <c r="AB228" s="1017"/>
      <c r="AC228" s="1017"/>
      <c r="AD228" s="1017"/>
      <c r="AE228" s="1017"/>
      <c r="AF228" s="1017"/>
    </row>
    <row r="229" spans="1:32" ht="16.5">
      <c r="A229" s="1022"/>
      <c r="B229" s="1766"/>
      <c r="C229" s="1081">
        <v>43697</v>
      </c>
      <c r="D229" s="1024">
        <v>44061</v>
      </c>
      <c r="E229" s="1024"/>
      <c r="F229" s="1100">
        <v>337188</v>
      </c>
      <c r="G229" s="1027">
        <v>218026</v>
      </c>
      <c r="H229" s="1026">
        <f t="shared" si="12"/>
        <v>70858.45</v>
      </c>
      <c r="I229" s="1027">
        <f t="shared" si="14"/>
        <v>337188</v>
      </c>
      <c r="J229" s="1119">
        <f t="shared" si="15"/>
        <v>0.64660070939653846</v>
      </c>
      <c r="K229" s="1034"/>
      <c r="L229" s="1036"/>
      <c r="M229" s="1036"/>
      <c r="N229" s="1036"/>
      <c r="O229" s="1036"/>
      <c r="P229" s="1036"/>
      <c r="Q229" s="1017"/>
      <c r="R229" s="1017"/>
      <c r="S229" s="1017"/>
      <c r="T229" s="1351"/>
      <c r="U229" s="1017"/>
      <c r="V229" s="1017"/>
      <c r="W229" s="1017"/>
      <c r="X229" s="1017"/>
      <c r="Y229" s="1017"/>
      <c r="Z229" s="1017"/>
      <c r="AA229" s="1017"/>
      <c r="AB229" s="1017"/>
      <c r="AC229" s="1017"/>
      <c r="AD229" s="1017"/>
      <c r="AE229" s="1017"/>
      <c r="AF229" s="1017"/>
    </row>
    <row r="230" spans="1:32" ht="16.5">
      <c r="A230" s="1022"/>
      <c r="B230" s="1766"/>
      <c r="C230" s="1081">
        <v>43698</v>
      </c>
      <c r="D230" s="1024">
        <v>44062</v>
      </c>
      <c r="E230" s="1024"/>
      <c r="F230" s="1100">
        <v>321544</v>
      </c>
      <c r="G230" s="1027">
        <v>200568</v>
      </c>
      <c r="H230" s="1026">
        <f t="shared" si="12"/>
        <v>65184.600000000006</v>
      </c>
      <c r="I230" s="1027">
        <f t="shared" si="14"/>
        <v>321544</v>
      </c>
      <c r="J230" s="1119">
        <f t="shared" si="15"/>
        <v>0.62376533227178865</v>
      </c>
      <c r="K230" s="1034"/>
      <c r="L230" s="1036"/>
      <c r="M230" s="1036"/>
      <c r="N230" s="1036"/>
      <c r="O230" s="1036"/>
      <c r="P230" s="1036"/>
      <c r="Q230" s="1017"/>
      <c r="R230" s="1017"/>
      <c r="S230" s="1017"/>
      <c r="T230" s="1351"/>
      <c r="U230" s="1017"/>
      <c r="V230" s="1017"/>
      <c r="W230" s="1017"/>
      <c r="X230" s="1017"/>
      <c r="Y230" s="1017"/>
      <c r="Z230" s="1017"/>
      <c r="AA230" s="1017"/>
      <c r="AB230" s="1017"/>
      <c r="AC230" s="1017"/>
      <c r="AD230" s="1017"/>
      <c r="AE230" s="1017"/>
      <c r="AF230" s="1017"/>
    </row>
    <row r="231" spans="1:32" ht="16.5">
      <c r="A231" s="1022"/>
      <c r="B231" s="1766"/>
      <c r="C231" s="1081">
        <v>43699</v>
      </c>
      <c r="D231" s="1024">
        <v>44063</v>
      </c>
      <c r="E231" s="1024"/>
      <c r="F231" s="1100">
        <v>368163</v>
      </c>
      <c r="G231" s="1027">
        <v>208085</v>
      </c>
      <c r="H231" s="1026">
        <f t="shared" si="12"/>
        <v>67627.625</v>
      </c>
      <c r="I231" s="1027">
        <f t="shared" si="14"/>
        <v>368163</v>
      </c>
      <c r="J231" s="1119">
        <f t="shared" si="15"/>
        <v>0.56519802370145833</v>
      </c>
      <c r="K231" s="1034"/>
      <c r="L231" s="1036"/>
      <c r="M231" s="1036"/>
      <c r="N231" s="1036"/>
      <c r="O231" s="1036"/>
      <c r="P231" s="1036"/>
      <c r="Q231" s="1017"/>
      <c r="R231" s="1017"/>
      <c r="S231" s="1017"/>
      <c r="T231" s="1351"/>
      <c r="U231" s="1017"/>
      <c r="V231" s="1017"/>
      <c r="W231" s="1017"/>
      <c r="X231" s="1017"/>
      <c r="Y231" s="1017"/>
      <c r="Z231" s="1017"/>
      <c r="AA231" s="1017"/>
      <c r="AB231" s="1017"/>
      <c r="AC231" s="1017"/>
      <c r="AD231" s="1017"/>
      <c r="AE231" s="1017"/>
      <c r="AF231" s="1017"/>
    </row>
    <row r="232" spans="1:32" ht="16.5">
      <c r="A232" s="1022"/>
      <c r="B232" s="1766"/>
      <c r="C232" s="1081">
        <v>43700</v>
      </c>
      <c r="D232" s="1024">
        <v>44064</v>
      </c>
      <c r="E232" s="1024"/>
      <c r="F232" s="1100">
        <v>464993</v>
      </c>
      <c r="G232" s="1027">
        <v>262485</v>
      </c>
      <c r="H232" s="1026">
        <f t="shared" si="12"/>
        <v>85307.625</v>
      </c>
      <c r="I232" s="1027">
        <f t="shared" si="14"/>
        <v>464993</v>
      </c>
      <c r="J232" s="1119">
        <f t="shared" si="15"/>
        <v>0.56449236870232455</v>
      </c>
      <c r="K232" s="1034"/>
      <c r="L232" s="1036"/>
      <c r="M232" s="1036"/>
      <c r="N232" s="1036"/>
      <c r="O232" s="1036"/>
      <c r="P232" s="1036"/>
      <c r="Q232" s="1017"/>
      <c r="R232" s="1017"/>
      <c r="S232" s="1017"/>
      <c r="T232" s="1351"/>
      <c r="U232" s="1017"/>
      <c r="V232" s="1017"/>
      <c r="W232" s="1017"/>
      <c r="X232" s="1017"/>
      <c r="Y232" s="1017"/>
      <c r="Z232" s="1017"/>
      <c r="AA232" s="1017"/>
      <c r="AB232" s="1017"/>
      <c r="AC232" s="1017"/>
      <c r="AD232" s="1017"/>
      <c r="AE232" s="1017"/>
      <c r="AF232" s="1017"/>
    </row>
    <row r="233" spans="1:32" ht="16.5">
      <c r="A233" s="1022"/>
      <c r="B233" s="1768"/>
      <c r="C233" s="1083">
        <v>43701</v>
      </c>
      <c r="D233" s="1084">
        <v>44065</v>
      </c>
      <c r="E233" s="1084"/>
      <c r="F233" s="1109">
        <v>724816</v>
      </c>
      <c r="G233" s="1126">
        <v>381819</v>
      </c>
      <c r="H233" s="1026">
        <f t="shared" si="12"/>
        <v>124091.175</v>
      </c>
      <c r="I233" s="1027">
        <f t="shared" si="14"/>
        <v>724816</v>
      </c>
      <c r="J233" s="1121">
        <f t="shared" si="15"/>
        <v>0.52678058983245402</v>
      </c>
      <c r="K233" s="1034"/>
      <c r="L233" s="1036"/>
      <c r="M233" s="1036"/>
      <c r="N233" s="1036"/>
      <c r="O233" s="1036"/>
      <c r="P233" s="1036"/>
      <c r="Q233" s="1017"/>
      <c r="R233" s="1017"/>
      <c r="S233" s="1017"/>
      <c r="T233" s="1351"/>
      <c r="U233" s="1017"/>
      <c r="V233" s="1017"/>
      <c r="W233" s="1017"/>
      <c r="X233" s="1017"/>
      <c r="Y233" s="1017"/>
      <c r="Z233" s="1017"/>
      <c r="AA233" s="1017"/>
      <c r="AB233" s="1017"/>
      <c r="AC233" s="1017"/>
      <c r="AD233" s="1017"/>
      <c r="AE233" s="1017"/>
      <c r="AF233" s="1017"/>
    </row>
    <row r="234" spans="1:32" ht="16.5">
      <c r="A234" s="1022"/>
      <c r="B234" s="1769" t="s">
        <v>369</v>
      </c>
      <c r="C234" s="1087">
        <v>43702</v>
      </c>
      <c r="D234" s="1088">
        <v>44066</v>
      </c>
      <c r="E234" s="1088"/>
      <c r="F234" s="1100">
        <v>485216</v>
      </c>
      <c r="G234" s="1140">
        <v>196015</v>
      </c>
      <c r="H234" s="1026">
        <f t="shared" si="12"/>
        <v>63704.875</v>
      </c>
      <c r="I234" s="1027">
        <f t="shared" si="14"/>
        <v>485216</v>
      </c>
      <c r="J234" s="1141">
        <f t="shared" si="15"/>
        <v>0.40397472465870871</v>
      </c>
      <c r="K234" s="1034"/>
      <c r="L234" s="1036"/>
      <c r="M234" s="1036"/>
      <c r="N234" s="1036"/>
      <c r="O234" s="1036"/>
      <c r="P234" s="1036"/>
      <c r="Q234" s="1017"/>
      <c r="R234" s="1017"/>
      <c r="S234" s="1017"/>
      <c r="T234" s="1351"/>
      <c r="U234" s="1017"/>
      <c r="V234" s="1017"/>
      <c r="W234" s="1017"/>
      <c r="X234" s="1017"/>
      <c r="Y234" s="1017"/>
      <c r="Z234" s="1017"/>
      <c r="AA234" s="1017"/>
      <c r="AB234" s="1017"/>
      <c r="AC234" s="1017"/>
      <c r="AD234" s="1017"/>
      <c r="AE234" s="1017"/>
      <c r="AF234" s="1017"/>
    </row>
    <row r="235" spans="1:32" ht="16.5">
      <c r="A235" s="1022"/>
      <c r="B235" s="1766"/>
      <c r="C235" s="1081">
        <v>43703</v>
      </c>
      <c r="D235" s="1024">
        <v>44067</v>
      </c>
      <c r="E235" s="1024"/>
      <c r="F235" s="1100">
        <v>304721</v>
      </c>
      <c r="G235" s="1033">
        <v>186268</v>
      </c>
      <c r="H235" s="1026">
        <f t="shared" si="12"/>
        <v>60537.1</v>
      </c>
      <c r="I235" s="1027">
        <f t="shared" si="14"/>
        <v>304721</v>
      </c>
      <c r="J235" s="1141">
        <f t="shared" si="15"/>
        <v>0.61127391942137232</v>
      </c>
      <c r="K235" s="1034"/>
      <c r="L235" s="1036"/>
      <c r="M235" s="1036"/>
      <c r="N235" s="1036"/>
      <c r="O235" s="1036"/>
      <c r="P235" s="1036"/>
      <c r="Q235" s="1017"/>
      <c r="R235" s="1017"/>
      <c r="S235" s="1017"/>
      <c r="T235" s="1351"/>
      <c r="U235" s="1017"/>
      <c r="V235" s="1017"/>
      <c r="W235" s="1017"/>
      <c r="X235" s="1017"/>
      <c r="Y235" s="1017"/>
      <c r="Z235" s="1017"/>
      <c r="AA235" s="1017"/>
      <c r="AB235" s="1017"/>
      <c r="AC235" s="1017"/>
      <c r="AD235" s="1017"/>
      <c r="AE235" s="1017"/>
      <c r="AF235" s="1017"/>
    </row>
    <row r="236" spans="1:32" ht="16.5">
      <c r="A236" s="1022"/>
      <c r="B236" s="1766"/>
      <c r="C236" s="1081">
        <v>43704</v>
      </c>
      <c r="D236" s="1024">
        <v>44068</v>
      </c>
      <c r="E236" s="1024"/>
      <c r="F236" s="1100">
        <v>259540</v>
      </c>
      <c r="G236" s="1033">
        <v>167348</v>
      </c>
      <c r="H236" s="1026">
        <f t="shared" si="12"/>
        <v>54388.1</v>
      </c>
      <c r="I236" s="1027">
        <f t="shared" si="14"/>
        <v>259540</v>
      </c>
      <c r="J236" s="1141">
        <f t="shared" si="15"/>
        <v>0.64478693072358784</v>
      </c>
      <c r="K236" s="1034"/>
      <c r="L236" s="1036"/>
      <c r="M236" s="1036"/>
      <c r="N236" s="1036"/>
      <c r="O236" s="1036"/>
      <c r="P236" s="1036"/>
      <c r="Q236" s="1017"/>
      <c r="R236" s="1017"/>
      <c r="S236" s="1017"/>
      <c r="T236" s="1351"/>
      <c r="U236" s="1017"/>
      <c r="V236" s="1017"/>
      <c r="W236" s="1017"/>
      <c r="X236" s="1017"/>
      <c r="Y236" s="1017"/>
      <c r="Z236" s="1017"/>
      <c r="AA236" s="1017"/>
      <c r="AB236" s="1017"/>
      <c r="AC236" s="1017"/>
      <c r="AD236" s="1017"/>
      <c r="AE236" s="1017"/>
      <c r="AF236" s="1017"/>
    </row>
    <row r="237" spans="1:32" ht="16.5">
      <c r="A237" s="1022"/>
      <c r="B237" s="1766"/>
      <c r="C237" s="1081">
        <v>43705</v>
      </c>
      <c r="D237" s="1024">
        <v>44069</v>
      </c>
      <c r="E237" s="1024"/>
      <c r="F237" s="1100">
        <v>292614</v>
      </c>
      <c r="G237" s="1033">
        <v>168603</v>
      </c>
      <c r="H237" s="1026">
        <f t="shared" si="12"/>
        <v>54795.974999999999</v>
      </c>
      <c r="I237" s="1027">
        <f t="shared" si="14"/>
        <v>292614</v>
      </c>
      <c r="J237" s="1141">
        <f t="shared" si="15"/>
        <v>0.5761959441448461</v>
      </c>
      <c r="K237" s="1034"/>
      <c r="L237" s="1036"/>
      <c r="M237" s="1036"/>
      <c r="N237" s="1036"/>
      <c r="O237" s="1036"/>
      <c r="P237" s="1036"/>
      <c r="Q237" s="1017"/>
      <c r="R237" s="1017"/>
      <c r="S237" s="1017"/>
      <c r="T237" s="1351"/>
      <c r="U237" s="1017"/>
      <c r="V237" s="1017"/>
      <c r="W237" s="1017"/>
      <c r="X237" s="1017"/>
      <c r="Y237" s="1017"/>
      <c r="Z237" s="1017"/>
      <c r="AA237" s="1017"/>
      <c r="AB237" s="1017"/>
      <c r="AC237" s="1017"/>
      <c r="AD237" s="1017"/>
      <c r="AE237" s="1017"/>
      <c r="AF237" s="1017"/>
    </row>
    <row r="238" spans="1:32" ht="16.5">
      <c r="A238" s="1022"/>
      <c r="B238" s="1766"/>
      <c r="C238" s="1081">
        <v>43706</v>
      </c>
      <c r="D238" s="1024">
        <v>44070</v>
      </c>
      <c r="E238" s="1024"/>
      <c r="F238" s="1100">
        <v>339126</v>
      </c>
      <c r="G238" s="1033">
        <v>208847</v>
      </c>
      <c r="H238" s="1026">
        <f t="shared" si="12"/>
        <v>67875.275000000009</v>
      </c>
      <c r="I238" s="1027">
        <f t="shared" si="14"/>
        <v>339126</v>
      </c>
      <c r="J238" s="1141">
        <f t="shared" si="15"/>
        <v>0.61583895071448369</v>
      </c>
      <c r="K238" s="1034"/>
      <c r="L238" s="1036"/>
      <c r="M238" s="1036"/>
      <c r="N238" s="1036"/>
      <c r="O238" s="1036"/>
      <c r="P238" s="1036"/>
      <c r="Q238" s="1017"/>
      <c r="R238" s="1017"/>
      <c r="S238" s="1017"/>
      <c r="T238" s="1351"/>
      <c r="U238" s="1017"/>
      <c r="V238" s="1017"/>
      <c r="W238" s="1017"/>
      <c r="X238" s="1017"/>
      <c r="Y238" s="1017"/>
      <c r="Z238" s="1017"/>
      <c r="AA238" s="1017"/>
      <c r="AB238" s="1017"/>
      <c r="AC238" s="1017"/>
      <c r="AD238" s="1017"/>
      <c r="AE238" s="1017"/>
      <c r="AF238" s="1017"/>
    </row>
    <row r="239" spans="1:32" ht="16.5">
      <c r="A239" s="1022"/>
      <c r="B239" s="1766"/>
      <c r="C239" s="1081">
        <v>43707</v>
      </c>
      <c r="D239" s="1024">
        <v>44071</v>
      </c>
      <c r="E239" s="1024"/>
      <c r="F239" s="1100">
        <v>454776</v>
      </c>
      <c r="G239" s="1033">
        <v>291294</v>
      </c>
      <c r="H239" s="1026">
        <f t="shared" si="12"/>
        <v>94670.55</v>
      </c>
      <c r="I239" s="1027">
        <f t="shared" si="14"/>
        <v>454776</v>
      </c>
      <c r="J239" s="1141">
        <f t="shared" si="15"/>
        <v>0.64052192727848434</v>
      </c>
      <c r="K239" s="1034"/>
      <c r="L239" s="1036"/>
      <c r="M239" s="1036"/>
      <c r="N239" s="1036"/>
      <c r="O239" s="1036"/>
      <c r="P239" s="1036"/>
      <c r="Q239" s="1017"/>
      <c r="R239" s="1017"/>
      <c r="S239" s="1017"/>
      <c r="T239" s="1351"/>
      <c r="U239" s="1017"/>
      <c r="V239" s="1017"/>
      <c r="W239" s="1017"/>
      <c r="X239" s="1017"/>
      <c r="Y239" s="1017"/>
      <c r="Z239" s="1017"/>
      <c r="AA239" s="1017"/>
      <c r="AB239" s="1017"/>
      <c r="AC239" s="1017"/>
      <c r="AD239" s="1017"/>
      <c r="AE239" s="1017"/>
      <c r="AF239" s="1017"/>
    </row>
    <row r="240" spans="1:32" ht="16.5">
      <c r="A240" s="1022"/>
      <c r="B240" s="1767"/>
      <c r="C240" s="1094">
        <v>43708</v>
      </c>
      <c r="D240" s="1069">
        <v>44072</v>
      </c>
      <c r="E240" s="1069"/>
      <c r="F240" s="1104">
        <v>802128</v>
      </c>
      <c r="G240" s="1142">
        <v>426000</v>
      </c>
      <c r="H240" s="1226">
        <f t="shared" si="12"/>
        <v>138450</v>
      </c>
      <c r="I240" s="1107">
        <f t="shared" si="14"/>
        <v>802128</v>
      </c>
      <c r="J240" s="1143">
        <f t="shared" si="15"/>
        <v>0.53108730776135482</v>
      </c>
      <c r="K240" s="1034"/>
      <c r="L240" s="1036"/>
      <c r="M240" s="1036"/>
      <c r="N240" s="1036"/>
      <c r="O240" s="1036"/>
      <c r="P240" s="1036"/>
      <c r="Q240" s="1017"/>
      <c r="R240" s="1017"/>
      <c r="S240" s="1017"/>
      <c r="T240" s="1351"/>
      <c r="U240" s="1017"/>
      <c r="V240" s="1017"/>
      <c r="W240" s="1017"/>
      <c r="X240" s="1017"/>
      <c r="Y240" s="1017"/>
      <c r="Z240" s="1017"/>
      <c r="AA240" s="1017"/>
      <c r="AB240" s="1017"/>
      <c r="AC240" s="1017"/>
      <c r="AD240" s="1017"/>
      <c r="AE240" s="1017"/>
      <c r="AF240" s="1017"/>
    </row>
    <row r="241" spans="1:32" ht="16.5">
      <c r="A241" s="1022"/>
      <c r="B241" s="1760" t="s">
        <v>370</v>
      </c>
      <c r="C241" s="1162">
        <v>43709</v>
      </c>
      <c r="D241" s="1163">
        <v>44073</v>
      </c>
      <c r="E241" s="1163"/>
      <c r="F241" s="1164">
        <v>487258</v>
      </c>
      <c r="G241" s="1165">
        <v>207239</v>
      </c>
      <c r="H241" s="1178">
        <f t="shared" si="12"/>
        <v>67352.675000000003</v>
      </c>
      <c r="I241" s="1178">
        <f t="shared" si="14"/>
        <v>487258</v>
      </c>
      <c r="J241" s="1326">
        <f t="shared" si="15"/>
        <v>0.42531677263379974</v>
      </c>
      <c r="K241" s="1034"/>
      <c r="L241" s="1036"/>
      <c r="M241" s="1145"/>
      <c r="N241" s="1145"/>
      <c r="O241" s="1145"/>
      <c r="P241" s="1145"/>
      <c r="X241" s="1017"/>
      <c r="Y241" s="1017"/>
      <c r="Z241" s="1017"/>
      <c r="AA241" s="1017"/>
      <c r="AB241" s="1017"/>
      <c r="AC241" s="1017"/>
      <c r="AD241" s="1017"/>
      <c r="AE241" s="1017"/>
      <c r="AF241" s="1017"/>
    </row>
    <row r="242" spans="1:32" ht="16.5">
      <c r="A242" s="1022"/>
      <c r="B242" s="1760"/>
      <c r="C242" s="1162">
        <v>43710</v>
      </c>
      <c r="D242" s="1163">
        <v>44074</v>
      </c>
      <c r="E242" s="1163"/>
      <c r="F242" s="1164">
        <v>338866</v>
      </c>
      <c r="G242" s="1165">
        <v>213015</v>
      </c>
      <c r="H242" s="1178">
        <f t="shared" si="12"/>
        <v>69229.875</v>
      </c>
      <c r="I242" s="1178">
        <f t="shared" si="14"/>
        <v>338866</v>
      </c>
      <c r="J242" s="1326">
        <f t="shared" si="15"/>
        <v>0.62861130948516519</v>
      </c>
      <c r="K242" s="1034"/>
      <c r="L242" s="1036"/>
      <c r="M242" s="1145"/>
      <c r="N242" s="1145"/>
      <c r="O242" s="1145"/>
      <c r="P242" s="1145"/>
      <c r="X242" s="1017"/>
      <c r="Y242" s="1017"/>
      <c r="Z242" s="1017"/>
      <c r="AA242" s="1017"/>
      <c r="AB242" s="1017"/>
      <c r="AC242" s="1017"/>
      <c r="AD242" s="1017"/>
      <c r="AE242" s="1017"/>
      <c r="AF242" s="1017"/>
    </row>
    <row r="243" spans="1:32" ht="16.5">
      <c r="A243" s="1022"/>
      <c r="B243" s="1760"/>
      <c r="C243" s="1162">
        <v>43711</v>
      </c>
      <c r="D243" s="1163">
        <v>44075</v>
      </c>
      <c r="E243" s="1163"/>
      <c r="F243" s="1164">
        <v>303285</v>
      </c>
      <c r="G243" s="1165">
        <v>210622</v>
      </c>
      <c r="H243" s="1178">
        <f t="shared" si="12"/>
        <v>68452.150000000009</v>
      </c>
      <c r="I243" s="1178">
        <f t="shared" si="14"/>
        <v>303285</v>
      </c>
      <c r="J243" s="1326">
        <f t="shared" si="15"/>
        <v>0.69446889889048258</v>
      </c>
      <c r="K243" s="1034"/>
      <c r="L243" s="1154"/>
      <c r="M243" s="1145"/>
      <c r="N243" s="1145"/>
      <c r="O243" s="1145"/>
      <c r="P243" s="1145"/>
      <c r="X243" s="1017"/>
      <c r="Y243" s="1017"/>
      <c r="Z243" s="1017"/>
      <c r="AA243" s="1017"/>
      <c r="AB243" s="1017"/>
      <c r="AC243" s="1017"/>
      <c r="AD243" s="1017"/>
      <c r="AE243" s="1017"/>
      <c r="AF243" s="1017"/>
    </row>
    <row r="244" spans="1:32" ht="16.5">
      <c r="A244" s="1022"/>
      <c r="B244" s="1760"/>
      <c r="C244" s="1162">
        <v>43712</v>
      </c>
      <c r="D244" s="1163">
        <v>44076</v>
      </c>
      <c r="E244" s="1163"/>
      <c r="F244" s="1164">
        <v>294750</v>
      </c>
      <c r="G244" s="1165">
        <v>221781</v>
      </c>
      <c r="H244" s="1178">
        <f t="shared" si="12"/>
        <v>72078.824999999997</v>
      </c>
      <c r="I244" s="1178">
        <f t="shared" si="14"/>
        <v>294750</v>
      </c>
      <c r="J244" s="1326">
        <f t="shared" si="15"/>
        <v>0.75243765903307891</v>
      </c>
      <c r="K244" s="1034"/>
      <c r="L244" s="1145"/>
      <c r="M244" s="1145"/>
      <c r="N244" s="1145"/>
      <c r="O244" s="1145"/>
      <c r="P244" s="1145"/>
      <c r="X244" s="1017"/>
      <c r="Y244" s="1017"/>
      <c r="Z244" s="1017"/>
      <c r="AA244" s="1017"/>
      <c r="AB244" s="1017"/>
      <c r="AC244" s="1017"/>
      <c r="AD244" s="1017"/>
      <c r="AE244" s="1017"/>
      <c r="AF244" s="1017"/>
    </row>
    <row r="245" spans="1:32" ht="16.5">
      <c r="A245" s="1022"/>
      <c r="B245" s="1760"/>
      <c r="C245" s="1162">
        <v>43713</v>
      </c>
      <c r="D245" s="1163">
        <v>44077</v>
      </c>
      <c r="E245" s="1163"/>
      <c r="F245" s="1164">
        <v>359990</v>
      </c>
      <c r="G245" s="1165">
        <v>237648</v>
      </c>
      <c r="H245" s="1178">
        <f t="shared" si="12"/>
        <v>77235.600000000006</v>
      </c>
      <c r="I245" s="1178">
        <f t="shared" si="14"/>
        <v>359990</v>
      </c>
      <c r="J245" s="1326">
        <f t="shared" si="15"/>
        <v>0.66015167087974669</v>
      </c>
      <c r="K245" s="1034"/>
      <c r="L245" s="1145"/>
      <c r="M245" s="1145"/>
      <c r="N245" s="1145"/>
      <c r="O245" s="1145"/>
      <c r="P245" s="1145"/>
      <c r="X245" s="1017"/>
      <c r="Y245" s="1017"/>
      <c r="Z245" s="1017"/>
      <c r="AA245" s="1017"/>
      <c r="AB245" s="1017"/>
      <c r="AC245" s="1017"/>
      <c r="AD245" s="1017"/>
      <c r="AE245" s="1017"/>
      <c r="AF245" s="1017"/>
    </row>
    <row r="246" spans="1:32" ht="16.5">
      <c r="A246" s="1022"/>
      <c r="B246" s="1760"/>
      <c r="C246" s="1162">
        <v>43714</v>
      </c>
      <c r="D246" s="1163">
        <v>44078</v>
      </c>
      <c r="E246" s="1163"/>
      <c r="F246" s="1164">
        <v>426423</v>
      </c>
      <c r="G246" s="1165">
        <v>276081</v>
      </c>
      <c r="H246" s="1178">
        <f t="shared" si="12"/>
        <v>89726.324999999997</v>
      </c>
      <c r="I246" s="1178">
        <f t="shared" si="14"/>
        <v>426423</v>
      </c>
      <c r="J246" s="1326">
        <f t="shared" si="15"/>
        <v>0.64743458959765299</v>
      </c>
      <c r="K246" s="1034"/>
      <c r="L246" s="1145"/>
      <c r="M246" s="1145"/>
      <c r="N246" s="1145"/>
      <c r="O246" s="1145"/>
      <c r="P246" s="1145"/>
      <c r="Q246" s="1145"/>
      <c r="R246" s="1145"/>
      <c r="S246" s="1145"/>
      <c r="T246" s="1352"/>
      <c r="U246" s="1145"/>
      <c r="V246" s="1145"/>
      <c r="W246" s="1036"/>
      <c r="X246" s="1017"/>
      <c r="Y246" s="1017"/>
      <c r="Z246" s="1017"/>
      <c r="AA246" s="1017"/>
      <c r="AB246" s="1017"/>
      <c r="AC246" s="1017"/>
      <c r="AD246" s="1017"/>
      <c r="AE246" s="1017"/>
      <c r="AF246" s="1017"/>
    </row>
    <row r="247" spans="1:32" ht="16.5">
      <c r="A247" s="1022"/>
      <c r="B247" s="1760"/>
      <c r="C247" s="1162">
        <v>43715</v>
      </c>
      <c r="D247" s="1163">
        <v>44079</v>
      </c>
      <c r="E247" s="1163"/>
      <c r="F247" s="1164">
        <v>730588</v>
      </c>
      <c r="G247" s="1165">
        <v>455221</v>
      </c>
      <c r="H247" s="1178">
        <f t="shared" si="12"/>
        <v>147946.82500000001</v>
      </c>
      <c r="I247" s="1178">
        <f t="shared" si="14"/>
        <v>730588</v>
      </c>
      <c r="J247" s="1326">
        <f t="shared" si="15"/>
        <v>0.62308852595443665</v>
      </c>
      <c r="K247" s="1034"/>
      <c r="L247" s="1145"/>
      <c r="M247" s="1145"/>
      <c r="N247" s="1145"/>
      <c r="O247" s="1145"/>
      <c r="P247" s="1145"/>
      <c r="Q247" s="1323"/>
      <c r="R247" s="1324"/>
      <c r="S247" s="1321"/>
      <c r="T247" s="1352"/>
      <c r="U247" s="1145"/>
      <c r="V247" s="1145"/>
      <c r="W247" s="1036"/>
      <c r="X247" s="1017"/>
      <c r="Y247" s="1017"/>
      <c r="Z247" s="1017"/>
      <c r="AA247" s="1017"/>
      <c r="AB247" s="1017"/>
      <c r="AC247" s="1017"/>
      <c r="AD247" s="1017"/>
      <c r="AE247" s="1017"/>
      <c r="AF247" s="1017"/>
    </row>
    <row r="248" spans="1:32" ht="16.5">
      <c r="A248" s="1022"/>
      <c r="B248" s="1760" t="s">
        <v>371</v>
      </c>
      <c r="C248" s="1162">
        <v>43716</v>
      </c>
      <c r="D248" s="1163">
        <v>44080</v>
      </c>
      <c r="E248" s="1163"/>
      <c r="F248" s="1164">
        <v>434293.02930215001</v>
      </c>
      <c r="G248" s="1165">
        <v>228887</v>
      </c>
      <c r="H248" s="1178">
        <f t="shared" si="12"/>
        <v>74388.275000000009</v>
      </c>
      <c r="I248" s="1178">
        <f t="shared" si="14"/>
        <v>434293.02930215001</v>
      </c>
      <c r="J248" s="1326">
        <f t="shared" si="15"/>
        <v>0.52703355696910537</v>
      </c>
      <c r="K248" s="1034"/>
      <c r="L248" s="1145"/>
      <c r="M248" s="1145"/>
      <c r="N248" s="1145"/>
      <c r="O248" s="1145"/>
      <c r="P248" s="1145"/>
      <c r="Q248" s="1323"/>
      <c r="R248" s="1145"/>
      <c r="S248" s="1145"/>
      <c r="T248" s="1352"/>
      <c r="U248" s="1145"/>
      <c r="V248" s="1145"/>
      <c r="W248" s="1036"/>
      <c r="X248" s="1017"/>
      <c r="Y248" s="1017"/>
      <c r="Z248" s="1017"/>
      <c r="AA248" s="1017"/>
      <c r="AB248" s="1017"/>
      <c r="AC248" s="1017"/>
      <c r="AD248" s="1017"/>
      <c r="AE248" s="1017"/>
      <c r="AF248" s="1017"/>
    </row>
    <row r="249" spans="1:32" ht="16.5">
      <c r="A249" s="1022"/>
      <c r="B249" s="1760"/>
      <c r="C249" s="1162">
        <v>43717</v>
      </c>
      <c r="D249" s="1163">
        <v>44081</v>
      </c>
      <c r="E249" s="1163"/>
      <c r="F249" s="1164">
        <v>162332</v>
      </c>
      <c r="G249" s="1165">
        <v>205776</v>
      </c>
      <c r="H249" s="1178">
        <f t="shared" si="12"/>
        <v>66877.2</v>
      </c>
      <c r="I249" s="1178">
        <f t="shared" si="14"/>
        <v>162332</v>
      </c>
      <c r="J249" s="1326">
        <f t="shared" si="15"/>
        <v>1.2676243747381908</v>
      </c>
      <c r="K249" s="1034"/>
      <c r="L249" s="1145"/>
      <c r="M249" s="1145"/>
      <c r="N249" s="1145"/>
      <c r="O249" s="1145"/>
      <c r="P249" s="1145"/>
      <c r="Q249" s="1323"/>
      <c r="R249" s="1324"/>
      <c r="S249" s="1321"/>
      <c r="T249" s="1352"/>
      <c r="U249" s="1145"/>
      <c r="V249" s="1034"/>
      <c r="W249" s="1036"/>
      <c r="X249" s="1017"/>
      <c r="Y249" s="1017"/>
      <c r="Z249" s="1017"/>
      <c r="AA249" s="1017"/>
      <c r="AB249" s="1017"/>
      <c r="AC249" s="1017"/>
      <c r="AD249" s="1017"/>
      <c r="AE249" s="1017"/>
      <c r="AF249" s="1017"/>
    </row>
    <row r="250" spans="1:32" ht="16.5">
      <c r="A250" s="1022"/>
      <c r="B250" s="1760"/>
      <c r="C250" s="1162">
        <v>43718</v>
      </c>
      <c r="D250" s="1163">
        <v>44082</v>
      </c>
      <c r="E250" s="1163"/>
      <c r="F250" s="1164">
        <v>328801</v>
      </c>
      <c r="G250" s="1165">
        <v>180791</v>
      </c>
      <c r="H250" s="1178">
        <f t="shared" si="12"/>
        <v>58757.075000000004</v>
      </c>
      <c r="I250" s="1178">
        <f t="shared" si="14"/>
        <v>328801</v>
      </c>
      <c r="J250" s="1326">
        <f t="shared" si="15"/>
        <v>0.54984930094494844</v>
      </c>
      <c r="K250" s="1034"/>
      <c r="L250" s="1145"/>
      <c r="M250" s="1145"/>
      <c r="N250" s="1145"/>
      <c r="O250" s="1145"/>
      <c r="P250" s="1145"/>
      <c r="Q250" s="1323"/>
      <c r="R250" s="1324"/>
      <c r="S250" s="1325"/>
      <c r="T250" s="1352"/>
      <c r="U250" s="1145"/>
      <c r="V250" s="1145"/>
      <c r="W250" s="1036"/>
      <c r="X250" s="1017"/>
      <c r="Y250" s="1017"/>
      <c r="Z250" s="1017"/>
      <c r="AA250" s="1017"/>
      <c r="AB250" s="1017"/>
      <c r="AC250" s="1017"/>
      <c r="AD250" s="1017"/>
      <c r="AE250" s="1017"/>
      <c r="AF250" s="1017"/>
    </row>
    <row r="251" spans="1:32" ht="16.5">
      <c r="A251" s="1022"/>
      <c r="B251" s="1760"/>
      <c r="C251" s="1162">
        <v>43719</v>
      </c>
      <c r="D251" s="1163">
        <v>44083</v>
      </c>
      <c r="E251" s="1163"/>
      <c r="F251" s="1164">
        <v>313968</v>
      </c>
      <c r="G251" s="1165">
        <v>192659</v>
      </c>
      <c r="H251" s="1178">
        <f t="shared" si="12"/>
        <v>62614.175000000003</v>
      </c>
      <c r="I251" s="1178">
        <f t="shared" si="14"/>
        <v>313968</v>
      </c>
      <c r="J251" s="1326">
        <f t="shared" si="15"/>
        <v>0.61362622942465472</v>
      </c>
      <c r="K251" s="1034"/>
      <c r="L251" s="1034"/>
      <c r="M251" s="1034"/>
      <c r="N251" s="1034"/>
      <c r="O251" s="1034"/>
      <c r="P251" s="1034"/>
      <c r="Q251" s="1323"/>
      <c r="R251" s="1321"/>
      <c r="S251" s="1145"/>
      <c r="T251" s="1352"/>
      <c r="U251" s="1034"/>
      <c r="V251" s="1145"/>
      <c r="W251" s="1036"/>
      <c r="X251" s="1017"/>
      <c r="Y251" s="1017"/>
      <c r="Z251" s="1017"/>
      <c r="AA251" s="1017"/>
      <c r="AB251" s="1017"/>
      <c r="AC251" s="1017"/>
      <c r="AD251" s="1017"/>
      <c r="AE251" s="1017"/>
      <c r="AF251" s="1017"/>
    </row>
    <row r="252" spans="1:32" ht="16.5">
      <c r="A252" s="1022"/>
      <c r="B252" s="1760"/>
      <c r="C252" s="1162">
        <v>43720</v>
      </c>
      <c r="D252" s="1163">
        <v>44084</v>
      </c>
      <c r="E252" s="1163"/>
      <c r="F252" s="1164">
        <v>402050</v>
      </c>
      <c r="G252" s="1165">
        <v>221099</v>
      </c>
      <c r="H252" s="1178">
        <f t="shared" si="12"/>
        <v>71857.175000000003</v>
      </c>
      <c r="I252" s="1178">
        <f t="shared" si="14"/>
        <v>402050</v>
      </c>
      <c r="J252" s="1326">
        <f t="shared" si="15"/>
        <v>0.54992911329436633</v>
      </c>
      <c r="K252" s="1034"/>
      <c r="L252" s="1145"/>
      <c r="M252" s="1145"/>
      <c r="N252" s="1145"/>
      <c r="O252" s="1145"/>
      <c r="P252" s="1145"/>
      <c r="Q252" s="1323"/>
      <c r="R252" s="1145"/>
      <c r="S252" s="1324"/>
      <c r="T252" s="1352"/>
      <c r="U252" s="1145"/>
      <c r="V252" s="1145"/>
      <c r="W252" s="1036"/>
      <c r="X252" s="1017"/>
      <c r="Y252" s="1017"/>
      <c r="Z252" s="1017"/>
      <c r="AA252" s="1017"/>
      <c r="AB252" s="1017"/>
      <c r="AC252" s="1017"/>
      <c r="AD252" s="1017"/>
      <c r="AE252" s="1017"/>
      <c r="AF252" s="1017"/>
    </row>
    <row r="253" spans="1:32" ht="16.5">
      <c r="A253" s="1022"/>
      <c r="B253" s="1760"/>
      <c r="C253" s="1162">
        <v>43721</v>
      </c>
      <c r="D253" s="1163">
        <v>44085</v>
      </c>
      <c r="E253" s="1163"/>
      <c r="F253" s="1164">
        <v>483287</v>
      </c>
      <c r="G253" s="1165">
        <v>282016</v>
      </c>
      <c r="H253" s="1178">
        <f t="shared" si="12"/>
        <v>91655.2</v>
      </c>
      <c r="I253" s="1178">
        <f t="shared" si="14"/>
        <v>483287</v>
      </c>
      <c r="J253" s="1326">
        <f t="shared" si="15"/>
        <v>0.58353731840500567</v>
      </c>
      <c r="K253" s="1034"/>
      <c r="L253" s="1145"/>
      <c r="M253" s="1145"/>
      <c r="N253" s="1145"/>
      <c r="O253" s="1145"/>
      <c r="P253" s="1145"/>
      <c r="Q253" s="1145"/>
      <c r="R253" s="1145"/>
      <c r="S253" s="1145"/>
      <c r="T253" s="1352"/>
      <c r="U253" s="1145"/>
      <c r="V253" s="1145"/>
      <c r="W253" s="1036"/>
      <c r="X253" s="1017"/>
      <c r="Y253" s="1017"/>
      <c r="Z253" s="1017"/>
      <c r="AA253" s="1017"/>
      <c r="AB253" s="1017"/>
      <c r="AC253" s="1017"/>
      <c r="AD253" s="1017"/>
      <c r="AE253" s="1017"/>
      <c r="AF253" s="1017"/>
    </row>
    <row r="254" spans="1:32" ht="16.5">
      <c r="A254" s="1022"/>
      <c r="B254" s="1760"/>
      <c r="C254" s="1162">
        <v>43722</v>
      </c>
      <c r="D254" s="1163">
        <v>44086</v>
      </c>
      <c r="E254" s="1163"/>
      <c r="F254" s="1164">
        <v>800228</v>
      </c>
      <c r="G254" s="1165">
        <v>444574</v>
      </c>
      <c r="H254" s="1178">
        <f t="shared" si="12"/>
        <v>144486.55000000002</v>
      </c>
      <c r="I254" s="1178">
        <f t="shared" si="14"/>
        <v>800228</v>
      </c>
      <c r="J254" s="1326">
        <f t="shared" si="15"/>
        <v>0.55555916563779328</v>
      </c>
      <c r="K254" s="1034"/>
      <c r="L254" s="1145"/>
      <c r="M254" s="1145"/>
      <c r="N254" s="1145"/>
      <c r="O254" s="1145"/>
      <c r="P254" s="1145"/>
      <c r="Q254" s="1145"/>
      <c r="R254" s="1321"/>
      <c r="S254" s="1145"/>
      <c r="T254" s="1352"/>
      <c r="U254" s="1034"/>
      <c r="V254" s="1145"/>
      <c r="W254" s="1036"/>
      <c r="X254" s="1017"/>
      <c r="Y254" s="1017"/>
      <c r="Z254" s="1017"/>
      <c r="AA254" s="1017"/>
      <c r="AB254" s="1017"/>
      <c r="AC254" s="1017"/>
      <c r="AD254" s="1017"/>
      <c r="AE254" s="1017"/>
      <c r="AF254" s="1017"/>
    </row>
    <row r="255" spans="1:32" ht="16.5">
      <c r="A255" s="1022"/>
      <c r="B255" s="1769" t="s">
        <v>372</v>
      </c>
      <c r="C255" s="1150">
        <v>43723</v>
      </c>
      <c r="D255" s="1088">
        <v>44087</v>
      </c>
      <c r="E255" s="1088"/>
      <c r="F255" s="1113">
        <v>447853</v>
      </c>
      <c r="G255" s="1327">
        <v>206310</v>
      </c>
      <c r="H255" s="1206">
        <f t="shared" si="12"/>
        <v>67050.75</v>
      </c>
      <c r="I255" s="1125">
        <f t="shared" si="14"/>
        <v>447853</v>
      </c>
      <c r="J255" s="1328">
        <f t="shared" si="15"/>
        <v>0.46066454841209059</v>
      </c>
      <c r="K255" s="1034"/>
      <c r="L255" s="1145"/>
      <c r="M255" s="1145"/>
      <c r="N255" s="1145"/>
      <c r="O255" s="1145"/>
      <c r="P255" s="1145"/>
      <c r="Q255" s="1145"/>
      <c r="R255" s="1321"/>
      <c r="S255" s="1145"/>
      <c r="T255" s="1352"/>
      <c r="U255" s="1034"/>
      <c r="V255" s="1145"/>
      <c r="W255" s="1036"/>
      <c r="X255" s="1017"/>
      <c r="Y255" s="1017"/>
      <c r="Z255" s="1017"/>
      <c r="AA255" s="1017"/>
      <c r="AB255" s="1017"/>
      <c r="AC255" s="1017"/>
      <c r="AD255" s="1017"/>
      <c r="AE255" s="1017"/>
      <c r="AF255" s="1017"/>
    </row>
    <row r="256" spans="1:32" ht="16.5">
      <c r="A256" s="1022"/>
      <c r="B256" s="1766"/>
      <c r="C256" s="1151">
        <v>43724</v>
      </c>
      <c r="D256" s="1024">
        <v>44088</v>
      </c>
      <c r="E256" s="1024"/>
      <c r="F256" s="1100">
        <v>399252</v>
      </c>
      <c r="G256" s="1146">
        <v>194134</v>
      </c>
      <c r="H256" s="1026">
        <f t="shared" si="12"/>
        <v>63093.55</v>
      </c>
      <c r="I256" s="1027">
        <f t="shared" si="14"/>
        <v>399252</v>
      </c>
      <c r="J256" s="1322">
        <f t="shared" si="15"/>
        <v>0.48624427679761151</v>
      </c>
      <c r="K256" s="1034"/>
      <c r="L256" s="1034"/>
      <c r="M256" s="1034"/>
      <c r="N256" s="1034"/>
      <c r="O256" s="1034"/>
      <c r="P256" s="1034"/>
      <c r="Q256" s="1034"/>
      <c r="R256" s="1145"/>
      <c r="S256" s="1145"/>
      <c r="T256" s="1352"/>
      <c r="U256" s="1145"/>
      <c r="V256" s="1145"/>
      <c r="W256" s="1036"/>
      <c r="X256" s="1017"/>
      <c r="Y256" s="1017"/>
      <c r="Z256" s="1017"/>
      <c r="AA256" s="1017"/>
      <c r="AB256" s="1017"/>
      <c r="AC256" s="1017"/>
      <c r="AD256" s="1017"/>
      <c r="AE256" s="1017"/>
      <c r="AF256" s="1017"/>
    </row>
    <row r="257" spans="1:32" ht="16.5">
      <c r="A257" s="1022"/>
      <c r="B257" s="1766"/>
      <c r="C257" s="1081">
        <v>43725</v>
      </c>
      <c r="D257" s="1152">
        <v>44089</v>
      </c>
      <c r="E257" s="1152"/>
      <c r="F257" s="1100">
        <v>266592</v>
      </c>
      <c r="G257" s="1146">
        <v>259021</v>
      </c>
      <c r="H257" s="1026">
        <f t="shared" si="12"/>
        <v>84181.824999999997</v>
      </c>
      <c r="I257" s="1027">
        <f t="shared" si="14"/>
        <v>266592</v>
      </c>
      <c r="J257" s="1322">
        <f t="shared" si="15"/>
        <v>0.97160079822350254</v>
      </c>
      <c r="K257" s="1034"/>
      <c r="L257" s="1145"/>
      <c r="M257" s="1145"/>
      <c r="N257" s="1145"/>
      <c r="O257" s="1145"/>
      <c r="P257" s="1145"/>
      <c r="Q257" s="1145"/>
      <c r="R257" s="1145"/>
      <c r="S257" s="1145"/>
      <c r="T257" s="1352"/>
      <c r="U257" s="1145"/>
      <c r="V257" s="1145"/>
      <c r="W257" s="1036"/>
      <c r="X257" s="1017"/>
      <c r="Y257" s="1017"/>
      <c r="Z257" s="1017"/>
      <c r="AA257" s="1017"/>
      <c r="AB257" s="1017"/>
      <c r="AC257" s="1017"/>
      <c r="AD257" s="1017"/>
      <c r="AE257" s="1017"/>
      <c r="AF257" s="1017"/>
    </row>
    <row r="258" spans="1:32" ht="16.5">
      <c r="A258" s="1022"/>
      <c r="B258" s="1766"/>
      <c r="C258" s="1081">
        <v>43726</v>
      </c>
      <c r="D258" s="1152">
        <v>44090</v>
      </c>
      <c r="E258" s="1152"/>
      <c r="F258" s="1100">
        <v>289365</v>
      </c>
      <c r="G258" s="1146">
        <v>242981</v>
      </c>
      <c r="H258" s="1026">
        <f t="shared" si="12"/>
        <v>78968.824999999997</v>
      </c>
      <c r="I258" s="1027">
        <f t="shared" si="14"/>
        <v>289365</v>
      </c>
      <c r="J258" s="1121">
        <f t="shared" si="15"/>
        <v>0.83970417984206802</v>
      </c>
      <c r="K258" s="1034"/>
      <c r="L258" s="1169"/>
      <c r="M258" s="1169"/>
      <c r="N258" s="1169"/>
      <c r="O258" s="1169"/>
      <c r="P258" s="1169"/>
      <c r="Q258" s="1286"/>
      <c r="R258" s="1286"/>
      <c r="S258" s="1286"/>
      <c r="T258" s="1353"/>
      <c r="U258" s="1286"/>
      <c r="V258" s="1286"/>
      <c r="W258" s="1017"/>
      <c r="X258" s="1017"/>
      <c r="Y258" s="1017"/>
      <c r="Z258" s="1017"/>
      <c r="AA258" s="1017"/>
      <c r="AB258" s="1017"/>
      <c r="AC258" s="1017"/>
      <c r="AD258" s="1017"/>
      <c r="AE258" s="1017"/>
      <c r="AF258" s="1017"/>
    </row>
    <row r="259" spans="1:32" ht="16.5">
      <c r="A259" s="1022"/>
      <c r="B259" s="1766"/>
      <c r="C259" s="1081">
        <v>43727</v>
      </c>
      <c r="D259" s="1024">
        <v>44091</v>
      </c>
      <c r="E259" s="1024"/>
      <c r="F259" s="1100">
        <v>325352</v>
      </c>
      <c r="G259" s="1146">
        <v>232063</v>
      </c>
      <c r="H259" s="1026">
        <f t="shared" ref="H259:H322" si="16">(G259*0.5)*0.65</f>
        <v>75420.475000000006</v>
      </c>
      <c r="I259" s="1027">
        <f t="shared" si="14"/>
        <v>325352</v>
      </c>
      <c r="J259" s="1121">
        <f t="shared" si="15"/>
        <v>0.71326747645626887</v>
      </c>
      <c r="K259" s="1034"/>
      <c r="L259" s="1036"/>
      <c r="M259" s="1036"/>
      <c r="N259" s="1036"/>
      <c r="O259" s="1036"/>
      <c r="P259" s="1036"/>
      <c r="Q259" s="1017"/>
      <c r="R259" s="1017"/>
      <c r="S259" s="1017"/>
      <c r="T259" s="1351"/>
      <c r="U259" s="1017"/>
      <c r="V259" s="1017"/>
      <c r="W259" s="1017"/>
      <c r="X259" s="1017"/>
      <c r="Y259" s="1017"/>
      <c r="Z259" s="1017"/>
      <c r="AA259" s="1017"/>
      <c r="AB259" s="1017"/>
      <c r="AC259" s="1017"/>
      <c r="AD259" s="1017"/>
      <c r="AE259" s="1017"/>
      <c r="AF259" s="1017"/>
    </row>
    <row r="260" spans="1:32" ht="16.5">
      <c r="A260" s="1022"/>
      <c r="B260" s="1766"/>
      <c r="C260" s="1081">
        <v>43728</v>
      </c>
      <c r="D260" s="1024">
        <v>44092</v>
      </c>
      <c r="E260" s="1024"/>
      <c r="F260" s="1100">
        <v>413635</v>
      </c>
      <c r="G260" s="1146">
        <v>287192</v>
      </c>
      <c r="H260" s="1026">
        <f t="shared" si="16"/>
        <v>93337.400000000009</v>
      </c>
      <c r="I260" s="1027">
        <f t="shared" si="14"/>
        <v>413635</v>
      </c>
      <c r="J260" s="1121">
        <f t="shared" si="15"/>
        <v>0.6943126186130284</v>
      </c>
      <c r="K260" s="1034"/>
      <c r="L260" s="1036"/>
      <c r="M260" s="1036"/>
      <c r="N260" s="1036"/>
      <c r="O260" s="1036"/>
      <c r="P260" s="1036"/>
      <c r="Q260" s="1017"/>
      <c r="R260" s="1017"/>
      <c r="S260" s="1017"/>
      <c r="T260" s="1351"/>
      <c r="U260" s="1017"/>
      <c r="V260" s="1017"/>
      <c r="W260" s="1017"/>
      <c r="X260" s="1017"/>
      <c r="Y260" s="1017"/>
      <c r="Z260" s="1017"/>
      <c r="AA260" s="1017"/>
      <c r="AB260" s="1017"/>
      <c r="AC260" s="1017"/>
      <c r="AD260" s="1017"/>
      <c r="AE260" s="1017"/>
      <c r="AF260" s="1017"/>
    </row>
    <row r="261" spans="1:32" ht="16.5">
      <c r="A261" s="1022"/>
      <c r="B261" s="1767"/>
      <c r="C261" s="1094">
        <v>43729</v>
      </c>
      <c r="D261" s="1069">
        <v>44093</v>
      </c>
      <c r="E261" s="1069"/>
      <c r="F261" s="1104">
        <v>661026</v>
      </c>
      <c r="G261" s="1146">
        <v>406470</v>
      </c>
      <c r="H261" s="1026">
        <f t="shared" si="16"/>
        <v>132102.75</v>
      </c>
      <c r="I261" s="1027">
        <f t="shared" si="14"/>
        <v>661026</v>
      </c>
      <c r="J261" s="1129">
        <f t="shared" si="15"/>
        <v>0.61490773434025292</v>
      </c>
      <c r="K261" s="1129"/>
      <c r="L261" s="1121"/>
      <c r="M261" s="1034"/>
      <c r="N261" s="1034"/>
      <c r="O261" s="1034"/>
      <c r="P261" s="1034"/>
      <c r="Q261" s="1017"/>
      <c r="R261" s="1017"/>
      <c r="S261" s="1017"/>
      <c r="T261" s="1351"/>
      <c r="U261" s="1017"/>
      <c r="V261" s="1017"/>
      <c r="W261" s="1017"/>
      <c r="X261" s="1017"/>
      <c r="Y261" s="1017"/>
      <c r="Z261" s="1017"/>
      <c r="AA261" s="1017"/>
      <c r="AB261" s="1017"/>
      <c r="AC261" s="1017"/>
      <c r="AD261" s="1017"/>
      <c r="AE261" s="1017"/>
      <c r="AF261" s="1017"/>
    </row>
    <row r="262" spans="1:32" ht="16.5">
      <c r="A262" s="1022"/>
      <c r="B262" s="1765" t="s">
        <v>373</v>
      </c>
      <c r="C262" s="1079">
        <v>43730</v>
      </c>
      <c r="D262" s="1072">
        <v>44094</v>
      </c>
      <c r="E262" s="1072"/>
      <c r="F262" s="1097">
        <v>405616.57</v>
      </c>
      <c r="G262" s="1147">
        <v>208304</v>
      </c>
      <c r="H262" s="1026">
        <f t="shared" si="16"/>
        <v>67698.8</v>
      </c>
      <c r="I262" s="1027">
        <f t="shared" si="14"/>
        <v>405616.57</v>
      </c>
      <c r="J262" s="1116">
        <f t="shared" si="15"/>
        <v>0.51354903967557342</v>
      </c>
      <c r="K262" s="1034"/>
      <c r="L262" s="1036"/>
      <c r="M262" s="1145"/>
      <c r="N262" s="1145"/>
      <c r="O262" s="1145"/>
      <c r="P262" s="1145"/>
      <c r="R262" s="1149"/>
      <c r="S262" s="1017"/>
      <c r="T262" s="1354"/>
      <c r="U262" s="1018"/>
      <c r="V262" s="1018"/>
      <c r="W262" s="1018"/>
      <c r="X262" s="1017"/>
      <c r="Y262" s="1017"/>
      <c r="Z262" s="1017"/>
      <c r="AA262" s="1017"/>
      <c r="AB262" s="1017"/>
      <c r="AC262" s="1017"/>
      <c r="AD262" s="1017"/>
      <c r="AE262" s="1017"/>
      <c r="AF262" s="1017"/>
    </row>
    <row r="263" spans="1:32" ht="16.5">
      <c r="A263" s="1022"/>
      <c r="B263" s="1766"/>
      <c r="C263" s="1081">
        <v>43731</v>
      </c>
      <c r="D263" s="1024">
        <v>44095</v>
      </c>
      <c r="E263" s="1024"/>
      <c r="F263" s="1100">
        <v>281074</v>
      </c>
      <c r="G263" s="1144">
        <v>190422</v>
      </c>
      <c r="H263" s="1026">
        <f t="shared" si="16"/>
        <v>61887.15</v>
      </c>
      <c r="I263" s="1027">
        <f t="shared" si="14"/>
        <v>281074</v>
      </c>
      <c r="J263" s="1116">
        <f t="shared" si="15"/>
        <v>0.67747995189878818</v>
      </c>
      <c r="K263" s="1034"/>
      <c r="L263" s="1036"/>
      <c r="M263" s="1036"/>
      <c r="N263" s="1036"/>
      <c r="O263" s="1036"/>
      <c r="P263" s="1036"/>
      <c r="Q263" s="1017"/>
      <c r="R263" s="1153"/>
      <c r="S263" s="1329"/>
      <c r="T263" s="1355"/>
      <c r="U263" s="1145"/>
      <c r="V263" s="1145"/>
      <c r="W263" s="1145"/>
      <c r="X263" s="1036"/>
      <c r="Y263" s="1017"/>
      <c r="Z263" s="1017"/>
      <c r="AA263" s="1017"/>
      <c r="AB263" s="1017"/>
      <c r="AC263" s="1017"/>
      <c r="AD263" s="1017"/>
      <c r="AE263" s="1017"/>
      <c r="AF263" s="1017"/>
    </row>
    <row r="264" spans="1:32" ht="16.5">
      <c r="A264" s="1022"/>
      <c r="B264" s="1766"/>
      <c r="C264" s="1081">
        <v>43732</v>
      </c>
      <c r="D264" s="1024">
        <v>44096</v>
      </c>
      <c r="E264" s="1024"/>
      <c r="F264" s="1100">
        <v>271689.15000000002</v>
      </c>
      <c r="G264" s="1144">
        <v>187738</v>
      </c>
      <c r="H264" s="1026">
        <f t="shared" si="16"/>
        <v>61014.85</v>
      </c>
      <c r="I264" s="1027">
        <f t="shared" si="14"/>
        <v>271689.15000000002</v>
      </c>
      <c r="J264" s="1116">
        <f t="shared" si="15"/>
        <v>0.69100293478778962</v>
      </c>
      <c r="K264" s="1034"/>
      <c r="L264" s="1036"/>
      <c r="M264" s="1036"/>
      <c r="N264" s="1036"/>
      <c r="O264" s="1036"/>
      <c r="P264" s="1036"/>
      <c r="Q264" s="1017"/>
      <c r="R264" s="1153"/>
      <c r="S264" s="1330"/>
      <c r="T264" s="1356"/>
      <c r="U264" s="1145"/>
      <c r="V264" s="1145"/>
      <c r="W264" s="1034"/>
      <c r="X264" s="1036"/>
      <c r="Y264" s="1017"/>
      <c r="Z264" s="1017"/>
      <c r="AA264" s="1017"/>
      <c r="AB264" s="1017"/>
      <c r="AC264" s="1017"/>
      <c r="AD264" s="1017"/>
      <c r="AE264" s="1017"/>
      <c r="AF264" s="1017"/>
    </row>
    <row r="265" spans="1:32" ht="16.5">
      <c r="A265" s="1022"/>
      <c r="B265" s="1766"/>
      <c r="C265" s="1081">
        <v>43733</v>
      </c>
      <c r="D265" s="1024">
        <v>44097</v>
      </c>
      <c r="E265" s="1024"/>
      <c r="F265" s="1100">
        <v>272923.26</v>
      </c>
      <c r="G265" s="1144">
        <v>181722</v>
      </c>
      <c r="H265" s="1026">
        <f t="shared" si="16"/>
        <v>59059.65</v>
      </c>
      <c r="I265" s="1027">
        <f t="shared" si="14"/>
        <v>272923.26</v>
      </c>
      <c r="J265" s="1116">
        <f t="shared" si="15"/>
        <v>0.66583551728057178</v>
      </c>
      <c r="K265" s="1034"/>
      <c r="L265" s="1036"/>
      <c r="M265" s="1036"/>
      <c r="N265" s="1036"/>
      <c r="O265" s="1036"/>
      <c r="P265" s="1036"/>
      <c r="Q265" s="1017"/>
      <c r="R265" s="1153"/>
      <c r="S265" s="1331"/>
      <c r="T265" s="1352"/>
      <c r="U265" s="1145"/>
      <c r="V265" s="1145"/>
      <c r="W265" s="1145"/>
      <c r="X265" s="1036"/>
      <c r="Y265" s="1017"/>
      <c r="Z265" s="1017"/>
      <c r="AA265" s="1017"/>
      <c r="AB265" s="1017"/>
      <c r="AC265" s="1017"/>
      <c r="AD265" s="1017"/>
      <c r="AE265" s="1017"/>
      <c r="AF265" s="1017"/>
    </row>
    <row r="266" spans="1:32" ht="16.5">
      <c r="A266" s="1022"/>
      <c r="B266" s="1766"/>
      <c r="C266" s="1081">
        <v>43734</v>
      </c>
      <c r="D266" s="1024">
        <v>44098</v>
      </c>
      <c r="E266" s="1024"/>
      <c r="F266" s="1100">
        <v>317370.39</v>
      </c>
      <c r="G266" s="1144">
        <v>211568</v>
      </c>
      <c r="H266" s="1026">
        <f t="shared" si="16"/>
        <v>68759.600000000006</v>
      </c>
      <c r="I266" s="1027">
        <f t="shared" ref="I266:I329" si="17">F266*1</f>
        <v>317370.39</v>
      </c>
      <c r="J266" s="1116">
        <f t="shared" si="15"/>
        <v>0.6666280367239048</v>
      </c>
      <c r="K266" s="1034"/>
      <c r="L266" s="1036"/>
      <c r="M266" s="1036"/>
      <c r="N266" s="1036"/>
      <c r="O266" s="1036"/>
      <c r="P266" s="1036"/>
      <c r="Q266" s="1017"/>
      <c r="R266" s="1153"/>
      <c r="S266" s="1022"/>
      <c r="T266" s="1352"/>
      <c r="U266" s="1145"/>
      <c r="V266" s="1145"/>
      <c r="W266" s="1145"/>
      <c r="X266" s="1036"/>
      <c r="Y266" s="1017"/>
      <c r="Z266" s="1017"/>
      <c r="AA266" s="1017"/>
      <c r="AB266" s="1017"/>
      <c r="AC266" s="1017"/>
      <c r="AD266" s="1017"/>
      <c r="AE266" s="1017"/>
      <c r="AF266" s="1017"/>
    </row>
    <row r="267" spans="1:32" ht="16.5">
      <c r="A267" s="1022"/>
      <c r="B267" s="1766"/>
      <c r="C267" s="1081">
        <v>43735</v>
      </c>
      <c r="D267" s="1024">
        <v>44099</v>
      </c>
      <c r="E267" s="1024"/>
      <c r="F267" s="1100">
        <v>461692.57</v>
      </c>
      <c r="G267" s="1144">
        <v>267247</v>
      </c>
      <c r="H267" s="1026">
        <f t="shared" si="16"/>
        <v>86855.275000000009</v>
      </c>
      <c r="I267" s="1027">
        <f t="shared" si="17"/>
        <v>461692.57</v>
      </c>
      <c r="J267" s="1116">
        <f t="shared" si="15"/>
        <v>0.57884189039472733</v>
      </c>
      <c r="K267" s="1034"/>
      <c r="L267" s="1036"/>
      <c r="M267" s="1154"/>
      <c r="N267" s="1154"/>
      <c r="O267" s="1036"/>
      <c r="P267" s="1036"/>
      <c r="Q267" s="1017"/>
      <c r="R267" s="1017"/>
      <c r="S267" s="1022"/>
      <c r="T267" s="1352"/>
      <c r="U267" s="1145"/>
      <c r="V267" s="1145"/>
      <c r="W267" s="1145"/>
      <c r="X267" s="1036"/>
      <c r="Y267" s="1017"/>
      <c r="Z267" s="1017"/>
      <c r="AA267" s="1017"/>
      <c r="AB267" s="1017"/>
      <c r="AC267" s="1017"/>
      <c r="AD267" s="1017"/>
      <c r="AE267" s="1017"/>
      <c r="AF267" s="1017"/>
    </row>
    <row r="268" spans="1:32" ht="16.5">
      <c r="A268" s="1022"/>
      <c r="B268" s="1767"/>
      <c r="C268" s="1094">
        <v>43736</v>
      </c>
      <c r="D268" s="1069">
        <v>44100</v>
      </c>
      <c r="E268" s="1069"/>
      <c r="F268" s="1104">
        <v>692391.32</v>
      </c>
      <c r="G268" s="1146">
        <v>417330</v>
      </c>
      <c r="H268" s="1026">
        <f t="shared" si="16"/>
        <v>135632.25</v>
      </c>
      <c r="I268" s="1027">
        <f t="shared" si="17"/>
        <v>692391.32</v>
      </c>
      <c r="J268" s="1130">
        <f t="shared" si="15"/>
        <v>0.60273719202603526</v>
      </c>
      <c r="K268" s="1034"/>
      <c r="L268" s="1065"/>
      <c r="M268" s="1763" t="s">
        <v>374</v>
      </c>
      <c r="N268" s="1764"/>
      <c r="O268" s="1036"/>
      <c r="P268" s="1036"/>
      <c r="Q268" s="1017"/>
      <c r="R268" s="1017"/>
      <c r="S268" s="1022"/>
      <c r="T268" s="1352"/>
      <c r="U268" s="1145"/>
      <c r="V268" s="1145"/>
      <c r="W268" s="1145"/>
      <c r="X268" s="1036"/>
      <c r="Y268" s="1017"/>
      <c r="Z268" s="1017"/>
      <c r="AA268" s="1017"/>
      <c r="AB268" s="1017"/>
      <c r="AC268" s="1017"/>
      <c r="AD268" s="1017"/>
      <c r="AE268" s="1017"/>
      <c r="AF268" s="1017"/>
    </row>
    <row r="269" spans="1:32" ht="16.5">
      <c r="A269" s="1022"/>
      <c r="B269" s="1727" t="s">
        <v>375</v>
      </c>
      <c r="C269" s="1155">
        <v>43737</v>
      </c>
      <c r="D269" s="1156">
        <v>44101</v>
      </c>
      <c r="E269" s="1156"/>
      <c r="F269" s="1157">
        <v>413990.7</v>
      </c>
      <c r="G269" s="1158">
        <v>205996</v>
      </c>
      <c r="H269" s="1026">
        <f t="shared" si="16"/>
        <v>66948.7</v>
      </c>
      <c r="I269" s="1027">
        <f t="shared" si="17"/>
        <v>413990.7</v>
      </c>
      <c r="J269" s="1159">
        <f t="shared" si="15"/>
        <v>0.49758605688485269</v>
      </c>
      <c r="K269" s="1034"/>
      <c r="L269" s="1065"/>
      <c r="M269" s="1160" t="s">
        <v>2</v>
      </c>
      <c r="N269" s="1161" t="s">
        <v>1</v>
      </c>
      <c r="O269" s="1036"/>
      <c r="P269" s="1036"/>
      <c r="Q269" s="1017"/>
      <c r="R269" s="1017"/>
      <c r="S269" s="1330"/>
      <c r="T269" s="1356"/>
      <c r="U269" s="1145"/>
      <c r="V269" s="1145"/>
      <c r="W269" s="1034"/>
      <c r="X269" s="1036"/>
      <c r="Y269" s="1017"/>
      <c r="Z269" s="1017"/>
      <c r="AA269" s="1017"/>
      <c r="AB269" s="1017"/>
      <c r="AC269" s="1017"/>
      <c r="AD269" s="1017"/>
      <c r="AE269" s="1017"/>
      <c r="AF269" s="1017"/>
    </row>
    <row r="270" spans="1:32" ht="16.5">
      <c r="A270" s="1022"/>
      <c r="B270" s="1728"/>
      <c r="C270" s="1162">
        <v>43738</v>
      </c>
      <c r="D270" s="1163">
        <v>44102</v>
      </c>
      <c r="E270" s="1163"/>
      <c r="F270" s="1164">
        <v>304794.95</v>
      </c>
      <c r="G270" s="1165">
        <v>178882</v>
      </c>
      <c r="H270" s="1026">
        <f t="shared" si="16"/>
        <v>58136.65</v>
      </c>
      <c r="I270" s="1027">
        <f t="shared" si="17"/>
        <v>304794.95</v>
      </c>
      <c r="J270" s="1166">
        <f t="shared" si="15"/>
        <v>0.58689292588345043</v>
      </c>
      <c r="K270" s="1034"/>
      <c r="L270" s="1065"/>
      <c r="M270" s="1167">
        <f>SUM(G269:G275)/SUM(F269:F275)</f>
        <v>0.6297859069381444</v>
      </c>
      <c r="N270" s="1168">
        <f>SUM(G241:G275)/SUM(F241:F275)</f>
        <v>0.62332513371739418</v>
      </c>
      <c r="O270" s="1036"/>
      <c r="P270" s="1145"/>
      <c r="R270" s="1017"/>
      <c r="S270" s="1330"/>
      <c r="T270" s="1356"/>
      <c r="U270" s="1145"/>
      <c r="V270" s="1145"/>
      <c r="W270" s="1145"/>
      <c r="X270" s="1036"/>
      <c r="Y270" s="1017"/>
      <c r="Z270" s="1017"/>
      <c r="AA270" s="1017"/>
      <c r="AB270" s="1017"/>
      <c r="AC270" s="1017"/>
      <c r="AD270" s="1017"/>
      <c r="AE270" s="1017"/>
      <c r="AF270" s="1017"/>
    </row>
    <row r="271" spans="1:32" ht="16.5">
      <c r="A271" s="1022"/>
      <c r="B271" s="1728"/>
      <c r="C271" s="1162">
        <v>43739</v>
      </c>
      <c r="D271" s="1163">
        <v>44103</v>
      </c>
      <c r="E271" s="1163"/>
      <c r="F271" s="1164">
        <v>338688.47</v>
      </c>
      <c r="G271" s="1165">
        <v>212767</v>
      </c>
      <c r="H271" s="1026">
        <f t="shared" si="16"/>
        <v>69149.275000000009</v>
      </c>
      <c r="I271" s="1027">
        <f t="shared" si="17"/>
        <v>338688.47</v>
      </c>
      <c r="J271" s="1166">
        <f t="shared" si="15"/>
        <v>0.62820857172964883</v>
      </c>
      <c r="K271" s="1034"/>
      <c r="L271" s="1036"/>
      <c r="M271" s="1169"/>
      <c r="N271" s="1169"/>
      <c r="O271" s="1036"/>
      <c r="P271" s="1036"/>
      <c r="Q271" s="1017"/>
      <c r="R271" s="1017"/>
      <c r="S271" s="1022"/>
      <c r="T271" s="1352"/>
      <c r="U271" s="1145"/>
      <c r="V271" s="1145"/>
      <c r="W271" s="1145"/>
      <c r="X271" s="1036"/>
      <c r="Y271" s="1017"/>
      <c r="Z271" s="1017"/>
      <c r="AA271" s="1017"/>
      <c r="AB271" s="1017"/>
      <c r="AC271" s="1017"/>
      <c r="AD271" s="1017"/>
      <c r="AE271" s="1017"/>
      <c r="AF271" s="1017"/>
    </row>
    <row r="272" spans="1:32" ht="16.5">
      <c r="A272" s="1022"/>
      <c r="B272" s="1728"/>
      <c r="C272" s="1162">
        <v>43740</v>
      </c>
      <c r="D272" s="1163">
        <v>44104</v>
      </c>
      <c r="E272" s="1163"/>
      <c r="F272" s="1164">
        <v>315538.64</v>
      </c>
      <c r="G272" s="1165">
        <v>248704</v>
      </c>
      <c r="H272" s="1026">
        <f t="shared" si="16"/>
        <v>80828.800000000003</v>
      </c>
      <c r="I272" s="1027">
        <f t="shared" si="17"/>
        <v>315538.64</v>
      </c>
      <c r="J272" s="1166">
        <f t="shared" si="15"/>
        <v>0.78818873022967961</v>
      </c>
      <c r="K272" s="1034"/>
      <c r="L272" s="1036"/>
      <c r="M272" s="1170" t="s">
        <v>376</v>
      </c>
      <c r="N272" s="1036"/>
      <c r="O272" s="1036"/>
      <c r="P272" s="1036"/>
      <c r="Q272" s="1017"/>
      <c r="R272" s="1017"/>
      <c r="S272" s="1022"/>
      <c r="T272" s="1352"/>
      <c r="U272" s="1145"/>
      <c r="V272" s="1145"/>
      <c r="W272" s="1145"/>
      <c r="X272" s="1036"/>
      <c r="Y272" s="1017"/>
      <c r="Z272" s="1017"/>
      <c r="AA272" s="1017"/>
      <c r="AB272" s="1017"/>
      <c r="AC272" s="1017"/>
      <c r="AD272" s="1017"/>
      <c r="AE272" s="1017"/>
      <c r="AF272" s="1017"/>
    </row>
    <row r="273" spans="1:32" ht="16.5">
      <c r="A273" s="1022"/>
      <c r="B273" s="1728"/>
      <c r="C273" s="1162">
        <v>43741</v>
      </c>
      <c r="D273" s="1163">
        <v>44105</v>
      </c>
      <c r="E273" s="1163"/>
      <c r="F273" s="1164">
        <v>352567.55</v>
      </c>
      <c r="G273" s="1165">
        <v>241803</v>
      </c>
      <c r="H273" s="1026">
        <f t="shared" si="16"/>
        <v>78585.975000000006</v>
      </c>
      <c r="I273" s="1027">
        <f t="shared" si="17"/>
        <v>352567.55</v>
      </c>
      <c r="J273" s="1166">
        <f t="shared" si="15"/>
        <v>0.68583453014890339</v>
      </c>
      <c r="K273" s="1034"/>
      <c r="L273" s="1036"/>
      <c r="M273" s="1036"/>
      <c r="N273" s="1036"/>
      <c r="O273" s="1036"/>
      <c r="P273" s="1036"/>
      <c r="Q273" s="1017"/>
      <c r="R273" s="1017"/>
      <c r="S273" s="1022"/>
      <c r="T273" s="1352"/>
      <c r="U273" s="1145"/>
      <c r="V273" s="1145"/>
      <c r="W273" s="1145"/>
      <c r="X273" s="1036"/>
      <c r="Y273" s="1017"/>
      <c r="Z273" s="1017"/>
      <c r="AA273" s="1017"/>
      <c r="AB273" s="1017"/>
      <c r="AC273" s="1017"/>
      <c r="AD273" s="1017"/>
      <c r="AE273" s="1017"/>
      <c r="AF273" s="1017"/>
    </row>
    <row r="274" spans="1:32" ht="16.5">
      <c r="A274" s="1022"/>
      <c r="B274" s="1728"/>
      <c r="C274" s="1162">
        <v>43742</v>
      </c>
      <c r="D274" s="1163">
        <v>44106</v>
      </c>
      <c r="E274" s="1163"/>
      <c r="F274" s="1164">
        <v>472306.38</v>
      </c>
      <c r="G274" s="1165">
        <v>282582</v>
      </c>
      <c r="H274" s="1026">
        <f t="shared" si="16"/>
        <v>91839.150000000009</v>
      </c>
      <c r="I274" s="1027">
        <f t="shared" si="17"/>
        <v>472306.38</v>
      </c>
      <c r="J274" s="1166">
        <f t="shared" si="15"/>
        <v>0.59830231384975152</v>
      </c>
      <c r="K274" s="1034"/>
      <c r="L274" s="1036"/>
      <c r="M274" s="1036"/>
      <c r="N274" s="1036"/>
      <c r="O274" s="1036"/>
      <c r="P274" s="1036"/>
      <c r="Q274" s="1017"/>
      <c r="R274" s="1017"/>
      <c r="S274" s="1017"/>
      <c r="T274" s="1353"/>
      <c r="U274" s="1286"/>
      <c r="V274" s="1286"/>
      <c r="W274" s="1286"/>
      <c r="X274" s="1017"/>
      <c r="Y274" s="1017"/>
      <c r="Z274" s="1017"/>
      <c r="AA274" s="1017"/>
      <c r="AB274" s="1017"/>
      <c r="AC274" s="1017"/>
      <c r="AD274" s="1017"/>
      <c r="AE274" s="1017"/>
      <c r="AF274" s="1017"/>
    </row>
    <row r="275" spans="1:32" ht="16.5">
      <c r="A275" s="1022"/>
      <c r="B275" s="1736"/>
      <c r="C275" s="1171">
        <v>43743</v>
      </c>
      <c r="D275" s="1172">
        <v>44107</v>
      </c>
      <c r="E275" s="1172"/>
      <c r="F275" s="1173">
        <v>667414.01</v>
      </c>
      <c r="G275" s="1174">
        <v>433792</v>
      </c>
      <c r="H275" s="1026">
        <f t="shared" si="16"/>
        <v>140982.39999999999</v>
      </c>
      <c r="I275" s="1027">
        <f t="shared" si="17"/>
        <v>667414.01</v>
      </c>
      <c r="J275" s="1175">
        <f t="shared" si="15"/>
        <v>0.6499593857791508</v>
      </c>
      <c r="K275" s="1034"/>
      <c r="L275" s="1036"/>
      <c r="M275" s="1036"/>
      <c r="N275" s="1036"/>
      <c r="O275" s="1036"/>
      <c r="P275" s="1036"/>
      <c r="Q275" s="1017"/>
      <c r="R275" s="1017"/>
      <c r="S275" s="1017"/>
      <c r="T275" s="1351"/>
      <c r="U275" s="1017"/>
      <c r="V275" s="1017"/>
      <c r="W275" s="1017"/>
      <c r="X275" s="1017"/>
      <c r="Y275" s="1017"/>
      <c r="Z275" s="1017"/>
      <c r="AA275" s="1017"/>
      <c r="AB275" s="1017"/>
      <c r="AC275" s="1017"/>
      <c r="AD275" s="1017"/>
      <c r="AE275" s="1017"/>
      <c r="AF275" s="1017"/>
    </row>
    <row r="276" spans="1:32" ht="16.5">
      <c r="A276" s="1022"/>
      <c r="B276" s="1727" t="s">
        <v>377</v>
      </c>
      <c r="C276" s="1155">
        <v>43744</v>
      </c>
      <c r="D276" s="1156">
        <v>44108</v>
      </c>
      <c r="E276" s="1156"/>
      <c r="F276" s="1157">
        <v>393769</v>
      </c>
      <c r="G276" s="1158">
        <v>242319</v>
      </c>
      <c r="H276" s="1026">
        <f t="shared" si="16"/>
        <v>78753.675000000003</v>
      </c>
      <c r="I276" s="1027">
        <f t="shared" si="17"/>
        <v>393769</v>
      </c>
      <c r="J276" s="1176">
        <f t="shared" si="15"/>
        <v>0.61538363863077084</v>
      </c>
      <c r="K276" s="1443"/>
      <c r="L276" s="1177" t="s">
        <v>378</v>
      </c>
      <c r="M276" s="1763" t="s">
        <v>379</v>
      </c>
      <c r="N276" s="1764"/>
      <c r="O276" s="1036"/>
      <c r="P276" s="1036"/>
      <c r="Q276" s="1017"/>
      <c r="R276" s="1017"/>
      <c r="S276" s="1017"/>
      <c r="T276" s="1351"/>
      <c r="U276" s="1017"/>
      <c r="V276" s="1017"/>
      <c r="W276" s="1017"/>
      <c r="X276" s="1017"/>
      <c r="Y276" s="1017"/>
      <c r="Z276" s="1017"/>
      <c r="AA276" s="1017"/>
      <c r="AB276" s="1017"/>
      <c r="AC276" s="1017"/>
      <c r="AD276" s="1017"/>
      <c r="AE276" s="1017"/>
      <c r="AF276" s="1017"/>
    </row>
    <row r="277" spans="1:32" ht="16.5">
      <c r="A277" s="1022"/>
      <c r="B277" s="1728"/>
      <c r="C277" s="1162">
        <v>43745</v>
      </c>
      <c r="D277" s="1163">
        <v>44109</v>
      </c>
      <c r="E277" s="1163"/>
      <c r="F277" s="1164">
        <v>284994.78999999998</v>
      </c>
      <c r="G277" s="1165">
        <v>201273</v>
      </c>
      <c r="H277" s="1178">
        <f t="shared" si="16"/>
        <v>65413.725000000006</v>
      </c>
      <c r="I277" s="1027">
        <f t="shared" si="17"/>
        <v>284994.78999999998</v>
      </c>
      <c r="J277" s="1179">
        <f t="shared" si="15"/>
        <v>0.70623396308402697</v>
      </c>
      <c r="K277" s="1443"/>
      <c r="L277" s="1036"/>
      <c r="M277" s="1160" t="s">
        <v>2</v>
      </c>
      <c r="N277" s="1161" t="s">
        <v>1</v>
      </c>
      <c r="O277" s="1036"/>
      <c r="P277" s="1036"/>
      <c r="Q277" s="1017"/>
      <c r="R277" s="1017"/>
      <c r="S277" s="1017"/>
      <c r="T277" s="1351"/>
      <c r="U277" s="1017"/>
      <c r="V277" s="1017"/>
      <c r="W277" s="1017"/>
      <c r="X277" s="1017"/>
      <c r="Y277" s="1017"/>
      <c r="Z277" s="1017"/>
      <c r="AA277" s="1017"/>
      <c r="AB277" s="1017"/>
      <c r="AC277" s="1017"/>
      <c r="AD277" s="1017"/>
      <c r="AE277" s="1017"/>
      <c r="AF277" s="1017"/>
    </row>
    <row r="278" spans="1:32" ht="16.5">
      <c r="A278" s="1022"/>
      <c r="B278" s="1728"/>
      <c r="C278" s="1162">
        <v>43746</v>
      </c>
      <c r="D278" s="1163">
        <v>44110</v>
      </c>
      <c r="E278" s="1163"/>
      <c r="F278" s="1164">
        <v>266901.84999999998</v>
      </c>
      <c r="G278" s="1165">
        <v>202258</v>
      </c>
      <c r="H278" s="1178">
        <f t="shared" si="16"/>
        <v>65733.850000000006</v>
      </c>
      <c r="I278" s="1027">
        <f t="shared" si="17"/>
        <v>266901.84999999998</v>
      </c>
      <c r="J278" s="1179">
        <f t="shared" si="15"/>
        <v>0.75779916849583473</v>
      </c>
      <c r="K278" s="1443"/>
      <c r="L278" s="1036"/>
      <c r="M278" s="1167">
        <f>SUM(G297:G303)/SUM(F297:F303)</f>
        <v>0.19267376674391937</v>
      </c>
      <c r="N278" s="1168">
        <f>SUM(G276:G303)/SUM(F276:F303)</f>
        <v>0.44931188347019496</v>
      </c>
      <c r="O278" s="1036"/>
      <c r="P278" s="1036"/>
      <c r="Q278" s="1017"/>
      <c r="R278" s="1017"/>
      <c r="S278" s="1017"/>
      <c r="T278" s="1351"/>
      <c r="U278" s="1017"/>
      <c r="V278" s="1017"/>
      <c r="W278" s="1017"/>
      <c r="X278" s="1017"/>
      <c r="Y278" s="1017"/>
      <c r="Z278" s="1017"/>
      <c r="AA278" s="1017"/>
      <c r="AB278" s="1017"/>
      <c r="AC278" s="1017"/>
      <c r="AD278" s="1017"/>
      <c r="AE278" s="1017"/>
      <c r="AF278" s="1017"/>
    </row>
    <row r="279" spans="1:32" ht="16.5">
      <c r="A279" s="1022"/>
      <c r="B279" s="1728"/>
      <c r="C279" s="1162">
        <v>43747</v>
      </c>
      <c r="D279" s="1163">
        <v>44111</v>
      </c>
      <c r="E279" s="1163"/>
      <c r="F279" s="1164">
        <v>299684.38</v>
      </c>
      <c r="G279" s="1165">
        <v>181538</v>
      </c>
      <c r="H279" s="1178">
        <f t="shared" si="16"/>
        <v>58999.85</v>
      </c>
      <c r="I279" s="1027">
        <f t="shared" si="17"/>
        <v>299684.38</v>
      </c>
      <c r="J279" s="1179">
        <f t="shared" si="15"/>
        <v>0.60576397074815846</v>
      </c>
      <c r="K279" s="1443"/>
      <c r="L279" s="1036"/>
      <c r="M279" s="1036"/>
      <c r="N279" s="1036"/>
      <c r="O279" s="1036"/>
      <c r="P279" s="1036"/>
      <c r="Q279" s="1017"/>
      <c r="R279" s="1017"/>
      <c r="S279" s="1017"/>
      <c r="T279" s="1351"/>
      <c r="U279" s="1017"/>
      <c r="V279" s="1017"/>
      <c r="W279" s="1017"/>
      <c r="X279" s="1017"/>
      <c r="Y279" s="1017"/>
      <c r="Z279" s="1017"/>
      <c r="AA279" s="1017"/>
      <c r="AB279" s="1017"/>
      <c r="AC279" s="1017"/>
      <c r="AD279" s="1017"/>
      <c r="AE279" s="1017"/>
      <c r="AF279" s="1017"/>
    </row>
    <row r="280" spans="1:32" ht="16.5">
      <c r="A280" s="1022"/>
      <c r="B280" s="1728"/>
      <c r="C280" s="1162">
        <v>43748</v>
      </c>
      <c r="D280" s="1163">
        <v>44112</v>
      </c>
      <c r="E280" s="1163"/>
      <c r="F280" s="1164">
        <v>329211.39</v>
      </c>
      <c r="G280" s="1165">
        <v>219519</v>
      </c>
      <c r="H280" s="1178">
        <f t="shared" si="16"/>
        <v>71343.675000000003</v>
      </c>
      <c r="I280" s="1027">
        <f t="shared" si="17"/>
        <v>329211.39</v>
      </c>
      <c r="J280" s="1179">
        <f t="shared" si="15"/>
        <v>0.66680256718942799</v>
      </c>
      <c r="K280" s="1179"/>
      <c r="L280" s="1180"/>
      <c r="M280" s="1036"/>
      <c r="N280" s="1036"/>
      <c r="O280" s="1036"/>
      <c r="P280" s="1036"/>
      <c r="Q280" s="1017"/>
      <c r="R280" s="1017"/>
      <c r="S280" s="1017"/>
      <c r="T280" s="1351"/>
      <c r="U280" s="1017"/>
      <c r="V280" s="1017"/>
      <c r="W280" s="1017"/>
      <c r="X280" s="1017"/>
      <c r="Y280" s="1017"/>
      <c r="Z280" s="1017"/>
      <c r="AA280" s="1017"/>
      <c r="AB280" s="1017"/>
      <c r="AC280" s="1017"/>
      <c r="AD280" s="1017"/>
      <c r="AE280" s="1017"/>
      <c r="AF280" s="1017"/>
    </row>
    <row r="281" spans="1:32" ht="16.5">
      <c r="A281" s="1022"/>
      <c r="B281" s="1728"/>
      <c r="C281" s="1162">
        <v>43749</v>
      </c>
      <c r="D281" s="1163">
        <v>44113</v>
      </c>
      <c r="E281" s="1163"/>
      <c r="F281" s="1164">
        <v>404164.6</v>
      </c>
      <c r="G281" s="1165">
        <v>280055</v>
      </c>
      <c r="H281" s="1178">
        <f t="shared" si="16"/>
        <v>91017.875</v>
      </c>
      <c r="I281" s="1027">
        <f t="shared" si="17"/>
        <v>404164.6</v>
      </c>
      <c r="J281" s="1179">
        <f t="shared" si="15"/>
        <v>0.69292313082343193</v>
      </c>
      <c r="K281" s="1443"/>
      <c r="L281" s="1036"/>
      <c r="M281" s="1154"/>
      <c r="N281" s="1154"/>
      <c r="O281" s="1036"/>
      <c r="P281" s="1036"/>
      <c r="Q281" s="1017"/>
      <c r="R281" s="1017"/>
      <c r="S281" s="1017"/>
      <c r="T281" s="1351"/>
      <c r="U281" s="1017"/>
      <c r="V281" s="1017"/>
      <c r="W281" s="1017"/>
      <c r="X281" s="1017"/>
      <c r="Y281" s="1017"/>
      <c r="Z281" s="1017"/>
      <c r="AA281" s="1017"/>
      <c r="AB281" s="1017"/>
      <c r="AC281" s="1017"/>
      <c r="AD281" s="1017"/>
      <c r="AE281" s="1017"/>
      <c r="AF281" s="1017"/>
    </row>
    <row r="282" spans="1:32" ht="16.5">
      <c r="A282" s="1022"/>
      <c r="B282" s="1736"/>
      <c r="C282" s="1171">
        <v>43750</v>
      </c>
      <c r="D282" s="1172">
        <v>44114</v>
      </c>
      <c r="E282" s="1172"/>
      <c r="F282" s="1173">
        <v>646864.57999999996</v>
      </c>
      <c r="G282" s="1174">
        <v>452805</v>
      </c>
      <c r="H282" s="1181">
        <f t="shared" si="16"/>
        <v>147161.625</v>
      </c>
      <c r="I282" s="1027">
        <f t="shared" si="17"/>
        <v>646864.57999999996</v>
      </c>
      <c r="J282" s="1182">
        <f t="shared" si="15"/>
        <v>0.69999968154076397</v>
      </c>
      <c r="K282" s="1443"/>
      <c r="L282" s="1065"/>
      <c r="M282" s="1145"/>
      <c r="N282" s="1145"/>
      <c r="O282" s="1036"/>
      <c r="P282" s="1036"/>
      <c r="Q282" s="1017"/>
      <c r="R282" s="1017"/>
      <c r="S282" s="1017"/>
      <c r="T282" s="1351"/>
      <c r="U282" s="1017"/>
      <c r="V282" s="1017"/>
      <c r="W282" s="1017"/>
      <c r="X282" s="1017"/>
      <c r="Y282" s="1017"/>
      <c r="Z282" s="1017"/>
      <c r="AA282" s="1017"/>
      <c r="AB282" s="1017"/>
      <c r="AC282" s="1017"/>
      <c r="AD282" s="1017"/>
      <c r="AE282" s="1017"/>
      <c r="AF282" s="1017"/>
    </row>
    <row r="283" spans="1:32" ht="16.5">
      <c r="A283" s="1022"/>
      <c r="B283" s="1727" t="s">
        <v>380</v>
      </c>
      <c r="C283" s="1155">
        <v>43751</v>
      </c>
      <c r="D283" s="1156">
        <v>44115</v>
      </c>
      <c r="E283" s="1156"/>
      <c r="F283" s="1157">
        <v>349923.91</v>
      </c>
      <c r="G283" s="1158">
        <v>228247</v>
      </c>
      <c r="H283" s="1026">
        <f t="shared" si="16"/>
        <v>74180.275000000009</v>
      </c>
      <c r="I283" s="1027">
        <f t="shared" si="17"/>
        <v>349923.91</v>
      </c>
      <c r="J283" s="1176">
        <f t="shared" si="15"/>
        <v>0.65227609053636837</v>
      </c>
      <c r="K283" s="1443"/>
      <c r="L283" s="1065"/>
      <c r="M283" s="1762"/>
      <c r="N283" s="1762"/>
      <c r="O283" s="1036"/>
      <c r="P283" s="1036"/>
      <c r="Q283" s="1017"/>
      <c r="R283" s="1017"/>
      <c r="S283" s="1017"/>
      <c r="T283" s="1351"/>
      <c r="U283" s="1017"/>
      <c r="V283" s="1017"/>
      <c r="W283" s="1017"/>
      <c r="X283" s="1017"/>
      <c r="Y283" s="1017"/>
      <c r="Z283" s="1017"/>
      <c r="AA283" s="1017"/>
      <c r="AB283" s="1017"/>
      <c r="AC283" s="1017"/>
      <c r="AD283" s="1017"/>
      <c r="AE283" s="1017"/>
      <c r="AF283" s="1017"/>
    </row>
    <row r="284" spans="1:32" ht="16.5">
      <c r="A284" s="1022"/>
      <c r="B284" s="1728"/>
      <c r="C284" s="1162">
        <v>43752</v>
      </c>
      <c r="D284" s="1163">
        <v>44116</v>
      </c>
      <c r="E284" s="1163"/>
      <c r="F284" s="1164">
        <v>322184.96999999997</v>
      </c>
      <c r="G284" s="1165">
        <v>193212</v>
      </c>
      <c r="H284" s="1178">
        <f t="shared" si="16"/>
        <v>62793.9</v>
      </c>
      <c r="I284" s="1027">
        <f t="shared" si="17"/>
        <v>322184.96999999997</v>
      </c>
      <c r="J284" s="1179">
        <f t="shared" si="15"/>
        <v>0.59969277896482887</v>
      </c>
      <c r="K284" s="1443"/>
      <c r="L284" s="1065"/>
      <c r="M284" s="1183"/>
      <c r="N284" s="1183"/>
      <c r="O284" s="1036"/>
      <c r="P284" s="1036"/>
      <c r="Q284" s="1017"/>
      <c r="R284" s="1017"/>
      <c r="S284" s="1017"/>
      <c r="T284" s="1351"/>
      <c r="U284" s="1017"/>
      <c r="V284" s="1017"/>
      <c r="W284" s="1017"/>
      <c r="X284" s="1017"/>
      <c r="Y284" s="1017"/>
      <c r="Z284" s="1017"/>
      <c r="AA284" s="1017"/>
      <c r="AB284" s="1017"/>
      <c r="AC284" s="1017"/>
      <c r="AD284" s="1017"/>
      <c r="AE284" s="1017"/>
      <c r="AF284" s="1017"/>
    </row>
    <row r="285" spans="1:32" ht="16.5">
      <c r="A285" s="1022"/>
      <c r="B285" s="1728"/>
      <c r="C285" s="1162">
        <v>43753</v>
      </c>
      <c r="D285" s="1163">
        <v>44117</v>
      </c>
      <c r="E285" s="1163"/>
      <c r="F285" s="1164">
        <v>334473.64</v>
      </c>
      <c r="G285" s="1165">
        <v>170412</v>
      </c>
      <c r="H285" s="1178">
        <f t="shared" si="16"/>
        <v>55383.9</v>
      </c>
      <c r="I285" s="1027">
        <f t="shared" si="17"/>
        <v>334473.64</v>
      </c>
      <c r="J285" s="1179">
        <f t="shared" si="15"/>
        <v>0.50949306498413449</v>
      </c>
      <c r="K285" s="1443"/>
      <c r="L285" s="1065"/>
      <c r="M285" s="1184"/>
      <c r="N285" s="1184"/>
      <c r="O285" s="1036"/>
      <c r="P285" s="1036"/>
      <c r="Q285" s="1017"/>
      <c r="R285" s="1017"/>
      <c r="S285" s="1017"/>
      <c r="T285" s="1351"/>
      <c r="U285" s="1017"/>
      <c r="V285" s="1017"/>
      <c r="W285" s="1017"/>
      <c r="X285" s="1017"/>
      <c r="Y285" s="1017"/>
      <c r="Z285" s="1017"/>
      <c r="AA285" s="1017"/>
      <c r="AB285" s="1017"/>
      <c r="AC285" s="1017"/>
      <c r="AD285" s="1017"/>
      <c r="AE285" s="1017"/>
      <c r="AF285" s="1017"/>
    </row>
    <row r="286" spans="1:32" ht="16.5">
      <c r="A286" s="1022"/>
      <c r="B286" s="1728"/>
      <c r="C286" s="1162">
        <v>43754</v>
      </c>
      <c r="D286" s="1163">
        <v>44118</v>
      </c>
      <c r="E286" s="1163"/>
      <c r="F286" s="1164">
        <v>341670.74</v>
      </c>
      <c r="G286" s="1165">
        <v>196745</v>
      </c>
      <c r="H286" s="1178">
        <f t="shared" si="16"/>
        <v>63942.125</v>
      </c>
      <c r="I286" s="1027">
        <f t="shared" si="17"/>
        <v>341670.74</v>
      </c>
      <c r="J286" s="1179">
        <f t="shared" si="15"/>
        <v>0.57583215934732956</v>
      </c>
      <c r="K286" s="1443"/>
      <c r="L286" s="1065"/>
      <c r="M286" s="1145"/>
      <c r="N286" s="1145"/>
      <c r="O286" s="1036"/>
      <c r="P286" s="1036"/>
      <c r="Q286" s="1017"/>
      <c r="R286" s="1017"/>
      <c r="S286" s="1017"/>
      <c r="T286" s="1351"/>
      <c r="U286" s="1017"/>
      <c r="V286" s="1017"/>
      <c r="W286" s="1017"/>
      <c r="X286" s="1017"/>
      <c r="Y286" s="1017"/>
      <c r="Z286" s="1017"/>
      <c r="AA286" s="1017"/>
      <c r="AB286" s="1017"/>
      <c r="AC286" s="1017"/>
      <c r="AD286" s="1017"/>
      <c r="AE286" s="1017"/>
      <c r="AF286" s="1017"/>
    </row>
    <row r="287" spans="1:32" ht="16.5">
      <c r="A287" s="1022"/>
      <c r="B287" s="1728"/>
      <c r="C287" s="1162">
        <v>43755</v>
      </c>
      <c r="D287" s="1163">
        <v>44119</v>
      </c>
      <c r="E287" s="1163"/>
      <c r="F287" s="1164">
        <v>345597.81</v>
      </c>
      <c r="G287" s="1165">
        <v>245922</v>
      </c>
      <c r="H287" s="1178">
        <f t="shared" si="16"/>
        <v>79924.650000000009</v>
      </c>
      <c r="I287" s="1027">
        <f t="shared" si="17"/>
        <v>345597.81</v>
      </c>
      <c r="J287" s="1179">
        <f t="shared" si="15"/>
        <v>0.711584370282902</v>
      </c>
      <c r="K287" s="1443"/>
      <c r="L287" s="1036"/>
      <c r="M287" s="1169"/>
      <c r="N287" s="1169"/>
      <c r="O287" s="1036"/>
      <c r="P287" s="1036"/>
      <c r="Q287" s="1017"/>
      <c r="R287" s="1017"/>
      <c r="S287" s="1017"/>
      <c r="T287" s="1351"/>
      <c r="U287" s="1017"/>
      <c r="V287" s="1017"/>
      <c r="W287" s="1017"/>
      <c r="X287" s="1017"/>
      <c r="Y287" s="1017"/>
      <c r="Z287" s="1017"/>
      <c r="AA287" s="1017"/>
      <c r="AB287" s="1017"/>
      <c r="AC287" s="1017"/>
      <c r="AD287" s="1017"/>
      <c r="AE287" s="1017"/>
      <c r="AF287" s="1017"/>
    </row>
    <row r="288" spans="1:32" ht="16.5">
      <c r="A288" s="1022"/>
      <c r="B288" s="1728"/>
      <c r="C288" s="1162">
        <v>43756</v>
      </c>
      <c r="D288" s="1163">
        <v>44120</v>
      </c>
      <c r="E288" s="1163"/>
      <c r="F288" s="1164">
        <v>450807.9</v>
      </c>
      <c r="G288" s="1165">
        <v>299416</v>
      </c>
      <c r="H288" s="1178">
        <f t="shared" si="16"/>
        <v>97310.2</v>
      </c>
      <c r="I288" s="1027">
        <f t="shared" si="17"/>
        <v>450807.9</v>
      </c>
      <c r="J288" s="1179">
        <f t="shared" si="15"/>
        <v>0.66417647073176844</v>
      </c>
      <c r="K288" s="1443"/>
      <c r="L288" s="1036"/>
      <c r="M288" s="1185"/>
      <c r="N288" s="1186"/>
      <c r="O288" s="1036"/>
      <c r="P288" s="1036"/>
      <c r="Q288" s="1017"/>
      <c r="R288" s="1017"/>
      <c r="S288" s="1017"/>
      <c r="T288" s="1351"/>
      <c r="U288" s="1017"/>
      <c r="V288" s="1017"/>
      <c r="W288" s="1017"/>
      <c r="X288" s="1017"/>
      <c r="Y288" s="1017"/>
      <c r="Z288" s="1017"/>
      <c r="AA288" s="1017"/>
      <c r="AB288" s="1017"/>
      <c r="AC288" s="1017"/>
      <c r="AD288" s="1017"/>
      <c r="AE288" s="1017"/>
      <c r="AF288" s="1017"/>
    </row>
    <row r="289" spans="1:32" ht="16.5">
      <c r="A289" s="1022"/>
      <c r="B289" s="1736"/>
      <c r="C289" s="1171">
        <v>43757</v>
      </c>
      <c r="D289" s="1172">
        <v>44121</v>
      </c>
      <c r="E289" s="1172"/>
      <c r="F289" s="1173">
        <v>705797.78</v>
      </c>
      <c r="G289" s="1174">
        <v>457901</v>
      </c>
      <c r="H289" s="1181">
        <f t="shared" si="16"/>
        <v>148817.82500000001</v>
      </c>
      <c r="I289" s="1027">
        <f t="shared" si="17"/>
        <v>705797.78</v>
      </c>
      <c r="J289" s="1182">
        <f t="shared" si="15"/>
        <v>0.64877081364580091</v>
      </c>
      <c r="K289" s="1443"/>
      <c r="L289" s="1187"/>
      <c r="M289" s="1036"/>
      <c r="N289" s="1036"/>
      <c r="O289" s="1036"/>
      <c r="P289" s="1036"/>
      <c r="Q289" s="1017"/>
      <c r="R289" s="1017"/>
      <c r="S289" s="1017"/>
      <c r="T289" s="1351"/>
      <c r="U289" s="1017"/>
      <c r="V289" s="1017"/>
      <c r="W289" s="1017"/>
      <c r="X289" s="1017"/>
      <c r="Y289" s="1017"/>
      <c r="Z289" s="1017"/>
      <c r="AA289" s="1017"/>
      <c r="AB289" s="1017"/>
      <c r="AC289" s="1017"/>
      <c r="AD289" s="1017"/>
      <c r="AE289" s="1017"/>
      <c r="AF289" s="1017"/>
    </row>
    <row r="290" spans="1:32" ht="16.5">
      <c r="A290" s="1022"/>
      <c r="B290" s="1727" t="s">
        <v>381</v>
      </c>
      <c r="C290" s="1155">
        <v>43758</v>
      </c>
      <c r="D290" s="1156">
        <v>44122</v>
      </c>
      <c r="E290" s="1156"/>
      <c r="F290" s="1157">
        <v>443348.12</v>
      </c>
      <c r="G290" s="1158">
        <v>219746</v>
      </c>
      <c r="H290" s="1026">
        <f t="shared" si="16"/>
        <v>71417.45</v>
      </c>
      <c r="I290" s="1027">
        <f t="shared" si="17"/>
        <v>443348.12</v>
      </c>
      <c r="J290" s="1176">
        <f t="shared" si="15"/>
        <v>0.49565113753048057</v>
      </c>
      <c r="K290" s="1443"/>
      <c r="M290" s="1036"/>
      <c r="N290" s="1036"/>
      <c r="O290" s="1036"/>
      <c r="P290" s="1036"/>
      <c r="Q290" s="1017"/>
      <c r="R290" s="1017"/>
      <c r="S290" s="1017"/>
      <c r="T290" s="1351"/>
      <c r="U290" s="1017"/>
      <c r="V290" s="1017"/>
      <c r="W290" s="1017"/>
      <c r="X290" s="1017"/>
      <c r="Y290" s="1017"/>
      <c r="Z290" s="1017"/>
      <c r="AA290" s="1017"/>
      <c r="AB290" s="1017"/>
      <c r="AC290" s="1017"/>
      <c r="AD290" s="1017"/>
      <c r="AE290" s="1017"/>
      <c r="AF290" s="1017"/>
    </row>
    <row r="291" spans="1:32" ht="16.5">
      <c r="A291" s="1022"/>
      <c r="B291" s="1728"/>
      <c r="C291" s="1162">
        <v>43759</v>
      </c>
      <c r="D291" s="1163">
        <v>44123</v>
      </c>
      <c r="E291" s="1163"/>
      <c r="F291" s="1164">
        <v>304405.2</v>
      </c>
      <c r="G291" s="1165">
        <v>181607</v>
      </c>
      <c r="H291" s="1178">
        <f t="shared" si="16"/>
        <v>59022.275000000001</v>
      </c>
      <c r="I291" s="1027">
        <f t="shared" si="17"/>
        <v>304405.2</v>
      </c>
      <c r="J291" s="1188">
        <f t="shared" si="15"/>
        <v>0.59659624737028139</v>
      </c>
      <c r="K291" s="1444"/>
      <c r="L291" s="1189" t="s">
        <v>382</v>
      </c>
      <c r="M291" s="1036"/>
      <c r="N291" s="1036"/>
      <c r="O291" s="1036"/>
      <c r="P291" s="1036"/>
      <c r="Q291" s="1017"/>
      <c r="R291" s="1017"/>
      <c r="S291" s="1017"/>
      <c r="T291" s="1351"/>
      <c r="U291" s="1017"/>
      <c r="V291" s="1017"/>
      <c r="W291" s="1017"/>
      <c r="X291" s="1017"/>
      <c r="Y291" s="1017"/>
      <c r="Z291" s="1017"/>
      <c r="AA291" s="1017"/>
      <c r="AB291" s="1017"/>
      <c r="AC291" s="1017"/>
      <c r="AD291" s="1017"/>
      <c r="AE291" s="1017"/>
      <c r="AF291" s="1017"/>
    </row>
    <row r="292" spans="1:32" ht="16.5">
      <c r="A292" s="1022"/>
      <c r="B292" s="1728"/>
      <c r="C292" s="1162">
        <v>43760</v>
      </c>
      <c r="D292" s="1163">
        <v>44124</v>
      </c>
      <c r="E292" s="1163"/>
      <c r="F292" s="1164">
        <v>318787.7</v>
      </c>
      <c r="G292" s="1165">
        <v>170283</v>
      </c>
      <c r="H292" s="1178">
        <f t="shared" si="16"/>
        <v>55341.974999999999</v>
      </c>
      <c r="I292" s="1027">
        <f t="shared" si="17"/>
        <v>318787.7</v>
      </c>
      <c r="J292" s="1188">
        <f t="shared" si="15"/>
        <v>0.53415799919507556</v>
      </c>
      <c r="K292" s="1444"/>
      <c r="L292" s="1190"/>
      <c r="M292" s="1036"/>
      <c r="N292" s="1036"/>
      <c r="O292" s="1036"/>
      <c r="P292" s="1036"/>
      <c r="Q292" s="1017"/>
      <c r="R292" s="1017"/>
      <c r="S292" s="1017"/>
      <c r="T292" s="1351"/>
      <c r="U292" s="1017"/>
      <c r="V292" s="1017"/>
      <c r="W292" s="1017"/>
      <c r="X292" s="1017"/>
      <c r="Y292" s="1017"/>
      <c r="Z292" s="1017"/>
      <c r="AA292" s="1017"/>
      <c r="AB292" s="1017"/>
      <c r="AC292" s="1017"/>
      <c r="AD292" s="1017"/>
      <c r="AE292" s="1017"/>
      <c r="AF292" s="1017"/>
    </row>
    <row r="293" spans="1:32" ht="16.5">
      <c r="A293" s="1022"/>
      <c r="B293" s="1728"/>
      <c r="C293" s="1162">
        <v>43761</v>
      </c>
      <c r="D293" s="1163">
        <v>44125</v>
      </c>
      <c r="E293" s="1163"/>
      <c r="F293" s="1164">
        <v>319659.63</v>
      </c>
      <c r="G293" s="1165">
        <v>154342</v>
      </c>
      <c r="H293" s="1178">
        <f t="shared" si="16"/>
        <v>50161.15</v>
      </c>
      <c r="I293" s="1027">
        <f t="shared" si="17"/>
        <v>319659.63</v>
      </c>
      <c r="J293" s="1188">
        <f t="shared" si="15"/>
        <v>0.48283231761233031</v>
      </c>
      <c r="K293" s="1444"/>
      <c r="L293" s="1190"/>
      <c r="M293" s="1036"/>
      <c r="N293" s="1036"/>
      <c r="O293" s="1036"/>
      <c r="P293" s="1036"/>
      <c r="Q293" s="1017"/>
      <c r="R293" s="1017"/>
      <c r="S293" s="1017"/>
      <c r="T293" s="1351"/>
      <c r="U293" s="1017"/>
      <c r="V293" s="1017"/>
      <c r="W293" s="1017"/>
      <c r="X293" s="1017"/>
      <c r="Y293" s="1017"/>
      <c r="Z293" s="1017"/>
      <c r="AA293" s="1017"/>
      <c r="AB293" s="1017"/>
      <c r="AC293" s="1017"/>
      <c r="AD293" s="1017"/>
      <c r="AE293" s="1017"/>
      <c r="AF293" s="1017"/>
    </row>
    <row r="294" spans="1:32" ht="16.5">
      <c r="A294" s="1022"/>
      <c r="B294" s="1728"/>
      <c r="C294" s="1162">
        <v>43762</v>
      </c>
      <c r="D294" s="1163">
        <v>44126</v>
      </c>
      <c r="E294" s="1163"/>
      <c r="F294" s="1164">
        <v>367409.47</v>
      </c>
      <c r="G294" s="1165">
        <v>148356</v>
      </c>
      <c r="H294" s="1178">
        <f t="shared" si="16"/>
        <v>48215.700000000004</v>
      </c>
      <c r="I294" s="1027">
        <f t="shared" si="17"/>
        <v>367409.47</v>
      </c>
      <c r="J294" s="1188">
        <f t="shared" si="15"/>
        <v>0.40378926542094851</v>
      </c>
      <c r="K294" s="1444"/>
      <c r="L294" s="55"/>
      <c r="M294" s="1036"/>
      <c r="N294" s="1036"/>
      <c r="O294" s="1036"/>
      <c r="P294" s="1036"/>
      <c r="Q294" s="1017"/>
      <c r="R294" s="1017"/>
      <c r="S294" s="1017"/>
      <c r="T294" s="1351"/>
      <c r="U294" s="1017"/>
      <c r="V294" s="1017"/>
      <c r="W294" s="1017"/>
      <c r="X294" s="1017"/>
      <c r="Y294" s="1017"/>
      <c r="Z294" s="1017"/>
      <c r="AA294" s="1017"/>
      <c r="AB294" s="1017"/>
      <c r="AC294" s="1017"/>
      <c r="AD294" s="1017"/>
      <c r="AE294" s="1017"/>
      <c r="AF294" s="1017"/>
    </row>
    <row r="295" spans="1:32" ht="16.5">
      <c r="A295" s="1022"/>
      <c r="B295" s="1728"/>
      <c r="C295" s="1162">
        <v>43763</v>
      </c>
      <c r="D295" s="1163">
        <v>44127</v>
      </c>
      <c r="E295" s="1163"/>
      <c r="F295" s="1164">
        <v>498628</v>
      </c>
      <c r="G295" s="1165">
        <v>123626</v>
      </c>
      <c r="H295" s="1178">
        <f t="shared" si="16"/>
        <v>40178.450000000004</v>
      </c>
      <c r="I295" s="1027">
        <f t="shared" si="17"/>
        <v>498628</v>
      </c>
      <c r="J295" s="1191">
        <f t="shared" si="15"/>
        <v>0.24793232630337647</v>
      </c>
      <c r="K295" s="1445"/>
      <c r="L295" s="1192" t="s">
        <v>383</v>
      </c>
      <c r="M295" s="1036"/>
      <c r="N295" s="1036"/>
      <c r="O295" s="1036"/>
      <c r="P295" s="1036"/>
      <c r="Q295" s="1017"/>
      <c r="R295" s="1017"/>
      <c r="S295" s="1017"/>
      <c r="T295" s="1351"/>
      <c r="U295" s="1017"/>
      <c r="V295" s="1017"/>
      <c r="W295" s="1017"/>
      <c r="X295" s="1017"/>
      <c r="Y295" s="1017"/>
      <c r="Z295" s="1017"/>
      <c r="AA295" s="1017"/>
      <c r="AB295" s="1017"/>
      <c r="AC295" s="1017"/>
      <c r="AD295" s="1017"/>
      <c r="AE295" s="1017"/>
      <c r="AF295" s="1017"/>
    </row>
    <row r="296" spans="1:32" ht="16.5">
      <c r="A296" s="1022"/>
      <c r="B296" s="1736"/>
      <c r="C296" s="1171">
        <v>43764</v>
      </c>
      <c r="D296" s="1172">
        <v>44128</v>
      </c>
      <c r="E296" s="1172"/>
      <c r="F296" s="1173">
        <v>799398.51</v>
      </c>
      <c r="G296" s="1174">
        <v>178232</v>
      </c>
      <c r="H296" s="1181">
        <f t="shared" si="16"/>
        <v>57925.4</v>
      </c>
      <c r="I296" s="1027">
        <f t="shared" si="17"/>
        <v>799398.51</v>
      </c>
      <c r="J296" s="1191">
        <f t="shared" si="15"/>
        <v>0.22295763348370515</v>
      </c>
      <c r="K296" s="1445"/>
      <c r="L296" s="1190"/>
      <c r="M296" s="1036"/>
      <c r="N296" s="1036"/>
      <c r="O296" s="1036"/>
      <c r="P296" s="1036"/>
      <c r="Q296" s="1017"/>
      <c r="R296" s="1017"/>
      <c r="S296" s="1017"/>
      <c r="T296" s="1351"/>
      <c r="U296" s="1017"/>
      <c r="V296" s="1017"/>
      <c r="W296" s="1017"/>
      <c r="X296" s="1017"/>
      <c r="Y296" s="1017"/>
      <c r="Z296" s="1017"/>
      <c r="AA296" s="1017"/>
      <c r="AB296" s="1017"/>
      <c r="AC296" s="1017"/>
      <c r="AD296" s="1017"/>
      <c r="AE296" s="1017"/>
      <c r="AF296" s="1017"/>
    </row>
    <row r="297" spans="1:32" ht="16.5">
      <c r="A297" s="1022"/>
      <c r="B297" s="1727" t="s">
        <v>384</v>
      </c>
      <c r="C297" s="1155">
        <v>43765</v>
      </c>
      <c r="D297" s="1156">
        <v>44129</v>
      </c>
      <c r="E297" s="1156"/>
      <c r="F297" s="1157">
        <v>443236</v>
      </c>
      <c r="G297" s="1193">
        <v>98141</v>
      </c>
      <c r="H297" s="1026">
        <f t="shared" si="16"/>
        <v>31895.825000000001</v>
      </c>
      <c r="I297" s="1027">
        <f t="shared" si="17"/>
        <v>443236</v>
      </c>
      <c r="J297" s="1191">
        <f t="shared" si="15"/>
        <v>0.22141928904691857</v>
      </c>
      <c r="K297" s="1445"/>
      <c r="L297" s="1190"/>
      <c r="M297" s="1036"/>
      <c r="N297" s="1036"/>
      <c r="O297" s="1036"/>
      <c r="P297" s="1036"/>
      <c r="Q297" s="1017"/>
      <c r="R297" s="1017"/>
      <c r="S297" s="1017"/>
      <c r="T297" s="1351"/>
      <c r="U297" s="1017"/>
      <c r="V297" s="1017"/>
      <c r="W297" s="1017"/>
      <c r="X297" s="1017"/>
      <c r="Y297" s="1017"/>
      <c r="Z297" s="1017"/>
      <c r="AA297" s="1017"/>
      <c r="AB297" s="1017"/>
      <c r="AC297" s="1017"/>
      <c r="AD297" s="1017"/>
      <c r="AE297" s="1017"/>
      <c r="AF297" s="1017"/>
    </row>
    <row r="298" spans="1:32" ht="16.5">
      <c r="A298" s="1022"/>
      <c r="B298" s="1728"/>
      <c r="C298" s="1162">
        <v>43766</v>
      </c>
      <c r="D298" s="1163">
        <v>44130</v>
      </c>
      <c r="E298" s="1163"/>
      <c r="F298" s="1164">
        <v>368497</v>
      </c>
      <c r="G298" s="1174">
        <v>59187</v>
      </c>
      <c r="H298" s="1178">
        <f t="shared" si="16"/>
        <v>19235.775000000001</v>
      </c>
      <c r="I298" s="1027">
        <f t="shared" si="17"/>
        <v>368497</v>
      </c>
      <c r="J298" s="1191">
        <f t="shared" si="15"/>
        <v>0.16061731845849492</v>
      </c>
      <c r="K298" s="1445"/>
      <c r="L298" s="1190"/>
      <c r="M298" s="1036"/>
      <c r="N298" s="1036"/>
      <c r="O298" s="1036"/>
      <c r="P298" s="1036"/>
      <c r="Q298" s="1017"/>
      <c r="R298" s="1017"/>
      <c r="S298" s="1017"/>
      <c r="T298" s="1351"/>
      <c r="U298" s="1017"/>
      <c r="V298" s="1017"/>
      <c r="W298" s="1017"/>
      <c r="X298" s="1017"/>
      <c r="Y298" s="1017"/>
      <c r="Z298" s="1017"/>
      <c r="AA298" s="1017"/>
      <c r="AB298" s="1017"/>
      <c r="AC298" s="1017"/>
      <c r="AD298" s="1017"/>
      <c r="AE298" s="1017"/>
      <c r="AF298" s="1017"/>
    </row>
    <row r="299" spans="1:32" ht="16.5">
      <c r="A299" s="1022"/>
      <c r="B299" s="1728"/>
      <c r="C299" s="1162">
        <v>43767</v>
      </c>
      <c r="D299" s="1163">
        <v>44131</v>
      </c>
      <c r="E299" s="1163"/>
      <c r="F299" s="1164">
        <v>438535</v>
      </c>
      <c r="G299" s="1174">
        <v>51008</v>
      </c>
      <c r="H299" s="1178">
        <f t="shared" si="16"/>
        <v>16577.600000000002</v>
      </c>
      <c r="I299" s="1027">
        <f t="shared" si="17"/>
        <v>438535</v>
      </c>
      <c r="J299" s="1191">
        <f t="shared" si="15"/>
        <v>0.11631454729953139</v>
      </c>
      <c r="K299" s="1445"/>
      <c r="L299" s="1190"/>
      <c r="M299" s="1036"/>
      <c r="N299" s="1036"/>
      <c r="O299" s="1036"/>
      <c r="P299" s="1036"/>
      <c r="Q299" s="1017"/>
      <c r="R299" s="1017"/>
      <c r="S299" s="1017"/>
      <c r="T299" s="1351"/>
      <c r="U299" s="1017"/>
      <c r="V299" s="1017"/>
      <c r="W299" s="1017"/>
      <c r="X299" s="1017"/>
      <c r="Y299" s="1017"/>
      <c r="Z299" s="1017"/>
      <c r="AA299" s="1017"/>
      <c r="AB299" s="1017"/>
      <c r="AC299" s="1017"/>
      <c r="AD299" s="1017"/>
      <c r="AE299" s="1017"/>
      <c r="AF299" s="1017"/>
    </row>
    <row r="300" spans="1:32" ht="16.5">
      <c r="A300" s="1022"/>
      <c r="B300" s="1728"/>
      <c r="C300" s="1162">
        <v>43768</v>
      </c>
      <c r="D300" s="1163">
        <v>44132</v>
      </c>
      <c r="E300" s="1163"/>
      <c r="F300" s="1164">
        <v>571847</v>
      </c>
      <c r="G300" s="1174">
        <v>58113</v>
      </c>
      <c r="H300" s="1178">
        <f t="shared" si="16"/>
        <v>18886.725000000002</v>
      </c>
      <c r="I300" s="1027">
        <f t="shared" si="17"/>
        <v>571847</v>
      </c>
      <c r="J300" s="1191">
        <f t="shared" si="15"/>
        <v>0.10162333631198554</v>
      </c>
      <c r="K300" s="1445"/>
      <c r="M300" s="1036"/>
      <c r="N300" s="1036"/>
      <c r="O300" s="1036"/>
      <c r="P300" s="1036"/>
      <c r="Q300" s="1017"/>
      <c r="R300" s="1017"/>
      <c r="S300" s="1017"/>
      <c r="T300" s="1351"/>
      <c r="U300" s="1017"/>
      <c r="V300" s="1017"/>
      <c r="W300" s="1017"/>
      <c r="X300" s="1017"/>
      <c r="Y300" s="1017"/>
      <c r="Z300" s="1017"/>
      <c r="AA300" s="1017"/>
      <c r="AB300" s="1017"/>
      <c r="AC300" s="1017"/>
      <c r="AD300" s="1017"/>
      <c r="AE300" s="1017"/>
      <c r="AF300" s="1017"/>
    </row>
    <row r="301" spans="1:32" ht="16.5">
      <c r="A301" s="1022"/>
      <c r="B301" s="1728"/>
      <c r="C301" s="1162">
        <v>43769</v>
      </c>
      <c r="D301" s="1163">
        <v>44133</v>
      </c>
      <c r="E301" s="1163"/>
      <c r="F301" s="1164">
        <v>660750</v>
      </c>
      <c r="G301" s="1174">
        <v>84222</v>
      </c>
      <c r="H301" s="1178">
        <f t="shared" si="16"/>
        <v>27372.15</v>
      </c>
      <c r="I301" s="1027">
        <f t="shared" si="17"/>
        <v>660750</v>
      </c>
      <c r="J301" s="1191">
        <f t="shared" si="15"/>
        <v>0.12746424517593644</v>
      </c>
      <c r="K301" s="1445"/>
      <c r="L301" s="1036"/>
      <c r="M301" s="1036"/>
      <c r="N301" s="1036"/>
      <c r="O301" s="1036"/>
      <c r="P301" s="1036"/>
      <c r="Q301" s="1017"/>
      <c r="R301" s="1017"/>
      <c r="S301" s="1017"/>
      <c r="T301" s="1351"/>
      <c r="U301" s="1017"/>
      <c r="V301" s="1017"/>
      <c r="W301" s="1017"/>
      <c r="X301" s="1017"/>
      <c r="Y301" s="1017"/>
      <c r="Z301" s="1017"/>
      <c r="AA301" s="1017"/>
      <c r="AB301" s="1017"/>
      <c r="AC301" s="1017"/>
      <c r="AD301" s="1017"/>
      <c r="AE301" s="1017"/>
      <c r="AF301" s="1017"/>
    </row>
    <row r="302" spans="1:32" ht="16.5">
      <c r="A302" s="1022"/>
      <c r="B302" s="1728"/>
      <c r="C302" s="1162">
        <v>43770</v>
      </c>
      <c r="D302" s="1163">
        <v>44134</v>
      </c>
      <c r="E302" s="1163"/>
      <c r="F302" s="1164">
        <v>515390</v>
      </c>
      <c r="G302" s="1174">
        <v>128226</v>
      </c>
      <c r="H302" s="1178">
        <f t="shared" si="16"/>
        <v>41673.450000000004</v>
      </c>
      <c r="I302" s="1027">
        <f t="shared" si="17"/>
        <v>515390</v>
      </c>
      <c r="J302" s="1191">
        <f t="shared" si="15"/>
        <v>0.24879411707638877</v>
      </c>
      <c r="K302" s="1445"/>
      <c r="M302" s="1036"/>
      <c r="N302" s="1036"/>
      <c r="O302" s="1036"/>
      <c r="P302" s="1036"/>
      <c r="Q302" s="1017"/>
      <c r="R302" s="1017"/>
      <c r="S302" s="1017"/>
      <c r="T302" s="1351"/>
      <c r="U302" s="1017"/>
      <c r="V302" s="1017"/>
      <c r="W302" s="1017"/>
      <c r="X302" s="1017"/>
      <c r="Y302" s="1017"/>
      <c r="Z302" s="1017"/>
      <c r="AA302" s="1017"/>
      <c r="AB302" s="1017"/>
      <c r="AC302" s="1017"/>
      <c r="AD302" s="1017"/>
      <c r="AE302" s="1017"/>
      <c r="AF302" s="1017"/>
    </row>
    <row r="303" spans="1:32" ht="16.5">
      <c r="A303" s="1022"/>
      <c r="B303" s="1736"/>
      <c r="C303" s="1171">
        <v>43771</v>
      </c>
      <c r="D303" s="1172">
        <v>44135</v>
      </c>
      <c r="E303" s="1172"/>
      <c r="F303" s="1173">
        <v>571847</v>
      </c>
      <c r="G303" s="1174">
        <v>208968</v>
      </c>
      <c r="H303" s="1181">
        <f t="shared" si="16"/>
        <v>67914.600000000006</v>
      </c>
      <c r="I303" s="1027">
        <f t="shared" si="17"/>
        <v>571847</v>
      </c>
      <c r="J303" s="1194">
        <f t="shared" si="15"/>
        <v>0.36542641650651309</v>
      </c>
      <c r="K303" s="1445"/>
      <c r="L303" s="1036"/>
      <c r="M303" s="1036"/>
      <c r="N303" s="1036"/>
      <c r="O303" s="1036"/>
      <c r="P303" s="1036"/>
      <c r="Q303" s="1017"/>
      <c r="R303" s="1017"/>
      <c r="S303" s="1017"/>
      <c r="T303" s="1351"/>
      <c r="U303" s="1017"/>
      <c r="V303" s="1017"/>
      <c r="W303" s="1017"/>
      <c r="X303" s="1017"/>
      <c r="Y303" s="1017"/>
      <c r="Z303" s="1017"/>
      <c r="AA303" s="1017"/>
      <c r="AB303" s="1017"/>
      <c r="AC303" s="1017"/>
      <c r="AD303" s="1017"/>
      <c r="AE303" s="1017"/>
      <c r="AF303" s="1017"/>
    </row>
    <row r="304" spans="1:32" ht="16.5">
      <c r="A304" s="1022"/>
      <c r="B304" s="1727" t="s">
        <v>385</v>
      </c>
      <c r="C304" s="1155">
        <v>43772</v>
      </c>
      <c r="D304" s="1156">
        <v>44136</v>
      </c>
      <c r="E304" s="1156"/>
      <c r="F304" s="1157">
        <v>392074</v>
      </c>
      <c r="G304" s="1158">
        <v>82826</v>
      </c>
      <c r="H304" s="1026">
        <f t="shared" si="16"/>
        <v>26918.45</v>
      </c>
      <c r="I304" s="1027">
        <f t="shared" si="17"/>
        <v>392074</v>
      </c>
      <c r="J304" s="1195">
        <f t="shared" si="15"/>
        <v>0.21125093732305636</v>
      </c>
      <c r="K304" s="1445"/>
      <c r="M304" s="1763" t="s">
        <v>386</v>
      </c>
      <c r="N304" s="1764"/>
      <c r="O304" s="1036"/>
      <c r="P304" s="1036"/>
      <c r="Q304" s="1017"/>
      <c r="R304" s="1017"/>
      <c r="S304" s="1017"/>
      <c r="T304" s="1351"/>
      <c r="U304" s="1017"/>
      <c r="V304" s="1017"/>
      <c r="W304" s="1017"/>
      <c r="X304" s="1017"/>
      <c r="Y304" s="1017"/>
      <c r="Z304" s="1017"/>
      <c r="AA304" s="1017"/>
      <c r="AB304" s="1017"/>
      <c r="AC304" s="1017"/>
      <c r="AD304" s="1017"/>
      <c r="AE304" s="1017"/>
      <c r="AF304" s="1017"/>
    </row>
    <row r="305" spans="1:32" ht="16.5">
      <c r="A305" s="1022"/>
      <c r="B305" s="1728"/>
      <c r="C305" s="1162">
        <v>43773</v>
      </c>
      <c r="D305" s="1163">
        <v>44137</v>
      </c>
      <c r="E305" s="1163"/>
      <c r="F305" s="1164">
        <v>306459</v>
      </c>
      <c r="G305" s="1165">
        <v>73219</v>
      </c>
      <c r="H305" s="1178">
        <f t="shared" si="16"/>
        <v>23796.174999999999</v>
      </c>
      <c r="I305" s="1027">
        <f t="shared" si="17"/>
        <v>306459</v>
      </c>
      <c r="J305" s="1191">
        <f t="shared" si="15"/>
        <v>0.23891939867975814</v>
      </c>
      <c r="K305" s="1445"/>
      <c r="L305" s="1036"/>
      <c r="M305" s="1160" t="s">
        <v>2</v>
      </c>
      <c r="N305" s="1161" t="s">
        <v>1</v>
      </c>
      <c r="O305" s="1036"/>
      <c r="P305" s="1036"/>
      <c r="Q305" s="1017"/>
      <c r="R305" s="1017"/>
      <c r="S305" s="1017"/>
      <c r="T305" s="1351"/>
      <c r="U305" s="1017"/>
      <c r="V305" s="1017"/>
      <c r="W305" s="1017"/>
      <c r="X305" s="1017"/>
      <c r="Y305" s="1017"/>
      <c r="Z305" s="1017"/>
      <c r="AA305" s="1017"/>
      <c r="AB305" s="1017"/>
      <c r="AC305" s="1017"/>
      <c r="AD305" s="1017"/>
      <c r="AE305" s="1017"/>
      <c r="AF305" s="1017"/>
    </row>
    <row r="306" spans="1:32" ht="16.5">
      <c r="A306" s="1022"/>
      <c r="B306" s="1728"/>
      <c r="C306" s="1162">
        <v>43774</v>
      </c>
      <c r="D306" s="1163">
        <v>44138</v>
      </c>
      <c r="E306" s="1163"/>
      <c r="F306" s="1164">
        <v>307280</v>
      </c>
      <c r="G306" s="1165">
        <v>57462</v>
      </c>
      <c r="H306" s="1178">
        <f t="shared" si="16"/>
        <v>18675.150000000001</v>
      </c>
      <c r="I306" s="1027">
        <f t="shared" si="17"/>
        <v>307280</v>
      </c>
      <c r="J306" s="1191">
        <f t="shared" si="15"/>
        <v>0.18700208279093986</v>
      </c>
      <c r="K306" s="1445"/>
      <c r="L306" s="1196" t="s">
        <v>387</v>
      </c>
      <c r="M306" s="1167">
        <f>SUM(G325:G331)/SUM(F325:F331)</f>
        <v>0.53931510609229771</v>
      </c>
      <c r="N306" s="1168">
        <f>SUM(G304:G331)/SUM(F304:F331)</f>
        <v>0.28484223430463967</v>
      </c>
      <c r="O306" s="1036"/>
      <c r="P306" s="1036"/>
      <c r="Q306" s="1017"/>
      <c r="R306" s="1017"/>
      <c r="S306" s="1017"/>
      <c r="T306" s="1351"/>
      <c r="U306" s="1017"/>
      <c r="V306" s="1017"/>
      <c r="W306" s="1017"/>
      <c r="X306" s="1017"/>
      <c r="Y306" s="1017"/>
      <c r="Z306" s="1017"/>
      <c r="AA306" s="1017"/>
      <c r="AB306" s="1017"/>
      <c r="AC306" s="1017"/>
      <c r="AD306" s="1017"/>
      <c r="AE306" s="1017"/>
      <c r="AF306" s="1017"/>
    </row>
    <row r="307" spans="1:32" ht="16.5">
      <c r="A307" s="1022"/>
      <c r="B307" s="1728"/>
      <c r="C307" s="1162">
        <v>43775</v>
      </c>
      <c r="D307" s="1163">
        <v>44139</v>
      </c>
      <c r="E307" s="1163"/>
      <c r="F307" s="1164">
        <v>269220</v>
      </c>
      <c r="G307" s="1165">
        <v>52626</v>
      </c>
      <c r="H307" s="1178">
        <f t="shared" si="16"/>
        <v>17103.45</v>
      </c>
      <c r="I307" s="1027">
        <f t="shared" si="17"/>
        <v>269220</v>
      </c>
      <c r="J307" s="1191">
        <f t="shared" si="15"/>
        <v>0.19547581903276132</v>
      </c>
      <c r="K307" s="1445"/>
      <c r="L307" s="1036"/>
      <c r="M307" s="1036"/>
      <c r="N307" s="1036"/>
      <c r="O307" s="1036"/>
      <c r="P307" s="1036"/>
      <c r="Q307" s="1017"/>
      <c r="R307" s="1017"/>
      <c r="S307" s="1017"/>
      <c r="T307" s="1351"/>
      <c r="U307" s="1017"/>
      <c r="V307" s="1017"/>
      <c r="W307" s="1017"/>
      <c r="X307" s="1017"/>
      <c r="Y307" s="1017"/>
      <c r="Z307" s="1017"/>
      <c r="AA307" s="1017"/>
      <c r="AB307" s="1017"/>
      <c r="AC307" s="1017"/>
      <c r="AD307" s="1017"/>
      <c r="AE307" s="1017"/>
      <c r="AF307" s="1017"/>
    </row>
    <row r="308" spans="1:32" ht="16.5">
      <c r="A308" s="1022"/>
      <c r="B308" s="1728"/>
      <c r="C308" s="1162">
        <v>43776</v>
      </c>
      <c r="D308" s="1163">
        <v>44140</v>
      </c>
      <c r="E308" s="1163"/>
      <c r="F308" s="1164">
        <v>311980</v>
      </c>
      <c r="G308" s="1165">
        <v>58416</v>
      </c>
      <c r="H308" s="1178">
        <f t="shared" si="16"/>
        <v>18985.2</v>
      </c>
      <c r="I308" s="1027">
        <f t="shared" si="17"/>
        <v>311980</v>
      </c>
      <c r="J308" s="1191">
        <f t="shared" si="15"/>
        <v>0.18724277197256234</v>
      </c>
      <c r="K308" s="1445"/>
      <c r="L308" s="1036"/>
      <c r="M308" s="1036"/>
      <c r="N308" s="1036"/>
      <c r="O308" s="1036"/>
      <c r="P308" s="1036"/>
      <c r="Q308" s="1017"/>
      <c r="R308" s="1017"/>
      <c r="S308" s="1017"/>
      <c r="T308" s="1351"/>
      <c r="U308" s="1017"/>
      <c r="V308" s="1017"/>
      <c r="W308" s="1017"/>
      <c r="X308" s="1017"/>
      <c r="Y308" s="1017"/>
      <c r="Z308" s="1017"/>
      <c r="AA308" s="1017"/>
      <c r="AB308" s="1017"/>
      <c r="AC308" s="1017"/>
      <c r="AD308" s="1017"/>
      <c r="AE308" s="1017"/>
      <c r="AF308" s="1017"/>
    </row>
    <row r="309" spans="1:32" ht="16.5">
      <c r="A309" s="1022"/>
      <c r="B309" s="1728"/>
      <c r="C309" s="1162">
        <v>43777</v>
      </c>
      <c r="D309" s="1163">
        <v>44141</v>
      </c>
      <c r="E309" s="1163"/>
      <c r="F309" s="1164">
        <v>384670</v>
      </c>
      <c r="G309" s="1165">
        <v>70553</v>
      </c>
      <c r="H309" s="1178">
        <f t="shared" si="16"/>
        <v>22929.725000000002</v>
      </c>
      <c r="I309" s="1027">
        <f t="shared" si="17"/>
        <v>384670</v>
      </c>
      <c r="J309" s="1191">
        <f t="shared" si="15"/>
        <v>0.18341175553071465</v>
      </c>
      <c r="K309" s="1445"/>
      <c r="M309" s="1036"/>
      <c r="N309" s="1036"/>
      <c r="O309" s="1036"/>
      <c r="P309" s="1036"/>
      <c r="Q309" s="1017"/>
      <c r="R309" s="1017"/>
      <c r="S309" s="1017"/>
      <c r="T309" s="1351"/>
      <c r="U309" s="1017"/>
      <c r="V309" s="1017"/>
      <c r="W309" s="1017"/>
      <c r="X309" s="1017"/>
      <c r="Y309" s="1017"/>
      <c r="Z309" s="1017"/>
      <c r="AA309" s="1017"/>
      <c r="AB309" s="1017"/>
      <c r="AC309" s="1017"/>
      <c r="AD309" s="1017"/>
      <c r="AE309" s="1017"/>
      <c r="AF309" s="1017"/>
    </row>
    <row r="310" spans="1:32" ht="16.5">
      <c r="A310" s="1022"/>
      <c r="B310" s="1736"/>
      <c r="C310" s="1171">
        <v>43778</v>
      </c>
      <c r="D310" s="1172">
        <v>44142</v>
      </c>
      <c r="E310" s="1172"/>
      <c r="F310" s="1173">
        <v>693626</v>
      </c>
      <c r="G310" s="1174">
        <v>15815</v>
      </c>
      <c r="H310" s="1181">
        <f t="shared" si="16"/>
        <v>5139.875</v>
      </c>
      <c r="I310" s="1027">
        <f t="shared" si="17"/>
        <v>693626</v>
      </c>
      <c r="J310" s="1194">
        <f t="shared" si="15"/>
        <v>2.2800471723954985E-2</v>
      </c>
      <c r="K310" s="1445"/>
      <c r="L310" s="1036"/>
      <c r="N310" s="1036"/>
      <c r="O310" s="1036"/>
      <c r="P310" s="1036"/>
      <c r="Q310" s="1017"/>
      <c r="R310" s="1017"/>
      <c r="S310" s="1017"/>
      <c r="T310" s="1351"/>
      <c r="U310" s="1017"/>
      <c r="V310" s="1017"/>
      <c r="W310" s="1017"/>
      <c r="X310" s="1017"/>
      <c r="Y310" s="1017"/>
      <c r="Z310" s="1017"/>
      <c r="AA310" s="1017"/>
      <c r="AB310" s="1017"/>
      <c r="AC310" s="1017"/>
      <c r="AD310" s="1017"/>
      <c r="AE310" s="1017"/>
      <c r="AF310" s="1017"/>
    </row>
    <row r="311" spans="1:32" ht="16.5">
      <c r="A311" s="1022"/>
      <c r="B311" s="1727" t="s">
        <v>388</v>
      </c>
      <c r="C311" s="1155">
        <v>43779</v>
      </c>
      <c r="D311" s="1156">
        <v>44143</v>
      </c>
      <c r="E311" s="1156"/>
      <c r="F311" s="1157">
        <v>408767</v>
      </c>
      <c r="G311" s="1158">
        <v>11068</v>
      </c>
      <c r="H311" s="1026">
        <f t="shared" si="16"/>
        <v>3597.1</v>
      </c>
      <c r="I311" s="1027">
        <f t="shared" si="17"/>
        <v>408767</v>
      </c>
      <c r="J311" s="1195">
        <f t="shared" si="15"/>
        <v>2.7076549721479475E-2</v>
      </c>
      <c r="K311" s="1445"/>
      <c r="L311" s="1036"/>
      <c r="M311" s="1036"/>
      <c r="N311" s="1036"/>
      <c r="O311" s="1036"/>
      <c r="P311" s="1036"/>
      <c r="Q311" s="1017"/>
      <c r="R311" s="1017"/>
      <c r="S311" s="1017"/>
      <c r="T311" s="1351"/>
      <c r="U311" s="1017"/>
      <c r="V311" s="1017"/>
      <c r="W311" s="1017"/>
      <c r="X311" s="1017"/>
      <c r="Y311" s="1017"/>
      <c r="Z311" s="1017"/>
      <c r="AA311" s="1017"/>
      <c r="AB311" s="1017"/>
      <c r="AC311" s="1017"/>
      <c r="AD311" s="1017"/>
      <c r="AE311" s="1017"/>
      <c r="AF311" s="1017"/>
    </row>
    <row r="312" spans="1:32" ht="16.5">
      <c r="A312" s="1022"/>
      <c r="B312" s="1728"/>
      <c r="C312" s="1162">
        <v>43780</v>
      </c>
      <c r="D312" s="1163">
        <v>44144</v>
      </c>
      <c r="E312" s="1163"/>
      <c r="F312" s="1164">
        <v>284183</v>
      </c>
      <c r="G312" s="1165">
        <v>113987</v>
      </c>
      <c r="H312" s="1178">
        <f t="shared" si="16"/>
        <v>37045.775000000001</v>
      </c>
      <c r="I312" s="1027">
        <f t="shared" si="17"/>
        <v>284183</v>
      </c>
      <c r="J312" s="1191">
        <f t="shared" si="15"/>
        <v>0.40110421805667473</v>
      </c>
      <c r="K312" s="1445"/>
      <c r="L312" s="1036"/>
      <c r="N312" s="1036"/>
      <c r="O312" s="1036"/>
      <c r="P312" s="1036"/>
      <c r="Q312" s="1017"/>
      <c r="R312" s="1017"/>
      <c r="S312" s="1017"/>
      <c r="T312" s="1351"/>
      <c r="U312" s="1017"/>
      <c r="V312" s="1017"/>
      <c r="W312" s="1017"/>
      <c r="X312" s="1017"/>
      <c r="Y312" s="1017"/>
      <c r="Z312" s="1017"/>
      <c r="AA312" s="1017"/>
      <c r="AB312" s="1017"/>
      <c r="AC312" s="1017"/>
      <c r="AD312" s="1017"/>
      <c r="AE312" s="1017"/>
      <c r="AF312" s="1017"/>
    </row>
    <row r="313" spans="1:32" ht="16.5">
      <c r="A313" s="1022"/>
      <c r="B313" s="1728"/>
      <c r="C313" s="1162">
        <v>43781</v>
      </c>
      <c r="D313" s="1163">
        <v>44145</v>
      </c>
      <c r="E313" s="1163"/>
      <c r="F313" s="1164">
        <v>230543</v>
      </c>
      <c r="G313" s="1165">
        <v>69056</v>
      </c>
      <c r="H313" s="1178">
        <f t="shared" si="16"/>
        <v>22443.200000000001</v>
      </c>
      <c r="I313" s="1027">
        <f t="shared" si="17"/>
        <v>230543</v>
      </c>
      <c r="J313" s="1191">
        <f t="shared" si="15"/>
        <v>0.29953631209796006</v>
      </c>
      <c r="K313" s="1445"/>
      <c r="L313" s="1036"/>
      <c r="M313" s="1036"/>
      <c r="N313" s="1036"/>
      <c r="O313" s="1036"/>
      <c r="P313" s="1036"/>
      <c r="Q313" s="1017"/>
      <c r="R313" s="1017"/>
      <c r="S313" s="1017"/>
      <c r="T313" s="1351"/>
      <c r="U313" s="1017"/>
      <c r="V313" s="1017"/>
      <c r="W313" s="1017"/>
      <c r="X313" s="1017"/>
      <c r="Y313" s="1017"/>
      <c r="Z313" s="1017"/>
      <c r="AA313" s="1017"/>
      <c r="AB313" s="1017"/>
      <c r="AC313" s="1017"/>
      <c r="AD313" s="1017"/>
      <c r="AE313" s="1017"/>
      <c r="AF313" s="1017"/>
    </row>
    <row r="314" spans="1:32" ht="16.5">
      <c r="A314" s="1022"/>
      <c r="B314" s="1728"/>
      <c r="C314" s="1162">
        <v>43782</v>
      </c>
      <c r="D314" s="1163">
        <v>44146</v>
      </c>
      <c r="E314" s="1163"/>
      <c r="F314" s="1164">
        <v>300125</v>
      </c>
      <c r="G314" s="1165">
        <v>63091</v>
      </c>
      <c r="H314" s="1178">
        <f t="shared" si="16"/>
        <v>20504.575000000001</v>
      </c>
      <c r="I314" s="1027">
        <f t="shared" si="17"/>
        <v>300125</v>
      </c>
      <c r="J314" s="1191">
        <f t="shared" si="15"/>
        <v>0.21021574344023325</v>
      </c>
      <c r="K314" s="1445"/>
      <c r="L314" s="1036"/>
      <c r="M314" s="1036"/>
      <c r="N314" s="1036"/>
      <c r="O314" s="1036"/>
      <c r="P314" s="1036"/>
      <c r="Q314" s="1017"/>
      <c r="R314" s="1017"/>
      <c r="S314" s="1017"/>
      <c r="T314" s="1351"/>
      <c r="U314" s="1017"/>
      <c r="V314" s="1017"/>
      <c r="W314" s="1017"/>
      <c r="X314" s="1017"/>
      <c r="Y314" s="1017"/>
      <c r="Z314" s="1017"/>
      <c r="AA314" s="1017"/>
      <c r="AB314" s="1017"/>
      <c r="AC314" s="1017"/>
      <c r="AD314" s="1017"/>
      <c r="AE314" s="1017"/>
      <c r="AF314" s="1017"/>
    </row>
    <row r="315" spans="1:32" ht="16.5">
      <c r="A315" s="1022"/>
      <c r="B315" s="1728"/>
      <c r="C315" s="1162">
        <v>43783</v>
      </c>
      <c r="D315" s="1163">
        <v>44147</v>
      </c>
      <c r="E315" s="1163"/>
      <c r="F315" s="1164">
        <v>423319</v>
      </c>
      <c r="G315" s="1165">
        <v>89050</v>
      </c>
      <c r="H315" s="1178">
        <f t="shared" si="16"/>
        <v>28941.25</v>
      </c>
      <c r="I315" s="1027">
        <f t="shared" si="17"/>
        <v>423319</v>
      </c>
      <c r="J315" s="1191">
        <f t="shared" si="15"/>
        <v>0.21036145318306051</v>
      </c>
      <c r="K315" s="1445"/>
      <c r="L315" s="1036"/>
      <c r="M315" s="1036"/>
      <c r="N315" s="1036"/>
      <c r="O315" s="1036"/>
      <c r="P315" s="1036"/>
      <c r="Q315" s="1017"/>
      <c r="R315" s="1017"/>
      <c r="S315" s="1017"/>
      <c r="T315" s="1351"/>
      <c r="U315" s="1017"/>
      <c r="V315" s="1017"/>
      <c r="W315" s="1017"/>
      <c r="X315" s="1017"/>
      <c r="Y315" s="1017"/>
      <c r="Z315" s="1017"/>
      <c r="AA315" s="1017"/>
      <c r="AB315" s="1017"/>
      <c r="AC315" s="1017"/>
      <c r="AD315" s="1017"/>
      <c r="AE315" s="1017"/>
      <c r="AF315" s="1017"/>
    </row>
    <row r="316" spans="1:32" ht="16.5">
      <c r="A316" s="1022"/>
      <c r="B316" s="1728"/>
      <c r="C316" s="1162">
        <v>43784</v>
      </c>
      <c r="D316" s="1163">
        <v>44148</v>
      </c>
      <c r="E316" s="1163"/>
      <c r="F316" s="1164">
        <v>685551</v>
      </c>
      <c r="G316" s="1165">
        <v>129516</v>
      </c>
      <c r="H316" s="1178">
        <f t="shared" si="16"/>
        <v>42092.700000000004</v>
      </c>
      <c r="I316" s="1027">
        <f t="shared" si="17"/>
        <v>685551</v>
      </c>
      <c r="J316" s="1191">
        <f>G316/F316</f>
        <v>0.18892248716725671</v>
      </c>
      <c r="K316" s="1445"/>
      <c r="L316" s="1036"/>
      <c r="N316" s="1036"/>
      <c r="O316" s="1036"/>
      <c r="P316" s="1036"/>
      <c r="Q316" s="1017"/>
      <c r="R316" s="1017"/>
      <c r="S316" s="1017"/>
      <c r="T316" s="1351"/>
      <c r="U316" s="1017"/>
      <c r="V316" s="1017"/>
      <c r="W316" s="1017"/>
      <c r="X316" s="1017"/>
      <c r="Y316" s="1017"/>
      <c r="Z316" s="1017"/>
      <c r="AA316" s="1017"/>
      <c r="AB316" s="1017"/>
      <c r="AC316" s="1017"/>
      <c r="AD316" s="1017"/>
      <c r="AE316" s="1017"/>
      <c r="AF316" s="1017"/>
    </row>
    <row r="317" spans="1:32" ht="16.5">
      <c r="A317" s="1022"/>
      <c r="B317" s="1729"/>
      <c r="C317" s="1197">
        <v>43785</v>
      </c>
      <c r="D317" s="1198">
        <v>44149</v>
      </c>
      <c r="E317" s="1198"/>
      <c r="F317" s="1199">
        <v>1111251</v>
      </c>
      <c r="G317" s="1200">
        <v>11021</v>
      </c>
      <c r="H317" s="1201">
        <f t="shared" si="16"/>
        <v>3581.8250000000003</v>
      </c>
      <c r="I317" s="1027">
        <f t="shared" si="17"/>
        <v>1111251</v>
      </c>
      <c r="J317" s="1191">
        <f t="shared" ref="J317:J380" si="18">G317/F317</f>
        <v>9.917651367692808E-3</v>
      </c>
      <c r="K317" s="1445"/>
      <c r="L317" s="1036"/>
      <c r="M317" s="1036"/>
      <c r="N317" s="1036"/>
      <c r="O317" s="1036"/>
      <c r="P317" s="1036"/>
      <c r="Q317" s="1017"/>
      <c r="R317" s="1017"/>
      <c r="S317" s="1017"/>
      <c r="T317" s="1351"/>
      <c r="U317" s="1017"/>
      <c r="V317" s="1017"/>
      <c r="W317" s="1017"/>
      <c r="X317" s="1017"/>
      <c r="Y317" s="1017"/>
      <c r="Z317" s="1017"/>
      <c r="AA317" s="1017"/>
      <c r="AB317" s="1017"/>
      <c r="AC317" s="1017"/>
      <c r="AD317" s="1017"/>
      <c r="AE317" s="1017"/>
      <c r="AF317" s="1017"/>
    </row>
    <row r="318" spans="1:32" ht="16.5">
      <c r="A318" s="1022"/>
      <c r="B318" s="1759" t="s">
        <v>389</v>
      </c>
      <c r="C318" s="1202">
        <v>43786</v>
      </c>
      <c r="D318" s="1203">
        <v>44150</v>
      </c>
      <c r="E318" s="1203"/>
      <c r="F318" s="1204">
        <v>774319</v>
      </c>
      <c r="G318" s="1205">
        <v>13453</v>
      </c>
      <c r="H318" s="1206">
        <f t="shared" si="16"/>
        <v>4372.2250000000004</v>
      </c>
      <c r="I318" s="1027">
        <f t="shared" si="17"/>
        <v>774319</v>
      </c>
      <c r="J318" s="1191">
        <f t="shared" si="18"/>
        <v>1.7373976358580893E-2</v>
      </c>
      <c r="K318" s="1445"/>
      <c r="L318" s="1036"/>
      <c r="M318" s="1036"/>
      <c r="N318" s="1036"/>
      <c r="O318" s="1036"/>
      <c r="P318" s="1036"/>
      <c r="Q318" s="1017"/>
      <c r="R318" s="1017"/>
      <c r="S318" s="1017"/>
      <c r="T318" s="1351"/>
      <c r="U318" s="1017"/>
      <c r="V318" s="1017"/>
      <c r="W318" s="1017"/>
      <c r="X318" s="1017"/>
      <c r="Y318" s="1017"/>
      <c r="Z318" s="1017"/>
      <c r="AA318" s="1017"/>
      <c r="AB318" s="1017"/>
      <c r="AC318" s="1017"/>
      <c r="AD318" s="1017"/>
      <c r="AE318" s="1017"/>
      <c r="AF318" s="1017"/>
    </row>
    <row r="319" spans="1:32" ht="16.5">
      <c r="A319" s="1022"/>
      <c r="B319" s="1760"/>
      <c r="C319" s="1162">
        <v>43787</v>
      </c>
      <c r="D319" s="1163">
        <v>44151</v>
      </c>
      <c r="E319" s="1163"/>
      <c r="F319" s="1164">
        <v>786131</v>
      </c>
      <c r="G319" s="1200">
        <v>173096</v>
      </c>
      <c r="H319" s="1178">
        <f t="shared" si="16"/>
        <v>56256.200000000004</v>
      </c>
      <c r="I319" s="1027">
        <f t="shared" si="17"/>
        <v>786131</v>
      </c>
      <c r="J319" s="1191">
        <f t="shared" si="18"/>
        <v>0.22018722070494612</v>
      </c>
      <c r="K319" s="1445"/>
      <c r="L319" s="1207" t="s">
        <v>390</v>
      </c>
      <c r="M319" s="1036"/>
      <c r="N319" s="1036"/>
      <c r="O319" s="1036"/>
      <c r="P319" s="1036"/>
      <c r="Q319" s="1017"/>
      <c r="R319" s="1017"/>
      <c r="S319" s="1017"/>
      <c r="T319" s="1351"/>
      <c r="U319" s="1017"/>
      <c r="V319" s="1017"/>
      <c r="W319" s="1017"/>
      <c r="X319" s="1017"/>
      <c r="Y319" s="1017"/>
      <c r="Z319" s="1017"/>
      <c r="AA319" s="1017"/>
      <c r="AB319" s="1017"/>
      <c r="AC319" s="1017"/>
      <c r="AD319" s="1017"/>
      <c r="AE319" s="1017"/>
      <c r="AF319" s="1017"/>
    </row>
    <row r="320" spans="1:32" ht="16.5">
      <c r="A320" s="1022"/>
      <c r="B320" s="1760"/>
      <c r="C320" s="1162">
        <v>43788</v>
      </c>
      <c r="D320" s="1163">
        <v>44152</v>
      </c>
      <c r="E320" s="1163"/>
      <c r="F320" s="1164">
        <v>395461</v>
      </c>
      <c r="G320" s="1200">
        <v>120000</v>
      </c>
      <c r="H320" s="1178">
        <f t="shared" si="16"/>
        <v>39000</v>
      </c>
      <c r="I320" s="1027">
        <f t="shared" si="17"/>
        <v>395461</v>
      </c>
      <c r="J320" s="1191">
        <f t="shared" si="18"/>
        <v>0.30344332310897915</v>
      </c>
      <c r="K320" s="1445"/>
      <c r="L320" s="1036"/>
      <c r="N320" s="1036"/>
      <c r="O320" s="1036"/>
      <c r="P320" s="1036"/>
      <c r="Q320" s="1017"/>
      <c r="R320" s="1017"/>
      <c r="S320" s="1017"/>
      <c r="T320" s="1351"/>
      <c r="U320" s="1017"/>
      <c r="V320" s="1017"/>
      <c r="W320" s="1017"/>
      <c r="X320" s="1017"/>
      <c r="Y320" s="1017"/>
      <c r="Z320" s="1017"/>
      <c r="AA320" s="1017"/>
      <c r="AB320" s="1017"/>
      <c r="AC320" s="1017"/>
      <c r="AD320" s="1017"/>
      <c r="AE320" s="1017"/>
      <c r="AF320" s="1017"/>
    </row>
    <row r="321" spans="1:32" ht="16.5">
      <c r="A321" s="1022"/>
      <c r="B321" s="1760"/>
      <c r="C321" s="1162">
        <v>43789</v>
      </c>
      <c r="D321" s="1163">
        <v>44153</v>
      </c>
      <c r="E321" s="1163"/>
      <c r="F321" s="1164">
        <v>335432</v>
      </c>
      <c r="G321" s="1200">
        <v>120781</v>
      </c>
      <c r="H321" s="1178">
        <f t="shared" si="16"/>
        <v>39253.825000000004</v>
      </c>
      <c r="I321" s="1027">
        <f t="shared" si="17"/>
        <v>335432</v>
      </c>
      <c r="J321" s="1191">
        <f t="shared" si="18"/>
        <v>0.3600759617448544</v>
      </c>
      <c r="K321" s="1445"/>
      <c r="L321" s="1036"/>
      <c r="M321" s="1036"/>
      <c r="N321" s="1036"/>
      <c r="O321" s="1036"/>
      <c r="P321" s="1036"/>
      <c r="Q321" s="1017"/>
      <c r="R321" s="1017"/>
      <c r="S321" s="1017"/>
      <c r="T321" s="1351"/>
      <c r="U321" s="1017"/>
      <c r="V321" s="1017"/>
      <c r="W321" s="1017"/>
      <c r="X321" s="1017"/>
      <c r="Y321" s="1017"/>
      <c r="Z321" s="1017"/>
      <c r="AA321" s="1017"/>
      <c r="AB321" s="1017"/>
      <c r="AC321" s="1017"/>
      <c r="AD321" s="1017"/>
      <c r="AE321" s="1017"/>
      <c r="AF321" s="1017"/>
    </row>
    <row r="322" spans="1:32" ht="16.5">
      <c r="A322" s="1022"/>
      <c r="B322" s="1760"/>
      <c r="C322" s="1162">
        <v>43790</v>
      </c>
      <c r="D322" s="1163">
        <v>44154</v>
      </c>
      <c r="E322" s="1163"/>
      <c r="F322" s="1164">
        <v>417648</v>
      </c>
      <c r="G322" s="1200">
        <v>115587</v>
      </c>
      <c r="H322" s="1178">
        <f t="shared" si="16"/>
        <v>37565.775000000001</v>
      </c>
      <c r="I322" s="1027">
        <f t="shared" si="17"/>
        <v>417648</v>
      </c>
      <c r="J322" s="1191">
        <f t="shared" si="18"/>
        <v>0.27675698195609699</v>
      </c>
      <c r="K322" s="1445"/>
      <c r="L322" s="1036"/>
      <c r="N322" s="1036"/>
      <c r="O322" s="1036"/>
      <c r="P322" s="1036"/>
      <c r="Q322" s="1017"/>
      <c r="R322" s="1017"/>
      <c r="S322" s="1017"/>
      <c r="T322" s="1351"/>
      <c r="U322" s="1017"/>
      <c r="V322" s="1017"/>
      <c r="W322" s="1017"/>
      <c r="X322" s="1017"/>
      <c r="Y322" s="1017"/>
      <c r="Z322" s="1017"/>
      <c r="AA322" s="1017"/>
      <c r="AB322" s="1017"/>
      <c r="AC322" s="1017"/>
      <c r="AD322" s="1017"/>
      <c r="AE322" s="1017"/>
      <c r="AF322" s="1017"/>
    </row>
    <row r="323" spans="1:32" ht="16.5">
      <c r="A323" s="1022"/>
      <c r="B323" s="1760"/>
      <c r="C323" s="1162">
        <v>43791</v>
      </c>
      <c r="D323" s="1163">
        <v>44155</v>
      </c>
      <c r="E323" s="1163"/>
      <c r="F323" s="1164">
        <v>539649</v>
      </c>
      <c r="G323" s="1200">
        <v>178000</v>
      </c>
      <c r="H323" s="1178">
        <f t="shared" ref="H323:H386" si="19">(G323*0.5)*0.65</f>
        <v>57850</v>
      </c>
      <c r="I323" s="1027">
        <f t="shared" si="17"/>
        <v>539649</v>
      </c>
      <c r="J323" s="1191">
        <f t="shared" si="18"/>
        <v>0.32984402824799081</v>
      </c>
      <c r="K323" s="1445"/>
      <c r="L323" s="1036"/>
      <c r="M323" s="1036"/>
      <c r="N323" s="1036"/>
      <c r="O323" s="1036"/>
      <c r="P323" s="1036"/>
      <c r="Q323" s="1017"/>
      <c r="R323" s="1017"/>
      <c r="S323" s="1017"/>
      <c r="T323" s="1351"/>
      <c r="U323" s="1017"/>
      <c r="V323" s="1017"/>
      <c r="W323" s="1017"/>
      <c r="X323" s="1017"/>
      <c r="Y323" s="1017"/>
      <c r="Z323" s="1017"/>
      <c r="AA323" s="1017"/>
      <c r="AB323" s="1017"/>
      <c r="AC323" s="1017"/>
      <c r="AD323" s="1017"/>
      <c r="AE323" s="1017"/>
      <c r="AF323" s="1017"/>
    </row>
    <row r="324" spans="1:32" ht="16.5">
      <c r="A324" s="1022"/>
      <c r="B324" s="1760"/>
      <c r="C324" s="1162">
        <v>43792</v>
      </c>
      <c r="D324" s="1163">
        <v>44156</v>
      </c>
      <c r="E324" s="1163"/>
      <c r="F324" s="1164">
        <v>803419</v>
      </c>
      <c r="G324" s="1200">
        <v>203000</v>
      </c>
      <c r="H324" s="1178">
        <f t="shared" si="19"/>
        <v>65975</v>
      </c>
      <c r="I324" s="1027">
        <f t="shared" si="17"/>
        <v>803419</v>
      </c>
      <c r="J324" s="1191">
        <f t="shared" si="18"/>
        <v>0.25267015094240985</v>
      </c>
      <c r="K324" s="1445"/>
      <c r="L324" s="1036"/>
      <c r="M324" s="1036"/>
      <c r="N324" s="1036"/>
      <c r="O324" s="1036"/>
      <c r="P324" s="1036"/>
      <c r="Q324" s="1017"/>
      <c r="R324" s="1017"/>
      <c r="S324" s="1017"/>
      <c r="T324" s="1351"/>
      <c r="U324" s="1017"/>
      <c r="V324" s="1017"/>
      <c r="W324" s="1017"/>
      <c r="X324" s="1017"/>
      <c r="Y324" s="1017"/>
      <c r="Z324" s="1017"/>
      <c r="AA324" s="1017"/>
      <c r="AB324" s="1017"/>
      <c r="AC324" s="1017"/>
      <c r="AD324" s="1017"/>
      <c r="AE324" s="1017"/>
      <c r="AF324" s="1017"/>
    </row>
    <row r="325" spans="1:32" ht="16.5">
      <c r="A325" s="1022"/>
      <c r="B325" s="1760" t="s">
        <v>391</v>
      </c>
      <c r="C325" s="1162">
        <v>43793</v>
      </c>
      <c r="D325" s="1163">
        <v>44157</v>
      </c>
      <c r="E325" s="1163"/>
      <c r="F325" s="1164">
        <v>513014</v>
      </c>
      <c r="G325" s="1200">
        <v>152000</v>
      </c>
      <c r="H325" s="1178">
        <f t="shared" si="19"/>
        <v>49400</v>
      </c>
      <c r="I325" s="1027">
        <f t="shared" si="17"/>
        <v>513014</v>
      </c>
      <c r="J325" s="1191">
        <f t="shared" si="18"/>
        <v>0.29628821045819415</v>
      </c>
      <c r="K325" s="1445"/>
      <c r="L325" s="1036"/>
      <c r="M325" s="1036"/>
      <c r="N325" s="1036"/>
      <c r="O325" s="1036"/>
      <c r="P325" s="1036"/>
      <c r="Q325" s="1017"/>
      <c r="R325" s="1017"/>
      <c r="S325" s="1017"/>
      <c r="T325" s="1351"/>
      <c r="U325" s="1017"/>
      <c r="V325" s="1017"/>
      <c r="W325" s="1017"/>
      <c r="X325" s="1017"/>
      <c r="Y325" s="1017"/>
      <c r="Z325" s="1017"/>
      <c r="AA325" s="1017"/>
      <c r="AB325" s="1017"/>
      <c r="AC325" s="1017"/>
      <c r="AD325" s="1017"/>
      <c r="AE325" s="1017"/>
      <c r="AF325" s="1017"/>
    </row>
    <row r="326" spans="1:32" ht="16.5">
      <c r="A326" s="1022"/>
      <c r="B326" s="1760"/>
      <c r="C326" s="1162">
        <v>43794</v>
      </c>
      <c r="D326" s="1163">
        <v>44158</v>
      </c>
      <c r="E326" s="1163"/>
      <c r="F326" s="1164">
        <v>441991</v>
      </c>
      <c r="G326" s="1200">
        <v>221206</v>
      </c>
      <c r="H326" s="1178">
        <f t="shared" si="19"/>
        <v>71891.95</v>
      </c>
      <c r="I326" s="1027">
        <v>221206</v>
      </c>
      <c r="J326" s="1191">
        <f t="shared" si="18"/>
        <v>0.50047625404137186</v>
      </c>
      <c r="K326" s="1445"/>
      <c r="L326" s="1036"/>
      <c r="M326" s="1036"/>
      <c r="N326" s="1036"/>
      <c r="O326" s="1036"/>
      <c r="P326" s="1036"/>
      <c r="Q326" s="1017"/>
      <c r="R326" s="1017"/>
      <c r="S326" s="1017"/>
      <c r="T326" s="1351"/>
      <c r="U326" s="1017"/>
      <c r="V326" s="1017"/>
      <c r="W326" s="1017"/>
      <c r="X326" s="1017"/>
      <c r="Y326" s="1017"/>
      <c r="Z326" s="1017"/>
      <c r="AA326" s="1017"/>
      <c r="AB326" s="1017"/>
      <c r="AC326" s="1017"/>
      <c r="AD326" s="1017"/>
      <c r="AE326" s="1017"/>
      <c r="AF326" s="1017"/>
    </row>
    <row r="327" spans="1:32" ht="16.5">
      <c r="A327" s="1022"/>
      <c r="B327" s="1760"/>
      <c r="C327" s="1162">
        <v>43795</v>
      </c>
      <c r="D327" s="1163">
        <v>44159</v>
      </c>
      <c r="E327" s="1163"/>
      <c r="F327" s="1164">
        <v>417203</v>
      </c>
      <c r="G327" s="1200">
        <v>191469</v>
      </c>
      <c r="H327" s="1178">
        <f t="shared" si="19"/>
        <v>62227.425000000003</v>
      </c>
      <c r="I327" s="1027">
        <f t="shared" si="17"/>
        <v>417203</v>
      </c>
      <c r="J327" s="1191">
        <f t="shared" si="18"/>
        <v>0.4589348590494316</v>
      </c>
      <c r="K327" s="1445"/>
      <c r="L327" s="1036"/>
      <c r="M327" s="1036"/>
      <c r="N327" s="1036"/>
      <c r="O327" s="1036"/>
      <c r="P327" s="1036"/>
      <c r="Q327" s="1017"/>
      <c r="R327" s="1017"/>
      <c r="S327" s="1017"/>
      <c r="T327" s="1351"/>
      <c r="U327" s="1017"/>
      <c r="V327" s="1017"/>
      <c r="W327" s="1017"/>
      <c r="X327" s="1017"/>
      <c r="Y327" s="1017"/>
      <c r="Z327" s="1017"/>
      <c r="AA327" s="1017"/>
      <c r="AB327" s="1017"/>
      <c r="AC327" s="1017"/>
      <c r="AD327" s="1017"/>
      <c r="AE327" s="1017"/>
      <c r="AF327" s="1017"/>
    </row>
    <row r="328" spans="1:32" ht="16.5">
      <c r="A328" s="1022"/>
      <c r="B328" s="1760"/>
      <c r="C328" s="1162">
        <v>43796</v>
      </c>
      <c r="D328" s="1163">
        <v>44160</v>
      </c>
      <c r="E328" s="1163"/>
      <c r="F328" s="1164">
        <v>391768</v>
      </c>
      <c r="G328" s="1200">
        <v>302051</v>
      </c>
      <c r="H328" s="1178">
        <f t="shared" si="19"/>
        <v>98166.574999999997</v>
      </c>
      <c r="I328" s="1027">
        <f t="shared" si="17"/>
        <v>391768</v>
      </c>
      <c r="J328" s="1191">
        <f t="shared" si="18"/>
        <v>0.77099456821384083</v>
      </c>
      <c r="K328" s="1445"/>
      <c r="L328" s="1208" t="s">
        <v>392</v>
      </c>
      <c r="M328" s="1036"/>
      <c r="N328" s="1036"/>
      <c r="O328" s="1036"/>
      <c r="P328" s="1036"/>
      <c r="Q328" s="1017"/>
      <c r="R328" s="1017"/>
      <c r="S328" s="1017"/>
      <c r="T328" s="1351"/>
      <c r="U328" s="1017"/>
      <c r="V328" s="1017"/>
      <c r="W328" s="1017"/>
      <c r="X328" s="1017"/>
      <c r="Y328" s="1017"/>
      <c r="Z328" s="1017"/>
      <c r="AA328" s="1017"/>
      <c r="AB328" s="1017"/>
      <c r="AC328" s="1017"/>
      <c r="AD328" s="1017"/>
      <c r="AE328" s="1017"/>
      <c r="AF328" s="1017"/>
    </row>
    <row r="329" spans="1:32" ht="16.5">
      <c r="A329" s="1022"/>
      <c r="B329" s="1760"/>
      <c r="C329" s="1162">
        <v>43797</v>
      </c>
      <c r="D329" s="1163">
        <v>44161</v>
      </c>
      <c r="E329" s="1163"/>
      <c r="F329" s="1164">
        <v>543247</v>
      </c>
      <c r="G329" s="1200">
        <v>381838</v>
      </c>
      <c r="H329" s="1178">
        <f t="shared" si="19"/>
        <v>124097.35</v>
      </c>
      <c r="I329" s="1027">
        <f t="shared" si="17"/>
        <v>543247</v>
      </c>
      <c r="J329" s="1191">
        <f t="shared" si="18"/>
        <v>0.70288100992734426</v>
      </c>
      <c r="K329" s="1445"/>
      <c r="L329" s="1036"/>
      <c r="N329" s="1036"/>
      <c r="O329" s="1036"/>
      <c r="P329" s="1036"/>
      <c r="Q329" s="1017"/>
      <c r="R329" s="1017"/>
      <c r="S329" s="1017"/>
      <c r="T329" s="1351"/>
      <c r="U329" s="1017"/>
      <c r="V329" s="1017"/>
      <c r="W329" s="1017"/>
      <c r="X329" s="1017"/>
      <c r="Y329" s="1017"/>
      <c r="Z329" s="1017"/>
      <c r="AA329" s="1017"/>
      <c r="AB329" s="1017"/>
      <c r="AC329" s="1017"/>
      <c r="AD329" s="1017"/>
      <c r="AE329" s="1017"/>
      <c r="AF329" s="1017"/>
    </row>
    <row r="330" spans="1:32" ht="16.5">
      <c r="A330" s="1022"/>
      <c r="B330" s="1760"/>
      <c r="C330" s="1162">
        <v>43798</v>
      </c>
      <c r="D330" s="1163">
        <v>44162</v>
      </c>
      <c r="E330" s="1163"/>
      <c r="F330" s="1164">
        <v>732307</v>
      </c>
      <c r="G330" s="1200">
        <v>412109</v>
      </c>
      <c r="H330" s="1178">
        <f t="shared" si="19"/>
        <v>133935.42500000002</v>
      </c>
      <c r="I330" s="1027">
        <f t="shared" ref="I330:I366" si="20">F330*1</f>
        <v>732307</v>
      </c>
      <c r="J330" s="1191">
        <f t="shared" si="18"/>
        <v>0.56275441857035369</v>
      </c>
      <c r="K330" s="1445"/>
      <c r="L330" s="1036"/>
      <c r="M330" s="1154"/>
      <c r="N330" s="1154"/>
      <c r="O330" s="1154"/>
      <c r="P330" s="1154"/>
      <c r="Q330" s="1017"/>
      <c r="R330" s="1017"/>
      <c r="S330" s="1017"/>
      <c r="T330" s="1351"/>
      <c r="U330" s="1017"/>
      <c r="V330" s="1017"/>
      <c r="W330" s="1017"/>
      <c r="X330" s="1017"/>
      <c r="Y330" s="1017"/>
      <c r="Z330" s="1017"/>
      <c r="AA330" s="1017"/>
      <c r="AB330" s="1017"/>
      <c r="AC330" s="1017"/>
      <c r="AD330" s="1017"/>
      <c r="AE330" s="1017"/>
      <c r="AF330" s="1017"/>
    </row>
    <row r="331" spans="1:32" ht="16.5">
      <c r="A331" s="1022"/>
      <c r="B331" s="1760"/>
      <c r="C331" s="1162">
        <v>43799</v>
      </c>
      <c r="D331" s="1163">
        <v>44163</v>
      </c>
      <c r="E331" s="1163"/>
      <c r="F331" s="1164">
        <v>1175809</v>
      </c>
      <c r="G331" s="1200">
        <v>612723</v>
      </c>
      <c r="H331" s="1178">
        <f t="shared" si="19"/>
        <v>199134.97500000001</v>
      </c>
      <c r="I331" s="1027">
        <f t="shared" si="20"/>
        <v>1175809</v>
      </c>
      <c r="J331" s="1191">
        <f t="shared" si="18"/>
        <v>0.52110759485596725</v>
      </c>
      <c r="K331" s="1445"/>
      <c r="L331" s="1036"/>
      <c r="Q331" s="1036"/>
      <c r="R331" s="1017"/>
      <c r="S331" s="1017"/>
      <c r="T331" s="1351"/>
      <c r="U331" s="1017"/>
      <c r="V331" s="1017"/>
      <c r="W331" s="1017"/>
      <c r="X331" s="1017"/>
      <c r="Y331" s="1017"/>
      <c r="Z331" s="1017"/>
      <c r="AA331" s="1017"/>
      <c r="AB331" s="1017"/>
      <c r="AC331" s="1017"/>
      <c r="AD331" s="1017"/>
      <c r="AE331" s="1017"/>
      <c r="AF331" s="1017"/>
    </row>
    <row r="332" spans="1:32" ht="16.5">
      <c r="A332" s="1022"/>
      <c r="B332" s="1760" t="s">
        <v>393</v>
      </c>
      <c r="C332" s="1162">
        <v>43800</v>
      </c>
      <c r="D332" s="1163">
        <v>44164</v>
      </c>
      <c r="E332" s="1163"/>
      <c r="F332" s="1164">
        <v>684187.28999999992</v>
      </c>
      <c r="G332" s="1200">
        <v>404446</v>
      </c>
      <c r="H332" s="1178">
        <f t="shared" si="19"/>
        <v>131444.95000000001</v>
      </c>
      <c r="I332" s="1027">
        <f t="shared" si="20"/>
        <v>684187.28999999992</v>
      </c>
      <c r="J332" s="1191">
        <f t="shared" si="18"/>
        <v>0.59113345996240307</v>
      </c>
      <c r="K332" s="1445"/>
      <c r="L332" s="1065"/>
      <c r="Q332" s="1036"/>
      <c r="R332" s="1017"/>
      <c r="S332" s="1017"/>
      <c r="T332" s="1351"/>
      <c r="U332" s="1017"/>
      <c r="V332" s="1017"/>
      <c r="W332" s="1017"/>
      <c r="X332" s="1017"/>
      <c r="Y332" s="1017"/>
      <c r="Z332" s="1017"/>
      <c r="AA332" s="1017"/>
      <c r="AB332" s="1017"/>
      <c r="AC332" s="1017"/>
      <c r="AD332" s="1017"/>
      <c r="AE332" s="1017"/>
      <c r="AF332" s="1017"/>
    </row>
    <row r="333" spans="1:32" ht="16.5">
      <c r="A333" s="1022"/>
      <c r="B333" s="1760"/>
      <c r="C333" s="1162">
        <v>43801</v>
      </c>
      <c r="D333" s="1163">
        <v>44165</v>
      </c>
      <c r="E333" s="1514"/>
      <c r="F333" s="108">
        <v>612511.37999999989</v>
      </c>
      <c r="G333" s="1200">
        <v>452197</v>
      </c>
      <c r="H333" s="1178">
        <f t="shared" si="19"/>
        <v>146964.02499999999</v>
      </c>
      <c r="I333" s="1027">
        <f t="shared" si="20"/>
        <v>612511.37999999989</v>
      </c>
      <c r="J333" s="1191">
        <f t="shared" si="18"/>
        <v>0.73826709962515324</v>
      </c>
      <c r="K333" s="1445"/>
      <c r="L333" s="1065"/>
      <c r="Q333" s="1036"/>
      <c r="R333" s="1017"/>
      <c r="S333" s="1017"/>
      <c r="T333" s="1351"/>
      <c r="U333" s="1017"/>
      <c r="V333" s="1017"/>
      <c r="W333" s="1017"/>
      <c r="X333" s="1017"/>
      <c r="Y333" s="1017"/>
      <c r="Z333" s="1017"/>
      <c r="AA333" s="1017"/>
      <c r="AB333" s="1017"/>
      <c r="AC333" s="1017"/>
      <c r="AD333" s="1017"/>
      <c r="AE333" s="1017"/>
      <c r="AF333" s="1017"/>
    </row>
    <row r="334" spans="1:32" ht="16.5">
      <c r="A334" s="1022"/>
      <c r="B334" s="1760"/>
      <c r="C334" s="1162">
        <v>43802</v>
      </c>
      <c r="D334" s="1163">
        <v>44166</v>
      </c>
      <c r="E334" s="1163"/>
      <c r="F334" s="1164">
        <v>624232.31999999983</v>
      </c>
      <c r="G334" s="1200">
        <v>502666</v>
      </c>
      <c r="H334" s="1178">
        <f t="shared" si="19"/>
        <v>163366.45000000001</v>
      </c>
      <c r="I334" s="1027">
        <f t="shared" si="20"/>
        <v>624232.31999999983</v>
      </c>
      <c r="J334" s="1191">
        <f t="shared" si="18"/>
        <v>0.80525468466611938</v>
      </c>
      <c r="K334" s="1445"/>
      <c r="L334" s="1036"/>
      <c r="M334" s="1169"/>
      <c r="N334" s="1169"/>
      <c r="O334" s="1169"/>
      <c r="P334" s="1169"/>
      <c r="Q334" s="1017"/>
      <c r="R334" s="1017"/>
      <c r="S334" s="1017"/>
      <c r="T334" s="1351"/>
      <c r="U334" s="1017"/>
      <c r="V334" s="1017"/>
      <c r="W334" s="1017"/>
      <c r="X334" s="1017"/>
      <c r="Y334" s="1017"/>
      <c r="Z334" s="1017"/>
      <c r="AA334" s="1017"/>
      <c r="AB334" s="1017"/>
      <c r="AC334" s="1017"/>
      <c r="AD334" s="1017"/>
      <c r="AE334" s="1017"/>
      <c r="AF334" s="1017"/>
    </row>
    <row r="335" spans="1:32" ht="16.5">
      <c r="A335" s="1022"/>
      <c r="B335" s="1760"/>
      <c r="C335" s="1162">
        <v>43803</v>
      </c>
      <c r="D335" s="1163">
        <v>44167</v>
      </c>
      <c r="E335" s="1163"/>
      <c r="F335" s="1164">
        <v>637562.8400000002</v>
      </c>
      <c r="G335" s="1200">
        <v>397241</v>
      </c>
      <c r="H335" s="1178">
        <f t="shared" si="19"/>
        <v>129103.32500000001</v>
      </c>
      <c r="I335" s="1027">
        <f t="shared" si="20"/>
        <v>637562.8400000002</v>
      </c>
      <c r="J335" s="1191">
        <f t="shared" si="18"/>
        <v>0.62306172047291819</v>
      </c>
      <c r="K335" s="1445"/>
      <c r="L335" s="1036"/>
      <c r="M335" s="1036"/>
      <c r="N335" s="1036"/>
      <c r="O335" s="1036"/>
      <c r="P335" s="1036"/>
      <c r="Q335" s="1017"/>
      <c r="R335" s="1017"/>
      <c r="S335" s="1017"/>
      <c r="T335" s="1351"/>
      <c r="U335" s="1017"/>
      <c r="V335" s="1017"/>
      <c r="W335" s="1017"/>
      <c r="X335" s="1017"/>
      <c r="Y335" s="1017"/>
      <c r="Z335" s="1017"/>
      <c r="AA335" s="1017"/>
      <c r="AB335" s="1017"/>
      <c r="AC335" s="1017"/>
      <c r="AD335" s="1017"/>
      <c r="AE335" s="1017"/>
      <c r="AF335" s="1017"/>
    </row>
    <row r="336" spans="1:32" ht="16.5">
      <c r="A336" s="1022"/>
      <c r="B336" s="1760"/>
      <c r="C336" s="1162">
        <v>43804</v>
      </c>
      <c r="D336" s="1163">
        <v>44168</v>
      </c>
      <c r="E336" s="1163"/>
      <c r="F336" s="1164">
        <v>747391.7</v>
      </c>
      <c r="G336" s="1200">
        <v>417529</v>
      </c>
      <c r="H336" s="1178">
        <f t="shared" si="19"/>
        <v>135696.92500000002</v>
      </c>
      <c r="I336" s="1027">
        <f t="shared" si="20"/>
        <v>747391.7</v>
      </c>
      <c r="J336" s="1191">
        <f t="shared" si="18"/>
        <v>0.55864816267025719</v>
      </c>
      <c r="K336" s="1445"/>
      <c r="L336" s="1036"/>
      <c r="M336" s="1036"/>
      <c r="N336" s="1036"/>
      <c r="O336" s="1036"/>
      <c r="P336" s="1036"/>
      <c r="Q336" s="1017"/>
      <c r="R336" s="1017"/>
      <c r="S336" s="1017"/>
      <c r="T336" s="1351"/>
      <c r="U336" s="1017"/>
      <c r="V336" s="1017"/>
      <c r="W336" s="1017"/>
      <c r="X336" s="1017"/>
      <c r="Y336" s="1017"/>
      <c r="Z336" s="1017"/>
      <c r="AA336" s="1017"/>
      <c r="AB336" s="1017"/>
      <c r="AC336" s="1017"/>
      <c r="AD336" s="1017"/>
      <c r="AE336" s="1017"/>
      <c r="AF336" s="1017"/>
    </row>
    <row r="337" spans="1:32" ht="16.5">
      <c r="A337" s="1022"/>
      <c r="B337" s="1760"/>
      <c r="C337" s="1162">
        <v>43805</v>
      </c>
      <c r="D337" s="1163">
        <v>44169</v>
      </c>
      <c r="E337" s="1163"/>
      <c r="F337" s="1164">
        <v>934186.79000000015</v>
      </c>
      <c r="G337" s="1200">
        <v>500000</v>
      </c>
      <c r="H337" s="1178">
        <f t="shared" si="19"/>
        <v>162500</v>
      </c>
      <c r="I337" s="1027">
        <f t="shared" si="20"/>
        <v>934186.79000000015</v>
      </c>
      <c r="J337" s="1191">
        <f t="shared" si="18"/>
        <v>0.53522486653873569</v>
      </c>
      <c r="K337" s="1445"/>
      <c r="L337" s="1036"/>
      <c r="M337" s="1036"/>
      <c r="N337" s="1036"/>
      <c r="O337" s="1036"/>
      <c r="P337" s="1036"/>
      <c r="Q337" s="1017"/>
      <c r="R337" s="1017"/>
      <c r="S337" s="1017"/>
      <c r="T337" s="1351"/>
      <c r="U337" s="1017"/>
      <c r="V337" s="1017"/>
      <c r="W337" s="1017"/>
      <c r="X337" s="1017"/>
      <c r="Y337" s="1017"/>
      <c r="Z337" s="1017"/>
      <c r="AA337" s="1017"/>
      <c r="AB337" s="1017"/>
      <c r="AC337" s="1017"/>
      <c r="AD337" s="1017"/>
      <c r="AE337" s="1017"/>
      <c r="AF337" s="1017"/>
    </row>
    <row r="338" spans="1:32" ht="16.5">
      <c r="A338" s="1022"/>
      <c r="B338" s="1761"/>
      <c r="C338" s="1171">
        <v>43806</v>
      </c>
      <c r="D338" s="1172">
        <v>44170</v>
      </c>
      <c r="E338" s="1172"/>
      <c r="F338" s="1173">
        <v>1451707.7200000002</v>
      </c>
      <c r="G338" s="1174">
        <v>742000</v>
      </c>
      <c r="H338" s="1181">
        <f t="shared" si="19"/>
        <v>241150</v>
      </c>
      <c r="I338" s="1107">
        <f t="shared" si="20"/>
        <v>1451707.7200000002</v>
      </c>
      <c r="J338" s="1194">
        <f t="shared" si="18"/>
        <v>0.51112216996407511</v>
      </c>
      <c r="K338" s="1445"/>
      <c r="L338" s="1036"/>
      <c r="M338" s="1036"/>
      <c r="N338" s="1036"/>
      <c r="O338" s="1036"/>
      <c r="P338" s="1036"/>
      <c r="Q338" s="1017"/>
      <c r="R338" s="1017"/>
      <c r="S338" s="1017"/>
      <c r="T338" s="1351"/>
      <c r="U338" s="1017"/>
      <c r="V338" s="1017"/>
      <c r="W338" s="1017"/>
      <c r="X338" s="1017"/>
      <c r="Y338" s="1017"/>
      <c r="Z338" s="1017"/>
      <c r="AA338" s="1017"/>
      <c r="AB338" s="1017"/>
      <c r="AC338" s="1017"/>
      <c r="AD338" s="1017"/>
      <c r="AE338" s="1017"/>
      <c r="AF338" s="1017"/>
    </row>
    <row r="339" spans="1:32" ht="16.5">
      <c r="A339" s="1022"/>
      <c r="B339" s="1727" t="s">
        <v>394</v>
      </c>
      <c r="C339" s="1155">
        <v>43807</v>
      </c>
      <c r="D339" s="1156">
        <v>44171</v>
      </c>
      <c r="E339" s="1156"/>
      <c r="F339" s="1157">
        <v>957747.06</v>
      </c>
      <c r="G339" s="1209">
        <v>539050</v>
      </c>
      <c r="H339" s="1026">
        <f t="shared" si="19"/>
        <v>175191.25</v>
      </c>
      <c r="I339" s="1210">
        <f t="shared" si="20"/>
        <v>957747.06</v>
      </c>
      <c r="J339" s="1211">
        <f t="shared" si="18"/>
        <v>0.56283127614090511</v>
      </c>
      <c r="K339" s="1444"/>
      <c r="L339" s="1212" t="s">
        <v>395</v>
      </c>
      <c r="N339" s="1036"/>
      <c r="O339" s="1036"/>
      <c r="P339" s="1036"/>
      <c r="Q339" s="1017"/>
      <c r="R339" s="1017"/>
      <c r="S339" s="1017"/>
      <c r="T339" s="1351"/>
      <c r="U339" s="1017"/>
      <c r="V339" s="1017"/>
      <c r="W339" s="1017"/>
      <c r="X339" s="1017"/>
      <c r="Y339" s="1017"/>
      <c r="Z339" s="1017"/>
      <c r="AA339" s="1017"/>
      <c r="AB339" s="1017"/>
      <c r="AC339" s="1017"/>
      <c r="AD339" s="1017"/>
      <c r="AE339" s="1017"/>
      <c r="AF339" s="1017"/>
    </row>
    <row r="340" spans="1:32" ht="16.5">
      <c r="A340" s="1022"/>
      <c r="B340" s="1728"/>
      <c r="C340" s="1162">
        <v>43808</v>
      </c>
      <c r="D340" s="1163">
        <v>44172</v>
      </c>
      <c r="E340" s="1163"/>
      <c r="F340" s="1164">
        <v>633237.91999999993</v>
      </c>
      <c r="G340" s="1200">
        <v>530139</v>
      </c>
      <c r="H340" s="1178">
        <f t="shared" si="19"/>
        <v>172295.17500000002</v>
      </c>
      <c r="I340" s="1027">
        <f t="shared" si="20"/>
        <v>633237.91999999993</v>
      </c>
      <c r="J340" s="1188">
        <f t="shared" si="18"/>
        <v>0.83718770347802307</v>
      </c>
      <c r="K340" s="1444"/>
      <c r="L340" s="1036"/>
      <c r="M340" s="1036"/>
      <c r="N340" s="1036"/>
      <c r="O340" s="1036"/>
      <c r="P340" s="1036"/>
      <c r="Q340" s="1017"/>
      <c r="R340" s="1017"/>
      <c r="S340" s="1017"/>
      <c r="T340" s="1351"/>
      <c r="U340" s="1017"/>
      <c r="V340" s="1017"/>
      <c r="W340" s="1017"/>
      <c r="X340" s="1017"/>
      <c r="Y340" s="1017"/>
      <c r="Z340" s="1017"/>
      <c r="AA340" s="1017"/>
      <c r="AB340" s="1017"/>
      <c r="AC340" s="1017"/>
      <c r="AD340" s="1017"/>
      <c r="AE340" s="1017"/>
      <c r="AF340" s="1017"/>
    </row>
    <row r="341" spans="1:32" ht="16.5">
      <c r="A341" s="1022"/>
      <c r="B341" s="1728"/>
      <c r="C341" s="1162">
        <v>43809</v>
      </c>
      <c r="D341" s="1163">
        <v>44173</v>
      </c>
      <c r="E341" s="1163"/>
      <c r="F341" s="1164">
        <v>770841.7</v>
      </c>
      <c r="G341" s="1200">
        <v>495821</v>
      </c>
      <c r="H341" s="1178">
        <f t="shared" si="19"/>
        <v>161141.82500000001</v>
      </c>
      <c r="I341" s="1027">
        <f t="shared" si="20"/>
        <v>770841.7</v>
      </c>
      <c r="J341" s="1188">
        <f t="shared" si="18"/>
        <v>0.64322026169575419</v>
      </c>
      <c r="K341" s="1444"/>
      <c r="L341" s="1036"/>
      <c r="M341" s="1036"/>
      <c r="N341" s="1036"/>
      <c r="O341" s="1036"/>
      <c r="P341" s="1036"/>
      <c r="Q341" s="1017"/>
      <c r="R341" s="1017"/>
      <c r="S341" s="1017"/>
      <c r="T341" s="1351"/>
      <c r="U341" s="1017"/>
      <c r="V341" s="1017"/>
      <c r="W341" s="1017"/>
      <c r="X341" s="1017"/>
      <c r="Y341" s="1017"/>
      <c r="Z341" s="1017"/>
      <c r="AA341" s="1017"/>
      <c r="AB341" s="1017"/>
      <c r="AC341" s="1017"/>
      <c r="AD341" s="1017"/>
      <c r="AE341" s="1017"/>
      <c r="AF341" s="1017"/>
    </row>
    <row r="342" spans="1:32" ht="16.5">
      <c r="A342" s="1022"/>
      <c r="B342" s="1728"/>
      <c r="C342" s="1162">
        <v>43810</v>
      </c>
      <c r="D342" s="1163">
        <v>44174</v>
      </c>
      <c r="E342" s="1163"/>
      <c r="F342" s="1164">
        <v>834651.05</v>
      </c>
      <c r="G342" s="1200">
        <v>553268</v>
      </c>
      <c r="H342" s="1178">
        <f t="shared" si="19"/>
        <v>179812.1</v>
      </c>
      <c r="I342" s="1027">
        <f t="shared" si="20"/>
        <v>834651.05</v>
      </c>
      <c r="J342" s="1188">
        <f t="shared" si="18"/>
        <v>0.66287342476835076</v>
      </c>
      <c r="K342" s="1444"/>
      <c r="L342" s="1036"/>
      <c r="N342" s="1036"/>
      <c r="O342" s="1036"/>
      <c r="P342" s="1036"/>
      <c r="Q342" s="1017"/>
      <c r="R342" s="1017"/>
      <c r="S342" s="1017"/>
      <c r="T342" s="1351"/>
      <c r="U342" s="1017"/>
      <c r="V342" s="1017"/>
      <c r="W342" s="1017"/>
      <c r="X342" s="1017"/>
      <c r="Y342" s="1017"/>
      <c r="Z342" s="1017"/>
      <c r="AA342" s="1017"/>
      <c r="AB342" s="1017"/>
      <c r="AC342" s="1017"/>
      <c r="AD342" s="1017"/>
      <c r="AE342" s="1017"/>
      <c r="AF342" s="1017"/>
    </row>
    <row r="343" spans="1:32" ht="16.5">
      <c r="A343" s="1022"/>
      <c r="B343" s="1728"/>
      <c r="C343" s="1162">
        <v>43811</v>
      </c>
      <c r="D343" s="1163">
        <v>44175</v>
      </c>
      <c r="E343" s="1163"/>
      <c r="F343" s="1164">
        <v>951471.57999999973</v>
      </c>
      <c r="G343" s="1200">
        <v>607852</v>
      </c>
      <c r="H343" s="1178">
        <f t="shared" si="19"/>
        <v>197551.9</v>
      </c>
      <c r="I343" s="1027">
        <f t="shared" si="20"/>
        <v>951471.57999999973</v>
      </c>
      <c r="J343" s="1188">
        <f t="shared" si="18"/>
        <v>0.63885460456948195</v>
      </c>
      <c r="K343" s="1444"/>
      <c r="L343" s="1036"/>
      <c r="M343" s="1213"/>
      <c r="N343" s="1036"/>
      <c r="O343" s="1036"/>
      <c r="P343" s="1036"/>
      <c r="Q343" s="1017"/>
      <c r="R343" s="1017"/>
      <c r="S343" s="1017"/>
      <c r="T343" s="1351"/>
      <c r="U343" s="1017"/>
      <c r="V343" s="1017"/>
      <c r="W343" s="1017"/>
      <c r="X343" s="1017"/>
      <c r="Y343" s="1017"/>
      <c r="Z343" s="1017"/>
      <c r="AA343" s="1017"/>
      <c r="AB343" s="1017"/>
      <c r="AC343" s="1017"/>
      <c r="AD343" s="1017"/>
      <c r="AE343" s="1017"/>
      <c r="AF343" s="1017"/>
    </row>
    <row r="344" spans="1:32" ht="16.5">
      <c r="A344" s="1022"/>
      <c r="B344" s="1728"/>
      <c r="C344" s="1162">
        <v>43812</v>
      </c>
      <c r="D344" s="1163">
        <v>44176</v>
      </c>
      <c r="E344" s="1163"/>
      <c r="F344" s="1164">
        <v>1209970.7600000002</v>
      </c>
      <c r="G344" s="1200">
        <v>730142</v>
      </c>
      <c r="H344" s="1178">
        <f t="shared" si="19"/>
        <v>237296.15</v>
      </c>
      <c r="I344" s="1027">
        <f t="shared" si="20"/>
        <v>1209970.7600000002</v>
      </c>
      <c r="J344" s="1188">
        <f t="shared" si="18"/>
        <v>0.60343772274298579</v>
      </c>
      <c r="K344" s="1444"/>
      <c r="L344" s="1036"/>
      <c r="N344" s="1036"/>
      <c r="O344" s="1036"/>
      <c r="P344" s="1036"/>
      <c r="Q344" s="1017"/>
      <c r="R344" s="1017"/>
      <c r="S344" s="1017"/>
      <c r="T344" s="1351"/>
      <c r="U344" s="1017"/>
      <c r="V344" s="1017"/>
      <c r="W344" s="1017"/>
      <c r="X344" s="1017"/>
      <c r="Y344" s="1017"/>
      <c r="Z344" s="1017"/>
      <c r="AA344" s="1017"/>
      <c r="AB344" s="1017"/>
      <c r="AC344" s="1017"/>
      <c r="AD344" s="1017"/>
      <c r="AE344" s="1017"/>
      <c r="AF344" s="1017"/>
    </row>
    <row r="345" spans="1:32" ht="16.5">
      <c r="A345" s="1022"/>
      <c r="B345" s="1736"/>
      <c r="C345" s="1171">
        <v>43813</v>
      </c>
      <c r="D345" s="1172">
        <v>44177</v>
      </c>
      <c r="E345" s="1172"/>
      <c r="F345" s="1173">
        <v>1738331.5599999996</v>
      </c>
      <c r="G345" s="1193">
        <v>1005273</v>
      </c>
      <c r="H345" s="1181">
        <f>(G345*0.5)*0.65</f>
        <v>326713.72500000003</v>
      </c>
      <c r="I345" s="1107">
        <f t="shared" si="20"/>
        <v>1738331.5599999996</v>
      </c>
      <c r="J345" s="1214">
        <f t="shared" si="18"/>
        <v>0.5782976177456044</v>
      </c>
      <c r="K345" s="1444"/>
      <c r="L345" s="1036"/>
      <c r="M345" s="1036"/>
      <c r="N345" s="1036"/>
      <c r="O345" s="1036"/>
      <c r="P345" s="1036"/>
      <c r="Q345" s="1017"/>
      <c r="R345" s="1017"/>
      <c r="S345" s="1017"/>
      <c r="T345" s="1351"/>
      <c r="U345" s="1017"/>
      <c r="V345" s="1017"/>
      <c r="W345" s="1017"/>
      <c r="X345" s="1017"/>
      <c r="Y345" s="1017"/>
      <c r="Z345" s="1017"/>
      <c r="AA345" s="1017"/>
      <c r="AB345" s="1017"/>
      <c r="AC345" s="1017"/>
      <c r="AD345" s="1017"/>
      <c r="AE345" s="1017"/>
      <c r="AF345" s="1017"/>
    </row>
    <row r="346" spans="1:32" ht="16.5">
      <c r="A346" s="1022"/>
      <c r="B346" s="1727" t="s">
        <v>396</v>
      </c>
      <c r="C346" s="1155">
        <v>43814</v>
      </c>
      <c r="D346" s="1156">
        <v>44178</v>
      </c>
      <c r="E346" s="1156"/>
      <c r="F346" s="1157">
        <v>1251209.1199999999</v>
      </c>
      <c r="G346" s="1209">
        <v>695698</v>
      </c>
      <c r="H346" s="1026">
        <f t="shared" si="19"/>
        <v>226101.85</v>
      </c>
      <c r="I346" s="1210">
        <f t="shared" si="20"/>
        <v>1251209.1199999999</v>
      </c>
      <c r="J346" s="1211">
        <f t="shared" si="18"/>
        <v>0.55602056353297691</v>
      </c>
      <c r="K346" s="1444"/>
      <c r="L346" s="1036"/>
      <c r="M346" s="1036"/>
      <c r="N346" s="1036"/>
      <c r="O346" s="1036"/>
      <c r="P346" s="1036"/>
      <c r="Q346" s="1017"/>
      <c r="R346" s="1017"/>
      <c r="S346" s="1017"/>
      <c r="T346" s="1351"/>
      <c r="U346" s="1017"/>
      <c r="V346" s="1017"/>
      <c r="W346" s="1017"/>
      <c r="X346" s="1017"/>
      <c r="Y346" s="1017"/>
      <c r="Z346" s="1017"/>
      <c r="AA346" s="1017"/>
      <c r="AB346" s="1017"/>
      <c r="AC346" s="1017"/>
      <c r="AD346" s="1017"/>
      <c r="AE346" s="1017"/>
      <c r="AF346" s="1017"/>
    </row>
    <row r="347" spans="1:32" ht="16.5">
      <c r="A347" s="1022"/>
      <c r="B347" s="1728"/>
      <c r="C347" s="1162">
        <v>43815</v>
      </c>
      <c r="D347" s="1163">
        <v>44179</v>
      </c>
      <c r="E347" s="1163"/>
      <c r="F347" s="1164">
        <v>1233567.3500000003</v>
      </c>
      <c r="G347" s="1200">
        <v>694861</v>
      </c>
      <c r="H347" s="1178">
        <f t="shared" si="19"/>
        <v>225829.82500000001</v>
      </c>
      <c r="I347" s="1027">
        <f t="shared" si="20"/>
        <v>1233567.3500000003</v>
      </c>
      <c r="J347" s="1188">
        <f t="shared" si="18"/>
        <v>0.56329392959371027</v>
      </c>
      <c r="K347" s="1444"/>
      <c r="L347" s="1036"/>
      <c r="M347" s="1036"/>
      <c r="N347" s="1036"/>
      <c r="O347" s="1036"/>
      <c r="P347" s="1036"/>
      <c r="Q347" s="1017"/>
      <c r="R347" s="1017"/>
      <c r="S347" s="1017"/>
      <c r="T347" s="1351"/>
      <c r="U347" s="1017"/>
      <c r="V347" s="1017"/>
      <c r="W347" s="1017"/>
      <c r="X347" s="1017"/>
      <c r="Y347" s="1017"/>
      <c r="Z347" s="1017"/>
      <c r="AA347" s="1017"/>
      <c r="AB347" s="1017"/>
      <c r="AC347" s="1017"/>
      <c r="AD347" s="1017"/>
      <c r="AE347" s="1017"/>
      <c r="AF347" s="1017"/>
    </row>
    <row r="348" spans="1:32" ht="16.5">
      <c r="A348" s="1022"/>
      <c r="B348" s="1728"/>
      <c r="C348" s="1162">
        <v>43816</v>
      </c>
      <c r="D348" s="1163">
        <v>44180</v>
      </c>
      <c r="E348" s="1163"/>
      <c r="F348" s="1164">
        <v>1092044.6199999999</v>
      </c>
      <c r="G348" s="1200">
        <v>769994</v>
      </c>
      <c r="H348" s="1178">
        <f t="shared" si="19"/>
        <v>250248.05000000002</v>
      </c>
      <c r="I348" s="1027">
        <f t="shared" si="20"/>
        <v>1092044.6199999999</v>
      </c>
      <c r="J348" s="1188">
        <f t="shared" si="18"/>
        <v>0.70509389991775251</v>
      </c>
      <c r="K348" s="1444"/>
      <c r="L348" s="1036"/>
      <c r="M348" s="1036"/>
      <c r="N348" s="1036"/>
      <c r="O348" s="1036"/>
      <c r="P348" s="1036"/>
      <c r="Q348" s="1017"/>
      <c r="R348" s="1017"/>
      <c r="S348" s="1017"/>
      <c r="T348" s="1351"/>
      <c r="U348" s="1017"/>
      <c r="V348" s="1017"/>
      <c r="W348" s="1017"/>
      <c r="X348" s="1017"/>
      <c r="Y348" s="1017"/>
      <c r="Z348" s="1017"/>
      <c r="AA348" s="1017"/>
      <c r="AB348" s="1017"/>
      <c r="AC348" s="1017"/>
      <c r="AD348" s="1017"/>
      <c r="AE348" s="1017"/>
      <c r="AF348" s="1017"/>
    </row>
    <row r="349" spans="1:32" ht="16.5">
      <c r="A349" s="1022"/>
      <c r="B349" s="1728"/>
      <c r="C349" s="1162">
        <v>43817</v>
      </c>
      <c r="D349" s="1163">
        <v>44181</v>
      </c>
      <c r="E349" s="1163"/>
      <c r="F349" s="1164">
        <v>1144252.1399999999</v>
      </c>
      <c r="G349" s="1200">
        <v>740324</v>
      </c>
      <c r="H349" s="1178">
        <f t="shared" si="19"/>
        <v>240605.30000000002</v>
      </c>
      <c r="I349" s="1027">
        <f t="shared" si="20"/>
        <v>1144252.1399999999</v>
      </c>
      <c r="J349" s="1188">
        <f t="shared" si="18"/>
        <v>0.64699376485326043</v>
      </c>
      <c r="K349" s="1444"/>
      <c r="L349" s="1036"/>
      <c r="N349" s="1036"/>
      <c r="O349" s="1036"/>
      <c r="P349" s="1036"/>
      <c r="Q349" s="1017"/>
      <c r="R349" s="1017"/>
      <c r="S349" s="1017"/>
      <c r="T349" s="1351"/>
      <c r="U349" s="1017"/>
      <c r="V349" s="1017"/>
      <c r="W349" s="1017"/>
      <c r="X349" s="1017"/>
      <c r="Y349" s="1017"/>
      <c r="Z349" s="1017"/>
      <c r="AA349" s="1017"/>
      <c r="AB349" s="1017"/>
      <c r="AC349" s="1017"/>
      <c r="AD349" s="1017"/>
      <c r="AE349" s="1017"/>
      <c r="AF349" s="1017"/>
    </row>
    <row r="350" spans="1:32" ht="16.5">
      <c r="A350" s="1022"/>
      <c r="B350" s="1728"/>
      <c r="C350" s="1162">
        <v>43818</v>
      </c>
      <c r="D350" s="1163">
        <v>44182</v>
      </c>
      <c r="E350" s="1163"/>
      <c r="F350" s="1164">
        <v>1180505.2200000002</v>
      </c>
      <c r="G350" s="1200">
        <v>811624</v>
      </c>
      <c r="H350" s="1178">
        <f t="shared" si="19"/>
        <v>263777.8</v>
      </c>
      <c r="I350" s="1027">
        <f t="shared" si="20"/>
        <v>1180505.2200000002</v>
      </c>
      <c r="J350" s="1188">
        <f t="shared" si="18"/>
        <v>0.68752258461000271</v>
      </c>
      <c r="K350" s="1444"/>
      <c r="L350" s="1036"/>
      <c r="M350" s="1036"/>
      <c r="N350" s="1036"/>
      <c r="O350" s="1036"/>
      <c r="P350" s="1036"/>
      <c r="Q350" s="1017"/>
      <c r="R350" s="1017"/>
      <c r="S350" s="1017"/>
      <c r="T350" s="1351"/>
      <c r="U350" s="1017"/>
      <c r="V350" s="1017"/>
      <c r="W350" s="1017"/>
      <c r="X350" s="1017"/>
      <c r="Y350" s="1017"/>
      <c r="Z350" s="1017"/>
      <c r="AA350" s="1017"/>
      <c r="AB350" s="1017"/>
      <c r="AC350" s="1017"/>
      <c r="AD350" s="1017"/>
      <c r="AE350" s="1017"/>
      <c r="AF350" s="1017"/>
    </row>
    <row r="351" spans="1:32" ht="16.5">
      <c r="A351" s="1022"/>
      <c r="B351" s="1728"/>
      <c r="C351" s="1162">
        <v>43819</v>
      </c>
      <c r="D351" s="1163">
        <v>44183</v>
      </c>
      <c r="E351" s="1163"/>
      <c r="F351" s="1164">
        <v>1468439.8499999996</v>
      </c>
      <c r="G351" s="1200">
        <v>868251</v>
      </c>
      <c r="H351" s="1178">
        <f t="shared" si="19"/>
        <v>282181.57500000001</v>
      </c>
      <c r="I351" s="1027">
        <f t="shared" si="20"/>
        <v>1468439.8499999996</v>
      </c>
      <c r="J351" s="1188">
        <f t="shared" si="18"/>
        <v>0.59127447406170586</v>
      </c>
      <c r="K351" s="1444"/>
      <c r="L351" s="1036"/>
      <c r="M351" s="1036"/>
      <c r="N351" s="1036"/>
      <c r="O351" s="1036"/>
      <c r="P351" s="1036"/>
      <c r="Q351" s="1017"/>
      <c r="R351" s="1017"/>
      <c r="S351" s="1017"/>
      <c r="T351" s="1351"/>
      <c r="U351" s="1017"/>
      <c r="V351" s="1017"/>
      <c r="W351" s="1017"/>
      <c r="X351" s="1017"/>
      <c r="Y351" s="1017"/>
      <c r="Z351" s="1017"/>
      <c r="AA351" s="1017"/>
      <c r="AB351" s="1017"/>
      <c r="AC351" s="1017"/>
      <c r="AD351" s="1017"/>
      <c r="AE351" s="1017"/>
      <c r="AF351" s="1017"/>
    </row>
    <row r="352" spans="1:32" ht="16.5">
      <c r="A352" s="1022"/>
      <c r="B352" s="1729"/>
      <c r="C352" s="1197">
        <v>43820</v>
      </c>
      <c r="D352" s="1198">
        <v>44184</v>
      </c>
      <c r="E352" s="1198"/>
      <c r="F352" s="1199">
        <v>1910221.8900000001</v>
      </c>
      <c r="G352" s="1200">
        <v>1250455</v>
      </c>
      <c r="H352" s="1201">
        <f t="shared" si="19"/>
        <v>406397.875</v>
      </c>
      <c r="I352" s="1215">
        <f t="shared" si="20"/>
        <v>1910221.8900000001</v>
      </c>
      <c r="J352" s="1216">
        <f t="shared" si="18"/>
        <v>0.6546124335325253</v>
      </c>
      <c r="K352" s="1444"/>
      <c r="L352" s="1036"/>
      <c r="M352" s="1036"/>
      <c r="N352" s="1036"/>
      <c r="O352" s="1036"/>
      <c r="P352" s="1036"/>
      <c r="Q352" s="1017"/>
      <c r="R352" s="1017"/>
      <c r="S352" s="1017"/>
      <c r="T352" s="1351"/>
      <c r="U352" s="1017"/>
      <c r="V352" s="1017"/>
      <c r="W352" s="1017"/>
      <c r="X352" s="1017"/>
      <c r="Y352" s="1017"/>
      <c r="Z352" s="1017"/>
      <c r="AA352" s="1017"/>
      <c r="AB352" s="1017"/>
      <c r="AC352" s="1017"/>
      <c r="AD352" s="1017"/>
      <c r="AE352" s="1017"/>
      <c r="AF352" s="1017"/>
    </row>
    <row r="353" spans="1:32" ht="16.5">
      <c r="A353" s="1022"/>
      <c r="B353" s="1737" t="s">
        <v>397</v>
      </c>
      <c r="C353" s="1202">
        <v>43821</v>
      </c>
      <c r="D353" s="1203">
        <v>44185</v>
      </c>
      <c r="E353" s="1203"/>
      <c r="F353" s="1204">
        <v>1808802.1100000003</v>
      </c>
      <c r="G353" s="1205">
        <v>1042861</v>
      </c>
      <c r="H353" s="1206">
        <f t="shared" si="19"/>
        <v>338929.82500000001</v>
      </c>
      <c r="I353" s="1125">
        <f t="shared" si="20"/>
        <v>1808802.1100000003</v>
      </c>
      <c r="J353" s="1217">
        <f t="shared" si="18"/>
        <v>0.57654786791463875</v>
      </c>
      <c r="K353" s="1444"/>
      <c r="L353" s="1036"/>
      <c r="N353" s="1036"/>
      <c r="O353" s="1036"/>
      <c r="P353" s="1036"/>
      <c r="Q353" s="1017"/>
      <c r="R353" s="1017"/>
      <c r="S353" s="1017"/>
      <c r="T353" s="1351"/>
      <c r="U353" s="1017"/>
      <c r="V353" s="1017"/>
      <c r="W353" s="1017"/>
      <c r="X353" s="1017"/>
      <c r="Y353" s="1017"/>
      <c r="Z353" s="1017"/>
      <c r="AA353" s="1017"/>
      <c r="AB353" s="1017"/>
      <c r="AC353" s="1017"/>
      <c r="AD353" s="1017"/>
      <c r="AE353" s="1017"/>
      <c r="AF353" s="1017"/>
    </row>
    <row r="354" spans="1:32" ht="16.5">
      <c r="A354" s="1022"/>
      <c r="B354" s="1728"/>
      <c r="C354" s="1162">
        <v>43822</v>
      </c>
      <c r="D354" s="1163">
        <v>44186</v>
      </c>
      <c r="E354" s="1163"/>
      <c r="F354" s="1164">
        <v>2432543.2800000003</v>
      </c>
      <c r="G354" s="1200">
        <v>1215222</v>
      </c>
      <c r="H354" s="1178">
        <f t="shared" si="19"/>
        <v>394947.15</v>
      </c>
      <c r="I354" s="1027">
        <f t="shared" si="20"/>
        <v>2432543.2800000003</v>
      </c>
      <c r="J354" s="1217">
        <f t="shared" si="18"/>
        <v>0.49956850099703048</v>
      </c>
      <c r="K354" s="1444"/>
      <c r="L354" s="1036"/>
      <c r="M354" s="1036"/>
      <c r="N354" s="1036"/>
      <c r="O354" s="1036"/>
      <c r="P354" s="1036"/>
      <c r="Q354" s="1017"/>
      <c r="R354" s="1017"/>
      <c r="S354" s="1017"/>
      <c r="T354" s="1351"/>
      <c r="U354" s="1017"/>
      <c r="V354" s="1017"/>
      <c r="W354" s="1017"/>
      <c r="X354" s="1017"/>
      <c r="Y354" s="1017"/>
      <c r="Z354" s="1017"/>
      <c r="AA354" s="1017"/>
      <c r="AB354" s="1017"/>
      <c r="AC354" s="1017"/>
      <c r="AD354" s="1017"/>
      <c r="AE354" s="1017"/>
      <c r="AF354" s="1017"/>
    </row>
    <row r="355" spans="1:32" ht="16.5">
      <c r="A355" s="1022"/>
      <c r="B355" s="1728"/>
      <c r="C355" s="1162">
        <v>43823</v>
      </c>
      <c r="D355" s="1163">
        <v>44187</v>
      </c>
      <c r="E355" s="1163"/>
      <c r="F355" s="1164">
        <v>2012713.9</v>
      </c>
      <c r="G355" s="1200">
        <v>1370167</v>
      </c>
      <c r="H355" s="1178">
        <f t="shared" si="19"/>
        <v>445304.27500000002</v>
      </c>
      <c r="I355" s="1027">
        <f t="shared" si="20"/>
        <v>2012713.9</v>
      </c>
      <c r="J355" s="1217">
        <f t="shared" si="18"/>
        <v>0.68075596834701646</v>
      </c>
      <c r="K355" s="1444"/>
      <c r="L355" s="1036"/>
      <c r="Q355" s="1017"/>
      <c r="R355" s="1017"/>
      <c r="S355" s="1017"/>
      <c r="T355" s="1351"/>
      <c r="U355" s="1017"/>
      <c r="V355" s="1017"/>
      <c r="W355" s="1017"/>
      <c r="X355" s="1017"/>
      <c r="Y355" s="1017"/>
      <c r="Z355" s="1017"/>
      <c r="AA355" s="1017"/>
      <c r="AB355" s="1017"/>
      <c r="AC355" s="1017"/>
      <c r="AD355" s="1017"/>
      <c r="AE355" s="1017"/>
      <c r="AF355" s="1017"/>
    </row>
    <row r="356" spans="1:32" ht="16.5">
      <c r="A356" s="1022"/>
      <c r="B356" s="1728"/>
      <c r="C356" s="1162">
        <v>43824</v>
      </c>
      <c r="D356" s="1163">
        <v>44188</v>
      </c>
      <c r="E356" s="1163"/>
      <c r="F356" s="1164">
        <v>75441.05</v>
      </c>
      <c r="G356" s="1200">
        <v>1668476</v>
      </c>
      <c r="H356" s="1178">
        <f t="shared" si="19"/>
        <v>542254.70000000007</v>
      </c>
      <c r="I356" s="1027">
        <f t="shared" si="20"/>
        <v>75441.05</v>
      </c>
      <c r="J356" s="1217">
        <f t="shared" si="18"/>
        <v>22.116288148163367</v>
      </c>
      <c r="K356" s="1444"/>
      <c r="L356" s="1036"/>
      <c r="Q356" s="1017"/>
      <c r="R356" s="1017"/>
      <c r="S356" s="1017"/>
      <c r="T356" s="1351"/>
      <c r="U356" s="1017"/>
      <c r="V356" s="1017"/>
      <c r="W356" s="1017"/>
      <c r="X356" s="1017"/>
      <c r="Y356" s="1017"/>
      <c r="Z356" s="1017"/>
      <c r="AA356" s="1017"/>
      <c r="AB356" s="1017"/>
      <c r="AC356" s="1017"/>
      <c r="AD356" s="1017"/>
      <c r="AE356" s="1017"/>
      <c r="AF356" s="1017"/>
    </row>
    <row r="357" spans="1:32" ht="16.5">
      <c r="A357" s="1022"/>
      <c r="B357" s="1728"/>
      <c r="C357" s="1162">
        <v>43825</v>
      </c>
      <c r="D357" s="1163">
        <v>44189</v>
      </c>
      <c r="E357" s="1163"/>
      <c r="F357" s="1164">
        <v>630001.4800000001</v>
      </c>
      <c r="G357" s="1200">
        <v>1475207</v>
      </c>
      <c r="H357" s="1178">
        <f t="shared" si="19"/>
        <v>479442.27500000002</v>
      </c>
      <c r="I357" s="1027">
        <f t="shared" si="20"/>
        <v>630001.4800000001</v>
      </c>
      <c r="J357" s="1217">
        <f t="shared" si="18"/>
        <v>2.3415929118134766</v>
      </c>
      <c r="K357" s="1444"/>
      <c r="L357" s="1036"/>
      <c r="Q357" s="1017"/>
      <c r="R357" s="1017"/>
      <c r="S357" s="1017"/>
      <c r="T357" s="1351"/>
      <c r="U357" s="1017"/>
      <c r="V357" s="1017"/>
      <c r="W357" s="1017"/>
      <c r="X357" s="1017"/>
      <c r="Y357" s="1017"/>
      <c r="Z357" s="1017"/>
      <c r="AA357" s="1017"/>
      <c r="AB357" s="1017"/>
      <c r="AC357" s="1017"/>
      <c r="AD357" s="1017"/>
      <c r="AE357" s="1017"/>
      <c r="AF357" s="1017"/>
    </row>
    <row r="358" spans="1:32" ht="16.5">
      <c r="A358" s="1022"/>
      <c r="B358" s="1728"/>
      <c r="C358" s="1162">
        <v>43826</v>
      </c>
      <c r="D358" s="1163">
        <v>44190</v>
      </c>
      <c r="E358" s="1163"/>
      <c r="F358" s="1164">
        <v>613816.76000000013</v>
      </c>
      <c r="G358" s="1200">
        <v>32664</v>
      </c>
      <c r="H358" s="1178">
        <f t="shared" si="19"/>
        <v>10615.800000000001</v>
      </c>
      <c r="I358" s="1027">
        <f t="shared" si="20"/>
        <v>613816.76000000013</v>
      </c>
      <c r="J358" s="1217">
        <f t="shared" si="18"/>
        <v>5.3214578239929443E-2</v>
      </c>
      <c r="K358" s="1444"/>
      <c r="L358" s="1036"/>
      <c r="N358" s="1036"/>
      <c r="O358" s="1036"/>
      <c r="P358" s="1036"/>
      <c r="Q358" s="1017"/>
      <c r="R358" s="1017"/>
      <c r="S358" s="1017"/>
      <c r="T358" s="1351"/>
      <c r="U358" s="1017"/>
      <c r="V358" s="1017"/>
      <c r="W358" s="1017"/>
      <c r="X358" s="1017"/>
      <c r="Y358" s="1017"/>
      <c r="Z358" s="1017"/>
      <c r="AA358" s="1017"/>
      <c r="AB358" s="1017"/>
      <c r="AC358" s="1017"/>
      <c r="AD358" s="1017"/>
      <c r="AE358" s="1017"/>
      <c r="AF358" s="1017"/>
    </row>
    <row r="359" spans="1:32" ht="16.5">
      <c r="A359" s="1022"/>
      <c r="B359" s="1736"/>
      <c r="C359" s="1171">
        <v>43827</v>
      </c>
      <c r="D359" s="1172">
        <v>44191</v>
      </c>
      <c r="E359" s="1172"/>
      <c r="F359" s="1173">
        <v>627055.02999999991</v>
      </c>
      <c r="G359" s="1174">
        <v>516121</v>
      </c>
      <c r="H359" s="1181">
        <f t="shared" si="19"/>
        <v>167739.32500000001</v>
      </c>
      <c r="I359" s="1107">
        <f t="shared" si="20"/>
        <v>627055.02999999991</v>
      </c>
      <c r="J359" s="1217">
        <f t="shared" si="18"/>
        <v>0.82308724961507773</v>
      </c>
      <c r="K359" s="1444"/>
      <c r="L359" s="1036"/>
      <c r="Q359" s="1017"/>
      <c r="R359" s="1017"/>
      <c r="S359" s="1017"/>
      <c r="T359" s="1351"/>
      <c r="U359" s="1017"/>
      <c r="V359" s="1017"/>
      <c r="W359" s="1017"/>
      <c r="X359" s="1017"/>
      <c r="Y359" s="1017"/>
      <c r="Z359" s="1017"/>
      <c r="AA359" s="1017"/>
      <c r="AB359" s="1017"/>
      <c r="AC359" s="1017"/>
      <c r="AD359" s="1017"/>
      <c r="AE359" s="1017"/>
      <c r="AF359" s="1017"/>
    </row>
    <row r="360" spans="1:32" ht="16.5">
      <c r="A360" s="1022"/>
      <c r="B360" s="1727" t="s">
        <v>398</v>
      </c>
      <c r="C360" s="1155">
        <v>43828</v>
      </c>
      <c r="D360" s="1156">
        <v>44192</v>
      </c>
      <c r="E360" s="1156"/>
      <c r="F360" s="1157">
        <v>409113.98</v>
      </c>
      <c r="G360" s="1218">
        <v>269177</v>
      </c>
      <c r="H360" s="1026">
        <f t="shared" si="19"/>
        <v>87482.525000000009</v>
      </c>
      <c r="I360" s="1210">
        <f t="shared" si="20"/>
        <v>409113.98</v>
      </c>
      <c r="J360" s="1188">
        <f t="shared" si="18"/>
        <v>0.6579511167034674</v>
      </c>
      <c r="K360" s="1444"/>
      <c r="L360" s="1036"/>
      <c r="M360" s="1744" t="s">
        <v>399</v>
      </c>
      <c r="N360" s="1745"/>
      <c r="O360" s="1746"/>
      <c r="P360" s="1378"/>
      <c r="Q360" s="1017"/>
      <c r="R360" s="1017"/>
      <c r="S360" s="1017"/>
      <c r="T360" s="1351"/>
      <c r="U360" s="1017"/>
      <c r="V360" s="1017"/>
      <c r="W360" s="1017"/>
      <c r="X360" s="1017"/>
      <c r="Y360" s="1017"/>
      <c r="Z360" s="1017"/>
      <c r="AA360" s="1017"/>
      <c r="AB360" s="1017"/>
      <c r="AC360" s="1017"/>
      <c r="AD360" s="1017"/>
      <c r="AE360" s="1017"/>
      <c r="AF360" s="1017"/>
    </row>
    <row r="361" spans="1:32" ht="16.5">
      <c r="A361" s="1022"/>
      <c r="B361" s="1728"/>
      <c r="C361" s="1162">
        <v>43829</v>
      </c>
      <c r="D361" s="1163">
        <v>44193</v>
      </c>
      <c r="E361" s="1514"/>
      <c r="F361" s="1031">
        <v>606924.72</v>
      </c>
      <c r="G361" s="1219">
        <v>370611</v>
      </c>
      <c r="H361" s="1178">
        <f t="shared" si="19"/>
        <v>120448.575</v>
      </c>
      <c r="I361" s="1027">
        <f t="shared" si="20"/>
        <v>606924.72</v>
      </c>
      <c r="J361" s="1188">
        <f t="shared" si="18"/>
        <v>0.61063751036537117</v>
      </c>
      <c r="K361" s="1444"/>
      <c r="L361" s="1036"/>
      <c r="M361" s="1220" t="s">
        <v>2</v>
      </c>
      <c r="N361" s="1221" t="s">
        <v>1</v>
      </c>
      <c r="O361" s="1222" t="s">
        <v>400</v>
      </c>
      <c r="P361" s="142"/>
      <c r="Q361" s="1017"/>
      <c r="R361" s="1017"/>
      <c r="S361" s="1017"/>
      <c r="T361" s="1351"/>
      <c r="U361" s="1017"/>
      <c r="V361" s="1017"/>
      <c r="W361" s="1017"/>
      <c r="X361" s="1017"/>
      <c r="Y361" s="1017"/>
      <c r="Z361" s="1017"/>
      <c r="AA361" s="1017"/>
      <c r="AB361" s="1017"/>
      <c r="AC361" s="1017"/>
      <c r="AD361" s="1017"/>
      <c r="AE361" s="1017"/>
      <c r="AF361" s="1017"/>
    </row>
    <row r="362" spans="1:32" ht="16.5">
      <c r="A362" s="1022"/>
      <c r="B362" s="1728"/>
      <c r="C362" s="1162">
        <v>43830</v>
      </c>
      <c r="D362" s="1163">
        <v>44194</v>
      </c>
      <c r="E362" s="1514"/>
      <c r="F362" s="1031">
        <v>523759.31</v>
      </c>
      <c r="G362" s="1219">
        <v>345330</v>
      </c>
      <c r="H362" s="1178">
        <f t="shared" si="19"/>
        <v>112232.25</v>
      </c>
      <c r="I362" s="1027">
        <f t="shared" si="20"/>
        <v>523759.31</v>
      </c>
      <c r="J362" s="1188">
        <f t="shared" si="18"/>
        <v>0.65932956876699722</v>
      </c>
      <c r="K362" s="1444"/>
      <c r="L362" s="1036"/>
      <c r="M362" s="1167">
        <f>SUM(G360:G366)/SUM(F360:F366)</f>
        <v>0.67442330170829456</v>
      </c>
      <c r="N362" s="1223">
        <f>SUM(G332:G366)/SUM(F332:F366)</f>
        <v>0.69295292458421276</v>
      </c>
      <c r="O362" s="1224">
        <f>SUM(G368:G374)/SUM(F368:F374)</f>
        <v>0.70934199962764566</v>
      </c>
      <c r="P362" s="1379"/>
      <c r="Q362" s="1017"/>
      <c r="R362" s="1017"/>
      <c r="S362" s="1017"/>
      <c r="T362" s="1351"/>
      <c r="U362" s="1017"/>
      <c r="V362" s="1017"/>
      <c r="W362" s="1017"/>
      <c r="X362" s="1017"/>
      <c r="Y362" s="1017"/>
      <c r="Z362" s="1017"/>
      <c r="AA362" s="1017"/>
      <c r="AB362" s="1017"/>
      <c r="AC362" s="1017"/>
      <c r="AD362" s="1017"/>
      <c r="AE362" s="1017"/>
      <c r="AF362" s="1017"/>
    </row>
    <row r="363" spans="1:32" ht="16.5">
      <c r="A363" s="1022"/>
      <c r="B363" s="1728"/>
      <c r="C363" s="1162">
        <v>43831</v>
      </c>
      <c r="D363" s="1163">
        <v>44195</v>
      </c>
      <c r="E363" s="1514"/>
      <c r="F363" s="1031">
        <v>33156.75</v>
      </c>
      <c r="G363" s="1219">
        <v>238522</v>
      </c>
      <c r="H363" s="1178">
        <f t="shared" si="19"/>
        <v>77519.650000000009</v>
      </c>
      <c r="I363" s="1027">
        <f t="shared" si="20"/>
        <v>33156.75</v>
      </c>
      <c r="J363" s="1188">
        <f t="shared" si="18"/>
        <v>7.1937689912310461</v>
      </c>
      <c r="K363" s="1444"/>
      <c r="L363" s="1036"/>
      <c r="M363" s="1036"/>
      <c r="N363" s="1036"/>
      <c r="O363" s="1036"/>
      <c r="P363" s="1036"/>
      <c r="Q363" s="1017"/>
      <c r="R363" s="1017"/>
      <c r="S363" s="1017"/>
      <c r="T363" s="1351"/>
      <c r="U363" s="1017"/>
      <c r="V363" s="1017"/>
      <c r="W363" s="1017"/>
      <c r="X363" s="1017"/>
      <c r="Y363" s="1017"/>
      <c r="Z363" s="1017"/>
      <c r="AA363" s="1017"/>
      <c r="AB363" s="1017"/>
      <c r="AC363" s="1017"/>
      <c r="AD363" s="1017"/>
      <c r="AE363" s="1017"/>
      <c r="AF363" s="1017"/>
    </row>
    <row r="364" spans="1:32" ht="16.5">
      <c r="A364" s="1022"/>
      <c r="B364" s="1728"/>
      <c r="C364" s="1162">
        <v>43832</v>
      </c>
      <c r="D364" s="1163">
        <v>44196</v>
      </c>
      <c r="E364" s="1514"/>
      <c r="F364" s="1031">
        <v>391185.53</v>
      </c>
      <c r="G364" s="1219">
        <v>362173</v>
      </c>
      <c r="H364" s="1178">
        <f t="shared" si="19"/>
        <v>117706.22500000001</v>
      </c>
      <c r="I364" s="1027">
        <f t="shared" si="20"/>
        <v>391185.53</v>
      </c>
      <c r="J364" s="1188">
        <f t="shared" si="18"/>
        <v>0.92583434770708406</v>
      </c>
      <c r="K364" s="1444"/>
      <c r="L364" s="1036"/>
      <c r="Q364" s="1017"/>
      <c r="R364" s="1017"/>
      <c r="S364" s="1017"/>
      <c r="T364" s="1351"/>
      <c r="U364" s="1017"/>
      <c r="V364" s="1017"/>
      <c r="W364" s="1017"/>
      <c r="X364" s="1017"/>
      <c r="Y364" s="1017"/>
      <c r="Z364" s="1017"/>
      <c r="AA364" s="1017"/>
      <c r="AB364" s="1017"/>
      <c r="AC364" s="1017"/>
      <c r="AD364" s="1017"/>
      <c r="AE364" s="1017"/>
      <c r="AF364" s="1017"/>
    </row>
    <row r="365" spans="1:32" ht="16.5">
      <c r="A365" s="1022"/>
      <c r="B365" s="1728"/>
      <c r="C365" s="1162">
        <v>43833</v>
      </c>
      <c r="D365" s="1163">
        <v>44197</v>
      </c>
      <c r="E365" s="1514"/>
      <c r="F365" s="1031">
        <v>423039.36</v>
      </c>
      <c r="G365" s="1219">
        <v>10403</v>
      </c>
      <c r="H365" s="1178">
        <f t="shared" si="19"/>
        <v>3380.9749999999999</v>
      </c>
      <c r="I365" s="1027">
        <f t="shared" si="20"/>
        <v>423039.36</v>
      </c>
      <c r="J365" s="1188">
        <f t="shared" si="18"/>
        <v>2.4591092422227567E-2</v>
      </c>
      <c r="K365" s="1444"/>
      <c r="L365" s="1036"/>
      <c r="Q365" s="1017"/>
      <c r="R365" s="1017"/>
      <c r="S365" s="1017"/>
      <c r="T365" s="1351"/>
      <c r="U365" s="1017"/>
      <c r="V365" s="1017"/>
      <c r="W365" s="1017"/>
      <c r="X365" s="1017"/>
      <c r="Y365" s="1017"/>
      <c r="Z365" s="1017"/>
      <c r="AA365" s="1017"/>
      <c r="AB365" s="1017"/>
      <c r="AC365" s="1017"/>
      <c r="AD365" s="1017"/>
      <c r="AE365" s="1017"/>
      <c r="AF365" s="1017"/>
    </row>
    <row r="366" spans="1:32" ht="16.5">
      <c r="A366" s="1022"/>
      <c r="B366" s="1736"/>
      <c r="C366" s="1171">
        <v>43834</v>
      </c>
      <c r="D366" s="1172">
        <v>44198</v>
      </c>
      <c r="E366" s="1514"/>
      <c r="F366" s="1031">
        <v>570387.19999999995</v>
      </c>
      <c r="G366" s="1174">
        <v>398436</v>
      </c>
      <c r="H366" s="1181">
        <f t="shared" si="19"/>
        <v>129491.70000000001</v>
      </c>
      <c r="I366" s="1107">
        <f t="shared" si="20"/>
        <v>570387.19999999995</v>
      </c>
      <c r="J366" s="1188">
        <f t="shared" si="18"/>
        <v>0.6985360120283205</v>
      </c>
      <c r="K366" s="1444"/>
      <c r="L366" s="1036"/>
      <c r="Q366" s="1017"/>
      <c r="R366" s="1017"/>
      <c r="S366" s="1017"/>
      <c r="T366" s="1351"/>
      <c r="U366" s="1017"/>
      <c r="V366" s="1017"/>
      <c r="W366" s="1017"/>
      <c r="X366" s="1017"/>
      <c r="Y366" s="1017"/>
      <c r="Z366" s="1017"/>
      <c r="AA366" s="1017"/>
      <c r="AB366" s="1017"/>
      <c r="AC366" s="1017"/>
      <c r="AD366" s="1017"/>
      <c r="AE366" s="1017"/>
      <c r="AF366" s="1017"/>
    </row>
    <row r="367" spans="1:32" ht="16.5">
      <c r="A367" s="1022"/>
      <c r="B367" s="1727" t="s">
        <v>325</v>
      </c>
      <c r="C367" s="1155">
        <v>43835</v>
      </c>
      <c r="D367" s="1156">
        <v>44199</v>
      </c>
      <c r="E367" s="1156"/>
      <c r="F367" s="1225">
        <v>368653.13000000006</v>
      </c>
      <c r="G367" s="1193">
        <v>200369</v>
      </c>
      <c r="H367" s="1226">
        <f t="shared" si="19"/>
        <v>65119.925000000003</v>
      </c>
      <c r="I367" s="1227"/>
      <c r="J367" s="1188">
        <f t="shared" si="18"/>
        <v>0.54351634014337535</v>
      </c>
      <c r="K367" s="1444"/>
      <c r="L367" s="1036"/>
      <c r="Q367" s="1017"/>
      <c r="R367" s="1017"/>
      <c r="S367" s="1017"/>
      <c r="T367" s="1351" cm="1">
        <f t="array" ref="T367:T547">TREND(J367:J547)</f>
        <v>0.68464215966649522</v>
      </c>
      <c r="U367" s="1017"/>
      <c r="V367" s="1017"/>
      <c r="W367" s="1017"/>
      <c r="X367" s="1017"/>
      <c r="Y367" s="1017"/>
      <c r="Z367" s="1017"/>
      <c r="AA367" s="1017"/>
      <c r="AB367" s="1017"/>
      <c r="AC367" s="1017"/>
      <c r="AD367" s="1017"/>
      <c r="AE367" s="1017"/>
      <c r="AF367" s="1017"/>
    </row>
    <row r="368" spans="1:32" ht="16.5">
      <c r="A368" s="1022"/>
      <c r="B368" s="1728"/>
      <c r="C368" s="1162">
        <v>43836</v>
      </c>
      <c r="D368" s="1163">
        <v>44200</v>
      </c>
      <c r="E368" s="1163"/>
      <c r="F368" s="399">
        <v>407438.5799999999</v>
      </c>
      <c r="G368" s="1174">
        <v>272437</v>
      </c>
      <c r="H368" s="1181">
        <f t="shared" si="19"/>
        <v>88542.025000000009</v>
      </c>
      <c r="I368" s="1228"/>
      <c r="J368" s="1188">
        <f t="shared" si="18"/>
        <v>0.66865783794946487</v>
      </c>
      <c r="K368" s="1444"/>
      <c r="L368" s="1036"/>
      <c r="Q368" s="1017"/>
      <c r="R368" s="1017"/>
      <c r="S368" s="1017"/>
      <c r="T368" s="1351">
        <v>0.68544973459009606</v>
      </c>
      <c r="U368" s="1017"/>
      <c r="V368" s="1017"/>
      <c r="W368" s="1017"/>
      <c r="X368" s="1017"/>
      <c r="Y368" s="1017"/>
      <c r="Z368" s="1017"/>
      <c r="AA368" s="1017"/>
      <c r="AB368" s="1017"/>
      <c r="AC368" s="1017"/>
      <c r="AD368" s="1017"/>
      <c r="AE368" s="1017"/>
      <c r="AF368" s="1017"/>
    </row>
    <row r="369" spans="1:32" ht="16.5">
      <c r="A369" s="1022"/>
      <c r="B369" s="1728"/>
      <c r="C369" s="1162">
        <v>43837</v>
      </c>
      <c r="D369" s="1163">
        <v>44201</v>
      </c>
      <c r="E369" s="1163"/>
      <c r="F369" s="399">
        <v>333457.70999999996</v>
      </c>
      <c r="G369" s="1174">
        <v>280770</v>
      </c>
      <c r="H369" s="1181">
        <f t="shared" si="19"/>
        <v>91250.25</v>
      </c>
      <c r="I369" s="1228"/>
      <c r="J369" s="1188">
        <f t="shared" si="18"/>
        <v>0.84199582609740842</v>
      </c>
      <c r="K369" s="1444"/>
      <c r="L369" s="1036"/>
      <c r="Q369" s="1017"/>
      <c r="R369" s="1017"/>
      <c r="S369" s="1017"/>
      <c r="T369" s="1351">
        <v>0.68625730951369701</v>
      </c>
      <c r="U369" s="1017"/>
      <c r="V369" s="1017"/>
      <c r="W369" s="1017"/>
      <c r="X369" s="1017"/>
      <c r="Y369" s="1017"/>
      <c r="Z369" s="1017"/>
      <c r="AA369" s="1017"/>
      <c r="AB369" s="1017"/>
      <c r="AC369" s="1017"/>
      <c r="AD369" s="1017"/>
      <c r="AE369" s="1017"/>
      <c r="AF369" s="1017"/>
    </row>
    <row r="370" spans="1:32" ht="16.5">
      <c r="A370" s="1022"/>
      <c r="B370" s="1728"/>
      <c r="C370" s="1162">
        <v>43838</v>
      </c>
      <c r="D370" s="1163">
        <v>44202</v>
      </c>
      <c r="E370" s="1163"/>
      <c r="F370" s="399">
        <v>272618.46999999991</v>
      </c>
      <c r="G370" s="1174">
        <v>267697</v>
      </c>
      <c r="H370" s="1181">
        <f t="shared" si="19"/>
        <v>87001.525000000009</v>
      </c>
      <c r="I370" s="1228"/>
      <c r="J370" s="1188">
        <f t="shared" si="18"/>
        <v>0.98194740803878799</v>
      </c>
      <c r="K370" s="1444"/>
      <c r="L370" s="1036"/>
      <c r="M370" s="1017"/>
      <c r="N370" s="1017"/>
      <c r="O370" s="1017"/>
      <c r="P370" s="1017"/>
      <c r="Q370" s="1017"/>
      <c r="R370" s="1017"/>
      <c r="S370" s="1017"/>
      <c r="T370" s="1351">
        <v>0.68706488443729785</v>
      </c>
      <c r="U370" s="1017"/>
      <c r="V370" s="1017"/>
      <c r="W370" s="1017"/>
      <c r="X370" s="1017"/>
      <c r="Y370" s="1017"/>
      <c r="Z370" s="1017"/>
      <c r="AA370" s="1017"/>
      <c r="AB370" s="1017"/>
      <c r="AC370" s="1017"/>
      <c r="AD370" s="1017"/>
      <c r="AE370" s="1017"/>
      <c r="AF370" s="1017"/>
    </row>
    <row r="371" spans="1:32" ht="16.5">
      <c r="A371" s="1022"/>
      <c r="B371" s="1728"/>
      <c r="C371" s="1162">
        <v>43839</v>
      </c>
      <c r="D371" s="1163">
        <v>44203</v>
      </c>
      <c r="E371" s="1163"/>
      <c r="F371" s="399">
        <v>292256.06000000006</v>
      </c>
      <c r="G371" s="1174">
        <v>217842</v>
      </c>
      <c r="H371" s="1181">
        <f t="shared" si="19"/>
        <v>70798.650000000009</v>
      </c>
      <c r="I371" s="1228"/>
      <c r="J371" s="1188">
        <f t="shared" si="18"/>
        <v>0.74538060904536918</v>
      </c>
      <c r="K371" s="1444"/>
      <c r="L371" s="1036"/>
      <c r="M371" s="1017"/>
      <c r="N371" s="1017"/>
      <c r="O371" s="1017"/>
      <c r="P371" s="1017"/>
      <c r="Q371" s="1017"/>
      <c r="R371" s="1017"/>
      <c r="S371" s="1017"/>
      <c r="T371" s="1351">
        <v>0.6878724593608988</v>
      </c>
      <c r="U371" s="1017"/>
      <c r="V371" s="1017"/>
      <c r="W371" s="1017"/>
      <c r="X371" s="1017"/>
      <c r="Y371" s="1017"/>
      <c r="Z371" s="1017"/>
      <c r="AA371" s="1017"/>
      <c r="AB371" s="1017"/>
      <c r="AC371" s="1017"/>
      <c r="AD371" s="1017"/>
      <c r="AE371" s="1017"/>
      <c r="AF371" s="1017"/>
    </row>
    <row r="372" spans="1:32" ht="16.5">
      <c r="A372" s="1022"/>
      <c r="B372" s="1728"/>
      <c r="C372" s="1162">
        <v>43840</v>
      </c>
      <c r="D372" s="1163">
        <v>44204</v>
      </c>
      <c r="E372" s="1163"/>
      <c r="F372" s="399">
        <v>312673.40000000002</v>
      </c>
      <c r="G372" s="1174">
        <v>227535</v>
      </c>
      <c r="H372" s="1181">
        <f t="shared" si="19"/>
        <v>73948.875</v>
      </c>
      <c r="I372" s="1228"/>
      <c r="J372" s="1188">
        <f t="shared" si="18"/>
        <v>0.72770820926884083</v>
      </c>
      <c r="K372" s="1444"/>
      <c r="L372" s="1036"/>
      <c r="O372" s="1017"/>
      <c r="P372" s="1017"/>
      <c r="Q372" s="1017"/>
      <c r="R372" s="1017"/>
      <c r="S372" s="1017"/>
      <c r="T372" s="1351">
        <v>0.68868003428449964</v>
      </c>
      <c r="U372" s="1017"/>
      <c r="V372" s="1017"/>
      <c r="W372" s="1017"/>
      <c r="X372" s="1017"/>
      <c r="Y372" s="1017"/>
      <c r="Z372" s="1017"/>
      <c r="AA372" s="1017"/>
      <c r="AB372" s="1017"/>
      <c r="AC372" s="1017"/>
      <c r="AD372" s="1017"/>
      <c r="AE372" s="1017"/>
      <c r="AF372" s="1017"/>
    </row>
    <row r="373" spans="1:32" ht="16.5">
      <c r="A373" s="1022"/>
      <c r="B373" s="1736"/>
      <c r="C373" s="1171">
        <v>43841</v>
      </c>
      <c r="D373" s="1172">
        <v>44205</v>
      </c>
      <c r="E373" s="1172"/>
      <c r="F373" s="1229">
        <v>505861.27999999997</v>
      </c>
      <c r="G373" s="1174">
        <v>307089</v>
      </c>
      <c r="H373" s="1181">
        <f t="shared" si="19"/>
        <v>99803.925000000003</v>
      </c>
      <c r="I373" s="1230"/>
      <c r="J373" s="1188">
        <f t="shared" si="18"/>
        <v>0.60706168299736252</v>
      </c>
      <c r="K373" s="1444"/>
      <c r="L373" s="1036"/>
      <c r="N373" s="1017"/>
      <c r="O373" s="1017"/>
      <c r="P373" s="1017"/>
      <c r="Q373" s="1017"/>
      <c r="R373" s="1017"/>
      <c r="S373" s="1017"/>
      <c r="T373" s="1351">
        <v>0.68948760920810059</v>
      </c>
      <c r="U373" s="1017"/>
      <c r="V373" s="1017"/>
      <c r="W373" s="1017"/>
      <c r="X373" s="1017"/>
      <c r="Y373" s="1017"/>
      <c r="Z373" s="1017"/>
      <c r="AA373" s="1017"/>
      <c r="AB373" s="1017"/>
      <c r="AC373" s="1017"/>
      <c r="AD373" s="1017"/>
      <c r="AE373" s="1017"/>
      <c r="AF373" s="1017"/>
    </row>
    <row r="374" spans="1:32" ht="16.5">
      <c r="A374" s="1022"/>
      <c r="B374" s="1727" t="s">
        <v>326</v>
      </c>
      <c r="C374" s="1155">
        <v>43842</v>
      </c>
      <c r="D374" s="1156">
        <v>44206</v>
      </c>
      <c r="E374" s="1156"/>
      <c r="F374" s="1231">
        <v>330236.88</v>
      </c>
      <c r="G374" s="1193">
        <v>167740</v>
      </c>
      <c r="H374" s="1226">
        <f t="shared" si="19"/>
        <v>54515.5</v>
      </c>
      <c r="I374" s="1227"/>
      <c r="J374" s="1188">
        <f t="shared" si="18"/>
        <v>0.50793842286785174</v>
      </c>
      <c r="K374" s="1444"/>
      <c r="L374" s="1036"/>
      <c r="Q374" s="1017"/>
      <c r="R374" s="1017"/>
      <c r="S374" s="1017"/>
      <c r="T374" s="1351">
        <v>0.69029518413170143</v>
      </c>
      <c r="U374" s="1017"/>
      <c r="V374" s="1017"/>
      <c r="W374" s="1017"/>
      <c r="X374" s="1017"/>
      <c r="Y374" s="1017"/>
      <c r="Z374" s="1017"/>
      <c r="AA374" s="1017"/>
      <c r="AB374" s="1017"/>
      <c r="AC374" s="1017"/>
      <c r="AD374" s="1017"/>
      <c r="AE374" s="1017"/>
      <c r="AF374" s="1017"/>
    </row>
    <row r="375" spans="1:32" ht="16.5">
      <c r="A375" s="1022"/>
      <c r="B375" s="1728"/>
      <c r="C375" s="1162">
        <v>43843</v>
      </c>
      <c r="D375" s="1163">
        <v>44207</v>
      </c>
      <c r="E375" s="1163"/>
      <c r="F375" s="1232">
        <v>281378.17000000004</v>
      </c>
      <c r="G375" s="1174">
        <v>163407</v>
      </c>
      <c r="H375" s="1181">
        <f t="shared" si="19"/>
        <v>53107.275000000001</v>
      </c>
      <c r="I375" s="1228"/>
      <c r="J375" s="1188">
        <f t="shared" si="18"/>
        <v>0.58073801531938307</v>
      </c>
      <c r="K375" s="1444"/>
      <c r="L375" s="1036"/>
      <c r="Q375" s="1017"/>
      <c r="R375" s="1017"/>
      <c r="S375" s="1017"/>
      <c r="T375" s="1351">
        <v>0.69110275905530238</v>
      </c>
      <c r="U375" s="1017"/>
      <c r="V375" s="1017"/>
      <c r="W375" s="1017"/>
      <c r="X375" s="1017"/>
      <c r="Y375" s="1017"/>
      <c r="Z375" s="1017"/>
      <c r="AA375" s="1017"/>
      <c r="AB375" s="1017"/>
      <c r="AC375" s="1017"/>
      <c r="AD375" s="1017"/>
      <c r="AE375" s="1017"/>
      <c r="AF375" s="1017"/>
    </row>
    <row r="376" spans="1:32" ht="16.5">
      <c r="A376" s="1022"/>
      <c r="B376" s="1728"/>
      <c r="C376" s="1162">
        <v>43844</v>
      </c>
      <c r="D376" s="1163">
        <v>44208</v>
      </c>
      <c r="E376" s="1163"/>
      <c r="F376" s="1232">
        <v>266468.52999999997</v>
      </c>
      <c r="G376" s="1174">
        <v>168652</v>
      </c>
      <c r="H376" s="1181">
        <f t="shared" si="19"/>
        <v>54811.9</v>
      </c>
      <c r="I376" s="1228"/>
      <c r="J376" s="1188">
        <f t="shared" si="18"/>
        <v>0.63291526395255759</v>
      </c>
      <c r="K376" s="1444"/>
      <c r="L376" s="1036"/>
      <c r="Q376" s="1017"/>
      <c r="R376" s="1017"/>
      <c r="S376" s="1017"/>
      <c r="T376" s="1351">
        <v>0.69191033397890322</v>
      </c>
      <c r="U376" s="1017"/>
      <c r="V376" s="1017"/>
      <c r="W376" s="1017"/>
      <c r="X376" s="1017"/>
      <c r="Y376" s="1017"/>
      <c r="Z376" s="1017"/>
      <c r="AA376" s="1017"/>
      <c r="AB376" s="1017"/>
      <c r="AC376" s="1017"/>
      <c r="AD376" s="1017"/>
      <c r="AE376" s="1017"/>
      <c r="AF376" s="1017"/>
    </row>
    <row r="377" spans="1:32" ht="16.5">
      <c r="A377" s="1022"/>
      <c r="B377" s="1728"/>
      <c r="C377" s="1162">
        <v>43845</v>
      </c>
      <c r="D377" s="1163">
        <v>44209</v>
      </c>
      <c r="E377" s="1163"/>
      <c r="F377" s="399">
        <v>284474.34000000003</v>
      </c>
      <c r="G377" s="1174">
        <v>177977</v>
      </c>
      <c r="H377" s="1181">
        <f t="shared" si="19"/>
        <v>57842.525000000001</v>
      </c>
      <c r="I377" s="1228"/>
      <c r="J377" s="1188">
        <f t="shared" si="18"/>
        <v>0.62563463544726028</v>
      </c>
      <c r="K377" s="1444"/>
      <c r="L377" s="1036"/>
      <c r="M377" s="1017"/>
      <c r="N377" s="1017"/>
      <c r="O377" s="1017"/>
      <c r="P377" s="1017"/>
      <c r="Q377" s="1017"/>
      <c r="R377" s="1017"/>
      <c r="S377" s="1017"/>
      <c r="T377" s="1351">
        <v>0.69271790890250418</v>
      </c>
      <c r="U377" s="1017"/>
      <c r="V377" s="1017"/>
      <c r="W377" s="1017"/>
      <c r="X377" s="1017"/>
      <c r="Y377" s="1017"/>
      <c r="Z377" s="1017"/>
      <c r="AA377" s="1017"/>
      <c r="AB377" s="1017"/>
      <c r="AC377" s="1017"/>
      <c r="AD377" s="1017"/>
      <c r="AE377" s="1017"/>
      <c r="AF377" s="1017"/>
    </row>
    <row r="378" spans="1:32" ht="16.5">
      <c r="A378" s="1022"/>
      <c r="B378" s="1728"/>
      <c r="C378" s="1162">
        <v>43846</v>
      </c>
      <c r="D378" s="1163">
        <v>44210</v>
      </c>
      <c r="E378" s="1163"/>
      <c r="F378" s="1232">
        <v>324633.74000000005</v>
      </c>
      <c r="G378" s="1174">
        <v>201436</v>
      </c>
      <c r="H378" s="1181">
        <f>(G378*0.5)*0.65</f>
        <v>65466.700000000004</v>
      </c>
      <c r="I378" s="1228"/>
      <c r="J378" s="1188">
        <f t="shared" si="18"/>
        <v>0.6205023544379582</v>
      </c>
      <c r="K378" s="1444"/>
      <c r="L378" s="1036"/>
      <c r="N378" s="1017"/>
      <c r="O378" s="1017"/>
      <c r="P378" s="1017"/>
      <c r="Q378" s="1017"/>
      <c r="R378" s="1017"/>
      <c r="S378" s="1017"/>
      <c r="T378" s="1351">
        <v>0.69352548382610502</v>
      </c>
      <c r="U378" s="1017"/>
      <c r="V378" s="1017"/>
      <c r="W378" s="1017"/>
      <c r="X378" s="1017"/>
      <c r="Y378" s="1017"/>
      <c r="Z378" s="1017"/>
      <c r="AA378" s="1017"/>
      <c r="AB378" s="1017"/>
      <c r="AC378" s="1017"/>
      <c r="AD378" s="1017"/>
      <c r="AE378" s="1017"/>
      <c r="AF378" s="1017"/>
    </row>
    <row r="379" spans="1:32" ht="16.5">
      <c r="A379" s="1022"/>
      <c r="B379" s="1728"/>
      <c r="C379" s="1162">
        <v>43847</v>
      </c>
      <c r="D379" s="1163">
        <v>44211</v>
      </c>
      <c r="E379" s="1163"/>
      <c r="F379" s="399">
        <v>380356.05000000005</v>
      </c>
      <c r="G379" s="1174">
        <v>244563</v>
      </c>
      <c r="H379" s="1181">
        <f t="shared" si="19"/>
        <v>79482.975000000006</v>
      </c>
      <c r="I379" s="1228"/>
      <c r="J379" s="1188">
        <f t="shared" si="18"/>
        <v>0.64298438265935287</v>
      </c>
      <c r="K379" s="1444"/>
      <c r="L379" s="1036"/>
      <c r="N379" s="1017"/>
      <c r="O379" s="1017"/>
      <c r="P379" s="1017"/>
      <c r="Q379" s="1017"/>
      <c r="R379" s="1017"/>
      <c r="S379" s="1017"/>
      <c r="T379" s="1351">
        <v>0.69433305874970597</v>
      </c>
      <c r="U379" s="1017"/>
      <c r="V379" s="1017"/>
      <c r="W379" s="1017"/>
      <c r="X379" s="1017"/>
      <c r="Y379" s="1017"/>
      <c r="Z379" s="1017"/>
      <c r="AA379" s="1017"/>
      <c r="AB379" s="1017"/>
      <c r="AC379" s="1017"/>
      <c r="AD379" s="1017"/>
      <c r="AE379" s="1017"/>
      <c r="AF379" s="1017"/>
    </row>
    <row r="380" spans="1:32" ht="16.5">
      <c r="A380" s="1022"/>
      <c r="B380" s="1736"/>
      <c r="C380" s="1171">
        <v>43848</v>
      </c>
      <c r="D380" s="1172">
        <v>44212</v>
      </c>
      <c r="E380" s="1172"/>
      <c r="F380" s="1229">
        <v>561399.99</v>
      </c>
      <c r="G380" s="1174">
        <v>375319</v>
      </c>
      <c r="H380" s="1181">
        <f t="shared" si="19"/>
        <v>121978.675</v>
      </c>
      <c r="I380" s="1230"/>
      <c r="J380" s="1188">
        <f t="shared" si="18"/>
        <v>0.66854115904063338</v>
      </c>
      <c r="K380" s="1444"/>
      <c r="L380" s="1036"/>
      <c r="M380" s="1017"/>
      <c r="N380" s="1017"/>
      <c r="O380" s="1017"/>
      <c r="P380" s="1017"/>
      <c r="Q380" s="1017"/>
      <c r="R380" s="1017"/>
      <c r="S380" s="1017"/>
      <c r="T380" s="1351">
        <v>0.69514063367330681</v>
      </c>
      <c r="U380" s="1017"/>
      <c r="V380" s="1017"/>
      <c r="W380" s="1017"/>
      <c r="X380" s="1017"/>
      <c r="Y380" s="1017"/>
      <c r="Z380" s="1017"/>
      <c r="AA380" s="1017"/>
      <c r="AB380" s="1017"/>
      <c r="AC380" s="1017"/>
      <c r="AD380" s="1017"/>
      <c r="AE380" s="1017"/>
      <c r="AF380" s="1017"/>
    </row>
    <row r="381" spans="1:32" ht="16.5">
      <c r="A381" s="1022"/>
      <c r="B381" s="1727" t="s">
        <v>327</v>
      </c>
      <c r="C381" s="1155">
        <v>43849</v>
      </c>
      <c r="D381" s="1156">
        <v>44213</v>
      </c>
      <c r="E381" s="1156"/>
      <c r="F381" s="1231">
        <v>341911.63000000006</v>
      </c>
      <c r="G381" s="1158">
        <v>199505</v>
      </c>
      <c r="H381" s="1026">
        <f t="shared" si="19"/>
        <v>64839.125</v>
      </c>
      <c r="I381" s="1227"/>
      <c r="J381" s="1188">
        <f t="shared" ref="J381:J444" si="21">G381/F381</f>
        <v>0.58349872450960494</v>
      </c>
      <c r="K381" s="1444"/>
      <c r="L381" s="1036"/>
      <c r="M381" s="1017"/>
      <c r="N381" s="1017"/>
      <c r="O381" s="1017"/>
      <c r="P381" s="1017"/>
      <c r="Q381" s="1017"/>
      <c r="R381" s="1017"/>
      <c r="S381" s="1017"/>
      <c r="T381" s="1351">
        <v>0.69594820859690776</v>
      </c>
      <c r="U381" s="1017"/>
      <c r="V381" s="1017"/>
      <c r="W381" s="1017"/>
      <c r="X381" s="1017"/>
      <c r="Y381" s="1017"/>
      <c r="Z381" s="1017"/>
      <c r="AA381" s="1017"/>
      <c r="AB381" s="1017"/>
      <c r="AC381" s="1017"/>
      <c r="AD381" s="1017"/>
      <c r="AE381" s="1017"/>
      <c r="AF381" s="1017"/>
    </row>
    <row r="382" spans="1:32" ht="16.5">
      <c r="A382" s="1022"/>
      <c r="B382" s="1728"/>
      <c r="C382" s="1162">
        <v>43850</v>
      </c>
      <c r="D382" s="1163">
        <v>44214</v>
      </c>
      <c r="E382" s="1163"/>
      <c r="F382" s="1232">
        <v>367432.43000000005</v>
      </c>
      <c r="G382" s="1165">
        <v>196192</v>
      </c>
      <c r="H382" s="1178">
        <f t="shared" si="19"/>
        <v>63762.400000000001</v>
      </c>
      <c r="I382" s="1228"/>
      <c r="J382" s="1179">
        <f t="shared" si="21"/>
        <v>0.53395395719425198</v>
      </c>
      <c r="K382" s="1443"/>
      <c r="L382" s="1177" t="s">
        <v>401</v>
      </c>
      <c r="M382" s="1744" t="s">
        <v>402</v>
      </c>
      <c r="N382" s="1745"/>
      <c r="O382" s="1746"/>
      <c r="P382" s="1378"/>
      <c r="Q382" s="1017"/>
      <c r="R382" s="1017"/>
      <c r="S382" s="1017"/>
      <c r="T382" s="1351">
        <v>0.69675578352050871</v>
      </c>
      <c r="U382" s="1017"/>
      <c r="V382" s="1017"/>
      <c r="W382" s="1017"/>
      <c r="X382" s="1017"/>
      <c r="Y382" s="1017"/>
      <c r="Z382" s="1017"/>
      <c r="AA382" s="1017"/>
      <c r="AB382" s="1017"/>
      <c r="AC382" s="1017"/>
      <c r="AD382" s="1017"/>
      <c r="AE382" s="1017"/>
      <c r="AF382" s="1017"/>
    </row>
    <row r="383" spans="1:32" ht="16.5">
      <c r="A383" s="1022"/>
      <c r="B383" s="1728"/>
      <c r="C383" s="1162">
        <v>43851</v>
      </c>
      <c r="D383" s="1163">
        <v>44215</v>
      </c>
      <c r="E383" s="1163"/>
      <c r="F383" s="399">
        <v>228687.98999999996</v>
      </c>
      <c r="G383" s="1165">
        <v>200281</v>
      </c>
      <c r="H383" s="1178">
        <f t="shared" si="19"/>
        <v>65091.325000000004</v>
      </c>
      <c r="I383" s="1228"/>
      <c r="J383" s="1179">
        <f t="shared" si="21"/>
        <v>0.87578276410580214</v>
      </c>
      <c r="K383" s="1443"/>
      <c r="L383" s="1036"/>
      <c r="M383" s="1220" t="s">
        <v>2</v>
      </c>
      <c r="N383" s="1221" t="s">
        <v>1</v>
      </c>
      <c r="O383" s="1222" t="s">
        <v>400</v>
      </c>
      <c r="P383" s="142"/>
      <c r="Q383" s="1017"/>
      <c r="R383" s="1017"/>
      <c r="S383" s="1017"/>
      <c r="T383" s="1351">
        <v>0.69756335844410955</v>
      </c>
      <c r="U383" s="1017"/>
      <c r="V383" s="1017"/>
      <c r="W383" s="1017"/>
      <c r="X383" s="1017"/>
      <c r="Y383" s="1017"/>
      <c r="Z383" s="1017"/>
      <c r="AA383" s="1017"/>
      <c r="AB383" s="1017"/>
      <c r="AC383" s="1017"/>
      <c r="AD383" s="1017"/>
      <c r="AE383" s="1017"/>
      <c r="AF383" s="1017"/>
    </row>
    <row r="384" spans="1:32" ht="16.5">
      <c r="A384" s="1022"/>
      <c r="B384" s="1728"/>
      <c r="C384" s="1162">
        <v>43852</v>
      </c>
      <c r="D384" s="1163">
        <v>44216</v>
      </c>
      <c r="E384" s="1163"/>
      <c r="F384" s="1232">
        <v>227493.45</v>
      </c>
      <c r="G384" s="1165">
        <v>159312</v>
      </c>
      <c r="H384" s="1178">
        <f t="shared" si="19"/>
        <v>51776.4</v>
      </c>
      <c r="I384" s="1228"/>
      <c r="J384" s="1179">
        <f t="shared" si="21"/>
        <v>0.7002926897455729</v>
      </c>
      <c r="K384" s="1443"/>
      <c r="L384" s="1036"/>
      <c r="M384" s="1167">
        <f>SUM(G388:G392)/SUM(F388:F392)</f>
        <v>0.7033132196761579</v>
      </c>
      <c r="N384" s="1223">
        <f>SUM(G367:G392)/SUM(F367:F392)</f>
        <v>0.67585074204251216</v>
      </c>
      <c r="O384" s="1224">
        <f>SUM(G385:G392)/SUM(F385:F392)</f>
        <v>0.71230921933164348</v>
      </c>
      <c r="P384" s="1379"/>
      <c r="Q384" s="1017"/>
      <c r="R384" s="1017"/>
      <c r="S384" s="1017"/>
      <c r="T384" s="1351">
        <v>0.6983709333677105</v>
      </c>
      <c r="U384" s="1017"/>
      <c r="V384" s="1017"/>
      <c r="W384" s="1017"/>
      <c r="X384" s="1017"/>
      <c r="Y384" s="1017"/>
      <c r="Z384" s="1017"/>
      <c r="AA384" s="1017"/>
      <c r="AB384" s="1017"/>
      <c r="AC384" s="1017"/>
      <c r="AD384" s="1017"/>
      <c r="AE384" s="1017"/>
      <c r="AF384" s="1017"/>
    </row>
    <row r="385" spans="1:32" ht="16.5">
      <c r="A385" s="1022"/>
      <c r="B385" s="1728"/>
      <c r="C385" s="1162">
        <v>43853</v>
      </c>
      <c r="D385" s="1163">
        <v>44217</v>
      </c>
      <c r="E385" s="1163"/>
      <c r="F385" s="399">
        <v>236628.98</v>
      </c>
      <c r="G385" s="1165">
        <v>193734</v>
      </c>
      <c r="H385" s="1178">
        <f t="shared" si="19"/>
        <v>62963.55</v>
      </c>
      <c r="I385" s="1228"/>
      <c r="J385" s="1179">
        <f t="shared" si="21"/>
        <v>0.81872473946344182</v>
      </c>
      <c r="K385" s="1443"/>
      <c r="L385" s="1036"/>
      <c r="M385" s="1017"/>
      <c r="N385" s="1017"/>
      <c r="O385" s="1017"/>
      <c r="P385" s="1017"/>
      <c r="Q385" s="1017"/>
      <c r="R385" s="1017"/>
      <c r="S385" s="1017"/>
      <c r="T385" s="1351">
        <v>0.69917850829131134</v>
      </c>
      <c r="U385" s="1017"/>
      <c r="V385" s="1017"/>
      <c r="W385" s="1017"/>
      <c r="X385" s="1017"/>
      <c r="Y385" s="1017"/>
      <c r="Z385" s="1017"/>
      <c r="AA385" s="1017"/>
      <c r="AB385" s="1017"/>
      <c r="AC385" s="1017"/>
      <c r="AD385" s="1017"/>
      <c r="AE385" s="1017"/>
      <c r="AF385" s="1017"/>
    </row>
    <row r="386" spans="1:32" ht="16.5">
      <c r="A386" s="1022"/>
      <c r="B386" s="1728"/>
      <c r="C386" s="1162">
        <v>43854</v>
      </c>
      <c r="D386" s="1163">
        <v>44218</v>
      </c>
      <c r="E386" s="1163"/>
      <c r="F386" s="399">
        <v>316358.07999999996</v>
      </c>
      <c r="G386" s="1165">
        <v>250041</v>
      </c>
      <c r="H386" s="1178">
        <f t="shared" si="19"/>
        <v>81263.324999999997</v>
      </c>
      <c r="I386" s="1228"/>
      <c r="J386" s="1179">
        <f t="shared" si="21"/>
        <v>0.79037336425862759</v>
      </c>
      <c r="K386" s="1443"/>
      <c r="L386" s="1036"/>
      <c r="M386" s="1017"/>
      <c r="N386" s="1017"/>
      <c r="O386" s="1017"/>
      <c r="P386" s="1017"/>
      <c r="Q386" s="1017"/>
      <c r="R386" s="1017"/>
      <c r="S386" s="1017"/>
      <c r="T386" s="1351">
        <v>0.69998608321491229</v>
      </c>
      <c r="U386" s="1017"/>
      <c r="V386" s="1017"/>
      <c r="W386" s="1017"/>
      <c r="X386" s="1017"/>
      <c r="Y386" s="1017"/>
      <c r="Z386" s="1017"/>
      <c r="AA386" s="1017"/>
      <c r="AB386" s="1017"/>
      <c r="AC386" s="1017"/>
      <c r="AD386" s="1017"/>
      <c r="AE386" s="1017"/>
      <c r="AF386" s="1017"/>
    </row>
    <row r="387" spans="1:32" ht="16.5">
      <c r="A387" s="1022"/>
      <c r="B387" s="1729"/>
      <c r="C387" s="1197">
        <v>43855</v>
      </c>
      <c r="D387" s="1198">
        <v>44219</v>
      </c>
      <c r="E387" s="1198"/>
      <c r="F387" s="1233">
        <v>530231.54</v>
      </c>
      <c r="G387" s="1200">
        <v>339305</v>
      </c>
      <c r="H387" s="1201">
        <f t="shared" ref="H387:H450" si="22">(G387*0.5)*0.65</f>
        <v>110274.125</v>
      </c>
      <c r="I387" s="1234"/>
      <c r="J387" s="1179">
        <f t="shared" si="21"/>
        <v>0.63991855331729219</v>
      </c>
      <c r="K387" s="1443"/>
      <c r="L387" s="1036"/>
      <c r="M387" s="1017"/>
      <c r="N387" s="1017"/>
      <c r="O387" s="1017"/>
      <c r="P387" s="1017"/>
      <c r="Q387" s="1017"/>
      <c r="R387" s="1017"/>
      <c r="S387" s="1017"/>
      <c r="T387" s="1351">
        <v>0.70079365813851313</v>
      </c>
      <c r="U387" s="1017"/>
      <c r="V387" s="1017"/>
      <c r="W387" s="1017"/>
      <c r="X387" s="1017"/>
      <c r="Y387" s="1017"/>
      <c r="Z387" s="1017"/>
      <c r="AA387" s="1017"/>
      <c r="AB387" s="1017"/>
      <c r="AC387" s="1017"/>
      <c r="AD387" s="1017"/>
      <c r="AE387" s="1017"/>
      <c r="AF387" s="1017"/>
    </row>
    <row r="388" spans="1:32" ht="16.5">
      <c r="A388" s="1022"/>
      <c r="B388" s="1737" t="s">
        <v>328</v>
      </c>
      <c r="C388" s="1202">
        <v>43856</v>
      </c>
      <c r="D388" s="1203">
        <v>44220</v>
      </c>
      <c r="E388" s="1203"/>
      <c r="F388" s="1235">
        <v>341911.63000000006</v>
      </c>
      <c r="G388" s="1236">
        <v>169122</v>
      </c>
      <c r="H388" s="1237">
        <f t="shared" si="22"/>
        <v>54964.65</v>
      </c>
      <c r="I388" s="1238"/>
      <c r="J388" s="1179">
        <f t="shared" si="21"/>
        <v>0.49463658197295007</v>
      </c>
      <c r="K388" s="1443"/>
      <c r="L388" s="1036"/>
      <c r="M388" s="1017"/>
      <c r="N388" s="1017"/>
      <c r="O388" s="1017"/>
      <c r="P388" s="1017"/>
      <c r="Q388" s="1017"/>
      <c r="R388" s="1017"/>
      <c r="S388" s="1017"/>
      <c r="T388" s="1351">
        <v>0.70160123306211408</v>
      </c>
      <c r="U388" s="1017"/>
      <c r="V388" s="1017"/>
      <c r="W388" s="1017"/>
      <c r="X388" s="1017"/>
      <c r="Y388" s="1017"/>
      <c r="Z388" s="1017"/>
      <c r="AA388" s="1017"/>
      <c r="AB388" s="1017"/>
      <c r="AC388" s="1017"/>
      <c r="AD388" s="1017"/>
      <c r="AE388" s="1017"/>
      <c r="AF388" s="1017"/>
    </row>
    <row r="389" spans="1:32" ht="16.5">
      <c r="A389" s="1022"/>
      <c r="B389" s="1728"/>
      <c r="C389" s="1162">
        <v>43857</v>
      </c>
      <c r="D389" s="1163">
        <v>44221</v>
      </c>
      <c r="E389" s="1163"/>
      <c r="F389" s="1232">
        <v>236494.81000000003</v>
      </c>
      <c r="G389" s="1174">
        <v>168496</v>
      </c>
      <c r="H389" s="1181">
        <f t="shared" si="22"/>
        <v>54761.200000000004</v>
      </c>
      <c r="I389" s="1228"/>
      <c r="J389" s="1179">
        <f t="shared" si="21"/>
        <v>0.71247229484655494</v>
      </c>
      <c r="K389" s="1443"/>
      <c r="L389" s="1036"/>
      <c r="M389" s="1017"/>
      <c r="N389" s="1017"/>
      <c r="O389" s="1017"/>
      <c r="P389" s="1017"/>
      <c r="Q389" s="1017"/>
      <c r="R389" s="1017"/>
      <c r="S389" s="1017"/>
      <c r="T389" s="1351">
        <v>0.70240880798571492</v>
      </c>
      <c r="U389" s="1017"/>
      <c r="V389" s="1017"/>
      <c r="W389" s="1017"/>
      <c r="X389" s="1017"/>
      <c r="Y389" s="1017"/>
      <c r="Z389" s="1017"/>
      <c r="AA389" s="1017"/>
      <c r="AB389" s="1017"/>
      <c r="AC389" s="1017"/>
      <c r="AD389" s="1017"/>
      <c r="AE389" s="1017"/>
      <c r="AF389" s="1017"/>
    </row>
    <row r="390" spans="1:32" ht="16.5">
      <c r="A390" s="1022"/>
      <c r="B390" s="1728"/>
      <c r="C390" s="1162">
        <v>43858</v>
      </c>
      <c r="D390" s="1163">
        <v>44222</v>
      </c>
      <c r="E390" s="1163"/>
      <c r="F390" s="1232">
        <v>222824.80000000002</v>
      </c>
      <c r="G390" s="1174">
        <v>174000</v>
      </c>
      <c r="H390" s="1181">
        <f t="shared" si="22"/>
        <v>56550</v>
      </c>
      <c r="I390" s="1228"/>
      <c r="J390" s="1179">
        <f t="shared" si="21"/>
        <v>0.78088255885341307</v>
      </c>
      <c r="K390" s="1443"/>
      <c r="L390" s="1036"/>
      <c r="M390" s="1017"/>
      <c r="N390" s="1017"/>
      <c r="O390" s="1017"/>
      <c r="P390" s="1017"/>
      <c r="Q390" s="1017"/>
      <c r="R390" s="1017"/>
      <c r="S390" s="1017"/>
      <c r="T390" s="1351">
        <v>0.70321638290931587</v>
      </c>
      <c r="U390" s="1017"/>
      <c r="V390" s="1017"/>
      <c r="W390" s="1017"/>
      <c r="X390" s="1017"/>
      <c r="Y390" s="1017"/>
      <c r="Z390" s="1017"/>
      <c r="AA390" s="1017"/>
      <c r="AB390" s="1017"/>
      <c r="AC390" s="1017"/>
      <c r="AD390" s="1017"/>
      <c r="AE390" s="1017"/>
      <c r="AF390" s="1017"/>
    </row>
    <row r="391" spans="1:32" ht="16.5">
      <c r="A391" s="1022"/>
      <c r="B391" s="1728"/>
      <c r="C391" s="1162">
        <v>43859</v>
      </c>
      <c r="D391" s="1163">
        <v>44223</v>
      </c>
      <c r="E391" s="1163"/>
      <c r="F391" s="1232">
        <v>231515.60000000009</v>
      </c>
      <c r="G391" s="1174">
        <v>174218</v>
      </c>
      <c r="H391" s="1181">
        <f t="shared" si="22"/>
        <v>56620.85</v>
      </c>
      <c r="I391" s="1228"/>
      <c r="J391" s="1179">
        <f t="shared" si="21"/>
        <v>0.75251084592139761</v>
      </c>
      <c r="K391" s="1443"/>
      <c r="L391" s="1036"/>
      <c r="M391" s="1017"/>
      <c r="N391" s="1017"/>
      <c r="O391" s="1017"/>
      <c r="P391" s="1017"/>
      <c r="Q391" s="1017"/>
      <c r="R391" s="1017"/>
      <c r="S391" s="1017"/>
      <c r="T391" s="1351">
        <v>0.70402395783291671</v>
      </c>
      <c r="U391" s="1017"/>
      <c r="V391" s="1017"/>
      <c r="W391" s="1017"/>
      <c r="X391" s="1017"/>
      <c r="Y391" s="1017"/>
      <c r="Z391" s="1017"/>
      <c r="AA391" s="1017"/>
      <c r="AB391" s="1017"/>
      <c r="AC391" s="1017"/>
      <c r="AD391" s="1017"/>
      <c r="AE391" s="1017"/>
      <c r="AF391" s="1017"/>
    </row>
    <row r="392" spans="1:32" ht="16.5">
      <c r="A392" s="1022"/>
      <c r="B392" s="1728"/>
      <c r="C392" s="1162">
        <v>43860</v>
      </c>
      <c r="D392" s="1163">
        <v>44224</v>
      </c>
      <c r="E392" s="1163"/>
      <c r="F392" s="1232">
        <v>244865.99999999997</v>
      </c>
      <c r="G392" s="1174">
        <v>212726</v>
      </c>
      <c r="H392" s="1181">
        <f t="shared" si="22"/>
        <v>69135.95</v>
      </c>
      <c r="I392" s="1228"/>
      <c r="J392" s="1179">
        <f t="shared" si="21"/>
        <v>0.86874453782885341</v>
      </c>
      <c r="K392" s="1443"/>
      <c r="L392" s="1036"/>
      <c r="N392" s="1017"/>
      <c r="O392" s="1017"/>
      <c r="P392" s="1017"/>
      <c r="Q392" s="1017"/>
      <c r="R392" s="1017"/>
      <c r="S392" s="1017"/>
      <c r="T392" s="1351">
        <v>0.70483153275651766</v>
      </c>
      <c r="U392" s="1017"/>
      <c r="V392" s="1017"/>
      <c r="W392" s="1017"/>
      <c r="X392" s="1017"/>
      <c r="Y392" s="1017"/>
      <c r="Z392" s="1017"/>
      <c r="AA392" s="1017"/>
      <c r="AB392" s="1017"/>
      <c r="AC392" s="1017"/>
      <c r="AD392" s="1017"/>
      <c r="AE392" s="1017"/>
      <c r="AF392" s="1017"/>
    </row>
    <row r="393" spans="1:32" ht="16.5">
      <c r="A393" s="1022"/>
      <c r="B393" s="1728"/>
      <c r="C393" s="1162">
        <v>43861</v>
      </c>
      <c r="D393" s="1163">
        <v>44225</v>
      </c>
      <c r="E393" s="1163"/>
      <c r="F393" s="399">
        <v>388914.4</v>
      </c>
      <c r="G393" s="1174">
        <v>268093</v>
      </c>
      <c r="H393" s="1181">
        <f t="shared" si="22"/>
        <v>87130.225000000006</v>
      </c>
      <c r="I393" s="1228"/>
      <c r="J393" s="1179">
        <f t="shared" si="21"/>
        <v>0.68933677950726424</v>
      </c>
      <c r="K393" s="1443"/>
      <c r="L393" s="1036"/>
      <c r="M393" s="1017"/>
      <c r="N393" s="1017"/>
      <c r="O393" s="1017"/>
      <c r="P393" s="1017"/>
      <c r="Q393" s="1017"/>
      <c r="R393" s="1017"/>
      <c r="S393" s="1017"/>
      <c r="T393" s="1351">
        <v>0.7056391076801185</v>
      </c>
      <c r="U393" s="1017"/>
      <c r="V393" s="1017"/>
      <c r="W393" s="1017"/>
      <c r="X393" s="1017"/>
      <c r="Y393" s="1017"/>
      <c r="Z393" s="1017"/>
      <c r="AA393" s="1017"/>
      <c r="AB393" s="1017"/>
      <c r="AC393" s="1017"/>
      <c r="AD393" s="1017"/>
      <c r="AE393" s="1017"/>
      <c r="AF393" s="1017"/>
    </row>
    <row r="394" spans="1:32" ht="16.5">
      <c r="A394" s="1022"/>
      <c r="B394" s="1736"/>
      <c r="C394" s="1171">
        <v>43862</v>
      </c>
      <c r="D394" s="1172">
        <v>44226</v>
      </c>
      <c r="E394" s="1172"/>
      <c r="F394" s="1229">
        <v>589783.33000000007</v>
      </c>
      <c r="G394" s="1174">
        <v>419646</v>
      </c>
      <c r="H394" s="1181">
        <f t="shared" si="22"/>
        <v>136384.95000000001</v>
      </c>
      <c r="I394" s="1230"/>
      <c r="J394" s="1182">
        <f t="shared" si="21"/>
        <v>0.711525705550206</v>
      </c>
      <c r="K394" s="1443"/>
      <c r="L394" s="1036"/>
      <c r="M394" s="1017"/>
      <c r="N394" s="1017"/>
      <c r="O394" s="1017"/>
      <c r="P394" s="1017"/>
      <c r="Q394" s="1017"/>
      <c r="R394" s="1017"/>
      <c r="S394" s="1017"/>
      <c r="T394" s="1351">
        <v>0.70644668260371946</v>
      </c>
      <c r="U394" s="1017"/>
      <c r="V394" s="1017"/>
      <c r="W394" s="1017"/>
      <c r="X394" s="1017"/>
      <c r="Y394" s="1017"/>
      <c r="Z394" s="1017"/>
      <c r="AA394" s="1017"/>
      <c r="AB394" s="1017"/>
      <c r="AC394" s="1017"/>
      <c r="AD394" s="1017"/>
      <c r="AE394" s="1017"/>
      <c r="AF394" s="1017"/>
    </row>
    <row r="395" spans="1:32" ht="16.5">
      <c r="A395" s="1022"/>
      <c r="B395" s="1739" t="s">
        <v>329</v>
      </c>
      <c r="C395" s="1155">
        <v>43863</v>
      </c>
      <c r="D395" s="1156">
        <v>44227</v>
      </c>
      <c r="E395" s="1156"/>
      <c r="F395" s="1239">
        <v>316464.39</v>
      </c>
      <c r="G395" s="1193">
        <v>225000</v>
      </c>
      <c r="H395" s="1226">
        <f t="shared" si="22"/>
        <v>73125</v>
      </c>
      <c r="I395" s="1227"/>
      <c r="J395" s="1176">
        <f t="shared" si="21"/>
        <v>0.71098046766020018</v>
      </c>
      <c r="K395" s="1443"/>
      <c r="L395" s="1036"/>
      <c r="M395" s="1744" t="s">
        <v>403</v>
      </c>
      <c r="N395" s="1745"/>
      <c r="O395" s="1746"/>
      <c r="P395" s="1378"/>
      <c r="Q395" s="1017"/>
      <c r="R395" s="1017"/>
      <c r="S395" s="1017"/>
      <c r="T395" s="1351">
        <v>0.70725425752732041</v>
      </c>
      <c r="U395" s="1017"/>
      <c r="V395" s="1017"/>
      <c r="W395" s="1017"/>
      <c r="X395" s="1017"/>
      <c r="Y395" s="1017"/>
      <c r="Z395" s="1017"/>
      <c r="AA395" s="1017"/>
      <c r="AB395" s="1017"/>
      <c r="AC395" s="1017"/>
      <c r="AD395" s="1017"/>
      <c r="AE395" s="1017"/>
      <c r="AF395" s="1017"/>
    </row>
    <row r="396" spans="1:32" ht="16.5">
      <c r="A396" s="1022"/>
      <c r="B396" s="1740"/>
      <c r="C396" s="1162">
        <v>43864</v>
      </c>
      <c r="D396" s="1163">
        <v>44228</v>
      </c>
      <c r="E396" s="1163"/>
      <c r="F396" s="1240">
        <v>383607.41</v>
      </c>
      <c r="G396" s="1174">
        <v>268441</v>
      </c>
      <c r="H396" s="1181">
        <f t="shared" si="22"/>
        <v>87243.324999999997</v>
      </c>
      <c r="I396" s="1228"/>
      <c r="J396" s="1179">
        <f t="shared" si="21"/>
        <v>0.69978053865017886</v>
      </c>
      <c r="K396" s="1443"/>
      <c r="L396" s="1036"/>
      <c r="M396" s="1220" t="s">
        <v>2</v>
      </c>
      <c r="N396" s="1221" t="s">
        <v>1</v>
      </c>
      <c r="O396" s="1222" t="s">
        <v>400</v>
      </c>
      <c r="P396" s="142"/>
      <c r="Q396" s="1017"/>
      <c r="R396" s="1017"/>
      <c r="S396" s="1017"/>
      <c r="T396" s="1351">
        <v>0.70806183245092125</v>
      </c>
      <c r="U396" s="1017"/>
      <c r="V396" s="1017"/>
      <c r="W396" s="1017"/>
      <c r="X396" s="1017"/>
      <c r="Y396" s="1017"/>
      <c r="Z396" s="1017"/>
      <c r="AA396" s="1017"/>
      <c r="AB396" s="1017"/>
      <c r="AC396" s="1017"/>
      <c r="AD396" s="1017"/>
      <c r="AE396" s="1017"/>
      <c r="AF396" s="1017"/>
    </row>
    <row r="397" spans="1:32" ht="16.5">
      <c r="A397" s="1022"/>
      <c r="B397" s="1740"/>
      <c r="C397" s="1162">
        <v>43865</v>
      </c>
      <c r="D397" s="1163">
        <v>44229</v>
      </c>
      <c r="E397" s="1163"/>
      <c r="F397" s="1240">
        <v>253633.04</v>
      </c>
      <c r="G397" s="1174">
        <v>209083</v>
      </c>
      <c r="H397" s="1181">
        <f t="shared" si="22"/>
        <v>67951.975000000006</v>
      </c>
      <c r="I397" s="1228"/>
      <c r="J397" s="1179">
        <f t="shared" si="21"/>
        <v>0.82435237932723593</v>
      </c>
      <c r="K397" s="1443"/>
      <c r="L397" s="1036"/>
      <c r="M397" s="1167">
        <f>SUM(G416:G422)/SUM(F416:F422)</f>
        <v>0.75379943515062042</v>
      </c>
      <c r="N397" s="1223">
        <f>SUM(G395:G422)/SUM(F395:F422)</f>
        <v>0.65694968883423599</v>
      </c>
      <c r="O397" s="1224">
        <f>SUM(G414:G420)/SUM(F414:F420)</f>
        <v>0.73246171441126284</v>
      </c>
      <c r="P397" s="1379"/>
      <c r="Q397" s="1017"/>
      <c r="R397" s="1017"/>
      <c r="S397" s="1017"/>
      <c r="T397" s="1351">
        <v>0.7088694073745222</v>
      </c>
      <c r="U397" s="1017"/>
      <c r="V397" s="1017"/>
      <c r="W397" s="1017"/>
      <c r="X397" s="1017"/>
      <c r="Y397" s="1017"/>
      <c r="Z397" s="1017"/>
      <c r="AA397" s="1017"/>
      <c r="AB397" s="1017"/>
      <c r="AC397" s="1017"/>
      <c r="AD397" s="1017"/>
      <c r="AE397" s="1017"/>
      <c r="AF397" s="1017"/>
    </row>
    <row r="398" spans="1:32" ht="16.5">
      <c r="A398" s="1022"/>
      <c r="B398" s="1740"/>
      <c r="C398" s="1162">
        <v>43866</v>
      </c>
      <c r="D398" s="1163">
        <v>44230</v>
      </c>
      <c r="E398" s="1163"/>
      <c r="F398" s="1240">
        <v>192645.4</v>
      </c>
      <c r="G398" s="1174">
        <v>198914</v>
      </c>
      <c r="H398" s="1181">
        <f t="shared" si="22"/>
        <v>64647.05</v>
      </c>
      <c r="I398" s="1228"/>
      <c r="J398" s="1179">
        <f t="shared" si="21"/>
        <v>1.0325395778980448</v>
      </c>
      <c r="K398" s="1443"/>
      <c r="L398" s="1036"/>
      <c r="M398" s="1017"/>
      <c r="N398" s="1017"/>
      <c r="O398" s="1017"/>
      <c r="P398" s="1017"/>
      <c r="Q398" s="1017"/>
      <c r="R398" s="1017"/>
      <c r="S398" s="1017"/>
      <c r="T398" s="1351">
        <v>0.70967698229812304</v>
      </c>
      <c r="U398" s="1017"/>
      <c r="V398" s="1017"/>
      <c r="W398" s="1017"/>
      <c r="X398" s="1017"/>
      <c r="Y398" s="1017"/>
      <c r="Z398" s="1017"/>
      <c r="AA398" s="1017"/>
      <c r="AB398" s="1017"/>
      <c r="AC398" s="1017"/>
      <c r="AD398" s="1017"/>
      <c r="AE398" s="1017"/>
      <c r="AF398" s="1017"/>
    </row>
    <row r="399" spans="1:32" ht="16.5">
      <c r="A399" s="1022"/>
      <c r="B399" s="1740"/>
      <c r="C399" s="1162">
        <v>43867</v>
      </c>
      <c r="D399" s="1163">
        <v>44231</v>
      </c>
      <c r="E399" s="1163"/>
      <c r="F399" s="1240">
        <v>255965.35</v>
      </c>
      <c r="G399" s="1174">
        <v>203526</v>
      </c>
      <c r="H399" s="1181">
        <f t="shared" si="22"/>
        <v>66145.95</v>
      </c>
      <c r="I399" s="1228"/>
      <c r="J399" s="1179">
        <f t="shared" si="21"/>
        <v>0.79513105973132692</v>
      </c>
      <c r="K399" s="1443"/>
      <c r="L399" s="1036"/>
      <c r="M399" s="1017"/>
      <c r="N399" s="1017"/>
      <c r="O399" s="1017"/>
      <c r="P399" s="1017"/>
      <c r="Q399" s="1017"/>
      <c r="R399" s="1017"/>
      <c r="S399" s="1017"/>
      <c r="T399" s="1351">
        <v>0.71048455722172399</v>
      </c>
      <c r="U399" s="1017"/>
      <c r="V399" s="1017"/>
      <c r="W399" s="1017"/>
      <c r="X399" s="1017"/>
      <c r="Y399" s="1017"/>
      <c r="Z399" s="1017"/>
      <c r="AA399" s="1017"/>
      <c r="AB399" s="1017"/>
      <c r="AC399" s="1017"/>
      <c r="AD399" s="1017"/>
      <c r="AE399" s="1017"/>
      <c r="AF399" s="1017"/>
    </row>
    <row r="400" spans="1:32" ht="16.5">
      <c r="A400" s="1022"/>
      <c r="B400" s="1740"/>
      <c r="C400" s="1162">
        <v>43868</v>
      </c>
      <c r="D400" s="1163">
        <v>44232</v>
      </c>
      <c r="E400" s="1163"/>
      <c r="F400" s="1240">
        <v>336859.1</v>
      </c>
      <c r="G400" s="1174">
        <v>272727</v>
      </c>
      <c r="H400" s="1181">
        <f t="shared" si="22"/>
        <v>88636.275000000009</v>
      </c>
      <c r="I400" s="1228"/>
      <c r="J400" s="1179">
        <f t="shared" si="21"/>
        <v>0.80961743352042448</v>
      </c>
      <c r="K400" s="1443"/>
      <c r="L400" s="1036"/>
      <c r="M400" s="1017"/>
      <c r="N400" s="1017"/>
      <c r="O400" s="1017"/>
      <c r="P400" s="1017"/>
      <c r="Q400" s="1017"/>
      <c r="R400" s="1017"/>
      <c r="S400" s="1017"/>
      <c r="T400" s="1351">
        <v>0.71129213214532483</v>
      </c>
      <c r="U400" s="1017"/>
      <c r="V400" s="1017"/>
      <c r="W400" s="1017"/>
      <c r="X400" s="1017"/>
      <c r="Y400" s="1017"/>
      <c r="Z400" s="1017"/>
      <c r="AA400" s="1017"/>
      <c r="AB400" s="1017"/>
      <c r="AC400" s="1017"/>
      <c r="AD400" s="1017"/>
      <c r="AE400" s="1017"/>
      <c r="AF400" s="1017"/>
    </row>
    <row r="401" spans="1:32" ht="16.5">
      <c r="A401" s="1022"/>
      <c r="B401" s="1743"/>
      <c r="C401" s="1171">
        <v>43869</v>
      </c>
      <c r="D401" s="1172">
        <v>44233</v>
      </c>
      <c r="E401" s="1172"/>
      <c r="F401" s="1241">
        <v>649595.76</v>
      </c>
      <c r="G401" s="1174">
        <v>376848</v>
      </c>
      <c r="H401" s="1181">
        <f t="shared" si="22"/>
        <v>122475.6</v>
      </c>
      <c r="I401" s="1230"/>
      <c r="J401" s="1182">
        <f t="shared" si="21"/>
        <v>0.58012693925218972</v>
      </c>
      <c r="K401" s="1443"/>
      <c r="L401" s="1036"/>
      <c r="M401" s="1017"/>
      <c r="N401" s="1017"/>
      <c r="O401" s="1017"/>
      <c r="P401" s="1017"/>
      <c r="Q401" s="1017"/>
      <c r="R401" s="1017"/>
      <c r="S401" s="1017"/>
      <c r="T401" s="1351">
        <v>0.71209970706892578</v>
      </c>
      <c r="U401" s="1017"/>
      <c r="V401" s="1017"/>
      <c r="W401" s="1017"/>
      <c r="X401" s="1017"/>
      <c r="Y401" s="1017"/>
      <c r="Z401" s="1017"/>
      <c r="AA401" s="1017"/>
      <c r="AB401" s="1017"/>
      <c r="AC401" s="1017"/>
      <c r="AD401" s="1017"/>
      <c r="AE401" s="1017"/>
      <c r="AF401" s="1017"/>
    </row>
    <row r="402" spans="1:32" ht="16.5">
      <c r="A402" s="1022"/>
      <c r="B402" s="1739" t="s">
        <v>330</v>
      </c>
      <c r="C402" s="1155">
        <v>43870</v>
      </c>
      <c r="D402" s="1156">
        <v>44234</v>
      </c>
      <c r="E402" s="1156"/>
      <c r="F402" s="1239">
        <v>416821.82</v>
      </c>
      <c r="G402" s="1193">
        <v>203138</v>
      </c>
      <c r="H402" s="1226">
        <f t="shared" si="22"/>
        <v>66019.850000000006</v>
      </c>
      <c r="I402" s="1242">
        <f>G402*0.5</f>
        <v>101569</v>
      </c>
      <c r="J402" s="1176">
        <f t="shared" si="21"/>
        <v>0.48734972655702141</v>
      </c>
      <c r="K402" s="1443"/>
      <c r="L402" s="1036"/>
      <c r="M402" s="1017"/>
      <c r="N402" s="1017"/>
      <c r="O402" s="1017"/>
      <c r="P402" s="1017"/>
      <c r="Q402" s="1017"/>
      <c r="R402" s="1017"/>
      <c r="S402" s="1017"/>
      <c r="T402" s="1351">
        <v>0.71290728199252662</v>
      </c>
      <c r="U402" s="1017"/>
      <c r="V402" s="1017"/>
      <c r="W402" s="1017"/>
      <c r="X402" s="1017"/>
      <c r="Y402" s="1017"/>
      <c r="Z402" s="1017"/>
      <c r="AA402" s="1017"/>
      <c r="AB402" s="1017"/>
      <c r="AC402" s="1017"/>
      <c r="AD402" s="1017"/>
      <c r="AE402" s="1017"/>
      <c r="AF402" s="1017"/>
    </row>
    <row r="403" spans="1:32" ht="16.5">
      <c r="A403" s="1022"/>
      <c r="B403" s="1740"/>
      <c r="C403" s="1162">
        <v>43871</v>
      </c>
      <c r="D403" s="1163">
        <v>44235</v>
      </c>
      <c r="E403" s="1163"/>
      <c r="F403" s="1243">
        <v>303875.57</v>
      </c>
      <c r="G403" s="1174">
        <v>204921</v>
      </c>
      <c r="H403" s="1181">
        <f t="shared" si="22"/>
        <v>66599.324999999997</v>
      </c>
      <c r="I403" s="1242">
        <f t="shared" ref="I403:I466" si="23">G403*0.5</f>
        <v>102460.5</v>
      </c>
      <c r="J403" s="1176">
        <f t="shared" si="21"/>
        <v>0.67435825788825343</v>
      </c>
      <c r="K403" s="1443"/>
      <c r="L403" s="1036"/>
      <c r="M403" s="1017"/>
      <c r="N403" s="1017"/>
      <c r="O403" s="1017"/>
      <c r="P403" s="1017"/>
      <c r="Q403" s="1017"/>
      <c r="R403" s="1017"/>
      <c r="S403" s="1017"/>
      <c r="T403" s="1351">
        <v>0.71371485691612757</v>
      </c>
      <c r="U403" s="1017"/>
      <c r="V403" s="1017"/>
      <c r="W403" s="1017"/>
      <c r="X403" s="1017"/>
      <c r="Y403" s="1017"/>
      <c r="Z403" s="1017"/>
      <c r="AA403" s="1017"/>
      <c r="AB403" s="1017"/>
      <c r="AC403" s="1017"/>
      <c r="AD403" s="1017"/>
      <c r="AE403" s="1017"/>
      <c r="AF403" s="1017"/>
    </row>
    <row r="404" spans="1:32" ht="16.5">
      <c r="A404" s="1022"/>
      <c r="B404" s="1740"/>
      <c r="C404" s="1162">
        <v>43872</v>
      </c>
      <c r="D404" s="1163">
        <v>44236</v>
      </c>
      <c r="E404" s="1163"/>
      <c r="F404" s="1243">
        <v>323916.98</v>
      </c>
      <c r="G404" s="1174">
        <v>220310</v>
      </c>
      <c r="H404" s="1181">
        <f t="shared" si="22"/>
        <v>71600.75</v>
      </c>
      <c r="I404" s="1242">
        <f t="shared" si="23"/>
        <v>110155</v>
      </c>
      <c r="J404" s="1176">
        <f t="shared" si="21"/>
        <v>0.68014341205576812</v>
      </c>
      <c r="K404" s="1443"/>
      <c r="L404" s="1036"/>
      <c r="M404" s="1017"/>
      <c r="N404" s="1017"/>
      <c r="O404" s="1017"/>
      <c r="P404" s="1017"/>
      <c r="Q404" s="1017"/>
      <c r="R404" s="1017"/>
      <c r="S404" s="1017"/>
      <c r="T404" s="1351">
        <v>0.71452243183972841</v>
      </c>
      <c r="U404" s="1017"/>
      <c r="V404" s="1017"/>
      <c r="W404" s="1017"/>
      <c r="X404" s="1017"/>
      <c r="Y404" s="1017"/>
      <c r="Z404" s="1017"/>
      <c r="AA404" s="1017"/>
      <c r="AB404" s="1017"/>
      <c r="AC404" s="1017"/>
      <c r="AD404" s="1017"/>
      <c r="AE404" s="1017"/>
      <c r="AF404" s="1017"/>
    </row>
    <row r="405" spans="1:32" ht="16.5">
      <c r="A405" s="1022"/>
      <c r="B405" s="1740"/>
      <c r="C405" s="1162">
        <v>43873</v>
      </c>
      <c r="D405" s="1163">
        <v>44237</v>
      </c>
      <c r="E405" s="1163"/>
      <c r="F405" s="1243">
        <v>421347.41</v>
      </c>
      <c r="G405" s="1174">
        <v>209316</v>
      </c>
      <c r="H405" s="1181">
        <f t="shared" si="22"/>
        <v>68027.7</v>
      </c>
      <c r="I405" s="1242">
        <f t="shared" si="23"/>
        <v>104658</v>
      </c>
      <c r="J405" s="1176">
        <f t="shared" si="21"/>
        <v>0.49677770654861747</v>
      </c>
      <c r="K405" s="1443"/>
      <c r="L405" s="1036"/>
      <c r="N405" s="1017"/>
      <c r="O405" s="1017"/>
      <c r="P405" s="1017"/>
      <c r="Q405" s="1017"/>
      <c r="R405" s="1017"/>
      <c r="S405" s="1017"/>
      <c r="T405" s="1351">
        <v>0.71533000676332936</v>
      </c>
      <c r="U405" s="1017"/>
      <c r="V405" s="1017"/>
      <c r="W405" s="1017"/>
      <c r="X405" s="1017"/>
      <c r="Y405" s="1017"/>
      <c r="Z405" s="1017"/>
      <c r="AA405" s="1017"/>
      <c r="AB405" s="1017"/>
      <c r="AC405" s="1017"/>
      <c r="AD405" s="1017"/>
      <c r="AE405" s="1017"/>
      <c r="AF405" s="1017"/>
    </row>
    <row r="406" spans="1:32" ht="16.5">
      <c r="A406" s="1022"/>
      <c r="B406" s="1740"/>
      <c r="C406" s="1162">
        <v>43874</v>
      </c>
      <c r="D406" s="1163">
        <v>44238</v>
      </c>
      <c r="E406" s="1163"/>
      <c r="F406" s="1243">
        <v>802094.86</v>
      </c>
      <c r="G406" s="1174">
        <v>262346</v>
      </c>
      <c r="H406" s="1181">
        <f t="shared" si="22"/>
        <v>85262.45</v>
      </c>
      <c r="I406" s="1242">
        <f t="shared" si="23"/>
        <v>131173</v>
      </c>
      <c r="J406" s="1176">
        <f t="shared" si="21"/>
        <v>0.32707602689287901</v>
      </c>
      <c r="K406" s="1443"/>
      <c r="L406" s="1036"/>
      <c r="M406" s="1017"/>
      <c r="N406" s="1017"/>
      <c r="O406" s="1017"/>
      <c r="P406" s="1017"/>
      <c r="Q406" s="1017"/>
      <c r="R406" s="1017"/>
      <c r="S406" s="1017"/>
      <c r="T406" s="1351">
        <v>0.7161375816869302</v>
      </c>
      <c r="U406" s="1017"/>
      <c r="V406" s="1017"/>
      <c r="W406" s="1017"/>
      <c r="X406" s="1017"/>
      <c r="Y406" s="1017"/>
      <c r="Z406" s="1017"/>
      <c r="AA406" s="1017"/>
      <c r="AB406" s="1017"/>
      <c r="AC406" s="1017"/>
      <c r="AD406" s="1017"/>
      <c r="AE406" s="1017"/>
      <c r="AF406" s="1017"/>
    </row>
    <row r="407" spans="1:32" ht="16.5">
      <c r="A407" s="1022"/>
      <c r="B407" s="1740"/>
      <c r="C407" s="1162">
        <v>43875</v>
      </c>
      <c r="D407" s="1163">
        <v>44239</v>
      </c>
      <c r="E407" s="1163"/>
      <c r="F407" s="1243">
        <v>791449.78</v>
      </c>
      <c r="G407" s="1174">
        <v>395268</v>
      </c>
      <c r="H407" s="1181">
        <f t="shared" si="22"/>
        <v>128462.1</v>
      </c>
      <c r="I407" s="1242">
        <f t="shared" si="23"/>
        <v>197634</v>
      </c>
      <c r="J407" s="1176">
        <f t="shared" si="21"/>
        <v>0.49942271763598189</v>
      </c>
      <c r="K407" s="1443"/>
      <c r="L407" s="1036"/>
      <c r="M407" s="1017"/>
      <c r="N407" s="1017"/>
      <c r="O407" s="1017"/>
      <c r="P407" s="1017"/>
      <c r="Q407" s="1017"/>
      <c r="R407" s="1017"/>
      <c r="S407" s="1017"/>
      <c r="T407" s="1351">
        <v>0.71694515661053115</v>
      </c>
      <c r="U407" s="1017"/>
      <c r="V407" s="1017"/>
      <c r="W407" s="1017"/>
      <c r="X407" s="1017"/>
      <c r="Y407" s="1017"/>
      <c r="Z407" s="1017"/>
      <c r="AA407" s="1017"/>
      <c r="AB407" s="1017"/>
      <c r="AC407" s="1017"/>
      <c r="AD407" s="1017"/>
      <c r="AE407" s="1017"/>
      <c r="AF407" s="1017"/>
    </row>
    <row r="408" spans="1:32" ht="16.5">
      <c r="A408" s="1022"/>
      <c r="B408" s="1741"/>
      <c r="C408" s="1197">
        <v>43876</v>
      </c>
      <c r="D408" s="1198">
        <v>44240</v>
      </c>
      <c r="E408" s="1198"/>
      <c r="F408" s="1244">
        <v>687960.83</v>
      </c>
      <c r="G408" s="1200">
        <v>601531</v>
      </c>
      <c r="H408" s="1201">
        <f t="shared" si="22"/>
        <v>195497.57500000001</v>
      </c>
      <c r="I408" s="1242">
        <f t="shared" si="23"/>
        <v>300765.5</v>
      </c>
      <c r="J408" s="1176">
        <f t="shared" si="21"/>
        <v>0.87436809447421593</v>
      </c>
      <c r="K408" s="1443"/>
      <c r="L408" s="1036"/>
      <c r="N408" s="1017"/>
      <c r="O408" s="1017"/>
      <c r="P408" s="1017"/>
      <c r="Q408" s="1017"/>
      <c r="R408" s="1017"/>
      <c r="S408" s="1017"/>
      <c r="T408" s="1351">
        <v>0.71775273153413199</v>
      </c>
      <c r="U408" s="1017"/>
      <c r="V408" s="1017"/>
      <c r="W408" s="1017"/>
      <c r="X408" s="1017"/>
      <c r="Y408" s="1017"/>
      <c r="Z408" s="1017"/>
      <c r="AA408" s="1017"/>
      <c r="AB408" s="1017"/>
      <c r="AC408" s="1017"/>
      <c r="AD408" s="1017"/>
      <c r="AE408" s="1017"/>
      <c r="AF408" s="1017"/>
    </row>
    <row r="409" spans="1:32" ht="15" customHeight="1">
      <c r="A409" s="1022"/>
      <c r="B409" s="1742" t="s">
        <v>331</v>
      </c>
      <c r="C409" s="1202">
        <v>43877</v>
      </c>
      <c r="D409" s="1203">
        <v>44241</v>
      </c>
      <c r="E409" s="1203"/>
      <c r="F409" s="1245">
        <v>441508.92</v>
      </c>
      <c r="G409" s="1236">
        <v>291464</v>
      </c>
      <c r="H409" s="1237">
        <f t="shared" si="22"/>
        <v>94725.8</v>
      </c>
      <c r="I409" s="1242">
        <f t="shared" si="23"/>
        <v>145732</v>
      </c>
      <c r="J409" s="1176">
        <f t="shared" si="21"/>
        <v>0.66015427276078598</v>
      </c>
      <c r="K409" s="1443"/>
      <c r="L409" s="1036" t="s">
        <v>404</v>
      </c>
      <c r="M409" s="1017"/>
      <c r="N409" s="1017"/>
      <c r="O409" s="1017"/>
      <c r="P409" s="1017"/>
      <c r="Q409" s="1017"/>
      <c r="R409" s="1017"/>
      <c r="S409" s="1017"/>
      <c r="T409" s="1351">
        <v>0.71856030645773294</v>
      </c>
      <c r="U409" s="1017"/>
      <c r="V409" s="1017"/>
      <c r="W409" s="1017"/>
      <c r="X409" s="1017"/>
      <c r="Y409" s="1017"/>
      <c r="Z409" s="1017"/>
      <c r="AA409" s="1017"/>
      <c r="AB409" s="1017"/>
      <c r="AC409" s="1017"/>
      <c r="AD409" s="1017"/>
      <c r="AE409" s="1017"/>
      <c r="AF409" s="1017"/>
    </row>
    <row r="410" spans="1:32" ht="16.5">
      <c r="A410" s="1022"/>
      <c r="B410" s="1740"/>
      <c r="C410" s="1162">
        <v>43878</v>
      </c>
      <c r="D410" s="1163">
        <v>44242</v>
      </c>
      <c r="E410" s="1163"/>
      <c r="F410" s="1243">
        <v>298238.95</v>
      </c>
      <c r="G410" s="1174">
        <v>105341</v>
      </c>
      <c r="H410" s="1181">
        <f t="shared" si="22"/>
        <v>34235.825000000004</v>
      </c>
      <c r="I410" s="1242">
        <f t="shared" si="23"/>
        <v>52670.5</v>
      </c>
      <c r="J410" s="1176">
        <f t="shared" si="21"/>
        <v>0.35321006863791599</v>
      </c>
      <c r="K410" s="1443"/>
      <c r="L410" s="1036" t="s">
        <v>405</v>
      </c>
      <c r="M410" s="1017"/>
      <c r="N410" s="1017"/>
      <c r="O410" s="1017"/>
      <c r="P410" s="1017"/>
      <c r="Q410" s="1017"/>
      <c r="R410" s="1017"/>
      <c r="S410" s="1017"/>
      <c r="T410" s="1351">
        <v>0.71936788138133378</v>
      </c>
      <c r="U410" s="1017"/>
      <c r="V410" s="1017"/>
      <c r="W410" s="1017"/>
      <c r="X410" s="1017"/>
      <c r="Y410" s="1017"/>
      <c r="Z410" s="1017"/>
      <c r="AA410" s="1017"/>
      <c r="AB410" s="1017"/>
      <c r="AC410" s="1017"/>
      <c r="AD410" s="1017"/>
      <c r="AE410" s="1017"/>
      <c r="AF410" s="1017"/>
    </row>
    <row r="411" spans="1:32" ht="16.5">
      <c r="A411" s="1022"/>
      <c r="B411" s="1740"/>
      <c r="C411" s="1162">
        <v>43879</v>
      </c>
      <c r="D411" s="1163">
        <v>44243</v>
      </c>
      <c r="E411" s="1163"/>
      <c r="F411" s="1243">
        <v>227432.2</v>
      </c>
      <c r="G411" s="1174">
        <v>169288</v>
      </c>
      <c r="H411" s="1181">
        <f t="shared" si="22"/>
        <v>55018.6</v>
      </c>
      <c r="I411" s="1242">
        <f t="shared" si="23"/>
        <v>84644</v>
      </c>
      <c r="J411" s="1176">
        <f t="shared" si="21"/>
        <v>0.74434490806490894</v>
      </c>
      <c r="K411" s="1443"/>
      <c r="L411" s="1036"/>
      <c r="N411" s="1017"/>
      <c r="O411" s="1017"/>
      <c r="P411" s="1017"/>
      <c r="Q411" s="1017"/>
      <c r="R411" s="1017"/>
      <c r="S411" s="1017"/>
      <c r="T411" s="1351">
        <v>0.72017545630493474</v>
      </c>
      <c r="U411" s="1017"/>
      <c r="V411" s="1017"/>
      <c r="W411" s="1017"/>
      <c r="X411" s="1017"/>
      <c r="Y411" s="1017"/>
      <c r="Z411" s="1017"/>
      <c r="AA411" s="1017"/>
      <c r="AB411" s="1017"/>
      <c r="AC411" s="1017"/>
      <c r="AD411" s="1017"/>
      <c r="AE411" s="1017"/>
      <c r="AF411" s="1017"/>
    </row>
    <row r="412" spans="1:32" ht="16.5">
      <c r="A412" s="1022"/>
      <c r="B412" s="1740"/>
      <c r="C412" s="1162">
        <v>43880</v>
      </c>
      <c r="D412" s="1163">
        <v>44244</v>
      </c>
      <c r="E412" s="1163"/>
      <c r="F412" s="1243">
        <v>249406.32</v>
      </c>
      <c r="G412" s="1174">
        <v>166328</v>
      </c>
      <c r="H412" s="1181">
        <f t="shared" si="22"/>
        <v>54056.6</v>
      </c>
      <c r="I412" s="1242">
        <f t="shared" si="23"/>
        <v>83164</v>
      </c>
      <c r="J412" s="1176">
        <f t="shared" si="21"/>
        <v>0.66689569053422537</v>
      </c>
      <c r="K412" s="1443"/>
      <c r="L412" s="1036"/>
      <c r="M412" s="1017"/>
      <c r="N412" s="1017"/>
      <c r="O412" s="1017"/>
      <c r="P412" s="1017"/>
      <c r="Q412" s="1017"/>
      <c r="R412" s="1017"/>
      <c r="S412" s="1017"/>
      <c r="T412" s="1351">
        <v>0.72098303122853569</v>
      </c>
      <c r="U412" s="1017"/>
      <c r="V412" s="1017"/>
      <c r="W412" s="1017"/>
      <c r="X412" s="1017"/>
      <c r="Y412" s="1017"/>
      <c r="Z412" s="1017"/>
      <c r="AA412" s="1017"/>
      <c r="AB412" s="1017"/>
      <c r="AC412" s="1017"/>
      <c r="AD412" s="1017"/>
      <c r="AE412" s="1017"/>
      <c r="AF412" s="1017"/>
    </row>
    <row r="413" spans="1:32" ht="16.5">
      <c r="A413" s="1022"/>
      <c r="B413" s="1740"/>
      <c r="C413" s="1162">
        <v>43881</v>
      </c>
      <c r="D413" s="1163">
        <v>44245</v>
      </c>
      <c r="E413" s="1163"/>
      <c r="F413" s="1243">
        <v>255511.15</v>
      </c>
      <c r="G413" s="1174">
        <v>175992</v>
      </c>
      <c r="H413" s="1181">
        <f t="shared" si="22"/>
        <v>57197.4</v>
      </c>
      <c r="I413" s="1242">
        <f t="shared" si="23"/>
        <v>87996</v>
      </c>
      <c r="J413" s="1176">
        <f t="shared" si="21"/>
        <v>0.68878403153834966</v>
      </c>
      <c r="K413" s="1443"/>
      <c r="L413" s="1036"/>
      <c r="M413" s="1017"/>
      <c r="N413" s="1017"/>
      <c r="O413" s="1017"/>
      <c r="P413" s="1017"/>
      <c r="Q413" s="1017"/>
      <c r="R413" s="1017"/>
      <c r="S413" s="1017"/>
      <c r="T413" s="1351">
        <v>0.72179060615213653</v>
      </c>
      <c r="U413" s="1017"/>
      <c r="V413" s="1017"/>
      <c r="W413" s="1017"/>
      <c r="X413" s="1017"/>
      <c r="Y413" s="1017"/>
      <c r="Z413" s="1017"/>
      <c r="AA413" s="1017"/>
      <c r="AB413" s="1017"/>
      <c r="AC413" s="1017"/>
      <c r="AD413" s="1017"/>
      <c r="AE413" s="1017"/>
      <c r="AF413" s="1017"/>
    </row>
    <row r="414" spans="1:32" ht="16.5">
      <c r="A414" s="1022"/>
      <c r="B414" s="1740"/>
      <c r="C414" s="1162">
        <v>43882</v>
      </c>
      <c r="D414" s="1163">
        <v>44246</v>
      </c>
      <c r="E414" s="1163"/>
      <c r="F414" s="1243">
        <v>340270.74</v>
      </c>
      <c r="G414" s="1174">
        <v>219321</v>
      </c>
      <c r="H414" s="1181">
        <f t="shared" si="22"/>
        <v>71279.324999999997</v>
      </c>
      <c r="I414" s="1242">
        <f t="shared" si="23"/>
        <v>109660.5</v>
      </c>
      <c r="J414" s="1176">
        <f t="shared" si="21"/>
        <v>0.64454851451523576</v>
      </c>
      <c r="K414" s="1443"/>
      <c r="L414" s="1036"/>
      <c r="M414" s="1017"/>
      <c r="N414" s="1017"/>
      <c r="O414" s="1017"/>
      <c r="P414" s="1017"/>
      <c r="Q414" s="1017"/>
      <c r="R414" s="1017"/>
      <c r="S414" s="1017"/>
      <c r="T414" s="1351">
        <v>0.72259818107573748</v>
      </c>
      <c r="U414" s="1017"/>
      <c r="V414" s="1017"/>
      <c r="W414" s="1017"/>
      <c r="X414" s="1017"/>
      <c r="Y414" s="1017"/>
      <c r="Z414" s="1017"/>
      <c r="AA414" s="1017"/>
      <c r="AB414" s="1017"/>
      <c r="AC414" s="1017"/>
      <c r="AD414" s="1017"/>
      <c r="AE414" s="1017"/>
      <c r="AF414" s="1017"/>
    </row>
    <row r="415" spans="1:32" ht="16.5">
      <c r="A415" s="1022"/>
      <c r="B415" s="1743"/>
      <c r="C415" s="1171">
        <v>43883</v>
      </c>
      <c r="D415" s="1172">
        <v>44247</v>
      </c>
      <c r="E415" s="1172"/>
      <c r="F415" s="1246">
        <v>530020.62</v>
      </c>
      <c r="G415" s="1174">
        <v>370488</v>
      </c>
      <c r="H415" s="1181">
        <f t="shared" si="22"/>
        <v>120408.6</v>
      </c>
      <c r="I415" s="1242">
        <f t="shared" si="23"/>
        <v>185244</v>
      </c>
      <c r="J415" s="1176">
        <f t="shared" si="21"/>
        <v>0.69900676694427477</v>
      </c>
      <c r="K415" s="1443"/>
      <c r="L415" s="1036"/>
      <c r="M415" s="1017"/>
      <c r="N415" s="1017"/>
      <c r="O415" s="1017"/>
      <c r="P415" s="1017"/>
      <c r="Q415" s="1017"/>
      <c r="R415" s="1017"/>
      <c r="S415" s="1017"/>
      <c r="T415" s="1351">
        <v>0.72340575599933832</v>
      </c>
      <c r="U415" s="1017"/>
      <c r="V415" s="1017"/>
      <c r="W415" s="1017"/>
      <c r="X415" s="1017"/>
      <c r="Y415" s="1017"/>
      <c r="Z415" s="1017"/>
      <c r="AA415" s="1017"/>
      <c r="AB415" s="1017"/>
      <c r="AC415" s="1017"/>
      <c r="AD415" s="1017"/>
      <c r="AE415" s="1017"/>
      <c r="AF415" s="1017"/>
    </row>
    <row r="416" spans="1:32" ht="16.5">
      <c r="A416" s="1022"/>
      <c r="B416" s="1739" t="s">
        <v>332</v>
      </c>
      <c r="C416" s="1155">
        <v>43884</v>
      </c>
      <c r="D416" s="1156">
        <v>44248</v>
      </c>
      <c r="E416" s="1156"/>
      <c r="F416" s="1239">
        <v>329363.95</v>
      </c>
      <c r="G416" s="1193">
        <v>186138</v>
      </c>
      <c r="H416" s="1226">
        <f t="shared" si="22"/>
        <v>60494.85</v>
      </c>
      <c r="I416" s="1242">
        <f t="shared" si="23"/>
        <v>93069</v>
      </c>
      <c r="J416" s="1176">
        <f t="shared" si="21"/>
        <v>0.56514381734855923</v>
      </c>
      <c r="K416" s="1443"/>
      <c r="L416" s="1036"/>
      <c r="M416" s="1017"/>
      <c r="N416" s="1017"/>
      <c r="O416" s="1017"/>
      <c r="P416" s="1017"/>
      <c r="Q416" s="1017"/>
      <c r="R416" s="1017"/>
      <c r="S416" s="1017"/>
      <c r="T416" s="1351">
        <v>0.72421333092293927</v>
      </c>
      <c r="U416" s="1017"/>
      <c r="V416" s="1017"/>
      <c r="W416" s="1017"/>
      <c r="X416" s="1017"/>
      <c r="Y416" s="1017"/>
      <c r="Z416" s="1017"/>
      <c r="AA416" s="1017"/>
      <c r="AB416" s="1017"/>
      <c r="AC416" s="1017"/>
      <c r="AD416" s="1017"/>
      <c r="AE416" s="1017"/>
      <c r="AF416" s="1017"/>
    </row>
    <row r="417" spans="1:32" ht="16.5">
      <c r="A417" s="1022"/>
      <c r="B417" s="1740"/>
      <c r="C417" s="1162">
        <v>43885</v>
      </c>
      <c r="D417" s="1163">
        <v>44249</v>
      </c>
      <c r="E417" s="1163"/>
      <c r="F417" s="1243">
        <v>238345.98</v>
      </c>
      <c r="G417" s="1174">
        <v>176230</v>
      </c>
      <c r="H417" s="1181">
        <f t="shared" si="22"/>
        <v>57274.75</v>
      </c>
      <c r="I417" s="1242">
        <f t="shared" si="23"/>
        <v>88115</v>
      </c>
      <c r="J417" s="1176">
        <f t="shared" si="21"/>
        <v>0.73938733936271961</v>
      </c>
      <c r="K417" s="1443"/>
      <c r="L417" s="1036"/>
      <c r="M417" s="1247" t="s">
        <v>63</v>
      </c>
      <c r="N417" s="1017"/>
      <c r="O417" s="1017"/>
      <c r="P417" s="1017"/>
      <c r="Q417" s="1017"/>
      <c r="R417" s="1017"/>
      <c r="S417" s="1017"/>
      <c r="T417" s="1351">
        <v>0.72502090584654011</v>
      </c>
      <c r="U417" s="1017"/>
      <c r="V417" s="1017"/>
      <c r="W417" s="1017"/>
      <c r="X417" s="1017"/>
      <c r="Y417" s="1017"/>
      <c r="Z417" s="1017"/>
      <c r="AA417" s="1017"/>
      <c r="AB417" s="1017"/>
      <c r="AC417" s="1017"/>
      <c r="AD417" s="1017"/>
      <c r="AE417" s="1017"/>
      <c r="AF417" s="1017"/>
    </row>
    <row r="418" spans="1:32" ht="16.5">
      <c r="A418" s="1022"/>
      <c r="B418" s="1740"/>
      <c r="C418" s="1162">
        <v>43886</v>
      </c>
      <c r="D418" s="1163">
        <v>44250</v>
      </c>
      <c r="E418" s="1163"/>
      <c r="F418" s="1240">
        <v>226762.89</v>
      </c>
      <c r="G418" s="1174">
        <v>179359</v>
      </c>
      <c r="H418" s="1181">
        <f t="shared" si="22"/>
        <v>58291.675000000003</v>
      </c>
      <c r="I418" s="1242">
        <f t="shared" si="23"/>
        <v>89679.5</v>
      </c>
      <c r="J418" s="1176">
        <f t="shared" si="21"/>
        <v>0.79095393430556471</v>
      </c>
      <c r="K418" s="1443"/>
      <c r="L418" s="1036"/>
      <c r="M418" s="1017"/>
      <c r="N418" s="1017"/>
      <c r="O418" s="1017"/>
      <c r="P418" s="1017"/>
      <c r="Q418" s="1017"/>
      <c r="R418" s="1017"/>
      <c r="S418" s="1017"/>
      <c r="T418" s="1351">
        <v>0.72582848077014106</v>
      </c>
      <c r="U418" s="1017"/>
      <c r="V418" s="1017"/>
      <c r="W418" s="1017"/>
      <c r="X418" s="1017"/>
      <c r="Y418" s="1017"/>
      <c r="Z418" s="1017"/>
      <c r="AA418" s="1017"/>
      <c r="AB418" s="1017"/>
      <c r="AC418" s="1017"/>
      <c r="AD418" s="1017"/>
      <c r="AE418" s="1017"/>
      <c r="AF418" s="1017"/>
    </row>
    <row r="419" spans="1:32" ht="16.5">
      <c r="A419" s="1022"/>
      <c r="B419" s="1740"/>
      <c r="C419" s="1162">
        <v>43887</v>
      </c>
      <c r="D419" s="1163">
        <v>44251</v>
      </c>
      <c r="E419" s="1163"/>
      <c r="F419" s="1240">
        <v>205801.33</v>
      </c>
      <c r="G419" s="1174">
        <v>192211</v>
      </c>
      <c r="H419" s="1181">
        <f t="shared" si="22"/>
        <v>62468.575000000004</v>
      </c>
      <c r="I419" s="1242">
        <f t="shared" si="23"/>
        <v>96105.5</v>
      </c>
      <c r="J419" s="1176">
        <f t="shared" si="21"/>
        <v>0.9339638378430305</v>
      </c>
      <c r="K419" s="1443"/>
      <c r="L419" s="1036"/>
      <c r="M419" s="1017"/>
      <c r="N419" s="1017"/>
      <c r="O419" s="1017"/>
      <c r="P419" s="1017"/>
      <c r="Q419" s="1017"/>
      <c r="R419" s="1017"/>
      <c r="S419" s="1017"/>
      <c r="T419" s="1351">
        <v>0.7266360556937419</v>
      </c>
      <c r="U419" s="1017"/>
      <c r="V419" s="1017"/>
      <c r="W419" s="1017"/>
      <c r="X419" s="1017"/>
      <c r="Y419" s="1017"/>
      <c r="Z419" s="1017"/>
      <c r="AA419" s="1017"/>
      <c r="AB419" s="1017"/>
      <c r="AC419" s="1017"/>
      <c r="AD419" s="1017"/>
      <c r="AE419" s="1017"/>
      <c r="AF419" s="1017"/>
    </row>
    <row r="420" spans="1:32" ht="16.5">
      <c r="A420" s="1022"/>
      <c r="B420" s="1740"/>
      <c r="C420" s="1162">
        <v>43888</v>
      </c>
      <c r="D420" s="1163">
        <v>44252</v>
      </c>
      <c r="E420" s="1163"/>
      <c r="F420" s="1240">
        <v>258784.01</v>
      </c>
      <c r="G420" s="1174">
        <v>235920</v>
      </c>
      <c r="H420" s="1181">
        <f t="shared" si="22"/>
        <v>76674</v>
      </c>
      <c r="I420" s="1242">
        <f t="shared" si="23"/>
        <v>117960</v>
      </c>
      <c r="J420" s="1176">
        <f t="shared" si="21"/>
        <v>0.91164828924321861</v>
      </c>
      <c r="K420" s="1443"/>
      <c r="L420" s="1036"/>
      <c r="M420" s="1017"/>
      <c r="N420" s="1017"/>
      <c r="O420" s="1017"/>
      <c r="P420" s="1017"/>
      <c r="Q420" s="1017"/>
      <c r="R420" s="1017"/>
      <c r="S420" s="1017"/>
      <c r="T420" s="1351">
        <v>0.72744363061734285</v>
      </c>
      <c r="U420" s="1017"/>
      <c r="V420" s="1017"/>
      <c r="W420" s="1017"/>
      <c r="X420" s="1017"/>
      <c r="Y420" s="1017"/>
      <c r="Z420" s="1017"/>
      <c r="AA420" s="1017"/>
      <c r="AB420" s="1017"/>
      <c r="AC420" s="1017"/>
      <c r="AD420" s="1017"/>
      <c r="AE420" s="1017"/>
      <c r="AF420" s="1017"/>
    </row>
    <row r="421" spans="1:32" ht="16.5">
      <c r="A421" s="1022"/>
      <c r="B421" s="1740"/>
      <c r="C421" s="1162">
        <v>43889</v>
      </c>
      <c r="D421" s="1163">
        <v>44253</v>
      </c>
      <c r="E421" s="1163"/>
      <c r="F421" s="1240">
        <v>393433.38</v>
      </c>
      <c r="G421" s="1174">
        <v>301785</v>
      </c>
      <c r="H421" s="1181">
        <f t="shared" si="22"/>
        <v>98080.125</v>
      </c>
      <c r="I421" s="1242">
        <f t="shared" si="23"/>
        <v>150892.5</v>
      </c>
      <c r="J421" s="1176">
        <f t="shared" si="21"/>
        <v>0.76705489503712165</v>
      </c>
      <c r="K421" s="1443"/>
      <c r="L421" s="1036"/>
      <c r="M421" s="1017"/>
      <c r="N421" s="1017"/>
      <c r="O421" s="1017"/>
      <c r="P421" s="1017"/>
      <c r="Q421" s="1017"/>
      <c r="R421" s="1017"/>
      <c r="S421" s="1017"/>
      <c r="T421" s="1351">
        <v>0.72825120554094369</v>
      </c>
      <c r="U421" s="1017"/>
      <c r="V421" s="1017"/>
      <c r="W421" s="1017"/>
      <c r="X421" s="1017"/>
      <c r="Y421" s="1017"/>
      <c r="Z421" s="1017"/>
      <c r="AA421" s="1017"/>
      <c r="AB421" s="1017"/>
      <c r="AC421" s="1017"/>
      <c r="AD421" s="1017"/>
      <c r="AE421" s="1017"/>
      <c r="AF421" s="1017"/>
    </row>
    <row r="422" spans="1:32" ht="16.5">
      <c r="A422" s="1022"/>
      <c r="B422" s="1743"/>
      <c r="C422" s="1171">
        <v>43890</v>
      </c>
      <c r="D422" s="1172">
        <v>44254</v>
      </c>
      <c r="E422" s="1172"/>
      <c r="F422" s="1241">
        <v>623612.57999999996</v>
      </c>
      <c r="G422" s="1174">
        <v>444083</v>
      </c>
      <c r="H422" s="1181">
        <f t="shared" si="22"/>
        <v>144326.97500000001</v>
      </c>
      <c r="I422" s="1248">
        <f t="shared" si="23"/>
        <v>222041.5</v>
      </c>
      <c r="J422" s="1249">
        <f t="shared" si="21"/>
        <v>0.7121136010437763</v>
      </c>
      <c r="K422" s="1443"/>
      <c r="L422" s="1036"/>
      <c r="M422" s="1017"/>
      <c r="N422" s="1017"/>
      <c r="O422" s="1017"/>
      <c r="P422" s="1017"/>
      <c r="Q422" s="1017"/>
      <c r="R422" s="1017"/>
      <c r="S422" s="1017"/>
      <c r="T422" s="1351">
        <v>0.72905878046454464</v>
      </c>
      <c r="U422" s="1017"/>
      <c r="V422" s="1017"/>
      <c r="W422" s="1017"/>
      <c r="X422" s="1017"/>
      <c r="Y422" s="1017"/>
      <c r="Z422" s="1017"/>
      <c r="AA422" s="1017"/>
      <c r="AB422" s="1017"/>
      <c r="AC422" s="1017"/>
      <c r="AD422" s="1017"/>
      <c r="AE422" s="1017"/>
      <c r="AF422" s="1017"/>
    </row>
    <row r="423" spans="1:32" ht="16.5">
      <c r="A423" s="1022"/>
      <c r="B423" s="1727" t="s">
        <v>333</v>
      </c>
      <c r="C423" s="1250">
        <v>43527</v>
      </c>
      <c r="D423" s="1251">
        <v>44255</v>
      </c>
      <c r="E423" s="1251"/>
      <c r="F423" s="1252">
        <v>336608.37650613999</v>
      </c>
      <c r="G423" s="1209">
        <v>249909</v>
      </c>
      <c r="H423" s="1253">
        <f t="shared" si="22"/>
        <v>81220.425000000003</v>
      </c>
      <c r="I423" s="1242">
        <f t="shared" si="23"/>
        <v>124954.5</v>
      </c>
      <c r="J423" s="1176">
        <f t="shared" si="21"/>
        <v>0.7424325044847524</v>
      </c>
      <c r="K423" s="1443"/>
      <c r="L423" s="1254" t="s">
        <v>406</v>
      </c>
      <c r="M423" s="1744" t="s">
        <v>50</v>
      </c>
      <c r="N423" s="1745"/>
      <c r="O423" s="1746"/>
      <c r="P423" s="1378"/>
      <c r="Q423" s="1017"/>
      <c r="R423" s="1017"/>
      <c r="S423" s="1017"/>
      <c r="T423" s="1351">
        <v>0.72986635538814548</v>
      </c>
      <c r="U423" s="1017"/>
      <c r="V423" s="1017"/>
      <c r="W423" s="1017"/>
      <c r="X423" s="1017"/>
      <c r="Y423" s="1017"/>
      <c r="Z423" s="1017"/>
      <c r="AA423" s="1017"/>
      <c r="AB423" s="1017"/>
      <c r="AC423" s="1017"/>
      <c r="AD423" s="1017"/>
      <c r="AE423" s="1017"/>
      <c r="AF423" s="1017"/>
    </row>
    <row r="424" spans="1:32" ht="16.5">
      <c r="A424" s="1022"/>
      <c r="B424" s="1728"/>
      <c r="C424" s="1255">
        <v>43528</v>
      </c>
      <c r="D424" s="1256">
        <v>44256</v>
      </c>
      <c r="E424" s="1256"/>
      <c r="F424" s="1257">
        <v>261802.27521212</v>
      </c>
      <c r="G424" s="1200">
        <v>200000</v>
      </c>
      <c r="H424" s="1201">
        <f t="shared" si="22"/>
        <v>65000</v>
      </c>
      <c r="I424" s="1242">
        <f t="shared" si="23"/>
        <v>100000</v>
      </c>
      <c r="J424" s="1176">
        <f t="shared" si="21"/>
        <v>0.76393530131834819</v>
      </c>
      <c r="K424" s="1443"/>
      <c r="L424" s="1036"/>
      <c r="M424" s="1220" t="s">
        <v>2</v>
      </c>
      <c r="N424" s="1221" t="s">
        <v>1</v>
      </c>
      <c r="O424" s="1222" t="s">
        <v>400</v>
      </c>
      <c r="P424" s="142"/>
      <c r="Q424" s="1017"/>
      <c r="R424" s="1017"/>
      <c r="S424" s="1017"/>
      <c r="T424" s="1351">
        <v>0.73067393031174643</v>
      </c>
      <c r="U424" s="1017"/>
      <c r="V424" s="1017"/>
      <c r="W424" s="1017"/>
      <c r="X424" s="1017"/>
      <c r="Y424" s="1017"/>
      <c r="Z424" s="1017"/>
      <c r="AA424" s="1017"/>
      <c r="AB424" s="1017"/>
      <c r="AC424" s="1017"/>
      <c r="AD424" s="1017"/>
      <c r="AE424" s="1017"/>
      <c r="AF424" s="1017"/>
    </row>
    <row r="425" spans="1:32" ht="16.5">
      <c r="A425" s="1022"/>
      <c r="B425" s="1728"/>
      <c r="C425" s="1255">
        <v>43529</v>
      </c>
      <c r="D425" s="1256">
        <v>44257</v>
      </c>
      <c r="E425" s="1256"/>
      <c r="F425" s="1257">
        <v>248454.42118971999</v>
      </c>
      <c r="G425" s="1200">
        <v>206860</v>
      </c>
      <c r="H425" s="1201">
        <f t="shared" si="22"/>
        <v>67229.5</v>
      </c>
      <c r="I425" s="1242">
        <f t="shared" si="23"/>
        <v>103430</v>
      </c>
      <c r="J425" s="1176">
        <f t="shared" si="21"/>
        <v>0.83258731726106638</v>
      </c>
      <c r="K425" s="1443"/>
      <c r="L425" s="1036"/>
      <c r="M425" s="1167">
        <f>SUM(G451:G457)/SUM(F451:F457)</f>
        <v>0.84070757479840863</v>
      </c>
      <c r="N425" s="1223">
        <f>SUM(G423:G457)/SUM(F423:F457)</f>
        <v>0.79507533874506131</v>
      </c>
      <c r="O425" s="1224">
        <f>SUM(G451:G457)/SUM(F451:F457)</f>
        <v>0.84070757479840863</v>
      </c>
      <c r="P425" s="1379"/>
      <c r="Q425" s="1017"/>
      <c r="R425" s="1017"/>
      <c r="S425" s="1017"/>
      <c r="T425" s="1351">
        <v>0.73148150523534738</v>
      </c>
      <c r="U425" s="1017"/>
      <c r="V425" s="1017"/>
      <c r="W425" s="1017"/>
      <c r="X425" s="1017"/>
      <c r="Y425" s="1017"/>
      <c r="Z425" s="1017"/>
      <c r="AA425" s="1017"/>
      <c r="AB425" s="1017"/>
      <c r="AC425" s="1017"/>
      <c r="AD425" s="1017"/>
      <c r="AE425" s="1017"/>
      <c r="AF425" s="1017"/>
    </row>
    <row r="426" spans="1:32" ht="16.5">
      <c r="A426" s="1022"/>
      <c r="B426" s="1728"/>
      <c r="C426" s="1255">
        <v>43530</v>
      </c>
      <c r="D426" s="1256">
        <v>44258</v>
      </c>
      <c r="E426" s="1256"/>
      <c r="F426" s="1257">
        <v>246096.29999746999</v>
      </c>
      <c r="G426" s="1200">
        <v>209209.26</v>
      </c>
      <c r="H426" s="1201">
        <f t="shared" si="22"/>
        <v>67993.0095</v>
      </c>
      <c r="I426" s="1242">
        <f t="shared" si="23"/>
        <v>104604.63</v>
      </c>
      <c r="J426" s="1176">
        <f t="shared" si="21"/>
        <v>0.8501113588548499</v>
      </c>
      <c r="K426" s="1443"/>
      <c r="L426" s="1036"/>
      <c r="M426" s="1017"/>
      <c r="N426" s="1017"/>
      <c r="O426" s="1017"/>
      <c r="P426" s="1017"/>
      <c r="Q426" s="1017"/>
      <c r="R426" s="1017"/>
      <c r="S426" s="1017"/>
      <c r="T426" s="1351">
        <v>0.73228908015894822</v>
      </c>
      <c r="U426" s="1017"/>
      <c r="V426" s="1017"/>
      <c r="W426" s="1017"/>
      <c r="X426" s="1017"/>
      <c r="Y426" s="1017"/>
      <c r="Z426" s="1017"/>
      <c r="AA426" s="1017"/>
      <c r="AB426" s="1017"/>
      <c r="AC426" s="1017"/>
      <c r="AD426" s="1017"/>
      <c r="AE426" s="1017"/>
      <c r="AF426" s="1017"/>
    </row>
    <row r="427" spans="1:32" ht="16.5">
      <c r="A427" s="1022"/>
      <c r="B427" s="1728"/>
      <c r="C427" s="1255">
        <v>43531</v>
      </c>
      <c r="D427" s="1256">
        <v>44259</v>
      </c>
      <c r="E427" s="1256"/>
      <c r="F427" s="1257">
        <v>269709.44175822003</v>
      </c>
      <c r="G427" s="1200">
        <v>224200</v>
      </c>
      <c r="H427" s="1201">
        <f t="shared" si="22"/>
        <v>72865</v>
      </c>
      <c r="I427" s="1242">
        <f t="shared" si="23"/>
        <v>112100</v>
      </c>
      <c r="J427" s="1176">
        <f t="shared" si="21"/>
        <v>0.83126492917138295</v>
      </c>
      <c r="K427" s="1443"/>
      <c r="L427" s="1036"/>
      <c r="M427" s="1017"/>
      <c r="N427" s="1017"/>
      <c r="O427" s="1017"/>
      <c r="P427" s="1017"/>
      <c r="Q427" s="1017"/>
      <c r="R427" s="1017"/>
      <c r="S427" s="1017"/>
      <c r="T427" s="1351">
        <v>0.73309665508254918</v>
      </c>
      <c r="U427" s="1017"/>
      <c r="V427" s="1017"/>
      <c r="W427" s="1017"/>
      <c r="X427" s="1017"/>
      <c r="Y427" s="1017"/>
      <c r="Z427" s="1017"/>
      <c r="AA427" s="1017"/>
      <c r="AB427" s="1017"/>
      <c r="AC427" s="1017"/>
      <c r="AD427" s="1017"/>
      <c r="AE427" s="1017"/>
      <c r="AF427" s="1017"/>
    </row>
    <row r="428" spans="1:32" ht="16.5">
      <c r="A428" s="1022"/>
      <c r="B428" s="1728"/>
      <c r="C428" s="1255">
        <v>43532</v>
      </c>
      <c r="D428" s="1256">
        <v>44260</v>
      </c>
      <c r="E428" s="1256"/>
      <c r="F428" s="1257">
        <v>350895.29278825998</v>
      </c>
      <c r="G428" s="1200">
        <v>303313</v>
      </c>
      <c r="H428" s="1201">
        <f>(G428*0.5)*0.65</f>
        <v>98576.725000000006</v>
      </c>
      <c r="I428" s="1242">
        <f t="shared" si="23"/>
        <v>151656.5</v>
      </c>
      <c r="J428" s="1176">
        <f t="shared" si="21"/>
        <v>0.86439746053540689</v>
      </c>
      <c r="K428" s="1443"/>
      <c r="L428" s="1036"/>
      <c r="M428" s="1017"/>
      <c r="N428" s="1017"/>
      <c r="O428" s="1017"/>
      <c r="P428" s="1017"/>
      <c r="Q428" s="1017"/>
      <c r="R428" s="1017"/>
      <c r="S428" s="1017"/>
      <c r="T428" s="1351">
        <v>0.73390423000615002</v>
      </c>
      <c r="U428" s="1017"/>
      <c r="V428" s="1017"/>
      <c r="W428" s="1017"/>
      <c r="X428" s="1017"/>
      <c r="Y428" s="1017"/>
      <c r="Z428" s="1017"/>
      <c r="AA428" s="1017"/>
      <c r="AB428" s="1017"/>
      <c r="AC428" s="1017"/>
      <c r="AD428" s="1017"/>
      <c r="AE428" s="1017"/>
      <c r="AF428" s="1017"/>
    </row>
    <row r="429" spans="1:32" ht="16.5">
      <c r="A429" s="1022"/>
      <c r="B429" s="1736"/>
      <c r="C429" s="1258">
        <v>43533</v>
      </c>
      <c r="D429" s="1259">
        <v>44261</v>
      </c>
      <c r="E429" s="1259"/>
      <c r="F429" s="1260">
        <v>576595.37312934001</v>
      </c>
      <c r="G429" s="1174">
        <v>472905</v>
      </c>
      <c r="H429" s="1181">
        <f t="shared" si="22"/>
        <v>153694.125</v>
      </c>
      <c r="I429" s="1248">
        <f t="shared" si="23"/>
        <v>236452.5</v>
      </c>
      <c r="J429" s="1249">
        <f t="shared" si="21"/>
        <v>0.82016787167995442</v>
      </c>
      <c r="K429" s="1443"/>
      <c r="L429" s="1036"/>
      <c r="M429" s="1017"/>
      <c r="N429" s="1017"/>
      <c r="O429" s="1017"/>
      <c r="P429" s="1017"/>
      <c r="Q429" s="1017"/>
      <c r="R429" s="1017"/>
      <c r="S429" s="1017"/>
      <c r="T429" s="1351">
        <v>0.73471180492975097</v>
      </c>
      <c r="U429" s="1017"/>
      <c r="V429" s="1017"/>
      <c r="W429" s="1017"/>
      <c r="X429" s="1017"/>
      <c r="Y429" s="1017"/>
      <c r="Z429" s="1017"/>
      <c r="AA429" s="1017"/>
      <c r="AB429" s="1017"/>
      <c r="AC429" s="1017"/>
      <c r="AD429" s="1017"/>
      <c r="AE429" s="1017"/>
      <c r="AF429" s="1017"/>
    </row>
    <row r="430" spans="1:32" ht="16.5">
      <c r="A430" s="1022"/>
      <c r="B430" s="1727" t="s">
        <v>334</v>
      </c>
      <c r="C430" s="1250">
        <v>43534</v>
      </c>
      <c r="D430" s="1251">
        <v>44262</v>
      </c>
      <c r="E430" s="1251"/>
      <c r="F430" s="1252">
        <v>314147.94355994998</v>
      </c>
      <c r="G430" s="1158">
        <v>273551</v>
      </c>
      <c r="H430" s="1026">
        <f t="shared" si="22"/>
        <v>88904.074999999997</v>
      </c>
      <c r="I430" s="1242">
        <f t="shared" si="23"/>
        <v>136775.5</v>
      </c>
      <c r="J430" s="1176">
        <f t="shared" si="21"/>
        <v>0.87077125796240418</v>
      </c>
      <c r="K430" s="1443"/>
      <c r="L430" s="1036"/>
      <c r="M430" s="1017"/>
      <c r="N430" s="1017"/>
      <c r="O430" s="1017"/>
      <c r="P430" s="1017"/>
      <c r="Q430" s="1017"/>
      <c r="R430" s="1017"/>
      <c r="S430" s="1017"/>
      <c r="T430" s="1351">
        <v>0.73551937985335181</v>
      </c>
      <c r="U430" s="1017"/>
      <c r="V430" s="1017"/>
      <c r="W430" s="1017"/>
      <c r="X430" s="1017"/>
      <c r="Y430" s="1017"/>
      <c r="Z430" s="1017"/>
      <c r="AA430" s="1017"/>
      <c r="AB430" s="1017"/>
      <c r="AC430" s="1017"/>
      <c r="AD430" s="1017"/>
      <c r="AE430" s="1017"/>
      <c r="AF430" s="1017"/>
    </row>
    <row r="431" spans="1:32" ht="16.5">
      <c r="A431" s="1022"/>
      <c r="B431" s="1728"/>
      <c r="C431" s="1255">
        <v>43535</v>
      </c>
      <c r="D431" s="1256">
        <v>44263</v>
      </c>
      <c r="E431" s="1256"/>
      <c r="F431" s="1257">
        <v>260891.97432779</v>
      </c>
      <c r="G431" s="1165">
        <v>212571</v>
      </c>
      <c r="H431" s="1178">
        <f t="shared" si="22"/>
        <v>69085.574999999997</v>
      </c>
      <c r="I431" s="1261">
        <f t="shared" si="23"/>
        <v>106285.5</v>
      </c>
      <c r="J431" s="1179">
        <f t="shared" si="21"/>
        <v>0.81478550862941246</v>
      </c>
      <c r="K431" s="1443"/>
      <c r="L431" s="1036"/>
      <c r="M431" s="1017"/>
      <c r="N431" s="1017"/>
      <c r="O431" s="1017"/>
      <c r="P431" s="1017"/>
      <c r="Q431" s="1017"/>
      <c r="R431" s="1017"/>
      <c r="S431" s="1017"/>
      <c r="T431" s="1351">
        <v>0.73632695477695276</v>
      </c>
      <c r="U431" s="1017"/>
      <c r="V431" s="1017"/>
      <c r="W431" s="1017"/>
      <c r="X431" s="1017"/>
      <c r="Y431" s="1017"/>
      <c r="Z431" s="1017"/>
      <c r="AA431" s="1017"/>
      <c r="AB431" s="1017"/>
      <c r="AC431" s="1017"/>
      <c r="AD431" s="1017"/>
      <c r="AE431" s="1017"/>
      <c r="AF431" s="1017"/>
    </row>
    <row r="432" spans="1:32" ht="16.5">
      <c r="A432" s="1022"/>
      <c r="B432" s="1728"/>
      <c r="C432" s="1255">
        <v>43536</v>
      </c>
      <c r="D432" s="1256">
        <v>44264</v>
      </c>
      <c r="E432" s="1256"/>
      <c r="F432" s="1257">
        <v>212844.14268796999</v>
      </c>
      <c r="G432" s="1165">
        <v>206627</v>
      </c>
      <c r="H432" s="1178">
        <f t="shared" si="22"/>
        <v>67153.775000000009</v>
      </c>
      <c r="I432" s="1261">
        <f t="shared" si="23"/>
        <v>103313.5</v>
      </c>
      <c r="J432" s="1179">
        <f t="shared" si="21"/>
        <v>0.97079016312380118</v>
      </c>
      <c r="K432" s="1443"/>
      <c r="L432" s="1036"/>
      <c r="M432" s="1017"/>
      <c r="N432" s="1017"/>
      <c r="O432" s="1017"/>
      <c r="P432" s="1017"/>
      <c r="Q432" s="1017"/>
      <c r="R432" s="1017"/>
      <c r="S432" s="1017"/>
      <c r="T432" s="1351">
        <v>0.7371345297005536</v>
      </c>
      <c r="U432" s="1017"/>
      <c r="V432" s="1017"/>
      <c r="W432" s="1017"/>
      <c r="X432" s="1017"/>
      <c r="Y432" s="1017"/>
      <c r="Z432" s="1017"/>
      <c r="AA432" s="1017"/>
      <c r="AB432" s="1017"/>
      <c r="AC432" s="1017"/>
      <c r="AD432" s="1017"/>
      <c r="AE432" s="1017"/>
      <c r="AF432" s="1017"/>
    </row>
    <row r="433" spans="1:32" ht="16.5">
      <c r="A433" s="1022"/>
      <c r="B433" s="1728"/>
      <c r="C433" s="1255">
        <v>43537</v>
      </c>
      <c r="D433" s="1256">
        <v>44265</v>
      </c>
      <c r="E433" s="1256"/>
      <c r="F433" s="1257">
        <v>260601.78868887</v>
      </c>
      <c r="G433" s="1165">
        <v>204016</v>
      </c>
      <c r="H433" s="1178">
        <f t="shared" si="22"/>
        <v>66305.2</v>
      </c>
      <c r="I433" s="1261">
        <f t="shared" si="23"/>
        <v>102008</v>
      </c>
      <c r="J433" s="1179">
        <f t="shared" si="21"/>
        <v>0.78286492593330881</v>
      </c>
      <c r="K433" s="1443"/>
      <c r="L433" s="1036"/>
      <c r="M433" s="1017"/>
      <c r="N433" s="1017"/>
      <c r="O433" s="1017"/>
      <c r="P433" s="1017"/>
      <c r="Q433" s="1017"/>
      <c r="R433" s="1017"/>
      <c r="S433" s="1017"/>
      <c r="T433" s="1351">
        <v>0.73794210462415455</v>
      </c>
      <c r="U433" s="1017"/>
      <c r="V433" s="1017"/>
      <c r="W433" s="1017"/>
      <c r="X433" s="1017"/>
      <c r="Y433" s="1017"/>
      <c r="Z433" s="1017"/>
      <c r="AA433" s="1017"/>
      <c r="AB433" s="1017"/>
      <c r="AC433" s="1017"/>
      <c r="AD433" s="1017"/>
      <c r="AE433" s="1017"/>
      <c r="AF433" s="1017"/>
    </row>
    <row r="434" spans="1:32" ht="16.5">
      <c r="A434" s="1022"/>
      <c r="B434" s="1728"/>
      <c r="C434" s="1255">
        <v>43538</v>
      </c>
      <c r="D434" s="1256">
        <v>44266</v>
      </c>
      <c r="E434" s="1256"/>
      <c r="F434" s="1257">
        <v>319484.77213591</v>
      </c>
      <c r="G434" s="1165">
        <v>218866</v>
      </c>
      <c r="H434" s="1178">
        <f t="shared" si="22"/>
        <v>71131.45</v>
      </c>
      <c r="I434" s="1261">
        <f t="shared" si="23"/>
        <v>109433</v>
      </c>
      <c r="J434" s="1179">
        <f t="shared" si="21"/>
        <v>0.68505925505236165</v>
      </c>
      <c r="K434" s="1443"/>
      <c r="L434" s="1036"/>
      <c r="M434" s="1017"/>
      <c r="N434" s="1017"/>
      <c r="O434" s="1017"/>
      <c r="P434" s="1017"/>
      <c r="Q434" s="1017"/>
      <c r="R434" s="1017"/>
      <c r="S434" s="1017"/>
      <c r="T434" s="1351">
        <v>0.73874967954775539</v>
      </c>
      <c r="U434" s="1017"/>
      <c r="V434" s="1017"/>
      <c r="W434" s="1017"/>
      <c r="X434" s="1017"/>
      <c r="Y434" s="1017"/>
      <c r="Z434" s="1017"/>
      <c r="AA434" s="1017"/>
      <c r="AB434" s="1017"/>
      <c r="AC434" s="1017"/>
      <c r="AD434" s="1017"/>
      <c r="AE434" s="1017"/>
      <c r="AF434" s="1017"/>
    </row>
    <row r="435" spans="1:32" ht="16.5">
      <c r="A435" s="1022"/>
      <c r="B435" s="1728"/>
      <c r="C435" s="1255">
        <v>43539</v>
      </c>
      <c r="D435" s="1256">
        <v>44267</v>
      </c>
      <c r="E435" s="1256"/>
      <c r="F435" s="1257">
        <v>415179.46846827999</v>
      </c>
      <c r="G435" s="1165">
        <v>319446</v>
      </c>
      <c r="H435" s="1178">
        <f t="shared" si="22"/>
        <v>103819.95</v>
      </c>
      <c r="I435" s="1261">
        <f t="shared" si="23"/>
        <v>159723</v>
      </c>
      <c r="J435" s="1179">
        <f t="shared" si="21"/>
        <v>0.76941666016995225</v>
      </c>
      <c r="K435" s="1443"/>
      <c r="L435" s="1036"/>
      <c r="M435" s="1017"/>
      <c r="N435" s="1017"/>
      <c r="O435" s="1017"/>
      <c r="P435" s="1017"/>
      <c r="Q435" s="1017"/>
      <c r="R435" s="1017"/>
      <c r="S435" s="1017"/>
      <c r="T435" s="1351">
        <v>0.73955725447135634</v>
      </c>
      <c r="U435" s="1017"/>
      <c r="V435" s="1017"/>
      <c r="W435" s="1017"/>
      <c r="X435" s="1017"/>
      <c r="Y435" s="1017"/>
      <c r="Z435" s="1017"/>
      <c r="AA435" s="1017"/>
      <c r="AB435" s="1017"/>
      <c r="AC435" s="1017"/>
      <c r="AD435" s="1017"/>
      <c r="AE435" s="1017"/>
      <c r="AF435" s="1017"/>
    </row>
    <row r="436" spans="1:32" ht="16.5">
      <c r="A436" s="1022"/>
      <c r="B436" s="1736"/>
      <c r="C436" s="1258">
        <v>43540</v>
      </c>
      <c r="D436" s="1259">
        <v>44268</v>
      </c>
      <c r="E436" s="1259"/>
      <c r="F436" s="1260">
        <v>683978.82247821998</v>
      </c>
      <c r="G436" s="1174">
        <v>454701</v>
      </c>
      <c r="H436" s="1181">
        <f t="shared" si="22"/>
        <v>147777.82500000001</v>
      </c>
      <c r="I436" s="1262">
        <f t="shared" si="23"/>
        <v>227350.5</v>
      </c>
      <c r="J436" s="1182">
        <f t="shared" si="21"/>
        <v>0.66478812655706032</v>
      </c>
      <c r="K436" s="1443"/>
      <c r="L436" s="1036"/>
      <c r="M436" s="1017"/>
      <c r="N436" s="1017"/>
      <c r="O436" s="1017"/>
      <c r="P436" s="1017"/>
      <c r="Q436" s="1017"/>
      <c r="R436" s="1017"/>
      <c r="S436" s="1017"/>
      <c r="T436" s="1351">
        <v>0.74036482939495718</v>
      </c>
      <c r="U436" s="1017"/>
      <c r="V436" s="1017"/>
      <c r="W436" s="1017"/>
      <c r="X436" s="1017"/>
      <c r="Y436" s="1017"/>
      <c r="Z436" s="1017"/>
      <c r="AA436" s="1017"/>
      <c r="AB436" s="1017"/>
      <c r="AC436" s="1017"/>
      <c r="AD436" s="1017"/>
      <c r="AE436" s="1017"/>
      <c r="AF436" s="1017"/>
    </row>
    <row r="437" spans="1:32" ht="16.5">
      <c r="A437" s="1022"/>
      <c r="B437" s="1727" t="s">
        <v>335</v>
      </c>
      <c r="C437" s="1250">
        <v>43541</v>
      </c>
      <c r="D437" s="1251">
        <v>44269</v>
      </c>
      <c r="E437" s="1251"/>
      <c r="F437" s="1263">
        <v>390389</v>
      </c>
      <c r="G437" s="1158">
        <v>296105</v>
      </c>
      <c r="H437" s="1026">
        <f t="shared" si="22"/>
        <v>96234.125</v>
      </c>
      <c r="I437" s="1242">
        <f t="shared" si="23"/>
        <v>148052.5</v>
      </c>
      <c r="J437" s="1176">
        <f t="shared" si="21"/>
        <v>0.75848704753463858</v>
      </c>
      <c r="K437" s="1443"/>
      <c r="L437" s="1036"/>
      <c r="M437" s="1017"/>
      <c r="N437" s="1017"/>
      <c r="O437" s="1017"/>
      <c r="P437" s="1017"/>
      <c r="Q437" s="1017"/>
      <c r="R437" s="1017"/>
      <c r="S437" s="1017"/>
      <c r="T437" s="1351">
        <v>0.74117240431855813</v>
      </c>
      <c r="U437" s="1017"/>
      <c r="V437" s="1017"/>
      <c r="W437" s="1017"/>
      <c r="X437" s="1017"/>
      <c r="Y437" s="1017"/>
      <c r="Z437" s="1017"/>
      <c r="AA437" s="1017"/>
      <c r="AB437" s="1017"/>
      <c r="AC437" s="1017"/>
      <c r="AD437" s="1017"/>
      <c r="AE437" s="1017"/>
      <c r="AF437" s="1017"/>
    </row>
    <row r="438" spans="1:32" ht="16.5">
      <c r="A438" s="1022"/>
      <c r="B438" s="1728"/>
      <c r="C438" s="1255">
        <v>43542</v>
      </c>
      <c r="D438" s="1256">
        <v>44270</v>
      </c>
      <c r="E438" s="1256"/>
      <c r="F438" s="1264">
        <v>412884</v>
      </c>
      <c r="G438" s="1165">
        <v>311689</v>
      </c>
      <c r="H438" s="1178">
        <f t="shared" si="22"/>
        <v>101298.925</v>
      </c>
      <c r="I438" s="1261">
        <f t="shared" si="23"/>
        <v>155844.5</v>
      </c>
      <c r="J438" s="1179">
        <f t="shared" si="21"/>
        <v>0.7549069472297304</v>
      </c>
      <c r="K438" s="1443"/>
      <c r="L438" s="1036"/>
      <c r="M438" s="1017"/>
      <c r="N438" s="1017"/>
      <c r="O438" s="1017"/>
      <c r="P438" s="1017"/>
      <c r="Q438" s="1017"/>
      <c r="R438" s="1017"/>
      <c r="S438" s="1017"/>
      <c r="T438" s="1351">
        <v>0.74197997924215897</v>
      </c>
      <c r="U438" s="1017"/>
      <c r="V438" s="1017"/>
      <c r="W438" s="1017"/>
      <c r="X438" s="1017"/>
      <c r="Y438" s="1017"/>
      <c r="Z438" s="1017"/>
      <c r="AA438" s="1017"/>
      <c r="AB438" s="1017"/>
      <c r="AC438" s="1017"/>
      <c r="AD438" s="1017"/>
      <c r="AE438" s="1017"/>
      <c r="AF438" s="1017"/>
    </row>
    <row r="439" spans="1:32" ht="16.5">
      <c r="A439" s="1022"/>
      <c r="B439" s="1728"/>
      <c r="C439" s="1255">
        <v>43543</v>
      </c>
      <c r="D439" s="1256">
        <v>44271</v>
      </c>
      <c r="E439" s="1256"/>
      <c r="F439" s="1264">
        <v>296021</v>
      </c>
      <c r="G439" s="1165">
        <v>198664</v>
      </c>
      <c r="H439" s="1178">
        <f t="shared" si="22"/>
        <v>64565.8</v>
      </c>
      <c r="I439" s="1261">
        <f t="shared" si="23"/>
        <v>99332</v>
      </c>
      <c r="J439" s="1179">
        <f t="shared" si="21"/>
        <v>0.67111454930562364</v>
      </c>
      <c r="K439" s="1443"/>
      <c r="L439" s="1036"/>
      <c r="M439" s="1017"/>
      <c r="N439" s="1017"/>
      <c r="O439" s="1017"/>
      <c r="P439" s="1017"/>
      <c r="Q439" s="1017"/>
      <c r="R439" s="1017"/>
      <c r="S439" s="1017"/>
      <c r="T439" s="1351">
        <v>0.74278755416575992</v>
      </c>
      <c r="U439" s="1017"/>
      <c r="V439" s="1017"/>
      <c r="W439" s="1017"/>
      <c r="X439" s="1017"/>
      <c r="Y439" s="1017"/>
      <c r="Z439" s="1017"/>
      <c r="AA439" s="1017"/>
      <c r="AB439" s="1017"/>
      <c r="AC439" s="1017"/>
      <c r="AD439" s="1017"/>
      <c r="AE439" s="1017"/>
      <c r="AF439" s="1017"/>
    </row>
    <row r="440" spans="1:32" ht="16.5">
      <c r="A440" s="1022"/>
      <c r="B440" s="1728"/>
      <c r="C440" s="1255">
        <v>43544</v>
      </c>
      <c r="D440" s="1256">
        <v>44272</v>
      </c>
      <c r="E440" s="1256"/>
      <c r="F440" s="1264">
        <v>304737</v>
      </c>
      <c r="G440" s="1165">
        <v>228639</v>
      </c>
      <c r="H440" s="1178">
        <f t="shared" si="22"/>
        <v>74307.675000000003</v>
      </c>
      <c r="I440" s="1261">
        <f t="shared" si="23"/>
        <v>114319.5</v>
      </c>
      <c r="J440" s="1179">
        <f t="shared" si="21"/>
        <v>0.75028303094143478</v>
      </c>
      <c r="K440" s="1443"/>
      <c r="L440" s="1036"/>
      <c r="M440" s="1017"/>
      <c r="N440" s="1017"/>
      <c r="O440" s="1017"/>
      <c r="P440" s="1017"/>
      <c r="Q440" s="1017"/>
      <c r="R440" s="1017"/>
      <c r="S440" s="1017"/>
      <c r="T440" s="1351">
        <v>0.74359512908936076</v>
      </c>
      <c r="U440" s="1017"/>
      <c r="V440" s="1017"/>
      <c r="W440" s="1017"/>
      <c r="X440" s="1017"/>
      <c r="Y440" s="1017"/>
      <c r="Z440" s="1017"/>
      <c r="AA440" s="1017"/>
      <c r="AB440" s="1017"/>
      <c r="AC440" s="1017"/>
      <c r="AD440" s="1017"/>
      <c r="AE440" s="1017"/>
      <c r="AF440" s="1017"/>
    </row>
    <row r="441" spans="1:32" ht="16.5">
      <c r="A441" s="1022"/>
      <c r="B441" s="1728"/>
      <c r="C441" s="1255">
        <v>43545</v>
      </c>
      <c r="D441" s="1256">
        <v>44273</v>
      </c>
      <c r="E441" s="1256"/>
      <c r="F441" s="1264">
        <v>324202</v>
      </c>
      <c r="G441" s="1165">
        <v>261287</v>
      </c>
      <c r="H441" s="1178">
        <f t="shared" si="22"/>
        <v>84918.275000000009</v>
      </c>
      <c r="I441" s="1261">
        <f t="shared" si="23"/>
        <v>130643.5</v>
      </c>
      <c r="J441" s="1179">
        <f t="shared" si="21"/>
        <v>0.80593888995132668</v>
      </c>
      <c r="K441" s="1443"/>
      <c r="L441" s="1036"/>
      <c r="M441" s="1017"/>
      <c r="N441" s="1017"/>
      <c r="O441" s="1017"/>
      <c r="P441" s="1017"/>
      <c r="Q441" s="1017"/>
      <c r="R441" s="1017"/>
      <c r="S441" s="1017"/>
      <c r="T441" s="1351">
        <v>0.74440270401296171</v>
      </c>
      <c r="U441" s="1017"/>
      <c r="V441" s="1017"/>
      <c r="W441" s="1017"/>
      <c r="X441" s="1017"/>
      <c r="Y441" s="1017"/>
      <c r="Z441" s="1017"/>
      <c r="AA441" s="1017"/>
      <c r="AB441" s="1017"/>
      <c r="AC441" s="1017"/>
      <c r="AD441" s="1017"/>
      <c r="AE441" s="1017"/>
      <c r="AF441" s="1017"/>
    </row>
    <row r="442" spans="1:32" ht="16.5">
      <c r="A442" s="1022"/>
      <c r="B442" s="1728"/>
      <c r="C442" s="1255">
        <v>43546</v>
      </c>
      <c r="D442" s="1256">
        <v>44274</v>
      </c>
      <c r="E442" s="1256"/>
      <c r="F442" s="1264">
        <v>398116</v>
      </c>
      <c r="G442" s="1165">
        <v>324288</v>
      </c>
      <c r="H442" s="1178">
        <f t="shared" si="22"/>
        <v>105393.60000000001</v>
      </c>
      <c r="I442" s="1261">
        <f t="shared" si="23"/>
        <v>162144</v>
      </c>
      <c r="J442" s="1179">
        <f t="shared" si="21"/>
        <v>0.81455656140421384</v>
      </c>
      <c r="K442" s="1443"/>
      <c r="L442" s="1036"/>
      <c r="M442" s="1017"/>
      <c r="N442" s="1017"/>
      <c r="O442" s="1017"/>
      <c r="P442" s="1017"/>
      <c r="Q442" s="1017"/>
      <c r="R442" s="1017"/>
      <c r="S442" s="1017"/>
      <c r="T442" s="1351">
        <v>0.74521027893656266</v>
      </c>
      <c r="U442" s="1017"/>
      <c r="V442" s="1017"/>
      <c r="W442" s="1017"/>
      <c r="X442" s="1017"/>
      <c r="Y442" s="1017"/>
      <c r="Z442" s="1017"/>
      <c r="AA442" s="1017"/>
      <c r="AB442" s="1017"/>
      <c r="AC442" s="1017"/>
      <c r="AD442" s="1017"/>
      <c r="AE442" s="1017"/>
      <c r="AF442" s="1017"/>
    </row>
    <row r="443" spans="1:32" ht="16.5">
      <c r="A443" s="1022"/>
      <c r="B443" s="1729"/>
      <c r="C443" s="1265">
        <v>43547</v>
      </c>
      <c r="D443" s="1266">
        <v>44275</v>
      </c>
      <c r="E443" s="1266"/>
      <c r="F443" s="1267">
        <v>632315</v>
      </c>
      <c r="G443" s="1200">
        <v>490708</v>
      </c>
      <c r="H443" s="1201">
        <f t="shared" si="22"/>
        <v>159480.1</v>
      </c>
      <c r="I443" s="1268">
        <f t="shared" si="23"/>
        <v>245354</v>
      </c>
      <c r="J443" s="1269">
        <f t="shared" si="21"/>
        <v>0.77604991183191918</v>
      </c>
      <c r="K443" s="1443"/>
      <c r="L443" s="1036"/>
      <c r="M443" s="1017"/>
      <c r="N443" s="1017"/>
      <c r="O443" s="1017"/>
      <c r="P443" s="1017"/>
      <c r="Q443" s="1017"/>
      <c r="R443" s="1017"/>
      <c r="S443" s="1017"/>
      <c r="T443" s="1351">
        <v>0.7460178538601635</v>
      </c>
      <c r="U443" s="1017"/>
      <c r="V443" s="1017"/>
      <c r="W443" s="1017"/>
      <c r="X443" s="1017"/>
      <c r="Y443" s="1017"/>
      <c r="Z443" s="1017"/>
      <c r="AA443" s="1017"/>
      <c r="AB443" s="1017"/>
      <c r="AC443" s="1017"/>
      <c r="AD443" s="1017"/>
      <c r="AE443" s="1017"/>
      <c r="AF443" s="1017"/>
    </row>
    <row r="444" spans="1:32" ht="16.5">
      <c r="A444" s="1022"/>
      <c r="B444" s="1737" t="s">
        <v>336</v>
      </c>
      <c r="C444" s="1270">
        <v>43548</v>
      </c>
      <c r="D444" s="1271">
        <v>44276</v>
      </c>
      <c r="E444" s="1271"/>
      <c r="F444" s="1272">
        <v>353175</v>
      </c>
      <c r="G444" s="1273">
        <v>266556</v>
      </c>
      <c r="H444" s="1206">
        <f t="shared" si="22"/>
        <v>86630.7</v>
      </c>
      <c r="I444" s="1274">
        <f t="shared" si="23"/>
        <v>133278</v>
      </c>
      <c r="J444" s="1275">
        <f t="shared" si="21"/>
        <v>0.75474198343597365</v>
      </c>
      <c r="K444" s="1443"/>
      <c r="L444" s="1036"/>
      <c r="M444" s="1017"/>
      <c r="N444" s="1017"/>
      <c r="O444" s="1017"/>
      <c r="P444" s="1017"/>
      <c r="Q444" s="1017"/>
      <c r="R444" s="1017"/>
      <c r="S444" s="1017"/>
      <c r="T444" s="1351">
        <v>0.74682542878376446</v>
      </c>
      <c r="U444" s="1017"/>
      <c r="V444" s="1017"/>
      <c r="W444" s="1017"/>
      <c r="X444" s="1017"/>
      <c r="Y444" s="1017"/>
      <c r="Z444" s="1017"/>
      <c r="AA444" s="1017"/>
      <c r="AB444" s="1017"/>
      <c r="AC444" s="1017"/>
      <c r="AD444" s="1017"/>
      <c r="AE444" s="1017"/>
      <c r="AF444" s="1017"/>
    </row>
    <row r="445" spans="1:32" ht="16.5">
      <c r="A445" s="1022"/>
      <c r="B445" s="1728"/>
      <c r="C445" s="1255">
        <v>43549</v>
      </c>
      <c r="D445" s="1256">
        <v>44277</v>
      </c>
      <c r="E445" s="1256"/>
      <c r="F445" s="1264">
        <v>285971</v>
      </c>
      <c r="G445" s="1165">
        <v>192629</v>
      </c>
      <c r="H445" s="1178">
        <f t="shared" si="22"/>
        <v>62604.425000000003</v>
      </c>
      <c r="I445" s="1261">
        <f t="shared" si="23"/>
        <v>96314.5</v>
      </c>
      <c r="J445" s="1179">
        <f t="shared" ref="J445:J539" si="24">G445/F445</f>
        <v>0.67359627374803743</v>
      </c>
      <c r="K445" s="1443"/>
      <c r="L445" s="1036"/>
      <c r="M445" s="1017"/>
      <c r="N445" s="1017"/>
      <c r="O445" s="1017"/>
      <c r="P445" s="1017"/>
      <c r="Q445" s="1017"/>
      <c r="R445" s="1017"/>
      <c r="S445" s="1017"/>
      <c r="T445" s="1351">
        <v>0.7476330037073653</v>
      </c>
      <c r="U445" s="1017"/>
      <c r="V445" s="1017"/>
      <c r="W445" s="1017"/>
      <c r="X445" s="1017"/>
      <c r="Y445" s="1017"/>
      <c r="Z445" s="1017"/>
      <c r="AA445" s="1017"/>
      <c r="AB445" s="1017"/>
      <c r="AC445" s="1017"/>
      <c r="AD445" s="1017"/>
      <c r="AE445" s="1017"/>
      <c r="AF445" s="1017"/>
    </row>
    <row r="446" spans="1:32" ht="16.5">
      <c r="A446" s="1022"/>
      <c r="B446" s="1728"/>
      <c r="C446" s="1255">
        <v>43550</v>
      </c>
      <c r="D446" s="1256">
        <v>44278</v>
      </c>
      <c r="E446" s="1256"/>
      <c r="F446" s="1264">
        <v>268848</v>
      </c>
      <c r="G446" s="1165">
        <v>218411</v>
      </c>
      <c r="H446" s="1178">
        <f t="shared" si="22"/>
        <v>70983.574999999997</v>
      </c>
      <c r="I446" s="1261">
        <f t="shared" si="23"/>
        <v>109205.5</v>
      </c>
      <c r="J446" s="1179">
        <f t="shared" si="24"/>
        <v>0.81239585193120278</v>
      </c>
      <c r="K446" s="1443"/>
      <c r="L446" s="1036"/>
      <c r="M446" s="1017"/>
      <c r="N446" s="1017"/>
      <c r="O446" s="1017"/>
      <c r="P446" s="1017"/>
      <c r="Q446" s="1017"/>
      <c r="R446" s="1017"/>
      <c r="S446" s="1017"/>
      <c r="T446" s="1351">
        <v>0.74844057863096625</v>
      </c>
      <c r="U446" s="1017"/>
      <c r="V446" s="1017"/>
      <c r="W446" s="1017"/>
      <c r="X446" s="1017"/>
      <c r="Y446" s="1017"/>
      <c r="Z446" s="1017"/>
      <c r="AA446" s="1017"/>
      <c r="AB446" s="1017"/>
      <c r="AC446" s="1017"/>
      <c r="AD446" s="1017"/>
      <c r="AE446" s="1017"/>
      <c r="AF446" s="1017"/>
    </row>
    <row r="447" spans="1:32" ht="16.5">
      <c r="A447" s="1022"/>
      <c r="B447" s="1728"/>
      <c r="C447" s="1255">
        <v>43551</v>
      </c>
      <c r="D447" s="1256">
        <v>44279</v>
      </c>
      <c r="E447" s="1256"/>
      <c r="F447" s="1264">
        <v>268450</v>
      </c>
      <c r="G447" s="1165">
        <v>225684</v>
      </c>
      <c r="H447" s="1178">
        <f t="shared" si="22"/>
        <v>73347.3</v>
      </c>
      <c r="I447" s="1261">
        <f t="shared" si="23"/>
        <v>112842</v>
      </c>
      <c r="J447" s="1179">
        <f t="shared" si="24"/>
        <v>0.84069286645557828</v>
      </c>
      <c r="K447" s="1443"/>
      <c r="L447" s="1036"/>
      <c r="M447" s="1017"/>
      <c r="N447" s="1017"/>
      <c r="O447" s="1017"/>
      <c r="P447" s="1017"/>
      <c r="Q447" s="1017"/>
      <c r="R447" s="1017"/>
      <c r="S447" s="1017"/>
      <c r="T447" s="1351">
        <v>0.74924815355456709</v>
      </c>
      <c r="U447" s="1017"/>
      <c r="V447" s="1017"/>
      <c r="W447" s="1017"/>
      <c r="X447" s="1017"/>
      <c r="Y447" s="1017"/>
      <c r="Z447" s="1017"/>
      <c r="AA447" s="1017"/>
      <c r="AB447" s="1017"/>
      <c r="AC447" s="1017"/>
      <c r="AD447" s="1017"/>
      <c r="AE447" s="1017"/>
      <c r="AF447" s="1017"/>
    </row>
    <row r="448" spans="1:32" ht="16.5">
      <c r="A448" s="1022"/>
      <c r="B448" s="1728"/>
      <c r="C448" s="1255">
        <v>43552</v>
      </c>
      <c r="D448" s="1256">
        <v>44280</v>
      </c>
      <c r="E448" s="1256"/>
      <c r="F448" s="1264">
        <v>326262</v>
      </c>
      <c r="G448" s="1165">
        <v>281803</v>
      </c>
      <c r="H448" s="1178">
        <f t="shared" si="22"/>
        <v>91585.975000000006</v>
      </c>
      <c r="I448" s="1261">
        <f t="shared" si="23"/>
        <v>140901.5</v>
      </c>
      <c r="J448" s="1179">
        <f t="shared" si="24"/>
        <v>0.86373221521354004</v>
      </c>
      <c r="K448" s="1443"/>
      <c r="L448" s="1036"/>
      <c r="M448" s="1017"/>
      <c r="N448" s="1017"/>
      <c r="O448" s="1017"/>
      <c r="P448" s="1017"/>
      <c r="Q448" s="1017"/>
      <c r="R448" s="1017"/>
      <c r="S448" s="1017"/>
      <c r="T448" s="1351">
        <v>0.75005572847816804</v>
      </c>
      <c r="U448" s="1017"/>
      <c r="V448" s="1017"/>
      <c r="W448" s="1017"/>
      <c r="X448" s="1017"/>
      <c r="Y448" s="1017"/>
      <c r="Z448" s="1017"/>
      <c r="AA448" s="1017"/>
      <c r="AB448" s="1017"/>
      <c r="AC448" s="1017"/>
      <c r="AD448" s="1017"/>
      <c r="AE448" s="1017"/>
      <c r="AF448" s="1017"/>
    </row>
    <row r="449" spans="1:32" ht="16.5">
      <c r="A449" s="1022"/>
      <c r="B449" s="1728"/>
      <c r="C449" s="1255">
        <v>43553</v>
      </c>
      <c r="D449" s="1256">
        <v>44281</v>
      </c>
      <c r="E449" s="1256"/>
      <c r="F449" s="1264">
        <v>453377</v>
      </c>
      <c r="G449" s="1165">
        <v>358379</v>
      </c>
      <c r="H449" s="1178">
        <f t="shared" si="22"/>
        <v>116473.175</v>
      </c>
      <c r="I449" s="1261">
        <f t="shared" si="23"/>
        <v>179189.5</v>
      </c>
      <c r="J449" s="1179">
        <f t="shared" si="24"/>
        <v>0.7904657713117339</v>
      </c>
      <c r="K449" s="1443"/>
      <c r="L449" s="1036"/>
      <c r="M449" s="1017"/>
      <c r="N449" s="1017"/>
      <c r="O449" s="1017"/>
      <c r="P449" s="1017"/>
      <c r="Q449" s="1017"/>
      <c r="R449" s="1017"/>
      <c r="S449" s="1017"/>
      <c r="T449" s="1351">
        <v>0.75086330340176888</v>
      </c>
      <c r="U449" s="1017"/>
      <c r="V449" s="1017"/>
      <c r="W449" s="1017"/>
      <c r="X449" s="1017"/>
      <c r="Y449" s="1017"/>
      <c r="Z449" s="1017"/>
      <c r="AA449" s="1017"/>
      <c r="AB449" s="1017"/>
      <c r="AC449" s="1017"/>
      <c r="AD449" s="1017"/>
      <c r="AE449" s="1017"/>
      <c r="AF449" s="1017"/>
    </row>
    <row r="450" spans="1:32" ht="16.5">
      <c r="A450" s="1022"/>
      <c r="B450" s="1736"/>
      <c r="C450" s="1258">
        <v>43554</v>
      </c>
      <c r="D450" s="1259">
        <v>44282</v>
      </c>
      <c r="E450" s="1259"/>
      <c r="F450" s="1276">
        <v>667975</v>
      </c>
      <c r="G450" s="1174">
        <v>525705</v>
      </c>
      <c r="H450" s="1181">
        <f t="shared" si="22"/>
        <v>170854.125</v>
      </c>
      <c r="I450" s="1262">
        <f t="shared" si="23"/>
        <v>262852.5</v>
      </c>
      <c r="J450" s="1182">
        <f t="shared" si="24"/>
        <v>0.78701298701298705</v>
      </c>
      <c r="K450" s="1443"/>
      <c r="L450" s="1154"/>
      <c r="M450" s="1017"/>
      <c r="N450" s="1017"/>
      <c r="O450" s="1017"/>
      <c r="P450" s="1017"/>
      <c r="Q450" s="1017"/>
      <c r="R450" s="1017"/>
      <c r="S450" s="1017"/>
      <c r="T450" s="1351">
        <v>0.75167087832536983</v>
      </c>
      <c r="U450" s="1017"/>
      <c r="V450" s="1017"/>
      <c r="W450" s="1017"/>
      <c r="X450" s="1017"/>
      <c r="Y450" s="1017"/>
      <c r="Z450" s="1017"/>
      <c r="AA450" s="1017"/>
      <c r="AB450" s="1017"/>
      <c r="AC450" s="1017"/>
      <c r="AD450" s="1017"/>
      <c r="AE450" s="1017"/>
      <c r="AF450" s="1017"/>
    </row>
    <row r="451" spans="1:32" ht="16.5">
      <c r="A451" s="1022"/>
      <c r="B451" s="1727" t="s">
        <v>347</v>
      </c>
      <c r="C451" s="1250">
        <v>43555</v>
      </c>
      <c r="D451" s="1251">
        <v>44283</v>
      </c>
      <c r="E451" s="1251"/>
      <c r="F451" s="1277">
        <v>400716</v>
      </c>
      <c r="G451" s="1158">
        <v>296831</v>
      </c>
      <c r="H451" s="1026">
        <f>(G451*0.5)*0.65</f>
        <v>96470.074999999997</v>
      </c>
      <c r="I451" s="1242">
        <f t="shared" si="23"/>
        <v>148415.5</v>
      </c>
      <c r="J451" s="1278">
        <f t="shared" si="24"/>
        <v>0.74075155471705645</v>
      </c>
      <c r="K451" s="1446"/>
      <c r="L451" s="1756" t="s">
        <v>407</v>
      </c>
      <c r="M451" s="1036"/>
      <c r="N451" s="1017"/>
      <c r="O451" s="1017"/>
      <c r="P451" s="1017"/>
      <c r="Q451" s="1017"/>
      <c r="R451" s="1017"/>
      <c r="S451" s="1017"/>
      <c r="T451" s="1351">
        <v>0.75247845324897067</v>
      </c>
      <c r="U451" s="1017"/>
      <c r="V451" s="1017"/>
      <c r="W451" s="1017"/>
      <c r="X451" s="1017"/>
      <c r="Y451" s="1017"/>
      <c r="Z451" s="1017"/>
      <c r="AA451" s="1017"/>
      <c r="AB451" s="1017"/>
      <c r="AC451" s="1017"/>
      <c r="AD451" s="1017"/>
      <c r="AE451" s="1017"/>
      <c r="AF451" s="1017"/>
    </row>
    <row r="452" spans="1:32" ht="16.5">
      <c r="A452" s="1022"/>
      <c r="B452" s="1728"/>
      <c r="C452" s="1255">
        <v>43556</v>
      </c>
      <c r="D452" s="1256">
        <v>44284</v>
      </c>
      <c r="E452" s="1256"/>
      <c r="F452" s="1279">
        <v>316602</v>
      </c>
      <c r="G452" s="1165">
        <v>271614</v>
      </c>
      <c r="H452" s="1178">
        <f t="shared" ref="H452:H515" si="25">(G452*0.5)*0.65</f>
        <v>88274.55</v>
      </c>
      <c r="I452" s="1261">
        <f t="shared" si="23"/>
        <v>135807</v>
      </c>
      <c r="J452" s="1280">
        <f t="shared" si="24"/>
        <v>0.85790361400117499</v>
      </c>
      <c r="K452" s="1443"/>
      <c r="L452" s="1757"/>
      <c r="M452" s="1036"/>
      <c r="N452" s="1017"/>
      <c r="O452" s="1017"/>
      <c r="P452" s="1017"/>
      <c r="Q452" s="1017"/>
      <c r="R452" s="1017"/>
      <c r="S452" s="1017"/>
      <c r="T452" s="1351">
        <v>0.75328602817257162</v>
      </c>
      <c r="U452" s="1017"/>
      <c r="V452" s="1017"/>
      <c r="W452" s="1017"/>
      <c r="X452" s="1017"/>
      <c r="Y452" s="1017"/>
      <c r="Z452" s="1017"/>
      <c r="AA452" s="1017"/>
      <c r="AB452" s="1017"/>
      <c r="AC452" s="1017"/>
      <c r="AD452" s="1017"/>
      <c r="AE452" s="1017"/>
      <c r="AF452" s="1017"/>
    </row>
    <row r="453" spans="1:32" ht="16.5">
      <c r="A453" s="1022"/>
      <c r="B453" s="1728"/>
      <c r="C453" s="1255">
        <v>43557</v>
      </c>
      <c r="D453" s="1256">
        <v>44285</v>
      </c>
      <c r="E453" s="1256"/>
      <c r="F453" s="1279">
        <v>289906</v>
      </c>
      <c r="G453" s="1165">
        <v>287162</v>
      </c>
      <c r="H453" s="1178">
        <f t="shared" si="25"/>
        <v>93327.650000000009</v>
      </c>
      <c r="I453" s="1261">
        <f t="shared" si="23"/>
        <v>143581</v>
      </c>
      <c r="J453" s="1280">
        <f t="shared" si="24"/>
        <v>0.99053486302456661</v>
      </c>
      <c r="K453" s="1443"/>
      <c r="L453" s="1757"/>
      <c r="M453" s="1036"/>
      <c r="N453" s="1017"/>
      <c r="O453" s="1017"/>
      <c r="P453" s="1017"/>
      <c r="Q453" s="1017"/>
      <c r="R453" s="1017"/>
      <c r="S453" s="1017"/>
      <c r="T453" s="1351">
        <v>0.75409360309617246</v>
      </c>
      <c r="U453" s="1017"/>
      <c r="V453" s="1017"/>
      <c r="W453" s="1017"/>
      <c r="X453" s="1017"/>
      <c r="Y453" s="1017"/>
      <c r="Z453" s="1017"/>
      <c r="AA453" s="1017"/>
      <c r="AB453" s="1017"/>
      <c r="AC453" s="1017"/>
      <c r="AD453" s="1017"/>
      <c r="AE453" s="1017"/>
      <c r="AF453" s="1017"/>
    </row>
    <row r="454" spans="1:32" ht="16.5">
      <c r="A454" s="1022"/>
      <c r="B454" s="1728"/>
      <c r="C454" s="1255">
        <v>43558</v>
      </c>
      <c r="D454" s="1256">
        <v>44286</v>
      </c>
      <c r="E454" s="1256"/>
      <c r="F454" s="1279">
        <v>302175</v>
      </c>
      <c r="G454" s="1165">
        <v>345116</v>
      </c>
      <c r="H454" s="1178">
        <f t="shared" si="25"/>
        <v>112162.7</v>
      </c>
      <c r="I454" s="1261">
        <f t="shared" si="23"/>
        <v>172558</v>
      </c>
      <c r="J454" s="1280">
        <f t="shared" si="24"/>
        <v>1.1421063953007364</v>
      </c>
      <c r="K454" s="1443"/>
      <c r="L454" s="1757"/>
      <c r="M454" s="1036"/>
      <c r="N454" s="1017"/>
      <c r="O454" s="1017"/>
      <c r="P454" s="1017"/>
      <c r="Q454" s="1017"/>
      <c r="R454" s="1017"/>
      <c r="S454" s="1017"/>
      <c r="T454" s="1351">
        <v>0.75490117801977341</v>
      </c>
      <c r="U454" s="1017"/>
      <c r="V454" s="1017"/>
      <c r="W454" s="1017"/>
      <c r="X454" s="1017"/>
      <c r="Y454" s="1017"/>
      <c r="Z454" s="1017"/>
      <c r="AA454" s="1017"/>
      <c r="AB454" s="1017"/>
      <c r="AC454" s="1017"/>
      <c r="AD454" s="1017"/>
      <c r="AE454" s="1017"/>
      <c r="AF454" s="1017"/>
    </row>
    <row r="455" spans="1:32" ht="16.5">
      <c r="A455" s="1022"/>
      <c r="B455" s="1728"/>
      <c r="C455" s="1255">
        <v>43559</v>
      </c>
      <c r="D455" s="1256">
        <v>44287</v>
      </c>
      <c r="E455" s="1256"/>
      <c r="F455" s="1279">
        <v>327873</v>
      </c>
      <c r="G455" s="1165">
        <v>391997</v>
      </c>
      <c r="H455" s="1178">
        <f t="shared" si="25"/>
        <v>127399.02500000001</v>
      </c>
      <c r="I455" s="1261">
        <f t="shared" si="23"/>
        <v>195998.5</v>
      </c>
      <c r="J455" s="1280">
        <f t="shared" si="24"/>
        <v>1.1955757259670665</v>
      </c>
      <c r="K455" s="1443"/>
      <c r="L455" s="1757"/>
      <c r="M455" s="1036"/>
      <c r="N455" s="1017"/>
      <c r="O455" s="1017"/>
      <c r="P455" s="1017"/>
      <c r="Q455" s="1017"/>
      <c r="R455" s="1017"/>
      <c r="S455" s="1017"/>
      <c r="T455" s="1351">
        <v>0.75570875294337436</v>
      </c>
      <c r="U455" s="1017"/>
      <c r="V455" s="1017"/>
      <c r="W455" s="1017"/>
      <c r="X455" s="1017"/>
      <c r="Y455" s="1017"/>
      <c r="Z455" s="1017"/>
      <c r="AA455" s="1017"/>
      <c r="AB455" s="1017"/>
      <c r="AC455" s="1017"/>
      <c r="AD455" s="1017"/>
      <c r="AE455" s="1017"/>
      <c r="AF455" s="1017"/>
    </row>
    <row r="456" spans="1:32" ht="16.5">
      <c r="A456" s="1022"/>
      <c r="B456" s="1728"/>
      <c r="C456" s="1255">
        <v>43560</v>
      </c>
      <c r="D456" s="1256">
        <v>44288</v>
      </c>
      <c r="E456" s="1256"/>
      <c r="F456" s="1279">
        <v>433365</v>
      </c>
      <c r="G456" s="1165">
        <v>256991</v>
      </c>
      <c r="H456" s="1178">
        <f t="shared" si="25"/>
        <v>83522.074999999997</v>
      </c>
      <c r="I456" s="1261">
        <f t="shared" si="23"/>
        <v>128495.5</v>
      </c>
      <c r="J456" s="1280">
        <f t="shared" si="24"/>
        <v>0.59301281829404773</v>
      </c>
      <c r="K456" s="1443"/>
      <c r="L456" s="1757"/>
      <c r="M456" s="1281"/>
      <c r="N456" s="1017"/>
      <c r="O456" s="1017"/>
      <c r="P456" s="1017"/>
      <c r="Q456" s="1017"/>
      <c r="R456" s="1017"/>
      <c r="S456" s="1017"/>
      <c r="T456" s="1351">
        <v>0.7565163278669752</v>
      </c>
      <c r="U456" s="1017"/>
      <c r="V456" s="1017"/>
      <c r="W456" s="1017"/>
      <c r="X456" s="1017"/>
      <c r="Y456" s="1017"/>
      <c r="Z456" s="1017"/>
      <c r="AA456" s="1017"/>
      <c r="AB456" s="1017"/>
      <c r="AC456" s="1017"/>
      <c r="AD456" s="1017"/>
      <c r="AE456" s="1017"/>
      <c r="AF456" s="1017"/>
    </row>
    <row r="457" spans="1:32" ht="16.5">
      <c r="A457" s="1022"/>
      <c r="B457" s="1736"/>
      <c r="C457" s="1258">
        <v>43561</v>
      </c>
      <c r="D457" s="1259">
        <v>44289</v>
      </c>
      <c r="E457" s="1259"/>
      <c r="F457" s="1282">
        <v>676380</v>
      </c>
      <c r="G457" s="1174">
        <v>459727</v>
      </c>
      <c r="H457" s="1181">
        <f t="shared" si="25"/>
        <v>149411.27499999999</v>
      </c>
      <c r="I457" s="1262">
        <f t="shared" si="23"/>
        <v>229863.5</v>
      </c>
      <c r="J457" s="1283">
        <f t="shared" si="24"/>
        <v>0.67968745379816076</v>
      </c>
      <c r="K457" s="1443"/>
      <c r="L457" s="1758"/>
      <c r="M457" s="1036"/>
      <c r="N457" s="1017"/>
      <c r="O457" s="1017"/>
      <c r="P457" s="1017"/>
      <c r="Q457" s="1017"/>
      <c r="R457" s="1017"/>
      <c r="S457" s="1017"/>
      <c r="T457" s="1351">
        <v>0.75732390279057615</v>
      </c>
      <c r="U457" s="1017"/>
      <c r="V457" s="1017"/>
      <c r="W457" s="1017"/>
      <c r="X457" s="1017"/>
      <c r="Y457" s="1017"/>
      <c r="Z457" s="1017"/>
      <c r="AA457" s="1017"/>
      <c r="AB457" s="1017"/>
      <c r="AC457" s="1017"/>
      <c r="AD457" s="1017"/>
      <c r="AE457" s="1017"/>
      <c r="AF457" s="1017"/>
    </row>
    <row r="458" spans="1:32" ht="16.5">
      <c r="A458" s="1022"/>
      <c r="B458" s="1739" t="s">
        <v>348</v>
      </c>
      <c r="C458" s="1250">
        <v>43562</v>
      </c>
      <c r="D458" s="1251">
        <v>44290</v>
      </c>
      <c r="E458" s="1251"/>
      <c r="F458" s="1263">
        <v>349005</v>
      </c>
      <c r="G458" s="1158">
        <v>244018</v>
      </c>
      <c r="H458" s="1026">
        <f t="shared" si="25"/>
        <v>79305.850000000006</v>
      </c>
      <c r="I458" s="1242">
        <f t="shared" si="23"/>
        <v>122009</v>
      </c>
      <c r="J458" s="1176">
        <f t="shared" si="24"/>
        <v>0.69918196014383749</v>
      </c>
      <c r="K458" s="1443"/>
      <c r="L458" s="566"/>
      <c r="M458" s="1744" t="s">
        <v>408</v>
      </c>
      <c r="N458" s="1745"/>
      <c r="O458" s="1746"/>
      <c r="P458" s="1378"/>
      <c r="Q458" s="1017"/>
      <c r="R458" s="1017"/>
      <c r="S458" s="1017"/>
      <c r="T458" s="1351">
        <v>0.75813147771417699</v>
      </c>
      <c r="U458" s="1017"/>
      <c r="V458" s="1017"/>
      <c r="W458" s="1017"/>
      <c r="X458" s="1017"/>
      <c r="Y458" s="1017"/>
      <c r="Z458" s="1017"/>
      <c r="AA458" s="1017"/>
      <c r="AB458" s="1017"/>
      <c r="AC458" s="1017"/>
      <c r="AD458" s="1017"/>
      <c r="AE458" s="1017"/>
      <c r="AF458" s="1017"/>
    </row>
    <row r="459" spans="1:32" ht="16.5">
      <c r="A459" s="1022"/>
      <c r="B459" s="1740"/>
      <c r="C459" s="1255">
        <v>43563</v>
      </c>
      <c r="D459" s="1256">
        <v>44291</v>
      </c>
      <c r="E459" s="1256"/>
      <c r="F459" s="1264">
        <v>309435</v>
      </c>
      <c r="G459" s="1165">
        <v>267343</v>
      </c>
      <c r="H459" s="1178">
        <f t="shared" si="25"/>
        <v>86886.475000000006</v>
      </c>
      <c r="I459" s="1261">
        <f t="shared" si="23"/>
        <v>133671.5</v>
      </c>
      <c r="J459" s="1275">
        <f t="shared" si="24"/>
        <v>0.86397143180312508</v>
      </c>
      <c r="K459" s="1443"/>
      <c r="L459" s="566"/>
      <c r="M459" s="1220" t="s">
        <v>2</v>
      </c>
      <c r="N459" s="1221" t="s">
        <v>1</v>
      </c>
      <c r="O459" s="1222" t="s">
        <v>400</v>
      </c>
      <c r="P459" s="142"/>
      <c r="Q459" s="1017"/>
      <c r="R459" s="1017"/>
      <c r="S459" s="1017"/>
      <c r="T459" s="1351">
        <v>0.75893905263777794</v>
      </c>
      <c r="U459" s="1017"/>
      <c r="V459" s="1017"/>
      <c r="W459" s="1017"/>
      <c r="X459" s="1017"/>
      <c r="Y459" s="1017"/>
      <c r="Z459" s="1017"/>
      <c r="AA459" s="1017"/>
      <c r="AB459" s="1017"/>
      <c r="AC459" s="1017"/>
      <c r="AD459" s="1017"/>
      <c r="AE459" s="1017"/>
      <c r="AF459" s="1017"/>
    </row>
    <row r="460" spans="1:32" ht="16.5">
      <c r="A460" s="1022"/>
      <c r="B460" s="1740"/>
      <c r="C460" s="1255">
        <v>43564</v>
      </c>
      <c r="D460" s="1256">
        <v>44292</v>
      </c>
      <c r="E460" s="1256"/>
      <c r="F460" s="1264">
        <v>289895</v>
      </c>
      <c r="G460" s="1165">
        <v>251384.51</v>
      </c>
      <c r="H460" s="1178">
        <f t="shared" si="25"/>
        <v>81699.965750000003</v>
      </c>
      <c r="I460" s="1261">
        <f t="shared" si="23"/>
        <v>125692.255</v>
      </c>
      <c r="J460" s="1275">
        <f t="shared" si="24"/>
        <v>0.86715710860828921</v>
      </c>
      <c r="K460" s="1443"/>
      <c r="L460" s="566"/>
      <c r="M460" s="1167">
        <f>SUM(G479:G485)/SUM(F479:F485)</f>
        <v>0.6320813337565796</v>
      </c>
      <c r="N460" s="1223">
        <f>SUM(G458:G485)/SUM(F458:F485)</f>
        <v>0.64172750953469604</v>
      </c>
      <c r="O460" s="1224">
        <f>SUM(G480:G486)/SUM(F480:F486)</f>
        <v>0.6313116754932705</v>
      </c>
      <c r="P460" s="1379"/>
      <c r="Q460" s="1017"/>
      <c r="R460" s="1017"/>
      <c r="S460" s="1017"/>
      <c r="T460" s="1351">
        <v>0.75974662756137878</v>
      </c>
      <c r="U460" s="1017"/>
      <c r="V460" s="1017"/>
      <c r="W460" s="1017"/>
      <c r="X460" s="1017"/>
      <c r="Y460" s="1017"/>
      <c r="Z460" s="1017"/>
      <c r="AA460" s="1017"/>
      <c r="AB460" s="1017"/>
      <c r="AC460" s="1017"/>
      <c r="AD460" s="1017"/>
      <c r="AE460" s="1017"/>
      <c r="AF460" s="1017"/>
    </row>
    <row r="461" spans="1:32" ht="16.5">
      <c r="A461" s="1022"/>
      <c r="B461" s="1740"/>
      <c r="C461" s="1255">
        <v>43565</v>
      </c>
      <c r="D461" s="1256">
        <v>44293</v>
      </c>
      <c r="E461" s="1256"/>
      <c r="F461" s="1264">
        <v>319739</v>
      </c>
      <c r="G461" s="1165">
        <v>264610</v>
      </c>
      <c r="H461" s="1178">
        <f t="shared" si="25"/>
        <v>85998.25</v>
      </c>
      <c r="I461" s="1261">
        <f t="shared" si="23"/>
        <v>132305</v>
      </c>
      <c r="J461" s="1275">
        <f t="shared" si="24"/>
        <v>0.82758124595373106</v>
      </c>
      <c r="K461" s="1443"/>
      <c r="L461" s="566"/>
      <c r="M461" s="1017"/>
      <c r="N461" s="1017"/>
      <c r="O461" s="1017"/>
      <c r="P461" s="1017"/>
      <c r="Q461" s="1017"/>
      <c r="R461" s="1017"/>
      <c r="S461" s="1017"/>
      <c r="T461" s="1351">
        <v>0.76055420248497974</v>
      </c>
      <c r="U461" s="1017"/>
      <c r="V461" s="1017"/>
      <c r="W461" s="1017"/>
      <c r="X461" s="1017"/>
      <c r="Y461" s="1017"/>
      <c r="Z461" s="1017"/>
      <c r="AA461" s="1017"/>
      <c r="AB461" s="1017"/>
      <c r="AC461" s="1017"/>
      <c r="AD461" s="1017"/>
      <c r="AE461" s="1017"/>
      <c r="AF461" s="1017"/>
    </row>
    <row r="462" spans="1:32" ht="16.5">
      <c r="A462" s="1022"/>
      <c r="B462" s="1740"/>
      <c r="C462" s="1255">
        <v>43566</v>
      </c>
      <c r="D462" s="1256">
        <v>44294</v>
      </c>
      <c r="E462" s="1256"/>
      <c r="F462" s="1264">
        <v>362559</v>
      </c>
      <c r="G462" s="1165">
        <v>277000</v>
      </c>
      <c r="H462" s="1178">
        <f t="shared" si="25"/>
        <v>90025</v>
      </c>
      <c r="I462" s="1261">
        <f t="shared" si="23"/>
        <v>138500</v>
      </c>
      <c r="J462" s="1275">
        <f t="shared" si="24"/>
        <v>0.76401358123781238</v>
      </c>
      <c r="K462" s="1443"/>
      <c r="L462" s="566"/>
      <c r="M462" s="1017"/>
      <c r="N462" s="1017"/>
      <c r="O462" s="1017"/>
      <c r="P462" s="1017"/>
      <c r="Q462" s="1017"/>
      <c r="R462" s="1017"/>
      <c r="S462" s="1017"/>
      <c r="T462" s="1351">
        <v>0.76136177740858058</v>
      </c>
      <c r="U462" s="1017"/>
      <c r="V462" s="1017"/>
      <c r="W462" s="1017"/>
      <c r="X462" s="1017"/>
      <c r="Y462" s="1017"/>
      <c r="Z462" s="1017"/>
      <c r="AA462" s="1017"/>
      <c r="AB462" s="1017"/>
      <c r="AC462" s="1017"/>
      <c r="AD462" s="1017"/>
      <c r="AE462" s="1017"/>
      <c r="AF462" s="1017"/>
    </row>
    <row r="463" spans="1:32" ht="16.5">
      <c r="A463" s="1022"/>
      <c r="B463" s="1740"/>
      <c r="C463" s="1255">
        <v>43567</v>
      </c>
      <c r="D463" s="1256">
        <v>44295</v>
      </c>
      <c r="E463" s="1256"/>
      <c r="F463" s="1264">
        <v>479237</v>
      </c>
      <c r="G463" s="1165">
        <v>375290</v>
      </c>
      <c r="H463" s="1178">
        <f t="shared" si="25"/>
        <v>121969.25</v>
      </c>
      <c r="I463" s="1261">
        <f t="shared" si="23"/>
        <v>187645</v>
      </c>
      <c r="J463" s="1275">
        <f t="shared" si="24"/>
        <v>0.78309896773412735</v>
      </c>
      <c r="K463" s="1443"/>
      <c r="L463" s="566"/>
      <c r="M463" s="1017"/>
      <c r="N463" s="1017"/>
      <c r="O463" s="1017"/>
      <c r="P463" s="1017"/>
      <c r="Q463" s="1017"/>
      <c r="R463" s="1017"/>
      <c r="S463" s="1017"/>
      <c r="T463" s="1351">
        <v>0.76216935233218153</v>
      </c>
      <c r="U463" s="1017"/>
      <c r="V463" s="1017"/>
      <c r="W463" s="1017"/>
      <c r="X463" s="1017"/>
      <c r="Y463" s="1017"/>
      <c r="Z463" s="1017"/>
      <c r="AA463" s="1017"/>
      <c r="AB463" s="1017"/>
      <c r="AC463" s="1017"/>
      <c r="AD463" s="1017"/>
      <c r="AE463" s="1017"/>
      <c r="AF463" s="1017"/>
    </row>
    <row r="464" spans="1:32" ht="16.5">
      <c r="A464" s="1022"/>
      <c r="B464" s="1741"/>
      <c r="C464" s="1265">
        <v>43568</v>
      </c>
      <c r="D464" s="1266">
        <v>44296</v>
      </c>
      <c r="E464" s="1266"/>
      <c r="F464" s="1267">
        <v>776554</v>
      </c>
      <c r="G464" s="1200">
        <v>470774</v>
      </c>
      <c r="H464" s="1201">
        <f t="shared" si="25"/>
        <v>153001.55000000002</v>
      </c>
      <c r="I464" s="1268">
        <f t="shared" si="23"/>
        <v>235387</v>
      </c>
      <c r="J464" s="1284">
        <f t="shared" si="24"/>
        <v>0.60623472417887225</v>
      </c>
      <c r="K464" s="1443"/>
      <c r="L464" s="566"/>
      <c r="M464" s="1018"/>
      <c r="N464" s="1017"/>
      <c r="O464" s="1017"/>
      <c r="P464" s="1017"/>
      <c r="Q464" s="1017"/>
      <c r="R464" s="1017"/>
      <c r="S464" s="1017"/>
      <c r="T464" s="1351">
        <v>0.76297692725578237</v>
      </c>
      <c r="U464" s="1017"/>
      <c r="V464" s="1017"/>
      <c r="W464" s="1017"/>
      <c r="X464" s="1017"/>
      <c r="Y464" s="1017"/>
      <c r="Z464" s="1017"/>
      <c r="AA464" s="1017"/>
      <c r="AB464" s="1017"/>
      <c r="AC464" s="1017"/>
      <c r="AD464" s="1017"/>
      <c r="AE464" s="1017"/>
      <c r="AF464" s="1017"/>
    </row>
    <row r="465" spans="1:32" ht="16.5">
      <c r="A465" s="1022"/>
      <c r="B465" s="1742" t="s">
        <v>349</v>
      </c>
      <c r="C465" s="1270">
        <v>43569</v>
      </c>
      <c r="D465" s="1271">
        <v>44297</v>
      </c>
      <c r="E465" s="1271"/>
      <c r="F465" s="1272">
        <v>373328</v>
      </c>
      <c r="G465" s="1273">
        <v>247000</v>
      </c>
      <c r="H465" s="1206">
        <f t="shared" si="25"/>
        <v>80275</v>
      </c>
      <c r="I465" s="1274">
        <f t="shared" si="23"/>
        <v>123500</v>
      </c>
      <c r="J465" s="1333">
        <f t="shared" si="24"/>
        <v>0.66161659452277888</v>
      </c>
      <c r="K465" s="1444"/>
      <c r="L465" s="1334" t="s">
        <v>409</v>
      </c>
      <c r="N465" s="1036"/>
      <c r="O465" s="1017"/>
      <c r="P465" s="1017"/>
      <c r="Q465" s="1017"/>
      <c r="R465" s="1017"/>
      <c r="S465" s="1017"/>
      <c r="T465" s="1351">
        <v>0.76378450217938332</v>
      </c>
      <c r="U465" s="1017"/>
      <c r="V465" s="1017"/>
      <c r="W465" s="1017"/>
      <c r="X465" s="1017"/>
      <c r="Y465" s="1017"/>
      <c r="Z465" s="1017"/>
      <c r="AA465" s="1017"/>
      <c r="AB465" s="1017"/>
      <c r="AC465" s="1017"/>
      <c r="AD465" s="1017"/>
      <c r="AE465" s="1017"/>
      <c r="AF465" s="1017"/>
    </row>
    <row r="466" spans="1:32" ht="16.5">
      <c r="A466" s="1022"/>
      <c r="B466" s="1740"/>
      <c r="C466" s="1255">
        <v>43570</v>
      </c>
      <c r="D466" s="1256">
        <v>44298</v>
      </c>
      <c r="E466" s="1256"/>
      <c r="F466" s="1264">
        <v>460345</v>
      </c>
      <c r="G466" s="1165">
        <v>219094</v>
      </c>
      <c r="H466" s="1178">
        <f t="shared" si="25"/>
        <v>71205.55</v>
      </c>
      <c r="I466" s="1261">
        <f t="shared" si="23"/>
        <v>109547</v>
      </c>
      <c r="J466" s="1333">
        <f t="shared" si="24"/>
        <v>0.47593435358263908</v>
      </c>
      <c r="K466" s="1444"/>
      <c r="L466" s="1773" t="s">
        <v>410</v>
      </c>
      <c r="M466" s="1332"/>
      <c r="N466" s="1036"/>
      <c r="O466" s="1017"/>
      <c r="P466" s="1017"/>
      <c r="Q466" s="1017"/>
      <c r="R466" s="1017"/>
      <c r="S466" s="1017"/>
      <c r="T466" s="1351">
        <v>0.76459207710298416</v>
      </c>
      <c r="U466" s="1017"/>
      <c r="V466" s="1017"/>
      <c r="W466" s="1017"/>
      <c r="X466" s="1017"/>
      <c r="Y466" s="1017"/>
      <c r="Z466" s="1017"/>
      <c r="AA466" s="1017"/>
      <c r="AB466" s="1017"/>
      <c r="AC466" s="1017"/>
      <c r="AD466" s="1017"/>
      <c r="AE466" s="1017"/>
      <c r="AF466" s="1017"/>
    </row>
    <row r="467" spans="1:32" ht="16.5">
      <c r="A467" s="1022"/>
      <c r="B467" s="1740"/>
      <c r="C467" s="1255">
        <v>43571</v>
      </c>
      <c r="D467" s="1256">
        <v>44299</v>
      </c>
      <c r="E467" s="1256"/>
      <c r="F467" s="1264">
        <v>405603</v>
      </c>
      <c r="G467" s="1165">
        <v>204143</v>
      </c>
      <c r="H467" s="1178">
        <f t="shared" si="25"/>
        <v>66346.475000000006</v>
      </c>
      <c r="I467" s="1261">
        <f t="shared" ref="I467:I530" si="26">G467*0.5</f>
        <v>102071.5</v>
      </c>
      <c r="J467" s="1333">
        <f t="shared" si="24"/>
        <v>0.50330742129619355</v>
      </c>
      <c r="K467" s="1444"/>
      <c r="L467" s="1774"/>
      <c r="M467" s="1332"/>
      <c r="N467" s="1036"/>
      <c r="O467" s="1017"/>
      <c r="P467" s="1017"/>
      <c r="Q467" s="1017"/>
      <c r="R467" s="1017"/>
      <c r="S467" s="1017"/>
      <c r="T467" s="1351">
        <v>0.76539965202658511</v>
      </c>
      <c r="U467" s="1017"/>
      <c r="V467" s="1017"/>
      <c r="W467" s="1017"/>
      <c r="X467" s="1017"/>
      <c r="Y467" s="1017"/>
      <c r="Z467" s="1017"/>
      <c r="AA467" s="1017"/>
      <c r="AB467" s="1017"/>
      <c r="AC467" s="1017"/>
      <c r="AD467" s="1017"/>
      <c r="AE467" s="1017"/>
      <c r="AF467" s="1017"/>
    </row>
    <row r="468" spans="1:32" ht="16.5">
      <c r="A468" s="1022"/>
      <c r="B468" s="1740"/>
      <c r="C468" s="1255">
        <v>43572</v>
      </c>
      <c r="D468" s="1256">
        <v>44300</v>
      </c>
      <c r="E468" s="1256"/>
      <c r="F468" s="1264">
        <v>466597</v>
      </c>
      <c r="G468" s="1165">
        <v>229816</v>
      </c>
      <c r="H468" s="1178">
        <f t="shared" si="25"/>
        <v>74690.2</v>
      </c>
      <c r="I468" s="1261">
        <f t="shared" si="26"/>
        <v>114908</v>
      </c>
      <c r="J468" s="1333">
        <f t="shared" si="24"/>
        <v>0.49253638578902137</v>
      </c>
      <c r="K468" s="1444"/>
      <c r="L468" s="1774"/>
      <c r="M468" s="1332"/>
      <c r="N468" s="1036"/>
      <c r="O468" s="1017"/>
      <c r="P468" s="1017"/>
      <c r="Q468" s="1017"/>
      <c r="R468" s="1017"/>
      <c r="S468" s="1017"/>
      <c r="T468" s="1351">
        <v>0.76620722695018606</v>
      </c>
      <c r="U468" s="1017"/>
      <c r="V468" s="1017"/>
      <c r="W468" s="1017"/>
      <c r="X468" s="1017"/>
      <c r="Y468" s="1017"/>
      <c r="Z468" s="1017"/>
      <c r="AA468" s="1017"/>
      <c r="AB468" s="1017"/>
      <c r="AC468" s="1017"/>
      <c r="AD468" s="1017"/>
      <c r="AE468" s="1017"/>
      <c r="AF468" s="1017"/>
    </row>
    <row r="469" spans="1:32" ht="16.5">
      <c r="A469" s="1022"/>
      <c r="B469" s="1740"/>
      <c r="C469" s="1255">
        <v>43573</v>
      </c>
      <c r="D469" s="1256">
        <v>44301</v>
      </c>
      <c r="E469" s="1256"/>
      <c r="F469" s="1264">
        <v>524591</v>
      </c>
      <c r="G469" s="1165">
        <v>264060</v>
      </c>
      <c r="H469" s="1178">
        <f t="shared" si="25"/>
        <v>85819.5</v>
      </c>
      <c r="I469" s="1261">
        <f t="shared" si="26"/>
        <v>132030</v>
      </c>
      <c r="J469" s="1333">
        <f t="shared" si="24"/>
        <v>0.50336357276430588</v>
      </c>
      <c r="K469" s="1444"/>
      <c r="L469" s="1774"/>
      <c r="M469" s="1332"/>
      <c r="N469" s="1036"/>
      <c r="O469" s="1017"/>
      <c r="P469" s="1017"/>
      <c r="Q469" s="1017"/>
      <c r="R469" s="1017"/>
      <c r="S469" s="1017"/>
      <c r="T469" s="1351">
        <v>0.7670148018737869</v>
      </c>
      <c r="U469" s="1017"/>
      <c r="V469" s="1017"/>
      <c r="W469" s="1017"/>
      <c r="X469" s="1017"/>
      <c r="Y469" s="1017"/>
      <c r="Z469" s="1017"/>
      <c r="AA469" s="1017"/>
      <c r="AB469" s="1017"/>
      <c r="AC469" s="1017"/>
      <c r="AD469" s="1017"/>
      <c r="AE469" s="1017"/>
      <c r="AF469" s="1017"/>
    </row>
    <row r="470" spans="1:32" ht="16.5">
      <c r="A470" s="1022"/>
      <c r="B470" s="1740"/>
      <c r="C470" s="1255">
        <v>43574</v>
      </c>
      <c r="D470" s="1256">
        <v>44302</v>
      </c>
      <c r="E470" s="1256"/>
      <c r="F470" s="1264">
        <v>281775</v>
      </c>
      <c r="G470" s="1200">
        <v>349000</v>
      </c>
      <c r="H470" s="1178">
        <f t="shared" si="25"/>
        <v>113425</v>
      </c>
      <c r="I470" s="1261">
        <f t="shared" si="26"/>
        <v>174500</v>
      </c>
      <c r="J470" s="1333">
        <f t="shared" si="24"/>
        <v>1.2385768787152871</v>
      </c>
      <c r="K470" s="1444"/>
      <c r="L470" s="1774"/>
      <c r="M470" s="1332"/>
      <c r="N470" s="1036"/>
      <c r="O470" s="1017"/>
      <c r="P470" s="1017"/>
      <c r="Q470" s="1017"/>
      <c r="R470" s="1017"/>
      <c r="S470" s="1017"/>
      <c r="T470" s="1351">
        <v>0.76782237679738774</v>
      </c>
      <c r="U470" s="1017"/>
      <c r="V470" s="1017"/>
      <c r="W470" s="1017"/>
      <c r="X470" s="1017"/>
      <c r="Y470" s="1017"/>
      <c r="Z470" s="1017"/>
      <c r="AA470" s="1017"/>
      <c r="AB470" s="1017"/>
      <c r="AC470" s="1017"/>
      <c r="AD470" s="1017"/>
      <c r="AE470" s="1017"/>
      <c r="AF470" s="1017"/>
    </row>
    <row r="471" spans="1:32" ht="16.5">
      <c r="A471" s="1022"/>
      <c r="B471" s="1741"/>
      <c r="C471" s="1265">
        <v>43575</v>
      </c>
      <c r="D471" s="1266">
        <v>44303</v>
      </c>
      <c r="E471" s="1266"/>
      <c r="F471" s="1267">
        <v>538612</v>
      </c>
      <c r="G471" s="1200">
        <v>496000</v>
      </c>
      <c r="H471" s="1201">
        <f t="shared" si="25"/>
        <v>161200</v>
      </c>
      <c r="I471" s="1268">
        <f t="shared" si="26"/>
        <v>248000</v>
      </c>
      <c r="J471" s="1333">
        <f t="shared" si="24"/>
        <v>0.92088553541324736</v>
      </c>
      <c r="K471" s="1444"/>
      <c r="L471" s="1775"/>
      <c r="M471" s="1332"/>
      <c r="N471" s="1036"/>
      <c r="O471" s="1017"/>
      <c r="P471" s="1017"/>
      <c r="Q471" s="1017"/>
      <c r="R471" s="1017"/>
      <c r="S471" s="1017"/>
      <c r="T471" s="1351">
        <v>0.76862995172098869</v>
      </c>
      <c r="U471" s="1017"/>
      <c r="V471" s="1017"/>
      <c r="W471" s="1017"/>
      <c r="X471" s="1017"/>
      <c r="Y471" s="1017"/>
      <c r="Z471" s="1017"/>
      <c r="AA471" s="1017"/>
      <c r="AB471" s="1017"/>
      <c r="AC471" s="1017"/>
      <c r="AD471" s="1017"/>
      <c r="AE471" s="1017"/>
      <c r="AF471" s="1017"/>
    </row>
    <row r="472" spans="1:32" ht="16.5">
      <c r="A472" s="1022"/>
      <c r="B472" s="1742" t="s">
        <v>350</v>
      </c>
      <c r="C472" s="1270">
        <v>43576</v>
      </c>
      <c r="D472" s="1271">
        <v>44304</v>
      </c>
      <c r="E472" s="1271"/>
      <c r="F472" s="1285">
        <v>280933</v>
      </c>
      <c r="G472" s="1273">
        <v>268000</v>
      </c>
      <c r="H472" s="1206">
        <f t="shared" si="25"/>
        <v>87100</v>
      </c>
      <c r="I472" s="1274">
        <f t="shared" si="26"/>
        <v>134000</v>
      </c>
      <c r="J472" s="1217">
        <f t="shared" si="24"/>
        <v>0.95396411243962087</v>
      </c>
      <c r="K472" s="1444"/>
      <c r="L472" s="1169"/>
      <c r="M472" s="1286"/>
      <c r="N472" s="1017"/>
      <c r="O472" s="1017"/>
      <c r="P472" s="1017"/>
      <c r="Q472" s="1017"/>
      <c r="R472" s="1017"/>
      <c r="S472" s="1017"/>
      <c r="T472" s="1351">
        <v>0.76943752664458964</v>
      </c>
      <c r="U472" s="1017"/>
      <c r="V472" s="1017"/>
      <c r="W472" s="1017"/>
      <c r="X472" s="1017"/>
      <c r="Y472" s="1017"/>
      <c r="Z472" s="1017"/>
      <c r="AA472" s="1017"/>
      <c r="AB472" s="1017"/>
      <c r="AC472" s="1017"/>
      <c r="AD472" s="1017"/>
      <c r="AE472" s="1017"/>
      <c r="AF472" s="1017"/>
    </row>
    <row r="473" spans="1:32" ht="16.5">
      <c r="A473" s="1022"/>
      <c r="B473" s="1740"/>
      <c r="C473" s="1255">
        <v>43577</v>
      </c>
      <c r="D473" s="1256">
        <v>44305</v>
      </c>
      <c r="E473" s="1256"/>
      <c r="F473" s="1287">
        <v>364571</v>
      </c>
      <c r="G473" s="1165">
        <v>230000</v>
      </c>
      <c r="H473" s="1288">
        <f t="shared" si="25"/>
        <v>74750</v>
      </c>
      <c r="I473" s="1261">
        <f t="shared" si="26"/>
        <v>115000</v>
      </c>
      <c r="J473" s="1217">
        <f t="shared" si="24"/>
        <v>0.63087848457502105</v>
      </c>
      <c r="K473" s="1444"/>
      <c r="L473" s="1036"/>
      <c r="M473" s="1017"/>
      <c r="N473" s="1017"/>
      <c r="O473" s="1017"/>
      <c r="P473" s="1017"/>
      <c r="Q473" s="1017"/>
      <c r="R473" s="1017"/>
      <c r="S473" s="1017"/>
      <c r="T473" s="1351">
        <v>0.77024510156819048</v>
      </c>
      <c r="U473" s="1017"/>
      <c r="V473" s="1017"/>
      <c r="W473" s="1017"/>
      <c r="X473" s="1017"/>
      <c r="Y473" s="1017"/>
      <c r="Z473" s="1017"/>
      <c r="AA473" s="1017"/>
      <c r="AB473" s="1017"/>
      <c r="AC473" s="1017"/>
      <c r="AD473" s="1017"/>
      <c r="AE473" s="1017"/>
      <c r="AF473" s="1017"/>
    </row>
    <row r="474" spans="1:32" ht="16.5">
      <c r="A474" s="1022"/>
      <c r="B474" s="1740"/>
      <c r="C474" s="1255">
        <v>43578</v>
      </c>
      <c r="D474" s="1256">
        <v>44306</v>
      </c>
      <c r="E474" s="1256"/>
      <c r="F474" s="1287">
        <v>355293</v>
      </c>
      <c r="G474" s="1165">
        <v>214639</v>
      </c>
      <c r="H474" s="1288">
        <f t="shared" si="25"/>
        <v>69757.675000000003</v>
      </c>
      <c r="I474" s="1261">
        <f t="shared" si="26"/>
        <v>107319.5</v>
      </c>
      <c r="J474" s="1217">
        <f t="shared" si="24"/>
        <v>0.60411829110058457</v>
      </c>
      <c r="K474" s="1444"/>
      <c r="L474" s="1036"/>
      <c r="M474" s="1017"/>
      <c r="N474" s="1017"/>
      <c r="O474" s="1017"/>
      <c r="P474" s="1017"/>
      <c r="Q474" s="1017"/>
      <c r="R474" s="1017"/>
      <c r="S474" s="1017"/>
      <c r="T474" s="1351">
        <v>0.77105267649179143</v>
      </c>
      <c r="U474" s="1017"/>
      <c r="V474" s="1017"/>
      <c r="W474" s="1017"/>
      <c r="X474" s="1017"/>
      <c r="Y474" s="1017"/>
      <c r="Z474" s="1017"/>
      <c r="AA474" s="1017"/>
      <c r="AB474" s="1017"/>
      <c r="AC474" s="1017"/>
      <c r="AD474" s="1017"/>
      <c r="AE474" s="1017"/>
      <c r="AF474" s="1017"/>
    </row>
    <row r="475" spans="1:32" ht="16.5">
      <c r="A475" s="1022"/>
      <c r="B475" s="1740"/>
      <c r="C475" s="1255">
        <v>43579</v>
      </c>
      <c r="D475" s="1256">
        <v>44307</v>
      </c>
      <c r="E475" s="1256"/>
      <c r="F475" s="1287">
        <v>359292</v>
      </c>
      <c r="G475" s="1165">
        <v>237000</v>
      </c>
      <c r="H475" s="1288">
        <f t="shared" si="25"/>
        <v>77025</v>
      </c>
      <c r="I475" s="1261">
        <f t="shared" si="26"/>
        <v>118500</v>
      </c>
      <c r="J475" s="1217">
        <f t="shared" si="24"/>
        <v>0.65963060686015829</v>
      </c>
      <c r="K475" s="1444"/>
      <c r="L475" s="1036"/>
      <c r="M475" s="1017"/>
      <c r="N475" s="1017"/>
      <c r="O475" s="1017"/>
      <c r="P475" s="1017"/>
      <c r="Q475" s="1017"/>
      <c r="R475" s="1017"/>
      <c r="S475" s="1017"/>
      <c r="T475" s="1351">
        <v>0.77186025141539227</v>
      </c>
      <c r="U475" s="1017"/>
      <c r="V475" s="1017"/>
      <c r="W475" s="1017"/>
      <c r="X475" s="1017"/>
      <c r="Y475" s="1017"/>
      <c r="Z475" s="1017"/>
      <c r="AA475" s="1017"/>
      <c r="AB475" s="1017"/>
      <c r="AC475" s="1017"/>
      <c r="AD475" s="1017"/>
      <c r="AE475" s="1017"/>
      <c r="AF475" s="1017"/>
    </row>
    <row r="476" spans="1:32" ht="16.5">
      <c r="A476" s="1022"/>
      <c r="B476" s="1740"/>
      <c r="C476" s="1255">
        <v>43580</v>
      </c>
      <c r="D476" s="1256">
        <v>44308</v>
      </c>
      <c r="E476" s="1256"/>
      <c r="F476" s="1287">
        <v>387329</v>
      </c>
      <c r="G476" s="1165">
        <v>242000</v>
      </c>
      <c r="H476" s="1288">
        <f t="shared" si="25"/>
        <v>78650</v>
      </c>
      <c r="I476" s="1261">
        <f t="shared" si="26"/>
        <v>121000</v>
      </c>
      <c r="J476" s="1217">
        <f t="shared" si="24"/>
        <v>0.62479184362647777</v>
      </c>
      <c r="K476" s="1444"/>
      <c r="L476" s="1036"/>
      <c r="M476" s="1017"/>
      <c r="N476" s="1017"/>
      <c r="O476" s="1017"/>
      <c r="P476" s="1017"/>
      <c r="Q476" s="1017"/>
      <c r="R476" s="1017"/>
      <c r="S476" s="1017"/>
      <c r="T476" s="1351">
        <v>0.77266782633899322</v>
      </c>
      <c r="U476" s="1017"/>
      <c r="V476" s="1017"/>
      <c r="W476" s="1017"/>
      <c r="X476" s="1017"/>
      <c r="Y476" s="1017"/>
      <c r="Z476" s="1017"/>
      <c r="AA476" s="1017"/>
      <c r="AB476" s="1017"/>
      <c r="AC476" s="1017"/>
      <c r="AD476" s="1017"/>
      <c r="AE476" s="1017"/>
      <c r="AF476" s="1017"/>
    </row>
    <row r="477" spans="1:32" ht="16.5">
      <c r="A477" s="1022"/>
      <c r="B477" s="1740"/>
      <c r="C477" s="1255">
        <v>43581</v>
      </c>
      <c r="D477" s="1256">
        <v>44309</v>
      </c>
      <c r="E477" s="1256"/>
      <c r="F477" s="1287">
        <v>499498</v>
      </c>
      <c r="G477" s="1165">
        <v>328147</v>
      </c>
      <c r="H477" s="1288">
        <f t="shared" si="25"/>
        <v>106647.77500000001</v>
      </c>
      <c r="I477" s="1261">
        <f t="shared" si="26"/>
        <v>164073.5</v>
      </c>
      <c r="J477" s="1217">
        <f t="shared" si="24"/>
        <v>0.65695358139572135</v>
      </c>
      <c r="K477" s="1444"/>
      <c r="L477" s="1036"/>
      <c r="M477" s="1017"/>
      <c r="N477" s="1017"/>
      <c r="O477" s="1017"/>
      <c r="P477" s="1017"/>
      <c r="Q477" s="1017"/>
      <c r="R477" s="1017"/>
      <c r="S477" s="1017"/>
      <c r="T477" s="1351">
        <v>0.77347540126259406</v>
      </c>
      <c r="U477" s="1017"/>
      <c r="V477" s="1017"/>
      <c r="W477" s="1017"/>
      <c r="X477" s="1017"/>
      <c r="Y477" s="1017"/>
      <c r="Z477" s="1017"/>
      <c r="AA477" s="1017"/>
      <c r="AB477" s="1017"/>
      <c r="AC477" s="1017"/>
      <c r="AD477" s="1017"/>
      <c r="AE477" s="1017"/>
      <c r="AF477" s="1017"/>
    </row>
    <row r="478" spans="1:32" ht="16.5">
      <c r="A478" s="1022"/>
      <c r="B478" s="1741"/>
      <c r="C478" s="1265">
        <v>43582</v>
      </c>
      <c r="D478" s="1266">
        <v>44310</v>
      </c>
      <c r="E478" s="1266"/>
      <c r="F478" s="1289">
        <v>671242</v>
      </c>
      <c r="G478" s="1200">
        <v>37073</v>
      </c>
      <c r="H478" s="1290">
        <f t="shared" si="25"/>
        <v>12048.725</v>
      </c>
      <c r="I478" s="1268">
        <f t="shared" si="26"/>
        <v>18536.5</v>
      </c>
      <c r="J478" s="1291">
        <f t="shared" si="24"/>
        <v>5.523045339832728E-2</v>
      </c>
      <c r="K478" s="1445"/>
      <c r="L478" s="1207" t="s">
        <v>411</v>
      </c>
      <c r="M478" s="1017"/>
      <c r="N478" s="1017"/>
      <c r="O478" s="1017"/>
      <c r="P478" s="1017"/>
      <c r="Q478" s="1017"/>
      <c r="R478" s="1017"/>
      <c r="S478" s="1017"/>
      <c r="T478" s="1351">
        <v>0.77428297618619502</v>
      </c>
      <c r="U478" s="1017"/>
      <c r="V478" s="1017"/>
      <c r="W478" s="1017"/>
      <c r="X478" s="1017"/>
      <c r="Y478" s="1017"/>
      <c r="Z478" s="1017"/>
      <c r="AA478" s="1017"/>
      <c r="AB478" s="1017"/>
      <c r="AC478" s="1017"/>
      <c r="AD478" s="1017"/>
      <c r="AE478" s="1017"/>
      <c r="AF478" s="1017"/>
    </row>
    <row r="479" spans="1:32" ht="16.5">
      <c r="A479" s="1017"/>
      <c r="B479" s="1753" t="s">
        <v>351</v>
      </c>
      <c r="C479" s="1270">
        <v>43583</v>
      </c>
      <c r="D479" s="1271">
        <v>44311</v>
      </c>
      <c r="E479" s="1518"/>
      <c r="F479" s="1292">
        <v>374612.28775189002</v>
      </c>
      <c r="G479" s="1205">
        <v>22085</v>
      </c>
      <c r="H479" s="1293">
        <f t="shared" si="25"/>
        <v>7177.625</v>
      </c>
      <c r="I479" s="1274">
        <f t="shared" si="26"/>
        <v>11042.5</v>
      </c>
      <c r="J479" s="1291">
        <f t="shared" si="24"/>
        <v>5.8954286130163319E-2</v>
      </c>
      <c r="K479" s="1445"/>
      <c r="L479" s="1207" t="s">
        <v>411</v>
      </c>
      <c r="M479" s="1017"/>
      <c r="N479" s="1017"/>
      <c r="O479" s="1017"/>
      <c r="P479" s="1017"/>
      <c r="Q479" s="1017"/>
      <c r="R479" s="1017"/>
      <c r="S479" s="1017"/>
      <c r="T479" s="1351">
        <v>0.77509055110979586</v>
      </c>
      <c r="U479" s="1017"/>
      <c r="V479" s="1017"/>
      <c r="W479" s="1017"/>
      <c r="X479" s="1017"/>
      <c r="Y479" s="1017"/>
      <c r="Z479" s="1017"/>
      <c r="AA479" s="1017"/>
      <c r="AB479" s="1017"/>
      <c r="AC479" s="1017"/>
      <c r="AD479" s="1017"/>
      <c r="AE479" s="1017"/>
      <c r="AF479" s="1017"/>
    </row>
    <row r="480" spans="1:32" ht="16.5">
      <c r="A480" s="1017"/>
      <c r="B480" s="1754"/>
      <c r="C480" s="1255">
        <v>43584</v>
      </c>
      <c r="D480" s="1256">
        <v>44312</v>
      </c>
      <c r="E480" s="1518"/>
      <c r="F480" s="1075">
        <v>429835.77093638998</v>
      </c>
      <c r="G480" s="1200">
        <v>284461</v>
      </c>
      <c r="H480" s="1201">
        <f t="shared" si="25"/>
        <v>92449.824999999997</v>
      </c>
      <c r="I480" s="1242">
        <f t="shared" si="26"/>
        <v>142230.5</v>
      </c>
      <c r="J480" s="1217">
        <f t="shared" si="24"/>
        <v>0.66178996545658941</v>
      </c>
      <c r="K480" s="1444"/>
      <c r="L480" s="1294"/>
      <c r="M480" s="1017"/>
      <c r="N480" s="1017"/>
      <c r="O480" s="1017"/>
      <c r="P480" s="1017"/>
      <c r="Q480" s="1017"/>
      <c r="R480" s="1017"/>
      <c r="S480" s="1017"/>
      <c r="T480" s="1351">
        <v>0.77589812603339681</v>
      </c>
      <c r="U480" s="1017"/>
      <c r="V480" s="1017"/>
      <c r="W480" s="1017"/>
      <c r="X480" s="1017"/>
      <c r="Y480" s="1017"/>
      <c r="Z480" s="1017"/>
      <c r="AA480" s="1017"/>
      <c r="AB480" s="1017"/>
      <c r="AC480" s="1017"/>
      <c r="AD480" s="1017"/>
      <c r="AE480" s="1017"/>
      <c r="AF480" s="1017"/>
    </row>
    <row r="481" spans="1:32" ht="16.5">
      <c r="A481" s="1017"/>
      <c r="B481" s="1754"/>
      <c r="C481" s="1255">
        <v>43585</v>
      </c>
      <c r="D481" s="1256">
        <v>44313</v>
      </c>
      <c r="E481" s="1518"/>
      <c r="F481" s="1075">
        <v>604460.00223322003</v>
      </c>
      <c r="G481" s="1200">
        <v>279105</v>
      </c>
      <c r="H481" s="1201">
        <f t="shared" si="25"/>
        <v>90709.125</v>
      </c>
      <c r="I481" s="1242">
        <f t="shared" si="26"/>
        <v>139552.5</v>
      </c>
      <c r="J481" s="1217">
        <f t="shared" si="24"/>
        <v>0.4617427107977814</v>
      </c>
      <c r="K481" s="1444"/>
      <c r="L481" s="1295" t="s">
        <v>412</v>
      </c>
      <c r="M481" s="1017"/>
      <c r="N481" s="1017"/>
      <c r="O481" s="1017"/>
      <c r="P481" s="1017"/>
      <c r="Q481" s="1017"/>
      <c r="R481" s="1017"/>
      <c r="S481" s="1017"/>
      <c r="T481" s="1351">
        <v>0.77670570095699765</v>
      </c>
      <c r="U481" s="1017"/>
      <c r="V481" s="1017"/>
      <c r="W481" s="1017"/>
      <c r="X481" s="1017"/>
      <c r="Y481" s="1017"/>
      <c r="Z481" s="1017"/>
      <c r="AA481" s="1017"/>
      <c r="AB481" s="1017"/>
      <c r="AC481" s="1017"/>
      <c r="AD481" s="1017"/>
      <c r="AE481" s="1017"/>
      <c r="AF481" s="1017"/>
    </row>
    <row r="482" spans="1:32" ht="16.5">
      <c r="A482" s="1017"/>
      <c r="B482" s="1754"/>
      <c r="C482" s="1255">
        <v>43586</v>
      </c>
      <c r="D482" s="1256">
        <v>44314</v>
      </c>
      <c r="E482" s="1518"/>
      <c r="F482" s="1075">
        <v>483755.30151238001</v>
      </c>
      <c r="G482" s="1200">
        <v>288000</v>
      </c>
      <c r="H482" s="1201">
        <f t="shared" si="25"/>
        <v>93600</v>
      </c>
      <c r="I482" s="1242">
        <f t="shared" si="26"/>
        <v>144000</v>
      </c>
      <c r="J482" s="1217">
        <f t="shared" si="24"/>
        <v>0.59534231273459159</v>
      </c>
      <c r="K482" s="1444"/>
      <c r="L482" s="1294"/>
      <c r="M482" s="1017"/>
      <c r="N482" s="1017"/>
      <c r="O482" s="1017"/>
      <c r="P482" s="1017"/>
      <c r="Q482" s="1017"/>
      <c r="R482" s="1017"/>
      <c r="S482" s="1017"/>
      <c r="T482" s="1351">
        <v>0.7775132758805986</v>
      </c>
      <c r="U482" s="1017"/>
      <c r="V482" s="1017"/>
      <c r="W482" s="1017"/>
      <c r="X482" s="1017"/>
      <c r="Y482" s="1017"/>
      <c r="Z482" s="1017"/>
      <c r="AA482" s="1017"/>
      <c r="AB482" s="1017"/>
      <c r="AC482" s="1017"/>
      <c r="AD482" s="1017"/>
      <c r="AE482" s="1017"/>
      <c r="AF482" s="1017"/>
    </row>
    <row r="483" spans="1:32" ht="16.5">
      <c r="A483" s="1017"/>
      <c r="B483" s="1754"/>
      <c r="C483" s="1255">
        <v>43587</v>
      </c>
      <c r="D483" s="1256">
        <v>44315</v>
      </c>
      <c r="E483" s="1518"/>
      <c r="F483" s="1075">
        <v>392935.44112251</v>
      </c>
      <c r="G483" s="1200">
        <v>443828.92</v>
      </c>
      <c r="H483" s="1201">
        <f t="shared" si="25"/>
        <v>144244.399</v>
      </c>
      <c r="I483" s="1242">
        <f t="shared" si="26"/>
        <v>221914.46</v>
      </c>
      <c r="J483" s="1217">
        <f t="shared" si="24"/>
        <v>1.1295212229573925</v>
      </c>
      <c r="K483" s="1444"/>
      <c r="L483" s="1294"/>
      <c r="M483" s="1017"/>
      <c r="N483" s="1017"/>
      <c r="O483" s="1017"/>
      <c r="P483" s="1017"/>
      <c r="Q483" s="1017"/>
      <c r="R483" s="1017"/>
      <c r="S483" s="1017"/>
      <c r="T483" s="1351">
        <v>0.77832085080419944</v>
      </c>
      <c r="U483" s="1017"/>
      <c r="V483" s="1017"/>
      <c r="W483" s="1017"/>
      <c r="X483" s="1017"/>
      <c r="Y483" s="1017"/>
      <c r="Z483" s="1017"/>
      <c r="AA483" s="1017"/>
      <c r="AB483" s="1017"/>
      <c r="AC483" s="1017"/>
      <c r="AD483" s="1017"/>
      <c r="AE483" s="1017"/>
      <c r="AF483" s="1017"/>
    </row>
    <row r="484" spans="1:32" ht="16.5">
      <c r="A484" s="1017"/>
      <c r="B484" s="1754"/>
      <c r="C484" s="1255">
        <v>43588</v>
      </c>
      <c r="D484" s="1256">
        <v>44316</v>
      </c>
      <c r="E484" s="1518"/>
      <c r="F484" s="1075">
        <v>471855.82457371999</v>
      </c>
      <c r="G484" s="1174">
        <v>843358.79</v>
      </c>
      <c r="H484" s="1201">
        <f t="shared" si="25"/>
        <v>274091.60675000004</v>
      </c>
      <c r="I484" s="1242">
        <f t="shared" si="26"/>
        <v>421679.39500000002</v>
      </c>
      <c r="J484" s="1217">
        <f t="shared" si="24"/>
        <v>1.7873230467418733</v>
      </c>
      <c r="K484" s="1444"/>
      <c r="L484" s="1295" t="s">
        <v>413</v>
      </c>
      <c r="M484" s="1017"/>
      <c r="N484" s="1017"/>
      <c r="O484" s="1017"/>
      <c r="P484" s="1017"/>
      <c r="Q484" s="1017"/>
      <c r="R484" s="1017"/>
      <c r="S484" s="1017"/>
      <c r="T484" s="1351">
        <v>0.77912842572780039</v>
      </c>
      <c r="U484" s="1017"/>
      <c r="V484" s="1017"/>
      <c r="W484" s="1017"/>
      <c r="X484" s="1017"/>
      <c r="Y484" s="1017"/>
      <c r="Z484" s="1017"/>
      <c r="AA484" s="1017"/>
      <c r="AB484" s="1017"/>
      <c r="AC484" s="1017"/>
      <c r="AD484" s="1017"/>
      <c r="AE484" s="1017"/>
      <c r="AF484" s="1017"/>
    </row>
    <row r="485" spans="1:32" ht="16.5">
      <c r="A485" s="1017"/>
      <c r="B485" s="1755"/>
      <c r="C485" s="1258">
        <v>43589</v>
      </c>
      <c r="D485" s="1259">
        <v>44317</v>
      </c>
      <c r="E485" s="1518"/>
      <c r="F485" s="1077">
        <v>727506.23427737004</v>
      </c>
      <c r="G485" s="1174">
        <v>41940</v>
      </c>
      <c r="H485" s="1181">
        <f t="shared" si="25"/>
        <v>13630.5</v>
      </c>
      <c r="I485" s="1248">
        <f t="shared" si="26"/>
        <v>20970</v>
      </c>
      <c r="J485" s="1296">
        <f t="shared" si="24"/>
        <v>5.7648990515742987E-2</v>
      </c>
      <c r="K485" s="1445"/>
      <c r="L485" s="1207" t="s">
        <v>411</v>
      </c>
      <c r="M485" s="1017"/>
      <c r="N485" s="1017"/>
      <c r="O485" s="1017"/>
      <c r="P485" s="1017"/>
      <c r="Q485" s="1017"/>
      <c r="R485" s="1017"/>
      <c r="S485" s="1017"/>
      <c r="T485" s="1351">
        <v>0.77993600065140134</v>
      </c>
      <c r="U485" s="1017"/>
      <c r="V485" s="1017"/>
      <c r="W485" s="1017"/>
      <c r="X485" s="1017"/>
      <c r="Y485" s="1017"/>
      <c r="Z485" s="1017"/>
      <c r="AA485" s="1017"/>
      <c r="AB485" s="1017"/>
      <c r="AC485" s="1017"/>
      <c r="AD485" s="1017"/>
      <c r="AE485" s="1017"/>
      <c r="AF485" s="1017"/>
    </row>
    <row r="486" spans="1:32" ht="16.5">
      <c r="A486" s="1022"/>
      <c r="B486" s="1727" t="s">
        <v>352</v>
      </c>
      <c r="C486" s="1250">
        <v>43590</v>
      </c>
      <c r="D486" s="1251">
        <v>44318</v>
      </c>
      <c r="E486" s="1251"/>
      <c r="F486" s="1297">
        <v>394539.08368074999</v>
      </c>
      <c r="G486" s="1158">
        <v>31982.79</v>
      </c>
      <c r="H486" s="1026">
        <f t="shared" si="25"/>
        <v>10394.40675</v>
      </c>
      <c r="I486" s="1242">
        <f t="shared" si="26"/>
        <v>15991.395</v>
      </c>
      <c r="J486" s="1195">
        <f t="shared" si="24"/>
        <v>8.1063679931592234E-2</v>
      </c>
      <c r="K486" s="1445"/>
      <c r="L486" s="1207" t="s">
        <v>411</v>
      </c>
      <c r="M486" s="1744" t="s">
        <v>309</v>
      </c>
      <c r="N486" s="1745"/>
      <c r="O486" s="1746"/>
      <c r="P486" s="1378"/>
      <c r="Q486" s="1017"/>
      <c r="R486" s="1017"/>
      <c r="S486" s="1017"/>
      <c r="T486" s="1351">
        <v>0.78074357557500218</v>
      </c>
      <c r="U486" s="1017"/>
      <c r="V486" s="1017"/>
      <c r="W486" s="1017"/>
      <c r="X486" s="1017"/>
      <c r="Y486" s="1017"/>
      <c r="Z486" s="1017"/>
      <c r="AA486" s="1017"/>
      <c r="AB486" s="1017"/>
      <c r="AC486" s="1017"/>
      <c r="AD486" s="1017"/>
      <c r="AE486" s="1017"/>
      <c r="AF486" s="1017"/>
    </row>
    <row r="487" spans="1:32" ht="16.5">
      <c r="A487" s="1022"/>
      <c r="B487" s="1728"/>
      <c r="C487" s="1255">
        <v>43591</v>
      </c>
      <c r="D487" s="1256">
        <v>44319</v>
      </c>
      <c r="E487" s="1256"/>
      <c r="F487" s="1287">
        <v>415267.62744806003</v>
      </c>
      <c r="G487" s="1165">
        <v>369962</v>
      </c>
      <c r="H487" s="1178">
        <f t="shared" si="25"/>
        <v>120237.65000000001</v>
      </c>
      <c r="I487" s="1261">
        <f t="shared" si="26"/>
        <v>184981</v>
      </c>
      <c r="J487" s="1217">
        <f t="shared" si="24"/>
        <v>0.89090017026736168</v>
      </c>
      <c r="K487" s="1444"/>
      <c r="L487" s="1036"/>
      <c r="M487" s="1220" t="s">
        <v>2</v>
      </c>
      <c r="N487" s="1221" t="s">
        <v>1</v>
      </c>
      <c r="O487" s="1222" t="s">
        <v>400</v>
      </c>
      <c r="P487" s="142"/>
      <c r="Q487" s="1017"/>
      <c r="R487" s="1017"/>
      <c r="S487" s="1017"/>
      <c r="T487" s="1351">
        <v>0.78155115049860313</v>
      </c>
      <c r="U487" s="1017"/>
      <c r="V487" s="1017"/>
      <c r="W487" s="1017"/>
      <c r="X487" s="1017"/>
      <c r="Y487" s="1017"/>
      <c r="Z487" s="1017"/>
      <c r="AA487" s="1017"/>
      <c r="AB487" s="1017"/>
      <c r="AC487" s="1017"/>
      <c r="AD487" s="1017"/>
      <c r="AE487" s="1017"/>
      <c r="AF487" s="1017"/>
    </row>
    <row r="488" spans="1:32" ht="16.5">
      <c r="A488" s="1022"/>
      <c r="B488" s="1728"/>
      <c r="C488" s="1255">
        <v>43592</v>
      </c>
      <c r="D488" s="1256">
        <v>44320</v>
      </c>
      <c r="E488" s="1256"/>
      <c r="F488" s="1287">
        <v>429853.44856167998</v>
      </c>
      <c r="G488" s="1165">
        <v>317434</v>
      </c>
      <c r="H488" s="1178">
        <f t="shared" si="25"/>
        <v>103166.05</v>
      </c>
      <c r="I488" s="1261">
        <f t="shared" si="26"/>
        <v>158717</v>
      </c>
      <c r="J488" s="1217">
        <f t="shared" si="24"/>
        <v>0.73847028809971538</v>
      </c>
      <c r="K488" s="1444"/>
      <c r="L488" s="1036"/>
      <c r="M488" s="1167">
        <f>SUM(G507:G513)/SUM(F507:F513)</f>
        <v>0.85553238545557087</v>
      </c>
      <c r="N488" s="1223">
        <f>SUM(G486:G513)/SUM(F486:F513)</f>
        <v>0.80246333252640667</v>
      </c>
      <c r="O488" s="1224">
        <f>SUM(G507:G513)/SUM(F507:F513)</f>
        <v>0.85553238545557087</v>
      </c>
      <c r="P488" s="1379"/>
      <c r="Q488" s="1017"/>
      <c r="R488" s="1017"/>
      <c r="S488" s="1017"/>
      <c r="T488" s="1351">
        <v>0.78235872542220397</v>
      </c>
      <c r="U488" s="1017"/>
      <c r="V488" s="1017"/>
      <c r="W488" s="1017"/>
      <c r="X488" s="1017"/>
      <c r="Y488" s="1017"/>
      <c r="Z488" s="1017"/>
      <c r="AA488" s="1017"/>
      <c r="AB488" s="1017"/>
      <c r="AC488" s="1017"/>
      <c r="AD488" s="1017"/>
      <c r="AE488" s="1017"/>
      <c r="AF488" s="1017"/>
    </row>
    <row r="489" spans="1:32" ht="16.5">
      <c r="A489" s="1022"/>
      <c r="B489" s="1728"/>
      <c r="C489" s="1255">
        <v>43593</v>
      </c>
      <c r="D489" s="1256">
        <v>44321</v>
      </c>
      <c r="E489" s="1256"/>
      <c r="F489" s="1287">
        <v>525654.83243803005</v>
      </c>
      <c r="G489" s="1165">
        <v>337847</v>
      </c>
      <c r="H489" s="1178">
        <f t="shared" si="25"/>
        <v>109800.27500000001</v>
      </c>
      <c r="I489" s="1261">
        <f t="shared" si="26"/>
        <v>168923.5</v>
      </c>
      <c r="J489" s="1217">
        <f t="shared" si="24"/>
        <v>0.64271643510445442</v>
      </c>
      <c r="K489" s="1444"/>
      <c r="L489" s="1036"/>
      <c r="M489" s="1017"/>
      <c r="N489" s="1017"/>
      <c r="O489" s="1017"/>
      <c r="P489" s="1017"/>
      <c r="Q489" s="1017"/>
      <c r="R489" s="1017"/>
      <c r="S489" s="1017"/>
      <c r="T489" s="1351">
        <v>0.78316630034580492</v>
      </c>
      <c r="U489" s="1017"/>
      <c r="V489" s="1017"/>
      <c r="W489" s="1017"/>
      <c r="X489" s="1017"/>
      <c r="Y489" s="1017"/>
      <c r="Z489" s="1017"/>
      <c r="AA489" s="1017"/>
      <c r="AB489" s="1017"/>
      <c r="AC489" s="1017"/>
      <c r="AD489" s="1017"/>
      <c r="AE489" s="1017"/>
      <c r="AF489" s="1017"/>
    </row>
    <row r="490" spans="1:32" ht="16.5">
      <c r="A490" s="1022"/>
      <c r="B490" s="1728"/>
      <c r="C490" s="1255">
        <v>43594</v>
      </c>
      <c r="D490" s="1256">
        <v>44322</v>
      </c>
      <c r="E490" s="1256"/>
      <c r="F490" s="1287">
        <v>810050.78550169</v>
      </c>
      <c r="G490" s="1165">
        <v>378534</v>
      </c>
      <c r="H490" s="1178">
        <f t="shared" si="25"/>
        <v>123023.55</v>
      </c>
      <c r="I490" s="1261">
        <f t="shared" si="26"/>
        <v>189267</v>
      </c>
      <c r="J490" s="1217">
        <f t="shared" si="24"/>
        <v>0.46729662729178389</v>
      </c>
      <c r="K490" s="1444"/>
      <c r="L490" s="1036"/>
      <c r="M490" s="1017"/>
      <c r="N490" s="1017"/>
      <c r="O490" s="1017"/>
      <c r="P490" s="1017"/>
      <c r="Q490" s="1017"/>
      <c r="R490" s="1017"/>
      <c r="S490" s="1017"/>
      <c r="T490" s="1351">
        <v>0.78397387526940576</v>
      </c>
      <c r="U490" s="1017"/>
      <c r="V490" s="1017"/>
      <c r="W490" s="1017"/>
      <c r="X490" s="1017"/>
      <c r="Y490" s="1017"/>
      <c r="Z490" s="1017"/>
      <c r="AA490" s="1017"/>
      <c r="AB490" s="1017"/>
      <c r="AC490" s="1017"/>
      <c r="AD490" s="1017"/>
      <c r="AE490" s="1017"/>
      <c r="AF490" s="1017"/>
    </row>
    <row r="491" spans="1:32" ht="16.5">
      <c r="A491" s="1022"/>
      <c r="B491" s="1728"/>
      <c r="C491" s="1255">
        <v>43595</v>
      </c>
      <c r="D491" s="1256">
        <v>44323</v>
      </c>
      <c r="E491" s="1256"/>
      <c r="F491" s="1287">
        <v>970060.58108461997</v>
      </c>
      <c r="G491" s="1165">
        <v>446000</v>
      </c>
      <c r="H491" s="1178">
        <f t="shared" si="25"/>
        <v>144950</v>
      </c>
      <c r="I491" s="1261">
        <f t="shared" si="26"/>
        <v>223000</v>
      </c>
      <c r="J491" s="1217">
        <f t="shared" si="24"/>
        <v>0.45976509992945963</v>
      </c>
      <c r="K491" s="1444"/>
      <c r="L491" s="1295" t="s">
        <v>414</v>
      </c>
      <c r="M491" s="1017"/>
      <c r="N491" s="1017"/>
      <c r="O491" s="1017"/>
      <c r="P491" s="1017"/>
      <c r="Q491" s="1017"/>
      <c r="R491" s="1017"/>
      <c r="S491" s="1017"/>
      <c r="T491" s="1351">
        <v>0.78478145019300671</v>
      </c>
      <c r="U491" s="1017"/>
      <c r="V491" s="1017"/>
      <c r="W491" s="1017"/>
      <c r="X491" s="1017"/>
      <c r="Y491" s="1017"/>
      <c r="Z491" s="1017"/>
      <c r="AA491" s="1017"/>
      <c r="AB491" s="1017"/>
      <c r="AC491" s="1017"/>
      <c r="AD491" s="1017"/>
      <c r="AE491" s="1017"/>
      <c r="AF491" s="1017"/>
    </row>
    <row r="492" spans="1:32" ht="16.5">
      <c r="A492" s="1022"/>
      <c r="B492" s="1729"/>
      <c r="C492" s="1265">
        <v>43596</v>
      </c>
      <c r="D492" s="1266">
        <v>44324</v>
      </c>
      <c r="E492" s="1266"/>
      <c r="F492" s="1289">
        <v>759946.65594924998</v>
      </c>
      <c r="G492" s="1200">
        <v>772532</v>
      </c>
      <c r="H492" s="1201">
        <f t="shared" si="25"/>
        <v>251072.9</v>
      </c>
      <c r="I492" s="1268">
        <f t="shared" si="26"/>
        <v>386266</v>
      </c>
      <c r="J492" s="1298">
        <f t="shared" si="24"/>
        <v>1.0165608256214111</v>
      </c>
      <c r="K492" s="1444"/>
      <c r="L492" s="1036"/>
      <c r="M492" s="1017"/>
      <c r="N492" s="1017"/>
      <c r="O492" s="1017"/>
      <c r="P492" s="1017"/>
      <c r="Q492" s="1017"/>
      <c r="R492" s="1017"/>
      <c r="S492" s="1017"/>
      <c r="T492" s="1351">
        <v>0.78558902511660755</v>
      </c>
      <c r="U492" s="1017"/>
      <c r="V492" s="1017"/>
      <c r="W492" s="1017"/>
      <c r="X492" s="1017"/>
      <c r="Y492" s="1017"/>
      <c r="Z492" s="1017"/>
      <c r="AA492" s="1017"/>
      <c r="AB492" s="1017"/>
      <c r="AC492" s="1017"/>
      <c r="AD492" s="1017"/>
      <c r="AE492" s="1017"/>
      <c r="AF492" s="1017"/>
    </row>
    <row r="493" spans="1:32" ht="16.5">
      <c r="A493" s="1022"/>
      <c r="B493" s="1737" t="s">
        <v>353</v>
      </c>
      <c r="C493" s="1270">
        <v>43597</v>
      </c>
      <c r="D493" s="1271">
        <v>44325</v>
      </c>
      <c r="E493" s="1271"/>
      <c r="F493" s="1285">
        <v>373582.70083248999</v>
      </c>
      <c r="G493" s="1273">
        <v>535775</v>
      </c>
      <c r="H493" s="1206">
        <f t="shared" si="25"/>
        <v>174126.875</v>
      </c>
      <c r="I493" s="1274">
        <f t="shared" si="26"/>
        <v>267887.5</v>
      </c>
      <c r="J493" s="1217">
        <f t="shared" si="24"/>
        <v>1.4341536661255498</v>
      </c>
      <c r="K493" s="1444"/>
      <c r="L493" s="1036"/>
      <c r="M493" s="1017"/>
      <c r="N493" s="1017"/>
      <c r="O493" s="1017"/>
      <c r="P493" s="1017"/>
      <c r="Q493" s="1017"/>
      <c r="R493" s="1017"/>
      <c r="S493" s="1017"/>
      <c r="T493" s="1351">
        <v>0.7863966000402085</v>
      </c>
      <c r="U493" s="1017"/>
      <c r="V493" s="1017"/>
      <c r="W493" s="1017"/>
      <c r="X493" s="1017"/>
      <c r="Y493" s="1017"/>
      <c r="Z493" s="1017"/>
      <c r="AA493" s="1017"/>
      <c r="AB493" s="1017"/>
      <c r="AC493" s="1017"/>
      <c r="AD493" s="1017"/>
      <c r="AE493" s="1017"/>
      <c r="AF493" s="1017"/>
    </row>
    <row r="494" spans="1:32" ht="16.5">
      <c r="A494" s="1022"/>
      <c r="B494" s="1728"/>
      <c r="C494" s="1255">
        <v>43598</v>
      </c>
      <c r="D494" s="1256">
        <v>44326</v>
      </c>
      <c r="E494" s="1256"/>
      <c r="F494" s="1287">
        <v>357032.08431284002</v>
      </c>
      <c r="G494" s="1165">
        <v>560129</v>
      </c>
      <c r="H494" s="1178">
        <f t="shared" si="25"/>
        <v>182041.92500000002</v>
      </c>
      <c r="I494" s="1261">
        <f t="shared" si="26"/>
        <v>280064.5</v>
      </c>
      <c r="J494" s="1217">
        <f t="shared" si="24"/>
        <v>1.5688477999898789</v>
      </c>
      <c r="K494" s="1444"/>
      <c r="L494" s="1295" t="s">
        <v>415</v>
      </c>
      <c r="M494" s="1017"/>
      <c r="N494" s="1017"/>
      <c r="O494" s="1017"/>
      <c r="P494" s="1017"/>
      <c r="Q494" s="1017"/>
      <c r="R494" s="1017"/>
      <c r="S494" s="1017"/>
      <c r="T494" s="1351">
        <v>0.78720417496380934</v>
      </c>
      <c r="U494" s="1017"/>
      <c r="V494" s="1017"/>
      <c r="W494" s="1017"/>
      <c r="X494" s="1017"/>
      <c r="Y494" s="1017"/>
      <c r="Z494" s="1017"/>
      <c r="AA494" s="1017"/>
      <c r="AB494" s="1017"/>
      <c r="AC494" s="1017"/>
      <c r="AD494" s="1017"/>
      <c r="AE494" s="1017"/>
      <c r="AF494" s="1017"/>
    </row>
    <row r="495" spans="1:32" ht="16.5">
      <c r="A495" s="1022"/>
      <c r="B495" s="1728"/>
      <c r="C495" s="1255">
        <v>43599</v>
      </c>
      <c r="D495" s="1256">
        <v>44327</v>
      </c>
      <c r="E495" s="1256"/>
      <c r="F495" s="1287">
        <v>344673.60720397002</v>
      </c>
      <c r="G495" s="1165">
        <v>257566</v>
      </c>
      <c r="H495" s="1178">
        <f t="shared" si="25"/>
        <v>83708.95</v>
      </c>
      <c r="I495" s="1261">
        <f t="shared" si="26"/>
        <v>128783</v>
      </c>
      <c r="J495" s="1217">
        <f t="shared" si="24"/>
        <v>0.74727508755138972</v>
      </c>
      <c r="K495" s="1444"/>
      <c r="L495" s="1036"/>
      <c r="M495" s="1017"/>
      <c r="N495" s="1017"/>
      <c r="O495" s="1017"/>
      <c r="P495" s="1017"/>
      <c r="Q495" s="1017"/>
      <c r="R495" s="1017"/>
      <c r="S495" s="1017"/>
      <c r="T495" s="1351">
        <v>0.7880117498874103</v>
      </c>
      <c r="U495" s="1017"/>
      <c r="V495" s="1017"/>
      <c r="W495" s="1017"/>
      <c r="X495" s="1017"/>
      <c r="Y495" s="1017"/>
      <c r="Z495" s="1017"/>
      <c r="AA495" s="1017"/>
      <c r="AB495" s="1017"/>
      <c r="AC495" s="1017"/>
      <c r="AD495" s="1017"/>
      <c r="AE495" s="1017"/>
      <c r="AF495" s="1017"/>
    </row>
    <row r="496" spans="1:32" ht="16.5">
      <c r="A496" s="1022"/>
      <c r="B496" s="1728"/>
      <c r="C496" s="1255">
        <v>43600</v>
      </c>
      <c r="D496" s="1256">
        <v>44328</v>
      </c>
      <c r="E496" s="1256"/>
      <c r="F496" s="1287">
        <v>458855.42498955998</v>
      </c>
      <c r="G496" s="1165">
        <v>297047</v>
      </c>
      <c r="H496" s="1178">
        <f t="shared" si="25"/>
        <v>96540.275000000009</v>
      </c>
      <c r="I496" s="1261">
        <f t="shared" si="26"/>
        <v>148523.5</v>
      </c>
      <c r="J496" s="1217">
        <f t="shared" si="24"/>
        <v>0.64736512596916229</v>
      </c>
      <c r="K496" s="1444"/>
      <c r="L496" s="1036"/>
      <c r="M496" s="1017"/>
      <c r="N496" s="1017"/>
      <c r="O496" s="1017"/>
      <c r="P496" s="1017"/>
      <c r="Q496" s="1017"/>
      <c r="R496" s="1017"/>
      <c r="S496" s="1017"/>
      <c r="T496" s="1351">
        <v>0.78881932481101114</v>
      </c>
      <c r="U496" s="1017"/>
      <c r="V496" s="1017"/>
      <c r="W496" s="1017"/>
      <c r="X496" s="1017"/>
      <c r="Y496" s="1017"/>
      <c r="Z496" s="1017"/>
      <c r="AA496" s="1017"/>
      <c r="AB496" s="1017"/>
      <c r="AC496" s="1017"/>
      <c r="AD496" s="1017"/>
      <c r="AE496" s="1017"/>
      <c r="AF496" s="1017"/>
    </row>
    <row r="497" spans="1:32" ht="16.5">
      <c r="A497" s="1022"/>
      <c r="B497" s="1728"/>
      <c r="C497" s="1255">
        <v>43601</v>
      </c>
      <c r="D497" s="1256">
        <v>44329</v>
      </c>
      <c r="E497" s="1256"/>
      <c r="F497" s="1287">
        <v>386678.84659123002</v>
      </c>
      <c r="G497" s="1165">
        <v>322481</v>
      </c>
      <c r="H497" s="1178">
        <f>(G497*0.5)*0.65</f>
        <v>104806.325</v>
      </c>
      <c r="I497" s="1261">
        <f t="shared" si="26"/>
        <v>161240.5</v>
      </c>
      <c r="J497" s="1217">
        <f t="shared" si="24"/>
        <v>0.83397631611564338</v>
      </c>
      <c r="K497" s="1444"/>
      <c r="L497" s="1036"/>
      <c r="M497" s="1017"/>
      <c r="N497" s="1017"/>
      <c r="O497" s="1017"/>
      <c r="P497" s="1017"/>
      <c r="Q497" s="1017"/>
      <c r="R497" s="1017"/>
      <c r="S497" s="1017"/>
      <c r="T497" s="1351">
        <v>0.78962689973461209</v>
      </c>
      <c r="U497" s="1017"/>
      <c r="V497" s="1017"/>
      <c r="W497" s="1017"/>
      <c r="X497" s="1017"/>
      <c r="Y497" s="1017"/>
      <c r="Z497" s="1017"/>
      <c r="AA497" s="1017"/>
      <c r="AB497" s="1017"/>
      <c r="AC497" s="1017"/>
      <c r="AD497" s="1017"/>
      <c r="AE497" s="1017"/>
      <c r="AF497" s="1017"/>
    </row>
    <row r="498" spans="1:32" ht="16.5">
      <c r="A498" s="1022"/>
      <c r="B498" s="1728"/>
      <c r="C498" s="1255">
        <v>43602</v>
      </c>
      <c r="D498" s="1256">
        <v>44330</v>
      </c>
      <c r="E498" s="1256"/>
      <c r="F498" s="1287">
        <v>474372.27378674998</v>
      </c>
      <c r="G498" s="1165">
        <v>417743</v>
      </c>
      <c r="H498" s="1178">
        <f t="shared" si="25"/>
        <v>135766.47500000001</v>
      </c>
      <c r="I498" s="1261">
        <f t="shared" si="26"/>
        <v>208871.5</v>
      </c>
      <c r="J498" s="1217">
        <f t="shared" si="24"/>
        <v>0.88062271571081074</v>
      </c>
      <c r="K498" s="1444"/>
      <c r="L498" s="1036"/>
      <c r="M498" s="1017"/>
      <c r="N498" s="1017"/>
      <c r="O498" s="1017"/>
      <c r="P498" s="1017"/>
      <c r="Q498" s="1017"/>
      <c r="R498" s="1017"/>
      <c r="S498" s="1017"/>
      <c r="T498" s="1351">
        <v>0.79043447465821304</v>
      </c>
      <c r="U498" s="1017"/>
      <c r="V498" s="1017"/>
      <c r="W498" s="1017"/>
      <c r="X498" s="1017"/>
      <c r="Y498" s="1017"/>
      <c r="Z498" s="1017"/>
      <c r="AA498" s="1017"/>
      <c r="AB498" s="1017"/>
      <c r="AC498" s="1017"/>
      <c r="AD498" s="1017"/>
      <c r="AE498" s="1017"/>
      <c r="AF498" s="1017"/>
    </row>
    <row r="499" spans="1:32" ht="16.5">
      <c r="A499" s="1022"/>
      <c r="B499" s="1736"/>
      <c r="C499" s="1258">
        <v>43603</v>
      </c>
      <c r="D499" s="1259">
        <v>44331</v>
      </c>
      <c r="E499" s="1259"/>
      <c r="F499" s="1299">
        <v>673641.17987657001</v>
      </c>
      <c r="G499" s="1174">
        <v>583947</v>
      </c>
      <c r="H499" s="1181">
        <f t="shared" si="25"/>
        <v>189782.77499999999</v>
      </c>
      <c r="I499" s="1262">
        <f t="shared" si="26"/>
        <v>291973.5</v>
      </c>
      <c r="J499" s="1300">
        <f t="shared" si="24"/>
        <v>0.86685169708151677</v>
      </c>
      <c r="K499" s="1444"/>
      <c r="L499" s="1036"/>
      <c r="M499" s="1148"/>
      <c r="N499" s="1017"/>
      <c r="O499" s="1017"/>
      <c r="P499" s="1017"/>
      <c r="Q499" s="1017"/>
      <c r="R499" s="1017"/>
      <c r="S499" s="1017"/>
      <c r="T499" s="1351">
        <v>0.79124204958181388</v>
      </c>
      <c r="U499" s="1017"/>
      <c r="V499" s="1017"/>
      <c r="W499" s="1017"/>
      <c r="X499" s="1017"/>
      <c r="Y499" s="1017"/>
      <c r="Z499" s="1017"/>
      <c r="AA499" s="1017"/>
      <c r="AB499" s="1017"/>
      <c r="AC499" s="1017"/>
      <c r="AD499" s="1017"/>
      <c r="AE499" s="1017"/>
      <c r="AF499" s="1017"/>
    </row>
    <row r="500" spans="1:32" ht="16.5">
      <c r="A500" s="1022"/>
      <c r="B500" s="1727" t="s">
        <v>354</v>
      </c>
      <c r="C500" s="1250">
        <v>43604</v>
      </c>
      <c r="D500" s="1251">
        <v>44332</v>
      </c>
      <c r="E500" s="1251"/>
      <c r="F500" s="1157">
        <v>357326.67509104998</v>
      </c>
      <c r="G500" s="1158">
        <v>317663</v>
      </c>
      <c r="H500" s="1026">
        <f t="shared" si="25"/>
        <v>103240.47500000001</v>
      </c>
      <c r="I500" s="1242">
        <f t="shared" si="26"/>
        <v>158831.5</v>
      </c>
      <c r="J500" s="1211">
        <f t="shared" si="24"/>
        <v>0.888998840959905</v>
      </c>
      <c r="K500" s="1444"/>
      <c r="L500" s="1036"/>
      <c r="M500" s="566"/>
      <c r="N500" s="1017"/>
      <c r="O500" s="1017"/>
      <c r="P500" s="1017"/>
      <c r="Q500" s="1017"/>
      <c r="R500" s="1017"/>
      <c r="S500" s="1017"/>
      <c r="T500" s="1351">
        <v>0.79204962450541483</v>
      </c>
      <c r="U500" s="1017"/>
      <c r="V500" s="1017"/>
      <c r="W500" s="1017"/>
      <c r="X500" s="1017"/>
      <c r="Y500" s="1017"/>
      <c r="Z500" s="1017"/>
      <c r="AA500" s="1017"/>
      <c r="AB500" s="1017"/>
      <c r="AC500" s="1017"/>
      <c r="AD500" s="1017"/>
      <c r="AE500" s="1017"/>
      <c r="AF500" s="1017"/>
    </row>
    <row r="501" spans="1:32" ht="16.5">
      <c r="A501" s="1022"/>
      <c r="B501" s="1728"/>
      <c r="C501" s="1255">
        <v>43605</v>
      </c>
      <c r="D501" s="1256">
        <v>44333</v>
      </c>
      <c r="E501" s="1256"/>
      <c r="F501" s="1164">
        <v>294123.01926050999</v>
      </c>
      <c r="G501" s="1165">
        <v>277031</v>
      </c>
      <c r="H501" s="1178">
        <f t="shared" si="25"/>
        <v>90035.074999999997</v>
      </c>
      <c r="I501" s="1261">
        <f t="shared" si="26"/>
        <v>138515.5</v>
      </c>
      <c r="J501" s="1188">
        <f t="shared" si="24"/>
        <v>0.94188819595459383</v>
      </c>
      <c r="K501" s="1444"/>
      <c r="L501" s="1036"/>
      <c r="M501" s="566"/>
      <c r="R501" s="1017"/>
      <c r="S501" s="1017"/>
      <c r="T501" s="1351">
        <v>0.79285719942901567</v>
      </c>
      <c r="U501" s="1017"/>
      <c r="V501" s="1017"/>
      <c r="W501" s="1017"/>
      <c r="X501" s="1017"/>
      <c r="Y501" s="1017"/>
      <c r="Z501" s="1017"/>
      <c r="AA501" s="1017"/>
      <c r="AB501" s="1017"/>
      <c r="AC501" s="1017"/>
      <c r="AD501" s="1017"/>
      <c r="AE501" s="1017"/>
      <c r="AF501" s="1017"/>
    </row>
    <row r="502" spans="1:32" ht="16.5">
      <c r="A502" s="1022"/>
      <c r="B502" s="1728"/>
      <c r="C502" s="1255">
        <v>43606</v>
      </c>
      <c r="D502" s="1256">
        <v>44334</v>
      </c>
      <c r="E502" s="1256"/>
      <c r="F502" s="1164">
        <v>284160.90317881998</v>
      </c>
      <c r="G502" s="1165">
        <v>275064</v>
      </c>
      <c r="H502" s="1178">
        <f t="shared" si="25"/>
        <v>89395.8</v>
      </c>
      <c r="I502" s="1261">
        <f t="shared" si="26"/>
        <v>137532</v>
      </c>
      <c r="J502" s="1188">
        <f t="shared" si="24"/>
        <v>0.96798678819972861</v>
      </c>
      <c r="K502" s="1444"/>
      <c r="L502" s="1036"/>
      <c r="M502" s="566"/>
      <c r="N502" s="1017"/>
      <c r="O502" s="1017"/>
      <c r="P502" s="1017"/>
      <c r="Q502" s="1017"/>
      <c r="R502" s="1017"/>
      <c r="S502" s="1017"/>
      <c r="T502" s="1351">
        <v>0.79366477435261662</v>
      </c>
      <c r="U502" s="1017"/>
      <c r="V502" s="1017"/>
      <c r="W502" s="1017"/>
      <c r="X502" s="1017"/>
      <c r="Y502" s="1017"/>
      <c r="Z502" s="1017"/>
      <c r="AA502" s="1017"/>
      <c r="AB502" s="1017"/>
      <c r="AC502" s="1017"/>
      <c r="AD502" s="1017"/>
      <c r="AE502" s="1017"/>
      <c r="AF502" s="1017"/>
    </row>
    <row r="503" spans="1:32" ht="16.5">
      <c r="A503" s="1022"/>
      <c r="B503" s="1728"/>
      <c r="C503" s="1255">
        <v>43607</v>
      </c>
      <c r="D503" s="1256">
        <v>44335</v>
      </c>
      <c r="E503" s="1256"/>
      <c r="F503" s="1164">
        <v>305967.48274558998</v>
      </c>
      <c r="G503" s="1165">
        <v>274077</v>
      </c>
      <c r="H503" s="1178">
        <f t="shared" si="25"/>
        <v>89075.025000000009</v>
      </c>
      <c r="I503" s="1261">
        <f t="shared" si="26"/>
        <v>137038.5</v>
      </c>
      <c r="J503" s="1188">
        <f t="shared" si="24"/>
        <v>0.89577166024499832</v>
      </c>
      <c r="K503" s="1444"/>
      <c r="L503" s="1036"/>
      <c r="M503" s="566"/>
      <c r="N503" s="1017"/>
      <c r="O503" s="1017"/>
      <c r="P503" s="1017"/>
      <c r="Q503" s="1017"/>
      <c r="R503" s="1017"/>
      <c r="S503" s="1017"/>
      <c r="T503" s="1351">
        <v>0.79447234927621746</v>
      </c>
      <c r="U503" s="1017"/>
      <c r="V503" s="1017"/>
      <c r="W503" s="1017"/>
      <c r="X503" s="1017"/>
      <c r="Y503" s="1017"/>
      <c r="Z503" s="1017"/>
      <c r="AA503" s="1017"/>
      <c r="AB503" s="1017"/>
      <c r="AC503" s="1017"/>
      <c r="AD503" s="1017"/>
      <c r="AE503" s="1017"/>
      <c r="AF503" s="1017"/>
    </row>
    <row r="504" spans="1:32" ht="16.5">
      <c r="A504" s="1022"/>
      <c r="B504" s="1728"/>
      <c r="C504" s="1255">
        <v>43608</v>
      </c>
      <c r="D504" s="1256">
        <v>44336</v>
      </c>
      <c r="E504" s="1256"/>
      <c r="F504" s="1164">
        <v>362584.96966298</v>
      </c>
      <c r="G504" s="1165">
        <v>306911</v>
      </c>
      <c r="H504" s="1178">
        <f t="shared" si="25"/>
        <v>99746.074999999997</v>
      </c>
      <c r="I504" s="1261">
        <f t="shared" si="26"/>
        <v>153455.5</v>
      </c>
      <c r="J504" s="1188">
        <f t="shared" si="24"/>
        <v>0.84645262677399857</v>
      </c>
      <c r="K504" s="1444"/>
      <c r="L504" s="1036"/>
      <c r="M504" s="566"/>
      <c r="N504" s="1017"/>
      <c r="O504" s="1017"/>
      <c r="P504" s="1017"/>
      <c r="Q504" s="1017"/>
      <c r="R504" s="1017"/>
      <c r="S504" s="1017"/>
      <c r="T504" s="1351">
        <v>0.79527992419981841</v>
      </c>
      <c r="U504" s="1017"/>
      <c r="V504" s="1017"/>
      <c r="W504" s="1017"/>
      <c r="X504" s="1017"/>
      <c r="Y504" s="1017"/>
      <c r="Z504" s="1017"/>
      <c r="AA504" s="1017"/>
      <c r="AB504" s="1017"/>
      <c r="AC504" s="1017"/>
      <c r="AD504" s="1017"/>
      <c r="AE504" s="1017"/>
      <c r="AF504" s="1017"/>
    </row>
    <row r="505" spans="1:32" ht="16.5">
      <c r="A505" s="1022"/>
      <c r="B505" s="1728"/>
      <c r="C505" s="1255">
        <v>43609</v>
      </c>
      <c r="D505" s="1256">
        <v>44337</v>
      </c>
      <c r="E505" s="1256"/>
      <c r="F505" s="1164">
        <v>461019.34070695</v>
      </c>
      <c r="G505" s="1165">
        <v>370518</v>
      </c>
      <c r="H505" s="1178">
        <f t="shared" si="25"/>
        <v>120418.35</v>
      </c>
      <c r="I505" s="1261">
        <f t="shared" si="26"/>
        <v>185259</v>
      </c>
      <c r="J505" s="1188">
        <f t="shared" si="24"/>
        <v>0.80369296314516714</v>
      </c>
      <c r="K505" s="1444"/>
      <c r="L505" s="1036"/>
      <c r="M505" s="566"/>
      <c r="N505" s="1017"/>
      <c r="O505" s="1017"/>
      <c r="P505" s="1017"/>
      <c r="Q505" s="1017"/>
      <c r="R505" s="1018"/>
      <c r="S505" s="1018"/>
      <c r="T505" s="1351">
        <v>0.79608749912341925</v>
      </c>
      <c r="U505" s="1017"/>
      <c r="V505" s="1017"/>
      <c r="W505" s="1017"/>
      <c r="X505" s="1017"/>
      <c r="Y505" s="1017"/>
      <c r="Z505" s="1017"/>
      <c r="AA505" s="1017"/>
      <c r="AB505" s="1017"/>
      <c r="AC505" s="1017"/>
      <c r="AD505" s="1017"/>
      <c r="AE505" s="1017"/>
      <c r="AF505" s="1017"/>
    </row>
    <row r="506" spans="1:32" ht="16.5">
      <c r="A506" s="1022"/>
      <c r="B506" s="1729"/>
      <c r="C506" s="1265">
        <v>43610</v>
      </c>
      <c r="D506" s="1266">
        <v>44338</v>
      </c>
      <c r="E506" s="1266"/>
      <c r="F506" s="1199">
        <v>666463.86307026003</v>
      </c>
      <c r="G506" s="1200">
        <v>514248</v>
      </c>
      <c r="H506" s="1201">
        <f t="shared" si="25"/>
        <v>167130.6</v>
      </c>
      <c r="I506" s="1268">
        <f t="shared" si="26"/>
        <v>257124</v>
      </c>
      <c r="J506" s="1188">
        <f t="shared" si="24"/>
        <v>0.77160672692884913</v>
      </c>
      <c r="K506" s="1444"/>
      <c r="L506" s="1036"/>
      <c r="M506" s="566"/>
      <c r="N506" s="1017"/>
      <c r="O506" s="1017"/>
      <c r="P506" s="1017"/>
      <c r="Q506" s="1022"/>
      <c r="R506" s="1382" t="s">
        <v>416</v>
      </c>
      <c r="S506" s="1383" t="s">
        <v>417</v>
      </c>
      <c r="T506" s="1313">
        <v>0.7968950740470202</v>
      </c>
      <c r="U506" s="1017"/>
      <c r="V506" s="1017"/>
      <c r="W506" s="1017"/>
      <c r="X506" s="1017"/>
      <c r="Y506" s="1017"/>
      <c r="Z506" s="1017"/>
      <c r="AA506" s="1017"/>
      <c r="AB506" s="1017"/>
      <c r="AC506" s="1017"/>
      <c r="AD506" s="1017"/>
      <c r="AE506" s="1017"/>
      <c r="AF506" s="1017"/>
    </row>
    <row r="507" spans="1:32" ht="16.5">
      <c r="A507" s="1022"/>
      <c r="B507" s="1737" t="s">
        <v>355</v>
      </c>
      <c r="C507" s="1270">
        <v>43611</v>
      </c>
      <c r="D507" s="1271">
        <v>44339</v>
      </c>
      <c r="E507" s="1271"/>
      <c r="F507" s="1204">
        <v>351894.40600453003</v>
      </c>
      <c r="G507" s="1273">
        <v>283044</v>
      </c>
      <c r="H507" s="1206">
        <f t="shared" si="25"/>
        <v>91989.3</v>
      </c>
      <c r="I507" s="1274">
        <f t="shared" si="26"/>
        <v>141522</v>
      </c>
      <c r="J507" s="1188">
        <f t="shared" si="24"/>
        <v>0.80434356207514224</v>
      </c>
      <c r="K507" s="1444"/>
      <c r="L507" s="1036"/>
      <c r="M507" s="1017"/>
      <c r="N507" s="1017"/>
      <c r="O507" s="1017"/>
      <c r="P507" s="1022"/>
      <c r="Q507" s="1022"/>
      <c r="R507" s="1384" cm="1">
        <f t="array" ref="R507:R601">TREND(J507:J601)</f>
        <v>0.84035307098171552</v>
      </c>
      <c r="S507" s="1385"/>
      <c r="T507" s="1313">
        <v>0.79770264897062104</v>
      </c>
      <c r="U507" s="1017"/>
      <c r="V507" s="1017"/>
      <c r="W507" s="1017"/>
      <c r="X507" s="1017"/>
      <c r="Y507" s="1017"/>
      <c r="Z507" s="1017"/>
      <c r="AA507" s="1017"/>
      <c r="AB507" s="1017"/>
      <c r="AC507" s="1017"/>
      <c r="AD507" s="1017"/>
      <c r="AE507" s="1017"/>
      <c r="AF507" s="1017"/>
    </row>
    <row r="508" spans="1:32" s="1309" customFormat="1" ht="16.5">
      <c r="A508" s="1301"/>
      <c r="B508" s="1728"/>
      <c r="C508" s="1255">
        <v>43612</v>
      </c>
      <c r="D508" s="1302">
        <v>44340</v>
      </c>
      <c r="E508" s="1302"/>
      <c r="F508" s="1164">
        <v>285170.13009619998</v>
      </c>
      <c r="G508" s="1303">
        <v>253559</v>
      </c>
      <c r="H508" s="1304">
        <f t="shared" si="25"/>
        <v>82406.675000000003</v>
      </c>
      <c r="I508" s="1305">
        <f t="shared" si="26"/>
        <v>126779.5</v>
      </c>
      <c r="J508" s="1306">
        <f t="shared" si="24"/>
        <v>0.88914992574595308</v>
      </c>
      <c r="K508" s="1447"/>
      <c r="L508" s="1307" t="s">
        <v>418</v>
      </c>
      <c r="M508" s="1308"/>
      <c r="N508" s="1308"/>
      <c r="O508" s="1308"/>
      <c r="P508" s="1301"/>
      <c r="Q508" s="1301"/>
      <c r="R508" s="1384">
        <v>0.84041165375222404</v>
      </c>
      <c r="S508" s="1386">
        <f>R508-R507</f>
        <v>5.8582770508519566E-5</v>
      </c>
      <c r="T508" s="1357">
        <v>0.79851022389422199</v>
      </c>
      <c r="U508" s="1308"/>
      <c r="V508" s="1308"/>
      <c r="W508" s="1308"/>
      <c r="X508" s="1308"/>
      <c r="Y508" s="1308"/>
      <c r="Z508" s="1308"/>
      <c r="AA508" s="1308"/>
      <c r="AB508" s="1308"/>
      <c r="AC508" s="1308"/>
      <c r="AD508" s="1308"/>
      <c r="AE508" s="1308"/>
      <c r="AF508" s="1308"/>
    </row>
    <row r="509" spans="1:32" ht="16.5">
      <c r="A509" s="1022"/>
      <c r="B509" s="1728"/>
      <c r="C509" s="1255">
        <v>43613</v>
      </c>
      <c r="D509" s="1256">
        <v>44341</v>
      </c>
      <c r="E509" s="1256"/>
      <c r="F509" s="1164">
        <v>283858.32748585002</v>
      </c>
      <c r="G509" s="1165">
        <v>246757</v>
      </c>
      <c r="H509" s="1178">
        <f t="shared" si="25"/>
        <v>80196.025000000009</v>
      </c>
      <c r="I509" s="1261">
        <f t="shared" si="26"/>
        <v>123378.5</v>
      </c>
      <c r="J509" s="1306">
        <f>G509/F509</f>
        <v>0.86929632181497485</v>
      </c>
      <c r="K509" s="1447"/>
      <c r="L509" s="1036"/>
      <c r="M509" s="1017"/>
      <c r="N509" s="1017"/>
      <c r="O509" s="1017"/>
      <c r="P509" s="1022"/>
      <c r="Q509" s="1022"/>
      <c r="R509" s="1387">
        <v>0.84047023652273245</v>
      </c>
      <c r="S509" s="1386">
        <f>R509-R508</f>
        <v>5.8582770508408544E-5</v>
      </c>
      <c r="T509" s="1313">
        <v>0.79931779881782283</v>
      </c>
      <c r="U509" s="1017"/>
      <c r="V509" s="1017"/>
      <c r="W509" s="1017"/>
      <c r="X509" s="1017"/>
      <c r="Y509" s="1017"/>
      <c r="Z509" s="1017"/>
      <c r="AA509" s="1017"/>
      <c r="AB509" s="1017"/>
      <c r="AC509" s="1017"/>
      <c r="AD509" s="1017"/>
      <c r="AE509" s="1017"/>
      <c r="AF509" s="1017"/>
    </row>
    <row r="510" spans="1:32" ht="16.5">
      <c r="A510" s="1022"/>
      <c r="B510" s="1728"/>
      <c r="C510" s="1255">
        <v>43614</v>
      </c>
      <c r="D510" s="1256">
        <v>44342</v>
      </c>
      <c r="E510" s="1256"/>
      <c r="F510" s="1164">
        <v>303291.59619602002</v>
      </c>
      <c r="G510" s="1165">
        <v>263414</v>
      </c>
      <c r="H510" s="1178">
        <f t="shared" si="25"/>
        <v>85609.55</v>
      </c>
      <c r="I510" s="1261">
        <f t="shared" si="26"/>
        <v>131707</v>
      </c>
      <c r="J510" s="1306">
        <f>G510/F510</f>
        <v>0.86851730580016873</v>
      </c>
      <c r="K510" s="1447"/>
      <c r="L510" s="1036"/>
      <c r="M510" s="1017"/>
      <c r="N510" s="1017"/>
      <c r="O510" s="1017"/>
      <c r="P510" s="1022"/>
      <c r="Q510" s="1022"/>
      <c r="R510" s="1387">
        <v>0.84052881929324097</v>
      </c>
      <c r="S510" s="1386">
        <f t="shared" ref="S510:S552" si="27">R510-R509</f>
        <v>5.8582770508519566E-5</v>
      </c>
      <c r="T510" s="1358">
        <v>0.80012537374142378</v>
      </c>
      <c r="U510" s="1017"/>
      <c r="V510" s="1017"/>
      <c r="W510" s="1017"/>
      <c r="X510" s="1017"/>
      <c r="Y510" s="1017"/>
      <c r="Z510" s="1017"/>
      <c r="AA510" s="1017"/>
      <c r="AB510" s="1017"/>
      <c r="AC510" s="1017"/>
      <c r="AD510" s="1017"/>
      <c r="AE510" s="1017"/>
      <c r="AF510" s="1017"/>
    </row>
    <row r="511" spans="1:32" ht="16.5">
      <c r="A511" s="1022"/>
      <c r="B511" s="1728"/>
      <c r="C511" s="1255">
        <v>43615</v>
      </c>
      <c r="D511" s="1256">
        <v>44343</v>
      </c>
      <c r="E511" s="1256"/>
      <c r="F511" s="1164">
        <v>334783.26167450001</v>
      </c>
      <c r="G511" s="1165">
        <v>316558</v>
      </c>
      <c r="H511" s="1178">
        <f t="shared" si="25"/>
        <v>102881.35</v>
      </c>
      <c r="I511" s="1261">
        <f t="shared" si="26"/>
        <v>158279</v>
      </c>
      <c r="J511" s="1306">
        <f>G511/F511</f>
        <v>0.94556101286742378</v>
      </c>
      <c r="K511" s="1447"/>
      <c r="L511" s="1036"/>
      <c r="M511" s="1017"/>
      <c r="N511" s="1017"/>
      <c r="O511" s="1017"/>
      <c r="P511" s="1022"/>
      <c r="Q511" s="1022"/>
      <c r="R511" s="1387">
        <v>0.84058740206374949</v>
      </c>
      <c r="S511" s="1386">
        <f t="shared" si="27"/>
        <v>5.8582770508519566E-5</v>
      </c>
      <c r="T511" s="1313">
        <v>0.80093294866502474</v>
      </c>
      <c r="U511" s="1017"/>
      <c r="V511" s="1017"/>
      <c r="W511" s="1017"/>
      <c r="X511" s="1017"/>
      <c r="Y511" s="1017"/>
      <c r="Z511" s="1017"/>
      <c r="AA511" s="1017"/>
      <c r="AB511" s="1017"/>
      <c r="AC511" s="1017"/>
      <c r="AD511" s="1017"/>
      <c r="AE511" s="1017"/>
      <c r="AF511" s="1017"/>
    </row>
    <row r="512" spans="1:32" ht="16.5">
      <c r="A512" s="1022"/>
      <c r="B512" s="1728"/>
      <c r="C512" s="1255">
        <v>43616</v>
      </c>
      <c r="D512" s="1256">
        <v>44344</v>
      </c>
      <c r="E512" s="1256"/>
      <c r="F512" s="1164">
        <v>475887.56479104998</v>
      </c>
      <c r="G512" s="1165">
        <v>390770</v>
      </c>
      <c r="H512" s="1178">
        <f t="shared" si="25"/>
        <v>127000.25</v>
      </c>
      <c r="I512" s="1261">
        <f t="shared" si="26"/>
        <v>195385</v>
      </c>
      <c r="J512" s="1306">
        <f>G512/F512</f>
        <v>0.82113933817870843</v>
      </c>
      <c r="K512" s="1447"/>
      <c r="L512" s="1036"/>
      <c r="M512" s="1308"/>
      <c r="N512" s="1017"/>
      <c r="O512" s="1017"/>
      <c r="P512" s="1022"/>
      <c r="Q512" s="1022"/>
      <c r="R512" s="1387">
        <v>0.84064598483425801</v>
      </c>
      <c r="S512" s="1386">
        <f t="shared" si="27"/>
        <v>5.8582770508519566E-5</v>
      </c>
      <c r="T512" s="1313">
        <v>0.80174052358862558</v>
      </c>
      <c r="U512" s="1017"/>
      <c r="V512" s="1017"/>
      <c r="W512" s="1017"/>
      <c r="X512" s="1017"/>
      <c r="Y512" s="1017"/>
      <c r="Z512" s="1017"/>
      <c r="AA512" s="1017"/>
      <c r="AB512" s="1017"/>
      <c r="AC512" s="1017"/>
      <c r="AD512" s="1017"/>
      <c r="AE512" s="1017"/>
      <c r="AF512" s="1017"/>
    </row>
    <row r="513" spans="1:32" ht="16.5">
      <c r="A513" s="1022"/>
      <c r="B513" s="1736"/>
      <c r="C513" s="1258">
        <v>43617</v>
      </c>
      <c r="D513" s="1259">
        <v>44345</v>
      </c>
      <c r="E513" s="1259"/>
      <c r="F513" s="1173">
        <v>699035.76661123999</v>
      </c>
      <c r="G513" s="1174">
        <v>584856</v>
      </c>
      <c r="H513" s="1181">
        <f t="shared" si="25"/>
        <v>190078.2</v>
      </c>
      <c r="I513" s="1262">
        <f t="shared" si="26"/>
        <v>292428</v>
      </c>
      <c r="J513" s="1311">
        <f>G513/F513</f>
        <v>0.83666105217368703</v>
      </c>
      <c r="K513" s="1447"/>
      <c r="L513" s="1036"/>
      <c r="M513" s="1017"/>
      <c r="N513" s="1017"/>
      <c r="O513" s="1017"/>
      <c r="P513" s="1022"/>
      <c r="Q513" s="1022"/>
      <c r="R513" s="1387">
        <v>0.84070456760476642</v>
      </c>
      <c r="S513" s="1386">
        <f t="shared" si="27"/>
        <v>5.8582770508408544E-5</v>
      </c>
      <c r="T513" s="1313">
        <v>0.80254809851222642</v>
      </c>
      <c r="U513" s="1017"/>
      <c r="V513" s="1017"/>
      <c r="W513" s="1017"/>
      <c r="X513" s="1017"/>
      <c r="Y513" s="1017"/>
      <c r="Z513" s="1017"/>
      <c r="AA513" s="1017"/>
      <c r="AB513" s="1017"/>
      <c r="AC513" s="1017"/>
      <c r="AD513" s="1017"/>
      <c r="AE513" s="1017"/>
      <c r="AF513" s="1017"/>
    </row>
    <row r="514" spans="1:32" ht="16.5">
      <c r="A514" s="1022"/>
      <c r="B514" s="1739" t="s">
        <v>356</v>
      </c>
      <c r="C514" s="1250">
        <v>43618</v>
      </c>
      <c r="D514" s="1251">
        <v>44346</v>
      </c>
      <c r="E514" s="1251"/>
      <c r="F514" s="1157">
        <v>370396.76445893</v>
      </c>
      <c r="G514" s="1158">
        <v>333417</v>
      </c>
      <c r="H514" s="1026">
        <f t="shared" si="25"/>
        <v>108360.52500000001</v>
      </c>
      <c r="I514" s="1242">
        <f t="shared" si="26"/>
        <v>166708.5</v>
      </c>
      <c r="J514" s="1312">
        <f>G514/F514</f>
        <v>0.90016175083778205</v>
      </c>
      <c r="K514" s="1447"/>
      <c r="L514" s="1036"/>
      <c r="M514" s="1744" t="s">
        <v>419</v>
      </c>
      <c r="N514" s="1745"/>
      <c r="O514" s="1746"/>
      <c r="P514" s="1378"/>
      <c r="Q514" s="1022"/>
      <c r="R514" s="1387">
        <v>0.84076315037527494</v>
      </c>
      <c r="S514" s="1386">
        <f t="shared" si="27"/>
        <v>5.8582770508519566E-5</v>
      </c>
      <c r="T514" s="1313">
        <v>0.80335567343582737</v>
      </c>
      <c r="U514" s="1017"/>
      <c r="V514" s="1017"/>
      <c r="W514" s="1017"/>
      <c r="X514" s="1017"/>
      <c r="Y514" s="1017"/>
      <c r="Z514" s="1017"/>
      <c r="AA514" s="1017"/>
      <c r="AB514" s="1017"/>
      <c r="AC514" s="1017"/>
      <c r="AD514" s="1017"/>
      <c r="AE514" s="1017"/>
      <c r="AF514" s="1017"/>
    </row>
    <row r="515" spans="1:32" ht="16.5">
      <c r="A515" s="1022"/>
      <c r="B515" s="1740"/>
      <c r="C515" s="1255">
        <v>43619</v>
      </c>
      <c r="D515" s="1256">
        <v>44347</v>
      </c>
      <c r="E515" s="1256"/>
      <c r="F515" s="1164">
        <v>325854.04343220999</v>
      </c>
      <c r="G515" s="1165">
        <v>297721</v>
      </c>
      <c r="H515" s="1178">
        <f t="shared" si="25"/>
        <v>96759.324999999997</v>
      </c>
      <c r="I515" s="1261">
        <f t="shared" si="26"/>
        <v>148860.5</v>
      </c>
      <c r="J515" s="1306">
        <f>G515/F515</f>
        <v>0.91366366629707718</v>
      </c>
      <c r="K515" s="1447"/>
      <c r="L515" s="1036"/>
      <c r="M515" s="1220" t="s">
        <v>2</v>
      </c>
      <c r="N515" s="1221" t="s">
        <v>1</v>
      </c>
      <c r="O515" s="1222" t="s">
        <v>420</v>
      </c>
      <c r="P515" s="142"/>
      <c r="Q515" s="1022"/>
      <c r="R515" s="1387">
        <v>0.84082173314578346</v>
      </c>
      <c r="S515" s="1386">
        <f t="shared" si="27"/>
        <v>5.8582770508519566E-5</v>
      </c>
      <c r="T515" s="1313">
        <v>0.80416324835942832</v>
      </c>
      <c r="U515" s="1017"/>
      <c r="V515" s="1017"/>
      <c r="W515" s="1017"/>
      <c r="X515" s="1017"/>
      <c r="Y515" s="1017"/>
      <c r="Z515" s="1017"/>
      <c r="AA515" s="1017"/>
      <c r="AB515" s="1017"/>
      <c r="AC515" s="1017"/>
      <c r="AD515" s="1017"/>
      <c r="AE515" s="1017"/>
      <c r="AF515" s="1017"/>
    </row>
    <row r="516" spans="1:32" ht="16.5">
      <c r="A516" s="1022"/>
      <c r="B516" s="1740"/>
      <c r="C516" s="1255">
        <v>43620</v>
      </c>
      <c r="D516" s="1256">
        <v>44348</v>
      </c>
      <c r="E516" s="1256"/>
      <c r="F516" s="1164">
        <v>313570.97673106001</v>
      </c>
      <c r="G516" s="1165">
        <v>309017</v>
      </c>
      <c r="H516" s="1178">
        <f t="shared" ref="H516:H579" si="28">(G516*0.5)*0.65</f>
        <v>100430.52500000001</v>
      </c>
      <c r="I516" s="1261">
        <f t="shared" si="26"/>
        <v>154508.5</v>
      </c>
      <c r="J516" s="1306">
        <f>G516/F516</f>
        <v>0.98547704644564149</v>
      </c>
      <c r="K516" s="1447"/>
      <c r="L516" s="1036"/>
      <c r="M516" s="1167">
        <f>SUM(G542:G548)/SUM(F542:F548)</f>
        <v>0.81835881331822091</v>
      </c>
      <c r="N516" s="1223">
        <f>SUM(G514:G548)/SUM(F514:F548)</f>
        <v>0.80655956842628451</v>
      </c>
      <c r="O516" s="1224">
        <f>SUM(G531:G548)/SUM(F531:F548)</f>
        <v>0.79740992379132491</v>
      </c>
      <c r="P516" s="1379"/>
      <c r="Q516" s="1022"/>
      <c r="R516" s="1387">
        <v>0.84088031591629198</v>
      </c>
      <c r="S516" s="1386">
        <f t="shared" si="27"/>
        <v>5.8582770508519566E-5</v>
      </c>
      <c r="T516" s="1313">
        <v>0.80497082328302916</v>
      </c>
      <c r="U516" s="1017"/>
      <c r="V516" s="1017"/>
      <c r="W516" s="1017"/>
      <c r="X516" s="1017"/>
      <c r="Y516" s="1017"/>
      <c r="Z516" s="1017"/>
      <c r="AA516" s="1017"/>
      <c r="AB516" s="1017"/>
      <c r="AC516" s="1017"/>
      <c r="AD516" s="1017"/>
      <c r="AE516" s="1017"/>
      <c r="AF516" s="1017"/>
    </row>
    <row r="517" spans="1:32" ht="16.5">
      <c r="A517" s="1022"/>
      <c r="B517" s="1740"/>
      <c r="C517" s="1255">
        <v>43621</v>
      </c>
      <c r="D517" s="1256">
        <v>44349</v>
      </c>
      <c r="E517" s="1256"/>
      <c r="F517" s="1164">
        <v>325944.04851782002</v>
      </c>
      <c r="G517" s="1165">
        <v>268092</v>
      </c>
      <c r="H517" s="1178">
        <f t="shared" si="28"/>
        <v>87129.900000000009</v>
      </c>
      <c r="I517" s="1261">
        <f t="shared" si="26"/>
        <v>134046</v>
      </c>
      <c r="J517" s="1306">
        <f>G517/F517</f>
        <v>0.82250926568258198</v>
      </c>
      <c r="K517" s="1447"/>
      <c r="L517" s="1313"/>
      <c r="M517" s="1017"/>
      <c r="N517" s="1017"/>
      <c r="O517" s="1017"/>
      <c r="P517" s="1022"/>
      <c r="Q517" s="1022"/>
      <c r="R517" s="1387">
        <v>0.84093889868680038</v>
      </c>
      <c r="S517" s="1386">
        <f t="shared" si="27"/>
        <v>5.8582770508408544E-5</v>
      </c>
      <c r="T517" s="1313">
        <v>0.80577839820663011</v>
      </c>
      <c r="U517" s="1017"/>
      <c r="V517" s="1017"/>
      <c r="W517" s="1017"/>
      <c r="X517" s="1017"/>
      <c r="Y517" s="1017"/>
      <c r="Z517" s="1017"/>
      <c r="AA517" s="1017"/>
      <c r="AB517" s="1017"/>
      <c r="AC517" s="1017"/>
      <c r="AD517" s="1017"/>
      <c r="AE517" s="1017"/>
      <c r="AF517" s="1017"/>
    </row>
    <row r="518" spans="1:32" ht="16.5">
      <c r="A518" s="1022"/>
      <c r="B518" s="1740"/>
      <c r="C518" s="1255">
        <v>43622</v>
      </c>
      <c r="D518" s="1256">
        <v>44350</v>
      </c>
      <c r="E518" s="1256"/>
      <c r="F518" s="1164">
        <v>347493.83981896</v>
      </c>
      <c r="G518" s="1165">
        <v>320005</v>
      </c>
      <c r="H518" s="1178">
        <f t="shared" si="28"/>
        <v>104001.625</v>
      </c>
      <c r="I518" s="1261">
        <f t="shared" si="26"/>
        <v>160002.5</v>
      </c>
      <c r="J518" s="1306">
        <f>G518/F518</f>
        <v>0.92089402265869991</v>
      </c>
      <c r="K518" s="1447"/>
      <c r="L518" s="1036"/>
      <c r="M518" s="1017"/>
      <c r="N518" s="1017"/>
      <c r="O518" s="1017"/>
      <c r="P518" s="1022"/>
      <c r="Q518" s="1022"/>
      <c r="R518" s="1387">
        <v>0.8409974814573089</v>
      </c>
      <c r="S518" s="1386">
        <f t="shared" si="27"/>
        <v>5.8582770508519566E-5</v>
      </c>
      <c r="T518" s="1358">
        <v>0.80658597313023095</v>
      </c>
      <c r="U518" s="1017"/>
      <c r="V518" s="1017"/>
      <c r="W518" s="1017"/>
      <c r="X518" s="1017"/>
      <c r="Y518" s="1017"/>
      <c r="Z518" s="1017"/>
      <c r="AA518" s="1017"/>
      <c r="AB518" s="1017"/>
      <c r="AC518" s="1017"/>
      <c r="AD518" s="1017"/>
      <c r="AE518" s="1017"/>
      <c r="AF518" s="1017"/>
    </row>
    <row r="519" spans="1:32" ht="16.5">
      <c r="A519" s="1022"/>
      <c r="B519" s="1740"/>
      <c r="C519" s="1255">
        <v>43623</v>
      </c>
      <c r="D519" s="1256">
        <v>44351</v>
      </c>
      <c r="E519" s="1256"/>
      <c r="F519" s="1164">
        <v>440580.62657614</v>
      </c>
      <c r="G519" s="1165">
        <v>390827</v>
      </c>
      <c r="H519" s="1178">
        <f t="shared" si="28"/>
        <v>127018.77500000001</v>
      </c>
      <c r="I519" s="1261">
        <f t="shared" si="26"/>
        <v>195413.5</v>
      </c>
      <c r="J519" s="1306">
        <f>G519/F519</f>
        <v>0.8870725956273029</v>
      </c>
      <c r="K519" s="1447"/>
      <c r="L519" s="1036"/>
      <c r="M519" s="1017"/>
      <c r="N519" s="1017"/>
      <c r="O519" s="1017"/>
      <c r="P519" s="1022"/>
      <c r="Q519" s="1022"/>
      <c r="R519" s="1387">
        <v>0.84105606422781742</v>
      </c>
      <c r="S519" s="1386">
        <f t="shared" si="27"/>
        <v>5.8582770508519566E-5</v>
      </c>
      <c r="T519" s="1313">
        <v>0.8073935480538319</v>
      </c>
      <c r="U519" s="1017"/>
      <c r="V519" s="1017"/>
      <c r="W519" s="1017"/>
      <c r="X519" s="1017"/>
      <c r="Y519" s="1017"/>
      <c r="Z519" s="1017"/>
      <c r="AA519" s="1017"/>
      <c r="AB519" s="1017"/>
      <c r="AC519" s="1017"/>
      <c r="AD519" s="1017"/>
      <c r="AE519" s="1017"/>
      <c r="AF519" s="1017"/>
    </row>
    <row r="520" spans="1:32" ht="16.5">
      <c r="A520" s="1022"/>
      <c r="B520" s="1743"/>
      <c r="C520" s="1258">
        <v>43624</v>
      </c>
      <c r="D520" s="1259">
        <v>44352</v>
      </c>
      <c r="E520" s="1259"/>
      <c r="F520" s="1173">
        <v>665446.79334015003</v>
      </c>
      <c r="G520" s="1174">
        <v>553164</v>
      </c>
      <c r="H520" s="1181">
        <f t="shared" si="28"/>
        <v>179778.30000000002</v>
      </c>
      <c r="I520" s="1262">
        <f t="shared" si="26"/>
        <v>276582</v>
      </c>
      <c r="J520" s="1311">
        <f>G520/F520</f>
        <v>0.83126706077197143</v>
      </c>
      <c r="K520" s="1447"/>
      <c r="L520" s="1310"/>
      <c r="M520" s="1017"/>
      <c r="N520" s="1017"/>
      <c r="O520" s="1017"/>
      <c r="P520" s="1022"/>
      <c r="Q520" s="1022"/>
      <c r="R520" s="1387">
        <v>0.84111464699832594</v>
      </c>
      <c r="S520" s="1386">
        <f t="shared" si="27"/>
        <v>5.8582770508519566E-5</v>
      </c>
      <c r="T520" s="1358">
        <v>0.80820112297743274</v>
      </c>
      <c r="U520" s="1017"/>
      <c r="V520" s="1017"/>
      <c r="W520" s="1017"/>
      <c r="X520" s="1017"/>
      <c r="Y520" s="1017"/>
      <c r="Z520" s="1017"/>
      <c r="AA520" s="1017"/>
      <c r="AB520" s="1017"/>
      <c r="AC520" s="1017"/>
      <c r="AD520" s="1017"/>
      <c r="AE520" s="1017"/>
      <c r="AF520" s="1017"/>
    </row>
    <row r="521" spans="1:32" ht="16.5">
      <c r="A521" s="1022"/>
      <c r="B521" s="1739" t="s">
        <v>358</v>
      </c>
      <c r="C521" s="1250">
        <v>43625</v>
      </c>
      <c r="D521" s="1251">
        <v>44353</v>
      </c>
      <c r="E521" s="1251"/>
      <c r="F521" s="1157">
        <v>370535.86652792001</v>
      </c>
      <c r="G521" s="1158">
        <v>280865</v>
      </c>
      <c r="H521" s="1026">
        <f t="shared" si="28"/>
        <v>91281.125</v>
      </c>
      <c r="I521" s="1242">
        <f t="shared" si="26"/>
        <v>140432.5</v>
      </c>
      <c r="J521" s="1312">
        <f>G521/F521</f>
        <v>0.7579967969951884</v>
      </c>
      <c r="K521" s="1447"/>
      <c r="L521" s="1310"/>
      <c r="M521" s="1314"/>
      <c r="N521" s="1017"/>
      <c r="O521" s="1017"/>
      <c r="P521" s="1017"/>
      <c r="Q521" s="1022"/>
      <c r="R521" s="1387">
        <v>0.84117322976883446</v>
      </c>
      <c r="S521" s="1386">
        <f t="shared" si="27"/>
        <v>5.8582770508519566E-5</v>
      </c>
      <c r="T521" s="1313">
        <v>0.80900869790103369</v>
      </c>
      <c r="U521" s="1017"/>
      <c r="V521" s="1017"/>
      <c r="W521" s="1017"/>
      <c r="X521" s="1017"/>
      <c r="Y521" s="1017"/>
      <c r="Z521" s="1017"/>
      <c r="AA521" s="1017"/>
      <c r="AB521" s="1017"/>
      <c r="AC521" s="1017"/>
      <c r="AD521" s="1017"/>
      <c r="AE521" s="1017"/>
      <c r="AF521" s="1017"/>
    </row>
    <row r="522" spans="1:32" ht="16.5">
      <c r="A522" s="1022"/>
      <c r="B522" s="1740"/>
      <c r="C522" s="1255">
        <v>43626</v>
      </c>
      <c r="D522" s="1256">
        <v>44354</v>
      </c>
      <c r="E522" s="1256"/>
      <c r="F522" s="1164">
        <v>354778.26954240003</v>
      </c>
      <c r="G522" s="1165">
        <v>278968.52</v>
      </c>
      <c r="H522" s="1178">
        <f t="shared" si="28"/>
        <v>90664.769000000015</v>
      </c>
      <c r="I522" s="1261">
        <f t="shared" si="26"/>
        <v>139484.26</v>
      </c>
      <c r="J522" s="1306">
        <f>G522/F522</f>
        <v>0.78631794545877653</v>
      </c>
      <c r="K522" s="1447"/>
      <c r="L522" s="1036"/>
      <c r="M522" s="1017"/>
      <c r="N522" s="1017"/>
      <c r="O522" s="1017"/>
      <c r="P522" s="1017"/>
      <c r="Q522" s="1022"/>
      <c r="R522" s="1387">
        <v>0.84123181253934287</v>
      </c>
      <c r="S522" s="1386">
        <f t="shared" si="27"/>
        <v>5.8582770508408544E-5</v>
      </c>
      <c r="T522" s="1313">
        <v>0.80981627282463453</v>
      </c>
      <c r="U522" s="1017"/>
      <c r="V522" s="1017"/>
      <c r="W522" s="1017"/>
      <c r="X522" s="1017"/>
      <c r="Y522" s="1017"/>
      <c r="Z522" s="1017"/>
      <c r="AA522" s="1017"/>
      <c r="AB522" s="1017"/>
      <c r="AC522" s="1017"/>
      <c r="AD522" s="1017"/>
      <c r="AE522" s="1017"/>
      <c r="AF522" s="1017"/>
    </row>
    <row r="523" spans="1:32" ht="16.5">
      <c r="A523" s="1022"/>
      <c r="B523" s="1740"/>
      <c r="C523" s="1255">
        <v>43627</v>
      </c>
      <c r="D523" s="1256">
        <v>44355</v>
      </c>
      <c r="E523" s="1256"/>
      <c r="F523" s="1164">
        <v>319896.00482701999</v>
      </c>
      <c r="G523" s="1165">
        <v>292140</v>
      </c>
      <c r="H523" s="1178">
        <f t="shared" si="28"/>
        <v>94945.5</v>
      </c>
      <c r="I523" s="1261">
        <f t="shared" si="26"/>
        <v>146070</v>
      </c>
      <c r="J523" s="1306">
        <f>G523/F523</f>
        <v>0.91323428736776902</v>
      </c>
      <c r="K523" s="1447"/>
      <c r="L523" s="1036"/>
      <c r="M523" s="1148"/>
      <c r="N523" s="1017"/>
      <c r="O523" s="1017"/>
      <c r="P523" s="1017"/>
      <c r="Q523" s="1022"/>
      <c r="R523" s="1387">
        <v>0.84129039530985139</v>
      </c>
      <c r="S523" s="1386">
        <f t="shared" si="27"/>
        <v>5.8582770508519566E-5</v>
      </c>
      <c r="T523" s="1313">
        <v>0.81062384774823548</v>
      </c>
      <c r="U523" s="1017"/>
      <c r="V523" s="1017"/>
      <c r="W523" s="1017"/>
      <c r="X523" s="1017"/>
      <c r="Y523" s="1017"/>
      <c r="Z523" s="1017"/>
      <c r="AA523" s="1017"/>
      <c r="AB523" s="1017"/>
      <c r="AC523" s="1017"/>
      <c r="AD523" s="1017"/>
      <c r="AE523" s="1017"/>
      <c r="AF523" s="1017"/>
    </row>
    <row r="524" spans="1:32" ht="16.5">
      <c r="A524" s="1022"/>
      <c r="B524" s="1740"/>
      <c r="C524" s="1255">
        <v>43628</v>
      </c>
      <c r="D524" s="1256">
        <v>44356</v>
      </c>
      <c r="E524" s="1256"/>
      <c r="F524" s="1164">
        <v>359205.64294398</v>
      </c>
      <c r="G524" s="1165">
        <v>286004</v>
      </c>
      <c r="H524" s="1178">
        <f t="shared" si="28"/>
        <v>92951.3</v>
      </c>
      <c r="I524" s="1261">
        <f t="shared" si="26"/>
        <v>143002</v>
      </c>
      <c r="J524" s="1306">
        <f>G524/F524</f>
        <v>0.79621243601845038</v>
      </c>
      <c r="K524" s="1447"/>
      <c r="L524" s="1036"/>
      <c r="M524" s="1017"/>
      <c r="N524" s="1148"/>
      <c r="O524" s="1017"/>
      <c r="P524" s="1017"/>
      <c r="Q524" s="1022"/>
      <c r="R524" s="1387">
        <v>0.84134897808035991</v>
      </c>
      <c r="S524" s="1386">
        <f t="shared" si="27"/>
        <v>5.8582770508519566E-5</v>
      </c>
      <c r="T524" s="1313">
        <v>0.81143142267183643</v>
      </c>
      <c r="U524" s="1017"/>
      <c r="V524" s="1017"/>
      <c r="W524" s="1017"/>
      <c r="X524" s="1017"/>
      <c r="Y524" s="1017"/>
      <c r="Z524" s="1017"/>
      <c r="AA524" s="1017"/>
      <c r="AB524" s="1017"/>
      <c r="AC524" s="1017"/>
      <c r="AD524" s="1017"/>
      <c r="AE524" s="1017"/>
      <c r="AF524" s="1017"/>
    </row>
    <row r="525" spans="1:32" ht="16.5">
      <c r="A525" s="1022"/>
      <c r="B525" s="1740"/>
      <c r="C525" s="1255">
        <v>43629</v>
      </c>
      <c r="D525" s="1256">
        <v>44357</v>
      </c>
      <c r="E525" s="1256"/>
      <c r="F525" s="1164">
        <v>403818.27867948002</v>
      </c>
      <c r="G525" s="1165">
        <v>347264</v>
      </c>
      <c r="H525" s="1178">
        <f t="shared" si="28"/>
        <v>112860.8</v>
      </c>
      <c r="I525" s="1261">
        <f t="shared" si="26"/>
        <v>173632</v>
      </c>
      <c r="J525" s="1306">
        <f>G525/F525</f>
        <v>0.85995116698427498</v>
      </c>
      <c r="K525" s="1447"/>
      <c r="L525" s="1036"/>
      <c r="M525" s="1017"/>
      <c r="N525" s="1017"/>
      <c r="O525" s="1017"/>
      <c r="P525" s="1017"/>
      <c r="Q525" s="1022"/>
      <c r="R525" s="1387">
        <v>0.84140756085086843</v>
      </c>
      <c r="S525" s="1386">
        <f t="shared" si="27"/>
        <v>5.8582770508519566E-5</v>
      </c>
      <c r="T525" s="1313">
        <v>0.81223899759543727</v>
      </c>
      <c r="U525" s="1017"/>
      <c r="V525" s="1017"/>
      <c r="W525" s="1017"/>
      <c r="X525" s="1017"/>
      <c r="Y525" s="1017"/>
      <c r="Z525" s="1017"/>
      <c r="AA525" s="1017"/>
      <c r="AB525" s="1017"/>
      <c r="AC525" s="1017"/>
      <c r="AD525" s="1017"/>
      <c r="AE525" s="1017"/>
      <c r="AF525" s="1017"/>
    </row>
    <row r="526" spans="1:32" ht="16.5">
      <c r="A526" s="1022"/>
      <c r="B526" s="1740"/>
      <c r="C526" s="1255">
        <v>43630</v>
      </c>
      <c r="D526" s="1256">
        <v>44358</v>
      </c>
      <c r="E526" s="1256"/>
      <c r="F526" s="1164">
        <v>551914.47528768994</v>
      </c>
      <c r="G526" s="1165">
        <v>435195</v>
      </c>
      <c r="H526" s="1178">
        <f t="shared" si="28"/>
        <v>141438.375</v>
      </c>
      <c r="I526" s="1261">
        <f t="shared" si="26"/>
        <v>217597.5</v>
      </c>
      <c r="J526" s="1306">
        <f>G526/F526</f>
        <v>0.78851890915372536</v>
      </c>
      <c r="K526" s="1447"/>
      <c r="L526" s="1036"/>
      <c r="M526" s="1017"/>
      <c r="N526" s="1017"/>
      <c r="O526" s="1017"/>
      <c r="P526" s="1017"/>
      <c r="Q526" s="1022"/>
      <c r="R526" s="1387">
        <v>0.84146614362137684</v>
      </c>
      <c r="S526" s="1386">
        <f t="shared" si="27"/>
        <v>5.8582770508408544E-5</v>
      </c>
      <c r="T526" s="1313">
        <v>0.81304657251903811</v>
      </c>
      <c r="U526" s="1017"/>
      <c r="V526" s="1017"/>
      <c r="W526" s="1017"/>
      <c r="X526" s="1017"/>
      <c r="Y526" s="1017"/>
      <c r="Z526" s="1017"/>
      <c r="AA526" s="1017"/>
      <c r="AB526" s="1017"/>
      <c r="AC526" s="1017"/>
      <c r="AD526" s="1017"/>
      <c r="AE526" s="1017"/>
      <c r="AF526" s="1017"/>
    </row>
    <row r="527" spans="1:32" ht="16.5">
      <c r="A527" s="1022"/>
      <c r="B527" s="1741"/>
      <c r="C527" s="1265">
        <v>43631</v>
      </c>
      <c r="D527" s="1266">
        <v>44359</v>
      </c>
      <c r="E527" s="1266"/>
      <c r="F527" s="1199">
        <v>812038.72143399005</v>
      </c>
      <c r="G527" s="1200">
        <v>569476</v>
      </c>
      <c r="H527" s="1201">
        <f t="shared" si="28"/>
        <v>185079.7</v>
      </c>
      <c r="I527" s="1268">
        <f t="shared" si="26"/>
        <v>284738</v>
      </c>
      <c r="J527" s="1339">
        <f>G527/F527</f>
        <v>0.70129168101042605</v>
      </c>
      <c r="K527" s="1447"/>
      <c r="L527" s="1315" t="s">
        <v>421</v>
      </c>
      <c r="M527" s="1017"/>
      <c r="N527" s="1017"/>
      <c r="O527" s="1017"/>
      <c r="P527" s="1017"/>
      <c r="Q527" s="1022"/>
      <c r="R527" s="1387">
        <v>0.84152472639188536</v>
      </c>
      <c r="S527" s="1386">
        <f t="shared" si="27"/>
        <v>5.8582770508519566E-5</v>
      </c>
      <c r="T527" s="1313">
        <v>0.81385414744263906</v>
      </c>
      <c r="U527" s="1017"/>
      <c r="V527" s="1017"/>
      <c r="W527" s="1017"/>
      <c r="X527" s="1017"/>
      <c r="Y527" s="1017"/>
      <c r="Z527" s="1017"/>
      <c r="AA527" s="1017"/>
      <c r="AB527" s="1017"/>
      <c r="AC527" s="1017"/>
      <c r="AD527" s="1017"/>
      <c r="AE527" s="1017"/>
      <c r="AF527" s="1017"/>
    </row>
    <row r="528" spans="1:32" ht="16.5">
      <c r="A528" s="1022"/>
      <c r="B528" s="1742" t="s">
        <v>359</v>
      </c>
      <c r="C528" s="1270">
        <v>43632</v>
      </c>
      <c r="D528" s="1271">
        <v>44360</v>
      </c>
      <c r="E528" s="1271"/>
      <c r="F528" s="1204">
        <v>389095.39939581999</v>
      </c>
      <c r="G528" s="1273">
        <v>329436</v>
      </c>
      <c r="H528" s="1206">
        <f t="shared" si="28"/>
        <v>107066.7</v>
      </c>
      <c r="I528" s="1274">
        <f t="shared" si="26"/>
        <v>164718</v>
      </c>
      <c r="J528" s="1338">
        <f>G528/F528</f>
        <v>0.84667153739556422</v>
      </c>
      <c r="K528" s="1447"/>
      <c r="L528" s="1315" t="s">
        <v>422</v>
      </c>
      <c r="M528" s="1017"/>
      <c r="N528" s="1017"/>
      <c r="O528" s="1017"/>
      <c r="P528" s="1017"/>
      <c r="Q528" s="1022"/>
      <c r="R528" s="1387">
        <v>0.84158330916239388</v>
      </c>
      <c r="S528" s="1386">
        <f t="shared" si="27"/>
        <v>5.8582770508519566E-5</v>
      </c>
      <c r="T528" s="1313">
        <v>0.81466172236624002</v>
      </c>
      <c r="U528" s="1017"/>
      <c r="V528" s="1017"/>
      <c r="W528" s="1017"/>
      <c r="X528" s="1017"/>
      <c r="Y528" s="1017"/>
      <c r="Z528" s="1017"/>
      <c r="AA528" s="1017"/>
      <c r="AB528" s="1017"/>
      <c r="AC528" s="1017"/>
      <c r="AD528" s="1017"/>
      <c r="AE528" s="1017"/>
      <c r="AF528" s="1017"/>
    </row>
    <row r="529" spans="1:32" ht="16.5">
      <c r="A529" s="1022"/>
      <c r="B529" s="1740"/>
      <c r="C529" s="1255">
        <v>43633</v>
      </c>
      <c r="D529" s="1256">
        <v>44361</v>
      </c>
      <c r="E529" s="1256"/>
      <c r="F529" s="1164">
        <v>411736.52541301999</v>
      </c>
      <c r="G529" s="1165">
        <v>275608</v>
      </c>
      <c r="H529" s="1178">
        <f t="shared" si="28"/>
        <v>89572.6</v>
      </c>
      <c r="I529" s="1261">
        <f t="shared" si="26"/>
        <v>137804</v>
      </c>
      <c r="J529" s="1306">
        <f>G529/F529</f>
        <v>0.66937952547088908</v>
      </c>
      <c r="K529" s="1447"/>
      <c r="L529" s="1036"/>
      <c r="M529" s="1017"/>
      <c r="N529" s="1017"/>
      <c r="O529" s="1017"/>
      <c r="P529" s="1017"/>
      <c r="Q529" s="1022"/>
      <c r="R529" s="1387">
        <v>0.8416418919329024</v>
      </c>
      <c r="S529" s="1386">
        <f t="shared" si="27"/>
        <v>5.8582770508519566E-5</v>
      </c>
      <c r="T529" s="1313">
        <v>0.81546929728984086</v>
      </c>
      <c r="U529" s="1017"/>
      <c r="V529" s="1017"/>
      <c r="W529" s="1017"/>
      <c r="X529" s="1017"/>
      <c r="Y529" s="1017"/>
      <c r="Z529" s="1017"/>
      <c r="AA529" s="1017"/>
      <c r="AB529" s="1017"/>
      <c r="AC529" s="1017"/>
      <c r="AD529" s="1017"/>
      <c r="AE529" s="1017"/>
      <c r="AF529" s="1017"/>
    </row>
    <row r="530" spans="1:32" ht="16.5">
      <c r="A530" s="1022"/>
      <c r="B530" s="1740"/>
      <c r="C530" s="1255">
        <v>43634</v>
      </c>
      <c r="D530" s="1256">
        <v>44362</v>
      </c>
      <c r="E530" s="1256"/>
      <c r="F530" s="1164">
        <v>430635.46114160999</v>
      </c>
      <c r="G530" s="1165">
        <v>314246.33</v>
      </c>
      <c r="H530" s="1178">
        <f t="shared" si="28"/>
        <v>102130.05725000001</v>
      </c>
      <c r="I530" s="1261">
        <f t="shared" si="26"/>
        <v>157123.16500000001</v>
      </c>
      <c r="J530" s="1306">
        <f>G530/F530</f>
        <v>0.72972701590095801</v>
      </c>
      <c r="K530" s="1447"/>
      <c r="L530" s="1036"/>
      <c r="M530" s="1017"/>
      <c r="N530" s="1017"/>
      <c r="O530" s="1017"/>
      <c r="P530" s="1017"/>
      <c r="Q530" s="1022"/>
      <c r="R530" s="1387">
        <v>0.84170047470341092</v>
      </c>
      <c r="S530" s="1386">
        <f t="shared" si="27"/>
        <v>5.8582770508519566E-5</v>
      </c>
      <c r="T530" s="1313">
        <v>0.8162768722134417</v>
      </c>
      <c r="U530" s="1017"/>
      <c r="V530" s="1017"/>
      <c r="W530" s="1017"/>
      <c r="X530" s="1017"/>
      <c r="Y530" s="1017"/>
      <c r="Z530" s="1017"/>
      <c r="AA530" s="1017"/>
      <c r="AB530" s="1017"/>
      <c r="AC530" s="1017"/>
      <c r="AD530" s="1017"/>
      <c r="AE530" s="1017"/>
      <c r="AF530" s="1017"/>
    </row>
    <row r="531" spans="1:32" ht="16.5">
      <c r="A531" s="1022"/>
      <c r="B531" s="1740"/>
      <c r="C531" s="1255">
        <v>43635</v>
      </c>
      <c r="D531" s="1256">
        <v>44363</v>
      </c>
      <c r="E531" s="1256"/>
      <c r="F531" s="1164">
        <v>408171.86526443</v>
      </c>
      <c r="G531" s="1165">
        <v>323291.34999999998</v>
      </c>
      <c r="H531" s="1178">
        <f t="shared" si="28"/>
        <v>105069.68875</v>
      </c>
      <c r="I531" s="1261">
        <f t="shared" ref="I531:I594" si="29">G531*0.5</f>
        <v>161645.67499999999</v>
      </c>
      <c r="J531" s="1306">
        <f>G531/F531</f>
        <v>0.79204711914810433</v>
      </c>
      <c r="K531" s="1447"/>
      <c r="L531" s="1036"/>
      <c r="M531" s="1017"/>
      <c r="N531" s="1017"/>
      <c r="O531" s="1017"/>
      <c r="P531" s="1017"/>
      <c r="Q531" s="1022"/>
      <c r="R531" s="1387">
        <v>0.84175905747391933</v>
      </c>
      <c r="S531" s="1386">
        <f t="shared" si="27"/>
        <v>5.8582770508408544E-5</v>
      </c>
      <c r="T531" s="1313">
        <v>0.81708444713704265</v>
      </c>
      <c r="U531" s="1017"/>
      <c r="V531" s="1017"/>
      <c r="W531" s="1017"/>
      <c r="X531" s="1017"/>
      <c r="Y531" s="1017"/>
      <c r="Z531" s="1017"/>
      <c r="AA531" s="1017"/>
      <c r="AB531" s="1017"/>
      <c r="AC531" s="1017"/>
      <c r="AD531" s="1017"/>
      <c r="AE531" s="1017"/>
      <c r="AF531" s="1017"/>
    </row>
    <row r="532" spans="1:32" ht="16.5">
      <c r="A532" s="1022"/>
      <c r="B532" s="1740"/>
      <c r="C532" s="1255">
        <v>43636</v>
      </c>
      <c r="D532" s="1256">
        <v>44364</v>
      </c>
      <c r="E532" s="1256"/>
      <c r="F532" s="1164">
        <v>461126.96518075</v>
      </c>
      <c r="G532" s="1165">
        <v>363930.98</v>
      </c>
      <c r="H532" s="1178">
        <f t="shared" si="28"/>
        <v>118277.56849999999</v>
      </c>
      <c r="I532" s="1261">
        <f t="shared" si="29"/>
        <v>181965.49</v>
      </c>
      <c r="J532" s="1306">
        <f>G532/F532</f>
        <v>0.78922077319279804</v>
      </c>
      <c r="K532" s="1447"/>
      <c r="L532" s="1154"/>
      <c r="M532" s="1017"/>
      <c r="N532" s="1017"/>
      <c r="O532" s="1017"/>
      <c r="P532" s="1017"/>
      <c r="Q532" s="1022"/>
      <c r="R532" s="1387">
        <v>0.84181764024442784</v>
      </c>
      <c r="S532" s="1386">
        <f t="shared" si="27"/>
        <v>5.8582770508519566E-5</v>
      </c>
      <c r="T532" s="1313">
        <v>0.8178920220606436</v>
      </c>
      <c r="U532" s="1017"/>
      <c r="V532" s="1017"/>
      <c r="W532" s="1017"/>
      <c r="X532" s="1017"/>
      <c r="Y532" s="1017"/>
      <c r="Z532" s="1017"/>
      <c r="AA532" s="1017"/>
      <c r="AB532" s="1017"/>
      <c r="AC532" s="1017"/>
      <c r="AD532" s="1017"/>
      <c r="AE532" s="1017"/>
      <c r="AF532" s="1017"/>
    </row>
    <row r="533" spans="1:32" ht="16.5">
      <c r="A533" s="1022"/>
      <c r="B533" s="1740"/>
      <c r="C533" s="1255">
        <v>43637</v>
      </c>
      <c r="D533" s="1256">
        <v>44365</v>
      </c>
      <c r="E533" s="1256"/>
      <c r="F533" s="1164">
        <v>541139.15593182005</v>
      </c>
      <c r="G533" s="1165">
        <v>463700</v>
      </c>
      <c r="H533" s="1178">
        <f t="shared" si="28"/>
        <v>150702.5</v>
      </c>
      <c r="I533" s="1261">
        <f t="shared" si="29"/>
        <v>231850</v>
      </c>
      <c r="J533" s="1335">
        <f>G533/F533</f>
        <v>0.85689604035680456</v>
      </c>
      <c r="K533" s="1447"/>
      <c r="L533" s="1751" t="s">
        <v>423</v>
      </c>
      <c r="M533" s="1036"/>
      <c r="N533" s="1017"/>
      <c r="O533" s="1017"/>
      <c r="P533" s="1017"/>
      <c r="Q533" s="1022"/>
      <c r="R533" s="1387">
        <v>0.84187622301493636</v>
      </c>
      <c r="S533" s="1386">
        <f t="shared" si="27"/>
        <v>5.8582770508519566E-5</v>
      </c>
      <c r="T533" s="1313">
        <v>0.81869959698424444</v>
      </c>
      <c r="U533" s="1017"/>
      <c r="V533" s="1017"/>
      <c r="W533" s="1017"/>
      <c r="X533" s="1017"/>
      <c r="Y533" s="1017"/>
      <c r="Z533" s="1017"/>
      <c r="AA533" s="1017"/>
      <c r="AB533" s="1017"/>
      <c r="AC533" s="1017"/>
      <c r="AD533" s="1017"/>
      <c r="AE533" s="1017"/>
      <c r="AF533" s="1017"/>
    </row>
    <row r="534" spans="1:32" ht="16.5">
      <c r="A534" s="1022"/>
      <c r="B534" s="1743"/>
      <c r="C534" s="1258">
        <v>43638</v>
      </c>
      <c r="D534" s="1259">
        <v>44366</v>
      </c>
      <c r="E534" s="1259"/>
      <c r="F534" s="1173">
        <v>692645.63569796004</v>
      </c>
      <c r="G534" s="1174">
        <v>652000</v>
      </c>
      <c r="H534" s="1181">
        <f t="shared" si="28"/>
        <v>211900</v>
      </c>
      <c r="I534" s="1262">
        <f t="shared" si="29"/>
        <v>326000</v>
      </c>
      <c r="J534" s="1336">
        <f>G534/F534</f>
        <v>0.94131828224543346</v>
      </c>
      <c r="K534" s="1447"/>
      <c r="L534" s="1752"/>
      <c r="M534" s="1036"/>
      <c r="N534" s="1017"/>
      <c r="O534" s="1017"/>
      <c r="P534" s="1017"/>
      <c r="Q534" s="1022"/>
      <c r="R534" s="1387">
        <v>0.84193480578544488</v>
      </c>
      <c r="S534" s="1386">
        <f t="shared" si="27"/>
        <v>5.8582770508519566E-5</v>
      </c>
      <c r="T534" s="1313">
        <v>0.81950717190784539</v>
      </c>
      <c r="U534" s="1017"/>
      <c r="V534" s="1017"/>
      <c r="W534" s="1017"/>
      <c r="X534" s="1017"/>
      <c r="Y534" s="1017"/>
      <c r="Z534" s="1017"/>
      <c r="AA534" s="1017"/>
      <c r="AB534" s="1017"/>
      <c r="AC534" s="1017"/>
      <c r="AD534" s="1017"/>
      <c r="AE534" s="1017"/>
      <c r="AF534" s="1017"/>
    </row>
    <row r="535" spans="1:32" ht="16.5">
      <c r="A535" s="1022"/>
      <c r="B535" s="1739" t="s">
        <v>360</v>
      </c>
      <c r="C535" s="1250">
        <v>43639</v>
      </c>
      <c r="D535" s="1251">
        <v>44367</v>
      </c>
      <c r="E535" s="1251"/>
      <c r="F535" s="1157">
        <v>396879.95282876003</v>
      </c>
      <c r="G535" s="1158">
        <v>308641</v>
      </c>
      <c r="H535" s="1026">
        <f t="shared" si="28"/>
        <v>100308.325</v>
      </c>
      <c r="I535" s="1242">
        <f t="shared" si="29"/>
        <v>154320.5</v>
      </c>
      <c r="J535" s="1312">
        <f>G535/F535</f>
        <v>0.77766840527006387</v>
      </c>
      <c r="K535" s="1447"/>
      <c r="L535" s="1337" t="s">
        <v>424</v>
      </c>
      <c r="M535" s="1017"/>
      <c r="N535" s="1017"/>
      <c r="O535" s="1017"/>
      <c r="P535" s="1017"/>
      <c r="Q535" s="1022"/>
      <c r="R535" s="1387">
        <v>0.84199338855595329</v>
      </c>
      <c r="S535" s="1386">
        <f t="shared" si="27"/>
        <v>5.8582770508408544E-5</v>
      </c>
      <c r="T535" s="1313">
        <v>0.82031474683144623</v>
      </c>
      <c r="U535" s="1017"/>
      <c r="V535" s="1017"/>
      <c r="W535" s="1017"/>
      <c r="X535" s="1017"/>
      <c r="Y535" s="1017"/>
      <c r="Z535" s="1017"/>
      <c r="AA535" s="1017"/>
      <c r="AB535" s="1017"/>
      <c r="AC535" s="1017"/>
      <c r="AD535" s="1017"/>
      <c r="AE535" s="1017"/>
      <c r="AF535" s="1017"/>
    </row>
    <row r="536" spans="1:32" ht="16.5">
      <c r="A536" s="1022"/>
      <c r="B536" s="1740"/>
      <c r="C536" s="1255">
        <v>43640</v>
      </c>
      <c r="D536" s="1256">
        <v>44368</v>
      </c>
      <c r="E536" s="1256"/>
      <c r="F536" s="1164">
        <v>408452.41804124002</v>
      </c>
      <c r="G536" s="1165">
        <v>258513</v>
      </c>
      <c r="H536" s="1178">
        <f t="shared" si="28"/>
        <v>84016.725000000006</v>
      </c>
      <c r="I536" s="1261">
        <f t="shared" si="29"/>
        <v>129256.5</v>
      </c>
      <c r="J536" s="1306">
        <f>G536/F536</f>
        <v>0.63290848231408647</v>
      </c>
      <c r="K536" s="1447"/>
      <c r="L536" s="1036"/>
      <c r="M536" s="1017"/>
      <c r="N536" s="1017"/>
      <c r="O536" s="1017"/>
      <c r="P536" s="1017"/>
      <c r="Q536" s="1022"/>
      <c r="R536" s="1387">
        <v>0.84205197132646181</v>
      </c>
      <c r="S536" s="1386">
        <f t="shared" si="27"/>
        <v>5.8582770508519566E-5</v>
      </c>
      <c r="T536" s="1313">
        <v>0.82112232175504718</v>
      </c>
      <c r="U536" s="1017"/>
      <c r="V536" s="1017"/>
      <c r="W536" s="1017"/>
      <c r="X536" s="1017"/>
      <c r="Y536" s="1017"/>
      <c r="Z536" s="1017"/>
      <c r="AA536" s="1017"/>
      <c r="AB536" s="1017"/>
      <c r="AC536" s="1017"/>
      <c r="AD536" s="1017"/>
      <c r="AE536" s="1017"/>
      <c r="AF536" s="1017"/>
    </row>
    <row r="537" spans="1:32" ht="16.5">
      <c r="A537" s="1022"/>
      <c r="B537" s="1740"/>
      <c r="C537" s="1255">
        <v>43641</v>
      </c>
      <c r="D537" s="1256">
        <v>44369</v>
      </c>
      <c r="E537" s="1256"/>
      <c r="F537" s="1164">
        <v>390713.27144932002</v>
      </c>
      <c r="G537" s="1165">
        <v>280903.98</v>
      </c>
      <c r="H537" s="1178">
        <f t="shared" si="28"/>
        <v>91293.7935</v>
      </c>
      <c r="I537" s="1261">
        <f t="shared" si="29"/>
        <v>140451.99</v>
      </c>
      <c r="J537" s="1306">
        <f>G537/F537</f>
        <v>0.71895172374874505</v>
      </c>
      <c r="K537" s="1447"/>
      <c r="L537" s="1036"/>
      <c r="M537" s="1017"/>
      <c r="N537" s="1017"/>
      <c r="O537" s="1017"/>
      <c r="P537" s="1017"/>
      <c r="Q537" s="1022"/>
      <c r="R537" s="1387">
        <v>0.84211055409697033</v>
      </c>
      <c r="S537" s="1386">
        <f t="shared" si="27"/>
        <v>5.8582770508519566E-5</v>
      </c>
      <c r="T537" s="1313">
        <v>0.82192989667864802</v>
      </c>
      <c r="U537" s="1017"/>
      <c r="V537" s="1017"/>
      <c r="W537" s="1017"/>
      <c r="X537" s="1017"/>
      <c r="Y537" s="1017"/>
      <c r="Z537" s="1017"/>
      <c r="AA537" s="1017"/>
      <c r="AB537" s="1017"/>
      <c r="AC537" s="1017"/>
      <c r="AD537" s="1017"/>
      <c r="AE537" s="1017"/>
      <c r="AF537" s="1017"/>
    </row>
    <row r="538" spans="1:32" ht="16.5">
      <c r="A538" s="1022"/>
      <c r="B538" s="1740"/>
      <c r="C538" s="1255">
        <v>43642</v>
      </c>
      <c r="D538" s="1256">
        <v>44370</v>
      </c>
      <c r="E538" s="1256"/>
      <c r="F538" s="1164">
        <v>441197.79105159</v>
      </c>
      <c r="G538" s="1165">
        <v>288960</v>
      </c>
      <c r="H538" s="1178">
        <f t="shared" si="28"/>
        <v>93912</v>
      </c>
      <c r="I538" s="1261">
        <f t="shared" si="29"/>
        <v>144480</v>
      </c>
      <c r="J538" s="1306">
        <f>G538/F538</f>
        <v>0.65494434890815534</v>
      </c>
      <c r="K538" s="1447"/>
      <c r="L538" s="1036"/>
      <c r="M538" s="1017"/>
      <c r="N538" s="1017"/>
      <c r="O538" s="1017"/>
      <c r="P538" s="1017"/>
      <c r="Q538" s="1022"/>
      <c r="R538" s="1387">
        <v>0.84216913686747885</v>
      </c>
      <c r="S538" s="1386">
        <f t="shared" si="27"/>
        <v>5.8582770508519566E-5</v>
      </c>
      <c r="T538" s="1313">
        <v>0.82273747160224897</v>
      </c>
      <c r="U538" s="1017"/>
      <c r="V538" s="1017"/>
      <c r="W538" s="1017"/>
      <c r="X538" s="1017"/>
      <c r="Y538" s="1017"/>
      <c r="Z538" s="1017"/>
      <c r="AA538" s="1017"/>
      <c r="AB538" s="1017"/>
      <c r="AC538" s="1017"/>
      <c r="AD538" s="1017"/>
      <c r="AE538" s="1017"/>
      <c r="AF538" s="1017"/>
    </row>
    <row r="539" spans="1:32" ht="16.5">
      <c r="A539" s="1022"/>
      <c r="B539" s="1740"/>
      <c r="C539" s="1255">
        <v>43643</v>
      </c>
      <c r="D539" s="1256">
        <v>44371</v>
      </c>
      <c r="E539" s="1256"/>
      <c r="F539" s="1164">
        <v>407950.44315547001</v>
      </c>
      <c r="G539" s="1165">
        <v>363045</v>
      </c>
      <c r="H539" s="1178">
        <f t="shared" si="28"/>
        <v>117989.625</v>
      </c>
      <c r="I539" s="1261">
        <f t="shared" si="29"/>
        <v>181522.5</v>
      </c>
      <c r="J539" s="1306">
        <f>G539/F539</f>
        <v>0.88992426921238432</v>
      </c>
      <c r="K539" s="1447"/>
      <c r="L539" s="1036"/>
      <c r="M539" s="1017"/>
      <c r="N539" s="1017"/>
      <c r="O539" s="1017"/>
      <c r="P539" s="1017"/>
      <c r="Q539" s="1022"/>
      <c r="R539" s="1387">
        <v>0.84222771963798726</v>
      </c>
      <c r="S539" s="1386">
        <f t="shared" si="27"/>
        <v>5.8582770508408544E-5</v>
      </c>
      <c r="T539" s="1313">
        <v>0.82354504652584981</v>
      </c>
      <c r="U539" s="1017"/>
      <c r="V539" s="1017"/>
      <c r="W539" s="1017"/>
      <c r="X539" s="1017"/>
      <c r="Y539" s="1017"/>
      <c r="Z539" s="1017"/>
      <c r="AA539" s="1017"/>
      <c r="AB539" s="1017"/>
      <c r="AC539" s="1017"/>
      <c r="AD539" s="1017"/>
      <c r="AE539" s="1017"/>
      <c r="AF539" s="1017"/>
    </row>
    <row r="540" spans="1:32" ht="16.5">
      <c r="A540" s="1022"/>
      <c r="B540" s="1740"/>
      <c r="C540" s="1255">
        <v>43644</v>
      </c>
      <c r="D540" s="1256">
        <v>44372</v>
      </c>
      <c r="E540" s="1256"/>
      <c r="F540" s="1164">
        <v>548730.98489417997</v>
      </c>
      <c r="G540" s="1165">
        <v>425119.16</v>
      </c>
      <c r="H540" s="1178">
        <f t="shared" si="28"/>
        <v>138163.72699999998</v>
      </c>
      <c r="I540" s="1261">
        <f t="shared" si="29"/>
        <v>212559.58</v>
      </c>
      <c r="J540" s="1306">
        <f>G540/F540</f>
        <v>0.77473146533174553</v>
      </c>
      <c r="K540" s="1447"/>
      <c r="L540" s="1036"/>
      <c r="M540" s="1017"/>
      <c r="N540" s="1017"/>
      <c r="O540" s="1017"/>
      <c r="P540" s="1017"/>
      <c r="Q540" s="1022"/>
      <c r="R540" s="1387">
        <v>0.84228630240849578</v>
      </c>
      <c r="S540" s="1386">
        <f t="shared" si="27"/>
        <v>5.8582770508519566E-5</v>
      </c>
      <c r="T540" s="1313">
        <v>0.82435262144945076</v>
      </c>
      <c r="U540" s="1017"/>
      <c r="V540" s="1017"/>
      <c r="W540" s="1017"/>
      <c r="X540" s="1017"/>
      <c r="Y540" s="1017"/>
      <c r="Z540" s="1017"/>
      <c r="AA540" s="1017"/>
      <c r="AB540" s="1017"/>
      <c r="AC540" s="1017"/>
      <c r="AD540" s="1017"/>
      <c r="AE540" s="1017"/>
      <c r="AF540" s="1017"/>
    </row>
    <row r="541" spans="1:32" ht="16.5">
      <c r="A541" s="1022"/>
      <c r="B541" s="1743"/>
      <c r="C541" s="1258">
        <v>43645</v>
      </c>
      <c r="D541" s="1259">
        <v>44373</v>
      </c>
      <c r="E541" s="1259"/>
      <c r="F541" s="1173">
        <v>802073.13082824997</v>
      </c>
      <c r="G541" s="1174">
        <v>589157</v>
      </c>
      <c r="H541" s="1181">
        <f t="shared" si="28"/>
        <v>191476.02499999999</v>
      </c>
      <c r="I541" s="1262">
        <f t="shared" si="29"/>
        <v>294578.5</v>
      </c>
      <c r="J541" s="1311">
        <f>G541/F541</f>
        <v>0.73454274598578684</v>
      </c>
      <c r="K541" s="1447"/>
      <c r="L541" s="1154"/>
      <c r="M541" s="1017"/>
      <c r="N541" s="1017"/>
      <c r="O541" s="1017"/>
      <c r="P541" s="1017"/>
      <c r="Q541" s="1022"/>
      <c r="R541" s="1387">
        <v>0.8423448851790043</v>
      </c>
      <c r="S541" s="1386">
        <f t="shared" si="27"/>
        <v>5.8582770508519566E-5</v>
      </c>
      <c r="T541" s="1313">
        <v>0.82516019637305171</v>
      </c>
      <c r="U541" s="1017"/>
      <c r="V541" s="1017"/>
      <c r="W541" s="1017"/>
      <c r="X541" s="1017"/>
      <c r="Y541" s="1017"/>
      <c r="Z541" s="1017"/>
      <c r="AA541" s="1017"/>
      <c r="AB541" s="1017"/>
      <c r="AC541" s="1017"/>
      <c r="AD541" s="1017"/>
      <c r="AE541" s="1017"/>
      <c r="AF541" s="1017"/>
    </row>
    <row r="542" spans="1:32" ht="18" customHeight="1">
      <c r="A542" s="1022"/>
      <c r="B542" s="1739" t="s">
        <v>361</v>
      </c>
      <c r="C542" s="1250">
        <v>43646</v>
      </c>
      <c r="D542" s="1251">
        <v>44374</v>
      </c>
      <c r="E542" s="1251"/>
      <c r="F542" s="1157">
        <v>393065.27256064001</v>
      </c>
      <c r="G542" s="1158">
        <v>296562</v>
      </c>
      <c r="H542" s="1026">
        <f t="shared" si="28"/>
        <v>96382.650000000009</v>
      </c>
      <c r="I542" s="1242">
        <f t="shared" si="29"/>
        <v>148281</v>
      </c>
      <c r="J542" s="1371">
        <f>G542/F542</f>
        <v>0.75448537610060173</v>
      </c>
      <c r="K542" s="1448"/>
      <c r="L542" s="1747" t="s">
        <v>425</v>
      </c>
      <c r="M542" s="1036"/>
      <c r="N542" s="1017"/>
      <c r="O542" s="1017"/>
      <c r="P542" s="1017"/>
      <c r="Q542" s="1022"/>
      <c r="R542" s="1387">
        <v>0.84240346794951282</v>
      </c>
      <c r="S542" s="1386">
        <f t="shared" si="27"/>
        <v>5.8582770508519566E-5</v>
      </c>
      <c r="T542" s="1313">
        <v>0.82596777129665255</v>
      </c>
      <c r="U542" s="1017"/>
      <c r="V542" s="1017"/>
      <c r="W542" s="1017"/>
      <c r="X542" s="1017"/>
      <c r="Y542" s="1017"/>
      <c r="Z542" s="1017"/>
      <c r="AA542" s="1017"/>
      <c r="AB542" s="1017"/>
      <c r="AC542" s="1017"/>
      <c r="AD542" s="1017"/>
      <c r="AE542" s="1017"/>
      <c r="AF542" s="1017"/>
    </row>
    <row r="543" spans="1:32" ht="15" customHeight="1">
      <c r="A543" s="1022"/>
      <c r="B543" s="1740"/>
      <c r="C543" s="1255">
        <v>43647</v>
      </c>
      <c r="D543" s="1256">
        <v>44375</v>
      </c>
      <c r="E543" s="1256"/>
      <c r="F543" s="1164">
        <v>447031</v>
      </c>
      <c r="G543" s="1165">
        <v>258822</v>
      </c>
      <c r="H543" s="1178">
        <f t="shared" si="28"/>
        <v>84117.150000000009</v>
      </c>
      <c r="I543" s="1261">
        <f t="shared" si="29"/>
        <v>129411</v>
      </c>
      <c r="J543" s="1335">
        <f>G543/F543</f>
        <v>0.57897998125409644</v>
      </c>
      <c r="K543" s="1447"/>
      <c r="L543" s="1748"/>
      <c r="M543" s="1036"/>
      <c r="N543" s="1017"/>
      <c r="O543" s="1017"/>
      <c r="P543" s="1017"/>
      <c r="Q543" s="1022"/>
      <c r="R543" s="1387">
        <v>0.84246205072002134</v>
      </c>
      <c r="S543" s="1386">
        <f t="shared" si="27"/>
        <v>5.8582770508519566E-5</v>
      </c>
      <c r="T543" s="1313">
        <v>0.82677534622025339</v>
      </c>
      <c r="U543" s="1017"/>
      <c r="V543" s="1017"/>
      <c r="W543" s="1017"/>
      <c r="X543" s="1017"/>
      <c r="Y543" s="1017"/>
      <c r="Z543" s="1017"/>
      <c r="AA543" s="1017"/>
      <c r="AB543" s="1017"/>
      <c r="AC543" s="1017"/>
      <c r="AD543" s="1017"/>
      <c r="AE543" s="1017"/>
      <c r="AF543" s="1017"/>
    </row>
    <row r="544" spans="1:32" ht="15.75" customHeight="1">
      <c r="A544" s="1022"/>
      <c r="B544" s="1740"/>
      <c r="C544" s="1255">
        <v>43648</v>
      </c>
      <c r="D544" s="1256">
        <v>44376</v>
      </c>
      <c r="E544" s="1256"/>
      <c r="F544" s="1164">
        <v>404791</v>
      </c>
      <c r="G544" s="1165">
        <v>315716</v>
      </c>
      <c r="H544" s="1178">
        <f t="shared" si="28"/>
        <v>102607.7</v>
      </c>
      <c r="I544" s="1261">
        <f t="shared" si="29"/>
        <v>157858</v>
      </c>
      <c r="J544" s="1335">
        <f>G544/F544</f>
        <v>0.77994817078442946</v>
      </c>
      <c r="K544" s="1447"/>
      <c r="L544" s="1748"/>
      <c r="M544" s="1036"/>
      <c r="N544" s="1017"/>
      <c r="O544" s="1017"/>
      <c r="P544" s="1017"/>
      <c r="Q544" s="1022"/>
      <c r="R544" s="1387">
        <v>0.84252063349052975</v>
      </c>
      <c r="S544" s="1386">
        <f t="shared" si="27"/>
        <v>5.8582770508408544E-5</v>
      </c>
      <c r="T544" s="1313">
        <v>0.82758292114385434</v>
      </c>
      <c r="U544" s="1017"/>
      <c r="V544" s="1017"/>
      <c r="W544" s="1017"/>
      <c r="X544" s="1017"/>
      <c r="Y544" s="1017"/>
      <c r="Z544" s="1017"/>
      <c r="AA544" s="1017"/>
      <c r="AB544" s="1017"/>
      <c r="AC544" s="1017"/>
      <c r="AD544" s="1017"/>
      <c r="AE544" s="1017"/>
      <c r="AF544" s="1017"/>
    </row>
    <row r="545" spans="1:32" ht="16.5">
      <c r="A545" s="1022"/>
      <c r="B545" s="1740"/>
      <c r="C545" s="1255">
        <v>43649</v>
      </c>
      <c r="D545" s="1256">
        <v>44377</v>
      </c>
      <c r="E545" s="1256"/>
      <c r="F545" s="1164">
        <v>385439</v>
      </c>
      <c r="G545" s="1165">
        <v>330263</v>
      </c>
      <c r="H545" s="1178">
        <f t="shared" si="28"/>
        <v>107335.47500000001</v>
      </c>
      <c r="I545" s="1261">
        <f t="shared" si="29"/>
        <v>165131.5</v>
      </c>
      <c r="J545" s="1335">
        <f>G545/F545</f>
        <v>0.85684894367202069</v>
      </c>
      <c r="K545" s="1447"/>
      <c r="L545" s="1748"/>
      <c r="M545" s="1036"/>
      <c r="N545" s="1017"/>
      <c r="O545" s="1017"/>
      <c r="P545" s="1017"/>
      <c r="Q545" s="1022"/>
      <c r="R545" s="1387">
        <v>0.84257921626103827</v>
      </c>
      <c r="S545" s="1386">
        <f t="shared" si="27"/>
        <v>5.8582770508519566E-5</v>
      </c>
      <c r="T545" s="1313">
        <v>0.8283904960674553</v>
      </c>
      <c r="U545" s="1017"/>
      <c r="V545" s="1017"/>
      <c r="W545" s="1017"/>
      <c r="X545" s="1017"/>
      <c r="Y545" s="1017"/>
      <c r="Z545" s="1017"/>
      <c r="AA545" s="1017"/>
      <c r="AB545" s="1017"/>
      <c r="AC545" s="1017"/>
      <c r="AD545" s="1017"/>
      <c r="AE545" s="1017"/>
      <c r="AF545" s="1017"/>
    </row>
    <row r="546" spans="1:32" ht="16.5">
      <c r="A546" s="1022"/>
      <c r="B546" s="1740"/>
      <c r="C546" s="1255">
        <v>43650</v>
      </c>
      <c r="D546" s="1256">
        <v>44378</v>
      </c>
      <c r="E546" s="1256"/>
      <c r="F546" s="1164">
        <v>415070</v>
      </c>
      <c r="G546" s="1165">
        <v>385648</v>
      </c>
      <c r="H546" s="1178">
        <f t="shared" si="28"/>
        <v>125335.6</v>
      </c>
      <c r="I546" s="1261">
        <f t="shared" si="29"/>
        <v>192824</v>
      </c>
      <c r="J546" s="1335">
        <f>G546/F546</f>
        <v>0.92911557086756447</v>
      </c>
      <c r="K546" s="1447"/>
      <c r="L546" s="1748"/>
      <c r="M546" s="1036"/>
      <c r="N546" s="1017"/>
      <c r="O546" s="1017"/>
      <c r="P546" s="1017"/>
      <c r="Q546" s="1022"/>
      <c r="R546" s="1387">
        <v>0.84263779903154679</v>
      </c>
      <c r="S546" s="1386">
        <f t="shared" si="27"/>
        <v>5.8582770508519566E-5</v>
      </c>
      <c r="T546" s="1313">
        <v>0.82919807099105614</v>
      </c>
      <c r="U546" s="1017"/>
      <c r="V546" s="1017"/>
      <c r="W546" s="1017"/>
      <c r="X546" s="1017"/>
      <c r="Y546" s="1017"/>
      <c r="Z546" s="1017"/>
      <c r="AA546" s="1017"/>
      <c r="AB546" s="1017"/>
      <c r="AC546" s="1017"/>
      <c r="AD546" s="1017"/>
      <c r="AE546" s="1017"/>
      <c r="AF546" s="1017"/>
    </row>
    <row r="547" spans="1:32" ht="16.5">
      <c r="A547" s="1022"/>
      <c r="B547" s="1740"/>
      <c r="C547" s="1255">
        <v>43651</v>
      </c>
      <c r="D547" s="1256">
        <v>44379</v>
      </c>
      <c r="E547" s="1256"/>
      <c r="F547" s="1164">
        <v>519535</v>
      </c>
      <c r="G547" s="1165">
        <v>465574</v>
      </c>
      <c r="H547" s="1178">
        <f t="shared" si="28"/>
        <v>151311.55000000002</v>
      </c>
      <c r="I547" s="1261">
        <f t="shared" si="29"/>
        <v>232787</v>
      </c>
      <c r="J547" s="1335">
        <f>G547/F547</f>
        <v>0.89613596774038318</v>
      </c>
      <c r="K547" s="1447"/>
      <c r="L547" s="1749"/>
      <c r="M547" s="1036"/>
      <c r="N547" s="1017"/>
      <c r="O547" s="1017"/>
      <c r="P547" s="1017"/>
      <c r="Q547" s="1022"/>
      <c r="R547" s="1387">
        <v>0.84269638180205531</v>
      </c>
      <c r="S547" s="1386">
        <f t="shared" si="27"/>
        <v>5.8582770508519566E-5</v>
      </c>
      <c r="T547" s="1313">
        <v>0.83000564591465709</v>
      </c>
      <c r="U547" s="1017"/>
      <c r="V547" s="1017"/>
      <c r="W547" s="1017"/>
      <c r="X547" s="1017"/>
      <c r="Y547" s="1017"/>
      <c r="Z547" s="1017"/>
      <c r="AA547" s="1017"/>
      <c r="AB547" s="1017"/>
      <c r="AC547" s="1017"/>
      <c r="AD547" s="1017"/>
      <c r="AE547" s="1017"/>
      <c r="AF547" s="1017"/>
    </row>
    <row r="548" spans="1:32" ht="16.5">
      <c r="A548" s="1022"/>
      <c r="B548" s="1743"/>
      <c r="C548" s="1258">
        <v>43652</v>
      </c>
      <c r="D548" s="1259">
        <v>44380</v>
      </c>
      <c r="E548" s="1259"/>
      <c r="F548" s="1173">
        <v>669645</v>
      </c>
      <c r="G548" s="1174">
        <v>594459</v>
      </c>
      <c r="H548" s="1181">
        <f t="shared" si="28"/>
        <v>193199.17500000002</v>
      </c>
      <c r="I548" s="1262">
        <f t="shared" si="29"/>
        <v>297229.5</v>
      </c>
      <c r="J548" s="1311">
        <f>G548/F548</f>
        <v>0.88772259928768227</v>
      </c>
      <c r="K548" s="1447"/>
      <c r="M548" s="1018"/>
      <c r="N548" s="1018"/>
      <c r="O548" s="1018"/>
      <c r="P548" s="1018"/>
      <c r="Q548" s="1022"/>
      <c r="R548" s="1387">
        <v>0.84275496457256371</v>
      </c>
      <c r="S548" s="1386">
        <f t="shared" si="27"/>
        <v>5.8582770508408544E-5</v>
      </c>
      <c r="T548" s="1313"/>
      <c r="U548" s="1017"/>
      <c r="V548" s="1017"/>
      <c r="W548" s="1017"/>
      <c r="X548" s="1017"/>
      <c r="Y548" s="1017"/>
      <c r="Z548" s="1017"/>
      <c r="AA548" s="1017"/>
      <c r="AB548" s="1017"/>
      <c r="AC548" s="1017"/>
      <c r="AD548" s="1017"/>
      <c r="AE548" s="1017"/>
      <c r="AF548" s="1017"/>
    </row>
    <row r="549" spans="1:32" ht="16.5">
      <c r="A549" s="1022"/>
      <c r="B549" s="1727" t="s">
        <v>362</v>
      </c>
      <c r="C549" s="1250">
        <v>43653</v>
      </c>
      <c r="D549" s="1251">
        <v>44381</v>
      </c>
      <c r="E549" s="1251"/>
      <c r="F549" s="1157">
        <v>378115</v>
      </c>
      <c r="G549" s="1158">
        <v>332932</v>
      </c>
      <c r="H549" s="1026">
        <f t="shared" si="28"/>
        <v>108202.90000000001</v>
      </c>
      <c r="I549" s="1242">
        <f t="shared" si="29"/>
        <v>166466</v>
      </c>
      <c r="J549" s="1371">
        <f>G549/F549</f>
        <v>0.88050460838633748</v>
      </c>
      <c r="K549" s="1448"/>
      <c r="L549" s="1747" t="s">
        <v>426</v>
      </c>
      <c r="M549" s="1750" t="s">
        <v>313</v>
      </c>
      <c r="N549" s="1725"/>
      <c r="O549" s="1725"/>
      <c r="P549" s="1726"/>
      <c r="Q549" s="1065"/>
      <c r="R549" s="1387">
        <v>0.84281354734307223</v>
      </c>
      <c r="S549" s="1386">
        <f t="shared" si="27"/>
        <v>5.8582770508519566E-5</v>
      </c>
      <c r="T549" s="1313"/>
      <c r="U549" s="1017"/>
      <c r="V549" s="1017"/>
      <c r="W549" s="1017"/>
      <c r="X549" s="1017"/>
      <c r="Y549" s="1017"/>
      <c r="Z549" s="1017"/>
      <c r="AA549" s="1017"/>
      <c r="AB549" s="1017"/>
      <c r="AC549" s="1017"/>
      <c r="AD549" s="1017"/>
      <c r="AE549" s="1017"/>
      <c r="AF549" s="1017"/>
    </row>
    <row r="550" spans="1:32" ht="16.5">
      <c r="A550" s="1022"/>
      <c r="B550" s="1728"/>
      <c r="C550" s="1255">
        <v>43654</v>
      </c>
      <c r="D550" s="1256">
        <v>44382</v>
      </c>
      <c r="E550" s="1256"/>
      <c r="F550" s="1164">
        <v>365899</v>
      </c>
      <c r="G550" s="1165">
        <v>361511.61</v>
      </c>
      <c r="H550" s="1178">
        <f t="shared" si="28"/>
        <v>117491.27325</v>
      </c>
      <c r="I550" s="1261">
        <f t="shared" si="29"/>
        <v>180755.80499999999</v>
      </c>
      <c r="J550" s="1335">
        <f>G550/F550</f>
        <v>0.98800928671573296</v>
      </c>
      <c r="K550" s="1447"/>
      <c r="L550" s="1748"/>
      <c r="M550" s="1398" t="s">
        <v>2</v>
      </c>
      <c r="N550" s="1389" t="s">
        <v>1</v>
      </c>
      <c r="O550" s="1390" t="s">
        <v>420</v>
      </c>
      <c r="P550" s="1391" t="s">
        <v>427</v>
      </c>
      <c r="Q550" s="1065"/>
      <c r="R550" s="1393">
        <v>0.84287213011358075</v>
      </c>
      <c r="S550" s="1394">
        <f t="shared" si="27"/>
        <v>5.8582770508519566E-5</v>
      </c>
      <c r="T550" s="1313"/>
      <c r="U550" s="1017"/>
      <c r="V550" s="1017"/>
      <c r="W550" s="1017"/>
      <c r="X550" s="1017"/>
      <c r="Y550" s="1017"/>
      <c r="Z550" s="1017"/>
      <c r="AA550" s="1017"/>
      <c r="AB550" s="1017"/>
      <c r="AC550" s="1017"/>
      <c r="AD550" s="1017"/>
      <c r="AE550" s="1017"/>
      <c r="AF550" s="1017"/>
    </row>
    <row r="551" spans="1:32" ht="16.5">
      <c r="A551" s="1022"/>
      <c r="B551" s="1728"/>
      <c r="C551" s="1255">
        <v>43655</v>
      </c>
      <c r="D551" s="1256">
        <v>44383</v>
      </c>
      <c r="E551" s="1256"/>
      <c r="F551" s="1164">
        <v>366895</v>
      </c>
      <c r="G551" s="1165">
        <v>315906</v>
      </c>
      <c r="H551" s="1178">
        <f t="shared" si="28"/>
        <v>102669.45</v>
      </c>
      <c r="I551" s="1261">
        <f t="shared" si="29"/>
        <v>157953</v>
      </c>
      <c r="J551" s="1335">
        <f>G551/F551</f>
        <v>0.86102563403698607</v>
      </c>
      <c r="K551" s="1447"/>
      <c r="L551" s="1748"/>
      <c r="M551" s="1399">
        <f>SUM(G570:G576)/SUM(F570:F576)</f>
        <v>0.8929413230429154</v>
      </c>
      <c r="N551" s="1380">
        <f>SUM(G549:G576)/SUM(F549:F576)</f>
        <v>0.89429347928016611</v>
      </c>
      <c r="O551" s="1381">
        <f>SUM(G563:G576)/SUM(F563:F576)</f>
        <v>0.89295358987227735</v>
      </c>
      <c r="P551" s="1392">
        <f>SUM(G549:G576)/SUM(F549:F576)</f>
        <v>0.89429347928016611</v>
      </c>
      <c r="Q551" s="1065"/>
      <c r="R551" s="1387">
        <v>0.84293071288408927</v>
      </c>
      <c r="S551" s="1386">
        <f t="shared" si="27"/>
        <v>5.8582770508519566E-5</v>
      </c>
      <c r="T551" s="1313"/>
      <c r="U551" s="1017"/>
      <c r="V551" s="1017"/>
      <c r="W551" s="1017"/>
      <c r="X551" s="1017"/>
      <c r="Y551" s="1017"/>
      <c r="Z551" s="1017"/>
      <c r="AA551" s="1017"/>
      <c r="AB551" s="1017"/>
      <c r="AC551" s="1017"/>
      <c r="AD551" s="1017"/>
      <c r="AE551" s="1017"/>
      <c r="AF551" s="1017"/>
    </row>
    <row r="552" spans="1:32" ht="16.5">
      <c r="A552" s="1022"/>
      <c r="B552" s="1728"/>
      <c r="C552" s="1255">
        <v>43656</v>
      </c>
      <c r="D552" s="1256">
        <v>44384</v>
      </c>
      <c r="E552" s="1256"/>
      <c r="F552" s="1164">
        <v>360905</v>
      </c>
      <c r="G552" s="1165">
        <v>342266</v>
      </c>
      <c r="H552" s="1178">
        <f t="shared" si="28"/>
        <v>111236.45</v>
      </c>
      <c r="I552" s="1261">
        <f t="shared" si="29"/>
        <v>171133</v>
      </c>
      <c r="J552" s="1335">
        <f>G552/F552</f>
        <v>0.94835483021847855</v>
      </c>
      <c r="K552" s="1447"/>
      <c r="L552" s="1748"/>
      <c r="M552" s="1169"/>
      <c r="N552" s="1286"/>
      <c r="O552" s="1286"/>
      <c r="P552" s="1286"/>
      <c r="Q552" s="1022"/>
      <c r="R552" s="1387">
        <v>0.84298929565459779</v>
      </c>
      <c r="S552" s="1386">
        <f t="shared" si="27"/>
        <v>5.8582770508519566E-5</v>
      </c>
      <c r="T552" s="1313"/>
      <c r="U552" s="1017"/>
      <c r="V552" s="1017"/>
      <c r="W552" s="1017"/>
      <c r="X552" s="1017"/>
      <c r="Y552" s="1017"/>
      <c r="Z552" s="1017"/>
      <c r="AA552" s="1017"/>
      <c r="AB552" s="1017"/>
      <c r="AC552" s="1017"/>
      <c r="AD552" s="1017"/>
      <c r="AE552" s="1017"/>
      <c r="AF552" s="1017"/>
    </row>
    <row r="553" spans="1:32" ht="16.5">
      <c r="A553" s="1022"/>
      <c r="B553" s="1728"/>
      <c r="C553" s="1255">
        <v>43657</v>
      </c>
      <c r="D553" s="1256">
        <v>44385</v>
      </c>
      <c r="E553" s="1256"/>
      <c r="F553" s="1164">
        <v>391613</v>
      </c>
      <c r="G553" s="1165">
        <v>357033.15</v>
      </c>
      <c r="H553" s="1178">
        <f t="shared" si="28"/>
        <v>116035.77375000001</v>
      </c>
      <c r="I553" s="1261">
        <f t="shared" si="29"/>
        <v>178516.57500000001</v>
      </c>
      <c r="J553" s="1335">
        <f>G553/F553</f>
        <v>0.911698922150184</v>
      </c>
      <c r="K553" s="1447"/>
      <c r="L553" s="1748"/>
      <c r="M553" s="1036"/>
      <c r="N553" s="1017"/>
      <c r="O553" s="1017"/>
      <c r="P553" s="1017"/>
      <c r="Q553" s="1022"/>
      <c r="R553" s="1387">
        <v>0.8430478784251062</v>
      </c>
      <c r="S553" s="1385"/>
      <c r="T553" s="1313"/>
      <c r="U553" s="1017"/>
      <c r="V553" s="1017"/>
      <c r="W553" s="1017"/>
      <c r="X553" s="1017"/>
      <c r="Y553" s="1017"/>
      <c r="Z553" s="1017"/>
      <c r="AA553" s="1017"/>
      <c r="AB553" s="1017"/>
      <c r="AC553" s="1017"/>
      <c r="AD553" s="1017"/>
      <c r="AE553" s="1017"/>
      <c r="AF553" s="1017"/>
    </row>
    <row r="554" spans="1:32" ht="16.5">
      <c r="A554" s="1022"/>
      <c r="B554" s="1728"/>
      <c r="C554" s="1255">
        <v>43658</v>
      </c>
      <c r="D554" s="1256">
        <v>44386</v>
      </c>
      <c r="E554" s="1256"/>
      <c r="F554" s="1164">
        <v>529079</v>
      </c>
      <c r="G554" s="1165">
        <v>452575.04</v>
      </c>
      <c r="H554" s="1178">
        <f t="shared" si="28"/>
        <v>147086.88800000001</v>
      </c>
      <c r="I554" s="1261">
        <f t="shared" si="29"/>
        <v>226287.52</v>
      </c>
      <c r="J554" s="1335">
        <f>G554/F554</f>
        <v>0.8554016318924017</v>
      </c>
      <c r="K554" s="1447"/>
      <c r="L554" s="1748"/>
      <c r="M554" s="1036"/>
      <c r="N554" s="1017"/>
      <c r="O554" s="1017"/>
      <c r="P554" s="1017"/>
      <c r="Q554" s="1022"/>
      <c r="R554" s="1387">
        <v>0.84310646119561472</v>
      </c>
      <c r="S554" s="1385"/>
      <c r="T554" s="1313"/>
      <c r="U554" s="1017"/>
      <c r="V554" s="1017"/>
      <c r="W554" s="1017"/>
      <c r="X554" s="1017"/>
      <c r="Y554" s="1017"/>
      <c r="Z554" s="1017"/>
      <c r="AA554" s="1017"/>
      <c r="AB554" s="1017"/>
      <c r="AC554" s="1017"/>
      <c r="AD554" s="1017"/>
      <c r="AE554" s="1017"/>
      <c r="AF554" s="1017"/>
    </row>
    <row r="555" spans="1:32" ht="16.5">
      <c r="A555" s="1022"/>
      <c r="B555" s="1736"/>
      <c r="C555" s="1258">
        <v>43659</v>
      </c>
      <c r="D555" s="1259">
        <v>44387</v>
      </c>
      <c r="E555" s="1259"/>
      <c r="F555" s="1173">
        <v>673753</v>
      </c>
      <c r="G555" s="1174">
        <v>609041.43000000005</v>
      </c>
      <c r="H555" s="1181">
        <f t="shared" si="28"/>
        <v>197938.46475000001</v>
      </c>
      <c r="I555" s="1262">
        <f t="shared" si="29"/>
        <v>304520.71500000003</v>
      </c>
      <c r="J555" s="1336">
        <f>G555/F555</f>
        <v>0.9039535705221351</v>
      </c>
      <c r="K555" s="1447"/>
      <c r="L555" s="1749"/>
      <c r="M555" s="1036"/>
      <c r="N555" s="1017"/>
      <c r="O555" s="1017"/>
      <c r="P555" s="1017"/>
      <c r="Q555" s="1022"/>
      <c r="R555" s="1387">
        <v>0.84316504396612324</v>
      </c>
      <c r="S555" s="1385"/>
      <c r="T555" s="1313"/>
      <c r="U555" s="1017"/>
      <c r="V555" s="1017"/>
      <c r="W555" s="1017"/>
      <c r="X555" s="1017"/>
      <c r="Y555" s="1017"/>
      <c r="Z555" s="1017"/>
      <c r="AA555" s="1017"/>
      <c r="AB555" s="1017"/>
      <c r="AC555" s="1017"/>
      <c r="AD555" s="1017"/>
      <c r="AE555" s="1017"/>
      <c r="AF555" s="1017"/>
    </row>
    <row r="556" spans="1:32" ht="16.5">
      <c r="A556" s="1022"/>
      <c r="B556" s="1727" t="s">
        <v>363</v>
      </c>
      <c r="C556" s="1250">
        <v>43660</v>
      </c>
      <c r="D556" s="1251">
        <v>44388</v>
      </c>
      <c r="E556" s="1251"/>
      <c r="F556" s="1157">
        <v>364100</v>
      </c>
      <c r="G556" s="1158">
        <v>311744.59000000003</v>
      </c>
      <c r="H556" s="1026">
        <f t="shared" si="28"/>
        <v>101316.99175000002</v>
      </c>
      <c r="I556" s="1242">
        <f t="shared" si="29"/>
        <v>155872.29500000001</v>
      </c>
      <c r="J556" s="1312">
        <f>G556/F556</f>
        <v>0.85620595990112613</v>
      </c>
      <c r="K556" s="1447"/>
      <c r="L556" s="1145"/>
      <c r="M556" s="1313"/>
      <c r="N556" s="1017"/>
      <c r="O556" s="1017"/>
      <c r="P556" s="1017"/>
      <c r="Q556" s="1022"/>
      <c r="R556" s="1387">
        <v>0.84322362673663176</v>
      </c>
      <c r="S556" s="1385"/>
      <c r="T556" s="1313"/>
      <c r="U556" s="1017"/>
      <c r="V556" s="1017"/>
      <c r="W556" s="1017"/>
      <c r="X556" s="1017"/>
      <c r="Y556" s="1017"/>
      <c r="Z556" s="1017"/>
      <c r="AA556" s="1017"/>
      <c r="AB556" s="1017"/>
      <c r="AC556" s="1017"/>
      <c r="AD556" s="1017"/>
      <c r="AE556" s="1017"/>
      <c r="AF556" s="1017"/>
    </row>
    <row r="557" spans="1:32" ht="16.5" customHeight="1">
      <c r="A557" s="1022"/>
      <c r="B557" s="1728"/>
      <c r="C557" s="1255">
        <v>43661</v>
      </c>
      <c r="D557" s="1256">
        <v>44389</v>
      </c>
      <c r="E557" s="1256"/>
      <c r="F557" s="1164">
        <v>405507</v>
      </c>
      <c r="G557" s="1165">
        <v>298353</v>
      </c>
      <c r="H557" s="1178">
        <f t="shared" si="28"/>
        <v>96964.725000000006</v>
      </c>
      <c r="I557" s="1261">
        <f t="shared" si="29"/>
        <v>149176.5</v>
      </c>
      <c r="J557" s="1338">
        <f>G557/F557</f>
        <v>0.73575302029311451</v>
      </c>
      <c r="K557" s="1449"/>
      <c r="L557" s="1747" t="s">
        <v>428</v>
      </c>
      <c r="M557" s="1036"/>
      <c r="N557" s="1017"/>
      <c r="O557" s="1017"/>
      <c r="P557" s="1017"/>
      <c r="Q557" s="1022"/>
      <c r="R557" s="1387">
        <v>0.84328220950714017</v>
      </c>
      <c r="S557" s="1395"/>
      <c r="T557" s="1313"/>
      <c r="U557" s="1017"/>
      <c r="V557" s="1017"/>
      <c r="W557" s="1017"/>
      <c r="X557" s="1017"/>
      <c r="Y557" s="1017"/>
      <c r="Z557" s="1017"/>
      <c r="AA557" s="1017"/>
      <c r="AB557" s="1017"/>
      <c r="AC557" s="1017"/>
      <c r="AD557" s="1017"/>
      <c r="AE557" s="1017"/>
      <c r="AF557" s="1017"/>
    </row>
    <row r="558" spans="1:32" ht="16.5">
      <c r="A558" s="1022"/>
      <c r="B558" s="1728"/>
      <c r="C558" s="1255">
        <v>43662</v>
      </c>
      <c r="D558" s="1256">
        <v>44390</v>
      </c>
      <c r="E558" s="1256"/>
      <c r="F558" s="1164">
        <v>380400</v>
      </c>
      <c r="G558" s="1165">
        <v>334524</v>
      </c>
      <c r="H558" s="1178">
        <f t="shared" si="28"/>
        <v>108720.3</v>
      </c>
      <c r="I558" s="1261">
        <f t="shared" si="29"/>
        <v>167262</v>
      </c>
      <c r="J558" s="1338">
        <f>G558/F558</f>
        <v>0.87940063091482645</v>
      </c>
      <c r="K558" s="1449"/>
      <c r="L558" s="1749"/>
      <c r="M558" s="1036"/>
      <c r="O558" s="1017"/>
      <c r="P558" s="1017"/>
      <c r="Q558" s="1022"/>
      <c r="R558" s="1387">
        <v>0.84334079227764869</v>
      </c>
      <c r="S558" s="1395"/>
      <c r="T558" s="1313"/>
      <c r="U558" s="1017"/>
      <c r="V558" s="1017"/>
      <c r="W558" s="1017"/>
      <c r="X558" s="1017"/>
      <c r="Y558" s="1017"/>
      <c r="Z558" s="1017"/>
      <c r="AA558" s="1017"/>
      <c r="AB558" s="1017"/>
      <c r="AC558" s="1017"/>
      <c r="AD558" s="1017"/>
      <c r="AE558" s="1017"/>
      <c r="AF558" s="1017"/>
    </row>
    <row r="559" spans="1:32" ht="16.5">
      <c r="A559" s="1022"/>
      <c r="B559" s="1728"/>
      <c r="C559" s="1255">
        <v>43663</v>
      </c>
      <c r="D559" s="1256">
        <v>44391</v>
      </c>
      <c r="E559" s="1256"/>
      <c r="F559" s="1164">
        <v>386251</v>
      </c>
      <c r="G559" s="1165">
        <v>341993</v>
      </c>
      <c r="H559" s="1178">
        <f t="shared" si="28"/>
        <v>111147.72500000001</v>
      </c>
      <c r="I559" s="1261">
        <f t="shared" si="29"/>
        <v>170996.5</v>
      </c>
      <c r="J559" s="1338">
        <f>G559/F559</f>
        <v>0.88541647788614142</v>
      </c>
      <c r="K559" s="1447"/>
      <c r="L559" s="1332"/>
      <c r="M559" s="1036"/>
      <c r="N559" s="1017"/>
      <c r="O559" s="1017"/>
      <c r="P559" s="1017"/>
      <c r="Q559" s="1022"/>
      <c r="R559" s="1387">
        <v>0.84339937504815721</v>
      </c>
      <c r="S559" s="1395"/>
      <c r="T559" s="1313"/>
      <c r="U559" s="1017"/>
      <c r="V559" s="1017"/>
      <c r="W559" s="1017"/>
      <c r="X559" s="1017"/>
      <c r="Y559" s="1017"/>
      <c r="Z559" s="1017"/>
      <c r="AA559" s="1017"/>
      <c r="AB559" s="1017"/>
      <c r="AC559" s="1017"/>
      <c r="AD559" s="1017"/>
      <c r="AE559" s="1017"/>
      <c r="AF559" s="1017"/>
    </row>
    <row r="560" spans="1:32" ht="16.5">
      <c r="A560" s="1022"/>
      <c r="B560" s="1728"/>
      <c r="C560" s="1255">
        <v>43664</v>
      </c>
      <c r="D560" s="1256">
        <v>44392</v>
      </c>
      <c r="E560" s="1256"/>
      <c r="F560" s="1164">
        <v>433537</v>
      </c>
      <c r="G560" s="1165">
        <v>450764</v>
      </c>
      <c r="H560" s="1178">
        <f t="shared" si="28"/>
        <v>146498.30000000002</v>
      </c>
      <c r="I560" s="1261">
        <f t="shared" si="29"/>
        <v>225382</v>
      </c>
      <c r="J560" s="1338">
        <f>G560/F560</f>
        <v>1.0397359394930537</v>
      </c>
      <c r="K560" s="1447"/>
      <c r="L560" s="1332"/>
      <c r="M560" s="1036"/>
      <c r="N560" s="1017"/>
      <c r="O560" s="1017"/>
      <c r="P560" s="1017"/>
      <c r="Q560" s="1022"/>
      <c r="R560" s="1387">
        <v>0.84345795781866573</v>
      </c>
      <c r="S560" s="1396"/>
      <c r="T560" s="1313"/>
      <c r="U560" s="1017"/>
      <c r="V560" s="1017"/>
      <c r="W560" s="1017"/>
      <c r="X560" s="1017"/>
      <c r="Y560" s="1017"/>
      <c r="Z560" s="1017"/>
      <c r="AA560" s="1017"/>
      <c r="AB560" s="1017"/>
      <c r="AC560" s="1017"/>
      <c r="AD560" s="1017"/>
      <c r="AE560" s="1017"/>
      <c r="AF560" s="1017"/>
    </row>
    <row r="561" spans="1:32" ht="16.5">
      <c r="A561" s="1022"/>
      <c r="B561" s="1728"/>
      <c r="C561" s="1255">
        <v>43665</v>
      </c>
      <c r="D561" s="1256">
        <v>44393</v>
      </c>
      <c r="E561" s="1256"/>
      <c r="F561" s="1164">
        <v>513491</v>
      </c>
      <c r="G561" s="1165">
        <v>493917</v>
      </c>
      <c r="H561" s="1178">
        <f t="shared" si="28"/>
        <v>160523.02499999999</v>
      </c>
      <c r="I561" s="1261">
        <f t="shared" si="29"/>
        <v>246958.5</v>
      </c>
      <c r="J561" s="1338">
        <f t="shared" ref="J561:J567" si="30">G561/F561</f>
        <v>0.96188053928890671</v>
      </c>
      <c r="K561" s="1447"/>
      <c r="L561" s="1332"/>
      <c r="M561" s="1036"/>
      <c r="N561" s="1017"/>
      <c r="O561" s="1017"/>
      <c r="P561" s="1017"/>
      <c r="Q561" s="1017"/>
      <c r="R561" s="1387">
        <v>0.84351654058917414</v>
      </c>
      <c r="S561" s="1286"/>
      <c r="T561" s="1351"/>
      <c r="U561" s="1017"/>
      <c r="V561" s="1017"/>
      <c r="W561" s="1017"/>
      <c r="X561" s="1017"/>
      <c r="Y561" s="1017"/>
      <c r="Z561" s="1017"/>
      <c r="AA561" s="1017"/>
      <c r="AB561" s="1017"/>
      <c r="AC561" s="1017"/>
      <c r="AD561" s="1017"/>
      <c r="AE561" s="1017"/>
      <c r="AF561" s="1017"/>
    </row>
    <row r="562" spans="1:32" ht="16.5">
      <c r="A562" s="1022"/>
      <c r="B562" s="1736"/>
      <c r="C562" s="1258">
        <v>43666</v>
      </c>
      <c r="D562" s="1259">
        <v>44394</v>
      </c>
      <c r="E562" s="1259"/>
      <c r="F562" s="1173">
        <v>701881</v>
      </c>
      <c r="G562" s="1174">
        <v>595889.68999999994</v>
      </c>
      <c r="H562" s="1181">
        <f t="shared" si="28"/>
        <v>193664.14924999999</v>
      </c>
      <c r="I562" s="1262">
        <f t="shared" si="29"/>
        <v>297944.84499999997</v>
      </c>
      <c r="J562" s="1407">
        <f t="shared" si="30"/>
        <v>0.8489896292961342</v>
      </c>
      <c r="K562" s="1447"/>
      <c r="L562" s="1332"/>
      <c r="M562" s="1036"/>
      <c r="N562" s="1017"/>
      <c r="O562" s="1017"/>
      <c r="P562" s="1017"/>
      <c r="Q562" s="1017"/>
      <c r="R562" s="1387">
        <v>0.84357512335968265</v>
      </c>
      <c r="S562" s="1017"/>
      <c r="T562" s="1351"/>
      <c r="U562" s="1017"/>
      <c r="V562" s="1017"/>
      <c r="W562" s="1017"/>
      <c r="X562" s="1017"/>
      <c r="Y562" s="1017"/>
      <c r="Z562" s="1017"/>
      <c r="AA562" s="1017"/>
      <c r="AB562" s="1017"/>
      <c r="AC562" s="1017"/>
      <c r="AD562" s="1017"/>
      <c r="AE562" s="1017"/>
      <c r="AF562" s="1017"/>
    </row>
    <row r="563" spans="1:32" ht="16.5">
      <c r="A563" s="1022"/>
      <c r="B563" s="1727" t="s">
        <v>364</v>
      </c>
      <c r="C563" s="1250">
        <v>43667</v>
      </c>
      <c r="D563" s="1251">
        <v>44395</v>
      </c>
      <c r="E563" s="1251"/>
      <c r="F563" s="1157">
        <v>357565</v>
      </c>
      <c r="G563" s="1158">
        <v>309607.15999999997</v>
      </c>
      <c r="H563" s="1026">
        <f t="shared" si="28"/>
        <v>100622.32699999999</v>
      </c>
      <c r="I563" s="1242">
        <f t="shared" si="29"/>
        <v>154803.57999999999</v>
      </c>
      <c r="J563" s="1312">
        <f t="shared" si="30"/>
        <v>0.86587658188021754</v>
      </c>
      <c r="K563" s="1447"/>
      <c r="L563" s="1332"/>
      <c r="M563" s="1036"/>
      <c r="N563" s="1017"/>
      <c r="O563" s="1017"/>
      <c r="P563" s="1017"/>
      <c r="Q563" s="1017"/>
      <c r="R563" s="1387">
        <v>0.84363370613019117</v>
      </c>
      <c r="S563" s="1017"/>
      <c r="T563" s="1351"/>
      <c r="U563" s="1017"/>
      <c r="V563" s="1017"/>
      <c r="W563" s="1017"/>
      <c r="X563" s="1017"/>
      <c r="Y563" s="1017"/>
      <c r="Z563" s="1017"/>
      <c r="AA563" s="1017"/>
      <c r="AB563" s="1017"/>
      <c r="AC563" s="1017"/>
      <c r="AD563" s="1017"/>
      <c r="AE563" s="1017"/>
      <c r="AF563" s="1017"/>
    </row>
    <row r="564" spans="1:32" ht="16.5">
      <c r="A564" s="1022"/>
      <c r="B564" s="1728"/>
      <c r="C564" s="1255">
        <v>43668</v>
      </c>
      <c r="D564" s="1256">
        <v>44396</v>
      </c>
      <c r="E564" s="1256"/>
      <c r="F564" s="1164">
        <v>361154</v>
      </c>
      <c r="G564" s="1165">
        <v>325158.52</v>
      </c>
      <c r="H564" s="1178">
        <f t="shared" si="28"/>
        <v>105676.51900000001</v>
      </c>
      <c r="I564" s="1261">
        <f t="shared" si="29"/>
        <v>162579.26</v>
      </c>
      <c r="J564" s="1306">
        <f t="shared" si="30"/>
        <v>0.90033204671691303</v>
      </c>
      <c r="K564" s="1449"/>
      <c r="L564" s="1408" t="s">
        <v>429</v>
      </c>
      <c r="M564" s="1036"/>
      <c r="N564" s="1017"/>
      <c r="O564" s="1017"/>
      <c r="P564" s="1017"/>
      <c r="Q564" s="1017"/>
      <c r="R564" s="1387">
        <v>0.84369228890069969</v>
      </c>
      <c r="S564" s="1017"/>
      <c r="T564" s="1351"/>
      <c r="U564" s="1017"/>
      <c r="V564" s="1017"/>
      <c r="W564" s="1017"/>
      <c r="X564" s="1017"/>
      <c r="Y564" s="1017"/>
      <c r="Z564" s="1017"/>
      <c r="AA564" s="1017"/>
      <c r="AB564" s="1017"/>
      <c r="AC564" s="1017"/>
      <c r="AD564" s="1017"/>
      <c r="AE564" s="1017"/>
      <c r="AF564" s="1017"/>
    </row>
    <row r="565" spans="1:32" ht="22.5" customHeight="1">
      <c r="A565" s="1022"/>
      <c r="B565" s="1728"/>
      <c r="C565" s="1255">
        <v>43669</v>
      </c>
      <c r="D565" s="1256">
        <v>44397</v>
      </c>
      <c r="E565" s="1256"/>
      <c r="F565" s="1164">
        <v>355231</v>
      </c>
      <c r="G565" s="1165">
        <v>294387.90000000002</v>
      </c>
      <c r="H565" s="1178">
        <f t="shared" si="28"/>
        <v>95676.067500000005</v>
      </c>
      <c r="I565" s="1261">
        <f t="shared" si="29"/>
        <v>147193.95000000001</v>
      </c>
      <c r="J565" s="1306">
        <f t="shared" si="30"/>
        <v>0.828722436949478</v>
      </c>
      <c r="K565" s="1449"/>
      <c r="L565" s="1424" t="s">
        <v>428</v>
      </c>
      <c r="M565" s="1036"/>
      <c r="N565" s="1017"/>
      <c r="O565" s="1017"/>
      <c r="P565" s="1017"/>
      <c r="Q565" s="1017"/>
      <c r="R565" s="1387">
        <v>0.84375087167120821</v>
      </c>
      <c r="S565" s="1017"/>
      <c r="T565" s="1351"/>
      <c r="U565" s="1017"/>
      <c r="V565" s="1017"/>
      <c r="W565" s="1017"/>
      <c r="X565" s="1017"/>
      <c r="Y565" s="1017"/>
      <c r="Z565" s="1017"/>
      <c r="AA565" s="1017"/>
      <c r="AB565" s="1017"/>
      <c r="AC565" s="1017"/>
      <c r="AD565" s="1017"/>
      <c r="AE565" s="1017"/>
      <c r="AF565" s="1017"/>
    </row>
    <row r="566" spans="1:32" ht="16.5">
      <c r="A566" s="1022"/>
      <c r="B566" s="1728"/>
      <c r="C566" s="1255">
        <v>43670</v>
      </c>
      <c r="D566" s="1256">
        <v>44398</v>
      </c>
      <c r="E566" s="1256"/>
      <c r="F566" s="1164">
        <v>333909</v>
      </c>
      <c r="G566" s="1165">
        <v>330338.7</v>
      </c>
      <c r="H566" s="1178">
        <f t="shared" si="28"/>
        <v>107360.07750000001</v>
      </c>
      <c r="I566" s="1261">
        <f t="shared" si="29"/>
        <v>165169.35</v>
      </c>
      <c r="J566" s="1306">
        <f t="shared" si="30"/>
        <v>0.98930756583380508</v>
      </c>
      <c r="K566" s="1447"/>
      <c r="L566" s="1169"/>
      <c r="M566" s="1017"/>
      <c r="N566" s="1017"/>
      <c r="O566" s="1017"/>
      <c r="P566" s="1017"/>
      <c r="Q566" s="1017"/>
      <c r="R566" s="1387">
        <v>0.84380945444171662</v>
      </c>
      <c r="S566" s="1017"/>
      <c r="T566" s="1351"/>
      <c r="U566" s="1017"/>
      <c r="V566" s="1017"/>
      <c r="W566" s="1017"/>
      <c r="X566" s="1017"/>
      <c r="Y566" s="1017"/>
      <c r="Z566" s="1017"/>
      <c r="AA566" s="1017"/>
      <c r="AB566" s="1017"/>
      <c r="AC566" s="1017"/>
      <c r="AD566" s="1017"/>
      <c r="AE566" s="1017"/>
      <c r="AF566" s="1017"/>
    </row>
    <row r="567" spans="1:32" ht="16.5">
      <c r="A567" s="1022"/>
      <c r="B567" s="1728"/>
      <c r="C567" s="1255">
        <v>43671</v>
      </c>
      <c r="D567" s="1256">
        <v>44399</v>
      </c>
      <c r="E567" s="1256"/>
      <c r="F567" s="1164">
        <v>392000</v>
      </c>
      <c r="G567" s="1165">
        <v>359798</v>
      </c>
      <c r="H567" s="1178">
        <f>(G567*0.5)*0.65</f>
        <v>116934.35</v>
      </c>
      <c r="I567" s="1261">
        <f t="shared" si="29"/>
        <v>179899</v>
      </c>
      <c r="J567" s="1306">
        <f t="shared" si="30"/>
        <v>0.91785204081632654</v>
      </c>
      <c r="K567" s="1447"/>
      <c r="L567" s="1036"/>
      <c r="M567" s="1017"/>
      <c r="N567" s="1017"/>
      <c r="O567" s="1017"/>
      <c r="P567" s="1017"/>
      <c r="Q567" s="1017"/>
      <c r="R567" s="1387">
        <v>0.84386803721222514</v>
      </c>
      <c r="S567" s="1017"/>
      <c r="T567" s="1351"/>
      <c r="U567" s="1017"/>
      <c r="V567" s="1017"/>
      <c r="W567" s="1017"/>
      <c r="X567" s="1017"/>
      <c r="Y567" s="1017"/>
      <c r="Z567" s="1017"/>
      <c r="AA567" s="1017"/>
      <c r="AB567" s="1017"/>
      <c r="AC567" s="1017"/>
      <c r="AD567" s="1017"/>
      <c r="AE567" s="1017"/>
      <c r="AF567" s="1017"/>
    </row>
    <row r="568" spans="1:32" ht="16.5">
      <c r="A568" s="1022"/>
      <c r="B568" s="1728"/>
      <c r="C568" s="1255">
        <v>43672</v>
      </c>
      <c r="D568" s="1256">
        <v>44400</v>
      </c>
      <c r="E568" s="1256"/>
      <c r="F568" s="1164">
        <v>497011</v>
      </c>
      <c r="G568" s="1165">
        <v>427319.15</v>
      </c>
      <c r="H568" s="1178">
        <f t="shared" si="28"/>
        <v>138878.72375</v>
      </c>
      <c r="I568" s="1261">
        <f t="shared" si="29"/>
        <v>213659.57500000001</v>
      </c>
      <c r="J568" s="1306">
        <f>G568/F568</f>
        <v>0.85977805320204181</v>
      </c>
      <c r="K568" s="1447"/>
      <c r="L568" s="1036"/>
      <c r="M568" s="1017"/>
      <c r="N568" s="1017"/>
      <c r="O568" s="1017"/>
      <c r="P568" s="1017"/>
      <c r="Q568" s="1017"/>
      <c r="R568" s="1387">
        <v>0.84392661998273366</v>
      </c>
      <c r="S568" s="1017"/>
      <c r="T568" s="1351"/>
      <c r="U568" s="1017"/>
      <c r="V568" s="1017"/>
      <c r="W568" s="1017"/>
      <c r="X568" s="1017"/>
      <c r="Y568" s="1017"/>
      <c r="Z568" s="1017"/>
      <c r="AA568" s="1017"/>
      <c r="AB568" s="1017"/>
      <c r="AC568" s="1017"/>
      <c r="AD568" s="1017"/>
      <c r="AE568" s="1017"/>
      <c r="AF568" s="1017"/>
    </row>
    <row r="569" spans="1:32" ht="16.5">
      <c r="A569" s="1022"/>
      <c r="B569" s="1736"/>
      <c r="C569" s="1258">
        <v>43673</v>
      </c>
      <c r="D569" s="1259">
        <v>44401</v>
      </c>
      <c r="E569" s="1259"/>
      <c r="F569" s="1173">
        <v>653508</v>
      </c>
      <c r="G569" s="1174">
        <v>587976.79</v>
      </c>
      <c r="H569" s="1181">
        <f t="shared" si="28"/>
        <v>191092.45675000001</v>
      </c>
      <c r="I569" s="1262">
        <f t="shared" si="29"/>
        <v>293988.39500000002</v>
      </c>
      <c r="J569" s="1311">
        <f>G569/F569</f>
        <v>0.89972393604974998</v>
      </c>
      <c r="K569" s="1447"/>
      <c r="L569" s="1036"/>
      <c r="M569" s="1017"/>
      <c r="N569" s="1017"/>
      <c r="O569" s="1017"/>
      <c r="P569" s="1017"/>
      <c r="Q569" s="1017"/>
      <c r="R569" s="1387">
        <v>0.84398520275324218</v>
      </c>
      <c r="S569" s="1017"/>
      <c r="T569" s="1351"/>
      <c r="U569" s="1017"/>
      <c r="V569" s="1017"/>
      <c r="W569" s="1017"/>
      <c r="X569" s="1017"/>
      <c r="Y569" s="1017"/>
      <c r="Z569" s="1017"/>
      <c r="AA569" s="1017"/>
      <c r="AB569" s="1017"/>
      <c r="AC569" s="1017"/>
      <c r="AD569" s="1017"/>
      <c r="AE569" s="1017"/>
      <c r="AF569" s="1017"/>
    </row>
    <row r="570" spans="1:32" ht="16.5">
      <c r="A570" s="1022"/>
      <c r="B570" s="1727" t="s">
        <v>365</v>
      </c>
      <c r="C570" s="1250">
        <v>43674</v>
      </c>
      <c r="D570" s="1251">
        <v>44402</v>
      </c>
      <c r="E570" s="1251"/>
      <c r="F570" s="1157">
        <v>324842</v>
      </c>
      <c r="G570" s="1158">
        <v>307268</v>
      </c>
      <c r="H570" s="1026">
        <f t="shared" si="28"/>
        <v>99862.1</v>
      </c>
      <c r="I570" s="1242">
        <f t="shared" si="29"/>
        <v>153634</v>
      </c>
      <c r="J570" s="1312">
        <f>G570/F570</f>
        <v>0.9458998528515401</v>
      </c>
      <c r="K570" s="1447"/>
      <c r="L570" s="1036"/>
      <c r="M570" s="1017"/>
      <c r="N570" s="1017"/>
      <c r="O570" s="1017"/>
      <c r="P570" s="1017"/>
      <c r="Q570" s="1017"/>
      <c r="R570" s="1387">
        <v>0.84404378552375059</v>
      </c>
      <c r="S570" s="1017"/>
      <c r="T570" s="1351"/>
      <c r="U570" s="1017"/>
      <c r="V570" s="1017"/>
      <c r="W570" s="1017"/>
      <c r="X570" s="1017"/>
      <c r="Y570" s="1017"/>
      <c r="Z570" s="1017"/>
      <c r="AA570" s="1017"/>
      <c r="AB570" s="1017"/>
      <c r="AC570" s="1017"/>
      <c r="AD570" s="1017"/>
      <c r="AE570" s="1017"/>
      <c r="AF570" s="1017"/>
    </row>
    <row r="571" spans="1:32" ht="16.5">
      <c r="A571" s="1022"/>
      <c r="B571" s="1728"/>
      <c r="C571" s="1255">
        <v>43675</v>
      </c>
      <c r="D571" s="1256">
        <v>44403</v>
      </c>
      <c r="E571" s="1256"/>
      <c r="F571" s="1164">
        <v>314609</v>
      </c>
      <c r="G571" s="1165">
        <v>292313.18</v>
      </c>
      <c r="H571" s="1178">
        <f t="shared" si="28"/>
        <v>95001.783500000005</v>
      </c>
      <c r="I571" s="1261">
        <f t="shared" si="29"/>
        <v>146156.59</v>
      </c>
      <c r="J571" s="1306">
        <f>G571/F571</f>
        <v>0.92913165230492445</v>
      </c>
      <c r="K571" s="1447"/>
      <c r="L571" s="1036"/>
      <c r="M571" s="1017"/>
      <c r="N571" s="1017"/>
      <c r="O571" s="1017"/>
      <c r="P571" s="1017"/>
      <c r="Q571" s="1017"/>
      <c r="R571" s="1387">
        <v>0.84410236829425911</v>
      </c>
      <c r="S571" s="1017"/>
      <c r="T571" s="1351"/>
      <c r="U571" s="1017"/>
      <c r="V571" s="1017"/>
      <c r="W571" s="1017"/>
      <c r="X571" s="1017"/>
      <c r="Y571" s="1017"/>
      <c r="Z571" s="1017"/>
      <c r="AA571" s="1017"/>
      <c r="AB571" s="1017"/>
      <c r="AC571" s="1017"/>
      <c r="AD571" s="1017"/>
      <c r="AE571" s="1017"/>
      <c r="AF571" s="1017"/>
    </row>
    <row r="572" spans="1:32" ht="16.5">
      <c r="A572" s="1022"/>
      <c r="B572" s="1728"/>
      <c r="C572" s="1255">
        <v>43676</v>
      </c>
      <c r="D572" s="1256">
        <v>44404</v>
      </c>
      <c r="E572" s="1256"/>
      <c r="F572" s="1164">
        <v>310579</v>
      </c>
      <c r="G572" s="1165">
        <v>286564.71999999997</v>
      </c>
      <c r="H572" s="1178">
        <f t="shared" si="28"/>
        <v>93133.534</v>
      </c>
      <c r="I572" s="1261">
        <f t="shared" si="29"/>
        <v>143282.35999999999</v>
      </c>
      <c r="J572" s="1306">
        <f>G572/F572</f>
        <v>0.92267899632621642</v>
      </c>
      <c r="K572" s="1447"/>
      <c r="L572" s="1036"/>
      <c r="M572" s="1017"/>
      <c r="N572" s="1017"/>
      <c r="O572" s="1017"/>
      <c r="P572" s="1017"/>
      <c r="Q572" s="1017"/>
      <c r="R572" s="1387">
        <v>0.84416095106476763</v>
      </c>
      <c r="S572" s="1017"/>
      <c r="T572" s="1351"/>
      <c r="U572" s="1017"/>
      <c r="V572" s="1017"/>
      <c r="W572" s="1017"/>
      <c r="X572" s="1017"/>
      <c r="Y572" s="1017"/>
      <c r="Z572" s="1017"/>
      <c r="AA572" s="1017"/>
      <c r="AB572" s="1017"/>
      <c r="AC572" s="1017"/>
      <c r="AD572" s="1017"/>
      <c r="AE572" s="1017"/>
      <c r="AF572" s="1017"/>
    </row>
    <row r="573" spans="1:32" ht="19.5" customHeight="1">
      <c r="A573" s="1022"/>
      <c r="B573" s="1728"/>
      <c r="C573" s="1255">
        <v>43677</v>
      </c>
      <c r="D573" s="1256">
        <v>44405</v>
      </c>
      <c r="E573" s="1256"/>
      <c r="F573" s="1164">
        <v>360856</v>
      </c>
      <c r="G573" s="1165">
        <v>288444.81</v>
      </c>
      <c r="H573" s="1178">
        <f t="shared" si="28"/>
        <v>93744.563250000007</v>
      </c>
      <c r="I573" s="1261">
        <f t="shared" si="29"/>
        <v>144222.405</v>
      </c>
      <c r="J573" s="1306">
        <f>G573/F573</f>
        <v>0.7993349424701266</v>
      </c>
      <c r="K573" s="1449"/>
      <c r="L573" s="1424" t="s">
        <v>428</v>
      </c>
      <c r="M573" s="1017"/>
      <c r="N573" s="1017"/>
      <c r="O573" s="1017"/>
      <c r="P573" s="1017"/>
      <c r="Q573" s="1017"/>
      <c r="R573" s="1387">
        <v>0.84421953383527615</v>
      </c>
      <c r="S573" s="1017"/>
      <c r="T573" s="1351"/>
      <c r="U573" s="1017"/>
      <c r="V573" s="1017"/>
      <c r="W573" s="1017"/>
      <c r="X573" s="1017"/>
      <c r="Y573" s="1017"/>
      <c r="Z573" s="1017"/>
      <c r="AA573" s="1017"/>
      <c r="AB573" s="1017"/>
      <c r="AC573" s="1017"/>
      <c r="AD573" s="1017"/>
      <c r="AE573" s="1017"/>
      <c r="AF573" s="1017"/>
    </row>
    <row r="574" spans="1:32" ht="20.25" customHeight="1">
      <c r="A574" s="1022"/>
      <c r="B574" s="1728"/>
      <c r="C574" s="1255">
        <v>43678</v>
      </c>
      <c r="D574" s="1256">
        <v>44406</v>
      </c>
      <c r="E574" s="1256"/>
      <c r="F574" s="1164">
        <v>443840</v>
      </c>
      <c r="G574" s="1165">
        <v>335407.62</v>
      </c>
      <c r="H574" s="1178">
        <f t="shared" si="28"/>
        <v>109007.4765</v>
      </c>
      <c r="I574" s="1261">
        <f t="shared" si="29"/>
        <v>167703.81</v>
      </c>
      <c r="J574" s="1306">
        <f>G574/F574</f>
        <v>0.75569489005046864</v>
      </c>
      <c r="K574" s="1449"/>
      <c r="L574" s="1424" t="s">
        <v>428</v>
      </c>
      <c r="M574" s="1017"/>
      <c r="N574" s="1017"/>
      <c r="O574" s="1017"/>
      <c r="P574" s="1017"/>
      <c r="Q574" s="1017"/>
      <c r="R574" s="1387">
        <v>0.84427811660578456</v>
      </c>
      <c r="S574" s="1017"/>
      <c r="T574" s="1351"/>
      <c r="U574" s="1017"/>
      <c r="V574" s="1017"/>
      <c r="W574" s="1017"/>
      <c r="X574" s="1017"/>
      <c r="Y574" s="1017"/>
      <c r="Z574" s="1017"/>
      <c r="AA574" s="1017"/>
      <c r="AB574" s="1017"/>
      <c r="AC574" s="1017"/>
      <c r="AD574" s="1017"/>
      <c r="AE574" s="1017"/>
      <c r="AF574" s="1017"/>
    </row>
    <row r="575" spans="1:32" ht="16.5">
      <c r="A575" s="1022"/>
      <c r="B575" s="1728"/>
      <c r="C575" s="1255">
        <v>43679</v>
      </c>
      <c r="D575" s="1256">
        <v>44407</v>
      </c>
      <c r="E575" s="1256"/>
      <c r="F575" s="1164">
        <v>533780</v>
      </c>
      <c r="G575" s="1165">
        <v>485681.6</v>
      </c>
      <c r="H575" s="1178">
        <f t="shared" si="28"/>
        <v>157846.51999999999</v>
      </c>
      <c r="I575" s="1261">
        <f t="shared" si="29"/>
        <v>242840.8</v>
      </c>
      <c r="J575" s="1306">
        <f>G575/F575</f>
        <v>0.90989096631571054</v>
      </c>
      <c r="K575" s="1447"/>
      <c r="L575" s="1036"/>
      <c r="M575" s="1017"/>
      <c r="N575" s="1017"/>
      <c r="O575" s="1017"/>
      <c r="P575" s="1017"/>
      <c r="Q575" s="1017"/>
      <c r="R575" s="1387">
        <v>0.84433669937629308</v>
      </c>
      <c r="S575" s="1017"/>
      <c r="T575" s="1351"/>
      <c r="U575" s="1017"/>
      <c r="V575" s="1017"/>
      <c r="W575" s="1017"/>
      <c r="X575" s="1017"/>
      <c r="Y575" s="1017"/>
      <c r="Z575" s="1017"/>
      <c r="AA575" s="1017"/>
      <c r="AB575" s="1017"/>
      <c r="AC575" s="1017"/>
      <c r="AD575" s="1017"/>
      <c r="AE575" s="1017"/>
      <c r="AF575" s="1017"/>
    </row>
    <row r="576" spans="1:32" ht="19.5" customHeight="1">
      <c r="A576" s="1022"/>
      <c r="B576" s="1729"/>
      <c r="C576" s="1265">
        <v>43680</v>
      </c>
      <c r="D576" s="1266">
        <v>44408</v>
      </c>
      <c r="E576" s="1266"/>
      <c r="F576" s="1199">
        <v>613093</v>
      </c>
      <c r="G576" s="1200">
        <v>595277.72</v>
      </c>
      <c r="H576" s="1201">
        <f t="shared" si="28"/>
        <v>193465.25899999999</v>
      </c>
      <c r="I576" s="1268">
        <f t="shared" si="29"/>
        <v>297638.86</v>
      </c>
      <c r="J576" s="1306">
        <f>G576/F576</f>
        <v>0.97094196149686907</v>
      </c>
      <c r="K576" s="1449"/>
      <c r="L576" s="1425"/>
      <c r="M576" s="1017"/>
      <c r="N576" s="1017"/>
      <c r="O576" s="1017"/>
      <c r="P576" s="1017"/>
      <c r="Q576" s="1017"/>
      <c r="R576" s="1387">
        <v>0.8443952821468016</v>
      </c>
      <c r="S576" s="1017"/>
      <c r="T576" s="1351"/>
      <c r="U576" s="1017"/>
      <c r="V576" s="1017"/>
      <c r="W576" s="1017"/>
      <c r="X576" s="1017"/>
      <c r="Y576" s="1017"/>
      <c r="Z576" s="1017"/>
      <c r="AA576" s="1017"/>
      <c r="AB576" s="1017"/>
      <c r="AC576" s="1017"/>
      <c r="AD576" s="1017"/>
      <c r="AE576" s="1017"/>
      <c r="AF576" s="1017"/>
    </row>
    <row r="577" spans="1:32" ht="18" customHeight="1">
      <c r="A577" s="1022"/>
      <c r="B577" s="1730" t="s">
        <v>366</v>
      </c>
      <c r="C577" s="1270">
        <v>43681</v>
      </c>
      <c r="D577" s="1271">
        <v>44409</v>
      </c>
      <c r="E577" s="1271"/>
      <c r="F577" s="1204">
        <v>354585</v>
      </c>
      <c r="G577" s="1273">
        <v>274839</v>
      </c>
      <c r="H577" s="1206">
        <f t="shared" si="28"/>
        <v>89322.675000000003</v>
      </c>
      <c r="I577" s="1274">
        <f t="shared" si="29"/>
        <v>137419.5</v>
      </c>
      <c r="J577" s="1306">
        <f>G577/F577</f>
        <v>0.77510046956301026</v>
      </c>
      <c r="K577" s="1449"/>
      <c r="L577" s="1424" t="s">
        <v>428</v>
      </c>
      <c r="M577" s="1724" t="s">
        <v>314</v>
      </c>
      <c r="N577" s="1725"/>
      <c r="O577" s="1725"/>
      <c r="P577" s="1726"/>
      <c r="Q577" s="1017"/>
      <c r="R577" s="1387">
        <v>0.84445386491731012</v>
      </c>
      <c r="S577" s="1017"/>
      <c r="T577" s="1351"/>
      <c r="U577" s="1017"/>
      <c r="V577" s="1017"/>
      <c r="W577" s="1017"/>
      <c r="X577" s="1017"/>
      <c r="Y577" s="1017"/>
      <c r="Z577" s="1017"/>
      <c r="AA577" s="1017"/>
      <c r="AB577" s="1017"/>
      <c r="AC577" s="1017"/>
      <c r="AD577" s="1017"/>
      <c r="AE577" s="1017"/>
      <c r="AF577" s="1017"/>
    </row>
    <row r="578" spans="1:32" ht="18.75" customHeight="1">
      <c r="A578" s="1022"/>
      <c r="B578" s="1731"/>
      <c r="C578" s="1255">
        <v>43682</v>
      </c>
      <c r="D578" s="1256">
        <v>44410</v>
      </c>
      <c r="E578" s="1256"/>
      <c r="F578" s="1164">
        <v>356484</v>
      </c>
      <c r="G578" s="1165">
        <v>297584.46999999997</v>
      </c>
      <c r="H578" s="1178">
        <f t="shared" si="28"/>
        <v>96714.952749999997</v>
      </c>
      <c r="I578" s="1261">
        <f t="shared" si="29"/>
        <v>148792.23499999999</v>
      </c>
      <c r="J578" s="1306">
        <f>G578/F578</f>
        <v>0.8347765117088003</v>
      </c>
      <c r="K578" s="1449"/>
      <c r="L578" s="1424" t="s">
        <v>428</v>
      </c>
      <c r="M578" s="1388" t="s">
        <v>2</v>
      </c>
      <c r="N578" s="1389" t="s">
        <v>1</v>
      </c>
      <c r="O578" s="1390" t="s">
        <v>420</v>
      </c>
      <c r="P578" s="1391" t="s">
        <v>427</v>
      </c>
      <c r="Q578" s="1017"/>
      <c r="R578" s="1387">
        <v>0.84451244768781863</v>
      </c>
      <c r="S578" s="1017"/>
      <c r="T578" s="1351"/>
      <c r="U578" s="1017"/>
      <c r="V578" s="1017"/>
      <c r="W578" s="1017"/>
      <c r="X578" s="1017"/>
      <c r="Y578" s="1017"/>
      <c r="Z578" s="1017"/>
      <c r="AA578" s="1017"/>
      <c r="AB578" s="1017"/>
      <c r="AC578" s="1017"/>
      <c r="AD578" s="1017"/>
      <c r="AE578" s="1017"/>
      <c r="AF578" s="1017"/>
    </row>
    <row r="579" spans="1:32" ht="18.75" customHeight="1">
      <c r="A579" s="1022"/>
      <c r="B579" s="1731"/>
      <c r="C579" s="1255">
        <v>43683</v>
      </c>
      <c r="D579" s="1256">
        <v>44411</v>
      </c>
      <c r="E579" s="1256"/>
      <c r="F579" s="1164">
        <v>339468</v>
      </c>
      <c r="G579" s="1165">
        <v>290947.48</v>
      </c>
      <c r="H579" s="1178">
        <f t="shared" si="28"/>
        <v>94557.930999999997</v>
      </c>
      <c r="I579" s="1261">
        <f t="shared" si="29"/>
        <v>145473.74</v>
      </c>
      <c r="J579" s="1306">
        <f>G579/F579</f>
        <v>0.85706894316990112</v>
      </c>
      <c r="K579" s="1449"/>
      <c r="L579" s="1424" t="s">
        <v>428</v>
      </c>
      <c r="M579" s="1399">
        <f>SUM(G598:G604)/SUM(F598:F604)</f>
        <v>0.84737386921777558</v>
      </c>
      <c r="N579" s="1399">
        <f>SUM(G577:G604)/SUM(F577:F604)</f>
        <v>0.83538693861151858</v>
      </c>
      <c r="O579" s="1381">
        <f>SUM(G591:G604)/SUM(F591:F604)</f>
        <v>0.80757107547661322</v>
      </c>
      <c r="P579" s="1392">
        <f>SUM(G577:G604)/SUM(F577:F604)</f>
        <v>0.83538693861151858</v>
      </c>
      <c r="Q579" s="1017"/>
      <c r="R579" s="1387">
        <v>0.84457103045832704</v>
      </c>
      <c r="S579" s="1017"/>
      <c r="T579" s="1351"/>
      <c r="U579" s="1017"/>
      <c r="V579" s="1017"/>
      <c r="W579" s="1017"/>
      <c r="X579" s="1017"/>
      <c r="Y579" s="1017"/>
      <c r="Z579" s="1017"/>
      <c r="AA579" s="1017"/>
      <c r="AB579" s="1017"/>
      <c r="AC579" s="1017"/>
      <c r="AD579" s="1017"/>
      <c r="AE579" s="1017"/>
      <c r="AF579" s="1017"/>
    </row>
    <row r="580" spans="1:32" ht="16.5">
      <c r="A580" s="1022"/>
      <c r="B580" s="1731"/>
      <c r="C580" s="1255">
        <v>43684</v>
      </c>
      <c r="D580" s="1256">
        <v>44412</v>
      </c>
      <c r="E580" s="1256"/>
      <c r="F580" s="1164">
        <v>345946</v>
      </c>
      <c r="G580" s="1165">
        <v>296691.21999999997</v>
      </c>
      <c r="H580" s="1178">
        <f t="shared" ref="H580:J643" si="31">(G580*0.5)*0.65</f>
        <v>96424.646499999988</v>
      </c>
      <c r="I580" s="1261">
        <f t="shared" si="29"/>
        <v>148345.60999999999</v>
      </c>
      <c r="J580" s="1306">
        <f>G580/F580</f>
        <v>0.85762292380891803</v>
      </c>
      <c r="K580" s="1447"/>
      <c r="L580" s="1036"/>
      <c r="M580" s="1017"/>
      <c r="N580" s="1017"/>
      <c r="O580" s="1017"/>
      <c r="P580" s="1017"/>
      <c r="Q580" s="1017"/>
      <c r="R580" s="1387">
        <v>0.84462961322883556</v>
      </c>
      <c r="S580" s="1017"/>
      <c r="T580" s="1351"/>
      <c r="U580" s="1017"/>
      <c r="V580" s="1017"/>
      <c r="W580" s="1017"/>
      <c r="X580" s="1017"/>
      <c r="Y580" s="1017"/>
      <c r="Z580" s="1017"/>
      <c r="AA580" s="1017"/>
      <c r="AB580" s="1017"/>
      <c r="AC580" s="1017"/>
      <c r="AD580" s="1017"/>
      <c r="AE580" s="1017"/>
      <c r="AF580" s="1017"/>
    </row>
    <row r="581" spans="1:32" ht="16.5">
      <c r="A581" s="1022"/>
      <c r="B581" s="1731"/>
      <c r="C581" s="1255">
        <v>43685</v>
      </c>
      <c r="D581" s="1256">
        <v>44413</v>
      </c>
      <c r="E581" s="1256"/>
      <c r="F581" s="1164">
        <v>377283</v>
      </c>
      <c r="G581" s="1165">
        <v>328728.15999999997</v>
      </c>
      <c r="H581" s="1178">
        <f t="shared" si="31"/>
        <v>106836.652</v>
      </c>
      <c r="I581" s="1261">
        <f t="shared" si="29"/>
        <v>164364.07999999999</v>
      </c>
      <c r="J581" s="1306">
        <f>G581/F581</f>
        <v>0.87130392835086656</v>
      </c>
      <c r="K581" s="1447"/>
      <c r="L581" s="1036"/>
      <c r="M581" s="1017"/>
      <c r="N581" s="1017"/>
      <c r="O581" s="1017"/>
      <c r="P581" s="1017"/>
      <c r="Q581" s="1017"/>
      <c r="R581" s="1387">
        <v>0.84468819599934408</v>
      </c>
      <c r="S581" s="1017"/>
      <c r="T581" s="1351"/>
      <c r="U581" s="1017"/>
      <c r="V581" s="1017"/>
      <c r="W581" s="1017"/>
      <c r="X581" s="1017"/>
      <c r="Y581" s="1017"/>
      <c r="Z581" s="1017"/>
      <c r="AA581" s="1017"/>
      <c r="AB581" s="1017"/>
      <c r="AC581" s="1017"/>
      <c r="AD581" s="1017"/>
      <c r="AE581" s="1017"/>
      <c r="AF581" s="1017"/>
    </row>
    <row r="582" spans="1:32" ht="16.5">
      <c r="A582" s="1022"/>
      <c r="B582" s="1731"/>
      <c r="C582" s="1255">
        <v>43686</v>
      </c>
      <c r="D582" s="1256">
        <v>44414</v>
      </c>
      <c r="E582" s="1256"/>
      <c r="F582" s="1164">
        <v>431320</v>
      </c>
      <c r="G582" s="1174">
        <v>421140.95</v>
      </c>
      <c r="H582" s="1178">
        <f t="shared" si="31"/>
        <v>136870.80875</v>
      </c>
      <c r="I582" s="1261">
        <f t="shared" si="29"/>
        <v>210570.47500000001</v>
      </c>
      <c r="J582" s="1306">
        <f>G582/F582</f>
        <v>0.9764002364833535</v>
      </c>
      <c r="K582" s="1447"/>
      <c r="L582" s="1036"/>
      <c r="M582" s="1017"/>
      <c r="N582" s="1017"/>
      <c r="O582" s="1017"/>
      <c r="P582" s="1017"/>
      <c r="Q582" s="1017"/>
      <c r="R582" s="1387">
        <v>0.8447467787698526</v>
      </c>
      <c r="S582" s="1017"/>
      <c r="T582" s="1351"/>
      <c r="U582" s="1017"/>
      <c r="V582" s="1017"/>
      <c r="W582" s="1017"/>
      <c r="X582" s="1017"/>
      <c r="Y582" s="1017"/>
      <c r="Z582" s="1017"/>
      <c r="AA582" s="1017"/>
      <c r="AB582" s="1017"/>
      <c r="AC582" s="1017"/>
      <c r="AD582" s="1017"/>
      <c r="AE582" s="1017"/>
      <c r="AF582" s="1017"/>
    </row>
    <row r="583" spans="1:32" ht="16.5">
      <c r="A583" s="1022"/>
      <c r="B583" s="1732"/>
      <c r="C583" s="1258">
        <v>43687</v>
      </c>
      <c r="D583" s="1259">
        <v>44415</v>
      </c>
      <c r="E583" s="1259"/>
      <c r="F583" s="1173">
        <v>598096</v>
      </c>
      <c r="G583" s="1174">
        <v>567891.82999999996</v>
      </c>
      <c r="H583" s="1181">
        <f t="shared" si="31"/>
        <v>184564.84474999999</v>
      </c>
      <c r="I583" s="1262">
        <f t="shared" si="29"/>
        <v>283945.91499999998</v>
      </c>
      <c r="J583" s="1311">
        <f>G583/F583</f>
        <v>0.94949946162488963</v>
      </c>
      <c r="K583" s="1447"/>
      <c r="L583" s="1036"/>
      <c r="M583" s="1017"/>
      <c r="N583" s="1017"/>
      <c r="O583" s="1017"/>
      <c r="P583" s="1017"/>
      <c r="Q583" s="1017"/>
      <c r="R583" s="1387">
        <v>0.84480536154036101</v>
      </c>
      <c r="S583" s="1017"/>
      <c r="T583" s="1351"/>
      <c r="U583" s="1017"/>
      <c r="V583" s="1017"/>
      <c r="W583" s="1017"/>
      <c r="X583" s="1017"/>
      <c r="Y583" s="1017"/>
      <c r="Z583" s="1017"/>
      <c r="AA583" s="1017"/>
      <c r="AB583" s="1017"/>
      <c r="AC583" s="1017"/>
      <c r="AD583" s="1017"/>
      <c r="AE583" s="1017"/>
      <c r="AF583" s="1017"/>
    </row>
    <row r="584" spans="1:32" ht="16.5">
      <c r="A584" s="1022"/>
      <c r="B584" s="1733" t="s">
        <v>367</v>
      </c>
      <c r="C584" s="1250">
        <v>43688</v>
      </c>
      <c r="D584" s="1251">
        <v>44416</v>
      </c>
      <c r="E584" s="1251"/>
      <c r="F584" s="1157">
        <v>357030</v>
      </c>
      <c r="G584" s="1158">
        <v>298896.94</v>
      </c>
      <c r="H584" s="1026">
        <f t="shared" si="31"/>
        <v>97141.505499999999</v>
      </c>
      <c r="I584" s="1242">
        <f t="shared" si="29"/>
        <v>149448.47</v>
      </c>
      <c r="J584" s="1452">
        <f>G584/F584</f>
        <v>0.83717597960955659</v>
      </c>
      <c r="K584" s="1312"/>
      <c r="L584" s="1036"/>
      <c r="M584" s="1017"/>
      <c r="N584" s="1017"/>
      <c r="O584" s="1017"/>
      <c r="P584" s="1017"/>
      <c r="Q584" s="1017"/>
      <c r="R584" s="1387">
        <v>0.84486394431086953</v>
      </c>
      <c r="S584" s="1017"/>
      <c r="T584" s="1351"/>
      <c r="U584" s="1017"/>
      <c r="V584" s="1017"/>
      <c r="W584" s="1017"/>
      <c r="X584" s="1017"/>
      <c r="Y584" s="1017"/>
      <c r="Z584" s="1017"/>
      <c r="AA584" s="1017"/>
      <c r="AB584" s="1017"/>
      <c r="AC584" s="1017"/>
      <c r="AD584" s="1017"/>
      <c r="AE584" s="1017"/>
      <c r="AF584" s="1017"/>
    </row>
    <row r="585" spans="1:32" ht="16.5">
      <c r="A585" s="1022"/>
      <c r="B585" s="1731"/>
      <c r="C585" s="1255">
        <v>43689</v>
      </c>
      <c r="D585" s="1256">
        <v>44417</v>
      </c>
      <c r="E585" s="1256"/>
      <c r="F585" s="1164">
        <v>319609</v>
      </c>
      <c r="G585" s="1165">
        <v>268617.40999999997</v>
      </c>
      <c r="H585" s="1178">
        <f t="shared" si="31"/>
        <v>87300.658249999993</v>
      </c>
      <c r="I585" s="1261">
        <f t="shared" si="29"/>
        <v>134308.70499999999</v>
      </c>
      <c r="J585" s="1451">
        <f>G585/F585</f>
        <v>0.84045633883901882</v>
      </c>
      <c r="K585" s="1306"/>
      <c r="L585" s="1036"/>
      <c r="M585" s="1017"/>
      <c r="N585" s="1017"/>
      <c r="O585" s="1017"/>
      <c r="P585" s="1017"/>
      <c r="Q585" s="1017"/>
      <c r="R585" s="1387">
        <v>0.84492252708137805</v>
      </c>
      <c r="S585" s="1017"/>
      <c r="T585" s="1351"/>
      <c r="U585" s="1017"/>
      <c r="V585" s="1017"/>
      <c r="W585" s="1017"/>
      <c r="X585" s="1017"/>
      <c r="Y585" s="1017"/>
      <c r="Z585" s="1017"/>
      <c r="AA585" s="1017"/>
      <c r="AB585" s="1017"/>
      <c r="AC585" s="1017"/>
      <c r="AD585" s="1017"/>
      <c r="AE585" s="1017"/>
      <c r="AF585" s="1017"/>
    </row>
    <row r="586" spans="1:32" ht="16.5">
      <c r="A586" s="1022"/>
      <c r="B586" s="1731"/>
      <c r="C586" s="1255">
        <v>43690</v>
      </c>
      <c r="D586" s="1256">
        <v>44418</v>
      </c>
      <c r="E586" s="1256"/>
      <c r="F586" s="1164">
        <v>327501</v>
      </c>
      <c r="G586" s="1165">
        <v>275887.88</v>
      </c>
      <c r="H586" s="1178">
        <f t="shared" si="31"/>
        <v>89663.561000000002</v>
      </c>
      <c r="I586" s="1261">
        <f t="shared" si="29"/>
        <v>137943.94</v>
      </c>
      <c r="J586" s="1451">
        <f>G586/F586</f>
        <v>0.84240316823460082</v>
      </c>
      <c r="K586" s="1306"/>
      <c r="L586" s="1036"/>
      <c r="M586" s="1017"/>
      <c r="N586" s="1017"/>
      <c r="O586" s="1017"/>
      <c r="P586" s="1017"/>
      <c r="Q586" s="1017"/>
      <c r="R586" s="1387">
        <v>0.84498110985188657</v>
      </c>
      <c r="S586" s="1017"/>
      <c r="T586" s="1351"/>
      <c r="U586" s="1017"/>
      <c r="V586" s="1017"/>
      <c r="W586" s="1017"/>
      <c r="X586" s="1017"/>
      <c r="Y586" s="1017"/>
      <c r="Z586" s="1017"/>
      <c r="AA586" s="1017"/>
      <c r="AB586" s="1017"/>
      <c r="AC586" s="1017"/>
      <c r="AD586" s="1017"/>
      <c r="AE586" s="1017"/>
      <c r="AF586" s="1017"/>
    </row>
    <row r="587" spans="1:32" ht="16.5">
      <c r="A587" s="1022"/>
      <c r="B587" s="1731"/>
      <c r="C587" s="1255">
        <v>43691</v>
      </c>
      <c r="D587" s="1256">
        <v>44419</v>
      </c>
      <c r="E587" s="1256"/>
      <c r="F587" s="1164">
        <v>311561</v>
      </c>
      <c r="G587" s="1165">
        <v>259938.48</v>
      </c>
      <c r="H587" s="1178">
        <f t="shared" si="31"/>
        <v>84480.006000000008</v>
      </c>
      <c r="I587" s="1261">
        <f t="shared" si="29"/>
        <v>129969.24</v>
      </c>
      <c r="J587" s="1451">
        <f>G587/F587</f>
        <v>0.83431007090104348</v>
      </c>
      <c r="K587" s="1306"/>
      <c r="L587" s="1036"/>
      <c r="M587" s="1017"/>
      <c r="N587" s="1017"/>
      <c r="O587" s="1017"/>
      <c r="P587" s="1017"/>
      <c r="Q587" s="1017"/>
      <c r="R587" s="1387">
        <v>0.84503969262239509</v>
      </c>
      <c r="S587" s="1017"/>
      <c r="T587" s="1351"/>
      <c r="U587" s="1017"/>
      <c r="V587" s="1017"/>
      <c r="W587" s="1017"/>
      <c r="X587" s="1017"/>
      <c r="Y587" s="1017"/>
      <c r="Z587" s="1017"/>
      <c r="AA587" s="1017"/>
      <c r="AB587" s="1017"/>
      <c r="AC587" s="1017"/>
      <c r="AD587" s="1017"/>
      <c r="AE587" s="1017"/>
      <c r="AF587" s="1017"/>
    </row>
    <row r="588" spans="1:32" ht="16.5">
      <c r="A588" s="1022"/>
      <c r="B588" s="1731"/>
      <c r="C588" s="1255">
        <v>43692</v>
      </c>
      <c r="D588" s="1256">
        <v>44420</v>
      </c>
      <c r="E588" s="1256"/>
      <c r="F588" s="1164">
        <v>408256</v>
      </c>
      <c r="G588" s="1165">
        <v>312890</v>
      </c>
      <c r="H588" s="1178">
        <f t="shared" si="31"/>
        <v>101689.25</v>
      </c>
      <c r="I588" s="1261">
        <f t="shared" si="29"/>
        <v>156445</v>
      </c>
      <c r="J588" s="1451">
        <f>G588/F588</f>
        <v>0.76640637247217436</v>
      </c>
      <c r="K588" s="1306"/>
      <c r="L588" s="1036"/>
      <c r="M588" s="1017"/>
      <c r="N588" s="1017"/>
      <c r="O588" s="1017"/>
      <c r="P588" s="1017"/>
      <c r="Q588" s="1017"/>
      <c r="R588" s="1387">
        <v>0.8450982753929035</v>
      </c>
      <c r="S588" s="1017"/>
      <c r="T588" s="1351"/>
      <c r="U588" s="1017"/>
      <c r="V588" s="1017"/>
      <c r="W588" s="1017"/>
      <c r="X588" s="1017"/>
      <c r="Y588" s="1017"/>
      <c r="Z588" s="1017"/>
      <c r="AA588" s="1017"/>
      <c r="AB588" s="1017"/>
      <c r="AC588" s="1017"/>
      <c r="AD588" s="1017"/>
      <c r="AE588" s="1017"/>
      <c r="AF588" s="1017"/>
    </row>
    <row r="589" spans="1:32" ht="16.5">
      <c r="A589" s="1022"/>
      <c r="B589" s="1731"/>
      <c r="C589" s="1255">
        <v>43693</v>
      </c>
      <c r="D589" s="1256">
        <v>44421</v>
      </c>
      <c r="E589" s="1256"/>
      <c r="F589" s="1164">
        <v>478905</v>
      </c>
      <c r="G589" s="1165">
        <v>447745.4</v>
      </c>
      <c r="H589" s="1178">
        <f t="shared" si="31"/>
        <v>145517.255</v>
      </c>
      <c r="I589" s="1261">
        <f t="shared" si="29"/>
        <v>223872.7</v>
      </c>
      <c r="J589" s="1451">
        <f>G589/F589</f>
        <v>0.93493573882085179</v>
      </c>
      <c r="K589" s="1306"/>
      <c r="L589" s="1036"/>
      <c r="M589" s="1017"/>
      <c r="N589" s="1017"/>
      <c r="O589" s="1017"/>
      <c r="P589" s="1017"/>
      <c r="Q589" s="1017"/>
      <c r="R589" s="1387">
        <v>0.84515685816341202</v>
      </c>
      <c r="S589" s="1017"/>
      <c r="T589" s="1351"/>
      <c r="U589" s="1017"/>
      <c r="V589" s="1017"/>
      <c r="W589" s="1017"/>
      <c r="X589" s="1017"/>
      <c r="Y589" s="1017"/>
      <c r="Z589" s="1017"/>
      <c r="AA589" s="1017"/>
      <c r="AB589" s="1017"/>
      <c r="AC589" s="1017"/>
      <c r="AD589" s="1017"/>
      <c r="AE589" s="1017"/>
      <c r="AF589" s="1017"/>
    </row>
    <row r="590" spans="1:32" ht="16.5">
      <c r="A590" s="1022"/>
      <c r="B590" s="1732"/>
      <c r="C590" s="1258">
        <v>43694</v>
      </c>
      <c r="D590" s="1259">
        <v>44422</v>
      </c>
      <c r="E590" s="1259"/>
      <c r="F590" s="1173">
        <v>729454</v>
      </c>
      <c r="G590" s="1174">
        <v>614858.22</v>
      </c>
      <c r="H590" s="1181">
        <f t="shared" si="31"/>
        <v>199828.9215</v>
      </c>
      <c r="I590" s="1262">
        <f t="shared" si="29"/>
        <v>307429.11</v>
      </c>
      <c r="J590" s="1453">
        <f>G590/F590</f>
        <v>0.84290197874026318</v>
      </c>
      <c r="K590" s="1311"/>
      <c r="L590" s="1036"/>
      <c r="M590" s="1017"/>
      <c r="N590" s="1017"/>
      <c r="O590" s="1017"/>
      <c r="P590" s="1017"/>
      <c r="Q590" s="1017"/>
      <c r="R590" s="1387">
        <v>0.84521544093392054</v>
      </c>
      <c r="S590" s="1017"/>
      <c r="T590" s="1351"/>
      <c r="U590" s="1017"/>
      <c r="V590" s="1017"/>
      <c r="W590" s="1017"/>
      <c r="X590" s="1017"/>
      <c r="Y590" s="1017"/>
      <c r="Z590" s="1017"/>
      <c r="AA590" s="1017"/>
      <c r="AB590" s="1017"/>
      <c r="AC590" s="1017"/>
      <c r="AD590" s="1017"/>
      <c r="AE590" s="1017"/>
      <c r="AF590" s="1017"/>
    </row>
    <row r="591" spans="1:32" ht="30">
      <c r="A591" s="1022"/>
      <c r="B591" s="1733" t="s">
        <v>368</v>
      </c>
      <c r="C591" s="1250">
        <v>43695</v>
      </c>
      <c r="D591" s="1485">
        <v>44423</v>
      </c>
      <c r="E591" s="1485"/>
      <c r="F591" s="1157">
        <v>431104</v>
      </c>
      <c r="G591" s="1486">
        <v>286287</v>
      </c>
      <c r="H591" s="1487">
        <f t="shared" si="31"/>
        <v>93043.275000000009</v>
      </c>
      <c r="I591" s="1488">
        <f t="shared" si="29"/>
        <v>143143.5</v>
      </c>
      <c r="J591" s="1452">
        <f>G591/F591</f>
        <v>0.66407873738123513</v>
      </c>
      <c r="K591" s="1312">
        <f>'Vtas Diarias 2021'!MS47/Tendencia!F591</f>
        <v>0.5506206854958432</v>
      </c>
      <c r="L591" s="1424" t="s">
        <v>430</v>
      </c>
      <c r="M591" s="1017"/>
      <c r="N591" s="1017"/>
      <c r="O591" s="1017"/>
      <c r="P591" s="1017"/>
      <c r="Q591" s="1017"/>
      <c r="R591" s="1387">
        <v>0.84527402370442906</v>
      </c>
      <c r="S591" s="1017"/>
      <c r="T591" s="1351"/>
      <c r="U591" s="1017"/>
      <c r="V591" s="1017"/>
      <c r="W591" s="1017"/>
      <c r="X591" s="1017"/>
      <c r="Y591" s="1017"/>
      <c r="Z591" s="1017"/>
      <c r="AA591" s="1017"/>
      <c r="AB591" s="1017"/>
      <c r="AC591" s="1017"/>
      <c r="AD591" s="1017"/>
      <c r="AE591" s="1017"/>
      <c r="AF591" s="1017"/>
    </row>
    <row r="592" spans="1:32" ht="16.5">
      <c r="A592" s="1022"/>
      <c r="B592" s="1731"/>
      <c r="C592" s="1255">
        <v>43696</v>
      </c>
      <c r="D592" s="1256">
        <v>44424</v>
      </c>
      <c r="E592" s="1256"/>
      <c r="F592" s="1164">
        <v>356627</v>
      </c>
      <c r="G592" s="1165">
        <v>274461.07</v>
      </c>
      <c r="H592" s="1178">
        <f t="shared" si="31"/>
        <v>89199.847750000001</v>
      </c>
      <c r="I592" s="1261">
        <f t="shared" si="29"/>
        <v>137230.535</v>
      </c>
      <c r="J592" s="1451">
        <f>G592/F592</f>
        <v>0.76960261000989827</v>
      </c>
      <c r="K592" s="1179">
        <f>'Vtas Diarias 2021'!MW47/Tendencia!F592</f>
        <v>0.66753655780409227</v>
      </c>
      <c r="L592" s="1036"/>
      <c r="M592" s="1017"/>
      <c r="N592" s="1017"/>
      <c r="O592" s="1017"/>
      <c r="P592" s="1017"/>
      <c r="Q592" s="1017"/>
      <c r="R592" s="1387">
        <v>0.84533260647493746</v>
      </c>
      <c r="S592" s="1017"/>
      <c r="T592" s="1351"/>
      <c r="U592" s="1017"/>
      <c r="V592" s="1017"/>
      <c r="W592" s="1017"/>
      <c r="X592" s="1017"/>
      <c r="Y592" s="1017"/>
      <c r="Z592" s="1017"/>
      <c r="AA592" s="1017"/>
      <c r="AB592" s="1017"/>
      <c r="AC592" s="1017"/>
      <c r="AD592" s="1017"/>
      <c r="AE592" s="1017"/>
      <c r="AF592" s="1017"/>
    </row>
    <row r="593" spans="1:32" ht="16.5">
      <c r="A593" s="1022"/>
      <c r="B593" s="1731"/>
      <c r="C593" s="1255">
        <v>43697</v>
      </c>
      <c r="D593" s="1256">
        <v>44425</v>
      </c>
      <c r="E593" s="1256"/>
      <c r="F593" s="1164">
        <v>337188</v>
      </c>
      <c r="G593" s="1165">
        <v>248842.17</v>
      </c>
      <c r="H593" s="1178">
        <f t="shared" si="31"/>
        <v>80873.705250000014</v>
      </c>
      <c r="I593" s="1261">
        <f t="shared" si="29"/>
        <v>124421.08500000001</v>
      </c>
      <c r="J593" s="1451">
        <f>G593/F593</f>
        <v>0.73799236627637999</v>
      </c>
      <c r="K593" s="1179">
        <f>'Vtas Diarias 2021'!NA47/Tendencia!F593</f>
        <v>0.62324551882036139</v>
      </c>
      <c r="L593" s="1036"/>
      <c r="M593" s="1017"/>
      <c r="N593" s="1017"/>
      <c r="O593" s="1017"/>
      <c r="P593" s="1017"/>
      <c r="Q593" s="1017"/>
      <c r="R593" s="1387">
        <v>0.84539118924544598</v>
      </c>
      <c r="S593" s="1017"/>
      <c r="T593" s="1351"/>
      <c r="U593" s="1017"/>
      <c r="V593" s="1017"/>
      <c r="W593" s="1017"/>
      <c r="X593" s="1017"/>
      <c r="Y593" s="1017"/>
      <c r="Z593" s="1017"/>
      <c r="AA593" s="1017"/>
      <c r="AB593" s="1017"/>
      <c r="AC593" s="1017"/>
      <c r="AD593" s="1017"/>
      <c r="AE593" s="1017"/>
      <c r="AF593" s="1017"/>
    </row>
    <row r="594" spans="1:32" ht="16.5">
      <c r="A594" s="1022"/>
      <c r="B594" s="1731"/>
      <c r="C594" s="1255">
        <v>43698</v>
      </c>
      <c r="D594" s="1256">
        <v>44426</v>
      </c>
      <c r="E594" s="1256"/>
      <c r="F594" s="1164">
        <v>321544</v>
      </c>
      <c r="G594" s="1165">
        <v>263662.75</v>
      </c>
      <c r="H594" s="1178">
        <f t="shared" si="31"/>
        <v>85690.393750000003</v>
      </c>
      <c r="I594" s="1261">
        <f t="shared" si="29"/>
        <v>131831.375</v>
      </c>
      <c r="J594" s="1451">
        <f>G594/F594</f>
        <v>0.81998964371905558</v>
      </c>
      <c r="K594" s="1179">
        <f>'Vtas Diarias 2021'!NE47/Tendencia!F594</f>
        <v>0.67654566715597242</v>
      </c>
      <c r="L594" s="1036"/>
      <c r="M594" s="1017"/>
      <c r="N594" s="1017"/>
      <c r="O594" s="1017"/>
      <c r="P594" s="1017"/>
      <c r="Q594" s="1017"/>
      <c r="R594" s="1387">
        <v>0.8454497720159545</v>
      </c>
      <c r="S594" s="1017"/>
      <c r="T594" s="1351"/>
      <c r="U594" s="1017"/>
      <c r="V594" s="1017"/>
      <c r="W594" s="1017"/>
      <c r="X594" s="1017"/>
      <c r="Y594" s="1017"/>
      <c r="Z594" s="1017"/>
      <c r="AA594" s="1017"/>
      <c r="AB594" s="1017"/>
      <c r="AC594" s="1017"/>
      <c r="AD594" s="1017"/>
      <c r="AE594" s="1017"/>
      <c r="AF594" s="1017"/>
    </row>
    <row r="595" spans="1:32" ht="16.5">
      <c r="A595" s="1022"/>
      <c r="B595" s="1731"/>
      <c r="C595" s="1255">
        <v>43699</v>
      </c>
      <c r="D595" s="1256">
        <v>44427</v>
      </c>
      <c r="E595" s="1256"/>
      <c r="F595" s="1164">
        <v>368163</v>
      </c>
      <c r="G595" s="1481">
        <v>311007.49</v>
      </c>
      <c r="H595" s="1178">
        <f t="shared" si="31"/>
        <v>101077.43425000001</v>
      </c>
      <c r="I595" s="1261">
        <f t="shared" ref="I595:I617" si="32">G595*0.5</f>
        <v>155503.745</v>
      </c>
      <c r="J595" s="1451">
        <f>G595/F595</f>
        <v>0.84475487759497825</v>
      </c>
      <c r="K595" s="1179">
        <f>'Vtas Diarias 2021'!NI47/Tendencia!F595</f>
        <v>0.73874164432601852</v>
      </c>
      <c r="L595" s="1036"/>
      <c r="M595" s="1017"/>
      <c r="N595" s="1017"/>
      <c r="O595" s="1017"/>
      <c r="P595" s="1017"/>
      <c r="Q595" s="1017"/>
      <c r="R595" s="1387">
        <v>0.84550835478646302</v>
      </c>
      <c r="S595" s="1017"/>
      <c r="T595" s="1351"/>
      <c r="U595" s="1017"/>
      <c r="V595" s="1017"/>
      <c r="W595" s="1017"/>
      <c r="X595" s="1017"/>
      <c r="Y595" s="1017"/>
      <c r="Z595" s="1017"/>
      <c r="AA595" s="1017"/>
      <c r="AB595" s="1017"/>
      <c r="AC595" s="1017"/>
      <c r="AD595" s="1017"/>
      <c r="AE595" s="1017"/>
      <c r="AF595" s="1017"/>
    </row>
    <row r="596" spans="1:32" ht="16.5">
      <c r="A596" s="1022"/>
      <c r="B596" s="1731"/>
      <c r="C596" s="1255">
        <v>43700</v>
      </c>
      <c r="D596" s="1256">
        <v>44428</v>
      </c>
      <c r="E596" s="1256"/>
      <c r="F596" s="1164">
        <v>464993</v>
      </c>
      <c r="G596" s="1165">
        <v>367556.04</v>
      </c>
      <c r="H596" s="1178">
        <f t="shared" si="31"/>
        <v>119455.713</v>
      </c>
      <c r="I596" s="1261">
        <f t="shared" si="32"/>
        <v>183778.02</v>
      </c>
      <c r="J596" s="1451">
        <f>G596/F596</f>
        <v>0.79045499609671543</v>
      </c>
      <c r="K596" s="1179">
        <f>'Vtas Diarias 2021'!NM47/Tendencia!F596</f>
        <v>0.69454331570582784</v>
      </c>
      <c r="L596" s="1036"/>
      <c r="M596" s="1017"/>
      <c r="N596" s="1017"/>
      <c r="O596" s="1017"/>
      <c r="P596" s="1017"/>
      <c r="Q596" s="1017"/>
      <c r="R596" s="1387">
        <v>0.84556693755697143</v>
      </c>
      <c r="S596" s="1017"/>
      <c r="T596" s="1351"/>
      <c r="U596" s="1017"/>
      <c r="V596" s="1017"/>
      <c r="W596" s="1017"/>
      <c r="X596" s="1017"/>
      <c r="Y596" s="1017"/>
      <c r="Z596" s="1017"/>
      <c r="AA596" s="1017"/>
      <c r="AB596" s="1017"/>
      <c r="AC596" s="1017"/>
      <c r="AD596" s="1017"/>
      <c r="AE596" s="1017"/>
      <c r="AF596" s="1017"/>
    </row>
    <row r="597" spans="1:32" ht="16.5">
      <c r="A597" s="1022"/>
      <c r="B597" s="1732"/>
      <c r="C597" s="1258">
        <v>43701</v>
      </c>
      <c r="D597" s="1259">
        <v>44429</v>
      </c>
      <c r="E597" s="1259"/>
      <c r="F597" s="1173">
        <v>724816</v>
      </c>
      <c r="G597" s="1174">
        <v>557532.86</v>
      </c>
      <c r="H597" s="1181">
        <f t="shared" si="31"/>
        <v>181198.1795</v>
      </c>
      <c r="I597" s="1262">
        <f t="shared" si="32"/>
        <v>278766.43</v>
      </c>
      <c r="J597" s="1453">
        <f>G597/F597</f>
        <v>0.76920606057261431</v>
      </c>
      <c r="K597" s="1182">
        <f>'Vtas Diarias 2021'!NQ47/Tendencia!F597</f>
        <v>0.65699668605549544</v>
      </c>
      <c r="L597" s="1036"/>
      <c r="M597" s="1017"/>
      <c r="N597" s="1017"/>
      <c r="O597" s="1017"/>
      <c r="P597" s="1017"/>
      <c r="Q597" s="1017"/>
      <c r="R597" s="1387">
        <v>0.84562552032747995</v>
      </c>
      <c r="S597" s="1017"/>
      <c r="T597" s="1351"/>
      <c r="U597" s="1017"/>
      <c r="V597" s="1017"/>
      <c r="W597" s="1017"/>
      <c r="X597" s="1017"/>
      <c r="Y597" s="1017"/>
      <c r="Z597" s="1017"/>
      <c r="AA597" s="1017"/>
      <c r="AB597" s="1017"/>
      <c r="AC597" s="1017"/>
      <c r="AD597" s="1017"/>
      <c r="AE597" s="1017"/>
      <c r="AF597" s="1017"/>
    </row>
    <row r="598" spans="1:32" ht="16.5">
      <c r="A598" s="1022"/>
      <c r="B598" s="1733" t="s">
        <v>369</v>
      </c>
      <c r="C598" s="1250">
        <v>43702</v>
      </c>
      <c r="D598" s="1251">
        <v>44430</v>
      </c>
      <c r="E598" s="1251"/>
      <c r="F598" s="1157">
        <v>485216</v>
      </c>
      <c r="G598" s="1158">
        <v>270788.23</v>
      </c>
      <c r="H598" s="1026">
        <f t="shared" si="31"/>
        <v>88006.174749999991</v>
      </c>
      <c r="I598" s="1242">
        <f t="shared" si="32"/>
        <v>135394.11499999999</v>
      </c>
      <c r="J598" s="1452">
        <f>G598/F598</f>
        <v>0.5580777014772802</v>
      </c>
      <c r="K598" s="1176">
        <f>'Vtas Diarias 2021'!NY47/Tendencia!F598</f>
        <v>0.45695832371562356</v>
      </c>
      <c r="L598" s="1036"/>
      <c r="M598" s="1017"/>
      <c r="N598" s="1017"/>
      <c r="O598" s="1017"/>
      <c r="P598" s="1017"/>
      <c r="Q598" s="1017"/>
      <c r="R598" s="1387">
        <v>0.84568410309798847</v>
      </c>
      <c r="S598" s="1017"/>
      <c r="T598" s="1351"/>
      <c r="U598" s="1017"/>
      <c r="V598" s="1017"/>
      <c r="W598" s="1017"/>
      <c r="X598" s="1017"/>
      <c r="Y598" s="1017"/>
      <c r="Z598" s="1017"/>
      <c r="AA598" s="1017"/>
      <c r="AB598" s="1017"/>
      <c r="AC598" s="1017"/>
      <c r="AD598" s="1017"/>
      <c r="AE598" s="1017"/>
      <c r="AF598" s="1017"/>
    </row>
    <row r="599" spans="1:32" ht="16.5">
      <c r="A599" s="1022"/>
      <c r="B599" s="1731"/>
      <c r="C599" s="1255">
        <v>43703</v>
      </c>
      <c r="D599" s="1256">
        <v>44431</v>
      </c>
      <c r="E599" s="1256"/>
      <c r="F599" s="1164">
        <v>304721</v>
      </c>
      <c r="G599" s="1165">
        <v>244988.19</v>
      </c>
      <c r="H599" s="1178">
        <f t="shared" si="31"/>
        <v>79621.161749999999</v>
      </c>
      <c r="I599" s="1261">
        <f t="shared" si="32"/>
        <v>122494.095</v>
      </c>
      <c r="J599" s="1451">
        <f>G599/F599</f>
        <v>0.80397540701165982</v>
      </c>
      <c r="K599" s="1179">
        <f>'Vtas Diarias 2021'!OC47/Tendencia!F599</f>
        <v>0.69246510742613743</v>
      </c>
      <c r="L599" s="1313">
        <v>0.8</v>
      </c>
      <c r="M599" s="1017"/>
      <c r="N599" s="1017"/>
      <c r="O599" s="1017"/>
      <c r="P599" s="1017"/>
      <c r="Q599" s="1017"/>
      <c r="R599" s="1387">
        <v>0.84574268586849699</v>
      </c>
      <c r="S599" s="1017"/>
      <c r="T599" s="1351"/>
      <c r="U599" s="1017"/>
      <c r="V599" s="1017"/>
      <c r="W599" s="1017"/>
      <c r="X599" s="1017"/>
      <c r="Y599" s="1017"/>
      <c r="Z599" s="1017"/>
      <c r="AA599" s="1017"/>
      <c r="AB599" s="1017"/>
      <c r="AC599" s="1017"/>
      <c r="AD599" s="1017"/>
      <c r="AE599" s="1017"/>
      <c r="AF599" s="1017"/>
    </row>
    <row r="600" spans="1:32" ht="16.5">
      <c r="A600" s="1022"/>
      <c r="B600" s="1731"/>
      <c r="C600" s="1255">
        <v>43704</v>
      </c>
      <c r="D600" s="1256">
        <v>44432</v>
      </c>
      <c r="E600" s="1256"/>
      <c r="F600" s="1164">
        <v>259540</v>
      </c>
      <c r="G600" s="1165">
        <v>258304</v>
      </c>
      <c r="H600" s="1178">
        <f t="shared" si="31"/>
        <v>83948.800000000003</v>
      </c>
      <c r="I600" s="1261">
        <f t="shared" si="32"/>
        <v>129152</v>
      </c>
      <c r="J600" s="1451">
        <f>G600/F600</f>
        <v>0.99523772828851043</v>
      </c>
      <c r="K600" s="1179">
        <f>'Vtas Diarias 2021'!OG47/Tendencia!F600</f>
        <v>0.86604885566771983</v>
      </c>
      <c r="L600" s="1036"/>
      <c r="M600" s="1017"/>
      <c r="N600" s="1017"/>
      <c r="O600" s="1017"/>
      <c r="P600" s="1017"/>
      <c r="Q600" s="1017"/>
      <c r="R600" s="1387">
        <v>0.84580126863900551</v>
      </c>
      <c r="S600" s="1017"/>
      <c r="T600" s="1351"/>
      <c r="U600" s="1017"/>
      <c r="V600" s="1017"/>
      <c r="W600" s="1017"/>
      <c r="X600" s="1017"/>
      <c r="Y600" s="1017"/>
      <c r="Z600" s="1017"/>
      <c r="AA600" s="1017"/>
      <c r="AB600" s="1017"/>
      <c r="AC600" s="1017"/>
      <c r="AD600" s="1017"/>
      <c r="AE600" s="1017"/>
      <c r="AF600" s="1017"/>
    </row>
    <row r="601" spans="1:32" ht="16.5">
      <c r="A601" s="1022"/>
      <c r="B601" s="1731"/>
      <c r="C601" s="1255">
        <v>43705</v>
      </c>
      <c r="D601" s="1256">
        <v>44433</v>
      </c>
      <c r="E601" s="1256"/>
      <c r="F601" s="1164">
        <v>292614</v>
      </c>
      <c r="G601" s="1165">
        <v>257055.39</v>
      </c>
      <c r="H601" s="1178">
        <f t="shared" si="31"/>
        <v>83543.00175000001</v>
      </c>
      <c r="I601" s="1261">
        <f t="shared" si="32"/>
        <v>128527.69500000001</v>
      </c>
      <c r="J601" s="1451">
        <f>G601/F601</f>
        <v>0.87847946441386948</v>
      </c>
      <c r="K601" s="1179">
        <f>'Vtas Diarias 2021'!OK47/Tendencia!F601</f>
        <v>0.74120452199826381</v>
      </c>
      <c r="L601" s="1036"/>
      <c r="M601" s="1017"/>
      <c r="N601" s="1017"/>
      <c r="O601" s="1017"/>
      <c r="P601" s="1017"/>
      <c r="Q601" s="1017"/>
      <c r="R601" s="1387">
        <v>0.84585985140951392</v>
      </c>
      <c r="S601" s="1017"/>
      <c r="T601" s="1351"/>
      <c r="U601" s="1017"/>
      <c r="V601" s="1017"/>
      <c r="W601" s="1017"/>
      <c r="X601" s="1017"/>
      <c r="Y601" s="1017"/>
      <c r="Z601" s="1017"/>
      <c r="AA601" s="1017"/>
      <c r="AB601" s="1017"/>
      <c r="AC601" s="1017"/>
      <c r="AD601" s="1017"/>
      <c r="AE601" s="1017"/>
      <c r="AF601" s="1017"/>
    </row>
    <row r="602" spans="1:32" ht="16.5">
      <c r="A602" s="1022"/>
      <c r="B602" s="1731"/>
      <c r="C602" s="1255">
        <v>43706</v>
      </c>
      <c r="D602" s="1256">
        <v>44434</v>
      </c>
      <c r="E602" s="1256"/>
      <c r="F602" s="1164">
        <v>339126</v>
      </c>
      <c r="G602" s="1165">
        <v>331150.7</v>
      </c>
      <c r="H602" s="1178">
        <f t="shared" si="31"/>
        <v>107623.97750000001</v>
      </c>
      <c r="I602" s="1261">
        <f t="shared" si="32"/>
        <v>165575.35</v>
      </c>
      <c r="J602" s="1451">
        <f>G602/F602</f>
        <v>0.97648278221074181</v>
      </c>
      <c r="K602" s="1179">
        <f>'Vtas Diarias 2021'!OO47/Tendencia!F602</f>
        <v>0.84621936979175894</v>
      </c>
      <c r="L602" s="1036"/>
      <c r="M602" s="1017"/>
      <c r="N602" s="1017"/>
      <c r="O602" s="1017"/>
      <c r="P602" s="1017"/>
      <c r="Q602" s="1017"/>
      <c r="R602" s="1387"/>
      <c r="S602" s="1017"/>
      <c r="T602" s="1351"/>
      <c r="U602" s="1017"/>
      <c r="V602" s="1017"/>
      <c r="W602" s="1017"/>
      <c r="X602" s="1017"/>
      <c r="Y602" s="1017"/>
      <c r="Z602" s="1017"/>
      <c r="AA602" s="1017"/>
      <c r="AB602" s="1017"/>
      <c r="AC602" s="1017"/>
      <c r="AD602" s="1017"/>
      <c r="AE602" s="1017"/>
      <c r="AF602" s="1017"/>
    </row>
    <row r="603" spans="1:32" ht="16.5">
      <c r="A603" s="1022"/>
      <c r="B603" s="1731"/>
      <c r="C603" s="1255">
        <v>43707</v>
      </c>
      <c r="D603" s="1256">
        <v>44435</v>
      </c>
      <c r="E603" s="1256"/>
      <c r="F603" s="1164">
        <v>454776</v>
      </c>
      <c r="G603" s="1165">
        <v>441494.44</v>
      </c>
      <c r="H603" s="1178">
        <f t="shared" si="31"/>
        <v>143485.693</v>
      </c>
      <c r="I603" s="1261">
        <f t="shared" si="32"/>
        <v>220747.22</v>
      </c>
      <c r="J603" s="1451">
        <f>G603/F603</f>
        <v>0.97079538058296833</v>
      </c>
      <c r="K603" s="1179">
        <f>'Vtas Diarias 2021'!OS47/Tendencia!F603</f>
        <v>0.82144673421640535</v>
      </c>
      <c r="L603" s="1036"/>
      <c r="M603" s="1017"/>
      <c r="N603" s="1017"/>
      <c r="O603" s="1017"/>
      <c r="P603" s="1017"/>
      <c r="Q603" s="1017"/>
      <c r="R603" s="1017"/>
      <c r="S603" s="1017"/>
      <c r="T603" s="1351"/>
      <c r="U603" s="1017"/>
      <c r="V603" s="1017"/>
      <c r="W603" s="1017"/>
      <c r="X603" s="1017"/>
      <c r="Y603" s="1017"/>
      <c r="Z603" s="1017"/>
      <c r="AA603" s="1017"/>
      <c r="AB603" s="1017"/>
      <c r="AC603" s="1017"/>
      <c r="AD603" s="1017"/>
      <c r="AE603" s="1017"/>
      <c r="AF603" s="1017"/>
    </row>
    <row r="604" spans="1:32" ht="16.5">
      <c r="A604" s="1022"/>
      <c r="B604" s="1732"/>
      <c r="C604" s="1258">
        <v>43708</v>
      </c>
      <c r="D604" s="1259">
        <v>44436</v>
      </c>
      <c r="E604" s="1259"/>
      <c r="F604" s="1173">
        <v>802128</v>
      </c>
      <c r="G604" s="1174">
        <v>685906.01</v>
      </c>
      <c r="H604" s="1181">
        <f t="shared" si="31"/>
        <v>222919.45325000002</v>
      </c>
      <c r="I604" s="1262">
        <f t="shared" si="32"/>
        <v>342953.005</v>
      </c>
      <c r="J604" s="1453">
        <f>G604/F604</f>
        <v>0.85510792541838709</v>
      </c>
      <c r="K604" s="1182">
        <f>'Vtas Diarias 2021'!OW47/Tendencia!F604</f>
        <v>0.73301683771168702</v>
      </c>
      <c r="L604" s="1154"/>
      <c r="M604" s="1018"/>
      <c r="N604" s="1018"/>
      <c r="O604" s="1018"/>
      <c r="P604" s="1018"/>
      <c r="Q604" s="1017"/>
      <c r="R604" s="1017"/>
      <c r="S604" s="1017"/>
      <c r="T604" s="1351"/>
      <c r="U604" s="1017"/>
      <c r="V604" s="1017"/>
      <c r="W604" s="1017"/>
      <c r="X604" s="1017"/>
      <c r="Y604" s="1017"/>
      <c r="Z604" s="1017"/>
      <c r="AA604" s="1017"/>
      <c r="AB604" s="1017"/>
      <c r="AC604" s="1017"/>
      <c r="AD604" s="1017"/>
      <c r="AE604" s="1017"/>
      <c r="AF604" s="1017"/>
    </row>
    <row r="605" spans="1:32" ht="16.5">
      <c r="A605" s="1022"/>
      <c r="B605" s="1727" t="s">
        <v>370</v>
      </c>
      <c r="C605" s="1250">
        <v>43709</v>
      </c>
      <c r="D605" s="1251">
        <v>44437</v>
      </c>
      <c r="E605" s="1251"/>
      <c r="F605" s="1157">
        <v>487258</v>
      </c>
      <c r="G605" s="1158">
        <v>397326.53</v>
      </c>
      <c r="H605" s="1026">
        <f t="shared" si="31"/>
        <v>129131.12225000001</v>
      </c>
      <c r="I605" s="1242">
        <f t="shared" si="32"/>
        <v>198663.26500000001</v>
      </c>
      <c r="J605" s="1452">
        <f>G605/F605</f>
        <v>0.81543356907428921</v>
      </c>
      <c r="K605" s="1176">
        <f>'Vtas Diarias 2021'!PE47/Tendencia!F605</f>
        <v>0.65001650049870918</v>
      </c>
      <c r="L605" s="1020"/>
      <c r="M605" s="1724" t="s">
        <v>345</v>
      </c>
      <c r="N605" s="1725"/>
      <c r="O605" s="1725"/>
      <c r="P605" s="1726"/>
      <c r="Q605" s="1036"/>
      <c r="R605" s="1017"/>
      <c r="S605" s="1017"/>
      <c r="T605" s="1351"/>
      <c r="U605" s="1017"/>
      <c r="V605" s="1017"/>
      <c r="W605" s="1017"/>
      <c r="X605" s="1017"/>
      <c r="Y605" s="1017"/>
      <c r="Z605" s="1017"/>
      <c r="AA605" s="1017"/>
      <c r="AB605" s="1017"/>
      <c r="AC605" s="1017"/>
      <c r="AD605" s="1017"/>
      <c r="AE605" s="1017"/>
      <c r="AF605" s="1017"/>
    </row>
    <row r="606" spans="1:32" ht="16.5">
      <c r="A606" s="1489"/>
      <c r="B606" s="1728"/>
      <c r="C606" s="1255">
        <v>43710</v>
      </c>
      <c r="D606" s="1256">
        <v>44438</v>
      </c>
      <c r="E606" s="1256"/>
      <c r="F606" s="1164">
        <v>338866</v>
      </c>
      <c r="G606" s="1165">
        <v>336340.5</v>
      </c>
      <c r="H606" s="1178">
        <f t="shared" si="31"/>
        <v>109310.66250000001</v>
      </c>
      <c r="I606" s="1261">
        <f t="shared" si="32"/>
        <v>168170.25</v>
      </c>
      <c r="J606" s="1451">
        <f>G606/F606</f>
        <v>0.9925472015486948</v>
      </c>
      <c r="K606" s="1179">
        <f>'Vtas Diarias 2021'!PI47/Tendencia!F606</f>
        <v>0.84859856108314202</v>
      </c>
      <c r="L606" s="1491">
        <f>SUM(G605:G611)/SUM(F605:F611)</f>
        <v>0.86776239986943926</v>
      </c>
      <c r="M606" s="1388" t="s">
        <v>2</v>
      </c>
      <c r="N606" s="1389" t="s">
        <v>1</v>
      </c>
      <c r="O606" s="1390" t="s">
        <v>420</v>
      </c>
      <c r="P606" s="1391" t="s">
        <v>427</v>
      </c>
      <c r="Q606" s="1036"/>
      <c r="R606" s="1017"/>
      <c r="S606" s="1017"/>
      <c r="T606" s="1351"/>
      <c r="U606" s="1017"/>
      <c r="V606" s="1017"/>
      <c r="W606" s="1017"/>
      <c r="X606" s="1017"/>
      <c r="Y606" s="1017"/>
      <c r="Z606" s="1017"/>
      <c r="AA606" s="1017"/>
      <c r="AB606" s="1017"/>
      <c r="AC606" s="1017"/>
      <c r="AD606" s="1017"/>
      <c r="AE606" s="1017"/>
      <c r="AF606" s="1017"/>
    </row>
    <row r="607" spans="1:32" ht="16.5">
      <c r="A607" s="1022"/>
      <c r="B607" s="1728"/>
      <c r="C607" s="1255">
        <v>43711</v>
      </c>
      <c r="D607" s="1256">
        <v>44439</v>
      </c>
      <c r="E607" s="1256"/>
      <c r="F607" s="1164">
        <v>303285</v>
      </c>
      <c r="G607" s="1481">
        <v>290615.59999999998</v>
      </c>
      <c r="H607" s="1178">
        <f t="shared" si="31"/>
        <v>94450.069999999992</v>
      </c>
      <c r="I607" s="1261">
        <f t="shared" si="32"/>
        <v>145307.79999999999</v>
      </c>
      <c r="J607" s="1451">
        <f>G607/F607</f>
        <v>0.95822609097053923</v>
      </c>
      <c r="K607" s="1179">
        <f>'Vtas Diarias 2021'!PM47/Tendencia!F607</f>
        <v>0.83437509273455657</v>
      </c>
      <c r="L607" s="1020"/>
      <c r="M607" s="1490">
        <f>SUM(G633:G639)/SUM(F633:F639)</f>
        <v>0.78447955567106786</v>
      </c>
      <c r="N607" s="1399">
        <f>SUM(G605:G639)/SUM(F605:F639)</f>
        <v>0.80501910471290172</v>
      </c>
      <c r="O607" s="1381">
        <f>SUM(G626:G639)/SUM(F626:F639)</f>
        <v>0.77336173059520374</v>
      </c>
      <c r="P607" s="1392">
        <f>SUM(G605:G639)/SUM(F605:F639)</f>
        <v>0.80501910471290172</v>
      </c>
      <c r="Q607" s="1036"/>
      <c r="R607" s="1017"/>
      <c r="S607" s="1017"/>
      <c r="T607" s="1351"/>
      <c r="U607" s="1017"/>
      <c r="V607" s="1017"/>
      <c r="W607" s="1017"/>
      <c r="X607" s="1017"/>
      <c r="Y607" s="1017"/>
      <c r="Z607" s="1017"/>
      <c r="AA607" s="1017"/>
      <c r="AB607" s="1017"/>
      <c r="AC607" s="1017"/>
      <c r="AD607" s="1017"/>
      <c r="AE607" s="1017"/>
      <c r="AF607" s="1017"/>
    </row>
    <row r="608" spans="1:32" ht="16.5">
      <c r="A608" s="1022"/>
      <c r="B608" s="1728"/>
      <c r="C608" s="1255">
        <v>43712</v>
      </c>
      <c r="D608" s="1256">
        <v>44440</v>
      </c>
      <c r="E608" s="1256"/>
      <c r="F608" s="1164">
        <v>294750</v>
      </c>
      <c r="G608" s="1481">
        <v>276510.25</v>
      </c>
      <c r="H608" s="1178">
        <f t="shared" si="31"/>
        <v>89865.831250000003</v>
      </c>
      <c r="I608" s="1261">
        <f t="shared" si="32"/>
        <v>138255.125</v>
      </c>
      <c r="J608" s="1451">
        <f>G608/F608</f>
        <v>0.93811789652247668</v>
      </c>
      <c r="K608" s="1179">
        <f>'Vtas Diarias 2021'!PQ47/Tendencia!F608</f>
        <v>0.80876071246819348</v>
      </c>
      <c r="L608" s="1169"/>
      <c r="M608" s="1286"/>
      <c r="N608" s="1286"/>
      <c r="O608" s="1286"/>
      <c r="P608" s="1286"/>
      <c r="Q608" s="1017"/>
      <c r="R608" s="1017"/>
      <c r="S608" s="1017"/>
      <c r="T608" s="1351"/>
      <c r="U608" s="1017"/>
      <c r="V608" s="1017"/>
      <c r="W608" s="1017"/>
      <c r="X608" s="1017"/>
      <c r="Y608" s="1017"/>
      <c r="Z608" s="1017"/>
      <c r="AA608" s="1017"/>
      <c r="AB608" s="1017"/>
      <c r="AC608" s="1017"/>
      <c r="AD608" s="1017"/>
      <c r="AE608" s="1017"/>
      <c r="AF608" s="1017"/>
    </row>
    <row r="609" spans="1:32" ht="16.5">
      <c r="A609" s="1022"/>
      <c r="B609" s="1728"/>
      <c r="C609" s="1255">
        <v>43713</v>
      </c>
      <c r="D609" s="1256">
        <v>44441</v>
      </c>
      <c r="E609" s="1256"/>
      <c r="F609" s="1164">
        <v>359990</v>
      </c>
      <c r="G609" s="1165">
        <v>299735.99</v>
      </c>
      <c r="H609" s="1178">
        <f t="shared" si="31"/>
        <v>97414.196750000003</v>
      </c>
      <c r="I609" s="1261">
        <f t="shared" si="32"/>
        <v>149867.995</v>
      </c>
      <c r="J609" s="1451">
        <f>G609/F609</f>
        <v>0.83262310064168443</v>
      </c>
      <c r="K609" s="1179">
        <f>'Vtas Diarias 2021'!PU47/Tendencia!F609</f>
        <v>0.71725278479957777</v>
      </c>
      <c r="L609" s="1036"/>
      <c r="M609" s="1017"/>
      <c r="N609" s="1017"/>
      <c r="O609" s="1017"/>
      <c r="P609" s="1017"/>
      <c r="Q609" s="1017"/>
      <c r="R609" s="1017"/>
      <c r="S609" s="1017"/>
      <c r="T609" s="1351"/>
      <c r="U609" s="1017"/>
      <c r="V609" s="1017"/>
      <c r="W609" s="1017"/>
      <c r="X609" s="1017"/>
      <c r="Y609" s="1017"/>
      <c r="Z609" s="1017"/>
      <c r="AA609" s="1017"/>
      <c r="AB609" s="1017"/>
      <c r="AC609" s="1017"/>
      <c r="AD609" s="1017"/>
      <c r="AE609" s="1017"/>
      <c r="AF609" s="1017"/>
    </row>
    <row r="610" spans="1:32" ht="16.5">
      <c r="A610" s="1022"/>
      <c r="B610" s="1728"/>
      <c r="C610" s="1255">
        <v>43714</v>
      </c>
      <c r="D610" s="1256">
        <v>44442</v>
      </c>
      <c r="E610" s="1256"/>
      <c r="F610" s="1164">
        <v>426423</v>
      </c>
      <c r="G610" s="1165">
        <v>385103.78</v>
      </c>
      <c r="H610" s="1178">
        <f t="shared" si="31"/>
        <v>125158.72850000001</v>
      </c>
      <c r="I610" s="1261">
        <f t="shared" si="32"/>
        <v>192551.89</v>
      </c>
      <c r="J610" s="1451">
        <f>G610/F610</f>
        <v>0.90310274070582508</v>
      </c>
      <c r="K610" s="1179">
        <f>'Vtas Diarias 2021'!PY47/Tendencia!F610</f>
        <v>0.77479322175398613</v>
      </c>
      <c r="L610" s="1036"/>
      <c r="M610" s="1017"/>
      <c r="N610" s="1017"/>
      <c r="O610" s="1017"/>
      <c r="P610" s="1017"/>
      <c r="Q610" s="1017"/>
      <c r="R610" s="1017"/>
      <c r="S610" s="1017"/>
      <c r="T610" s="1351"/>
      <c r="U610" s="1017"/>
      <c r="V610" s="1017"/>
      <c r="W610" s="1017"/>
      <c r="X610" s="1017"/>
      <c r="Y610" s="1017"/>
      <c r="Z610" s="1017"/>
      <c r="AA610" s="1017"/>
      <c r="AB610" s="1017"/>
      <c r="AC610" s="1017"/>
      <c r="AD610" s="1017"/>
      <c r="AE610" s="1017"/>
      <c r="AF610" s="1017"/>
    </row>
    <row r="611" spans="1:32" ht="16.5">
      <c r="A611" s="1022"/>
      <c r="B611" s="1736"/>
      <c r="C611" s="1258">
        <v>43715</v>
      </c>
      <c r="D611" s="1259">
        <v>44443</v>
      </c>
      <c r="E611" s="1259"/>
      <c r="F611" s="1173">
        <v>730588</v>
      </c>
      <c r="G611" s="1174">
        <v>566595.41</v>
      </c>
      <c r="H611" s="1181">
        <f t="shared" si="31"/>
        <v>184143.50825000001</v>
      </c>
      <c r="I611" s="1262">
        <f t="shared" si="32"/>
        <v>283297.70500000002</v>
      </c>
      <c r="J611" s="1453">
        <f>G611/F611</f>
        <v>0.77553341965649591</v>
      </c>
      <c r="K611" s="1182">
        <f>'Vtas Diarias 2021'!QC47/F611</f>
        <v>0.6648580184727918</v>
      </c>
      <c r="L611" s="1154"/>
      <c r="M611" s="1148">
        <f>SUM(F605:F611)</f>
        <v>2941160</v>
      </c>
      <c r="N611" s="1536">
        <f>M611/$R$611</f>
        <v>0.20658200067049337</v>
      </c>
      <c r="O611" s="1017"/>
      <c r="P611" s="1017"/>
      <c r="Q611" s="1017"/>
      <c r="R611" s="1148">
        <f>M611+M618+M625+M632+M639</f>
        <v>14237251.989302151</v>
      </c>
      <c r="S611" s="1017"/>
      <c r="T611" s="1351"/>
      <c r="U611" s="1017"/>
      <c r="V611" s="1017"/>
      <c r="W611" s="1017"/>
      <c r="X611" s="1017"/>
      <c r="Y611" s="1017"/>
      <c r="Z611" s="1017"/>
      <c r="AA611" s="1017"/>
      <c r="AB611" s="1017"/>
      <c r="AC611" s="1017"/>
      <c r="AD611" s="1017"/>
      <c r="AE611" s="1017"/>
      <c r="AF611" s="1017"/>
    </row>
    <row r="612" spans="1:32" ht="16.5">
      <c r="A612" s="1022"/>
      <c r="B612" s="1727" t="s">
        <v>371</v>
      </c>
      <c r="C612" s="1250">
        <v>43716</v>
      </c>
      <c r="D612" s="1251">
        <v>44444</v>
      </c>
      <c r="E612" s="1251"/>
      <c r="F612" s="1157">
        <v>434293.02930215001</v>
      </c>
      <c r="G612" s="1158">
        <v>307858.13</v>
      </c>
      <c r="H612" s="1026">
        <f t="shared" si="31"/>
        <v>100053.89225</v>
      </c>
      <c r="I612" s="1242">
        <f t="shared" si="32"/>
        <v>153929.065</v>
      </c>
      <c r="J612" s="1492">
        <f>G612/F612</f>
        <v>0.70887191188559084</v>
      </c>
      <c r="K612" s="1492">
        <f>'Vtas Diarias 2021'!QK47/Tendencia!F612</f>
        <v>0.5714399339975117</v>
      </c>
      <c r="L612" s="1493"/>
      <c r="M612" s="1313"/>
      <c r="N612" s="1536"/>
      <c r="O612" s="1017"/>
      <c r="P612" s="1017"/>
      <c r="Q612" s="1017"/>
      <c r="R612" s="1017"/>
      <c r="S612" s="1017"/>
      <c r="T612" s="1351"/>
      <c r="U612" s="1017"/>
      <c r="V612" s="1017"/>
      <c r="W612" s="1017"/>
      <c r="X612" s="1017"/>
      <c r="Y612" s="1017"/>
      <c r="Z612" s="1017"/>
      <c r="AA612" s="1017"/>
      <c r="AB612" s="1017"/>
      <c r="AC612" s="1017"/>
      <c r="AD612" s="1017"/>
      <c r="AE612" s="1017"/>
      <c r="AF612" s="1017"/>
    </row>
    <row r="613" spans="1:32" ht="16.5">
      <c r="A613" s="1022"/>
      <c r="B613" s="1728"/>
      <c r="C613" s="1255">
        <v>43717</v>
      </c>
      <c r="D613" s="1256">
        <v>44445</v>
      </c>
      <c r="E613" s="1256"/>
      <c r="F613" s="1164">
        <v>162332</v>
      </c>
      <c r="G613" s="1165">
        <v>241541.11</v>
      </c>
      <c r="H613" s="1178">
        <f t="shared" si="31"/>
        <v>78500.860749999993</v>
      </c>
      <c r="I613" s="1261">
        <f t="shared" si="32"/>
        <v>120770.55499999999</v>
      </c>
      <c r="J613" s="1494">
        <f>G613/F613</f>
        <v>1.487945137126383</v>
      </c>
      <c r="K613" s="1494">
        <f>'Vtas Diarias 2021'!QO47/Tendencia!F613</f>
        <v>1.2948415592735876</v>
      </c>
      <c r="L613" s="1505" t="s">
        <v>431</v>
      </c>
      <c r="M613" s="1036"/>
      <c r="N613" s="1536"/>
      <c r="O613" s="1017"/>
      <c r="P613" s="1017"/>
      <c r="Q613" s="1017"/>
      <c r="R613" s="1017"/>
      <c r="S613" s="1017"/>
      <c r="T613" s="1351"/>
      <c r="U613" s="1017"/>
      <c r="V613" s="1017"/>
      <c r="W613" s="1017"/>
      <c r="X613" s="1017"/>
      <c r="Y613" s="1017"/>
      <c r="Z613" s="1017"/>
      <c r="AA613" s="1017"/>
      <c r="AB613" s="1017"/>
      <c r="AC613" s="1017"/>
      <c r="AD613" s="1017"/>
      <c r="AE613" s="1017"/>
      <c r="AF613" s="1017"/>
    </row>
    <row r="614" spans="1:32" ht="16.5">
      <c r="A614" s="1022"/>
      <c r="B614" s="1728"/>
      <c r="C614" s="1255">
        <v>43718</v>
      </c>
      <c r="D614" s="1256">
        <v>44446</v>
      </c>
      <c r="E614" s="1256"/>
      <c r="F614" s="1164">
        <v>328801</v>
      </c>
      <c r="G614" s="1165">
        <v>238338.64</v>
      </c>
      <c r="H614" s="1178">
        <f t="shared" si="31"/>
        <v>77460.058000000005</v>
      </c>
      <c r="I614" s="1261">
        <f t="shared" si="32"/>
        <v>119169.32</v>
      </c>
      <c r="J614" s="1494">
        <f>G614/F614</f>
        <v>0.72487200464718782</v>
      </c>
      <c r="K614" s="1494">
        <f>'Vtas Diarias 2021'!QS47/Tendencia!F614</f>
        <v>0.6329968278685284</v>
      </c>
      <c r="L614" s="1395"/>
      <c r="M614" s="1036"/>
      <c r="N614" s="1536"/>
      <c r="O614" s="1017"/>
      <c r="P614" s="1017"/>
      <c r="Q614" s="1017"/>
      <c r="R614" s="1017"/>
      <c r="S614" s="1017"/>
      <c r="T614" s="1351"/>
      <c r="U614" s="1017"/>
      <c r="V614" s="1017"/>
      <c r="W614" s="1017"/>
      <c r="X614" s="1017"/>
      <c r="Y614" s="1017"/>
      <c r="Z614" s="1017"/>
      <c r="AA614" s="1017"/>
      <c r="AB614" s="1017"/>
      <c r="AC614" s="1017"/>
      <c r="AD614" s="1017"/>
      <c r="AE614" s="1017"/>
      <c r="AF614" s="1017"/>
    </row>
    <row r="615" spans="1:32" ht="16.5">
      <c r="A615" s="1022"/>
      <c r="B615" s="1728"/>
      <c r="C615" s="1255">
        <v>43719</v>
      </c>
      <c r="D615" s="1256">
        <v>44447</v>
      </c>
      <c r="E615" s="1256"/>
      <c r="F615" s="1164">
        <v>313968</v>
      </c>
      <c r="G615" s="1165">
        <v>231293</v>
      </c>
      <c r="H615" s="1178">
        <f t="shared" si="31"/>
        <v>75170.225000000006</v>
      </c>
      <c r="I615" s="1261">
        <f t="shared" si="32"/>
        <v>115646.5</v>
      </c>
      <c r="J615" s="1494">
        <f>G615/F615</f>
        <v>0.73667698618967536</v>
      </c>
      <c r="K615" s="1494">
        <f>'Vtas Diarias 2021'!QW47/Tendencia!F617</f>
        <v>0.41061003089261661</v>
      </c>
      <c r="L615" s="1395"/>
      <c r="M615" s="1036"/>
      <c r="N615" s="1536"/>
      <c r="O615" s="1017"/>
      <c r="P615" s="1017"/>
      <c r="Q615" s="1017"/>
      <c r="R615" s="1017"/>
      <c r="S615" s="1017"/>
      <c r="T615" s="1351"/>
      <c r="U615" s="1017"/>
      <c r="V615" s="1017"/>
      <c r="W615" s="1017"/>
      <c r="X615" s="1017"/>
      <c r="Y615" s="1017"/>
      <c r="Z615" s="1017"/>
      <c r="AA615" s="1017"/>
      <c r="AB615" s="1017"/>
      <c r="AC615" s="1017"/>
      <c r="AD615" s="1017"/>
      <c r="AE615" s="1017"/>
      <c r="AF615" s="1017"/>
    </row>
    <row r="616" spans="1:32" ht="16.5">
      <c r="A616" s="1022"/>
      <c r="B616" s="1728"/>
      <c r="C616" s="1255">
        <v>43720</v>
      </c>
      <c r="D616" s="1256">
        <v>44448</v>
      </c>
      <c r="E616" s="1256"/>
      <c r="F616" s="1164">
        <v>402050</v>
      </c>
      <c r="G616" s="1165">
        <v>263798.75</v>
      </c>
      <c r="H616" s="1178">
        <f t="shared" si="31"/>
        <v>85734.59375</v>
      </c>
      <c r="I616" s="1261">
        <f t="shared" si="32"/>
        <v>131899.375</v>
      </c>
      <c r="J616" s="1494">
        <f>G616/F616</f>
        <v>0.65613418729013806</v>
      </c>
      <c r="K616" s="1494">
        <f>'Vtas Diarias 2021'!RA47/Tendencia!F616</f>
        <v>0.57414498196741692</v>
      </c>
      <c r="L616" s="1395"/>
      <c r="M616" s="1036"/>
      <c r="N616" s="1536"/>
      <c r="O616" s="1017"/>
      <c r="P616" s="1017"/>
      <c r="Q616" s="1017"/>
      <c r="R616" s="1017"/>
      <c r="S616" s="1017"/>
      <c r="T616" s="1351"/>
      <c r="U616" s="1017"/>
      <c r="V616" s="1017"/>
      <c r="W616" s="1017"/>
      <c r="X616" s="1017"/>
      <c r="Y616" s="1017"/>
      <c r="Z616" s="1017"/>
      <c r="AA616" s="1017"/>
      <c r="AB616" s="1017"/>
      <c r="AC616" s="1017"/>
      <c r="AD616" s="1017"/>
      <c r="AE616" s="1017"/>
      <c r="AF616" s="1017"/>
    </row>
    <row r="617" spans="1:32" ht="16.5">
      <c r="A617" s="1022"/>
      <c r="B617" s="1728"/>
      <c r="C617" s="1255">
        <v>43721</v>
      </c>
      <c r="D617" s="1256">
        <v>44449</v>
      </c>
      <c r="E617" s="1256"/>
      <c r="F617" s="1164">
        <v>483287</v>
      </c>
      <c r="G617" s="1165">
        <v>362159.55</v>
      </c>
      <c r="H617" s="1178">
        <f t="shared" si="31"/>
        <v>117701.85374999999</v>
      </c>
      <c r="I617" s="1261">
        <f t="shared" si="32"/>
        <v>181079.77499999999</v>
      </c>
      <c r="J617" s="1494">
        <f>G617/F617</f>
        <v>0.74936745660446069</v>
      </c>
      <c r="K617" s="1494">
        <f>'Vtas Diarias 2021'!RE47/Tendencia!F617</f>
        <v>0.6527544088709194</v>
      </c>
      <c r="L617" s="1395"/>
      <c r="M617" s="1036"/>
      <c r="N617" s="1536"/>
      <c r="O617" s="1017"/>
      <c r="P617" s="1017"/>
      <c r="Q617" s="1017"/>
      <c r="R617" s="1017"/>
      <c r="S617" s="1017"/>
      <c r="T617" s="1351"/>
      <c r="U617" s="1017"/>
      <c r="V617" s="1017"/>
      <c r="W617" s="1017"/>
      <c r="X617" s="1017"/>
      <c r="Y617" s="1017"/>
      <c r="Z617" s="1017"/>
      <c r="AA617" s="1017"/>
      <c r="AB617" s="1017"/>
      <c r="AC617" s="1017"/>
      <c r="AD617" s="1017"/>
      <c r="AE617" s="1017"/>
      <c r="AF617" s="1017"/>
    </row>
    <row r="618" spans="1:32" ht="16.5">
      <c r="A618" s="1022"/>
      <c r="B618" s="1736"/>
      <c r="C618" s="1501">
        <v>43722</v>
      </c>
      <c r="D618" s="1259">
        <v>44450</v>
      </c>
      <c r="E618" s="1259"/>
      <c r="F618" s="1173">
        <v>800228</v>
      </c>
      <c r="G618" s="1174">
        <v>559509.43999999994</v>
      </c>
      <c r="H618" s="1181">
        <f t="shared" si="31"/>
        <v>181840.568</v>
      </c>
      <c r="I618" s="1262">
        <f>G618*0.5</f>
        <v>279754.71999999997</v>
      </c>
      <c r="J618" s="1497">
        <f>G618/F618</f>
        <v>0.69918753155350721</v>
      </c>
      <c r="K618" s="1497">
        <f>'Vtas Diarias 2021'!RI47/Tendencia!F618</f>
        <v>0.61200796522990941</v>
      </c>
      <c r="L618" s="1498" t="s">
        <v>432</v>
      </c>
      <c r="M618" s="1036">
        <f>SUM(F612:F618)</f>
        <v>2924959.02930215</v>
      </c>
      <c r="N618" s="1536">
        <f>M618/$R$611</f>
        <v>0.20544407245864299</v>
      </c>
      <c r="O618" s="1017"/>
      <c r="P618" s="1017"/>
      <c r="Q618" s="1017"/>
      <c r="R618" s="1017"/>
      <c r="S618" s="1017"/>
      <c r="T618" s="1351"/>
      <c r="U618" s="1017"/>
      <c r="V618" s="1017"/>
      <c r="W618" s="1017"/>
      <c r="X618" s="1017"/>
      <c r="Y618" s="1017"/>
      <c r="Z618" s="1017"/>
      <c r="AA618" s="1017"/>
      <c r="AB618" s="1017"/>
      <c r="AC618" s="1017"/>
      <c r="AD618" s="1017"/>
      <c r="AE618" s="1017"/>
      <c r="AF618" s="1017"/>
    </row>
    <row r="619" spans="1:32" ht="16.5">
      <c r="A619" s="1022"/>
      <c r="B619" s="1727" t="s">
        <v>372</v>
      </c>
      <c r="C619" s="1502">
        <v>43723</v>
      </c>
      <c r="D619" s="1251">
        <v>44451</v>
      </c>
      <c r="E619" s="1251"/>
      <c r="F619" s="1157">
        <v>447853</v>
      </c>
      <c r="G619" s="1158">
        <v>294149.7</v>
      </c>
      <c r="H619" s="1026">
        <f t="shared" si="31"/>
        <v>95598.652500000011</v>
      </c>
      <c r="I619" s="1242">
        <f>G619*0.5</f>
        <v>147074.85</v>
      </c>
      <c r="J619" s="1499">
        <f>G619/F619</f>
        <v>0.65679966417552194</v>
      </c>
      <c r="K619" s="1499">
        <f>'Vtas Diarias 2021'!RQ47/Tendencia!F619</f>
        <v>0.53627761787908079</v>
      </c>
      <c r="L619" s="1500" t="s">
        <v>433</v>
      </c>
      <c r="M619" s="1036"/>
      <c r="N619" s="1536"/>
      <c r="O619" s="1017"/>
      <c r="P619" s="1017"/>
      <c r="Q619" s="1017"/>
      <c r="R619" s="1017"/>
      <c r="S619" s="1017"/>
      <c r="T619" s="1351"/>
      <c r="U619" s="1017"/>
      <c r="V619" s="1017"/>
      <c r="W619" s="1017"/>
      <c r="X619" s="1017"/>
      <c r="Y619" s="1017"/>
      <c r="Z619" s="1017"/>
      <c r="AA619" s="1017"/>
      <c r="AB619" s="1017"/>
      <c r="AC619" s="1017"/>
      <c r="AD619" s="1017"/>
      <c r="AE619" s="1017"/>
      <c r="AF619" s="1017"/>
    </row>
    <row r="620" spans="1:32" ht="16.5">
      <c r="A620" s="1022"/>
      <c r="B620" s="1728"/>
      <c r="C620" s="1503">
        <v>43724</v>
      </c>
      <c r="D620" s="1256">
        <v>44452</v>
      </c>
      <c r="E620" s="1256"/>
      <c r="F620" s="1164">
        <v>399252</v>
      </c>
      <c r="G620" s="1165">
        <v>235722</v>
      </c>
      <c r="H620" s="1178">
        <f t="shared" si="31"/>
        <v>76609.650000000009</v>
      </c>
      <c r="I620" s="1261">
        <f>G620*0.5</f>
        <v>117861</v>
      </c>
      <c r="J620" s="1494">
        <f>G620/F620</f>
        <v>0.59040906495145928</v>
      </c>
      <c r="K620" s="1494">
        <f>'Vtas Diarias 2021'!RU47/Tendencia!F620</f>
        <v>0.51435634636770766</v>
      </c>
      <c r="L620" s="1395" t="s">
        <v>434</v>
      </c>
      <c r="M620" s="1036"/>
      <c r="N620" s="1536"/>
      <c r="O620" s="1017"/>
      <c r="P620" s="1017"/>
      <c r="Q620" s="1017"/>
      <c r="R620" s="1017"/>
      <c r="S620" s="1017"/>
      <c r="T620" s="1351"/>
      <c r="U620" s="1017"/>
      <c r="V620" s="1017"/>
      <c r="W620" s="1017"/>
      <c r="X620" s="1017"/>
      <c r="Y620" s="1017"/>
      <c r="Z620" s="1017"/>
      <c r="AA620" s="1017"/>
      <c r="AB620" s="1017"/>
      <c r="AC620" s="1017"/>
      <c r="AD620" s="1017"/>
      <c r="AE620" s="1017"/>
      <c r="AF620" s="1017"/>
    </row>
    <row r="621" spans="1:32" ht="16.5">
      <c r="A621" s="1022"/>
      <c r="B621" s="1728"/>
      <c r="C621" s="1255">
        <v>43725</v>
      </c>
      <c r="D621" s="1504">
        <v>44453</v>
      </c>
      <c r="E621" s="1504"/>
      <c r="F621" s="1164">
        <v>266592</v>
      </c>
      <c r="G621" s="1165">
        <v>294977.12</v>
      </c>
      <c r="H621" s="1178">
        <f t="shared" si="31"/>
        <v>95867.563999999998</v>
      </c>
      <c r="I621" s="1261">
        <f>G621*0.5</f>
        <v>147488.56</v>
      </c>
      <c r="J621" s="1494">
        <f>G621/F621</f>
        <v>1.1064740127235626</v>
      </c>
      <c r="K621" s="1494">
        <f>'Vtas Diarias 2021'!RY47/Tendencia!F621</f>
        <v>0.9638927274636897</v>
      </c>
      <c r="L621" s="1395"/>
      <c r="M621" s="1036"/>
      <c r="N621" s="1536"/>
      <c r="O621" s="1017"/>
      <c r="P621" s="1017"/>
      <c r="Q621" s="1017"/>
      <c r="R621" s="1017"/>
      <c r="S621" s="1017"/>
      <c r="T621" s="1351"/>
      <c r="U621" s="1017"/>
      <c r="V621" s="1017"/>
      <c r="W621" s="1017"/>
      <c r="X621" s="1017"/>
      <c r="Y621" s="1017"/>
      <c r="Z621" s="1017"/>
      <c r="AA621" s="1017"/>
      <c r="AB621" s="1017"/>
      <c r="AC621" s="1017"/>
      <c r="AD621" s="1017"/>
      <c r="AE621" s="1017"/>
      <c r="AF621" s="1017"/>
    </row>
    <row r="622" spans="1:32" ht="16.5">
      <c r="A622" s="1022"/>
      <c r="B622" s="1728"/>
      <c r="C622" s="1255">
        <v>43726</v>
      </c>
      <c r="D622" s="1504">
        <v>44454</v>
      </c>
      <c r="E622" s="1504"/>
      <c r="F622" s="1164">
        <v>289365</v>
      </c>
      <c r="G622" s="1165">
        <v>326432.83</v>
      </c>
      <c r="H622" s="1178">
        <f t="shared" si="31"/>
        <v>106090.66975000002</v>
      </c>
      <c r="I622" s="1261">
        <f>G622*0.5</f>
        <v>163216.41500000001</v>
      </c>
      <c r="J622" s="1494">
        <f>G622/F622</f>
        <v>1.1281005995887547</v>
      </c>
      <c r="K622" s="1494">
        <f>'Vtas Diarias 2021'!SC47/Tendencia!F622</f>
        <v>0.98692761736906676</v>
      </c>
      <c r="L622" s="1395"/>
      <c r="M622" s="1036"/>
      <c r="N622" s="1536"/>
      <c r="O622" s="1017"/>
      <c r="P622" s="1017"/>
      <c r="Q622" s="1017"/>
      <c r="R622" s="1017"/>
      <c r="S622" s="1017"/>
      <c r="T622" s="1351"/>
      <c r="U622" s="1017"/>
      <c r="V622" s="1017"/>
      <c r="W622" s="1017"/>
      <c r="X622" s="1017"/>
      <c r="Y622" s="1017"/>
      <c r="Z622" s="1017"/>
      <c r="AA622" s="1017"/>
      <c r="AB622" s="1017"/>
      <c r="AC622" s="1017"/>
      <c r="AD622" s="1017"/>
      <c r="AE622" s="1017"/>
      <c r="AF622" s="1017"/>
    </row>
    <row r="623" spans="1:32" ht="16.5">
      <c r="A623" s="1022"/>
      <c r="B623" s="1728"/>
      <c r="C623" s="1255">
        <v>43727</v>
      </c>
      <c r="D623" s="1504">
        <v>44455</v>
      </c>
      <c r="E623" s="1504"/>
      <c r="F623" s="1164">
        <v>325352</v>
      </c>
      <c r="G623" s="1165">
        <v>332515.21999999997</v>
      </c>
      <c r="H623" s="1178">
        <f t="shared" si="31"/>
        <v>108067.44649999999</v>
      </c>
      <c r="I623" s="1261">
        <f>G623*0.5</f>
        <v>166257.60999999999</v>
      </c>
      <c r="J623" s="1494">
        <f>G623/F623</f>
        <v>1.0220168310014999</v>
      </c>
      <c r="K623" s="1494">
        <f>'Vtas Diarias 2021'!SG47/Tendencia!F623</f>
        <v>0.8281398300917161</v>
      </c>
      <c r="L623" s="1395"/>
      <c r="M623" s="1036"/>
      <c r="N623" s="1536"/>
      <c r="O623" s="1017"/>
      <c r="P623" s="1017"/>
      <c r="Q623" s="1017"/>
      <c r="R623" s="1017"/>
      <c r="S623" s="1017"/>
      <c r="T623" s="1351"/>
      <c r="U623" s="1017"/>
      <c r="V623" s="1017"/>
      <c r="W623" s="1017"/>
      <c r="X623" s="1017"/>
      <c r="Y623" s="1017"/>
      <c r="Z623" s="1017"/>
      <c r="AA623" s="1017"/>
      <c r="AB623" s="1017"/>
      <c r="AC623" s="1017"/>
      <c r="AD623" s="1017"/>
      <c r="AE623" s="1017"/>
      <c r="AF623" s="1017"/>
    </row>
    <row r="624" spans="1:32" ht="16.5">
      <c r="A624" s="1022"/>
      <c r="B624" s="1728"/>
      <c r="C624" s="1255">
        <v>43728</v>
      </c>
      <c r="D624" s="1256">
        <v>44456</v>
      </c>
      <c r="E624" s="1256"/>
      <c r="F624" s="1164">
        <v>413635</v>
      </c>
      <c r="G624" s="1165">
        <v>391500.5</v>
      </c>
      <c r="H624" s="1178">
        <f t="shared" si="31"/>
        <v>127237.66250000001</v>
      </c>
      <c r="I624" s="1261">
        <f>G624*0.5</f>
        <v>195750.25</v>
      </c>
      <c r="J624" s="1494">
        <f>G624/F624</f>
        <v>0.94648784556432608</v>
      </c>
      <c r="K624" s="1494">
        <f>'Vtas Diarias 2021'!SK47/Tendencia!F624</f>
        <v>0.82213760924486556</v>
      </c>
      <c r="L624" s="1395"/>
      <c r="M624" s="1036"/>
      <c r="N624" s="1536"/>
      <c r="O624" s="1017"/>
      <c r="P624" s="1017"/>
      <c r="Q624" s="1017"/>
      <c r="R624" s="1017"/>
      <c r="S624" s="1017"/>
      <c r="T624" s="1351"/>
      <c r="U624" s="1017"/>
      <c r="V624" s="1017"/>
      <c r="W624" s="1017"/>
      <c r="X624" s="1017"/>
      <c r="Y624" s="1017"/>
      <c r="Z624" s="1017"/>
      <c r="AA624" s="1017"/>
      <c r="AB624" s="1017"/>
      <c r="AC624" s="1017"/>
      <c r="AD624" s="1017"/>
      <c r="AE624" s="1017"/>
      <c r="AF624" s="1017"/>
    </row>
    <row r="625" spans="1:32" ht="16.5">
      <c r="A625" s="1022"/>
      <c r="B625" s="1736"/>
      <c r="C625" s="1258">
        <v>43729</v>
      </c>
      <c r="D625" s="1259">
        <v>44457</v>
      </c>
      <c r="E625" s="1259"/>
      <c r="F625" s="1173">
        <v>661026</v>
      </c>
      <c r="G625" s="1174">
        <v>523112.86</v>
      </c>
      <c r="H625" s="1181">
        <f t="shared" si="31"/>
        <v>170011.6795</v>
      </c>
      <c r="I625" s="1262">
        <f>G625*0.5</f>
        <v>261556.43</v>
      </c>
      <c r="J625" s="1497">
        <f>G625/F625</f>
        <v>0.79136502951472409</v>
      </c>
      <c r="K625" s="1497">
        <f>'Vtas Diarias 2021'!SO47/Tendencia!F625</f>
        <v>0.6931622659320511</v>
      </c>
      <c r="L625" s="1498"/>
      <c r="M625" s="1036">
        <f>SUM(F619:F625)</f>
        <v>2803075</v>
      </c>
      <c r="N625" s="1536">
        <f>M625/$R$611</f>
        <v>0.19688314866564322</v>
      </c>
      <c r="O625" s="1017"/>
      <c r="P625" s="1017"/>
      <c r="Q625" s="1017"/>
      <c r="R625" s="1017"/>
      <c r="S625" s="1017"/>
      <c r="T625" s="1351"/>
      <c r="U625" s="1017"/>
      <c r="V625" s="1017"/>
      <c r="W625" s="1017"/>
      <c r="X625" s="1017"/>
      <c r="Y625" s="1017"/>
      <c r="Z625" s="1017"/>
      <c r="AA625" s="1017"/>
      <c r="AB625" s="1017"/>
      <c r="AC625" s="1017"/>
      <c r="AD625" s="1017"/>
      <c r="AE625" s="1017"/>
      <c r="AF625" s="1017"/>
    </row>
    <row r="626" spans="1:32" ht="16.5">
      <c r="A626" s="1022"/>
      <c r="B626" s="1727" t="s">
        <v>373</v>
      </c>
      <c r="C626" s="1250">
        <v>43730</v>
      </c>
      <c r="D626" s="1251">
        <v>44458</v>
      </c>
      <c r="E626" s="1251"/>
      <c r="F626" s="1157">
        <v>405616.57</v>
      </c>
      <c r="G626" s="1158">
        <v>244912.18</v>
      </c>
      <c r="H626" s="1026">
        <f t="shared" si="31"/>
        <v>79596.458499999993</v>
      </c>
      <c r="I626" s="1242">
        <f>G626*0.5</f>
        <v>122456.09</v>
      </c>
      <c r="J626" s="1499">
        <f>G626/F626</f>
        <v>0.60380220660117512</v>
      </c>
      <c r="K626" s="1499">
        <f>'Vtas Diarias 2021'!SW47/Tendencia!F626</f>
        <v>0.49007526985399041</v>
      </c>
      <c r="L626" s="1507"/>
      <c r="M626" s="1036"/>
      <c r="N626" s="1536"/>
      <c r="O626" s="1017"/>
      <c r="P626" s="1017"/>
      <c r="Q626" s="1017"/>
      <c r="R626" s="1017"/>
      <c r="S626" s="1017"/>
      <c r="T626" s="1351"/>
      <c r="U626" s="1017"/>
      <c r="V626" s="1017"/>
      <c r="W626" s="1017"/>
      <c r="X626" s="1017"/>
      <c r="Y626" s="1017"/>
      <c r="Z626" s="1017"/>
      <c r="AA626" s="1017"/>
      <c r="AB626" s="1017"/>
      <c r="AC626" s="1017"/>
      <c r="AD626" s="1017"/>
      <c r="AE626" s="1017"/>
      <c r="AF626" s="1017"/>
    </row>
    <row r="627" spans="1:32" ht="16.5">
      <c r="A627" s="1022"/>
      <c r="B627" s="1728"/>
      <c r="C627" s="1255">
        <v>43731</v>
      </c>
      <c r="D627" s="1256">
        <v>44459</v>
      </c>
      <c r="E627" s="1256"/>
      <c r="F627" s="1164">
        <v>281074</v>
      </c>
      <c r="G627" s="1165">
        <v>220371.83</v>
      </c>
      <c r="H627" s="1178">
        <f t="shared" si="31"/>
        <v>71620.844750000004</v>
      </c>
      <c r="I627" s="1261">
        <f>G627*0.5</f>
        <v>110185.91499999999</v>
      </c>
      <c r="J627" s="1494">
        <f>G627/F627</f>
        <v>0.7840349160719241</v>
      </c>
      <c r="K627" s="1494">
        <f>'Vtas Diarias 2021'!TA47/Tendencia!F627</f>
        <v>0.67663120744003358</v>
      </c>
      <c r="L627" s="1395"/>
      <c r="M627" s="1036"/>
      <c r="N627" s="1536"/>
      <c r="O627" s="1017"/>
      <c r="P627" s="1017"/>
      <c r="Q627" s="1017"/>
      <c r="R627" s="1017"/>
      <c r="S627" s="1017"/>
      <c r="T627" s="1351"/>
      <c r="U627" s="1017"/>
      <c r="V627" s="1017"/>
      <c r="W627" s="1017"/>
      <c r="X627" s="1017"/>
      <c r="Y627" s="1017"/>
      <c r="Z627" s="1017"/>
      <c r="AA627" s="1017"/>
      <c r="AB627" s="1017"/>
      <c r="AC627" s="1017"/>
      <c r="AD627" s="1017"/>
      <c r="AE627" s="1017"/>
      <c r="AF627" s="1017"/>
    </row>
    <row r="628" spans="1:32" ht="16.5">
      <c r="A628" s="1022"/>
      <c r="B628" s="1728"/>
      <c r="C628" s="1255">
        <v>43732</v>
      </c>
      <c r="D628" s="1256">
        <v>44460</v>
      </c>
      <c r="E628" s="1256"/>
      <c r="F628" s="1164">
        <v>271689.15000000002</v>
      </c>
      <c r="G628" s="1165">
        <v>217524.31</v>
      </c>
      <c r="H628" s="1178">
        <f t="shared" si="31"/>
        <v>70695.400750000001</v>
      </c>
      <c r="I628" s="1261">
        <f t="shared" ref="I628:I639" si="33">G628*0.5</f>
        <v>108762.155</v>
      </c>
      <c r="J628" s="1494">
        <f>G628/F628</f>
        <v>0.80063672031069322</v>
      </c>
      <c r="K628" s="1494">
        <f>'Vtas Diarias 2021'!TE47/Tendencia!F628</f>
        <v>0.70703070034265258</v>
      </c>
      <c r="L628" s="1395"/>
      <c r="M628" s="1036"/>
      <c r="N628" s="1536"/>
      <c r="O628" s="1017"/>
      <c r="P628" s="1017"/>
      <c r="Q628" s="1017"/>
      <c r="R628" s="1017"/>
      <c r="S628" s="1017"/>
      <c r="T628" s="1351"/>
      <c r="U628" s="1017"/>
      <c r="V628" s="1017"/>
      <c r="W628" s="1017"/>
      <c r="X628" s="1017"/>
      <c r="Y628" s="1017"/>
      <c r="Z628" s="1017"/>
      <c r="AA628" s="1017"/>
      <c r="AB628" s="1017"/>
      <c r="AC628" s="1017"/>
      <c r="AD628" s="1017"/>
      <c r="AE628" s="1017"/>
      <c r="AF628" s="1017"/>
    </row>
    <row r="629" spans="1:32" ht="16.5">
      <c r="A629" s="1022"/>
      <c r="B629" s="1728"/>
      <c r="C629" s="1255">
        <v>43733</v>
      </c>
      <c r="D629" s="1256">
        <v>44461</v>
      </c>
      <c r="E629" s="1256"/>
      <c r="F629" s="1164">
        <v>272923.26</v>
      </c>
      <c r="G629" s="1165">
        <v>225831.01</v>
      </c>
      <c r="H629" s="1178">
        <f t="shared" si="31"/>
        <v>73395.078250000006</v>
      </c>
      <c r="I629" s="1261">
        <f t="shared" si="33"/>
        <v>112915.505</v>
      </c>
      <c r="J629" s="1494">
        <f>G629/F629</f>
        <v>0.82745241281377047</v>
      </c>
      <c r="K629" s="1494">
        <f>'Vtas Diarias 2021'!TI47/Tendencia!F629</f>
        <v>0.70640802106790013</v>
      </c>
      <c r="L629" s="1395"/>
      <c r="M629" s="1036"/>
      <c r="N629" s="1536"/>
      <c r="O629" s="1017"/>
      <c r="P629" s="1017"/>
      <c r="Q629" s="1017"/>
      <c r="R629" s="1017"/>
      <c r="S629" s="1017"/>
      <c r="T629" s="1351"/>
      <c r="U629" s="1017"/>
      <c r="V629" s="1017"/>
      <c r="W629" s="1017"/>
      <c r="X629" s="1017"/>
      <c r="Y629" s="1017"/>
      <c r="Z629" s="1017"/>
      <c r="AA629" s="1017"/>
      <c r="AB629" s="1017"/>
      <c r="AC629" s="1017"/>
      <c r="AD629" s="1017"/>
      <c r="AE629" s="1017"/>
      <c r="AF629" s="1017"/>
    </row>
    <row r="630" spans="1:32" ht="16.5">
      <c r="A630" s="1022"/>
      <c r="B630" s="1728"/>
      <c r="C630" s="1255">
        <v>43734</v>
      </c>
      <c r="D630" s="1256">
        <v>44462</v>
      </c>
      <c r="E630" s="1256"/>
      <c r="F630" s="1164">
        <v>317370.39</v>
      </c>
      <c r="G630" s="1165">
        <v>255998.3</v>
      </c>
      <c r="H630" s="1178">
        <f t="shared" si="31"/>
        <v>83199.447499999995</v>
      </c>
      <c r="I630" s="1261">
        <f t="shared" si="33"/>
        <v>127999.15</v>
      </c>
      <c r="J630" s="1494">
        <f>G630/F630</f>
        <v>0.80662313834633403</v>
      </c>
      <c r="K630" s="1494">
        <f>'Vtas Diarias 2021'!TM47/Tendencia!F630</f>
        <v>0.70507201380695905</v>
      </c>
      <c r="L630" s="1395"/>
      <c r="M630" s="1036"/>
      <c r="N630" s="1536"/>
      <c r="O630" s="1017"/>
      <c r="P630" s="1017"/>
      <c r="Q630" s="1017"/>
      <c r="R630" s="1017"/>
      <c r="S630" s="1017"/>
      <c r="T630" s="1351"/>
      <c r="U630" s="1017"/>
      <c r="V630" s="1017"/>
      <c r="W630" s="1017"/>
      <c r="X630" s="1017"/>
      <c r="Y630" s="1017"/>
      <c r="Z630" s="1017"/>
      <c r="AA630" s="1017"/>
      <c r="AB630" s="1017"/>
      <c r="AC630" s="1017"/>
      <c r="AD630" s="1017"/>
      <c r="AE630" s="1017"/>
      <c r="AF630" s="1017"/>
    </row>
    <row r="631" spans="1:32" ht="16.5">
      <c r="A631" s="1022"/>
      <c r="B631" s="1728"/>
      <c r="C631" s="1255">
        <v>43735</v>
      </c>
      <c r="D631" s="1256">
        <v>44463</v>
      </c>
      <c r="E631" s="1256"/>
      <c r="F631" s="1164">
        <v>461692.57</v>
      </c>
      <c r="G631" s="1165">
        <v>342908.7</v>
      </c>
      <c r="H631" s="1178">
        <f t="shared" si="31"/>
        <v>111445.32750000001</v>
      </c>
      <c r="I631" s="1261">
        <f t="shared" si="33"/>
        <v>171454.35</v>
      </c>
      <c r="J631" s="1494">
        <f>G631/F631</f>
        <v>0.74272085426889156</v>
      </c>
      <c r="K631" s="1494">
        <f>'Vtas Diarias 2021'!TQ47/Tendencia!F631</f>
        <v>0.65957704279278295</v>
      </c>
      <c r="L631" s="1395" t="s">
        <v>435</v>
      </c>
      <c r="M631" s="1036"/>
      <c r="N631" s="1536"/>
      <c r="O631" s="1017"/>
      <c r="P631" s="1017"/>
      <c r="Q631" s="1017"/>
      <c r="R631" s="1017"/>
      <c r="S631" s="1017"/>
      <c r="T631" s="1351"/>
      <c r="U631" s="1017"/>
      <c r="V631" s="1017"/>
      <c r="W631" s="1017"/>
      <c r="X631" s="1017"/>
      <c r="Y631" s="1017"/>
      <c r="Z631" s="1017"/>
      <c r="AA631" s="1017"/>
      <c r="AB631" s="1017"/>
      <c r="AC631" s="1017"/>
      <c r="AD631" s="1017"/>
      <c r="AE631" s="1017"/>
      <c r="AF631" s="1017"/>
    </row>
    <row r="632" spans="1:32" ht="16.5">
      <c r="A632" s="1022"/>
      <c r="B632" s="1736"/>
      <c r="C632" s="1258">
        <v>43736</v>
      </c>
      <c r="D632" s="1259">
        <v>44464</v>
      </c>
      <c r="E632" s="1259"/>
      <c r="F632" s="1173">
        <v>692391.32</v>
      </c>
      <c r="G632" s="1174">
        <v>550806.79</v>
      </c>
      <c r="H632" s="1181">
        <f t="shared" si="31"/>
        <v>179012.20675000001</v>
      </c>
      <c r="I632" s="1262">
        <f t="shared" si="33"/>
        <v>275403.39500000002</v>
      </c>
      <c r="J632" s="1497">
        <f>G632/F632</f>
        <v>0.79551371325683295</v>
      </c>
      <c r="K632" s="1497">
        <f>'Vtas Diarias 2021'!TU47/Tendencia!F632</f>
        <v>0.7027065128430553</v>
      </c>
      <c r="L632" s="1498" t="s">
        <v>435</v>
      </c>
      <c r="M632" s="1036">
        <f>SUM(F626:F632)</f>
        <v>2702757.2600000002</v>
      </c>
      <c r="N632" s="1536">
        <f>M632/$R$611</f>
        <v>0.18983700380037158</v>
      </c>
      <c r="O632" s="1017"/>
      <c r="P632" s="1017"/>
      <c r="Q632" s="1017"/>
      <c r="R632" s="1017"/>
      <c r="S632" s="1017"/>
      <c r="T632" s="1351"/>
      <c r="U632" s="1017"/>
      <c r="V632" s="1017"/>
      <c r="W632" s="1017"/>
      <c r="X632" s="1017"/>
      <c r="Y632" s="1017"/>
      <c r="Z632" s="1017"/>
      <c r="AA632" s="1017"/>
      <c r="AB632" s="1017"/>
      <c r="AC632" s="1017"/>
      <c r="AD632" s="1017"/>
      <c r="AE632" s="1017"/>
      <c r="AF632" s="1017"/>
    </row>
    <row r="633" spans="1:32" ht="16.5">
      <c r="A633" s="1022"/>
      <c r="B633" s="1727" t="s">
        <v>375</v>
      </c>
      <c r="C633" s="1250">
        <v>43737</v>
      </c>
      <c r="D633" s="1251">
        <v>44465</v>
      </c>
      <c r="E633" s="1528">
        <v>415214.98</v>
      </c>
      <c r="F633" s="1157">
        <v>413990.7</v>
      </c>
      <c r="G633" s="1158">
        <v>254730.01</v>
      </c>
      <c r="H633" s="1026">
        <f t="shared" si="31"/>
        <v>82787.253250000009</v>
      </c>
      <c r="I633" s="1248">
        <f t="shared" si="33"/>
        <v>127365.005</v>
      </c>
      <c r="J633" s="1499">
        <f>G633/F633</f>
        <v>0.61530370126671929</v>
      </c>
      <c r="K633" s="1499">
        <v>0.57999999999999996</v>
      </c>
      <c r="L633" s="1507" t="s">
        <v>435</v>
      </c>
      <c r="M633" s="1036"/>
      <c r="N633" s="1536"/>
      <c r="O633" s="1017"/>
      <c r="P633" s="1017"/>
      <c r="Q633" s="1017"/>
      <c r="R633" s="1017"/>
      <c r="S633" s="1017"/>
      <c r="T633" s="1351"/>
      <c r="U633" s="1017"/>
      <c r="V633" s="1017"/>
      <c r="W633" s="1017"/>
      <c r="X633" s="1017"/>
      <c r="Y633" s="1017"/>
      <c r="Z633" s="1017"/>
      <c r="AA633" s="1017"/>
      <c r="AB633" s="1017"/>
      <c r="AC633" s="1017"/>
      <c r="AD633" s="1017"/>
      <c r="AE633" s="1017"/>
      <c r="AF633" s="1017"/>
    </row>
    <row r="634" spans="1:32" ht="16.5">
      <c r="A634" s="1022"/>
      <c r="B634" s="1728"/>
      <c r="C634" s="1255">
        <v>43738</v>
      </c>
      <c r="D634" s="1256">
        <v>44466</v>
      </c>
      <c r="E634" s="1525">
        <v>296843.83</v>
      </c>
      <c r="F634" s="1164">
        <v>304794.95</v>
      </c>
      <c r="G634" s="1165">
        <v>228416.7</v>
      </c>
      <c r="H634" s="1178">
        <f t="shared" si="31"/>
        <v>74235.427500000005</v>
      </c>
      <c r="I634" s="1512">
        <f t="shared" si="33"/>
        <v>114208.35</v>
      </c>
      <c r="J634" s="1511">
        <f>G634/F634</f>
        <v>0.74941103847028967</v>
      </c>
      <c r="K634" s="1494">
        <v>0.74</v>
      </c>
      <c r="L634" s="1395"/>
      <c r="M634" s="1036"/>
      <c r="N634" s="1536"/>
      <c r="O634" s="1017"/>
      <c r="P634" s="1017"/>
      <c r="Q634" s="1017"/>
      <c r="R634" s="1017"/>
      <c r="S634" s="1017"/>
      <c r="T634" s="1351"/>
      <c r="U634" s="1017"/>
      <c r="V634" s="1017"/>
      <c r="W634" s="1017"/>
      <c r="X634" s="1017"/>
      <c r="Y634" s="1017"/>
      <c r="Z634" s="1017"/>
      <c r="AA634" s="1017"/>
      <c r="AB634" s="1017"/>
      <c r="AC634" s="1017"/>
      <c r="AD634" s="1017"/>
      <c r="AE634" s="1017"/>
      <c r="AF634" s="1017"/>
    </row>
    <row r="635" spans="1:32" ht="16.5">
      <c r="A635" s="1022"/>
      <c r="B635" s="1728"/>
      <c r="C635" s="1255">
        <v>43739</v>
      </c>
      <c r="D635" s="1256">
        <v>44467</v>
      </c>
      <c r="E635" s="1525">
        <v>330003.61</v>
      </c>
      <c r="F635" s="1164">
        <v>338688.47</v>
      </c>
      <c r="G635" s="1165">
        <v>239334.74</v>
      </c>
      <c r="H635" s="1178">
        <f t="shared" si="31"/>
        <v>77783.790500000003</v>
      </c>
      <c r="I635" s="1512">
        <f t="shared" si="33"/>
        <v>119667.37</v>
      </c>
      <c r="J635" s="1511">
        <f>G635/F635</f>
        <v>0.70665157275652168</v>
      </c>
      <c r="K635" s="1494">
        <v>0.7</v>
      </c>
      <c r="L635" s="1395"/>
      <c r="M635" s="1036"/>
      <c r="N635" s="1536"/>
      <c r="O635" s="1017"/>
      <c r="P635" s="1017"/>
      <c r="Q635" s="1017"/>
      <c r="R635" s="1017"/>
      <c r="S635" s="1017"/>
      <c r="T635" s="1351"/>
      <c r="U635" s="1017"/>
      <c r="V635" s="1017"/>
      <c r="W635" s="1017"/>
      <c r="X635" s="1017"/>
      <c r="Y635" s="1017"/>
      <c r="Z635" s="1017"/>
      <c r="AA635" s="1017"/>
      <c r="AB635" s="1017"/>
      <c r="AC635" s="1017"/>
      <c r="AD635" s="1017"/>
      <c r="AE635" s="1017"/>
      <c r="AF635" s="1017"/>
    </row>
    <row r="636" spans="1:32" ht="16.5">
      <c r="A636" s="1022"/>
      <c r="B636" s="1728"/>
      <c r="C636" s="1255">
        <v>43740</v>
      </c>
      <c r="D636" s="1256">
        <v>44468</v>
      </c>
      <c r="E636" s="1525">
        <v>306616.59000000003</v>
      </c>
      <c r="F636" s="1164">
        <v>315538.64</v>
      </c>
      <c r="G636" s="1165">
        <v>245647.75</v>
      </c>
      <c r="H636" s="1178">
        <f t="shared" si="31"/>
        <v>79835.518750000003</v>
      </c>
      <c r="I636" s="1512">
        <f t="shared" si="33"/>
        <v>122823.875</v>
      </c>
      <c r="J636" s="1511">
        <f>G636/F636</f>
        <v>0.77850291171946484</v>
      </c>
      <c r="K636" s="1494">
        <v>0.74</v>
      </c>
      <c r="L636" s="1395"/>
      <c r="M636" s="1036"/>
      <c r="N636" s="1536"/>
      <c r="O636" s="1017"/>
      <c r="P636" s="1017"/>
      <c r="Q636" s="1017"/>
      <c r="R636" s="1017"/>
      <c r="S636" s="1017"/>
      <c r="T636" s="1351"/>
      <c r="U636" s="1017"/>
      <c r="V636" s="1017"/>
      <c r="W636" s="1017"/>
      <c r="X636" s="1017"/>
      <c r="Y636" s="1017"/>
      <c r="Z636" s="1017"/>
      <c r="AA636" s="1017"/>
      <c r="AB636" s="1017"/>
      <c r="AC636" s="1017"/>
      <c r="AD636" s="1017"/>
      <c r="AE636" s="1017"/>
      <c r="AF636" s="1017"/>
    </row>
    <row r="637" spans="1:32" ht="16.5">
      <c r="A637" s="1022"/>
      <c r="B637" s="1728"/>
      <c r="C637" s="1255">
        <v>43741</v>
      </c>
      <c r="D637" s="1256">
        <v>44469</v>
      </c>
      <c r="E637" s="1525">
        <v>346076.31</v>
      </c>
      <c r="F637" s="1164">
        <v>352567.55</v>
      </c>
      <c r="G637" s="1165">
        <v>288324.02</v>
      </c>
      <c r="H637" s="1178">
        <f t="shared" si="31"/>
        <v>93705.306500000006</v>
      </c>
      <c r="I637" s="1512">
        <f t="shared" si="33"/>
        <v>144162.01</v>
      </c>
      <c r="J637" s="1511">
        <f>G637/F637</f>
        <v>0.81778376937979691</v>
      </c>
      <c r="K637" s="1494">
        <v>0.77</v>
      </c>
      <c r="L637" s="1395"/>
      <c r="M637" s="1036"/>
      <c r="N637" s="1536"/>
      <c r="O637" s="1017"/>
      <c r="P637" s="1017"/>
      <c r="Q637" s="1017"/>
      <c r="R637" s="1017"/>
      <c r="S637" s="1017"/>
      <c r="T637" s="1351"/>
      <c r="U637" s="1017"/>
      <c r="V637" s="1017"/>
      <c r="W637" s="1017"/>
      <c r="X637" s="1017"/>
      <c r="Y637" s="1017"/>
      <c r="Z637" s="1017"/>
      <c r="AA637" s="1017"/>
      <c r="AB637" s="1017"/>
      <c r="AC637" s="1017"/>
      <c r="AD637" s="1017"/>
      <c r="AE637" s="1017"/>
      <c r="AF637" s="1017"/>
    </row>
    <row r="638" spans="1:32" ht="16.5">
      <c r="A638" s="1022"/>
      <c r="B638" s="1728"/>
      <c r="C638" s="1255">
        <v>43742</v>
      </c>
      <c r="D638" s="1256">
        <v>44470</v>
      </c>
      <c r="E638" s="1525">
        <v>465127.36</v>
      </c>
      <c r="F638" s="1164">
        <v>472306.38</v>
      </c>
      <c r="G638" s="1165">
        <v>419788.46</v>
      </c>
      <c r="H638" s="1178">
        <f t="shared" si="31"/>
        <v>136431.24950000001</v>
      </c>
      <c r="I638" s="1512">
        <f t="shared" si="33"/>
        <v>209894.23</v>
      </c>
      <c r="J638" s="1511">
        <f>G638/F638</f>
        <v>0.88880539788600788</v>
      </c>
      <c r="K638" s="1494">
        <f>'Vtas Diarias 2021'!UX47</f>
        <v>0.8736891402860284</v>
      </c>
      <c r="L638" s="1395"/>
      <c r="M638" s="1036"/>
      <c r="N638" s="1536"/>
      <c r="O638" s="1017"/>
      <c r="P638" s="1017"/>
      <c r="Q638" s="1017"/>
      <c r="R638" s="1017"/>
      <c r="S638" s="1017"/>
      <c r="T638" s="1351"/>
      <c r="U638" s="1017"/>
      <c r="V638" s="1017"/>
      <c r="W638" s="1017"/>
      <c r="X638" s="1017"/>
      <c r="Y638" s="1017"/>
      <c r="Z638" s="1017"/>
      <c r="AA638" s="1017"/>
      <c r="AB638" s="1017"/>
      <c r="AC638" s="1017"/>
      <c r="AD638" s="1017"/>
      <c r="AE638" s="1017"/>
      <c r="AF638" s="1017"/>
    </row>
    <row r="639" spans="1:32" ht="16.5">
      <c r="A639" s="1022"/>
      <c r="B639" s="1736"/>
      <c r="C639" s="1258">
        <v>43743</v>
      </c>
      <c r="D639" s="1259">
        <v>44471</v>
      </c>
      <c r="E639" s="1527">
        <v>661237.9</v>
      </c>
      <c r="F639" s="1173">
        <v>667414.01</v>
      </c>
      <c r="G639" s="1174">
        <v>571528.14</v>
      </c>
      <c r="H639" s="1181">
        <f t="shared" si="31"/>
        <v>185746.64550000001</v>
      </c>
      <c r="I639" s="1512">
        <f t="shared" si="33"/>
        <v>285764.07</v>
      </c>
      <c r="J639" s="1497">
        <f>G639/F639</f>
        <v>0.85633224870421887</v>
      </c>
      <c r="K639" s="1497">
        <f>'Vtas Diarias 2021'!VB47</f>
        <v>0.83069940096267014</v>
      </c>
      <c r="L639" s="1535" t="s">
        <v>436</v>
      </c>
      <c r="M639" s="1154">
        <f>SUM(F633:F639)</f>
        <v>2865300.7</v>
      </c>
      <c r="N639" s="1544">
        <f>M639/$R$611</f>
        <v>0.20125377440484882</v>
      </c>
      <c r="O639" s="1018"/>
      <c r="P639" s="1018"/>
      <c r="Q639" s="1017"/>
      <c r="R639" s="1017"/>
      <c r="S639" s="1017"/>
      <c r="T639" s="1351"/>
      <c r="U639" s="1017"/>
      <c r="V639" s="1017"/>
      <c r="W639" s="1017"/>
      <c r="X639" s="1017"/>
      <c r="Y639" s="1017"/>
      <c r="Z639" s="1017"/>
      <c r="AA639" s="1017"/>
      <c r="AB639" s="1017"/>
      <c r="AC639" s="1017"/>
      <c r="AD639" s="1017"/>
      <c r="AE639" s="1017"/>
      <c r="AF639" s="1017"/>
    </row>
    <row r="640" spans="1:32" ht="16.5">
      <c r="A640" s="1022"/>
      <c r="B640" s="1733" t="s">
        <v>377</v>
      </c>
      <c r="C640" s="1250">
        <v>43744</v>
      </c>
      <c r="D640" s="1251">
        <v>44472</v>
      </c>
      <c r="E640" s="1528">
        <v>389881.5</v>
      </c>
      <c r="F640" s="1157">
        <v>393769</v>
      </c>
      <c r="G640" s="1158">
        <v>280171.38</v>
      </c>
      <c r="H640" s="1026">
        <f t="shared" si="31"/>
        <v>91055.698499999999</v>
      </c>
      <c r="I640" s="1227"/>
      <c r="J640" s="1499">
        <f>G640/F640</f>
        <v>0.71151202862592033</v>
      </c>
      <c r="K640" s="1499">
        <f>'Vtas Diarias 2021'!VJ47</f>
        <v>0.64713047788897826</v>
      </c>
      <c r="L640" s="1523" t="s">
        <v>437</v>
      </c>
      <c r="M640" s="1738" t="s">
        <v>316</v>
      </c>
      <c r="N640" s="1738"/>
      <c r="O640" s="1738"/>
      <c r="P640" s="1738"/>
      <c r="Q640" s="1036"/>
      <c r="R640" s="1017"/>
      <c r="S640" s="1017"/>
      <c r="T640" s="1351"/>
      <c r="U640" s="1017"/>
      <c r="V640" s="1017"/>
      <c r="W640" s="1017"/>
      <c r="X640" s="1017"/>
      <c r="Y640" s="1017"/>
      <c r="Z640" s="1017"/>
      <c r="AA640" s="1017"/>
      <c r="AB640" s="1017"/>
      <c r="AC640" s="1017"/>
      <c r="AD640" s="1017"/>
      <c r="AE640" s="1017"/>
      <c r="AF640" s="1017"/>
    </row>
    <row r="641" spans="1:32" ht="16.5">
      <c r="A641" s="1022"/>
      <c r="B641" s="1731"/>
      <c r="C641" s="1255">
        <v>43745</v>
      </c>
      <c r="D641" s="1256">
        <v>44473</v>
      </c>
      <c r="E641" s="1525">
        <v>280600.57</v>
      </c>
      <c r="F641" s="1164">
        <v>284994.78999999998</v>
      </c>
      <c r="G641" s="1165">
        <v>237133.55</v>
      </c>
      <c r="H641" s="1178">
        <f t="shared" si="31"/>
        <v>77068.403749999998</v>
      </c>
      <c r="I641" s="1228"/>
      <c r="J641" s="1494">
        <f>G641/F641</f>
        <v>0.832062754550706</v>
      </c>
      <c r="K641" s="1494">
        <f>'Vtas Diarias 2021'!VN47</f>
        <v>0.7855425624327147</v>
      </c>
      <c r="L641" s="1519"/>
      <c r="M641" s="1389" t="s">
        <v>2</v>
      </c>
      <c r="N641" s="1389" t="s">
        <v>1</v>
      </c>
      <c r="O641" s="1390" t="s">
        <v>420</v>
      </c>
      <c r="P641" s="1390" t="s">
        <v>427</v>
      </c>
      <c r="Q641" s="1036"/>
      <c r="R641" s="1017"/>
      <c r="S641" s="1017"/>
      <c r="T641" s="1351"/>
      <c r="U641" s="1017"/>
      <c r="V641" s="1017"/>
      <c r="W641" s="1017"/>
      <c r="X641" s="1017"/>
      <c r="Y641" s="1017"/>
      <c r="Z641" s="1017"/>
      <c r="AA641" s="1017"/>
      <c r="AB641" s="1017"/>
      <c r="AC641" s="1017"/>
      <c r="AD641" s="1017"/>
      <c r="AE641" s="1017"/>
      <c r="AF641" s="1017"/>
    </row>
    <row r="642" spans="1:32" ht="16.5">
      <c r="A642" s="1022"/>
      <c r="B642" s="1731"/>
      <c r="C642" s="1255">
        <v>43746</v>
      </c>
      <c r="D642" s="1256">
        <v>44474</v>
      </c>
      <c r="E642" s="1525">
        <v>263215.87</v>
      </c>
      <c r="F642" s="1164">
        <v>266901.84999999998</v>
      </c>
      <c r="G642" s="1165">
        <v>220682.95</v>
      </c>
      <c r="H642" s="1178">
        <f t="shared" si="31"/>
        <v>71721.958750000005</v>
      </c>
      <c r="I642" s="1228"/>
      <c r="J642" s="1494">
        <f>G642/F642</f>
        <v>0.8268318484866255</v>
      </c>
      <c r="K642" s="1494">
        <f>'Vtas Diarias 2021'!VR47</f>
        <v>0.80206663133397182</v>
      </c>
      <c r="L642" s="1519"/>
      <c r="M642" s="1541">
        <f>SUM(G654)/SUM(F654)</f>
        <v>0.71712849960437552</v>
      </c>
      <c r="N642" s="1542">
        <f>SUM(G640:G654)/SUM(F640:F654)</f>
        <v>0.86670645410224223</v>
      </c>
      <c r="O642" s="1543">
        <f>SUM(G641:G654)/SUM(F641:F654)</f>
        <v>0.87786242818145011</v>
      </c>
      <c r="P642" s="1326">
        <f>SUM(G640:G667)/SUM(F640:F667)</f>
        <v>0.91008950529458199</v>
      </c>
      <c r="Q642" s="1036"/>
      <c r="R642" s="1017"/>
      <c r="S642" s="1017"/>
      <c r="T642" s="1351"/>
      <c r="U642" s="1017"/>
      <c r="V642" s="1017"/>
      <c r="W642" s="1017"/>
      <c r="X642" s="1017"/>
      <c r="Y642" s="1017"/>
      <c r="Z642" s="1017"/>
      <c r="AA642" s="1017"/>
      <c r="AB642" s="1017"/>
      <c r="AC642" s="1017"/>
      <c r="AD642" s="1017"/>
      <c r="AE642" s="1017"/>
      <c r="AF642" s="1017"/>
    </row>
    <row r="643" spans="1:32" ht="16.5">
      <c r="A643" s="1022"/>
      <c r="B643" s="1731"/>
      <c r="C643" s="1255">
        <v>43747</v>
      </c>
      <c r="D643" s="1256">
        <v>44475</v>
      </c>
      <c r="E643" s="1525">
        <v>289771.48</v>
      </c>
      <c r="F643" s="1164">
        <v>299684.38</v>
      </c>
      <c r="G643" s="1165">
        <v>246569.87</v>
      </c>
      <c r="H643" s="1178">
        <f t="shared" si="31"/>
        <v>80135.207750000001</v>
      </c>
      <c r="I643" s="1228"/>
      <c r="J643" s="1494">
        <f>G643/F643</f>
        <v>0.8227651704770198</v>
      </c>
      <c r="K643" s="1494">
        <f>'Vtas Diarias 2021'!VV47</f>
        <v>0.80696895232120802</v>
      </c>
      <c r="L643" s="1395"/>
      <c r="M643" s="1169"/>
      <c r="N643" s="1286"/>
      <c r="O643" s="1286"/>
      <c r="P643" s="1286"/>
      <c r="Q643" s="1017"/>
      <c r="R643" s="1017"/>
      <c r="S643" s="1017"/>
      <c r="T643" s="1351"/>
      <c r="U643" s="1017"/>
      <c r="V643" s="1017"/>
      <c r="W643" s="1017"/>
      <c r="X643" s="1017"/>
      <c r="Y643" s="1017"/>
      <c r="Z643" s="1017"/>
      <c r="AA643" s="1017"/>
      <c r="AB643" s="1017"/>
      <c r="AC643" s="1017"/>
      <c r="AD643" s="1017"/>
      <c r="AE643" s="1017"/>
      <c r="AF643" s="1017"/>
    </row>
    <row r="644" spans="1:32" ht="16.5">
      <c r="A644" s="1022"/>
      <c r="B644" s="1731"/>
      <c r="C644" s="1255">
        <v>43748</v>
      </c>
      <c r="D644" s="1256">
        <v>44476</v>
      </c>
      <c r="E644" s="1525">
        <v>313071.09000000003</v>
      </c>
      <c r="F644" s="1164">
        <v>329211.39</v>
      </c>
      <c r="G644" s="1165">
        <v>278594.67</v>
      </c>
      <c r="H644" s="1178">
        <f t="shared" ref="H644:H707" si="34">(G644*0.5)*0.65</f>
        <v>90543.267749999999</v>
      </c>
      <c r="I644" s="1228"/>
      <c r="J644" s="1494">
        <f>G644/F644</f>
        <v>0.84624857602891557</v>
      </c>
      <c r="K644" s="1494">
        <f>'Vtas Diarias 2021'!VZ47</f>
        <v>0.80954597939436757</v>
      </c>
      <c r="L644" s="1395"/>
      <c r="M644" s="1036"/>
      <c r="N644" s="1017"/>
      <c r="O644" s="1017"/>
      <c r="P644" s="1017"/>
      <c r="Q644" s="1017"/>
      <c r="R644" s="1017"/>
      <c r="S644" s="1017"/>
      <c r="T644" s="1351"/>
      <c r="U644" s="1017"/>
      <c r="V644" s="1017"/>
      <c r="W644" s="1017"/>
      <c r="X644" s="1017"/>
      <c r="Y644" s="1017"/>
      <c r="Z644" s="1017"/>
      <c r="AA644" s="1017"/>
      <c r="AB644" s="1017"/>
      <c r="AC644" s="1017"/>
      <c r="AD644" s="1017"/>
      <c r="AE644" s="1017"/>
      <c r="AF644" s="1017"/>
    </row>
    <row r="645" spans="1:32" ht="16.5">
      <c r="A645" s="1022"/>
      <c r="B645" s="1731"/>
      <c r="C645" s="1255">
        <v>43749</v>
      </c>
      <c r="D645" s="1256">
        <v>44477</v>
      </c>
      <c r="E645" s="1525">
        <v>398849</v>
      </c>
      <c r="F645" s="1164">
        <v>404164.6</v>
      </c>
      <c r="G645" s="1165">
        <v>380365.34</v>
      </c>
      <c r="H645" s="1178">
        <f t="shared" si="34"/>
        <v>123618.73550000001</v>
      </c>
      <c r="I645" s="1228"/>
      <c r="J645" s="1494">
        <f>G645/F645</f>
        <v>0.94111493188666218</v>
      </c>
      <c r="K645" s="1494">
        <f>'Vtas Diarias 2021'!WD47</f>
        <v>0.90452401061792387</v>
      </c>
      <c r="L645" s="1395"/>
      <c r="M645" s="1036"/>
      <c r="N645" s="1017"/>
      <c r="O645" s="1017"/>
      <c r="P645" s="1017"/>
      <c r="Q645" s="1017"/>
      <c r="R645" s="1017"/>
      <c r="S645" s="1017"/>
      <c r="T645" s="1351"/>
      <c r="U645" s="1017"/>
      <c r="V645" s="1017"/>
      <c r="W645" s="1017"/>
      <c r="X645" s="1017"/>
      <c r="Y645" s="1017"/>
      <c r="Z645" s="1017"/>
      <c r="AA645" s="1017"/>
      <c r="AB645" s="1017"/>
      <c r="AC645" s="1017"/>
      <c r="AD645" s="1017"/>
      <c r="AE645" s="1017"/>
      <c r="AF645" s="1017"/>
    </row>
    <row r="646" spans="1:32" ht="16.5">
      <c r="A646" s="1022"/>
      <c r="B646" s="1734"/>
      <c r="C646" s="1265">
        <v>43750</v>
      </c>
      <c r="D646" s="1266">
        <v>44478</v>
      </c>
      <c r="E646" s="1526">
        <v>640754.94999999995</v>
      </c>
      <c r="F646" s="1199">
        <v>646864.57999999996</v>
      </c>
      <c r="G646" s="1200">
        <v>609616.43999999994</v>
      </c>
      <c r="H646" s="1201">
        <f t="shared" si="34"/>
        <v>198125.34299999999</v>
      </c>
      <c r="I646" s="1234"/>
      <c r="J646" s="1545">
        <f>G646/F646</f>
        <v>0.94241740674686503</v>
      </c>
      <c r="K646" s="1545">
        <f>'Vtas Diarias 2021'!WH47</f>
        <v>0.88653594492065646</v>
      </c>
      <c r="L646" s="1396"/>
      <c r="M646" s="1036"/>
      <c r="N646" s="1017"/>
      <c r="O646" s="1017"/>
      <c r="P646" s="1017"/>
      <c r="Q646" s="1017"/>
      <c r="R646" s="1017"/>
      <c r="S646" s="1017"/>
      <c r="T646" s="1351"/>
      <c r="U646" s="1017"/>
      <c r="V646" s="1017"/>
      <c r="W646" s="1017"/>
      <c r="X646" s="1017"/>
      <c r="Y646" s="1017"/>
      <c r="Z646" s="1017"/>
      <c r="AA646" s="1017"/>
      <c r="AB646" s="1017"/>
      <c r="AC646" s="1017"/>
      <c r="AD646" s="1017"/>
      <c r="AE646" s="1017"/>
      <c r="AF646" s="1017"/>
    </row>
    <row r="647" spans="1:32" ht="16.5">
      <c r="A647" s="1022"/>
      <c r="B647" s="1730" t="s">
        <v>380</v>
      </c>
      <c r="C647" s="1316">
        <v>43751</v>
      </c>
      <c r="D647" s="1271">
        <v>44479</v>
      </c>
      <c r="E647" s="1524">
        <v>348414.94</v>
      </c>
      <c r="F647" s="1204">
        <v>348414.94</v>
      </c>
      <c r="G647" s="1273">
        <v>305959.67</v>
      </c>
      <c r="H647" s="1206">
        <f t="shared" si="34"/>
        <v>99436.892749999999</v>
      </c>
      <c r="I647" s="1521"/>
      <c r="J647" s="1511">
        <f>G647/F647</f>
        <v>0.87814738943169313</v>
      </c>
      <c r="K647" s="1511">
        <f>'Vtas Diarias 2021'!WP47</f>
        <v>0.79148040792810381</v>
      </c>
      <c r="L647" s="1145"/>
      <c r="M647" s="1036"/>
      <c r="N647" s="1017"/>
      <c r="O647" s="1017"/>
      <c r="P647" s="1017"/>
      <c r="Q647" s="1017"/>
      <c r="R647" s="1017"/>
      <c r="S647" s="1017"/>
      <c r="T647" s="1351"/>
      <c r="U647" s="1017"/>
      <c r="V647" s="1017"/>
      <c r="W647" s="1017"/>
      <c r="X647" s="1017"/>
      <c r="Y647" s="1017"/>
      <c r="Z647" s="1017"/>
      <c r="AA647" s="1017"/>
      <c r="AB647" s="1017"/>
      <c r="AC647" s="1017"/>
      <c r="AD647" s="1017"/>
      <c r="AE647" s="1017"/>
      <c r="AF647" s="1017"/>
    </row>
    <row r="648" spans="1:32" ht="16.5">
      <c r="A648" s="1022"/>
      <c r="B648" s="1731"/>
      <c r="C648" s="1317">
        <v>43752</v>
      </c>
      <c r="D648" s="1256">
        <v>44480</v>
      </c>
      <c r="E648" s="1525">
        <v>314386.17</v>
      </c>
      <c r="F648" s="1164">
        <v>314386.17</v>
      </c>
      <c r="G648" s="1165">
        <v>251928.98</v>
      </c>
      <c r="H648" s="1178">
        <f t="shared" si="34"/>
        <v>81876.9185</v>
      </c>
      <c r="I648" s="1519"/>
      <c r="J648" s="1494">
        <f>G648/F648</f>
        <v>0.80133607658377604</v>
      </c>
      <c r="K648" s="1494">
        <f>'Vtas Diarias 2021'!VN36</f>
        <v>0.84509290198519538</v>
      </c>
      <c r="L648" s="1145"/>
      <c r="M648" s="1036"/>
      <c r="N648" s="1017"/>
      <c r="O648" s="1017"/>
      <c r="P648" s="1017"/>
      <c r="Q648" s="1017"/>
      <c r="R648" s="1017"/>
      <c r="S648" s="1017"/>
      <c r="T648" s="1351"/>
      <c r="U648" s="1017"/>
      <c r="V648" s="1017"/>
      <c r="W648" s="1017"/>
      <c r="X648" s="1017"/>
      <c r="Y648" s="1017"/>
      <c r="Z648" s="1017"/>
      <c r="AA648" s="1017"/>
      <c r="AB648" s="1017"/>
      <c r="AC648" s="1017"/>
      <c r="AD648" s="1017"/>
      <c r="AE648" s="1017"/>
      <c r="AF648" s="1017"/>
    </row>
    <row r="649" spans="1:32" ht="16.5">
      <c r="A649" s="1022"/>
      <c r="B649" s="1731"/>
      <c r="C649" s="1317">
        <v>43753</v>
      </c>
      <c r="D649" s="1256">
        <v>44481</v>
      </c>
      <c r="E649" s="1525">
        <v>328864.45</v>
      </c>
      <c r="F649" s="1164">
        <v>328864.45</v>
      </c>
      <c r="G649" s="1165">
        <v>249041.76</v>
      </c>
      <c r="H649" s="1178">
        <f t="shared" si="34"/>
        <v>80938.572</v>
      </c>
      <c r="I649" s="1519"/>
      <c r="J649" s="1494">
        <f>G649/F649</f>
        <v>0.75727783893941714</v>
      </c>
      <c r="K649" s="1494">
        <f>'Vtas Diarias 2021'!WX47</f>
        <v>0.69892920256926028</v>
      </c>
      <c r="L649" s="1145"/>
      <c r="M649" s="1036"/>
      <c r="N649" s="1017"/>
      <c r="O649" s="1017"/>
      <c r="P649" s="1017"/>
      <c r="Q649" s="1017"/>
      <c r="R649" s="1017"/>
      <c r="S649" s="1017"/>
      <c r="T649" s="1351"/>
      <c r="U649" s="1017"/>
      <c r="V649" s="1017"/>
      <c r="W649" s="1017"/>
      <c r="X649" s="1017"/>
      <c r="Y649" s="1017"/>
      <c r="Z649" s="1017"/>
      <c r="AA649" s="1017"/>
      <c r="AB649" s="1017"/>
      <c r="AC649" s="1017"/>
      <c r="AD649" s="1017"/>
      <c r="AE649" s="1017"/>
      <c r="AF649" s="1017"/>
    </row>
    <row r="650" spans="1:32" ht="16.5">
      <c r="A650" s="1022"/>
      <c r="B650" s="1731"/>
      <c r="C650" s="1317">
        <v>43754</v>
      </c>
      <c r="D650" s="1256">
        <v>44482</v>
      </c>
      <c r="E650" s="1525">
        <v>338631.01</v>
      </c>
      <c r="F650" s="1164">
        <v>338631.01</v>
      </c>
      <c r="G650" s="1165">
        <v>261624.32000000001</v>
      </c>
      <c r="H650" s="1178">
        <f t="shared" si="34"/>
        <v>85027.90400000001</v>
      </c>
      <c r="I650" s="1519"/>
      <c r="J650" s="1494">
        <f>G650/F650</f>
        <v>0.77259409880979302</v>
      </c>
      <c r="K650" s="1494">
        <f>'Vtas Diarias 2021'!XB47</f>
        <v>0.70992086682584865</v>
      </c>
      <c r="L650" s="1145"/>
      <c r="M650" s="1036"/>
      <c r="N650" s="1017"/>
      <c r="O650" s="1017"/>
      <c r="P650" s="1017"/>
      <c r="Q650" s="1017"/>
      <c r="R650" s="1017"/>
      <c r="S650" s="1017"/>
      <c r="T650" s="1351"/>
      <c r="U650" s="1017"/>
      <c r="V650" s="1017"/>
      <c r="W650" s="1017"/>
      <c r="X650" s="1017"/>
      <c r="Y650" s="1017"/>
      <c r="Z650" s="1017"/>
      <c r="AA650" s="1017"/>
      <c r="AB650" s="1017"/>
      <c r="AC650" s="1017"/>
      <c r="AD650" s="1017"/>
      <c r="AE650" s="1017"/>
      <c r="AF650" s="1017"/>
    </row>
    <row r="651" spans="1:32" ht="16.5">
      <c r="A651" s="1022"/>
      <c r="B651" s="1731"/>
      <c r="C651" s="1317">
        <v>43755</v>
      </c>
      <c r="D651" s="1256">
        <v>44483</v>
      </c>
      <c r="E651" s="1525">
        <v>342297.69</v>
      </c>
      <c r="F651" s="1164">
        <v>342297.69</v>
      </c>
      <c r="G651" s="1165">
        <v>315463.07</v>
      </c>
      <c r="H651" s="1178">
        <f t="shared" si="34"/>
        <v>102525.49775000001</v>
      </c>
      <c r="I651" s="1519"/>
      <c r="J651" s="1494">
        <f>G651/F651</f>
        <v>0.92160443735393016</v>
      </c>
      <c r="K651" s="1494">
        <f>'Vtas Diarias 2021'!XF47</f>
        <v>0.85709723580045438</v>
      </c>
      <c r="L651" s="1145"/>
      <c r="M651" s="1036"/>
      <c r="N651" s="1017"/>
      <c r="O651" s="1017"/>
      <c r="P651" s="1017"/>
      <c r="Q651" s="1017"/>
      <c r="R651" s="1017"/>
      <c r="S651" s="1017"/>
      <c r="T651" s="1351"/>
      <c r="U651" s="1017"/>
      <c r="V651" s="1017"/>
      <c r="W651" s="1017"/>
      <c r="X651" s="1017"/>
      <c r="Y651" s="1017"/>
      <c r="Z651" s="1017"/>
      <c r="AA651" s="1017"/>
      <c r="AB651" s="1017"/>
      <c r="AC651" s="1017"/>
      <c r="AD651" s="1017"/>
      <c r="AE651" s="1017"/>
      <c r="AF651" s="1017"/>
    </row>
    <row r="652" spans="1:32" ht="16.5">
      <c r="A652" s="1022"/>
      <c r="B652" s="1731"/>
      <c r="C652" s="1317">
        <v>43756</v>
      </c>
      <c r="D652" s="1256">
        <v>44484</v>
      </c>
      <c r="E652" s="1525">
        <v>437871.78</v>
      </c>
      <c r="F652" s="1164">
        <v>437871.78</v>
      </c>
      <c r="G652" s="1165">
        <v>437200.22</v>
      </c>
      <c r="H652" s="1178">
        <f t="shared" si="34"/>
        <v>142090.07149999999</v>
      </c>
      <c r="I652" s="1519"/>
      <c r="J652" s="1494">
        <f>G652/F652</f>
        <v>0.99846630901858979</v>
      </c>
      <c r="K652" s="1494">
        <f>'Vtas Diarias 2021'!XJ47</f>
        <v>0.93795793958769691</v>
      </c>
      <c r="L652" s="1145"/>
      <c r="M652" s="1036"/>
      <c r="N652" s="1017"/>
      <c r="O652" s="1017"/>
      <c r="P652" s="1017"/>
      <c r="Q652" s="1017"/>
      <c r="R652" s="1017"/>
      <c r="S652" s="1017"/>
      <c r="T652" s="1351"/>
      <c r="U652" s="1017"/>
      <c r="V652" s="1017"/>
      <c r="W652" s="1017"/>
      <c r="X652" s="1017"/>
      <c r="Y652" s="1017"/>
      <c r="Z652" s="1017"/>
      <c r="AA652" s="1017"/>
      <c r="AB652" s="1017"/>
      <c r="AC652" s="1017"/>
      <c r="AD652" s="1017"/>
      <c r="AE652" s="1017"/>
      <c r="AF652" s="1017"/>
    </row>
    <row r="653" spans="1:32" ht="16.5">
      <c r="A653" s="1022"/>
      <c r="B653" s="1732"/>
      <c r="C653" s="1320">
        <v>43757</v>
      </c>
      <c r="D653" s="1259">
        <v>44485</v>
      </c>
      <c r="E653" s="1527">
        <v>689419.54</v>
      </c>
      <c r="F653" s="1173">
        <v>689419.54</v>
      </c>
      <c r="G653" s="1174">
        <f>'Vtas Diarias 2021'!XM36</f>
        <v>694676.14</v>
      </c>
      <c r="H653" s="1181">
        <f t="shared" si="34"/>
        <v>225769.74550000002</v>
      </c>
      <c r="I653" s="1522"/>
      <c r="J653" s="1497">
        <f>G653/F653</f>
        <v>1.0076246750998674</v>
      </c>
      <c r="K653" s="1497">
        <f>'Vtas Diarias 2021'!XN47</f>
        <v>0.95440987013290457</v>
      </c>
      <c r="L653" s="1145"/>
      <c r="M653" s="1036"/>
      <c r="N653" s="1017"/>
      <c r="O653" s="1017"/>
      <c r="P653" s="1017"/>
      <c r="Q653" s="1017"/>
      <c r="R653" s="1017"/>
      <c r="S653" s="1017"/>
      <c r="T653" s="1351"/>
      <c r="U653" s="1017"/>
      <c r="V653" s="1017"/>
      <c r="W653" s="1017"/>
      <c r="X653" s="1017"/>
      <c r="Y653" s="1017"/>
      <c r="Z653" s="1017"/>
      <c r="AA653" s="1017"/>
      <c r="AB653" s="1017"/>
      <c r="AC653" s="1017"/>
      <c r="AD653" s="1017"/>
      <c r="AE653" s="1017"/>
      <c r="AF653" s="1017"/>
    </row>
    <row r="654" spans="1:32" ht="16.5">
      <c r="A654" s="1022" t="s">
        <v>438</v>
      </c>
      <c r="B654" s="1735" t="s">
        <v>381</v>
      </c>
      <c r="C654" s="1255">
        <v>43758</v>
      </c>
      <c r="D654" s="1256">
        <v>44486</v>
      </c>
      <c r="E654" s="1525">
        <v>446142.93</v>
      </c>
      <c r="F654" s="1164">
        <v>446142.93</v>
      </c>
      <c r="G654" s="1165">
        <f>'Vtas Diarias 2021'!XU36</f>
        <v>319941.80999999994</v>
      </c>
      <c r="H654" s="1178">
        <f t="shared" si="34"/>
        <v>103981.08824999999</v>
      </c>
      <c r="I654" s="1228"/>
      <c r="J654" s="1494">
        <f>G654/F654</f>
        <v>0.71712849960437552</v>
      </c>
      <c r="K654" s="1494">
        <f>'Vtas Diarias 2021'!XV47</f>
        <v>0.68314189185222818</v>
      </c>
      <c r="L654" s="1145"/>
      <c r="M654" s="1036"/>
      <c r="N654" s="1017"/>
      <c r="O654" s="1017"/>
      <c r="P654" s="1017"/>
      <c r="Q654" s="1017"/>
      <c r="R654" s="1017"/>
      <c r="S654" s="1017"/>
      <c r="T654" s="1351"/>
      <c r="U654" s="1017"/>
      <c r="V654" s="1017"/>
      <c r="W654" s="1017"/>
      <c r="X654" s="1017"/>
      <c r="Y654" s="1017"/>
      <c r="Z654" s="1017"/>
      <c r="AA654" s="1017"/>
      <c r="AB654" s="1017"/>
      <c r="AC654" s="1017"/>
      <c r="AD654" s="1017"/>
      <c r="AE654" s="1017"/>
      <c r="AF654" s="1017"/>
    </row>
    <row r="655" spans="1:32" ht="15.75" customHeight="1">
      <c r="A655" s="1022"/>
      <c r="B655" s="1735"/>
      <c r="C655" s="1255">
        <v>43759</v>
      </c>
      <c r="D655" s="1256">
        <v>44487</v>
      </c>
      <c r="E655" s="1525">
        <v>303553.01</v>
      </c>
      <c r="F655" s="1164">
        <v>303553.01</v>
      </c>
      <c r="G655" s="1165">
        <v>270248</v>
      </c>
      <c r="H655" s="1178">
        <f t="shared" si="34"/>
        <v>87830.6</v>
      </c>
      <c r="I655" s="1228"/>
      <c r="J655" s="1548">
        <f>G655/F655</f>
        <v>0.89028272195357239</v>
      </c>
      <c r="K655" s="1548"/>
      <c r="L655" s="1145" t="s">
        <v>439</v>
      </c>
      <c r="M655" s="1036"/>
      <c r="N655" s="1017"/>
      <c r="O655" s="1017"/>
      <c r="P655" s="1017"/>
      <c r="Q655" s="1017"/>
      <c r="R655" s="1017"/>
      <c r="S655" s="1017"/>
      <c r="T655" s="1351"/>
      <c r="U655" s="1017"/>
      <c r="V655" s="1017"/>
      <c r="W655" s="1017"/>
      <c r="X655" s="1017"/>
      <c r="Y655" s="1017"/>
      <c r="Z655" s="1017"/>
      <c r="AA655" s="1017"/>
      <c r="AB655" s="1017"/>
      <c r="AC655" s="1017"/>
      <c r="AD655" s="1017"/>
      <c r="AE655" s="1017"/>
      <c r="AF655" s="1017"/>
    </row>
    <row r="656" spans="1:32" ht="16.5">
      <c r="A656" s="1022"/>
      <c r="B656" s="1735"/>
      <c r="C656" s="1255">
        <v>43760</v>
      </c>
      <c r="D656" s="1256">
        <v>44488</v>
      </c>
      <c r="E656" s="1525">
        <v>317615.34000000003</v>
      </c>
      <c r="F656" s="1164">
        <v>317615.34000000003</v>
      </c>
      <c r="G656" s="1165">
        <v>253507.22</v>
      </c>
      <c r="H656" s="1178">
        <f t="shared" si="34"/>
        <v>82389.8465</v>
      </c>
      <c r="I656" s="1228"/>
      <c r="J656" s="1548">
        <f>G656/F656</f>
        <v>0.79815798569426777</v>
      </c>
      <c r="K656" s="1548"/>
      <c r="L656" s="1145"/>
      <c r="M656" s="1036"/>
      <c r="N656" s="1017"/>
      <c r="O656" s="1017"/>
      <c r="P656" s="1017"/>
      <c r="Q656" s="1017"/>
      <c r="R656" s="1017"/>
      <c r="S656" s="1017"/>
      <c r="T656" s="1351"/>
      <c r="U656" s="1017"/>
      <c r="V656" s="1017"/>
      <c r="W656" s="1017"/>
      <c r="X656" s="1017"/>
      <c r="Y656" s="1017"/>
      <c r="Z656" s="1017"/>
      <c r="AA656" s="1017"/>
      <c r="AB656" s="1017"/>
      <c r="AC656" s="1017"/>
      <c r="AD656" s="1017"/>
      <c r="AE656" s="1017"/>
      <c r="AF656" s="1017"/>
    </row>
    <row r="657" spans="1:32" ht="16.5">
      <c r="A657" s="1022"/>
      <c r="B657" s="1735"/>
      <c r="C657" s="1255">
        <v>43761</v>
      </c>
      <c r="D657" s="1256">
        <v>44489</v>
      </c>
      <c r="E657" s="1525">
        <v>317871.67</v>
      </c>
      <c r="F657" s="1164">
        <v>317871.67</v>
      </c>
      <c r="G657" s="1165">
        <v>261690</v>
      </c>
      <c r="H657" s="1178">
        <f t="shared" si="34"/>
        <v>85049.25</v>
      </c>
      <c r="I657" s="1228"/>
      <c r="J657" s="1548">
        <f>G657/F657</f>
        <v>0.82325675641368112</v>
      </c>
      <c r="K657" s="1548"/>
      <c r="L657" s="1145"/>
      <c r="M657" s="1036"/>
      <c r="N657" s="1017"/>
      <c r="O657" s="1017"/>
      <c r="P657" s="1017"/>
      <c r="Q657" s="1017"/>
      <c r="R657" s="1017"/>
      <c r="S657" s="1017"/>
      <c r="T657" s="1351"/>
      <c r="U657" s="1017"/>
      <c r="V657" s="1017"/>
      <c r="W657" s="1017"/>
      <c r="X657" s="1017"/>
      <c r="Y657" s="1017"/>
      <c r="Z657" s="1017"/>
      <c r="AA657" s="1017"/>
      <c r="AB657" s="1017"/>
      <c r="AC657" s="1017"/>
      <c r="AD657" s="1017"/>
      <c r="AE657" s="1017"/>
      <c r="AF657" s="1017"/>
    </row>
    <row r="658" spans="1:32" ht="16.5">
      <c r="A658" s="1022"/>
      <c r="B658" s="1735"/>
      <c r="C658" s="1255">
        <v>43762</v>
      </c>
      <c r="D658" s="1256">
        <v>44490</v>
      </c>
      <c r="E658" s="1525">
        <v>365434.94</v>
      </c>
      <c r="F658" s="1164">
        <v>365434.94</v>
      </c>
      <c r="G658" s="1165">
        <v>318960</v>
      </c>
      <c r="H658" s="1178">
        <f t="shared" si="34"/>
        <v>103662</v>
      </c>
      <c r="I658" s="1228"/>
      <c r="J658" s="1548">
        <f>G658/F658</f>
        <v>0.87282294353134382</v>
      </c>
      <c r="K658" s="1548"/>
      <c r="L658" s="1145"/>
      <c r="M658" s="1036"/>
      <c r="N658" s="1017"/>
      <c r="O658" s="1017"/>
      <c r="P658" s="1017"/>
      <c r="Q658" s="1017"/>
      <c r="R658" s="1017"/>
      <c r="S658" s="1017"/>
      <c r="T658" s="1351"/>
      <c r="U658" s="1017"/>
      <c r="V658" s="1017"/>
      <c r="W658" s="1017"/>
      <c r="X658" s="1017"/>
      <c r="Y658" s="1017"/>
      <c r="Z658" s="1017"/>
      <c r="AA658" s="1017"/>
      <c r="AB658" s="1017"/>
      <c r="AC658" s="1017"/>
      <c r="AD658" s="1017"/>
      <c r="AE658" s="1017"/>
      <c r="AF658" s="1017"/>
    </row>
    <row r="659" spans="1:32" ht="16.5">
      <c r="A659" s="1022"/>
      <c r="B659" s="1735"/>
      <c r="C659" s="1255">
        <v>43763</v>
      </c>
      <c r="D659" s="1256">
        <v>44491</v>
      </c>
      <c r="E659" s="1525">
        <v>495327.67</v>
      </c>
      <c r="F659" s="1164">
        <v>495327.67</v>
      </c>
      <c r="G659" s="1165">
        <v>440234</v>
      </c>
      <c r="H659" s="1178">
        <f t="shared" si="34"/>
        <v>143076.05000000002</v>
      </c>
      <c r="I659" s="1228"/>
      <c r="J659" s="1548">
        <f t="shared" ref="J659:J663" si="35">G659/F659</f>
        <v>0.88877328415753554</v>
      </c>
      <c r="K659" s="1548"/>
      <c r="L659" s="1145"/>
      <c r="M659" s="1036"/>
      <c r="N659" s="1017"/>
      <c r="O659" s="1017"/>
      <c r="P659" s="1017"/>
      <c r="Q659" s="1017"/>
      <c r="R659" s="1017"/>
      <c r="S659" s="1017"/>
      <c r="T659" s="1351"/>
      <c r="U659" s="1017"/>
      <c r="V659" s="1017"/>
      <c r="W659" s="1017"/>
      <c r="X659" s="1017"/>
      <c r="Y659" s="1017"/>
      <c r="Z659" s="1017"/>
      <c r="AA659" s="1017"/>
      <c r="AB659" s="1017"/>
      <c r="AC659" s="1017"/>
      <c r="AD659" s="1017"/>
      <c r="AE659" s="1017"/>
      <c r="AF659" s="1017"/>
    </row>
    <row r="660" spans="1:32" ht="16.5">
      <c r="A660" s="1022"/>
      <c r="B660" s="1735"/>
      <c r="C660" s="1255">
        <v>43764</v>
      </c>
      <c r="D660" s="1256">
        <v>44492</v>
      </c>
      <c r="E660" s="1525">
        <v>790566.72</v>
      </c>
      <c r="F660" s="1164">
        <v>790566.72</v>
      </c>
      <c r="G660" s="1165">
        <v>693284</v>
      </c>
      <c r="H660" s="1178">
        <f t="shared" si="34"/>
        <v>225317.30000000002</v>
      </c>
      <c r="I660" s="1228"/>
      <c r="J660" s="1548">
        <f t="shared" si="35"/>
        <v>0.87694559163836294</v>
      </c>
      <c r="K660" s="1548"/>
      <c r="L660" s="1145"/>
      <c r="M660" s="1036"/>
      <c r="N660" s="1017"/>
      <c r="O660" s="1017"/>
      <c r="P660" s="1017"/>
      <c r="Q660" s="1017"/>
      <c r="R660" s="1017"/>
      <c r="S660" s="1017"/>
      <c r="T660" s="1351"/>
      <c r="U660" s="1017"/>
      <c r="V660" s="1017"/>
      <c r="W660" s="1017"/>
      <c r="X660" s="1017"/>
      <c r="Y660" s="1017"/>
      <c r="Z660" s="1017"/>
      <c r="AA660" s="1017"/>
      <c r="AB660" s="1017"/>
      <c r="AC660" s="1017"/>
      <c r="AD660" s="1017"/>
      <c r="AE660" s="1017"/>
      <c r="AF660" s="1017"/>
    </row>
    <row r="661" spans="1:32" ht="16.5">
      <c r="A661" s="1022" t="s">
        <v>438</v>
      </c>
      <c r="B661" s="1730" t="s">
        <v>384</v>
      </c>
      <c r="C661" s="1316">
        <v>43765</v>
      </c>
      <c r="D661" s="1271">
        <v>44493</v>
      </c>
      <c r="E661" s="1524">
        <v>443740.89</v>
      </c>
      <c r="F661" s="1204">
        <v>443740.89</v>
      </c>
      <c r="G661" s="1273">
        <v>368110</v>
      </c>
      <c r="H661" s="1206">
        <f t="shared" si="34"/>
        <v>119635.75</v>
      </c>
      <c r="I661" s="1521"/>
      <c r="J661" s="1548">
        <f t="shared" si="35"/>
        <v>0.82956069250232944</v>
      </c>
      <c r="K661" s="1566"/>
      <c r="L661" s="1145"/>
      <c r="M661" s="1036"/>
      <c r="N661" s="1017"/>
      <c r="O661" s="1017"/>
      <c r="P661" s="1017"/>
      <c r="Q661" s="1017"/>
      <c r="R661" s="1017"/>
      <c r="S661" s="1017"/>
      <c r="T661" s="1351"/>
      <c r="U661" s="1017"/>
      <c r="V661" s="1017"/>
      <c r="W661" s="1017"/>
      <c r="X661" s="1017"/>
      <c r="Y661" s="1017"/>
      <c r="Z661" s="1017"/>
      <c r="AA661" s="1017"/>
      <c r="AB661" s="1017"/>
      <c r="AC661" s="1017"/>
      <c r="AD661" s="1017"/>
      <c r="AE661" s="1017"/>
      <c r="AF661" s="1017"/>
    </row>
    <row r="662" spans="1:32" ht="16.5">
      <c r="A662" s="1022"/>
      <c r="B662" s="1731"/>
      <c r="C662" s="1317">
        <v>43766</v>
      </c>
      <c r="D662" s="1256">
        <v>44494</v>
      </c>
      <c r="E662" s="1525">
        <v>367748.94</v>
      </c>
      <c r="F662" s="1164">
        <v>367748.94</v>
      </c>
      <c r="G662" s="1165">
        <v>320728.09000000003</v>
      </c>
      <c r="H662" s="1178">
        <f t="shared" si="34"/>
        <v>104236.62925000001</v>
      </c>
      <c r="I662" s="1519"/>
      <c r="J662" s="1548">
        <f t="shared" si="35"/>
        <v>0.87213872050861663</v>
      </c>
      <c r="K662" s="1548"/>
      <c r="L662" s="1145"/>
      <c r="M662" s="1036"/>
      <c r="N662" s="1017"/>
      <c r="O662" s="1017"/>
      <c r="P662" s="1017"/>
      <c r="Q662" s="1017"/>
      <c r="R662" s="1017"/>
      <c r="S662" s="1017"/>
      <c r="T662" s="1351"/>
      <c r="U662" s="1017"/>
      <c r="V662" s="1017"/>
      <c r="W662" s="1017"/>
      <c r="X662" s="1017"/>
      <c r="Y662" s="1017"/>
      <c r="Z662" s="1017"/>
      <c r="AA662" s="1017"/>
      <c r="AB662" s="1017"/>
      <c r="AC662" s="1017"/>
      <c r="AD662" s="1017"/>
      <c r="AE662" s="1017"/>
      <c r="AF662" s="1017"/>
    </row>
    <row r="663" spans="1:32" ht="16.5">
      <c r="A663" s="1022"/>
      <c r="B663" s="1731"/>
      <c r="C663" s="1317">
        <v>43767</v>
      </c>
      <c r="D663" s="1256">
        <v>44495</v>
      </c>
      <c r="E663" s="1525">
        <v>436249.44</v>
      </c>
      <c r="F663" s="1164">
        <v>436249.44</v>
      </c>
      <c r="G663" s="1165">
        <v>382111.04</v>
      </c>
      <c r="H663" s="1178">
        <f t="shared" si="34"/>
        <v>124186.088</v>
      </c>
      <c r="I663" s="1519"/>
      <c r="J663" s="1548">
        <f>G663/F663</f>
        <v>0.87590035645661801</v>
      </c>
      <c r="K663" s="1548"/>
      <c r="L663" s="1145"/>
      <c r="M663" s="1036"/>
      <c r="N663" s="1017"/>
      <c r="O663" s="1017"/>
      <c r="P663" s="1017"/>
      <c r="Q663" s="1017"/>
      <c r="R663" s="1017"/>
      <c r="S663" s="1017"/>
      <c r="T663" s="1351"/>
      <c r="U663" s="1017"/>
      <c r="V663" s="1017"/>
      <c r="W663" s="1017"/>
      <c r="X663" s="1017"/>
      <c r="Y663" s="1017"/>
      <c r="Z663" s="1017"/>
      <c r="AA663" s="1017"/>
      <c r="AB663" s="1017"/>
      <c r="AC663" s="1017"/>
      <c r="AD663" s="1017"/>
      <c r="AE663" s="1017"/>
      <c r="AF663" s="1017"/>
    </row>
    <row r="664" spans="1:32" ht="16.5">
      <c r="A664" s="1022"/>
      <c r="B664" s="1731"/>
      <c r="C664" s="1317">
        <v>43768</v>
      </c>
      <c r="D664" s="1256">
        <v>44496</v>
      </c>
      <c r="E664" s="1525">
        <v>569579.19999999995</v>
      </c>
      <c r="F664" s="1164">
        <v>569579.19999999995</v>
      </c>
      <c r="G664" s="1165">
        <v>435005</v>
      </c>
      <c r="H664" s="1178">
        <f t="shared" si="34"/>
        <v>141376.625</v>
      </c>
      <c r="I664" s="1519"/>
      <c r="J664" s="1548">
        <f>G664/F664</f>
        <v>0.76373048734925719</v>
      </c>
      <c r="K664" s="1548"/>
      <c r="L664" s="1145"/>
      <c r="M664" s="1036"/>
      <c r="N664" s="1017"/>
      <c r="O664" s="1017"/>
      <c r="P664" s="1017"/>
      <c r="Q664" s="1017"/>
      <c r="R664" s="1017"/>
      <c r="S664" s="1017"/>
      <c r="T664" s="1351"/>
      <c r="U664" s="1017"/>
      <c r="V664" s="1017"/>
      <c r="W664" s="1017"/>
      <c r="X664" s="1017"/>
      <c r="Y664" s="1017"/>
      <c r="Z664" s="1017"/>
      <c r="AA664" s="1017"/>
      <c r="AB664" s="1017"/>
      <c r="AC664" s="1017"/>
      <c r="AD664" s="1017"/>
      <c r="AE664" s="1017"/>
      <c r="AF664" s="1017"/>
    </row>
    <row r="665" spans="1:32" ht="16.5">
      <c r="A665" s="1022"/>
      <c r="B665" s="1731"/>
      <c r="C665" s="1317">
        <v>43769</v>
      </c>
      <c r="D665" s="1256">
        <v>44497</v>
      </c>
      <c r="E665" s="1525">
        <v>660926.93000000005</v>
      </c>
      <c r="F665" s="1164">
        <v>660926.93000000005</v>
      </c>
      <c r="G665" s="1165">
        <v>494444</v>
      </c>
      <c r="H665" s="1178">
        <f t="shared" si="34"/>
        <v>160694.30000000002</v>
      </c>
      <c r="I665" s="1519"/>
      <c r="J665" s="1548">
        <f t="shared" ref="J665:J669" si="36">G665/F665</f>
        <v>0.7481069049493867</v>
      </c>
      <c r="K665" s="1506"/>
      <c r="L665" s="1145"/>
      <c r="M665" s="1036"/>
      <c r="N665" s="1017"/>
      <c r="O665" s="1017"/>
      <c r="P665" s="1017"/>
      <c r="Q665" s="1017"/>
      <c r="R665" s="1017"/>
      <c r="S665" s="1017"/>
      <c r="T665" s="1351"/>
      <c r="U665" s="1017"/>
      <c r="V665" s="1017"/>
      <c r="W665" s="1017"/>
      <c r="X665" s="1017"/>
      <c r="Y665" s="1017"/>
      <c r="Z665" s="1017"/>
      <c r="AA665" s="1017"/>
      <c r="AB665" s="1017"/>
      <c r="AC665" s="1017"/>
      <c r="AD665" s="1017"/>
      <c r="AE665" s="1017"/>
      <c r="AF665" s="1017"/>
    </row>
    <row r="666" spans="1:32" ht="16.5">
      <c r="A666" s="1022"/>
      <c r="B666" s="1731"/>
      <c r="C666" s="1317">
        <v>43770</v>
      </c>
      <c r="D666" s="1256">
        <v>44498</v>
      </c>
      <c r="E666" s="1525">
        <v>513188.79</v>
      </c>
      <c r="F666" s="1164">
        <v>513188.79</v>
      </c>
      <c r="G666" s="1165">
        <v>679978</v>
      </c>
      <c r="H666" s="1178">
        <f t="shared" si="34"/>
        <v>220992.85</v>
      </c>
      <c r="I666" s="1519"/>
      <c r="J666" s="1548">
        <f t="shared" si="36"/>
        <v>1.3250055598447503</v>
      </c>
      <c r="K666" s="1506"/>
      <c r="L666" s="1145"/>
      <c r="M666" s="1036"/>
      <c r="N666" s="1017"/>
      <c r="O666" s="1017"/>
      <c r="P666" s="1017"/>
      <c r="Q666" s="1017"/>
      <c r="R666" s="1017"/>
      <c r="S666" s="1017"/>
      <c r="T666" s="1351"/>
      <c r="U666" s="1017"/>
      <c r="V666" s="1017"/>
      <c r="W666" s="1017"/>
      <c r="X666" s="1017"/>
      <c r="Y666" s="1017"/>
      <c r="Z666" s="1017"/>
      <c r="AA666" s="1017"/>
      <c r="AB666" s="1017"/>
      <c r="AC666" s="1017"/>
      <c r="AD666" s="1017"/>
      <c r="AE666" s="1017"/>
      <c r="AF666" s="1017"/>
    </row>
    <row r="667" spans="1:32" ht="16.5">
      <c r="A667" s="1022"/>
      <c r="B667" s="1732"/>
      <c r="C667" s="1320">
        <v>43771</v>
      </c>
      <c r="D667" s="1259">
        <v>44499</v>
      </c>
      <c r="E667" s="1527">
        <v>606618.11</v>
      </c>
      <c r="F667" s="1173">
        <v>606618.11</v>
      </c>
      <c r="G667" s="1174">
        <v>968447</v>
      </c>
      <c r="H667" s="1181">
        <f t="shared" si="34"/>
        <v>314745.27500000002</v>
      </c>
      <c r="I667" s="1522"/>
      <c r="J667" s="1548">
        <f t="shared" si="36"/>
        <v>1.5964689877128793</v>
      </c>
      <c r="K667" s="1506"/>
      <c r="L667" s="1145"/>
      <c r="M667" s="1036"/>
      <c r="N667" s="1017"/>
      <c r="O667" s="1017"/>
      <c r="P667" s="1017"/>
      <c r="Q667" s="1017"/>
      <c r="R667" s="1017"/>
      <c r="S667" s="1017"/>
      <c r="T667" s="1351"/>
      <c r="U667" s="1017"/>
      <c r="V667" s="1017"/>
      <c r="W667" s="1017"/>
      <c r="X667" s="1017"/>
      <c r="Y667" s="1017"/>
      <c r="Z667" s="1017"/>
      <c r="AA667" s="1017"/>
      <c r="AB667" s="1017"/>
      <c r="AC667" s="1017"/>
      <c r="AD667" s="1017"/>
      <c r="AE667" s="1017"/>
      <c r="AF667" s="1017"/>
    </row>
    <row r="668" spans="1:32" ht="16.5">
      <c r="A668" s="1022" t="s">
        <v>438</v>
      </c>
      <c r="B668" s="1727" t="s">
        <v>385</v>
      </c>
      <c r="C668" s="1318">
        <v>43772</v>
      </c>
      <c r="D668" s="1251">
        <v>44500</v>
      </c>
      <c r="E668" s="1528">
        <v>392873.06</v>
      </c>
      <c r="F668" s="1157">
        <v>392873.06</v>
      </c>
      <c r="G668" s="1158">
        <v>433879</v>
      </c>
      <c r="H668" s="1026">
        <f t="shared" si="34"/>
        <v>141010.67500000002</v>
      </c>
      <c r="I668" s="1523"/>
      <c r="J668" s="1548">
        <f>G668/F668</f>
        <v>1.1043745274873262</v>
      </c>
      <c r="K668" s="1506"/>
      <c r="L668" s="1145"/>
      <c r="M668" s="1036"/>
      <c r="N668" s="1017"/>
      <c r="O668" s="1017"/>
      <c r="P668" s="1017"/>
      <c r="Q668" s="1017"/>
      <c r="R668" s="1017"/>
      <c r="S668" s="1017"/>
      <c r="T668" s="1351"/>
      <c r="U668" s="1017"/>
      <c r="V668" s="1017"/>
      <c r="W668" s="1017"/>
      <c r="X668" s="1017"/>
      <c r="Y668" s="1017"/>
      <c r="Z668" s="1017"/>
      <c r="AA668" s="1017"/>
      <c r="AB668" s="1017"/>
      <c r="AC668" s="1017"/>
      <c r="AD668" s="1017"/>
      <c r="AE668" s="1017"/>
      <c r="AF668" s="1017"/>
    </row>
    <row r="669" spans="1:32" ht="30">
      <c r="A669" s="1022"/>
      <c r="B669" s="1728"/>
      <c r="C669" s="1317">
        <v>43773</v>
      </c>
      <c r="D669" s="1256">
        <v>44501</v>
      </c>
      <c r="E669" s="1525">
        <v>306725.96999999997</v>
      </c>
      <c r="F669" s="1164">
        <v>306725.96999999997</v>
      </c>
      <c r="G669" s="1165">
        <v>343813</v>
      </c>
      <c r="H669" s="1178">
        <f t="shared" si="34"/>
        <v>111739.22500000001</v>
      </c>
      <c r="I669" s="1519"/>
      <c r="J669" s="1494">
        <f>G669/F669</f>
        <v>1.1209125852629955</v>
      </c>
      <c r="K669" s="1506"/>
      <c r="L669" s="1145" t="s">
        <v>440</v>
      </c>
      <c r="M669" s="1036"/>
      <c r="N669" s="1017"/>
      <c r="O669" s="1017"/>
      <c r="P669" s="1017"/>
      <c r="Q669" s="1017"/>
      <c r="R669" s="1017"/>
      <c r="S669" s="1017"/>
      <c r="T669" s="1351"/>
      <c r="U669" s="1017"/>
      <c r="V669" s="1017"/>
      <c r="W669" s="1017"/>
      <c r="X669" s="1017"/>
      <c r="Y669" s="1017"/>
      <c r="Z669" s="1017"/>
      <c r="AA669" s="1017"/>
      <c r="AB669" s="1017"/>
      <c r="AC669" s="1017"/>
      <c r="AD669" s="1017"/>
      <c r="AE669" s="1017"/>
      <c r="AF669" s="1017"/>
    </row>
    <row r="670" spans="1:32" ht="16.5">
      <c r="A670" s="1022"/>
      <c r="B670" s="1728"/>
      <c r="C670" s="1317">
        <v>43774</v>
      </c>
      <c r="D670" s="1256">
        <v>44502</v>
      </c>
      <c r="E670" s="1525">
        <v>308892.58</v>
      </c>
      <c r="F670" s="1164">
        <v>308892.58</v>
      </c>
      <c r="G670" s="1165">
        <v>256220</v>
      </c>
      <c r="H670" s="1178">
        <f t="shared" si="34"/>
        <v>83271.5</v>
      </c>
      <c r="I670" s="1519"/>
      <c r="J670" s="1494">
        <f>G670/F670</f>
        <v>0.82947929665387232</v>
      </c>
      <c r="K670" s="1506"/>
      <c r="L670" s="1145"/>
      <c r="M670" s="1036"/>
      <c r="N670" s="1017"/>
      <c r="O670" s="1017"/>
      <c r="P670" s="1017"/>
      <c r="Q670" s="1017"/>
      <c r="R670" s="1017"/>
      <c r="S670" s="1017"/>
      <c r="T670" s="1351"/>
      <c r="U670" s="1017"/>
      <c r="V670" s="1017"/>
      <c r="W670" s="1017"/>
      <c r="X670" s="1017"/>
      <c r="Y670" s="1017"/>
      <c r="Z670" s="1017"/>
      <c r="AA670" s="1017"/>
      <c r="AB670" s="1017"/>
      <c r="AC670" s="1017"/>
      <c r="AD670" s="1017"/>
      <c r="AE670" s="1017"/>
      <c r="AF670" s="1017"/>
    </row>
    <row r="671" spans="1:32" ht="16.5">
      <c r="A671" s="1022"/>
      <c r="B671" s="1728"/>
      <c r="C671" s="1317">
        <v>43775</v>
      </c>
      <c r="D671" s="1256">
        <v>44503</v>
      </c>
      <c r="E671" s="1525">
        <v>264421.84999999998</v>
      </c>
      <c r="F671" s="1164">
        <v>264421.84999999998</v>
      </c>
      <c r="G671" s="1165">
        <v>249614.09</v>
      </c>
      <c r="H671" s="1178">
        <f t="shared" si="34"/>
        <v>81124.579249999995</v>
      </c>
      <c r="I671" s="1519"/>
      <c r="J671" s="1494">
        <f>G671/F671</f>
        <v>0.94399948415760659</v>
      </c>
      <c r="K671" s="1506"/>
      <c r="L671" s="1323"/>
      <c r="M671" s="1036"/>
      <c r="N671" s="1017"/>
      <c r="O671" s="1017"/>
      <c r="P671" s="1017"/>
      <c r="Q671" s="1017"/>
      <c r="R671" s="1017"/>
      <c r="S671" s="1017"/>
      <c r="T671" s="1351"/>
      <c r="U671" s="1017"/>
      <c r="V671" s="1017"/>
      <c r="W671" s="1017"/>
      <c r="X671" s="1017"/>
      <c r="Y671" s="1017"/>
      <c r="Z671" s="1017"/>
      <c r="AA671" s="1017"/>
      <c r="AB671" s="1017"/>
      <c r="AC671" s="1017"/>
      <c r="AD671" s="1017"/>
      <c r="AE671" s="1017"/>
      <c r="AF671" s="1017"/>
    </row>
    <row r="672" spans="1:32" ht="16.5">
      <c r="A672" s="1022"/>
      <c r="B672" s="1728"/>
      <c r="C672" s="1317">
        <v>43776</v>
      </c>
      <c r="D672" s="1256">
        <v>44504</v>
      </c>
      <c r="E672" s="1525">
        <v>312383.46999999997</v>
      </c>
      <c r="F672" s="1164">
        <v>312383.46999999997</v>
      </c>
      <c r="G672" s="1165">
        <v>269688.94</v>
      </c>
      <c r="H672" s="1178">
        <f t="shared" si="34"/>
        <v>87648.905500000008</v>
      </c>
      <c r="I672" s="1519"/>
      <c r="J672" s="1494">
        <f t="shared" ref="J672:J683" si="37">G672/F672</f>
        <v>0.86332653901309186</v>
      </c>
      <c r="K672" s="1506"/>
      <c r="L672" s="1323"/>
      <c r="M672" s="1036"/>
      <c r="N672" s="1017"/>
      <c r="O672" s="1017"/>
      <c r="P672" s="1017"/>
      <c r="Q672" s="1017"/>
      <c r="R672" s="1017"/>
      <c r="S672" s="1017"/>
      <c r="T672" s="1351"/>
      <c r="U672" s="1017"/>
      <c r="V672" s="1017"/>
      <c r="W672" s="1017"/>
      <c r="X672" s="1017"/>
      <c r="Y672" s="1017"/>
      <c r="Z672" s="1017"/>
      <c r="AA672" s="1017"/>
      <c r="AB672" s="1017"/>
      <c r="AC672" s="1017"/>
      <c r="AD672" s="1017"/>
      <c r="AE672" s="1017"/>
      <c r="AF672" s="1017"/>
    </row>
    <row r="673" spans="1:32" ht="16.5">
      <c r="A673" s="1022"/>
      <c r="B673" s="1728"/>
      <c r="C673" s="1317">
        <v>43777</v>
      </c>
      <c r="D673" s="1256">
        <v>44505</v>
      </c>
      <c r="E673" s="1525">
        <v>383304.04</v>
      </c>
      <c r="F673" s="1164">
        <v>383304.04</v>
      </c>
      <c r="G673" s="1165">
        <v>385151.97</v>
      </c>
      <c r="H673" s="1178">
        <f t="shared" si="34"/>
        <v>125174.39025</v>
      </c>
      <c r="I673" s="1519"/>
      <c r="J673" s="1494">
        <f t="shared" si="37"/>
        <v>1.0048210553689965</v>
      </c>
      <c r="K673" s="1506"/>
      <c r="L673" s="1145"/>
      <c r="M673" s="1313"/>
      <c r="N673" s="1017"/>
      <c r="O673" s="1017"/>
      <c r="P673" s="1017"/>
      <c r="Q673" s="1017"/>
      <c r="R673" s="1017"/>
      <c r="S673" s="1017"/>
      <c r="T673" s="1351"/>
      <c r="U673" s="1017"/>
      <c r="V673" s="1017"/>
      <c r="W673" s="1017"/>
      <c r="X673" s="1017"/>
      <c r="Y673" s="1017"/>
      <c r="Z673" s="1017"/>
      <c r="AA673" s="1017"/>
      <c r="AB673" s="1017"/>
      <c r="AC673" s="1017"/>
      <c r="AD673" s="1017"/>
      <c r="AE673" s="1017"/>
      <c r="AF673" s="1017"/>
    </row>
    <row r="674" spans="1:32" ht="16.5">
      <c r="A674" s="1022"/>
      <c r="B674" s="1736"/>
      <c r="C674" s="1320">
        <v>43778</v>
      </c>
      <c r="D674" s="1259">
        <v>44506</v>
      </c>
      <c r="E674" s="1527">
        <v>689903.48</v>
      </c>
      <c r="F674" s="1173">
        <v>689903.48</v>
      </c>
      <c r="G674" s="1174">
        <v>636116.93999999994</v>
      </c>
      <c r="H674" s="1181">
        <f t="shared" si="34"/>
        <v>206738.0055</v>
      </c>
      <c r="I674" s="1522"/>
      <c r="J674" s="1494">
        <f t="shared" si="37"/>
        <v>0.92203758705493122</v>
      </c>
      <c r="K674" s="1506"/>
      <c r="L674" s="1145"/>
      <c r="M674" s="1036"/>
      <c r="N674" s="1017"/>
      <c r="O674" s="1017"/>
      <c r="P674" s="1017"/>
      <c r="Q674" s="1017"/>
      <c r="R674" s="1017"/>
      <c r="S674" s="1017"/>
      <c r="T674" s="1351"/>
      <c r="U674" s="1017"/>
      <c r="V674" s="1017"/>
      <c r="W674" s="1017"/>
      <c r="X674" s="1017"/>
      <c r="Y674" s="1017"/>
      <c r="Z674" s="1017"/>
      <c r="AA674" s="1017"/>
      <c r="AB674" s="1017"/>
      <c r="AC674" s="1017"/>
      <c r="AD674" s="1017"/>
      <c r="AE674" s="1017"/>
      <c r="AF674" s="1017"/>
    </row>
    <row r="675" spans="1:32" ht="16.5">
      <c r="A675" s="1022"/>
      <c r="B675" s="1727" t="s">
        <v>388</v>
      </c>
      <c r="C675" s="1318">
        <v>43779</v>
      </c>
      <c r="D675" s="1251">
        <v>44507</v>
      </c>
      <c r="E675" s="1528">
        <v>405975.8</v>
      </c>
      <c r="F675" s="1157">
        <v>405975.8</v>
      </c>
      <c r="G675" s="1158">
        <v>337167.73</v>
      </c>
      <c r="H675" s="1026">
        <f t="shared" si="34"/>
        <v>109579.51225</v>
      </c>
      <c r="I675" s="1523"/>
      <c r="J675" s="1494">
        <f>G675/F675</f>
        <v>0.83051189258078928</v>
      </c>
      <c r="K675" s="1506"/>
      <c r="L675" s="1145"/>
      <c r="M675" s="1036"/>
      <c r="N675" s="1017"/>
      <c r="O675" s="1017"/>
      <c r="P675" s="1017"/>
      <c r="Q675" s="1017"/>
      <c r="R675" s="1017"/>
      <c r="S675" s="1017"/>
      <c r="T675" s="1351"/>
      <c r="U675" s="1017"/>
      <c r="V675" s="1017"/>
      <c r="W675" s="1017"/>
      <c r="X675" s="1017"/>
      <c r="Y675" s="1017"/>
      <c r="Z675" s="1017"/>
      <c r="AA675" s="1017"/>
      <c r="AB675" s="1017"/>
      <c r="AC675" s="1017"/>
      <c r="AD675" s="1017"/>
      <c r="AE675" s="1017"/>
      <c r="AF675" s="1017"/>
    </row>
    <row r="676" spans="1:32" ht="16.5">
      <c r="A676" s="1022"/>
      <c r="B676" s="1728"/>
      <c r="C676" s="1317">
        <v>43780</v>
      </c>
      <c r="D676" s="1256">
        <v>44508</v>
      </c>
      <c r="E676" s="1525">
        <v>284735.87</v>
      </c>
      <c r="F676" s="1164">
        <v>284735.87</v>
      </c>
      <c r="G676" s="1165">
        <v>275465</v>
      </c>
      <c r="H676" s="1178">
        <f t="shared" si="34"/>
        <v>89526.125</v>
      </c>
      <c r="I676" s="1519"/>
      <c r="J676" s="1494">
        <f t="shared" si="37"/>
        <v>0.96744045630780551</v>
      </c>
      <c r="K676" s="1506"/>
      <c r="L676" s="1325"/>
      <c r="M676" s="1595">
        <f>(G676*0.5)*0.15</f>
        <v>20659.875</v>
      </c>
      <c r="N676" s="1017"/>
      <c r="O676" s="1017"/>
      <c r="P676" s="1017"/>
      <c r="Q676" s="1017"/>
      <c r="R676" s="1017"/>
      <c r="S676" s="1017"/>
      <c r="T676" s="1351"/>
      <c r="U676" s="1017"/>
      <c r="V676" s="1017"/>
      <c r="W676" s="1017"/>
      <c r="X676" s="1017"/>
      <c r="Y676" s="1017"/>
      <c r="Z676" s="1017"/>
      <c r="AA676" s="1017"/>
      <c r="AB676" s="1017"/>
      <c r="AC676" s="1017"/>
      <c r="AD676" s="1017"/>
      <c r="AE676" s="1017"/>
      <c r="AF676" s="1017"/>
    </row>
    <row r="677" spans="1:32" ht="16.5">
      <c r="A677" s="1022"/>
      <c r="B677" s="1728"/>
      <c r="C677" s="1317">
        <v>43781</v>
      </c>
      <c r="D677" s="1256">
        <v>44509</v>
      </c>
      <c r="E677" s="1525">
        <v>229299.08</v>
      </c>
      <c r="F677" s="1164">
        <v>229299.08</v>
      </c>
      <c r="G677" s="1165">
        <v>256932</v>
      </c>
      <c r="H677" s="1178">
        <f t="shared" si="34"/>
        <v>83502.900000000009</v>
      </c>
      <c r="I677" s="1519"/>
      <c r="J677" s="1494">
        <f t="shared" si="37"/>
        <v>1.1205103832078176</v>
      </c>
      <c r="K677" s="1506"/>
      <c r="L677" s="1145"/>
      <c r="M677" s="1595">
        <f t="shared" ref="M677:M679" si="38">(G677*0.5)*0.15</f>
        <v>19269.899999999998</v>
      </c>
      <c r="N677" s="1017"/>
      <c r="O677" s="1017"/>
      <c r="P677" s="1017"/>
      <c r="Q677" s="1017"/>
      <c r="R677" s="1017"/>
      <c r="S677" s="1017"/>
      <c r="T677" s="1351"/>
      <c r="U677" s="1017"/>
      <c r="V677" s="1017"/>
      <c r="W677" s="1017"/>
      <c r="X677" s="1017"/>
      <c r="Y677" s="1017"/>
      <c r="Z677" s="1017"/>
      <c r="AA677" s="1017"/>
      <c r="AB677" s="1017"/>
      <c r="AC677" s="1017"/>
      <c r="AD677" s="1017"/>
      <c r="AE677" s="1017"/>
      <c r="AF677" s="1017"/>
    </row>
    <row r="678" spans="1:32" ht="16.5">
      <c r="A678" s="1022"/>
      <c r="B678" s="1728"/>
      <c r="C678" s="1317">
        <v>43782</v>
      </c>
      <c r="D678" s="1256">
        <v>44510</v>
      </c>
      <c r="E678" s="1525">
        <v>298038.63</v>
      </c>
      <c r="F678" s="1164">
        <v>298038.63</v>
      </c>
      <c r="G678" s="1165">
        <v>300566</v>
      </c>
      <c r="H678" s="1178">
        <f t="shared" si="34"/>
        <v>97683.95</v>
      </c>
      <c r="I678" s="1519"/>
      <c r="J678" s="1494">
        <f t="shared" si="37"/>
        <v>1.0084800081117002</v>
      </c>
      <c r="K678" s="1506"/>
      <c r="L678" s="1145"/>
      <c r="M678" s="1595">
        <f t="shared" si="38"/>
        <v>22542.45</v>
      </c>
      <c r="N678" s="1017"/>
      <c r="O678" s="1017"/>
      <c r="P678" s="1017"/>
      <c r="Q678" s="1017"/>
      <c r="R678" s="1017"/>
      <c r="S678" s="1017"/>
      <c r="T678" s="1351"/>
      <c r="U678" s="1017"/>
      <c r="V678" s="1017"/>
      <c r="W678" s="1017"/>
      <c r="X678" s="1017"/>
      <c r="Y678" s="1017"/>
      <c r="Z678" s="1017"/>
      <c r="AA678" s="1017"/>
      <c r="AB678" s="1017"/>
      <c r="AC678" s="1017"/>
      <c r="AD678" s="1017"/>
      <c r="AE678" s="1017"/>
      <c r="AF678" s="1017"/>
    </row>
    <row r="679" spans="1:32" ht="16.5">
      <c r="A679" s="1022"/>
      <c r="B679" s="1728"/>
      <c r="C679" s="1317">
        <v>43783</v>
      </c>
      <c r="D679" s="1256">
        <v>44511</v>
      </c>
      <c r="E679" s="1525">
        <v>420238.24</v>
      </c>
      <c r="F679" s="1164">
        <v>420238.24</v>
      </c>
      <c r="G679" s="1165">
        <v>336901</v>
      </c>
      <c r="H679" s="1178">
        <f t="shared" si="34"/>
        <v>109492.825</v>
      </c>
      <c r="I679" s="1519"/>
      <c r="J679" s="1494">
        <f t="shared" si="37"/>
        <v>0.80169048870945203</v>
      </c>
      <c r="K679" s="1506"/>
      <c r="L679" s="1145"/>
      <c r="M679" s="1595">
        <f t="shared" si="38"/>
        <v>25267.575000000001</v>
      </c>
      <c r="N679" s="1017"/>
      <c r="O679" s="1017"/>
      <c r="P679" s="1017"/>
      <c r="Q679" s="1017"/>
      <c r="R679" s="1017"/>
      <c r="S679" s="1017"/>
      <c r="T679" s="1351"/>
      <c r="U679" s="1017"/>
      <c r="V679" s="1017"/>
      <c r="W679" s="1017"/>
      <c r="X679" s="1017"/>
      <c r="Y679" s="1017"/>
      <c r="Z679" s="1017"/>
      <c r="AA679" s="1017"/>
      <c r="AB679" s="1017"/>
      <c r="AC679" s="1017"/>
      <c r="AD679" s="1017"/>
      <c r="AE679" s="1017"/>
      <c r="AF679" s="1017"/>
    </row>
    <row r="680" spans="1:32" ht="16.5">
      <c r="A680" s="1022"/>
      <c r="B680" s="1728"/>
      <c r="C680" s="1317">
        <v>43784</v>
      </c>
      <c r="D680" s="1256">
        <v>44512</v>
      </c>
      <c r="E680" s="1525">
        <v>684538.67</v>
      </c>
      <c r="F680" s="1164">
        <v>684538.67</v>
      </c>
      <c r="G680" s="1165">
        <v>499300</v>
      </c>
      <c r="H680" s="1178">
        <f t="shared" si="34"/>
        <v>162272.5</v>
      </c>
      <c r="I680" s="1519"/>
      <c r="J680" s="1494">
        <f t="shared" si="37"/>
        <v>0.72939633928934933</v>
      </c>
      <c r="K680" s="1506"/>
      <c r="L680" s="1145"/>
      <c r="M680" s="1036"/>
      <c r="N680" s="1017"/>
      <c r="O680" s="1017"/>
      <c r="P680" s="1017"/>
      <c r="Q680" s="1017"/>
      <c r="R680" s="1017"/>
      <c r="S680" s="1017"/>
      <c r="T680" s="1351"/>
      <c r="U680" s="1017"/>
      <c r="V680" s="1017"/>
      <c r="W680" s="1017"/>
      <c r="X680" s="1017"/>
      <c r="Y680" s="1017"/>
      <c r="Z680" s="1017"/>
      <c r="AA680" s="1017"/>
      <c r="AB680" s="1017"/>
      <c r="AC680" s="1017"/>
      <c r="AD680" s="1017"/>
      <c r="AE680" s="1017"/>
      <c r="AF680" s="1017"/>
    </row>
    <row r="681" spans="1:32" ht="16.5">
      <c r="A681" s="1022"/>
      <c r="B681" s="1729"/>
      <c r="C681" s="1319">
        <v>43785</v>
      </c>
      <c r="D681" s="1266">
        <v>44513</v>
      </c>
      <c r="E681" s="1526">
        <v>1105358.1200000001</v>
      </c>
      <c r="F681" s="1199">
        <v>1105358.1200000001</v>
      </c>
      <c r="G681" s="1200">
        <v>829631</v>
      </c>
      <c r="H681" s="1178">
        <f t="shared" si="34"/>
        <v>269630.07500000001</v>
      </c>
      <c r="I681" s="1520"/>
      <c r="J681" s="1494">
        <f t="shared" si="37"/>
        <v>0.75055403763623674</v>
      </c>
      <c r="K681" s="1506"/>
      <c r="L681" s="1145"/>
      <c r="M681" s="1036"/>
      <c r="N681" s="1017"/>
      <c r="O681" s="1017"/>
      <c r="P681" s="1017"/>
      <c r="Q681" s="1017"/>
      <c r="R681" s="1017"/>
      <c r="S681" s="1017"/>
      <c r="T681" s="1351"/>
      <c r="U681" s="1017"/>
      <c r="V681" s="1017"/>
      <c r="W681" s="1017"/>
      <c r="X681" s="1017"/>
      <c r="Y681" s="1017"/>
      <c r="Z681" s="1017"/>
      <c r="AA681" s="1017"/>
      <c r="AB681" s="1017"/>
      <c r="AC681" s="1017"/>
      <c r="AD681" s="1017"/>
      <c r="AE681" s="1017"/>
      <c r="AF681" s="1017"/>
    </row>
    <row r="682" spans="1:32" ht="16.5">
      <c r="A682" s="1022"/>
      <c r="B682" s="1737" t="s">
        <v>389</v>
      </c>
      <c r="C682" s="1316">
        <v>43786</v>
      </c>
      <c r="D682" s="1271">
        <v>44514</v>
      </c>
      <c r="E682" s="1524">
        <v>771216.84</v>
      </c>
      <c r="F682" s="1204">
        <v>771216.84</v>
      </c>
      <c r="G682" s="1273">
        <v>522288</v>
      </c>
      <c r="H682" s="1206">
        <f t="shared" si="34"/>
        <v>169743.6</v>
      </c>
      <c r="I682" s="1521"/>
      <c r="J682" s="1494">
        <f t="shared" si="37"/>
        <v>0.67722587592874661</v>
      </c>
      <c r="K682" s="1506"/>
      <c r="L682" s="1145" t="s">
        <v>441</v>
      </c>
      <c r="M682" s="1036"/>
      <c r="N682" s="1017"/>
      <c r="O682" s="1017"/>
      <c r="P682" s="1017"/>
      <c r="Q682" s="1017"/>
      <c r="R682" s="1017"/>
      <c r="S682" s="1017"/>
      <c r="T682" s="1351"/>
      <c r="U682" s="1017"/>
      <c r="V682" s="1017"/>
      <c r="W682" s="1017"/>
      <c r="X682" s="1017"/>
      <c r="Y682" s="1017"/>
      <c r="Z682" s="1017"/>
      <c r="AA682" s="1017"/>
      <c r="AB682" s="1017"/>
      <c r="AC682" s="1017"/>
      <c r="AD682" s="1017"/>
      <c r="AE682" s="1017"/>
      <c r="AF682" s="1017"/>
    </row>
    <row r="683" spans="1:32" ht="16.5">
      <c r="A683" s="1022"/>
      <c r="B683" s="1728"/>
      <c r="C683" s="1317">
        <v>43787</v>
      </c>
      <c r="D683" s="1256">
        <v>44515</v>
      </c>
      <c r="E683" s="1525">
        <v>776292.18</v>
      </c>
      <c r="F683" s="1164">
        <v>776292.18</v>
      </c>
      <c r="G683" s="1165">
        <v>544576</v>
      </c>
      <c r="H683" s="1178">
        <f t="shared" si="34"/>
        <v>176987.2</v>
      </c>
      <c r="I683" s="1519"/>
      <c r="J683" s="1494">
        <f t="shared" si="37"/>
        <v>0.70150906324987061</v>
      </c>
      <c r="K683" s="1506"/>
      <c r="L683" s="1145"/>
      <c r="M683" s="1036"/>
      <c r="N683" s="1017"/>
      <c r="O683" s="1017"/>
      <c r="P683" s="1017"/>
      <c r="Q683" s="1017"/>
      <c r="R683" s="1017"/>
      <c r="S683" s="1017"/>
      <c r="T683" s="1351"/>
      <c r="U683" s="1017"/>
      <c r="V683" s="1017"/>
      <c r="W683" s="1017"/>
      <c r="X683" s="1017"/>
      <c r="Y683" s="1017"/>
      <c r="Z683" s="1017"/>
      <c r="AA683" s="1017"/>
      <c r="AB683" s="1017"/>
      <c r="AC683" s="1017"/>
      <c r="AD683" s="1017"/>
      <c r="AE683" s="1017"/>
      <c r="AF683" s="1017"/>
    </row>
    <row r="684" spans="1:32" ht="16.5">
      <c r="A684" s="1022"/>
      <c r="B684" s="1728"/>
      <c r="C684" s="1317">
        <v>43788</v>
      </c>
      <c r="D684" s="1256">
        <v>44516</v>
      </c>
      <c r="E684" s="1525">
        <v>387275.96</v>
      </c>
      <c r="F684" s="1164">
        <v>387275.96</v>
      </c>
      <c r="G684" s="1165">
        <v>352882</v>
      </c>
      <c r="H684" s="1178">
        <f t="shared" si="34"/>
        <v>114686.65000000001</v>
      </c>
      <c r="I684" s="1519"/>
      <c r="J684" s="1494">
        <f>G684/F684</f>
        <v>0.91119004649810942</v>
      </c>
      <c r="K684" s="1506"/>
      <c r="L684" s="1145"/>
      <c r="M684" s="1596">
        <f t="shared" ref="M684:M686" si="39">(G684*0.5)*0.15</f>
        <v>26466.149999999998</v>
      </c>
      <c r="N684" s="1017"/>
      <c r="O684" s="1017"/>
      <c r="P684" s="1017"/>
      <c r="Q684" s="1017"/>
      <c r="R684" s="1017"/>
      <c r="S684" s="1017"/>
      <c r="T684" s="1351"/>
      <c r="U684" s="1017"/>
      <c r="V684" s="1017"/>
      <c r="W684" s="1017"/>
      <c r="X684" s="1017"/>
      <c r="Y684" s="1017"/>
      <c r="Z684" s="1017"/>
      <c r="AA684" s="1017"/>
      <c r="AB684" s="1017"/>
      <c r="AC684" s="1017"/>
      <c r="AD684" s="1017"/>
      <c r="AE684" s="1017"/>
      <c r="AF684" s="1017"/>
    </row>
    <row r="685" spans="1:32" ht="16.5">
      <c r="A685" s="1022"/>
      <c r="B685" s="1728"/>
      <c r="C685" s="1317">
        <v>43789</v>
      </c>
      <c r="D685" s="1256">
        <v>44517</v>
      </c>
      <c r="E685" s="1525">
        <v>330841.18</v>
      </c>
      <c r="F685" s="1164">
        <v>330841.18</v>
      </c>
      <c r="G685" s="1165">
        <v>315683</v>
      </c>
      <c r="H685" s="1178">
        <f t="shared" si="34"/>
        <v>102596.97500000001</v>
      </c>
      <c r="I685" s="1519"/>
      <c r="J685" s="1494">
        <f t="shared" ref="J685:J697" si="40">G685/F685</f>
        <v>0.95418291036200509</v>
      </c>
      <c r="K685" s="1506"/>
      <c r="L685" s="1145"/>
      <c r="M685" s="1596">
        <f t="shared" si="39"/>
        <v>23676.224999999999</v>
      </c>
      <c r="N685" s="1017"/>
      <c r="O685" s="1017"/>
      <c r="P685" s="1017"/>
      <c r="Q685" s="1017"/>
      <c r="R685" s="1017"/>
      <c r="S685" s="1017"/>
      <c r="T685" s="1351"/>
      <c r="U685" s="1017"/>
      <c r="V685" s="1017"/>
      <c r="W685" s="1017"/>
      <c r="X685" s="1017"/>
      <c r="Y685" s="1017"/>
      <c r="Z685" s="1017"/>
      <c r="AA685" s="1017"/>
      <c r="AB685" s="1017"/>
      <c r="AC685" s="1017"/>
      <c r="AD685" s="1017"/>
      <c r="AE685" s="1017"/>
      <c r="AF685" s="1017"/>
    </row>
    <row r="686" spans="1:32" ht="16.5">
      <c r="A686" s="1022"/>
      <c r="B686" s="1728"/>
      <c r="C686" s="1317">
        <v>43790</v>
      </c>
      <c r="D686" s="1256">
        <v>44518</v>
      </c>
      <c r="E686" s="1525">
        <v>416154.73</v>
      </c>
      <c r="F686" s="1164">
        <v>416154.73</v>
      </c>
      <c r="G686" s="1165">
        <v>358162</v>
      </c>
      <c r="H686" s="1178">
        <f t="shared" si="34"/>
        <v>116402.65000000001</v>
      </c>
      <c r="I686" s="1519"/>
      <c r="J686" s="1494">
        <f t="shared" si="40"/>
        <v>0.86064623127075834</v>
      </c>
      <c r="K686" s="1506"/>
      <c r="L686" s="1145"/>
      <c r="M686" s="1596">
        <f t="shared" si="39"/>
        <v>26862.149999999998</v>
      </c>
      <c r="N686" s="1017"/>
      <c r="O686" s="1017"/>
      <c r="P686" s="1017"/>
      <c r="Q686" s="1017"/>
      <c r="R686" s="1017"/>
      <c r="S686" s="1017"/>
      <c r="T686" s="1351"/>
      <c r="U686" s="1017"/>
      <c r="V686" s="1017"/>
      <c r="W686" s="1017"/>
      <c r="X686" s="1017"/>
      <c r="Y686" s="1017"/>
      <c r="Z686" s="1017"/>
      <c r="AA686" s="1017"/>
      <c r="AB686" s="1017"/>
      <c r="AC686" s="1017"/>
      <c r="AD686" s="1017"/>
      <c r="AE686" s="1017"/>
      <c r="AF686" s="1017"/>
    </row>
    <row r="687" spans="1:32" ht="16.5">
      <c r="A687" s="1022"/>
      <c r="B687" s="1728"/>
      <c r="C687" s="1317">
        <v>43791</v>
      </c>
      <c r="D687" s="1256">
        <v>44519</v>
      </c>
      <c r="E687" s="1525">
        <v>533230.89</v>
      </c>
      <c r="F687" s="1164">
        <v>533230.89</v>
      </c>
      <c r="G687" s="1165">
        <v>459130</v>
      </c>
      <c r="H687" s="1178">
        <f t="shared" si="34"/>
        <v>149217.25</v>
      </c>
      <c r="I687" s="1519"/>
      <c r="J687" s="1494">
        <f t="shared" si="40"/>
        <v>0.86103413851361832</v>
      </c>
      <c r="K687" s="1506"/>
      <c r="L687" s="1145"/>
      <c r="M687" s="1036"/>
      <c r="N687" s="1017"/>
      <c r="O687" s="1017"/>
      <c r="P687" s="1017"/>
      <c r="Q687" s="1017"/>
      <c r="R687" s="1017"/>
      <c r="S687" s="1017"/>
      <c r="T687" s="1351"/>
      <c r="U687" s="1017"/>
      <c r="V687" s="1017"/>
      <c r="W687" s="1017"/>
      <c r="X687" s="1017"/>
      <c r="Y687" s="1017"/>
      <c r="Z687" s="1017"/>
      <c r="AA687" s="1017"/>
      <c r="AB687" s="1017"/>
      <c r="AC687" s="1017"/>
      <c r="AD687" s="1017"/>
      <c r="AE687" s="1017"/>
      <c r="AF687" s="1017"/>
    </row>
    <row r="688" spans="1:32" ht="16.5">
      <c r="A688" s="1022"/>
      <c r="B688" s="1736"/>
      <c r="C688" s="1320">
        <v>43792</v>
      </c>
      <c r="D688" s="1259">
        <v>44520</v>
      </c>
      <c r="E688" s="1527">
        <v>807734.85</v>
      </c>
      <c r="F688" s="1173">
        <v>807734.85</v>
      </c>
      <c r="G688" s="1174">
        <v>698062</v>
      </c>
      <c r="H688" s="1181">
        <f t="shared" si="34"/>
        <v>226870.15</v>
      </c>
      <c r="I688" s="1522"/>
      <c r="J688" s="1494">
        <f t="shared" si="40"/>
        <v>0.86422171830273264</v>
      </c>
      <c r="K688" s="1506"/>
      <c r="L688" s="1145"/>
      <c r="M688" s="1036"/>
      <c r="N688" s="1017"/>
      <c r="O688" s="1017"/>
      <c r="P688" s="1017"/>
      <c r="Q688" s="1017"/>
      <c r="R688" s="1017"/>
      <c r="S688" s="1017"/>
      <c r="T688" s="1351"/>
      <c r="U688" s="1017"/>
      <c r="V688" s="1017"/>
      <c r="W688" s="1017"/>
      <c r="X688" s="1017"/>
      <c r="Y688" s="1017"/>
      <c r="Z688" s="1017"/>
      <c r="AA688" s="1017"/>
      <c r="AB688" s="1017"/>
      <c r="AC688" s="1017"/>
      <c r="AD688" s="1017"/>
      <c r="AE688" s="1017"/>
      <c r="AF688" s="1017"/>
    </row>
    <row r="689" spans="1:32" ht="16.5">
      <c r="A689" s="1022"/>
      <c r="B689" s="1727" t="s">
        <v>391</v>
      </c>
      <c r="C689" s="1318">
        <v>43793</v>
      </c>
      <c r="D689" s="1251">
        <v>44521</v>
      </c>
      <c r="E689" s="1528">
        <v>511184.7</v>
      </c>
      <c r="F689" s="1157">
        <v>511184.7</v>
      </c>
      <c r="G689" s="1158">
        <v>425996</v>
      </c>
      <c r="H689" s="1026">
        <f t="shared" si="34"/>
        <v>138448.70000000001</v>
      </c>
      <c r="I689" s="1523"/>
      <c r="J689" s="1494">
        <f t="shared" si="40"/>
        <v>0.83335045043406031</v>
      </c>
      <c r="K689" s="1506"/>
      <c r="L689" s="1145"/>
      <c r="M689" s="1036"/>
      <c r="N689" s="1017"/>
      <c r="O689" s="1017"/>
      <c r="P689" s="1017"/>
      <c r="Q689" s="1017"/>
      <c r="R689" s="1017"/>
      <c r="S689" s="1017"/>
      <c r="T689" s="1351"/>
      <c r="U689" s="1017"/>
      <c r="V689" s="1017"/>
      <c r="W689" s="1017"/>
      <c r="X689" s="1017"/>
      <c r="Y689" s="1017"/>
      <c r="Z689" s="1017"/>
      <c r="AA689" s="1017"/>
      <c r="AB689" s="1017"/>
      <c r="AC689" s="1017"/>
      <c r="AD689" s="1017"/>
      <c r="AE689" s="1017"/>
      <c r="AF689" s="1017"/>
    </row>
    <row r="690" spans="1:32" ht="16.5">
      <c r="A690" s="1022"/>
      <c r="B690" s="1728"/>
      <c r="C690" s="1317">
        <v>43794</v>
      </c>
      <c r="D690" s="1256">
        <v>44522</v>
      </c>
      <c r="E690" s="1525">
        <v>435267.22</v>
      </c>
      <c r="F690" s="1164">
        <v>435267.22</v>
      </c>
      <c r="G690" s="1165">
        <v>379789</v>
      </c>
      <c r="H690" s="1178">
        <f t="shared" si="34"/>
        <v>123431.425</v>
      </c>
      <c r="I690" s="1519"/>
      <c r="J690" s="1494">
        <f t="shared" si="40"/>
        <v>0.87254215927402023</v>
      </c>
      <c r="K690" s="1506"/>
      <c r="L690" s="1145"/>
      <c r="M690" s="1036"/>
      <c r="N690" s="1017"/>
      <c r="O690" s="1017"/>
      <c r="P690" s="1017"/>
      <c r="Q690" s="1017"/>
      <c r="R690" s="1017"/>
      <c r="S690" s="1017"/>
      <c r="T690" s="1351"/>
      <c r="U690" s="1017"/>
      <c r="V690" s="1017"/>
      <c r="W690" s="1017"/>
      <c r="X690" s="1017"/>
      <c r="Y690" s="1017"/>
      <c r="Z690" s="1017"/>
      <c r="AA690" s="1017"/>
      <c r="AB690" s="1017"/>
      <c r="AC690" s="1017"/>
      <c r="AD690" s="1017"/>
      <c r="AE690" s="1017"/>
      <c r="AF690" s="1017"/>
    </row>
    <row r="691" spans="1:32" ht="16.5">
      <c r="A691" s="1022"/>
      <c r="B691" s="1728"/>
      <c r="C691" s="1317">
        <v>43795</v>
      </c>
      <c r="D691" s="1256">
        <v>44523</v>
      </c>
      <c r="E691" s="1525">
        <v>413394.81</v>
      </c>
      <c r="F691" s="1164">
        <v>413394.81</v>
      </c>
      <c r="G691" s="1165">
        <v>380902</v>
      </c>
      <c r="H691" s="1178">
        <f t="shared" si="34"/>
        <v>123793.15000000001</v>
      </c>
      <c r="I691" s="1519"/>
      <c r="J691" s="1494">
        <f t="shared" si="40"/>
        <v>0.92140005337754483</v>
      </c>
      <c r="K691" s="1506"/>
      <c r="L691" s="1145"/>
      <c r="M691" s="1036"/>
      <c r="N691" s="1017"/>
      <c r="O691" s="1017"/>
      <c r="P691" s="1017"/>
      <c r="Q691" s="1017"/>
      <c r="R691" s="1017"/>
      <c r="S691" s="1017"/>
      <c r="T691" s="1351"/>
      <c r="U691" s="1017"/>
      <c r="V691" s="1017"/>
      <c r="W691" s="1017"/>
      <c r="X691" s="1017"/>
      <c r="Y691" s="1017"/>
      <c r="Z691" s="1017"/>
      <c r="AA691" s="1017"/>
      <c r="AB691" s="1017"/>
      <c r="AC691" s="1017"/>
      <c r="AD691" s="1017"/>
      <c r="AE691" s="1017"/>
      <c r="AF691" s="1017"/>
    </row>
    <row r="692" spans="1:32" ht="16.5">
      <c r="A692" s="1022"/>
      <c r="B692" s="1728"/>
      <c r="C692" s="1317">
        <v>43796</v>
      </c>
      <c r="D692" s="1256">
        <v>44524</v>
      </c>
      <c r="E692" s="1525">
        <v>388371.68</v>
      </c>
      <c r="F692" s="1164">
        <v>388371.68</v>
      </c>
      <c r="G692" s="1165">
        <v>422044</v>
      </c>
      <c r="H692" s="1178">
        <f t="shared" si="34"/>
        <v>137164.30000000002</v>
      </c>
      <c r="I692" s="1519"/>
      <c r="J692" s="1494">
        <f t="shared" si="40"/>
        <v>1.0867012754380032</v>
      </c>
      <c r="K692" s="1506"/>
      <c r="L692" s="1145"/>
      <c r="M692" s="1036"/>
      <c r="N692" s="1017"/>
      <c r="O692" s="1017"/>
      <c r="P692" s="1017"/>
      <c r="Q692" s="1017"/>
      <c r="R692" s="1017"/>
      <c r="S692" s="1017"/>
      <c r="T692" s="1351"/>
      <c r="U692" s="1017"/>
      <c r="V692" s="1017"/>
      <c r="W692" s="1017"/>
      <c r="X692" s="1017"/>
      <c r="Y692" s="1017"/>
      <c r="Z692" s="1017"/>
      <c r="AA692" s="1017"/>
      <c r="AB692" s="1017"/>
      <c r="AC692" s="1017"/>
      <c r="AD692" s="1017"/>
      <c r="AE692" s="1017"/>
      <c r="AF692" s="1017"/>
    </row>
    <row r="693" spans="1:32" ht="16.5">
      <c r="A693" s="1022"/>
      <c r="B693" s="1728"/>
      <c r="C693" s="1317">
        <v>43797</v>
      </c>
      <c r="D693" s="1256">
        <v>44525</v>
      </c>
      <c r="E693" s="1525">
        <v>519588.23</v>
      </c>
      <c r="F693" s="1164">
        <v>519588.23</v>
      </c>
      <c r="G693" s="1165">
        <v>430742</v>
      </c>
      <c r="H693" s="1178">
        <f t="shared" si="34"/>
        <v>139991.15</v>
      </c>
      <c r="I693" s="1519"/>
      <c r="J693" s="1494">
        <f t="shared" si="40"/>
        <v>0.82900646152050061</v>
      </c>
      <c r="K693" s="1506"/>
      <c r="L693" s="1145"/>
      <c r="M693" s="1036"/>
      <c r="N693" s="1017"/>
      <c r="O693" s="1017"/>
      <c r="P693" s="1017"/>
      <c r="Q693" s="1017"/>
      <c r="R693" s="1017"/>
      <c r="S693" s="1017"/>
      <c r="T693" s="1351"/>
      <c r="U693" s="1017"/>
      <c r="V693" s="1017"/>
      <c r="W693" s="1017"/>
      <c r="X693" s="1017"/>
      <c r="Y693" s="1017"/>
      <c r="Z693" s="1017"/>
      <c r="AA693" s="1017"/>
      <c r="AB693" s="1017"/>
      <c r="AC693" s="1017"/>
      <c r="AD693" s="1017"/>
      <c r="AE693" s="1017"/>
      <c r="AF693" s="1017"/>
    </row>
    <row r="694" spans="1:32" ht="16.5">
      <c r="A694" s="1022"/>
      <c r="B694" s="1728"/>
      <c r="C694" s="1317">
        <v>43798</v>
      </c>
      <c r="D694" s="1256">
        <v>44526</v>
      </c>
      <c r="E694" s="1525">
        <v>750017.32</v>
      </c>
      <c r="F694" s="1164">
        <v>750017.32</v>
      </c>
      <c r="G694" s="1165">
        <v>378003</v>
      </c>
      <c r="H694" s="1178">
        <f t="shared" si="34"/>
        <v>122850.97500000001</v>
      </c>
      <c r="I694" s="1519"/>
      <c r="J694" s="1494">
        <f t="shared" si="40"/>
        <v>0.50399236113640689</v>
      </c>
      <c r="K694" s="1506"/>
      <c r="L694" s="1145"/>
      <c r="M694" s="1036"/>
      <c r="N694" s="1017"/>
      <c r="O694" s="1017"/>
      <c r="P694" s="1017"/>
      <c r="Q694" s="1017"/>
      <c r="R694" s="1017"/>
      <c r="S694" s="1017"/>
      <c r="T694" s="1351"/>
      <c r="U694" s="1017"/>
      <c r="V694" s="1017"/>
      <c r="W694" s="1017"/>
      <c r="X694" s="1017"/>
      <c r="Y694" s="1017"/>
      <c r="Z694" s="1017"/>
      <c r="AA694" s="1017"/>
      <c r="AB694" s="1017"/>
      <c r="AC694" s="1017"/>
      <c r="AD694" s="1017"/>
      <c r="AE694" s="1017"/>
      <c r="AF694" s="1017"/>
    </row>
    <row r="695" spans="1:32" ht="16.5">
      <c r="A695" s="1022"/>
      <c r="B695" s="1729"/>
      <c r="C695" s="1319">
        <v>43799</v>
      </c>
      <c r="D695" s="1266">
        <v>44527</v>
      </c>
      <c r="E695" s="1526">
        <v>1164521.3</v>
      </c>
      <c r="F695" s="1199">
        <v>1164521.3</v>
      </c>
      <c r="G695" s="1200">
        <v>904414</v>
      </c>
      <c r="H695" s="1201">
        <f t="shared" si="34"/>
        <v>293934.55</v>
      </c>
      <c r="I695" s="1520"/>
      <c r="J695" s="1494">
        <f t="shared" si="40"/>
        <v>0.77664015248153895</v>
      </c>
      <c r="K695" s="1506"/>
      <c r="L695" s="1145"/>
      <c r="M695" s="1313"/>
      <c r="N695" s="1017"/>
      <c r="O695" s="1017"/>
      <c r="P695" s="1017"/>
      <c r="Q695" s="1017"/>
      <c r="R695" s="1017"/>
      <c r="S695" s="1017"/>
      <c r="T695" s="1351"/>
      <c r="U695" s="1017"/>
      <c r="V695" s="1017"/>
      <c r="W695" s="1017"/>
      <c r="X695" s="1017"/>
      <c r="Y695" s="1017"/>
      <c r="Z695" s="1017"/>
      <c r="AA695" s="1017"/>
      <c r="AB695" s="1017"/>
      <c r="AC695" s="1017"/>
      <c r="AD695" s="1017"/>
      <c r="AE695" s="1017"/>
      <c r="AF695" s="1017"/>
    </row>
    <row r="696" spans="1:32" ht="16.5">
      <c r="A696" s="1022"/>
      <c r="B696" s="1730" t="s">
        <v>393</v>
      </c>
      <c r="C696" s="1316">
        <v>43800</v>
      </c>
      <c r="D696" s="1271">
        <v>44528</v>
      </c>
      <c r="E696" s="1524">
        <v>684266.86</v>
      </c>
      <c r="F696" s="1528">
        <v>684266.86</v>
      </c>
      <c r="G696" s="1273">
        <v>486089</v>
      </c>
      <c r="H696" s="1206">
        <f t="shared" si="34"/>
        <v>157978.92500000002</v>
      </c>
      <c r="I696" s="1521"/>
      <c r="J696" s="1548">
        <f t="shared" si="40"/>
        <v>0.71037928097233882</v>
      </c>
      <c r="K696" s="1506"/>
      <c r="L696" s="1145" t="s">
        <v>442</v>
      </c>
      <c r="M696" s="1036"/>
      <c r="N696" s="1017"/>
      <c r="O696" s="1017"/>
      <c r="P696" s="1017"/>
      <c r="Q696" s="1017"/>
      <c r="R696" s="1017"/>
      <c r="S696" s="1017"/>
      <c r="T696" s="1351"/>
      <c r="U696" s="1017"/>
      <c r="V696" s="1017"/>
      <c r="W696" s="1017"/>
      <c r="X696" s="1017"/>
      <c r="Y696" s="1017"/>
      <c r="Z696" s="1017"/>
      <c r="AA696" s="1017"/>
      <c r="AB696" s="1017"/>
      <c r="AC696" s="1017"/>
      <c r="AD696" s="1017"/>
      <c r="AE696" s="1017"/>
      <c r="AF696" s="1017"/>
    </row>
    <row r="697" spans="1:32" ht="16.5">
      <c r="A697" s="1022"/>
      <c r="B697" s="1731"/>
      <c r="C697" s="1317">
        <v>43801</v>
      </c>
      <c r="D697" s="1256">
        <v>44529</v>
      </c>
      <c r="E697" s="1525">
        <v>613882.68999999994</v>
      </c>
      <c r="F697" s="1525">
        <v>613882.68999999994</v>
      </c>
      <c r="G697" s="1165">
        <v>460839</v>
      </c>
      <c r="H697" s="1178">
        <f t="shared" si="34"/>
        <v>149772.67500000002</v>
      </c>
      <c r="I697" s="1519"/>
      <c r="J697" s="1548">
        <f>G697/F697</f>
        <v>0.75069554412749451</v>
      </c>
      <c r="K697" s="1506"/>
      <c r="L697" s="1145"/>
      <c r="M697" s="1036"/>
      <c r="N697" s="1017"/>
      <c r="O697" s="1017"/>
      <c r="P697" s="1017"/>
      <c r="Q697" s="1017"/>
      <c r="R697" s="1017"/>
      <c r="S697" s="1017"/>
      <c r="T697" s="1351"/>
      <c r="U697" s="1017"/>
      <c r="V697" s="1017"/>
      <c r="W697" s="1017"/>
      <c r="X697" s="1017"/>
      <c r="Y697" s="1017"/>
      <c r="Z697" s="1017"/>
      <c r="AA697" s="1017"/>
      <c r="AB697" s="1017"/>
      <c r="AC697" s="1017"/>
      <c r="AD697" s="1017"/>
      <c r="AE697" s="1017"/>
      <c r="AF697" s="1017"/>
    </row>
    <row r="698" spans="1:32" ht="16.5">
      <c r="A698" s="1022"/>
      <c r="B698" s="1731"/>
      <c r="C698" s="1317">
        <v>43802</v>
      </c>
      <c r="D698" s="1256">
        <v>44530</v>
      </c>
      <c r="E698" s="1525">
        <v>590622.51</v>
      </c>
      <c r="F698" s="1525">
        <v>590622.51</v>
      </c>
      <c r="G698" s="1165">
        <v>528441</v>
      </c>
      <c r="H698" s="1178">
        <f t="shared" si="34"/>
        <v>171743.32500000001</v>
      </c>
      <c r="I698" s="1519"/>
      <c r="J698" s="1548">
        <f>G698/F698</f>
        <v>0.89471869265531379</v>
      </c>
      <c r="K698" s="1506"/>
      <c r="L698" s="1145"/>
      <c r="M698" s="1036"/>
      <c r="N698" s="1017"/>
      <c r="O698" s="1017"/>
      <c r="P698" s="1017"/>
      <c r="Q698" s="1017"/>
      <c r="R698" s="1017"/>
      <c r="S698" s="1017"/>
      <c r="T698" s="1351"/>
      <c r="U698" s="1017"/>
      <c r="V698" s="1017"/>
      <c r="W698" s="1017"/>
      <c r="X698" s="1017"/>
      <c r="Y698" s="1017"/>
      <c r="Z698" s="1017"/>
      <c r="AA698" s="1017"/>
      <c r="AB698" s="1017"/>
      <c r="AC698" s="1017"/>
      <c r="AD698" s="1017"/>
      <c r="AE698" s="1017"/>
      <c r="AF698" s="1017"/>
    </row>
    <row r="699" spans="1:32" ht="16.5">
      <c r="A699" s="1022"/>
      <c r="B699" s="1731"/>
      <c r="C699" s="1317">
        <v>43803</v>
      </c>
      <c r="D699" s="1256">
        <v>44531</v>
      </c>
      <c r="E699" s="1525">
        <v>654014.6</v>
      </c>
      <c r="F699" s="1525">
        <v>654014.6</v>
      </c>
      <c r="G699" s="1165">
        <v>547388</v>
      </c>
      <c r="H699" s="1178">
        <f t="shared" si="34"/>
        <v>177901.1</v>
      </c>
      <c r="I699" s="1519"/>
      <c r="J699" s="1548">
        <f>G699/F699</f>
        <v>0.83696602491748662</v>
      </c>
      <c r="K699" s="1506"/>
      <c r="L699" s="1145"/>
      <c r="M699" s="1036"/>
      <c r="N699" s="1017"/>
      <c r="O699" s="1017"/>
      <c r="P699" s="1017"/>
      <c r="Q699" s="1017"/>
      <c r="R699" s="1017"/>
      <c r="S699" s="1017"/>
      <c r="T699" s="1351"/>
      <c r="U699" s="1017"/>
      <c r="V699" s="1017"/>
      <c r="W699" s="1017"/>
      <c r="X699" s="1017"/>
      <c r="Y699" s="1017"/>
      <c r="Z699" s="1017"/>
      <c r="AA699" s="1017"/>
      <c r="AB699" s="1017"/>
      <c r="AC699" s="1017"/>
      <c r="AD699" s="1017"/>
      <c r="AE699" s="1017"/>
      <c r="AF699" s="1017"/>
    </row>
    <row r="700" spans="1:32" ht="16.5">
      <c r="A700" s="1022"/>
      <c r="B700" s="1731"/>
      <c r="C700" s="1317">
        <v>43804</v>
      </c>
      <c r="D700" s="1256">
        <v>44532</v>
      </c>
      <c r="E700" s="1525">
        <v>740954.75</v>
      </c>
      <c r="F700" s="1525">
        <v>740954.75</v>
      </c>
      <c r="G700" s="1165">
        <v>629823</v>
      </c>
      <c r="H700" s="1178">
        <f t="shared" si="34"/>
        <v>204692.47500000001</v>
      </c>
      <c r="I700" s="1519"/>
      <c r="J700" s="1548">
        <f>G700/F700</f>
        <v>0.85001546990555088</v>
      </c>
      <c r="K700" s="1506"/>
      <c r="L700" s="1145"/>
      <c r="M700" s="1036"/>
      <c r="N700" s="1017"/>
      <c r="O700" s="1017"/>
      <c r="P700" s="1017"/>
      <c r="Q700" s="1017"/>
      <c r="R700" s="1017"/>
      <c r="S700" s="1017"/>
      <c r="T700" s="1351"/>
      <c r="U700" s="1017"/>
      <c r="V700" s="1017"/>
      <c r="W700" s="1017"/>
      <c r="X700" s="1017"/>
      <c r="Y700" s="1017"/>
      <c r="Z700" s="1017"/>
      <c r="AA700" s="1017"/>
      <c r="AB700" s="1017"/>
      <c r="AC700" s="1017"/>
      <c r="AD700" s="1017"/>
      <c r="AE700" s="1017"/>
      <c r="AF700" s="1017"/>
    </row>
    <row r="701" spans="1:32" ht="16.5">
      <c r="A701" s="1022"/>
      <c r="B701" s="1731"/>
      <c r="C701" s="1317">
        <v>43805</v>
      </c>
      <c r="D701" s="1256">
        <v>44533</v>
      </c>
      <c r="E701" s="1525">
        <v>928245.13</v>
      </c>
      <c r="F701" s="1525">
        <v>928245.13</v>
      </c>
      <c r="G701" s="1165">
        <v>764735</v>
      </c>
      <c r="H701" s="1178">
        <f t="shared" si="34"/>
        <v>248538.875</v>
      </c>
      <c r="I701" s="1519"/>
      <c r="J701" s="1548">
        <f>G701/F701</f>
        <v>0.82385026894781554</v>
      </c>
      <c r="K701" s="1506"/>
      <c r="L701" s="1145"/>
      <c r="M701" s="1036"/>
      <c r="N701" s="1017"/>
      <c r="O701" s="1017"/>
      <c r="P701" s="1017"/>
      <c r="Q701" s="1017"/>
      <c r="R701" s="1017"/>
      <c r="S701" s="1017"/>
      <c r="T701" s="1351"/>
      <c r="U701" s="1017"/>
      <c r="V701" s="1017"/>
      <c r="W701" s="1017"/>
      <c r="X701" s="1017"/>
      <c r="Y701" s="1017"/>
      <c r="Z701" s="1017"/>
      <c r="AA701" s="1017"/>
      <c r="AB701" s="1017"/>
      <c r="AC701" s="1017"/>
      <c r="AD701" s="1017"/>
      <c r="AE701" s="1017"/>
      <c r="AF701" s="1017"/>
    </row>
    <row r="702" spans="1:32" ht="16.5">
      <c r="A702" s="1022"/>
      <c r="B702" s="1732"/>
      <c r="C702" s="1320">
        <v>43806</v>
      </c>
      <c r="D702" s="1259">
        <v>44534</v>
      </c>
      <c r="E702" s="1527">
        <v>1449823.14</v>
      </c>
      <c r="F702" s="1527">
        <v>1449823.14</v>
      </c>
      <c r="G702" s="1174">
        <v>1238080</v>
      </c>
      <c r="H702" s="1181">
        <f t="shared" si="34"/>
        <v>402376</v>
      </c>
      <c r="I702" s="1522"/>
      <c r="J702" s="1548">
        <f>G702/F702</f>
        <v>0.85395243450176972</v>
      </c>
      <c r="K702" s="1506"/>
      <c r="L702" s="1145"/>
      <c r="M702" s="1036"/>
      <c r="N702" s="1017"/>
      <c r="O702" s="1017"/>
      <c r="P702" s="1017"/>
      <c r="Q702" s="1017"/>
      <c r="R702" s="1017"/>
      <c r="S702" s="1017"/>
      <c r="T702" s="1351"/>
      <c r="U702" s="1017"/>
      <c r="V702" s="1017"/>
      <c r="W702" s="1017"/>
      <c r="X702" s="1017"/>
      <c r="Y702" s="1017"/>
      <c r="Z702" s="1017"/>
      <c r="AA702" s="1017"/>
      <c r="AB702" s="1017"/>
      <c r="AC702" s="1017"/>
      <c r="AD702" s="1017"/>
      <c r="AE702" s="1017"/>
      <c r="AF702" s="1017"/>
    </row>
    <row r="703" spans="1:32" ht="16.5">
      <c r="A703" s="1022"/>
      <c r="B703" s="1733" t="s">
        <v>394</v>
      </c>
      <c r="C703" s="1318">
        <v>43807</v>
      </c>
      <c r="D703" s="1251">
        <v>44535</v>
      </c>
      <c r="E703" s="1528">
        <v>955806.51</v>
      </c>
      <c r="F703" s="1528">
        <v>955806.51</v>
      </c>
      <c r="G703" s="1158">
        <v>641485</v>
      </c>
      <c r="H703" s="1026">
        <f t="shared" si="34"/>
        <v>208482.625</v>
      </c>
      <c r="I703" s="1523"/>
      <c r="J703" s="1548">
        <f>G703/F703</f>
        <v>0.67114525093577782</v>
      </c>
      <c r="K703" s="1506"/>
      <c r="L703" s="1145"/>
      <c r="M703" s="1036"/>
      <c r="N703" s="1017"/>
      <c r="O703" s="1017"/>
      <c r="P703" s="1017"/>
      <c r="Q703" s="1017"/>
      <c r="R703" s="1017"/>
      <c r="S703" s="1017"/>
      <c r="T703" s="1351"/>
      <c r="U703" s="1017"/>
      <c r="V703" s="1017"/>
      <c r="W703" s="1017"/>
      <c r="X703" s="1017"/>
      <c r="Y703" s="1017"/>
      <c r="Z703" s="1017"/>
      <c r="AA703" s="1017"/>
      <c r="AB703" s="1017"/>
      <c r="AC703" s="1017"/>
      <c r="AD703" s="1017"/>
      <c r="AE703" s="1017"/>
      <c r="AF703" s="1017"/>
    </row>
    <row r="704" spans="1:32" ht="16.5">
      <c r="A704" s="1022"/>
      <c r="B704" s="1731"/>
      <c r="C704" s="1317">
        <v>43808</v>
      </c>
      <c r="D704" s="1256">
        <v>44536</v>
      </c>
      <c r="E704" s="1525">
        <v>621403.99</v>
      </c>
      <c r="F704" s="1525">
        <v>621403.99</v>
      </c>
      <c r="G704" s="1165">
        <v>592225</v>
      </c>
      <c r="H704" s="1178">
        <f t="shared" si="34"/>
        <v>192473.125</v>
      </c>
      <c r="I704" s="1519"/>
      <c r="J704" s="1548">
        <f>G704/F704</f>
        <v>0.95304344601971414</v>
      </c>
      <c r="K704" s="1506"/>
      <c r="L704" s="1145"/>
      <c r="M704" s="1036"/>
      <c r="N704" s="1017"/>
      <c r="O704" s="1017"/>
      <c r="P704" s="1017"/>
      <c r="Q704" s="1017"/>
      <c r="R704" s="1017"/>
      <c r="S704" s="1017"/>
      <c r="T704" s="1351"/>
      <c r="U704" s="1017"/>
      <c r="V704" s="1017"/>
      <c r="W704" s="1017"/>
      <c r="X704" s="1017"/>
      <c r="Y704" s="1017"/>
      <c r="Z704" s="1017"/>
      <c r="AA704" s="1017"/>
      <c r="AB704" s="1017"/>
      <c r="AC704" s="1017"/>
      <c r="AD704" s="1017"/>
      <c r="AE704" s="1017"/>
      <c r="AF704" s="1017"/>
    </row>
    <row r="705" spans="1:32" ht="16.5">
      <c r="A705" s="1022"/>
      <c r="B705" s="1731"/>
      <c r="C705" s="1317">
        <v>43809</v>
      </c>
      <c r="D705" s="1256">
        <v>44537</v>
      </c>
      <c r="E705" s="1525">
        <v>763236.61</v>
      </c>
      <c r="F705" s="1525">
        <v>763236.61</v>
      </c>
      <c r="G705" s="1165">
        <v>571318</v>
      </c>
      <c r="H705" s="1178">
        <f t="shared" si="34"/>
        <v>185678.35</v>
      </c>
      <c r="I705" s="1519"/>
      <c r="J705" s="1548">
        <f>G705/F705</f>
        <v>0.74854637803603263</v>
      </c>
      <c r="K705" s="1506"/>
      <c r="L705" s="1145"/>
      <c r="M705" s="1036"/>
      <c r="N705" s="1017"/>
      <c r="O705" s="1017"/>
      <c r="P705" s="1017"/>
      <c r="Q705" s="1017"/>
      <c r="R705" s="1017"/>
      <c r="S705" s="1017"/>
      <c r="T705" s="1351"/>
      <c r="U705" s="1017"/>
      <c r="V705" s="1017"/>
      <c r="W705" s="1017"/>
      <c r="X705" s="1017"/>
      <c r="Y705" s="1017"/>
      <c r="Z705" s="1017"/>
      <c r="AA705" s="1017"/>
      <c r="AB705" s="1017"/>
      <c r="AC705" s="1017"/>
      <c r="AD705" s="1017"/>
      <c r="AE705" s="1017"/>
      <c r="AF705" s="1017"/>
    </row>
    <row r="706" spans="1:32" ht="16.5">
      <c r="A706" s="1022"/>
      <c r="B706" s="1731"/>
      <c r="C706" s="1317">
        <v>43810</v>
      </c>
      <c r="D706" s="1256">
        <v>44538</v>
      </c>
      <c r="E706" s="1525">
        <v>825277.4</v>
      </c>
      <c r="F706" s="1525">
        <v>825277.4</v>
      </c>
      <c r="G706" s="1165">
        <v>634379</v>
      </c>
      <c r="H706" s="1178">
        <f t="shared" si="34"/>
        <v>206173.17500000002</v>
      </c>
      <c r="I706" s="1519"/>
      <c r="J706" s="1548">
        <f>G706/F706</f>
        <v>0.76868577765488311</v>
      </c>
      <c r="K706" s="1506"/>
      <c r="L706" s="1145"/>
      <c r="M706" s="1036"/>
      <c r="N706" s="1017"/>
      <c r="O706" s="1017"/>
      <c r="P706" s="1017"/>
      <c r="Q706" s="1017"/>
      <c r="R706" s="1017"/>
      <c r="S706" s="1017"/>
      <c r="T706" s="1351"/>
      <c r="U706" s="1017"/>
      <c r="V706" s="1017"/>
      <c r="W706" s="1017"/>
      <c r="X706" s="1017"/>
      <c r="Y706" s="1017"/>
      <c r="Z706" s="1017"/>
      <c r="AA706" s="1017"/>
      <c r="AB706" s="1017"/>
      <c r="AC706" s="1017"/>
      <c r="AD706" s="1017"/>
      <c r="AE706" s="1017"/>
      <c r="AF706" s="1017"/>
    </row>
    <row r="707" spans="1:32" ht="16.5">
      <c r="A707" s="1022"/>
      <c r="B707" s="1731"/>
      <c r="C707" s="1317">
        <v>43811</v>
      </c>
      <c r="D707" s="1256">
        <v>44539</v>
      </c>
      <c r="E707" s="1525">
        <v>952264.57</v>
      </c>
      <c r="F707" s="1525">
        <v>952264.57</v>
      </c>
      <c r="G707" s="1165">
        <v>683864</v>
      </c>
      <c r="H707" s="1178">
        <f t="shared" si="34"/>
        <v>222255.80000000002</v>
      </c>
      <c r="I707" s="1519"/>
      <c r="J707" s="1548">
        <f>G707/F707</f>
        <v>0.7181449583911329</v>
      </c>
      <c r="K707" s="1506"/>
      <c r="L707" s="1145"/>
      <c r="M707" s="1036"/>
      <c r="N707" s="1017"/>
      <c r="O707" s="1017"/>
      <c r="P707" s="1017"/>
      <c r="Q707" s="1017"/>
      <c r="R707" s="1017"/>
      <c r="S707" s="1017"/>
      <c r="T707" s="1351"/>
      <c r="U707" s="1017"/>
      <c r="V707" s="1017"/>
      <c r="W707" s="1017"/>
      <c r="X707" s="1017"/>
      <c r="Y707" s="1017"/>
      <c r="Z707" s="1017"/>
      <c r="AA707" s="1017"/>
      <c r="AB707" s="1017"/>
      <c r="AC707" s="1017"/>
      <c r="AD707" s="1017"/>
      <c r="AE707" s="1017"/>
      <c r="AF707" s="1017"/>
    </row>
    <row r="708" spans="1:32" ht="16.5">
      <c r="A708" s="1022"/>
      <c r="B708" s="1731"/>
      <c r="C708" s="1317">
        <v>43812</v>
      </c>
      <c r="D708" s="1256">
        <v>44540</v>
      </c>
      <c r="E708" s="1525">
        <v>1162645.31</v>
      </c>
      <c r="F708" s="1525">
        <v>1162645.31</v>
      </c>
      <c r="G708" s="1165">
        <v>847205</v>
      </c>
      <c r="H708" s="1178">
        <f t="shared" ref="H708:H771" si="41">(G708*0.5)*0.65</f>
        <v>275341.625</v>
      </c>
      <c r="I708" s="1519"/>
      <c r="J708" s="1548">
        <f>G708/F708</f>
        <v>0.7286874102644425</v>
      </c>
      <c r="K708" s="1506"/>
      <c r="L708" s="1145"/>
      <c r="M708" s="1036"/>
      <c r="N708" s="1017"/>
      <c r="O708" s="1017"/>
      <c r="P708" s="1017"/>
      <c r="Q708" s="1017"/>
      <c r="R708" s="1017"/>
      <c r="S708" s="1017"/>
      <c r="T708" s="1351"/>
      <c r="U708" s="1017"/>
      <c r="V708" s="1017"/>
      <c r="W708" s="1017"/>
      <c r="X708" s="1017"/>
      <c r="Y708" s="1017"/>
      <c r="Z708" s="1017"/>
      <c r="AA708" s="1017"/>
      <c r="AB708" s="1017"/>
      <c r="AC708" s="1017"/>
      <c r="AD708" s="1017"/>
      <c r="AE708" s="1017"/>
      <c r="AF708" s="1017"/>
    </row>
    <row r="709" spans="1:32" ht="16.5">
      <c r="A709" s="1022"/>
      <c r="B709" s="1732"/>
      <c r="C709" s="1320">
        <v>43813</v>
      </c>
      <c r="D709" s="1259">
        <v>44541</v>
      </c>
      <c r="E709" s="1527">
        <v>1601609.41</v>
      </c>
      <c r="F709" s="1527">
        <v>1601609.41</v>
      </c>
      <c r="G709" s="1174">
        <v>1283167</v>
      </c>
      <c r="H709" s="1181">
        <f t="shared" si="41"/>
        <v>417029.27500000002</v>
      </c>
      <c r="I709" s="1522"/>
      <c r="J709" s="1548">
        <f>G709/F709</f>
        <v>0.80117348960880552</v>
      </c>
      <c r="K709" s="1506"/>
      <c r="L709" s="1145"/>
      <c r="M709" s="1036"/>
      <c r="N709" s="1017"/>
      <c r="O709" s="1017"/>
      <c r="P709" s="1017"/>
      <c r="Q709" s="1017"/>
      <c r="R709" s="1017"/>
      <c r="S709" s="1017"/>
      <c r="T709" s="1351"/>
      <c r="U709" s="1017"/>
      <c r="V709" s="1017"/>
      <c r="W709" s="1017"/>
      <c r="X709" s="1017"/>
      <c r="Y709" s="1017"/>
      <c r="Z709" s="1017"/>
      <c r="AA709" s="1017"/>
      <c r="AB709" s="1017"/>
      <c r="AC709" s="1017"/>
      <c r="AD709" s="1017"/>
      <c r="AE709" s="1017"/>
      <c r="AF709" s="1017"/>
    </row>
    <row r="710" spans="1:32" ht="16.5">
      <c r="A710" s="1022"/>
      <c r="B710" s="1733" t="s">
        <v>396</v>
      </c>
      <c r="C710" s="1318">
        <v>43814</v>
      </c>
      <c r="D710" s="1251">
        <v>44542</v>
      </c>
      <c r="E710" s="1528">
        <v>1171256.48</v>
      </c>
      <c r="F710" s="1528">
        <v>1171256.48</v>
      </c>
      <c r="G710" s="1158">
        <v>806413</v>
      </c>
      <c r="H710" s="1026">
        <f t="shared" si="41"/>
        <v>262084.22500000001</v>
      </c>
      <c r="I710" s="1523"/>
      <c r="J710" s="1548">
        <f>G710/F710</f>
        <v>0.68850248751665388</v>
      </c>
      <c r="K710" s="1506"/>
      <c r="L710" s="1145"/>
      <c r="M710" s="1036"/>
      <c r="N710" s="1017"/>
      <c r="O710" s="1017"/>
      <c r="P710" s="1017"/>
      <c r="Q710" s="1017"/>
      <c r="R710" s="1017"/>
      <c r="S710" s="1017"/>
      <c r="T710" s="1351"/>
      <c r="U710" s="1017"/>
      <c r="V710" s="1017"/>
      <c r="W710" s="1017"/>
      <c r="X710" s="1017"/>
      <c r="Y710" s="1017"/>
      <c r="Z710" s="1017"/>
      <c r="AA710" s="1017"/>
      <c r="AB710" s="1017"/>
      <c r="AC710" s="1017"/>
      <c r="AD710" s="1017"/>
      <c r="AE710" s="1017"/>
      <c r="AF710" s="1017"/>
    </row>
    <row r="711" spans="1:32" ht="16.5">
      <c r="A711" s="1022"/>
      <c r="B711" s="1731"/>
      <c r="C711" s="1317">
        <v>43815</v>
      </c>
      <c r="D711" s="1256">
        <v>44543</v>
      </c>
      <c r="E711" s="1525">
        <v>1083472.43</v>
      </c>
      <c r="F711" s="1525">
        <v>1083472.43</v>
      </c>
      <c r="G711" s="1165">
        <v>802277</v>
      </c>
      <c r="H711" s="1178">
        <f t="shared" si="41"/>
        <v>260740.02500000002</v>
      </c>
      <c r="I711" s="1519"/>
      <c r="J711" s="1548">
        <f>G711/F711</f>
        <v>0.74046831076264674</v>
      </c>
      <c r="K711" s="1506"/>
      <c r="L711" s="1145"/>
      <c r="M711" s="1036"/>
      <c r="N711" s="1017"/>
      <c r="O711" s="1017"/>
      <c r="P711" s="1017"/>
      <c r="Q711" s="1017"/>
      <c r="R711" s="1017"/>
      <c r="S711" s="1017"/>
      <c r="T711" s="1351"/>
      <c r="U711" s="1017"/>
      <c r="V711" s="1017"/>
      <c r="W711" s="1017"/>
      <c r="X711" s="1017"/>
      <c r="Y711" s="1017"/>
      <c r="Z711" s="1017"/>
      <c r="AA711" s="1017"/>
      <c r="AB711" s="1017"/>
      <c r="AC711" s="1017"/>
      <c r="AD711" s="1017"/>
      <c r="AE711" s="1017"/>
      <c r="AF711" s="1017"/>
    </row>
    <row r="712" spans="1:32" ht="16.5">
      <c r="A712" s="1022"/>
      <c r="B712" s="1731"/>
      <c r="C712" s="1317">
        <v>43816</v>
      </c>
      <c r="D712" s="1256">
        <v>44544</v>
      </c>
      <c r="E712" s="1525">
        <v>1079902.94</v>
      </c>
      <c r="F712" s="1525">
        <v>1079902.94</v>
      </c>
      <c r="G712" s="1165">
        <v>791479</v>
      </c>
      <c r="H712" s="1178">
        <f t="shared" si="41"/>
        <v>257230.67500000002</v>
      </c>
      <c r="I712" s="1519"/>
      <c r="J712" s="1548">
        <f>G712/F712</f>
        <v>0.73291679342960214</v>
      </c>
      <c r="K712" s="1506"/>
      <c r="L712" s="1145"/>
      <c r="M712" s="1036"/>
      <c r="N712" s="1017"/>
      <c r="O712" s="1017"/>
      <c r="P712" s="1017"/>
      <c r="Q712" s="1017"/>
      <c r="R712" s="1017"/>
      <c r="S712" s="1017"/>
      <c r="T712" s="1351"/>
      <c r="U712" s="1017"/>
      <c r="V712" s="1017"/>
      <c r="W712" s="1017"/>
      <c r="X712" s="1017"/>
      <c r="Y712" s="1017"/>
      <c r="Z712" s="1017"/>
      <c r="AA712" s="1017"/>
      <c r="AB712" s="1017"/>
      <c r="AC712" s="1017"/>
      <c r="AD712" s="1017"/>
      <c r="AE712" s="1017"/>
      <c r="AF712" s="1017"/>
    </row>
    <row r="713" spans="1:32" ht="16.5">
      <c r="A713" s="1022"/>
      <c r="B713" s="1731"/>
      <c r="C713" s="1317">
        <v>43817</v>
      </c>
      <c r="D713" s="1256">
        <v>44545</v>
      </c>
      <c r="E713" s="1525">
        <v>1150427.47</v>
      </c>
      <c r="F713" s="1525">
        <v>1150427.47</v>
      </c>
      <c r="G713" s="1165">
        <v>925620</v>
      </c>
      <c r="H713" s="1178">
        <f t="shared" si="41"/>
        <v>300826.5</v>
      </c>
      <c r="I713" s="1519"/>
      <c r="J713" s="1548">
        <f>G713/F713</f>
        <v>0.80458788071185405</v>
      </c>
      <c r="K713" s="1506"/>
      <c r="L713" s="1145"/>
      <c r="M713" s="1036"/>
      <c r="N713" s="1017"/>
      <c r="O713" s="1017"/>
      <c r="P713" s="1017"/>
      <c r="Q713" s="1017"/>
      <c r="R713" s="1017"/>
      <c r="S713" s="1017"/>
      <c r="T713" s="1351"/>
      <c r="U713" s="1017"/>
      <c r="V713" s="1017"/>
      <c r="W713" s="1017"/>
      <c r="X713" s="1017"/>
      <c r="Y713" s="1017"/>
      <c r="Z713" s="1017"/>
      <c r="AA713" s="1017"/>
      <c r="AB713" s="1017"/>
      <c r="AC713" s="1017"/>
      <c r="AD713" s="1017"/>
      <c r="AE713" s="1017"/>
      <c r="AF713" s="1017"/>
    </row>
    <row r="714" spans="1:32" ht="16.5">
      <c r="A714" s="1022"/>
      <c r="B714" s="1731"/>
      <c r="C714" s="1317">
        <v>43818</v>
      </c>
      <c r="D714" s="1256">
        <v>44546</v>
      </c>
      <c r="E714" s="1525">
        <v>1151368.82</v>
      </c>
      <c r="F714" s="1525">
        <v>1151368.82</v>
      </c>
      <c r="G714" s="1165">
        <v>1011070</v>
      </c>
      <c r="H714" s="1178">
        <f t="shared" si="41"/>
        <v>328597.75</v>
      </c>
      <c r="I714" s="1519"/>
      <c r="J714" s="1548">
        <f>G714/F714</f>
        <v>0.87814606617538937</v>
      </c>
      <c r="K714" s="1506"/>
      <c r="L714" s="1145"/>
      <c r="M714" s="1036"/>
      <c r="N714" s="1017"/>
      <c r="O714" s="1017"/>
      <c r="P714" s="1017"/>
      <c r="Q714" s="1017"/>
      <c r="R714" s="1017"/>
      <c r="S714" s="1017"/>
      <c r="T714" s="1351"/>
      <c r="U714" s="1017"/>
      <c r="V714" s="1017"/>
      <c r="W714" s="1017"/>
      <c r="X714" s="1017"/>
      <c r="Y714" s="1017"/>
      <c r="Z714" s="1017"/>
      <c r="AA714" s="1017"/>
      <c r="AB714" s="1017"/>
      <c r="AC714" s="1017"/>
      <c r="AD714" s="1017"/>
      <c r="AE714" s="1017"/>
      <c r="AF714" s="1017"/>
    </row>
    <row r="715" spans="1:32" ht="16.5">
      <c r="A715" s="1022"/>
      <c r="B715" s="1731"/>
      <c r="C715" s="1317">
        <v>43819</v>
      </c>
      <c r="D715" s="1256">
        <v>44547</v>
      </c>
      <c r="E715" s="1525">
        <v>1363708.64</v>
      </c>
      <c r="F715" s="1525">
        <v>1363708.64</v>
      </c>
      <c r="G715" s="1165">
        <v>1083341</v>
      </c>
      <c r="H715" s="1178">
        <f t="shared" si="41"/>
        <v>352085.82500000001</v>
      </c>
      <c r="I715" s="1519"/>
      <c r="J715" s="1548">
        <f>G715/F715</f>
        <v>0.79440796092631638</v>
      </c>
      <c r="K715" s="1506"/>
      <c r="L715" s="1145"/>
      <c r="M715" s="1036"/>
      <c r="N715" s="1017"/>
      <c r="O715" s="1017"/>
      <c r="P715" s="1017"/>
      <c r="Q715" s="1017"/>
      <c r="R715" s="1017"/>
      <c r="S715" s="1017"/>
      <c r="T715" s="1351"/>
      <c r="U715" s="1017"/>
      <c r="V715" s="1017"/>
      <c r="W715" s="1017"/>
      <c r="X715" s="1017"/>
      <c r="Y715" s="1017"/>
      <c r="Z715" s="1017"/>
      <c r="AA715" s="1017"/>
      <c r="AB715" s="1017"/>
      <c r="AC715" s="1017"/>
      <c r="AD715" s="1017"/>
      <c r="AE715" s="1017"/>
      <c r="AF715" s="1017"/>
    </row>
    <row r="716" spans="1:32" ht="16.5">
      <c r="A716" s="1022"/>
      <c r="B716" s="1734"/>
      <c r="C716" s="1319">
        <v>43820</v>
      </c>
      <c r="D716" s="1266">
        <v>44548</v>
      </c>
      <c r="E716" s="1526">
        <v>1846192.59</v>
      </c>
      <c r="F716" s="1527">
        <v>1846192.59</v>
      </c>
      <c r="G716" s="1200">
        <v>1487780</v>
      </c>
      <c r="H716" s="1201">
        <f t="shared" si="41"/>
        <v>483528.5</v>
      </c>
      <c r="I716" s="1520"/>
      <c r="J716" s="1548">
        <f>G716/F716</f>
        <v>0.80586392127161555</v>
      </c>
      <c r="K716" s="1506"/>
      <c r="L716" s="1145"/>
      <c r="M716" s="1036"/>
      <c r="N716" s="1017"/>
      <c r="O716" s="1017"/>
      <c r="P716" s="1017"/>
      <c r="Q716" s="1017"/>
      <c r="R716" s="1017"/>
      <c r="S716" s="1017"/>
      <c r="T716" s="1351"/>
      <c r="U716" s="1017"/>
      <c r="V716" s="1017"/>
      <c r="W716" s="1017"/>
      <c r="X716" s="1017"/>
      <c r="Y716" s="1017"/>
      <c r="Z716" s="1017"/>
      <c r="AA716" s="1017"/>
      <c r="AB716" s="1017"/>
      <c r="AC716" s="1017"/>
      <c r="AD716" s="1017"/>
      <c r="AE716" s="1017"/>
      <c r="AF716" s="1017"/>
    </row>
    <row r="717" spans="1:32" ht="16.5">
      <c r="A717" s="1022"/>
      <c r="B717" s="1730" t="s">
        <v>397</v>
      </c>
      <c r="C717" s="1316">
        <v>43821</v>
      </c>
      <c r="D717" s="1271">
        <v>44549</v>
      </c>
      <c r="E717" s="1524">
        <v>1773053.37</v>
      </c>
      <c r="F717" s="1528">
        <v>1773053.37</v>
      </c>
      <c r="G717" s="1273">
        <v>1266972</v>
      </c>
      <c r="H717" s="1206">
        <f t="shared" si="41"/>
        <v>411765.9</v>
      </c>
      <c r="I717" s="1521"/>
      <c r="J717" s="1548">
        <f>G717/F717</f>
        <v>0.71457070691560731</v>
      </c>
      <c r="K717" s="1506"/>
      <c r="L717" s="1145"/>
      <c r="M717" s="1036"/>
      <c r="N717" s="1017"/>
      <c r="O717" s="1017"/>
      <c r="P717" s="1017"/>
      <c r="Q717" s="1017"/>
      <c r="R717" s="1017"/>
      <c r="S717" s="1017"/>
      <c r="T717" s="1351"/>
      <c r="U717" s="1017"/>
      <c r="V717" s="1017"/>
      <c r="W717" s="1017"/>
      <c r="X717" s="1017"/>
      <c r="Y717" s="1017"/>
      <c r="Z717" s="1017"/>
      <c r="AA717" s="1017"/>
      <c r="AB717" s="1017"/>
      <c r="AC717" s="1017"/>
      <c r="AD717" s="1017"/>
      <c r="AE717" s="1017"/>
      <c r="AF717" s="1017"/>
    </row>
    <row r="718" spans="1:32" ht="16.5">
      <c r="A718" s="1022"/>
      <c r="B718" s="1731"/>
      <c r="C718" s="1317">
        <v>43822</v>
      </c>
      <c r="D718" s="1256">
        <v>44550</v>
      </c>
      <c r="E718" s="1525">
        <v>2385732.12</v>
      </c>
      <c r="F718" s="1525">
        <v>2385732.12</v>
      </c>
      <c r="G718" s="1165">
        <v>1459050</v>
      </c>
      <c r="H718" s="1178">
        <f t="shared" si="41"/>
        <v>474191.25</v>
      </c>
      <c r="I718" s="1519"/>
      <c r="J718" s="1548">
        <f>G718/F718</f>
        <v>0.6115732725265064</v>
      </c>
      <c r="K718" s="1506"/>
      <c r="L718" s="1145"/>
      <c r="M718" s="1036"/>
      <c r="N718" s="1017"/>
      <c r="O718" s="1017"/>
      <c r="P718" s="1017"/>
      <c r="Q718" s="1017"/>
      <c r="R718" s="1017"/>
      <c r="S718" s="1017"/>
      <c r="T718" s="1351"/>
      <c r="U718" s="1017"/>
      <c r="V718" s="1017"/>
      <c r="W718" s="1017"/>
      <c r="X718" s="1017"/>
      <c r="Y718" s="1017"/>
      <c r="Z718" s="1017"/>
      <c r="AA718" s="1017"/>
      <c r="AB718" s="1017"/>
      <c r="AC718" s="1017"/>
      <c r="AD718" s="1017"/>
      <c r="AE718" s="1017"/>
      <c r="AF718" s="1017"/>
    </row>
    <row r="719" spans="1:32" ht="16.5">
      <c r="A719" s="1022"/>
      <c r="B719" s="1731"/>
      <c r="C719" s="1317">
        <v>43823</v>
      </c>
      <c r="D719" s="1256">
        <v>44551</v>
      </c>
      <c r="E719" s="1525">
        <v>1982415.78</v>
      </c>
      <c r="F719" s="1525">
        <v>1982415.78</v>
      </c>
      <c r="G719" s="1165">
        <v>1622803</v>
      </c>
      <c r="H719" s="1178">
        <f t="shared" si="41"/>
        <v>527410.97499999998</v>
      </c>
      <c r="I719" s="1519"/>
      <c r="J719" s="1548">
        <f>G719/F719</f>
        <v>0.81859870990332817</v>
      </c>
      <c r="K719" s="1506"/>
      <c r="L719" s="1145"/>
      <c r="M719" s="1154"/>
      <c r="N719" s="1018"/>
      <c r="O719" s="1017"/>
      <c r="P719" s="1017"/>
      <c r="Q719" s="1017"/>
      <c r="R719" s="1017"/>
      <c r="S719" s="1017"/>
      <c r="T719" s="1351"/>
      <c r="U719" s="1017"/>
      <c r="V719" s="1017"/>
      <c r="W719" s="1017"/>
      <c r="X719" s="1017"/>
      <c r="Y719" s="1017"/>
      <c r="Z719" s="1017"/>
      <c r="AA719" s="1017"/>
      <c r="AB719" s="1017"/>
      <c r="AC719" s="1017"/>
      <c r="AD719" s="1017"/>
      <c r="AE719" s="1017"/>
      <c r="AF719" s="1017"/>
    </row>
    <row r="720" spans="1:32" ht="16.5">
      <c r="A720" s="1022"/>
      <c r="B720" s="1731"/>
      <c r="C720" s="1317">
        <v>43824</v>
      </c>
      <c r="D720" s="1256">
        <v>44552</v>
      </c>
      <c r="E720" s="1525">
        <v>74903.100000000006</v>
      </c>
      <c r="F720" s="1525">
        <v>74903.100000000006</v>
      </c>
      <c r="G720" s="1165">
        <v>1728984</v>
      </c>
      <c r="H720" s="1178">
        <f t="shared" si="41"/>
        <v>561919.80000000005</v>
      </c>
      <c r="I720" s="1519"/>
      <c r="J720" s="1548">
        <f>G720/F720</f>
        <v>23.082943162566032</v>
      </c>
      <c r="K720" s="1506"/>
      <c r="L720" s="1145"/>
      <c r="M720" s="1145"/>
      <c r="N720" s="1145"/>
      <c r="O720" s="1036"/>
      <c r="P720" s="1017"/>
      <c r="Q720" s="1017"/>
      <c r="R720" s="1017"/>
      <c r="S720" s="1017"/>
      <c r="T720" s="1351"/>
      <c r="U720" s="1017"/>
      <c r="V720" s="1017"/>
      <c r="W720" s="1017"/>
      <c r="X720" s="1017"/>
      <c r="Y720" s="1017"/>
      <c r="Z720" s="1017"/>
      <c r="AA720" s="1017"/>
      <c r="AB720" s="1017"/>
      <c r="AC720" s="1017"/>
      <c r="AD720" s="1017"/>
      <c r="AE720" s="1017"/>
      <c r="AF720" s="1017"/>
    </row>
    <row r="721" spans="1:32" ht="16.5">
      <c r="A721" s="1022"/>
      <c r="B721" s="1731"/>
      <c r="C721" s="1317">
        <v>43825</v>
      </c>
      <c r="D721" s="1256">
        <v>44553</v>
      </c>
      <c r="E721" s="1525">
        <v>625426.97</v>
      </c>
      <c r="F721" s="1525">
        <v>625426.97</v>
      </c>
      <c r="G721" s="1165">
        <v>2302736</v>
      </c>
      <c r="H721" s="1178">
        <f t="shared" si="41"/>
        <v>748389.20000000007</v>
      </c>
      <c r="I721" s="1519"/>
      <c r="J721" s="1548">
        <f>G721/F721</f>
        <v>3.6818623283866381</v>
      </c>
      <c r="K721" s="1506"/>
      <c r="L721" s="1145"/>
      <c r="M721" s="1324"/>
      <c r="N721" s="1145"/>
      <c r="O721" s="1036"/>
      <c r="P721" s="1017"/>
      <c r="Q721" s="1017"/>
      <c r="R721" s="1017"/>
      <c r="S721" s="1017"/>
      <c r="T721" s="1351"/>
      <c r="U721" s="1017"/>
      <c r="V721" s="1017"/>
      <c r="W721" s="1017"/>
      <c r="X721" s="1017"/>
      <c r="Y721" s="1017"/>
      <c r="Z721" s="1017"/>
      <c r="AA721" s="1017"/>
      <c r="AB721" s="1017"/>
      <c r="AC721" s="1017"/>
      <c r="AD721" s="1017"/>
      <c r="AE721" s="1017"/>
      <c r="AF721" s="1017"/>
    </row>
    <row r="722" spans="1:32" ht="16.5">
      <c r="A722" s="1022"/>
      <c r="B722" s="1731"/>
      <c r="C722" s="1317">
        <v>43826</v>
      </c>
      <c r="D722" s="1256">
        <v>44554</v>
      </c>
      <c r="E722" s="1525">
        <v>610902.67000000004</v>
      </c>
      <c r="F722" s="1525">
        <v>610902.67000000004</v>
      </c>
      <c r="G722" s="1165">
        <v>2110363</v>
      </c>
      <c r="H722" s="1178">
        <f t="shared" si="41"/>
        <v>685867.97499999998</v>
      </c>
      <c r="I722" s="1519"/>
      <c r="J722" s="1548">
        <f>G722/F722</f>
        <v>3.4544995522772881</v>
      </c>
      <c r="K722" s="1506"/>
      <c r="L722" s="1145"/>
      <c r="M722" s="1324"/>
      <c r="N722" s="1145"/>
      <c r="O722" s="1036"/>
      <c r="P722" s="1017"/>
      <c r="Q722" s="1017"/>
      <c r="R722" s="1017"/>
      <c r="S722" s="1017"/>
      <c r="T722" s="1351"/>
      <c r="U722" s="1017"/>
      <c r="V722" s="1017"/>
      <c r="W722" s="1017"/>
      <c r="X722" s="1017"/>
      <c r="Y722" s="1017"/>
      <c r="Z722" s="1017"/>
      <c r="AA722" s="1017"/>
      <c r="AB722" s="1017"/>
      <c r="AC722" s="1017"/>
      <c r="AD722" s="1017"/>
      <c r="AE722" s="1017"/>
      <c r="AF722" s="1017"/>
    </row>
    <row r="723" spans="1:32" ht="16.5">
      <c r="A723" s="1022"/>
      <c r="B723" s="1734"/>
      <c r="C723" s="1319">
        <v>43827</v>
      </c>
      <c r="D723" s="1266">
        <v>44555</v>
      </c>
      <c r="E723" s="1526">
        <v>624103.06000000006</v>
      </c>
      <c r="F723" s="1526">
        <v>624103.06000000006</v>
      </c>
      <c r="G723" s="1200">
        <v>12563</v>
      </c>
      <c r="H723" s="1201">
        <f t="shared" si="41"/>
        <v>4082.9750000000004</v>
      </c>
      <c r="I723" s="1520"/>
      <c r="J723" s="1548">
        <f t="shared" ref="J723:J724" si="42">G723/F723</f>
        <v>2.0129688196048899E-2</v>
      </c>
      <c r="K723" s="1506"/>
      <c r="L723" s="1145"/>
      <c r="M723" s="1324"/>
      <c r="N723" s="1324"/>
      <c r="O723" s="1313"/>
      <c r="P723" s="1017"/>
      <c r="Q723" s="1017"/>
      <c r="R723" s="1017"/>
      <c r="S723" s="1017"/>
      <c r="T723" s="1351"/>
      <c r="U723" s="1017"/>
      <c r="V723" s="1017"/>
      <c r="W723" s="1017"/>
      <c r="X723" s="1017"/>
      <c r="Y723" s="1017"/>
      <c r="Z723" s="1017"/>
      <c r="AA723" s="1017"/>
      <c r="AB723" s="1017"/>
      <c r="AC723" s="1017"/>
      <c r="AD723" s="1017"/>
      <c r="AE723" s="1017"/>
      <c r="AF723" s="1017"/>
    </row>
    <row r="724" spans="1:32" ht="16.5">
      <c r="A724" s="1022" t="s">
        <v>443</v>
      </c>
      <c r="B724" s="1730" t="s">
        <v>398</v>
      </c>
      <c r="C724" s="1316">
        <v>43828</v>
      </c>
      <c r="D724" s="1271">
        <v>44556</v>
      </c>
      <c r="E724" s="1524">
        <v>408446.79</v>
      </c>
      <c r="F724" s="1524">
        <v>408446.79</v>
      </c>
      <c r="G724" s="1273">
        <v>420824</v>
      </c>
      <c r="H724" s="1206">
        <f t="shared" si="41"/>
        <v>136767.80000000002</v>
      </c>
      <c r="I724" s="1521"/>
      <c r="J724" s="1548">
        <f t="shared" si="42"/>
        <v>1.0303031148806434</v>
      </c>
      <c r="K724" s="1506"/>
      <c r="L724" s="1145"/>
      <c r="M724" s="1623"/>
      <c r="N724" s="1169"/>
      <c r="O724" s="1017"/>
      <c r="P724" s="1017"/>
      <c r="Q724" s="1017"/>
      <c r="R724" s="1017"/>
      <c r="S724" s="1017"/>
      <c r="T724" s="1351"/>
      <c r="U724" s="1017"/>
      <c r="V724" s="1017"/>
      <c r="W724" s="1017"/>
      <c r="X724" s="1017"/>
      <c r="Y724" s="1017"/>
      <c r="Z724" s="1017"/>
      <c r="AA724" s="1017"/>
      <c r="AB724" s="1017"/>
      <c r="AC724" s="1017"/>
      <c r="AD724" s="1017"/>
      <c r="AE724" s="1017"/>
      <c r="AF724" s="1017"/>
    </row>
    <row r="725" spans="1:32" ht="16.5">
      <c r="A725" s="1022" t="s">
        <v>444</v>
      </c>
      <c r="B725" s="1731"/>
      <c r="C725" s="1317">
        <v>43829</v>
      </c>
      <c r="D725" s="1256">
        <v>44557</v>
      </c>
      <c r="E725" s="1525">
        <v>600640.67000000004</v>
      </c>
      <c r="F725" s="1525">
        <v>600640.67000000004</v>
      </c>
      <c r="G725" s="1165">
        <v>490438</v>
      </c>
      <c r="H725" s="1178">
        <f t="shared" si="41"/>
        <v>159392.35</v>
      </c>
      <c r="I725" s="1519"/>
      <c r="J725" s="1548">
        <f>G725/F725</f>
        <v>0.81652479509920628</v>
      </c>
      <c r="K725" s="1506"/>
      <c r="L725" s="1145"/>
      <c r="M725" s="1623"/>
      <c r="N725" s="1036"/>
      <c r="O725" s="1017"/>
      <c r="P725" s="1017"/>
      <c r="Q725" s="1017"/>
      <c r="R725" s="1017"/>
      <c r="S725" s="1017"/>
      <c r="T725" s="1351"/>
      <c r="U725" s="1017"/>
      <c r="V725" s="1017"/>
      <c r="W725" s="1017"/>
      <c r="X725" s="1017"/>
      <c r="Y725" s="1017"/>
      <c r="Z725" s="1017"/>
      <c r="AA725" s="1017"/>
      <c r="AB725" s="1017"/>
      <c r="AC725" s="1017"/>
      <c r="AD725" s="1017"/>
      <c r="AE725" s="1017"/>
      <c r="AF725" s="1017"/>
    </row>
    <row r="726" spans="1:32" ht="16.5">
      <c r="A726" s="1022" t="s">
        <v>445</v>
      </c>
      <c r="B726" s="1731"/>
      <c r="C726" s="1317">
        <v>43830</v>
      </c>
      <c r="D726" s="1256">
        <v>44558</v>
      </c>
      <c r="E726" s="1525">
        <v>520203.6</v>
      </c>
      <c r="F726" s="1525">
        <v>520203.6</v>
      </c>
      <c r="G726" s="1165">
        <v>452320</v>
      </c>
      <c r="H726" s="1178">
        <f t="shared" si="41"/>
        <v>147004</v>
      </c>
      <c r="I726" s="1519"/>
      <c r="J726" s="1548">
        <f>G726/F726</f>
        <v>0.86950570891858503</v>
      </c>
      <c r="K726" s="1506"/>
      <c r="L726" s="1145"/>
      <c r="M726" s="1623"/>
      <c r="N726" s="1036"/>
      <c r="O726" s="1017"/>
      <c r="P726" s="1017"/>
      <c r="Q726" s="1017"/>
      <c r="R726" s="1017"/>
      <c r="S726" s="1017"/>
      <c r="T726" s="1351"/>
      <c r="U726" s="1017"/>
      <c r="V726" s="1017"/>
      <c r="W726" s="1017"/>
      <c r="X726" s="1017"/>
      <c r="Y726" s="1017"/>
      <c r="Z726" s="1017"/>
      <c r="AA726" s="1017"/>
      <c r="AB726" s="1017"/>
      <c r="AC726" s="1017"/>
      <c r="AD726" s="1017"/>
      <c r="AE726" s="1017"/>
      <c r="AF726" s="1017"/>
    </row>
    <row r="727" spans="1:32" ht="16.5">
      <c r="A727" s="1022" t="s">
        <v>446</v>
      </c>
      <c r="B727" s="1731"/>
      <c r="C727" s="1317">
        <v>43831</v>
      </c>
      <c r="D727" s="1256">
        <v>44559</v>
      </c>
      <c r="E727" s="1525">
        <v>33156.75</v>
      </c>
      <c r="F727" s="1525">
        <v>33156.75</v>
      </c>
      <c r="G727" s="1165">
        <v>503006</v>
      </c>
      <c r="H727" s="1178">
        <f t="shared" si="41"/>
        <v>163476.95000000001</v>
      </c>
      <c r="I727" s="1519"/>
      <c r="J727" s="1548">
        <f t="shared" ref="J727:J730" si="43">G727/F727</f>
        <v>15.170545967261567</v>
      </c>
      <c r="K727" s="1506"/>
      <c r="L727" s="1145"/>
      <c r="M727" s="1623"/>
      <c r="N727" s="1036"/>
      <c r="O727" s="1017"/>
      <c r="P727" s="1017"/>
      <c r="Q727" s="1017"/>
      <c r="R727" s="1017"/>
      <c r="S727" s="1017"/>
      <c r="T727" s="1351"/>
      <c r="U727" s="1017"/>
      <c r="V727" s="1017"/>
      <c r="W727" s="1017"/>
      <c r="X727" s="1017"/>
      <c r="Y727" s="1017"/>
      <c r="Z727" s="1017"/>
      <c r="AA727" s="1017"/>
      <c r="AB727" s="1017"/>
      <c r="AC727" s="1017"/>
      <c r="AD727" s="1017"/>
      <c r="AE727" s="1017"/>
      <c r="AF727" s="1017"/>
    </row>
    <row r="728" spans="1:32" ht="16.5">
      <c r="A728" s="1022" t="s">
        <v>447</v>
      </c>
      <c r="B728" s="1731"/>
      <c r="C728" s="1317">
        <v>43832</v>
      </c>
      <c r="D728" s="1256">
        <v>44560</v>
      </c>
      <c r="E728" s="1525">
        <v>388581.79</v>
      </c>
      <c r="F728" s="1525">
        <v>388581.79</v>
      </c>
      <c r="G728" s="1165">
        <v>619956</v>
      </c>
      <c r="H728" s="1178">
        <f t="shared" si="41"/>
        <v>201485.7</v>
      </c>
      <c r="I728" s="1519"/>
      <c r="J728" s="1548">
        <f t="shared" si="43"/>
        <v>1.5954324570896645</v>
      </c>
      <c r="K728" s="1506"/>
      <c r="L728" s="1145"/>
      <c r="M728" s="1623"/>
      <c r="N728" s="1036"/>
      <c r="O728" s="1017"/>
      <c r="P728" s="1017"/>
      <c r="Q728" s="1017"/>
      <c r="R728" s="1017"/>
      <c r="S728" s="1017"/>
      <c r="T728" s="1351"/>
      <c r="U728" s="1017"/>
      <c r="V728" s="1017"/>
      <c r="W728" s="1017"/>
      <c r="X728" s="1017"/>
      <c r="Y728" s="1017"/>
      <c r="Z728" s="1017"/>
      <c r="AA728" s="1017"/>
      <c r="AB728" s="1017"/>
      <c r="AC728" s="1017"/>
      <c r="AD728" s="1017"/>
      <c r="AE728" s="1017"/>
      <c r="AF728" s="1017"/>
    </row>
    <row r="729" spans="1:32" ht="16.5">
      <c r="A729" s="1022" t="s">
        <v>448</v>
      </c>
      <c r="B729" s="1731"/>
      <c r="C729" s="1317">
        <v>43833</v>
      </c>
      <c r="D729" s="1256">
        <v>44561</v>
      </c>
      <c r="E729" s="1525">
        <v>419887.78</v>
      </c>
      <c r="F729" s="1525">
        <v>419887.78</v>
      </c>
      <c r="G729" s="1165">
        <v>693284</v>
      </c>
      <c r="H729" s="1178">
        <f t="shared" si="41"/>
        <v>225317.30000000002</v>
      </c>
      <c r="I729" s="1519"/>
      <c r="J729" s="1548">
        <f t="shared" si="43"/>
        <v>1.6511173533080672</v>
      </c>
      <c r="K729" s="1506"/>
      <c r="L729" s="1145"/>
      <c r="M729" s="1623"/>
      <c r="N729" s="1036"/>
      <c r="O729" s="1017"/>
      <c r="P729" s="1017"/>
      <c r="Q729" s="1017"/>
      <c r="R729" s="1017"/>
      <c r="S729" s="1017"/>
      <c r="T729" s="1351"/>
      <c r="U729" s="1017"/>
      <c r="V729" s="1017"/>
      <c r="W729" s="1017"/>
      <c r="X729" s="1017"/>
      <c r="Y729" s="1017"/>
      <c r="Z729" s="1017"/>
      <c r="AA729" s="1017"/>
      <c r="AB729" s="1017"/>
      <c r="AC729" s="1017"/>
      <c r="AD729" s="1017"/>
      <c r="AE729" s="1017"/>
      <c r="AF729" s="1017"/>
    </row>
    <row r="730" spans="1:32" ht="16.5">
      <c r="A730" s="1022" t="s">
        <v>449</v>
      </c>
      <c r="B730" s="1732"/>
      <c r="C730" s="1320">
        <v>43834</v>
      </c>
      <c r="D730" s="1259">
        <v>44562</v>
      </c>
      <c r="E730" s="1527">
        <v>565003.23</v>
      </c>
      <c r="F730" s="1527">
        <v>565003.23</v>
      </c>
      <c r="G730" s="1174">
        <v>0</v>
      </c>
      <c r="H730" s="1181">
        <f t="shared" si="41"/>
        <v>0</v>
      </c>
      <c r="I730" s="1522"/>
      <c r="J730" s="1548">
        <f t="shared" si="43"/>
        <v>0</v>
      </c>
      <c r="K730" s="1506"/>
      <c r="L730" s="1145"/>
      <c r="M730" s="1623"/>
      <c r="N730" s="1036"/>
      <c r="O730" s="1017"/>
      <c r="P730" s="1017"/>
      <c r="Q730" s="1017"/>
      <c r="R730" s="1017"/>
      <c r="S730" s="1017"/>
      <c r="T730" s="1351"/>
      <c r="U730" s="1017"/>
      <c r="V730" s="1017"/>
      <c r="W730" s="1017"/>
      <c r="X730" s="1017"/>
      <c r="Y730" s="1017"/>
      <c r="Z730" s="1017"/>
      <c r="AA730" s="1017"/>
      <c r="AB730" s="1017"/>
      <c r="AC730" s="1017"/>
      <c r="AD730" s="1017"/>
      <c r="AE730" s="1017"/>
      <c r="AF730" s="1017"/>
    </row>
    <row r="731" spans="1:32" ht="18.75">
      <c r="A731" s="1022"/>
      <c r="B731" s="1619"/>
      <c r="C731" s="1620"/>
      <c r="D731" s="1620"/>
      <c r="E731" s="1620"/>
      <c r="F731" s="1622">
        <f>SUM(F696:F730)</f>
        <v>32402840.530000009</v>
      </c>
      <c r="G731" s="1622">
        <f>SUM(G696:G730)</f>
        <v>30500317</v>
      </c>
      <c r="H731" s="1620"/>
      <c r="I731" s="1620"/>
      <c r="J731" s="1621">
        <f>G731/F731</f>
        <v>0.94128528552184898</v>
      </c>
      <c r="K731" s="1169"/>
      <c r="L731" s="1286"/>
      <c r="M731" s="1286"/>
      <c r="N731" s="1017"/>
      <c r="O731" s="1017"/>
      <c r="P731" s="1017"/>
      <c r="Q731" s="1017"/>
      <c r="R731" s="1017"/>
      <c r="S731" s="1017"/>
      <c r="T731" s="1351"/>
      <c r="U731" s="1017"/>
      <c r="V731" s="1017"/>
      <c r="W731" s="1017"/>
      <c r="X731" s="1017"/>
      <c r="Y731" s="1017"/>
      <c r="Z731" s="1017"/>
      <c r="AA731" s="1017"/>
      <c r="AB731" s="1017"/>
      <c r="AC731" s="1017"/>
      <c r="AD731" s="1017"/>
      <c r="AE731" s="1017"/>
      <c r="AF731" s="1017"/>
    </row>
    <row r="732" spans="1:32">
      <c r="A732" s="1017"/>
      <c r="B732" s="1286"/>
      <c r="C732" s="1286"/>
      <c r="D732" s="1286"/>
      <c r="E732" s="1286"/>
      <c r="F732" s="1286"/>
      <c r="G732" s="1286"/>
      <c r="H732" s="1286"/>
      <c r="I732" s="1286"/>
      <c r="J732" s="1286"/>
      <c r="K732" s="1017"/>
      <c r="L732" s="1017"/>
      <c r="M732" s="1017"/>
      <c r="N732" s="1017"/>
      <c r="O732" s="1017"/>
      <c r="P732" s="1017"/>
      <c r="Q732" s="1017"/>
      <c r="R732" s="1017"/>
      <c r="S732" s="1017"/>
      <c r="T732" s="1351"/>
      <c r="U732" s="1017"/>
      <c r="V732" s="1017"/>
      <c r="W732" s="1017"/>
      <c r="X732" s="1017"/>
      <c r="Y732" s="1017"/>
      <c r="Z732" s="1017"/>
      <c r="AA732" s="1017"/>
      <c r="AB732" s="1017"/>
      <c r="AC732" s="1017"/>
      <c r="AD732" s="1017"/>
      <c r="AE732" s="1017"/>
      <c r="AF732" s="1017"/>
    </row>
    <row r="733" spans="1:32">
      <c r="A733" s="1017"/>
      <c r="B733" s="1017"/>
      <c r="C733" s="1017"/>
      <c r="D733" s="1017"/>
      <c r="E733" s="1017"/>
      <c r="F733" s="1017"/>
      <c r="G733" s="1017"/>
      <c r="H733" s="1017"/>
      <c r="I733" s="1017"/>
      <c r="J733" s="1017"/>
      <c r="K733" s="1017"/>
      <c r="L733" s="1017"/>
      <c r="M733" s="1017"/>
      <c r="N733" s="1017"/>
      <c r="O733" s="1017"/>
      <c r="P733" s="1017"/>
      <c r="Q733" s="1017"/>
      <c r="R733" s="1017"/>
      <c r="S733" s="1017"/>
      <c r="T733" s="1351"/>
      <c r="U733" s="1017"/>
      <c r="V733" s="1017"/>
      <c r="W733" s="1017"/>
      <c r="X733" s="1017"/>
      <c r="Y733" s="1017"/>
      <c r="Z733" s="1017"/>
      <c r="AA733" s="1017"/>
      <c r="AB733" s="1017"/>
      <c r="AC733" s="1017"/>
      <c r="AD733" s="1017"/>
      <c r="AE733" s="1017"/>
      <c r="AF733" s="1017"/>
    </row>
    <row r="734" spans="1:32">
      <c r="A734" s="1017"/>
      <c r="B734" s="1017"/>
      <c r="C734" s="1017"/>
      <c r="D734" s="1017"/>
      <c r="E734" s="1017"/>
      <c r="F734" s="1017"/>
      <c r="G734" s="1017"/>
      <c r="H734" s="1017"/>
      <c r="I734" s="1017"/>
      <c r="J734" s="1017"/>
      <c r="K734" s="1017"/>
      <c r="L734" s="1017"/>
      <c r="M734" s="1017"/>
      <c r="N734" s="1017"/>
      <c r="O734" s="1017"/>
      <c r="P734" s="1017"/>
      <c r="Q734" s="1017"/>
      <c r="R734" s="1017"/>
      <c r="S734" s="1017"/>
      <c r="T734" s="1351"/>
      <c r="U734" s="1017"/>
      <c r="V734" s="1017"/>
      <c r="W734" s="1017"/>
      <c r="X734" s="1017"/>
      <c r="Y734" s="1017"/>
      <c r="Z734" s="1017"/>
      <c r="AA734" s="1017"/>
      <c r="AB734" s="1017"/>
      <c r="AC734" s="1017"/>
      <c r="AD734" s="1017"/>
      <c r="AE734" s="1017"/>
      <c r="AF734" s="1017"/>
    </row>
    <row r="735" spans="1:32">
      <c r="A735" s="1017"/>
      <c r="B735" s="1017"/>
      <c r="C735" s="1017"/>
      <c r="D735" s="1017"/>
      <c r="E735" s="1017"/>
      <c r="F735" s="1017"/>
      <c r="G735" s="1017"/>
      <c r="H735" s="1017"/>
      <c r="I735" s="1017"/>
      <c r="J735" s="1017"/>
      <c r="K735" s="1017"/>
      <c r="L735" s="1017"/>
      <c r="M735" s="1017"/>
      <c r="N735" s="1017"/>
      <c r="O735" s="1017"/>
      <c r="P735" s="1017"/>
      <c r="Q735" s="1017"/>
      <c r="R735" s="1017"/>
      <c r="S735" s="1017"/>
      <c r="T735" s="1351"/>
      <c r="U735" s="1017"/>
      <c r="V735" s="1017"/>
      <c r="W735" s="1017"/>
      <c r="X735" s="1017"/>
      <c r="Y735" s="1017"/>
      <c r="Z735" s="1017"/>
      <c r="AA735" s="1017"/>
      <c r="AB735" s="1017"/>
      <c r="AC735" s="1017"/>
      <c r="AD735" s="1017"/>
      <c r="AE735" s="1017"/>
      <c r="AF735" s="1017"/>
    </row>
    <row r="736" spans="1:32">
      <c r="A736" s="1017"/>
      <c r="B736" s="1017"/>
      <c r="C736" s="1017"/>
      <c r="D736" s="1017"/>
      <c r="E736" s="1017"/>
      <c r="F736" s="1017"/>
      <c r="G736" s="1017"/>
      <c r="H736" s="1017"/>
      <c r="I736" s="1017"/>
      <c r="J736" s="1017"/>
      <c r="K736" s="1017"/>
      <c r="L736" s="1017"/>
      <c r="M736" s="1017"/>
      <c r="N736" s="1017"/>
      <c r="O736" s="1017"/>
      <c r="P736" s="1017"/>
      <c r="Q736" s="1017"/>
      <c r="R736" s="1017"/>
      <c r="S736" s="1017"/>
      <c r="T736" s="1351"/>
      <c r="U736" s="1017"/>
      <c r="V736" s="1017"/>
      <c r="W736" s="1017"/>
      <c r="X736" s="1017"/>
      <c r="Y736" s="1017"/>
      <c r="Z736" s="1017"/>
      <c r="AA736" s="1017"/>
      <c r="AB736" s="1017"/>
      <c r="AC736" s="1017"/>
      <c r="AD736" s="1017"/>
      <c r="AE736" s="1017"/>
      <c r="AF736" s="1017"/>
    </row>
    <row r="737" spans="1:32">
      <c r="A737" s="1017"/>
      <c r="B737" s="1017"/>
      <c r="C737" s="1017"/>
      <c r="D737" s="1017"/>
      <c r="E737" s="1017"/>
      <c r="F737" s="1017"/>
      <c r="G737" s="1017"/>
      <c r="H737" s="1017"/>
      <c r="I737" s="1017"/>
      <c r="J737" s="1017"/>
      <c r="K737" s="1017"/>
      <c r="L737" s="1017"/>
      <c r="M737" s="1017"/>
      <c r="N737" s="1017"/>
      <c r="O737" s="1017"/>
      <c r="P737" s="1017"/>
      <c r="Q737" s="1017"/>
      <c r="R737" s="1017"/>
      <c r="S737" s="1017"/>
      <c r="T737" s="1351"/>
      <c r="U737" s="1017"/>
      <c r="V737" s="1017"/>
      <c r="W737" s="1017"/>
      <c r="X737" s="1017"/>
      <c r="Y737" s="1017"/>
      <c r="Z737" s="1017"/>
      <c r="AA737" s="1017"/>
      <c r="AB737" s="1017"/>
      <c r="AC737" s="1017"/>
      <c r="AD737" s="1017"/>
      <c r="AE737" s="1017"/>
      <c r="AF737" s="1017"/>
    </row>
    <row r="738" spans="1:32">
      <c r="A738" s="1017"/>
      <c r="B738" s="1017"/>
      <c r="C738" s="1017"/>
      <c r="D738" s="1017"/>
      <c r="E738" s="1017"/>
      <c r="F738" s="1017"/>
      <c r="G738" s="1017"/>
      <c r="H738" s="1017"/>
      <c r="I738" s="1017"/>
      <c r="J738" s="1017"/>
      <c r="K738" s="1017"/>
      <c r="L738" s="1017"/>
      <c r="M738" s="1017"/>
      <c r="N738" s="1017"/>
      <c r="O738" s="1017"/>
      <c r="P738" s="1017"/>
      <c r="Q738" s="1017"/>
      <c r="R738" s="1017"/>
      <c r="S738" s="1017"/>
      <c r="T738" s="1351"/>
      <c r="U738" s="1017"/>
      <c r="V738" s="1017"/>
      <c r="W738" s="1017"/>
      <c r="X738" s="1017"/>
      <c r="Y738" s="1017"/>
      <c r="Z738" s="1017"/>
      <c r="AA738" s="1017"/>
      <c r="AB738" s="1017"/>
      <c r="AC738" s="1017"/>
      <c r="AD738" s="1017"/>
      <c r="AE738" s="1017"/>
      <c r="AF738" s="1017"/>
    </row>
    <row r="739" spans="1:32">
      <c r="A739" s="1017"/>
      <c r="B739" s="1017"/>
      <c r="C739" s="1017"/>
      <c r="D739" s="1017"/>
      <c r="E739" s="1017"/>
      <c r="F739" s="1017"/>
      <c r="G739" s="1017"/>
      <c r="H739" s="1017"/>
      <c r="I739" s="1017"/>
      <c r="J739" s="1017"/>
      <c r="K739" s="1017"/>
      <c r="L739" s="1017"/>
      <c r="M739" s="1017"/>
      <c r="N739" s="1017"/>
      <c r="O739" s="1017"/>
      <c r="P739" s="1017"/>
      <c r="Q739" s="1017"/>
      <c r="R739" s="1017"/>
      <c r="S739" s="1017"/>
      <c r="T739" s="1351"/>
      <c r="U739" s="1017"/>
      <c r="V739" s="1017"/>
      <c r="W739" s="1017"/>
      <c r="X739" s="1017"/>
      <c r="Y739" s="1017"/>
      <c r="Z739" s="1017"/>
      <c r="AA739" s="1017"/>
      <c r="AB739" s="1017"/>
      <c r="AC739" s="1017"/>
      <c r="AD739" s="1017"/>
      <c r="AE739" s="1017"/>
      <c r="AF739" s="1017"/>
    </row>
    <row r="740" spans="1:32">
      <c r="A740" s="1017"/>
      <c r="B740" s="1017"/>
      <c r="C740" s="1017"/>
      <c r="D740" s="1017"/>
      <c r="E740" s="1017"/>
      <c r="F740" s="1017"/>
      <c r="G740" s="1017"/>
      <c r="H740" s="1017"/>
      <c r="I740" s="1017"/>
      <c r="J740" s="1017"/>
      <c r="K740" s="1017"/>
      <c r="L740" s="1017"/>
      <c r="M740" s="1017"/>
      <c r="N740" s="1017"/>
      <c r="O740" s="1017"/>
      <c r="P740" s="1017"/>
      <c r="Q740" s="1017"/>
      <c r="R740" s="1017"/>
      <c r="S740" s="1017"/>
      <c r="T740" s="1351"/>
      <c r="U740" s="1017"/>
      <c r="V740" s="1017"/>
      <c r="W740" s="1017"/>
      <c r="X740" s="1017"/>
      <c r="Y740" s="1017"/>
      <c r="Z740" s="1017"/>
      <c r="AA740" s="1017"/>
      <c r="AB740" s="1017"/>
      <c r="AC740" s="1017"/>
      <c r="AD740" s="1017"/>
      <c r="AE740" s="1017"/>
      <c r="AF740" s="1017"/>
    </row>
    <row r="741" spans="1:32">
      <c r="A741" s="1017"/>
      <c r="B741" s="1017"/>
      <c r="C741" s="1017"/>
      <c r="D741" s="1017"/>
      <c r="E741" s="1017"/>
      <c r="F741" s="1017"/>
      <c r="G741" s="1017"/>
      <c r="H741" s="1017"/>
      <c r="I741" s="1017"/>
      <c r="J741" s="1017"/>
      <c r="K741" s="1017"/>
      <c r="L741" s="1017"/>
      <c r="M741" s="1017"/>
      <c r="N741" s="1017"/>
      <c r="O741" s="1017"/>
      <c r="P741" s="1017"/>
      <c r="Q741" s="1017"/>
      <c r="R741" s="1017"/>
      <c r="S741" s="1017"/>
      <c r="T741" s="1351"/>
      <c r="U741" s="1017"/>
      <c r="V741" s="1017"/>
      <c r="W741" s="1017"/>
      <c r="X741" s="1017"/>
      <c r="Y741" s="1017"/>
      <c r="Z741" s="1017"/>
      <c r="AA741" s="1017"/>
      <c r="AB741" s="1017"/>
      <c r="AC741" s="1017"/>
      <c r="AD741" s="1017"/>
      <c r="AE741" s="1017"/>
      <c r="AF741" s="1017"/>
    </row>
    <row r="742" spans="1:32">
      <c r="A742" s="1017"/>
      <c r="B742" s="1017"/>
      <c r="C742" s="1017"/>
      <c r="D742" s="1017"/>
      <c r="E742" s="1017"/>
      <c r="F742" s="1017"/>
      <c r="G742" s="1017"/>
      <c r="H742" s="1017"/>
      <c r="I742" s="1017"/>
      <c r="J742" s="1017"/>
      <c r="K742" s="1017"/>
      <c r="L742" s="1017"/>
      <c r="M742" s="1017"/>
      <c r="N742" s="1017"/>
      <c r="O742" s="1017"/>
      <c r="P742" s="1017"/>
      <c r="Q742" s="1017"/>
      <c r="R742" s="1017"/>
      <c r="S742" s="1017"/>
      <c r="T742" s="1351"/>
      <c r="U742" s="1017"/>
      <c r="V742" s="1017"/>
      <c r="W742" s="1017"/>
      <c r="X742" s="1017"/>
      <c r="Y742" s="1017"/>
      <c r="Z742" s="1017"/>
      <c r="AA742" s="1017"/>
      <c r="AB742" s="1017"/>
      <c r="AC742" s="1017"/>
      <c r="AD742" s="1017"/>
      <c r="AE742" s="1017"/>
      <c r="AF742" s="1017"/>
    </row>
    <row r="743" spans="1:32">
      <c r="A743" s="1017"/>
      <c r="B743" s="1017"/>
      <c r="C743" s="1017"/>
      <c r="D743" s="1017"/>
      <c r="E743" s="1017"/>
      <c r="F743" s="1017"/>
      <c r="G743" s="1017"/>
      <c r="H743" s="1017"/>
      <c r="I743" s="1017"/>
      <c r="J743" s="1017"/>
      <c r="K743" s="1017"/>
      <c r="L743" s="1017"/>
      <c r="M743" s="1017"/>
      <c r="N743" s="1017"/>
      <c r="O743" s="1017"/>
      <c r="P743" s="1017"/>
      <c r="Q743" s="1017"/>
      <c r="R743" s="1017"/>
      <c r="S743" s="1017"/>
      <c r="T743" s="1351"/>
      <c r="U743" s="1017"/>
      <c r="V743" s="1017"/>
      <c r="W743" s="1017"/>
      <c r="X743" s="1017"/>
      <c r="Y743" s="1017"/>
      <c r="Z743" s="1017"/>
      <c r="AA743" s="1017"/>
      <c r="AB743" s="1017"/>
      <c r="AC743" s="1017"/>
      <c r="AD743" s="1017"/>
      <c r="AE743" s="1017"/>
      <c r="AF743" s="1017"/>
    </row>
    <row r="744" spans="1:32">
      <c r="A744" s="1017"/>
      <c r="B744" s="1017"/>
      <c r="C744" s="1017"/>
      <c r="D744" s="1017"/>
      <c r="E744" s="1017"/>
      <c r="F744" s="1017"/>
      <c r="G744" s="1017"/>
      <c r="H744" s="1017"/>
      <c r="I744" s="1017"/>
      <c r="J744" s="1017"/>
      <c r="K744" s="1017"/>
      <c r="L744" s="1017"/>
      <c r="M744" s="1017"/>
      <c r="N744" s="1017"/>
      <c r="O744" s="1017"/>
      <c r="P744" s="1017"/>
      <c r="Q744" s="1017"/>
      <c r="R744" s="1017"/>
      <c r="S744" s="1017"/>
      <c r="T744" s="1351"/>
      <c r="U744" s="1017"/>
      <c r="V744" s="1017"/>
      <c r="W744" s="1017"/>
      <c r="X744" s="1017"/>
      <c r="Y744" s="1017"/>
      <c r="Z744" s="1017"/>
      <c r="AA744" s="1017"/>
      <c r="AB744" s="1017"/>
      <c r="AC744" s="1017"/>
      <c r="AD744" s="1017"/>
      <c r="AE744" s="1017"/>
      <c r="AF744" s="1017"/>
    </row>
    <row r="745" spans="1:32">
      <c r="A745" s="1017"/>
      <c r="B745" s="1017"/>
      <c r="C745" s="1017"/>
      <c r="D745" s="1017"/>
      <c r="E745" s="1017"/>
      <c r="F745" s="1017"/>
      <c r="G745" s="1017"/>
      <c r="H745" s="1017"/>
      <c r="I745" s="1017"/>
      <c r="J745" s="1017"/>
      <c r="K745" s="1017"/>
      <c r="L745" s="1017"/>
      <c r="M745" s="1017"/>
      <c r="N745" s="1017"/>
      <c r="O745" s="1017"/>
      <c r="P745" s="1017"/>
      <c r="Q745" s="1017"/>
      <c r="R745" s="1017"/>
      <c r="S745" s="1017"/>
      <c r="T745" s="1351"/>
      <c r="U745" s="1017"/>
      <c r="V745" s="1017"/>
      <c r="W745" s="1017"/>
      <c r="X745" s="1017"/>
      <c r="Y745" s="1017"/>
      <c r="Z745" s="1017"/>
      <c r="AA745" s="1017"/>
      <c r="AB745" s="1017"/>
      <c r="AC745" s="1017"/>
      <c r="AD745" s="1017"/>
      <c r="AE745" s="1017"/>
      <c r="AF745" s="1017"/>
    </row>
    <row r="746" spans="1:32">
      <c r="A746" s="1017"/>
      <c r="B746" s="1017"/>
      <c r="C746" s="1017"/>
      <c r="D746" s="1017"/>
      <c r="E746" s="1017"/>
      <c r="F746" s="1017"/>
      <c r="G746" s="1017"/>
      <c r="H746" s="1017"/>
      <c r="I746" s="1017"/>
      <c r="J746" s="1017"/>
      <c r="K746" s="1017"/>
      <c r="L746" s="1017"/>
      <c r="M746" s="1017"/>
      <c r="N746" s="1017"/>
      <c r="O746" s="1017"/>
      <c r="P746" s="1017"/>
      <c r="Q746" s="1017"/>
      <c r="R746" s="1017"/>
      <c r="S746" s="1017"/>
      <c r="T746" s="1351"/>
      <c r="U746" s="1017"/>
      <c r="V746" s="1017"/>
      <c r="W746" s="1017"/>
      <c r="X746" s="1017"/>
      <c r="Y746" s="1017"/>
      <c r="Z746" s="1017"/>
      <c r="AA746" s="1017"/>
      <c r="AB746" s="1017"/>
      <c r="AC746" s="1017"/>
      <c r="AD746" s="1017"/>
      <c r="AE746" s="1017"/>
      <c r="AF746" s="1017"/>
    </row>
    <row r="747" spans="1:32">
      <c r="A747" s="1017"/>
      <c r="B747" s="1017"/>
      <c r="C747" s="1017"/>
      <c r="D747" s="1017"/>
      <c r="E747" s="1017"/>
      <c r="F747" s="1017"/>
      <c r="G747" s="1017"/>
      <c r="H747" s="1017"/>
      <c r="I747" s="1017"/>
      <c r="J747" s="1017"/>
      <c r="K747" s="1017"/>
      <c r="L747" s="1017"/>
      <c r="M747" s="1017"/>
      <c r="N747" s="1017"/>
      <c r="O747" s="1017"/>
      <c r="P747" s="1017"/>
      <c r="Q747" s="1017"/>
      <c r="R747" s="1017"/>
      <c r="S747" s="1017"/>
      <c r="T747" s="1351"/>
      <c r="U747" s="1017"/>
      <c r="V747" s="1017"/>
      <c r="W747" s="1017"/>
      <c r="X747" s="1017"/>
      <c r="Y747" s="1017"/>
      <c r="Z747" s="1017"/>
      <c r="AA747" s="1017"/>
      <c r="AB747" s="1017"/>
      <c r="AC747" s="1017"/>
      <c r="AD747" s="1017"/>
      <c r="AE747" s="1017"/>
      <c r="AF747" s="1017"/>
    </row>
    <row r="748" spans="1:32">
      <c r="A748" s="1017"/>
      <c r="B748" s="1017"/>
      <c r="C748" s="1017"/>
      <c r="D748" s="1017"/>
      <c r="E748" s="1017"/>
      <c r="F748" s="1017"/>
      <c r="G748" s="1017"/>
      <c r="H748" s="1017"/>
      <c r="I748" s="1017"/>
      <c r="J748" s="1017"/>
      <c r="K748" s="1017"/>
      <c r="L748" s="1017"/>
      <c r="M748" s="1017"/>
      <c r="N748" s="1017"/>
      <c r="O748" s="1017"/>
      <c r="P748" s="1017"/>
      <c r="Q748" s="1017"/>
      <c r="R748" s="1017"/>
      <c r="S748" s="1017"/>
      <c r="T748" s="1351"/>
      <c r="U748" s="1017"/>
      <c r="V748" s="1017"/>
      <c r="W748" s="1017"/>
      <c r="X748" s="1017"/>
      <c r="Y748" s="1017"/>
      <c r="Z748" s="1017"/>
      <c r="AA748" s="1017"/>
      <c r="AB748" s="1017"/>
      <c r="AC748" s="1017"/>
      <c r="AD748" s="1017"/>
      <c r="AE748" s="1017"/>
      <c r="AF748" s="1017"/>
    </row>
    <row r="749" spans="1:32">
      <c r="A749" s="1017"/>
      <c r="B749" s="1017"/>
      <c r="C749" s="1017"/>
      <c r="D749" s="1017"/>
      <c r="E749" s="1017"/>
      <c r="F749" s="1017"/>
      <c r="G749" s="1017"/>
      <c r="H749" s="1017"/>
      <c r="I749" s="1017"/>
      <c r="J749" s="1017"/>
      <c r="K749" s="1017"/>
      <c r="L749" s="1017"/>
      <c r="M749" s="1017"/>
      <c r="N749" s="1017"/>
      <c r="O749" s="1017"/>
      <c r="P749" s="1017"/>
      <c r="Q749" s="1017"/>
      <c r="R749" s="1017"/>
      <c r="S749" s="1017"/>
      <c r="T749" s="1351"/>
      <c r="U749" s="1017"/>
      <c r="V749" s="1017"/>
      <c r="W749" s="1017"/>
      <c r="X749" s="1017"/>
      <c r="Y749" s="1017"/>
      <c r="Z749" s="1017"/>
      <c r="AA749" s="1017"/>
      <c r="AB749" s="1017"/>
      <c r="AC749" s="1017"/>
      <c r="AD749" s="1017"/>
      <c r="AE749" s="1017"/>
      <c r="AF749" s="1017"/>
    </row>
    <row r="750" spans="1:32">
      <c r="A750" s="1017"/>
      <c r="B750" s="1017"/>
      <c r="C750" s="1017"/>
      <c r="D750" s="1017"/>
      <c r="E750" s="1017"/>
      <c r="F750" s="1017"/>
      <c r="G750" s="1017"/>
      <c r="H750" s="1017"/>
      <c r="I750" s="1017"/>
      <c r="J750" s="1017"/>
      <c r="K750" s="1017"/>
      <c r="L750" s="1017"/>
      <c r="M750" s="1017"/>
      <c r="N750" s="1017"/>
      <c r="O750" s="1017"/>
      <c r="P750" s="1017"/>
      <c r="Q750" s="1017"/>
      <c r="R750" s="1017"/>
      <c r="S750" s="1017"/>
      <c r="T750" s="1351"/>
      <c r="U750" s="1017"/>
      <c r="V750" s="1017"/>
      <c r="W750" s="1017"/>
      <c r="X750" s="1017"/>
      <c r="Y750" s="1017"/>
      <c r="Z750" s="1017"/>
      <c r="AA750" s="1017"/>
      <c r="AB750" s="1017"/>
      <c r="AC750" s="1017"/>
      <c r="AD750" s="1017"/>
      <c r="AE750" s="1017"/>
      <c r="AF750" s="1017"/>
    </row>
    <row r="751" spans="1:32">
      <c r="A751" s="1017"/>
      <c r="B751" s="1017"/>
      <c r="C751" s="1017"/>
      <c r="D751" s="1017"/>
      <c r="E751" s="1017"/>
      <c r="F751" s="1017"/>
      <c r="G751" s="1017"/>
      <c r="H751" s="1017"/>
      <c r="I751" s="1017"/>
      <c r="J751" s="1017"/>
      <c r="K751" s="1017"/>
      <c r="L751" s="1017"/>
      <c r="M751" s="1017"/>
      <c r="N751" s="1017"/>
      <c r="O751" s="1017"/>
      <c r="P751" s="1017"/>
      <c r="Q751" s="1017"/>
      <c r="R751" s="1017"/>
      <c r="S751" s="1017"/>
      <c r="T751" s="1351"/>
      <c r="U751" s="1017"/>
      <c r="V751" s="1017"/>
      <c r="W751" s="1017"/>
      <c r="X751" s="1017"/>
      <c r="Y751" s="1017"/>
      <c r="Z751" s="1017"/>
      <c r="AA751" s="1017"/>
      <c r="AB751" s="1017"/>
      <c r="AC751" s="1017"/>
      <c r="AD751" s="1017"/>
      <c r="AE751" s="1017"/>
      <c r="AF751" s="1017"/>
    </row>
    <row r="752" spans="1:32">
      <c r="A752" s="1017"/>
      <c r="B752" s="1017"/>
      <c r="C752" s="1017"/>
      <c r="D752" s="1017"/>
      <c r="E752" s="1017"/>
      <c r="F752" s="1017"/>
      <c r="G752" s="1017"/>
      <c r="H752" s="1017"/>
      <c r="I752" s="1017"/>
      <c r="J752" s="1017"/>
      <c r="K752" s="1017"/>
      <c r="L752" s="1017"/>
      <c r="M752" s="1017"/>
      <c r="N752" s="1017"/>
      <c r="O752" s="1017"/>
      <c r="P752" s="1017"/>
      <c r="Q752" s="1017"/>
      <c r="R752" s="1017"/>
      <c r="S752" s="1017"/>
      <c r="T752" s="1351"/>
      <c r="U752" s="1017"/>
      <c r="V752" s="1017"/>
      <c r="W752" s="1017"/>
      <c r="X752" s="1017"/>
      <c r="Y752" s="1017"/>
      <c r="Z752" s="1017"/>
      <c r="AA752" s="1017"/>
      <c r="AB752" s="1017"/>
      <c r="AC752" s="1017"/>
      <c r="AD752" s="1017"/>
      <c r="AE752" s="1017"/>
      <c r="AF752" s="1017"/>
    </row>
    <row r="753" spans="1:32">
      <c r="A753" s="1017"/>
      <c r="B753" s="1017"/>
      <c r="C753" s="1017"/>
      <c r="D753" s="1017"/>
      <c r="E753" s="1017"/>
      <c r="F753" s="1017"/>
      <c r="G753" s="1017"/>
      <c r="H753" s="1017"/>
      <c r="I753" s="1017"/>
      <c r="J753" s="1017"/>
      <c r="K753" s="1017"/>
      <c r="L753" s="1017"/>
      <c r="M753" s="1017"/>
      <c r="N753" s="1017"/>
      <c r="O753" s="1017"/>
      <c r="P753" s="1017"/>
      <c r="Q753" s="1017"/>
      <c r="R753" s="1017"/>
      <c r="S753" s="1017"/>
      <c r="T753" s="1351"/>
      <c r="U753" s="1017"/>
      <c r="V753" s="1017"/>
      <c r="W753" s="1017"/>
      <c r="X753" s="1017"/>
      <c r="Y753" s="1017"/>
      <c r="Z753" s="1017"/>
      <c r="AA753" s="1017"/>
      <c r="AB753" s="1017"/>
      <c r="AC753" s="1017"/>
      <c r="AD753" s="1017"/>
      <c r="AE753" s="1017"/>
      <c r="AF753" s="1017"/>
    </row>
    <row r="754" spans="1:32">
      <c r="A754" s="1017"/>
      <c r="B754" s="1017"/>
      <c r="C754" s="1017"/>
      <c r="D754" s="1017"/>
      <c r="E754" s="1017"/>
      <c r="F754" s="1017"/>
      <c r="G754" s="1017"/>
      <c r="H754" s="1017"/>
      <c r="I754" s="1017"/>
      <c r="J754" s="1017"/>
      <c r="K754" s="1017"/>
      <c r="L754" s="1017"/>
      <c r="M754" s="1017"/>
      <c r="N754" s="1017"/>
      <c r="O754" s="1017"/>
      <c r="P754" s="1017"/>
      <c r="Q754" s="1017"/>
      <c r="R754" s="1017"/>
      <c r="S754" s="1017"/>
      <c r="T754" s="1351"/>
      <c r="U754" s="1017"/>
      <c r="V754" s="1017"/>
      <c r="W754" s="1017"/>
      <c r="X754" s="1017"/>
      <c r="Y754" s="1017"/>
      <c r="Z754" s="1017"/>
      <c r="AA754" s="1017"/>
      <c r="AB754" s="1017"/>
      <c r="AC754" s="1017"/>
      <c r="AD754" s="1017"/>
      <c r="AE754" s="1017"/>
      <c r="AF754" s="1017"/>
    </row>
    <row r="755" spans="1:32">
      <c r="A755" s="1017"/>
      <c r="B755" s="1017"/>
      <c r="C755" s="1017"/>
      <c r="D755" s="1017"/>
      <c r="E755" s="1017"/>
      <c r="F755" s="1017"/>
      <c r="G755" s="1017"/>
      <c r="H755" s="1017"/>
      <c r="I755" s="1017"/>
      <c r="J755" s="1017"/>
      <c r="K755" s="1017"/>
      <c r="L755" s="1017"/>
      <c r="M755" s="1017"/>
      <c r="N755" s="1017"/>
      <c r="O755" s="1017"/>
      <c r="P755" s="1017"/>
      <c r="Q755" s="1017"/>
      <c r="R755" s="1017"/>
      <c r="S755" s="1017"/>
      <c r="T755" s="1351"/>
      <c r="U755" s="1017"/>
      <c r="V755" s="1017"/>
      <c r="W755" s="1017"/>
      <c r="X755" s="1017"/>
      <c r="Y755" s="1017"/>
      <c r="Z755" s="1017"/>
      <c r="AA755" s="1017"/>
      <c r="AB755" s="1017"/>
      <c r="AC755" s="1017"/>
      <c r="AD755" s="1017"/>
      <c r="AE755" s="1017"/>
      <c r="AF755" s="1017"/>
    </row>
    <row r="756" spans="1:32">
      <c r="A756" s="1017"/>
      <c r="B756" s="1017"/>
      <c r="C756" s="1017"/>
      <c r="D756" s="1017"/>
      <c r="E756" s="1017"/>
      <c r="F756" s="1017"/>
      <c r="G756" s="1017"/>
      <c r="H756" s="1017"/>
      <c r="I756" s="1017"/>
      <c r="J756" s="1017"/>
      <c r="K756" s="1017"/>
      <c r="L756" s="1017"/>
      <c r="M756" s="1017"/>
      <c r="N756" s="1017"/>
      <c r="O756" s="1017"/>
      <c r="P756" s="1017"/>
      <c r="Q756" s="1017"/>
      <c r="R756" s="1017"/>
      <c r="S756" s="1017"/>
      <c r="T756" s="1351"/>
      <c r="U756" s="1017"/>
      <c r="V756" s="1017"/>
      <c r="W756" s="1017"/>
      <c r="X756" s="1017"/>
      <c r="Y756" s="1017"/>
      <c r="Z756" s="1017"/>
      <c r="AA756" s="1017"/>
      <c r="AB756" s="1017"/>
      <c r="AC756" s="1017"/>
      <c r="AD756" s="1017"/>
      <c r="AE756" s="1017"/>
      <c r="AF756" s="1017"/>
    </row>
    <row r="757" spans="1:32">
      <c r="A757" s="1017"/>
      <c r="B757" s="1017"/>
      <c r="C757" s="1017"/>
      <c r="D757" s="1017"/>
      <c r="E757" s="1017"/>
      <c r="F757" s="1017"/>
      <c r="G757" s="1017"/>
      <c r="H757" s="1017"/>
      <c r="I757" s="1017"/>
      <c r="J757" s="1017"/>
      <c r="K757" s="1017"/>
      <c r="L757" s="1017"/>
      <c r="M757" s="1017"/>
      <c r="N757" s="1017"/>
      <c r="O757" s="1017"/>
      <c r="P757" s="1017"/>
      <c r="Q757" s="1017"/>
      <c r="R757" s="1017"/>
      <c r="S757" s="1017"/>
      <c r="T757" s="1351"/>
      <c r="U757" s="1017"/>
      <c r="V757" s="1017"/>
      <c r="W757" s="1017"/>
      <c r="X757" s="1017"/>
      <c r="Y757" s="1017"/>
      <c r="Z757" s="1017"/>
      <c r="AA757" s="1017"/>
      <c r="AB757" s="1017"/>
      <c r="AC757" s="1017"/>
      <c r="AD757" s="1017"/>
      <c r="AE757" s="1017"/>
      <c r="AF757" s="1017"/>
    </row>
    <row r="758" spans="1:32">
      <c r="A758" s="1017"/>
      <c r="B758" s="1017"/>
      <c r="C758" s="1017"/>
      <c r="D758" s="1017"/>
      <c r="E758" s="1017"/>
      <c r="F758" s="1017"/>
      <c r="G758" s="1017"/>
      <c r="H758" s="1017"/>
      <c r="I758" s="1017"/>
      <c r="J758" s="1017"/>
      <c r="K758" s="1017"/>
      <c r="L758" s="1017"/>
      <c r="M758" s="1017"/>
      <c r="N758" s="1017"/>
      <c r="O758" s="1017"/>
      <c r="P758" s="1017"/>
      <c r="Q758" s="1017"/>
      <c r="R758" s="1017"/>
      <c r="S758" s="1017"/>
      <c r="T758" s="1351"/>
      <c r="U758" s="1017"/>
      <c r="V758" s="1017"/>
      <c r="W758" s="1017"/>
      <c r="X758" s="1017"/>
      <c r="Y758" s="1017"/>
      <c r="Z758" s="1017"/>
      <c r="AA758" s="1017"/>
      <c r="AB758" s="1017"/>
      <c r="AC758" s="1017"/>
      <c r="AD758" s="1017"/>
      <c r="AE758" s="1017"/>
      <c r="AF758" s="1017"/>
    </row>
    <row r="759" spans="1:32">
      <c r="A759" s="1017"/>
      <c r="B759" s="1017"/>
      <c r="C759" s="1017"/>
      <c r="D759" s="1017"/>
      <c r="E759" s="1017"/>
      <c r="F759" s="1017"/>
      <c r="G759" s="1017"/>
      <c r="H759" s="1017"/>
      <c r="I759" s="1017"/>
      <c r="J759" s="1017"/>
      <c r="K759" s="1017"/>
      <c r="L759" s="1017"/>
      <c r="M759" s="1017"/>
      <c r="N759" s="1017"/>
      <c r="O759" s="1017"/>
      <c r="P759" s="1017"/>
      <c r="Q759" s="1017"/>
      <c r="R759" s="1017"/>
      <c r="S759" s="1017"/>
      <c r="T759" s="1351"/>
      <c r="U759" s="1017"/>
      <c r="V759" s="1017"/>
      <c r="W759" s="1017"/>
      <c r="X759" s="1017"/>
      <c r="Y759" s="1017"/>
      <c r="Z759" s="1017"/>
      <c r="AA759" s="1017"/>
      <c r="AB759" s="1017"/>
      <c r="AC759" s="1017"/>
      <c r="AD759" s="1017"/>
      <c r="AE759" s="1017"/>
      <c r="AF759" s="1017"/>
    </row>
    <row r="760" spans="1:32">
      <c r="A760" s="1017"/>
      <c r="B760" s="1017"/>
      <c r="C760" s="1017"/>
      <c r="D760" s="1017"/>
      <c r="E760" s="1017"/>
      <c r="F760" s="1017"/>
      <c r="G760" s="1017"/>
      <c r="H760" s="1017"/>
      <c r="I760" s="1017"/>
      <c r="J760" s="1017"/>
      <c r="K760" s="1017"/>
      <c r="L760" s="1017"/>
      <c r="M760" s="1017"/>
      <c r="N760" s="1017"/>
      <c r="O760" s="1017"/>
      <c r="P760" s="1017"/>
      <c r="Q760" s="1017"/>
      <c r="R760" s="1017"/>
      <c r="S760" s="1017"/>
      <c r="T760" s="1351"/>
      <c r="U760" s="1017"/>
      <c r="V760" s="1017"/>
      <c r="W760" s="1017"/>
      <c r="X760" s="1017"/>
      <c r="Y760" s="1017"/>
      <c r="Z760" s="1017"/>
      <c r="AA760" s="1017"/>
      <c r="AB760" s="1017"/>
      <c r="AC760" s="1017"/>
      <c r="AD760" s="1017"/>
      <c r="AE760" s="1017"/>
      <c r="AF760" s="1017"/>
    </row>
    <row r="761" spans="1:32">
      <c r="A761" s="1017"/>
      <c r="B761" s="1017"/>
      <c r="C761" s="1017"/>
      <c r="D761" s="1017"/>
      <c r="E761" s="1017"/>
      <c r="F761" s="1017"/>
      <c r="G761" s="1017"/>
      <c r="H761" s="1017"/>
      <c r="I761" s="1017"/>
      <c r="J761" s="1017"/>
      <c r="K761" s="1017"/>
      <c r="L761" s="1017"/>
      <c r="M761" s="1017"/>
      <c r="N761" s="1017"/>
      <c r="O761" s="1017"/>
      <c r="P761" s="1017"/>
      <c r="Q761" s="1017"/>
      <c r="R761" s="1017"/>
      <c r="S761" s="1017"/>
      <c r="T761" s="1351"/>
      <c r="U761" s="1017"/>
      <c r="V761" s="1017"/>
      <c r="W761" s="1017"/>
      <c r="X761" s="1017"/>
      <c r="Y761" s="1017"/>
      <c r="Z761" s="1017"/>
      <c r="AA761" s="1017"/>
      <c r="AB761" s="1017"/>
      <c r="AC761" s="1017"/>
      <c r="AD761" s="1017"/>
      <c r="AE761" s="1017"/>
      <c r="AF761" s="1017"/>
    </row>
    <row r="762" spans="1:32">
      <c r="A762" s="1017"/>
      <c r="B762" s="1017"/>
      <c r="C762" s="1017"/>
      <c r="D762" s="1017"/>
      <c r="E762" s="1017"/>
      <c r="F762" s="1017"/>
      <c r="G762" s="1017"/>
      <c r="H762" s="1017"/>
      <c r="I762" s="1017"/>
      <c r="J762" s="1017"/>
      <c r="K762" s="1017"/>
      <c r="L762" s="1017"/>
      <c r="M762" s="1017"/>
      <c r="N762" s="1017"/>
      <c r="O762" s="1017"/>
      <c r="P762" s="1017"/>
      <c r="Q762" s="1017"/>
      <c r="R762" s="1017"/>
      <c r="S762" s="1017"/>
      <c r="T762" s="1351"/>
      <c r="U762" s="1017"/>
      <c r="V762" s="1017"/>
      <c r="W762" s="1017"/>
      <c r="X762" s="1017"/>
      <c r="Y762" s="1017"/>
      <c r="Z762" s="1017"/>
      <c r="AA762" s="1017"/>
      <c r="AB762" s="1017"/>
      <c r="AC762" s="1017"/>
      <c r="AD762" s="1017"/>
      <c r="AE762" s="1017"/>
      <c r="AF762" s="1017"/>
    </row>
    <row r="763" spans="1:32">
      <c r="A763" s="1017"/>
      <c r="B763" s="1017"/>
      <c r="C763" s="1017"/>
      <c r="D763" s="1017"/>
      <c r="E763" s="1017"/>
      <c r="F763" s="1017"/>
      <c r="G763" s="1017"/>
      <c r="H763" s="1017"/>
      <c r="I763" s="1017"/>
      <c r="J763" s="1017"/>
      <c r="K763" s="1017"/>
      <c r="L763" s="1017"/>
      <c r="M763" s="1017"/>
      <c r="N763" s="1017"/>
      <c r="O763" s="1017"/>
      <c r="P763" s="1017"/>
      <c r="Q763" s="1017"/>
      <c r="R763" s="1017"/>
      <c r="S763" s="1017"/>
      <c r="T763" s="1351"/>
      <c r="U763" s="1017"/>
      <c r="V763" s="1017"/>
      <c r="W763" s="1017"/>
      <c r="X763" s="1017"/>
      <c r="Y763" s="1017"/>
      <c r="Z763" s="1017"/>
      <c r="AA763" s="1017"/>
      <c r="AB763" s="1017"/>
      <c r="AC763" s="1017"/>
      <c r="AD763" s="1017"/>
      <c r="AE763" s="1017"/>
      <c r="AF763" s="1017"/>
    </row>
    <row r="764" spans="1:32">
      <c r="A764" s="1017"/>
      <c r="B764" s="1017"/>
      <c r="C764" s="1017"/>
      <c r="D764" s="1017"/>
      <c r="E764" s="1017"/>
      <c r="F764" s="1017"/>
      <c r="G764" s="1017"/>
      <c r="H764" s="1017"/>
      <c r="I764" s="1017"/>
      <c r="J764" s="1017"/>
      <c r="K764" s="1017"/>
      <c r="L764" s="1017"/>
      <c r="M764" s="1017"/>
      <c r="N764" s="1017"/>
      <c r="O764" s="1017"/>
      <c r="P764" s="1017"/>
      <c r="Q764" s="1017"/>
      <c r="R764" s="1017"/>
      <c r="S764" s="1017"/>
      <c r="T764" s="1351"/>
      <c r="U764" s="1017"/>
      <c r="V764" s="1017"/>
      <c r="W764" s="1017"/>
      <c r="X764" s="1017"/>
      <c r="Y764" s="1017"/>
      <c r="Z764" s="1017"/>
      <c r="AA764" s="1017"/>
      <c r="AB764" s="1017"/>
      <c r="AC764" s="1017"/>
      <c r="AD764" s="1017"/>
      <c r="AE764" s="1017"/>
      <c r="AF764" s="1017"/>
    </row>
    <row r="765" spans="1:32">
      <c r="A765" s="1017"/>
      <c r="B765" s="1017"/>
      <c r="C765" s="1017"/>
      <c r="D765" s="1017"/>
      <c r="E765" s="1017"/>
      <c r="F765" s="1017"/>
      <c r="G765" s="1017"/>
      <c r="H765" s="1017"/>
      <c r="I765" s="1017"/>
      <c r="J765" s="1017"/>
      <c r="K765" s="1017"/>
      <c r="L765" s="1017"/>
      <c r="M765" s="1017"/>
      <c r="N765" s="1017"/>
      <c r="O765" s="1017"/>
      <c r="P765" s="1017"/>
      <c r="Q765" s="1017"/>
      <c r="R765" s="1017"/>
      <c r="S765" s="1017"/>
      <c r="T765" s="1351"/>
      <c r="U765" s="1017"/>
      <c r="V765" s="1017"/>
      <c r="W765" s="1017"/>
      <c r="X765" s="1017"/>
      <c r="Y765" s="1017"/>
      <c r="Z765" s="1017"/>
      <c r="AA765" s="1017"/>
      <c r="AB765" s="1017"/>
      <c r="AC765" s="1017"/>
      <c r="AD765" s="1017"/>
      <c r="AE765" s="1017"/>
      <c r="AF765" s="1017"/>
    </row>
    <row r="766" spans="1:32">
      <c r="A766" s="1017"/>
      <c r="B766" s="1017"/>
      <c r="C766" s="1017"/>
      <c r="D766" s="1017"/>
      <c r="E766" s="1017"/>
      <c r="F766" s="1017"/>
      <c r="G766" s="1017"/>
      <c r="H766" s="1017"/>
      <c r="I766" s="1017"/>
      <c r="J766" s="1017"/>
      <c r="K766" s="1017"/>
      <c r="L766" s="1017"/>
      <c r="M766" s="1017"/>
      <c r="N766" s="1017"/>
      <c r="O766" s="1017"/>
      <c r="P766" s="1017"/>
      <c r="Q766" s="1017"/>
      <c r="R766" s="1017"/>
      <c r="S766" s="1017"/>
      <c r="T766" s="1351"/>
      <c r="U766" s="1017"/>
      <c r="V766" s="1017"/>
      <c r="W766" s="1017"/>
      <c r="X766" s="1017"/>
      <c r="Y766" s="1017"/>
      <c r="Z766" s="1017"/>
      <c r="AA766" s="1017"/>
      <c r="AB766" s="1017"/>
      <c r="AC766" s="1017"/>
      <c r="AD766" s="1017"/>
      <c r="AE766" s="1017"/>
      <c r="AF766" s="1017"/>
    </row>
    <row r="767" spans="1:32">
      <c r="A767" s="1017"/>
      <c r="B767" s="1017"/>
      <c r="C767" s="1017"/>
      <c r="D767" s="1017"/>
      <c r="E767" s="1017"/>
      <c r="F767" s="1017"/>
      <c r="G767" s="1017"/>
      <c r="H767" s="1017"/>
      <c r="I767" s="1017"/>
      <c r="J767" s="1017"/>
      <c r="K767" s="1017"/>
      <c r="L767" s="1017"/>
      <c r="M767" s="1017"/>
      <c r="N767" s="1017"/>
      <c r="O767" s="1017"/>
      <c r="P767" s="1017"/>
      <c r="Q767" s="1017"/>
      <c r="R767" s="1017"/>
      <c r="S767" s="1017"/>
      <c r="T767" s="1351"/>
      <c r="U767" s="1017"/>
      <c r="V767" s="1017"/>
      <c r="W767" s="1017"/>
      <c r="X767" s="1017"/>
      <c r="Y767" s="1017"/>
      <c r="Z767" s="1017"/>
      <c r="AA767" s="1017"/>
      <c r="AB767" s="1017"/>
      <c r="AC767" s="1017"/>
      <c r="AD767" s="1017"/>
      <c r="AE767" s="1017"/>
      <c r="AF767" s="1017"/>
    </row>
    <row r="768" spans="1:32">
      <c r="A768" s="1017"/>
      <c r="B768" s="1017"/>
      <c r="C768" s="1017"/>
      <c r="D768" s="1017"/>
      <c r="E768" s="1017"/>
      <c r="F768" s="1017"/>
      <c r="G768" s="1017"/>
      <c r="H768" s="1017"/>
      <c r="I768" s="1017"/>
      <c r="J768" s="1017"/>
      <c r="K768" s="1017"/>
      <c r="L768" s="1017"/>
      <c r="M768" s="1017"/>
      <c r="N768" s="1017"/>
      <c r="O768" s="1017"/>
      <c r="P768" s="1017"/>
      <c r="Q768" s="1017"/>
      <c r="R768" s="1017"/>
      <c r="S768" s="1017"/>
      <c r="T768" s="1351"/>
      <c r="U768" s="1017"/>
      <c r="V768" s="1017"/>
      <c r="W768" s="1017"/>
      <c r="X768" s="1017"/>
      <c r="Y768" s="1017"/>
      <c r="Z768" s="1017"/>
      <c r="AA768" s="1017"/>
      <c r="AB768" s="1017"/>
      <c r="AC768" s="1017"/>
      <c r="AD768" s="1017"/>
      <c r="AE768" s="1017"/>
      <c r="AF768" s="1017"/>
    </row>
    <row r="769" spans="1:32">
      <c r="A769" s="1017"/>
      <c r="B769" s="1017"/>
      <c r="C769" s="1017"/>
      <c r="D769" s="1017"/>
      <c r="E769" s="1017"/>
      <c r="F769" s="1017"/>
      <c r="G769" s="1017"/>
      <c r="H769" s="1017"/>
      <c r="I769" s="1017"/>
      <c r="J769" s="1017"/>
      <c r="K769" s="1017"/>
      <c r="L769" s="1017"/>
      <c r="M769" s="1017"/>
      <c r="N769" s="1017"/>
      <c r="O769" s="1017"/>
      <c r="P769" s="1017"/>
      <c r="Q769" s="1017"/>
      <c r="R769" s="1017"/>
      <c r="S769" s="1017"/>
      <c r="T769" s="1351"/>
      <c r="U769" s="1017"/>
      <c r="V769" s="1017"/>
      <c r="W769" s="1017"/>
      <c r="X769" s="1017"/>
      <c r="Y769" s="1017"/>
      <c r="Z769" s="1017"/>
      <c r="AA769" s="1017"/>
      <c r="AB769" s="1017"/>
      <c r="AC769" s="1017"/>
      <c r="AD769" s="1017"/>
      <c r="AE769" s="1017"/>
      <c r="AF769" s="1017"/>
    </row>
    <row r="770" spans="1:32">
      <c r="A770" s="1017"/>
      <c r="B770" s="1017"/>
      <c r="C770" s="1017"/>
      <c r="D770" s="1017"/>
      <c r="E770" s="1017"/>
      <c r="F770" s="1017"/>
      <c r="G770" s="1017"/>
      <c r="H770" s="1017"/>
      <c r="I770" s="1017"/>
      <c r="J770" s="1017"/>
      <c r="K770" s="1017"/>
      <c r="L770" s="1017"/>
      <c r="M770" s="1017"/>
      <c r="N770" s="1017"/>
      <c r="O770" s="1017"/>
      <c r="P770" s="1017"/>
      <c r="Q770" s="1017"/>
      <c r="R770" s="1017"/>
      <c r="S770" s="1017"/>
      <c r="T770" s="1351"/>
      <c r="U770" s="1017"/>
      <c r="V770" s="1017"/>
      <c r="W770" s="1017"/>
      <c r="X770" s="1017"/>
      <c r="Y770" s="1017"/>
      <c r="Z770" s="1017"/>
      <c r="AA770" s="1017"/>
      <c r="AB770" s="1017"/>
      <c r="AC770" s="1017"/>
      <c r="AD770" s="1017"/>
      <c r="AE770" s="1017"/>
      <c r="AF770" s="1017"/>
    </row>
    <row r="771" spans="1:32">
      <c r="A771" s="1017"/>
      <c r="B771" s="1017"/>
      <c r="C771" s="1017"/>
      <c r="D771" s="1017"/>
      <c r="E771" s="1017"/>
      <c r="F771" s="1017"/>
      <c r="G771" s="1017"/>
      <c r="H771" s="1017"/>
      <c r="I771" s="1017"/>
      <c r="J771" s="1017"/>
      <c r="K771" s="1017"/>
      <c r="L771" s="1017"/>
      <c r="M771" s="1017"/>
      <c r="N771" s="1017"/>
      <c r="O771" s="1017"/>
      <c r="P771" s="1017"/>
      <c r="Q771" s="1017"/>
      <c r="R771" s="1017"/>
      <c r="S771" s="1017"/>
      <c r="T771" s="1351"/>
      <c r="U771" s="1017"/>
      <c r="V771" s="1017"/>
      <c r="W771" s="1017"/>
      <c r="X771" s="1017"/>
      <c r="Y771" s="1017"/>
      <c r="Z771" s="1017"/>
      <c r="AA771" s="1017"/>
      <c r="AB771" s="1017"/>
      <c r="AC771" s="1017"/>
      <c r="AD771" s="1017"/>
      <c r="AE771" s="1017"/>
      <c r="AF771" s="1017"/>
    </row>
    <row r="772" spans="1:32">
      <c r="A772" s="1017"/>
      <c r="B772" s="1017"/>
      <c r="C772" s="1017"/>
      <c r="D772" s="1017"/>
      <c r="E772" s="1017"/>
      <c r="F772" s="1017"/>
      <c r="G772" s="1017"/>
      <c r="H772" s="1017"/>
      <c r="I772" s="1017"/>
      <c r="J772" s="1017"/>
      <c r="K772" s="1017"/>
      <c r="L772" s="1017"/>
      <c r="M772" s="1017"/>
      <c r="N772" s="1017"/>
      <c r="O772" s="1017"/>
      <c r="P772" s="1017"/>
      <c r="Q772" s="1017"/>
      <c r="R772" s="1017"/>
      <c r="S772" s="1017"/>
      <c r="T772" s="1351"/>
      <c r="U772" s="1017"/>
      <c r="V772" s="1017"/>
      <c r="W772" s="1017"/>
      <c r="X772" s="1017"/>
      <c r="Y772" s="1017"/>
      <c r="Z772" s="1017"/>
      <c r="AA772" s="1017"/>
      <c r="AB772" s="1017"/>
      <c r="AC772" s="1017"/>
      <c r="AD772" s="1017"/>
      <c r="AE772" s="1017"/>
      <c r="AF772" s="1017"/>
    </row>
    <row r="773" spans="1:32">
      <c r="A773" s="1017"/>
      <c r="B773" s="1017"/>
      <c r="C773" s="1017"/>
      <c r="D773" s="1017"/>
      <c r="E773" s="1017"/>
      <c r="F773" s="1017"/>
      <c r="G773" s="1017"/>
      <c r="H773" s="1017"/>
      <c r="I773" s="1017"/>
      <c r="J773" s="1017"/>
      <c r="K773" s="1017"/>
      <c r="L773" s="1017"/>
      <c r="M773" s="1017"/>
      <c r="N773" s="1017"/>
      <c r="O773" s="1017"/>
      <c r="P773" s="1017"/>
      <c r="Q773" s="1017"/>
      <c r="R773" s="1017"/>
      <c r="S773" s="1017"/>
      <c r="T773" s="1351"/>
      <c r="U773" s="1017"/>
      <c r="V773" s="1017"/>
      <c r="W773" s="1017"/>
      <c r="X773" s="1017"/>
      <c r="Y773" s="1017"/>
      <c r="Z773" s="1017"/>
      <c r="AA773" s="1017"/>
      <c r="AB773" s="1017"/>
      <c r="AC773" s="1017"/>
      <c r="AD773" s="1017"/>
      <c r="AE773" s="1017"/>
      <c r="AF773" s="1017"/>
    </row>
    <row r="774" spans="1:32">
      <c r="A774" s="1017"/>
      <c r="B774" s="1017"/>
      <c r="C774" s="1017"/>
      <c r="D774" s="1017"/>
      <c r="E774" s="1017"/>
      <c r="F774" s="1017"/>
      <c r="G774" s="1017"/>
      <c r="H774" s="1017"/>
      <c r="I774" s="1017"/>
      <c r="J774" s="1017"/>
      <c r="K774" s="1017"/>
      <c r="L774" s="1017"/>
      <c r="M774" s="1017"/>
      <c r="N774" s="1017"/>
      <c r="O774" s="1017"/>
      <c r="P774" s="1017"/>
      <c r="Q774" s="1017"/>
      <c r="R774" s="1017"/>
      <c r="S774" s="1017"/>
      <c r="T774" s="1351"/>
      <c r="U774" s="1017"/>
      <c r="V774" s="1017"/>
      <c r="W774" s="1017"/>
      <c r="X774" s="1017"/>
      <c r="Y774" s="1017"/>
      <c r="Z774" s="1017"/>
      <c r="AA774" s="1017"/>
      <c r="AB774" s="1017"/>
      <c r="AC774" s="1017"/>
      <c r="AD774" s="1017"/>
      <c r="AE774" s="1017"/>
      <c r="AF774" s="1017"/>
    </row>
    <row r="775" spans="1:32">
      <c r="A775" s="1017"/>
      <c r="B775" s="1017"/>
      <c r="C775" s="1017"/>
      <c r="D775" s="1017"/>
      <c r="E775" s="1017"/>
      <c r="F775" s="1017"/>
      <c r="G775" s="1017"/>
      <c r="H775" s="1017"/>
      <c r="I775" s="1017"/>
      <c r="J775" s="1017"/>
      <c r="K775" s="1017"/>
      <c r="L775" s="1017"/>
      <c r="M775" s="1017"/>
      <c r="N775" s="1017"/>
      <c r="O775" s="1017"/>
      <c r="P775" s="1017"/>
      <c r="Q775" s="1017"/>
      <c r="R775" s="1017"/>
      <c r="S775" s="1017"/>
      <c r="T775" s="1351"/>
      <c r="U775" s="1017"/>
      <c r="V775" s="1017"/>
      <c r="W775" s="1017"/>
      <c r="X775" s="1017"/>
      <c r="Y775" s="1017"/>
      <c r="Z775" s="1017"/>
      <c r="AA775" s="1017"/>
      <c r="AB775" s="1017"/>
      <c r="AC775" s="1017"/>
      <c r="AD775" s="1017"/>
      <c r="AE775" s="1017"/>
      <c r="AF775" s="1017"/>
    </row>
    <row r="776" spans="1:32">
      <c r="A776" s="1017"/>
      <c r="B776" s="1017"/>
      <c r="C776" s="1017"/>
      <c r="D776" s="1017"/>
      <c r="E776" s="1017"/>
      <c r="F776" s="1017"/>
      <c r="G776" s="1017"/>
      <c r="H776" s="1017"/>
      <c r="I776" s="1017"/>
      <c r="J776" s="1017"/>
      <c r="K776" s="1017"/>
      <c r="L776" s="1017"/>
      <c r="M776" s="1017"/>
      <c r="N776" s="1017"/>
      <c r="O776" s="1017"/>
      <c r="P776" s="1017"/>
      <c r="Q776" s="1017"/>
      <c r="R776" s="1017"/>
      <c r="S776" s="1017"/>
      <c r="T776" s="1351"/>
      <c r="U776" s="1017"/>
      <c r="V776" s="1017"/>
      <c r="W776" s="1017"/>
      <c r="X776" s="1017"/>
      <c r="Y776" s="1017"/>
      <c r="Z776" s="1017"/>
      <c r="AA776" s="1017"/>
      <c r="AB776" s="1017"/>
      <c r="AC776" s="1017"/>
      <c r="AD776" s="1017"/>
      <c r="AE776" s="1017"/>
      <c r="AF776" s="1017"/>
    </row>
    <row r="777" spans="1:32">
      <c r="A777" s="1017"/>
      <c r="B777" s="1017"/>
      <c r="C777" s="1017"/>
      <c r="D777" s="1017"/>
      <c r="E777" s="1017"/>
      <c r="F777" s="1017"/>
      <c r="G777" s="1017"/>
      <c r="H777" s="1017"/>
      <c r="I777" s="1017"/>
      <c r="J777" s="1017"/>
      <c r="K777" s="1017"/>
      <c r="L777" s="1017"/>
      <c r="M777" s="1017"/>
      <c r="N777" s="1017"/>
      <c r="O777" s="1017"/>
      <c r="P777" s="1017"/>
      <c r="Q777" s="1017"/>
      <c r="R777" s="1017"/>
      <c r="S777" s="1017"/>
      <c r="T777" s="1351"/>
      <c r="U777" s="1017"/>
      <c r="V777" s="1017"/>
      <c r="W777" s="1017"/>
      <c r="X777" s="1017"/>
      <c r="Y777" s="1017"/>
      <c r="Z777" s="1017"/>
      <c r="AA777" s="1017"/>
      <c r="AB777" s="1017"/>
      <c r="AC777" s="1017"/>
      <c r="AD777" s="1017"/>
      <c r="AE777" s="1017"/>
      <c r="AF777" s="1017"/>
    </row>
    <row r="778" spans="1:32">
      <c r="A778" s="1017"/>
      <c r="B778" s="1017"/>
      <c r="C778" s="1017"/>
      <c r="D778" s="1017"/>
      <c r="E778" s="1017"/>
      <c r="F778" s="1017"/>
      <c r="G778" s="1017"/>
      <c r="H778" s="1017"/>
      <c r="I778" s="1017"/>
      <c r="J778" s="1017"/>
      <c r="K778" s="1017"/>
      <c r="L778" s="1017"/>
      <c r="M778" s="1017"/>
      <c r="N778" s="1017"/>
      <c r="O778" s="1017"/>
      <c r="P778" s="1017"/>
      <c r="Q778" s="1017"/>
      <c r="R778" s="1017"/>
      <c r="S778" s="1017"/>
      <c r="T778" s="1351"/>
      <c r="U778" s="1017"/>
      <c r="V778" s="1017"/>
      <c r="W778" s="1017"/>
      <c r="X778" s="1017"/>
      <c r="Y778" s="1017"/>
      <c r="Z778" s="1017"/>
      <c r="AA778" s="1017"/>
      <c r="AB778" s="1017"/>
      <c r="AC778" s="1017"/>
      <c r="AD778" s="1017"/>
      <c r="AE778" s="1017"/>
      <c r="AF778" s="1017"/>
    </row>
    <row r="779" spans="1:32">
      <c r="A779" s="1017"/>
      <c r="B779" s="1017"/>
      <c r="C779" s="1017"/>
      <c r="D779" s="1017"/>
      <c r="E779" s="1017"/>
      <c r="F779" s="1017"/>
      <c r="G779" s="1017"/>
      <c r="H779" s="1017"/>
      <c r="I779" s="1017"/>
      <c r="J779" s="1017"/>
      <c r="K779" s="1017"/>
      <c r="L779" s="1017"/>
      <c r="M779" s="1017"/>
      <c r="N779" s="1017"/>
      <c r="O779" s="1017"/>
      <c r="P779" s="1017"/>
      <c r="Q779" s="1017"/>
      <c r="R779" s="1017"/>
      <c r="S779" s="1017"/>
      <c r="T779" s="1351"/>
      <c r="U779" s="1017"/>
      <c r="V779" s="1017"/>
      <c r="W779" s="1017"/>
      <c r="X779" s="1017"/>
      <c r="Y779" s="1017"/>
      <c r="Z779" s="1017"/>
      <c r="AA779" s="1017"/>
      <c r="AB779" s="1017"/>
      <c r="AC779" s="1017"/>
      <c r="AD779" s="1017"/>
      <c r="AE779" s="1017"/>
      <c r="AF779" s="1017"/>
    </row>
    <row r="780" spans="1:32">
      <c r="A780" s="1017"/>
      <c r="B780" s="1017"/>
      <c r="C780" s="1017"/>
      <c r="D780" s="1017"/>
      <c r="E780" s="1017"/>
      <c r="F780" s="1017"/>
      <c r="G780" s="1017"/>
      <c r="H780" s="1017"/>
      <c r="I780" s="1017"/>
      <c r="J780" s="1017"/>
      <c r="K780" s="1017"/>
      <c r="L780" s="1017"/>
      <c r="M780" s="1017"/>
      <c r="N780" s="1017"/>
      <c r="O780" s="1017"/>
      <c r="P780" s="1017"/>
      <c r="Q780" s="1017"/>
      <c r="R780" s="1017"/>
      <c r="S780" s="1017"/>
      <c r="T780" s="1351"/>
      <c r="U780" s="1017"/>
      <c r="V780" s="1017"/>
      <c r="W780" s="1017"/>
      <c r="X780" s="1017"/>
      <c r="Y780" s="1017"/>
      <c r="Z780" s="1017"/>
      <c r="AA780" s="1017"/>
      <c r="AB780" s="1017"/>
      <c r="AC780" s="1017"/>
      <c r="AD780" s="1017"/>
      <c r="AE780" s="1017"/>
      <c r="AF780" s="1017"/>
    </row>
    <row r="781" spans="1:32">
      <c r="A781" s="1017"/>
      <c r="B781" s="1017"/>
      <c r="C781" s="1017"/>
      <c r="D781" s="1017"/>
      <c r="E781" s="1017"/>
      <c r="F781" s="1017"/>
      <c r="G781" s="1017"/>
      <c r="H781" s="1017"/>
      <c r="I781" s="1017"/>
      <c r="J781" s="1017"/>
      <c r="K781" s="1017"/>
      <c r="L781" s="1017"/>
      <c r="M781" s="1017"/>
      <c r="N781" s="1017"/>
      <c r="O781" s="1017"/>
      <c r="P781" s="1017"/>
      <c r="Q781" s="1017"/>
      <c r="R781" s="1017"/>
      <c r="S781" s="1017"/>
      <c r="T781" s="1351"/>
      <c r="U781" s="1017"/>
      <c r="V781" s="1017"/>
      <c r="W781" s="1017"/>
      <c r="X781" s="1017"/>
      <c r="Y781" s="1017"/>
      <c r="Z781" s="1017"/>
      <c r="AA781" s="1017"/>
      <c r="AB781" s="1017"/>
      <c r="AC781" s="1017"/>
      <c r="AD781" s="1017"/>
      <c r="AE781" s="1017"/>
      <c r="AF781" s="1017"/>
    </row>
    <row r="782" spans="1:32">
      <c r="A782" s="1017"/>
      <c r="B782" s="1017"/>
      <c r="C782" s="1017"/>
      <c r="D782" s="1017"/>
      <c r="E782" s="1017"/>
      <c r="F782" s="1017"/>
      <c r="G782" s="1017"/>
      <c r="H782" s="1017"/>
      <c r="I782" s="1017"/>
      <c r="J782" s="1017"/>
      <c r="K782" s="1017"/>
      <c r="L782" s="1017"/>
      <c r="M782" s="1017"/>
      <c r="N782" s="1017"/>
      <c r="O782" s="1017"/>
      <c r="P782" s="1017"/>
      <c r="Q782" s="1017"/>
      <c r="R782" s="1017"/>
      <c r="S782" s="1017"/>
      <c r="T782" s="1351"/>
      <c r="U782" s="1017"/>
      <c r="V782" s="1017"/>
      <c r="W782" s="1017"/>
      <c r="X782" s="1017"/>
      <c r="Y782" s="1017"/>
      <c r="Z782" s="1017"/>
      <c r="AA782" s="1017"/>
      <c r="AB782" s="1017"/>
      <c r="AC782" s="1017"/>
      <c r="AD782" s="1017"/>
      <c r="AE782" s="1017"/>
      <c r="AF782" s="1017"/>
    </row>
    <row r="783" spans="1:32">
      <c r="A783" s="1017"/>
      <c r="B783" s="1017"/>
      <c r="C783" s="1017"/>
      <c r="D783" s="1017"/>
      <c r="E783" s="1017"/>
      <c r="F783" s="1017"/>
      <c r="G783" s="1017"/>
      <c r="H783" s="1017"/>
      <c r="I783" s="1017"/>
      <c r="J783" s="1017"/>
      <c r="K783" s="1017"/>
      <c r="L783" s="1017"/>
      <c r="M783" s="1017"/>
      <c r="N783" s="1017"/>
      <c r="O783" s="1017"/>
      <c r="P783" s="1017"/>
      <c r="Q783" s="1017"/>
      <c r="R783" s="1017"/>
      <c r="S783" s="1017"/>
      <c r="T783" s="1351"/>
      <c r="U783" s="1017"/>
      <c r="V783" s="1017"/>
      <c r="W783" s="1017"/>
      <c r="X783" s="1017"/>
      <c r="Y783" s="1017"/>
      <c r="Z783" s="1017"/>
      <c r="AA783" s="1017"/>
      <c r="AB783" s="1017"/>
      <c r="AC783" s="1017"/>
      <c r="AD783" s="1017"/>
      <c r="AE783" s="1017"/>
      <c r="AF783" s="1017"/>
    </row>
    <row r="784" spans="1:32">
      <c r="A784" s="1017"/>
      <c r="B784" s="1017"/>
      <c r="C784" s="1017"/>
      <c r="D784" s="1017"/>
      <c r="E784" s="1017"/>
      <c r="F784" s="1017"/>
      <c r="G784" s="1017"/>
      <c r="H784" s="1017"/>
      <c r="I784" s="1017"/>
      <c r="J784" s="1017"/>
      <c r="K784" s="1017"/>
      <c r="L784" s="1017"/>
      <c r="M784" s="1017"/>
      <c r="N784" s="1017"/>
      <c r="O784" s="1017"/>
      <c r="P784" s="1017"/>
      <c r="Q784" s="1017"/>
      <c r="R784" s="1017"/>
      <c r="S784" s="1017"/>
      <c r="T784" s="1351"/>
      <c r="U784" s="1017"/>
      <c r="V784" s="1017"/>
      <c r="W784" s="1017"/>
      <c r="X784" s="1017"/>
      <c r="Y784" s="1017"/>
      <c r="Z784" s="1017"/>
      <c r="AA784" s="1017"/>
      <c r="AB784" s="1017"/>
      <c r="AC784" s="1017"/>
      <c r="AD784" s="1017"/>
      <c r="AE784" s="1017"/>
      <c r="AF784" s="1017"/>
    </row>
    <row r="785" spans="1:32">
      <c r="A785" s="1017"/>
      <c r="B785" s="1017"/>
      <c r="C785" s="1017"/>
      <c r="D785" s="1017"/>
      <c r="E785" s="1017"/>
      <c r="F785" s="1017"/>
      <c r="G785" s="1017"/>
      <c r="H785" s="1017"/>
      <c r="I785" s="1017"/>
      <c r="J785" s="1017"/>
      <c r="K785" s="1017"/>
      <c r="L785" s="1017"/>
      <c r="M785" s="1017"/>
      <c r="N785" s="1017"/>
      <c r="O785" s="1017"/>
      <c r="P785" s="1017"/>
      <c r="Q785" s="1017"/>
      <c r="R785" s="1017"/>
      <c r="S785" s="1017"/>
      <c r="T785" s="1351"/>
      <c r="U785" s="1017"/>
      <c r="V785" s="1017"/>
      <c r="W785" s="1017"/>
      <c r="X785" s="1017"/>
      <c r="Y785" s="1017"/>
      <c r="Z785" s="1017"/>
      <c r="AA785" s="1017"/>
      <c r="AB785" s="1017"/>
      <c r="AC785" s="1017"/>
      <c r="AD785" s="1017"/>
      <c r="AE785" s="1017"/>
      <c r="AF785" s="1017"/>
    </row>
    <row r="786" spans="1:32">
      <c r="A786" s="1017"/>
      <c r="B786" s="1017"/>
      <c r="C786" s="1017"/>
      <c r="D786" s="1017"/>
      <c r="E786" s="1017"/>
      <c r="F786" s="1017"/>
      <c r="G786" s="1017"/>
      <c r="H786" s="1017"/>
      <c r="I786" s="1017"/>
      <c r="J786" s="1017"/>
      <c r="K786" s="1017"/>
      <c r="L786" s="1017"/>
      <c r="M786" s="1017"/>
      <c r="N786" s="1017"/>
      <c r="O786" s="1017"/>
      <c r="P786" s="1017"/>
      <c r="Q786" s="1017"/>
      <c r="R786" s="1017"/>
      <c r="S786" s="1017"/>
      <c r="T786" s="1351"/>
      <c r="U786" s="1017"/>
      <c r="V786" s="1017"/>
      <c r="W786" s="1017"/>
      <c r="X786" s="1017"/>
      <c r="Y786" s="1017"/>
      <c r="Z786" s="1017"/>
      <c r="AA786" s="1017"/>
      <c r="AB786" s="1017"/>
      <c r="AC786" s="1017"/>
      <c r="AD786" s="1017"/>
      <c r="AE786" s="1017"/>
      <c r="AF786" s="1017"/>
    </row>
    <row r="787" spans="1:32">
      <c r="A787" s="1017"/>
      <c r="B787" s="1017"/>
      <c r="C787" s="1017"/>
      <c r="D787" s="1017"/>
      <c r="E787" s="1017"/>
      <c r="F787" s="1017"/>
      <c r="G787" s="1017"/>
      <c r="H787" s="1017"/>
      <c r="I787" s="1017"/>
      <c r="J787" s="1017"/>
      <c r="K787" s="1017"/>
      <c r="L787" s="1017"/>
      <c r="M787" s="1017"/>
      <c r="N787" s="1017"/>
      <c r="O787" s="1017"/>
      <c r="P787" s="1017"/>
      <c r="Q787" s="1017"/>
      <c r="R787" s="1017"/>
      <c r="S787" s="1017"/>
      <c r="T787" s="1351"/>
      <c r="U787" s="1017"/>
      <c r="V787" s="1017"/>
      <c r="W787" s="1017"/>
      <c r="X787" s="1017"/>
      <c r="Y787" s="1017"/>
      <c r="Z787" s="1017"/>
      <c r="AA787" s="1017"/>
      <c r="AB787" s="1017"/>
      <c r="AC787" s="1017"/>
      <c r="AD787" s="1017"/>
      <c r="AE787" s="1017"/>
      <c r="AF787" s="1017"/>
    </row>
    <row r="788" spans="1:32">
      <c r="A788" s="1017"/>
      <c r="B788" s="1017"/>
      <c r="C788" s="1017"/>
      <c r="D788" s="1017"/>
      <c r="E788" s="1017"/>
      <c r="F788" s="1017"/>
      <c r="G788" s="1017"/>
      <c r="H788" s="1017"/>
      <c r="I788" s="1017"/>
      <c r="J788" s="1017"/>
      <c r="K788" s="1017"/>
      <c r="L788" s="1017"/>
      <c r="M788" s="1017"/>
      <c r="N788" s="1017"/>
      <c r="O788" s="1017"/>
      <c r="P788" s="1017"/>
      <c r="Q788" s="1017"/>
      <c r="R788" s="1017"/>
      <c r="S788" s="1017"/>
      <c r="T788" s="1351"/>
      <c r="U788" s="1017"/>
      <c r="V788" s="1017"/>
      <c r="W788" s="1017"/>
      <c r="X788" s="1017"/>
      <c r="Y788" s="1017"/>
      <c r="Z788" s="1017"/>
      <c r="AA788" s="1017"/>
      <c r="AB788" s="1017"/>
      <c r="AC788" s="1017"/>
      <c r="AD788" s="1017"/>
      <c r="AE788" s="1017"/>
      <c r="AF788" s="1017"/>
    </row>
    <row r="789" spans="1:32">
      <c r="A789" s="1017"/>
      <c r="B789" s="1017"/>
      <c r="C789" s="1017"/>
      <c r="D789" s="1017"/>
      <c r="E789" s="1017"/>
      <c r="F789" s="1017"/>
      <c r="G789" s="1017"/>
      <c r="H789" s="1017"/>
      <c r="I789" s="1017"/>
      <c r="J789" s="1017"/>
      <c r="K789" s="1017"/>
      <c r="L789" s="1017"/>
      <c r="M789" s="1017"/>
      <c r="N789" s="1017"/>
      <c r="O789" s="1017"/>
      <c r="P789" s="1017"/>
      <c r="Q789" s="1017"/>
      <c r="R789" s="1017"/>
      <c r="S789" s="1017"/>
      <c r="T789" s="1351"/>
      <c r="U789" s="1017"/>
      <c r="V789" s="1017"/>
      <c r="W789" s="1017"/>
      <c r="X789" s="1017"/>
      <c r="Y789" s="1017"/>
      <c r="Z789" s="1017"/>
      <c r="AA789" s="1017"/>
      <c r="AB789" s="1017"/>
      <c r="AC789" s="1017"/>
      <c r="AD789" s="1017"/>
      <c r="AE789" s="1017"/>
      <c r="AF789" s="1017"/>
    </row>
    <row r="790" spans="1:32">
      <c r="A790" s="1017"/>
      <c r="B790" s="1017"/>
      <c r="C790" s="1017"/>
      <c r="D790" s="1017"/>
      <c r="E790" s="1017"/>
      <c r="F790" s="1017"/>
      <c r="G790" s="1017"/>
      <c r="H790" s="1017"/>
      <c r="I790" s="1017"/>
      <c r="J790" s="1017"/>
      <c r="K790" s="1017"/>
      <c r="L790" s="1017"/>
      <c r="M790" s="1017"/>
      <c r="N790" s="1017"/>
      <c r="O790" s="1017"/>
      <c r="P790" s="1017"/>
      <c r="Q790" s="1017"/>
      <c r="R790" s="1017"/>
      <c r="S790" s="1017"/>
      <c r="T790" s="1351"/>
      <c r="U790" s="1017"/>
      <c r="V790" s="1017"/>
      <c r="W790" s="1017"/>
      <c r="X790" s="1017"/>
      <c r="Y790" s="1017"/>
      <c r="Z790" s="1017"/>
      <c r="AA790" s="1017"/>
      <c r="AB790" s="1017"/>
      <c r="AC790" s="1017"/>
      <c r="AD790" s="1017"/>
      <c r="AE790" s="1017"/>
      <c r="AF790" s="1017"/>
    </row>
    <row r="791" spans="1:32">
      <c r="A791" s="1017"/>
      <c r="B791" s="1017"/>
      <c r="C791" s="1017"/>
      <c r="D791" s="1017"/>
      <c r="E791" s="1017"/>
      <c r="F791" s="1017"/>
      <c r="G791" s="1017"/>
      <c r="H791" s="1017"/>
      <c r="I791" s="1017"/>
      <c r="J791" s="1017"/>
      <c r="K791" s="1017"/>
      <c r="L791" s="1017"/>
      <c r="M791" s="1017"/>
      <c r="N791" s="1017"/>
      <c r="O791" s="1017"/>
      <c r="P791" s="1017"/>
      <c r="Q791" s="1017"/>
      <c r="R791" s="1017"/>
      <c r="S791" s="1017"/>
      <c r="T791" s="1351"/>
      <c r="U791" s="1017"/>
      <c r="V791" s="1017"/>
      <c r="W791" s="1017"/>
      <c r="X791" s="1017"/>
      <c r="Y791" s="1017"/>
      <c r="Z791" s="1017"/>
      <c r="AA791" s="1017"/>
      <c r="AB791" s="1017"/>
      <c r="AC791" s="1017"/>
      <c r="AD791" s="1017"/>
      <c r="AE791" s="1017"/>
      <c r="AF791" s="1017"/>
    </row>
    <row r="792" spans="1:32">
      <c r="A792" s="1017"/>
      <c r="B792" s="1017"/>
      <c r="C792" s="1017"/>
      <c r="D792" s="1017"/>
      <c r="E792" s="1017"/>
      <c r="F792" s="1017"/>
      <c r="G792" s="1017"/>
      <c r="H792" s="1017"/>
      <c r="I792" s="1017"/>
      <c r="J792" s="1017"/>
      <c r="K792" s="1017"/>
      <c r="L792" s="1017"/>
      <c r="M792" s="1017"/>
      <c r="N792" s="1017"/>
      <c r="O792" s="1017"/>
      <c r="P792" s="1017"/>
      <c r="Q792" s="1017"/>
      <c r="R792" s="1017"/>
      <c r="S792" s="1017"/>
      <c r="T792" s="1351"/>
      <c r="U792" s="1017"/>
      <c r="V792" s="1017"/>
      <c r="W792" s="1017"/>
      <c r="X792" s="1017"/>
      <c r="Y792" s="1017"/>
      <c r="Z792" s="1017"/>
      <c r="AA792" s="1017"/>
      <c r="AB792" s="1017"/>
      <c r="AC792" s="1017"/>
      <c r="AD792" s="1017"/>
      <c r="AE792" s="1017"/>
      <c r="AF792" s="1017"/>
    </row>
    <row r="793" spans="1:32">
      <c r="A793" s="1017"/>
      <c r="B793" s="1017"/>
      <c r="C793" s="1017"/>
      <c r="D793" s="1017"/>
      <c r="E793" s="1017"/>
      <c r="F793" s="1017"/>
      <c r="G793" s="1017"/>
      <c r="H793" s="1017"/>
      <c r="I793" s="1017"/>
      <c r="J793" s="1017"/>
      <c r="K793" s="1017"/>
      <c r="L793" s="1017"/>
      <c r="M793" s="1017"/>
      <c r="N793" s="1017"/>
      <c r="O793" s="1017"/>
      <c r="P793" s="1017"/>
      <c r="Q793" s="1017"/>
      <c r="R793" s="1017"/>
      <c r="S793" s="1017"/>
      <c r="T793" s="1351"/>
      <c r="U793" s="1017"/>
      <c r="V793" s="1017"/>
      <c r="W793" s="1017"/>
      <c r="X793" s="1017"/>
      <c r="Y793" s="1017"/>
      <c r="Z793" s="1017"/>
      <c r="AA793" s="1017"/>
      <c r="AB793" s="1017"/>
      <c r="AC793" s="1017"/>
      <c r="AD793" s="1017"/>
      <c r="AE793" s="1017"/>
      <c r="AF793" s="1017"/>
    </row>
    <row r="794" spans="1:32">
      <c r="A794" s="1017"/>
      <c r="B794" s="1017"/>
      <c r="C794" s="1017"/>
      <c r="D794" s="1017"/>
      <c r="E794" s="1017"/>
      <c r="F794" s="1017"/>
      <c r="G794" s="1017"/>
      <c r="H794" s="1017"/>
      <c r="I794" s="1017"/>
      <c r="J794" s="1017"/>
      <c r="K794" s="1017"/>
      <c r="L794" s="1017"/>
      <c r="M794" s="1017"/>
      <c r="N794" s="1017"/>
      <c r="O794" s="1017"/>
      <c r="P794" s="1017"/>
      <c r="Q794" s="1017"/>
      <c r="R794" s="1017"/>
      <c r="S794" s="1017"/>
      <c r="T794" s="1351"/>
      <c r="U794" s="1017"/>
      <c r="V794" s="1017"/>
      <c r="W794" s="1017"/>
      <c r="X794" s="1017"/>
      <c r="Y794" s="1017"/>
      <c r="Z794" s="1017"/>
      <c r="AA794" s="1017"/>
      <c r="AB794" s="1017"/>
      <c r="AC794" s="1017"/>
      <c r="AD794" s="1017"/>
      <c r="AE794" s="1017"/>
      <c r="AF794" s="1017"/>
    </row>
    <row r="795" spans="1:32">
      <c r="A795" s="1017"/>
      <c r="B795" s="1017"/>
      <c r="C795" s="1017"/>
      <c r="D795" s="1017"/>
      <c r="E795" s="1017"/>
      <c r="F795" s="1017"/>
      <c r="G795" s="1017"/>
      <c r="H795" s="1017"/>
      <c r="I795" s="1017"/>
      <c r="J795" s="1017"/>
      <c r="K795" s="1017"/>
      <c r="L795" s="1017"/>
      <c r="M795" s="1017"/>
      <c r="N795" s="1017"/>
      <c r="O795" s="1017"/>
      <c r="P795" s="1017"/>
      <c r="Q795" s="1017"/>
      <c r="R795" s="1017"/>
      <c r="S795" s="1017"/>
      <c r="T795" s="1351"/>
      <c r="U795" s="1017"/>
      <c r="V795" s="1017"/>
      <c r="W795" s="1017"/>
      <c r="X795" s="1017"/>
      <c r="Y795" s="1017"/>
      <c r="Z795" s="1017"/>
      <c r="AA795" s="1017"/>
      <c r="AB795" s="1017"/>
      <c r="AC795" s="1017"/>
      <c r="AD795" s="1017"/>
      <c r="AE795" s="1017"/>
      <c r="AF795" s="1017"/>
    </row>
    <row r="796" spans="1:32">
      <c r="A796" s="1017"/>
      <c r="B796" s="1017"/>
      <c r="C796" s="1017"/>
      <c r="D796" s="1017"/>
      <c r="E796" s="1017"/>
      <c r="F796" s="1017"/>
      <c r="G796" s="1017"/>
      <c r="H796" s="1017"/>
      <c r="I796" s="1017"/>
      <c r="J796" s="1017"/>
      <c r="K796" s="1017"/>
      <c r="L796" s="1017"/>
      <c r="M796" s="1017"/>
      <c r="N796" s="1017"/>
      <c r="O796" s="1017"/>
      <c r="P796" s="1017"/>
      <c r="Q796" s="1017"/>
      <c r="R796" s="1017"/>
      <c r="S796" s="1017"/>
      <c r="T796" s="1351"/>
      <c r="U796" s="1017"/>
      <c r="V796" s="1017"/>
      <c r="W796" s="1017"/>
      <c r="X796" s="1017"/>
      <c r="Y796" s="1017"/>
      <c r="Z796" s="1017"/>
      <c r="AA796" s="1017"/>
      <c r="AB796" s="1017"/>
      <c r="AC796" s="1017"/>
      <c r="AD796" s="1017"/>
      <c r="AE796" s="1017"/>
      <c r="AF796" s="1017"/>
    </row>
    <row r="797" spans="1:32">
      <c r="A797" s="1017"/>
      <c r="B797" s="1017"/>
      <c r="C797" s="1017"/>
      <c r="D797" s="1017"/>
      <c r="E797" s="1017"/>
      <c r="F797" s="1017"/>
      <c r="G797" s="1017"/>
      <c r="H797" s="1017"/>
      <c r="I797" s="1017"/>
      <c r="J797" s="1017"/>
      <c r="K797" s="1017"/>
      <c r="L797" s="1017"/>
      <c r="M797" s="1017"/>
      <c r="N797" s="1017"/>
      <c r="O797" s="1017"/>
      <c r="P797" s="1017"/>
      <c r="Q797" s="1017"/>
      <c r="R797" s="1017"/>
      <c r="S797" s="1017"/>
      <c r="T797" s="1351"/>
      <c r="U797" s="1017"/>
      <c r="V797" s="1017"/>
      <c r="W797" s="1017"/>
      <c r="X797" s="1017"/>
      <c r="Y797" s="1017"/>
      <c r="Z797" s="1017"/>
      <c r="AA797" s="1017"/>
      <c r="AB797" s="1017"/>
      <c r="AC797" s="1017"/>
      <c r="AD797" s="1017"/>
      <c r="AE797" s="1017"/>
      <c r="AF797" s="1017"/>
    </row>
    <row r="798" spans="1:32">
      <c r="A798" s="1017"/>
      <c r="B798" s="1017"/>
      <c r="C798" s="1017"/>
      <c r="D798" s="1017"/>
      <c r="E798" s="1017"/>
      <c r="F798" s="1017"/>
      <c r="G798" s="1017"/>
      <c r="H798" s="1017"/>
      <c r="I798" s="1017"/>
      <c r="J798" s="1017"/>
      <c r="K798" s="1017"/>
      <c r="L798" s="1017"/>
      <c r="M798" s="1017"/>
      <c r="N798" s="1017"/>
      <c r="O798" s="1017"/>
      <c r="P798" s="1017"/>
      <c r="Q798" s="1017"/>
      <c r="R798" s="1017"/>
      <c r="S798" s="1017"/>
      <c r="T798" s="1351"/>
      <c r="U798" s="1017"/>
      <c r="V798" s="1017"/>
      <c r="W798" s="1017"/>
      <c r="X798" s="1017"/>
      <c r="Y798" s="1017"/>
      <c r="Z798" s="1017"/>
      <c r="AA798" s="1017"/>
      <c r="AB798" s="1017"/>
      <c r="AC798" s="1017"/>
      <c r="AD798" s="1017"/>
      <c r="AE798" s="1017"/>
      <c r="AF798" s="1017"/>
    </row>
    <row r="799" spans="1:32">
      <c r="A799" s="1017"/>
      <c r="B799" s="1017"/>
      <c r="C799" s="1017"/>
      <c r="D799" s="1017"/>
      <c r="E799" s="1017"/>
      <c r="F799" s="1017"/>
      <c r="G799" s="1017"/>
      <c r="H799" s="1017"/>
      <c r="I799" s="1017"/>
      <c r="J799" s="1017"/>
      <c r="K799" s="1017"/>
      <c r="L799" s="1017"/>
      <c r="M799" s="1017"/>
      <c r="N799" s="1017"/>
      <c r="O799" s="1017"/>
      <c r="P799" s="1017"/>
      <c r="Q799" s="1017"/>
      <c r="R799" s="1017"/>
      <c r="S799" s="1017"/>
      <c r="T799" s="1351"/>
      <c r="U799" s="1017"/>
      <c r="V799" s="1017"/>
      <c r="W799" s="1017"/>
      <c r="X799" s="1017"/>
      <c r="Y799" s="1017"/>
      <c r="Z799" s="1017"/>
      <c r="AA799" s="1017"/>
      <c r="AB799" s="1017"/>
      <c r="AC799" s="1017"/>
      <c r="AD799" s="1017"/>
      <c r="AE799" s="1017"/>
      <c r="AF799" s="1017"/>
    </row>
    <row r="800" spans="1:32">
      <c r="A800" s="1017"/>
      <c r="B800" s="1017"/>
      <c r="C800" s="1017"/>
      <c r="D800" s="1017"/>
      <c r="E800" s="1017"/>
      <c r="F800" s="1017"/>
      <c r="G800" s="1017"/>
      <c r="H800" s="1017"/>
      <c r="I800" s="1017"/>
      <c r="J800" s="1017"/>
      <c r="K800" s="1017"/>
      <c r="L800" s="1017"/>
      <c r="M800" s="1017"/>
      <c r="N800" s="1017"/>
      <c r="O800" s="1017"/>
      <c r="P800" s="1017"/>
      <c r="Q800" s="1017"/>
      <c r="R800" s="1017"/>
      <c r="S800" s="1017"/>
      <c r="T800" s="1351"/>
      <c r="U800" s="1017"/>
      <c r="V800" s="1017"/>
      <c r="W800" s="1017"/>
      <c r="X800" s="1017"/>
      <c r="Y800" s="1017"/>
      <c r="Z800" s="1017"/>
      <c r="AA800" s="1017"/>
      <c r="AB800" s="1017"/>
      <c r="AC800" s="1017"/>
      <c r="AD800" s="1017"/>
      <c r="AE800" s="1017"/>
      <c r="AF800" s="1017"/>
    </row>
    <row r="801" spans="1:32">
      <c r="A801" s="1017"/>
      <c r="B801" s="1017"/>
      <c r="C801" s="1017"/>
      <c r="D801" s="1017"/>
      <c r="E801" s="1017"/>
      <c r="F801" s="1017"/>
      <c r="G801" s="1017"/>
      <c r="H801" s="1017"/>
      <c r="I801" s="1017"/>
      <c r="J801" s="1017"/>
      <c r="K801" s="1017"/>
      <c r="L801" s="1017"/>
      <c r="M801" s="1017"/>
      <c r="N801" s="1017"/>
      <c r="O801" s="1017"/>
      <c r="P801" s="1017"/>
      <c r="Q801" s="1017"/>
      <c r="R801" s="1017"/>
      <c r="S801" s="1017"/>
      <c r="T801" s="1351"/>
      <c r="U801" s="1017"/>
      <c r="V801" s="1017"/>
      <c r="W801" s="1017"/>
      <c r="X801" s="1017"/>
      <c r="Y801" s="1017"/>
      <c r="Z801" s="1017"/>
      <c r="AA801" s="1017"/>
      <c r="AB801" s="1017"/>
      <c r="AC801" s="1017"/>
      <c r="AD801" s="1017"/>
      <c r="AE801" s="1017"/>
      <c r="AF801" s="1017"/>
    </row>
    <row r="802" spans="1:32">
      <c r="A802" s="1017"/>
      <c r="B802" s="1017"/>
      <c r="C802" s="1017"/>
      <c r="D802" s="1017"/>
      <c r="E802" s="1017"/>
      <c r="F802" s="1017"/>
      <c r="G802" s="1017"/>
      <c r="H802" s="1017"/>
      <c r="I802" s="1017"/>
      <c r="J802" s="1017"/>
      <c r="K802" s="1017"/>
      <c r="L802" s="1017"/>
      <c r="M802" s="1017"/>
      <c r="N802" s="1017"/>
      <c r="O802" s="1017"/>
      <c r="P802" s="1017"/>
      <c r="Q802" s="1017"/>
      <c r="R802" s="1017"/>
      <c r="S802" s="1017"/>
      <c r="T802" s="1351"/>
      <c r="U802" s="1017"/>
      <c r="V802" s="1017"/>
      <c r="W802" s="1017"/>
      <c r="X802" s="1017"/>
      <c r="Y802" s="1017"/>
      <c r="Z802" s="1017"/>
      <c r="AA802" s="1017"/>
      <c r="AB802" s="1017"/>
      <c r="AC802" s="1017"/>
      <c r="AD802" s="1017"/>
      <c r="AE802" s="1017"/>
      <c r="AF802" s="1017"/>
    </row>
    <row r="803" spans="1:32">
      <c r="A803" s="1017"/>
      <c r="B803" s="1017"/>
      <c r="C803" s="1017"/>
      <c r="D803" s="1017"/>
      <c r="E803" s="1017"/>
      <c r="F803" s="1017"/>
      <c r="G803" s="1017"/>
      <c r="H803" s="1017"/>
      <c r="I803" s="1017"/>
      <c r="J803" s="1017"/>
      <c r="K803" s="1017"/>
      <c r="L803" s="1017"/>
      <c r="M803" s="1017"/>
      <c r="N803" s="1017"/>
      <c r="O803" s="1017"/>
      <c r="P803" s="1017"/>
      <c r="Q803" s="1017"/>
      <c r="R803" s="1017"/>
      <c r="S803" s="1017"/>
      <c r="T803" s="1351"/>
      <c r="U803" s="1017"/>
      <c r="V803" s="1017"/>
      <c r="W803" s="1017"/>
      <c r="X803" s="1017"/>
      <c r="Y803" s="1017"/>
      <c r="Z803" s="1017"/>
      <c r="AA803" s="1017"/>
      <c r="AB803" s="1017"/>
      <c r="AC803" s="1017"/>
      <c r="AD803" s="1017"/>
      <c r="AE803" s="1017"/>
      <c r="AF803" s="1017"/>
    </row>
    <row r="804" spans="1:32">
      <c r="A804" s="1017"/>
      <c r="B804" s="1017"/>
      <c r="C804" s="1017"/>
      <c r="D804" s="1017"/>
      <c r="E804" s="1017"/>
      <c r="F804" s="1017"/>
      <c r="G804" s="1017"/>
      <c r="H804" s="1017"/>
      <c r="I804" s="1017"/>
      <c r="J804" s="1017"/>
      <c r="K804" s="1017"/>
      <c r="L804" s="1017"/>
      <c r="M804" s="1017"/>
      <c r="N804" s="1017"/>
      <c r="O804" s="1017"/>
      <c r="P804" s="1017"/>
      <c r="Q804" s="1017"/>
      <c r="R804" s="1017"/>
      <c r="S804" s="1017"/>
      <c r="T804" s="1351"/>
      <c r="U804" s="1017"/>
      <c r="V804" s="1017"/>
      <c r="W804" s="1017"/>
      <c r="X804" s="1017"/>
      <c r="Y804" s="1017"/>
      <c r="Z804" s="1017"/>
      <c r="AA804" s="1017"/>
      <c r="AB804" s="1017"/>
      <c r="AC804" s="1017"/>
      <c r="AD804" s="1017"/>
      <c r="AE804" s="1017"/>
      <c r="AF804" s="1017"/>
    </row>
    <row r="805" spans="1:32">
      <c r="A805" s="1017"/>
      <c r="B805" s="1017"/>
      <c r="C805" s="1017"/>
      <c r="D805" s="1017"/>
      <c r="E805" s="1017"/>
      <c r="F805" s="1017"/>
      <c r="G805" s="1017"/>
      <c r="H805" s="1017"/>
      <c r="I805" s="1017"/>
      <c r="J805" s="1017"/>
      <c r="K805" s="1017"/>
      <c r="L805" s="1017"/>
      <c r="M805" s="1017"/>
      <c r="N805" s="1017"/>
      <c r="O805" s="1017"/>
      <c r="P805" s="1017"/>
      <c r="Q805" s="1017"/>
      <c r="R805" s="1017"/>
      <c r="S805" s="1017"/>
      <c r="T805" s="1351"/>
      <c r="U805" s="1017"/>
      <c r="V805" s="1017"/>
      <c r="W805" s="1017"/>
      <c r="X805" s="1017"/>
      <c r="Y805" s="1017"/>
      <c r="Z805" s="1017"/>
      <c r="AA805" s="1017"/>
      <c r="AB805" s="1017"/>
      <c r="AC805" s="1017"/>
      <c r="AD805" s="1017"/>
      <c r="AE805" s="1017"/>
      <c r="AF805" s="1017"/>
    </row>
    <row r="806" spans="1:32">
      <c r="A806" s="1017"/>
      <c r="B806" s="1017"/>
      <c r="C806" s="1017"/>
      <c r="D806" s="1017"/>
      <c r="E806" s="1017"/>
      <c r="F806" s="1017"/>
      <c r="G806" s="1017"/>
      <c r="H806" s="1017"/>
      <c r="I806" s="1017"/>
      <c r="J806" s="1017"/>
      <c r="K806" s="1017"/>
      <c r="L806" s="1017"/>
      <c r="M806" s="1017"/>
      <c r="N806" s="1017"/>
      <c r="O806" s="1017"/>
      <c r="P806" s="1017"/>
      <c r="Q806" s="1017"/>
      <c r="R806" s="1017"/>
      <c r="S806" s="1017"/>
      <c r="T806" s="1351"/>
      <c r="U806" s="1017"/>
      <c r="V806" s="1017"/>
      <c r="W806" s="1017"/>
      <c r="X806" s="1017"/>
      <c r="Y806" s="1017"/>
      <c r="Z806" s="1017"/>
      <c r="AA806" s="1017"/>
      <c r="AB806" s="1017"/>
      <c r="AC806" s="1017"/>
      <c r="AD806" s="1017"/>
      <c r="AE806" s="1017"/>
      <c r="AF806" s="1017"/>
    </row>
    <row r="807" spans="1:32">
      <c r="A807" s="1017"/>
      <c r="B807" s="1017"/>
      <c r="C807" s="1017"/>
      <c r="D807" s="1017"/>
      <c r="E807" s="1017"/>
      <c r="F807" s="1017"/>
      <c r="G807" s="1017"/>
      <c r="H807" s="1017"/>
      <c r="I807" s="1017"/>
      <c r="J807" s="1017"/>
      <c r="K807" s="1017"/>
      <c r="L807" s="1017"/>
      <c r="M807" s="1017"/>
      <c r="N807" s="1017"/>
      <c r="O807" s="1017"/>
      <c r="P807" s="1017"/>
      <c r="Q807" s="1017"/>
      <c r="R807" s="1017"/>
      <c r="S807" s="1017"/>
      <c r="T807" s="1351"/>
      <c r="U807" s="1017"/>
      <c r="V807" s="1017"/>
      <c r="W807" s="1017"/>
      <c r="X807" s="1017"/>
      <c r="Y807" s="1017"/>
      <c r="Z807" s="1017"/>
      <c r="AA807" s="1017"/>
      <c r="AB807" s="1017"/>
      <c r="AC807" s="1017"/>
      <c r="AD807" s="1017"/>
      <c r="AE807" s="1017"/>
      <c r="AF807" s="1017"/>
    </row>
    <row r="808" spans="1:32">
      <c r="A808" s="1017"/>
      <c r="B808" s="1017"/>
      <c r="C808" s="1017"/>
      <c r="D808" s="1017"/>
      <c r="E808" s="1017"/>
      <c r="F808" s="1017"/>
      <c r="G808" s="1017"/>
      <c r="H808" s="1017"/>
      <c r="I808" s="1017"/>
      <c r="J808" s="1017"/>
      <c r="K808" s="1017"/>
      <c r="L808" s="1017"/>
      <c r="M808" s="1017"/>
      <c r="N808" s="1017"/>
      <c r="O808" s="1017"/>
      <c r="P808" s="1017"/>
      <c r="Q808" s="1017"/>
      <c r="R808" s="1017"/>
      <c r="S808" s="1017"/>
      <c r="T808" s="1351"/>
      <c r="U808" s="1017"/>
      <c r="V808" s="1017"/>
      <c r="W808" s="1017"/>
      <c r="X808" s="1017"/>
      <c r="Y808" s="1017"/>
      <c r="Z808" s="1017"/>
      <c r="AA808" s="1017"/>
      <c r="AB808" s="1017"/>
      <c r="AC808" s="1017"/>
      <c r="AD808" s="1017"/>
      <c r="AE808" s="1017"/>
      <c r="AF808" s="1017"/>
    </row>
    <row r="809" spans="1:32">
      <c r="A809" s="1017"/>
      <c r="B809" s="1017"/>
      <c r="C809" s="1017"/>
      <c r="D809" s="1017"/>
      <c r="E809" s="1017"/>
      <c r="F809" s="1017"/>
      <c r="G809" s="1017"/>
      <c r="H809" s="1017"/>
      <c r="I809" s="1017"/>
      <c r="J809" s="1017"/>
      <c r="K809" s="1017"/>
      <c r="L809" s="1017"/>
      <c r="M809" s="1017"/>
      <c r="N809" s="1017"/>
      <c r="O809" s="1017"/>
      <c r="P809" s="1017"/>
      <c r="Q809" s="1017"/>
      <c r="R809" s="1017"/>
      <c r="S809" s="1017"/>
      <c r="T809" s="1351"/>
      <c r="U809" s="1017"/>
      <c r="V809" s="1017"/>
      <c r="W809" s="1017"/>
      <c r="X809" s="1017"/>
      <c r="Y809" s="1017"/>
      <c r="Z809" s="1017"/>
      <c r="AA809" s="1017"/>
      <c r="AB809" s="1017"/>
      <c r="AC809" s="1017"/>
      <c r="AD809" s="1017"/>
      <c r="AE809" s="1017"/>
      <c r="AF809" s="1017"/>
    </row>
    <row r="810" spans="1:32">
      <c r="A810" s="1017"/>
      <c r="B810" s="1017"/>
      <c r="C810" s="1017"/>
      <c r="D810" s="1017"/>
      <c r="E810" s="1017"/>
      <c r="F810" s="1017"/>
      <c r="G810" s="1017"/>
      <c r="H810" s="1017"/>
      <c r="I810" s="1017"/>
      <c r="J810" s="1017"/>
      <c r="K810" s="1017"/>
      <c r="L810" s="1017"/>
      <c r="M810" s="1017"/>
      <c r="N810" s="1017"/>
      <c r="O810" s="1017"/>
      <c r="P810" s="1017"/>
      <c r="Q810" s="1017"/>
      <c r="R810" s="1017"/>
      <c r="S810" s="1017"/>
      <c r="T810" s="1351"/>
      <c r="U810" s="1017"/>
      <c r="V810" s="1017"/>
      <c r="W810" s="1017"/>
      <c r="X810" s="1017"/>
      <c r="Y810" s="1017"/>
      <c r="Z810" s="1017"/>
      <c r="AA810" s="1017"/>
      <c r="AB810" s="1017"/>
      <c r="AC810" s="1017"/>
      <c r="AD810" s="1017"/>
      <c r="AE810" s="1017"/>
      <c r="AF810" s="1017"/>
    </row>
    <row r="811" spans="1:32">
      <c r="A811" s="1017"/>
      <c r="B811" s="1017"/>
      <c r="C811" s="1017"/>
      <c r="D811" s="1017"/>
      <c r="E811" s="1017"/>
      <c r="F811" s="1017"/>
      <c r="G811" s="1017"/>
      <c r="H811" s="1017"/>
      <c r="I811" s="1017"/>
      <c r="J811" s="1017"/>
      <c r="K811" s="1017"/>
      <c r="L811" s="1017"/>
      <c r="M811" s="1017"/>
      <c r="N811" s="1017"/>
      <c r="O811" s="1017"/>
      <c r="P811" s="1017"/>
      <c r="Q811" s="1017"/>
      <c r="R811" s="1017"/>
      <c r="S811" s="1017"/>
      <c r="T811" s="1351"/>
      <c r="U811" s="1017"/>
      <c r="V811" s="1017"/>
      <c r="W811" s="1017"/>
      <c r="X811" s="1017"/>
      <c r="Y811" s="1017"/>
      <c r="Z811" s="1017"/>
      <c r="AA811" s="1017"/>
      <c r="AB811" s="1017"/>
      <c r="AC811" s="1017"/>
      <c r="AD811" s="1017"/>
      <c r="AE811" s="1017"/>
      <c r="AF811" s="1017"/>
    </row>
    <row r="812" spans="1:32">
      <c r="A812" s="1017"/>
      <c r="B812" s="1017"/>
      <c r="C812" s="1017"/>
      <c r="D812" s="1017"/>
      <c r="E812" s="1017"/>
      <c r="F812" s="1017"/>
      <c r="G812" s="1017"/>
      <c r="H812" s="1017"/>
      <c r="I812" s="1017"/>
      <c r="J812" s="1017"/>
      <c r="K812" s="1017"/>
      <c r="L812" s="1017"/>
      <c r="M812" s="1017"/>
      <c r="N812" s="1017"/>
      <c r="O812" s="1017"/>
      <c r="P812" s="1017"/>
      <c r="Q812" s="1017"/>
      <c r="R812" s="1017"/>
      <c r="S812" s="1017"/>
      <c r="T812" s="1351"/>
      <c r="U812" s="1017"/>
      <c r="V812" s="1017"/>
      <c r="W812" s="1017"/>
      <c r="X812" s="1017"/>
      <c r="Y812" s="1017"/>
      <c r="Z812" s="1017"/>
      <c r="AA812" s="1017"/>
      <c r="AB812" s="1017"/>
      <c r="AC812" s="1017"/>
      <c r="AD812" s="1017"/>
      <c r="AE812" s="1017"/>
      <c r="AF812" s="1017"/>
    </row>
    <row r="813" spans="1:32">
      <c r="A813" s="1017"/>
      <c r="B813" s="1017"/>
      <c r="C813" s="1017"/>
      <c r="D813" s="1017"/>
      <c r="E813" s="1017"/>
      <c r="F813" s="1017"/>
      <c r="G813" s="1017"/>
      <c r="H813" s="1017"/>
      <c r="I813" s="1017"/>
      <c r="J813" s="1017"/>
      <c r="K813" s="1017"/>
      <c r="L813" s="1017"/>
      <c r="M813" s="1017"/>
      <c r="N813" s="1017"/>
      <c r="O813" s="1017"/>
      <c r="P813" s="1017"/>
      <c r="Q813" s="1017"/>
      <c r="R813" s="1017"/>
      <c r="S813" s="1017"/>
      <c r="T813" s="1351"/>
      <c r="U813" s="1017"/>
      <c r="V813" s="1017"/>
      <c r="W813" s="1017"/>
      <c r="X813" s="1017"/>
      <c r="Y813" s="1017"/>
      <c r="Z813" s="1017"/>
      <c r="AA813" s="1017"/>
      <c r="AB813" s="1017"/>
      <c r="AC813" s="1017"/>
      <c r="AD813" s="1017"/>
      <c r="AE813" s="1017"/>
      <c r="AF813" s="1017"/>
    </row>
    <row r="814" spans="1:32">
      <c r="A814" s="1017"/>
      <c r="B814" s="1017"/>
      <c r="C814" s="1017"/>
      <c r="D814" s="1017"/>
      <c r="E814" s="1017"/>
      <c r="F814" s="1017"/>
      <c r="G814" s="1017"/>
      <c r="H814" s="1017"/>
      <c r="I814" s="1017"/>
      <c r="J814" s="1017"/>
      <c r="K814" s="1017"/>
      <c r="L814" s="1017"/>
      <c r="M814" s="1017"/>
      <c r="N814" s="1017"/>
      <c r="O814" s="1017"/>
      <c r="P814" s="1017"/>
      <c r="Q814" s="1017"/>
      <c r="R814" s="1017"/>
      <c r="S814" s="1017"/>
      <c r="T814" s="1351"/>
      <c r="U814" s="1017"/>
      <c r="V814" s="1017"/>
      <c r="W814" s="1017"/>
      <c r="X814" s="1017"/>
      <c r="Y814" s="1017"/>
      <c r="Z814" s="1017"/>
      <c r="AA814" s="1017"/>
      <c r="AB814" s="1017"/>
      <c r="AC814" s="1017"/>
      <c r="AD814" s="1017"/>
      <c r="AE814" s="1017"/>
      <c r="AF814" s="1017"/>
    </row>
    <row r="815" spans="1:32">
      <c r="A815" s="1017"/>
      <c r="B815" s="1017"/>
      <c r="C815" s="1017"/>
      <c r="D815" s="1017"/>
      <c r="E815" s="1017"/>
      <c r="F815" s="1017"/>
      <c r="G815" s="1017"/>
      <c r="H815" s="1017"/>
      <c r="I815" s="1017"/>
      <c r="J815" s="1017"/>
      <c r="K815" s="1017"/>
      <c r="L815" s="1017"/>
      <c r="M815" s="1017"/>
      <c r="N815" s="1017"/>
      <c r="O815" s="1017"/>
      <c r="P815" s="1017"/>
      <c r="Q815" s="1017"/>
      <c r="R815" s="1017"/>
      <c r="S815" s="1017"/>
      <c r="T815" s="1351"/>
      <c r="U815" s="1017"/>
      <c r="V815" s="1017"/>
      <c r="W815" s="1017"/>
      <c r="X815" s="1017"/>
      <c r="Y815" s="1017"/>
      <c r="Z815" s="1017"/>
      <c r="AA815" s="1017"/>
      <c r="AB815" s="1017"/>
      <c r="AC815" s="1017"/>
      <c r="AD815" s="1017"/>
      <c r="AE815" s="1017"/>
      <c r="AF815" s="1017"/>
    </row>
    <row r="816" spans="1:32">
      <c r="A816" s="1017"/>
      <c r="B816" s="1017"/>
      <c r="C816" s="1017"/>
      <c r="D816" s="1017"/>
      <c r="E816" s="1017"/>
      <c r="F816" s="1017"/>
      <c r="G816" s="1017"/>
      <c r="H816" s="1017"/>
      <c r="I816" s="1017"/>
      <c r="J816" s="1017"/>
      <c r="K816" s="1017"/>
      <c r="L816" s="1017"/>
      <c r="M816" s="1017"/>
      <c r="N816" s="1017"/>
      <c r="O816" s="1017"/>
      <c r="P816" s="1017"/>
      <c r="Q816" s="1017"/>
      <c r="R816" s="1017"/>
      <c r="S816" s="1017"/>
      <c r="T816" s="1351"/>
      <c r="U816" s="1017"/>
      <c r="V816" s="1017"/>
      <c r="W816" s="1017"/>
      <c r="X816" s="1017"/>
      <c r="Y816" s="1017"/>
      <c r="Z816" s="1017"/>
      <c r="AA816" s="1017"/>
      <c r="AB816" s="1017"/>
      <c r="AC816" s="1017"/>
      <c r="AD816" s="1017"/>
      <c r="AE816" s="1017"/>
      <c r="AF816" s="1017"/>
    </row>
    <row r="817" spans="1:32">
      <c r="A817" s="1017"/>
      <c r="B817" s="1017"/>
      <c r="C817" s="1017"/>
      <c r="D817" s="1017"/>
      <c r="E817" s="1017"/>
      <c r="F817" s="1017"/>
      <c r="G817" s="1017"/>
      <c r="H817" s="1017"/>
      <c r="I817" s="1017"/>
      <c r="J817" s="1017"/>
      <c r="K817" s="1017"/>
      <c r="L817" s="1017"/>
      <c r="M817" s="1017"/>
      <c r="N817" s="1017"/>
      <c r="O817" s="1017"/>
      <c r="P817" s="1017"/>
      <c r="Q817" s="1017"/>
      <c r="R817" s="1017"/>
      <c r="S817" s="1017"/>
      <c r="T817" s="1351"/>
      <c r="U817" s="1017"/>
      <c r="V817" s="1017"/>
      <c r="W817" s="1017"/>
      <c r="X817" s="1017"/>
      <c r="Y817" s="1017"/>
      <c r="Z817" s="1017"/>
      <c r="AA817" s="1017"/>
      <c r="AB817" s="1017"/>
      <c r="AC817" s="1017"/>
      <c r="AD817" s="1017"/>
      <c r="AE817" s="1017"/>
      <c r="AF817" s="1017"/>
    </row>
    <row r="818" spans="1:32">
      <c r="A818" s="1017"/>
      <c r="B818" s="1017"/>
      <c r="C818" s="1017"/>
      <c r="D818" s="1017"/>
      <c r="E818" s="1017"/>
      <c r="F818" s="1017"/>
      <c r="G818" s="1017"/>
      <c r="H818" s="1017"/>
      <c r="I818" s="1017"/>
      <c r="J818" s="1017"/>
      <c r="K818" s="1017"/>
      <c r="L818" s="1017"/>
      <c r="M818" s="1017"/>
      <c r="N818" s="1017"/>
      <c r="O818" s="1017"/>
      <c r="P818" s="1017"/>
      <c r="Q818" s="1017"/>
      <c r="R818" s="1017"/>
      <c r="S818" s="1017"/>
      <c r="T818" s="1351"/>
      <c r="U818" s="1017"/>
      <c r="V818" s="1017"/>
      <c r="W818" s="1017"/>
      <c r="X818" s="1017"/>
      <c r="Y818" s="1017"/>
      <c r="Z818" s="1017"/>
      <c r="AA818" s="1017"/>
      <c r="AB818" s="1017"/>
      <c r="AC818" s="1017"/>
      <c r="AD818" s="1017"/>
      <c r="AE818" s="1017"/>
      <c r="AF818" s="1017"/>
    </row>
    <row r="819" spans="1:32">
      <c r="A819" s="1017"/>
      <c r="B819" s="1017"/>
      <c r="C819" s="1017"/>
      <c r="D819" s="1017"/>
      <c r="E819" s="1017"/>
      <c r="F819" s="1017"/>
      <c r="G819" s="1017"/>
      <c r="H819" s="1017"/>
      <c r="I819" s="1017"/>
      <c r="J819" s="1017"/>
      <c r="K819" s="1017"/>
      <c r="L819" s="1017"/>
      <c r="M819" s="1017"/>
      <c r="N819" s="1017"/>
      <c r="O819" s="1017"/>
      <c r="P819" s="1017"/>
      <c r="Q819" s="1017"/>
      <c r="R819" s="1017"/>
      <c r="S819" s="1017"/>
      <c r="T819" s="1351"/>
      <c r="U819" s="1017"/>
      <c r="V819" s="1017"/>
      <c r="W819" s="1017"/>
      <c r="X819" s="1017"/>
      <c r="Y819" s="1017"/>
      <c r="Z819" s="1017"/>
      <c r="AA819" s="1017"/>
      <c r="AB819" s="1017"/>
      <c r="AC819" s="1017"/>
      <c r="AD819" s="1017"/>
      <c r="AE819" s="1017"/>
      <c r="AF819" s="1017"/>
    </row>
    <row r="820" spans="1:32">
      <c r="A820" s="1017"/>
      <c r="B820" s="1017"/>
      <c r="C820" s="1017"/>
      <c r="D820" s="1017"/>
      <c r="E820" s="1017"/>
      <c r="F820" s="1017"/>
      <c r="G820" s="1017"/>
      <c r="H820" s="1017"/>
      <c r="I820" s="1017"/>
      <c r="J820" s="1017"/>
      <c r="K820" s="1017"/>
      <c r="L820" s="1017"/>
      <c r="M820" s="1017"/>
      <c r="N820" s="1017"/>
      <c r="O820" s="1017"/>
      <c r="P820" s="1017"/>
      <c r="Q820" s="1017"/>
      <c r="R820" s="1017"/>
      <c r="S820" s="1017"/>
      <c r="T820" s="1351"/>
      <c r="U820" s="1017"/>
      <c r="V820" s="1017"/>
      <c r="W820" s="1017"/>
      <c r="X820" s="1017"/>
      <c r="Y820" s="1017"/>
      <c r="Z820" s="1017"/>
      <c r="AA820" s="1017"/>
      <c r="AB820" s="1017"/>
      <c r="AC820" s="1017"/>
      <c r="AD820" s="1017"/>
      <c r="AE820" s="1017"/>
      <c r="AF820" s="1017"/>
    </row>
    <row r="821" spans="1:32">
      <c r="A821" s="1017"/>
      <c r="B821" s="1017"/>
      <c r="C821" s="1017"/>
      <c r="D821" s="1017"/>
      <c r="E821" s="1017"/>
      <c r="F821" s="1017"/>
      <c r="G821" s="1017"/>
      <c r="H821" s="1017"/>
      <c r="I821" s="1017"/>
      <c r="J821" s="1017"/>
      <c r="K821" s="1017"/>
      <c r="L821" s="1017"/>
      <c r="M821" s="1017"/>
      <c r="N821" s="1017"/>
      <c r="O821" s="1017"/>
      <c r="P821" s="1017"/>
      <c r="Q821" s="1017"/>
      <c r="R821" s="1017"/>
      <c r="S821" s="1017"/>
      <c r="T821" s="1351"/>
      <c r="U821" s="1017"/>
      <c r="V821" s="1017"/>
      <c r="W821" s="1017"/>
      <c r="X821" s="1017"/>
      <c r="Y821" s="1017"/>
      <c r="Z821" s="1017"/>
      <c r="AA821" s="1017"/>
      <c r="AB821" s="1017"/>
      <c r="AC821" s="1017"/>
      <c r="AD821" s="1017"/>
      <c r="AE821" s="1017"/>
      <c r="AF821" s="1017"/>
    </row>
    <row r="822" spans="1:32">
      <c r="A822" s="1017"/>
      <c r="B822" s="1017"/>
      <c r="C822" s="1017"/>
      <c r="D822" s="1017"/>
      <c r="E822" s="1017"/>
      <c r="F822" s="1017"/>
      <c r="G822" s="1017"/>
      <c r="H822" s="1017"/>
      <c r="I822" s="1017"/>
      <c r="J822" s="1017"/>
      <c r="K822" s="1017"/>
      <c r="L822" s="1017"/>
      <c r="M822" s="1017"/>
      <c r="N822" s="1017"/>
      <c r="O822" s="1017"/>
      <c r="P822" s="1017"/>
      <c r="Q822" s="1017"/>
      <c r="R822" s="1017"/>
      <c r="S822" s="1017"/>
      <c r="T822" s="1351"/>
      <c r="U822" s="1017"/>
      <c r="V822" s="1017"/>
      <c r="W822" s="1017"/>
      <c r="X822" s="1017"/>
      <c r="Y822" s="1017"/>
      <c r="Z822" s="1017"/>
      <c r="AA822" s="1017"/>
      <c r="AB822" s="1017"/>
      <c r="AC822" s="1017"/>
      <c r="AD822" s="1017"/>
      <c r="AE822" s="1017"/>
      <c r="AF822" s="1017"/>
    </row>
    <row r="823" spans="1:32">
      <c r="A823" s="1017"/>
      <c r="B823" s="1017"/>
      <c r="C823" s="1017"/>
      <c r="D823" s="1017"/>
      <c r="E823" s="1017"/>
      <c r="F823" s="1017"/>
      <c r="G823" s="1017"/>
      <c r="H823" s="1017"/>
      <c r="I823" s="1017"/>
      <c r="J823" s="1017"/>
      <c r="K823" s="1017"/>
      <c r="L823" s="1017"/>
      <c r="M823" s="1017"/>
      <c r="N823" s="1017"/>
      <c r="O823" s="1017"/>
      <c r="P823" s="1017"/>
      <c r="Q823" s="1017"/>
      <c r="R823" s="1017"/>
      <c r="S823" s="1017"/>
      <c r="T823" s="1351"/>
      <c r="U823" s="1017"/>
      <c r="V823" s="1017"/>
      <c r="W823" s="1017"/>
      <c r="X823" s="1017"/>
      <c r="Y823" s="1017"/>
      <c r="Z823" s="1017"/>
      <c r="AA823" s="1017"/>
      <c r="AB823" s="1017"/>
      <c r="AC823" s="1017"/>
      <c r="AD823" s="1017"/>
      <c r="AE823" s="1017"/>
      <c r="AF823" s="1017"/>
    </row>
    <row r="824" spans="1:32">
      <c r="A824" s="1017"/>
      <c r="B824" s="1017"/>
      <c r="C824" s="1017"/>
      <c r="D824" s="1017"/>
      <c r="E824" s="1017"/>
      <c r="F824" s="1017"/>
      <c r="G824" s="1017"/>
      <c r="H824" s="1017"/>
      <c r="I824" s="1017"/>
      <c r="J824" s="1017"/>
      <c r="K824" s="1017"/>
      <c r="L824" s="1017"/>
      <c r="M824" s="1017"/>
      <c r="N824" s="1017"/>
      <c r="O824" s="1017"/>
      <c r="P824" s="1017"/>
      <c r="Q824" s="1017"/>
      <c r="R824" s="1017"/>
      <c r="S824" s="1017"/>
      <c r="T824" s="1351"/>
      <c r="U824" s="1017"/>
      <c r="V824" s="1017"/>
      <c r="W824" s="1017"/>
      <c r="X824" s="1017"/>
      <c r="Y824" s="1017"/>
      <c r="Z824" s="1017"/>
      <c r="AA824" s="1017"/>
      <c r="AB824" s="1017"/>
      <c r="AC824" s="1017"/>
      <c r="AD824" s="1017"/>
      <c r="AE824" s="1017"/>
      <c r="AF824" s="1017"/>
    </row>
    <row r="825" spans="1:32">
      <c r="A825" s="1017"/>
      <c r="B825" s="1017"/>
      <c r="C825" s="1017"/>
      <c r="D825" s="1017"/>
      <c r="E825" s="1017"/>
      <c r="F825" s="1017"/>
      <c r="G825" s="1017"/>
      <c r="H825" s="1017"/>
      <c r="I825" s="1017"/>
      <c r="J825" s="1017"/>
      <c r="K825" s="1017"/>
      <c r="L825" s="1017"/>
      <c r="M825" s="1017"/>
      <c r="N825" s="1017"/>
      <c r="O825" s="1017"/>
      <c r="P825" s="1017"/>
      <c r="Q825" s="1017"/>
      <c r="R825" s="1017"/>
      <c r="S825" s="1017"/>
      <c r="T825" s="1351"/>
      <c r="U825" s="1017"/>
      <c r="V825" s="1017"/>
      <c r="W825" s="1017"/>
      <c r="X825" s="1017"/>
      <c r="Y825" s="1017"/>
      <c r="Z825" s="1017"/>
      <c r="AA825" s="1017"/>
      <c r="AB825" s="1017"/>
      <c r="AC825" s="1017"/>
      <c r="AD825" s="1017"/>
      <c r="AE825" s="1017"/>
      <c r="AF825" s="1017"/>
    </row>
    <row r="826" spans="1:32">
      <c r="A826" s="1017"/>
      <c r="B826" s="1017"/>
      <c r="C826" s="1017"/>
      <c r="D826" s="1017"/>
      <c r="E826" s="1017"/>
      <c r="F826" s="1017"/>
      <c r="G826" s="1017"/>
      <c r="H826" s="1017"/>
      <c r="I826" s="1017"/>
      <c r="J826" s="1017"/>
      <c r="K826" s="1017"/>
      <c r="L826" s="1017"/>
      <c r="M826" s="1017"/>
      <c r="N826" s="1017"/>
      <c r="O826" s="1017"/>
      <c r="P826" s="1017"/>
      <c r="Q826" s="1017"/>
      <c r="R826" s="1017"/>
      <c r="S826" s="1017"/>
      <c r="T826" s="1351"/>
      <c r="U826" s="1017"/>
      <c r="V826" s="1017"/>
      <c r="W826" s="1017"/>
      <c r="X826" s="1017"/>
      <c r="Y826" s="1017"/>
      <c r="Z826" s="1017"/>
      <c r="AA826" s="1017"/>
      <c r="AB826" s="1017"/>
      <c r="AC826" s="1017"/>
      <c r="AD826" s="1017"/>
      <c r="AE826" s="1017"/>
      <c r="AF826" s="1017"/>
    </row>
    <row r="827" spans="1:32">
      <c r="A827" s="1017"/>
      <c r="B827" s="1017"/>
      <c r="C827" s="1017"/>
      <c r="D827" s="1017"/>
      <c r="E827" s="1017"/>
      <c r="F827" s="1017"/>
      <c r="G827" s="1017"/>
      <c r="H827" s="1017"/>
      <c r="I827" s="1017"/>
      <c r="J827" s="1017"/>
      <c r="K827" s="1017"/>
      <c r="L827" s="1017"/>
      <c r="M827" s="1017"/>
      <c r="N827" s="1017"/>
      <c r="O827" s="1017"/>
      <c r="P827" s="1017"/>
      <c r="Q827" s="1017"/>
      <c r="R827" s="1017"/>
      <c r="S827" s="1017"/>
      <c r="T827" s="1351"/>
      <c r="U827" s="1017"/>
      <c r="V827" s="1017"/>
      <c r="W827" s="1017"/>
      <c r="X827" s="1017"/>
      <c r="Y827" s="1017"/>
      <c r="Z827" s="1017"/>
      <c r="AA827" s="1017"/>
      <c r="AB827" s="1017"/>
      <c r="AC827" s="1017"/>
      <c r="AD827" s="1017"/>
      <c r="AE827" s="1017"/>
      <c r="AF827" s="1017"/>
    </row>
    <row r="828" spans="1:32">
      <c r="A828" s="1017"/>
      <c r="B828" s="1017"/>
      <c r="C828" s="1017"/>
      <c r="D828" s="1017"/>
      <c r="E828" s="1017"/>
      <c r="F828" s="1017"/>
      <c r="G828" s="1017"/>
      <c r="H828" s="1017"/>
      <c r="I828" s="1017"/>
      <c r="J828" s="1017"/>
      <c r="K828" s="1017"/>
      <c r="L828" s="1017"/>
      <c r="M828" s="1017"/>
      <c r="N828" s="1017"/>
      <c r="O828" s="1017"/>
      <c r="P828" s="1017"/>
      <c r="Q828" s="1017"/>
      <c r="R828" s="1017"/>
      <c r="S828" s="1017"/>
      <c r="T828" s="1351"/>
      <c r="U828" s="1017"/>
      <c r="V828" s="1017"/>
      <c r="W828" s="1017"/>
      <c r="X828" s="1017"/>
      <c r="Y828" s="1017"/>
      <c r="Z828" s="1017"/>
      <c r="AA828" s="1017"/>
      <c r="AB828" s="1017"/>
      <c r="AC828" s="1017"/>
      <c r="AD828" s="1017"/>
      <c r="AE828" s="1017"/>
      <c r="AF828" s="1017"/>
    </row>
    <row r="829" spans="1:32">
      <c r="A829" s="1017"/>
      <c r="B829" s="1017"/>
      <c r="C829" s="1017"/>
      <c r="D829" s="1017"/>
      <c r="E829" s="1017"/>
      <c r="F829" s="1017"/>
      <c r="G829" s="1017"/>
      <c r="H829" s="1017"/>
      <c r="I829" s="1017"/>
      <c r="J829" s="1017"/>
      <c r="K829" s="1017"/>
      <c r="L829" s="1017"/>
      <c r="M829" s="1017"/>
      <c r="N829" s="1017"/>
      <c r="O829" s="1017"/>
      <c r="P829" s="1017"/>
      <c r="Q829" s="1017"/>
      <c r="R829" s="1017"/>
      <c r="S829" s="1017"/>
      <c r="T829" s="1351"/>
      <c r="U829" s="1017"/>
      <c r="V829" s="1017"/>
      <c r="W829" s="1017"/>
      <c r="X829" s="1017"/>
      <c r="Y829" s="1017"/>
      <c r="Z829" s="1017"/>
      <c r="AA829" s="1017"/>
      <c r="AB829" s="1017"/>
      <c r="AC829" s="1017"/>
      <c r="AD829" s="1017"/>
      <c r="AE829" s="1017"/>
      <c r="AF829" s="1017"/>
    </row>
    <row r="830" spans="1:32">
      <c r="A830" s="1017"/>
      <c r="B830" s="1017"/>
      <c r="C830" s="1017"/>
      <c r="D830" s="1017"/>
      <c r="E830" s="1017"/>
      <c r="F830" s="1017"/>
      <c r="G830" s="1017"/>
      <c r="H830" s="1017"/>
      <c r="I830" s="1017"/>
      <c r="J830" s="1017"/>
      <c r="K830" s="1017"/>
      <c r="L830" s="1017"/>
      <c r="M830" s="1017"/>
      <c r="N830" s="1017"/>
      <c r="O830" s="1017"/>
      <c r="P830" s="1017"/>
      <c r="Q830" s="1017"/>
      <c r="R830" s="1017"/>
      <c r="S830" s="1017"/>
      <c r="T830" s="1351"/>
      <c r="U830" s="1017"/>
      <c r="V830" s="1017"/>
      <c r="W830" s="1017"/>
      <c r="X830" s="1017"/>
      <c r="Y830" s="1017"/>
      <c r="Z830" s="1017"/>
      <c r="AA830" s="1017"/>
      <c r="AB830" s="1017"/>
      <c r="AC830" s="1017"/>
      <c r="AD830" s="1017"/>
      <c r="AE830" s="1017"/>
      <c r="AF830" s="1017"/>
    </row>
    <row r="831" spans="1:32">
      <c r="A831" s="1017"/>
      <c r="B831" s="1017"/>
      <c r="C831" s="1017"/>
      <c r="D831" s="1017"/>
      <c r="E831" s="1017"/>
      <c r="F831" s="1017"/>
      <c r="G831" s="1017"/>
      <c r="H831" s="1017"/>
      <c r="I831" s="1017"/>
      <c r="J831" s="1017"/>
      <c r="K831" s="1017"/>
      <c r="L831" s="1017"/>
      <c r="M831" s="1017"/>
      <c r="N831" s="1017"/>
      <c r="O831" s="1017"/>
      <c r="P831" s="1017"/>
      <c r="Q831" s="1017"/>
      <c r="R831" s="1017"/>
      <c r="S831" s="1017"/>
      <c r="T831" s="1351"/>
      <c r="U831" s="1017"/>
      <c r="V831" s="1017"/>
      <c r="W831" s="1017"/>
      <c r="X831" s="1017"/>
      <c r="Y831" s="1017"/>
      <c r="Z831" s="1017"/>
      <c r="AA831" s="1017"/>
      <c r="AB831" s="1017"/>
      <c r="AC831" s="1017"/>
      <c r="AD831" s="1017"/>
      <c r="AE831" s="1017"/>
      <c r="AF831" s="1017"/>
    </row>
    <row r="832" spans="1:32">
      <c r="A832" s="1017"/>
      <c r="B832" s="1017"/>
      <c r="C832" s="1017"/>
      <c r="D832" s="1017"/>
      <c r="E832" s="1017"/>
      <c r="F832" s="1017"/>
      <c r="G832" s="1017"/>
      <c r="H832" s="1017"/>
      <c r="I832" s="1017"/>
      <c r="J832" s="1017"/>
      <c r="K832" s="1017"/>
      <c r="L832" s="1017"/>
      <c r="M832" s="1017"/>
      <c r="N832" s="1017"/>
      <c r="O832" s="1017"/>
      <c r="P832" s="1017"/>
      <c r="Q832" s="1017"/>
      <c r="R832" s="1017"/>
      <c r="S832" s="1017"/>
      <c r="T832" s="1351"/>
      <c r="U832" s="1017"/>
      <c r="V832" s="1017"/>
      <c r="W832" s="1017"/>
      <c r="X832" s="1017"/>
      <c r="Y832" s="1017"/>
      <c r="Z832" s="1017"/>
      <c r="AA832" s="1017"/>
      <c r="AB832" s="1017"/>
      <c r="AC832" s="1017"/>
      <c r="AD832" s="1017"/>
      <c r="AE832" s="1017"/>
      <c r="AF832" s="1017"/>
    </row>
    <row r="833" spans="1:32">
      <c r="A833" s="1017"/>
      <c r="B833" s="1017"/>
      <c r="C833" s="1017"/>
      <c r="D833" s="1017"/>
      <c r="E833" s="1017"/>
      <c r="F833" s="1017"/>
      <c r="G833" s="1017"/>
      <c r="H833" s="1017"/>
      <c r="I833" s="1017"/>
      <c r="J833" s="1017"/>
      <c r="K833" s="1017"/>
      <c r="L833" s="1017"/>
      <c r="M833" s="1017"/>
      <c r="N833" s="1017"/>
      <c r="O833" s="1017"/>
      <c r="P833" s="1017"/>
      <c r="Q833" s="1017"/>
      <c r="R833" s="1017"/>
      <c r="S833" s="1017"/>
      <c r="T833" s="1351"/>
      <c r="U833" s="1017"/>
      <c r="V833" s="1017"/>
      <c r="W833" s="1017"/>
      <c r="X833" s="1017"/>
      <c r="Y833" s="1017"/>
      <c r="Z833" s="1017"/>
      <c r="AA833" s="1017"/>
      <c r="AB833" s="1017"/>
      <c r="AC833" s="1017"/>
      <c r="AD833" s="1017"/>
      <c r="AE833" s="1017"/>
      <c r="AF833" s="1017"/>
    </row>
    <row r="834" spans="1:32">
      <c r="A834" s="1017"/>
      <c r="B834" s="1017"/>
      <c r="C834" s="1017"/>
      <c r="D834" s="1017"/>
      <c r="E834" s="1017"/>
      <c r="F834" s="1017"/>
      <c r="G834" s="1017"/>
      <c r="H834" s="1017"/>
      <c r="I834" s="1017"/>
      <c r="J834" s="1017"/>
      <c r="K834" s="1017"/>
      <c r="L834" s="1017"/>
      <c r="M834" s="1017"/>
      <c r="N834" s="1017"/>
      <c r="O834" s="1017"/>
      <c r="P834" s="1017"/>
      <c r="Q834" s="1017"/>
      <c r="R834" s="1017"/>
      <c r="S834" s="1017"/>
      <c r="T834" s="1351"/>
      <c r="U834" s="1017"/>
      <c r="V834" s="1017"/>
      <c r="W834" s="1017"/>
      <c r="X834" s="1017"/>
      <c r="Y834" s="1017"/>
      <c r="Z834" s="1017"/>
      <c r="AA834" s="1017"/>
      <c r="AB834" s="1017"/>
      <c r="AC834" s="1017"/>
      <c r="AD834" s="1017"/>
      <c r="AE834" s="1017"/>
      <c r="AF834" s="1017"/>
    </row>
    <row r="835" spans="1:32">
      <c r="A835" s="1017"/>
      <c r="B835" s="1017"/>
      <c r="C835" s="1017"/>
      <c r="D835" s="1017"/>
      <c r="E835" s="1017"/>
      <c r="F835" s="1017"/>
      <c r="G835" s="1017"/>
      <c r="H835" s="1017"/>
      <c r="I835" s="1017"/>
      <c r="J835" s="1017"/>
      <c r="K835" s="1017"/>
      <c r="L835" s="1017"/>
      <c r="M835" s="1017"/>
      <c r="N835" s="1017"/>
      <c r="O835" s="1017"/>
      <c r="P835" s="1017"/>
      <c r="Q835" s="1017"/>
      <c r="R835" s="1017"/>
      <c r="S835" s="1017"/>
      <c r="T835" s="1351"/>
      <c r="U835" s="1017"/>
      <c r="V835" s="1017"/>
      <c r="W835" s="1017"/>
      <c r="X835" s="1017"/>
      <c r="Y835" s="1017"/>
      <c r="Z835" s="1017"/>
      <c r="AA835" s="1017"/>
      <c r="AB835" s="1017"/>
      <c r="AC835" s="1017"/>
      <c r="AD835" s="1017"/>
      <c r="AE835" s="1017"/>
      <c r="AF835" s="1017"/>
    </row>
    <row r="836" spans="1:32">
      <c r="A836" s="1017"/>
      <c r="B836" s="1017"/>
      <c r="C836" s="1017"/>
      <c r="D836" s="1017"/>
      <c r="E836" s="1017"/>
      <c r="F836" s="1017"/>
      <c r="G836" s="1017"/>
      <c r="H836" s="1017"/>
      <c r="I836" s="1017"/>
      <c r="J836" s="1017"/>
      <c r="K836" s="1017"/>
      <c r="L836" s="1017"/>
      <c r="M836" s="1017"/>
      <c r="N836" s="1017"/>
      <c r="O836" s="1017"/>
      <c r="P836" s="1017"/>
      <c r="Q836" s="1017"/>
      <c r="R836" s="1017"/>
      <c r="S836" s="1017"/>
      <c r="T836" s="1351"/>
      <c r="U836" s="1017"/>
      <c r="V836" s="1017"/>
      <c r="W836" s="1017"/>
      <c r="X836" s="1017"/>
      <c r="Y836" s="1017"/>
      <c r="Z836" s="1017"/>
      <c r="AA836" s="1017"/>
      <c r="AB836" s="1017"/>
      <c r="AC836" s="1017"/>
      <c r="AD836" s="1017"/>
      <c r="AE836" s="1017"/>
      <c r="AF836" s="1017"/>
    </row>
    <row r="837" spans="1:32">
      <c r="A837" s="1017"/>
      <c r="B837" s="1017"/>
      <c r="C837" s="1017"/>
      <c r="D837" s="1017"/>
      <c r="E837" s="1017"/>
      <c r="F837" s="1017"/>
      <c r="G837" s="1017"/>
      <c r="H837" s="1017"/>
      <c r="I837" s="1017"/>
      <c r="J837" s="1017"/>
      <c r="K837" s="1017"/>
      <c r="L837" s="1017"/>
      <c r="M837" s="1017"/>
      <c r="N837" s="1017"/>
      <c r="O837" s="1017"/>
      <c r="P837" s="1017"/>
      <c r="Q837" s="1017"/>
      <c r="R837" s="1017"/>
      <c r="S837" s="1017"/>
      <c r="T837" s="1351"/>
      <c r="U837" s="1017"/>
      <c r="V837" s="1017"/>
      <c r="W837" s="1017"/>
      <c r="X837" s="1017"/>
      <c r="Y837" s="1017"/>
      <c r="Z837" s="1017"/>
      <c r="AA837" s="1017"/>
      <c r="AB837" s="1017"/>
      <c r="AC837" s="1017"/>
      <c r="AD837" s="1017"/>
      <c r="AE837" s="1017"/>
      <c r="AF837" s="1017"/>
    </row>
    <row r="838" spans="1:32">
      <c r="A838" s="1017"/>
      <c r="B838" s="1017"/>
      <c r="C838" s="1017"/>
      <c r="D838" s="1017"/>
      <c r="E838" s="1017"/>
      <c r="F838" s="1017"/>
      <c r="G838" s="1017"/>
      <c r="H838" s="1017"/>
      <c r="I838" s="1017"/>
      <c r="J838" s="1017"/>
      <c r="K838" s="1017"/>
      <c r="L838" s="1017"/>
      <c r="M838" s="1017"/>
      <c r="N838" s="1017"/>
      <c r="O838" s="1017"/>
      <c r="P838" s="1017"/>
      <c r="Q838" s="1017"/>
      <c r="R838" s="1017"/>
      <c r="S838" s="1017"/>
      <c r="T838" s="1351"/>
      <c r="U838" s="1017"/>
      <c r="V838" s="1017"/>
      <c r="W838" s="1017"/>
      <c r="X838" s="1017"/>
      <c r="Y838" s="1017"/>
      <c r="Z838" s="1017"/>
      <c r="AA838" s="1017"/>
      <c r="AB838" s="1017"/>
      <c r="AC838" s="1017"/>
      <c r="AD838" s="1017"/>
      <c r="AE838" s="1017"/>
      <c r="AF838" s="1017"/>
    </row>
    <row r="839" spans="1:32">
      <c r="A839" s="1017"/>
      <c r="B839" s="1017"/>
      <c r="C839" s="1017"/>
      <c r="D839" s="1017"/>
      <c r="E839" s="1017"/>
      <c r="F839" s="1017"/>
      <c r="G839" s="1017"/>
      <c r="H839" s="1017"/>
      <c r="I839" s="1017"/>
      <c r="J839" s="1017"/>
      <c r="K839" s="1017"/>
      <c r="L839" s="1017"/>
      <c r="M839" s="1017"/>
      <c r="N839" s="1017"/>
      <c r="O839" s="1017"/>
      <c r="P839" s="1017"/>
      <c r="Q839" s="1017"/>
      <c r="R839" s="1017"/>
      <c r="S839" s="1017"/>
      <c r="T839" s="1351"/>
      <c r="U839" s="1017"/>
      <c r="V839" s="1017"/>
      <c r="W839" s="1017"/>
      <c r="X839" s="1017"/>
      <c r="Y839" s="1017"/>
      <c r="Z839" s="1017"/>
      <c r="AA839" s="1017"/>
      <c r="AB839" s="1017"/>
      <c r="AC839" s="1017"/>
      <c r="AD839" s="1017"/>
      <c r="AE839" s="1017"/>
      <c r="AF839" s="1017"/>
    </row>
    <row r="840" spans="1:32">
      <c r="A840" s="1017"/>
      <c r="B840" s="1017"/>
      <c r="C840" s="1017"/>
      <c r="D840" s="1017"/>
      <c r="E840" s="1017"/>
      <c r="F840" s="1017"/>
      <c r="G840" s="1017"/>
      <c r="H840" s="1017"/>
      <c r="I840" s="1017"/>
      <c r="J840" s="1017"/>
      <c r="K840" s="1017"/>
      <c r="L840" s="1017"/>
      <c r="M840" s="1017"/>
      <c r="N840" s="1017"/>
      <c r="O840" s="1017"/>
      <c r="P840" s="1017"/>
      <c r="Q840" s="1017"/>
      <c r="R840" s="1017"/>
      <c r="S840" s="1017"/>
      <c r="T840" s="1351"/>
      <c r="U840" s="1017"/>
      <c r="V840" s="1017"/>
      <c r="W840" s="1017"/>
      <c r="X840" s="1017"/>
      <c r="Y840" s="1017"/>
      <c r="Z840" s="1017"/>
      <c r="AA840" s="1017"/>
      <c r="AB840" s="1017"/>
      <c r="AC840" s="1017"/>
      <c r="AD840" s="1017"/>
      <c r="AE840" s="1017"/>
      <c r="AF840" s="1017"/>
    </row>
    <row r="841" spans="1:32">
      <c r="A841" s="1017"/>
      <c r="B841" s="1017"/>
      <c r="C841" s="1017"/>
      <c r="D841" s="1017"/>
      <c r="E841" s="1017"/>
      <c r="F841" s="1017"/>
      <c r="G841" s="1017"/>
      <c r="H841" s="1017"/>
      <c r="I841" s="1017"/>
      <c r="J841" s="1017"/>
      <c r="K841" s="1017"/>
      <c r="L841" s="1017"/>
      <c r="M841" s="1017"/>
      <c r="N841" s="1017"/>
      <c r="O841" s="1017"/>
      <c r="P841" s="1017"/>
      <c r="Q841" s="1017"/>
      <c r="R841" s="1017"/>
      <c r="S841" s="1017"/>
      <c r="T841" s="1351"/>
      <c r="U841" s="1017"/>
      <c r="V841" s="1017"/>
      <c r="W841" s="1017"/>
      <c r="X841" s="1017"/>
      <c r="Y841" s="1017"/>
      <c r="Z841" s="1017"/>
      <c r="AA841" s="1017"/>
      <c r="AB841" s="1017"/>
      <c r="AC841" s="1017"/>
      <c r="AD841" s="1017"/>
      <c r="AE841" s="1017"/>
      <c r="AF841" s="1017"/>
    </row>
    <row r="842" spans="1:32">
      <c r="A842" s="1017"/>
      <c r="B842" s="1017"/>
      <c r="C842" s="1017"/>
      <c r="D842" s="1017"/>
      <c r="E842" s="1017"/>
      <c r="F842" s="1017"/>
      <c r="G842" s="1017"/>
      <c r="H842" s="1017"/>
      <c r="I842" s="1017"/>
      <c r="J842" s="1017"/>
      <c r="K842" s="1017"/>
      <c r="L842" s="1017"/>
      <c r="M842" s="1017"/>
      <c r="N842" s="1017"/>
      <c r="O842" s="1017"/>
      <c r="P842" s="1017"/>
      <c r="Q842" s="1017"/>
      <c r="R842" s="1017"/>
      <c r="S842" s="1017"/>
      <c r="T842" s="1351"/>
      <c r="U842" s="1017"/>
      <c r="V842" s="1017"/>
      <c r="W842" s="1017"/>
      <c r="X842" s="1017"/>
      <c r="Y842" s="1017"/>
      <c r="Z842" s="1017"/>
      <c r="AA842" s="1017"/>
      <c r="AB842" s="1017"/>
      <c r="AC842" s="1017"/>
      <c r="AD842" s="1017"/>
      <c r="AE842" s="1017"/>
      <c r="AF842" s="1017"/>
    </row>
    <row r="843" spans="1:32">
      <c r="A843" s="1017"/>
      <c r="B843" s="1017"/>
      <c r="C843" s="1017"/>
      <c r="D843" s="1017"/>
      <c r="E843" s="1017"/>
      <c r="F843" s="1017"/>
      <c r="G843" s="1017"/>
      <c r="H843" s="1017"/>
      <c r="I843" s="1017"/>
      <c r="J843" s="1017"/>
      <c r="K843" s="1017"/>
      <c r="L843" s="1017"/>
      <c r="M843" s="1017"/>
      <c r="N843" s="1017"/>
      <c r="O843" s="1017"/>
      <c r="P843" s="1017"/>
      <c r="Q843" s="1017"/>
      <c r="R843" s="1017"/>
      <c r="S843" s="1017"/>
      <c r="T843" s="1351"/>
      <c r="U843" s="1017"/>
      <c r="V843" s="1017"/>
      <c r="W843" s="1017"/>
      <c r="X843" s="1017"/>
      <c r="Y843" s="1017"/>
      <c r="Z843" s="1017"/>
      <c r="AA843" s="1017"/>
      <c r="AB843" s="1017"/>
      <c r="AC843" s="1017"/>
      <c r="AD843" s="1017"/>
      <c r="AE843" s="1017"/>
      <c r="AF843" s="1017"/>
    </row>
    <row r="844" spans="1:32">
      <c r="A844" s="1017"/>
      <c r="B844" s="1017"/>
      <c r="C844" s="1017"/>
      <c r="D844" s="1017"/>
      <c r="E844" s="1017"/>
      <c r="F844" s="1017"/>
      <c r="G844" s="1017"/>
      <c r="H844" s="1017"/>
      <c r="I844" s="1017"/>
      <c r="J844" s="1017"/>
      <c r="K844" s="1017"/>
      <c r="L844" s="1017"/>
      <c r="M844" s="1017"/>
      <c r="N844" s="1017"/>
      <c r="O844" s="1017"/>
      <c r="P844" s="1017"/>
      <c r="Q844" s="1017"/>
      <c r="R844" s="1017"/>
      <c r="S844" s="1017"/>
      <c r="T844" s="1351"/>
      <c r="U844" s="1017"/>
      <c r="V844" s="1017"/>
      <c r="W844" s="1017"/>
      <c r="X844" s="1017"/>
      <c r="Y844" s="1017"/>
      <c r="Z844" s="1017"/>
      <c r="AA844" s="1017"/>
      <c r="AB844" s="1017"/>
      <c r="AC844" s="1017"/>
      <c r="AD844" s="1017"/>
      <c r="AE844" s="1017"/>
      <c r="AF844" s="1017"/>
    </row>
    <row r="845" spans="1:32">
      <c r="A845" s="1017"/>
      <c r="B845" s="1017"/>
      <c r="C845" s="1017"/>
      <c r="D845" s="1017"/>
      <c r="E845" s="1017"/>
      <c r="F845" s="1017"/>
      <c r="G845" s="1017"/>
      <c r="H845" s="1017"/>
      <c r="I845" s="1017"/>
      <c r="J845" s="1017"/>
      <c r="K845" s="1017"/>
      <c r="L845" s="1017"/>
      <c r="M845" s="1017"/>
      <c r="N845" s="1017"/>
      <c r="O845" s="1017"/>
      <c r="P845" s="1017"/>
      <c r="Q845" s="1017"/>
      <c r="R845" s="1017"/>
      <c r="S845" s="1017"/>
      <c r="T845" s="1351"/>
      <c r="U845" s="1017"/>
      <c r="V845" s="1017"/>
      <c r="W845" s="1017"/>
      <c r="X845" s="1017"/>
      <c r="Y845" s="1017"/>
      <c r="Z845" s="1017"/>
      <c r="AA845" s="1017"/>
      <c r="AB845" s="1017"/>
      <c r="AC845" s="1017"/>
      <c r="AD845" s="1017"/>
      <c r="AE845" s="1017"/>
      <c r="AF845" s="1017"/>
    </row>
    <row r="846" spans="1:32">
      <c r="A846" s="1017"/>
      <c r="B846" s="1017"/>
      <c r="C846" s="1017"/>
      <c r="D846" s="1017"/>
      <c r="E846" s="1017"/>
      <c r="F846" s="1017"/>
      <c r="G846" s="1017"/>
      <c r="H846" s="1017"/>
      <c r="I846" s="1017"/>
      <c r="J846" s="1017"/>
      <c r="K846" s="1017"/>
      <c r="L846" s="1017"/>
      <c r="M846" s="1017"/>
      <c r="N846" s="1017"/>
      <c r="O846" s="1017"/>
      <c r="P846" s="1017"/>
      <c r="Q846" s="1017"/>
      <c r="R846" s="1017"/>
      <c r="S846" s="1017"/>
      <c r="T846" s="1351"/>
      <c r="U846" s="1017"/>
      <c r="V846" s="1017"/>
      <c r="W846" s="1017"/>
      <c r="X846" s="1017"/>
      <c r="Y846" s="1017"/>
      <c r="Z846" s="1017"/>
      <c r="AA846" s="1017"/>
      <c r="AB846" s="1017"/>
      <c r="AC846" s="1017"/>
      <c r="AD846" s="1017"/>
      <c r="AE846" s="1017"/>
      <c r="AF846" s="1017"/>
    </row>
    <row r="847" spans="1:32">
      <c r="A847" s="1017"/>
      <c r="B847" s="1017"/>
      <c r="C847" s="1017"/>
      <c r="D847" s="1017"/>
      <c r="E847" s="1017"/>
      <c r="F847" s="1017"/>
      <c r="G847" s="1017"/>
      <c r="H847" s="1017"/>
      <c r="I847" s="1017"/>
      <c r="J847" s="1017"/>
      <c r="K847" s="1017"/>
      <c r="L847" s="1017"/>
      <c r="M847" s="1017"/>
      <c r="N847" s="1017"/>
      <c r="O847" s="1017"/>
      <c r="P847" s="1017"/>
      <c r="Q847" s="1017"/>
      <c r="R847" s="1017"/>
      <c r="S847" s="1017"/>
      <c r="T847" s="1351"/>
      <c r="U847" s="1017"/>
      <c r="V847" s="1017"/>
      <c r="W847" s="1017"/>
      <c r="X847" s="1017"/>
      <c r="Y847" s="1017"/>
      <c r="Z847" s="1017"/>
      <c r="AA847" s="1017"/>
      <c r="AB847" s="1017"/>
      <c r="AC847" s="1017"/>
      <c r="AD847" s="1017"/>
      <c r="AE847" s="1017"/>
      <c r="AF847" s="1017"/>
    </row>
    <row r="848" spans="1:32">
      <c r="A848" s="1017"/>
      <c r="B848" s="1017"/>
      <c r="C848" s="1017"/>
      <c r="D848" s="1017"/>
      <c r="E848" s="1017"/>
      <c r="F848" s="1017"/>
      <c r="G848" s="1017"/>
      <c r="H848" s="1017"/>
      <c r="I848" s="1017"/>
      <c r="J848" s="1017"/>
      <c r="K848" s="1017"/>
      <c r="L848" s="1017"/>
      <c r="M848" s="1017"/>
      <c r="N848" s="1017"/>
      <c r="O848" s="1017"/>
      <c r="P848" s="1017"/>
      <c r="Q848" s="1017"/>
      <c r="R848" s="1017"/>
      <c r="S848" s="1017"/>
      <c r="T848" s="1351"/>
      <c r="U848" s="1017"/>
      <c r="V848" s="1017"/>
      <c r="W848" s="1017"/>
      <c r="X848" s="1017"/>
      <c r="Y848" s="1017"/>
      <c r="Z848" s="1017"/>
      <c r="AA848" s="1017"/>
      <c r="AB848" s="1017"/>
      <c r="AC848" s="1017"/>
      <c r="AD848" s="1017"/>
      <c r="AE848" s="1017"/>
      <c r="AF848" s="1017"/>
    </row>
    <row r="849" spans="1:32">
      <c r="A849" s="1017"/>
      <c r="B849" s="1017"/>
      <c r="C849" s="1017"/>
      <c r="D849" s="1017"/>
      <c r="E849" s="1017"/>
      <c r="F849" s="1017"/>
      <c r="G849" s="1017"/>
      <c r="H849" s="1017"/>
      <c r="I849" s="1017"/>
      <c r="J849" s="1017"/>
      <c r="K849" s="1017"/>
      <c r="L849" s="1017"/>
      <c r="M849" s="1017"/>
      <c r="N849" s="1017"/>
      <c r="O849" s="1017"/>
      <c r="P849" s="1017"/>
      <c r="Q849" s="1017"/>
      <c r="R849" s="1017"/>
      <c r="S849" s="1017"/>
      <c r="T849" s="1351"/>
      <c r="U849" s="1017"/>
      <c r="V849" s="1017"/>
      <c r="W849" s="1017"/>
      <c r="X849" s="1017"/>
      <c r="Y849" s="1017"/>
      <c r="Z849" s="1017"/>
      <c r="AA849" s="1017"/>
      <c r="AB849" s="1017"/>
      <c r="AC849" s="1017"/>
      <c r="AD849" s="1017"/>
      <c r="AE849" s="1017"/>
      <c r="AF849" s="1017"/>
    </row>
    <row r="850" spans="1:32">
      <c r="A850" s="1017"/>
      <c r="B850" s="1017"/>
      <c r="C850" s="1017"/>
      <c r="D850" s="1017"/>
      <c r="E850" s="1017"/>
      <c r="F850" s="1017"/>
      <c r="G850" s="1017"/>
      <c r="H850" s="1017"/>
      <c r="I850" s="1017"/>
      <c r="J850" s="1017"/>
      <c r="K850" s="1017"/>
      <c r="L850" s="1017"/>
      <c r="M850" s="1017"/>
      <c r="N850" s="1017"/>
      <c r="O850" s="1017"/>
      <c r="P850" s="1017"/>
      <c r="Q850" s="1017"/>
      <c r="R850" s="1017"/>
      <c r="S850" s="1017"/>
      <c r="T850" s="1351"/>
      <c r="U850" s="1017"/>
      <c r="V850" s="1017"/>
      <c r="W850" s="1017"/>
      <c r="X850" s="1017"/>
      <c r="Y850" s="1017"/>
      <c r="Z850" s="1017"/>
      <c r="AA850" s="1017"/>
      <c r="AB850" s="1017"/>
      <c r="AC850" s="1017"/>
      <c r="AD850" s="1017"/>
      <c r="AE850" s="1017"/>
      <c r="AF850" s="1017"/>
    </row>
    <row r="851" spans="1:32">
      <c r="A851" s="1017"/>
      <c r="B851" s="1017"/>
      <c r="C851" s="1017"/>
      <c r="D851" s="1017"/>
      <c r="E851" s="1017"/>
      <c r="F851" s="1017"/>
      <c r="G851" s="1017"/>
      <c r="H851" s="1017"/>
      <c r="I851" s="1017"/>
      <c r="J851" s="1017"/>
      <c r="K851" s="1017"/>
      <c r="L851" s="1017"/>
      <c r="M851" s="1017"/>
      <c r="N851" s="1017"/>
      <c r="O851" s="1017"/>
      <c r="P851" s="1017"/>
      <c r="Q851" s="1017"/>
      <c r="R851" s="1017"/>
      <c r="S851" s="1017"/>
      <c r="T851" s="1351"/>
      <c r="U851" s="1017"/>
      <c r="V851" s="1017"/>
      <c r="W851" s="1017"/>
      <c r="X851" s="1017"/>
      <c r="Y851" s="1017"/>
      <c r="Z851" s="1017"/>
      <c r="AA851" s="1017"/>
      <c r="AB851" s="1017"/>
      <c r="AC851" s="1017"/>
      <c r="AD851" s="1017"/>
      <c r="AE851" s="1017"/>
      <c r="AF851" s="1017"/>
    </row>
    <row r="852" spans="1:32">
      <c r="A852" s="1017"/>
      <c r="B852" s="1017"/>
      <c r="C852" s="1017"/>
      <c r="D852" s="1017"/>
      <c r="E852" s="1017"/>
      <c r="F852" s="1017"/>
      <c r="G852" s="1017"/>
      <c r="H852" s="1017"/>
      <c r="I852" s="1017"/>
      <c r="J852" s="1017"/>
      <c r="K852" s="1017"/>
      <c r="L852" s="1017"/>
      <c r="M852" s="1017"/>
      <c r="N852" s="1017"/>
      <c r="O852" s="1017"/>
      <c r="P852" s="1017"/>
      <c r="Q852" s="1017"/>
      <c r="R852" s="1017"/>
      <c r="S852" s="1017"/>
      <c r="T852" s="1351"/>
      <c r="U852" s="1017"/>
      <c r="V852" s="1017"/>
      <c r="W852" s="1017"/>
      <c r="X852" s="1017"/>
      <c r="Y852" s="1017"/>
      <c r="Z852" s="1017"/>
      <c r="AA852" s="1017"/>
      <c r="AB852" s="1017"/>
      <c r="AC852" s="1017"/>
      <c r="AD852" s="1017"/>
      <c r="AE852" s="1017"/>
      <c r="AF852" s="1017"/>
    </row>
    <row r="853" spans="1:32">
      <c r="A853" s="1017"/>
      <c r="B853" s="1017"/>
      <c r="C853" s="1017"/>
      <c r="D853" s="1017"/>
      <c r="E853" s="1017"/>
      <c r="F853" s="1017"/>
      <c r="G853" s="1017"/>
      <c r="H853" s="1017"/>
      <c r="I853" s="1017"/>
      <c r="J853" s="1017"/>
      <c r="K853" s="1017"/>
      <c r="L853" s="1017"/>
      <c r="M853" s="1017"/>
      <c r="N853" s="1017"/>
      <c r="O853" s="1017"/>
      <c r="P853" s="1017"/>
      <c r="Q853" s="1017"/>
      <c r="R853" s="1017"/>
      <c r="S853" s="1017"/>
      <c r="T853" s="1351"/>
      <c r="U853" s="1017"/>
      <c r="V853" s="1017"/>
      <c r="W853" s="1017"/>
      <c r="X853" s="1017"/>
      <c r="Y853" s="1017"/>
      <c r="Z853" s="1017"/>
      <c r="AA853" s="1017"/>
      <c r="AB853" s="1017"/>
      <c r="AC853" s="1017"/>
      <c r="AD853" s="1017"/>
      <c r="AE853" s="1017"/>
      <c r="AF853" s="1017"/>
    </row>
    <row r="854" spans="1:32">
      <c r="A854" s="1017"/>
      <c r="B854" s="1017"/>
      <c r="C854" s="1017"/>
      <c r="D854" s="1017"/>
      <c r="E854" s="1017"/>
      <c r="F854" s="1017"/>
      <c r="G854" s="1017"/>
      <c r="H854" s="1017"/>
      <c r="I854" s="1017"/>
      <c r="J854" s="1017"/>
      <c r="K854" s="1017"/>
      <c r="L854" s="1017"/>
      <c r="M854" s="1017"/>
      <c r="N854" s="1017"/>
      <c r="O854" s="1017"/>
      <c r="P854" s="1017"/>
      <c r="Q854" s="1017"/>
      <c r="R854" s="1017"/>
      <c r="S854" s="1017"/>
      <c r="T854" s="1351"/>
      <c r="U854" s="1017"/>
      <c r="V854" s="1017"/>
      <c r="W854" s="1017"/>
      <c r="X854" s="1017"/>
      <c r="Y854" s="1017"/>
      <c r="Z854" s="1017"/>
      <c r="AA854" s="1017"/>
      <c r="AB854" s="1017"/>
      <c r="AC854" s="1017"/>
      <c r="AD854" s="1017"/>
      <c r="AE854" s="1017"/>
      <c r="AF854" s="1017"/>
    </row>
    <row r="855" spans="1:32">
      <c r="A855" s="1017"/>
      <c r="B855" s="1017"/>
      <c r="C855" s="1017"/>
      <c r="D855" s="1017"/>
      <c r="E855" s="1017"/>
      <c r="F855" s="1017"/>
      <c r="G855" s="1017"/>
      <c r="H855" s="1017"/>
      <c r="I855" s="1017"/>
      <c r="J855" s="1017"/>
      <c r="K855" s="1017"/>
      <c r="L855" s="1017"/>
      <c r="M855" s="1017"/>
      <c r="N855" s="1017"/>
      <c r="O855" s="1017"/>
      <c r="P855" s="1017"/>
      <c r="Q855" s="1017"/>
      <c r="R855" s="1017"/>
      <c r="S855" s="1017"/>
      <c r="T855" s="1351"/>
      <c r="U855" s="1017"/>
      <c r="V855" s="1017"/>
      <c r="W855" s="1017"/>
      <c r="X855" s="1017"/>
      <c r="Y855" s="1017"/>
      <c r="Z855" s="1017"/>
      <c r="AA855" s="1017"/>
      <c r="AB855" s="1017"/>
      <c r="AC855" s="1017"/>
      <c r="AD855" s="1017"/>
      <c r="AE855" s="1017"/>
      <c r="AF855" s="1017"/>
    </row>
    <row r="856" spans="1:32">
      <c r="A856" s="1017"/>
      <c r="B856" s="1017"/>
      <c r="C856" s="1017"/>
      <c r="D856" s="1017"/>
      <c r="E856" s="1017"/>
      <c r="F856" s="1017"/>
      <c r="G856" s="1017"/>
      <c r="H856" s="1017"/>
      <c r="I856" s="1017"/>
      <c r="J856" s="1017"/>
      <c r="K856" s="1017"/>
      <c r="L856" s="1017"/>
      <c r="M856" s="1017"/>
      <c r="N856" s="1017"/>
      <c r="O856" s="1017"/>
      <c r="P856" s="1017"/>
      <c r="Q856" s="1017"/>
      <c r="R856" s="1017"/>
      <c r="S856" s="1017"/>
      <c r="T856" s="1351"/>
      <c r="U856" s="1017"/>
      <c r="V856" s="1017"/>
      <c r="W856" s="1017"/>
      <c r="X856" s="1017"/>
      <c r="Y856" s="1017"/>
      <c r="Z856" s="1017"/>
      <c r="AA856" s="1017"/>
      <c r="AB856" s="1017"/>
      <c r="AC856" s="1017"/>
      <c r="AD856" s="1017"/>
      <c r="AE856" s="1017"/>
      <c r="AF856" s="1017"/>
    </row>
    <row r="857" spans="1:32">
      <c r="A857" s="1017"/>
      <c r="B857" s="1017"/>
      <c r="C857" s="1017"/>
      <c r="D857" s="1017"/>
      <c r="E857" s="1017"/>
      <c r="F857" s="1017"/>
      <c r="G857" s="1017"/>
      <c r="H857" s="1017"/>
      <c r="I857" s="1017"/>
      <c r="J857" s="1017"/>
      <c r="K857" s="1017"/>
      <c r="L857" s="1017"/>
      <c r="M857" s="1017"/>
      <c r="N857" s="1017"/>
      <c r="O857" s="1017"/>
      <c r="P857" s="1017"/>
      <c r="Q857" s="1017"/>
      <c r="R857" s="1017"/>
      <c r="S857" s="1017"/>
      <c r="T857" s="1351"/>
      <c r="U857" s="1017"/>
      <c r="V857" s="1017"/>
      <c r="W857" s="1017"/>
      <c r="X857" s="1017"/>
      <c r="Y857" s="1017"/>
      <c r="Z857" s="1017"/>
      <c r="AA857" s="1017"/>
      <c r="AB857" s="1017"/>
      <c r="AC857" s="1017"/>
      <c r="AD857" s="1017"/>
      <c r="AE857" s="1017"/>
      <c r="AF857" s="1017"/>
    </row>
    <row r="858" spans="1:32">
      <c r="A858" s="1017"/>
      <c r="B858" s="1017"/>
      <c r="C858" s="1017"/>
      <c r="D858" s="1017"/>
      <c r="E858" s="1017"/>
      <c r="F858" s="1017"/>
      <c r="G858" s="1017"/>
      <c r="H858" s="1017"/>
      <c r="I858" s="1017"/>
      <c r="J858" s="1017"/>
      <c r="K858" s="1017"/>
      <c r="L858" s="1017"/>
      <c r="M858" s="1017"/>
      <c r="N858" s="1017"/>
      <c r="O858" s="1017"/>
      <c r="P858" s="1017"/>
      <c r="Q858" s="1017"/>
      <c r="R858" s="1017"/>
      <c r="S858" s="1017"/>
      <c r="T858" s="1351"/>
      <c r="U858" s="1017"/>
      <c r="V858" s="1017"/>
      <c r="W858" s="1017"/>
      <c r="X858" s="1017"/>
      <c r="Y858" s="1017"/>
      <c r="Z858" s="1017"/>
      <c r="AA858" s="1017"/>
      <c r="AB858" s="1017"/>
      <c r="AC858" s="1017"/>
      <c r="AD858" s="1017"/>
      <c r="AE858" s="1017"/>
      <c r="AF858" s="1017"/>
    </row>
    <row r="859" spans="1:32">
      <c r="A859" s="1017"/>
      <c r="B859" s="1017"/>
      <c r="C859" s="1017"/>
      <c r="D859" s="1017"/>
      <c r="E859" s="1017"/>
      <c r="F859" s="1017"/>
      <c r="G859" s="1017"/>
      <c r="H859" s="1017"/>
      <c r="I859" s="1017"/>
      <c r="J859" s="1017"/>
      <c r="K859" s="1017"/>
      <c r="L859" s="1017"/>
      <c r="M859" s="1017"/>
      <c r="N859" s="1017"/>
      <c r="O859" s="1017"/>
      <c r="P859" s="1017"/>
      <c r="Q859" s="1017"/>
      <c r="R859" s="1017"/>
      <c r="S859" s="1017"/>
      <c r="T859" s="1351"/>
      <c r="U859" s="1017"/>
      <c r="V859" s="1017"/>
      <c r="W859" s="1017"/>
      <c r="X859" s="1017"/>
      <c r="Y859" s="1017"/>
      <c r="Z859" s="1017"/>
      <c r="AA859" s="1017"/>
      <c r="AB859" s="1017"/>
      <c r="AC859" s="1017"/>
      <c r="AD859" s="1017"/>
      <c r="AE859" s="1017"/>
      <c r="AF859" s="1017"/>
    </row>
    <row r="860" spans="1:32">
      <c r="A860" s="1017"/>
      <c r="B860" s="1017"/>
      <c r="C860" s="1017"/>
      <c r="D860" s="1017"/>
      <c r="E860" s="1017"/>
      <c r="F860" s="1017"/>
      <c r="G860" s="1017"/>
      <c r="H860" s="1017"/>
      <c r="I860" s="1017"/>
      <c r="J860" s="1017"/>
      <c r="K860" s="1017"/>
      <c r="L860" s="1017"/>
      <c r="M860" s="1017"/>
      <c r="N860" s="1017"/>
      <c r="O860" s="1017"/>
      <c r="P860" s="1017"/>
      <c r="Q860" s="1017"/>
      <c r="R860" s="1017"/>
      <c r="S860" s="1017"/>
      <c r="T860" s="1351"/>
      <c r="U860" s="1017"/>
      <c r="V860" s="1017"/>
      <c r="W860" s="1017"/>
      <c r="X860" s="1017"/>
      <c r="Y860" s="1017"/>
      <c r="Z860" s="1017"/>
      <c r="AA860" s="1017"/>
      <c r="AB860" s="1017"/>
      <c r="AC860" s="1017"/>
      <c r="AD860" s="1017"/>
      <c r="AE860" s="1017"/>
      <c r="AF860" s="1017"/>
    </row>
    <row r="861" spans="1:32">
      <c r="A861" s="1017"/>
      <c r="B861" s="1017"/>
      <c r="C861" s="1017"/>
      <c r="D861" s="1017"/>
      <c r="E861" s="1017"/>
      <c r="F861" s="1017"/>
      <c r="G861" s="1017"/>
      <c r="H861" s="1017"/>
      <c r="I861" s="1017"/>
      <c r="J861" s="1017"/>
      <c r="K861" s="1017"/>
      <c r="L861" s="1017"/>
      <c r="M861" s="1017"/>
      <c r="N861" s="1017"/>
      <c r="O861" s="1017"/>
      <c r="P861" s="1017"/>
      <c r="Q861" s="1017"/>
      <c r="R861" s="1017"/>
      <c r="S861" s="1017"/>
      <c r="T861" s="1351"/>
      <c r="U861" s="1017"/>
      <c r="V861" s="1017"/>
      <c r="W861" s="1017"/>
      <c r="X861" s="1017"/>
      <c r="Y861" s="1017"/>
      <c r="Z861" s="1017"/>
      <c r="AA861" s="1017"/>
      <c r="AB861" s="1017"/>
      <c r="AC861" s="1017"/>
      <c r="AD861" s="1017"/>
      <c r="AE861" s="1017"/>
      <c r="AF861" s="1017"/>
    </row>
    <row r="862" spans="1:32">
      <c r="A862" s="1017"/>
      <c r="B862" s="1017"/>
      <c r="C862" s="1017"/>
      <c r="D862" s="1017"/>
      <c r="E862" s="1017"/>
      <c r="F862" s="1017"/>
      <c r="G862" s="1017"/>
      <c r="H862" s="1017"/>
      <c r="I862" s="1017"/>
      <c r="J862" s="1017"/>
      <c r="K862" s="1017"/>
      <c r="L862" s="1017"/>
      <c r="M862" s="1017"/>
      <c r="N862" s="1017"/>
      <c r="O862" s="1017"/>
      <c r="P862" s="1017"/>
      <c r="Q862" s="1017"/>
      <c r="R862" s="1017"/>
      <c r="S862" s="1017"/>
      <c r="T862" s="1351"/>
      <c r="U862" s="1017"/>
      <c r="V862" s="1017"/>
      <c r="W862" s="1017"/>
      <c r="X862" s="1017"/>
      <c r="Y862" s="1017"/>
      <c r="Z862" s="1017"/>
      <c r="AA862" s="1017"/>
      <c r="AB862" s="1017"/>
      <c r="AC862" s="1017"/>
      <c r="AD862" s="1017"/>
      <c r="AE862" s="1017"/>
      <c r="AF862" s="1017"/>
    </row>
    <row r="863" spans="1:32">
      <c r="A863" s="1017"/>
      <c r="B863" s="1017"/>
      <c r="C863" s="1017"/>
      <c r="D863" s="1017"/>
      <c r="E863" s="1017"/>
      <c r="F863" s="1017"/>
      <c r="G863" s="1017"/>
      <c r="H863" s="1017"/>
      <c r="I863" s="1017"/>
      <c r="J863" s="1017"/>
      <c r="K863" s="1017"/>
      <c r="L863" s="1017"/>
      <c r="M863" s="1017"/>
      <c r="N863" s="1017"/>
      <c r="O863" s="1017"/>
      <c r="P863" s="1017"/>
      <c r="Q863" s="1017"/>
      <c r="R863" s="1017"/>
      <c r="S863" s="1017"/>
      <c r="T863" s="1351"/>
      <c r="U863" s="1017"/>
      <c r="V863" s="1017"/>
      <c r="W863" s="1017"/>
      <c r="X863" s="1017"/>
      <c r="Y863" s="1017"/>
      <c r="Z863" s="1017"/>
      <c r="AA863" s="1017"/>
      <c r="AB863" s="1017"/>
      <c r="AC863" s="1017"/>
      <c r="AD863" s="1017"/>
      <c r="AE863" s="1017"/>
      <c r="AF863" s="1017"/>
    </row>
    <row r="864" spans="1:32">
      <c r="A864" s="1017"/>
      <c r="B864" s="1017"/>
      <c r="C864" s="1017"/>
      <c r="D864" s="1017"/>
      <c r="E864" s="1017"/>
      <c r="F864" s="1017"/>
      <c r="G864" s="1017"/>
      <c r="H864" s="1017"/>
      <c r="I864" s="1017"/>
      <c r="J864" s="1017"/>
      <c r="K864" s="1017"/>
      <c r="L864" s="1017"/>
      <c r="M864" s="1017"/>
      <c r="N864" s="1017"/>
      <c r="O864" s="1017"/>
      <c r="P864" s="1017"/>
      <c r="Q864" s="1017"/>
      <c r="R864" s="1017"/>
      <c r="S864" s="1017"/>
      <c r="T864" s="1351"/>
      <c r="U864" s="1017"/>
      <c r="V864" s="1017"/>
      <c r="W864" s="1017"/>
      <c r="X864" s="1017"/>
      <c r="Y864" s="1017"/>
      <c r="Z864" s="1017"/>
      <c r="AA864" s="1017"/>
      <c r="AB864" s="1017"/>
      <c r="AC864" s="1017"/>
      <c r="AD864" s="1017"/>
      <c r="AE864" s="1017"/>
      <c r="AF864" s="1017"/>
    </row>
    <row r="865" spans="1:32">
      <c r="A865" s="1017"/>
      <c r="B865" s="1017"/>
      <c r="C865" s="1017"/>
      <c r="D865" s="1017"/>
      <c r="E865" s="1017"/>
      <c r="F865" s="1017"/>
      <c r="G865" s="1017"/>
      <c r="H865" s="1017"/>
      <c r="I865" s="1017"/>
      <c r="J865" s="1017"/>
      <c r="K865" s="1017"/>
      <c r="L865" s="1017"/>
      <c r="M865" s="1017"/>
      <c r="N865" s="1017"/>
      <c r="O865" s="1017"/>
      <c r="P865" s="1017"/>
      <c r="Q865" s="1017"/>
      <c r="R865" s="1017"/>
      <c r="S865" s="1017"/>
      <c r="T865" s="1351"/>
      <c r="U865" s="1017"/>
      <c r="V865" s="1017"/>
      <c r="W865" s="1017"/>
      <c r="X865" s="1017"/>
      <c r="Y865" s="1017"/>
      <c r="Z865" s="1017"/>
      <c r="AA865" s="1017"/>
      <c r="AB865" s="1017"/>
      <c r="AC865" s="1017"/>
      <c r="AD865" s="1017"/>
      <c r="AE865" s="1017"/>
      <c r="AF865" s="1017"/>
    </row>
    <row r="866" spans="1:32">
      <c r="A866" s="1017"/>
      <c r="B866" s="1017"/>
      <c r="C866" s="1017"/>
      <c r="D866" s="1017"/>
      <c r="E866" s="1017"/>
      <c r="F866" s="1017"/>
      <c r="G866" s="1017"/>
      <c r="H866" s="1017"/>
      <c r="I866" s="1017"/>
      <c r="J866" s="1017"/>
      <c r="K866" s="1017"/>
      <c r="L866" s="1017"/>
      <c r="M866" s="1017"/>
      <c r="N866" s="1017"/>
      <c r="O866" s="1017"/>
      <c r="P866" s="1017"/>
      <c r="Q866" s="1017"/>
      <c r="R866" s="1017"/>
      <c r="S866" s="1017"/>
      <c r="T866" s="1351"/>
      <c r="U866" s="1017"/>
      <c r="V866" s="1017"/>
      <c r="W866" s="1017"/>
      <c r="X866" s="1017"/>
      <c r="Y866" s="1017"/>
      <c r="Z866" s="1017"/>
      <c r="AA866" s="1017"/>
      <c r="AB866" s="1017"/>
      <c r="AC866" s="1017"/>
      <c r="AD866" s="1017"/>
      <c r="AE866" s="1017"/>
      <c r="AF866" s="1017"/>
    </row>
    <row r="867" spans="1:32">
      <c r="A867" s="1017"/>
      <c r="B867" s="1017"/>
      <c r="C867" s="1017"/>
      <c r="D867" s="1017"/>
      <c r="E867" s="1017"/>
      <c r="F867" s="1017"/>
      <c r="G867" s="1017"/>
      <c r="H867" s="1017"/>
      <c r="I867" s="1017"/>
      <c r="J867" s="1017"/>
      <c r="K867" s="1017"/>
      <c r="L867" s="1017"/>
      <c r="M867" s="1017"/>
      <c r="N867" s="1017"/>
      <c r="O867" s="1017"/>
      <c r="P867" s="1017"/>
      <c r="Q867" s="1017"/>
      <c r="R867" s="1017"/>
      <c r="S867" s="1017"/>
      <c r="T867" s="1351"/>
      <c r="U867" s="1017"/>
      <c r="V867" s="1017"/>
      <c r="W867" s="1017"/>
      <c r="X867" s="1017"/>
      <c r="Y867" s="1017"/>
      <c r="Z867" s="1017"/>
      <c r="AA867" s="1017"/>
      <c r="AB867" s="1017"/>
      <c r="AC867" s="1017"/>
      <c r="AD867" s="1017"/>
      <c r="AE867" s="1017"/>
      <c r="AF867" s="1017"/>
    </row>
    <row r="868" spans="1:32">
      <c r="A868" s="1017"/>
      <c r="B868" s="1017"/>
      <c r="C868" s="1017"/>
      <c r="D868" s="1017"/>
      <c r="E868" s="1017"/>
      <c r="F868" s="1017"/>
      <c r="G868" s="1017"/>
      <c r="H868" s="1017"/>
      <c r="I868" s="1017"/>
      <c r="J868" s="1017"/>
      <c r="K868" s="1017"/>
      <c r="L868" s="1017"/>
      <c r="M868" s="1017"/>
      <c r="N868" s="1017"/>
      <c r="O868" s="1017"/>
      <c r="P868" s="1017"/>
      <c r="Q868" s="1017"/>
      <c r="R868" s="1017"/>
      <c r="S868" s="1017"/>
      <c r="T868" s="1351"/>
      <c r="U868" s="1017"/>
      <c r="V868" s="1017"/>
      <c r="W868" s="1017"/>
      <c r="X868" s="1017"/>
      <c r="Y868" s="1017"/>
      <c r="Z868" s="1017"/>
      <c r="AA868" s="1017"/>
      <c r="AB868" s="1017"/>
      <c r="AC868" s="1017"/>
      <c r="AD868" s="1017"/>
      <c r="AE868" s="1017"/>
      <c r="AF868" s="1017"/>
    </row>
    <row r="869" spans="1:32">
      <c r="A869" s="1017"/>
      <c r="B869" s="1017"/>
      <c r="C869" s="1017"/>
      <c r="D869" s="1017"/>
      <c r="E869" s="1017"/>
      <c r="F869" s="1017"/>
      <c r="G869" s="1017"/>
      <c r="H869" s="1017"/>
      <c r="I869" s="1017"/>
      <c r="J869" s="1017"/>
      <c r="K869" s="1017"/>
      <c r="L869" s="1017"/>
      <c r="M869" s="1017"/>
      <c r="N869" s="1017"/>
      <c r="O869" s="1017"/>
      <c r="P869" s="1017"/>
      <c r="Q869" s="1017"/>
      <c r="R869" s="1017"/>
      <c r="S869" s="1017"/>
      <c r="T869" s="1351"/>
      <c r="U869" s="1017"/>
      <c r="V869" s="1017"/>
      <c r="W869" s="1017"/>
      <c r="X869" s="1017"/>
      <c r="Y869" s="1017"/>
      <c r="Z869" s="1017"/>
      <c r="AA869" s="1017"/>
      <c r="AB869" s="1017"/>
      <c r="AC869" s="1017"/>
      <c r="AD869" s="1017"/>
      <c r="AE869" s="1017"/>
      <c r="AF869" s="1017"/>
    </row>
    <row r="870" spans="1:32">
      <c r="A870" s="1017"/>
      <c r="B870" s="1017"/>
      <c r="C870" s="1017"/>
      <c r="D870" s="1017"/>
      <c r="E870" s="1017"/>
      <c r="F870" s="1017"/>
      <c r="G870" s="1017"/>
      <c r="H870" s="1017"/>
      <c r="I870" s="1017"/>
      <c r="J870" s="1017"/>
      <c r="K870" s="1017"/>
      <c r="L870" s="1017"/>
      <c r="M870" s="1017"/>
      <c r="N870" s="1017"/>
      <c r="O870" s="1017"/>
      <c r="P870" s="1017"/>
      <c r="Q870" s="1017"/>
      <c r="R870" s="1017"/>
      <c r="S870" s="1017"/>
      <c r="T870" s="1351"/>
      <c r="U870" s="1017"/>
      <c r="V870" s="1017"/>
      <c r="W870" s="1017"/>
      <c r="X870" s="1017"/>
      <c r="Y870" s="1017"/>
      <c r="Z870" s="1017"/>
      <c r="AA870" s="1017"/>
      <c r="AB870" s="1017"/>
      <c r="AC870" s="1017"/>
      <c r="AD870" s="1017"/>
      <c r="AE870" s="1017"/>
      <c r="AF870" s="1017"/>
    </row>
    <row r="871" spans="1:32">
      <c r="A871" s="1017"/>
      <c r="B871" s="1017"/>
      <c r="C871" s="1017"/>
      <c r="D871" s="1017"/>
      <c r="E871" s="1017"/>
      <c r="F871" s="1017"/>
      <c r="G871" s="1017"/>
      <c r="H871" s="1017"/>
      <c r="I871" s="1017"/>
      <c r="J871" s="1017"/>
      <c r="K871" s="1017"/>
      <c r="L871" s="1017"/>
      <c r="M871" s="1017"/>
      <c r="N871" s="1017"/>
      <c r="O871" s="1017"/>
      <c r="P871" s="1017"/>
      <c r="Q871" s="1017"/>
      <c r="R871" s="1017"/>
      <c r="S871" s="1017"/>
      <c r="T871" s="1351"/>
      <c r="U871" s="1017"/>
      <c r="V871" s="1017"/>
      <c r="W871" s="1017"/>
      <c r="X871" s="1017"/>
      <c r="Y871" s="1017"/>
      <c r="Z871" s="1017"/>
      <c r="AA871" s="1017"/>
      <c r="AB871" s="1017"/>
      <c r="AC871" s="1017"/>
      <c r="AD871" s="1017"/>
      <c r="AE871" s="1017"/>
      <c r="AF871" s="1017"/>
    </row>
    <row r="872" spans="1:32">
      <c r="A872" s="1017"/>
      <c r="B872" s="1017"/>
      <c r="C872" s="1017"/>
      <c r="D872" s="1017"/>
      <c r="E872" s="1017"/>
      <c r="F872" s="1017"/>
      <c r="G872" s="1017"/>
      <c r="H872" s="1017"/>
      <c r="I872" s="1017"/>
      <c r="J872" s="1017"/>
      <c r="K872" s="1017"/>
      <c r="L872" s="1017"/>
      <c r="M872" s="1017"/>
      <c r="N872" s="1017"/>
      <c r="O872" s="1017"/>
      <c r="P872" s="1017"/>
      <c r="Q872" s="1017"/>
      <c r="R872" s="1017"/>
      <c r="S872" s="1017"/>
      <c r="T872" s="1351"/>
      <c r="U872" s="1017"/>
      <c r="V872" s="1017"/>
      <c r="W872" s="1017"/>
      <c r="X872" s="1017"/>
      <c r="Y872" s="1017"/>
      <c r="Z872" s="1017"/>
      <c r="AA872" s="1017"/>
      <c r="AB872" s="1017"/>
      <c r="AC872" s="1017"/>
      <c r="AD872" s="1017"/>
      <c r="AE872" s="1017"/>
      <c r="AF872" s="1017"/>
    </row>
    <row r="873" spans="1:32">
      <c r="A873" s="1017"/>
      <c r="B873" s="1017"/>
      <c r="C873" s="1017"/>
      <c r="D873" s="1017"/>
      <c r="E873" s="1017"/>
      <c r="F873" s="1017"/>
      <c r="G873" s="1017"/>
      <c r="H873" s="1017"/>
      <c r="I873" s="1017"/>
      <c r="J873" s="1017"/>
      <c r="K873" s="1017"/>
      <c r="L873" s="1017"/>
      <c r="M873" s="1017"/>
      <c r="N873" s="1017"/>
      <c r="O873" s="1017"/>
      <c r="P873" s="1017"/>
      <c r="Q873" s="1017"/>
      <c r="R873" s="1017"/>
      <c r="S873" s="1017"/>
      <c r="T873" s="1351"/>
      <c r="U873" s="1017"/>
      <c r="V873" s="1017"/>
      <c r="W873" s="1017"/>
      <c r="X873" s="1017"/>
      <c r="Y873" s="1017"/>
      <c r="Z873" s="1017"/>
      <c r="AA873" s="1017"/>
      <c r="AB873" s="1017"/>
      <c r="AC873" s="1017"/>
      <c r="AD873" s="1017"/>
      <c r="AE873" s="1017"/>
      <c r="AF873" s="1017"/>
    </row>
    <row r="874" spans="1:32">
      <c r="A874" s="1017"/>
      <c r="B874" s="1017"/>
      <c r="C874" s="1017"/>
      <c r="D874" s="1017"/>
      <c r="E874" s="1017"/>
      <c r="F874" s="1017"/>
      <c r="G874" s="1017"/>
      <c r="H874" s="1017"/>
      <c r="I874" s="1017"/>
      <c r="J874" s="1017"/>
      <c r="K874" s="1017"/>
      <c r="L874" s="1017"/>
      <c r="M874" s="1017"/>
      <c r="N874" s="1017"/>
      <c r="O874" s="1017"/>
      <c r="P874" s="1017"/>
      <c r="Q874" s="1017"/>
      <c r="R874" s="1017"/>
      <c r="S874" s="1017"/>
      <c r="T874" s="1351"/>
      <c r="U874" s="1017"/>
      <c r="V874" s="1017"/>
      <c r="W874" s="1017"/>
      <c r="X874" s="1017"/>
      <c r="Y874" s="1017"/>
      <c r="Z874" s="1017"/>
      <c r="AA874" s="1017"/>
      <c r="AB874" s="1017"/>
      <c r="AC874" s="1017"/>
      <c r="AD874" s="1017"/>
      <c r="AE874" s="1017"/>
      <c r="AF874" s="1017"/>
    </row>
    <row r="875" spans="1:32">
      <c r="A875" s="1017"/>
      <c r="B875" s="1017"/>
      <c r="C875" s="1017"/>
      <c r="D875" s="1017"/>
      <c r="E875" s="1017"/>
      <c r="F875" s="1017"/>
      <c r="G875" s="1017"/>
      <c r="H875" s="1017"/>
      <c r="I875" s="1017"/>
      <c r="J875" s="1017"/>
      <c r="K875" s="1017"/>
      <c r="L875" s="1017"/>
      <c r="M875" s="1017"/>
      <c r="N875" s="1017"/>
      <c r="O875" s="1017"/>
      <c r="P875" s="1017"/>
      <c r="Q875" s="1017"/>
      <c r="R875" s="1017"/>
      <c r="S875" s="1017"/>
      <c r="T875" s="1351"/>
      <c r="U875" s="1017"/>
      <c r="V875" s="1017"/>
      <c r="W875" s="1017"/>
      <c r="X875" s="1017"/>
      <c r="Y875" s="1017"/>
      <c r="Z875" s="1017"/>
      <c r="AA875" s="1017"/>
      <c r="AB875" s="1017"/>
      <c r="AC875" s="1017"/>
      <c r="AD875" s="1017"/>
      <c r="AE875" s="1017"/>
      <c r="AF875" s="1017"/>
    </row>
    <row r="876" spans="1:32">
      <c r="A876" s="1017"/>
      <c r="B876" s="1017"/>
      <c r="C876" s="1017"/>
      <c r="D876" s="1017"/>
      <c r="E876" s="1017"/>
      <c r="F876" s="1017"/>
      <c r="G876" s="1017"/>
      <c r="H876" s="1017"/>
      <c r="I876" s="1017"/>
      <c r="J876" s="1017"/>
      <c r="K876" s="1017"/>
      <c r="L876" s="1017"/>
      <c r="M876" s="1017"/>
      <c r="N876" s="1017"/>
      <c r="O876" s="1017"/>
      <c r="P876" s="1017"/>
      <c r="Q876" s="1017"/>
      <c r="R876" s="1017"/>
      <c r="S876" s="1017"/>
      <c r="T876" s="1351"/>
      <c r="U876" s="1017"/>
      <c r="V876" s="1017"/>
      <c r="W876" s="1017"/>
      <c r="X876" s="1017"/>
      <c r="Y876" s="1017"/>
      <c r="Z876" s="1017"/>
      <c r="AA876" s="1017"/>
      <c r="AB876" s="1017"/>
      <c r="AC876" s="1017"/>
      <c r="AD876" s="1017"/>
      <c r="AE876" s="1017"/>
      <c r="AF876" s="1017"/>
    </row>
    <row r="877" spans="1:32">
      <c r="A877" s="1017"/>
      <c r="B877" s="1017"/>
      <c r="C877" s="1017"/>
      <c r="D877" s="1017"/>
      <c r="E877" s="1017"/>
      <c r="F877" s="1017"/>
      <c r="G877" s="1017"/>
      <c r="H877" s="1017"/>
      <c r="I877" s="1017"/>
      <c r="J877" s="1017"/>
      <c r="K877" s="1017"/>
      <c r="L877" s="1017"/>
      <c r="M877" s="1017"/>
      <c r="N877" s="1017"/>
      <c r="O877" s="1017"/>
      <c r="P877" s="1017"/>
      <c r="Q877" s="1017"/>
      <c r="R877" s="1017"/>
      <c r="S877" s="1017"/>
      <c r="T877" s="1351"/>
      <c r="U877" s="1017"/>
      <c r="V877" s="1017"/>
      <c r="W877" s="1017"/>
      <c r="X877" s="1017"/>
      <c r="Y877" s="1017"/>
      <c r="Z877" s="1017"/>
      <c r="AA877" s="1017"/>
      <c r="AB877" s="1017"/>
      <c r="AC877" s="1017"/>
      <c r="AD877" s="1017"/>
      <c r="AE877" s="1017"/>
      <c r="AF877" s="1017"/>
    </row>
    <row r="878" spans="1:32">
      <c r="A878" s="1017"/>
      <c r="B878" s="1017"/>
      <c r="C878" s="1017"/>
      <c r="D878" s="1017"/>
      <c r="E878" s="1017"/>
      <c r="F878" s="1017"/>
      <c r="G878" s="1017"/>
      <c r="H878" s="1017"/>
      <c r="I878" s="1017"/>
      <c r="J878" s="1017"/>
      <c r="K878" s="1017"/>
      <c r="L878" s="1017"/>
      <c r="M878" s="1017"/>
      <c r="N878" s="1017"/>
      <c r="O878" s="1017"/>
      <c r="P878" s="1017"/>
      <c r="Q878" s="1017"/>
      <c r="R878" s="1017"/>
      <c r="S878" s="1017"/>
      <c r="T878" s="1351"/>
      <c r="U878" s="1017"/>
      <c r="V878" s="1017"/>
      <c r="W878" s="1017"/>
      <c r="X878" s="1017"/>
      <c r="Y878" s="1017"/>
      <c r="Z878" s="1017"/>
      <c r="AA878" s="1017"/>
      <c r="AB878" s="1017"/>
      <c r="AC878" s="1017"/>
      <c r="AD878" s="1017"/>
      <c r="AE878" s="1017"/>
      <c r="AF878" s="1017"/>
    </row>
    <row r="879" spans="1:32">
      <c r="A879" s="1017"/>
      <c r="B879" s="1017"/>
      <c r="C879" s="1017"/>
      <c r="D879" s="1017"/>
      <c r="E879" s="1017"/>
      <c r="F879" s="1017"/>
      <c r="G879" s="1017"/>
      <c r="H879" s="1017"/>
      <c r="I879" s="1017"/>
      <c r="J879" s="1017"/>
      <c r="K879" s="1017"/>
      <c r="L879" s="1017"/>
      <c r="M879" s="1017"/>
      <c r="N879" s="1017"/>
      <c r="O879" s="1017"/>
      <c r="P879" s="1017"/>
      <c r="Q879" s="1017"/>
      <c r="R879" s="1017"/>
      <c r="S879" s="1017"/>
      <c r="T879" s="1351"/>
      <c r="U879" s="1017"/>
      <c r="V879" s="1017"/>
      <c r="W879" s="1017"/>
      <c r="X879" s="1017"/>
      <c r="Y879" s="1017"/>
      <c r="Z879" s="1017"/>
      <c r="AA879" s="1017"/>
      <c r="AB879" s="1017"/>
      <c r="AC879" s="1017"/>
      <c r="AD879" s="1017"/>
      <c r="AE879" s="1017"/>
      <c r="AF879" s="1017"/>
    </row>
    <row r="880" spans="1:32">
      <c r="A880" s="1017"/>
      <c r="B880" s="1017"/>
      <c r="C880" s="1017"/>
      <c r="D880" s="1017"/>
      <c r="E880" s="1017"/>
      <c r="F880" s="1017"/>
      <c r="G880" s="1017"/>
      <c r="H880" s="1017"/>
      <c r="I880" s="1017"/>
      <c r="J880" s="1017"/>
      <c r="K880" s="1017"/>
      <c r="L880" s="1017"/>
      <c r="M880" s="1017"/>
      <c r="N880" s="1017"/>
      <c r="O880" s="1017"/>
      <c r="P880" s="1017"/>
      <c r="Q880" s="1017"/>
      <c r="R880" s="1017"/>
      <c r="S880" s="1017"/>
      <c r="T880" s="1351"/>
      <c r="U880" s="1017"/>
      <c r="V880" s="1017"/>
      <c r="W880" s="1017"/>
      <c r="X880" s="1017"/>
      <c r="Y880" s="1017"/>
      <c r="Z880" s="1017"/>
      <c r="AA880" s="1017"/>
      <c r="AB880" s="1017"/>
      <c r="AC880" s="1017"/>
      <c r="AD880" s="1017"/>
      <c r="AE880" s="1017"/>
      <c r="AF880" s="1017"/>
    </row>
    <row r="881" spans="1:32">
      <c r="A881" s="1017"/>
      <c r="B881" s="1017"/>
      <c r="C881" s="1017"/>
      <c r="D881" s="1017"/>
      <c r="E881" s="1017"/>
      <c r="F881" s="1017"/>
      <c r="G881" s="1017"/>
      <c r="H881" s="1017"/>
      <c r="I881" s="1017"/>
      <c r="J881" s="1017"/>
      <c r="K881" s="1017"/>
      <c r="L881" s="1017"/>
      <c r="M881" s="1017"/>
      <c r="N881" s="1017"/>
      <c r="O881" s="1017"/>
      <c r="P881" s="1017"/>
      <c r="Q881" s="1017"/>
      <c r="R881" s="1017"/>
      <c r="S881" s="1017"/>
      <c r="T881" s="1351"/>
      <c r="U881" s="1017"/>
      <c r="V881" s="1017"/>
      <c r="W881" s="1017"/>
      <c r="X881" s="1017"/>
      <c r="Y881" s="1017"/>
      <c r="Z881" s="1017"/>
      <c r="AA881" s="1017"/>
      <c r="AB881" s="1017"/>
      <c r="AC881" s="1017"/>
      <c r="AD881" s="1017"/>
      <c r="AE881" s="1017"/>
      <c r="AF881" s="1017"/>
    </row>
    <row r="882" spans="1:32">
      <c r="A882" s="1017"/>
      <c r="B882" s="1017"/>
      <c r="C882" s="1017"/>
      <c r="D882" s="1017"/>
      <c r="E882" s="1017"/>
      <c r="F882" s="1017"/>
      <c r="G882" s="1017"/>
      <c r="H882" s="1017"/>
      <c r="I882" s="1017"/>
      <c r="J882" s="1017"/>
      <c r="K882" s="1017"/>
      <c r="L882" s="1017"/>
      <c r="M882" s="1017"/>
      <c r="N882" s="1017"/>
      <c r="O882" s="1017"/>
      <c r="P882" s="1017"/>
      <c r="Q882" s="1017"/>
      <c r="R882" s="1017"/>
      <c r="S882" s="1017"/>
      <c r="T882" s="1351"/>
      <c r="U882" s="1017"/>
      <c r="V882" s="1017"/>
      <c r="W882" s="1017"/>
      <c r="X882" s="1017"/>
      <c r="Y882" s="1017"/>
      <c r="Z882" s="1017"/>
      <c r="AA882" s="1017"/>
      <c r="AB882" s="1017"/>
      <c r="AC882" s="1017"/>
      <c r="AD882" s="1017"/>
      <c r="AE882" s="1017"/>
      <c r="AF882" s="1017"/>
    </row>
    <row r="883" spans="1:32">
      <c r="A883" s="1017"/>
      <c r="B883" s="1017"/>
      <c r="C883" s="1017"/>
      <c r="D883" s="1017"/>
      <c r="E883" s="1017"/>
      <c r="F883" s="1017"/>
      <c r="G883" s="1017"/>
      <c r="H883" s="1017"/>
      <c r="I883" s="1017"/>
      <c r="J883" s="1017"/>
      <c r="K883" s="1017"/>
      <c r="L883" s="1017"/>
      <c r="M883" s="1017"/>
      <c r="N883" s="1017"/>
      <c r="O883" s="1017"/>
      <c r="P883" s="1017"/>
      <c r="Q883" s="1017"/>
      <c r="R883" s="1017"/>
      <c r="S883" s="1017"/>
      <c r="T883" s="1351"/>
      <c r="U883" s="1017"/>
      <c r="V883" s="1017"/>
      <c r="W883" s="1017"/>
      <c r="X883" s="1017"/>
      <c r="Y883" s="1017"/>
      <c r="Z883" s="1017"/>
      <c r="AA883" s="1017"/>
      <c r="AB883" s="1017"/>
      <c r="AC883" s="1017"/>
      <c r="AD883" s="1017"/>
      <c r="AE883" s="1017"/>
      <c r="AF883" s="1017"/>
    </row>
    <row r="884" spans="1:32">
      <c r="A884" s="1017"/>
      <c r="B884" s="1017"/>
      <c r="C884" s="1017"/>
      <c r="D884" s="1017"/>
      <c r="E884" s="1017"/>
      <c r="F884" s="1017"/>
      <c r="G884" s="1017"/>
      <c r="H884" s="1017"/>
      <c r="I884" s="1017"/>
      <c r="J884" s="1017"/>
      <c r="K884" s="1017"/>
      <c r="L884" s="1017"/>
      <c r="M884" s="1017"/>
      <c r="N884" s="1017"/>
      <c r="O884" s="1017"/>
      <c r="P884" s="1017"/>
      <c r="Q884" s="1017"/>
      <c r="R884" s="1017"/>
      <c r="S884" s="1017"/>
      <c r="T884" s="1351"/>
      <c r="U884" s="1017"/>
      <c r="V884" s="1017"/>
      <c r="W884" s="1017"/>
      <c r="X884" s="1017"/>
      <c r="Y884" s="1017"/>
      <c r="Z884" s="1017"/>
      <c r="AA884" s="1017"/>
      <c r="AB884" s="1017"/>
      <c r="AC884" s="1017"/>
      <c r="AD884" s="1017"/>
      <c r="AE884" s="1017"/>
      <c r="AF884" s="1017"/>
    </row>
    <row r="885" spans="1:32">
      <c r="A885" s="1017"/>
      <c r="B885" s="1017"/>
      <c r="C885" s="1017"/>
      <c r="D885" s="1017"/>
      <c r="E885" s="1017"/>
      <c r="F885" s="1017"/>
      <c r="G885" s="1017"/>
      <c r="H885" s="1017"/>
      <c r="I885" s="1017"/>
      <c r="J885" s="1017"/>
      <c r="K885" s="1017"/>
      <c r="L885" s="1017"/>
      <c r="M885" s="1017"/>
      <c r="N885" s="1017"/>
      <c r="O885" s="1017"/>
      <c r="P885" s="1017"/>
      <c r="Q885" s="1017"/>
      <c r="R885" s="1017"/>
      <c r="S885" s="1017"/>
      <c r="T885" s="1351"/>
      <c r="U885" s="1017"/>
      <c r="V885" s="1017"/>
      <c r="W885" s="1017"/>
      <c r="X885" s="1017"/>
      <c r="Y885" s="1017"/>
      <c r="Z885" s="1017"/>
      <c r="AA885" s="1017"/>
      <c r="AB885" s="1017"/>
      <c r="AC885" s="1017"/>
      <c r="AD885" s="1017"/>
      <c r="AE885" s="1017"/>
      <c r="AF885" s="1017"/>
    </row>
    <row r="886" spans="1:32">
      <c r="A886" s="1017"/>
      <c r="B886" s="1017"/>
      <c r="C886" s="1017"/>
      <c r="D886" s="1017"/>
      <c r="E886" s="1017"/>
      <c r="F886" s="1017"/>
      <c r="G886" s="1017"/>
      <c r="H886" s="1017"/>
      <c r="I886" s="1017"/>
      <c r="J886" s="1017"/>
      <c r="K886" s="1017"/>
      <c r="L886" s="1017"/>
      <c r="M886" s="1017"/>
      <c r="N886" s="1017"/>
      <c r="O886" s="1017"/>
      <c r="P886" s="1017"/>
      <c r="Q886" s="1017"/>
      <c r="R886" s="1017"/>
      <c r="S886" s="1017"/>
      <c r="T886" s="1351"/>
      <c r="U886" s="1017"/>
      <c r="V886" s="1017"/>
      <c r="W886" s="1017"/>
      <c r="X886" s="1017"/>
      <c r="Y886" s="1017"/>
      <c r="Z886" s="1017"/>
      <c r="AA886" s="1017"/>
      <c r="AB886" s="1017"/>
      <c r="AC886" s="1017"/>
      <c r="AD886" s="1017"/>
      <c r="AE886" s="1017"/>
      <c r="AF886" s="1017"/>
    </row>
    <row r="887" spans="1:32">
      <c r="A887" s="1017"/>
      <c r="B887" s="1017"/>
      <c r="C887" s="1017"/>
      <c r="D887" s="1017"/>
      <c r="E887" s="1017"/>
      <c r="F887" s="1017"/>
      <c r="G887" s="1017"/>
      <c r="H887" s="1017"/>
      <c r="I887" s="1017"/>
      <c r="J887" s="1017"/>
      <c r="K887" s="1017"/>
      <c r="L887" s="1017"/>
      <c r="M887" s="1017"/>
      <c r="N887" s="1017"/>
      <c r="O887" s="1017"/>
      <c r="P887" s="1017"/>
      <c r="Q887" s="1017"/>
      <c r="R887" s="1017"/>
      <c r="S887" s="1017"/>
      <c r="T887" s="1351"/>
      <c r="U887" s="1017"/>
      <c r="V887" s="1017"/>
      <c r="W887" s="1017"/>
      <c r="X887" s="1017"/>
      <c r="Y887" s="1017"/>
      <c r="Z887" s="1017"/>
      <c r="AA887" s="1017"/>
      <c r="AB887" s="1017"/>
      <c r="AC887" s="1017"/>
      <c r="AD887" s="1017"/>
      <c r="AE887" s="1017"/>
      <c r="AF887" s="1017"/>
    </row>
    <row r="888" spans="1:32">
      <c r="A888" s="1017"/>
      <c r="B888" s="1017"/>
      <c r="C888" s="1017"/>
      <c r="D888" s="1017"/>
      <c r="E888" s="1017"/>
      <c r="F888" s="1017"/>
      <c r="G888" s="1017"/>
      <c r="H888" s="1017"/>
      <c r="I888" s="1017"/>
      <c r="J888" s="1017"/>
      <c r="K888" s="1017"/>
      <c r="L888" s="1017"/>
      <c r="M888" s="1017"/>
      <c r="N888" s="1017"/>
      <c r="O888" s="1017"/>
      <c r="P888" s="1017"/>
      <c r="Q888" s="1017"/>
      <c r="R888" s="1017"/>
      <c r="S888" s="1017"/>
      <c r="T888" s="1351"/>
      <c r="U888" s="1017"/>
      <c r="V888" s="1017"/>
      <c r="W888" s="1017"/>
      <c r="X888" s="1017"/>
      <c r="Y888" s="1017"/>
      <c r="Z888" s="1017"/>
      <c r="AA888" s="1017"/>
      <c r="AB888" s="1017"/>
      <c r="AC888" s="1017"/>
      <c r="AD888" s="1017"/>
      <c r="AE888" s="1017"/>
      <c r="AF888" s="1017"/>
    </row>
    <row r="889" spans="1:32">
      <c r="A889" s="1017"/>
      <c r="B889" s="1017"/>
      <c r="C889" s="1017"/>
      <c r="D889" s="1017"/>
      <c r="E889" s="1017"/>
      <c r="F889" s="1017"/>
      <c r="G889" s="1017"/>
      <c r="H889" s="1017"/>
      <c r="I889" s="1017"/>
      <c r="J889" s="1017"/>
      <c r="K889" s="1017"/>
      <c r="L889" s="1017"/>
      <c r="M889" s="1017"/>
      <c r="N889" s="1017"/>
      <c r="O889" s="1017"/>
      <c r="P889" s="1017"/>
      <c r="Q889" s="1017"/>
      <c r="R889" s="1017"/>
      <c r="S889" s="1017"/>
      <c r="T889" s="1351"/>
      <c r="U889" s="1017"/>
      <c r="V889" s="1017"/>
      <c r="W889" s="1017"/>
      <c r="X889" s="1017"/>
      <c r="Y889" s="1017"/>
      <c r="Z889" s="1017"/>
      <c r="AA889" s="1017"/>
      <c r="AB889" s="1017"/>
      <c r="AC889" s="1017"/>
      <c r="AD889" s="1017"/>
      <c r="AE889" s="1017"/>
      <c r="AF889" s="1017"/>
    </row>
    <row r="890" spans="1:32">
      <c r="A890" s="1017"/>
      <c r="B890" s="1017"/>
      <c r="C890" s="1017"/>
      <c r="D890" s="1017"/>
      <c r="E890" s="1017"/>
      <c r="F890" s="1017"/>
      <c r="G890" s="1017"/>
      <c r="H890" s="1017"/>
      <c r="I890" s="1017"/>
      <c r="J890" s="1017"/>
      <c r="K890" s="1017"/>
      <c r="L890" s="1017"/>
      <c r="M890" s="1017"/>
      <c r="N890" s="1017"/>
      <c r="O890" s="1017"/>
      <c r="P890" s="1017"/>
      <c r="Q890" s="1017"/>
      <c r="R890" s="1017"/>
      <c r="S890" s="1017"/>
      <c r="T890" s="1351"/>
      <c r="U890" s="1017"/>
      <c r="V890" s="1017"/>
      <c r="W890" s="1017"/>
      <c r="X890" s="1017"/>
      <c r="Y890" s="1017"/>
      <c r="Z890" s="1017"/>
      <c r="AA890" s="1017"/>
      <c r="AB890" s="1017"/>
      <c r="AC890" s="1017"/>
      <c r="AD890" s="1017"/>
      <c r="AE890" s="1017"/>
      <c r="AF890" s="1017"/>
    </row>
    <row r="891" spans="1:32">
      <c r="A891" s="1017"/>
      <c r="B891" s="1017"/>
      <c r="C891" s="1017"/>
      <c r="D891" s="1017"/>
      <c r="E891" s="1017"/>
      <c r="F891" s="1017"/>
      <c r="G891" s="1017"/>
      <c r="H891" s="1017"/>
      <c r="I891" s="1017"/>
      <c r="J891" s="1017"/>
      <c r="K891" s="1017"/>
      <c r="L891" s="1017"/>
      <c r="M891" s="1017"/>
      <c r="N891" s="1017"/>
      <c r="O891" s="1017"/>
      <c r="P891" s="1017"/>
      <c r="Q891" s="1017"/>
      <c r="R891" s="1017"/>
      <c r="S891" s="1017"/>
      <c r="T891" s="1351"/>
      <c r="U891" s="1017"/>
      <c r="V891" s="1017"/>
      <c r="W891" s="1017"/>
      <c r="X891" s="1017"/>
      <c r="Y891" s="1017"/>
      <c r="Z891" s="1017"/>
      <c r="AA891" s="1017"/>
      <c r="AB891" s="1017"/>
      <c r="AC891" s="1017"/>
      <c r="AD891" s="1017"/>
      <c r="AE891" s="1017"/>
      <c r="AF891" s="1017"/>
    </row>
    <row r="892" spans="1:32">
      <c r="A892" s="1017"/>
      <c r="B892" s="1017"/>
      <c r="C892" s="1017"/>
      <c r="D892" s="1017"/>
      <c r="E892" s="1017"/>
      <c r="F892" s="1017"/>
      <c r="G892" s="1017"/>
      <c r="H892" s="1017"/>
      <c r="I892" s="1017"/>
      <c r="J892" s="1017"/>
      <c r="K892" s="1017"/>
      <c r="L892" s="1017"/>
      <c r="M892" s="1017"/>
      <c r="N892" s="1017"/>
      <c r="O892" s="1017"/>
      <c r="P892" s="1017"/>
      <c r="Q892" s="1017"/>
      <c r="R892" s="1017"/>
      <c r="S892" s="1017"/>
      <c r="T892" s="1351"/>
      <c r="U892" s="1017"/>
      <c r="V892" s="1017"/>
      <c r="W892" s="1017"/>
      <c r="X892" s="1017"/>
      <c r="Y892" s="1017"/>
      <c r="Z892" s="1017"/>
      <c r="AA892" s="1017"/>
      <c r="AB892" s="1017"/>
      <c r="AC892" s="1017"/>
      <c r="AD892" s="1017"/>
      <c r="AE892" s="1017"/>
      <c r="AF892" s="1017"/>
    </row>
    <row r="893" spans="1:32">
      <c r="A893" s="1017"/>
      <c r="B893" s="1017"/>
      <c r="C893" s="1017"/>
      <c r="D893" s="1017"/>
      <c r="E893" s="1017"/>
      <c r="F893" s="1017"/>
      <c r="G893" s="1017"/>
      <c r="H893" s="1017"/>
      <c r="I893" s="1017"/>
      <c r="J893" s="1017"/>
      <c r="K893" s="1017"/>
      <c r="L893" s="1017"/>
      <c r="M893" s="1017"/>
      <c r="N893" s="1017"/>
      <c r="O893" s="1017"/>
      <c r="P893" s="1017"/>
      <c r="Q893" s="1017"/>
      <c r="R893" s="1017"/>
      <c r="S893" s="1017"/>
      <c r="T893" s="1351"/>
      <c r="U893" s="1017"/>
      <c r="V893" s="1017"/>
      <c r="W893" s="1017"/>
      <c r="X893" s="1017"/>
      <c r="Y893" s="1017"/>
      <c r="Z893" s="1017"/>
      <c r="AA893" s="1017"/>
      <c r="AB893" s="1017"/>
      <c r="AC893" s="1017"/>
      <c r="AD893" s="1017"/>
      <c r="AE893" s="1017"/>
      <c r="AF893" s="1017"/>
    </row>
    <row r="894" spans="1:32">
      <c r="A894" s="1017"/>
      <c r="B894" s="1017"/>
      <c r="C894" s="1017"/>
      <c r="D894" s="1017"/>
      <c r="E894" s="1017"/>
      <c r="F894" s="1017"/>
      <c r="G894" s="1017"/>
      <c r="H894" s="1017"/>
      <c r="I894" s="1017"/>
      <c r="J894" s="1017"/>
      <c r="K894" s="1017"/>
      <c r="L894" s="1017"/>
      <c r="M894" s="1017"/>
      <c r="N894" s="1017"/>
      <c r="O894" s="1017"/>
      <c r="P894" s="1017"/>
      <c r="Q894" s="1017"/>
      <c r="R894" s="1017"/>
      <c r="S894" s="1017"/>
      <c r="T894" s="1351"/>
      <c r="U894" s="1017"/>
      <c r="V894" s="1017"/>
      <c r="W894" s="1017"/>
      <c r="X894" s="1017"/>
      <c r="Y894" s="1017"/>
      <c r="Z894" s="1017"/>
      <c r="AA894" s="1017"/>
      <c r="AB894" s="1017"/>
      <c r="AC894" s="1017"/>
      <c r="AD894" s="1017"/>
      <c r="AE894" s="1017"/>
      <c r="AF894" s="1017"/>
    </row>
    <row r="895" spans="1:32">
      <c r="A895" s="1017"/>
      <c r="B895" s="1017"/>
      <c r="C895" s="1017"/>
      <c r="D895" s="1017"/>
      <c r="E895" s="1017"/>
      <c r="F895" s="1017"/>
      <c r="G895" s="1017"/>
      <c r="H895" s="1017"/>
      <c r="I895" s="1017"/>
      <c r="J895" s="1017"/>
      <c r="K895" s="1017"/>
      <c r="L895" s="1017"/>
      <c r="M895" s="1017"/>
      <c r="N895" s="1017"/>
      <c r="O895" s="1017"/>
      <c r="P895" s="1017"/>
      <c r="Q895" s="1017"/>
      <c r="R895" s="1017"/>
      <c r="S895" s="1017"/>
      <c r="T895" s="1351"/>
      <c r="U895" s="1017"/>
      <c r="V895" s="1017"/>
      <c r="W895" s="1017"/>
      <c r="X895" s="1017"/>
      <c r="Y895" s="1017"/>
      <c r="Z895" s="1017"/>
      <c r="AA895" s="1017"/>
      <c r="AB895" s="1017"/>
      <c r="AC895" s="1017"/>
      <c r="AD895" s="1017"/>
      <c r="AE895" s="1017"/>
      <c r="AF895" s="1017"/>
    </row>
    <row r="896" spans="1:32">
      <c r="A896" s="1017"/>
      <c r="B896" s="1017"/>
      <c r="C896" s="1017"/>
      <c r="D896" s="1017"/>
      <c r="E896" s="1017"/>
      <c r="F896" s="1017"/>
      <c r="G896" s="1017"/>
      <c r="H896" s="1017"/>
      <c r="I896" s="1017"/>
      <c r="J896" s="1017"/>
      <c r="K896" s="1017"/>
      <c r="L896" s="1017"/>
      <c r="M896" s="1017"/>
      <c r="N896" s="1017"/>
      <c r="O896" s="1017"/>
      <c r="P896" s="1017"/>
      <c r="Q896" s="1017"/>
      <c r="R896" s="1017"/>
      <c r="S896" s="1017"/>
      <c r="T896" s="1351"/>
      <c r="U896" s="1017"/>
      <c r="V896" s="1017"/>
      <c r="W896" s="1017"/>
      <c r="X896" s="1017"/>
      <c r="Y896" s="1017"/>
      <c r="Z896" s="1017"/>
      <c r="AA896" s="1017"/>
      <c r="AB896" s="1017"/>
      <c r="AC896" s="1017"/>
      <c r="AD896" s="1017"/>
      <c r="AE896" s="1017"/>
      <c r="AF896" s="1017"/>
    </row>
    <row r="897" spans="1:32">
      <c r="A897" s="1017"/>
      <c r="B897" s="1017"/>
      <c r="C897" s="1017"/>
      <c r="D897" s="1017"/>
      <c r="E897" s="1017"/>
      <c r="F897" s="1017"/>
      <c r="G897" s="1017"/>
      <c r="H897" s="1017"/>
      <c r="I897" s="1017"/>
      <c r="J897" s="1017"/>
      <c r="K897" s="1017"/>
      <c r="L897" s="1017"/>
      <c r="M897" s="1017"/>
      <c r="N897" s="1017"/>
      <c r="O897" s="1017"/>
      <c r="P897" s="1017"/>
      <c r="Q897" s="1017"/>
      <c r="R897" s="1017"/>
      <c r="S897" s="1017"/>
      <c r="T897" s="1351"/>
      <c r="U897" s="1017"/>
      <c r="V897" s="1017"/>
      <c r="W897" s="1017"/>
      <c r="X897" s="1017"/>
      <c r="Y897" s="1017"/>
      <c r="Z897" s="1017"/>
      <c r="AA897" s="1017"/>
      <c r="AB897" s="1017"/>
      <c r="AC897" s="1017"/>
      <c r="AD897" s="1017"/>
      <c r="AE897" s="1017"/>
      <c r="AF897" s="1017"/>
    </row>
    <row r="898" spans="1:32">
      <c r="A898" s="1017"/>
      <c r="B898" s="1017"/>
      <c r="C898" s="1017"/>
      <c r="D898" s="1017"/>
      <c r="E898" s="1017"/>
      <c r="F898" s="1017"/>
      <c r="G898" s="1017"/>
      <c r="H898" s="1017"/>
      <c r="I898" s="1017"/>
      <c r="J898" s="1017"/>
      <c r="K898" s="1017"/>
      <c r="L898" s="1017"/>
      <c r="M898" s="1017"/>
      <c r="N898" s="1017"/>
      <c r="O898" s="1017"/>
      <c r="P898" s="1017"/>
      <c r="Q898" s="1017"/>
      <c r="R898" s="1017"/>
      <c r="S898" s="1017"/>
      <c r="T898" s="1351"/>
      <c r="U898" s="1017"/>
      <c r="V898" s="1017"/>
      <c r="W898" s="1017"/>
      <c r="X898" s="1017"/>
      <c r="Y898" s="1017"/>
      <c r="Z898" s="1017"/>
      <c r="AA898" s="1017"/>
      <c r="AB898" s="1017"/>
      <c r="AC898" s="1017"/>
      <c r="AD898" s="1017"/>
      <c r="AE898" s="1017"/>
      <c r="AF898" s="1017"/>
    </row>
    <row r="899" spans="1:32">
      <c r="A899" s="1017"/>
      <c r="B899" s="1017"/>
      <c r="C899" s="1017"/>
      <c r="D899" s="1017"/>
      <c r="E899" s="1017"/>
      <c r="F899" s="1017"/>
      <c r="G899" s="1017"/>
      <c r="H899" s="1017"/>
      <c r="I899" s="1017"/>
      <c r="J899" s="1017"/>
      <c r="K899" s="1017"/>
      <c r="L899" s="1017"/>
      <c r="M899" s="1017"/>
      <c r="N899" s="1017"/>
      <c r="O899" s="1017"/>
      <c r="P899" s="1017"/>
      <c r="Q899" s="1017"/>
      <c r="R899" s="1017"/>
      <c r="S899" s="1017"/>
      <c r="T899" s="1351"/>
      <c r="U899" s="1017"/>
      <c r="V899" s="1017"/>
      <c r="W899" s="1017"/>
      <c r="X899" s="1017"/>
      <c r="Y899" s="1017"/>
      <c r="Z899" s="1017"/>
      <c r="AA899" s="1017"/>
      <c r="AB899" s="1017"/>
      <c r="AC899" s="1017"/>
      <c r="AD899" s="1017"/>
      <c r="AE899" s="1017"/>
      <c r="AF899" s="1017"/>
    </row>
    <row r="900" spans="1:32">
      <c r="A900" s="1017"/>
      <c r="B900" s="1017"/>
      <c r="C900" s="1017"/>
      <c r="D900" s="1017"/>
      <c r="E900" s="1017"/>
      <c r="F900" s="1017"/>
      <c r="G900" s="1017"/>
      <c r="H900" s="1017"/>
      <c r="I900" s="1017"/>
      <c r="J900" s="1017"/>
      <c r="K900" s="1017"/>
      <c r="L900" s="1017"/>
      <c r="M900" s="1017"/>
      <c r="N900" s="1017"/>
      <c r="O900" s="1017"/>
      <c r="P900" s="1017"/>
      <c r="Q900" s="1017"/>
      <c r="R900" s="1017"/>
      <c r="S900" s="1017"/>
      <c r="T900" s="1351"/>
      <c r="U900" s="1017"/>
      <c r="V900" s="1017"/>
      <c r="W900" s="1017"/>
      <c r="X900" s="1017"/>
      <c r="Y900" s="1017"/>
      <c r="Z900" s="1017"/>
      <c r="AA900" s="1017"/>
      <c r="AB900" s="1017"/>
      <c r="AC900" s="1017"/>
      <c r="AD900" s="1017"/>
      <c r="AE900" s="1017"/>
      <c r="AF900" s="1017"/>
    </row>
    <row r="901" spans="1:32">
      <c r="A901" s="1017"/>
      <c r="B901" s="1017"/>
      <c r="C901" s="1017"/>
      <c r="D901" s="1017"/>
      <c r="E901" s="1017"/>
      <c r="F901" s="1017"/>
      <c r="G901" s="1017"/>
      <c r="H901" s="1017"/>
      <c r="I901" s="1017"/>
      <c r="J901" s="1017"/>
      <c r="K901" s="1017"/>
      <c r="L901" s="1017"/>
      <c r="M901" s="1017"/>
      <c r="N901" s="1017"/>
      <c r="O901" s="1017"/>
      <c r="P901" s="1017"/>
      <c r="Q901" s="1017"/>
      <c r="R901" s="1017"/>
      <c r="S901" s="1017"/>
      <c r="T901" s="1351"/>
      <c r="U901" s="1017"/>
      <c r="V901" s="1017"/>
      <c r="W901" s="1017"/>
      <c r="X901" s="1017"/>
      <c r="Y901" s="1017"/>
      <c r="Z901" s="1017"/>
      <c r="AA901" s="1017"/>
      <c r="AB901" s="1017"/>
      <c r="AC901" s="1017"/>
      <c r="AD901" s="1017"/>
      <c r="AE901" s="1017"/>
      <c r="AF901" s="1017"/>
    </row>
    <row r="902" spans="1:32">
      <c r="A902" s="1017"/>
      <c r="B902" s="1017"/>
      <c r="C902" s="1017"/>
      <c r="D902" s="1017"/>
      <c r="E902" s="1017"/>
      <c r="F902" s="1017"/>
      <c r="G902" s="1017"/>
      <c r="H902" s="1017"/>
      <c r="I902" s="1017"/>
      <c r="J902" s="1017"/>
      <c r="K902" s="1017"/>
      <c r="L902" s="1017"/>
      <c r="M902" s="1017"/>
      <c r="N902" s="1017"/>
      <c r="O902" s="1017"/>
      <c r="P902" s="1017"/>
      <c r="Q902" s="1017"/>
      <c r="R902" s="1017"/>
      <c r="S902" s="1017"/>
      <c r="T902" s="1351"/>
      <c r="U902" s="1017"/>
      <c r="V902" s="1017"/>
      <c r="W902" s="1017"/>
      <c r="X902" s="1017"/>
      <c r="Y902" s="1017"/>
      <c r="Z902" s="1017"/>
      <c r="AA902" s="1017"/>
      <c r="AB902" s="1017"/>
      <c r="AC902" s="1017"/>
      <c r="AD902" s="1017"/>
      <c r="AE902" s="1017"/>
      <c r="AF902" s="1017"/>
    </row>
    <row r="903" spans="1:32">
      <c r="A903" s="1017"/>
      <c r="B903" s="1017"/>
      <c r="C903" s="1017"/>
      <c r="D903" s="1017"/>
      <c r="E903" s="1017"/>
      <c r="F903" s="1017"/>
      <c r="G903" s="1017"/>
      <c r="H903" s="1017"/>
      <c r="I903" s="1017"/>
      <c r="J903" s="1017"/>
      <c r="K903" s="1017"/>
      <c r="L903" s="1017"/>
      <c r="M903" s="1017"/>
      <c r="N903" s="1017"/>
      <c r="O903" s="1017"/>
      <c r="P903" s="1017"/>
      <c r="Q903" s="1017"/>
      <c r="R903" s="1017"/>
      <c r="S903" s="1017"/>
      <c r="T903" s="1351"/>
      <c r="U903" s="1017"/>
      <c r="V903" s="1017"/>
      <c r="W903" s="1017"/>
      <c r="X903" s="1017"/>
      <c r="Y903" s="1017"/>
      <c r="Z903" s="1017"/>
      <c r="AA903" s="1017"/>
      <c r="AB903" s="1017"/>
      <c r="AC903" s="1017"/>
      <c r="AD903" s="1017"/>
      <c r="AE903" s="1017"/>
      <c r="AF903" s="1017"/>
    </row>
    <row r="904" spans="1:32">
      <c r="A904" s="1017"/>
      <c r="B904" s="1017"/>
      <c r="C904" s="1017"/>
      <c r="D904" s="1017"/>
      <c r="E904" s="1017"/>
      <c r="F904" s="1017"/>
      <c r="G904" s="1017"/>
      <c r="H904" s="1017"/>
      <c r="I904" s="1017"/>
      <c r="J904" s="1017"/>
      <c r="K904" s="1017"/>
      <c r="L904" s="1017"/>
      <c r="M904" s="1017"/>
      <c r="N904" s="1017"/>
      <c r="O904" s="1017"/>
      <c r="P904" s="1017"/>
      <c r="Q904" s="1017"/>
      <c r="R904" s="1017"/>
      <c r="S904" s="1017"/>
      <c r="T904" s="1351"/>
      <c r="U904" s="1017"/>
      <c r="V904" s="1017"/>
      <c r="W904" s="1017"/>
      <c r="X904" s="1017"/>
      <c r="Y904" s="1017"/>
      <c r="Z904" s="1017"/>
      <c r="AA904" s="1017"/>
      <c r="AB904" s="1017"/>
      <c r="AC904" s="1017"/>
      <c r="AD904" s="1017"/>
      <c r="AE904" s="1017"/>
      <c r="AF904" s="1017"/>
    </row>
    <row r="905" spans="1:32">
      <c r="A905" s="1017"/>
      <c r="B905" s="1017"/>
      <c r="C905" s="1017"/>
      <c r="D905" s="1017"/>
      <c r="E905" s="1017"/>
      <c r="F905" s="1017"/>
      <c r="G905" s="1017"/>
      <c r="H905" s="1017"/>
      <c r="I905" s="1017"/>
      <c r="J905" s="1017"/>
      <c r="K905" s="1017"/>
      <c r="L905" s="1017"/>
      <c r="M905" s="1017"/>
      <c r="N905" s="1017"/>
      <c r="O905" s="1017"/>
      <c r="P905" s="1017"/>
      <c r="Q905" s="1017"/>
      <c r="R905" s="1017"/>
      <c r="S905" s="1017"/>
      <c r="T905" s="1351"/>
      <c r="U905" s="1017"/>
      <c r="V905" s="1017"/>
      <c r="W905" s="1017"/>
      <c r="X905" s="1017"/>
      <c r="Y905" s="1017"/>
      <c r="Z905" s="1017"/>
      <c r="AA905" s="1017"/>
      <c r="AB905" s="1017"/>
      <c r="AC905" s="1017"/>
      <c r="AD905" s="1017"/>
      <c r="AE905" s="1017"/>
      <c r="AF905" s="1017"/>
    </row>
    <row r="906" spans="1:32">
      <c r="A906" s="1017"/>
      <c r="B906" s="1017"/>
      <c r="C906" s="1017"/>
      <c r="D906" s="1017"/>
      <c r="E906" s="1017"/>
      <c r="F906" s="1017"/>
      <c r="G906" s="1017"/>
      <c r="H906" s="1017"/>
      <c r="I906" s="1017"/>
      <c r="J906" s="1017"/>
      <c r="K906" s="1017"/>
      <c r="L906" s="1017"/>
      <c r="M906" s="1017"/>
      <c r="N906" s="1017"/>
      <c r="O906" s="1017"/>
      <c r="P906" s="1017"/>
      <c r="Q906" s="1017"/>
      <c r="R906" s="1017"/>
      <c r="S906" s="1017"/>
      <c r="T906" s="1351"/>
      <c r="U906" s="1017"/>
      <c r="V906" s="1017"/>
      <c r="W906" s="1017"/>
      <c r="X906" s="1017"/>
      <c r="Y906" s="1017"/>
      <c r="Z906" s="1017"/>
      <c r="AA906" s="1017"/>
      <c r="AB906" s="1017"/>
      <c r="AC906" s="1017"/>
      <c r="AD906" s="1017"/>
      <c r="AE906" s="1017"/>
      <c r="AF906" s="1017"/>
    </row>
    <row r="907" spans="1:32">
      <c r="A907" s="1017"/>
      <c r="B907" s="1017"/>
      <c r="C907" s="1017"/>
      <c r="D907" s="1017"/>
      <c r="E907" s="1017"/>
      <c r="F907" s="1017"/>
      <c r="G907" s="1017"/>
      <c r="H907" s="1017"/>
      <c r="I907" s="1017"/>
      <c r="J907" s="1017"/>
      <c r="K907" s="1017"/>
      <c r="L907" s="1017"/>
      <c r="M907" s="1017"/>
      <c r="N907" s="1017"/>
      <c r="O907" s="1017"/>
      <c r="P907" s="1017"/>
      <c r="Q907" s="1017"/>
      <c r="R907" s="1017"/>
      <c r="S907" s="1017"/>
      <c r="T907" s="1351"/>
      <c r="U907" s="1017"/>
      <c r="V907" s="1017"/>
      <c r="W907" s="1017"/>
      <c r="X907" s="1017"/>
      <c r="Y907" s="1017"/>
      <c r="Z907" s="1017"/>
      <c r="AA907" s="1017"/>
      <c r="AB907" s="1017"/>
      <c r="AC907" s="1017"/>
      <c r="AD907" s="1017"/>
      <c r="AE907" s="1017"/>
      <c r="AF907" s="1017"/>
    </row>
    <row r="908" spans="1:32">
      <c r="A908" s="1017"/>
      <c r="B908" s="1017"/>
      <c r="C908" s="1017"/>
      <c r="D908" s="1017"/>
      <c r="E908" s="1017"/>
      <c r="F908" s="1017"/>
      <c r="G908" s="1017"/>
      <c r="H908" s="1017"/>
      <c r="I908" s="1017"/>
      <c r="J908" s="1017"/>
      <c r="K908" s="1017"/>
      <c r="L908" s="1017"/>
      <c r="M908" s="1017"/>
      <c r="N908" s="1017"/>
      <c r="O908" s="1017"/>
      <c r="P908" s="1017"/>
      <c r="Q908" s="1017"/>
      <c r="R908" s="1017"/>
      <c r="S908" s="1017"/>
      <c r="T908" s="1351"/>
      <c r="U908" s="1017"/>
      <c r="V908" s="1017"/>
      <c r="W908" s="1017"/>
      <c r="X908" s="1017"/>
      <c r="Y908" s="1017"/>
      <c r="Z908" s="1017"/>
      <c r="AA908" s="1017"/>
      <c r="AB908" s="1017"/>
      <c r="AC908" s="1017"/>
      <c r="AD908" s="1017"/>
      <c r="AE908" s="1017"/>
      <c r="AF908" s="1017"/>
    </row>
    <row r="909" spans="1:32">
      <c r="A909" s="1017"/>
      <c r="B909" s="1017"/>
      <c r="C909" s="1017"/>
      <c r="D909" s="1017"/>
      <c r="E909" s="1017"/>
      <c r="F909" s="1017"/>
      <c r="G909" s="1017"/>
      <c r="H909" s="1017"/>
      <c r="I909" s="1017"/>
      <c r="J909" s="1017"/>
      <c r="K909" s="1017"/>
      <c r="L909" s="1017"/>
      <c r="M909" s="1017"/>
      <c r="N909" s="1017"/>
      <c r="O909" s="1017"/>
      <c r="P909" s="1017"/>
      <c r="Q909" s="1017"/>
      <c r="R909" s="1017"/>
      <c r="S909" s="1017"/>
      <c r="T909" s="1351"/>
      <c r="U909" s="1017"/>
      <c r="V909" s="1017"/>
      <c r="W909" s="1017"/>
      <c r="X909" s="1017"/>
      <c r="Y909" s="1017"/>
      <c r="Z909" s="1017"/>
      <c r="AA909" s="1017"/>
      <c r="AB909" s="1017"/>
      <c r="AC909" s="1017"/>
      <c r="AD909" s="1017"/>
      <c r="AE909" s="1017"/>
      <c r="AF909" s="1017"/>
    </row>
    <row r="910" spans="1:32">
      <c r="A910" s="1017"/>
      <c r="B910" s="1017"/>
      <c r="C910" s="1017"/>
      <c r="D910" s="1017"/>
      <c r="E910" s="1017"/>
      <c r="F910" s="1017"/>
      <c r="G910" s="1017"/>
      <c r="H910" s="1017"/>
      <c r="I910" s="1017"/>
      <c r="J910" s="1017"/>
      <c r="K910" s="1017"/>
      <c r="L910" s="1017"/>
      <c r="M910" s="1017"/>
      <c r="N910" s="1017"/>
      <c r="O910" s="1017"/>
      <c r="P910" s="1017"/>
      <c r="Q910" s="1017"/>
      <c r="R910" s="1017"/>
      <c r="S910" s="1017"/>
      <c r="T910" s="1351"/>
      <c r="U910" s="1017"/>
      <c r="V910" s="1017"/>
      <c r="W910" s="1017"/>
      <c r="X910" s="1017"/>
      <c r="Y910" s="1017"/>
      <c r="Z910" s="1017"/>
      <c r="AA910" s="1017"/>
      <c r="AB910" s="1017"/>
      <c r="AC910" s="1017"/>
      <c r="AD910" s="1017"/>
      <c r="AE910" s="1017"/>
      <c r="AF910" s="1017"/>
    </row>
    <row r="911" spans="1:32">
      <c r="A911" s="1017"/>
      <c r="B911" s="1017"/>
      <c r="C911" s="1017"/>
      <c r="D911" s="1017"/>
      <c r="E911" s="1017"/>
      <c r="F911" s="1017"/>
      <c r="G911" s="1017"/>
      <c r="H911" s="1017"/>
      <c r="I911" s="1017"/>
      <c r="J911" s="1017"/>
      <c r="K911" s="1017"/>
      <c r="L911" s="1017"/>
      <c r="M911" s="1017"/>
      <c r="N911" s="1017"/>
      <c r="O911" s="1017"/>
      <c r="P911" s="1017"/>
      <c r="Q911" s="1017"/>
      <c r="R911" s="1017"/>
      <c r="S911" s="1017"/>
      <c r="T911" s="1351"/>
      <c r="U911" s="1017"/>
      <c r="V911" s="1017"/>
      <c r="W911" s="1017"/>
      <c r="X911" s="1017"/>
      <c r="Y911" s="1017"/>
      <c r="Z911" s="1017"/>
      <c r="AA911" s="1017"/>
      <c r="AB911" s="1017"/>
      <c r="AC911" s="1017"/>
      <c r="AD911" s="1017"/>
      <c r="AE911" s="1017"/>
      <c r="AF911" s="1017"/>
    </row>
    <row r="912" spans="1:32">
      <c r="A912" s="1017"/>
      <c r="B912" s="1017"/>
      <c r="C912" s="1017"/>
      <c r="D912" s="1017"/>
      <c r="E912" s="1017"/>
      <c r="F912" s="1017"/>
      <c r="G912" s="1017"/>
      <c r="H912" s="1017"/>
      <c r="I912" s="1017"/>
      <c r="J912" s="1017"/>
      <c r="K912" s="1017"/>
      <c r="L912" s="1017"/>
      <c r="M912" s="1017"/>
      <c r="N912" s="1017"/>
      <c r="O912" s="1017"/>
      <c r="P912" s="1017"/>
      <c r="Q912" s="1017"/>
      <c r="R912" s="1017"/>
      <c r="S912" s="1017"/>
      <c r="T912" s="1351"/>
      <c r="U912" s="1017"/>
      <c r="V912" s="1017"/>
      <c r="W912" s="1017"/>
      <c r="X912" s="1017"/>
      <c r="Y912" s="1017"/>
      <c r="Z912" s="1017"/>
      <c r="AA912" s="1017"/>
      <c r="AB912" s="1017"/>
      <c r="AC912" s="1017"/>
      <c r="AD912" s="1017"/>
      <c r="AE912" s="1017"/>
      <c r="AF912" s="1017"/>
    </row>
    <row r="913" spans="1:32">
      <c r="A913" s="1017"/>
      <c r="B913" s="1017"/>
      <c r="C913" s="1017"/>
      <c r="D913" s="1017"/>
      <c r="E913" s="1017"/>
      <c r="F913" s="1017"/>
      <c r="G913" s="1017"/>
      <c r="H913" s="1017"/>
      <c r="I913" s="1017"/>
      <c r="J913" s="1017"/>
      <c r="K913" s="1017"/>
      <c r="L913" s="1017"/>
      <c r="M913" s="1017"/>
      <c r="N913" s="1017"/>
      <c r="O913" s="1017"/>
      <c r="P913" s="1017"/>
      <c r="Q913" s="1017"/>
      <c r="R913" s="1017"/>
      <c r="S913" s="1017"/>
      <c r="T913" s="1351"/>
      <c r="U913" s="1017"/>
      <c r="V913" s="1017"/>
      <c r="W913" s="1017"/>
      <c r="X913" s="1017"/>
      <c r="Y913" s="1017"/>
      <c r="Z913" s="1017"/>
      <c r="AA913" s="1017"/>
      <c r="AB913" s="1017"/>
      <c r="AC913" s="1017"/>
      <c r="AD913" s="1017"/>
      <c r="AE913" s="1017"/>
      <c r="AF913" s="1017"/>
    </row>
    <row r="914" spans="1:32">
      <c r="A914" s="1017"/>
      <c r="B914" s="1017"/>
      <c r="C914" s="1017"/>
      <c r="D914" s="1017"/>
      <c r="E914" s="1017"/>
      <c r="F914" s="1017"/>
      <c r="G914" s="1017"/>
      <c r="H914" s="1017"/>
      <c r="I914" s="1017"/>
      <c r="J914" s="1017"/>
      <c r="K914" s="1017"/>
      <c r="L914" s="1017"/>
      <c r="M914" s="1017"/>
      <c r="N914" s="1017"/>
      <c r="O914" s="1017"/>
      <c r="P914" s="1017"/>
      <c r="Q914" s="1017"/>
      <c r="R914" s="1017"/>
      <c r="S914" s="1017"/>
      <c r="T914" s="1351"/>
      <c r="U914" s="1017"/>
      <c r="V914" s="1017"/>
      <c r="W914" s="1017"/>
      <c r="X914" s="1017"/>
      <c r="Y914" s="1017"/>
      <c r="Z914" s="1017"/>
      <c r="AA914" s="1017"/>
      <c r="AB914" s="1017"/>
      <c r="AC914" s="1017"/>
      <c r="AD914" s="1017"/>
      <c r="AE914" s="1017"/>
      <c r="AF914" s="1017"/>
    </row>
    <row r="915" spans="1:32">
      <c r="A915" s="1017"/>
      <c r="B915" s="1017"/>
      <c r="C915" s="1017"/>
      <c r="D915" s="1017"/>
      <c r="E915" s="1017"/>
      <c r="F915" s="1017"/>
      <c r="G915" s="1017"/>
      <c r="H915" s="1017"/>
      <c r="I915" s="1017"/>
      <c r="J915" s="1017"/>
      <c r="K915" s="1017"/>
      <c r="L915" s="1017"/>
      <c r="M915" s="1017"/>
      <c r="N915" s="1017"/>
      <c r="O915" s="1017"/>
      <c r="P915" s="1017"/>
      <c r="Q915" s="1017"/>
      <c r="R915" s="1017"/>
      <c r="S915" s="1017"/>
      <c r="T915" s="1351"/>
      <c r="U915" s="1017"/>
      <c r="V915" s="1017"/>
      <c r="W915" s="1017"/>
      <c r="X915" s="1017"/>
      <c r="Y915" s="1017"/>
      <c r="Z915" s="1017"/>
      <c r="AA915" s="1017"/>
      <c r="AB915" s="1017"/>
      <c r="AC915" s="1017"/>
      <c r="AD915" s="1017"/>
      <c r="AE915" s="1017"/>
      <c r="AF915" s="1017"/>
    </row>
    <row r="916" spans="1:32">
      <c r="A916" s="1017"/>
      <c r="B916" s="1017"/>
      <c r="C916" s="1017"/>
      <c r="D916" s="1017"/>
      <c r="E916" s="1017"/>
      <c r="F916" s="1017"/>
      <c r="G916" s="1017"/>
      <c r="H916" s="1017"/>
      <c r="I916" s="1017"/>
      <c r="J916" s="1017"/>
      <c r="K916" s="1017"/>
      <c r="L916" s="1017"/>
      <c r="M916" s="1017"/>
      <c r="N916" s="1017"/>
      <c r="O916" s="1017"/>
      <c r="P916" s="1017"/>
      <c r="Q916" s="1017"/>
      <c r="R916" s="1017"/>
      <c r="S916" s="1017"/>
      <c r="T916" s="1351"/>
      <c r="U916" s="1017"/>
      <c r="V916" s="1017"/>
      <c r="W916" s="1017"/>
      <c r="X916" s="1017"/>
      <c r="Y916" s="1017"/>
      <c r="Z916" s="1017"/>
      <c r="AA916" s="1017"/>
      <c r="AB916" s="1017"/>
      <c r="AC916" s="1017"/>
      <c r="AD916" s="1017"/>
      <c r="AE916" s="1017"/>
      <c r="AF916" s="1017"/>
    </row>
    <row r="917" spans="1:32">
      <c r="A917" s="1017"/>
      <c r="B917" s="1017"/>
      <c r="C917" s="1017"/>
      <c r="D917" s="1017"/>
      <c r="E917" s="1017"/>
      <c r="F917" s="1017"/>
      <c r="G917" s="1017"/>
      <c r="H917" s="1017"/>
      <c r="I917" s="1017"/>
      <c r="J917" s="1017"/>
      <c r="K917" s="1017"/>
      <c r="L917" s="1017"/>
      <c r="M917" s="1017"/>
      <c r="N917" s="1017"/>
      <c r="O917" s="1017"/>
      <c r="P917" s="1017"/>
      <c r="Q917" s="1017"/>
      <c r="R917" s="1017"/>
      <c r="S917" s="1017"/>
      <c r="T917" s="1351"/>
      <c r="U917" s="1017"/>
      <c r="V917" s="1017"/>
      <c r="W917" s="1017"/>
      <c r="X917" s="1017"/>
      <c r="Y917" s="1017"/>
      <c r="Z917" s="1017"/>
      <c r="AA917" s="1017"/>
      <c r="AB917" s="1017"/>
      <c r="AC917" s="1017"/>
      <c r="AD917" s="1017"/>
      <c r="AE917" s="1017"/>
      <c r="AF917" s="1017"/>
    </row>
    <row r="918" spans="1:32">
      <c r="A918" s="1017"/>
      <c r="B918" s="1017"/>
      <c r="C918" s="1017"/>
      <c r="D918" s="1017"/>
      <c r="E918" s="1017"/>
      <c r="F918" s="1017"/>
      <c r="G918" s="1017"/>
      <c r="H918" s="1017"/>
      <c r="I918" s="1017"/>
      <c r="J918" s="1017"/>
      <c r="K918" s="1017"/>
      <c r="L918" s="1017"/>
      <c r="M918" s="1017"/>
      <c r="N918" s="1017"/>
      <c r="O918" s="1017"/>
      <c r="P918" s="1017"/>
      <c r="Q918" s="1017"/>
      <c r="R918" s="1017"/>
      <c r="S918" s="1017"/>
      <c r="T918" s="1351"/>
      <c r="U918" s="1017"/>
      <c r="V918" s="1017"/>
      <c r="W918" s="1017"/>
      <c r="X918" s="1017"/>
      <c r="Y918" s="1017"/>
      <c r="Z918" s="1017"/>
      <c r="AA918" s="1017"/>
      <c r="AB918" s="1017"/>
      <c r="AC918" s="1017"/>
      <c r="AD918" s="1017"/>
      <c r="AE918" s="1017"/>
      <c r="AF918" s="1017"/>
    </row>
    <row r="919" spans="1:32">
      <c r="A919" s="1017"/>
      <c r="B919" s="1017"/>
      <c r="C919" s="1017"/>
      <c r="D919" s="1017"/>
      <c r="E919" s="1017"/>
      <c r="F919" s="1017"/>
      <c r="G919" s="1017"/>
      <c r="H919" s="1017"/>
      <c r="I919" s="1017"/>
      <c r="J919" s="1017"/>
      <c r="K919" s="1017"/>
      <c r="L919" s="1017"/>
      <c r="M919" s="1017"/>
      <c r="N919" s="1017"/>
      <c r="O919" s="1017"/>
      <c r="P919" s="1017"/>
      <c r="Q919" s="1017"/>
      <c r="R919" s="1017"/>
      <c r="S919" s="1017"/>
      <c r="T919" s="1351"/>
      <c r="U919" s="1017"/>
      <c r="V919" s="1017"/>
      <c r="W919" s="1017"/>
      <c r="X919" s="1017"/>
      <c r="Y919" s="1017"/>
      <c r="Z919" s="1017"/>
      <c r="AA919" s="1017"/>
      <c r="AB919" s="1017"/>
      <c r="AC919" s="1017"/>
      <c r="AD919" s="1017"/>
      <c r="AE919" s="1017"/>
      <c r="AF919" s="1017"/>
    </row>
    <row r="920" spans="1:32">
      <c r="A920" s="1017"/>
      <c r="B920" s="1017"/>
      <c r="C920" s="1017"/>
      <c r="D920" s="1017"/>
      <c r="E920" s="1017"/>
      <c r="F920" s="1017"/>
      <c r="G920" s="1017"/>
      <c r="H920" s="1017"/>
      <c r="I920" s="1017"/>
      <c r="J920" s="1017"/>
      <c r="K920" s="1017"/>
      <c r="L920" s="1017"/>
      <c r="M920" s="1017"/>
      <c r="N920" s="1017"/>
      <c r="O920" s="1017"/>
      <c r="P920" s="1017"/>
      <c r="Q920" s="1017"/>
      <c r="R920" s="1017"/>
      <c r="S920" s="1017"/>
      <c r="T920" s="1351"/>
      <c r="U920" s="1017"/>
      <c r="V920" s="1017"/>
      <c r="W920" s="1017"/>
      <c r="X920" s="1017"/>
      <c r="Y920" s="1017"/>
      <c r="Z920" s="1017"/>
      <c r="AA920" s="1017"/>
      <c r="AB920" s="1017"/>
      <c r="AC920" s="1017"/>
      <c r="AD920" s="1017"/>
      <c r="AE920" s="1017"/>
      <c r="AF920" s="1017"/>
    </row>
    <row r="921" spans="1:32">
      <c r="A921" s="1017"/>
      <c r="B921" s="1017"/>
      <c r="C921" s="1017"/>
      <c r="D921" s="1017"/>
      <c r="E921" s="1017"/>
      <c r="F921" s="1017"/>
      <c r="G921" s="1017"/>
      <c r="H921" s="1017"/>
      <c r="I921" s="1017"/>
      <c r="J921" s="1017"/>
      <c r="K921" s="1017"/>
      <c r="L921" s="1017"/>
      <c r="M921" s="1017"/>
      <c r="N921" s="1017"/>
      <c r="O921" s="1017"/>
      <c r="P921" s="1017"/>
      <c r="Q921" s="1017"/>
      <c r="R921" s="1017"/>
      <c r="S921" s="1017"/>
      <c r="T921" s="1351"/>
      <c r="U921" s="1017"/>
      <c r="V921" s="1017"/>
      <c r="W921" s="1017"/>
      <c r="X921" s="1017"/>
      <c r="Y921" s="1017"/>
      <c r="Z921" s="1017"/>
      <c r="AA921" s="1017"/>
      <c r="AB921" s="1017"/>
      <c r="AC921" s="1017"/>
      <c r="AD921" s="1017"/>
      <c r="AE921" s="1017"/>
      <c r="AF921" s="1017"/>
    </row>
    <row r="922" spans="1:32">
      <c r="A922" s="1017"/>
      <c r="B922" s="1017"/>
      <c r="C922" s="1017"/>
      <c r="D922" s="1017"/>
      <c r="E922" s="1017"/>
      <c r="F922" s="1017"/>
      <c r="G922" s="1017"/>
      <c r="H922" s="1017"/>
      <c r="I922" s="1017"/>
      <c r="J922" s="1017"/>
      <c r="K922" s="1017"/>
      <c r="L922" s="1017"/>
      <c r="M922" s="1017"/>
      <c r="N922" s="1017"/>
      <c r="O922" s="1017"/>
      <c r="P922" s="1017"/>
      <c r="Q922" s="1017"/>
      <c r="R922" s="1017"/>
      <c r="S922" s="1017"/>
      <c r="T922" s="1351"/>
      <c r="U922" s="1017"/>
      <c r="V922" s="1017"/>
      <c r="W922" s="1017"/>
      <c r="X922" s="1017"/>
      <c r="Y922" s="1017"/>
      <c r="Z922" s="1017"/>
      <c r="AA922" s="1017"/>
      <c r="AB922" s="1017"/>
      <c r="AC922" s="1017"/>
      <c r="AD922" s="1017"/>
      <c r="AE922" s="1017"/>
      <c r="AF922" s="1017"/>
    </row>
    <row r="923" spans="1:32">
      <c r="A923" s="1017"/>
      <c r="B923" s="1017"/>
      <c r="C923" s="1017"/>
      <c r="D923" s="1017"/>
      <c r="E923" s="1017"/>
      <c r="F923" s="1017"/>
      <c r="G923" s="1017"/>
      <c r="H923" s="1017"/>
      <c r="I923" s="1017"/>
      <c r="J923" s="1017"/>
      <c r="K923" s="1017"/>
      <c r="L923" s="1017"/>
      <c r="M923" s="1017"/>
      <c r="N923" s="1017"/>
      <c r="O923" s="1017"/>
      <c r="P923" s="1017"/>
      <c r="Q923" s="1017"/>
      <c r="R923" s="1017"/>
      <c r="S923" s="1017"/>
      <c r="T923" s="1351"/>
      <c r="U923" s="1017"/>
      <c r="V923" s="1017"/>
      <c r="W923" s="1017"/>
      <c r="X923" s="1017"/>
      <c r="Y923" s="1017"/>
      <c r="Z923" s="1017"/>
      <c r="AA923" s="1017"/>
      <c r="AB923" s="1017"/>
      <c r="AC923" s="1017"/>
      <c r="AD923" s="1017"/>
      <c r="AE923" s="1017"/>
      <c r="AF923" s="1017"/>
    </row>
    <row r="924" spans="1:32">
      <c r="A924" s="1017"/>
      <c r="B924" s="1017"/>
      <c r="C924" s="1017"/>
      <c r="D924" s="1017"/>
      <c r="E924" s="1017"/>
      <c r="F924" s="1017"/>
      <c r="G924" s="1017"/>
      <c r="H924" s="1017"/>
      <c r="I924" s="1017"/>
      <c r="J924" s="1017"/>
      <c r="K924" s="1017"/>
      <c r="L924" s="1017"/>
      <c r="M924" s="1017"/>
      <c r="N924" s="1017"/>
      <c r="O924" s="1017"/>
      <c r="P924" s="1017"/>
      <c r="Q924" s="1017"/>
      <c r="R924" s="1017"/>
      <c r="S924" s="1017"/>
      <c r="T924" s="1351"/>
      <c r="U924" s="1017"/>
      <c r="V924" s="1017"/>
      <c r="W924" s="1017"/>
      <c r="X924" s="1017"/>
      <c r="Y924" s="1017"/>
      <c r="Z924" s="1017"/>
      <c r="AA924" s="1017"/>
      <c r="AB924" s="1017"/>
      <c r="AC924" s="1017"/>
      <c r="AD924" s="1017"/>
      <c r="AE924" s="1017"/>
      <c r="AF924" s="1017"/>
    </row>
    <row r="925" spans="1:32">
      <c r="A925" s="1017"/>
      <c r="B925" s="1017"/>
      <c r="C925" s="1017"/>
      <c r="D925" s="1017"/>
      <c r="E925" s="1017"/>
      <c r="F925" s="1017"/>
      <c r="G925" s="1017"/>
      <c r="H925" s="1017"/>
      <c r="I925" s="1017"/>
      <c r="J925" s="1017"/>
      <c r="K925" s="1017"/>
      <c r="L925" s="1017"/>
      <c r="M925" s="1017"/>
      <c r="N925" s="1017"/>
      <c r="O925" s="1017"/>
      <c r="P925" s="1017"/>
      <c r="Q925" s="1017"/>
      <c r="R925" s="1017"/>
      <c r="S925" s="1017"/>
      <c r="T925" s="1351"/>
      <c r="U925" s="1017"/>
      <c r="V925" s="1017"/>
      <c r="W925" s="1017"/>
      <c r="X925" s="1017"/>
      <c r="Y925" s="1017"/>
      <c r="Z925" s="1017"/>
      <c r="AA925" s="1017"/>
      <c r="AB925" s="1017"/>
      <c r="AC925" s="1017"/>
      <c r="AD925" s="1017"/>
      <c r="AE925" s="1017"/>
      <c r="AF925" s="1017"/>
    </row>
    <row r="926" spans="1:32">
      <c r="A926" s="1017"/>
      <c r="B926" s="1017"/>
      <c r="C926" s="1017"/>
      <c r="D926" s="1017"/>
      <c r="E926" s="1017"/>
      <c r="F926" s="1017"/>
      <c r="G926" s="1017"/>
      <c r="H926" s="1017"/>
      <c r="I926" s="1017"/>
      <c r="J926" s="1017"/>
      <c r="K926" s="1017"/>
      <c r="L926" s="1017"/>
      <c r="M926" s="1017"/>
      <c r="N926" s="1017"/>
      <c r="O926" s="1017"/>
      <c r="P926" s="1017"/>
      <c r="Q926" s="1017"/>
      <c r="R926" s="1017"/>
      <c r="S926" s="1017"/>
      <c r="T926" s="1351"/>
      <c r="U926" s="1017"/>
      <c r="V926" s="1017"/>
      <c r="W926" s="1017"/>
      <c r="X926" s="1017"/>
      <c r="Y926" s="1017"/>
      <c r="Z926" s="1017"/>
      <c r="AA926" s="1017"/>
      <c r="AB926" s="1017"/>
      <c r="AC926" s="1017"/>
      <c r="AD926" s="1017"/>
      <c r="AE926" s="1017"/>
      <c r="AF926" s="1017"/>
    </row>
    <row r="927" spans="1:32">
      <c r="A927" s="1017"/>
      <c r="B927" s="1017"/>
      <c r="C927" s="1017"/>
      <c r="D927" s="1017"/>
      <c r="E927" s="1017"/>
      <c r="F927" s="1017"/>
      <c r="G927" s="1017"/>
      <c r="H927" s="1017"/>
      <c r="I927" s="1017"/>
      <c r="J927" s="1017"/>
      <c r="K927" s="1017"/>
      <c r="L927" s="1017"/>
      <c r="M927" s="1017"/>
      <c r="N927" s="1017"/>
      <c r="O927" s="1017"/>
      <c r="P927" s="1017"/>
      <c r="Q927" s="1017"/>
      <c r="R927" s="1017"/>
      <c r="S927" s="1017"/>
      <c r="T927" s="1351"/>
      <c r="U927" s="1017"/>
      <c r="V927" s="1017"/>
      <c r="W927" s="1017"/>
      <c r="X927" s="1017"/>
      <c r="Y927" s="1017"/>
      <c r="Z927" s="1017"/>
      <c r="AA927" s="1017"/>
      <c r="AB927" s="1017"/>
      <c r="AC927" s="1017"/>
      <c r="AD927" s="1017"/>
      <c r="AE927" s="1017"/>
      <c r="AF927" s="1017"/>
    </row>
    <row r="928" spans="1:32">
      <c r="A928" s="1017"/>
      <c r="B928" s="1017"/>
      <c r="C928" s="1017"/>
      <c r="D928" s="1017"/>
      <c r="E928" s="1017"/>
      <c r="F928" s="1017"/>
      <c r="G928" s="1017"/>
      <c r="H928" s="1017"/>
      <c r="I928" s="1017"/>
      <c r="J928" s="1017"/>
      <c r="K928" s="1017"/>
      <c r="L928" s="1017"/>
      <c r="M928" s="1017"/>
      <c r="N928" s="1017"/>
      <c r="O928" s="1017"/>
      <c r="P928" s="1017"/>
      <c r="Q928" s="1017"/>
      <c r="R928" s="1017"/>
      <c r="S928" s="1017"/>
      <c r="T928" s="1351"/>
      <c r="U928" s="1017"/>
      <c r="V928" s="1017"/>
      <c r="W928" s="1017"/>
      <c r="X928" s="1017"/>
      <c r="Y928" s="1017"/>
      <c r="Z928" s="1017"/>
      <c r="AA928" s="1017"/>
      <c r="AB928" s="1017"/>
      <c r="AC928" s="1017"/>
      <c r="AD928" s="1017"/>
      <c r="AE928" s="1017"/>
      <c r="AF928" s="1017"/>
    </row>
    <row r="929" spans="1:32">
      <c r="A929" s="1017"/>
      <c r="B929" s="1017"/>
      <c r="C929" s="1017"/>
      <c r="D929" s="1017"/>
      <c r="E929" s="1017"/>
      <c r="F929" s="1017"/>
      <c r="G929" s="1017"/>
      <c r="H929" s="1017"/>
      <c r="I929" s="1017"/>
      <c r="J929" s="1017"/>
      <c r="K929" s="1017"/>
      <c r="L929" s="1017"/>
      <c r="M929" s="1017"/>
      <c r="N929" s="1017"/>
      <c r="O929" s="1017"/>
      <c r="P929" s="1017"/>
      <c r="Q929" s="1017"/>
      <c r="R929" s="1017"/>
      <c r="S929" s="1017"/>
      <c r="T929" s="1351"/>
      <c r="U929" s="1017"/>
      <c r="V929" s="1017"/>
      <c r="W929" s="1017"/>
      <c r="X929" s="1017"/>
      <c r="Y929" s="1017"/>
      <c r="Z929" s="1017"/>
      <c r="AA929" s="1017"/>
      <c r="AB929" s="1017"/>
      <c r="AC929" s="1017"/>
      <c r="AD929" s="1017"/>
      <c r="AE929" s="1017"/>
      <c r="AF929" s="1017"/>
    </row>
    <row r="930" spans="1:32">
      <c r="A930" s="1017"/>
      <c r="B930" s="1017"/>
      <c r="C930" s="1017"/>
      <c r="D930" s="1017"/>
      <c r="E930" s="1017"/>
      <c r="F930" s="1017"/>
      <c r="G930" s="1017"/>
      <c r="H930" s="1017"/>
      <c r="I930" s="1017"/>
      <c r="J930" s="1017"/>
      <c r="K930" s="1017"/>
      <c r="L930" s="1017"/>
      <c r="M930" s="1017"/>
      <c r="N930" s="1017"/>
      <c r="O930" s="1017"/>
      <c r="P930" s="1017"/>
      <c r="Q930" s="1017"/>
      <c r="R930" s="1017"/>
      <c r="S930" s="1017"/>
      <c r="T930" s="1351"/>
      <c r="U930" s="1017"/>
      <c r="V930" s="1017"/>
      <c r="W930" s="1017"/>
      <c r="X930" s="1017"/>
      <c r="Y930" s="1017"/>
      <c r="Z930" s="1017"/>
      <c r="AA930" s="1017"/>
      <c r="AB930" s="1017"/>
      <c r="AC930" s="1017"/>
      <c r="AD930" s="1017"/>
      <c r="AE930" s="1017"/>
      <c r="AF930" s="1017"/>
    </row>
    <row r="931" spans="1:32">
      <c r="A931" s="1017"/>
      <c r="B931" s="1017"/>
      <c r="C931" s="1017"/>
      <c r="D931" s="1017"/>
      <c r="E931" s="1017"/>
      <c r="F931" s="1017"/>
      <c r="G931" s="1017"/>
      <c r="H931" s="1017"/>
      <c r="I931" s="1017"/>
      <c r="J931" s="1017"/>
      <c r="K931" s="1017"/>
      <c r="L931" s="1017"/>
      <c r="M931" s="1017"/>
      <c r="N931" s="1017"/>
      <c r="O931" s="1017"/>
      <c r="P931" s="1017"/>
      <c r="Q931" s="1017"/>
      <c r="R931" s="1017"/>
      <c r="S931" s="1017"/>
      <c r="T931" s="1351"/>
      <c r="U931" s="1017"/>
      <c r="V931" s="1017"/>
      <c r="W931" s="1017"/>
      <c r="X931" s="1017"/>
      <c r="Y931" s="1017"/>
      <c r="Z931" s="1017"/>
      <c r="AA931" s="1017"/>
      <c r="AB931" s="1017"/>
      <c r="AC931" s="1017"/>
      <c r="AD931" s="1017"/>
      <c r="AE931" s="1017"/>
      <c r="AF931" s="1017"/>
    </row>
    <row r="932" spans="1:32">
      <c r="A932" s="1017"/>
      <c r="B932" s="1017"/>
      <c r="C932" s="1017"/>
      <c r="D932" s="1017"/>
      <c r="E932" s="1017"/>
      <c r="F932" s="1017"/>
      <c r="G932" s="1017"/>
      <c r="H932" s="1017"/>
      <c r="I932" s="1017"/>
      <c r="J932" s="1017"/>
      <c r="K932" s="1017"/>
      <c r="L932" s="1017"/>
      <c r="M932" s="1017"/>
      <c r="N932" s="1017"/>
      <c r="O932" s="1017"/>
      <c r="P932" s="1017"/>
      <c r="Q932" s="1017"/>
      <c r="R932" s="1017"/>
      <c r="S932" s="1017"/>
      <c r="T932" s="1351"/>
      <c r="U932" s="1017"/>
      <c r="V932" s="1017"/>
      <c r="W932" s="1017"/>
      <c r="X932" s="1017"/>
      <c r="Y932" s="1017"/>
      <c r="Z932" s="1017"/>
      <c r="AA932" s="1017"/>
      <c r="AB932" s="1017"/>
      <c r="AC932" s="1017"/>
      <c r="AD932" s="1017"/>
      <c r="AE932" s="1017"/>
      <c r="AF932" s="1017"/>
    </row>
    <row r="933" spans="1:32">
      <c r="A933" s="1017"/>
      <c r="B933" s="1017"/>
      <c r="C933" s="1017"/>
      <c r="D933" s="1017"/>
      <c r="E933" s="1017"/>
      <c r="F933" s="1017"/>
      <c r="G933" s="1017"/>
      <c r="H933" s="1017"/>
      <c r="I933" s="1017"/>
      <c r="J933" s="1017"/>
      <c r="K933" s="1017"/>
      <c r="L933" s="1017"/>
      <c r="M933" s="1017"/>
      <c r="N933" s="1017"/>
      <c r="O933" s="1017"/>
      <c r="P933" s="1017"/>
      <c r="Q933" s="1017"/>
      <c r="R933" s="1017"/>
      <c r="S933" s="1017"/>
      <c r="T933" s="1351"/>
      <c r="U933" s="1017"/>
      <c r="V933" s="1017"/>
      <c r="W933" s="1017"/>
      <c r="X933" s="1017"/>
      <c r="Y933" s="1017"/>
      <c r="Z933" s="1017"/>
      <c r="AA933" s="1017"/>
      <c r="AB933" s="1017"/>
      <c r="AC933" s="1017"/>
      <c r="AD933" s="1017"/>
      <c r="AE933" s="1017"/>
      <c r="AF933" s="1017"/>
    </row>
    <row r="934" spans="1:32">
      <c r="A934" s="1017"/>
      <c r="B934" s="1017"/>
      <c r="C934" s="1017"/>
      <c r="D934" s="1017"/>
      <c r="E934" s="1017"/>
      <c r="F934" s="1017"/>
      <c r="G934" s="1017"/>
      <c r="H934" s="1017"/>
      <c r="I934" s="1017"/>
      <c r="J934" s="1017"/>
      <c r="K934" s="1017"/>
      <c r="L934" s="1017"/>
      <c r="M934" s="1017"/>
      <c r="N934" s="1017"/>
      <c r="O934" s="1017"/>
      <c r="P934" s="1017"/>
      <c r="Q934" s="1017"/>
      <c r="R934" s="1017"/>
      <c r="S934" s="1017"/>
      <c r="T934" s="1351"/>
      <c r="U934" s="1017"/>
      <c r="V934" s="1017"/>
      <c r="W934" s="1017"/>
      <c r="X934" s="1017"/>
      <c r="Y934" s="1017"/>
      <c r="Z934" s="1017"/>
      <c r="AA934" s="1017"/>
      <c r="AB934" s="1017"/>
      <c r="AC934" s="1017"/>
      <c r="AD934" s="1017"/>
      <c r="AE934" s="1017"/>
      <c r="AF934" s="1017"/>
    </row>
    <row r="935" spans="1:32">
      <c r="A935" s="1017"/>
      <c r="B935" s="1017"/>
      <c r="C935" s="1017"/>
      <c r="D935" s="1017"/>
      <c r="E935" s="1017"/>
      <c r="F935" s="1017"/>
      <c r="G935" s="1017"/>
      <c r="H935" s="1017"/>
      <c r="I935" s="1017"/>
      <c r="J935" s="1017"/>
      <c r="K935" s="1017"/>
      <c r="L935" s="1017"/>
      <c r="M935" s="1017"/>
      <c r="N935" s="1017"/>
      <c r="O935" s="1017"/>
      <c r="P935" s="1017"/>
      <c r="Q935" s="1017"/>
      <c r="R935" s="1017"/>
      <c r="S935" s="1017"/>
      <c r="T935" s="1351"/>
      <c r="U935" s="1017"/>
      <c r="V935" s="1017"/>
      <c r="W935" s="1017"/>
      <c r="X935" s="1017"/>
      <c r="Y935" s="1017"/>
      <c r="Z935" s="1017"/>
      <c r="AA935" s="1017"/>
      <c r="AB935" s="1017"/>
      <c r="AC935" s="1017"/>
      <c r="AD935" s="1017"/>
      <c r="AE935" s="1017"/>
      <c r="AF935" s="1017"/>
    </row>
    <row r="936" spans="1:32">
      <c r="A936" s="1017"/>
      <c r="B936" s="1017"/>
      <c r="C936" s="1017"/>
      <c r="D936" s="1017"/>
      <c r="E936" s="1017"/>
      <c r="F936" s="1017"/>
      <c r="G936" s="1017"/>
      <c r="H936" s="1017"/>
      <c r="I936" s="1017"/>
      <c r="J936" s="1017"/>
      <c r="K936" s="1017"/>
      <c r="L936" s="1017"/>
      <c r="M936" s="1017"/>
      <c r="N936" s="1017"/>
      <c r="O936" s="1017"/>
      <c r="P936" s="1017"/>
      <c r="Q936" s="1017"/>
      <c r="R936" s="1017"/>
      <c r="S936" s="1017"/>
      <c r="T936" s="1351"/>
      <c r="U936" s="1017"/>
      <c r="V936" s="1017"/>
      <c r="W936" s="1017"/>
      <c r="X936" s="1017"/>
      <c r="Y936" s="1017"/>
      <c r="Z936" s="1017"/>
      <c r="AA936" s="1017"/>
      <c r="AB936" s="1017"/>
      <c r="AC936" s="1017"/>
      <c r="AD936" s="1017"/>
      <c r="AE936" s="1017"/>
      <c r="AF936" s="1017"/>
    </row>
    <row r="937" spans="1:32">
      <c r="A937" s="1017"/>
      <c r="B937" s="1017"/>
      <c r="C937" s="1017"/>
      <c r="D937" s="1017"/>
      <c r="E937" s="1017"/>
      <c r="F937" s="1017"/>
      <c r="G937" s="1017"/>
      <c r="H937" s="1017"/>
      <c r="I937" s="1017"/>
      <c r="J937" s="1017"/>
      <c r="K937" s="1017"/>
      <c r="L937" s="1017"/>
      <c r="M937" s="1017"/>
      <c r="N937" s="1017"/>
      <c r="O937" s="1017"/>
      <c r="P937" s="1017"/>
      <c r="Q937" s="1017"/>
      <c r="R937" s="1017"/>
      <c r="S937" s="1017"/>
      <c r="T937" s="1351"/>
      <c r="U937" s="1017"/>
      <c r="V937" s="1017"/>
      <c r="W937" s="1017"/>
      <c r="X937" s="1017"/>
      <c r="Y937" s="1017"/>
      <c r="Z937" s="1017"/>
      <c r="AA937" s="1017"/>
      <c r="AB937" s="1017"/>
      <c r="AC937" s="1017"/>
      <c r="AD937" s="1017"/>
      <c r="AE937" s="1017"/>
      <c r="AF937" s="1017"/>
    </row>
    <row r="938" spans="1:32">
      <c r="A938" s="1017"/>
      <c r="B938" s="1017"/>
      <c r="C938" s="1017"/>
      <c r="D938" s="1017"/>
      <c r="E938" s="1017"/>
      <c r="F938" s="1017"/>
      <c r="G938" s="1017"/>
      <c r="H938" s="1017"/>
      <c r="I938" s="1017"/>
      <c r="J938" s="1017"/>
      <c r="K938" s="1017"/>
      <c r="L938" s="1017"/>
      <c r="M938" s="1017"/>
      <c r="N938" s="1017"/>
      <c r="O938" s="1017"/>
      <c r="P938" s="1017"/>
      <c r="Q938" s="1017"/>
      <c r="R938" s="1017"/>
      <c r="S938" s="1017"/>
      <c r="T938" s="1351"/>
      <c r="U938" s="1017"/>
      <c r="V938" s="1017"/>
      <c r="W938" s="1017"/>
      <c r="X938" s="1017"/>
      <c r="Y938" s="1017"/>
      <c r="Z938" s="1017"/>
      <c r="AA938" s="1017"/>
      <c r="AB938" s="1017"/>
      <c r="AC938" s="1017"/>
      <c r="AD938" s="1017"/>
      <c r="AE938" s="1017"/>
      <c r="AF938" s="1017"/>
    </row>
    <row r="939" spans="1:32">
      <c r="A939" s="1017"/>
      <c r="B939" s="1017"/>
      <c r="C939" s="1017"/>
      <c r="D939" s="1017"/>
      <c r="E939" s="1017"/>
      <c r="F939" s="1017"/>
      <c r="G939" s="1017"/>
      <c r="H939" s="1017"/>
      <c r="I939" s="1017"/>
      <c r="J939" s="1017"/>
      <c r="K939" s="1017"/>
      <c r="L939" s="1017"/>
      <c r="M939" s="1017"/>
      <c r="N939" s="1017"/>
      <c r="O939" s="1017"/>
      <c r="P939" s="1017"/>
      <c r="Q939" s="1017"/>
      <c r="R939" s="1017"/>
      <c r="S939" s="1017"/>
      <c r="T939" s="1351"/>
      <c r="U939" s="1017"/>
      <c r="V939" s="1017"/>
      <c r="W939" s="1017"/>
      <c r="X939" s="1017"/>
      <c r="Y939" s="1017"/>
      <c r="Z939" s="1017"/>
      <c r="AA939" s="1017"/>
      <c r="AB939" s="1017"/>
      <c r="AC939" s="1017"/>
      <c r="AD939" s="1017"/>
      <c r="AE939" s="1017"/>
      <c r="AF939" s="1017"/>
    </row>
    <row r="940" spans="1:32">
      <c r="A940" s="1017"/>
      <c r="B940" s="1017"/>
      <c r="C940" s="1017"/>
      <c r="D940" s="1017"/>
      <c r="E940" s="1017"/>
      <c r="F940" s="1017"/>
      <c r="G940" s="1017"/>
      <c r="H940" s="1017"/>
      <c r="I940" s="1017"/>
      <c r="J940" s="1017"/>
      <c r="K940" s="1017"/>
      <c r="L940" s="1017"/>
      <c r="M940" s="1017"/>
      <c r="N940" s="1017"/>
      <c r="O940" s="1017"/>
      <c r="P940" s="1017"/>
      <c r="Q940" s="1017"/>
      <c r="R940" s="1017"/>
      <c r="S940" s="1017"/>
      <c r="T940" s="1351"/>
      <c r="U940" s="1017"/>
      <c r="V940" s="1017"/>
      <c r="W940" s="1017"/>
      <c r="X940" s="1017"/>
      <c r="Y940" s="1017"/>
      <c r="Z940" s="1017"/>
      <c r="AA940" s="1017"/>
      <c r="AB940" s="1017"/>
      <c r="AC940" s="1017"/>
      <c r="AD940" s="1017"/>
      <c r="AE940" s="1017"/>
      <c r="AF940" s="1017"/>
    </row>
    <row r="941" spans="1:32">
      <c r="A941" s="1017"/>
      <c r="B941" s="1017"/>
      <c r="C941" s="1017"/>
      <c r="D941" s="1017"/>
      <c r="E941" s="1017"/>
      <c r="F941" s="1017"/>
      <c r="G941" s="1017"/>
      <c r="H941" s="1017"/>
      <c r="I941" s="1017"/>
      <c r="J941" s="1017"/>
      <c r="K941" s="1017"/>
      <c r="L941" s="1017"/>
      <c r="M941" s="1017"/>
      <c r="N941" s="1017"/>
      <c r="O941" s="1017"/>
      <c r="P941" s="1017"/>
      <c r="Q941" s="1017"/>
      <c r="R941" s="1017"/>
      <c r="S941" s="1017"/>
      <c r="T941" s="1351"/>
      <c r="U941" s="1017"/>
      <c r="V941" s="1017"/>
      <c r="W941" s="1017"/>
      <c r="X941" s="1017"/>
      <c r="Y941" s="1017"/>
      <c r="Z941" s="1017"/>
      <c r="AA941" s="1017"/>
      <c r="AB941" s="1017"/>
      <c r="AC941" s="1017"/>
      <c r="AD941" s="1017"/>
      <c r="AE941" s="1017"/>
      <c r="AF941" s="1017"/>
    </row>
    <row r="942" spans="1:32">
      <c r="A942" s="1017"/>
      <c r="B942" s="1017"/>
      <c r="C942" s="1017"/>
      <c r="D942" s="1017"/>
      <c r="E942" s="1017"/>
      <c r="F942" s="1017"/>
      <c r="G942" s="1017"/>
      <c r="H942" s="1017"/>
      <c r="I942" s="1017"/>
      <c r="J942" s="1017"/>
      <c r="K942" s="1017"/>
      <c r="L942" s="1017"/>
      <c r="M942" s="1017"/>
      <c r="N942" s="1017"/>
      <c r="O942" s="1017"/>
      <c r="P942" s="1017"/>
      <c r="Q942" s="1017"/>
      <c r="R942" s="1017"/>
      <c r="S942" s="1017"/>
      <c r="T942" s="1351"/>
      <c r="U942" s="1017"/>
      <c r="V942" s="1017"/>
      <c r="W942" s="1017"/>
      <c r="X942" s="1017"/>
      <c r="Y942" s="1017"/>
      <c r="Z942" s="1017"/>
      <c r="AA942" s="1017"/>
      <c r="AB942" s="1017"/>
      <c r="AC942" s="1017"/>
      <c r="AD942" s="1017"/>
      <c r="AE942" s="1017"/>
      <c r="AF942" s="1017"/>
    </row>
    <row r="943" spans="1:32">
      <c r="A943" s="1017"/>
      <c r="B943" s="1017"/>
      <c r="C943" s="1017"/>
      <c r="D943" s="1017"/>
      <c r="E943" s="1017"/>
      <c r="F943" s="1017"/>
      <c r="G943" s="1017"/>
      <c r="H943" s="1017"/>
      <c r="I943" s="1017"/>
      <c r="J943" s="1017"/>
      <c r="K943" s="1017"/>
      <c r="L943" s="1017"/>
      <c r="M943" s="1017"/>
      <c r="N943" s="1017"/>
      <c r="O943" s="1017"/>
      <c r="P943" s="1017"/>
      <c r="Q943" s="1017"/>
      <c r="R943" s="1017"/>
      <c r="S943" s="1017"/>
      <c r="T943" s="1351"/>
      <c r="U943" s="1017"/>
      <c r="V943" s="1017"/>
      <c r="W943" s="1017"/>
      <c r="X943" s="1017"/>
      <c r="Y943" s="1017"/>
      <c r="Z943" s="1017"/>
      <c r="AA943" s="1017"/>
      <c r="AB943" s="1017"/>
      <c r="AC943" s="1017"/>
      <c r="AD943" s="1017"/>
      <c r="AE943" s="1017"/>
      <c r="AF943" s="1017"/>
    </row>
    <row r="944" spans="1:32">
      <c r="A944" s="1017"/>
      <c r="B944" s="1017"/>
      <c r="C944" s="1017"/>
      <c r="D944" s="1017"/>
      <c r="E944" s="1017"/>
      <c r="F944" s="1017"/>
      <c r="G944" s="1017"/>
      <c r="H944" s="1017"/>
      <c r="I944" s="1017"/>
      <c r="J944" s="1017"/>
      <c r="K944" s="1017"/>
      <c r="L944" s="1017"/>
      <c r="M944" s="1017"/>
      <c r="N944" s="1017"/>
      <c r="O944" s="1017"/>
      <c r="P944" s="1017"/>
      <c r="Q944" s="1017"/>
      <c r="R944" s="1017"/>
      <c r="S944" s="1017"/>
      <c r="T944" s="1351"/>
      <c r="U944" s="1017"/>
      <c r="V944" s="1017"/>
      <c r="W944" s="1017"/>
      <c r="X944" s="1017"/>
      <c r="Y944" s="1017"/>
      <c r="Z944" s="1017"/>
      <c r="AA944" s="1017"/>
      <c r="AB944" s="1017"/>
      <c r="AC944" s="1017"/>
      <c r="AD944" s="1017"/>
      <c r="AE944" s="1017"/>
      <c r="AF944" s="1017"/>
    </row>
    <row r="945" spans="1:32">
      <c r="A945" s="1017"/>
      <c r="B945" s="1017"/>
      <c r="C945" s="1017"/>
      <c r="D945" s="1017"/>
      <c r="E945" s="1017"/>
      <c r="F945" s="1017"/>
      <c r="G945" s="1017"/>
      <c r="H945" s="1017"/>
      <c r="I945" s="1017"/>
      <c r="J945" s="1017"/>
      <c r="K945" s="1017"/>
      <c r="L945" s="1017"/>
      <c r="M945" s="1017"/>
      <c r="N945" s="1017"/>
      <c r="O945" s="1017"/>
      <c r="P945" s="1017"/>
      <c r="Q945" s="1017"/>
      <c r="R945" s="1017"/>
      <c r="S945" s="1017"/>
      <c r="T945" s="1351"/>
      <c r="U945" s="1017"/>
      <c r="V945" s="1017"/>
      <c r="W945" s="1017"/>
      <c r="X945" s="1017"/>
      <c r="Y945" s="1017"/>
      <c r="Z945" s="1017"/>
      <c r="AA945" s="1017"/>
      <c r="AB945" s="1017"/>
      <c r="AC945" s="1017"/>
      <c r="AD945" s="1017"/>
      <c r="AE945" s="1017"/>
      <c r="AF945" s="1017"/>
    </row>
    <row r="946" spans="1:32">
      <c r="A946" s="1017"/>
      <c r="B946" s="1017"/>
      <c r="C946" s="1017"/>
      <c r="D946" s="1017"/>
      <c r="E946" s="1017"/>
      <c r="F946" s="1017"/>
      <c r="G946" s="1017"/>
      <c r="H946" s="1017"/>
      <c r="I946" s="1017"/>
      <c r="J946" s="1017"/>
      <c r="K946" s="1017"/>
      <c r="L946" s="1017"/>
      <c r="M946" s="1017"/>
      <c r="N946" s="1017"/>
      <c r="O946" s="1017"/>
      <c r="P946" s="1017"/>
      <c r="Q946" s="1017"/>
      <c r="R946" s="1017"/>
      <c r="S946" s="1017"/>
      <c r="T946" s="1351"/>
      <c r="U946" s="1017"/>
      <c r="V946" s="1017"/>
      <c r="W946" s="1017"/>
      <c r="X946" s="1017"/>
      <c r="Y946" s="1017"/>
      <c r="Z946" s="1017"/>
      <c r="AA946" s="1017"/>
      <c r="AB946" s="1017"/>
      <c r="AC946" s="1017"/>
      <c r="AD946" s="1017"/>
      <c r="AE946" s="1017"/>
      <c r="AF946" s="1017"/>
    </row>
    <row r="947" spans="1:32">
      <c r="A947" s="1017"/>
      <c r="B947" s="1017"/>
      <c r="C947" s="1017"/>
      <c r="D947" s="1017"/>
      <c r="E947" s="1017"/>
      <c r="F947" s="1017"/>
      <c r="G947" s="1017"/>
      <c r="H947" s="1017"/>
      <c r="I947" s="1017"/>
      <c r="J947" s="1017"/>
      <c r="K947" s="1017"/>
      <c r="L947" s="1017"/>
      <c r="M947" s="1017"/>
      <c r="N947" s="1017"/>
      <c r="O947" s="1017"/>
      <c r="P947" s="1017"/>
      <c r="Q947" s="1017"/>
      <c r="R947" s="1017"/>
      <c r="S947" s="1017"/>
      <c r="T947" s="1351"/>
      <c r="U947" s="1017"/>
      <c r="V947" s="1017"/>
      <c r="W947" s="1017"/>
      <c r="X947" s="1017"/>
      <c r="Y947" s="1017"/>
      <c r="Z947" s="1017"/>
      <c r="AA947" s="1017"/>
      <c r="AB947" s="1017"/>
      <c r="AC947" s="1017"/>
      <c r="AD947" s="1017"/>
      <c r="AE947" s="1017"/>
      <c r="AF947" s="1017"/>
    </row>
    <row r="948" spans="1:32">
      <c r="A948" s="1017"/>
      <c r="B948" s="1017"/>
      <c r="C948" s="1017"/>
      <c r="D948" s="1017"/>
      <c r="E948" s="1017"/>
      <c r="F948" s="1017"/>
      <c r="G948" s="1017"/>
      <c r="H948" s="1017"/>
      <c r="I948" s="1017"/>
      <c r="J948" s="1017"/>
      <c r="K948" s="1017"/>
      <c r="L948" s="1017"/>
      <c r="M948" s="1017"/>
      <c r="N948" s="1017"/>
      <c r="O948" s="1017"/>
      <c r="P948" s="1017"/>
      <c r="Q948" s="1017"/>
      <c r="R948" s="1017"/>
      <c r="S948" s="1017"/>
      <c r="T948" s="1351"/>
      <c r="U948" s="1017"/>
      <c r="V948" s="1017"/>
      <c r="W948" s="1017"/>
      <c r="X948" s="1017"/>
      <c r="Y948" s="1017"/>
      <c r="Z948" s="1017"/>
      <c r="AA948" s="1017"/>
      <c r="AB948" s="1017"/>
      <c r="AC948" s="1017"/>
      <c r="AD948" s="1017"/>
      <c r="AE948" s="1017"/>
      <c r="AF948" s="1017"/>
    </row>
    <row r="949" spans="1:32">
      <c r="A949" s="1017"/>
      <c r="B949" s="1017"/>
      <c r="C949" s="1017"/>
      <c r="D949" s="1017"/>
      <c r="E949" s="1017"/>
      <c r="F949" s="1017"/>
      <c r="G949" s="1017"/>
      <c r="H949" s="1017"/>
      <c r="I949" s="1017"/>
      <c r="J949" s="1017"/>
      <c r="K949" s="1017"/>
      <c r="L949" s="1017"/>
      <c r="M949" s="1017"/>
      <c r="N949" s="1017"/>
      <c r="O949" s="1017"/>
      <c r="P949" s="1017"/>
      <c r="Q949" s="1017"/>
      <c r="R949" s="1017"/>
      <c r="S949" s="1017"/>
      <c r="T949" s="1351"/>
      <c r="U949" s="1017"/>
      <c r="V949" s="1017"/>
      <c r="W949" s="1017"/>
      <c r="X949" s="1017"/>
      <c r="Y949" s="1017"/>
      <c r="Z949" s="1017"/>
      <c r="AA949" s="1017"/>
      <c r="AB949" s="1017"/>
      <c r="AC949" s="1017"/>
      <c r="AD949" s="1017"/>
      <c r="AE949" s="1017"/>
      <c r="AF949" s="1017"/>
    </row>
  </sheetData>
  <mergeCells count="125">
    <mergeCell ref="L557:L558"/>
    <mergeCell ref="B3:B9"/>
    <mergeCell ref="B10:B16"/>
    <mergeCell ref="B17:B23"/>
    <mergeCell ref="B24:B30"/>
    <mergeCell ref="B31:B37"/>
    <mergeCell ref="B38:B44"/>
    <mergeCell ref="L466:L471"/>
    <mergeCell ref="B87:B93"/>
    <mergeCell ref="B94:B100"/>
    <mergeCell ref="B101:B107"/>
    <mergeCell ref="B108:B114"/>
    <mergeCell ref="B115:B121"/>
    <mergeCell ref="B122:B128"/>
    <mergeCell ref="B45:B51"/>
    <mergeCell ref="B52:B58"/>
    <mergeCell ref="B59:B65"/>
    <mergeCell ref="B66:B72"/>
    <mergeCell ref="B73:B79"/>
    <mergeCell ref="B80:B86"/>
    <mergeCell ref="B171:B177"/>
    <mergeCell ref="B178:B184"/>
    <mergeCell ref="B185:B191"/>
    <mergeCell ref="B192:B198"/>
    <mergeCell ref="B199:B205"/>
    <mergeCell ref="B206:B212"/>
    <mergeCell ref="B129:B135"/>
    <mergeCell ref="B136:B142"/>
    <mergeCell ref="B143:B149"/>
    <mergeCell ref="B150:B156"/>
    <mergeCell ref="B157:B163"/>
    <mergeCell ref="B164:B170"/>
    <mergeCell ref="B255:B261"/>
    <mergeCell ref="B262:B268"/>
    <mergeCell ref="M268:N268"/>
    <mergeCell ref="B269:B275"/>
    <mergeCell ref="B276:B282"/>
    <mergeCell ref="M276:N276"/>
    <mergeCell ref="B213:B219"/>
    <mergeCell ref="B220:B226"/>
    <mergeCell ref="B227:B233"/>
    <mergeCell ref="B234:B240"/>
    <mergeCell ref="B241:B247"/>
    <mergeCell ref="B248:B254"/>
    <mergeCell ref="B311:B317"/>
    <mergeCell ref="B318:B324"/>
    <mergeCell ref="B325:B331"/>
    <mergeCell ref="B332:B338"/>
    <mergeCell ref="B339:B345"/>
    <mergeCell ref="B346:B352"/>
    <mergeCell ref="B283:B289"/>
    <mergeCell ref="M283:N283"/>
    <mergeCell ref="B290:B296"/>
    <mergeCell ref="B297:B303"/>
    <mergeCell ref="B304:B310"/>
    <mergeCell ref="M304:N304"/>
    <mergeCell ref="B388:B394"/>
    <mergeCell ref="B395:B401"/>
    <mergeCell ref="M395:O395"/>
    <mergeCell ref="B402:B408"/>
    <mergeCell ref="B409:B415"/>
    <mergeCell ref="B416:B422"/>
    <mergeCell ref="B353:B359"/>
    <mergeCell ref="B360:B366"/>
    <mergeCell ref="M360:O360"/>
    <mergeCell ref="B367:B373"/>
    <mergeCell ref="B374:B380"/>
    <mergeCell ref="B381:B387"/>
    <mergeCell ref="M382:O382"/>
    <mergeCell ref="B458:B464"/>
    <mergeCell ref="M458:O458"/>
    <mergeCell ref="B465:B471"/>
    <mergeCell ref="B472:B478"/>
    <mergeCell ref="B479:B485"/>
    <mergeCell ref="B423:B429"/>
    <mergeCell ref="M423:O423"/>
    <mergeCell ref="B430:B436"/>
    <mergeCell ref="B437:B443"/>
    <mergeCell ref="B444:B450"/>
    <mergeCell ref="B451:B457"/>
    <mergeCell ref="L451:L457"/>
    <mergeCell ref="B486:B492"/>
    <mergeCell ref="M486:O486"/>
    <mergeCell ref="B493:B499"/>
    <mergeCell ref="B500:B506"/>
    <mergeCell ref="B507:B513"/>
    <mergeCell ref="B514:B520"/>
    <mergeCell ref="M514:O514"/>
    <mergeCell ref="L542:L547"/>
    <mergeCell ref="L549:L555"/>
    <mergeCell ref="M549:P549"/>
    <mergeCell ref="L533:L534"/>
    <mergeCell ref="B563:B569"/>
    <mergeCell ref="B570:B576"/>
    <mergeCell ref="B577:B583"/>
    <mergeCell ref="B584:B590"/>
    <mergeCell ref="B591:B597"/>
    <mergeCell ref="B598:B604"/>
    <mergeCell ref="B521:B527"/>
    <mergeCell ref="B528:B534"/>
    <mergeCell ref="B535:B541"/>
    <mergeCell ref="B542:B548"/>
    <mergeCell ref="B549:B555"/>
    <mergeCell ref="B556:B562"/>
    <mergeCell ref="M577:P577"/>
    <mergeCell ref="B689:B695"/>
    <mergeCell ref="B696:B702"/>
    <mergeCell ref="B703:B709"/>
    <mergeCell ref="B710:B716"/>
    <mergeCell ref="B717:B723"/>
    <mergeCell ref="B724:B730"/>
    <mergeCell ref="B647:B653"/>
    <mergeCell ref="B654:B660"/>
    <mergeCell ref="B661:B667"/>
    <mergeCell ref="B668:B674"/>
    <mergeCell ref="B675:B681"/>
    <mergeCell ref="B682:B688"/>
    <mergeCell ref="B605:B611"/>
    <mergeCell ref="B612:B618"/>
    <mergeCell ref="B619:B625"/>
    <mergeCell ref="B626:B632"/>
    <mergeCell ref="B633:B639"/>
    <mergeCell ref="B640:B646"/>
    <mergeCell ref="M605:P605"/>
    <mergeCell ref="M640:P640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4D2F2-F434-48ED-9D96-8DC12C60B22F}">
  <dimension ref="A1:M37"/>
  <sheetViews>
    <sheetView workbookViewId="0">
      <pane xSplit="3" ySplit="1" topLeftCell="M2" activePane="bottomRight" state="frozen"/>
      <selection pane="bottomRight" activeCell="N7" sqref="N7"/>
      <selection pane="bottomLeft"/>
      <selection pane="topRight"/>
    </sheetView>
  </sheetViews>
  <sheetFormatPr defaultRowHeight="15"/>
  <cols>
    <col min="2" max="5" width="14" customWidth="1"/>
    <col min="9" max="9" width="14.140625" customWidth="1"/>
    <col min="10" max="10" width="13.85546875" customWidth="1"/>
    <col min="11" max="11" width="10.7109375" customWidth="1"/>
  </cols>
  <sheetData>
    <row r="1" spans="1:10">
      <c r="D1" s="1604" t="s">
        <v>304</v>
      </c>
      <c r="E1" s="1604" t="s">
        <v>7</v>
      </c>
    </row>
    <row r="2" spans="1:10" ht="15" customHeight="1">
      <c r="A2" s="1733" t="s">
        <v>393</v>
      </c>
      <c r="B2" s="1250">
        <v>43800</v>
      </c>
      <c r="C2" s="1251">
        <v>44528</v>
      </c>
      <c r="D2" s="1528">
        <v>684266.86</v>
      </c>
      <c r="E2" s="1158">
        <v>486089</v>
      </c>
      <c r="F2" s="1443">
        <f>E2/D2</f>
        <v>0.71037928097233882</v>
      </c>
    </row>
    <row r="3" spans="1:10" ht="16.5">
      <c r="A3" s="1731"/>
      <c r="B3" s="1255">
        <v>43801</v>
      </c>
      <c r="C3" s="1256">
        <v>44529</v>
      </c>
      <c r="D3" s="1525">
        <v>613882.68999999994</v>
      </c>
      <c r="E3" s="1165">
        <v>460839</v>
      </c>
      <c r="F3" s="1443">
        <f t="shared" ref="F3:F21" si="0">E3/D3</f>
        <v>0.75069554412749451</v>
      </c>
    </row>
    <row r="4" spans="1:10" ht="16.5">
      <c r="A4" s="1731"/>
      <c r="B4" s="1255">
        <v>43802</v>
      </c>
      <c r="C4" s="1256">
        <v>44530</v>
      </c>
      <c r="D4" s="1525">
        <v>590622.51</v>
      </c>
      <c r="E4" s="1165">
        <v>528441</v>
      </c>
      <c r="F4" s="1443">
        <f t="shared" si="0"/>
        <v>0.89471869265531379</v>
      </c>
    </row>
    <row r="5" spans="1:10" ht="16.5">
      <c r="A5" s="1731"/>
      <c r="B5" s="1255">
        <v>43803</v>
      </c>
      <c r="C5" s="1256">
        <v>44531</v>
      </c>
      <c r="D5" s="1525">
        <v>654014.6</v>
      </c>
      <c r="E5" s="1165">
        <v>547388</v>
      </c>
      <c r="F5" s="1443">
        <f t="shared" si="0"/>
        <v>0.83696602491748662</v>
      </c>
    </row>
    <row r="6" spans="1:10" ht="16.5">
      <c r="A6" s="1731"/>
      <c r="B6" s="1255">
        <v>43804</v>
      </c>
      <c r="C6" s="1256">
        <v>44532</v>
      </c>
      <c r="D6" s="1525">
        <v>740954.75</v>
      </c>
      <c r="E6" s="1165">
        <v>629823</v>
      </c>
      <c r="F6" s="1443">
        <f t="shared" si="0"/>
        <v>0.85001546990555088</v>
      </c>
    </row>
    <row r="7" spans="1:10" ht="16.5">
      <c r="A7" s="1731"/>
      <c r="B7" s="1255">
        <v>43805</v>
      </c>
      <c r="C7" s="1256">
        <v>44533</v>
      </c>
      <c r="D7" s="1525">
        <v>928245.13</v>
      </c>
      <c r="E7" s="1165">
        <v>764735</v>
      </c>
      <c r="F7" s="1443">
        <f t="shared" si="0"/>
        <v>0.82385026894781554</v>
      </c>
    </row>
    <row r="8" spans="1:10" ht="16.5">
      <c r="A8" s="1732"/>
      <c r="B8" s="1258">
        <v>43806</v>
      </c>
      <c r="C8" s="1259">
        <v>44534</v>
      </c>
      <c r="D8" s="1527">
        <v>1449823.14</v>
      </c>
      <c r="E8" s="1174">
        <v>1238080</v>
      </c>
      <c r="F8" s="1443">
        <f t="shared" si="0"/>
        <v>0.85395243450176972</v>
      </c>
    </row>
    <row r="9" spans="1:10" ht="16.5">
      <c r="A9" s="1733" t="s">
        <v>394</v>
      </c>
      <c r="B9" s="1250">
        <v>43807</v>
      </c>
      <c r="C9" s="1251">
        <v>44535</v>
      </c>
      <c r="D9" s="1528">
        <v>955806.51</v>
      </c>
      <c r="E9" s="1158">
        <v>641485</v>
      </c>
      <c r="F9" s="1443">
        <f t="shared" si="0"/>
        <v>0.67114525093577782</v>
      </c>
    </row>
    <row r="10" spans="1:10" ht="16.5">
      <c r="A10" s="1731"/>
      <c r="B10" s="1255">
        <v>43808</v>
      </c>
      <c r="C10" s="1256">
        <v>44536</v>
      </c>
      <c r="D10" s="1525">
        <v>621403.99</v>
      </c>
      <c r="E10" s="1165">
        <v>592225</v>
      </c>
      <c r="F10" s="1443">
        <f t="shared" si="0"/>
        <v>0.95304344601971414</v>
      </c>
    </row>
    <row r="11" spans="1:10" ht="16.5">
      <c r="A11" s="1731"/>
      <c r="B11" s="1255">
        <v>43809</v>
      </c>
      <c r="C11" s="1256">
        <v>44537</v>
      </c>
      <c r="D11" s="1525">
        <v>763236.61</v>
      </c>
      <c r="E11" s="1165">
        <v>571318</v>
      </c>
      <c r="F11" s="1443">
        <f t="shared" si="0"/>
        <v>0.74854637803603263</v>
      </c>
    </row>
    <row r="12" spans="1:10" ht="16.5">
      <c r="A12" s="1731"/>
      <c r="B12" s="1255">
        <v>43810</v>
      </c>
      <c r="C12" s="1256">
        <v>44538</v>
      </c>
      <c r="D12" s="1525">
        <v>825277.4</v>
      </c>
      <c r="E12" s="1165">
        <v>634379</v>
      </c>
      <c r="F12" s="1443">
        <f t="shared" si="0"/>
        <v>0.76868577765488311</v>
      </c>
    </row>
    <row r="13" spans="1:10" ht="16.5">
      <c r="A13" s="1731"/>
      <c r="B13" s="1255">
        <v>43811</v>
      </c>
      <c r="C13" s="1256">
        <v>44539</v>
      </c>
      <c r="D13" s="1525">
        <v>952264.57</v>
      </c>
      <c r="E13" s="1165">
        <v>683864</v>
      </c>
      <c r="F13" s="1443">
        <f t="shared" si="0"/>
        <v>0.7181449583911329</v>
      </c>
    </row>
    <row r="14" spans="1:10" ht="16.5">
      <c r="A14" s="1731"/>
      <c r="B14" s="1255">
        <v>43812</v>
      </c>
      <c r="C14" s="1256">
        <v>44540</v>
      </c>
      <c r="D14" s="1525">
        <v>1162645.31</v>
      </c>
      <c r="E14" s="1165">
        <v>847205</v>
      </c>
      <c r="F14" s="1443">
        <f t="shared" si="0"/>
        <v>0.7286874102644425</v>
      </c>
    </row>
    <row r="15" spans="1:10" ht="16.5">
      <c r="A15" s="1732"/>
      <c r="B15" s="1258">
        <v>43813</v>
      </c>
      <c r="C15" s="1259">
        <v>44541</v>
      </c>
      <c r="D15" s="1527">
        <v>1601609.41</v>
      </c>
      <c r="E15" s="1174">
        <v>1283167</v>
      </c>
      <c r="F15" s="1443">
        <f t="shared" si="0"/>
        <v>0.80117348960880552</v>
      </c>
    </row>
    <row r="16" spans="1:10" ht="16.5">
      <c r="A16" s="1733" t="s">
        <v>396</v>
      </c>
      <c r="B16" s="1250">
        <v>43814</v>
      </c>
      <c r="C16" s="1251">
        <v>44542</v>
      </c>
      <c r="D16" s="1528">
        <v>1171256.48</v>
      </c>
      <c r="E16" s="1158">
        <v>806413</v>
      </c>
      <c r="F16" s="1443">
        <f t="shared" si="0"/>
        <v>0.68850248751665388</v>
      </c>
      <c r="I16" s="9">
        <v>2019</v>
      </c>
      <c r="J16" s="9">
        <v>2021</v>
      </c>
    </row>
    <row r="17" spans="1:13" ht="16.5">
      <c r="A17" s="1731"/>
      <c r="B17" s="1255">
        <v>43815</v>
      </c>
      <c r="C17" s="1256">
        <v>44543</v>
      </c>
      <c r="D17" s="1525">
        <v>1083472.43</v>
      </c>
      <c r="E17" s="1165">
        <v>802277</v>
      </c>
      <c r="F17" s="1443">
        <f t="shared" si="0"/>
        <v>0.74046831076264674</v>
      </c>
      <c r="H17" t="s">
        <v>450</v>
      </c>
      <c r="J17" s="386">
        <f>SUM(E2:E20)</f>
        <v>14245897</v>
      </c>
    </row>
    <row r="18" spans="1:13" ht="16.5">
      <c r="A18" s="1731"/>
      <c r="B18" s="1255">
        <v>43816</v>
      </c>
      <c r="C18" s="1256">
        <v>44544</v>
      </c>
      <c r="D18" s="1525">
        <v>1079902.94</v>
      </c>
      <c r="E18" s="1165">
        <v>791479</v>
      </c>
      <c r="F18" s="1443">
        <f t="shared" si="0"/>
        <v>0.73291679342960214</v>
      </c>
      <c r="H18" s="1618">
        <v>44547</v>
      </c>
      <c r="I18" s="1606">
        <v>1079902.94</v>
      </c>
      <c r="J18" s="1610">
        <v>1083341</v>
      </c>
      <c r="K18" s="566">
        <f>J18/I18</f>
        <v>1.0031836750069409</v>
      </c>
      <c r="M18" s="566">
        <f>J18/D21</f>
        <v>0.79440796092631638</v>
      </c>
    </row>
    <row r="19" spans="1:13" ht="16.5">
      <c r="A19" s="1731"/>
      <c r="B19" s="1255">
        <v>43817</v>
      </c>
      <c r="C19" s="1256">
        <v>44545</v>
      </c>
      <c r="D19" s="1525">
        <v>1150427.47</v>
      </c>
      <c r="E19" s="1165">
        <v>925620</v>
      </c>
      <c r="F19" s="1443">
        <f t="shared" si="0"/>
        <v>0.80458788071185405</v>
      </c>
      <c r="H19" s="1618">
        <v>44548</v>
      </c>
      <c r="I19" s="1606">
        <v>1150427.47</v>
      </c>
      <c r="J19" s="1324">
        <v>1487780</v>
      </c>
      <c r="K19" s="566">
        <f t="shared" ref="K19:K25" si="1">J19/I19</f>
        <v>1.2932410245732398</v>
      </c>
      <c r="M19" s="566">
        <f>J19/D22</f>
        <v>0.80586392127161555</v>
      </c>
    </row>
    <row r="20" spans="1:13" ht="16.5">
      <c r="A20" s="1731"/>
      <c r="B20" s="1255">
        <v>43818</v>
      </c>
      <c r="C20" s="1256">
        <v>44546</v>
      </c>
      <c r="D20" s="1525">
        <v>1151368.82</v>
      </c>
      <c r="E20" s="1165">
        <v>1011070</v>
      </c>
      <c r="F20" s="1443">
        <f t="shared" si="0"/>
        <v>0.87814606617538937</v>
      </c>
      <c r="H20" s="1618">
        <v>44549</v>
      </c>
      <c r="I20" s="1606">
        <v>1151368.82</v>
      </c>
      <c r="J20" s="1324">
        <v>1266972</v>
      </c>
      <c r="K20" s="566">
        <f t="shared" si="1"/>
        <v>1.1004049944656309</v>
      </c>
      <c r="M20" s="566">
        <f>J20/D23</f>
        <v>0.71457070691560731</v>
      </c>
    </row>
    <row r="21" spans="1:13" ht="16.5">
      <c r="A21" s="1731"/>
      <c r="B21" s="1255">
        <v>43819</v>
      </c>
      <c r="C21" s="1607">
        <v>44547</v>
      </c>
      <c r="D21" s="1525">
        <v>1363708.64</v>
      </c>
      <c r="E21" s="1165">
        <v>1083341</v>
      </c>
      <c r="F21" s="1443">
        <f t="shared" si="0"/>
        <v>0.79440796092631638</v>
      </c>
      <c r="H21" s="1618">
        <v>44550</v>
      </c>
      <c r="I21" s="1606">
        <v>1363708.64</v>
      </c>
      <c r="J21" s="1324">
        <v>1459050</v>
      </c>
      <c r="K21" s="566">
        <f t="shared" si="1"/>
        <v>1.0699132917424357</v>
      </c>
      <c r="M21" s="566">
        <f>J21/D24</f>
        <v>0.6115732725265064</v>
      </c>
    </row>
    <row r="22" spans="1:13" ht="16.5">
      <c r="A22" s="1732"/>
      <c r="B22" s="1258">
        <v>43820</v>
      </c>
      <c r="C22" s="1608">
        <v>44548</v>
      </c>
      <c r="D22" s="1527">
        <v>1846192.59</v>
      </c>
      <c r="E22" s="1174">
        <v>1476954.0720000002</v>
      </c>
      <c r="F22" s="1605"/>
      <c r="H22" s="1618">
        <v>44551</v>
      </c>
      <c r="I22" s="1606">
        <v>1846192.59</v>
      </c>
      <c r="J22" s="1324">
        <v>1622803</v>
      </c>
      <c r="K22" s="566">
        <f t="shared" si="1"/>
        <v>0.87899984475617465</v>
      </c>
    </row>
    <row r="23" spans="1:13" ht="16.5">
      <c r="A23" s="1733" t="s">
        <v>397</v>
      </c>
      <c r="B23" s="1250">
        <v>43821</v>
      </c>
      <c r="C23" s="1609">
        <v>44549</v>
      </c>
      <c r="D23" s="1528">
        <v>1773053.37</v>
      </c>
      <c r="E23" s="1158">
        <v>1223406</v>
      </c>
      <c r="F23" s="1605"/>
      <c r="H23" s="1618">
        <v>44552</v>
      </c>
      <c r="I23" s="1606">
        <v>1773053.37</v>
      </c>
      <c r="J23" s="1324">
        <v>1728984</v>
      </c>
      <c r="K23" s="566">
        <f t="shared" si="1"/>
        <v>0.97514492753255355</v>
      </c>
    </row>
    <row r="24" spans="1:13" ht="16.5">
      <c r="A24" s="1731"/>
      <c r="B24" s="1255">
        <v>43822</v>
      </c>
      <c r="C24" s="1607">
        <v>44550</v>
      </c>
      <c r="D24" s="1525">
        <v>2385732.12</v>
      </c>
      <c r="E24" s="1165">
        <v>1383724</v>
      </c>
      <c r="F24" s="1605"/>
      <c r="H24" s="1618">
        <v>44553</v>
      </c>
      <c r="I24" s="1606">
        <v>2385732.12</v>
      </c>
      <c r="J24" s="1610">
        <f t="shared" ref="J23:J25" si="2">I24*110%</f>
        <v>2624305.3320000004</v>
      </c>
      <c r="K24" s="566">
        <f t="shared" si="1"/>
        <v>1.1000000000000001</v>
      </c>
    </row>
    <row r="25" spans="1:13" ht="16.5">
      <c r="A25" s="1731"/>
      <c r="B25" s="1255">
        <v>43823</v>
      </c>
      <c r="C25" s="1607">
        <v>44551</v>
      </c>
      <c r="D25" s="1525">
        <v>1982415.78</v>
      </c>
      <c r="E25" s="1165">
        <v>2030811.8490000002</v>
      </c>
      <c r="F25" s="1605"/>
      <c r="H25" s="1618">
        <v>44554</v>
      </c>
      <c r="I25" s="1606">
        <v>1982415.78</v>
      </c>
      <c r="J25" s="1610">
        <f t="shared" si="2"/>
        <v>2180657.358</v>
      </c>
      <c r="K25" s="566">
        <f t="shared" si="1"/>
        <v>1.1000000000000001</v>
      </c>
    </row>
    <row r="26" spans="1:13" ht="16.5">
      <c r="A26" s="1731"/>
      <c r="B26" s="1255">
        <v>43824</v>
      </c>
      <c r="C26" s="1607">
        <v>44552</v>
      </c>
      <c r="D26" s="1525">
        <v>74903.100000000006</v>
      </c>
      <c r="E26" s="1165">
        <v>1950358.7070000002</v>
      </c>
      <c r="F26" s="1605"/>
      <c r="H26" t="s">
        <v>451</v>
      </c>
      <c r="J26" s="386">
        <f>SUM(E29:E36)</f>
        <v>2860783.7580000004</v>
      </c>
    </row>
    <row r="27" spans="1:13" ht="16.5">
      <c r="A27" s="1731"/>
      <c r="B27" s="1255">
        <v>43825</v>
      </c>
      <c r="C27" s="1607">
        <v>44553</v>
      </c>
      <c r="D27" s="1525">
        <v>625426.97</v>
      </c>
      <c r="E27" s="1165">
        <v>2624305.3320000004</v>
      </c>
      <c r="F27" s="1605"/>
    </row>
    <row r="28" spans="1:13" ht="16.5">
      <c r="A28" s="1731"/>
      <c r="B28" s="1255">
        <v>43826</v>
      </c>
      <c r="C28" s="1607">
        <v>44554</v>
      </c>
      <c r="D28" s="1525">
        <v>610902.67000000004</v>
      </c>
      <c r="E28" s="1165">
        <v>2180657.358</v>
      </c>
      <c r="F28" s="1605"/>
      <c r="H28" t="s">
        <v>452</v>
      </c>
      <c r="J28" s="1611">
        <f>SUM(J17:J26)</f>
        <v>30560573.448000003</v>
      </c>
    </row>
    <row r="29" spans="1:13" ht="16.5">
      <c r="A29" s="1734"/>
      <c r="B29" s="1265">
        <v>43827</v>
      </c>
      <c r="C29" s="1266">
        <v>44555</v>
      </c>
      <c r="D29" s="1526">
        <v>624103.06000000006</v>
      </c>
      <c r="E29" s="1526">
        <v>74903.100000000006</v>
      </c>
      <c r="F29" s="1605"/>
    </row>
    <row r="30" spans="1:13" ht="16.5">
      <c r="A30" s="1730" t="s">
        <v>398</v>
      </c>
      <c r="B30" s="1270">
        <v>43828</v>
      </c>
      <c r="C30" s="1271">
        <v>44556</v>
      </c>
      <c r="D30" s="1524">
        <v>408446.79</v>
      </c>
      <c r="E30" s="1273">
        <f>D30*F30</f>
        <v>326757.43200000003</v>
      </c>
      <c r="F30" s="1605">
        <v>0.8</v>
      </c>
    </row>
    <row r="31" spans="1:13" ht="16.5">
      <c r="A31" s="1731"/>
      <c r="B31" s="1255">
        <v>43829</v>
      </c>
      <c r="C31" s="1256">
        <v>44557</v>
      </c>
      <c r="D31" s="1525">
        <v>600640.67000000004</v>
      </c>
      <c r="E31" s="1165">
        <f>D31*F31</f>
        <v>480512.53600000008</v>
      </c>
      <c r="F31" s="1605">
        <v>0.8</v>
      </c>
    </row>
    <row r="32" spans="1:13" ht="16.5">
      <c r="A32" s="1731"/>
      <c r="B32" s="1255">
        <v>43830</v>
      </c>
      <c r="C32" s="1256">
        <v>44558</v>
      </c>
      <c r="D32" s="1525">
        <v>520203.6</v>
      </c>
      <c r="E32" s="1165">
        <f>D32*F32</f>
        <v>416162.88</v>
      </c>
      <c r="F32" s="1605">
        <v>0.8</v>
      </c>
    </row>
    <row r="33" spans="1:6" ht="16.5">
      <c r="A33" s="1731"/>
      <c r="B33" s="1255">
        <v>43831</v>
      </c>
      <c r="C33" s="1256">
        <v>44559</v>
      </c>
      <c r="D33" s="1525">
        <v>33156.75</v>
      </c>
      <c r="E33" s="1612">
        <v>408446.79</v>
      </c>
      <c r="F33" s="1605">
        <v>0.8</v>
      </c>
    </row>
    <row r="34" spans="1:6" ht="16.5">
      <c r="A34" s="1731"/>
      <c r="B34" s="1255">
        <v>43832</v>
      </c>
      <c r="C34" s="1256">
        <v>44560</v>
      </c>
      <c r="D34" s="1525">
        <v>388581.79</v>
      </c>
      <c r="E34" s="1612">
        <v>600640.67000000004</v>
      </c>
      <c r="F34" s="1605">
        <v>0.8</v>
      </c>
    </row>
    <row r="35" spans="1:6" ht="16.5">
      <c r="A35" s="1731"/>
      <c r="B35" s="1255">
        <v>43833</v>
      </c>
      <c r="C35" s="1256">
        <v>44561</v>
      </c>
      <c r="D35" s="1525">
        <v>419887.78</v>
      </c>
      <c r="E35" s="1612">
        <v>520203.6</v>
      </c>
      <c r="F35" s="1605">
        <v>0.8</v>
      </c>
    </row>
    <row r="36" spans="1:6" ht="16.5">
      <c r="A36" s="1734"/>
      <c r="B36" s="1265">
        <v>43834</v>
      </c>
      <c r="C36" s="1266">
        <v>44562</v>
      </c>
      <c r="D36" s="1526">
        <v>565003.23</v>
      </c>
      <c r="E36" s="1617">
        <v>33156.75</v>
      </c>
      <c r="F36" s="1605"/>
    </row>
    <row r="37" spans="1:6" ht="18.75">
      <c r="A37" s="1286"/>
      <c r="B37" s="1286"/>
      <c r="C37" s="1286"/>
      <c r="D37" s="1599">
        <f>SUM(D2:D36)</f>
        <v>32402840.530000009</v>
      </c>
      <c r="E37" s="1614">
        <f>SUM(E2:E36)</f>
        <v>31060239.076000001</v>
      </c>
      <c r="F37" s="1613">
        <f>E37/D37</f>
        <v>0.9585653161253882</v>
      </c>
    </row>
  </sheetData>
  <mergeCells count="5">
    <mergeCell ref="A2:A8"/>
    <mergeCell ref="A9:A15"/>
    <mergeCell ref="A16:A22"/>
    <mergeCell ref="A23:A29"/>
    <mergeCell ref="A30:A3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CFD9E-036A-4AE1-971F-D759894B3831}">
  <dimension ref="A1:ALF55"/>
  <sheetViews>
    <sheetView workbookViewId="0">
      <pane xSplit="2" ySplit="6" topLeftCell="ALA11" activePane="bottomRight" state="frozen"/>
      <selection pane="bottomRight" activeCell="AHQ7" sqref="AHQ7"/>
      <selection pane="bottomLeft"/>
      <selection pane="topRight"/>
    </sheetView>
  </sheetViews>
  <sheetFormatPr defaultColWidth="9.140625" defaultRowHeight="15" outlineLevelRow="1" outlineLevelCol="1"/>
  <cols>
    <col min="1" max="1" width="2.85546875" customWidth="1"/>
    <col min="2" max="2" width="22.42578125" customWidth="1"/>
    <col min="3" max="3" width="11.5703125" hidden="1" customWidth="1" outlineLevel="1"/>
    <col min="4" max="5" width="12.85546875" hidden="1" customWidth="1" outlineLevel="1"/>
    <col min="6" max="6" width="8.42578125" hidden="1" customWidth="1" outlineLevel="1"/>
    <col min="7" max="7" width="12.85546875" hidden="1" customWidth="1" outlineLevel="1"/>
    <col min="8" max="8" width="11.28515625" hidden="1" customWidth="1" outlineLevel="1"/>
    <col min="9" max="9" width="12.28515625" hidden="1" customWidth="1" outlineLevel="1"/>
    <col min="10" max="12" width="11.28515625" hidden="1" customWidth="1" outlineLevel="1"/>
    <col min="13" max="13" width="12.7109375" hidden="1" customWidth="1" outlineLevel="1"/>
    <col min="14" max="16" width="11.28515625" hidden="1" customWidth="1" outlineLevel="1"/>
    <col min="17" max="17" width="13.42578125" hidden="1" customWidth="1" outlineLevel="1"/>
    <col min="18" max="20" width="11.28515625" hidden="1" customWidth="1" outlineLevel="1"/>
    <col min="21" max="21" width="12.5703125" hidden="1" customWidth="1" outlineLevel="1"/>
    <col min="22" max="24" width="11.28515625" hidden="1" customWidth="1" outlineLevel="1"/>
    <col min="25" max="25" width="12.5703125" hidden="1" customWidth="1" outlineLevel="1"/>
    <col min="26" max="28" width="11.28515625" hidden="1" customWidth="1" outlineLevel="1"/>
    <col min="29" max="29" width="13.140625" hidden="1" customWidth="1" outlineLevel="1"/>
    <col min="30" max="30" width="11.28515625" hidden="1" customWidth="1" outlineLevel="1"/>
    <col min="31" max="31" width="13.85546875" customWidth="1" collapsed="1"/>
    <col min="32" max="33" width="14.28515625" customWidth="1"/>
    <col min="34" max="34" width="11.140625" customWidth="1"/>
    <col min="35" max="36" width="9.140625" hidden="1" customWidth="1" outlineLevel="1"/>
    <col min="37" max="37" width="12" hidden="1" customWidth="1" outlineLevel="1"/>
    <col min="38" max="40" width="9.140625" hidden="1" customWidth="1" outlineLevel="1"/>
    <col min="41" max="41" width="12.7109375" hidden="1" customWidth="1" outlineLevel="1"/>
    <col min="42" max="44" width="9.140625" hidden="1" customWidth="1" outlineLevel="1"/>
    <col min="45" max="45" width="13" hidden="1" customWidth="1" outlineLevel="1"/>
    <col min="46" max="61" width="9.140625" hidden="1" customWidth="1" outlineLevel="1"/>
    <col min="62" max="62" width="16.7109375" hidden="1" customWidth="1" outlineLevel="1"/>
    <col min="63" max="63" width="16.7109375" bestFit="1" customWidth="1" collapsed="1"/>
    <col min="64" max="64" width="14.28515625" customWidth="1"/>
    <col min="65" max="65" width="15.28515625" customWidth="1"/>
    <col min="66" max="66" width="12.28515625" customWidth="1"/>
    <col min="67" max="68" width="9.140625" hidden="1" customWidth="1" outlineLevel="1"/>
    <col min="69" max="69" width="12.42578125" hidden="1" customWidth="1" outlineLevel="1"/>
    <col min="70" max="72" width="9.140625" hidden="1" customWidth="1" outlineLevel="1"/>
    <col min="73" max="73" width="12" hidden="1" customWidth="1" outlineLevel="1"/>
    <col min="74" max="76" width="9.140625" hidden="1" customWidth="1" outlineLevel="1"/>
    <col min="77" max="77" width="14.42578125" hidden="1" customWidth="1" outlineLevel="1"/>
    <col min="78" max="80" width="9.140625" hidden="1" customWidth="1" outlineLevel="1"/>
    <col min="81" max="81" width="11.85546875" hidden="1" customWidth="1" outlineLevel="1"/>
    <col min="82" max="84" width="9.140625" hidden="1" customWidth="1" outlineLevel="1"/>
    <col min="85" max="85" width="12.140625" hidden="1" customWidth="1" outlineLevel="1"/>
    <col min="86" max="88" width="9.140625" hidden="1" customWidth="1" outlineLevel="1"/>
    <col min="89" max="89" width="12.140625" hidden="1" customWidth="1" outlineLevel="1"/>
    <col min="90" max="90" width="10.85546875" hidden="1" customWidth="1" outlineLevel="1"/>
    <col min="91" max="92" width="9.140625" hidden="1" customWidth="1" outlineLevel="1"/>
    <col min="93" max="93" width="12.140625" hidden="1" customWidth="1" outlineLevel="1"/>
    <col min="94" max="94" width="9.140625" hidden="1" customWidth="1" outlineLevel="1"/>
    <col min="95" max="95" width="16.7109375" bestFit="1" customWidth="1" collapsed="1"/>
    <col min="96" max="96" width="15.28515625" bestFit="1" customWidth="1"/>
    <col min="97" max="97" width="14.28515625" bestFit="1" customWidth="1"/>
    <col min="98" max="98" width="11" customWidth="1"/>
    <col min="99" max="100" width="9.140625" hidden="1" customWidth="1" outlineLevel="1"/>
    <col min="101" max="101" width="12.140625" hidden="1" customWidth="1" outlineLevel="1"/>
    <col min="102" max="104" width="9.140625" hidden="1" customWidth="1" outlineLevel="1"/>
    <col min="105" max="105" width="12.140625" hidden="1" customWidth="1" outlineLevel="1"/>
    <col min="106" max="108" width="9.140625" hidden="1" customWidth="1" outlineLevel="1"/>
    <col min="109" max="109" width="12.140625" hidden="1" customWidth="1" outlineLevel="1"/>
    <col min="110" max="112" width="9.140625" hidden="1" customWidth="1" outlineLevel="1"/>
    <col min="113" max="113" width="12.140625" hidden="1" customWidth="1" outlineLevel="1"/>
    <col min="114" max="116" width="9.140625" hidden="1" customWidth="1" outlineLevel="1"/>
    <col min="117" max="117" width="13.5703125" hidden="1" customWidth="1" outlineLevel="1"/>
    <col min="118" max="120" width="9.140625" hidden="1" customWidth="1" outlineLevel="1"/>
    <col min="121" max="121" width="12.140625" hidden="1" customWidth="1" outlineLevel="1"/>
    <col min="122" max="126" width="9.140625" hidden="1" customWidth="1" outlineLevel="1"/>
    <col min="127" max="127" width="16.7109375" bestFit="1" customWidth="1" collapsed="1"/>
    <col min="128" max="128" width="15.28515625" bestFit="1" customWidth="1"/>
    <col min="129" max="129" width="14.28515625" bestFit="1" customWidth="1"/>
    <col min="130" max="130" width="11.7109375" customWidth="1"/>
    <col min="131" max="132" width="9.140625" hidden="1" customWidth="1" outlineLevel="1"/>
    <col min="133" max="133" width="13.140625" hidden="1" customWidth="1" outlineLevel="1"/>
    <col min="134" max="136" width="9.140625" hidden="1" customWidth="1" outlineLevel="1"/>
    <col min="137" max="137" width="12.5703125" hidden="1" customWidth="1" outlineLevel="1"/>
    <col min="138" max="140" width="9.140625" hidden="1" customWidth="1" outlineLevel="1"/>
    <col min="141" max="141" width="12.28515625" hidden="1" customWidth="1" outlineLevel="1"/>
    <col min="142" max="144" width="9.140625" hidden="1" customWidth="1" outlineLevel="1"/>
    <col min="145" max="145" width="12.7109375" hidden="1" customWidth="1" outlineLevel="1"/>
    <col min="146" max="148" width="9.140625" hidden="1" customWidth="1" outlineLevel="1"/>
    <col min="149" max="149" width="12.42578125" hidden="1" customWidth="1" outlineLevel="1"/>
    <col min="150" max="158" width="9.140625" hidden="1" customWidth="1" outlineLevel="1"/>
    <col min="159" max="159" width="16.7109375" bestFit="1" customWidth="1" collapsed="1"/>
    <col min="160" max="160" width="15.28515625" bestFit="1" customWidth="1"/>
    <col min="161" max="161" width="14.28515625" bestFit="1" customWidth="1"/>
    <col min="162" max="162" width="11" customWidth="1"/>
    <col min="163" max="164" width="9.140625" hidden="1" customWidth="1" outlineLevel="1"/>
    <col min="165" max="165" width="12.28515625" hidden="1" customWidth="1" outlineLevel="1"/>
    <col min="166" max="168" width="9.140625" hidden="1" customWidth="1" outlineLevel="1"/>
    <col min="169" max="169" width="13.28515625" hidden="1" customWidth="1" outlineLevel="1"/>
    <col min="170" max="172" width="9.140625" hidden="1" customWidth="1" outlineLevel="1"/>
    <col min="173" max="173" width="12.140625" hidden="1" customWidth="1" outlineLevel="1"/>
    <col min="174" max="176" width="9.140625" hidden="1" customWidth="1" outlineLevel="1"/>
    <col min="177" max="177" width="12.140625" hidden="1" customWidth="1" outlineLevel="1"/>
    <col min="178" max="180" width="9.140625" hidden="1" customWidth="1" outlineLevel="1"/>
    <col min="181" max="181" width="12" hidden="1" customWidth="1" outlineLevel="1"/>
    <col min="182" max="184" width="9.140625" hidden="1" customWidth="1" outlineLevel="1"/>
    <col min="185" max="185" width="12.140625" hidden="1" customWidth="1" outlineLevel="1"/>
    <col min="186" max="188" width="9.140625" hidden="1" customWidth="1" outlineLevel="1"/>
    <col min="189" max="189" width="8" hidden="1" customWidth="1" outlineLevel="1"/>
    <col min="190" max="190" width="9.140625" hidden="1" customWidth="1" outlineLevel="1"/>
    <col min="191" max="191" width="16.7109375" bestFit="1" customWidth="1" collapsed="1"/>
    <col min="192" max="192" width="15.28515625" bestFit="1" customWidth="1"/>
    <col min="193" max="193" width="14.28515625" bestFit="1" customWidth="1"/>
    <col min="194" max="194" width="12.28515625" customWidth="1"/>
    <col min="195" max="196" width="9.140625" hidden="1" customWidth="1" outlineLevel="1"/>
    <col min="197" max="197" width="8" hidden="1" customWidth="1" outlineLevel="1"/>
    <col min="198" max="200" width="9.140625" hidden="1" customWidth="1" outlineLevel="1"/>
    <col min="201" max="201" width="12.85546875" hidden="1" customWidth="1" outlineLevel="1"/>
    <col min="202" max="204" width="9.140625" hidden="1" customWidth="1" outlineLevel="1"/>
    <col min="205" max="205" width="12.140625" hidden="1" customWidth="1" outlineLevel="1"/>
    <col min="206" max="208" width="9.140625" hidden="1" customWidth="1" outlineLevel="1"/>
    <col min="209" max="209" width="12.140625" hidden="1" customWidth="1" outlineLevel="1"/>
    <col min="210" max="212" width="9.140625" hidden="1" customWidth="1" outlineLevel="1"/>
    <col min="213" max="213" width="12.140625" hidden="1" customWidth="1" outlineLevel="1"/>
    <col min="214" max="215" width="9.140625" hidden="1" customWidth="1" outlineLevel="1"/>
    <col min="216" max="216" width="11.140625" hidden="1" customWidth="1" outlineLevel="1"/>
    <col min="217" max="222" width="9.140625" hidden="1" customWidth="1" outlineLevel="1"/>
    <col min="223" max="223" width="16.7109375" bestFit="1" customWidth="1" collapsed="1"/>
    <col min="224" max="224" width="15.28515625" bestFit="1" customWidth="1"/>
    <col min="225" max="225" width="14.28515625" bestFit="1" customWidth="1"/>
    <col min="226" max="226" width="11.85546875" customWidth="1"/>
    <col min="227" max="228" width="9.140625" hidden="1" customWidth="1" outlineLevel="1"/>
    <col min="229" max="229" width="12.140625" hidden="1" customWidth="1" outlineLevel="1"/>
    <col min="230" max="232" width="9.140625" hidden="1" customWidth="1" outlineLevel="1"/>
    <col min="233" max="233" width="12.140625" hidden="1" customWidth="1" outlineLevel="1"/>
    <col min="234" max="236" width="9.140625" hidden="1" customWidth="1" outlineLevel="1"/>
    <col min="237" max="237" width="12.140625" hidden="1" customWidth="1" outlineLevel="1"/>
    <col min="238" max="240" width="9.140625" hidden="1" customWidth="1" outlineLevel="1"/>
    <col min="241" max="241" width="12.140625" hidden="1" customWidth="1" outlineLevel="1"/>
    <col min="242" max="244" width="9.140625" hidden="1" customWidth="1" outlineLevel="1"/>
    <col min="245" max="245" width="12.140625" hidden="1" customWidth="1" outlineLevel="1"/>
    <col min="246" max="248" width="9.140625" hidden="1" customWidth="1" outlineLevel="1"/>
    <col min="249" max="249" width="12.140625" hidden="1" customWidth="1" outlineLevel="1"/>
    <col min="250" max="252" width="9.140625" hidden="1" customWidth="1" outlineLevel="1"/>
    <col min="253" max="253" width="12.140625" hidden="1" customWidth="1" outlineLevel="1"/>
    <col min="254" max="254" width="9.140625" hidden="1" customWidth="1" outlineLevel="1"/>
    <col min="255" max="255" width="16.7109375" bestFit="1" customWidth="1" collapsed="1"/>
    <col min="256" max="256" width="15.28515625" bestFit="1" customWidth="1"/>
    <col min="257" max="257" width="14.28515625" bestFit="1" customWidth="1"/>
    <col min="258" max="258" width="11" customWidth="1"/>
    <col min="259" max="260" width="9.140625" hidden="1" customWidth="1" outlineLevel="1"/>
    <col min="261" max="261" width="12.140625" hidden="1" customWidth="1" outlineLevel="1"/>
    <col min="262" max="264" width="9.140625" hidden="1" customWidth="1" outlineLevel="1"/>
    <col min="265" max="265" width="12.140625" hidden="1" customWidth="1" outlineLevel="1"/>
    <col min="266" max="268" width="9.140625" hidden="1" customWidth="1" outlineLevel="1"/>
    <col min="269" max="269" width="12.140625" hidden="1" customWidth="1" outlineLevel="1"/>
    <col min="270" max="272" width="9.140625" hidden="1" customWidth="1" outlineLevel="1"/>
    <col min="273" max="273" width="12.42578125" hidden="1" customWidth="1" outlineLevel="1"/>
    <col min="274" max="276" width="9.140625" hidden="1" customWidth="1" outlineLevel="1"/>
    <col min="277" max="277" width="12.28515625" hidden="1" customWidth="1" outlineLevel="1"/>
    <col min="278" max="280" width="9.140625" hidden="1" customWidth="1" outlineLevel="1"/>
    <col min="281" max="281" width="12.140625" hidden="1" customWidth="1" outlineLevel="1"/>
    <col min="282" max="284" width="9.140625" hidden="1" customWidth="1" outlineLevel="1"/>
    <col min="285" max="285" width="12.140625" hidden="1" customWidth="1" outlineLevel="1"/>
    <col min="286" max="286" width="9.140625" hidden="1" customWidth="1" outlineLevel="1"/>
    <col min="287" max="287" width="16.7109375" bestFit="1" customWidth="1" collapsed="1"/>
    <col min="288" max="288" width="15.28515625" bestFit="1" customWidth="1"/>
    <col min="289" max="289" width="14.28515625" bestFit="1" customWidth="1"/>
    <col min="290" max="290" width="11.28515625" customWidth="1"/>
    <col min="291" max="292" width="9.140625" hidden="1" customWidth="1" outlineLevel="1"/>
    <col min="293" max="293" width="12.140625" hidden="1" customWidth="1" outlineLevel="1"/>
    <col min="294" max="296" width="9.140625" hidden="1" customWidth="1" outlineLevel="1"/>
    <col min="297" max="297" width="12.140625" hidden="1" customWidth="1" outlineLevel="1"/>
    <col min="298" max="300" width="9.140625" hidden="1" customWidth="1" outlineLevel="1"/>
    <col min="301" max="301" width="12.140625" hidden="1" customWidth="1" outlineLevel="1"/>
    <col min="302" max="304" width="9.140625" hidden="1" customWidth="1" outlineLevel="1"/>
    <col min="305" max="305" width="12.140625" hidden="1" customWidth="1" outlineLevel="1"/>
    <col min="306" max="308" width="9.140625" hidden="1" customWidth="1" outlineLevel="1"/>
    <col min="309" max="309" width="12.140625" hidden="1" customWidth="1" outlineLevel="1"/>
    <col min="310" max="312" width="9.140625" hidden="1" customWidth="1" outlineLevel="1"/>
    <col min="313" max="313" width="12.140625" hidden="1" customWidth="1" outlineLevel="1"/>
    <col min="314" max="316" width="9.140625" hidden="1" customWidth="1" outlineLevel="1"/>
    <col min="317" max="317" width="12.140625" hidden="1" customWidth="1" outlineLevel="1"/>
    <col min="318" max="318" width="9.140625" hidden="1" customWidth="1" outlineLevel="1"/>
    <col min="319" max="319" width="16.7109375" bestFit="1" customWidth="1" collapsed="1"/>
    <col min="320" max="320" width="15.28515625" bestFit="1" customWidth="1"/>
    <col min="321" max="321" width="14.28515625" bestFit="1" customWidth="1"/>
    <col min="322" max="322" width="12.28515625" customWidth="1"/>
    <col min="323" max="324" width="9.140625" hidden="1" customWidth="1" outlineLevel="1"/>
    <col min="325" max="325" width="12.140625" hidden="1" customWidth="1" outlineLevel="1"/>
    <col min="326" max="328" width="9.140625" hidden="1" customWidth="1" outlineLevel="1"/>
    <col min="329" max="329" width="13.140625" hidden="1" customWidth="1" outlineLevel="1"/>
    <col min="330" max="332" width="9.140625" hidden="1" customWidth="1" outlineLevel="1"/>
    <col min="333" max="333" width="12.140625" hidden="1" customWidth="1" outlineLevel="1"/>
    <col min="334" max="336" width="9.140625" hidden="1" customWidth="1" outlineLevel="1"/>
    <col min="337" max="337" width="11.7109375" hidden="1" customWidth="1" outlineLevel="1"/>
    <col min="338" max="340" width="9.140625" hidden="1" customWidth="1" outlineLevel="1"/>
    <col min="341" max="341" width="13.7109375" hidden="1" customWidth="1" outlineLevel="1"/>
    <col min="342" max="344" width="9.140625" hidden="1" customWidth="1" outlineLevel="1"/>
    <col min="345" max="345" width="12.42578125" hidden="1" customWidth="1" outlineLevel="1"/>
    <col min="346" max="350" width="9.140625" hidden="1" customWidth="1" outlineLevel="1"/>
    <col min="351" max="351" width="16.7109375" bestFit="1" customWidth="1" collapsed="1"/>
    <col min="352" max="352" width="15.28515625" bestFit="1" customWidth="1"/>
    <col min="353" max="353" width="14.5703125" customWidth="1"/>
    <col min="354" max="354" width="11.85546875" customWidth="1"/>
    <col min="355" max="356" width="9.140625" hidden="1" customWidth="1" outlineLevel="1"/>
    <col min="357" max="357" width="11.85546875" hidden="1" customWidth="1" outlineLevel="1"/>
    <col min="358" max="360" width="9.140625" hidden="1" customWidth="1" outlineLevel="1"/>
    <col min="361" max="361" width="13.28515625" hidden="1" customWidth="1" outlineLevel="1"/>
    <col min="362" max="364" width="9.140625" hidden="1" customWidth="1" outlineLevel="1"/>
    <col min="365" max="365" width="11.7109375" hidden="1" customWidth="1" outlineLevel="1"/>
    <col min="366" max="368" width="9.140625" hidden="1" customWidth="1" outlineLevel="1"/>
    <col min="369" max="369" width="12.140625" hidden="1" customWidth="1" outlineLevel="1"/>
    <col min="370" max="372" width="9.140625" hidden="1" customWidth="1" outlineLevel="1"/>
    <col min="373" max="373" width="11.7109375" hidden="1" customWidth="1" outlineLevel="1"/>
    <col min="374" max="376" width="9.140625" hidden="1" customWidth="1" outlineLevel="1"/>
    <col min="377" max="377" width="12.28515625" hidden="1" customWidth="1" outlineLevel="1"/>
    <col min="378" max="380" width="9.140625" hidden="1" customWidth="1" outlineLevel="1"/>
    <col min="381" max="381" width="13.7109375" hidden="1" customWidth="1" outlineLevel="1"/>
    <col min="382" max="382" width="9.140625" hidden="1" customWidth="1" outlineLevel="1"/>
    <col min="383" max="383" width="16.7109375" bestFit="1" customWidth="1" collapsed="1"/>
    <col min="384" max="384" width="15.28515625" bestFit="1" customWidth="1"/>
    <col min="385" max="385" width="16.5703125" customWidth="1"/>
    <col min="386" max="386" width="11" customWidth="1"/>
    <col min="387" max="388" width="9.140625" hidden="1" customWidth="1" outlineLevel="1"/>
    <col min="389" max="389" width="13.140625" hidden="1" customWidth="1" outlineLevel="1"/>
    <col min="390" max="392" width="9.140625" hidden="1" customWidth="1" outlineLevel="1"/>
    <col min="393" max="393" width="11.7109375" hidden="1" customWidth="1" outlineLevel="1"/>
    <col min="394" max="396" width="9.140625" hidden="1" customWidth="1" outlineLevel="1"/>
    <col min="397" max="397" width="13.28515625" hidden="1" customWidth="1" outlineLevel="1"/>
    <col min="398" max="400" width="9.140625" hidden="1" customWidth="1" outlineLevel="1"/>
    <col min="401" max="401" width="13.28515625" hidden="1" customWidth="1" outlineLevel="1"/>
    <col min="402" max="404" width="9.140625" hidden="1" customWidth="1" outlineLevel="1"/>
    <col min="405" max="405" width="14" hidden="1" customWidth="1" outlineLevel="1"/>
    <col min="406" max="408" width="9.140625" hidden="1" customWidth="1" outlineLevel="1"/>
    <col min="409" max="409" width="13.28515625" hidden="1" customWidth="1" outlineLevel="1"/>
    <col min="410" max="412" width="9.140625" hidden="1" customWidth="1" outlineLevel="1"/>
    <col min="413" max="413" width="12" hidden="1" customWidth="1" outlineLevel="1"/>
    <col min="414" max="414" width="9.140625" hidden="1" customWidth="1" outlineLevel="1"/>
    <col min="415" max="415" width="16.7109375" bestFit="1" customWidth="1" collapsed="1"/>
    <col min="416" max="416" width="15.28515625" bestFit="1" customWidth="1"/>
    <col min="417" max="417" width="15.140625" customWidth="1"/>
    <col min="418" max="418" width="11.28515625" customWidth="1"/>
    <col min="419" max="419" width="11.5703125" hidden="1" customWidth="1" outlineLevel="1"/>
    <col min="420" max="421" width="12.85546875" hidden="1" customWidth="1" outlineLevel="1"/>
    <col min="422" max="422" width="8.42578125" hidden="1" customWidth="1" outlineLevel="1"/>
    <col min="423" max="423" width="12.85546875" hidden="1" customWidth="1" outlineLevel="1"/>
    <col min="424" max="424" width="11.28515625" hidden="1" customWidth="1" outlineLevel="1"/>
    <col min="425" max="425" width="12.28515625" hidden="1" customWidth="1" outlineLevel="1"/>
    <col min="426" max="428" width="11.28515625" hidden="1" customWidth="1" outlineLevel="1"/>
    <col min="429" max="429" width="12.85546875" hidden="1" customWidth="1" outlineLevel="1"/>
    <col min="430" max="432" width="11.28515625" hidden="1" customWidth="1" outlineLevel="1"/>
    <col min="433" max="433" width="13.42578125" hidden="1" customWidth="1" outlineLevel="1"/>
    <col min="434" max="436" width="11.28515625" hidden="1" customWidth="1" outlineLevel="1"/>
    <col min="437" max="437" width="12.140625" hidden="1" customWidth="1" outlineLevel="1"/>
    <col min="438" max="446" width="11.28515625" hidden="1" customWidth="1" outlineLevel="1"/>
    <col min="447" max="447" width="13.85546875" customWidth="1" collapsed="1"/>
    <col min="448" max="448" width="14.28515625" customWidth="1"/>
    <col min="449" max="449" width="14.28515625" bestFit="1" customWidth="1"/>
    <col min="450" max="450" width="11.140625" customWidth="1"/>
    <col min="451" max="452" width="9.140625" hidden="1" customWidth="1" outlineLevel="1"/>
    <col min="453" max="453" width="12.28515625" hidden="1" customWidth="1" outlineLevel="1"/>
    <col min="454" max="456" width="9.140625" hidden="1" customWidth="1" outlineLevel="1"/>
    <col min="457" max="457" width="12.140625" hidden="1" customWidth="1" outlineLevel="1"/>
    <col min="458" max="460" width="9.140625" hidden="1" customWidth="1" outlineLevel="1"/>
    <col min="461" max="461" width="13" hidden="1" customWidth="1" outlineLevel="1"/>
    <col min="462" max="464" width="9.140625" hidden="1" customWidth="1" outlineLevel="1"/>
    <col min="465" max="465" width="13.28515625" hidden="1" customWidth="1" outlineLevel="1"/>
    <col min="466" max="468" width="9.140625" hidden="1" customWidth="1" outlineLevel="1"/>
    <col min="469" max="469" width="11.85546875" hidden="1" customWidth="1" outlineLevel="1"/>
    <col min="470" max="472" width="9.140625" hidden="1" customWidth="1" outlineLevel="1"/>
    <col min="473" max="473" width="9.28515625" hidden="1" customWidth="1" outlineLevel="1"/>
    <col min="474" max="476" width="9.140625" hidden="1" customWidth="1" outlineLevel="1"/>
    <col min="477" max="477" width="12.7109375" hidden="1" customWidth="1" outlineLevel="1"/>
    <col min="478" max="478" width="16.7109375" hidden="1" customWidth="1" outlineLevel="1"/>
    <col min="479" max="479" width="16.7109375" bestFit="1" customWidth="1" collapsed="1"/>
    <col min="480" max="480" width="14.28515625" bestFit="1" customWidth="1"/>
    <col min="481" max="481" width="15" customWidth="1"/>
    <col min="482" max="482" width="12.28515625" customWidth="1"/>
    <col min="483" max="484" width="9.140625" hidden="1" customWidth="1" outlineLevel="1"/>
    <col min="485" max="485" width="12.28515625" hidden="1" customWidth="1" outlineLevel="1"/>
    <col min="486" max="488" width="9.140625" hidden="1" customWidth="1" outlineLevel="1"/>
    <col min="489" max="489" width="13.42578125" hidden="1" customWidth="1" outlineLevel="1"/>
    <col min="490" max="492" width="9.140625" hidden="1" customWidth="1" outlineLevel="1"/>
    <col min="493" max="493" width="12.140625" hidden="1" customWidth="1" outlineLevel="1"/>
    <col min="494" max="496" width="9.140625" hidden="1" customWidth="1" outlineLevel="1"/>
    <col min="497" max="497" width="13" hidden="1" customWidth="1" outlineLevel="1"/>
    <col min="498" max="500" width="9.140625" hidden="1" customWidth="1" outlineLevel="1"/>
    <col min="501" max="501" width="13.42578125" hidden="1" customWidth="1" outlineLevel="1"/>
    <col min="502" max="504" width="9.140625" hidden="1" customWidth="1" outlineLevel="1"/>
    <col min="505" max="505" width="11.7109375" hidden="1" customWidth="1" outlineLevel="1"/>
    <col min="506" max="508" width="9.140625" hidden="1" customWidth="1" outlineLevel="1"/>
    <col min="509" max="509" width="14.140625" hidden="1" customWidth="1" outlineLevel="1"/>
    <col min="510" max="510" width="9.140625" hidden="1" customWidth="1" outlineLevel="1"/>
    <col min="511" max="511" width="16.7109375" bestFit="1" customWidth="1" collapsed="1"/>
    <col min="512" max="512" width="15.85546875" bestFit="1" customWidth="1"/>
    <col min="513" max="513" width="13.85546875" bestFit="1" customWidth="1"/>
    <col min="514" max="514" width="11" customWidth="1"/>
    <col min="515" max="516" width="9.140625" hidden="1" customWidth="1" outlineLevel="1"/>
    <col min="517" max="517" width="12" hidden="1" customWidth="1" outlineLevel="1"/>
    <col min="518" max="520" width="9.140625" hidden="1" customWidth="1" outlineLevel="1"/>
    <col min="521" max="521" width="12.140625" hidden="1" customWidth="1" outlineLevel="1"/>
    <col min="522" max="524" width="9.140625" hidden="1" customWidth="1" outlineLevel="1"/>
    <col min="525" max="525" width="14.7109375" hidden="1" customWidth="1" outlineLevel="1"/>
    <col min="526" max="528" width="9.140625" hidden="1" customWidth="1" outlineLevel="1"/>
    <col min="529" max="529" width="12.7109375" hidden="1" customWidth="1" outlineLevel="1"/>
    <col min="530" max="532" width="9.140625" hidden="1" customWidth="1" outlineLevel="1"/>
    <col min="533" max="533" width="12.42578125" hidden="1" customWidth="1" outlineLevel="1"/>
    <col min="534" max="536" width="9.140625" hidden="1" customWidth="1" outlineLevel="1"/>
    <col min="537" max="537" width="12.28515625" hidden="1" customWidth="1" outlineLevel="1"/>
    <col min="538" max="540" width="9.140625" hidden="1" customWidth="1" outlineLevel="1"/>
    <col min="541" max="541" width="13.7109375" hidden="1" customWidth="1" outlineLevel="1"/>
    <col min="542" max="542" width="9.140625" hidden="1" customWidth="1" outlineLevel="1"/>
    <col min="543" max="543" width="16.7109375" bestFit="1" customWidth="1" collapsed="1"/>
    <col min="544" max="544" width="15.28515625" bestFit="1" customWidth="1"/>
    <col min="545" max="545" width="13.85546875" bestFit="1" customWidth="1"/>
    <col min="546" max="546" width="11.7109375" customWidth="1"/>
    <col min="547" max="548" width="9.140625" hidden="1" customWidth="1" outlineLevel="1"/>
    <col min="549" max="549" width="14.42578125" hidden="1" customWidth="1" outlineLevel="1"/>
    <col min="550" max="552" width="9.140625" hidden="1" customWidth="1" outlineLevel="1"/>
    <col min="553" max="553" width="11.7109375" hidden="1" customWidth="1" outlineLevel="1"/>
    <col min="554" max="556" width="9.140625" hidden="1" customWidth="1" outlineLevel="1"/>
    <col min="557" max="557" width="12.28515625" hidden="1" customWidth="1" outlineLevel="1"/>
    <col min="558" max="560" width="9.140625" hidden="1" customWidth="1" outlineLevel="1"/>
    <col min="561" max="561" width="13.85546875" hidden="1" customWidth="1" outlineLevel="1"/>
    <col min="562" max="564" width="9.140625" hidden="1" customWidth="1" outlineLevel="1"/>
    <col min="565" max="565" width="13.5703125" hidden="1" customWidth="1" outlineLevel="1"/>
    <col min="566" max="574" width="9.140625" hidden="1" customWidth="1" outlineLevel="1"/>
    <col min="575" max="575" width="16.7109375" bestFit="1" customWidth="1" collapsed="1"/>
    <col min="576" max="576" width="15.28515625" customWidth="1"/>
    <col min="577" max="577" width="13.85546875" bestFit="1" customWidth="1"/>
    <col min="578" max="578" width="11" customWidth="1"/>
    <col min="579" max="580" width="9.140625" customWidth="1" outlineLevel="1"/>
    <col min="581" max="581" width="11.7109375" customWidth="1" outlineLevel="1"/>
    <col min="582" max="584" width="9.140625" customWidth="1" outlineLevel="1"/>
    <col min="585" max="585" width="11.7109375" customWidth="1" outlineLevel="1"/>
    <col min="586" max="588" width="9.140625" customWidth="1" outlineLevel="1"/>
    <col min="589" max="589" width="14.7109375" customWidth="1" outlineLevel="1"/>
    <col min="590" max="592" width="9.140625" customWidth="1" outlineLevel="1"/>
    <col min="593" max="593" width="13.7109375" customWidth="1" outlineLevel="1"/>
    <col min="594" max="596" width="9.140625" customWidth="1" outlineLevel="1"/>
    <col min="597" max="597" width="11.85546875" customWidth="1" outlineLevel="1"/>
    <col min="598" max="606" width="9.140625" customWidth="1" outlineLevel="1"/>
    <col min="607" max="607" width="16.7109375" bestFit="1" customWidth="1"/>
    <col min="608" max="608" width="15.28515625" bestFit="1" customWidth="1"/>
    <col min="609" max="609" width="14.140625" customWidth="1"/>
    <col min="610" max="610" width="12.28515625" customWidth="1"/>
    <col min="611" max="616" width="9.140625" customWidth="1" outlineLevel="1"/>
    <col min="617" max="617" width="13.28515625" customWidth="1" outlineLevel="1"/>
    <col min="618" max="628" width="9.140625" customWidth="1" outlineLevel="1"/>
    <col min="629" max="629" width="12.5703125" customWidth="1" outlineLevel="1"/>
    <col min="630" max="632" width="9.140625" customWidth="1" outlineLevel="1"/>
    <col min="633" max="633" width="13.7109375" customWidth="1" outlineLevel="1"/>
    <col min="634" max="638" width="9.140625" customWidth="1" outlineLevel="1"/>
    <col min="639" max="639" width="16.7109375" bestFit="1" customWidth="1"/>
    <col min="640" max="640" width="15.28515625" bestFit="1" customWidth="1"/>
    <col min="641" max="641" width="12" customWidth="1"/>
    <col min="642" max="642" width="11.85546875" customWidth="1"/>
    <col min="643" max="644" width="9.140625" customWidth="1" outlineLevel="1"/>
    <col min="645" max="645" width="13" customWidth="1" outlineLevel="1"/>
    <col min="646" max="670" width="9.140625" customWidth="1" outlineLevel="1"/>
    <col min="671" max="671" width="16.7109375" bestFit="1" customWidth="1"/>
    <col min="672" max="672" width="15.28515625" bestFit="1" customWidth="1"/>
    <col min="673" max="673" width="12" customWidth="1"/>
    <col min="674" max="674" width="11" customWidth="1"/>
    <col min="675" max="702" width="9.140625" hidden="1" customWidth="1" outlineLevel="1"/>
    <col min="703" max="703" width="16.7109375" bestFit="1" customWidth="1" collapsed="1"/>
    <col min="704" max="704" width="15.28515625" bestFit="1" customWidth="1"/>
    <col min="705" max="705" width="11.85546875" customWidth="1"/>
    <col min="706" max="706" width="11.28515625" customWidth="1"/>
    <col min="707" max="708" width="9.140625" customWidth="1" outlineLevel="1"/>
    <col min="709" max="709" width="13.85546875" customWidth="1" outlineLevel="1"/>
    <col min="710" max="712" width="9.140625" customWidth="1" outlineLevel="1"/>
    <col min="713" max="713" width="13.85546875" customWidth="1" outlineLevel="1"/>
    <col min="714" max="716" width="9.140625" customWidth="1" outlineLevel="1"/>
    <col min="717" max="717" width="12.28515625" customWidth="1" outlineLevel="1"/>
    <col min="718" max="720" width="9.140625" customWidth="1" outlineLevel="1"/>
    <col min="721" max="721" width="13.85546875" customWidth="1" outlineLevel="1"/>
    <col min="722" max="734" width="9.140625" customWidth="1" outlineLevel="1"/>
    <col min="735" max="735" width="16.7109375" bestFit="1" customWidth="1"/>
    <col min="736" max="736" width="15.28515625" bestFit="1" customWidth="1"/>
    <col min="737" max="737" width="14.28515625" customWidth="1"/>
    <col min="738" max="738" width="12.28515625" customWidth="1"/>
    <col min="739" max="766" width="9.140625" hidden="1" customWidth="1" outlineLevel="1"/>
    <col min="767" max="767" width="16.7109375" bestFit="1" customWidth="1" collapsed="1"/>
    <col min="768" max="768" width="15.28515625" bestFit="1" customWidth="1"/>
    <col min="769" max="769" width="12" customWidth="1"/>
    <col min="770" max="770" width="11.85546875" customWidth="1"/>
    <col min="771" max="798" width="9.140625" customWidth="1" outlineLevel="1"/>
    <col min="799" max="799" width="16.7109375" bestFit="1" customWidth="1"/>
    <col min="800" max="800" width="15.28515625" bestFit="1" customWidth="1"/>
    <col min="801" max="801" width="12" customWidth="1"/>
    <col min="802" max="802" width="11" customWidth="1"/>
    <col min="803" max="830" width="9.140625" customWidth="1" outlineLevel="1"/>
    <col min="831" max="831" width="16.7109375" bestFit="1" customWidth="1"/>
    <col min="832" max="832" width="15.28515625" bestFit="1" customWidth="1"/>
    <col min="833" max="833" width="11.85546875" customWidth="1"/>
    <col min="834" max="834" width="11.28515625" customWidth="1"/>
    <col min="835" max="835" width="11.5703125" customWidth="1" outlineLevel="1"/>
    <col min="836" max="837" width="12.85546875" customWidth="1" outlineLevel="1"/>
    <col min="838" max="838" width="8.42578125" customWidth="1" outlineLevel="1"/>
    <col min="839" max="839" width="12.85546875" customWidth="1" outlineLevel="1"/>
    <col min="840" max="840" width="11.28515625" customWidth="1" outlineLevel="1"/>
    <col min="841" max="841" width="12.28515625" customWidth="1" outlineLevel="1"/>
    <col min="842" max="862" width="11.28515625" customWidth="1" outlineLevel="1"/>
    <col min="863" max="863" width="13.85546875" customWidth="1"/>
    <col min="864" max="864" width="14.28515625" customWidth="1"/>
    <col min="865" max="865" width="12" customWidth="1"/>
    <col min="866" max="866" width="11.140625" customWidth="1"/>
    <col min="867" max="893" width="9.140625" customWidth="1" outlineLevel="1"/>
    <col min="894" max="894" width="16.7109375" customWidth="1" outlineLevel="1"/>
    <col min="895" max="895" width="16.7109375" bestFit="1" customWidth="1"/>
    <col min="896" max="896" width="12.140625" customWidth="1"/>
    <col min="897" max="897" width="11.140625" customWidth="1"/>
    <col min="898" max="898" width="12.28515625" customWidth="1"/>
    <col min="899" max="899" width="10.5703125" customWidth="1" outlineLevel="1"/>
    <col min="900" max="900" width="9.140625" customWidth="1" outlineLevel="1"/>
    <col min="901" max="901" width="13.7109375" customWidth="1" outlineLevel="1"/>
    <col min="902" max="902" width="9.140625" customWidth="1" outlineLevel="1"/>
    <col min="903" max="903" width="10.85546875" customWidth="1" outlineLevel="1"/>
    <col min="904" max="906" width="9.140625" customWidth="1" outlineLevel="1"/>
    <col min="907" max="907" width="12.28515625" customWidth="1" outlineLevel="1"/>
    <col min="908" max="926" width="9.140625" customWidth="1" outlineLevel="1"/>
    <col min="927" max="927" width="16.7109375" bestFit="1" customWidth="1"/>
    <col min="928" max="928" width="15.28515625" bestFit="1" customWidth="1"/>
    <col min="929" max="929" width="10.28515625" customWidth="1"/>
    <col min="930" max="930" width="11" customWidth="1"/>
    <col min="931" max="958" width="9.140625" hidden="1" customWidth="1" outlineLevel="1"/>
    <col min="959" max="959" width="16.7109375" bestFit="1" customWidth="1" collapsed="1"/>
    <col min="960" max="960" width="15.28515625" bestFit="1" customWidth="1"/>
    <col min="961" max="962" width="11.7109375" customWidth="1"/>
    <col min="963" max="990" width="9.140625" customWidth="1" outlineLevel="1"/>
    <col min="991" max="991" width="16.7109375" bestFit="1" customWidth="1"/>
    <col min="992" max="992" width="15.28515625" bestFit="1" customWidth="1"/>
    <col min="993" max="993" width="14" customWidth="1"/>
    <col min="994" max="994" width="11" customWidth="1"/>
  </cols>
  <sheetData>
    <row r="1" spans="2:994" hidden="1"/>
    <row r="2" spans="2:994" s="756" customFormat="1" ht="29.25" hidden="1">
      <c r="C2" s="1794" t="s">
        <v>53</v>
      </c>
      <c r="D2" s="1794"/>
      <c r="E2" s="1794"/>
      <c r="F2" s="1794"/>
      <c r="G2" s="1794"/>
      <c r="H2" s="1794"/>
      <c r="I2" s="1794"/>
      <c r="J2" s="1794"/>
      <c r="K2" s="1794"/>
      <c r="L2" s="1794"/>
      <c r="M2" s="1794"/>
      <c r="N2" s="1794"/>
      <c r="O2" s="1794"/>
      <c r="P2" s="1794"/>
      <c r="Q2" s="1794"/>
      <c r="R2" s="1794"/>
      <c r="S2" s="1794"/>
      <c r="T2" s="1794"/>
      <c r="U2" s="1794"/>
      <c r="V2" s="1794"/>
      <c r="W2" s="1794"/>
      <c r="X2" s="1794"/>
      <c r="Y2" s="1794"/>
      <c r="Z2" s="1794"/>
      <c r="AA2" s="1794"/>
      <c r="AB2" s="1794"/>
      <c r="AC2" s="1794"/>
      <c r="AD2" s="1794"/>
      <c r="AE2" s="1794"/>
      <c r="AF2" s="1794"/>
      <c r="AG2" s="1794"/>
      <c r="AH2" s="1794"/>
      <c r="AI2" s="1794"/>
      <c r="AJ2" s="1794"/>
      <c r="AK2" s="1794"/>
      <c r="AL2" s="1794"/>
      <c r="AM2" s="1794"/>
      <c r="AN2" s="1794"/>
      <c r="AO2" s="1794"/>
      <c r="AP2" s="1794"/>
      <c r="AQ2" s="1794"/>
      <c r="AR2" s="1794"/>
      <c r="AS2" s="1794"/>
      <c r="AT2" s="1794"/>
      <c r="AU2" s="1794"/>
      <c r="AV2" s="1794"/>
      <c r="AW2" s="1794"/>
      <c r="AX2" s="1794"/>
      <c r="AY2" s="1794"/>
      <c r="AZ2" s="1794"/>
      <c r="BA2" s="1794"/>
      <c r="BB2" s="1794"/>
      <c r="BC2" s="1794"/>
      <c r="BD2" s="1794"/>
      <c r="BE2" s="1794"/>
      <c r="BF2" s="1794"/>
      <c r="BG2" s="1794"/>
      <c r="BH2" s="1794"/>
      <c r="BI2" s="1794"/>
      <c r="BJ2" s="1794"/>
      <c r="BK2" s="1794"/>
      <c r="BL2" s="1794"/>
      <c r="BM2" s="1794"/>
      <c r="BN2" s="1794"/>
      <c r="BO2" s="1794"/>
      <c r="BP2" s="1794"/>
      <c r="BQ2" s="1794"/>
      <c r="BR2" s="1794"/>
      <c r="BS2" s="1794"/>
      <c r="BT2" s="1794"/>
      <c r="BU2" s="1794"/>
      <c r="BV2" s="1794"/>
      <c r="BW2" s="1794"/>
      <c r="BX2" s="1794"/>
      <c r="BY2" s="1794"/>
      <c r="BZ2" s="1794"/>
      <c r="CA2" s="1794"/>
      <c r="CB2" s="1794"/>
      <c r="CC2" s="1794"/>
      <c r="CD2" s="1794"/>
      <c r="CE2" s="1794"/>
      <c r="CF2" s="1794"/>
      <c r="CG2" s="1794"/>
      <c r="CH2" s="1794"/>
      <c r="CI2" s="1794"/>
      <c r="CJ2" s="1794"/>
      <c r="CK2" s="1794"/>
      <c r="CL2" s="1794"/>
      <c r="CM2" s="1794"/>
      <c r="CN2" s="1794"/>
      <c r="CO2" s="1794"/>
      <c r="CP2" s="1794"/>
      <c r="CQ2" s="1794"/>
      <c r="CR2" s="1794"/>
      <c r="CS2" s="1794"/>
      <c r="CT2" s="1794"/>
      <c r="CU2" s="1794"/>
      <c r="CV2" s="1794"/>
      <c r="CW2" s="1794"/>
      <c r="CX2" s="1794"/>
      <c r="CY2" s="1794"/>
      <c r="CZ2" s="1794"/>
      <c r="DA2" s="1794"/>
      <c r="DB2" s="1794"/>
      <c r="DC2" s="1794"/>
      <c r="DD2" s="1794"/>
      <c r="DE2" s="1794"/>
      <c r="DF2" s="1794"/>
      <c r="DG2" s="1794"/>
      <c r="DH2" s="1794"/>
      <c r="DI2" s="1794"/>
      <c r="DJ2" s="1794"/>
      <c r="DK2" s="1794"/>
      <c r="DL2" s="1794"/>
      <c r="DM2" s="1794"/>
      <c r="DN2" s="1794"/>
      <c r="DO2" s="1794"/>
      <c r="DP2" s="1794"/>
      <c r="DQ2" s="1794"/>
      <c r="DR2" s="1794"/>
      <c r="DS2" s="1794"/>
      <c r="DT2" s="1794"/>
      <c r="DU2" s="1794"/>
      <c r="DV2" s="1794"/>
      <c r="DW2" s="1794"/>
      <c r="DX2" s="1794"/>
      <c r="DY2" s="1794"/>
      <c r="DZ2" s="1794"/>
      <c r="EA2" s="1794"/>
      <c r="EB2" s="1794"/>
      <c r="EC2" s="1794"/>
      <c r="ED2" s="1794"/>
      <c r="EE2" s="1794"/>
      <c r="EF2" s="1794"/>
      <c r="EG2" s="1794"/>
      <c r="EH2" s="1794"/>
      <c r="EI2" s="1794"/>
      <c r="EJ2" s="1794"/>
      <c r="EK2" s="1794"/>
      <c r="EL2" s="1794"/>
      <c r="EM2" s="1794"/>
      <c r="EN2" s="1794"/>
      <c r="EO2" s="1794"/>
      <c r="EP2" s="1794"/>
      <c r="EQ2" s="1794"/>
      <c r="ER2" s="1794"/>
      <c r="ES2" s="1794"/>
      <c r="ET2" s="1794"/>
      <c r="EU2" s="1794"/>
      <c r="EV2" s="1794"/>
      <c r="EW2" s="1794"/>
      <c r="EX2" s="1794"/>
      <c r="EY2" s="1794"/>
      <c r="EZ2" s="1794"/>
      <c r="FA2" s="1794"/>
      <c r="FB2" s="1794"/>
      <c r="FC2" s="1794"/>
      <c r="FD2" s="1794"/>
      <c r="FE2" s="1794"/>
      <c r="FF2" s="1794"/>
      <c r="FG2" s="1804" t="s">
        <v>54</v>
      </c>
      <c r="FH2" s="1804"/>
      <c r="FI2" s="1804"/>
      <c r="FJ2" s="1804"/>
      <c r="FK2" s="1804"/>
      <c r="FL2" s="1804"/>
      <c r="FM2" s="1804"/>
      <c r="FN2" s="1804"/>
      <c r="FO2" s="1804"/>
      <c r="FP2" s="1804"/>
      <c r="FQ2" s="1804"/>
      <c r="FR2" s="1804"/>
      <c r="FS2" s="1804"/>
      <c r="FT2" s="1804"/>
      <c r="FU2" s="1804"/>
      <c r="FV2" s="1804"/>
      <c r="FW2" s="1804"/>
      <c r="FX2" s="1804"/>
      <c r="FY2" s="1804"/>
      <c r="FZ2" s="1804"/>
      <c r="GA2" s="1804"/>
      <c r="GB2" s="1804"/>
      <c r="GC2" s="1804"/>
      <c r="GD2" s="1804"/>
      <c r="GE2" s="1804"/>
      <c r="GF2" s="1804"/>
      <c r="GG2" s="1804"/>
      <c r="GH2" s="1804"/>
      <c r="GI2" s="1804"/>
      <c r="GJ2" s="1804"/>
      <c r="GK2" s="1804"/>
      <c r="GL2" s="1804"/>
      <c r="GM2" s="1805"/>
      <c r="GN2" s="1805"/>
      <c r="GO2" s="1805"/>
      <c r="GP2" s="1805"/>
      <c r="GQ2" s="1805"/>
      <c r="GR2" s="1805"/>
      <c r="GS2" s="1805"/>
      <c r="GT2" s="1805"/>
      <c r="GU2" s="1805"/>
      <c r="GV2" s="1805"/>
      <c r="GW2" s="1805"/>
      <c r="GX2" s="1805"/>
      <c r="GY2" s="1805"/>
      <c r="GZ2" s="1805"/>
      <c r="HA2" s="1805"/>
      <c r="HB2" s="1805"/>
      <c r="HC2" s="1805"/>
      <c r="HD2" s="1805"/>
      <c r="HE2" s="1805"/>
      <c r="HF2" s="1805"/>
      <c r="HG2" s="1805"/>
      <c r="HH2" s="1805"/>
      <c r="HI2" s="1805"/>
      <c r="HJ2" s="1805"/>
      <c r="HK2" s="1805"/>
      <c r="HL2" s="1805"/>
      <c r="HM2" s="1805"/>
      <c r="HN2" s="1805"/>
      <c r="HO2" s="1805"/>
      <c r="HP2" s="1805"/>
      <c r="HQ2" s="1805"/>
      <c r="HR2" s="1805"/>
      <c r="HS2" s="1805"/>
      <c r="HT2" s="1805"/>
      <c r="HU2" s="1805"/>
      <c r="HV2" s="1805"/>
      <c r="HW2" s="1805"/>
      <c r="HX2" s="1805"/>
      <c r="HY2" s="1805"/>
      <c r="HZ2" s="1805"/>
      <c r="IA2" s="1805"/>
      <c r="IB2" s="1805"/>
      <c r="IC2" s="1805"/>
      <c r="ID2" s="1805"/>
      <c r="IE2" s="1805"/>
      <c r="IF2" s="1805"/>
      <c r="IG2" s="1805"/>
      <c r="IH2" s="1805"/>
      <c r="II2" s="1805"/>
      <c r="IJ2" s="1805"/>
      <c r="IK2" s="1805"/>
      <c r="IL2" s="1805"/>
      <c r="IM2" s="1805"/>
      <c r="IN2" s="1805"/>
      <c r="IO2" s="1805"/>
      <c r="IP2" s="1805"/>
      <c r="IQ2" s="1805"/>
      <c r="IR2" s="1805"/>
      <c r="IS2" s="1805"/>
      <c r="IT2" s="1805"/>
      <c r="IU2" s="1805"/>
      <c r="IV2" s="1805"/>
      <c r="IW2" s="1805"/>
      <c r="IX2" s="1805"/>
      <c r="IY2" s="1805"/>
      <c r="IZ2" s="1805"/>
      <c r="JA2" s="1805"/>
      <c r="JB2" s="1805"/>
      <c r="JC2" s="1805"/>
      <c r="JD2" s="1805"/>
      <c r="JE2" s="1805"/>
      <c r="JF2" s="1805"/>
      <c r="JG2" s="1805"/>
      <c r="JH2" s="1805"/>
      <c r="JI2" s="1805"/>
      <c r="JJ2" s="1805"/>
      <c r="JK2" s="1805"/>
      <c r="JL2" s="1805"/>
      <c r="JM2" s="1805"/>
      <c r="JN2" s="1805"/>
      <c r="JO2" s="1805"/>
      <c r="JP2" s="1805"/>
      <c r="JQ2" s="1805"/>
      <c r="JR2" s="1805"/>
      <c r="JS2" s="1805"/>
      <c r="JT2" s="1805"/>
      <c r="JU2" s="1805"/>
      <c r="JV2" s="1805"/>
      <c r="JW2" s="1805"/>
      <c r="JX2" s="1805"/>
      <c r="JY2" s="1805"/>
      <c r="JZ2" s="1805"/>
      <c r="KA2" s="1805"/>
      <c r="KB2" s="1805"/>
      <c r="KC2" s="1805"/>
      <c r="KD2" s="1805"/>
      <c r="KE2" s="1806" t="s">
        <v>55</v>
      </c>
      <c r="KF2" s="1806"/>
      <c r="KG2" s="1806"/>
      <c r="KH2" s="1806"/>
      <c r="KI2" s="1806"/>
      <c r="KJ2" s="1806"/>
      <c r="KK2" s="1806"/>
      <c r="KL2" s="1806"/>
      <c r="KM2" s="1806"/>
      <c r="KN2" s="1806"/>
      <c r="KO2" s="1806"/>
      <c r="KP2" s="1806"/>
      <c r="KQ2" s="1806"/>
      <c r="KR2" s="1806"/>
      <c r="KS2" s="1806"/>
      <c r="KT2" s="1806"/>
      <c r="KU2" s="1806"/>
      <c r="KV2" s="1806"/>
      <c r="KW2" s="1806"/>
      <c r="KX2" s="1806"/>
      <c r="KY2" s="1806"/>
      <c r="KZ2" s="1806"/>
      <c r="LA2" s="1806"/>
      <c r="LB2" s="1806"/>
      <c r="LC2" s="1806"/>
      <c r="LD2" s="1806"/>
      <c r="LE2" s="1806"/>
      <c r="LF2" s="1806"/>
      <c r="LG2" s="1806"/>
      <c r="LH2" s="1806"/>
      <c r="LI2" s="1806"/>
      <c r="LJ2" s="1806"/>
      <c r="LK2" s="1807"/>
      <c r="LL2" s="1807"/>
      <c r="LM2" s="1807"/>
      <c r="LN2" s="1807"/>
      <c r="LO2" s="1807"/>
      <c r="LP2" s="1807"/>
      <c r="LQ2" s="1807"/>
      <c r="LR2" s="1807"/>
      <c r="LS2" s="1807"/>
      <c r="LT2" s="1807"/>
      <c r="LU2" s="1807"/>
      <c r="LV2" s="1807"/>
      <c r="LW2" s="1807"/>
      <c r="LX2" s="1807"/>
      <c r="LY2" s="1807"/>
      <c r="LZ2" s="1807"/>
      <c r="MA2" s="1807"/>
      <c r="MB2" s="1807"/>
      <c r="MC2" s="1807"/>
      <c r="MD2" s="1807"/>
      <c r="ME2" s="1807"/>
      <c r="MF2" s="1807"/>
      <c r="MG2" s="1807"/>
      <c r="MH2" s="1807"/>
      <c r="MI2" s="1807"/>
      <c r="MJ2" s="1807"/>
      <c r="MK2" s="1807"/>
      <c r="ML2" s="1807"/>
      <c r="MM2" s="1807"/>
      <c r="MN2" s="1807"/>
      <c r="MO2" s="1807"/>
      <c r="MP2" s="1807"/>
      <c r="MQ2" s="1807"/>
      <c r="MR2" s="1807"/>
      <c r="MS2" s="1807"/>
      <c r="MT2" s="1807"/>
      <c r="MU2" s="1807"/>
      <c r="MV2" s="1807"/>
      <c r="MW2" s="1807"/>
      <c r="MX2" s="1807"/>
      <c r="MY2" s="1807"/>
      <c r="MZ2" s="1807"/>
      <c r="NA2" s="1807"/>
      <c r="NB2" s="1807"/>
      <c r="NC2" s="1807"/>
      <c r="ND2" s="1807"/>
      <c r="NE2" s="1807"/>
      <c r="NF2" s="1807"/>
      <c r="NG2" s="1807"/>
      <c r="NH2" s="1807"/>
      <c r="NI2" s="1807"/>
      <c r="NJ2" s="1807"/>
      <c r="NK2" s="1807"/>
      <c r="NL2" s="1807"/>
      <c r="NM2" s="1807"/>
      <c r="NN2" s="1807"/>
      <c r="NO2" s="1807"/>
      <c r="NP2" s="1807"/>
      <c r="NQ2" s="1807"/>
      <c r="NR2" s="1807"/>
      <c r="NS2" s="1807"/>
      <c r="NT2" s="1807"/>
      <c r="NU2" s="1807"/>
      <c r="NV2" s="1807"/>
      <c r="NW2" s="1807"/>
      <c r="NX2" s="1807"/>
      <c r="NY2" s="1807"/>
      <c r="NZ2" s="1807"/>
      <c r="OA2" s="1807"/>
      <c r="OB2" s="1807"/>
      <c r="OC2" s="1807"/>
      <c r="OD2" s="1807"/>
      <c r="OE2" s="1807"/>
      <c r="OF2" s="1807"/>
      <c r="OG2" s="1807"/>
      <c r="OH2" s="1807"/>
      <c r="OI2" s="1807"/>
      <c r="OJ2" s="1807"/>
      <c r="OK2" s="1807"/>
      <c r="OL2" s="1807"/>
      <c r="OM2" s="1807"/>
      <c r="ON2" s="1807"/>
      <c r="OO2" s="1807"/>
      <c r="OP2" s="1807"/>
      <c r="OQ2" s="1807"/>
      <c r="OR2" s="1807"/>
      <c r="OS2" s="1807"/>
      <c r="OT2" s="1807"/>
      <c r="OU2" s="1807"/>
      <c r="OV2" s="1807"/>
      <c r="OW2" s="1807"/>
      <c r="OX2" s="1807"/>
      <c r="OY2" s="1807"/>
      <c r="OZ2" s="1807"/>
      <c r="PA2" s="1807"/>
      <c r="PB2" s="1807"/>
      <c r="PC2" s="1805" t="s">
        <v>56</v>
      </c>
      <c r="PD2" s="1805"/>
      <c r="PE2" s="1805"/>
      <c r="PF2" s="1805"/>
      <c r="PG2" s="1805"/>
      <c r="PH2" s="1805"/>
      <c r="PI2" s="1805"/>
      <c r="PJ2" s="1805"/>
      <c r="PK2" s="1805"/>
      <c r="PL2" s="1805"/>
      <c r="PM2" s="1805"/>
      <c r="PN2" s="1805"/>
      <c r="PO2" s="1805"/>
      <c r="PP2" s="1805"/>
      <c r="PQ2" s="1805"/>
      <c r="PR2" s="1805"/>
      <c r="PS2" s="1805"/>
      <c r="PT2" s="1805"/>
      <c r="PU2" s="1805"/>
      <c r="PV2" s="1805"/>
      <c r="PW2" s="1805"/>
      <c r="PX2" s="1805"/>
      <c r="PY2" s="1805"/>
      <c r="PZ2" s="1805"/>
      <c r="QA2" s="1805"/>
      <c r="QB2" s="1805"/>
      <c r="QC2" s="1805"/>
      <c r="QD2" s="1805"/>
      <c r="QE2" s="1805"/>
      <c r="QF2" s="1805"/>
      <c r="QG2" s="1805"/>
      <c r="QH2" s="1805"/>
      <c r="QI2" s="1805"/>
      <c r="QJ2" s="1805"/>
      <c r="QK2" s="1805"/>
      <c r="QL2" s="1805"/>
      <c r="QM2" s="1805"/>
      <c r="QN2" s="1805"/>
      <c r="QO2" s="1805"/>
      <c r="QP2" s="1805"/>
      <c r="QQ2" s="1805"/>
      <c r="QR2" s="1805"/>
      <c r="QS2" s="1805"/>
      <c r="QT2" s="1805"/>
      <c r="QU2" s="1805"/>
      <c r="QV2" s="1805"/>
      <c r="QW2" s="1805"/>
      <c r="QX2" s="1805"/>
      <c r="QY2" s="1805"/>
      <c r="QZ2" s="1805"/>
      <c r="RA2" s="1805"/>
      <c r="RB2" s="1805"/>
      <c r="RC2" s="1805"/>
      <c r="RD2" s="1805"/>
      <c r="RE2" s="1805"/>
      <c r="RF2" s="1805"/>
      <c r="RG2" s="1805"/>
      <c r="RH2" s="1805"/>
      <c r="RI2" s="1805"/>
      <c r="RJ2" s="1805"/>
      <c r="RK2" s="1805"/>
      <c r="RL2" s="1805"/>
      <c r="RM2" s="1805"/>
      <c r="RN2" s="1805"/>
      <c r="RO2" s="1805"/>
      <c r="RP2" s="1805"/>
      <c r="RQ2" s="1805"/>
      <c r="RR2" s="1805"/>
      <c r="RS2" s="1805"/>
      <c r="RT2" s="1805"/>
      <c r="RU2" s="1805"/>
      <c r="RV2" s="1805"/>
      <c r="RW2" s="1805"/>
      <c r="RX2" s="1805"/>
      <c r="RY2" s="1805"/>
      <c r="RZ2" s="1805"/>
      <c r="SA2" s="1805"/>
      <c r="SB2" s="1805"/>
      <c r="SC2" s="1805"/>
      <c r="SD2" s="1805"/>
      <c r="SE2" s="1805"/>
      <c r="SF2" s="1805"/>
      <c r="SG2" s="1805"/>
      <c r="SH2" s="1805"/>
      <c r="SI2" s="1805"/>
      <c r="SJ2" s="1805"/>
      <c r="SK2" s="1805"/>
      <c r="SL2" s="1805"/>
      <c r="SM2" s="1805"/>
      <c r="SN2" s="1805"/>
      <c r="SO2" s="1805"/>
      <c r="SP2" s="1805"/>
      <c r="SQ2" s="1805"/>
      <c r="SR2" s="1805"/>
      <c r="SS2" s="1805"/>
      <c r="ST2" s="1805"/>
      <c r="SU2" s="1805"/>
      <c r="SV2" s="1805"/>
      <c r="SW2" s="1805"/>
      <c r="SX2" s="1805"/>
      <c r="SY2" s="1805"/>
      <c r="SZ2" s="1805"/>
      <c r="TA2" s="1805"/>
      <c r="TB2" s="1805"/>
      <c r="TC2" s="1805"/>
      <c r="TD2" s="1805"/>
      <c r="TE2" s="1805"/>
      <c r="TF2" s="1805"/>
      <c r="TG2" s="1805"/>
      <c r="TH2" s="1805"/>
      <c r="TI2" s="1805"/>
      <c r="TJ2" s="1805"/>
      <c r="TK2" s="1805"/>
      <c r="TL2" s="1805"/>
      <c r="TM2" s="1805"/>
      <c r="TN2" s="1805"/>
      <c r="TO2" s="1805"/>
      <c r="TP2" s="1805"/>
      <c r="TQ2" s="1805"/>
      <c r="TR2" s="1805"/>
      <c r="TS2" s="1805"/>
      <c r="TT2" s="1805"/>
      <c r="TU2" s="1805"/>
      <c r="TV2" s="1805"/>
      <c r="TW2" s="1805"/>
      <c r="TX2" s="1805"/>
      <c r="TY2" s="1805"/>
      <c r="TZ2" s="1805"/>
      <c r="UA2" s="1805"/>
      <c r="UB2" s="1805"/>
      <c r="UC2" s="1805"/>
      <c r="UD2" s="1805"/>
      <c r="UE2" s="1805"/>
      <c r="UF2" s="1805"/>
      <c r="UG2" s="1805"/>
      <c r="UH2" s="1805"/>
      <c r="UI2" s="1805"/>
      <c r="UJ2" s="1805"/>
      <c r="UK2" s="1805"/>
      <c r="UL2" s="1805"/>
      <c r="UM2" s="1805"/>
      <c r="UN2" s="1805"/>
      <c r="UO2" s="1805"/>
      <c r="UP2" s="1805"/>
      <c r="UQ2" s="1805"/>
      <c r="UR2" s="1805"/>
      <c r="US2" s="1805"/>
      <c r="UT2" s="1805"/>
      <c r="UU2" s="1805"/>
      <c r="UV2" s="1805"/>
      <c r="UW2" s="1805"/>
      <c r="UX2" s="1805"/>
      <c r="UY2" s="1805"/>
      <c r="UZ2" s="1805"/>
      <c r="VA2" s="1805"/>
      <c r="VB2" s="1805"/>
      <c r="VC2" s="1805"/>
      <c r="VD2" s="1805"/>
      <c r="VE2" s="1805"/>
      <c r="VF2" s="1805"/>
      <c r="VG2" s="1806" t="s">
        <v>57</v>
      </c>
      <c r="VH2" s="1806"/>
      <c r="VI2" s="1806"/>
      <c r="VJ2" s="1806"/>
      <c r="VK2" s="1806"/>
      <c r="VL2" s="1806"/>
      <c r="VM2" s="1806"/>
      <c r="VN2" s="1806"/>
      <c r="VO2" s="1806"/>
      <c r="VP2" s="1806"/>
      <c r="VQ2" s="1806"/>
      <c r="VR2" s="1806"/>
      <c r="VS2" s="1806"/>
      <c r="VT2" s="1806"/>
      <c r="VU2" s="1806"/>
      <c r="VV2" s="1806"/>
      <c r="VW2" s="1806"/>
      <c r="VX2" s="1806"/>
      <c r="VY2" s="1806"/>
      <c r="VZ2" s="1806"/>
      <c r="WA2" s="1806"/>
      <c r="WB2" s="1806"/>
      <c r="WC2" s="1806"/>
      <c r="WD2" s="1806"/>
      <c r="WE2" s="1806"/>
      <c r="WF2" s="1806"/>
      <c r="WG2" s="1806"/>
      <c r="WH2" s="1806"/>
      <c r="WI2" s="1806"/>
      <c r="WJ2" s="1806"/>
      <c r="WK2" s="1806"/>
      <c r="WL2" s="1806"/>
      <c r="WM2" s="1807"/>
      <c r="WN2" s="1807"/>
      <c r="WO2" s="1807"/>
      <c r="WP2" s="1807"/>
      <c r="WQ2" s="1807"/>
      <c r="WR2" s="1807"/>
      <c r="WS2" s="1807"/>
      <c r="WT2" s="1807"/>
      <c r="WU2" s="1807"/>
      <c r="WV2" s="1807"/>
      <c r="WW2" s="1807"/>
      <c r="WX2" s="1807"/>
      <c r="WY2" s="1807"/>
      <c r="WZ2" s="1807"/>
      <c r="XA2" s="1807"/>
      <c r="XB2" s="1807"/>
      <c r="XC2" s="1807"/>
      <c r="XD2" s="1807"/>
      <c r="XE2" s="1807"/>
      <c r="XF2" s="1807"/>
      <c r="XG2" s="1807"/>
      <c r="XH2" s="1807"/>
      <c r="XI2" s="1807"/>
      <c r="XJ2" s="1807"/>
      <c r="XK2" s="1807"/>
      <c r="XL2" s="1807"/>
      <c r="XM2" s="1807"/>
      <c r="XN2" s="1807"/>
      <c r="XO2" s="1807"/>
      <c r="XP2" s="1807"/>
      <c r="XQ2" s="1807"/>
      <c r="XR2" s="1807"/>
      <c r="XS2" s="1807"/>
      <c r="XT2" s="1807"/>
      <c r="XU2" s="1807"/>
      <c r="XV2" s="1807"/>
      <c r="XW2" s="1807"/>
      <c r="XX2" s="1807"/>
      <c r="XY2" s="1807"/>
      <c r="XZ2" s="1807"/>
      <c r="YA2" s="1807"/>
      <c r="YB2" s="1807"/>
      <c r="YC2" s="1807"/>
      <c r="YD2" s="1807"/>
      <c r="YE2" s="1807"/>
      <c r="YF2" s="1807"/>
      <c r="YG2" s="1807"/>
      <c r="YH2" s="1807"/>
      <c r="YI2" s="1807"/>
      <c r="YJ2" s="1807"/>
      <c r="YK2" s="1807"/>
      <c r="YL2" s="1807"/>
      <c r="YM2" s="1807"/>
      <c r="YN2" s="1807"/>
      <c r="YO2" s="1807"/>
      <c r="YP2" s="1807"/>
      <c r="YQ2" s="1807"/>
      <c r="YR2" s="1807"/>
      <c r="YS2" s="1807"/>
      <c r="YT2" s="1807"/>
      <c r="YU2" s="1807"/>
      <c r="YV2" s="1807"/>
      <c r="YW2" s="1807"/>
      <c r="YX2" s="1807"/>
      <c r="YY2" s="1807"/>
      <c r="YZ2" s="1807"/>
      <c r="ZA2" s="1807"/>
      <c r="ZB2" s="1807"/>
      <c r="ZC2" s="1807"/>
      <c r="ZD2" s="1807"/>
      <c r="ZE2" s="1807"/>
      <c r="ZF2" s="1807"/>
      <c r="ZG2" s="1807"/>
      <c r="ZH2" s="1807"/>
      <c r="ZI2" s="1807"/>
      <c r="ZJ2" s="1807"/>
      <c r="ZK2" s="1807"/>
      <c r="ZL2" s="1807"/>
      <c r="ZM2" s="1807"/>
      <c r="ZN2" s="1807"/>
      <c r="ZO2" s="1807"/>
      <c r="ZP2" s="1807"/>
      <c r="ZQ2" s="1807"/>
      <c r="ZR2" s="1807"/>
      <c r="ZS2" s="1807"/>
      <c r="ZT2" s="1807"/>
      <c r="ZU2" s="1807"/>
      <c r="ZV2" s="1807"/>
      <c r="ZW2" s="1807"/>
      <c r="ZX2" s="1807"/>
      <c r="ZY2" s="1807"/>
      <c r="ZZ2" s="1807"/>
      <c r="AAA2" s="1807"/>
      <c r="AAB2" s="1807"/>
      <c r="AAC2" s="1807"/>
      <c r="AAD2" s="1807"/>
      <c r="AAE2" s="1804" t="s">
        <v>58</v>
      </c>
      <c r="AAF2" s="1804"/>
      <c r="AAG2" s="1804"/>
      <c r="AAH2" s="1804"/>
      <c r="AAI2" s="1804"/>
      <c r="AAJ2" s="1804"/>
      <c r="AAK2" s="1804"/>
      <c r="AAL2" s="1804"/>
      <c r="AAM2" s="1804"/>
      <c r="AAN2" s="1804"/>
      <c r="AAO2" s="1804"/>
      <c r="AAP2" s="1804"/>
      <c r="AAQ2" s="1804"/>
      <c r="AAR2" s="1804"/>
      <c r="AAS2" s="1804"/>
      <c r="AAT2" s="1804"/>
      <c r="AAU2" s="1804"/>
      <c r="AAV2" s="1804"/>
      <c r="AAW2" s="1804"/>
      <c r="AAX2" s="1804"/>
      <c r="AAY2" s="1804"/>
      <c r="AAZ2" s="1804"/>
      <c r="ABA2" s="1804"/>
      <c r="ABB2" s="1804"/>
      <c r="ABC2" s="1804"/>
      <c r="ABD2" s="1804"/>
      <c r="ABE2" s="1804"/>
      <c r="ABF2" s="1804"/>
      <c r="ABG2" s="1804"/>
      <c r="ABH2" s="1804"/>
      <c r="ABI2" s="1804"/>
      <c r="ABJ2" s="1804"/>
      <c r="ABK2" s="1805"/>
      <c r="ABL2" s="1805"/>
      <c r="ABM2" s="1805"/>
      <c r="ABN2" s="1805"/>
      <c r="ABO2" s="1805"/>
      <c r="ABP2" s="1805"/>
      <c r="ABQ2" s="1805"/>
      <c r="ABR2" s="1805"/>
      <c r="ABS2" s="1805"/>
      <c r="ABT2" s="1805"/>
      <c r="ABU2" s="1805"/>
      <c r="ABV2" s="1805"/>
      <c r="ABW2" s="1805"/>
      <c r="ABX2" s="1805"/>
      <c r="ABY2" s="1805"/>
      <c r="ABZ2" s="1805"/>
      <c r="ACA2" s="1805"/>
      <c r="ACB2" s="1805"/>
      <c r="ACC2" s="1805"/>
      <c r="ACD2" s="1805"/>
      <c r="ACE2" s="1805"/>
      <c r="ACF2" s="1805"/>
      <c r="ACG2" s="1805"/>
      <c r="ACH2" s="1805"/>
      <c r="ACI2" s="1805"/>
      <c r="ACJ2" s="1805"/>
      <c r="ACK2" s="1805"/>
      <c r="ACL2" s="1805"/>
      <c r="ACM2" s="1805"/>
      <c r="ACN2" s="1805"/>
      <c r="ACO2" s="1805"/>
      <c r="ACP2" s="1805"/>
      <c r="ACQ2" s="1805"/>
      <c r="ACR2" s="1805"/>
      <c r="ACS2" s="1805"/>
      <c r="ACT2" s="1805"/>
      <c r="ACU2" s="1805"/>
      <c r="ACV2" s="1805"/>
      <c r="ACW2" s="1805"/>
      <c r="ACX2" s="1805"/>
      <c r="ACY2" s="1805"/>
      <c r="ACZ2" s="1805"/>
      <c r="ADA2" s="1805"/>
      <c r="ADB2" s="1805"/>
      <c r="ADC2" s="1805"/>
      <c r="ADD2" s="1805"/>
      <c r="ADE2" s="1805"/>
      <c r="ADF2" s="1805"/>
      <c r="ADG2" s="1805"/>
      <c r="ADH2" s="1805"/>
      <c r="ADI2" s="1805"/>
      <c r="ADJ2" s="1805"/>
      <c r="ADK2" s="1805"/>
      <c r="ADL2" s="1805"/>
      <c r="ADM2" s="1805"/>
      <c r="ADN2" s="1805"/>
      <c r="ADO2" s="1805"/>
      <c r="ADP2" s="1805"/>
      <c r="ADQ2" s="1805"/>
      <c r="ADR2" s="1805"/>
      <c r="ADS2" s="1805"/>
      <c r="ADT2" s="1805"/>
      <c r="ADU2" s="1805"/>
      <c r="ADV2" s="1805"/>
      <c r="ADW2" s="1805"/>
      <c r="ADX2" s="1805"/>
      <c r="ADY2" s="1805"/>
      <c r="ADZ2" s="1805"/>
      <c r="AEA2" s="1805"/>
      <c r="AEB2" s="1805"/>
      <c r="AEC2" s="1805"/>
      <c r="AED2" s="1805"/>
      <c r="AEE2" s="1805"/>
      <c r="AEF2" s="1805"/>
      <c r="AEG2" s="1805"/>
      <c r="AEH2" s="1805"/>
      <c r="AEI2" s="1805"/>
      <c r="AEJ2" s="1805"/>
      <c r="AEK2" s="1805"/>
      <c r="AEL2" s="1805"/>
      <c r="AEM2" s="1805"/>
      <c r="AEN2" s="1805"/>
      <c r="AEO2" s="1805"/>
      <c r="AEP2" s="1805"/>
      <c r="AEQ2" s="1805"/>
      <c r="AER2" s="1805"/>
      <c r="AES2" s="1805"/>
      <c r="AET2" s="1805"/>
      <c r="AEU2" s="1805"/>
      <c r="AEV2" s="1805"/>
      <c r="AEW2" s="1805"/>
      <c r="AEX2" s="1805"/>
      <c r="AEY2" s="1805"/>
      <c r="AEZ2" s="1805"/>
      <c r="AFA2" s="1805"/>
      <c r="AFB2" s="1805"/>
      <c r="AFC2" s="1794" t="s">
        <v>59</v>
      </c>
      <c r="AFD2" s="1794"/>
      <c r="AFE2" s="1794"/>
      <c r="AFF2" s="1794"/>
      <c r="AFG2" s="1794"/>
      <c r="AFH2" s="1794"/>
      <c r="AFI2" s="1794"/>
      <c r="AFJ2" s="1794"/>
      <c r="AFK2" s="1794"/>
      <c r="AFL2" s="1794"/>
      <c r="AFM2" s="1794"/>
      <c r="AFN2" s="1794"/>
      <c r="AFO2" s="1794"/>
      <c r="AFP2" s="1794"/>
      <c r="AFQ2" s="1794"/>
      <c r="AFR2" s="1794"/>
      <c r="AFS2" s="1794"/>
      <c r="AFT2" s="1794"/>
      <c r="AFU2" s="1794"/>
      <c r="AFV2" s="1794"/>
      <c r="AFW2" s="1794"/>
      <c r="AFX2" s="1794"/>
      <c r="AFY2" s="1794"/>
      <c r="AFZ2" s="1794"/>
      <c r="AGA2" s="1794"/>
      <c r="AGB2" s="1794"/>
      <c r="AGC2" s="1794"/>
      <c r="AGD2" s="1794"/>
      <c r="AGE2" s="1794"/>
      <c r="AGF2" s="1794"/>
      <c r="AGG2" s="1794"/>
      <c r="AGH2" s="1794"/>
      <c r="AGI2" s="1794"/>
      <c r="AGJ2" s="1794"/>
      <c r="AGK2" s="1794"/>
      <c r="AGL2" s="1794"/>
      <c r="AGM2" s="1794"/>
      <c r="AGN2" s="1794"/>
      <c r="AGO2" s="1794"/>
      <c r="AGP2" s="1794"/>
      <c r="AGQ2" s="1794"/>
      <c r="AGR2" s="1794"/>
      <c r="AGS2" s="1794"/>
      <c r="AGT2" s="1794"/>
      <c r="AGU2" s="1794"/>
      <c r="AGV2" s="1794"/>
      <c r="AGW2" s="1794"/>
      <c r="AGX2" s="1794"/>
      <c r="AGY2" s="1794"/>
      <c r="AGZ2" s="1794"/>
      <c r="AHA2" s="1794"/>
      <c r="AHB2" s="1794"/>
      <c r="AHC2" s="1794"/>
      <c r="AHD2" s="1794"/>
      <c r="AHE2" s="1794"/>
      <c r="AHF2" s="1794"/>
      <c r="AHG2" s="1794"/>
      <c r="AHH2" s="1794"/>
      <c r="AHI2" s="1794"/>
      <c r="AHJ2" s="1794"/>
      <c r="AHK2" s="1794"/>
      <c r="AHL2" s="1794"/>
      <c r="AHM2" s="1794"/>
      <c r="AHN2" s="1794"/>
      <c r="AHO2" s="1794"/>
      <c r="AHP2" s="1794"/>
      <c r="AHQ2" s="1794"/>
      <c r="AHR2" s="1794"/>
      <c r="AHS2" s="1794"/>
      <c r="AHT2" s="1794"/>
      <c r="AHU2" s="1794"/>
      <c r="AHV2" s="1794"/>
      <c r="AHW2" s="1794"/>
      <c r="AHX2" s="1794"/>
      <c r="AHY2" s="1794"/>
      <c r="AHZ2" s="1794"/>
      <c r="AIA2" s="1794"/>
      <c r="AIB2" s="1794"/>
      <c r="AIC2" s="1794"/>
      <c r="AID2" s="1794"/>
      <c r="AIE2" s="1794"/>
      <c r="AIF2" s="1794"/>
      <c r="AIG2" s="1794"/>
      <c r="AIH2" s="1794"/>
      <c r="AII2" s="1794"/>
      <c r="AIJ2" s="1794"/>
      <c r="AIK2" s="1794"/>
      <c r="AIL2" s="1794"/>
      <c r="AIM2" s="1794"/>
      <c r="AIN2" s="1794"/>
      <c r="AIO2" s="1794"/>
      <c r="AIP2" s="1794"/>
      <c r="AIQ2" s="1794"/>
      <c r="AIR2" s="1794"/>
      <c r="AIS2" s="1794"/>
      <c r="AIT2" s="1794"/>
      <c r="AIU2" s="1794"/>
      <c r="AIV2" s="1794"/>
      <c r="AIW2" s="1794"/>
      <c r="AIX2" s="1794"/>
      <c r="AIY2" s="1794"/>
      <c r="AIZ2" s="1794"/>
      <c r="AJA2" s="1794"/>
      <c r="AJB2" s="1794"/>
      <c r="AJC2" s="1794"/>
      <c r="AJD2" s="1794"/>
      <c r="AJE2" s="1794"/>
      <c r="AJF2" s="1794"/>
      <c r="AJG2" s="1794"/>
      <c r="AJH2" s="1794"/>
      <c r="AJI2" s="1794"/>
      <c r="AJJ2" s="1794"/>
      <c r="AJK2" s="1794"/>
      <c r="AJL2" s="1794"/>
      <c r="AJM2" s="1794"/>
      <c r="AJN2" s="1794"/>
      <c r="AJO2" s="1794"/>
      <c r="AJP2" s="1794"/>
      <c r="AJQ2" s="1794"/>
      <c r="AJR2" s="1794"/>
      <c r="AJS2" s="1794"/>
      <c r="AJT2" s="1794"/>
      <c r="AJU2" s="1794"/>
      <c r="AJV2" s="1794"/>
      <c r="AJW2" s="1794"/>
      <c r="AJX2" s="1794"/>
      <c r="AJY2" s="1794"/>
      <c r="AJZ2" s="1794"/>
      <c r="AKA2" s="1794"/>
      <c r="AKB2" s="1794"/>
      <c r="AKC2" s="1794"/>
      <c r="AKD2" s="1794"/>
      <c r="AKE2" s="1794"/>
      <c r="AKF2" s="1794"/>
      <c r="AKG2" s="1794"/>
      <c r="AKH2" s="1794"/>
      <c r="AKI2" s="1794"/>
      <c r="AKJ2" s="1794"/>
      <c r="AKK2" s="1794"/>
      <c r="AKL2" s="1794"/>
      <c r="AKM2" s="1794"/>
      <c r="AKN2" s="1794"/>
      <c r="AKO2" s="1794"/>
      <c r="AKP2" s="1794"/>
      <c r="AKQ2" s="1794"/>
      <c r="AKR2" s="1794"/>
      <c r="AKS2" s="1794"/>
      <c r="AKT2" s="1794"/>
      <c r="AKU2" s="1794"/>
      <c r="AKV2" s="1794"/>
      <c r="AKW2" s="1794"/>
      <c r="AKX2" s="1794"/>
      <c r="AKY2" s="1794"/>
      <c r="AKZ2" s="1794"/>
      <c r="ALA2" s="1794"/>
      <c r="ALB2" s="1794"/>
      <c r="ALC2" s="1794"/>
      <c r="ALD2" s="1794"/>
      <c r="ALE2" s="1794"/>
      <c r="ALF2" s="1794"/>
    </row>
    <row r="3" spans="2:994" ht="27" customHeight="1">
      <c r="C3" s="1778" t="s">
        <v>196</v>
      </c>
      <c r="D3" s="1779"/>
      <c r="E3" s="1779"/>
      <c r="F3" s="1779"/>
      <c r="G3" s="1780"/>
      <c r="H3" s="1780"/>
      <c r="I3" s="1780"/>
      <c r="J3" s="1780"/>
      <c r="K3" s="1780"/>
      <c r="L3" s="1780"/>
      <c r="M3" s="1780"/>
      <c r="N3" s="1780"/>
      <c r="O3" s="1780"/>
      <c r="P3" s="1780"/>
      <c r="Q3" s="1780"/>
      <c r="R3" s="1780"/>
      <c r="S3" s="1780"/>
      <c r="T3" s="1780"/>
      <c r="U3" s="1780"/>
      <c r="V3" s="1780"/>
      <c r="W3" s="1780"/>
      <c r="X3" s="1780"/>
      <c r="Y3" s="1780"/>
      <c r="Z3" s="1780"/>
      <c r="AA3" s="1780"/>
      <c r="AB3" s="1780"/>
      <c r="AC3" s="1780"/>
      <c r="AD3" s="1780"/>
      <c r="AE3" s="1780"/>
      <c r="AF3" s="1780"/>
      <c r="AG3" s="1780"/>
      <c r="AH3" s="1780"/>
      <c r="AI3" s="1789" t="s">
        <v>197</v>
      </c>
      <c r="AJ3" s="1790"/>
      <c r="AK3" s="1790"/>
      <c r="AL3" s="1790"/>
      <c r="AM3" s="1791"/>
      <c r="AN3" s="1791"/>
      <c r="AO3" s="1791"/>
      <c r="AP3" s="1791"/>
      <c r="AQ3" s="1791"/>
      <c r="AR3" s="1791"/>
      <c r="AS3" s="1791"/>
      <c r="AT3" s="1791"/>
      <c r="AU3" s="1791"/>
      <c r="AV3" s="1791"/>
      <c r="AW3" s="1791"/>
      <c r="AX3" s="1791"/>
      <c r="AY3" s="1791"/>
      <c r="AZ3" s="1791"/>
      <c r="BA3" s="1791"/>
      <c r="BB3" s="1791"/>
      <c r="BC3" s="1791"/>
      <c r="BD3" s="1791"/>
      <c r="BE3" s="1791"/>
      <c r="BF3" s="1791"/>
      <c r="BG3" s="1791"/>
      <c r="BH3" s="1791"/>
      <c r="BI3" s="1791"/>
      <c r="BJ3" s="1791"/>
      <c r="BK3" s="1791"/>
      <c r="BL3" s="1791"/>
      <c r="BM3" s="1791"/>
      <c r="BN3" s="1791"/>
      <c r="BO3" s="1778" t="s">
        <v>198</v>
      </c>
      <c r="BP3" s="1779"/>
      <c r="BQ3" s="1779"/>
      <c r="BR3" s="1779"/>
      <c r="BS3" s="1780"/>
      <c r="BT3" s="1780"/>
      <c r="BU3" s="1780"/>
      <c r="BV3" s="1780"/>
      <c r="BW3" s="1780"/>
      <c r="BX3" s="1780"/>
      <c r="BY3" s="1780"/>
      <c r="BZ3" s="1780"/>
      <c r="CA3" s="1780"/>
      <c r="CB3" s="1780"/>
      <c r="CC3" s="1780"/>
      <c r="CD3" s="1780"/>
      <c r="CE3" s="1780"/>
      <c r="CF3" s="1780"/>
      <c r="CG3" s="1780"/>
      <c r="CH3" s="1780"/>
      <c r="CI3" s="1780"/>
      <c r="CJ3" s="1780"/>
      <c r="CK3" s="1780"/>
      <c r="CL3" s="1780"/>
      <c r="CM3" s="1780"/>
      <c r="CN3" s="1780"/>
      <c r="CO3" s="1780"/>
      <c r="CP3" s="1780"/>
      <c r="CQ3" s="1780"/>
      <c r="CR3" s="1780"/>
      <c r="CS3" s="1780"/>
      <c r="CT3" s="1780"/>
      <c r="CU3" s="1789" t="s">
        <v>199</v>
      </c>
      <c r="CV3" s="1790"/>
      <c r="CW3" s="1790"/>
      <c r="CX3" s="1790"/>
      <c r="CY3" s="1791"/>
      <c r="CZ3" s="1791"/>
      <c r="DA3" s="1791"/>
      <c r="DB3" s="1791"/>
      <c r="DC3" s="1791"/>
      <c r="DD3" s="1791"/>
      <c r="DE3" s="1791"/>
      <c r="DF3" s="1791"/>
      <c r="DG3" s="1791"/>
      <c r="DH3" s="1791"/>
      <c r="DI3" s="1791"/>
      <c r="DJ3" s="1791"/>
      <c r="DK3" s="1791"/>
      <c r="DL3" s="1791"/>
      <c r="DM3" s="1791"/>
      <c r="DN3" s="1791"/>
      <c r="DO3" s="1791"/>
      <c r="DP3" s="1791"/>
      <c r="DQ3" s="1791"/>
      <c r="DR3" s="1791"/>
      <c r="DS3" s="1791"/>
      <c r="DT3" s="1791"/>
      <c r="DU3" s="1791"/>
      <c r="DV3" s="1791"/>
      <c r="DW3" s="1791"/>
      <c r="DX3" s="1791"/>
      <c r="DY3" s="1791"/>
      <c r="DZ3" s="1791"/>
      <c r="EA3" s="1778" t="s">
        <v>200</v>
      </c>
      <c r="EB3" s="1779"/>
      <c r="EC3" s="1779"/>
      <c r="ED3" s="1779"/>
      <c r="EE3" s="1780"/>
      <c r="EF3" s="1780"/>
      <c r="EG3" s="1780"/>
      <c r="EH3" s="1780"/>
      <c r="EI3" s="1780"/>
      <c r="EJ3" s="1780"/>
      <c r="EK3" s="1780"/>
      <c r="EL3" s="1780"/>
      <c r="EM3" s="1780"/>
      <c r="EN3" s="1780"/>
      <c r="EO3" s="1780"/>
      <c r="EP3" s="1780"/>
      <c r="EQ3" s="1780"/>
      <c r="ER3" s="1780"/>
      <c r="ES3" s="1780"/>
      <c r="ET3" s="1780"/>
      <c r="EU3" s="1780"/>
      <c r="EV3" s="1780"/>
      <c r="EW3" s="1780"/>
      <c r="EX3" s="1780"/>
      <c r="EY3" s="1780"/>
      <c r="EZ3" s="1780"/>
      <c r="FA3" s="1780"/>
      <c r="FB3" s="1780"/>
      <c r="FC3" s="1780"/>
      <c r="FD3" s="1780"/>
      <c r="FE3" s="1780"/>
      <c r="FF3" s="1780"/>
      <c r="FG3" s="1797" t="s">
        <v>201</v>
      </c>
      <c r="FH3" s="1798"/>
      <c r="FI3" s="1798"/>
      <c r="FJ3" s="1798"/>
      <c r="FK3" s="1798"/>
      <c r="FL3" s="1798"/>
      <c r="FM3" s="1798"/>
      <c r="FN3" s="1798"/>
      <c r="FO3" s="1798"/>
      <c r="FP3" s="1798"/>
      <c r="FQ3" s="1798"/>
      <c r="FR3" s="1798"/>
      <c r="FS3" s="1798"/>
      <c r="FT3" s="1798"/>
      <c r="FU3" s="1798"/>
      <c r="FV3" s="1798"/>
      <c r="FW3" s="1798"/>
      <c r="FX3" s="1798"/>
      <c r="FY3" s="1798"/>
      <c r="FZ3" s="1798"/>
      <c r="GA3" s="1798"/>
      <c r="GB3" s="1798"/>
      <c r="GC3" s="1798"/>
      <c r="GD3" s="1798"/>
      <c r="GE3" s="1798"/>
      <c r="GF3" s="1798"/>
      <c r="GG3" s="1798"/>
      <c r="GH3" s="1798"/>
      <c r="GI3" s="1798"/>
      <c r="GJ3" s="1798"/>
      <c r="GK3" s="1798"/>
      <c r="GL3" s="1799"/>
      <c r="GM3" s="1790" t="s">
        <v>202</v>
      </c>
      <c r="GN3" s="1790"/>
      <c r="GO3" s="1790"/>
      <c r="GP3" s="1790"/>
      <c r="GQ3" s="1791"/>
      <c r="GR3" s="1791"/>
      <c r="GS3" s="1791"/>
      <c r="GT3" s="1791"/>
      <c r="GU3" s="1791"/>
      <c r="GV3" s="1791"/>
      <c r="GW3" s="1791"/>
      <c r="GX3" s="1791"/>
      <c r="GY3" s="1791"/>
      <c r="GZ3" s="1791"/>
      <c r="HA3" s="1791"/>
      <c r="HB3" s="1791"/>
      <c r="HC3" s="1791"/>
      <c r="HD3" s="1791"/>
      <c r="HE3" s="1791"/>
      <c r="HF3" s="1791"/>
      <c r="HG3" s="1791"/>
      <c r="HH3" s="1791"/>
      <c r="HI3" s="1791"/>
      <c r="HJ3" s="1791"/>
      <c r="HK3" s="1791"/>
      <c r="HL3" s="1791"/>
      <c r="HM3" s="1791"/>
      <c r="HN3" s="1791"/>
      <c r="HO3" s="1791"/>
      <c r="HP3" s="1791"/>
      <c r="HQ3" s="1791"/>
      <c r="HR3" s="1791"/>
      <c r="HS3" s="1778" t="s">
        <v>203</v>
      </c>
      <c r="HT3" s="1779"/>
      <c r="HU3" s="1779"/>
      <c r="HV3" s="1779"/>
      <c r="HW3" s="1780"/>
      <c r="HX3" s="1780"/>
      <c r="HY3" s="1780"/>
      <c r="HZ3" s="1780"/>
      <c r="IA3" s="1780"/>
      <c r="IB3" s="1780"/>
      <c r="IC3" s="1780"/>
      <c r="ID3" s="1780"/>
      <c r="IE3" s="1780"/>
      <c r="IF3" s="1780"/>
      <c r="IG3" s="1780"/>
      <c r="IH3" s="1780"/>
      <c r="II3" s="1780"/>
      <c r="IJ3" s="1780"/>
      <c r="IK3" s="1780"/>
      <c r="IL3" s="1780"/>
      <c r="IM3" s="1780"/>
      <c r="IN3" s="1780"/>
      <c r="IO3" s="1780"/>
      <c r="IP3" s="1780"/>
      <c r="IQ3" s="1780"/>
      <c r="IR3" s="1780"/>
      <c r="IS3" s="1780"/>
      <c r="IT3" s="1780"/>
      <c r="IU3" s="1780"/>
      <c r="IV3" s="1780"/>
      <c r="IW3" s="1780"/>
      <c r="IX3" s="1780"/>
      <c r="IY3" s="1789" t="s">
        <v>204</v>
      </c>
      <c r="IZ3" s="1790"/>
      <c r="JA3" s="1790"/>
      <c r="JB3" s="1790"/>
      <c r="JC3" s="1791"/>
      <c r="JD3" s="1791"/>
      <c r="JE3" s="1791"/>
      <c r="JF3" s="1791"/>
      <c r="JG3" s="1791"/>
      <c r="JH3" s="1791"/>
      <c r="JI3" s="1791"/>
      <c r="JJ3" s="1791"/>
      <c r="JK3" s="1791"/>
      <c r="JL3" s="1791"/>
      <c r="JM3" s="1791"/>
      <c r="JN3" s="1791"/>
      <c r="JO3" s="1791"/>
      <c r="JP3" s="1791"/>
      <c r="JQ3" s="1791"/>
      <c r="JR3" s="1791"/>
      <c r="JS3" s="1791"/>
      <c r="JT3" s="1791"/>
      <c r="JU3" s="1791"/>
      <c r="JV3" s="1791"/>
      <c r="JW3" s="1791"/>
      <c r="JX3" s="1791"/>
      <c r="JY3" s="1791"/>
      <c r="JZ3" s="1791"/>
      <c r="KA3" s="1791"/>
      <c r="KB3" s="1791"/>
      <c r="KC3" s="1791"/>
      <c r="KD3" s="1791"/>
      <c r="KE3" s="1797" t="s">
        <v>205</v>
      </c>
      <c r="KF3" s="1798"/>
      <c r="KG3" s="1798"/>
      <c r="KH3" s="1798"/>
      <c r="KI3" s="1798"/>
      <c r="KJ3" s="1798"/>
      <c r="KK3" s="1798"/>
      <c r="KL3" s="1798"/>
      <c r="KM3" s="1798"/>
      <c r="KN3" s="1798"/>
      <c r="KO3" s="1798"/>
      <c r="KP3" s="1798"/>
      <c r="KQ3" s="1798"/>
      <c r="KR3" s="1798"/>
      <c r="KS3" s="1798"/>
      <c r="KT3" s="1798"/>
      <c r="KU3" s="1798"/>
      <c r="KV3" s="1798"/>
      <c r="KW3" s="1798"/>
      <c r="KX3" s="1798"/>
      <c r="KY3" s="1798"/>
      <c r="KZ3" s="1798"/>
      <c r="LA3" s="1798"/>
      <c r="LB3" s="1798"/>
      <c r="LC3" s="1798"/>
      <c r="LD3" s="1798"/>
      <c r="LE3" s="1798"/>
      <c r="LF3" s="1798"/>
      <c r="LG3" s="1798"/>
      <c r="LH3" s="1798"/>
      <c r="LI3" s="1798"/>
      <c r="LJ3" s="1799"/>
      <c r="LK3" s="1790" t="s">
        <v>206</v>
      </c>
      <c r="LL3" s="1790"/>
      <c r="LM3" s="1790"/>
      <c r="LN3" s="1790"/>
      <c r="LO3" s="1791"/>
      <c r="LP3" s="1791"/>
      <c r="LQ3" s="1791"/>
      <c r="LR3" s="1791"/>
      <c r="LS3" s="1791"/>
      <c r="LT3" s="1791"/>
      <c r="LU3" s="1791"/>
      <c r="LV3" s="1791"/>
      <c r="LW3" s="1791"/>
      <c r="LX3" s="1791"/>
      <c r="LY3" s="1791"/>
      <c r="LZ3" s="1791"/>
      <c r="MA3" s="1791"/>
      <c r="MB3" s="1791"/>
      <c r="MC3" s="1791"/>
      <c r="MD3" s="1791"/>
      <c r="ME3" s="1791"/>
      <c r="MF3" s="1791"/>
      <c r="MG3" s="1791"/>
      <c r="MH3" s="1791"/>
      <c r="MI3" s="1791"/>
      <c r="MJ3" s="1791"/>
      <c r="MK3" s="1791"/>
      <c r="ML3" s="1791"/>
      <c r="MM3" s="1791"/>
      <c r="MN3" s="1791"/>
      <c r="MO3" s="1791"/>
      <c r="MP3" s="1791"/>
      <c r="MQ3" s="1778" t="s">
        <v>207</v>
      </c>
      <c r="MR3" s="1779"/>
      <c r="MS3" s="1779"/>
      <c r="MT3" s="1779"/>
      <c r="MU3" s="1780"/>
      <c r="MV3" s="1780"/>
      <c r="MW3" s="1780"/>
      <c r="MX3" s="1780"/>
      <c r="MY3" s="1780"/>
      <c r="MZ3" s="1780"/>
      <c r="NA3" s="1780"/>
      <c r="NB3" s="1780"/>
      <c r="NC3" s="1780"/>
      <c r="ND3" s="1780"/>
      <c r="NE3" s="1780"/>
      <c r="NF3" s="1780"/>
      <c r="NG3" s="1780"/>
      <c r="NH3" s="1780"/>
      <c r="NI3" s="1780"/>
      <c r="NJ3" s="1780"/>
      <c r="NK3" s="1780"/>
      <c r="NL3" s="1780"/>
      <c r="NM3" s="1780"/>
      <c r="NN3" s="1780"/>
      <c r="NO3" s="1780"/>
      <c r="NP3" s="1780"/>
      <c r="NQ3" s="1780"/>
      <c r="NR3" s="1780"/>
      <c r="NS3" s="1780"/>
      <c r="NT3" s="1780"/>
      <c r="NU3" s="1780"/>
      <c r="NV3" s="1780"/>
      <c r="NW3" s="1789" t="s">
        <v>208</v>
      </c>
      <c r="NX3" s="1790"/>
      <c r="NY3" s="1790"/>
      <c r="NZ3" s="1790"/>
      <c r="OA3" s="1791"/>
      <c r="OB3" s="1791"/>
      <c r="OC3" s="1791"/>
      <c r="OD3" s="1791"/>
      <c r="OE3" s="1791"/>
      <c r="OF3" s="1791"/>
      <c r="OG3" s="1791"/>
      <c r="OH3" s="1791"/>
      <c r="OI3" s="1791"/>
      <c r="OJ3" s="1791"/>
      <c r="OK3" s="1791"/>
      <c r="OL3" s="1791"/>
      <c r="OM3" s="1791"/>
      <c r="ON3" s="1791"/>
      <c r="OO3" s="1791"/>
      <c r="OP3" s="1791"/>
      <c r="OQ3" s="1791"/>
      <c r="OR3" s="1791"/>
      <c r="OS3" s="1791"/>
      <c r="OT3" s="1791"/>
      <c r="OU3" s="1791"/>
      <c r="OV3" s="1791"/>
      <c r="OW3" s="1791"/>
      <c r="OX3" s="1791"/>
      <c r="OY3" s="1791"/>
      <c r="OZ3" s="1791"/>
      <c r="PA3" s="1791"/>
      <c r="PB3" s="1791"/>
      <c r="PC3" s="1778" t="s">
        <v>209</v>
      </c>
      <c r="PD3" s="1779"/>
      <c r="PE3" s="1779"/>
      <c r="PF3" s="1779"/>
      <c r="PG3" s="1780"/>
      <c r="PH3" s="1780"/>
      <c r="PI3" s="1780"/>
      <c r="PJ3" s="1780"/>
      <c r="PK3" s="1780"/>
      <c r="PL3" s="1780"/>
      <c r="PM3" s="1780"/>
      <c r="PN3" s="1780"/>
      <c r="PO3" s="1780"/>
      <c r="PP3" s="1780"/>
      <c r="PQ3" s="1780"/>
      <c r="PR3" s="1780"/>
      <c r="PS3" s="1780"/>
      <c r="PT3" s="1780"/>
      <c r="PU3" s="1780"/>
      <c r="PV3" s="1780"/>
      <c r="PW3" s="1780"/>
      <c r="PX3" s="1780"/>
      <c r="PY3" s="1780"/>
      <c r="PZ3" s="1780"/>
      <c r="QA3" s="1780"/>
      <c r="QB3" s="1780"/>
      <c r="QC3" s="1780"/>
      <c r="QD3" s="1780"/>
      <c r="QE3" s="1780"/>
      <c r="QF3" s="1780"/>
      <c r="QG3" s="1780"/>
      <c r="QH3" s="1780"/>
      <c r="QI3" s="1789" t="s">
        <v>210</v>
      </c>
      <c r="QJ3" s="1790"/>
      <c r="QK3" s="1790"/>
      <c r="QL3" s="1790"/>
      <c r="QM3" s="1791"/>
      <c r="QN3" s="1791"/>
      <c r="QO3" s="1791"/>
      <c r="QP3" s="1791"/>
      <c r="QQ3" s="1791"/>
      <c r="QR3" s="1791"/>
      <c r="QS3" s="1791"/>
      <c r="QT3" s="1791"/>
      <c r="QU3" s="1791"/>
      <c r="QV3" s="1791"/>
      <c r="QW3" s="1791"/>
      <c r="QX3" s="1791"/>
      <c r="QY3" s="1791"/>
      <c r="QZ3" s="1791"/>
      <c r="RA3" s="1791"/>
      <c r="RB3" s="1791"/>
      <c r="RC3" s="1791"/>
      <c r="RD3" s="1791"/>
      <c r="RE3" s="1791"/>
      <c r="RF3" s="1791"/>
      <c r="RG3" s="1791"/>
      <c r="RH3" s="1791"/>
      <c r="RI3" s="1791"/>
      <c r="RJ3" s="1791"/>
      <c r="RK3" s="1791"/>
      <c r="RL3" s="1791"/>
      <c r="RM3" s="1791"/>
      <c r="RN3" s="1791"/>
      <c r="RO3" s="1778" t="s">
        <v>211</v>
      </c>
      <c r="RP3" s="1779"/>
      <c r="RQ3" s="1779"/>
      <c r="RR3" s="1779"/>
      <c r="RS3" s="1780"/>
      <c r="RT3" s="1780"/>
      <c r="RU3" s="1780"/>
      <c r="RV3" s="1780"/>
      <c r="RW3" s="1780"/>
      <c r="RX3" s="1780"/>
      <c r="RY3" s="1780"/>
      <c r="RZ3" s="1780"/>
      <c r="SA3" s="1780"/>
      <c r="SB3" s="1780"/>
      <c r="SC3" s="1780"/>
      <c r="SD3" s="1780"/>
      <c r="SE3" s="1780"/>
      <c r="SF3" s="1780"/>
      <c r="SG3" s="1780"/>
      <c r="SH3" s="1780"/>
      <c r="SI3" s="1780"/>
      <c r="SJ3" s="1780"/>
      <c r="SK3" s="1780"/>
      <c r="SL3" s="1780"/>
      <c r="SM3" s="1780"/>
      <c r="SN3" s="1780"/>
      <c r="SO3" s="1780"/>
      <c r="SP3" s="1780"/>
      <c r="SQ3" s="1780"/>
      <c r="SR3" s="1780"/>
      <c r="SS3" s="1780"/>
      <c r="ST3" s="1780"/>
      <c r="SU3" s="1789" t="s">
        <v>212</v>
      </c>
      <c r="SV3" s="1790"/>
      <c r="SW3" s="1790"/>
      <c r="SX3" s="1790"/>
      <c r="SY3" s="1791"/>
      <c r="SZ3" s="1791"/>
      <c r="TA3" s="1791"/>
      <c r="TB3" s="1791"/>
      <c r="TC3" s="1791"/>
      <c r="TD3" s="1791"/>
      <c r="TE3" s="1791"/>
      <c r="TF3" s="1791"/>
      <c r="TG3" s="1791"/>
      <c r="TH3" s="1791"/>
      <c r="TI3" s="1791"/>
      <c r="TJ3" s="1791"/>
      <c r="TK3" s="1791"/>
      <c r="TL3" s="1791"/>
      <c r="TM3" s="1791"/>
      <c r="TN3" s="1791"/>
      <c r="TO3" s="1791"/>
      <c r="TP3" s="1791"/>
      <c r="TQ3" s="1791"/>
      <c r="TR3" s="1791"/>
      <c r="TS3" s="1791"/>
      <c r="TT3" s="1791"/>
      <c r="TU3" s="1791"/>
      <c r="TV3" s="1791"/>
      <c r="TW3" s="1791"/>
      <c r="TX3" s="1791"/>
      <c r="TY3" s="1791"/>
      <c r="TZ3" s="1791"/>
      <c r="UA3" s="1778" t="s">
        <v>213</v>
      </c>
      <c r="UB3" s="1779"/>
      <c r="UC3" s="1779"/>
      <c r="UD3" s="1779"/>
      <c r="UE3" s="1780"/>
      <c r="UF3" s="1780"/>
      <c r="UG3" s="1780"/>
      <c r="UH3" s="1780"/>
      <c r="UI3" s="1780"/>
      <c r="UJ3" s="1780"/>
      <c r="UK3" s="1780"/>
      <c r="UL3" s="1780"/>
      <c r="UM3" s="1780"/>
      <c r="UN3" s="1780"/>
      <c r="UO3" s="1780"/>
      <c r="UP3" s="1780"/>
      <c r="UQ3" s="1780"/>
      <c r="UR3" s="1780"/>
      <c r="US3" s="1780"/>
      <c r="UT3" s="1780"/>
      <c r="UU3" s="1780"/>
      <c r="UV3" s="1780"/>
      <c r="UW3" s="1780"/>
      <c r="UX3" s="1780"/>
      <c r="UY3" s="1780"/>
      <c r="UZ3" s="1780"/>
      <c r="VA3" s="1780"/>
      <c r="VB3" s="1780"/>
      <c r="VC3" s="1780"/>
      <c r="VD3" s="1780"/>
      <c r="VE3" s="1780"/>
      <c r="VF3" s="1780"/>
      <c r="VG3" s="1797" t="s">
        <v>214</v>
      </c>
      <c r="VH3" s="1798"/>
      <c r="VI3" s="1798"/>
      <c r="VJ3" s="1798"/>
      <c r="VK3" s="1798"/>
      <c r="VL3" s="1798"/>
      <c r="VM3" s="1798"/>
      <c r="VN3" s="1798"/>
      <c r="VO3" s="1798"/>
      <c r="VP3" s="1798"/>
      <c r="VQ3" s="1798"/>
      <c r="VR3" s="1798"/>
      <c r="VS3" s="1798"/>
      <c r="VT3" s="1798"/>
      <c r="VU3" s="1798"/>
      <c r="VV3" s="1798"/>
      <c r="VW3" s="1798"/>
      <c r="VX3" s="1798"/>
      <c r="VY3" s="1798"/>
      <c r="VZ3" s="1798"/>
      <c r="WA3" s="1798"/>
      <c r="WB3" s="1798"/>
      <c r="WC3" s="1798"/>
      <c r="WD3" s="1798"/>
      <c r="WE3" s="1798"/>
      <c r="WF3" s="1798"/>
      <c r="WG3" s="1798"/>
      <c r="WH3" s="1798"/>
      <c r="WI3" s="1798"/>
      <c r="WJ3" s="1798"/>
      <c r="WK3" s="1798"/>
      <c r="WL3" s="1799"/>
      <c r="WM3" s="1790" t="s">
        <v>215</v>
      </c>
      <c r="WN3" s="1790"/>
      <c r="WO3" s="1790"/>
      <c r="WP3" s="1790"/>
      <c r="WQ3" s="1791"/>
      <c r="WR3" s="1791"/>
      <c r="WS3" s="1791"/>
      <c r="WT3" s="1791"/>
      <c r="WU3" s="1791"/>
      <c r="WV3" s="1791"/>
      <c r="WW3" s="1791"/>
      <c r="WX3" s="1791"/>
      <c r="WY3" s="1791"/>
      <c r="WZ3" s="1791"/>
      <c r="XA3" s="1791"/>
      <c r="XB3" s="1791"/>
      <c r="XC3" s="1791"/>
      <c r="XD3" s="1791"/>
      <c r="XE3" s="1791"/>
      <c r="XF3" s="1791"/>
      <c r="XG3" s="1791"/>
      <c r="XH3" s="1791"/>
      <c r="XI3" s="1791"/>
      <c r="XJ3" s="1791"/>
      <c r="XK3" s="1791"/>
      <c r="XL3" s="1791"/>
      <c r="XM3" s="1791"/>
      <c r="XN3" s="1791"/>
      <c r="XO3" s="1791"/>
      <c r="XP3" s="1791"/>
      <c r="XQ3" s="1791"/>
      <c r="XR3" s="1791"/>
      <c r="XS3" s="1778" t="s">
        <v>216</v>
      </c>
      <c r="XT3" s="1779"/>
      <c r="XU3" s="1779"/>
      <c r="XV3" s="1779"/>
      <c r="XW3" s="1780"/>
      <c r="XX3" s="1780"/>
      <c r="XY3" s="1780"/>
      <c r="XZ3" s="1780"/>
      <c r="YA3" s="1780"/>
      <c r="YB3" s="1780"/>
      <c r="YC3" s="1780"/>
      <c r="YD3" s="1780"/>
      <c r="YE3" s="1780"/>
      <c r="YF3" s="1780"/>
      <c r="YG3" s="1780"/>
      <c r="YH3" s="1780"/>
      <c r="YI3" s="1780"/>
      <c r="YJ3" s="1780"/>
      <c r="YK3" s="1780"/>
      <c r="YL3" s="1780"/>
      <c r="YM3" s="1780"/>
      <c r="YN3" s="1780"/>
      <c r="YO3" s="1780"/>
      <c r="YP3" s="1780"/>
      <c r="YQ3" s="1780"/>
      <c r="YR3" s="1780"/>
      <c r="YS3" s="1780"/>
      <c r="YT3" s="1780"/>
      <c r="YU3" s="1780"/>
      <c r="YV3" s="1780"/>
      <c r="YW3" s="1780"/>
      <c r="YX3" s="1780"/>
      <c r="YY3" s="1789" t="s">
        <v>217</v>
      </c>
      <c r="YZ3" s="1790"/>
      <c r="ZA3" s="1790"/>
      <c r="ZB3" s="1790"/>
      <c r="ZC3" s="1791"/>
      <c r="ZD3" s="1791"/>
      <c r="ZE3" s="1791"/>
      <c r="ZF3" s="1791"/>
      <c r="ZG3" s="1791"/>
      <c r="ZH3" s="1791"/>
      <c r="ZI3" s="1791"/>
      <c r="ZJ3" s="1791"/>
      <c r="ZK3" s="1791"/>
      <c r="ZL3" s="1791"/>
      <c r="ZM3" s="1791"/>
      <c r="ZN3" s="1791"/>
      <c r="ZO3" s="1791"/>
      <c r="ZP3" s="1791"/>
      <c r="ZQ3" s="1791"/>
      <c r="ZR3" s="1791"/>
      <c r="ZS3" s="1791"/>
      <c r="ZT3" s="1791"/>
      <c r="ZU3" s="1791"/>
      <c r="ZV3" s="1791"/>
      <c r="ZW3" s="1791"/>
      <c r="ZX3" s="1791"/>
      <c r="ZY3" s="1791"/>
      <c r="ZZ3" s="1791"/>
      <c r="AAA3" s="1791"/>
      <c r="AAB3" s="1791"/>
      <c r="AAC3" s="1791"/>
      <c r="AAD3" s="1791"/>
      <c r="AAE3" s="1797" t="s">
        <v>218</v>
      </c>
      <c r="AAF3" s="1798"/>
      <c r="AAG3" s="1798"/>
      <c r="AAH3" s="1798"/>
      <c r="AAI3" s="1798"/>
      <c r="AAJ3" s="1798"/>
      <c r="AAK3" s="1798"/>
      <c r="AAL3" s="1798"/>
      <c r="AAM3" s="1798"/>
      <c r="AAN3" s="1798"/>
      <c r="AAO3" s="1798"/>
      <c r="AAP3" s="1798"/>
      <c r="AAQ3" s="1798"/>
      <c r="AAR3" s="1798"/>
      <c r="AAS3" s="1798"/>
      <c r="AAT3" s="1798"/>
      <c r="AAU3" s="1798"/>
      <c r="AAV3" s="1798"/>
      <c r="AAW3" s="1798"/>
      <c r="AAX3" s="1798"/>
      <c r="AAY3" s="1798"/>
      <c r="AAZ3" s="1798"/>
      <c r="ABA3" s="1798"/>
      <c r="ABB3" s="1798"/>
      <c r="ABC3" s="1798"/>
      <c r="ABD3" s="1798"/>
      <c r="ABE3" s="1798"/>
      <c r="ABF3" s="1798"/>
      <c r="ABG3" s="1798"/>
      <c r="ABH3" s="1798"/>
      <c r="ABI3" s="1798"/>
      <c r="ABJ3" s="1799"/>
      <c r="ABK3" s="1790" t="s">
        <v>219</v>
      </c>
      <c r="ABL3" s="1790"/>
      <c r="ABM3" s="1790"/>
      <c r="ABN3" s="1790"/>
      <c r="ABO3" s="1791"/>
      <c r="ABP3" s="1791"/>
      <c r="ABQ3" s="1791"/>
      <c r="ABR3" s="1791"/>
      <c r="ABS3" s="1791"/>
      <c r="ABT3" s="1791"/>
      <c r="ABU3" s="1791"/>
      <c r="ABV3" s="1791"/>
      <c r="ABW3" s="1791"/>
      <c r="ABX3" s="1791"/>
      <c r="ABY3" s="1791"/>
      <c r="ABZ3" s="1791"/>
      <c r="ACA3" s="1791"/>
      <c r="ACB3" s="1791"/>
      <c r="ACC3" s="1791"/>
      <c r="ACD3" s="1791"/>
      <c r="ACE3" s="1791"/>
      <c r="ACF3" s="1791"/>
      <c r="ACG3" s="1791"/>
      <c r="ACH3" s="1791"/>
      <c r="ACI3" s="1791"/>
      <c r="ACJ3" s="1791"/>
      <c r="ACK3" s="1791"/>
      <c r="ACL3" s="1791"/>
      <c r="ACM3" s="1791"/>
      <c r="ACN3" s="1791"/>
      <c r="ACO3" s="1791"/>
      <c r="ACP3" s="1791"/>
      <c r="ACQ3" s="1778" t="s">
        <v>220</v>
      </c>
      <c r="ACR3" s="1779"/>
      <c r="ACS3" s="1779"/>
      <c r="ACT3" s="1779"/>
      <c r="ACU3" s="1780"/>
      <c r="ACV3" s="1780"/>
      <c r="ACW3" s="1780"/>
      <c r="ACX3" s="1780"/>
      <c r="ACY3" s="1780"/>
      <c r="ACZ3" s="1780"/>
      <c r="ADA3" s="1780"/>
      <c r="ADB3" s="1780"/>
      <c r="ADC3" s="1780"/>
      <c r="ADD3" s="1780"/>
      <c r="ADE3" s="1780"/>
      <c r="ADF3" s="1780"/>
      <c r="ADG3" s="1780"/>
      <c r="ADH3" s="1780"/>
      <c r="ADI3" s="1780"/>
      <c r="ADJ3" s="1780"/>
      <c r="ADK3" s="1780"/>
      <c r="ADL3" s="1780"/>
      <c r="ADM3" s="1780"/>
      <c r="ADN3" s="1780"/>
      <c r="ADO3" s="1780"/>
      <c r="ADP3" s="1780"/>
      <c r="ADQ3" s="1780"/>
      <c r="ADR3" s="1780"/>
      <c r="ADS3" s="1780"/>
      <c r="ADT3" s="1780"/>
      <c r="ADU3" s="1780"/>
      <c r="ADV3" s="1780"/>
      <c r="ADW3" s="1789" t="s">
        <v>221</v>
      </c>
      <c r="ADX3" s="1790"/>
      <c r="ADY3" s="1790"/>
      <c r="ADZ3" s="1790"/>
      <c r="AEA3" s="1791"/>
      <c r="AEB3" s="1791"/>
      <c r="AEC3" s="1791"/>
      <c r="AED3" s="1791"/>
      <c r="AEE3" s="1791"/>
      <c r="AEF3" s="1791"/>
      <c r="AEG3" s="1791"/>
      <c r="AEH3" s="1791"/>
      <c r="AEI3" s="1791"/>
      <c r="AEJ3" s="1791"/>
      <c r="AEK3" s="1791"/>
      <c r="AEL3" s="1791"/>
      <c r="AEM3" s="1791"/>
      <c r="AEN3" s="1791"/>
      <c r="AEO3" s="1791"/>
      <c r="AEP3" s="1791"/>
      <c r="AEQ3" s="1791"/>
      <c r="AER3" s="1791"/>
      <c r="AES3" s="1791"/>
      <c r="AET3" s="1791"/>
      <c r="AEU3" s="1791"/>
      <c r="AEV3" s="1791"/>
      <c r="AEW3" s="1791"/>
      <c r="AEX3" s="1791"/>
      <c r="AEY3" s="1791"/>
      <c r="AEZ3" s="1791"/>
      <c r="AFA3" s="1791"/>
      <c r="AFB3" s="1791"/>
      <c r="AFC3" s="1778" t="s">
        <v>222</v>
      </c>
      <c r="AFD3" s="1779"/>
      <c r="AFE3" s="1779"/>
      <c r="AFF3" s="1779"/>
      <c r="AFG3" s="1780"/>
      <c r="AFH3" s="1780"/>
      <c r="AFI3" s="1780"/>
      <c r="AFJ3" s="1780"/>
      <c r="AFK3" s="1780"/>
      <c r="AFL3" s="1780"/>
      <c r="AFM3" s="1780"/>
      <c r="AFN3" s="1780"/>
      <c r="AFO3" s="1780"/>
      <c r="AFP3" s="1780"/>
      <c r="AFQ3" s="1780"/>
      <c r="AFR3" s="1780"/>
      <c r="AFS3" s="1780"/>
      <c r="AFT3" s="1780"/>
      <c r="AFU3" s="1780"/>
      <c r="AFV3" s="1780"/>
      <c r="AFW3" s="1780"/>
      <c r="AFX3" s="1780"/>
      <c r="AFY3" s="1780"/>
      <c r="AFZ3" s="1780"/>
      <c r="AGA3" s="1780"/>
      <c r="AGB3" s="1780"/>
      <c r="AGC3" s="1780"/>
      <c r="AGD3" s="1780"/>
      <c r="AGE3" s="1780"/>
      <c r="AGF3" s="1780"/>
      <c r="AGG3" s="1780"/>
      <c r="AGH3" s="1780"/>
      <c r="AGI3" s="1789" t="s">
        <v>223</v>
      </c>
      <c r="AGJ3" s="1790"/>
      <c r="AGK3" s="1790"/>
      <c r="AGL3" s="1790"/>
      <c r="AGM3" s="1791"/>
      <c r="AGN3" s="1791"/>
      <c r="AGO3" s="1791"/>
      <c r="AGP3" s="1791"/>
      <c r="AGQ3" s="1791"/>
      <c r="AGR3" s="1791"/>
      <c r="AGS3" s="1791"/>
      <c r="AGT3" s="1791"/>
      <c r="AGU3" s="1791"/>
      <c r="AGV3" s="1791"/>
      <c r="AGW3" s="1791"/>
      <c r="AGX3" s="1791"/>
      <c r="AGY3" s="1791"/>
      <c r="AGZ3" s="1791"/>
      <c r="AHA3" s="1791"/>
      <c r="AHB3" s="1791"/>
      <c r="AHC3" s="1791"/>
      <c r="AHD3" s="1791"/>
      <c r="AHE3" s="1791"/>
      <c r="AHF3" s="1791"/>
      <c r="AHG3" s="1791"/>
      <c r="AHH3" s="1791"/>
      <c r="AHI3" s="1791"/>
      <c r="AHJ3" s="1791"/>
      <c r="AHK3" s="1791"/>
      <c r="AHL3" s="1791"/>
      <c r="AHM3" s="1791"/>
      <c r="AHN3" s="1791"/>
      <c r="AHO3" s="1778" t="s">
        <v>224</v>
      </c>
      <c r="AHP3" s="1779"/>
      <c r="AHQ3" s="1779"/>
      <c r="AHR3" s="1779"/>
      <c r="AHS3" s="1780"/>
      <c r="AHT3" s="1780"/>
      <c r="AHU3" s="1780"/>
      <c r="AHV3" s="1780"/>
      <c r="AHW3" s="1780"/>
      <c r="AHX3" s="1780"/>
      <c r="AHY3" s="1780"/>
      <c r="AHZ3" s="1780"/>
      <c r="AIA3" s="1780"/>
      <c r="AIB3" s="1780"/>
      <c r="AIC3" s="1780"/>
      <c r="AID3" s="1780"/>
      <c r="AIE3" s="1780"/>
      <c r="AIF3" s="1780"/>
      <c r="AIG3" s="1780"/>
      <c r="AIH3" s="1780"/>
      <c r="AII3" s="1780"/>
      <c r="AIJ3" s="1780"/>
      <c r="AIK3" s="1780"/>
      <c r="AIL3" s="1780"/>
      <c r="AIM3" s="1780"/>
      <c r="AIN3" s="1780"/>
      <c r="AIO3" s="1780"/>
      <c r="AIP3" s="1780"/>
      <c r="AIQ3" s="1780"/>
      <c r="AIR3" s="1780"/>
      <c r="AIS3" s="1780"/>
      <c r="AIT3" s="1780"/>
      <c r="AIU3" s="1789" t="s">
        <v>225</v>
      </c>
      <c r="AIV3" s="1790"/>
      <c r="AIW3" s="1790"/>
      <c r="AIX3" s="1790"/>
      <c r="AIY3" s="1791"/>
      <c r="AIZ3" s="1791"/>
      <c r="AJA3" s="1791"/>
      <c r="AJB3" s="1791"/>
      <c r="AJC3" s="1791"/>
      <c r="AJD3" s="1791"/>
      <c r="AJE3" s="1791"/>
      <c r="AJF3" s="1791"/>
      <c r="AJG3" s="1791"/>
      <c r="AJH3" s="1791"/>
      <c r="AJI3" s="1791"/>
      <c r="AJJ3" s="1791"/>
      <c r="AJK3" s="1791"/>
      <c r="AJL3" s="1791"/>
      <c r="AJM3" s="1791"/>
      <c r="AJN3" s="1791"/>
      <c r="AJO3" s="1791"/>
      <c r="AJP3" s="1791"/>
      <c r="AJQ3" s="1791"/>
      <c r="AJR3" s="1791"/>
      <c r="AJS3" s="1791"/>
      <c r="AJT3" s="1791"/>
      <c r="AJU3" s="1791"/>
      <c r="AJV3" s="1791"/>
      <c r="AJW3" s="1791"/>
      <c r="AJX3" s="1791"/>
      <c r="AJY3" s="1791"/>
      <c r="AJZ3" s="1791"/>
      <c r="AKA3" s="1778" t="s">
        <v>226</v>
      </c>
      <c r="AKB3" s="1779"/>
      <c r="AKC3" s="1779"/>
      <c r="AKD3" s="1779"/>
      <c r="AKE3" s="1780"/>
      <c r="AKF3" s="1780"/>
      <c r="AKG3" s="1780"/>
      <c r="AKH3" s="1780"/>
      <c r="AKI3" s="1780"/>
      <c r="AKJ3" s="1780"/>
      <c r="AKK3" s="1780"/>
      <c r="AKL3" s="1780"/>
      <c r="AKM3" s="1780"/>
      <c r="AKN3" s="1780"/>
      <c r="AKO3" s="1780"/>
      <c r="AKP3" s="1780"/>
      <c r="AKQ3" s="1780"/>
      <c r="AKR3" s="1780"/>
      <c r="AKS3" s="1780"/>
      <c r="AKT3" s="1780"/>
      <c r="AKU3" s="1780"/>
      <c r="AKV3" s="1780"/>
      <c r="AKW3" s="1780"/>
      <c r="AKX3" s="1780"/>
      <c r="AKY3" s="1780"/>
      <c r="AKZ3" s="1780"/>
      <c r="ALA3" s="1780"/>
      <c r="ALB3" s="1780"/>
      <c r="ALC3" s="1780"/>
      <c r="ALD3" s="1780"/>
      <c r="ALE3" s="1780"/>
      <c r="ALF3" s="1780"/>
    </row>
    <row r="4" spans="2:994" ht="15.75" customHeight="1">
      <c r="B4" s="55"/>
      <c r="C4" s="1781" t="s">
        <v>453</v>
      </c>
      <c r="D4" s="1782"/>
      <c r="E4" s="1782"/>
      <c r="F4" s="720">
        <v>0.12</v>
      </c>
      <c r="G4" s="1781" t="s">
        <v>454</v>
      </c>
      <c r="H4" s="1782"/>
      <c r="I4" s="1782"/>
      <c r="J4" s="720">
        <v>0.12</v>
      </c>
      <c r="K4" s="1781" t="s">
        <v>455</v>
      </c>
      <c r="L4" s="1782"/>
      <c r="M4" s="1782"/>
      <c r="N4" s="720">
        <v>0.12</v>
      </c>
      <c r="O4" s="1781" t="s">
        <v>456</v>
      </c>
      <c r="P4" s="1782"/>
      <c r="Q4" s="1782"/>
      <c r="R4" s="720">
        <v>0.12</v>
      </c>
      <c r="S4" s="1781" t="s">
        <v>457</v>
      </c>
      <c r="T4" s="1782"/>
      <c r="U4" s="1782"/>
      <c r="V4" s="720">
        <v>0.14000000000000001</v>
      </c>
      <c r="W4" s="1781" t="s">
        <v>458</v>
      </c>
      <c r="X4" s="1782"/>
      <c r="Y4" s="1782"/>
      <c r="Z4" s="720">
        <v>0.16</v>
      </c>
      <c r="AA4" s="1781" t="s">
        <v>459</v>
      </c>
      <c r="AB4" s="1782"/>
      <c r="AC4" s="1782"/>
      <c r="AD4" s="720">
        <v>0.22</v>
      </c>
      <c r="AE4" s="744" t="s">
        <v>460</v>
      </c>
      <c r="AF4" s="1783" t="s">
        <v>461</v>
      </c>
      <c r="AG4" s="738" t="s">
        <v>462</v>
      </c>
      <c r="AH4" s="741" t="s">
        <v>463</v>
      </c>
      <c r="AI4" s="1781" t="s">
        <v>453</v>
      </c>
      <c r="AJ4" s="1782"/>
      <c r="AK4" s="1782"/>
      <c r="AL4" s="720">
        <v>0.12</v>
      </c>
      <c r="AM4" s="1781" t="s">
        <v>454</v>
      </c>
      <c r="AN4" s="1782"/>
      <c r="AO4" s="1782"/>
      <c r="AP4" s="720">
        <v>0.12</v>
      </c>
      <c r="AQ4" s="1781" t="s">
        <v>455</v>
      </c>
      <c r="AR4" s="1782"/>
      <c r="AS4" s="1782"/>
      <c r="AT4" s="720">
        <v>0.12</v>
      </c>
      <c r="AU4" s="1781" t="s">
        <v>456</v>
      </c>
      <c r="AV4" s="1782"/>
      <c r="AW4" s="1782"/>
      <c r="AX4" s="720">
        <v>0.12</v>
      </c>
      <c r="AY4" s="1781" t="s">
        <v>457</v>
      </c>
      <c r="AZ4" s="1782"/>
      <c r="BA4" s="1782"/>
      <c r="BB4" s="720">
        <v>0.14000000000000001</v>
      </c>
      <c r="BC4" s="1781" t="s">
        <v>458</v>
      </c>
      <c r="BD4" s="1782"/>
      <c r="BE4" s="1782"/>
      <c r="BF4" s="720">
        <v>0.16</v>
      </c>
      <c r="BG4" s="1781" t="s">
        <v>459</v>
      </c>
      <c r="BH4" s="1782"/>
      <c r="BI4" s="1782"/>
      <c r="BJ4" s="720">
        <v>0.22</v>
      </c>
      <c r="BK4" s="747" t="s">
        <v>460</v>
      </c>
      <c r="BL4" s="1792" t="s">
        <v>461</v>
      </c>
      <c r="BM4" s="750" t="s">
        <v>462</v>
      </c>
      <c r="BN4" s="753" t="s">
        <v>463</v>
      </c>
      <c r="BO4" s="1781" t="s">
        <v>453</v>
      </c>
      <c r="BP4" s="1782"/>
      <c r="BQ4" s="1782"/>
      <c r="BR4" s="720">
        <v>0.12</v>
      </c>
      <c r="BS4" s="1781" t="s">
        <v>454</v>
      </c>
      <c r="BT4" s="1782"/>
      <c r="BU4" s="1782"/>
      <c r="BV4" s="720">
        <v>0.12</v>
      </c>
      <c r="BW4" s="1781" t="s">
        <v>455</v>
      </c>
      <c r="BX4" s="1782"/>
      <c r="BY4" s="1782"/>
      <c r="BZ4" s="720">
        <v>0.12</v>
      </c>
      <c r="CA4" s="1781" t="s">
        <v>456</v>
      </c>
      <c r="CB4" s="1782"/>
      <c r="CC4" s="1782"/>
      <c r="CD4" s="720">
        <v>0.12</v>
      </c>
      <c r="CE4" s="1781" t="s">
        <v>457</v>
      </c>
      <c r="CF4" s="1782"/>
      <c r="CG4" s="1782"/>
      <c r="CH4" s="720">
        <v>0.14000000000000001</v>
      </c>
      <c r="CI4" s="1781" t="s">
        <v>458</v>
      </c>
      <c r="CJ4" s="1782"/>
      <c r="CK4" s="1782"/>
      <c r="CL4" s="720">
        <v>0.16</v>
      </c>
      <c r="CM4" s="1781" t="s">
        <v>459</v>
      </c>
      <c r="CN4" s="1782"/>
      <c r="CO4" s="1782"/>
      <c r="CP4" s="720">
        <v>0.22</v>
      </c>
      <c r="CQ4" s="744" t="s">
        <v>460</v>
      </c>
      <c r="CR4" s="1785" t="s">
        <v>461</v>
      </c>
      <c r="CS4" s="738" t="s">
        <v>462</v>
      </c>
      <c r="CT4" s="741" t="s">
        <v>463</v>
      </c>
      <c r="CU4" s="1781" t="s">
        <v>453</v>
      </c>
      <c r="CV4" s="1782"/>
      <c r="CW4" s="1782"/>
      <c r="CX4" s="720">
        <v>0.12</v>
      </c>
      <c r="CY4" s="1781" t="s">
        <v>454</v>
      </c>
      <c r="CZ4" s="1782"/>
      <c r="DA4" s="1782"/>
      <c r="DB4" s="720">
        <v>0.12</v>
      </c>
      <c r="DC4" s="1781" t="s">
        <v>455</v>
      </c>
      <c r="DD4" s="1782"/>
      <c r="DE4" s="1782"/>
      <c r="DF4" s="720">
        <v>0.12</v>
      </c>
      <c r="DG4" s="1781" t="s">
        <v>456</v>
      </c>
      <c r="DH4" s="1782"/>
      <c r="DI4" s="1782"/>
      <c r="DJ4" s="720">
        <v>0.12</v>
      </c>
      <c r="DK4" s="1781" t="s">
        <v>457</v>
      </c>
      <c r="DL4" s="1782"/>
      <c r="DM4" s="1782"/>
      <c r="DN4" s="720">
        <v>0.14000000000000001</v>
      </c>
      <c r="DO4" s="1781" t="s">
        <v>458</v>
      </c>
      <c r="DP4" s="1782"/>
      <c r="DQ4" s="1782"/>
      <c r="DR4" s="720">
        <v>0.16</v>
      </c>
      <c r="DS4" s="1781" t="s">
        <v>459</v>
      </c>
      <c r="DT4" s="1782"/>
      <c r="DU4" s="1782"/>
      <c r="DV4" s="720">
        <v>0.22</v>
      </c>
      <c r="DW4" s="747" t="s">
        <v>460</v>
      </c>
      <c r="DX4" s="1787" t="s">
        <v>461</v>
      </c>
      <c r="DY4" s="750" t="s">
        <v>462</v>
      </c>
      <c r="DZ4" s="753" t="s">
        <v>463</v>
      </c>
      <c r="EA4" s="1781" t="s">
        <v>453</v>
      </c>
      <c r="EB4" s="1782"/>
      <c r="EC4" s="1782"/>
      <c r="ED4" s="720">
        <v>0.12</v>
      </c>
      <c r="EE4" s="1781" t="s">
        <v>454</v>
      </c>
      <c r="EF4" s="1782"/>
      <c r="EG4" s="1782"/>
      <c r="EH4" s="720">
        <v>0.12</v>
      </c>
      <c r="EI4" s="1781" t="s">
        <v>455</v>
      </c>
      <c r="EJ4" s="1782"/>
      <c r="EK4" s="1782"/>
      <c r="EL4" s="720">
        <v>0.12</v>
      </c>
      <c r="EM4" s="1781" t="s">
        <v>456</v>
      </c>
      <c r="EN4" s="1782"/>
      <c r="EO4" s="1782"/>
      <c r="EP4" s="720">
        <v>0.12</v>
      </c>
      <c r="EQ4" s="1781" t="s">
        <v>457</v>
      </c>
      <c r="ER4" s="1782"/>
      <c r="ES4" s="1782"/>
      <c r="ET4" s="720">
        <v>0.14000000000000001</v>
      </c>
      <c r="EU4" s="1781" t="s">
        <v>458</v>
      </c>
      <c r="EV4" s="1782"/>
      <c r="EW4" s="1782"/>
      <c r="EX4" s="720">
        <v>0.16</v>
      </c>
      <c r="EY4" s="1781" t="s">
        <v>459</v>
      </c>
      <c r="EZ4" s="1782"/>
      <c r="FA4" s="1782"/>
      <c r="FB4" s="720">
        <v>0.22</v>
      </c>
      <c r="FC4" s="744" t="s">
        <v>460</v>
      </c>
      <c r="FD4" s="1785" t="s">
        <v>461</v>
      </c>
      <c r="FE4" s="738" t="s">
        <v>462</v>
      </c>
      <c r="FF4" s="741" t="s">
        <v>463</v>
      </c>
      <c r="FG4" s="1800" t="s">
        <v>453</v>
      </c>
      <c r="FH4" s="1801"/>
      <c r="FI4" s="1801"/>
      <c r="FJ4" s="775">
        <v>0.12</v>
      </c>
      <c r="FK4" s="1800" t="s">
        <v>454</v>
      </c>
      <c r="FL4" s="1801"/>
      <c r="FM4" s="1801"/>
      <c r="FN4" s="775">
        <v>0.12</v>
      </c>
      <c r="FO4" s="1800" t="s">
        <v>455</v>
      </c>
      <c r="FP4" s="1801"/>
      <c r="FQ4" s="1801"/>
      <c r="FR4" s="775">
        <v>0.12</v>
      </c>
      <c r="FS4" s="1800" t="s">
        <v>456</v>
      </c>
      <c r="FT4" s="1801"/>
      <c r="FU4" s="1801"/>
      <c r="FV4" s="775">
        <v>0.12</v>
      </c>
      <c r="FW4" s="1800" t="s">
        <v>457</v>
      </c>
      <c r="FX4" s="1801"/>
      <c r="FY4" s="1801"/>
      <c r="FZ4" s="775">
        <v>0.14000000000000001</v>
      </c>
      <c r="GA4" s="1800" t="s">
        <v>458</v>
      </c>
      <c r="GB4" s="1801"/>
      <c r="GC4" s="1801"/>
      <c r="GD4" s="775">
        <v>0.16</v>
      </c>
      <c r="GE4" s="1800" t="s">
        <v>459</v>
      </c>
      <c r="GF4" s="1801"/>
      <c r="GG4" s="1801"/>
      <c r="GH4" s="775">
        <v>0.22</v>
      </c>
      <c r="GI4" s="745" t="s">
        <v>460</v>
      </c>
      <c r="GJ4" s="1784" t="s">
        <v>461</v>
      </c>
      <c r="GK4" s="739" t="s">
        <v>462</v>
      </c>
      <c r="GL4" s="742" t="s">
        <v>463</v>
      </c>
      <c r="GM4" s="1795" t="s">
        <v>453</v>
      </c>
      <c r="GN4" s="1796"/>
      <c r="GO4" s="1796"/>
      <c r="GP4" s="774">
        <v>0.12</v>
      </c>
      <c r="GQ4" s="1795" t="s">
        <v>454</v>
      </c>
      <c r="GR4" s="1796"/>
      <c r="GS4" s="1796"/>
      <c r="GT4" s="774">
        <v>0.12</v>
      </c>
      <c r="GU4" s="1795" t="s">
        <v>455</v>
      </c>
      <c r="GV4" s="1796"/>
      <c r="GW4" s="1796"/>
      <c r="GX4" s="774">
        <v>0.12</v>
      </c>
      <c r="GY4" s="1795" t="s">
        <v>456</v>
      </c>
      <c r="GZ4" s="1796"/>
      <c r="HA4" s="1796"/>
      <c r="HB4" s="774">
        <v>0.12</v>
      </c>
      <c r="HC4" s="1795" t="s">
        <v>457</v>
      </c>
      <c r="HD4" s="1796"/>
      <c r="HE4" s="1796"/>
      <c r="HF4" s="774">
        <v>0.14000000000000001</v>
      </c>
      <c r="HG4" s="1795" t="s">
        <v>458</v>
      </c>
      <c r="HH4" s="1796"/>
      <c r="HI4" s="1796"/>
      <c r="HJ4" s="774">
        <v>0.16</v>
      </c>
      <c r="HK4" s="1795" t="s">
        <v>459</v>
      </c>
      <c r="HL4" s="1796"/>
      <c r="HM4" s="1796"/>
      <c r="HN4" s="774">
        <v>0.22</v>
      </c>
      <c r="HO4" s="747" t="s">
        <v>460</v>
      </c>
      <c r="HP4" s="1802" t="s">
        <v>461</v>
      </c>
      <c r="HQ4" s="750" t="s">
        <v>462</v>
      </c>
      <c r="HR4" s="753" t="s">
        <v>463</v>
      </c>
      <c r="HS4" s="1795" t="s">
        <v>453</v>
      </c>
      <c r="HT4" s="1796"/>
      <c r="HU4" s="1796"/>
      <c r="HV4" s="774">
        <v>0.12</v>
      </c>
      <c r="HW4" s="1795" t="s">
        <v>454</v>
      </c>
      <c r="HX4" s="1796"/>
      <c r="HY4" s="1796"/>
      <c r="HZ4" s="774">
        <v>0.12</v>
      </c>
      <c r="IA4" s="1795" t="s">
        <v>455</v>
      </c>
      <c r="IB4" s="1796"/>
      <c r="IC4" s="1796"/>
      <c r="ID4" s="774">
        <v>0.12</v>
      </c>
      <c r="IE4" s="1795" t="s">
        <v>456</v>
      </c>
      <c r="IF4" s="1796"/>
      <c r="IG4" s="1796"/>
      <c r="IH4" s="774">
        <v>0.12</v>
      </c>
      <c r="II4" s="1795" t="s">
        <v>457</v>
      </c>
      <c r="IJ4" s="1796"/>
      <c r="IK4" s="1796"/>
      <c r="IL4" s="774">
        <v>0.14000000000000001</v>
      </c>
      <c r="IM4" s="1795" t="s">
        <v>458</v>
      </c>
      <c r="IN4" s="1796"/>
      <c r="IO4" s="1796"/>
      <c r="IP4" s="774">
        <v>0.16</v>
      </c>
      <c r="IQ4" s="1795" t="s">
        <v>459</v>
      </c>
      <c r="IR4" s="1796"/>
      <c r="IS4" s="1796"/>
      <c r="IT4" s="774">
        <v>0.22</v>
      </c>
      <c r="IU4" s="744" t="s">
        <v>460</v>
      </c>
      <c r="IV4" s="1783" t="s">
        <v>461</v>
      </c>
      <c r="IW4" s="738" t="s">
        <v>462</v>
      </c>
      <c r="IX4" s="741" t="s">
        <v>463</v>
      </c>
      <c r="IY4" s="1795" t="s">
        <v>453</v>
      </c>
      <c r="IZ4" s="1796"/>
      <c r="JA4" s="1796"/>
      <c r="JB4" s="774">
        <v>0.12</v>
      </c>
      <c r="JC4" s="1795" t="s">
        <v>454</v>
      </c>
      <c r="JD4" s="1796"/>
      <c r="JE4" s="1796"/>
      <c r="JF4" s="774">
        <v>0.12</v>
      </c>
      <c r="JG4" s="1795" t="s">
        <v>455</v>
      </c>
      <c r="JH4" s="1796"/>
      <c r="JI4" s="1796"/>
      <c r="JJ4" s="774">
        <v>0.12</v>
      </c>
      <c r="JK4" s="1795" t="s">
        <v>456</v>
      </c>
      <c r="JL4" s="1796"/>
      <c r="JM4" s="1796"/>
      <c r="JN4" s="774">
        <v>0.12</v>
      </c>
      <c r="JO4" s="1795" t="s">
        <v>457</v>
      </c>
      <c r="JP4" s="1796"/>
      <c r="JQ4" s="1796"/>
      <c r="JR4" s="774">
        <v>0.14000000000000001</v>
      </c>
      <c r="JS4" s="1795" t="s">
        <v>458</v>
      </c>
      <c r="JT4" s="1796"/>
      <c r="JU4" s="1796"/>
      <c r="JV4" s="774">
        <v>0.16</v>
      </c>
      <c r="JW4" s="1795" t="s">
        <v>459</v>
      </c>
      <c r="JX4" s="1796"/>
      <c r="JY4" s="1796"/>
      <c r="JZ4" s="774">
        <v>0.22</v>
      </c>
      <c r="KA4" s="747" t="s">
        <v>460</v>
      </c>
      <c r="KB4" s="1802" t="s">
        <v>461</v>
      </c>
      <c r="KC4" s="750" t="s">
        <v>462</v>
      </c>
      <c r="KD4" s="753" t="s">
        <v>463</v>
      </c>
      <c r="KE4" s="1808" t="s">
        <v>453</v>
      </c>
      <c r="KF4" s="1809"/>
      <c r="KG4" s="1809"/>
      <c r="KH4" s="779">
        <v>0.12</v>
      </c>
      <c r="KI4" s="1808" t="s">
        <v>454</v>
      </c>
      <c r="KJ4" s="1809"/>
      <c r="KK4" s="1809"/>
      <c r="KL4" s="779">
        <v>0.12</v>
      </c>
      <c r="KM4" s="1808" t="s">
        <v>455</v>
      </c>
      <c r="KN4" s="1809"/>
      <c r="KO4" s="1809"/>
      <c r="KP4" s="779">
        <v>0.12</v>
      </c>
      <c r="KQ4" s="1808" t="s">
        <v>456</v>
      </c>
      <c r="KR4" s="1809"/>
      <c r="KS4" s="1809"/>
      <c r="KT4" s="779">
        <v>0.12</v>
      </c>
      <c r="KU4" s="1808" t="s">
        <v>457</v>
      </c>
      <c r="KV4" s="1809"/>
      <c r="KW4" s="1809"/>
      <c r="KX4" s="779">
        <v>0.14000000000000001</v>
      </c>
      <c r="KY4" s="1808" t="s">
        <v>458</v>
      </c>
      <c r="KZ4" s="1809"/>
      <c r="LA4" s="1809"/>
      <c r="LB4" s="779">
        <v>0.16</v>
      </c>
      <c r="LC4" s="1808" t="s">
        <v>459</v>
      </c>
      <c r="LD4" s="1809"/>
      <c r="LE4" s="1809"/>
      <c r="LF4" s="779">
        <v>0.22</v>
      </c>
      <c r="LG4" s="745" t="s">
        <v>460</v>
      </c>
      <c r="LH4" s="1784" t="s">
        <v>461</v>
      </c>
      <c r="LI4" s="739" t="s">
        <v>462</v>
      </c>
      <c r="LJ4" s="742" t="s">
        <v>463</v>
      </c>
      <c r="LK4" s="1810" t="s">
        <v>453</v>
      </c>
      <c r="LL4" s="1811"/>
      <c r="LM4" s="1811"/>
      <c r="LN4" s="780">
        <v>0.12</v>
      </c>
      <c r="LO4" s="1810" t="s">
        <v>454</v>
      </c>
      <c r="LP4" s="1811"/>
      <c r="LQ4" s="1811"/>
      <c r="LR4" s="780">
        <v>0.12</v>
      </c>
      <c r="LS4" s="1810" t="s">
        <v>455</v>
      </c>
      <c r="LT4" s="1811"/>
      <c r="LU4" s="1811"/>
      <c r="LV4" s="780">
        <v>0.12</v>
      </c>
      <c r="LW4" s="1810" t="s">
        <v>456</v>
      </c>
      <c r="LX4" s="1811"/>
      <c r="LY4" s="1811"/>
      <c r="LZ4" s="780">
        <v>0.12</v>
      </c>
      <c r="MA4" s="1810" t="s">
        <v>457</v>
      </c>
      <c r="MB4" s="1811"/>
      <c r="MC4" s="1811"/>
      <c r="MD4" s="780">
        <v>0.14000000000000001</v>
      </c>
      <c r="ME4" s="1810" t="s">
        <v>458</v>
      </c>
      <c r="MF4" s="1811"/>
      <c r="MG4" s="1811"/>
      <c r="MH4" s="780">
        <v>0.16</v>
      </c>
      <c r="MI4" s="1810" t="s">
        <v>459</v>
      </c>
      <c r="MJ4" s="1811"/>
      <c r="MK4" s="1811"/>
      <c r="ML4" s="780">
        <v>0.22</v>
      </c>
      <c r="MM4" s="747" t="s">
        <v>460</v>
      </c>
      <c r="MN4" s="1802" t="s">
        <v>461</v>
      </c>
      <c r="MO4" s="750" t="s">
        <v>462</v>
      </c>
      <c r="MP4" s="753" t="s">
        <v>463</v>
      </c>
      <c r="MQ4" s="1810" t="s">
        <v>453</v>
      </c>
      <c r="MR4" s="1811"/>
      <c r="MS4" s="1811"/>
      <c r="MT4" s="780">
        <v>0.12</v>
      </c>
      <c r="MU4" s="1810" t="s">
        <v>454</v>
      </c>
      <c r="MV4" s="1811"/>
      <c r="MW4" s="1811"/>
      <c r="MX4" s="780">
        <v>0.12</v>
      </c>
      <c r="MY4" s="1810" t="s">
        <v>455</v>
      </c>
      <c r="MZ4" s="1811"/>
      <c r="NA4" s="1811"/>
      <c r="NB4" s="780">
        <v>0.12</v>
      </c>
      <c r="NC4" s="1810" t="s">
        <v>456</v>
      </c>
      <c r="ND4" s="1811"/>
      <c r="NE4" s="1811"/>
      <c r="NF4" s="780">
        <v>0.12</v>
      </c>
      <c r="NG4" s="1810" t="s">
        <v>457</v>
      </c>
      <c r="NH4" s="1811"/>
      <c r="NI4" s="1811"/>
      <c r="NJ4" s="780">
        <v>0.14000000000000001</v>
      </c>
      <c r="NK4" s="1810" t="s">
        <v>458</v>
      </c>
      <c r="NL4" s="1811"/>
      <c r="NM4" s="1811"/>
      <c r="NN4" s="780">
        <v>0.16</v>
      </c>
      <c r="NO4" s="1810" t="s">
        <v>459</v>
      </c>
      <c r="NP4" s="1811"/>
      <c r="NQ4" s="1811"/>
      <c r="NR4" s="780">
        <v>0.22</v>
      </c>
      <c r="NS4" s="744" t="s">
        <v>460</v>
      </c>
      <c r="NT4" s="1783" t="s">
        <v>461</v>
      </c>
      <c r="NU4" s="738" t="s">
        <v>462</v>
      </c>
      <c r="NV4" s="741" t="s">
        <v>463</v>
      </c>
      <c r="NW4" s="1810" t="s">
        <v>453</v>
      </c>
      <c r="NX4" s="1811"/>
      <c r="NY4" s="1811"/>
      <c r="NZ4" s="780">
        <v>0.12</v>
      </c>
      <c r="OA4" s="1810" t="s">
        <v>454</v>
      </c>
      <c r="OB4" s="1811"/>
      <c r="OC4" s="1811"/>
      <c r="OD4" s="780">
        <v>0.12</v>
      </c>
      <c r="OE4" s="1810" t="s">
        <v>455</v>
      </c>
      <c r="OF4" s="1811"/>
      <c r="OG4" s="1811"/>
      <c r="OH4" s="780">
        <v>0.12</v>
      </c>
      <c r="OI4" s="1810" t="s">
        <v>456</v>
      </c>
      <c r="OJ4" s="1811"/>
      <c r="OK4" s="1811"/>
      <c r="OL4" s="780">
        <v>0.12</v>
      </c>
      <c r="OM4" s="1810" t="s">
        <v>457</v>
      </c>
      <c r="ON4" s="1811"/>
      <c r="OO4" s="1811"/>
      <c r="OP4" s="780">
        <v>0.14000000000000001</v>
      </c>
      <c r="OQ4" s="1810" t="s">
        <v>458</v>
      </c>
      <c r="OR4" s="1811"/>
      <c r="OS4" s="1811"/>
      <c r="OT4" s="780">
        <v>0.16</v>
      </c>
      <c r="OU4" s="1810" t="s">
        <v>459</v>
      </c>
      <c r="OV4" s="1811"/>
      <c r="OW4" s="1811"/>
      <c r="OX4" s="780">
        <v>0.22</v>
      </c>
      <c r="OY4" s="747" t="s">
        <v>460</v>
      </c>
      <c r="OZ4" s="1802" t="s">
        <v>461</v>
      </c>
      <c r="PA4" s="750" t="s">
        <v>462</v>
      </c>
      <c r="PB4" s="753" t="s">
        <v>463</v>
      </c>
      <c r="PC4" s="1795" t="s">
        <v>453</v>
      </c>
      <c r="PD4" s="1796"/>
      <c r="PE4" s="1796"/>
      <c r="PF4" s="774">
        <v>0.12</v>
      </c>
      <c r="PG4" s="1795" t="s">
        <v>454</v>
      </c>
      <c r="PH4" s="1796"/>
      <c r="PI4" s="1796"/>
      <c r="PJ4" s="774">
        <v>0.12</v>
      </c>
      <c r="PK4" s="1795" t="s">
        <v>455</v>
      </c>
      <c r="PL4" s="1796"/>
      <c r="PM4" s="1796"/>
      <c r="PN4" s="774">
        <v>0.12</v>
      </c>
      <c r="PO4" s="1795" t="s">
        <v>456</v>
      </c>
      <c r="PP4" s="1796"/>
      <c r="PQ4" s="1796"/>
      <c r="PR4" s="774">
        <v>0.12</v>
      </c>
      <c r="PS4" s="1795" t="s">
        <v>457</v>
      </c>
      <c r="PT4" s="1796"/>
      <c r="PU4" s="1796"/>
      <c r="PV4" s="774">
        <v>0.14000000000000001</v>
      </c>
      <c r="PW4" s="1795" t="s">
        <v>458</v>
      </c>
      <c r="PX4" s="1796"/>
      <c r="PY4" s="1796"/>
      <c r="PZ4" s="774">
        <v>0.16</v>
      </c>
      <c r="QA4" s="1795" t="s">
        <v>459</v>
      </c>
      <c r="QB4" s="1796"/>
      <c r="QC4" s="1796"/>
      <c r="QD4" s="774">
        <v>0.22</v>
      </c>
      <c r="QE4" s="744" t="s">
        <v>460</v>
      </c>
      <c r="QF4" s="1783" t="s">
        <v>461</v>
      </c>
      <c r="QG4" s="738" t="s">
        <v>462</v>
      </c>
      <c r="QH4" s="741" t="s">
        <v>463</v>
      </c>
      <c r="QI4" s="1795" t="s">
        <v>453</v>
      </c>
      <c r="QJ4" s="1796"/>
      <c r="QK4" s="1796"/>
      <c r="QL4" s="774">
        <v>0.12</v>
      </c>
      <c r="QM4" s="1795" t="s">
        <v>454</v>
      </c>
      <c r="QN4" s="1796"/>
      <c r="QO4" s="1796"/>
      <c r="QP4" s="774">
        <v>0.12</v>
      </c>
      <c r="QQ4" s="1795" t="s">
        <v>455</v>
      </c>
      <c r="QR4" s="1796"/>
      <c r="QS4" s="1796"/>
      <c r="QT4" s="774">
        <v>0.12</v>
      </c>
      <c r="QU4" s="1795" t="s">
        <v>456</v>
      </c>
      <c r="QV4" s="1796"/>
      <c r="QW4" s="1796"/>
      <c r="QX4" s="774">
        <v>0.12</v>
      </c>
      <c r="QY4" s="1795" t="s">
        <v>457</v>
      </c>
      <c r="QZ4" s="1796"/>
      <c r="RA4" s="1796"/>
      <c r="RB4" s="774">
        <v>0.14000000000000001</v>
      </c>
      <c r="RC4" s="1795" t="s">
        <v>458</v>
      </c>
      <c r="RD4" s="1796"/>
      <c r="RE4" s="1796"/>
      <c r="RF4" s="774">
        <v>0.16</v>
      </c>
      <c r="RG4" s="1795" t="s">
        <v>459</v>
      </c>
      <c r="RH4" s="1796"/>
      <c r="RI4" s="1796"/>
      <c r="RJ4" s="774">
        <v>0.22</v>
      </c>
      <c r="RK4" s="747" t="s">
        <v>460</v>
      </c>
      <c r="RL4" s="1792" t="s">
        <v>461</v>
      </c>
      <c r="RM4" s="750" t="s">
        <v>462</v>
      </c>
      <c r="RN4" s="753" t="s">
        <v>463</v>
      </c>
      <c r="RO4" s="1795" t="s">
        <v>453</v>
      </c>
      <c r="RP4" s="1796"/>
      <c r="RQ4" s="1796"/>
      <c r="RR4" s="774">
        <v>0.12</v>
      </c>
      <c r="RS4" s="1795" t="s">
        <v>454</v>
      </c>
      <c r="RT4" s="1796"/>
      <c r="RU4" s="1796"/>
      <c r="RV4" s="774">
        <v>0.12</v>
      </c>
      <c r="RW4" s="1795" t="s">
        <v>455</v>
      </c>
      <c r="RX4" s="1796"/>
      <c r="RY4" s="1796"/>
      <c r="RZ4" s="774">
        <v>0.12</v>
      </c>
      <c r="SA4" s="1795" t="s">
        <v>456</v>
      </c>
      <c r="SB4" s="1796"/>
      <c r="SC4" s="1796"/>
      <c r="SD4" s="774">
        <v>0.12</v>
      </c>
      <c r="SE4" s="1795" t="s">
        <v>457</v>
      </c>
      <c r="SF4" s="1796"/>
      <c r="SG4" s="1796"/>
      <c r="SH4" s="774">
        <v>0.14000000000000001</v>
      </c>
      <c r="SI4" s="1795" t="s">
        <v>458</v>
      </c>
      <c r="SJ4" s="1796"/>
      <c r="SK4" s="1796"/>
      <c r="SL4" s="774">
        <v>0.16</v>
      </c>
      <c r="SM4" s="1795" t="s">
        <v>459</v>
      </c>
      <c r="SN4" s="1796"/>
      <c r="SO4" s="1796"/>
      <c r="SP4" s="774">
        <v>0.22</v>
      </c>
      <c r="SQ4" s="744" t="s">
        <v>460</v>
      </c>
      <c r="SR4" s="1785" t="s">
        <v>461</v>
      </c>
      <c r="SS4" s="738" t="s">
        <v>462</v>
      </c>
      <c r="ST4" s="741" t="s">
        <v>463</v>
      </c>
      <c r="SU4" s="1795" t="s">
        <v>453</v>
      </c>
      <c r="SV4" s="1796"/>
      <c r="SW4" s="1796"/>
      <c r="SX4" s="774">
        <v>0.12</v>
      </c>
      <c r="SY4" s="1795" t="s">
        <v>454</v>
      </c>
      <c r="SZ4" s="1796"/>
      <c r="TA4" s="1796"/>
      <c r="TB4" s="774">
        <v>0.12</v>
      </c>
      <c r="TC4" s="1795" t="s">
        <v>455</v>
      </c>
      <c r="TD4" s="1796"/>
      <c r="TE4" s="1796"/>
      <c r="TF4" s="774">
        <v>0.12</v>
      </c>
      <c r="TG4" s="1795" t="s">
        <v>456</v>
      </c>
      <c r="TH4" s="1796"/>
      <c r="TI4" s="1796"/>
      <c r="TJ4" s="774">
        <v>0.12</v>
      </c>
      <c r="TK4" s="1795" t="s">
        <v>457</v>
      </c>
      <c r="TL4" s="1796"/>
      <c r="TM4" s="1796"/>
      <c r="TN4" s="774">
        <v>0.14000000000000001</v>
      </c>
      <c r="TO4" s="1795" t="s">
        <v>458</v>
      </c>
      <c r="TP4" s="1796"/>
      <c r="TQ4" s="1796"/>
      <c r="TR4" s="774">
        <v>0.16</v>
      </c>
      <c r="TS4" s="1795" t="s">
        <v>459</v>
      </c>
      <c r="TT4" s="1796"/>
      <c r="TU4" s="1796"/>
      <c r="TV4" s="774">
        <v>0.22</v>
      </c>
      <c r="TW4" s="747" t="s">
        <v>460</v>
      </c>
      <c r="TX4" s="1787" t="s">
        <v>461</v>
      </c>
      <c r="TY4" s="750" t="s">
        <v>462</v>
      </c>
      <c r="TZ4" s="753" t="s">
        <v>463</v>
      </c>
      <c r="UA4" s="1795" t="s">
        <v>453</v>
      </c>
      <c r="UB4" s="1796"/>
      <c r="UC4" s="1796"/>
      <c r="UD4" s="774">
        <v>0.12</v>
      </c>
      <c r="UE4" s="1795" t="s">
        <v>454</v>
      </c>
      <c r="UF4" s="1796"/>
      <c r="UG4" s="1796"/>
      <c r="UH4" s="774">
        <v>0.12</v>
      </c>
      <c r="UI4" s="1795" t="s">
        <v>455</v>
      </c>
      <c r="UJ4" s="1796"/>
      <c r="UK4" s="1796"/>
      <c r="UL4" s="774">
        <v>0.12</v>
      </c>
      <c r="UM4" s="1795" t="s">
        <v>456</v>
      </c>
      <c r="UN4" s="1796"/>
      <c r="UO4" s="1796"/>
      <c r="UP4" s="774">
        <v>0.12</v>
      </c>
      <c r="UQ4" s="1795" t="s">
        <v>457</v>
      </c>
      <c r="UR4" s="1796"/>
      <c r="US4" s="1796"/>
      <c r="UT4" s="774">
        <v>0.14000000000000001</v>
      </c>
      <c r="UU4" s="1795" t="s">
        <v>458</v>
      </c>
      <c r="UV4" s="1796"/>
      <c r="UW4" s="1796"/>
      <c r="UX4" s="774">
        <v>0.16</v>
      </c>
      <c r="UY4" s="1795" t="s">
        <v>459</v>
      </c>
      <c r="UZ4" s="1796"/>
      <c r="VA4" s="1796"/>
      <c r="VB4" s="774">
        <v>0.22</v>
      </c>
      <c r="VC4" s="744" t="s">
        <v>464</v>
      </c>
      <c r="VD4" s="1785" t="s">
        <v>461</v>
      </c>
      <c r="VE4" s="738" t="s">
        <v>462</v>
      </c>
      <c r="VF4" s="741" t="s">
        <v>463</v>
      </c>
      <c r="VG4" s="1808" t="s">
        <v>453</v>
      </c>
      <c r="VH4" s="1809"/>
      <c r="VI4" s="1809"/>
      <c r="VJ4" s="779">
        <v>0.12</v>
      </c>
      <c r="VK4" s="1808" t="s">
        <v>454</v>
      </c>
      <c r="VL4" s="1809"/>
      <c r="VM4" s="1809"/>
      <c r="VN4" s="779">
        <v>0.12</v>
      </c>
      <c r="VO4" s="1808" t="s">
        <v>455</v>
      </c>
      <c r="VP4" s="1809"/>
      <c r="VQ4" s="1809"/>
      <c r="VR4" s="779">
        <v>0.12</v>
      </c>
      <c r="VS4" s="1808" t="s">
        <v>456</v>
      </c>
      <c r="VT4" s="1809"/>
      <c r="VU4" s="1809"/>
      <c r="VV4" s="779">
        <v>0.12</v>
      </c>
      <c r="VW4" s="1808" t="s">
        <v>457</v>
      </c>
      <c r="VX4" s="1809"/>
      <c r="VY4" s="1809"/>
      <c r="VZ4" s="779">
        <v>0.14000000000000001</v>
      </c>
      <c r="WA4" s="1808" t="s">
        <v>458</v>
      </c>
      <c r="WB4" s="1809"/>
      <c r="WC4" s="1809"/>
      <c r="WD4" s="779">
        <v>0.16</v>
      </c>
      <c r="WE4" s="1808" t="s">
        <v>459</v>
      </c>
      <c r="WF4" s="1809"/>
      <c r="WG4" s="1809"/>
      <c r="WH4" s="779">
        <v>0.22</v>
      </c>
      <c r="WI4" s="745" t="s">
        <v>460</v>
      </c>
      <c r="WJ4" s="1784" t="s">
        <v>461</v>
      </c>
      <c r="WK4" s="739" t="s">
        <v>462</v>
      </c>
      <c r="WL4" s="742" t="s">
        <v>463</v>
      </c>
      <c r="WM4" s="1810" t="s">
        <v>453</v>
      </c>
      <c r="WN4" s="1811"/>
      <c r="WO4" s="1811"/>
      <c r="WP4" s="780">
        <v>0.12</v>
      </c>
      <c r="WQ4" s="1810" t="s">
        <v>454</v>
      </c>
      <c r="WR4" s="1811"/>
      <c r="WS4" s="1811"/>
      <c r="WT4" s="780">
        <v>0.12</v>
      </c>
      <c r="WU4" s="1810" t="s">
        <v>455</v>
      </c>
      <c r="WV4" s="1811"/>
      <c r="WW4" s="1811"/>
      <c r="WX4" s="780">
        <v>0.12</v>
      </c>
      <c r="WY4" s="1810" t="s">
        <v>456</v>
      </c>
      <c r="WZ4" s="1811"/>
      <c r="XA4" s="1811"/>
      <c r="XB4" s="780">
        <v>0.12</v>
      </c>
      <c r="XC4" s="1810" t="s">
        <v>457</v>
      </c>
      <c r="XD4" s="1811"/>
      <c r="XE4" s="1811"/>
      <c r="XF4" s="780">
        <v>0.14000000000000001</v>
      </c>
      <c r="XG4" s="1810" t="s">
        <v>458</v>
      </c>
      <c r="XH4" s="1811"/>
      <c r="XI4" s="1811"/>
      <c r="XJ4" s="780">
        <v>0.16</v>
      </c>
      <c r="XK4" s="1810" t="s">
        <v>459</v>
      </c>
      <c r="XL4" s="1811"/>
      <c r="XM4" s="1811"/>
      <c r="XN4" s="780">
        <v>0.22</v>
      </c>
      <c r="XO4" s="747" t="s">
        <v>460</v>
      </c>
      <c r="XP4" s="1802" t="s">
        <v>461</v>
      </c>
      <c r="XQ4" s="750" t="s">
        <v>462</v>
      </c>
      <c r="XR4" s="753" t="s">
        <v>463</v>
      </c>
      <c r="XS4" s="1810" t="s">
        <v>453</v>
      </c>
      <c r="XT4" s="1811"/>
      <c r="XU4" s="1811"/>
      <c r="XV4" s="780">
        <v>0.12</v>
      </c>
      <c r="XW4" s="1810" t="s">
        <v>454</v>
      </c>
      <c r="XX4" s="1811"/>
      <c r="XY4" s="1811"/>
      <c r="XZ4" s="780">
        <v>0.12</v>
      </c>
      <c r="YA4" s="1810" t="s">
        <v>455</v>
      </c>
      <c r="YB4" s="1811"/>
      <c r="YC4" s="1811"/>
      <c r="YD4" s="780">
        <v>0.12</v>
      </c>
      <c r="YE4" s="1810" t="s">
        <v>456</v>
      </c>
      <c r="YF4" s="1811"/>
      <c r="YG4" s="1811"/>
      <c r="YH4" s="780">
        <v>0.12</v>
      </c>
      <c r="YI4" s="1810" t="s">
        <v>457</v>
      </c>
      <c r="YJ4" s="1811"/>
      <c r="YK4" s="1811"/>
      <c r="YL4" s="780">
        <v>0.14000000000000001</v>
      </c>
      <c r="YM4" s="1810" t="s">
        <v>458</v>
      </c>
      <c r="YN4" s="1811"/>
      <c r="YO4" s="1811"/>
      <c r="YP4" s="780">
        <v>0.16</v>
      </c>
      <c r="YQ4" s="1810" t="s">
        <v>459</v>
      </c>
      <c r="YR4" s="1811"/>
      <c r="YS4" s="1811"/>
      <c r="YT4" s="780">
        <v>0.22</v>
      </c>
      <c r="YU4" s="744" t="s">
        <v>460</v>
      </c>
      <c r="YV4" s="1783" t="s">
        <v>461</v>
      </c>
      <c r="YW4" s="738" t="s">
        <v>462</v>
      </c>
      <c r="YX4" s="741" t="s">
        <v>463</v>
      </c>
      <c r="YY4" s="1810" t="s">
        <v>453</v>
      </c>
      <c r="YZ4" s="1811"/>
      <c r="ZA4" s="1811"/>
      <c r="ZB4" s="780">
        <v>0.12</v>
      </c>
      <c r="ZC4" s="1810" t="s">
        <v>454</v>
      </c>
      <c r="ZD4" s="1811"/>
      <c r="ZE4" s="1811"/>
      <c r="ZF4" s="780">
        <v>0.12</v>
      </c>
      <c r="ZG4" s="1810" t="s">
        <v>455</v>
      </c>
      <c r="ZH4" s="1811"/>
      <c r="ZI4" s="1811"/>
      <c r="ZJ4" s="780">
        <v>0.12</v>
      </c>
      <c r="ZK4" s="1810" t="s">
        <v>456</v>
      </c>
      <c r="ZL4" s="1811"/>
      <c r="ZM4" s="1811"/>
      <c r="ZN4" s="780">
        <v>0.12</v>
      </c>
      <c r="ZO4" s="1810" t="s">
        <v>457</v>
      </c>
      <c r="ZP4" s="1811"/>
      <c r="ZQ4" s="1811"/>
      <c r="ZR4" s="780">
        <v>0.14000000000000001</v>
      </c>
      <c r="ZS4" s="1810" t="s">
        <v>458</v>
      </c>
      <c r="ZT4" s="1811"/>
      <c r="ZU4" s="1811"/>
      <c r="ZV4" s="780">
        <v>0.16</v>
      </c>
      <c r="ZW4" s="1810" t="s">
        <v>459</v>
      </c>
      <c r="ZX4" s="1811"/>
      <c r="ZY4" s="1811"/>
      <c r="ZZ4" s="780">
        <v>0.22</v>
      </c>
      <c r="AAA4" s="747" t="s">
        <v>460</v>
      </c>
      <c r="AAB4" s="1802" t="s">
        <v>461</v>
      </c>
      <c r="AAC4" s="750" t="s">
        <v>462</v>
      </c>
      <c r="AAD4" s="753" t="s">
        <v>463</v>
      </c>
      <c r="AAE4" s="1800" t="s">
        <v>453</v>
      </c>
      <c r="AAF4" s="1801"/>
      <c r="AAG4" s="1801"/>
      <c r="AAH4" s="775">
        <v>0.12</v>
      </c>
      <c r="AAI4" s="1800" t="s">
        <v>454</v>
      </c>
      <c r="AAJ4" s="1801"/>
      <c r="AAK4" s="1801"/>
      <c r="AAL4" s="775">
        <v>0.12</v>
      </c>
      <c r="AAM4" s="1800" t="s">
        <v>455</v>
      </c>
      <c r="AAN4" s="1801"/>
      <c r="AAO4" s="1801"/>
      <c r="AAP4" s="775">
        <v>0.12</v>
      </c>
      <c r="AAQ4" s="1800" t="s">
        <v>456</v>
      </c>
      <c r="AAR4" s="1801"/>
      <c r="AAS4" s="1801"/>
      <c r="AAT4" s="775">
        <v>0.12</v>
      </c>
      <c r="AAU4" s="1800" t="s">
        <v>457</v>
      </c>
      <c r="AAV4" s="1801"/>
      <c r="AAW4" s="1801"/>
      <c r="AAX4" s="775">
        <v>0.14000000000000001</v>
      </c>
      <c r="AAY4" s="1800" t="s">
        <v>458</v>
      </c>
      <c r="AAZ4" s="1801"/>
      <c r="ABA4" s="1801"/>
      <c r="ABB4" s="775">
        <v>0.16</v>
      </c>
      <c r="ABC4" s="1800" t="s">
        <v>459</v>
      </c>
      <c r="ABD4" s="1801"/>
      <c r="ABE4" s="1801"/>
      <c r="ABF4" s="775">
        <v>0.22</v>
      </c>
      <c r="ABG4" s="745" t="s">
        <v>460</v>
      </c>
      <c r="ABH4" s="1784" t="s">
        <v>461</v>
      </c>
      <c r="ABI4" s="739" t="s">
        <v>462</v>
      </c>
      <c r="ABJ4" s="742" t="s">
        <v>463</v>
      </c>
      <c r="ABK4" s="1795" t="s">
        <v>453</v>
      </c>
      <c r="ABL4" s="1796"/>
      <c r="ABM4" s="1796"/>
      <c r="ABN4" s="774">
        <v>0.12</v>
      </c>
      <c r="ABO4" s="1795" t="s">
        <v>454</v>
      </c>
      <c r="ABP4" s="1796"/>
      <c r="ABQ4" s="1796"/>
      <c r="ABR4" s="774">
        <v>0.12</v>
      </c>
      <c r="ABS4" s="1795" t="s">
        <v>455</v>
      </c>
      <c r="ABT4" s="1796"/>
      <c r="ABU4" s="1796"/>
      <c r="ABV4" s="774">
        <v>0.12</v>
      </c>
      <c r="ABW4" s="1795" t="s">
        <v>456</v>
      </c>
      <c r="ABX4" s="1796"/>
      <c r="ABY4" s="1796"/>
      <c r="ABZ4" s="774">
        <v>0.12</v>
      </c>
      <c r="ACA4" s="1795" t="s">
        <v>457</v>
      </c>
      <c r="ACB4" s="1796"/>
      <c r="ACC4" s="1796"/>
      <c r="ACD4" s="774">
        <v>0.14000000000000001</v>
      </c>
      <c r="ACE4" s="1795" t="s">
        <v>458</v>
      </c>
      <c r="ACF4" s="1796"/>
      <c r="ACG4" s="1796"/>
      <c r="ACH4" s="774">
        <v>0.16</v>
      </c>
      <c r="ACI4" s="1795" t="s">
        <v>459</v>
      </c>
      <c r="ACJ4" s="1796"/>
      <c r="ACK4" s="1796"/>
      <c r="ACL4" s="774">
        <v>0.22</v>
      </c>
      <c r="ACM4" s="747" t="s">
        <v>460</v>
      </c>
      <c r="ACN4" s="1802" t="s">
        <v>461</v>
      </c>
      <c r="ACO4" s="750" t="s">
        <v>462</v>
      </c>
      <c r="ACP4" s="753" t="s">
        <v>463</v>
      </c>
      <c r="ACQ4" s="1795" t="s">
        <v>453</v>
      </c>
      <c r="ACR4" s="1796"/>
      <c r="ACS4" s="1796"/>
      <c r="ACT4" s="774">
        <v>0.12</v>
      </c>
      <c r="ACU4" s="1795" t="s">
        <v>454</v>
      </c>
      <c r="ACV4" s="1796"/>
      <c r="ACW4" s="1796"/>
      <c r="ACX4" s="774">
        <v>0.12</v>
      </c>
      <c r="ACY4" s="1795" t="s">
        <v>455</v>
      </c>
      <c r="ACZ4" s="1796"/>
      <c r="ADA4" s="1796"/>
      <c r="ADB4" s="774">
        <v>0.12</v>
      </c>
      <c r="ADC4" s="1795" t="s">
        <v>456</v>
      </c>
      <c r="ADD4" s="1796"/>
      <c r="ADE4" s="1796"/>
      <c r="ADF4" s="774">
        <v>0.12</v>
      </c>
      <c r="ADG4" s="1795" t="s">
        <v>457</v>
      </c>
      <c r="ADH4" s="1796"/>
      <c r="ADI4" s="1796"/>
      <c r="ADJ4" s="774">
        <v>0.14000000000000001</v>
      </c>
      <c r="ADK4" s="1795" t="s">
        <v>458</v>
      </c>
      <c r="ADL4" s="1796"/>
      <c r="ADM4" s="1796"/>
      <c r="ADN4" s="774">
        <v>0.16</v>
      </c>
      <c r="ADO4" s="1795" t="s">
        <v>459</v>
      </c>
      <c r="ADP4" s="1796"/>
      <c r="ADQ4" s="1796"/>
      <c r="ADR4" s="774">
        <v>0.22</v>
      </c>
      <c r="ADS4" s="744" t="s">
        <v>460</v>
      </c>
      <c r="ADT4" s="1783" t="s">
        <v>461</v>
      </c>
      <c r="ADU4" s="738" t="s">
        <v>462</v>
      </c>
      <c r="ADV4" s="741" t="s">
        <v>463</v>
      </c>
      <c r="ADW4" s="1795" t="s">
        <v>453</v>
      </c>
      <c r="ADX4" s="1796"/>
      <c r="ADY4" s="1796"/>
      <c r="ADZ4" s="774">
        <v>0.12</v>
      </c>
      <c r="AEA4" s="1795" t="s">
        <v>454</v>
      </c>
      <c r="AEB4" s="1796"/>
      <c r="AEC4" s="1796"/>
      <c r="AED4" s="774">
        <v>0.12</v>
      </c>
      <c r="AEE4" s="1795" t="s">
        <v>455</v>
      </c>
      <c r="AEF4" s="1796"/>
      <c r="AEG4" s="1796"/>
      <c r="AEH4" s="774">
        <v>0.12</v>
      </c>
      <c r="AEI4" s="1795" t="s">
        <v>456</v>
      </c>
      <c r="AEJ4" s="1796"/>
      <c r="AEK4" s="1796"/>
      <c r="AEL4" s="774">
        <v>0.12</v>
      </c>
      <c r="AEM4" s="1795" t="s">
        <v>457</v>
      </c>
      <c r="AEN4" s="1796"/>
      <c r="AEO4" s="1796"/>
      <c r="AEP4" s="774">
        <v>0.14000000000000001</v>
      </c>
      <c r="AEQ4" s="1795" t="s">
        <v>458</v>
      </c>
      <c r="AER4" s="1796"/>
      <c r="AES4" s="1796"/>
      <c r="AET4" s="774">
        <v>0.16</v>
      </c>
      <c r="AEU4" s="1795" t="s">
        <v>459</v>
      </c>
      <c r="AEV4" s="1796"/>
      <c r="AEW4" s="1796"/>
      <c r="AEX4" s="774">
        <v>0.22</v>
      </c>
      <c r="AEY4" s="747" t="s">
        <v>460</v>
      </c>
      <c r="AEZ4" s="1802" t="s">
        <v>461</v>
      </c>
      <c r="AFA4" s="750" t="s">
        <v>462</v>
      </c>
      <c r="AFB4" s="753" t="s">
        <v>463</v>
      </c>
      <c r="AFC4" s="1781" t="s">
        <v>453</v>
      </c>
      <c r="AFD4" s="1782"/>
      <c r="AFE4" s="1782"/>
      <c r="AFF4" s="720">
        <v>0.12</v>
      </c>
      <c r="AFG4" s="1781" t="s">
        <v>454</v>
      </c>
      <c r="AFH4" s="1782"/>
      <c r="AFI4" s="1782"/>
      <c r="AFJ4" s="720">
        <v>0.12</v>
      </c>
      <c r="AFK4" s="1781" t="s">
        <v>455</v>
      </c>
      <c r="AFL4" s="1782"/>
      <c r="AFM4" s="1782"/>
      <c r="AFN4" s="720">
        <v>0.12</v>
      </c>
      <c r="AFO4" s="1781" t="s">
        <v>456</v>
      </c>
      <c r="AFP4" s="1782"/>
      <c r="AFQ4" s="1782"/>
      <c r="AFR4" s="720">
        <v>0.12</v>
      </c>
      <c r="AFS4" s="1781" t="s">
        <v>457</v>
      </c>
      <c r="AFT4" s="1782"/>
      <c r="AFU4" s="1782"/>
      <c r="AFV4" s="720">
        <v>0.14000000000000001</v>
      </c>
      <c r="AFW4" s="1781" t="s">
        <v>458</v>
      </c>
      <c r="AFX4" s="1782"/>
      <c r="AFY4" s="1782"/>
      <c r="AFZ4" s="720">
        <v>0.16</v>
      </c>
      <c r="AGA4" s="1781" t="s">
        <v>459</v>
      </c>
      <c r="AGB4" s="1782"/>
      <c r="AGC4" s="1782"/>
      <c r="AGD4" s="720">
        <v>0.22</v>
      </c>
      <c r="AGE4" s="744" t="s">
        <v>460</v>
      </c>
      <c r="AGF4" s="1783" t="s">
        <v>461</v>
      </c>
      <c r="AGG4" s="738" t="s">
        <v>462</v>
      </c>
      <c r="AGH4" s="741" t="s">
        <v>463</v>
      </c>
      <c r="AGI4" s="1781" t="s">
        <v>453</v>
      </c>
      <c r="AGJ4" s="1782"/>
      <c r="AGK4" s="1782"/>
      <c r="AGL4" s="720">
        <v>0.12</v>
      </c>
      <c r="AGM4" s="1781" t="s">
        <v>454</v>
      </c>
      <c r="AGN4" s="1782"/>
      <c r="AGO4" s="1782"/>
      <c r="AGP4" s="720">
        <v>0.12</v>
      </c>
      <c r="AGQ4" s="1781" t="s">
        <v>455</v>
      </c>
      <c r="AGR4" s="1782"/>
      <c r="AGS4" s="1782"/>
      <c r="AGT4" s="720">
        <v>0.12</v>
      </c>
      <c r="AGU4" s="1781" t="s">
        <v>456</v>
      </c>
      <c r="AGV4" s="1782"/>
      <c r="AGW4" s="1782"/>
      <c r="AGX4" s="720">
        <v>0.12</v>
      </c>
      <c r="AGY4" s="1781" t="s">
        <v>457</v>
      </c>
      <c r="AGZ4" s="1782"/>
      <c r="AHA4" s="1782"/>
      <c r="AHB4" s="720">
        <v>0.14000000000000001</v>
      </c>
      <c r="AHC4" s="1781" t="s">
        <v>458</v>
      </c>
      <c r="AHD4" s="1782"/>
      <c r="AHE4" s="1782"/>
      <c r="AHF4" s="720">
        <v>0.16</v>
      </c>
      <c r="AHG4" s="1781" t="s">
        <v>459</v>
      </c>
      <c r="AHH4" s="1782"/>
      <c r="AHI4" s="1782"/>
      <c r="AHJ4" s="720">
        <v>0.22</v>
      </c>
      <c r="AHK4" s="747" t="s">
        <v>460</v>
      </c>
      <c r="AHL4" s="1792" t="s">
        <v>461</v>
      </c>
      <c r="AHM4" s="750" t="s">
        <v>462</v>
      </c>
      <c r="AHN4" s="753" t="s">
        <v>463</v>
      </c>
      <c r="AHO4" s="1781" t="s">
        <v>453</v>
      </c>
      <c r="AHP4" s="1782"/>
      <c r="AHQ4" s="1782"/>
      <c r="AHR4" s="720">
        <v>0.12</v>
      </c>
      <c r="AHS4" s="1781" t="s">
        <v>454</v>
      </c>
      <c r="AHT4" s="1782"/>
      <c r="AHU4" s="1782"/>
      <c r="AHV4" s="720">
        <v>0.12</v>
      </c>
      <c r="AHW4" s="1781" t="s">
        <v>455</v>
      </c>
      <c r="AHX4" s="1782"/>
      <c r="AHY4" s="1782"/>
      <c r="AHZ4" s="720">
        <v>0.12</v>
      </c>
      <c r="AIA4" s="1781" t="s">
        <v>456</v>
      </c>
      <c r="AIB4" s="1782"/>
      <c r="AIC4" s="1782"/>
      <c r="AID4" s="720">
        <v>0.12</v>
      </c>
      <c r="AIE4" s="1781" t="s">
        <v>457</v>
      </c>
      <c r="AIF4" s="1782"/>
      <c r="AIG4" s="1782"/>
      <c r="AIH4" s="720">
        <v>0.14000000000000001</v>
      </c>
      <c r="AII4" s="1781" t="s">
        <v>458</v>
      </c>
      <c r="AIJ4" s="1782"/>
      <c r="AIK4" s="1782"/>
      <c r="AIL4" s="720">
        <v>0.16</v>
      </c>
      <c r="AIM4" s="1781" t="s">
        <v>459</v>
      </c>
      <c r="AIN4" s="1782"/>
      <c r="AIO4" s="1782"/>
      <c r="AIP4" s="720">
        <v>0.22</v>
      </c>
      <c r="AIQ4" s="744" t="s">
        <v>460</v>
      </c>
      <c r="AIR4" s="1785" t="s">
        <v>461</v>
      </c>
      <c r="AIS4" s="738" t="s">
        <v>462</v>
      </c>
      <c r="AIT4" s="741" t="s">
        <v>463</v>
      </c>
      <c r="AIU4" s="1781" t="s">
        <v>453</v>
      </c>
      <c r="AIV4" s="1782"/>
      <c r="AIW4" s="1782"/>
      <c r="AIX4" s="720">
        <v>0.12</v>
      </c>
      <c r="AIY4" s="1781" t="s">
        <v>454</v>
      </c>
      <c r="AIZ4" s="1782"/>
      <c r="AJA4" s="1782"/>
      <c r="AJB4" s="720">
        <v>0.12</v>
      </c>
      <c r="AJC4" s="1781" t="s">
        <v>455</v>
      </c>
      <c r="AJD4" s="1782"/>
      <c r="AJE4" s="1782"/>
      <c r="AJF4" s="720">
        <v>0.12</v>
      </c>
      <c r="AJG4" s="1781" t="s">
        <v>456</v>
      </c>
      <c r="AJH4" s="1782"/>
      <c r="AJI4" s="1782"/>
      <c r="AJJ4" s="720">
        <v>0.12</v>
      </c>
      <c r="AJK4" s="1781" t="s">
        <v>457</v>
      </c>
      <c r="AJL4" s="1782"/>
      <c r="AJM4" s="1782"/>
      <c r="AJN4" s="720">
        <v>0.14000000000000001</v>
      </c>
      <c r="AJO4" s="1781" t="s">
        <v>458</v>
      </c>
      <c r="AJP4" s="1782"/>
      <c r="AJQ4" s="1782"/>
      <c r="AJR4" s="720">
        <v>0.16</v>
      </c>
      <c r="AJS4" s="1781" t="s">
        <v>459</v>
      </c>
      <c r="AJT4" s="1782"/>
      <c r="AJU4" s="1782"/>
      <c r="AJV4" s="720">
        <v>0.22</v>
      </c>
      <c r="AJW4" s="747" t="s">
        <v>460</v>
      </c>
      <c r="AJX4" s="1787" t="s">
        <v>461</v>
      </c>
      <c r="AJY4" s="750" t="s">
        <v>462</v>
      </c>
      <c r="AJZ4" s="753" t="s">
        <v>463</v>
      </c>
      <c r="AKA4" s="1781" t="s">
        <v>453</v>
      </c>
      <c r="AKB4" s="1782"/>
      <c r="AKC4" s="1782"/>
      <c r="AKD4" s="720">
        <v>0.12</v>
      </c>
      <c r="AKE4" s="1781" t="s">
        <v>454</v>
      </c>
      <c r="AKF4" s="1782"/>
      <c r="AKG4" s="1782"/>
      <c r="AKH4" s="720">
        <v>0.12</v>
      </c>
      <c r="AKI4" s="1781" t="s">
        <v>455</v>
      </c>
      <c r="AKJ4" s="1782"/>
      <c r="AKK4" s="1782"/>
      <c r="AKL4" s="720">
        <v>0.12</v>
      </c>
      <c r="AKM4" s="1781" t="s">
        <v>456</v>
      </c>
      <c r="AKN4" s="1782"/>
      <c r="AKO4" s="1782"/>
      <c r="AKP4" s="720">
        <v>0.12</v>
      </c>
      <c r="AKQ4" s="1781" t="s">
        <v>457</v>
      </c>
      <c r="AKR4" s="1782"/>
      <c r="AKS4" s="1782"/>
      <c r="AKT4" s="720">
        <v>0.14000000000000001</v>
      </c>
      <c r="AKU4" s="1781" t="s">
        <v>458</v>
      </c>
      <c r="AKV4" s="1782"/>
      <c r="AKW4" s="1782"/>
      <c r="AKX4" s="720">
        <v>0.16</v>
      </c>
      <c r="AKY4" s="1781" t="s">
        <v>459</v>
      </c>
      <c r="AKZ4" s="1782"/>
      <c r="ALA4" s="1782"/>
      <c r="ALB4" s="720">
        <v>0.22</v>
      </c>
      <c r="ALC4" s="744" t="s">
        <v>460</v>
      </c>
      <c r="ALD4" s="1785" t="s">
        <v>461</v>
      </c>
      <c r="ALE4" s="738" t="s">
        <v>462</v>
      </c>
      <c r="ALF4" s="741" t="s">
        <v>463</v>
      </c>
    </row>
    <row r="5" spans="2:994" ht="19.5" customHeight="1">
      <c r="C5" s="706" t="s">
        <v>62</v>
      </c>
      <c r="D5" s="707" t="s">
        <v>465</v>
      </c>
      <c r="E5" s="706" t="s">
        <v>466</v>
      </c>
      <c r="F5" s="707" t="s">
        <v>66</v>
      </c>
      <c r="G5" s="668" t="s">
        <v>62</v>
      </c>
      <c r="H5" s="1563" t="s">
        <v>465</v>
      </c>
      <c r="I5" s="668" t="s">
        <v>466</v>
      </c>
      <c r="J5" s="1563" t="s">
        <v>66</v>
      </c>
      <c r="K5" s="668" t="s">
        <v>62</v>
      </c>
      <c r="L5" s="1563" t="s">
        <v>465</v>
      </c>
      <c r="M5" s="668" t="s">
        <v>466</v>
      </c>
      <c r="N5" s="1563" t="s">
        <v>66</v>
      </c>
      <c r="O5" s="668" t="s">
        <v>62</v>
      </c>
      <c r="P5" s="1563" t="s">
        <v>465</v>
      </c>
      <c r="Q5" s="668" t="s">
        <v>466</v>
      </c>
      <c r="R5" s="1563" t="s">
        <v>66</v>
      </c>
      <c r="S5" s="668" t="s">
        <v>62</v>
      </c>
      <c r="T5" s="1563" t="s">
        <v>465</v>
      </c>
      <c r="U5" s="668" t="s">
        <v>466</v>
      </c>
      <c r="V5" s="1563" t="s">
        <v>66</v>
      </c>
      <c r="W5" s="668" t="s">
        <v>62</v>
      </c>
      <c r="X5" s="1563" t="s">
        <v>465</v>
      </c>
      <c r="Y5" s="668" t="s">
        <v>466</v>
      </c>
      <c r="Z5" s="1563" t="s">
        <v>66</v>
      </c>
      <c r="AA5" s="668" t="s">
        <v>62</v>
      </c>
      <c r="AB5" s="1563" t="s">
        <v>465</v>
      </c>
      <c r="AC5" s="668" t="s">
        <v>466</v>
      </c>
      <c r="AD5" s="1563" t="s">
        <v>66</v>
      </c>
      <c r="AE5" s="745" t="str">
        <f>C3</f>
        <v>Semana 18</v>
      </c>
      <c r="AF5" s="1784"/>
      <c r="AG5" s="739" t="str">
        <f>C3</f>
        <v>Semana 18</v>
      </c>
      <c r="AH5" s="742" t="str">
        <f>C3</f>
        <v>Semana 18</v>
      </c>
      <c r="AI5" s="721" t="s">
        <v>62</v>
      </c>
      <c r="AJ5" s="722" t="s">
        <v>465</v>
      </c>
      <c r="AK5" s="721" t="s">
        <v>466</v>
      </c>
      <c r="AL5" s="722" t="s">
        <v>66</v>
      </c>
      <c r="AM5" s="723" t="s">
        <v>62</v>
      </c>
      <c r="AN5" s="724" t="s">
        <v>465</v>
      </c>
      <c r="AO5" s="723" t="s">
        <v>466</v>
      </c>
      <c r="AP5" s="724" t="s">
        <v>66</v>
      </c>
      <c r="AQ5" s="723" t="s">
        <v>62</v>
      </c>
      <c r="AR5" s="724" t="s">
        <v>465</v>
      </c>
      <c r="AS5" s="723" t="s">
        <v>466</v>
      </c>
      <c r="AT5" s="724" t="s">
        <v>66</v>
      </c>
      <c r="AU5" s="723" t="s">
        <v>62</v>
      </c>
      <c r="AV5" s="724" t="s">
        <v>465</v>
      </c>
      <c r="AW5" s="723" t="s">
        <v>466</v>
      </c>
      <c r="AX5" s="724" t="s">
        <v>66</v>
      </c>
      <c r="AY5" s="723" t="s">
        <v>62</v>
      </c>
      <c r="AZ5" s="724" t="s">
        <v>465</v>
      </c>
      <c r="BA5" s="723" t="s">
        <v>466</v>
      </c>
      <c r="BB5" s="724" t="s">
        <v>66</v>
      </c>
      <c r="BC5" s="723" t="s">
        <v>62</v>
      </c>
      <c r="BD5" s="724" t="s">
        <v>465</v>
      </c>
      <c r="BE5" s="723" t="s">
        <v>466</v>
      </c>
      <c r="BF5" s="724" t="s">
        <v>66</v>
      </c>
      <c r="BG5" s="723" t="s">
        <v>62</v>
      </c>
      <c r="BH5" s="724" t="s">
        <v>465</v>
      </c>
      <c r="BI5" s="723" t="s">
        <v>466</v>
      </c>
      <c r="BJ5" s="724" t="s">
        <v>66</v>
      </c>
      <c r="BK5" s="748" t="str">
        <f>AI3</f>
        <v>Semana 19</v>
      </c>
      <c r="BL5" s="1793"/>
      <c r="BM5" s="751" t="str">
        <f>AI3</f>
        <v>Semana 19</v>
      </c>
      <c r="BN5" s="754" t="str">
        <f>AI3</f>
        <v>Semana 19</v>
      </c>
      <c r="BO5" s="706" t="s">
        <v>62</v>
      </c>
      <c r="BP5" s="707" t="s">
        <v>465</v>
      </c>
      <c r="BQ5" s="706" t="s">
        <v>466</v>
      </c>
      <c r="BR5" s="707" t="s">
        <v>66</v>
      </c>
      <c r="BS5" s="668" t="s">
        <v>62</v>
      </c>
      <c r="BT5" s="1563" t="s">
        <v>465</v>
      </c>
      <c r="BU5" s="668" t="s">
        <v>466</v>
      </c>
      <c r="BV5" s="1563" t="s">
        <v>66</v>
      </c>
      <c r="BW5" s="668" t="s">
        <v>62</v>
      </c>
      <c r="BX5" s="1563" t="s">
        <v>465</v>
      </c>
      <c r="BY5" s="668" t="s">
        <v>466</v>
      </c>
      <c r="BZ5" s="1563" t="s">
        <v>66</v>
      </c>
      <c r="CA5" s="668" t="s">
        <v>62</v>
      </c>
      <c r="CB5" s="1563" t="s">
        <v>465</v>
      </c>
      <c r="CC5" s="668" t="s">
        <v>466</v>
      </c>
      <c r="CD5" s="1563" t="s">
        <v>66</v>
      </c>
      <c r="CE5" s="668" t="s">
        <v>62</v>
      </c>
      <c r="CF5" s="1563" t="s">
        <v>465</v>
      </c>
      <c r="CG5" s="668" t="s">
        <v>466</v>
      </c>
      <c r="CH5" s="1563" t="s">
        <v>66</v>
      </c>
      <c r="CI5" s="668" t="s">
        <v>62</v>
      </c>
      <c r="CJ5" s="1563" t="s">
        <v>465</v>
      </c>
      <c r="CK5" s="668" t="s">
        <v>466</v>
      </c>
      <c r="CL5" s="1563" t="s">
        <v>66</v>
      </c>
      <c r="CM5" s="668" t="s">
        <v>62</v>
      </c>
      <c r="CN5" s="1563" t="s">
        <v>465</v>
      </c>
      <c r="CO5" s="668" t="s">
        <v>466</v>
      </c>
      <c r="CP5" s="1563" t="s">
        <v>66</v>
      </c>
      <c r="CQ5" s="745" t="str">
        <f>BO3</f>
        <v>Semana 20</v>
      </c>
      <c r="CR5" s="1786"/>
      <c r="CS5" s="739" t="str">
        <f>BO3</f>
        <v>Semana 20</v>
      </c>
      <c r="CT5" s="742" t="str">
        <f>BO3</f>
        <v>Semana 20</v>
      </c>
      <c r="CU5" s="721" t="s">
        <v>62</v>
      </c>
      <c r="CV5" s="722" t="s">
        <v>465</v>
      </c>
      <c r="CW5" s="721" t="s">
        <v>466</v>
      </c>
      <c r="CX5" s="722" t="s">
        <v>66</v>
      </c>
      <c r="CY5" s="723" t="s">
        <v>62</v>
      </c>
      <c r="CZ5" s="724" t="s">
        <v>465</v>
      </c>
      <c r="DA5" s="723" t="s">
        <v>466</v>
      </c>
      <c r="DB5" s="724" t="s">
        <v>66</v>
      </c>
      <c r="DC5" s="723" t="s">
        <v>62</v>
      </c>
      <c r="DD5" s="724" t="s">
        <v>465</v>
      </c>
      <c r="DE5" s="723" t="s">
        <v>466</v>
      </c>
      <c r="DF5" s="724" t="s">
        <v>66</v>
      </c>
      <c r="DG5" s="723" t="s">
        <v>62</v>
      </c>
      <c r="DH5" s="724" t="s">
        <v>465</v>
      </c>
      <c r="DI5" s="723" t="s">
        <v>466</v>
      </c>
      <c r="DJ5" s="724" t="s">
        <v>66</v>
      </c>
      <c r="DK5" s="723" t="s">
        <v>62</v>
      </c>
      <c r="DL5" s="724" t="s">
        <v>465</v>
      </c>
      <c r="DM5" s="723" t="s">
        <v>466</v>
      </c>
      <c r="DN5" s="724" t="s">
        <v>66</v>
      </c>
      <c r="DO5" s="723" t="s">
        <v>62</v>
      </c>
      <c r="DP5" s="724" t="s">
        <v>465</v>
      </c>
      <c r="DQ5" s="723" t="s">
        <v>466</v>
      </c>
      <c r="DR5" s="724" t="s">
        <v>66</v>
      </c>
      <c r="DS5" s="723" t="s">
        <v>62</v>
      </c>
      <c r="DT5" s="724" t="s">
        <v>465</v>
      </c>
      <c r="DU5" s="723" t="s">
        <v>466</v>
      </c>
      <c r="DV5" s="724" t="s">
        <v>66</v>
      </c>
      <c r="DW5" s="748" t="str">
        <f>CU3</f>
        <v>Semana 21</v>
      </c>
      <c r="DX5" s="1788"/>
      <c r="DY5" s="751" t="str">
        <f>CU3</f>
        <v>Semana 21</v>
      </c>
      <c r="DZ5" s="754" t="str">
        <f>CU3</f>
        <v>Semana 21</v>
      </c>
      <c r="EA5" s="706" t="s">
        <v>62</v>
      </c>
      <c r="EB5" s="707" t="s">
        <v>465</v>
      </c>
      <c r="EC5" s="706" t="s">
        <v>466</v>
      </c>
      <c r="ED5" s="707" t="s">
        <v>66</v>
      </c>
      <c r="EE5" s="668" t="s">
        <v>62</v>
      </c>
      <c r="EF5" s="1563" t="s">
        <v>465</v>
      </c>
      <c r="EG5" s="668" t="s">
        <v>466</v>
      </c>
      <c r="EH5" s="1563" t="s">
        <v>66</v>
      </c>
      <c r="EI5" s="668" t="s">
        <v>62</v>
      </c>
      <c r="EJ5" s="1563" t="s">
        <v>465</v>
      </c>
      <c r="EK5" s="668" t="s">
        <v>466</v>
      </c>
      <c r="EL5" s="1563" t="s">
        <v>66</v>
      </c>
      <c r="EM5" s="668" t="s">
        <v>62</v>
      </c>
      <c r="EN5" s="1563" t="s">
        <v>465</v>
      </c>
      <c r="EO5" s="668" t="s">
        <v>466</v>
      </c>
      <c r="EP5" s="1563" t="s">
        <v>66</v>
      </c>
      <c r="EQ5" s="668" t="s">
        <v>62</v>
      </c>
      <c r="ER5" s="1563" t="s">
        <v>465</v>
      </c>
      <c r="ES5" s="668" t="s">
        <v>466</v>
      </c>
      <c r="ET5" s="1563" t="s">
        <v>66</v>
      </c>
      <c r="EU5" s="668" t="s">
        <v>62</v>
      </c>
      <c r="EV5" s="1563" t="s">
        <v>465</v>
      </c>
      <c r="EW5" s="668" t="s">
        <v>466</v>
      </c>
      <c r="EX5" s="1563" t="s">
        <v>66</v>
      </c>
      <c r="EY5" s="668" t="s">
        <v>62</v>
      </c>
      <c r="EZ5" s="1563" t="s">
        <v>465</v>
      </c>
      <c r="FA5" s="668" t="s">
        <v>466</v>
      </c>
      <c r="FB5" s="1563" t="s">
        <v>66</v>
      </c>
      <c r="FC5" s="745" t="str">
        <f>EA3</f>
        <v>Semana 22</v>
      </c>
      <c r="FD5" s="1786"/>
      <c r="FE5" s="739" t="str">
        <f>EA3</f>
        <v>Semana 22</v>
      </c>
      <c r="FF5" s="742" t="str">
        <f>EA3</f>
        <v>Semana 22</v>
      </c>
      <c r="FG5" s="706" t="s">
        <v>62</v>
      </c>
      <c r="FH5" s="707" t="s">
        <v>465</v>
      </c>
      <c r="FI5" s="706" t="s">
        <v>466</v>
      </c>
      <c r="FJ5" s="707" t="s">
        <v>66</v>
      </c>
      <c r="FK5" s="668" t="s">
        <v>62</v>
      </c>
      <c r="FL5" s="1563" t="s">
        <v>465</v>
      </c>
      <c r="FM5" s="668" t="s">
        <v>466</v>
      </c>
      <c r="FN5" s="1563" t="s">
        <v>66</v>
      </c>
      <c r="FO5" s="668" t="s">
        <v>62</v>
      </c>
      <c r="FP5" s="1563" t="s">
        <v>465</v>
      </c>
      <c r="FQ5" s="668" t="s">
        <v>466</v>
      </c>
      <c r="FR5" s="1563" t="s">
        <v>66</v>
      </c>
      <c r="FS5" s="668" t="s">
        <v>62</v>
      </c>
      <c r="FT5" s="1563" t="s">
        <v>465</v>
      </c>
      <c r="FU5" s="668" t="s">
        <v>466</v>
      </c>
      <c r="FV5" s="1563" t="s">
        <v>66</v>
      </c>
      <c r="FW5" s="668" t="s">
        <v>62</v>
      </c>
      <c r="FX5" s="1563" t="s">
        <v>465</v>
      </c>
      <c r="FY5" s="668" t="s">
        <v>466</v>
      </c>
      <c r="FZ5" s="1563" t="s">
        <v>66</v>
      </c>
      <c r="GA5" s="668" t="s">
        <v>62</v>
      </c>
      <c r="GB5" s="1563" t="s">
        <v>465</v>
      </c>
      <c r="GC5" s="668" t="s">
        <v>466</v>
      </c>
      <c r="GD5" s="1563" t="s">
        <v>66</v>
      </c>
      <c r="GE5" s="668" t="s">
        <v>62</v>
      </c>
      <c r="GF5" s="1563" t="s">
        <v>465</v>
      </c>
      <c r="GG5" s="668" t="s">
        <v>466</v>
      </c>
      <c r="GH5" s="1563" t="s">
        <v>66</v>
      </c>
      <c r="GI5" s="745" t="str">
        <f>FG3</f>
        <v>Semana 23</v>
      </c>
      <c r="GJ5" s="1784"/>
      <c r="GK5" s="739" t="str">
        <f>FG3</f>
        <v>Semana 23</v>
      </c>
      <c r="GL5" s="742" t="str">
        <f>FG3</f>
        <v>Semana 23</v>
      </c>
      <c r="GM5" s="721" t="s">
        <v>62</v>
      </c>
      <c r="GN5" s="722" t="s">
        <v>465</v>
      </c>
      <c r="GO5" s="721" t="s">
        <v>466</v>
      </c>
      <c r="GP5" s="722" t="s">
        <v>66</v>
      </c>
      <c r="GQ5" s="723" t="s">
        <v>62</v>
      </c>
      <c r="GR5" s="724" t="s">
        <v>465</v>
      </c>
      <c r="GS5" s="723" t="s">
        <v>466</v>
      </c>
      <c r="GT5" s="724" t="s">
        <v>66</v>
      </c>
      <c r="GU5" s="723" t="s">
        <v>62</v>
      </c>
      <c r="GV5" s="724" t="s">
        <v>465</v>
      </c>
      <c r="GW5" s="723" t="s">
        <v>466</v>
      </c>
      <c r="GX5" s="724" t="s">
        <v>66</v>
      </c>
      <c r="GY5" s="723" t="s">
        <v>62</v>
      </c>
      <c r="GZ5" s="724" t="s">
        <v>465</v>
      </c>
      <c r="HA5" s="723" t="s">
        <v>466</v>
      </c>
      <c r="HB5" s="724" t="s">
        <v>66</v>
      </c>
      <c r="HC5" s="723" t="s">
        <v>62</v>
      </c>
      <c r="HD5" s="724" t="s">
        <v>465</v>
      </c>
      <c r="HE5" s="723" t="s">
        <v>466</v>
      </c>
      <c r="HF5" s="724" t="s">
        <v>66</v>
      </c>
      <c r="HG5" s="723" t="s">
        <v>62</v>
      </c>
      <c r="HH5" s="724" t="s">
        <v>465</v>
      </c>
      <c r="HI5" s="723" t="s">
        <v>466</v>
      </c>
      <c r="HJ5" s="724" t="s">
        <v>66</v>
      </c>
      <c r="HK5" s="723" t="s">
        <v>62</v>
      </c>
      <c r="HL5" s="724" t="s">
        <v>465</v>
      </c>
      <c r="HM5" s="723" t="s">
        <v>466</v>
      </c>
      <c r="HN5" s="724" t="s">
        <v>66</v>
      </c>
      <c r="HO5" s="748" t="str">
        <f>GM3</f>
        <v>Semana 24</v>
      </c>
      <c r="HP5" s="1803"/>
      <c r="HQ5" s="751" t="str">
        <f>GM3</f>
        <v>Semana 24</v>
      </c>
      <c r="HR5" s="754" t="str">
        <f>GM3</f>
        <v>Semana 24</v>
      </c>
      <c r="HS5" s="706" t="s">
        <v>62</v>
      </c>
      <c r="HT5" s="707" t="s">
        <v>465</v>
      </c>
      <c r="HU5" s="706" t="s">
        <v>466</v>
      </c>
      <c r="HV5" s="707" t="s">
        <v>66</v>
      </c>
      <c r="HW5" s="668" t="s">
        <v>62</v>
      </c>
      <c r="HX5" s="1563" t="s">
        <v>465</v>
      </c>
      <c r="HY5" s="668" t="s">
        <v>466</v>
      </c>
      <c r="HZ5" s="1563" t="s">
        <v>66</v>
      </c>
      <c r="IA5" s="668" t="s">
        <v>62</v>
      </c>
      <c r="IB5" s="1563" t="s">
        <v>465</v>
      </c>
      <c r="IC5" s="668" t="s">
        <v>466</v>
      </c>
      <c r="ID5" s="1563" t="s">
        <v>66</v>
      </c>
      <c r="IE5" s="668" t="s">
        <v>62</v>
      </c>
      <c r="IF5" s="1563" t="s">
        <v>465</v>
      </c>
      <c r="IG5" s="668" t="s">
        <v>466</v>
      </c>
      <c r="IH5" s="1563" t="s">
        <v>66</v>
      </c>
      <c r="II5" s="668" t="s">
        <v>62</v>
      </c>
      <c r="IJ5" s="1563" t="s">
        <v>465</v>
      </c>
      <c r="IK5" s="668" t="s">
        <v>466</v>
      </c>
      <c r="IL5" s="1563" t="s">
        <v>66</v>
      </c>
      <c r="IM5" s="668" t="s">
        <v>62</v>
      </c>
      <c r="IN5" s="1563" t="s">
        <v>465</v>
      </c>
      <c r="IO5" s="668" t="s">
        <v>466</v>
      </c>
      <c r="IP5" s="1563" t="s">
        <v>66</v>
      </c>
      <c r="IQ5" s="668" t="s">
        <v>62</v>
      </c>
      <c r="IR5" s="1563" t="s">
        <v>465</v>
      </c>
      <c r="IS5" s="668" t="s">
        <v>466</v>
      </c>
      <c r="IT5" s="1563" t="s">
        <v>66</v>
      </c>
      <c r="IU5" s="745" t="str">
        <f>HS3</f>
        <v>Semana 25</v>
      </c>
      <c r="IV5" s="1784"/>
      <c r="IW5" s="739" t="str">
        <f>HS3</f>
        <v>Semana 25</v>
      </c>
      <c r="IX5" s="742" t="str">
        <f>HS3</f>
        <v>Semana 25</v>
      </c>
      <c r="IY5" s="721" t="s">
        <v>62</v>
      </c>
      <c r="IZ5" s="722" t="s">
        <v>465</v>
      </c>
      <c r="JA5" s="721" t="s">
        <v>466</v>
      </c>
      <c r="JB5" s="722" t="s">
        <v>66</v>
      </c>
      <c r="JC5" s="723" t="s">
        <v>62</v>
      </c>
      <c r="JD5" s="724" t="s">
        <v>465</v>
      </c>
      <c r="JE5" s="723" t="s">
        <v>466</v>
      </c>
      <c r="JF5" s="724" t="s">
        <v>66</v>
      </c>
      <c r="JG5" s="723" t="s">
        <v>62</v>
      </c>
      <c r="JH5" s="724" t="s">
        <v>465</v>
      </c>
      <c r="JI5" s="723" t="s">
        <v>466</v>
      </c>
      <c r="JJ5" s="724" t="s">
        <v>66</v>
      </c>
      <c r="JK5" s="723" t="s">
        <v>62</v>
      </c>
      <c r="JL5" s="724" t="s">
        <v>465</v>
      </c>
      <c r="JM5" s="723" t="s">
        <v>466</v>
      </c>
      <c r="JN5" s="724" t="s">
        <v>66</v>
      </c>
      <c r="JO5" s="723" t="s">
        <v>62</v>
      </c>
      <c r="JP5" s="724" t="s">
        <v>465</v>
      </c>
      <c r="JQ5" s="723" t="s">
        <v>466</v>
      </c>
      <c r="JR5" s="724" t="s">
        <v>66</v>
      </c>
      <c r="JS5" s="723" t="s">
        <v>62</v>
      </c>
      <c r="JT5" s="724" t="s">
        <v>465</v>
      </c>
      <c r="JU5" s="723" t="s">
        <v>466</v>
      </c>
      <c r="JV5" s="724" t="s">
        <v>66</v>
      </c>
      <c r="JW5" s="723" t="s">
        <v>62</v>
      </c>
      <c r="JX5" s="724" t="s">
        <v>465</v>
      </c>
      <c r="JY5" s="723" t="s">
        <v>466</v>
      </c>
      <c r="JZ5" s="724" t="s">
        <v>66</v>
      </c>
      <c r="KA5" s="748" t="str">
        <f>IY3</f>
        <v>Semana 26</v>
      </c>
      <c r="KB5" s="1803"/>
      <c r="KC5" s="751" t="str">
        <f>IY3</f>
        <v>Semana 26</v>
      </c>
      <c r="KD5" s="754" t="str">
        <f>IY3</f>
        <v>Semana 26</v>
      </c>
      <c r="KE5" s="706" t="s">
        <v>62</v>
      </c>
      <c r="KF5" s="707" t="s">
        <v>465</v>
      </c>
      <c r="KG5" s="706" t="s">
        <v>466</v>
      </c>
      <c r="KH5" s="707" t="s">
        <v>66</v>
      </c>
      <c r="KI5" s="668" t="s">
        <v>62</v>
      </c>
      <c r="KJ5" s="1563" t="s">
        <v>465</v>
      </c>
      <c r="KK5" s="668" t="s">
        <v>466</v>
      </c>
      <c r="KL5" s="1563" t="s">
        <v>66</v>
      </c>
      <c r="KM5" s="668" t="s">
        <v>62</v>
      </c>
      <c r="KN5" s="1563" t="s">
        <v>465</v>
      </c>
      <c r="KO5" s="668" t="s">
        <v>466</v>
      </c>
      <c r="KP5" s="1563" t="s">
        <v>66</v>
      </c>
      <c r="KQ5" s="668" t="s">
        <v>62</v>
      </c>
      <c r="KR5" s="1563" t="s">
        <v>465</v>
      </c>
      <c r="KS5" s="668" t="s">
        <v>466</v>
      </c>
      <c r="KT5" s="1563" t="s">
        <v>66</v>
      </c>
      <c r="KU5" s="668" t="s">
        <v>62</v>
      </c>
      <c r="KV5" s="1563" t="s">
        <v>465</v>
      </c>
      <c r="KW5" s="668" t="s">
        <v>466</v>
      </c>
      <c r="KX5" s="1563" t="s">
        <v>66</v>
      </c>
      <c r="KY5" s="668" t="s">
        <v>62</v>
      </c>
      <c r="KZ5" s="1563" t="s">
        <v>465</v>
      </c>
      <c r="LA5" s="668" t="s">
        <v>466</v>
      </c>
      <c r="LB5" s="1563" t="s">
        <v>66</v>
      </c>
      <c r="LC5" s="668" t="s">
        <v>62</v>
      </c>
      <c r="LD5" s="1563" t="s">
        <v>465</v>
      </c>
      <c r="LE5" s="668" t="s">
        <v>466</v>
      </c>
      <c r="LF5" s="1563" t="s">
        <v>66</v>
      </c>
      <c r="LG5" s="745" t="str">
        <f>KE3</f>
        <v>Semana 27</v>
      </c>
      <c r="LH5" s="1784"/>
      <c r="LI5" s="739" t="str">
        <f>KE3</f>
        <v>Semana 27</v>
      </c>
      <c r="LJ5" s="742" t="str">
        <f>KE3</f>
        <v>Semana 27</v>
      </c>
      <c r="LK5" s="721" t="s">
        <v>62</v>
      </c>
      <c r="LL5" s="722" t="s">
        <v>465</v>
      </c>
      <c r="LM5" s="721" t="s">
        <v>466</v>
      </c>
      <c r="LN5" s="722" t="s">
        <v>66</v>
      </c>
      <c r="LO5" s="723" t="s">
        <v>62</v>
      </c>
      <c r="LP5" s="724" t="s">
        <v>465</v>
      </c>
      <c r="LQ5" s="723" t="s">
        <v>466</v>
      </c>
      <c r="LR5" s="724" t="s">
        <v>66</v>
      </c>
      <c r="LS5" s="723" t="s">
        <v>62</v>
      </c>
      <c r="LT5" s="724" t="s">
        <v>465</v>
      </c>
      <c r="LU5" s="723" t="s">
        <v>466</v>
      </c>
      <c r="LV5" s="724" t="s">
        <v>66</v>
      </c>
      <c r="LW5" s="723" t="s">
        <v>62</v>
      </c>
      <c r="LX5" s="724" t="s">
        <v>465</v>
      </c>
      <c r="LY5" s="723" t="s">
        <v>466</v>
      </c>
      <c r="LZ5" s="724" t="s">
        <v>66</v>
      </c>
      <c r="MA5" s="723" t="s">
        <v>62</v>
      </c>
      <c r="MB5" s="724" t="s">
        <v>465</v>
      </c>
      <c r="MC5" s="723" t="s">
        <v>466</v>
      </c>
      <c r="MD5" s="724" t="s">
        <v>66</v>
      </c>
      <c r="ME5" s="723" t="s">
        <v>62</v>
      </c>
      <c r="MF5" s="724" t="s">
        <v>465</v>
      </c>
      <c r="MG5" s="723" t="s">
        <v>466</v>
      </c>
      <c r="MH5" s="724" t="s">
        <v>66</v>
      </c>
      <c r="MI5" s="723" t="s">
        <v>62</v>
      </c>
      <c r="MJ5" s="724" t="s">
        <v>465</v>
      </c>
      <c r="MK5" s="723" t="s">
        <v>466</v>
      </c>
      <c r="ML5" s="724" t="s">
        <v>66</v>
      </c>
      <c r="MM5" s="748" t="str">
        <f>LK3</f>
        <v>Semana 28</v>
      </c>
      <c r="MN5" s="1803"/>
      <c r="MO5" s="751" t="str">
        <f>LK3</f>
        <v>Semana 28</v>
      </c>
      <c r="MP5" s="754" t="str">
        <f>LK3</f>
        <v>Semana 28</v>
      </c>
      <c r="MQ5" s="706" t="s">
        <v>62</v>
      </c>
      <c r="MR5" s="707" t="s">
        <v>465</v>
      </c>
      <c r="MS5" s="706" t="s">
        <v>466</v>
      </c>
      <c r="MT5" s="707" t="s">
        <v>66</v>
      </c>
      <c r="MU5" s="668" t="s">
        <v>62</v>
      </c>
      <c r="MV5" s="1563" t="s">
        <v>465</v>
      </c>
      <c r="MW5" s="668" t="s">
        <v>466</v>
      </c>
      <c r="MX5" s="1563" t="s">
        <v>66</v>
      </c>
      <c r="MY5" s="668" t="s">
        <v>62</v>
      </c>
      <c r="MZ5" s="1563" t="s">
        <v>465</v>
      </c>
      <c r="NA5" s="668" t="s">
        <v>466</v>
      </c>
      <c r="NB5" s="1563" t="s">
        <v>66</v>
      </c>
      <c r="NC5" s="668" t="s">
        <v>62</v>
      </c>
      <c r="ND5" s="1563" t="s">
        <v>465</v>
      </c>
      <c r="NE5" s="668" t="s">
        <v>466</v>
      </c>
      <c r="NF5" s="1563" t="s">
        <v>66</v>
      </c>
      <c r="NG5" s="668" t="s">
        <v>62</v>
      </c>
      <c r="NH5" s="1563" t="s">
        <v>465</v>
      </c>
      <c r="NI5" s="668" t="s">
        <v>466</v>
      </c>
      <c r="NJ5" s="1563" t="s">
        <v>66</v>
      </c>
      <c r="NK5" s="668" t="s">
        <v>62</v>
      </c>
      <c r="NL5" s="1563" t="s">
        <v>465</v>
      </c>
      <c r="NM5" s="668" t="s">
        <v>466</v>
      </c>
      <c r="NN5" s="1563" t="s">
        <v>66</v>
      </c>
      <c r="NO5" s="668" t="s">
        <v>62</v>
      </c>
      <c r="NP5" s="1563" t="s">
        <v>465</v>
      </c>
      <c r="NQ5" s="668" t="s">
        <v>466</v>
      </c>
      <c r="NR5" s="1563" t="s">
        <v>66</v>
      </c>
      <c r="NS5" s="745" t="str">
        <f>MQ3</f>
        <v>Semana 29</v>
      </c>
      <c r="NT5" s="1784"/>
      <c r="NU5" s="739" t="str">
        <f>MQ3</f>
        <v>Semana 29</v>
      </c>
      <c r="NV5" s="742" t="str">
        <f>MQ3</f>
        <v>Semana 29</v>
      </c>
      <c r="NW5" s="721" t="s">
        <v>62</v>
      </c>
      <c r="NX5" s="722" t="s">
        <v>465</v>
      </c>
      <c r="NY5" s="721" t="s">
        <v>466</v>
      </c>
      <c r="NZ5" s="722" t="s">
        <v>66</v>
      </c>
      <c r="OA5" s="723" t="s">
        <v>62</v>
      </c>
      <c r="OB5" s="724" t="s">
        <v>465</v>
      </c>
      <c r="OC5" s="723" t="s">
        <v>466</v>
      </c>
      <c r="OD5" s="724" t="s">
        <v>66</v>
      </c>
      <c r="OE5" s="723" t="s">
        <v>62</v>
      </c>
      <c r="OF5" s="724" t="s">
        <v>465</v>
      </c>
      <c r="OG5" s="723" t="s">
        <v>466</v>
      </c>
      <c r="OH5" s="724" t="s">
        <v>66</v>
      </c>
      <c r="OI5" s="723" t="s">
        <v>62</v>
      </c>
      <c r="OJ5" s="724" t="s">
        <v>465</v>
      </c>
      <c r="OK5" s="723" t="s">
        <v>466</v>
      </c>
      <c r="OL5" s="724" t="s">
        <v>66</v>
      </c>
      <c r="OM5" s="723" t="s">
        <v>62</v>
      </c>
      <c r="ON5" s="724" t="s">
        <v>465</v>
      </c>
      <c r="OO5" s="723" t="s">
        <v>466</v>
      </c>
      <c r="OP5" s="724" t="s">
        <v>66</v>
      </c>
      <c r="OQ5" s="723" t="s">
        <v>62</v>
      </c>
      <c r="OR5" s="724" t="s">
        <v>465</v>
      </c>
      <c r="OS5" s="723" t="s">
        <v>466</v>
      </c>
      <c r="OT5" s="724" t="s">
        <v>66</v>
      </c>
      <c r="OU5" s="723" t="s">
        <v>62</v>
      </c>
      <c r="OV5" s="724" t="s">
        <v>465</v>
      </c>
      <c r="OW5" s="723" t="s">
        <v>466</v>
      </c>
      <c r="OX5" s="724" t="s">
        <v>66</v>
      </c>
      <c r="OY5" s="748" t="str">
        <f>NW3</f>
        <v>Semana 30</v>
      </c>
      <c r="OZ5" s="1803"/>
      <c r="PA5" s="751" t="str">
        <f>NW3</f>
        <v>Semana 30</v>
      </c>
      <c r="PB5" s="754" t="str">
        <f>NW3</f>
        <v>Semana 30</v>
      </c>
      <c r="PC5" s="706" t="s">
        <v>62</v>
      </c>
      <c r="PD5" s="707" t="s">
        <v>465</v>
      </c>
      <c r="PE5" s="706" t="s">
        <v>466</v>
      </c>
      <c r="PF5" s="707" t="s">
        <v>66</v>
      </c>
      <c r="PG5" s="668" t="s">
        <v>62</v>
      </c>
      <c r="PH5" s="1563" t="s">
        <v>465</v>
      </c>
      <c r="PI5" s="668" t="s">
        <v>466</v>
      </c>
      <c r="PJ5" s="1563" t="s">
        <v>66</v>
      </c>
      <c r="PK5" s="668" t="s">
        <v>62</v>
      </c>
      <c r="PL5" s="1563" t="s">
        <v>465</v>
      </c>
      <c r="PM5" s="668" t="s">
        <v>466</v>
      </c>
      <c r="PN5" s="1563" t="s">
        <v>66</v>
      </c>
      <c r="PO5" s="668" t="s">
        <v>62</v>
      </c>
      <c r="PP5" s="1563" t="s">
        <v>465</v>
      </c>
      <c r="PQ5" s="668" t="s">
        <v>466</v>
      </c>
      <c r="PR5" s="1563" t="s">
        <v>66</v>
      </c>
      <c r="PS5" s="668" t="s">
        <v>62</v>
      </c>
      <c r="PT5" s="1563" t="s">
        <v>465</v>
      </c>
      <c r="PU5" s="668" t="s">
        <v>466</v>
      </c>
      <c r="PV5" s="1563" t="s">
        <v>66</v>
      </c>
      <c r="PW5" s="668" t="s">
        <v>62</v>
      </c>
      <c r="PX5" s="1563" t="s">
        <v>465</v>
      </c>
      <c r="PY5" s="668" t="s">
        <v>466</v>
      </c>
      <c r="PZ5" s="1563" t="s">
        <v>66</v>
      </c>
      <c r="QA5" s="668" t="s">
        <v>62</v>
      </c>
      <c r="QB5" s="1563" t="s">
        <v>465</v>
      </c>
      <c r="QC5" s="668" t="s">
        <v>466</v>
      </c>
      <c r="QD5" s="1563" t="s">
        <v>66</v>
      </c>
      <c r="QE5" s="745" t="str">
        <f>PC3</f>
        <v>Semana 31</v>
      </c>
      <c r="QF5" s="1784"/>
      <c r="QG5" s="739" t="str">
        <f>PC3</f>
        <v>Semana 31</v>
      </c>
      <c r="QH5" s="742" t="str">
        <f>PC3</f>
        <v>Semana 31</v>
      </c>
      <c r="QI5" s="721" t="s">
        <v>62</v>
      </c>
      <c r="QJ5" s="722" t="s">
        <v>465</v>
      </c>
      <c r="QK5" s="721" t="s">
        <v>466</v>
      </c>
      <c r="QL5" s="722" t="s">
        <v>66</v>
      </c>
      <c r="QM5" s="723" t="s">
        <v>62</v>
      </c>
      <c r="QN5" s="724" t="s">
        <v>465</v>
      </c>
      <c r="QO5" s="723" t="s">
        <v>466</v>
      </c>
      <c r="QP5" s="724" t="s">
        <v>66</v>
      </c>
      <c r="QQ5" s="723" t="s">
        <v>62</v>
      </c>
      <c r="QR5" s="724" t="s">
        <v>465</v>
      </c>
      <c r="QS5" s="723" t="s">
        <v>466</v>
      </c>
      <c r="QT5" s="724" t="s">
        <v>66</v>
      </c>
      <c r="QU5" s="723" t="s">
        <v>62</v>
      </c>
      <c r="QV5" s="724" t="s">
        <v>465</v>
      </c>
      <c r="QW5" s="723" t="s">
        <v>466</v>
      </c>
      <c r="QX5" s="724" t="s">
        <v>66</v>
      </c>
      <c r="QY5" s="723" t="s">
        <v>62</v>
      </c>
      <c r="QZ5" s="724" t="s">
        <v>465</v>
      </c>
      <c r="RA5" s="723" t="s">
        <v>466</v>
      </c>
      <c r="RB5" s="724" t="s">
        <v>66</v>
      </c>
      <c r="RC5" s="723" t="s">
        <v>62</v>
      </c>
      <c r="RD5" s="724" t="s">
        <v>465</v>
      </c>
      <c r="RE5" s="723" t="s">
        <v>466</v>
      </c>
      <c r="RF5" s="724" t="s">
        <v>66</v>
      </c>
      <c r="RG5" s="723" t="s">
        <v>62</v>
      </c>
      <c r="RH5" s="724" t="s">
        <v>465</v>
      </c>
      <c r="RI5" s="723" t="s">
        <v>466</v>
      </c>
      <c r="RJ5" s="724" t="s">
        <v>66</v>
      </c>
      <c r="RK5" s="748" t="str">
        <f>QI3</f>
        <v>Semana 32</v>
      </c>
      <c r="RL5" s="1793"/>
      <c r="RM5" s="751" t="str">
        <f>QI3</f>
        <v>Semana 32</v>
      </c>
      <c r="RN5" s="754" t="str">
        <f>QI3</f>
        <v>Semana 32</v>
      </c>
      <c r="RO5" s="706" t="s">
        <v>62</v>
      </c>
      <c r="RP5" s="707" t="s">
        <v>465</v>
      </c>
      <c r="RQ5" s="706" t="s">
        <v>466</v>
      </c>
      <c r="RR5" s="707" t="s">
        <v>66</v>
      </c>
      <c r="RS5" s="668" t="s">
        <v>62</v>
      </c>
      <c r="RT5" s="1563" t="s">
        <v>465</v>
      </c>
      <c r="RU5" s="668" t="s">
        <v>466</v>
      </c>
      <c r="RV5" s="1563" t="s">
        <v>66</v>
      </c>
      <c r="RW5" s="668" t="s">
        <v>62</v>
      </c>
      <c r="RX5" s="1563" t="s">
        <v>465</v>
      </c>
      <c r="RY5" s="668" t="s">
        <v>466</v>
      </c>
      <c r="RZ5" s="1563" t="s">
        <v>66</v>
      </c>
      <c r="SA5" s="668" t="s">
        <v>62</v>
      </c>
      <c r="SB5" s="1563" t="s">
        <v>465</v>
      </c>
      <c r="SC5" s="668" t="s">
        <v>466</v>
      </c>
      <c r="SD5" s="1563" t="s">
        <v>66</v>
      </c>
      <c r="SE5" s="668" t="s">
        <v>62</v>
      </c>
      <c r="SF5" s="1563" t="s">
        <v>465</v>
      </c>
      <c r="SG5" s="668" t="s">
        <v>466</v>
      </c>
      <c r="SH5" s="1563" t="s">
        <v>66</v>
      </c>
      <c r="SI5" s="668" t="s">
        <v>62</v>
      </c>
      <c r="SJ5" s="1563" t="s">
        <v>465</v>
      </c>
      <c r="SK5" s="668" t="s">
        <v>466</v>
      </c>
      <c r="SL5" s="1563" t="s">
        <v>66</v>
      </c>
      <c r="SM5" s="668" t="s">
        <v>62</v>
      </c>
      <c r="SN5" s="1563" t="s">
        <v>465</v>
      </c>
      <c r="SO5" s="668" t="s">
        <v>466</v>
      </c>
      <c r="SP5" s="1563" t="s">
        <v>66</v>
      </c>
      <c r="SQ5" s="745" t="str">
        <f>RO3</f>
        <v>Semana 33</v>
      </c>
      <c r="SR5" s="1786"/>
      <c r="SS5" s="739" t="str">
        <f>RO3</f>
        <v>Semana 33</v>
      </c>
      <c r="ST5" s="742" t="str">
        <f>RO3</f>
        <v>Semana 33</v>
      </c>
      <c r="SU5" s="721" t="s">
        <v>62</v>
      </c>
      <c r="SV5" s="722" t="s">
        <v>465</v>
      </c>
      <c r="SW5" s="721" t="s">
        <v>466</v>
      </c>
      <c r="SX5" s="722" t="s">
        <v>66</v>
      </c>
      <c r="SY5" s="723" t="s">
        <v>62</v>
      </c>
      <c r="SZ5" s="724" t="s">
        <v>465</v>
      </c>
      <c r="TA5" s="723" t="s">
        <v>466</v>
      </c>
      <c r="TB5" s="724" t="s">
        <v>66</v>
      </c>
      <c r="TC5" s="723" t="s">
        <v>62</v>
      </c>
      <c r="TD5" s="724" t="s">
        <v>465</v>
      </c>
      <c r="TE5" s="723" t="s">
        <v>466</v>
      </c>
      <c r="TF5" s="724" t="s">
        <v>66</v>
      </c>
      <c r="TG5" s="723" t="s">
        <v>62</v>
      </c>
      <c r="TH5" s="724" t="s">
        <v>465</v>
      </c>
      <c r="TI5" s="723" t="s">
        <v>466</v>
      </c>
      <c r="TJ5" s="724" t="s">
        <v>66</v>
      </c>
      <c r="TK5" s="723" t="s">
        <v>62</v>
      </c>
      <c r="TL5" s="724" t="s">
        <v>465</v>
      </c>
      <c r="TM5" s="723" t="s">
        <v>466</v>
      </c>
      <c r="TN5" s="724" t="s">
        <v>66</v>
      </c>
      <c r="TO5" s="723" t="s">
        <v>62</v>
      </c>
      <c r="TP5" s="724" t="s">
        <v>465</v>
      </c>
      <c r="TQ5" s="723" t="s">
        <v>466</v>
      </c>
      <c r="TR5" s="724" t="s">
        <v>66</v>
      </c>
      <c r="TS5" s="723" t="s">
        <v>62</v>
      </c>
      <c r="TT5" s="724" t="s">
        <v>465</v>
      </c>
      <c r="TU5" s="723" t="s">
        <v>466</v>
      </c>
      <c r="TV5" s="724" t="s">
        <v>66</v>
      </c>
      <c r="TW5" s="748" t="str">
        <f>SU3</f>
        <v>Semana 34</v>
      </c>
      <c r="TX5" s="1788"/>
      <c r="TY5" s="751" t="str">
        <f>SU3</f>
        <v>Semana 34</v>
      </c>
      <c r="TZ5" s="754" t="str">
        <f>SU3</f>
        <v>Semana 34</v>
      </c>
      <c r="UA5" s="706" t="s">
        <v>62</v>
      </c>
      <c r="UB5" s="707" t="s">
        <v>465</v>
      </c>
      <c r="UC5" s="706" t="s">
        <v>466</v>
      </c>
      <c r="UD5" s="707" t="s">
        <v>66</v>
      </c>
      <c r="UE5" s="668" t="s">
        <v>62</v>
      </c>
      <c r="UF5" s="1563" t="s">
        <v>465</v>
      </c>
      <c r="UG5" s="668" t="s">
        <v>466</v>
      </c>
      <c r="UH5" s="1563" t="s">
        <v>66</v>
      </c>
      <c r="UI5" s="668" t="s">
        <v>62</v>
      </c>
      <c r="UJ5" s="1563" t="s">
        <v>465</v>
      </c>
      <c r="UK5" s="668" t="s">
        <v>466</v>
      </c>
      <c r="UL5" s="1563" t="s">
        <v>66</v>
      </c>
      <c r="UM5" s="668" t="s">
        <v>62</v>
      </c>
      <c r="UN5" s="1563" t="s">
        <v>465</v>
      </c>
      <c r="UO5" s="668" t="s">
        <v>466</v>
      </c>
      <c r="UP5" s="1563" t="s">
        <v>66</v>
      </c>
      <c r="UQ5" s="668" t="s">
        <v>62</v>
      </c>
      <c r="UR5" s="1563" t="s">
        <v>465</v>
      </c>
      <c r="US5" s="668" t="s">
        <v>466</v>
      </c>
      <c r="UT5" s="1563" t="s">
        <v>66</v>
      </c>
      <c r="UU5" s="668" t="s">
        <v>62</v>
      </c>
      <c r="UV5" s="1563" t="s">
        <v>465</v>
      </c>
      <c r="UW5" s="668" t="s">
        <v>466</v>
      </c>
      <c r="UX5" s="1563" t="s">
        <v>66</v>
      </c>
      <c r="UY5" s="668" t="s">
        <v>62</v>
      </c>
      <c r="UZ5" s="1563" t="s">
        <v>465</v>
      </c>
      <c r="VA5" s="668" t="s">
        <v>466</v>
      </c>
      <c r="VB5" s="1563" t="s">
        <v>66</v>
      </c>
      <c r="VC5" s="745" t="str">
        <f>UA3</f>
        <v>Semana 35</v>
      </c>
      <c r="VD5" s="1786"/>
      <c r="VE5" s="739" t="str">
        <f>UA3</f>
        <v>Semana 35</v>
      </c>
      <c r="VF5" s="742" t="str">
        <f>UA3</f>
        <v>Semana 35</v>
      </c>
      <c r="VG5" s="706" t="s">
        <v>62</v>
      </c>
      <c r="VH5" s="707" t="s">
        <v>465</v>
      </c>
      <c r="VI5" s="706" t="s">
        <v>466</v>
      </c>
      <c r="VJ5" s="707" t="s">
        <v>66</v>
      </c>
      <c r="VK5" s="668" t="s">
        <v>62</v>
      </c>
      <c r="VL5" s="1563" t="s">
        <v>465</v>
      </c>
      <c r="VM5" s="668" t="s">
        <v>466</v>
      </c>
      <c r="VN5" s="1563" t="s">
        <v>66</v>
      </c>
      <c r="VO5" s="668" t="s">
        <v>62</v>
      </c>
      <c r="VP5" s="1563" t="s">
        <v>465</v>
      </c>
      <c r="VQ5" s="668" t="s">
        <v>466</v>
      </c>
      <c r="VR5" s="1563" t="s">
        <v>66</v>
      </c>
      <c r="VS5" s="668" t="s">
        <v>62</v>
      </c>
      <c r="VT5" s="1563" t="s">
        <v>465</v>
      </c>
      <c r="VU5" s="668" t="s">
        <v>466</v>
      </c>
      <c r="VV5" s="1563" t="s">
        <v>66</v>
      </c>
      <c r="VW5" s="668" t="s">
        <v>62</v>
      </c>
      <c r="VX5" s="1563" t="s">
        <v>465</v>
      </c>
      <c r="VY5" s="668" t="s">
        <v>466</v>
      </c>
      <c r="VZ5" s="1563" t="s">
        <v>66</v>
      </c>
      <c r="WA5" s="668" t="s">
        <v>62</v>
      </c>
      <c r="WB5" s="1563" t="s">
        <v>465</v>
      </c>
      <c r="WC5" s="668" t="s">
        <v>466</v>
      </c>
      <c r="WD5" s="1563" t="s">
        <v>66</v>
      </c>
      <c r="WE5" s="668" t="s">
        <v>62</v>
      </c>
      <c r="WF5" s="1563" t="s">
        <v>465</v>
      </c>
      <c r="WG5" s="668" t="s">
        <v>466</v>
      </c>
      <c r="WH5" s="1563" t="s">
        <v>66</v>
      </c>
      <c r="WI5" s="745" t="str">
        <f>VG3</f>
        <v>Semana 36</v>
      </c>
      <c r="WJ5" s="1784"/>
      <c r="WK5" s="739" t="str">
        <f>VG3</f>
        <v>Semana 36</v>
      </c>
      <c r="WL5" s="742" t="str">
        <f>VG3</f>
        <v>Semana 36</v>
      </c>
      <c r="WM5" s="721" t="s">
        <v>62</v>
      </c>
      <c r="WN5" s="722" t="s">
        <v>465</v>
      </c>
      <c r="WO5" s="721" t="s">
        <v>466</v>
      </c>
      <c r="WP5" s="722" t="s">
        <v>66</v>
      </c>
      <c r="WQ5" s="723" t="s">
        <v>62</v>
      </c>
      <c r="WR5" s="724" t="s">
        <v>465</v>
      </c>
      <c r="WS5" s="723" t="s">
        <v>466</v>
      </c>
      <c r="WT5" s="724" t="s">
        <v>66</v>
      </c>
      <c r="WU5" s="723" t="s">
        <v>62</v>
      </c>
      <c r="WV5" s="724" t="s">
        <v>465</v>
      </c>
      <c r="WW5" s="723" t="s">
        <v>466</v>
      </c>
      <c r="WX5" s="724" t="s">
        <v>66</v>
      </c>
      <c r="WY5" s="723" t="s">
        <v>62</v>
      </c>
      <c r="WZ5" s="724" t="s">
        <v>465</v>
      </c>
      <c r="XA5" s="723" t="s">
        <v>466</v>
      </c>
      <c r="XB5" s="724" t="s">
        <v>66</v>
      </c>
      <c r="XC5" s="723" t="s">
        <v>62</v>
      </c>
      <c r="XD5" s="724" t="s">
        <v>465</v>
      </c>
      <c r="XE5" s="723" t="s">
        <v>466</v>
      </c>
      <c r="XF5" s="724" t="s">
        <v>66</v>
      </c>
      <c r="XG5" s="723" t="s">
        <v>62</v>
      </c>
      <c r="XH5" s="724" t="s">
        <v>465</v>
      </c>
      <c r="XI5" s="723" t="s">
        <v>466</v>
      </c>
      <c r="XJ5" s="724" t="s">
        <v>66</v>
      </c>
      <c r="XK5" s="723" t="s">
        <v>62</v>
      </c>
      <c r="XL5" s="724" t="s">
        <v>465</v>
      </c>
      <c r="XM5" s="723" t="s">
        <v>466</v>
      </c>
      <c r="XN5" s="724" t="s">
        <v>66</v>
      </c>
      <c r="XO5" s="748" t="str">
        <f>WM3</f>
        <v>Semana 37</v>
      </c>
      <c r="XP5" s="1803"/>
      <c r="XQ5" s="751" t="str">
        <f>WM3</f>
        <v>Semana 37</v>
      </c>
      <c r="XR5" s="754" t="str">
        <f>WM3</f>
        <v>Semana 37</v>
      </c>
      <c r="XS5" s="706" t="s">
        <v>62</v>
      </c>
      <c r="XT5" s="707" t="s">
        <v>465</v>
      </c>
      <c r="XU5" s="706" t="s">
        <v>466</v>
      </c>
      <c r="XV5" s="707" t="s">
        <v>66</v>
      </c>
      <c r="XW5" s="668" t="s">
        <v>62</v>
      </c>
      <c r="XX5" s="1563" t="s">
        <v>465</v>
      </c>
      <c r="XY5" s="668" t="s">
        <v>466</v>
      </c>
      <c r="XZ5" s="1563" t="s">
        <v>66</v>
      </c>
      <c r="YA5" s="668" t="s">
        <v>62</v>
      </c>
      <c r="YB5" s="1563" t="s">
        <v>465</v>
      </c>
      <c r="YC5" s="668" t="s">
        <v>466</v>
      </c>
      <c r="YD5" s="1563" t="s">
        <v>66</v>
      </c>
      <c r="YE5" s="668" t="s">
        <v>62</v>
      </c>
      <c r="YF5" s="1563" t="s">
        <v>465</v>
      </c>
      <c r="YG5" s="668" t="s">
        <v>466</v>
      </c>
      <c r="YH5" s="1563" t="s">
        <v>66</v>
      </c>
      <c r="YI5" s="668" t="s">
        <v>62</v>
      </c>
      <c r="YJ5" s="1563" t="s">
        <v>465</v>
      </c>
      <c r="YK5" s="668" t="s">
        <v>466</v>
      </c>
      <c r="YL5" s="1563" t="s">
        <v>66</v>
      </c>
      <c r="YM5" s="668" t="s">
        <v>62</v>
      </c>
      <c r="YN5" s="1563" t="s">
        <v>465</v>
      </c>
      <c r="YO5" s="668" t="s">
        <v>466</v>
      </c>
      <c r="YP5" s="1563" t="s">
        <v>66</v>
      </c>
      <c r="YQ5" s="668" t="s">
        <v>62</v>
      </c>
      <c r="YR5" s="1563" t="s">
        <v>465</v>
      </c>
      <c r="YS5" s="668" t="s">
        <v>466</v>
      </c>
      <c r="YT5" s="1563" t="s">
        <v>66</v>
      </c>
      <c r="YU5" s="745" t="str">
        <f>XS3</f>
        <v>Semana 38</v>
      </c>
      <c r="YV5" s="1784"/>
      <c r="YW5" s="739" t="str">
        <f>XS3</f>
        <v>Semana 38</v>
      </c>
      <c r="YX5" s="742" t="str">
        <f>XS3</f>
        <v>Semana 38</v>
      </c>
      <c r="YY5" s="721" t="s">
        <v>62</v>
      </c>
      <c r="YZ5" s="722" t="s">
        <v>465</v>
      </c>
      <c r="ZA5" s="721" t="s">
        <v>466</v>
      </c>
      <c r="ZB5" s="722" t="s">
        <v>66</v>
      </c>
      <c r="ZC5" s="723" t="s">
        <v>62</v>
      </c>
      <c r="ZD5" s="724" t="s">
        <v>465</v>
      </c>
      <c r="ZE5" s="723" t="s">
        <v>466</v>
      </c>
      <c r="ZF5" s="724" t="s">
        <v>66</v>
      </c>
      <c r="ZG5" s="723" t="s">
        <v>62</v>
      </c>
      <c r="ZH5" s="724" t="s">
        <v>465</v>
      </c>
      <c r="ZI5" s="723" t="s">
        <v>466</v>
      </c>
      <c r="ZJ5" s="724" t="s">
        <v>66</v>
      </c>
      <c r="ZK5" s="723" t="s">
        <v>62</v>
      </c>
      <c r="ZL5" s="724" t="s">
        <v>465</v>
      </c>
      <c r="ZM5" s="723" t="s">
        <v>466</v>
      </c>
      <c r="ZN5" s="724" t="s">
        <v>66</v>
      </c>
      <c r="ZO5" s="723" t="s">
        <v>62</v>
      </c>
      <c r="ZP5" s="724" t="s">
        <v>465</v>
      </c>
      <c r="ZQ5" s="723" t="s">
        <v>466</v>
      </c>
      <c r="ZR5" s="724" t="s">
        <v>66</v>
      </c>
      <c r="ZS5" s="723" t="s">
        <v>62</v>
      </c>
      <c r="ZT5" s="724" t="s">
        <v>465</v>
      </c>
      <c r="ZU5" s="723" t="s">
        <v>466</v>
      </c>
      <c r="ZV5" s="724" t="s">
        <v>66</v>
      </c>
      <c r="ZW5" s="723" t="s">
        <v>62</v>
      </c>
      <c r="ZX5" s="724" t="s">
        <v>465</v>
      </c>
      <c r="ZY5" s="723" t="s">
        <v>466</v>
      </c>
      <c r="ZZ5" s="724" t="s">
        <v>66</v>
      </c>
      <c r="AAA5" s="748" t="str">
        <f>YY3</f>
        <v>Semana 39</v>
      </c>
      <c r="AAB5" s="1803"/>
      <c r="AAC5" s="751" t="str">
        <f>YY3</f>
        <v>Semana 39</v>
      </c>
      <c r="AAD5" s="754" t="str">
        <f>YY3</f>
        <v>Semana 39</v>
      </c>
      <c r="AAE5" s="706" t="s">
        <v>62</v>
      </c>
      <c r="AAF5" s="707" t="s">
        <v>465</v>
      </c>
      <c r="AAG5" s="706" t="s">
        <v>466</v>
      </c>
      <c r="AAH5" s="707" t="s">
        <v>66</v>
      </c>
      <c r="AAI5" s="668" t="s">
        <v>62</v>
      </c>
      <c r="AAJ5" s="1563" t="s">
        <v>465</v>
      </c>
      <c r="AAK5" s="668" t="s">
        <v>466</v>
      </c>
      <c r="AAL5" s="1563" t="s">
        <v>66</v>
      </c>
      <c r="AAM5" s="668" t="s">
        <v>62</v>
      </c>
      <c r="AAN5" s="1563" t="s">
        <v>465</v>
      </c>
      <c r="AAO5" s="668" t="s">
        <v>466</v>
      </c>
      <c r="AAP5" s="1563" t="s">
        <v>66</v>
      </c>
      <c r="AAQ5" s="668" t="s">
        <v>62</v>
      </c>
      <c r="AAR5" s="1563" t="s">
        <v>465</v>
      </c>
      <c r="AAS5" s="668" t="s">
        <v>466</v>
      </c>
      <c r="AAT5" s="1563" t="s">
        <v>66</v>
      </c>
      <c r="AAU5" s="668" t="s">
        <v>62</v>
      </c>
      <c r="AAV5" s="1563" t="s">
        <v>465</v>
      </c>
      <c r="AAW5" s="668" t="s">
        <v>466</v>
      </c>
      <c r="AAX5" s="1563" t="s">
        <v>66</v>
      </c>
      <c r="AAY5" s="668" t="s">
        <v>62</v>
      </c>
      <c r="AAZ5" s="1563" t="s">
        <v>465</v>
      </c>
      <c r="ABA5" s="668" t="s">
        <v>466</v>
      </c>
      <c r="ABB5" s="1563" t="s">
        <v>66</v>
      </c>
      <c r="ABC5" s="668" t="s">
        <v>62</v>
      </c>
      <c r="ABD5" s="1563" t="s">
        <v>465</v>
      </c>
      <c r="ABE5" s="668" t="s">
        <v>466</v>
      </c>
      <c r="ABF5" s="1563" t="s">
        <v>66</v>
      </c>
      <c r="ABG5" s="745" t="str">
        <f>AAE3</f>
        <v>Semana 40</v>
      </c>
      <c r="ABH5" s="1784"/>
      <c r="ABI5" s="739" t="str">
        <f>AAE3</f>
        <v>Semana 40</v>
      </c>
      <c r="ABJ5" s="742" t="str">
        <f>AAE3</f>
        <v>Semana 40</v>
      </c>
      <c r="ABK5" s="721" t="s">
        <v>62</v>
      </c>
      <c r="ABL5" s="722" t="s">
        <v>465</v>
      </c>
      <c r="ABM5" s="721" t="s">
        <v>466</v>
      </c>
      <c r="ABN5" s="722" t="s">
        <v>66</v>
      </c>
      <c r="ABO5" s="723" t="s">
        <v>62</v>
      </c>
      <c r="ABP5" s="724" t="s">
        <v>465</v>
      </c>
      <c r="ABQ5" s="723" t="s">
        <v>466</v>
      </c>
      <c r="ABR5" s="724" t="s">
        <v>66</v>
      </c>
      <c r="ABS5" s="723" t="s">
        <v>62</v>
      </c>
      <c r="ABT5" s="724" t="s">
        <v>465</v>
      </c>
      <c r="ABU5" s="723" t="s">
        <v>466</v>
      </c>
      <c r="ABV5" s="724" t="s">
        <v>66</v>
      </c>
      <c r="ABW5" s="723" t="s">
        <v>62</v>
      </c>
      <c r="ABX5" s="724" t="s">
        <v>465</v>
      </c>
      <c r="ABY5" s="723" t="s">
        <v>466</v>
      </c>
      <c r="ABZ5" s="724" t="s">
        <v>66</v>
      </c>
      <c r="ACA5" s="723" t="s">
        <v>62</v>
      </c>
      <c r="ACB5" s="724" t="s">
        <v>465</v>
      </c>
      <c r="ACC5" s="723" t="s">
        <v>466</v>
      </c>
      <c r="ACD5" s="724" t="s">
        <v>66</v>
      </c>
      <c r="ACE5" s="723" t="s">
        <v>62</v>
      </c>
      <c r="ACF5" s="724" t="s">
        <v>465</v>
      </c>
      <c r="ACG5" s="723" t="s">
        <v>466</v>
      </c>
      <c r="ACH5" s="724" t="s">
        <v>66</v>
      </c>
      <c r="ACI5" s="723" t="s">
        <v>62</v>
      </c>
      <c r="ACJ5" s="724" t="s">
        <v>465</v>
      </c>
      <c r="ACK5" s="723" t="s">
        <v>466</v>
      </c>
      <c r="ACL5" s="724" t="s">
        <v>66</v>
      </c>
      <c r="ACM5" s="748" t="str">
        <f>ABK3</f>
        <v>Semana 41</v>
      </c>
      <c r="ACN5" s="1803"/>
      <c r="ACO5" s="751" t="str">
        <f>ABK3</f>
        <v>Semana 41</v>
      </c>
      <c r="ACP5" s="754" t="str">
        <f>ABK3</f>
        <v>Semana 41</v>
      </c>
      <c r="ACQ5" s="706" t="s">
        <v>62</v>
      </c>
      <c r="ACR5" s="707" t="s">
        <v>465</v>
      </c>
      <c r="ACS5" s="706" t="s">
        <v>466</v>
      </c>
      <c r="ACT5" s="707" t="s">
        <v>66</v>
      </c>
      <c r="ACU5" s="668" t="s">
        <v>62</v>
      </c>
      <c r="ACV5" s="1563" t="s">
        <v>465</v>
      </c>
      <c r="ACW5" s="668" t="s">
        <v>466</v>
      </c>
      <c r="ACX5" s="1563" t="s">
        <v>66</v>
      </c>
      <c r="ACY5" s="668" t="s">
        <v>62</v>
      </c>
      <c r="ACZ5" s="1563" t="s">
        <v>465</v>
      </c>
      <c r="ADA5" s="668" t="s">
        <v>466</v>
      </c>
      <c r="ADB5" s="1563" t="s">
        <v>66</v>
      </c>
      <c r="ADC5" s="668" t="s">
        <v>62</v>
      </c>
      <c r="ADD5" s="1563" t="s">
        <v>465</v>
      </c>
      <c r="ADE5" s="668" t="s">
        <v>466</v>
      </c>
      <c r="ADF5" s="1563" t="s">
        <v>66</v>
      </c>
      <c r="ADG5" s="668" t="s">
        <v>62</v>
      </c>
      <c r="ADH5" s="1563" t="s">
        <v>465</v>
      </c>
      <c r="ADI5" s="668" t="s">
        <v>466</v>
      </c>
      <c r="ADJ5" s="1563" t="s">
        <v>66</v>
      </c>
      <c r="ADK5" s="668" t="s">
        <v>62</v>
      </c>
      <c r="ADL5" s="1563" t="s">
        <v>465</v>
      </c>
      <c r="ADM5" s="668" t="s">
        <v>466</v>
      </c>
      <c r="ADN5" s="1563" t="s">
        <v>66</v>
      </c>
      <c r="ADO5" s="668" t="s">
        <v>62</v>
      </c>
      <c r="ADP5" s="1563" t="s">
        <v>465</v>
      </c>
      <c r="ADQ5" s="668" t="s">
        <v>466</v>
      </c>
      <c r="ADR5" s="1563" t="s">
        <v>66</v>
      </c>
      <c r="ADS5" s="745" t="str">
        <f>ACQ3</f>
        <v>Semana 42</v>
      </c>
      <c r="ADT5" s="1784"/>
      <c r="ADU5" s="739" t="str">
        <f>ACQ3</f>
        <v>Semana 42</v>
      </c>
      <c r="ADV5" s="742" t="str">
        <f>ACQ3</f>
        <v>Semana 42</v>
      </c>
      <c r="ADW5" s="721" t="s">
        <v>62</v>
      </c>
      <c r="ADX5" s="722" t="s">
        <v>465</v>
      </c>
      <c r="ADY5" s="721" t="s">
        <v>466</v>
      </c>
      <c r="ADZ5" s="722" t="s">
        <v>66</v>
      </c>
      <c r="AEA5" s="723" t="s">
        <v>62</v>
      </c>
      <c r="AEB5" s="724" t="s">
        <v>465</v>
      </c>
      <c r="AEC5" s="723" t="s">
        <v>466</v>
      </c>
      <c r="AED5" s="724" t="s">
        <v>66</v>
      </c>
      <c r="AEE5" s="723" t="s">
        <v>62</v>
      </c>
      <c r="AEF5" s="724" t="s">
        <v>465</v>
      </c>
      <c r="AEG5" s="723" t="s">
        <v>466</v>
      </c>
      <c r="AEH5" s="724" t="s">
        <v>66</v>
      </c>
      <c r="AEI5" s="723" t="s">
        <v>62</v>
      </c>
      <c r="AEJ5" s="724" t="s">
        <v>465</v>
      </c>
      <c r="AEK5" s="723" t="s">
        <v>466</v>
      </c>
      <c r="AEL5" s="724" t="s">
        <v>66</v>
      </c>
      <c r="AEM5" s="723" t="s">
        <v>62</v>
      </c>
      <c r="AEN5" s="724" t="s">
        <v>465</v>
      </c>
      <c r="AEO5" s="723" t="s">
        <v>466</v>
      </c>
      <c r="AEP5" s="724" t="s">
        <v>66</v>
      </c>
      <c r="AEQ5" s="723" t="s">
        <v>62</v>
      </c>
      <c r="AER5" s="724" t="s">
        <v>465</v>
      </c>
      <c r="AES5" s="723" t="s">
        <v>466</v>
      </c>
      <c r="AET5" s="724" t="s">
        <v>66</v>
      </c>
      <c r="AEU5" s="723" t="s">
        <v>62</v>
      </c>
      <c r="AEV5" s="724" t="s">
        <v>465</v>
      </c>
      <c r="AEW5" s="723" t="s">
        <v>466</v>
      </c>
      <c r="AEX5" s="724" t="s">
        <v>66</v>
      </c>
      <c r="AEY5" s="748" t="str">
        <f>ADW3</f>
        <v>Semana 43</v>
      </c>
      <c r="AEZ5" s="1803"/>
      <c r="AFA5" s="751" t="str">
        <f>ADW3</f>
        <v>Semana 43</v>
      </c>
      <c r="AFB5" s="754" t="str">
        <f>ADW3</f>
        <v>Semana 43</v>
      </c>
      <c r="AFC5" s="706" t="s">
        <v>62</v>
      </c>
      <c r="AFD5" s="707" t="s">
        <v>465</v>
      </c>
      <c r="AFE5" s="706" t="s">
        <v>466</v>
      </c>
      <c r="AFF5" s="707" t="s">
        <v>66</v>
      </c>
      <c r="AFG5" s="668" t="s">
        <v>62</v>
      </c>
      <c r="AFH5" s="1563" t="s">
        <v>465</v>
      </c>
      <c r="AFI5" s="668" t="s">
        <v>466</v>
      </c>
      <c r="AFJ5" s="1563" t="s">
        <v>66</v>
      </c>
      <c r="AFK5" s="668" t="s">
        <v>62</v>
      </c>
      <c r="AFL5" s="1563" t="s">
        <v>465</v>
      </c>
      <c r="AFM5" s="668" t="s">
        <v>466</v>
      </c>
      <c r="AFN5" s="1563" t="s">
        <v>66</v>
      </c>
      <c r="AFO5" s="668" t="s">
        <v>62</v>
      </c>
      <c r="AFP5" s="1563" t="s">
        <v>465</v>
      </c>
      <c r="AFQ5" s="668" t="s">
        <v>466</v>
      </c>
      <c r="AFR5" s="1563" t="s">
        <v>66</v>
      </c>
      <c r="AFS5" s="668" t="s">
        <v>62</v>
      </c>
      <c r="AFT5" s="1563" t="s">
        <v>465</v>
      </c>
      <c r="AFU5" s="668" t="s">
        <v>466</v>
      </c>
      <c r="AFV5" s="1563" t="s">
        <v>66</v>
      </c>
      <c r="AFW5" s="668" t="s">
        <v>62</v>
      </c>
      <c r="AFX5" s="1563" t="s">
        <v>465</v>
      </c>
      <c r="AFY5" s="668" t="s">
        <v>466</v>
      </c>
      <c r="AFZ5" s="1563" t="s">
        <v>66</v>
      </c>
      <c r="AGA5" s="668" t="s">
        <v>62</v>
      </c>
      <c r="AGB5" s="1563" t="s">
        <v>465</v>
      </c>
      <c r="AGC5" s="668" t="s">
        <v>466</v>
      </c>
      <c r="AGD5" s="1563" t="s">
        <v>66</v>
      </c>
      <c r="AGE5" s="745" t="str">
        <f>AFC3</f>
        <v>Semana 44</v>
      </c>
      <c r="AGF5" s="1784"/>
      <c r="AGG5" s="739" t="str">
        <f>AFC3</f>
        <v>Semana 44</v>
      </c>
      <c r="AGH5" s="742" t="str">
        <f>AFC3</f>
        <v>Semana 44</v>
      </c>
      <c r="AGI5" s="721" t="s">
        <v>62</v>
      </c>
      <c r="AGJ5" s="722" t="s">
        <v>465</v>
      </c>
      <c r="AGK5" s="721" t="s">
        <v>466</v>
      </c>
      <c r="AGL5" s="722" t="s">
        <v>66</v>
      </c>
      <c r="AGM5" s="723" t="s">
        <v>62</v>
      </c>
      <c r="AGN5" s="724" t="s">
        <v>465</v>
      </c>
      <c r="AGO5" s="723" t="s">
        <v>466</v>
      </c>
      <c r="AGP5" s="724" t="s">
        <v>66</v>
      </c>
      <c r="AGQ5" s="723" t="s">
        <v>62</v>
      </c>
      <c r="AGR5" s="724" t="s">
        <v>465</v>
      </c>
      <c r="AGS5" s="723" t="s">
        <v>466</v>
      </c>
      <c r="AGT5" s="724" t="s">
        <v>66</v>
      </c>
      <c r="AGU5" s="723" t="s">
        <v>62</v>
      </c>
      <c r="AGV5" s="724" t="s">
        <v>465</v>
      </c>
      <c r="AGW5" s="723" t="s">
        <v>466</v>
      </c>
      <c r="AGX5" s="724" t="s">
        <v>66</v>
      </c>
      <c r="AGY5" s="723" t="s">
        <v>62</v>
      </c>
      <c r="AGZ5" s="724" t="s">
        <v>465</v>
      </c>
      <c r="AHA5" s="723" t="s">
        <v>466</v>
      </c>
      <c r="AHB5" s="724" t="s">
        <v>66</v>
      </c>
      <c r="AHC5" s="723" t="s">
        <v>62</v>
      </c>
      <c r="AHD5" s="724" t="s">
        <v>465</v>
      </c>
      <c r="AHE5" s="723" t="s">
        <v>466</v>
      </c>
      <c r="AHF5" s="724" t="s">
        <v>66</v>
      </c>
      <c r="AHG5" s="723" t="s">
        <v>62</v>
      </c>
      <c r="AHH5" s="724" t="s">
        <v>465</v>
      </c>
      <c r="AHI5" s="723" t="s">
        <v>466</v>
      </c>
      <c r="AHJ5" s="724" t="s">
        <v>66</v>
      </c>
      <c r="AHK5" s="748" t="str">
        <f>AGI3</f>
        <v>Semana 45</v>
      </c>
      <c r="AHL5" s="1793"/>
      <c r="AHM5" s="751" t="str">
        <f>AGI3</f>
        <v>Semana 45</v>
      </c>
      <c r="AHN5" s="754" t="str">
        <f>AGI3</f>
        <v>Semana 45</v>
      </c>
      <c r="AHO5" s="706" t="s">
        <v>62</v>
      </c>
      <c r="AHP5" s="707" t="s">
        <v>465</v>
      </c>
      <c r="AHQ5" s="706" t="s">
        <v>466</v>
      </c>
      <c r="AHR5" s="707" t="s">
        <v>66</v>
      </c>
      <c r="AHS5" s="668" t="s">
        <v>62</v>
      </c>
      <c r="AHT5" s="1563" t="s">
        <v>465</v>
      </c>
      <c r="AHU5" s="668" t="s">
        <v>466</v>
      </c>
      <c r="AHV5" s="1563" t="s">
        <v>66</v>
      </c>
      <c r="AHW5" s="668" t="s">
        <v>62</v>
      </c>
      <c r="AHX5" s="1563" t="s">
        <v>465</v>
      </c>
      <c r="AHY5" s="668" t="s">
        <v>466</v>
      </c>
      <c r="AHZ5" s="1563" t="s">
        <v>66</v>
      </c>
      <c r="AIA5" s="668" t="s">
        <v>62</v>
      </c>
      <c r="AIB5" s="1563" t="s">
        <v>465</v>
      </c>
      <c r="AIC5" s="668" t="s">
        <v>466</v>
      </c>
      <c r="AID5" s="1563" t="s">
        <v>66</v>
      </c>
      <c r="AIE5" s="668" t="s">
        <v>62</v>
      </c>
      <c r="AIF5" s="1563" t="s">
        <v>465</v>
      </c>
      <c r="AIG5" s="668" t="s">
        <v>466</v>
      </c>
      <c r="AIH5" s="1563" t="s">
        <v>66</v>
      </c>
      <c r="AII5" s="668" t="s">
        <v>62</v>
      </c>
      <c r="AIJ5" s="1563" t="s">
        <v>465</v>
      </c>
      <c r="AIK5" s="668" t="s">
        <v>466</v>
      </c>
      <c r="AIL5" s="1563" t="s">
        <v>66</v>
      </c>
      <c r="AIM5" s="668" t="s">
        <v>62</v>
      </c>
      <c r="AIN5" s="1563" t="s">
        <v>465</v>
      </c>
      <c r="AIO5" s="668" t="s">
        <v>466</v>
      </c>
      <c r="AIP5" s="1563" t="s">
        <v>66</v>
      </c>
      <c r="AIQ5" s="745" t="str">
        <f>AHO3</f>
        <v>Semana 46</v>
      </c>
      <c r="AIR5" s="1786"/>
      <c r="AIS5" s="739" t="str">
        <f>AHO3</f>
        <v>Semana 46</v>
      </c>
      <c r="AIT5" s="742" t="str">
        <f>AHO3</f>
        <v>Semana 46</v>
      </c>
      <c r="AIU5" s="721" t="s">
        <v>62</v>
      </c>
      <c r="AIV5" s="722" t="s">
        <v>465</v>
      </c>
      <c r="AIW5" s="721" t="s">
        <v>466</v>
      </c>
      <c r="AIX5" s="722" t="s">
        <v>66</v>
      </c>
      <c r="AIY5" s="723" t="s">
        <v>62</v>
      </c>
      <c r="AIZ5" s="724" t="s">
        <v>465</v>
      </c>
      <c r="AJA5" s="723" t="s">
        <v>466</v>
      </c>
      <c r="AJB5" s="724" t="s">
        <v>66</v>
      </c>
      <c r="AJC5" s="723" t="s">
        <v>62</v>
      </c>
      <c r="AJD5" s="724" t="s">
        <v>465</v>
      </c>
      <c r="AJE5" s="723" t="s">
        <v>466</v>
      </c>
      <c r="AJF5" s="724" t="s">
        <v>66</v>
      </c>
      <c r="AJG5" s="723" t="s">
        <v>62</v>
      </c>
      <c r="AJH5" s="724" t="s">
        <v>465</v>
      </c>
      <c r="AJI5" s="723" t="s">
        <v>466</v>
      </c>
      <c r="AJJ5" s="724" t="s">
        <v>66</v>
      </c>
      <c r="AJK5" s="723" t="s">
        <v>62</v>
      </c>
      <c r="AJL5" s="724" t="s">
        <v>465</v>
      </c>
      <c r="AJM5" s="723" t="s">
        <v>466</v>
      </c>
      <c r="AJN5" s="724" t="s">
        <v>66</v>
      </c>
      <c r="AJO5" s="723" t="s">
        <v>62</v>
      </c>
      <c r="AJP5" s="724" t="s">
        <v>465</v>
      </c>
      <c r="AJQ5" s="723" t="s">
        <v>466</v>
      </c>
      <c r="AJR5" s="724" t="s">
        <v>66</v>
      </c>
      <c r="AJS5" s="723" t="s">
        <v>62</v>
      </c>
      <c r="AJT5" s="724" t="s">
        <v>465</v>
      </c>
      <c r="AJU5" s="723" t="s">
        <v>466</v>
      </c>
      <c r="AJV5" s="724" t="s">
        <v>66</v>
      </c>
      <c r="AJW5" s="748" t="str">
        <f>AIU3</f>
        <v>Semana 47</v>
      </c>
      <c r="AJX5" s="1788"/>
      <c r="AJY5" s="751" t="str">
        <f>AIU3</f>
        <v>Semana 47</v>
      </c>
      <c r="AJZ5" s="754" t="str">
        <f>AIU3</f>
        <v>Semana 47</v>
      </c>
      <c r="AKA5" s="706" t="s">
        <v>62</v>
      </c>
      <c r="AKB5" s="707" t="s">
        <v>465</v>
      </c>
      <c r="AKC5" s="706" t="s">
        <v>466</v>
      </c>
      <c r="AKD5" s="707" t="s">
        <v>66</v>
      </c>
      <c r="AKE5" s="668" t="s">
        <v>62</v>
      </c>
      <c r="AKF5" s="1563" t="s">
        <v>465</v>
      </c>
      <c r="AKG5" s="668" t="s">
        <v>466</v>
      </c>
      <c r="AKH5" s="1563" t="s">
        <v>66</v>
      </c>
      <c r="AKI5" s="668" t="s">
        <v>62</v>
      </c>
      <c r="AKJ5" s="1563" t="s">
        <v>465</v>
      </c>
      <c r="AKK5" s="668" t="s">
        <v>466</v>
      </c>
      <c r="AKL5" s="1563" t="s">
        <v>66</v>
      </c>
      <c r="AKM5" s="668" t="s">
        <v>62</v>
      </c>
      <c r="AKN5" s="1563" t="s">
        <v>465</v>
      </c>
      <c r="AKO5" s="668" t="s">
        <v>466</v>
      </c>
      <c r="AKP5" s="1563" t="s">
        <v>66</v>
      </c>
      <c r="AKQ5" s="668" t="s">
        <v>62</v>
      </c>
      <c r="AKR5" s="1563" t="s">
        <v>465</v>
      </c>
      <c r="AKS5" s="668" t="s">
        <v>466</v>
      </c>
      <c r="AKT5" s="1563" t="s">
        <v>66</v>
      </c>
      <c r="AKU5" s="668" t="s">
        <v>62</v>
      </c>
      <c r="AKV5" s="1563" t="s">
        <v>465</v>
      </c>
      <c r="AKW5" s="668" t="s">
        <v>466</v>
      </c>
      <c r="AKX5" s="1563" t="s">
        <v>66</v>
      </c>
      <c r="AKY5" s="668" t="s">
        <v>62</v>
      </c>
      <c r="AKZ5" s="1563" t="s">
        <v>465</v>
      </c>
      <c r="ALA5" s="668" t="s">
        <v>466</v>
      </c>
      <c r="ALB5" s="1563" t="s">
        <v>66</v>
      </c>
      <c r="ALC5" s="745" t="str">
        <f>AKA3</f>
        <v>Semana 48</v>
      </c>
      <c r="ALD5" s="1786"/>
      <c r="ALE5" s="739" t="str">
        <f>AKA3</f>
        <v>Semana 48</v>
      </c>
      <c r="ALF5" s="742" t="str">
        <f>AKA3</f>
        <v>Semana 48</v>
      </c>
    </row>
    <row r="6" spans="2:994">
      <c r="B6" s="992" t="s">
        <v>276</v>
      </c>
      <c r="C6" s="993">
        <v>43618</v>
      </c>
      <c r="D6" s="994">
        <v>44346</v>
      </c>
      <c r="E6" s="993">
        <v>44346</v>
      </c>
      <c r="F6" s="994">
        <v>44346</v>
      </c>
      <c r="G6" s="993">
        <v>43619</v>
      </c>
      <c r="H6" s="994">
        <v>44347</v>
      </c>
      <c r="I6" s="993">
        <v>44347</v>
      </c>
      <c r="J6" s="994">
        <v>44347</v>
      </c>
      <c r="K6" s="993">
        <v>43620</v>
      </c>
      <c r="L6" s="994">
        <v>44348</v>
      </c>
      <c r="M6" s="993">
        <v>44348</v>
      </c>
      <c r="N6" s="994">
        <v>44348</v>
      </c>
      <c r="O6" s="993">
        <v>43621</v>
      </c>
      <c r="P6" s="994">
        <v>44349</v>
      </c>
      <c r="Q6" s="993">
        <v>44349</v>
      </c>
      <c r="R6" s="994">
        <v>44349</v>
      </c>
      <c r="S6" s="993">
        <v>43622</v>
      </c>
      <c r="T6" s="994">
        <v>44350</v>
      </c>
      <c r="U6" s="993">
        <v>44350</v>
      </c>
      <c r="V6" s="994">
        <v>44350</v>
      </c>
      <c r="W6" s="993">
        <v>43623</v>
      </c>
      <c r="X6" s="994">
        <v>44351</v>
      </c>
      <c r="Y6" s="993">
        <v>44351</v>
      </c>
      <c r="Z6" s="994">
        <v>44351</v>
      </c>
      <c r="AA6" s="993">
        <v>43624</v>
      </c>
      <c r="AB6" s="994">
        <v>44352</v>
      </c>
      <c r="AC6" s="993">
        <v>44352</v>
      </c>
      <c r="AD6" s="994">
        <v>44352</v>
      </c>
      <c r="AE6" s="995" t="s">
        <v>467</v>
      </c>
      <c r="AF6" s="1784"/>
      <c r="AG6" s="996" t="s">
        <v>468</v>
      </c>
      <c r="AH6" s="742" t="str">
        <f>AG6</f>
        <v>2021</v>
      </c>
      <c r="AI6" s="997">
        <f>AA6+1</f>
        <v>43625</v>
      </c>
      <c r="AJ6" s="998">
        <f>AB6+1</f>
        <v>44353</v>
      </c>
      <c r="AK6" s="997">
        <f>AJ6</f>
        <v>44353</v>
      </c>
      <c r="AL6" s="998">
        <f>AK6</f>
        <v>44353</v>
      </c>
      <c r="AM6" s="997">
        <f>AI6+1</f>
        <v>43626</v>
      </c>
      <c r="AN6" s="998">
        <f>AJ6+1</f>
        <v>44354</v>
      </c>
      <c r="AO6" s="997">
        <f>AN6</f>
        <v>44354</v>
      </c>
      <c r="AP6" s="998">
        <f>AO6</f>
        <v>44354</v>
      </c>
      <c r="AQ6" s="997">
        <f t="shared" ref="AQ6:AR6" si="0">AM6+1</f>
        <v>43627</v>
      </c>
      <c r="AR6" s="998">
        <f t="shared" si="0"/>
        <v>44355</v>
      </c>
      <c r="AS6" s="997">
        <f t="shared" ref="AS6:AT6" si="1">AR6</f>
        <v>44355</v>
      </c>
      <c r="AT6" s="998">
        <f t="shared" si="1"/>
        <v>44355</v>
      </c>
      <c r="AU6" s="997">
        <f t="shared" ref="AU6:AV6" si="2">AQ6+1</f>
        <v>43628</v>
      </c>
      <c r="AV6" s="998">
        <f t="shared" si="2"/>
        <v>44356</v>
      </c>
      <c r="AW6" s="997">
        <f t="shared" ref="AW6:AX6" si="3">AV6</f>
        <v>44356</v>
      </c>
      <c r="AX6" s="998">
        <f t="shared" si="3"/>
        <v>44356</v>
      </c>
      <c r="AY6" s="997">
        <f t="shared" ref="AY6:AZ6" si="4">AU6+1</f>
        <v>43629</v>
      </c>
      <c r="AZ6" s="998">
        <f t="shared" si="4"/>
        <v>44357</v>
      </c>
      <c r="BA6" s="997">
        <f t="shared" ref="BA6:BB6" si="5">AZ6</f>
        <v>44357</v>
      </c>
      <c r="BB6" s="998">
        <f t="shared" si="5"/>
        <v>44357</v>
      </c>
      <c r="BC6" s="997">
        <f t="shared" ref="BC6:BD6" si="6">AY6+1</f>
        <v>43630</v>
      </c>
      <c r="BD6" s="998">
        <f t="shared" si="6"/>
        <v>44358</v>
      </c>
      <c r="BE6" s="997">
        <f t="shared" ref="BE6:BF6" si="7">BD6</f>
        <v>44358</v>
      </c>
      <c r="BF6" s="998">
        <f t="shared" si="7"/>
        <v>44358</v>
      </c>
      <c r="BG6" s="997">
        <f t="shared" ref="BG6:BH6" si="8">BC6+1</f>
        <v>43631</v>
      </c>
      <c r="BH6" s="998">
        <f t="shared" si="8"/>
        <v>44359</v>
      </c>
      <c r="BI6" s="997">
        <f t="shared" ref="BI6:BJ6" si="9">BH6</f>
        <v>44359</v>
      </c>
      <c r="BJ6" s="998">
        <f t="shared" si="9"/>
        <v>44359</v>
      </c>
      <c r="BK6" s="748" t="s">
        <v>467</v>
      </c>
      <c r="BL6" s="1793"/>
      <c r="BM6" s="751" t="s">
        <v>468</v>
      </c>
      <c r="BN6" s="754" t="str">
        <f>BM6</f>
        <v>2021</v>
      </c>
      <c r="BO6" s="993">
        <f>BG6+1</f>
        <v>43632</v>
      </c>
      <c r="BP6" s="994">
        <f>BH6+1</f>
        <v>44360</v>
      </c>
      <c r="BQ6" s="993">
        <f>BP6</f>
        <v>44360</v>
      </c>
      <c r="BR6" s="994">
        <f>BQ6</f>
        <v>44360</v>
      </c>
      <c r="BS6" s="993">
        <f>BO6+1</f>
        <v>43633</v>
      </c>
      <c r="BT6" s="994">
        <f>BP6+1</f>
        <v>44361</v>
      </c>
      <c r="BU6" s="993">
        <f>BT6</f>
        <v>44361</v>
      </c>
      <c r="BV6" s="994">
        <f>BU6</f>
        <v>44361</v>
      </c>
      <c r="BW6" s="993">
        <f t="shared" ref="BW6" si="10">BS6+1</f>
        <v>43634</v>
      </c>
      <c r="BX6" s="994">
        <f t="shared" ref="BX6" si="11">BT6+1</f>
        <v>44362</v>
      </c>
      <c r="BY6" s="993">
        <f t="shared" ref="BY6:BZ6" si="12">BX6</f>
        <v>44362</v>
      </c>
      <c r="BZ6" s="994">
        <f t="shared" si="12"/>
        <v>44362</v>
      </c>
      <c r="CA6" s="993">
        <f t="shared" ref="CA6" si="13">BW6+1</f>
        <v>43635</v>
      </c>
      <c r="CB6" s="994">
        <f t="shared" ref="CB6" si="14">BX6+1</f>
        <v>44363</v>
      </c>
      <c r="CC6" s="993">
        <f t="shared" ref="CC6:CD6" si="15">CB6</f>
        <v>44363</v>
      </c>
      <c r="CD6" s="994">
        <f t="shared" si="15"/>
        <v>44363</v>
      </c>
      <c r="CE6" s="993">
        <f t="shared" ref="CE6" si="16">CA6+1</f>
        <v>43636</v>
      </c>
      <c r="CF6" s="994">
        <f t="shared" ref="CF6" si="17">CB6+1</f>
        <v>44364</v>
      </c>
      <c r="CG6" s="993">
        <f t="shared" ref="CG6:CH6" si="18">CF6</f>
        <v>44364</v>
      </c>
      <c r="CH6" s="994">
        <f t="shared" si="18"/>
        <v>44364</v>
      </c>
      <c r="CI6" s="993">
        <f t="shared" ref="CI6" si="19">CE6+1</f>
        <v>43637</v>
      </c>
      <c r="CJ6" s="994">
        <f t="shared" ref="CJ6" si="20">CF6+1</f>
        <v>44365</v>
      </c>
      <c r="CK6" s="993">
        <f t="shared" ref="CK6:CL6" si="21">CJ6</f>
        <v>44365</v>
      </c>
      <c r="CL6" s="994">
        <f t="shared" si="21"/>
        <v>44365</v>
      </c>
      <c r="CM6" s="993">
        <f t="shared" ref="CM6" si="22">CI6+1</f>
        <v>43638</v>
      </c>
      <c r="CN6" s="994">
        <f t="shared" ref="CN6" si="23">CJ6+1</f>
        <v>44366</v>
      </c>
      <c r="CO6" s="993">
        <f t="shared" ref="CO6:CP6" si="24">CN6</f>
        <v>44366</v>
      </c>
      <c r="CP6" s="994">
        <f t="shared" si="24"/>
        <v>44366</v>
      </c>
      <c r="CQ6" s="745" t="s">
        <v>467</v>
      </c>
      <c r="CR6" s="1786"/>
      <c r="CS6" s="739" t="s">
        <v>468</v>
      </c>
      <c r="CT6" s="742" t="str">
        <f>CS6</f>
        <v>2021</v>
      </c>
      <c r="CU6" s="997">
        <f>CM6+1</f>
        <v>43639</v>
      </c>
      <c r="CV6" s="998">
        <f>CN6+1</f>
        <v>44367</v>
      </c>
      <c r="CW6" s="997">
        <f>CV6</f>
        <v>44367</v>
      </c>
      <c r="CX6" s="998">
        <f>CW6</f>
        <v>44367</v>
      </c>
      <c r="CY6" s="997">
        <f>CU6+1</f>
        <v>43640</v>
      </c>
      <c r="CZ6" s="998">
        <f>CV6+1</f>
        <v>44368</v>
      </c>
      <c r="DA6" s="997">
        <f>CZ6</f>
        <v>44368</v>
      </c>
      <c r="DB6" s="998">
        <f>DA6</f>
        <v>44368</v>
      </c>
      <c r="DC6" s="997">
        <f t="shared" ref="DC6" si="25">CY6+1</f>
        <v>43641</v>
      </c>
      <c r="DD6" s="998">
        <f t="shared" ref="DD6" si="26">CZ6+1</f>
        <v>44369</v>
      </c>
      <c r="DE6" s="997">
        <f t="shared" ref="DE6" si="27">DD6</f>
        <v>44369</v>
      </c>
      <c r="DF6" s="998">
        <f t="shared" ref="DF6" si="28">DE6</f>
        <v>44369</v>
      </c>
      <c r="DG6" s="997">
        <f t="shared" ref="DG6" si="29">DC6+1</f>
        <v>43642</v>
      </c>
      <c r="DH6" s="998">
        <f t="shared" ref="DH6" si="30">DD6+1</f>
        <v>44370</v>
      </c>
      <c r="DI6" s="997">
        <f t="shared" ref="DI6" si="31">DH6</f>
        <v>44370</v>
      </c>
      <c r="DJ6" s="998">
        <f t="shared" ref="DJ6" si="32">DI6</f>
        <v>44370</v>
      </c>
      <c r="DK6" s="997">
        <f t="shared" ref="DK6" si="33">DG6+1</f>
        <v>43643</v>
      </c>
      <c r="DL6" s="998">
        <f t="shared" ref="DL6" si="34">DH6+1</f>
        <v>44371</v>
      </c>
      <c r="DM6" s="997">
        <f t="shared" ref="DM6" si="35">DL6</f>
        <v>44371</v>
      </c>
      <c r="DN6" s="998">
        <f t="shared" ref="DN6" si="36">DM6</f>
        <v>44371</v>
      </c>
      <c r="DO6" s="997">
        <f t="shared" ref="DO6" si="37">DK6+1</f>
        <v>43644</v>
      </c>
      <c r="DP6" s="998">
        <f t="shared" ref="DP6" si="38">DL6+1</f>
        <v>44372</v>
      </c>
      <c r="DQ6" s="997">
        <f t="shared" ref="DQ6" si="39">DP6</f>
        <v>44372</v>
      </c>
      <c r="DR6" s="998">
        <f t="shared" ref="DR6" si="40">DQ6</f>
        <v>44372</v>
      </c>
      <c r="DS6" s="997">
        <f t="shared" ref="DS6" si="41">DO6+1</f>
        <v>43645</v>
      </c>
      <c r="DT6" s="998">
        <f t="shared" ref="DT6" si="42">DP6+1</f>
        <v>44373</v>
      </c>
      <c r="DU6" s="997">
        <f t="shared" ref="DU6" si="43">DT6</f>
        <v>44373</v>
      </c>
      <c r="DV6" s="998">
        <f t="shared" ref="DV6" si="44">DU6</f>
        <v>44373</v>
      </c>
      <c r="DW6" s="748" t="s">
        <v>467</v>
      </c>
      <c r="DX6" s="1788"/>
      <c r="DY6" s="751" t="s">
        <v>468</v>
      </c>
      <c r="DZ6" s="754" t="str">
        <f>DY6</f>
        <v>2021</v>
      </c>
      <c r="EA6" s="993">
        <f>DS6+1</f>
        <v>43646</v>
      </c>
      <c r="EB6" s="994">
        <f>DT6+1</f>
        <v>44374</v>
      </c>
      <c r="EC6" s="993">
        <f>EB6</f>
        <v>44374</v>
      </c>
      <c r="ED6" s="994">
        <f>EC6</f>
        <v>44374</v>
      </c>
      <c r="EE6" s="993">
        <f>EA6+1</f>
        <v>43647</v>
      </c>
      <c r="EF6" s="994">
        <f>EB6+1</f>
        <v>44375</v>
      </c>
      <c r="EG6" s="993">
        <f>EF6</f>
        <v>44375</v>
      </c>
      <c r="EH6" s="994">
        <f>EG6</f>
        <v>44375</v>
      </c>
      <c r="EI6" s="993">
        <f t="shared" ref="EI6" si="45">EE6+1</f>
        <v>43648</v>
      </c>
      <c r="EJ6" s="994">
        <f t="shared" ref="EJ6" si="46">EF6+1</f>
        <v>44376</v>
      </c>
      <c r="EK6" s="993">
        <f t="shared" ref="EK6:EL6" si="47">EJ6</f>
        <v>44376</v>
      </c>
      <c r="EL6" s="994">
        <f t="shared" si="47"/>
        <v>44376</v>
      </c>
      <c r="EM6" s="993">
        <f t="shared" ref="EM6" si="48">EI6+1</f>
        <v>43649</v>
      </c>
      <c r="EN6" s="994">
        <f t="shared" ref="EN6" si="49">EJ6+1</f>
        <v>44377</v>
      </c>
      <c r="EO6" s="993">
        <f t="shared" ref="EO6:EP6" si="50">EN6</f>
        <v>44377</v>
      </c>
      <c r="EP6" s="994">
        <f t="shared" si="50"/>
        <v>44377</v>
      </c>
      <c r="EQ6" s="993">
        <f t="shared" ref="EQ6" si="51">EM6+1</f>
        <v>43650</v>
      </c>
      <c r="ER6" s="994">
        <f t="shared" ref="ER6" si="52">EN6+1</f>
        <v>44378</v>
      </c>
      <c r="ES6" s="993">
        <f t="shared" ref="ES6:ET6" si="53">ER6</f>
        <v>44378</v>
      </c>
      <c r="ET6" s="994">
        <f t="shared" si="53"/>
        <v>44378</v>
      </c>
      <c r="EU6" s="993">
        <f t="shared" ref="EU6" si="54">EQ6+1</f>
        <v>43651</v>
      </c>
      <c r="EV6" s="994">
        <f t="shared" ref="EV6" si="55">ER6+1</f>
        <v>44379</v>
      </c>
      <c r="EW6" s="993">
        <f t="shared" ref="EW6:EX6" si="56">EV6</f>
        <v>44379</v>
      </c>
      <c r="EX6" s="994">
        <f t="shared" si="56"/>
        <v>44379</v>
      </c>
      <c r="EY6" s="993">
        <f t="shared" ref="EY6" si="57">EU6+1</f>
        <v>43652</v>
      </c>
      <c r="EZ6" s="994">
        <f t="shared" ref="EZ6" si="58">EV6+1</f>
        <v>44380</v>
      </c>
      <c r="FA6" s="993">
        <f t="shared" ref="FA6:FB6" si="59">EZ6</f>
        <v>44380</v>
      </c>
      <c r="FB6" s="994">
        <f t="shared" si="59"/>
        <v>44380</v>
      </c>
      <c r="FC6" s="745" t="s">
        <v>467</v>
      </c>
      <c r="FD6" s="1786"/>
      <c r="FE6" s="739" t="s">
        <v>468</v>
      </c>
      <c r="FF6" s="742" t="str">
        <f>FE6</f>
        <v>2021</v>
      </c>
      <c r="FG6" s="993">
        <f>EY6+1</f>
        <v>43653</v>
      </c>
      <c r="FH6" s="994">
        <f>EZ6+1</f>
        <v>44381</v>
      </c>
      <c r="FI6" s="993">
        <f>FH6</f>
        <v>44381</v>
      </c>
      <c r="FJ6" s="994">
        <f>FI6</f>
        <v>44381</v>
      </c>
      <c r="FK6" s="993">
        <f>FG6+1</f>
        <v>43654</v>
      </c>
      <c r="FL6" s="994">
        <f>FH6+1</f>
        <v>44382</v>
      </c>
      <c r="FM6" s="993">
        <f>FL6</f>
        <v>44382</v>
      </c>
      <c r="FN6" s="994">
        <f>FM6</f>
        <v>44382</v>
      </c>
      <c r="FO6" s="993">
        <f t="shared" ref="FO6" si="60">FK6+1</f>
        <v>43655</v>
      </c>
      <c r="FP6" s="994">
        <f t="shared" ref="FP6" si="61">FL6+1</f>
        <v>44383</v>
      </c>
      <c r="FQ6" s="993">
        <f t="shared" ref="FQ6" si="62">FP6</f>
        <v>44383</v>
      </c>
      <c r="FR6" s="994">
        <f t="shared" ref="FR6" si="63">FQ6</f>
        <v>44383</v>
      </c>
      <c r="FS6" s="993">
        <f t="shared" ref="FS6" si="64">FO6+1</f>
        <v>43656</v>
      </c>
      <c r="FT6" s="994">
        <f t="shared" ref="FT6" si="65">FP6+1</f>
        <v>44384</v>
      </c>
      <c r="FU6" s="993">
        <f t="shared" ref="FU6" si="66">FT6</f>
        <v>44384</v>
      </c>
      <c r="FV6" s="994">
        <f t="shared" ref="FV6" si="67">FU6</f>
        <v>44384</v>
      </c>
      <c r="FW6" s="993">
        <f t="shared" ref="FW6" si="68">FS6+1</f>
        <v>43657</v>
      </c>
      <c r="FX6" s="994">
        <f t="shared" ref="FX6" si="69">FT6+1</f>
        <v>44385</v>
      </c>
      <c r="FY6" s="993">
        <f t="shared" ref="FY6" si="70">FX6</f>
        <v>44385</v>
      </c>
      <c r="FZ6" s="994">
        <f t="shared" ref="FZ6" si="71">FY6</f>
        <v>44385</v>
      </c>
      <c r="GA6" s="993">
        <f t="shared" ref="GA6" si="72">FW6+1</f>
        <v>43658</v>
      </c>
      <c r="GB6" s="994">
        <f t="shared" ref="GB6" si="73">FX6+1</f>
        <v>44386</v>
      </c>
      <c r="GC6" s="993">
        <f t="shared" ref="GC6" si="74">GB6</f>
        <v>44386</v>
      </c>
      <c r="GD6" s="994">
        <f t="shared" ref="GD6" si="75">GC6</f>
        <v>44386</v>
      </c>
      <c r="GE6" s="993">
        <f t="shared" ref="GE6" si="76">GA6+1</f>
        <v>43659</v>
      </c>
      <c r="GF6" s="994">
        <f t="shared" ref="GF6" si="77">GB6+1</f>
        <v>44387</v>
      </c>
      <c r="GG6" s="993">
        <f t="shared" ref="GG6" si="78">GF6</f>
        <v>44387</v>
      </c>
      <c r="GH6" s="994">
        <f t="shared" ref="GH6" si="79">GG6</f>
        <v>44387</v>
      </c>
      <c r="GI6" s="745" t="s">
        <v>467</v>
      </c>
      <c r="GJ6" s="1784"/>
      <c r="GK6" s="739" t="s">
        <v>468</v>
      </c>
      <c r="GL6" s="742" t="str">
        <f>GK6</f>
        <v>2021</v>
      </c>
      <c r="GM6" s="997">
        <f>GE6+1</f>
        <v>43660</v>
      </c>
      <c r="GN6" s="998">
        <f>GF6+1</f>
        <v>44388</v>
      </c>
      <c r="GO6" s="997">
        <f>GN6</f>
        <v>44388</v>
      </c>
      <c r="GP6" s="998">
        <f>GO6</f>
        <v>44388</v>
      </c>
      <c r="GQ6" s="997">
        <f>GM6+1</f>
        <v>43661</v>
      </c>
      <c r="GR6" s="998">
        <f>GN6+1</f>
        <v>44389</v>
      </c>
      <c r="GS6" s="997">
        <f>GR6</f>
        <v>44389</v>
      </c>
      <c r="GT6" s="998">
        <f>GS6</f>
        <v>44389</v>
      </c>
      <c r="GU6" s="997">
        <f t="shared" ref="GU6" si="80">GQ6+1</f>
        <v>43662</v>
      </c>
      <c r="GV6" s="998">
        <f t="shared" ref="GV6" si="81">GR6+1</f>
        <v>44390</v>
      </c>
      <c r="GW6" s="997">
        <f t="shared" ref="GW6" si="82">GV6</f>
        <v>44390</v>
      </c>
      <c r="GX6" s="998">
        <f t="shared" ref="GX6" si="83">GW6</f>
        <v>44390</v>
      </c>
      <c r="GY6" s="997">
        <f t="shared" ref="GY6" si="84">GU6+1</f>
        <v>43663</v>
      </c>
      <c r="GZ6" s="998">
        <f t="shared" ref="GZ6" si="85">GV6+1</f>
        <v>44391</v>
      </c>
      <c r="HA6" s="997">
        <f t="shared" ref="HA6" si="86">GZ6</f>
        <v>44391</v>
      </c>
      <c r="HB6" s="998">
        <f t="shared" ref="HB6" si="87">HA6</f>
        <v>44391</v>
      </c>
      <c r="HC6" s="997">
        <f t="shared" ref="HC6" si="88">GY6+1</f>
        <v>43664</v>
      </c>
      <c r="HD6" s="998">
        <f t="shared" ref="HD6" si="89">GZ6+1</f>
        <v>44392</v>
      </c>
      <c r="HE6" s="997">
        <f t="shared" ref="HE6" si="90">HD6</f>
        <v>44392</v>
      </c>
      <c r="HF6" s="998">
        <f t="shared" ref="HF6" si="91">HE6</f>
        <v>44392</v>
      </c>
      <c r="HG6" s="997">
        <f t="shared" ref="HG6" si="92">HC6+1</f>
        <v>43665</v>
      </c>
      <c r="HH6" s="998">
        <f t="shared" ref="HH6" si="93">HD6+1</f>
        <v>44393</v>
      </c>
      <c r="HI6" s="997">
        <f t="shared" ref="HI6" si="94">HH6</f>
        <v>44393</v>
      </c>
      <c r="HJ6" s="998">
        <f t="shared" ref="HJ6" si="95">HI6</f>
        <v>44393</v>
      </c>
      <c r="HK6" s="997">
        <f t="shared" ref="HK6" si="96">HG6+1</f>
        <v>43666</v>
      </c>
      <c r="HL6" s="998">
        <f t="shared" ref="HL6" si="97">HH6+1</f>
        <v>44394</v>
      </c>
      <c r="HM6" s="997">
        <f t="shared" ref="HM6" si="98">HL6</f>
        <v>44394</v>
      </c>
      <c r="HN6" s="998">
        <f t="shared" ref="HN6" si="99">HM6</f>
        <v>44394</v>
      </c>
      <c r="HO6" s="748" t="s">
        <v>467</v>
      </c>
      <c r="HP6" s="1803"/>
      <c r="HQ6" s="751" t="s">
        <v>468</v>
      </c>
      <c r="HR6" s="754" t="str">
        <f>HQ6</f>
        <v>2021</v>
      </c>
      <c r="HS6" s="993">
        <f>HK6+1</f>
        <v>43667</v>
      </c>
      <c r="HT6" s="994">
        <f>HL6+1</f>
        <v>44395</v>
      </c>
      <c r="HU6" s="993">
        <f>HT6</f>
        <v>44395</v>
      </c>
      <c r="HV6" s="994">
        <f>HU6</f>
        <v>44395</v>
      </c>
      <c r="HW6" s="993">
        <f>HS6+1</f>
        <v>43668</v>
      </c>
      <c r="HX6" s="994">
        <f>HT6+1</f>
        <v>44396</v>
      </c>
      <c r="HY6" s="993">
        <f>HX6</f>
        <v>44396</v>
      </c>
      <c r="HZ6" s="994">
        <f>HY6</f>
        <v>44396</v>
      </c>
      <c r="IA6" s="993">
        <f t="shared" ref="IA6" si="100">HW6+1</f>
        <v>43669</v>
      </c>
      <c r="IB6" s="994">
        <f t="shared" ref="IB6" si="101">HX6+1</f>
        <v>44397</v>
      </c>
      <c r="IC6" s="993">
        <f t="shared" ref="IC6" si="102">IB6</f>
        <v>44397</v>
      </c>
      <c r="ID6" s="994">
        <f t="shared" ref="ID6" si="103">IC6</f>
        <v>44397</v>
      </c>
      <c r="IE6" s="993">
        <f t="shared" ref="IE6" si="104">IA6+1</f>
        <v>43670</v>
      </c>
      <c r="IF6" s="994">
        <f t="shared" ref="IF6" si="105">IB6+1</f>
        <v>44398</v>
      </c>
      <c r="IG6" s="993">
        <f t="shared" ref="IG6" si="106">IF6</f>
        <v>44398</v>
      </c>
      <c r="IH6" s="994">
        <f t="shared" ref="IH6" si="107">IG6</f>
        <v>44398</v>
      </c>
      <c r="II6" s="993">
        <f t="shared" ref="II6" si="108">IE6+1</f>
        <v>43671</v>
      </c>
      <c r="IJ6" s="994">
        <f t="shared" ref="IJ6" si="109">IF6+1</f>
        <v>44399</v>
      </c>
      <c r="IK6" s="993">
        <f t="shared" ref="IK6" si="110">IJ6</f>
        <v>44399</v>
      </c>
      <c r="IL6" s="994">
        <f t="shared" ref="IL6" si="111">IK6</f>
        <v>44399</v>
      </c>
      <c r="IM6" s="993">
        <f t="shared" ref="IM6" si="112">II6+1</f>
        <v>43672</v>
      </c>
      <c r="IN6" s="994">
        <f t="shared" ref="IN6" si="113">IJ6+1</f>
        <v>44400</v>
      </c>
      <c r="IO6" s="993">
        <f t="shared" ref="IO6" si="114">IN6</f>
        <v>44400</v>
      </c>
      <c r="IP6" s="994">
        <f t="shared" ref="IP6" si="115">IO6</f>
        <v>44400</v>
      </c>
      <c r="IQ6" s="993">
        <f t="shared" ref="IQ6" si="116">IM6+1</f>
        <v>43673</v>
      </c>
      <c r="IR6" s="994">
        <f t="shared" ref="IR6" si="117">IN6+1</f>
        <v>44401</v>
      </c>
      <c r="IS6" s="993">
        <f t="shared" ref="IS6" si="118">IR6</f>
        <v>44401</v>
      </c>
      <c r="IT6" s="994">
        <f t="shared" ref="IT6" si="119">IS6</f>
        <v>44401</v>
      </c>
      <c r="IU6" s="745" t="s">
        <v>467</v>
      </c>
      <c r="IV6" s="1784"/>
      <c r="IW6" s="739" t="s">
        <v>468</v>
      </c>
      <c r="IX6" s="742" t="str">
        <f>IW6</f>
        <v>2021</v>
      </c>
      <c r="IY6" s="997">
        <f>IQ6+1</f>
        <v>43674</v>
      </c>
      <c r="IZ6" s="998">
        <f>IR6+1</f>
        <v>44402</v>
      </c>
      <c r="JA6" s="997">
        <f>IZ6</f>
        <v>44402</v>
      </c>
      <c r="JB6" s="998">
        <f>JA6</f>
        <v>44402</v>
      </c>
      <c r="JC6" s="997">
        <f>IY6+1</f>
        <v>43675</v>
      </c>
      <c r="JD6" s="998">
        <f>IZ6+1</f>
        <v>44403</v>
      </c>
      <c r="JE6" s="997">
        <f>JD6</f>
        <v>44403</v>
      </c>
      <c r="JF6" s="998">
        <f>JE6</f>
        <v>44403</v>
      </c>
      <c r="JG6" s="997">
        <f t="shared" ref="JG6" si="120">JC6+1</f>
        <v>43676</v>
      </c>
      <c r="JH6" s="998">
        <f t="shared" ref="JH6" si="121">JD6+1</f>
        <v>44404</v>
      </c>
      <c r="JI6" s="997">
        <f t="shared" ref="JI6" si="122">JH6</f>
        <v>44404</v>
      </c>
      <c r="JJ6" s="998">
        <f t="shared" ref="JJ6" si="123">JI6</f>
        <v>44404</v>
      </c>
      <c r="JK6" s="997">
        <f t="shared" ref="JK6" si="124">JG6+1</f>
        <v>43677</v>
      </c>
      <c r="JL6" s="998">
        <f t="shared" ref="JL6" si="125">JH6+1</f>
        <v>44405</v>
      </c>
      <c r="JM6" s="997">
        <f t="shared" ref="JM6" si="126">JL6</f>
        <v>44405</v>
      </c>
      <c r="JN6" s="998">
        <f t="shared" ref="JN6" si="127">JM6</f>
        <v>44405</v>
      </c>
      <c r="JO6" s="997">
        <f t="shared" ref="JO6" si="128">JK6+1</f>
        <v>43678</v>
      </c>
      <c r="JP6" s="998">
        <f t="shared" ref="JP6" si="129">JL6+1</f>
        <v>44406</v>
      </c>
      <c r="JQ6" s="997">
        <f t="shared" ref="JQ6" si="130">JP6</f>
        <v>44406</v>
      </c>
      <c r="JR6" s="998">
        <f t="shared" ref="JR6" si="131">JQ6</f>
        <v>44406</v>
      </c>
      <c r="JS6" s="997">
        <f t="shared" ref="JS6" si="132">JO6+1</f>
        <v>43679</v>
      </c>
      <c r="JT6" s="998">
        <f t="shared" ref="JT6" si="133">JP6+1</f>
        <v>44407</v>
      </c>
      <c r="JU6" s="997">
        <f t="shared" ref="JU6" si="134">JT6</f>
        <v>44407</v>
      </c>
      <c r="JV6" s="998">
        <f t="shared" ref="JV6" si="135">JU6</f>
        <v>44407</v>
      </c>
      <c r="JW6" s="997">
        <f t="shared" ref="JW6" si="136">JS6+1</f>
        <v>43680</v>
      </c>
      <c r="JX6" s="998">
        <f t="shared" ref="JX6" si="137">JT6+1</f>
        <v>44408</v>
      </c>
      <c r="JY6" s="997">
        <f t="shared" ref="JY6" si="138">JX6</f>
        <v>44408</v>
      </c>
      <c r="JZ6" s="998">
        <f t="shared" ref="JZ6" si="139">JY6</f>
        <v>44408</v>
      </c>
      <c r="KA6" s="748" t="s">
        <v>467</v>
      </c>
      <c r="KB6" s="1803"/>
      <c r="KC6" s="751" t="s">
        <v>468</v>
      </c>
      <c r="KD6" s="754" t="str">
        <f>KC6</f>
        <v>2021</v>
      </c>
      <c r="KE6" s="993">
        <f>JW6+1</f>
        <v>43681</v>
      </c>
      <c r="KF6" s="994">
        <f>JX6+1</f>
        <v>44409</v>
      </c>
      <c r="KG6" s="993">
        <f>KF6</f>
        <v>44409</v>
      </c>
      <c r="KH6" s="994">
        <f>KG6</f>
        <v>44409</v>
      </c>
      <c r="KI6" s="993">
        <f>KE6+1</f>
        <v>43682</v>
      </c>
      <c r="KJ6" s="994">
        <f>KF6+1</f>
        <v>44410</v>
      </c>
      <c r="KK6" s="993">
        <f>KJ6</f>
        <v>44410</v>
      </c>
      <c r="KL6" s="994">
        <f>KK6</f>
        <v>44410</v>
      </c>
      <c r="KM6" s="993">
        <f t="shared" ref="KM6" si="140">KI6+1</f>
        <v>43683</v>
      </c>
      <c r="KN6" s="994">
        <f t="shared" ref="KN6" si="141">KJ6+1</f>
        <v>44411</v>
      </c>
      <c r="KO6" s="993">
        <f t="shared" ref="KO6" si="142">KN6</f>
        <v>44411</v>
      </c>
      <c r="KP6" s="994">
        <f t="shared" ref="KP6" si="143">KO6</f>
        <v>44411</v>
      </c>
      <c r="KQ6" s="993">
        <f t="shared" ref="KQ6" si="144">KM6+1</f>
        <v>43684</v>
      </c>
      <c r="KR6" s="994">
        <f t="shared" ref="KR6" si="145">KN6+1</f>
        <v>44412</v>
      </c>
      <c r="KS6" s="993">
        <f t="shared" ref="KS6" si="146">KR6</f>
        <v>44412</v>
      </c>
      <c r="KT6" s="994">
        <f t="shared" ref="KT6" si="147">KS6</f>
        <v>44412</v>
      </c>
      <c r="KU6" s="993">
        <f t="shared" ref="KU6" si="148">KQ6+1</f>
        <v>43685</v>
      </c>
      <c r="KV6" s="994">
        <f t="shared" ref="KV6" si="149">KR6+1</f>
        <v>44413</v>
      </c>
      <c r="KW6" s="993">
        <f t="shared" ref="KW6" si="150">KV6</f>
        <v>44413</v>
      </c>
      <c r="KX6" s="994">
        <f t="shared" ref="KX6" si="151">KW6</f>
        <v>44413</v>
      </c>
      <c r="KY6" s="993">
        <f t="shared" ref="KY6" si="152">KU6+1</f>
        <v>43686</v>
      </c>
      <c r="KZ6" s="994">
        <f t="shared" ref="KZ6" si="153">KV6+1</f>
        <v>44414</v>
      </c>
      <c r="LA6" s="993">
        <f t="shared" ref="LA6" si="154">KZ6</f>
        <v>44414</v>
      </c>
      <c r="LB6" s="994">
        <f t="shared" ref="LB6" si="155">LA6</f>
        <v>44414</v>
      </c>
      <c r="LC6" s="993">
        <f t="shared" ref="LC6" si="156">KY6+1</f>
        <v>43687</v>
      </c>
      <c r="LD6" s="994">
        <f t="shared" ref="LD6" si="157">KZ6+1</f>
        <v>44415</v>
      </c>
      <c r="LE6" s="993">
        <f t="shared" ref="LE6" si="158">LD6</f>
        <v>44415</v>
      </c>
      <c r="LF6" s="994">
        <f t="shared" ref="LF6" si="159">LE6</f>
        <v>44415</v>
      </c>
      <c r="LG6" s="745" t="s">
        <v>467</v>
      </c>
      <c r="LH6" s="1784"/>
      <c r="LI6" s="739" t="s">
        <v>468</v>
      </c>
      <c r="LJ6" s="742" t="str">
        <f>LI6</f>
        <v>2021</v>
      </c>
      <c r="LK6" s="997">
        <f>LC6+1</f>
        <v>43688</v>
      </c>
      <c r="LL6" s="998">
        <f>LD6+1</f>
        <v>44416</v>
      </c>
      <c r="LM6" s="997">
        <f>LL6</f>
        <v>44416</v>
      </c>
      <c r="LN6" s="998">
        <f>LM6</f>
        <v>44416</v>
      </c>
      <c r="LO6" s="997">
        <f>LK6+1</f>
        <v>43689</v>
      </c>
      <c r="LP6" s="998">
        <f>LL6+1</f>
        <v>44417</v>
      </c>
      <c r="LQ6" s="997">
        <f>LP6</f>
        <v>44417</v>
      </c>
      <c r="LR6" s="998">
        <f>LQ6</f>
        <v>44417</v>
      </c>
      <c r="LS6" s="997">
        <f t="shared" ref="LS6" si="160">LO6+1</f>
        <v>43690</v>
      </c>
      <c r="LT6" s="998">
        <f t="shared" ref="LT6" si="161">LP6+1</f>
        <v>44418</v>
      </c>
      <c r="LU6" s="997">
        <f t="shared" ref="LU6" si="162">LT6</f>
        <v>44418</v>
      </c>
      <c r="LV6" s="998">
        <f t="shared" ref="LV6" si="163">LU6</f>
        <v>44418</v>
      </c>
      <c r="LW6" s="997">
        <f t="shared" ref="LW6" si="164">LS6+1</f>
        <v>43691</v>
      </c>
      <c r="LX6" s="998">
        <f t="shared" ref="LX6" si="165">LT6+1</f>
        <v>44419</v>
      </c>
      <c r="LY6" s="997">
        <f t="shared" ref="LY6" si="166">LX6</f>
        <v>44419</v>
      </c>
      <c r="LZ6" s="998">
        <f t="shared" ref="LZ6" si="167">LY6</f>
        <v>44419</v>
      </c>
      <c r="MA6" s="997">
        <f t="shared" ref="MA6" si="168">LW6+1</f>
        <v>43692</v>
      </c>
      <c r="MB6" s="998">
        <f t="shared" ref="MB6" si="169">LX6+1</f>
        <v>44420</v>
      </c>
      <c r="MC6" s="997">
        <f t="shared" ref="MC6" si="170">MB6</f>
        <v>44420</v>
      </c>
      <c r="MD6" s="998">
        <f t="shared" ref="MD6" si="171">MC6</f>
        <v>44420</v>
      </c>
      <c r="ME6" s="997">
        <f t="shared" ref="ME6" si="172">MA6+1</f>
        <v>43693</v>
      </c>
      <c r="MF6" s="998">
        <f t="shared" ref="MF6" si="173">MB6+1</f>
        <v>44421</v>
      </c>
      <c r="MG6" s="997">
        <f t="shared" ref="MG6" si="174">MF6</f>
        <v>44421</v>
      </c>
      <c r="MH6" s="998">
        <f t="shared" ref="MH6" si="175">MG6</f>
        <v>44421</v>
      </c>
      <c r="MI6" s="997">
        <f t="shared" ref="MI6" si="176">ME6+1</f>
        <v>43694</v>
      </c>
      <c r="MJ6" s="998">
        <f t="shared" ref="MJ6" si="177">MF6+1</f>
        <v>44422</v>
      </c>
      <c r="MK6" s="997">
        <f t="shared" ref="MK6" si="178">MJ6</f>
        <v>44422</v>
      </c>
      <c r="ML6" s="998">
        <f t="shared" ref="ML6" si="179">MK6</f>
        <v>44422</v>
      </c>
      <c r="MM6" s="748" t="s">
        <v>467</v>
      </c>
      <c r="MN6" s="1803"/>
      <c r="MO6" s="751" t="s">
        <v>468</v>
      </c>
      <c r="MP6" s="754" t="str">
        <f>MO6</f>
        <v>2021</v>
      </c>
      <c r="MQ6" s="993">
        <f>MI6+1</f>
        <v>43695</v>
      </c>
      <c r="MR6" s="994">
        <f>MJ6+1</f>
        <v>44423</v>
      </c>
      <c r="MS6" s="993">
        <f>MR6</f>
        <v>44423</v>
      </c>
      <c r="MT6" s="994">
        <f>MS6</f>
        <v>44423</v>
      </c>
      <c r="MU6" s="993">
        <f>MQ6+1</f>
        <v>43696</v>
      </c>
      <c r="MV6" s="994">
        <f>MR6+1</f>
        <v>44424</v>
      </c>
      <c r="MW6" s="993">
        <f>MV6</f>
        <v>44424</v>
      </c>
      <c r="MX6" s="994">
        <f>MW6</f>
        <v>44424</v>
      </c>
      <c r="MY6" s="993">
        <f t="shared" ref="MY6" si="180">MU6+1</f>
        <v>43697</v>
      </c>
      <c r="MZ6" s="994">
        <f t="shared" ref="MZ6" si="181">MV6+1</f>
        <v>44425</v>
      </c>
      <c r="NA6" s="993">
        <f t="shared" ref="NA6" si="182">MZ6</f>
        <v>44425</v>
      </c>
      <c r="NB6" s="994">
        <f t="shared" ref="NB6" si="183">NA6</f>
        <v>44425</v>
      </c>
      <c r="NC6" s="993">
        <f t="shared" ref="NC6" si="184">MY6+1</f>
        <v>43698</v>
      </c>
      <c r="ND6" s="994">
        <f t="shared" ref="ND6" si="185">MZ6+1</f>
        <v>44426</v>
      </c>
      <c r="NE6" s="993">
        <f t="shared" ref="NE6" si="186">ND6</f>
        <v>44426</v>
      </c>
      <c r="NF6" s="994">
        <f t="shared" ref="NF6" si="187">NE6</f>
        <v>44426</v>
      </c>
      <c r="NG6" s="993">
        <f t="shared" ref="NG6" si="188">NC6+1</f>
        <v>43699</v>
      </c>
      <c r="NH6" s="994">
        <f t="shared" ref="NH6" si="189">ND6+1</f>
        <v>44427</v>
      </c>
      <c r="NI6" s="993">
        <f t="shared" ref="NI6" si="190">NH6</f>
        <v>44427</v>
      </c>
      <c r="NJ6" s="994">
        <f t="shared" ref="NJ6" si="191">NI6</f>
        <v>44427</v>
      </c>
      <c r="NK6" s="993">
        <f t="shared" ref="NK6" si="192">NG6+1</f>
        <v>43700</v>
      </c>
      <c r="NL6" s="994">
        <f t="shared" ref="NL6" si="193">NH6+1</f>
        <v>44428</v>
      </c>
      <c r="NM6" s="993">
        <f t="shared" ref="NM6" si="194">NL6</f>
        <v>44428</v>
      </c>
      <c r="NN6" s="994">
        <f t="shared" ref="NN6" si="195">NM6</f>
        <v>44428</v>
      </c>
      <c r="NO6" s="993">
        <f t="shared" ref="NO6" si="196">NK6+1</f>
        <v>43701</v>
      </c>
      <c r="NP6" s="994">
        <f t="shared" ref="NP6" si="197">NL6+1</f>
        <v>44429</v>
      </c>
      <c r="NQ6" s="993">
        <f t="shared" ref="NQ6" si="198">NP6</f>
        <v>44429</v>
      </c>
      <c r="NR6" s="994">
        <f t="shared" ref="NR6" si="199">NQ6</f>
        <v>44429</v>
      </c>
      <c r="NS6" s="745" t="s">
        <v>467</v>
      </c>
      <c r="NT6" s="1784"/>
      <c r="NU6" s="739" t="s">
        <v>468</v>
      </c>
      <c r="NV6" s="742" t="str">
        <f>NU6</f>
        <v>2021</v>
      </c>
      <c r="NW6" s="997">
        <f>NO6+1</f>
        <v>43702</v>
      </c>
      <c r="NX6" s="998">
        <f>NP6+1</f>
        <v>44430</v>
      </c>
      <c r="NY6" s="997">
        <f>NX6</f>
        <v>44430</v>
      </c>
      <c r="NZ6" s="998">
        <f>NY6</f>
        <v>44430</v>
      </c>
      <c r="OA6" s="997">
        <f>NW6+1</f>
        <v>43703</v>
      </c>
      <c r="OB6" s="998">
        <f>NX6+1</f>
        <v>44431</v>
      </c>
      <c r="OC6" s="997">
        <f>OB6</f>
        <v>44431</v>
      </c>
      <c r="OD6" s="998">
        <f>OC6</f>
        <v>44431</v>
      </c>
      <c r="OE6" s="997">
        <f t="shared" ref="OE6" si="200">OA6+1</f>
        <v>43704</v>
      </c>
      <c r="OF6" s="998">
        <f t="shared" ref="OF6" si="201">OB6+1</f>
        <v>44432</v>
      </c>
      <c r="OG6" s="997">
        <f t="shared" ref="OG6" si="202">OF6</f>
        <v>44432</v>
      </c>
      <c r="OH6" s="998">
        <f t="shared" ref="OH6" si="203">OG6</f>
        <v>44432</v>
      </c>
      <c r="OI6" s="997">
        <f t="shared" ref="OI6" si="204">OE6+1</f>
        <v>43705</v>
      </c>
      <c r="OJ6" s="998">
        <f t="shared" ref="OJ6" si="205">OF6+1</f>
        <v>44433</v>
      </c>
      <c r="OK6" s="997">
        <f t="shared" ref="OK6" si="206">OJ6</f>
        <v>44433</v>
      </c>
      <c r="OL6" s="998">
        <f t="shared" ref="OL6" si="207">OK6</f>
        <v>44433</v>
      </c>
      <c r="OM6" s="997">
        <f t="shared" ref="OM6" si="208">OI6+1</f>
        <v>43706</v>
      </c>
      <c r="ON6" s="998">
        <f t="shared" ref="ON6" si="209">OJ6+1</f>
        <v>44434</v>
      </c>
      <c r="OO6" s="997">
        <f t="shared" ref="OO6" si="210">ON6</f>
        <v>44434</v>
      </c>
      <c r="OP6" s="998">
        <f t="shared" ref="OP6" si="211">OO6</f>
        <v>44434</v>
      </c>
      <c r="OQ6" s="997">
        <f t="shared" ref="OQ6" si="212">OM6+1</f>
        <v>43707</v>
      </c>
      <c r="OR6" s="998">
        <f t="shared" ref="OR6" si="213">ON6+1</f>
        <v>44435</v>
      </c>
      <c r="OS6" s="997">
        <f t="shared" ref="OS6" si="214">OR6</f>
        <v>44435</v>
      </c>
      <c r="OT6" s="998">
        <f t="shared" ref="OT6" si="215">OS6</f>
        <v>44435</v>
      </c>
      <c r="OU6" s="997">
        <f t="shared" ref="OU6" si="216">OQ6+1</f>
        <v>43708</v>
      </c>
      <c r="OV6" s="998">
        <f t="shared" ref="OV6" si="217">OR6+1</f>
        <v>44436</v>
      </c>
      <c r="OW6" s="997">
        <f t="shared" ref="OW6" si="218">OV6</f>
        <v>44436</v>
      </c>
      <c r="OX6" s="998">
        <f t="shared" ref="OX6" si="219">OW6</f>
        <v>44436</v>
      </c>
      <c r="OY6" s="748" t="s">
        <v>467</v>
      </c>
      <c r="OZ6" s="1803"/>
      <c r="PA6" s="751" t="s">
        <v>468</v>
      </c>
      <c r="PB6" s="754" t="str">
        <f>PA6</f>
        <v>2021</v>
      </c>
      <c r="PC6" s="993">
        <f>OU6+1</f>
        <v>43709</v>
      </c>
      <c r="PD6" s="994">
        <f>OV6+1</f>
        <v>44437</v>
      </c>
      <c r="PE6" s="993">
        <f>PD6</f>
        <v>44437</v>
      </c>
      <c r="PF6" s="994">
        <f>PE6</f>
        <v>44437</v>
      </c>
      <c r="PG6" s="993">
        <f>PC6+1</f>
        <v>43710</v>
      </c>
      <c r="PH6" s="994">
        <f>PD6+1</f>
        <v>44438</v>
      </c>
      <c r="PI6" s="993">
        <f>PH6</f>
        <v>44438</v>
      </c>
      <c r="PJ6" s="994">
        <f>PI6</f>
        <v>44438</v>
      </c>
      <c r="PK6" s="993">
        <f t="shared" ref="PK6" si="220">PG6+1</f>
        <v>43711</v>
      </c>
      <c r="PL6" s="994">
        <f t="shared" ref="PL6" si="221">PH6+1</f>
        <v>44439</v>
      </c>
      <c r="PM6" s="993">
        <f t="shared" ref="PM6" si="222">PL6</f>
        <v>44439</v>
      </c>
      <c r="PN6" s="994">
        <f t="shared" ref="PN6" si="223">PM6</f>
        <v>44439</v>
      </c>
      <c r="PO6" s="993">
        <f t="shared" ref="PO6" si="224">PK6+1</f>
        <v>43712</v>
      </c>
      <c r="PP6" s="994">
        <f t="shared" ref="PP6" si="225">PL6+1</f>
        <v>44440</v>
      </c>
      <c r="PQ6" s="993">
        <f t="shared" ref="PQ6" si="226">PP6</f>
        <v>44440</v>
      </c>
      <c r="PR6" s="994">
        <f t="shared" ref="PR6" si="227">PQ6</f>
        <v>44440</v>
      </c>
      <c r="PS6" s="993">
        <f t="shared" ref="PS6" si="228">PO6+1</f>
        <v>43713</v>
      </c>
      <c r="PT6" s="994">
        <f t="shared" ref="PT6" si="229">PP6+1</f>
        <v>44441</v>
      </c>
      <c r="PU6" s="993">
        <f t="shared" ref="PU6" si="230">PT6</f>
        <v>44441</v>
      </c>
      <c r="PV6" s="994">
        <f t="shared" ref="PV6" si="231">PU6</f>
        <v>44441</v>
      </c>
      <c r="PW6" s="993">
        <f t="shared" ref="PW6" si="232">PS6+1</f>
        <v>43714</v>
      </c>
      <c r="PX6" s="994">
        <f t="shared" ref="PX6" si="233">PT6+1</f>
        <v>44442</v>
      </c>
      <c r="PY6" s="993">
        <f t="shared" ref="PY6" si="234">PX6</f>
        <v>44442</v>
      </c>
      <c r="PZ6" s="994">
        <f t="shared" ref="PZ6" si="235">PY6</f>
        <v>44442</v>
      </c>
      <c r="QA6" s="993">
        <f t="shared" ref="QA6" si="236">PW6+1</f>
        <v>43715</v>
      </c>
      <c r="QB6" s="994">
        <f t="shared" ref="QB6" si="237">PX6+1</f>
        <v>44443</v>
      </c>
      <c r="QC6" s="993">
        <f t="shared" ref="QC6" si="238">QB6</f>
        <v>44443</v>
      </c>
      <c r="QD6" s="994">
        <f t="shared" ref="QD6" si="239">QC6</f>
        <v>44443</v>
      </c>
      <c r="QE6" s="995" t="s">
        <v>467</v>
      </c>
      <c r="QF6" s="1784"/>
      <c r="QG6" s="996" t="s">
        <v>468</v>
      </c>
      <c r="QH6" s="742" t="str">
        <f>QG6</f>
        <v>2021</v>
      </c>
      <c r="QI6" s="997">
        <f>QA6+1</f>
        <v>43716</v>
      </c>
      <c r="QJ6" s="998">
        <f>QB6+1</f>
        <v>44444</v>
      </c>
      <c r="QK6" s="997">
        <f>QJ6</f>
        <v>44444</v>
      </c>
      <c r="QL6" s="998">
        <f>QK6</f>
        <v>44444</v>
      </c>
      <c r="QM6" s="997">
        <f>QI6+1</f>
        <v>43717</v>
      </c>
      <c r="QN6" s="998">
        <f>QJ6+1</f>
        <v>44445</v>
      </c>
      <c r="QO6" s="997">
        <f>QN6</f>
        <v>44445</v>
      </c>
      <c r="QP6" s="998">
        <f>QO6</f>
        <v>44445</v>
      </c>
      <c r="QQ6" s="997">
        <f t="shared" ref="QQ6" si="240">QM6+1</f>
        <v>43718</v>
      </c>
      <c r="QR6" s="998">
        <f t="shared" ref="QR6" si="241">QN6+1</f>
        <v>44446</v>
      </c>
      <c r="QS6" s="997">
        <f t="shared" ref="QS6" si="242">QR6</f>
        <v>44446</v>
      </c>
      <c r="QT6" s="998">
        <f t="shared" ref="QT6" si="243">QS6</f>
        <v>44446</v>
      </c>
      <c r="QU6" s="997">
        <f t="shared" ref="QU6" si="244">QQ6+1</f>
        <v>43719</v>
      </c>
      <c r="QV6" s="998">
        <f t="shared" ref="QV6" si="245">QR6+1</f>
        <v>44447</v>
      </c>
      <c r="QW6" s="997">
        <f t="shared" ref="QW6" si="246">QV6</f>
        <v>44447</v>
      </c>
      <c r="QX6" s="998">
        <f t="shared" ref="QX6" si="247">QW6</f>
        <v>44447</v>
      </c>
      <c r="QY6" s="997">
        <f t="shared" ref="QY6" si="248">QU6+1</f>
        <v>43720</v>
      </c>
      <c r="QZ6" s="998">
        <f t="shared" ref="QZ6" si="249">QV6+1</f>
        <v>44448</v>
      </c>
      <c r="RA6" s="997">
        <f t="shared" ref="RA6" si="250">QZ6</f>
        <v>44448</v>
      </c>
      <c r="RB6" s="998">
        <f t="shared" ref="RB6" si="251">RA6</f>
        <v>44448</v>
      </c>
      <c r="RC6" s="997">
        <f t="shared" ref="RC6" si="252">QY6+1</f>
        <v>43721</v>
      </c>
      <c r="RD6" s="998">
        <f t="shared" ref="RD6" si="253">QZ6+1</f>
        <v>44449</v>
      </c>
      <c r="RE6" s="997">
        <f t="shared" ref="RE6" si="254">RD6</f>
        <v>44449</v>
      </c>
      <c r="RF6" s="998">
        <f t="shared" ref="RF6" si="255">RE6</f>
        <v>44449</v>
      </c>
      <c r="RG6" s="997">
        <f t="shared" ref="RG6" si="256">RC6+1</f>
        <v>43722</v>
      </c>
      <c r="RH6" s="998">
        <f t="shared" ref="RH6" si="257">RD6+1</f>
        <v>44450</v>
      </c>
      <c r="RI6" s="997">
        <f t="shared" ref="RI6" si="258">RH6</f>
        <v>44450</v>
      </c>
      <c r="RJ6" s="998">
        <f t="shared" ref="RJ6" si="259">RI6</f>
        <v>44450</v>
      </c>
      <c r="RK6" s="748" t="s">
        <v>467</v>
      </c>
      <c r="RL6" s="1793"/>
      <c r="RM6" s="751" t="s">
        <v>468</v>
      </c>
      <c r="RN6" s="754" t="str">
        <f>RM6</f>
        <v>2021</v>
      </c>
      <c r="RO6" s="993">
        <f>RG6+1</f>
        <v>43723</v>
      </c>
      <c r="RP6" s="994">
        <f>RH6+1</f>
        <v>44451</v>
      </c>
      <c r="RQ6" s="993">
        <f>RP6</f>
        <v>44451</v>
      </c>
      <c r="RR6" s="994">
        <f>RQ6</f>
        <v>44451</v>
      </c>
      <c r="RS6" s="993">
        <f>RO6+1</f>
        <v>43724</v>
      </c>
      <c r="RT6" s="994">
        <f>RP6+1</f>
        <v>44452</v>
      </c>
      <c r="RU6" s="993">
        <f>RT6</f>
        <v>44452</v>
      </c>
      <c r="RV6" s="994">
        <f>RU6</f>
        <v>44452</v>
      </c>
      <c r="RW6" s="993">
        <f t="shared" ref="RW6" si="260">RS6+1</f>
        <v>43725</v>
      </c>
      <c r="RX6" s="994">
        <f t="shared" ref="RX6" si="261">RT6+1</f>
        <v>44453</v>
      </c>
      <c r="RY6" s="993">
        <f t="shared" ref="RY6" si="262">RX6</f>
        <v>44453</v>
      </c>
      <c r="RZ6" s="994">
        <f t="shared" ref="RZ6" si="263">RY6</f>
        <v>44453</v>
      </c>
      <c r="SA6" s="993">
        <f t="shared" ref="SA6" si="264">RW6+1</f>
        <v>43726</v>
      </c>
      <c r="SB6" s="994">
        <f t="shared" ref="SB6" si="265">RX6+1</f>
        <v>44454</v>
      </c>
      <c r="SC6" s="993">
        <f t="shared" ref="SC6" si="266">SB6</f>
        <v>44454</v>
      </c>
      <c r="SD6" s="994">
        <f t="shared" ref="SD6" si="267">SC6</f>
        <v>44454</v>
      </c>
      <c r="SE6" s="993">
        <f t="shared" ref="SE6" si="268">SA6+1</f>
        <v>43727</v>
      </c>
      <c r="SF6" s="994">
        <f t="shared" ref="SF6" si="269">SB6+1</f>
        <v>44455</v>
      </c>
      <c r="SG6" s="993">
        <f t="shared" ref="SG6" si="270">SF6</f>
        <v>44455</v>
      </c>
      <c r="SH6" s="994">
        <f t="shared" ref="SH6" si="271">SG6</f>
        <v>44455</v>
      </c>
      <c r="SI6" s="993">
        <f t="shared" ref="SI6" si="272">SE6+1</f>
        <v>43728</v>
      </c>
      <c r="SJ6" s="994">
        <f t="shared" ref="SJ6" si="273">SF6+1</f>
        <v>44456</v>
      </c>
      <c r="SK6" s="993">
        <f t="shared" ref="SK6" si="274">SJ6</f>
        <v>44456</v>
      </c>
      <c r="SL6" s="994">
        <f t="shared" ref="SL6" si="275">SK6</f>
        <v>44456</v>
      </c>
      <c r="SM6" s="993">
        <f t="shared" ref="SM6" si="276">SI6+1</f>
        <v>43729</v>
      </c>
      <c r="SN6" s="994">
        <f t="shared" ref="SN6" si="277">SJ6+1</f>
        <v>44457</v>
      </c>
      <c r="SO6" s="993">
        <f t="shared" ref="SO6" si="278">SN6</f>
        <v>44457</v>
      </c>
      <c r="SP6" s="994">
        <f t="shared" ref="SP6" si="279">SO6</f>
        <v>44457</v>
      </c>
      <c r="SQ6" s="745" t="s">
        <v>467</v>
      </c>
      <c r="SR6" s="1786"/>
      <c r="SS6" s="739" t="s">
        <v>468</v>
      </c>
      <c r="ST6" s="742" t="str">
        <f>SS6</f>
        <v>2021</v>
      </c>
      <c r="SU6" s="997">
        <f>SM6+1</f>
        <v>43730</v>
      </c>
      <c r="SV6" s="998">
        <f>SN6+1</f>
        <v>44458</v>
      </c>
      <c r="SW6" s="997">
        <f>SV6</f>
        <v>44458</v>
      </c>
      <c r="SX6" s="998">
        <f>SW6</f>
        <v>44458</v>
      </c>
      <c r="SY6" s="997">
        <f>SU6+1</f>
        <v>43731</v>
      </c>
      <c r="SZ6" s="998">
        <f>SV6+1</f>
        <v>44459</v>
      </c>
      <c r="TA6" s="997">
        <f>SZ6</f>
        <v>44459</v>
      </c>
      <c r="TB6" s="998">
        <f>TA6</f>
        <v>44459</v>
      </c>
      <c r="TC6" s="997">
        <f t="shared" ref="TC6" si="280">SY6+1</f>
        <v>43732</v>
      </c>
      <c r="TD6" s="998">
        <f t="shared" ref="TD6" si="281">SZ6+1</f>
        <v>44460</v>
      </c>
      <c r="TE6" s="997">
        <f t="shared" ref="TE6" si="282">TD6</f>
        <v>44460</v>
      </c>
      <c r="TF6" s="998">
        <f t="shared" ref="TF6" si="283">TE6</f>
        <v>44460</v>
      </c>
      <c r="TG6" s="997">
        <f t="shared" ref="TG6" si="284">TC6+1</f>
        <v>43733</v>
      </c>
      <c r="TH6" s="998">
        <f t="shared" ref="TH6" si="285">TD6+1</f>
        <v>44461</v>
      </c>
      <c r="TI6" s="997">
        <f t="shared" ref="TI6" si="286">TH6</f>
        <v>44461</v>
      </c>
      <c r="TJ6" s="998">
        <f t="shared" ref="TJ6" si="287">TI6</f>
        <v>44461</v>
      </c>
      <c r="TK6" s="997">
        <f t="shared" ref="TK6" si="288">TG6+1</f>
        <v>43734</v>
      </c>
      <c r="TL6" s="998">
        <f t="shared" ref="TL6" si="289">TH6+1</f>
        <v>44462</v>
      </c>
      <c r="TM6" s="997">
        <f t="shared" ref="TM6" si="290">TL6</f>
        <v>44462</v>
      </c>
      <c r="TN6" s="998">
        <f t="shared" ref="TN6" si="291">TM6</f>
        <v>44462</v>
      </c>
      <c r="TO6" s="997">
        <f t="shared" ref="TO6" si="292">TK6+1</f>
        <v>43735</v>
      </c>
      <c r="TP6" s="998">
        <f t="shared" ref="TP6" si="293">TL6+1</f>
        <v>44463</v>
      </c>
      <c r="TQ6" s="997">
        <f t="shared" ref="TQ6" si="294">TP6</f>
        <v>44463</v>
      </c>
      <c r="TR6" s="998">
        <f t="shared" ref="TR6" si="295">TQ6</f>
        <v>44463</v>
      </c>
      <c r="TS6" s="997">
        <f t="shared" ref="TS6" si="296">TO6+1</f>
        <v>43736</v>
      </c>
      <c r="TT6" s="998">
        <f t="shared" ref="TT6" si="297">TP6+1</f>
        <v>44464</v>
      </c>
      <c r="TU6" s="997">
        <f t="shared" ref="TU6" si="298">TT6</f>
        <v>44464</v>
      </c>
      <c r="TV6" s="998">
        <f t="shared" ref="TV6" si="299">TU6</f>
        <v>44464</v>
      </c>
      <c r="TW6" s="748" t="s">
        <v>467</v>
      </c>
      <c r="TX6" s="1788"/>
      <c r="TY6" s="751" t="s">
        <v>468</v>
      </c>
      <c r="TZ6" s="754" t="str">
        <f>TY6</f>
        <v>2021</v>
      </c>
      <c r="UA6" s="993">
        <f>TS6+1</f>
        <v>43737</v>
      </c>
      <c r="UB6" s="994">
        <f>TT6+1</f>
        <v>44465</v>
      </c>
      <c r="UC6" s="993">
        <f>UB6</f>
        <v>44465</v>
      </c>
      <c r="UD6" s="994">
        <f>UC6</f>
        <v>44465</v>
      </c>
      <c r="UE6" s="993">
        <f>UA6+1</f>
        <v>43738</v>
      </c>
      <c r="UF6" s="994">
        <f>UB6+1</f>
        <v>44466</v>
      </c>
      <c r="UG6" s="993">
        <f>UF6</f>
        <v>44466</v>
      </c>
      <c r="UH6" s="994">
        <f>UG6</f>
        <v>44466</v>
      </c>
      <c r="UI6" s="993">
        <f t="shared" ref="UI6" si="300">UE6+1</f>
        <v>43739</v>
      </c>
      <c r="UJ6" s="994">
        <f t="shared" ref="UJ6" si="301">UF6+1</f>
        <v>44467</v>
      </c>
      <c r="UK6" s="993">
        <f t="shared" ref="UK6" si="302">UJ6</f>
        <v>44467</v>
      </c>
      <c r="UL6" s="994">
        <f t="shared" ref="UL6" si="303">UK6</f>
        <v>44467</v>
      </c>
      <c r="UM6" s="993">
        <f t="shared" ref="UM6" si="304">UI6+1</f>
        <v>43740</v>
      </c>
      <c r="UN6" s="994">
        <f t="shared" ref="UN6" si="305">UJ6+1</f>
        <v>44468</v>
      </c>
      <c r="UO6" s="993">
        <f t="shared" ref="UO6" si="306">UN6</f>
        <v>44468</v>
      </c>
      <c r="UP6" s="994">
        <f t="shared" ref="UP6" si="307">UO6</f>
        <v>44468</v>
      </c>
      <c r="UQ6" s="993">
        <f t="shared" ref="UQ6" si="308">UM6+1</f>
        <v>43741</v>
      </c>
      <c r="UR6" s="994">
        <f t="shared" ref="UR6" si="309">UN6+1</f>
        <v>44469</v>
      </c>
      <c r="US6" s="993">
        <f t="shared" ref="US6" si="310">UR6</f>
        <v>44469</v>
      </c>
      <c r="UT6" s="994">
        <f t="shared" ref="UT6" si="311">US6</f>
        <v>44469</v>
      </c>
      <c r="UU6" s="993">
        <f t="shared" ref="UU6" si="312">UQ6+1</f>
        <v>43742</v>
      </c>
      <c r="UV6" s="994">
        <f t="shared" ref="UV6" si="313">UR6+1</f>
        <v>44470</v>
      </c>
      <c r="UW6" s="993">
        <f t="shared" ref="UW6" si="314">UV6</f>
        <v>44470</v>
      </c>
      <c r="UX6" s="994">
        <f t="shared" ref="UX6" si="315">UW6</f>
        <v>44470</v>
      </c>
      <c r="UY6" s="993">
        <f t="shared" ref="UY6" si="316">UU6+1</f>
        <v>43743</v>
      </c>
      <c r="UZ6" s="994">
        <f t="shared" ref="UZ6" si="317">UV6+1</f>
        <v>44471</v>
      </c>
      <c r="VA6" s="993">
        <f t="shared" ref="VA6" si="318">UZ6</f>
        <v>44471</v>
      </c>
      <c r="VB6" s="994">
        <f t="shared" ref="VB6" si="319">VA6</f>
        <v>44471</v>
      </c>
      <c r="VC6" s="745" t="s">
        <v>467</v>
      </c>
      <c r="VD6" s="1786"/>
      <c r="VE6" s="739" t="s">
        <v>468</v>
      </c>
      <c r="VF6" s="742" t="str">
        <f>VE6</f>
        <v>2021</v>
      </c>
      <c r="VG6" s="993">
        <f>UY6+1</f>
        <v>43744</v>
      </c>
      <c r="VH6" s="994">
        <f>UZ6+1</f>
        <v>44472</v>
      </c>
      <c r="VI6" s="993">
        <f>VH6</f>
        <v>44472</v>
      </c>
      <c r="VJ6" s="994">
        <f>VI6</f>
        <v>44472</v>
      </c>
      <c r="VK6" s="993">
        <f>VG6+1</f>
        <v>43745</v>
      </c>
      <c r="VL6" s="994">
        <f>VH6+1</f>
        <v>44473</v>
      </c>
      <c r="VM6" s="993">
        <f>VL6</f>
        <v>44473</v>
      </c>
      <c r="VN6" s="994">
        <f>VM6</f>
        <v>44473</v>
      </c>
      <c r="VO6" s="993">
        <f t="shared" ref="VO6" si="320">VK6+1</f>
        <v>43746</v>
      </c>
      <c r="VP6" s="994">
        <f t="shared" ref="VP6" si="321">VL6+1</f>
        <v>44474</v>
      </c>
      <c r="VQ6" s="993">
        <f t="shared" ref="VQ6" si="322">VP6</f>
        <v>44474</v>
      </c>
      <c r="VR6" s="994">
        <f t="shared" ref="VR6" si="323">VQ6</f>
        <v>44474</v>
      </c>
      <c r="VS6" s="993">
        <f t="shared" ref="VS6" si="324">VO6+1</f>
        <v>43747</v>
      </c>
      <c r="VT6" s="994">
        <f t="shared" ref="VT6" si="325">VP6+1</f>
        <v>44475</v>
      </c>
      <c r="VU6" s="993">
        <f t="shared" ref="VU6" si="326">VT6</f>
        <v>44475</v>
      </c>
      <c r="VV6" s="994">
        <f t="shared" ref="VV6" si="327">VU6</f>
        <v>44475</v>
      </c>
      <c r="VW6" s="993">
        <f t="shared" ref="VW6" si="328">VS6+1</f>
        <v>43748</v>
      </c>
      <c r="VX6" s="994">
        <f t="shared" ref="VX6" si="329">VT6+1</f>
        <v>44476</v>
      </c>
      <c r="VY6" s="993">
        <f t="shared" ref="VY6" si="330">VX6</f>
        <v>44476</v>
      </c>
      <c r="VZ6" s="994">
        <f t="shared" ref="VZ6" si="331">VY6</f>
        <v>44476</v>
      </c>
      <c r="WA6" s="993">
        <f t="shared" ref="WA6" si="332">VW6+1</f>
        <v>43749</v>
      </c>
      <c r="WB6" s="994">
        <f t="shared" ref="WB6" si="333">VX6+1</f>
        <v>44477</v>
      </c>
      <c r="WC6" s="993">
        <f t="shared" ref="WC6" si="334">WB6</f>
        <v>44477</v>
      </c>
      <c r="WD6" s="994">
        <f t="shared" ref="WD6" si="335">WC6</f>
        <v>44477</v>
      </c>
      <c r="WE6" s="993">
        <f t="shared" ref="WE6" si="336">WA6+1</f>
        <v>43750</v>
      </c>
      <c r="WF6" s="994">
        <f t="shared" ref="WF6" si="337">WB6+1</f>
        <v>44478</v>
      </c>
      <c r="WG6" s="993">
        <f t="shared" ref="WG6" si="338">WF6</f>
        <v>44478</v>
      </c>
      <c r="WH6" s="994">
        <f t="shared" ref="WH6" si="339">WG6</f>
        <v>44478</v>
      </c>
      <c r="WI6" s="745" t="s">
        <v>467</v>
      </c>
      <c r="WJ6" s="1784"/>
      <c r="WK6" s="739" t="s">
        <v>468</v>
      </c>
      <c r="WL6" s="742" t="str">
        <f>WK6</f>
        <v>2021</v>
      </c>
      <c r="WM6" s="997">
        <f>WE6+1</f>
        <v>43751</v>
      </c>
      <c r="WN6" s="998">
        <f>WF6+1</f>
        <v>44479</v>
      </c>
      <c r="WO6" s="997">
        <f>WN6</f>
        <v>44479</v>
      </c>
      <c r="WP6" s="998">
        <f>WO6</f>
        <v>44479</v>
      </c>
      <c r="WQ6" s="997">
        <f>WM6+1</f>
        <v>43752</v>
      </c>
      <c r="WR6" s="998">
        <f>WN6+1</f>
        <v>44480</v>
      </c>
      <c r="WS6" s="997">
        <f>WR6</f>
        <v>44480</v>
      </c>
      <c r="WT6" s="998">
        <f>WS6</f>
        <v>44480</v>
      </c>
      <c r="WU6" s="997">
        <f t="shared" ref="WU6" si="340">WQ6+1</f>
        <v>43753</v>
      </c>
      <c r="WV6" s="998">
        <f t="shared" ref="WV6" si="341">WR6+1</f>
        <v>44481</v>
      </c>
      <c r="WW6" s="997">
        <f t="shared" ref="WW6" si="342">WV6</f>
        <v>44481</v>
      </c>
      <c r="WX6" s="998">
        <f t="shared" ref="WX6" si="343">WW6</f>
        <v>44481</v>
      </c>
      <c r="WY6" s="997">
        <f t="shared" ref="WY6" si="344">WU6+1</f>
        <v>43754</v>
      </c>
      <c r="WZ6" s="998">
        <f t="shared" ref="WZ6" si="345">WV6+1</f>
        <v>44482</v>
      </c>
      <c r="XA6" s="997">
        <f t="shared" ref="XA6" si="346">WZ6</f>
        <v>44482</v>
      </c>
      <c r="XB6" s="998">
        <f t="shared" ref="XB6" si="347">XA6</f>
        <v>44482</v>
      </c>
      <c r="XC6" s="997">
        <f t="shared" ref="XC6" si="348">WY6+1</f>
        <v>43755</v>
      </c>
      <c r="XD6" s="998">
        <f t="shared" ref="XD6" si="349">WZ6+1</f>
        <v>44483</v>
      </c>
      <c r="XE6" s="997">
        <f t="shared" ref="XE6" si="350">XD6</f>
        <v>44483</v>
      </c>
      <c r="XF6" s="998">
        <f t="shared" ref="XF6" si="351">XE6</f>
        <v>44483</v>
      </c>
      <c r="XG6" s="997">
        <f t="shared" ref="XG6" si="352">XC6+1</f>
        <v>43756</v>
      </c>
      <c r="XH6" s="998">
        <f t="shared" ref="XH6" si="353">XD6+1</f>
        <v>44484</v>
      </c>
      <c r="XI6" s="997">
        <f t="shared" ref="XI6" si="354">XH6</f>
        <v>44484</v>
      </c>
      <c r="XJ6" s="998">
        <f t="shared" ref="XJ6" si="355">XI6</f>
        <v>44484</v>
      </c>
      <c r="XK6" s="997">
        <f t="shared" ref="XK6" si="356">XG6+1</f>
        <v>43757</v>
      </c>
      <c r="XL6" s="998">
        <f t="shared" ref="XL6" si="357">XH6+1</f>
        <v>44485</v>
      </c>
      <c r="XM6" s="997">
        <f t="shared" ref="XM6" si="358">XL6</f>
        <v>44485</v>
      </c>
      <c r="XN6" s="998">
        <f t="shared" ref="XN6" si="359">XM6</f>
        <v>44485</v>
      </c>
      <c r="XO6" s="748" t="s">
        <v>467</v>
      </c>
      <c r="XP6" s="1803"/>
      <c r="XQ6" s="751" t="s">
        <v>468</v>
      </c>
      <c r="XR6" s="754" t="str">
        <f>XQ6</f>
        <v>2021</v>
      </c>
      <c r="XS6" s="993">
        <f>XK6+1</f>
        <v>43758</v>
      </c>
      <c r="XT6" s="994">
        <f>XL6+1</f>
        <v>44486</v>
      </c>
      <c r="XU6" s="993">
        <f>XT6</f>
        <v>44486</v>
      </c>
      <c r="XV6" s="994">
        <f>XU6</f>
        <v>44486</v>
      </c>
      <c r="XW6" s="993">
        <f>XS6+1</f>
        <v>43759</v>
      </c>
      <c r="XX6" s="994">
        <f>XT6+1</f>
        <v>44487</v>
      </c>
      <c r="XY6" s="993">
        <f>XX6</f>
        <v>44487</v>
      </c>
      <c r="XZ6" s="994">
        <f>XY6</f>
        <v>44487</v>
      </c>
      <c r="YA6" s="993">
        <f t="shared" ref="YA6" si="360">XW6+1</f>
        <v>43760</v>
      </c>
      <c r="YB6" s="994">
        <f t="shared" ref="YB6" si="361">XX6+1</f>
        <v>44488</v>
      </c>
      <c r="YC6" s="993">
        <f t="shared" ref="YC6" si="362">YB6</f>
        <v>44488</v>
      </c>
      <c r="YD6" s="994">
        <f t="shared" ref="YD6" si="363">YC6</f>
        <v>44488</v>
      </c>
      <c r="YE6" s="993">
        <f t="shared" ref="YE6" si="364">YA6+1</f>
        <v>43761</v>
      </c>
      <c r="YF6" s="994">
        <f t="shared" ref="YF6" si="365">YB6+1</f>
        <v>44489</v>
      </c>
      <c r="YG6" s="993">
        <f t="shared" ref="YG6" si="366">YF6</f>
        <v>44489</v>
      </c>
      <c r="YH6" s="994">
        <f t="shared" ref="YH6" si="367">YG6</f>
        <v>44489</v>
      </c>
      <c r="YI6" s="993">
        <f t="shared" ref="YI6" si="368">YE6+1</f>
        <v>43762</v>
      </c>
      <c r="YJ6" s="994">
        <f t="shared" ref="YJ6" si="369">YF6+1</f>
        <v>44490</v>
      </c>
      <c r="YK6" s="993">
        <f t="shared" ref="YK6" si="370">YJ6</f>
        <v>44490</v>
      </c>
      <c r="YL6" s="994">
        <f t="shared" ref="YL6" si="371">YK6</f>
        <v>44490</v>
      </c>
      <c r="YM6" s="993">
        <f t="shared" ref="YM6" si="372">YI6+1</f>
        <v>43763</v>
      </c>
      <c r="YN6" s="994">
        <f t="shared" ref="YN6" si="373">YJ6+1</f>
        <v>44491</v>
      </c>
      <c r="YO6" s="993">
        <f t="shared" ref="YO6" si="374">YN6</f>
        <v>44491</v>
      </c>
      <c r="YP6" s="994">
        <f t="shared" ref="YP6" si="375">YO6</f>
        <v>44491</v>
      </c>
      <c r="YQ6" s="993">
        <f t="shared" ref="YQ6" si="376">YM6+1</f>
        <v>43764</v>
      </c>
      <c r="YR6" s="994">
        <f t="shared" ref="YR6" si="377">YN6+1</f>
        <v>44492</v>
      </c>
      <c r="YS6" s="993">
        <f t="shared" ref="YS6" si="378">YR6</f>
        <v>44492</v>
      </c>
      <c r="YT6" s="994">
        <f t="shared" ref="YT6" si="379">YS6</f>
        <v>44492</v>
      </c>
      <c r="YU6" s="745" t="s">
        <v>467</v>
      </c>
      <c r="YV6" s="1784"/>
      <c r="YW6" s="739" t="s">
        <v>468</v>
      </c>
      <c r="YX6" s="742" t="str">
        <f>YW6</f>
        <v>2021</v>
      </c>
      <c r="YY6" s="997">
        <f>YQ6+1</f>
        <v>43765</v>
      </c>
      <c r="YZ6" s="998">
        <f>YR6+1</f>
        <v>44493</v>
      </c>
      <c r="ZA6" s="997">
        <f>YZ6</f>
        <v>44493</v>
      </c>
      <c r="ZB6" s="998">
        <f>ZA6</f>
        <v>44493</v>
      </c>
      <c r="ZC6" s="997">
        <f>YY6+1</f>
        <v>43766</v>
      </c>
      <c r="ZD6" s="998">
        <f>YZ6+1</f>
        <v>44494</v>
      </c>
      <c r="ZE6" s="997">
        <f>ZD6</f>
        <v>44494</v>
      </c>
      <c r="ZF6" s="998">
        <f>ZE6</f>
        <v>44494</v>
      </c>
      <c r="ZG6" s="997">
        <f t="shared" ref="ZG6" si="380">ZC6+1</f>
        <v>43767</v>
      </c>
      <c r="ZH6" s="998">
        <f t="shared" ref="ZH6" si="381">ZD6+1</f>
        <v>44495</v>
      </c>
      <c r="ZI6" s="997">
        <f t="shared" ref="ZI6" si="382">ZH6</f>
        <v>44495</v>
      </c>
      <c r="ZJ6" s="998">
        <f t="shared" ref="ZJ6" si="383">ZI6</f>
        <v>44495</v>
      </c>
      <c r="ZK6" s="997">
        <f t="shared" ref="ZK6" si="384">ZG6+1</f>
        <v>43768</v>
      </c>
      <c r="ZL6" s="998">
        <f t="shared" ref="ZL6" si="385">ZH6+1</f>
        <v>44496</v>
      </c>
      <c r="ZM6" s="997">
        <f t="shared" ref="ZM6" si="386">ZL6</f>
        <v>44496</v>
      </c>
      <c r="ZN6" s="998">
        <f t="shared" ref="ZN6" si="387">ZM6</f>
        <v>44496</v>
      </c>
      <c r="ZO6" s="997">
        <f t="shared" ref="ZO6" si="388">ZK6+1</f>
        <v>43769</v>
      </c>
      <c r="ZP6" s="998">
        <f t="shared" ref="ZP6" si="389">ZL6+1</f>
        <v>44497</v>
      </c>
      <c r="ZQ6" s="997">
        <f t="shared" ref="ZQ6" si="390">ZP6</f>
        <v>44497</v>
      </c>
      <c r="ZR6" s="998">
        <f t="shared" ref="ZR6" si="391">ZQ6</f>
        <v>44497</v>
      </c>
      <c r="ZS6" s="997">
        <f t="shared" ref="ZS6" si="392">ZO6+1</f>
        <v>43770</v>
      </c>
      <c r="ZT6" s="998">
        <f t="shared" ref="ZT6" si="393">ZP6+1</f>
        <v>44498</v>
      </c>
      <c r="ZU6" s="997">
        <f t="shared" ref="ZU6" si="394">ZT6</f>
        <v>44498</v>
      </c>
      <c r="ZV6" s="998">
        <f t="shared" ref="ZV6" si="395">ZU6</f>
        <v>44498</v>
      </c>
      <c r="ZW6" s="997">
        <f t="shared" ref="ZW6" si="396">ZS6+1</f>
        <v>43771</v>
      </c>
      <c r="ZX6" s="998">
        <f t="shared" ref="ZX6" si="397">ZT6+1</f>
        <v>44499</v>
      </c>
      <c r="ZY6" s="997">
        <f t="shared" ref="ZY6" si="398">ZX6</f>
        <v>44499</v>
      </c>
      <c r="ZZ6" s="998">
        <f t="shared" ref="ZZ6" si="399">ZY6</f>
        <v>44499</v>
      </c>
      <c r="AAA6" s="748" t="s">
        <v>467</v>
      </c>
      <c r="AAB6" s="1803"/>
      <c r="AAC6" s="751" t="s">
        <v>468</v>
      </c>
      <c r="AAD6" s="754" t="str">
        <f>AAC6</f>
        <v>2021</v>
      </c>
      <c r="AAE6" s="993">
        <f>ZW6+1</f>
        <v>43772</v>
      </c>
      <c r="AAF6" s="994">
        <f>ZX6+1</f>
        <v>44500</v>
      </c>
      <c r="AAG6" s="993">
        <f>AAF6</f>
        <v>44500</v>
      </c>
      <c r="AAH6" s="994">
        <f>AAG6</f>
        <v>44500</v>
      </c>
      <c r="AAI6" s="993">
        <f>AAE6+1</f>
        <v>43773</v>
      </c>
      <c r="AAJ6" s="994">
        <f>AAF6+1</f>
        <v>44501</v>
      </c>
      <c r="AAK6" s="993">
        <f>AAJ6</f>
        <v>44501</v>
      </c>
      <c r="AAL6" s="994">
        <f>AAK6</f>
        <v>44501</v>
      </c>
      <c r="AAM6" s="993">
        <f t="shared" ref="AAM6" si="400">AAI6+1</f>
        <v>43774</v>
      </c>
      <c r="AAN6" s="994">
        <f t="shared" ref="AAN6" si="401">AAJ6+1</f>
        <v>44502</v>
      </c>
      <c r="AAO6" s="993">
        <f t="shared" ref="AAO6" si="402">AAN6</f>
        <v>44502</v>
      </c>
      <c r="AAP6" s="994">
        <f t="shared" ref="AAP6" si="403">AAO6</f>
        <v>44502</v>
      </c>
      <c r="AAQ6" s="993">
        <f t="shared" ref="AAQ6" si="404">AAM6+1</f>
        <v>43775</v>
      </c>
      <c r="AAR6" s="994">
        <f t="shared" ref="AAR6" si="405">AAN6+1</f>
        <v>44503</v>
      </c>
      <c r="AAS6" s="993">
        <f t="shared" ref="AAS6" si="406">AAR6</f>
        <v>44503</v>
      </c>
      <c r="AAT6" s="994">
        <f t="shared" ref="AAT6" si="407">AAS6</f>
        <v>44503</v>
      </c>
      <c r="AAU6" s="993">
        <f t="shared" ref="AAU6" si="408">AAQ6+1</f>
        <v>43776</v>
      </c>
      <c r="AAV6" s="994">
        <f t="shared" ref="AAV6" si="409">AAR6+1</f>
        <v>44504</v>
      </c>
      <c r="AAW6" s="993">
        <f t="shared" ref="AAW6" si="410">AAV6</f>
        <v>44504</v>
      </c>
      <c r="AAX6" s="994">
        <f t="shared" ref="AAX6" si="411">AAW6</f>
        <v>44504</v>
      </c>
      <c r="AAY6" s="993">
        <f t="shared" ref="AAY6" si="412">AAU6+1</f>
        <v>43777</v>
      </c>
      <c r="AAZ6" s="994">
        <f t="shared" ref="AAZ6" si="413">AAV6+1</f>
        <v>44505</v>
      </c>
      <c r="ABA6" s="993">
        <f t="shared" ref="ABA6" si="414">AAZ6</f>
        <v>44505</v>
      </c>
      <c r="ABB6" s="994">
        <f t="shared" ref="ABB6" si="415">ABA6</f>
        <v>44505</v>
      </c>
      <c r="ABC6" s="993">
        <f t="shared" ref="ABC6" si="416">AAY6+1</f>
        <v>43778</v>
      </c>
      <c r="ABD6" s="994">
        <f t="shared" ref="ABD6" si="417">AAZ6+1</f>
        <v>44506</v>
      </c>
      <c r="ABE6" s="993">
        <f t="shared" ref="ABE6" si="418">ABD6</f>
        <v>44506</v>
      </c>
      <c r="ABF6" s="994">
        <f t="shared" ref="ABF6" si="419">ABE6</f>
        <v>44506</v>
      </c>
      <c r="ABG6" s="745" t="s">
        <v>467</v>
      </c>
      <c r="ABH6" s="1784"/>
      <c r="ABI6" s="739" t="s">
        <v>468</v>
      </c>
      <c r="ABJ6" s="742" t="str">
        <f>ABI6</f>
        <v>2021</v>
      </c>
      <c r="ABK6" s="997">
        <f>ABC6+1</f>
        <v>43779</v>
      </c>
      <c r="ABL6" s="998">
        <f>ABD6+1</f>
        <v>44507</v>
      </c>
      <c r="ABM6" s="997">
        <f>ABL6</f>
        <v>44507</v>
      </c>
      <c r="ABN6" s="998">
        <f>ABM6</f>
        <v>44507</v>
      </c>
      <c r="ABO6" s="997">
        <f>ABK6+1</f>
        <v>43780</v>
      </c>
      <c r="ABP6" s="998">
        <f>ABL6+1</f>
        <v>44508</v>
      </c>
      <c r="ABQ6" s="997">
        <f>ABP6</f>
        <v>44508</v>
      </c>
      <c r="ABR6" s="998">
        <f>ABQ6</f>
        <v>44508</v>
      </c>
      <c r="ABS6" s="997">
        <f t="shared" ref="ABS6" si="420">ABO6+1</f>
        <v>43781</v>
      </c>
      <c r="ABT6" s="998">
        <f t="shared" ref="ABT6" si="421">ABP6+1</f>
        <v>44509</v>
      </c>
      <c r="ABU6" s="997">
        <f t="shared" ref="ABU6" si="422">ABT6</f>
        <v>44509</v>
      </c>
      <c r="ABV6" s="998">
        <f t="shared" ref="ABV6" si="423">ABU6</f>
        <v>44509</v>
      </c>
      <c r="ABW6" s="997">
        <f t="shared" ref="ABW6" si="424">ABS6+1</f>
        <v>43782</v>
      </c>
      <c r="ABX6" s="998">
        <f t="shared" ref="ABX6" si="425">ABT6+1</f>
        <v>44510</v>
      </c>
      <c r="ABY6" s="997">
        <f t="shared" ref="ABY6" si="426">ABX6</f>
        <v>44510</v>
      </c>
      <c r="ABZ6" s="998">
        <f t="shared" ref="ABZ6" si="427">ABY6</f>
        <v>44510</v>
      </c>
      <c r="ACA6" s="997">
        <f t="shared" ref="ACA6" si="428">ABW6+1</f>
        <v>43783</v>
      </c>
      <c r="ACB6" s="998">
        <f t="shared" ref="ACB6" si="429">ABX6+1</f>
        <v>44511</v>
      </c>
      <c r="ACC6" s="997">
        <f t="shared" ref="ACC6" si="430">ACB6</f>
        <v>44511</v>
      </c>
      <c r="ACD6" s="998">
        <f t="shared" ref="ACD6" si="431">ACC6</f>
        <v>44511</v>
      </c>
      <c r="ACE6" s="997">
        <f t="shared" ref="ACE6" si="432">ACA6+1</f>
        <v>43784</v>
      </c>
      <c r="ACF6" s="998">
        <f t="shared" ref="ACF6" si="433">ACB6+1</f>
        <v>44512</v>
      </c>
      <c r="ACG6" s="997">
        <f t="shared" ref="ACG6" si="434">ACF6</f>
        <v>44512</v>
      </c>
      <c r="ACH6" s="998">
        <f t="shared" ref="ACH6" si="435">ACG6</f>
        <v>44512</v>
      </c>
      <c r="ACI6" s="997">
        <f t="shared" ref="ACI6" si="436">ACE6+1</f>
        <v>43785</v>
      </c>
      <c r="ACJ6" s="998">
        <f t="shared" ref="ACJ6" si="437">ACF6+1</f>
        <v>44513</v>
      </c>
      <c r="ACK6" s="997">
        <f t="shared" ref="ACK6" si="438">ACJ6</f>
        <v>44513</v>
      </c>
      <c r="ACL6" s="998">
        <f t="shared" ref="ACL6" si="439">ACK6</f>
        <v>44513</v>
      </c>
      <c r="ACM6" s="748" t="s">
        <v>467</v>
      </c>
      <c r="ACN6" s="1803"/>
      <c r="ACO6" s="751" t="s">
        <v>468</v>
      </c>
      <c r="ACP6" s="754" t="str">
        <f>ACO6</f>
        <v>2021</v>
      </c>
      <c r="ACQ6" s="993">
        <f>ACI6+1</f>
        <v>43786</v>
      </c>
      <c r="ACR6" s="994">
        <f>ACJ6+1</f>
        <v>44514</v>
      </c>
      <c r="ACS6" s="993">
        <f>ACR6</f>
        <v>44514</v>
      </c>
      <c r="ACT6" s="994">
        <f>ACS6</f>
        <v>44514</v>
      </c>
      <c r="ACU6" s="993">
        <f>ACQ6+1</f>
        <v>43787</v>
      </c>
      <c r="ACV6" s="994">
        <f>ACR6+1</f>
        <v>44515</v>
      </c>
      <c r="ACW6" s="993">
        <f>ACV6</f>
        <v>44515</v>
      </c>
      <c r="ACX6" s="994">
        <f>ACW6</f>
        <v>44515</v>
      </c>
      <c r="ACY6" s="993">
        <f t="shared" ref="ACY6" si="440">ACU6+1</f>
        <v>43788</v>
      </c>
      <c r="ACZ6" s="994">
        <f t="shared" ref="ACZ6" si="441">ACV6+1</f>
        <v>44516</v>
      </c>
      <c r="ADA6" s="993">
        <f t="shared" ref="ADA6" si="442">ACZ6</f>
        <v>44516</v>
      </c>
      <c r="ADB6" s="994">
        <f t="shared" ref="ADB6" si="443">ADA6</f>
        <v>44516</v>
      </c>
      <c r="ADC6" s="993">
        <f t="shared" ref="ADC6" si="444">ACY6+1</f>
        <v>43789</v>
      </c>
      <c r="ADD6" s="994">
        <f t="shared" ref="ADD6" si="445">ACZ6+1</f>
        <v>44517</v>
      </c>
      <c r="ADE6" s="993">
        <f t="shared" ref="ADE6" si="446">ADD6</f>
        <v>44517</v>
      </c>
      <c r="ADF6" s="994">
        <f t="shared" ref="ADF6" si="447">ADE6</f>
        <v>44517</v>
      </c>
      <c r="ADG6" s="993">
        <f t="shared" ref="ADG6" si="448">ADC6+1</f>
        <v>43790</v>
      </c>
      <c r="ADH6" s="994">
        <f t="shared" ref="ADH6" si="449">ADD6+1</f>
        <v>44518</v>
      </c>
      <c r="ADI6" s="993">
        <f t="shared" ref="ADI6" si="450">ADH6</f>
        <v>44518</v>
      </c>
      <c r="ADJ6" s="994">
        <f t="shared" ref="ADJ6" si="451">ADI6</f>
        <v>44518</v>
      </c>
      <c r="ADK6" s="993">
        <f t="shared" ref="ADK6" si="452">ADG6+1</f>
        <v>43791</v>
      </c>
      <c r="ADL6" s="994">
        <f t="shared" ref="ADL6" si="453">ADH6+1</f>
        <v>44519</v>
      </c>
      <c r="ADM6" s="993">
        <f t="shared" ref="ADM6" si="454">ADL6</f>
        <v>44519</v>
      </c>
      <c r="ADN6" s="994">
        <f t="shared" ref="ADN6" si="455">ADM6</f>
        <v>44519</v>
      </c>
      <c r="ADO6" s="993">
        <f t="shared" ref="ADO6" si="456">ADK6+1</f>
        <v>43792</v>
      </c>
      <c r="ADP6" s="994">
        <f t="shared" ref="ADP6" si="457">ADL6+1</f>
        <v>44520</v>
      </c>
      <c r="ADQ6" s="993">
        <f t="shared" ref="ADQ6" si="458">ADP6</f>
        <v>44520</v>
      </c>
      <c r="ADR6" s="994">
        <f t="shared" ref="ADR6" si="459">ADQ6</f>
        <v>44520</v>
      </c>
      <c r="ADS6" s="745" t="s">
        <v>467</v>
      </c>
      <c r="ADT6" s="1784"/>
      <c r="ADU6" s="739" t="s">
        <v>468</v>
      </c>
      <c r="ADV6" s="742" t="str">
        <f>ADU6</f>
        <v>2021</v>
      </c>
      <c r="ADW6" s="997">
        <f>ADO6+1</f>
        <v>43793</v>
      </c>
      <c r="ADX6" s="998">
        <f>ADP6+1</f>
        <v>44521</v>
      </c>
      <c r="ADY6" s="997">
        <f>ADX6</f>
        <v>44521</v>
      </c>
      <c r="ADZ6" s="998">
        <f>ADY6</f>
        <v>44521</v>
      </c>
      <c r="AEA6" s="997">
        <f>ADW6+1</f>
        <v>43794</v>
      </c>
      <c r="AEB6" s="998">
        <f>ADX6+1</f>
        <v>44522</v>
      </c>
      <c r="AEC6" s="997">
        <f>AEB6</f>
        <v>44522</v>
      </c>
      <c r="AED6" s="998">
        <f>AEC6</f>
        <v>44522</v>
      </c>
      <c r="AEE6" s="997">
        <f t="shared" ref="AEE6" si="460">AEA6+1</f>
        <v>43795</v>
      </c>
      <c r="AEF6" s="998">
        <f t="shared" ref="AEF6" si="461">AEB6+1</f>
        <v>44523</v>
      </c>
      <c r="AEG6" s="997">
        <f t="shared" ref="AEG6" si="462">AEF6</f>
        <v>44523</v>
      </c>
      <c r="AEH6" s="998">
        <f t="shared" ref="AEH6" si="463">AEG6</f>
        <v>44523</v>
      </c>
      <c r="AEI6" s="997">
        <f t="shared" ref="AEI6" si="464">AEE6+1</f>
        <v>43796</v>
      </c>
      <c r="AEJ6" s="998">
        <f t="shared" ref="AEJ6" si="465">AEF6+1</f>
        <v>44524</v>
      </c>
      <c r="AEK6" s="997">
        <f t="shared" ref="AEK6" si="466">AEJ6</f>
        <v>44524</v>
      </c>
      <c r="AEL6" s="998">
        <f t="shared" ref="AEL6" si="467">AEK6</f>
        <v>44524</v>
      </c>
      <c r="AEM6" s="997">
        <f t="shared" ref="AEM6" si="468">AEI6+1</f>
        <v>43797</v>
      </c>
      <c r="AEN6" s="998">
        <f t="shared" ref="AEN6" si="469">AEJ6+1</f>
        <v>44525</v>
      </c>
      <c r="AEO6" s="997">
        <f t="shared" ref="AEO6" si="470">AEN6</f>
        <v>44525</v>
      </c>
      <c r="AEP6" s="998">
        <f t="shared" ref="AEP6" si="471">AEO6</f>
        <v>44525</v>
      </c>
      <c r="AEQ6" s="997">
        <f t="shared" ref="AEQ6" si="472">AEM6+1</f>
        <v>43798</v>
      </c>
      <c r="AER6" s="998">
        <f t="shared" ref="AER6" si="473">AEN6+1</f>
        <v>44526</v>
      </c>
      <c r="AES6" s="997">
        <f t="shared" ref="AES6" si="474">AER6</f>
        <v>44526</v>
      </c>
      <c r="AET6" s="998">
        <f t="shared" ref="AET6" si="475">AES6</f>
        <v>44526</v>
      </c>
      <c r="AEU6" s="997">
        <f t="shared" ref="AEU6" si="476">AEQ6+1</f>
        <v>43799</v>
      </c>
      <c r="AEV6" s="998">
        <f t="shared" ref="AEV6" si="477">AER6+1</f>
        <v>44527</v>
      </c>
      <c r="AEW6" s="997">
        <f t="shared" ref="AEW6" si="478">AEV6</f>
        <v>44527</v>
      </c>
      <c r="AEX6" s="998">
        <f t="shared" ref="AEX6" si="479">AEW6</f>
        <v>44527</v>
      </c>
      <c r="AEY6" s="748" t="s">
        <v>467</v>
      </c>
      <c r="AEZ6" s="1803"/>
      <c r="AFA6" s="751" t="s">
        <v>468</v>
      </c>
      <c r="AFB6" s="754" t="str">
        <f>AFA6</f>
        <v>2021</v>
      </c>
      <c r="AFC6" s="993">
        <f>AEU6+1</f>
        <v>43800</v>
      </c>
      <c r="AFD6" s="994">
        <f>AEV6+1</f>
        <v>44528</v>
      </c>
      <c r="AFE6" s="993">
        <f>AFD6</f>
        <v>44528</v>
      </c>
      <c r="AFF6" s="994">
        <f>AFE6</f>
        <v>44528</v>
      </c>
      <c r="AFG6" s="993">
        <f>AFC6+1</f>
        <v>43801</v>
      </c>
      <c r="AFH6" s="994">
        <f>AFD6+1</f>
        <v>44529</v>
      </c>
      <c r="AFI6" s="993">
        <f>AFH6</f>
        <v>44529</v>
      </c>
      <c r="AFJ6" s="994">
        <f>AFI6</f>
        <v>44529</v>
      </c>
      <c r="AFK6" s="993">
        <f t="shared" ref="AFK6" si="480">AFG6+1</f>
        <v>43802</v>
      </c>
      <c r="AFL6" s="994">
        <f t="shared" ref="AFL6" si="481">AFH6+1</f>
        <v>44530</v>
      </c>
      <c r="AFM6" s="993">
        <f t="shared" ref="AFM6" si="482">AFL6</f>
        <v>44530</v>
      </c>
      <c r="AFN6" s="994">
        <f t="shared" ref="AFN6" si="483">AFM6</f>
        <v>44530</v>
      </c>
      <c r="AFO6" s="993">
        <f t="shared" ref="AFO6" si="484">AFK6+1</f>
        <v>43803</v>
      </c>
      <c r="AFP6" s="994">
        <f t="shared" ref="AFP6" si="485">AFL6+1</f>
        <v>44531</v>
      </c>
      <c r="AFQ6" s="993">
        <f t="shared" ref="AFQ6" si="486">AFP6</f>
        <v>44531</v>
      </c>
      <c r="AFR6" s="994">
        <f t="shared" ref="AFR6" si="487">AFQ6</f>
        <v>44531</v>
      </c>
      <c r="AFS6" s="993">
        <f t="shared" ref="AFS6" si="488">AFO6+1</f>
        <v>43804</v>
      </c>
      <c r="AFT6" s="994">
        <f t="shared" ref="AFT6" si="489">AFP6+1</f>
        <v>44532</v>
      </c>
      <c r="AFU6" s="993">
        <f t="shared" ref="AFU6" si="490">AFT6</f>
        <v>44532</v>
      </c>
      <c r="AFV6" s="994">
        <f t="shared" ref="AFV6" si="491">AFU6</f>
        <v>44532</v>
      </c>
      <c r="AFW6" s="993">
        <f t="shared" ref="AFW6" si="492">AFS6+1</f>
        <v>43805</v>
      </c>
      <c r="AFX6" s="994">
        <f t="shared" ref="AFX6" si="493">AFT6+1</f>
        <v>44533</v>
      </c>
      <c r="AFY6" s="993">
        <f t="shared" ref="AFY6" si="494">AFX6</f>
        <v>44533</v>
      </c>
      <c r="AFZ6" s="994">
        <f t="shared" ref="AFZ6" si="495">AFY6</f>
        <v>44533</v>
      </c>
      <c r="AGA6" s="993">
        <f t="shared" ref="AGA6" si="496">AFW6+1</f>
        <v>43806</v>
      </c>
      <c r="AGB6" s="994">
        <f t="shared" ref="AGB6" si="497">AFX6+1</f>
        <v>44534</v>
      </c>
      <c r="AGC6" s="993">
        <f t="shared" ref="AGC6" si="498">AGB6</f>
        <v>44534</v>
      </c>
      <c r="AGD6" s="994">
        <f t="shared" ref="AGD6" si="499">AGC6</f>
        <v>44534</v>
      </c>
      <c r="AGE6" s="995" t="s">
        <v>467</v>
      </c>
      <c r="AGF6" s="1784"/>
      <c r="AGG6" s="996" t="s">
        <v>468</v>
      </c>
      <c r="AGH6" s="742" t="str">
        <f>AGG6</f>
        <v>2021</v>
      </c>
      <c r="AGI6" s="997">
        <f>AGA6+1</f>
        <v>43807</v>
      </c>
      <c r="AGJ6" s="998">
        <f>AGB6+1</f>
        <v>44535</v>
      </c>
      <c r="AGK6" s="997">
        <f>AGJ6</f>
        <v>44535</v>
      </c>
      <c r="AGL6" s="998">
        <f>AGK6</f>
        <v>44535</v>
      </c>
      <c r="AGM6" s="997">
        <f>AGI6+1</f>
        <v>43808</v>
      </c>
      <c r="AGN6" s="998">
        <f>AGJ6+1</f>
        <v>44536</v>
      </c>
      <c r="AGO6" s="997">
        <f>AGN6</f>
        <v>44536</v>
      </c>
      <c r="AGP6" s="998">
        <f>AGO6</f>
        <v>44536</v>
      </c>
      <c r="AGQ6" s="997">
        <f t="shared" ref="AGQ6" si="500">AGM6+1</f>
        <v>43809</v>
      </c>
      <c r="AGR6" s="998">
        <f t="shared" ref="AGR6" si="501">AGN6+1</f>
        <v>44537</v>
      </c>
      <c r="AGS6" s="997">
        <f t="shared" ref="AGS6" si="502">AGR6</f>
        <v>44537</v>
      </c>
      <c r="AGT6" s="998">
        <f t="shared" ref="AGT6" si="503">AGS6</f>
        <v>44537</v>
      </c>
      <c r="AGU6" s="997">
        <f t="shared" ref="AGU6" si="504">AGQ6+1</f>
        <v>43810</v>
      </c>
      <c r="AGV6" s="998">
        <f t="shared" ref="AGV6" si="505">AGR6+1</f>
        <v>44538</v>
      </c>
      <c r="AGW6" s="997">
        <f t="shared" ref="AGW6" si="506">AGV6</f>
        <v>44538</v>
      </c>
      <c r="AGX6" s="998">
        <f t="shared" ref="AGX6" si="507">AGW6</f>
        <v>44538</v>
      </c>
      <c r="AGY6" s="997">
        <f t="shared" ref="AGY6" si="508">AGU6+1</f>
        <v>43811</v>
      </c>
      <c r="AGZ6" s="998">
        <f t="shared" ref="AGZ6" si="509">AGV6+1</f>
        <v>44539</v>
      </c>
      <c r="AHA6" s="997">
        <f t="shared" ref="AHA6" si="510">AGZ6</f>
        <v>44539</v>
      </c>
      <c r="AHB6" s="998">
        <f t="shared" ref="AHB6" si="511">AHA6</f>
        <v>44539</v>
      </c>
      <c r="AHC6" s="997">
        <f t="shared" ref="AHC6" si="512">AGY6+1</f>
        <v>43812</v>
      </c>
      <c r="AHD6" s="998">
        <f t="shared" ref="AHD6" si="513">AGZ6+1</f>
        <v>44540</v>
      </c>
      <c r="AHE6" s="997">
        <f t="shared" ref="AHE6" si="514">AHD6</f>
        <v>44540</v>
      </c>
      <c r="AHF6" s="998">
        <f t="shared" ref="AHF6" si="515">AHE6</f>
        <v>44540</v>
      </c>
      <c r="AHG6" s="997">
        <f t="shared" ref="AHG6" si="516">AHC6+1</f>
        <v>43813</v>
      </c>
      <c r="AHH6" s="998">
        <f t="shared" ref="AHH6" si="517">AHD6+1</f>
        <v>44541</v>
      </c>
      <c r="AHI6" s="997">
        <f t="shared" ref="AHI6" si="518">AHH6</f>
        <v>44541</v>
      </c>
      <c r="AHJ6" s="998">
        <f t="shared" ref="AHJ6" si="519">AHI6</f>
        <v>44541</v>
      </c>
      <c r="AHK6" s="748" t="s">
        <v>467</v>
      </c>
      <c r="AHL6" s="1793"/>
      <c r="AHM6" s="751" t="s">
        <v>468</v>
      </c>
      <c r="AHN6" s="754" t="str">
        <f>AHM6</f>
        <v>2021</v>
      </c>
      <c r="AHO6" s="993">
        <f>AHG6+1</f>
        <v>43814</v>
      </c>
      <c r="AHP6" s="994">
        <f>AHH6+1</f>
        <v>44542</v>
      </c>
      <c r="AHQ6" s="993">
        <f>AHP6</f>
        <v>44542</v>
      </c>
      <c r="AHR6" s="994">
        <f>AHQ6</f>
        <v>44542</v>
      </c>
      <c r="AHS6" s="993">
        <f>AHO6+1</f>
        <v>43815</v>
      </c>
      <c r="AHT6" s="994">
        <f>AHP6+1</f>
        <v>44543</v>
      </c>
      <c r="AHU6" s="993">
        <f>AHT6</f>
        <v>44543</v>
      </c>
      <c r="AHV6" s="994">
        <f>AHU6</f>
        <v>44543</v>
      </c>
      <c r="AHW6" s="993">
        <f t="shared" ref="AHW6" si="520">AHS6+1</f>
        <v>43816</v>
      </c>
      <c r="AHX6" s="994">
        <f t="shared" ref="AHX6" si="521">AHT6+1</f>
        <v>44544</v>
      </c>
      <c r="AHY6" s="993">
        <f t="shared" ref="AHY6" si="522">AHX6</f>
        <v>44544</v>
      </c>
      <c r="AHZ6" s="994">
        <f t="shared" ref="AHZ6" si="523">AHY6</f>
        <v>44544</v>
      </c>
      <c r="AIA6" s="993">
        <f t="shared" ref="AIA6" si="524">AHW6+1</f>
        <v>43817</v>
      </c>
      <c r="AIB6" s="994">
        <f t="shared" ref="AIB6" si="525">AHX6+1</f>
        <v>44545</v>
      </c>
      <c r="AIC6" s="993">
        <f t="shared" ref="AIC6" si="526">AIB6</f>
        <v>44545</v>
      </c>
      <c r="AID6" s="994">
        <f t="shared" ref="AID6" si="527">AIC6</f>
        <v>44545</v>
      </c>
      <c r="AIE6" s="993">
        <f t="shared" ref="AIE6" si="528">AIA6+1</f>
        <v>43818</v>
      </c>
      <c r="AIF6" s="994">
        <f t="shared" ref="AIF6" si="529">AIB6+1</f>
        <v>44546</v>
      </c>
      <c r="AIG6" s="993">
        <f t="shared" ref="AIG6" si="530">AIF6</f>
        <v>44546</v>
      </c>
      <c r="AIH6" s="994">
        <f t="shared" ref="AIH6" si="531">AIG6</f>
        <v>44546</v>
      </c>
      <c r="AII6" s="993">
        <f t="shared" ref="AII6" si="532">AIE6+1</f>
        <v>43819</v>
      </c>
      <c r="AIJ6" s="994">
        <f t="shared" ref="AIJ6" si="533">AIF6+1</f>
        <v>44547</v>
      </c>
      <c r="AIK6" s="993">
        <f t="shared" ref="AIK6" si="534">AIJ6</f>
        <v>44547</v>
      </c>
      <c r="AIL6" s="994">
        <f t="shared" ref="AIL6" si="535">AIK6</f>
        <v>44547</v>
      </c>
      <c r="AIM6" s="993">
        <f t="shared" ref="AIM6" si="536">AII6+1</f>
        <v>43820</v>
      </c>
      <c r="AIN6" s="994">
        <f t="shared" ref="AIN6" si="537">AIJ6+1</f>
        <v>44548</v>
      </c>
      <c r="AIO6" s="993">
        <f t="shared" ref="AIO6" si="538">AIN6</f>
        <v>44548</v>
      </c>
      <c r="AIP6" s="994">
        <f t="shared" ref="AIP6" si="539">AIO6</f>
        <v>44548</v>
      </c>
      <c r="AIQ6" s="745" t="s">
        <v>467</v>
      </c>
      <c r="AIR6" s="1786"/>
      <c r="AIS6" s="739" t="s">
        <v>468</v>
      </c>
      <c r="AIT6" s="742" t="str">
        <f>AIS6</f>
        <v>2021</v>
      </c>
      <c r="AIU6" s="997">
        <f>AIM6+1</f>
        <v>43821</v>
      </c>
      <c r="AIV6" s="998">
        <f>AIN6+1</f>
        <v>44549</v>
      </c>
      <c r="AIW6" s="997">
        <f>AIV6</f>
        <v>44549</v>
      </c>
      <c r="AIX6" s="998">
        <f>AIW6</f>
        <v>44549</v>
      </c>
      <c r="AIY6" s="997">
        <f>AIU6+1</f>
        <v>43822</v>
      </c>
      <c r="AIZ6" s="998">
        <f>AIV6+1</f>
        <v>44550</v>
      </c>
      <c r="AJA6" s="997">
        <f>AIZ6</f>
        <v>44550</v>
      </c>
      <c r="AJB6" s="998">
        <f>AJA6</f>
        <v>44550</v>
      </c>
      <c r="AJC6" s="997">
        <f t="shared" ref="AJC6" si="540">AIY6+1</f>
        <v>43823</v>
      </c>
      <c r="AJD6" s="998">
        <f t="shared" ref="AJD6" si="541">AIZ6+1</f>
        <v>44551</v>
      </c>
      <c r="AJE6" s="997">
        <f t="shared" ref="AJE6" si="542">AJD6</f>
        <v>44551</v>
      </c>
      <c r="AJF6" s="998">
        <f t="shared" ref="AJF6" si="543">AJE6</f>
        <v>44551</v>
      </c>
      <c r="AJG6" s="997">
        <f t="shared" ref="AJG6" si="544">AJC6+1</f>
        <v>43824</v>
      </c>
      <c r="AJH6" s="998">
        <f t="shared" ref="AJH6" si="545">AJD6+1</f>
        <v>44552</v>
      </c>
      <c r="AJI6" s="997">
        <f t="shared" ref="AJI6" si="546">AJH6</f>
        <v>44552</v>
      </c>
      <c r="AJJ6" s="998">
        <f t="shared" ref="AJJ6" si="547">AJI6</f>
        <v>44552</v>
      </c>
      <c r="AJK6" s="997">
        <f t="shared" ref="AJK6" si="548">AJG6+1</f>
        <v>43825</v>
      </c>
      <c r="AJL6" s="998">
        <f t="shared" ref="AJL6" si="549">AJH6+1</f>
        <v>44553</v>
      </c>
      <c r="AJM6" s="997">
        <f t="shared" ref="AJM6" si="550">AJL6</f>
        <v>44553</v>
      </c>
      <c r="AJN6" s="998">
        <f t="shared" ref="AJN6" si="551">AJM6</f>
        <v>44553</v>
      </c>
      <c r="AJO6" s="997">
        <f t="shared" ref="AJO6" si="552">AJK6+1</f>
        <v>43826</v>
      </c>
      <c r="AJP6" s="998">
        <f t="shared" ref="AJP6" si="553">AJL6+1</f>
        <v>44554</v>
      </c>
      <c r="AJQ6" s="997">
        <f t="shared" ref="AJQ6" si="554">AJP6</f>
        <v>44554</v>
      </c>
      <c r="AJR6" s="998">
        <f t="shared" ref="AJR6" si="555">AJQ6</f>
        <v>44554</v>
      </c>
      <c r="AJS6" s="997">
        <f t="shared" ref="AJS6" si="556">AJO6+1</f>
        <v>43827</v>
      </c>
      <c r="AJT6" s="998">
        <f t="shared" ref="AJT6" si="557">AJP6+1</f>
        <v>44555</v>
      </c>
      <c r="AJU6" s="997">
        <f t="shared" ref="AJU6" si="558">AJT6</f>
        <v>44555</v>
      </c>
      <c r="AJV6" s="998">
        <f t="shared" ref="AJV6" si="559">AJU6</f>
        <v>44555</v>
      </c>
      <c r="AJW6" s="748" t="s">
        <v>467</v>
      </c>
      <c r="AJX6" s="1788"/>
      <c r="AJY6" s="751" t="s">
        <v>468</v>
      </c>
      <c r="AJZ6" s="754" t="str">
        <f>AJY6</f>
        <v>2021</v>
      </c>
      <c r="AKA6" s="993">
        <f>AJS6+1</f>
        <v>43828</v>
      </c>
      <c r="AKB6" s="994">
        <f>AJT6+1</f>
        <v>44556</v>
      </c>
      <c r="AKC6" s="993">
        <f>AKB6</f>
        <v>44556</v>
      </c>
      <c r="AKD6" s="994">
        <f>AKC6</f>
        <v>44556</v>
      </c>
      <c r="AKE6" s="993">
        <f>AKA6+1</f>
        <v>43829</v>
      </c>
      <c r="AKF6" s="994">
        <f>AKB6+1</f>
        <v>44557</v>
      </c>
      <c r="AKG6" s="993">
        <f>AKF6</f>
        <v>44557</v>
      </c>
      <c r="AKH6" s="994">
        <f>AKG6</f>
        <v>44557</v>
      </c>
      <c r="AKI6" s="993">
        <f t="shared" ref="AKI6" si="560">AKE6+1</f>
        <v>43830</v>
      </c>
      <c r="AKJ6" s="994">
        <f t="shared" ref="AKJ6" si="561">AKF6+1</f>
        <v>44558</v>
      </c>
      <c r="AKK6" s="993">
        <f t="shared" ref="AKK6" si="562">AKJ6</f>
        <v>44558</v>
      </c>
      <c r="AKL6" s="994">
        <f t="shared" ref="AKL6" si="563">AKK6</f>
        <v>44558</v>
      </c>
      <c r="AKM6" s="993">
        <f t="shared" ref="AKM6" si="564">AKI6+1</f>
        <v>43831</v>
      </c>
      <c r="AKN6" s="994">
        <f t="shared" ref="AKN6" si="565">AKJ6+1</f>
        <v>44559</v>
      </c>
      <c r="AKO6" s="993">
        <f t="shared" ref="AKO6" si="566">AKN6</f>
        <v>44559</v>
      </c>
      <c r="AKP6" s="994">
        <f t="shared" ref="AKP6" si="567">AKO6</f>
        <v>44559</v>
      </c>
      <c r="AKQ6" s="993">
        <f t="shared" ref="AKQ6" si="568">AKM6+1</f>
        <v>43832</v>
      </c>
      <c r="AKR6" s="994">
        <f t="shared" ref="AKR6" si="569">AKN6+1</f>
        <v>44560</v>
      </c>
      <c r="AKS6" s="993">
        <f t="shared" ref="AKS6" si="570">AKR6</f>
        <v>44560</v>
      </c>
      <c r="AKT6" s="994">
        <f t="shared" ref="AKT6" si="571">AKS6</f>
        <v>44560</v>
      </c>
      <c r="AKU6" s="993">
        <f t="shared" ref="AKU6" si="572">AKQ6+1</f>
        <v>43833</v>
      </c>
      <c r="AKV6" s="994">
        <f t="shared" ref="AKV6" si="573">AKR6+1</f>
        <v>44561</v>
      </c>
      <c r="AKW6" s="993">
        <f t="shared" ref="AKW6" si="574">AKV6</f>
        <v>44561</v>
      </c>
      <c r="AKX6" s="994">
        <f t="shared" ref="AKX6" si="575">AKW6</f>
        <v>44561</v>
      </c>
      <c r="AKY6" s="993">
        <f t="shared" ref="AKY6" si="576">AKU6+1</f>
        <v>43834</v>
      </c>
      <c r="AKZ6" s="994">
        <f t="shared" ref="AKZ6" si="577">AKV6+1</f>
        <v>44562</v>
      </c>
      <c r="ALA6" s="993">
        <f t="shared" ref="ALA6" si="578">AKZ6</f>
        <v>44562</v>
      </c>
      <c r="ALB6" s="994">
        <f t="shared" ref="ALB6" si="579">ALA6</f>
        <v>44562</v>
      </c>
      <c r="ALC6" s="745" t="s">
        <v>467</v>
      </c>
      <c r="ALD6" s="1786"/>
      <c r="ALE6" s="739" t="s">
        <v>468</v>
      </c>
      <c r="ALF6" s="742" t="str">
        <f>ALE6</f>
        <v>2021</v>
      </c>
    </row>
    <row r="7" spans="2:994" ht="15.75" customHeight="1">
      <c r="B7" s="984" t="s">
        <v>469</v>
      </c>
      <c r="C7" s="578">
        <f>'Proy 2021 vs 2019 Sem'!DX6*$F$4</f>
        <v>8838.7739999999994</v>
      </c>
      <c r="D7" s="581">
        <f>'Proy 2021 vs 2019 Sem'!DY6*0.12</f>
        <v>8043.2843400000002</v>
      </c>
      <c r="E7" s="985">
        <v>8383.32</v>
      </c>
      <c r="F7" s="986">
        <f>E7/C7</f>
        <v>0.9484709078431014</v>
      </c>
      <c r="G7" s="578">
        <f>'Proy 2021 vs 2019 Sem'!DX6*$J$4</f>
        <v>8838.7739999999994</v>
      </c>
      <c r="H7" s="578">
        <f>'Proy 2021 vs 2019 Sem'!$DY$6*J4</f>
        <v>8043.2843400000002</v>
      </c>
      <c r="I7" s="985">
        <v>4449.5600000000004</v>
      </c>
      <c r="J7" s="986">
        <f>I7/G7</f>
        <v>0.50341370873381319</v>
      </c>
      <c r="K7" s="578">
        <f>'Proy 2021 vs 2019 Sem'!DX6*'Vtas Diarias 2021'!$N$4</f>
        <v>8838.7739999999994</v>
      </c>
      <c r="L7" s="578">
        <f>'Proy 2021 vs 2019 Sem'!$DY$6*N4</f>
        <v>8043.2843400000002</v>
      </c>
      <c r="M7" s="985">
        <v>6553.66</v>
      </c>
      <c r="N7" s="986">
        <f>M7/K7</f>
        <v>0.74146708581982079</v>
      </c>
      <c r="O7" s="578">
        <f>'Proy 2021 vs 2019 Sem'!DX6*$R$4</f>
        <v>8838.7739999999994</v>
      </c>
      <c r="P7" s="578">
        <f>'Proy 2021 vs 2019 Sem'!$DY$6*R4</f>
        <v>8043.2843400000002</v>
      </c>
      <c r="Q7" s="985">
        <v>6743.89</v>
      </c>
      <c r="R7" s="986">
        <f>Q7/O7</f>
        <v>0.76298930145741939</v>
      </c>
      <c r="S7" s="578">
        <f>'Proy 2021 vs 2019 Sem'!DX6*$V$4</f>
        <v>10311.903</v>
      </c>
      <c r="T7" s="578">
        <f>'Proy 2021 vs 2019 Sem'!$DY$6*V4</f>
        <v>9383.8317300000017</v>
      </c>
      <c r="U7" s="985">
        <v>10806.8</v>
      </c>
      <c r="V7" s="986">
        <f>U7/S7</f>
        <v>1.0479927904674819</v>
      </c>
      <c r="W7" s="578">
        <f>'Proy 2021 vs 2019 Sem'!DX6*$Z$4</f>
        <v>11785.031999999999</v>
      </c>
      <c r="X7" s="578">
        <f>'Proy 2021 vs 2019 Sem'!$DY$6*Z4</f>
        <v>10724.37912</v>
      </c>
      <c r="Y7" s="985">
        <v>11005.98</v>
      </c>
      <c r="Z7" s="986">
        <f>Y7/W7</f>
        <v>0.93389479129119046</v>
      </c>
      <c r="AA7" s="578">
        <f>'Proy 2021 vs 2019 Sem'!DX6*$AD$4</f>
        <v>16204.419</v>
      </c>
      <c r="AB7" s="578">
        <f>'Proy 2021 vs 2019 Sem'!$DY$6*AD4</f>
        <v>14746.021290000001</v>
      </c>
      <c r="AC7" s="985">
        <v>16992.560000000001</v>
      </c>
      <c r="AD7" s="986">
        <f>AC7/AA7</f>
        <v>1.0486374118072361</v>
      </c>
      <c r="AE7" s="577">
        <f>C7+G7+K7+O7+S7+W7+AA7</f>
        <v>73656.45</v>
      </c>
      <c r="AF7" s="578">
        <f>D7+H7+L7+P7+T7+X7+AB7</f>
        <v>67027.369500000001</v>
      </c>
      <c r="AG7" s="732">
        <f>E7+I7+M7+Q7+U7+Y7+AC7</f>
        <v>64935.76999999999</v>
      </c>
      <c r="AH7" s="715">
        <f>AG7/AE7</f>
        <v>0.8816033083321283</v>
      </c>
      <c r="AI7" s="578">
        <f>'Proy 2021 vs 2019 Sem'!EC6*$AL$4</f>
        <v>9951.0947999999989</v>
      </c>
      <c r="AJ7" s="581">
        <f>'Proy 2021 vs 2019 Sem'!ED6*$AL$4</f>
        <v>8772.9180972066388</v>
      </c>
      <c r="AK7" s="985">
        <v>4201.03</v>
      </c>
      <c r="AL7" s="986">
        <f>AK7/AI7</f>
        <v>0.42216761918497653</v>
      </c>
      <c r="AM7" s="578">
        <f>'Proy 2021 vs 2019 Sem'!EC6*$AP$4</f>
        <v>9951.0947999999989</v>
      </c>
      <c r="AN7" s="578">
        <f>'Proy 2021 vs 2019 Sem'!ED6*$AP$4</f>
        <v>8772.9180972066388</v>
      </c>
      <c r="AO7" s="985">
        <v>6030.64</v>
      </c>
      <c r="AP7" s="986">
        <f>AO7/AM7</f>
        <v>0.60602779103260085</v>
      </c>
      <c r="AQ7" s="578">
        <f>'Proy 2021 vs 2019 Sem'!EC6*$AT$4</f>
        <v>9951.0947999999989</v>
      </c>
      <c r="AR7" s="578">
        <f>'Proy 2021 vs 2019 Sem'!ED6*$AT$4</f>
        <v>8772.9180972066388</v>
      </c>
      <c r="AS7" s="985">
        <v>6372.71</v>
      </c>
      <c r="AT7" s="986">
        <f>AS7/AQ7</f>
        <v>0.64040290320618798</v>
      </c>
      <c r="AU7" s="578">
        <f>'Proy 2021 vs 2019 Sem'!EC6*$AX$4</f>
        <v>9951.0947999999989</v>
      </c>
      <c r="AV7" s="578">
        <f>'Proy 2021 vs 2019 Sem'!ED6*$AX$4</f>
        <v>8772.9180972066388</v>
      </c>
      <c r="AW7" s="985">
        <v>9492.81</v>
      </c>
      <c r="AX7" s="986">
        <f>AW7/AU7</f>
        <v>0.95394629342693027</v>
      </c>
      <c r="AY7" s="578">
        <f>'Proy 2021 vs 2019 Sem'!EC6*$BB$4</f>
        <v>11609.6106</v>
      </c>
      <c r="AZ7" s="578">
        <f>'Proy 2021 vs 2019 Sem'!ED6*$BB$4</f>
        <v>10235.071113407745</v>
      </c>
      <c r="BA7" s="985">
        <v>11166.06</v>
      </c>
      <c r="BB7" s="986">
        <f>BA7/AY7</f>
        <v>0.96179453254013525</v>
      </c>
      <c r="BC7" s="578">
        <f>'Proy 2021 vs 2019 Sem'!EC6*$BF$4</f>
        <v>13268.126399999999</v>
      </c>
      <c r="BD7" s="578">
        <f>'Proy 2021 vs 2019 Sem'!ED6*$BF$4</f>
        <v>11697.22412960885</v>
      </c>
      <c r="BE7" s="985">
        <v>17436</v>
      </c>
      <c r="BF7" s="986">
        <f>BE7/BC7</f>
        <v>1.3141267632180533</v>
      </c>
      <c r="BG7" s="578">
        <f>'Proy 2021 vs 2019 Sem'!EC6*$BJ$4</f>
        <v>18243.6738</v>
      </c>
      <c r="BH7" s="578">
        <f>'Proy 2021 vs 2019 Sem'!ED6*$BJ$4</f>
        <v>16083.68317821217</v>
      </c>
      <c r="BI7" s="985">
        <v>21793.33</v>
      </c>
      <c r="BJ7" s="986">
        <f>BI7/BG7</f>
        <v>1.194569155254245</v>
      </c>
      <c r="BK7" s="577">
        <f>AI7+AM7+AQ7+AU7+AY7+BC7+BG7</f>
        <v>82925.789999999994</v>
      </c>
      <c r="BL7" s="578">
        <f>AJ7+AN7+AR7+AV7+AZ7+BD7+BH7</f>
        <v>73107.650810055318</v>
      </c>
      <c r="BM7" s="732">
        <f>AK7+AO7+AS7+AW7+BA7+BE7+BI7</f>
        <v>76492.58</v>
      </c>
      <c r="BN7" s="715">
        <f>BM7/BK7</f>
        <v>0.92242208364852485</v>
      </c>
      <c r="BO7" s="578">
        <f>'Proy 2021 vs 2019 Sem'!EH6*$BR$4</f>
        <v>12412.967999999999</v>
      </c>
      <c r="BP7" s="578">
        <f>'Proy 2021 vs 2019 Sem'!EI6*$BR$4</f>
        <v>8689.0775999999987</v>
      </c>
      <c r="BQ7" s="985">
        <v>9712.52</v>
      </c>
      <c r="BR7" s="986">
        <f>BQ7/BO7</f>
        <v>0.78244945125130438</v>
      </c>
      <c r="BS7" s="578">
        <f>'Proy 2021 vs 2019 Sem'!EH6*$BV$4</f>
        <v>12412.967999999999</v>
      </c>
      <c r="BT7" s="578">
        <f>'Proy 2021 vs 2019 Sem'!EI6*$BV$4</f>
        <v>8689.0775999999987</v>
      </c>
      <c r="BU7" s="985">
        <v>6655.11</v>
      </c>
      <c r="BV7" s="986">
        <f>BU7/BS7</f>
        <v>0.53614171888624862</v>
      </c>
      <c r="BW7" s="578">
        <f>'Proy 2021 vs 2019 Sem'!EH6*$BZ$4</f>
        <v>12412.967999999999</v>
      </c>
      <c r="BX7" s="578">
        <f>'Proy 2021 vs 2019 Sem'!EI6*$BZ$4</f>
        <v>8689.0775999999987</v>
      </c>
      <c r="BY7" s="985">
        <v>8605.56</v>
      </c>
      <c r="BZ7" s="986">
        <f>BY7/BW7</f>
        <v>0.693271746128726</v>
      </c>
      <c r="CA7" s="578">
        <f>'Proy 2021 vs 2019 Sem'!EH6*$CD$4</f>
        <v>12412.967999999999</v>
      </c>
      <c r="CB7" s="578">
        <f>'Proy 2021 vs 2019 Sem'!EI6*$CD$4</f>
        <v>8689.0775999999987</v>
      </c>
      <c r="CC7" s="985">
        <v>5103.25</v>
      </c>
      <c r="CD7" s="986">
        <f>CC7/CA7</f>
        <v>0.41112246482871789</v>
      </c>
      <c r="CE7" s="578">
        <f>'Proy 2021 vs 2019 Sem'!EH6*$CH$4</f>
        <v>14481.796</v>
      </c>
      <c r="CF7" s="578">
        <f>'Proy 2021 vs 2019 Sem'!EI6*$CH$4</f>
        <v>10137.2572</v>
      </c>
      <c r="CG7" s="985">
        <v>9686.92</v>
      </c>
      <c r="CH7" s="986">
        <f>CG7/CE7</f>
        <v>0.66890322167222904</v>
      </c>
      <c r="CI7" s="578">
        <f>'Proy 2021 vs 2019 Sem'!EH6*$CL$4</f>
        <v>16550.624</v>
      </c>
      <c r="CJ7" s="578">
        <f>'Proy 2021 vs 2019 Sem'!EI6*$CL$4</f>
        <v>11585.436799999999</v>
      </c>
      <c r="CK7" s="985">
        <v>16859.63</v>
      </c>
      <c r="CL7" s="986">
        <f>CK7/CI7</f>
        <v>1.0186703534561599</v>
      </c>
      <c r="CM7" s="578">
        <f>'Proy 2021 vs 2019 Sem'!EH6*$CP$4</f>
        <v>22757.108</v>
      </c>
      <c r="CN7" s="578">
        <f>'Proy 2021 vs 2019 Sem'!EI6*$CP$4</f>
        <v>15929.9756</v>
      </c>
      <c r="CO7" s="985">
        <v>23735.67</v>
      </c>
      <c r="CP7" s="986">
        <f>CO7/CM7</f>
        <v>1.0430002792973518</v>
      </c>
      <c r="CQ7" s="577">
        <f>BO7+BS7+BW7+CA7+CE7+CI7+CM7</f>
        <v>103441.4</v>
      </c>
      <c r="CR7" s="578">
        <f>BP7+BT7+BX7+CB7+CF7+CJ7+CN7</f>
        <v>72408.98</v>
      </c>
      <c r="CS7" s="732">
        <f>BQ7+BU7+BY7+CC7+CG7+CK7+CO7</f>
        <v>80358.66</v>
      </c>
      <c r="CT7" s="715">
        <f>CS7/CQ7</f>
        <v>0.77685201476391474</v>
      </c>
      <c r="CU7" s="578">
        <f>'Proy 2021 vs 2019 Sem'!EM6*$CX$4</f>
        <v>12096.6792</v>
      </c>
      <c r="CV7" s="578">
        <f>'Proy 2021 vs 2019 Sem'!EN6*$CX$4</f>
        <v>8467.6754399999991</v>
      </c>
      <c r="CW7" s="985">
        <v>12856.94</v>
      </c>
      <c r="CX7" s="986">
        <f>CW7/CU7</f>
        <v>1.0628487196717591</v>
      </c>
      <c r="CY7" s="578">
        <f>'Proy 2021 vs 2019 Sem'!EM6*$DB$4</f>
        <v>12096.6792</v>
      </c>
      <c r="CZ7" s="578">
        <f>'Proy 2021 vs 2019 Sem'!EN6*$DB$4</f>
        <v>8467.6754399999991</v>
      </c>
      <c r="DA7" s="985">
        <v>7178.89</v>
      </c>
      <c r="DB7" s="986">
        <f>DA7/CY7</f>
        <v>0.59345956698595426</v>
      </c>
      <c r="DC7" s="578">
        <f>'Proy 2021 vs 2019 Sem'!EM6*$DF$4</f>
        <v>12096.6792</v>
      </c>
      <c r="DD7" s="578">
        <f>'Proy 2021 vs 2019 Sem'!EN6*$DF$4</f>
        <v>8467.6754399999991</v>
      </c>
      <c r="DE7" s="985">
        <v>11138.58</v>
      </c>
      <c r="DF7" s="986">
        <f>DE7/DC7</f>
        <v>0.92079651083084024</v>
      </c>
      <c r="DG7" s="578">
        <f>'Proy 2021 vs 2019 Sem'!EM6*$DJ$4</f>
        <v>12096.6792</v>
      </c>
      <c r="DH7" s="578">
        <f>'Proy 2021 vs 2019 Sem'!EN6*$DJ$4</f>
        <v>8467.6754399999991</v>
      </c>
      <c r="DI7" s="985">
        <v>10452.75</v>
      </c>
      <c r="DJ7" s="986">
        <f>DI7/DG7</f>
        <v>0.86410078561064918</v>
      </c>
      <c r="DK7" s="578">
        <f>'Proy 2021 vs 2019 Sem'!EM6*$DN$4</f>
        <v>14112.792400000002</v>
      </c>
      <c r="DL7" s="578">
        <f>'Proy 2021 vs 2019 Sem'!EN6*$DN$4</f>
        <v>9878.9546800000007</v>
      </c>
      <c r="DM7" s="985">
        <v>12316.15</v>
      </c>
      <c r="DN7" s="986">
        <f>DM7/DK7</f>
        <v>0.87269405309185999</v>
      </c>
      <c r="DO7" s="578">
        <f>'Proy 2021 vs 2019 Sem'!EM6*$DR$4</f>
        <v>16128.9056</v>
      </c>
      <c r="DP7" s="578">
        <f>'Proy 2021 vs 2019 Sem'!EN6*$DR$4</f>
        <v>11290.233920000001</v>
      </c>
      <c r="DQ7" s="985">
        <v>11478.4</v>
      </c>
      <c r="DR7" s="986">
        <f>DQ7/DO7</f>
        <v>0.71166638857381614</v>
      </c>
      <c r="DS7" s="578">
        <f>'Proy 2021 vs 2019 Sem'!EM6*$DV$4</f>
        <v>22177.245200000001</v>
      </c>
      <c r="DT7" s="578">
        <f>'Proy 2021 vs 2019 Sem'!EN6*$DV$4</f>
        <v>15524.07164</v>
      </c>
      <c r="DU7" s="985">
        <v>15051.29</v>
      </c>
      <c r="DV7" s="986">
        <f>DU7/DS7</f>
        <v>0.67868167864239515</v>
      </c>
      <c r="DW7" s="577">
        <f>CU7+CY7+DC7+DG7+DK7+DO7+DS7</f>
        <v>100805.66</v>
      </c>
      <c r="DX7" s="578">
        <f>CV7+CZ7+DD7+DH7+DL7+DP7+DT7</f>
        <v>70563.962</v>
      </c>
      <c r="DY7" s="714">
        <f>CW7+DA7+DE7+DI7+DM7+DQ7+DU7</f>
        <v>80473</v>
      </c>
      <c r="DZ7" s="715">
        <f>DY7/DW7</f>
        <v>0.79829842887790226</v>
      </c>
      <c r="EA7" s="578">
        <f>'Proy 2021 vs 2019 Sem'!ER6*$ED$4</f>
        <v>10380.294</v>
      </c>
      <c r="EB7" s="578">
        <f>'Proy 2021 vs 2019 Sem'!ES6*$ED$4</f>
        <v>6228.1763999999994</v>
      </c>
      <c r="EC7" s="985">
        <v>9971.18</v>
      </c>
      <c r="ED7" s="986">
        <f>EC7/EA7</f>
        <v>0.96058743615546927</v>
      </c>
      <c r="EE7" s="578">
        <f>'Proy 2021 vs 2019 Sem'!ER6*$EH$4</f>
        <v>10380.294</v>
      </c>
      <c r="EF7" s="578">
        <f>'Proy 2021 vs 2019 Sem'!ES6*$EH$4</f>
        <v>6228.1763999999994</v>
      </c>
      <c r="EG7" s="985">
        <v>8464.66</v>
      </c>
      <c r="EH7" s="986">
        <f>EG7/EE7</f>
        <v>0.81545474530875517</v>
      </c>
      <c r="EI7" s="578">
        <f>'Proy 2021 vs 2019 Sem'!ER6*$EL$4</f>
        <v>10380.294</v>
      </c>
      <c r="EJ7" s="578">
        <f>'Proy 2021 vs 2019 Sem'!ES6*$EL$4</f>
        <v>6228.1763999999994</v>
      </c>
      <c r="EK7" s="985">
        <v>19763.45</v>
      </c>
      <c r="EL7" s="986">
        <f>EK7/EI7</f>
        <v>1.9039393296567517</v>
      </c>
      <c r="EM7" s="578">
        <f>'Proy 2021 vs 2019 Sem'!ER6*$EP$4</f>
        <v>10380.294</v>
      </c>
      <c r="EN7" s="578">
        <f>'Proy 2021 vs 2019 Sem'!ES6*$EP$4</f>
        <v>6228.1763999999994</v>
      </c>
      <c r="EO7" s="985">
        <v>12459.63</v>
      </c>
      <c r="EP7" s="986">
        <f>EO7/EM7</f>
        <v>1.2003157136011755</v>
      </c>
      <c r="EQ7" s="578">
        <f>'Proy 2021 vs 2019 Sem'!ER6*$ET$4</f>
        <v>12110.343000000001</v>
      </c>
      <c r="ER7" s="578">
        <f>'Proy 2021 vs 2019 Sem'!ES6*$ET$4</f>
        <v>7266.2057999999997</v>
      </c>
      <c r="ES7" s="985">
        <v>14952.75</v>
      </c>
      <c r="ET7" s="986">
        <f>ES7/EQ7</f>
        <v>1.2347090416844511</v>
      </c>
      <c r="EU7" s="578">
        <f>'Proy 2021 vs 2019 Sem'!ER6*$EX$4</f>
        <v>13840.392</v>
      </c>
      <c r="EV7" s="578">
        <f>'Proy 2021 vs 2019 Sem'!ES6*$EX$4</f>
        <v>8304.2351999999992</v>
      </c>
      <c r="EW7" s="985">
        <v>12904.3</v>
      </c>
      <c r="EX7" s="986">
        <f>EW7/EU7</f>
        <v>0.9323652104651371</v>
      </c>
      <c r="EY7" s="578">
        <f>'Proy 2021 vs 2019 Sem'!ER6*$FB$4</f>
        <v>19030.539000000001</v>
      </c>
      <c r="EZ7" s="578">
        <f>'Proy 2021 vs 2019 Sem'!ES6*$FB$4</f>
        <v>11418.323399999999</v>
      </c>
      <c r="FA7" s="987">
        <v>21391.77</v>
      </c>
      <c r="FB7" s="986">
        <f>FA7/EY7</f>
        <v>1.1240758866577558</v>
      </c>
      <c r="FC7" s="577">
        <f>EA7+EE7+EI7+EM7+EQ7+EU7+EY7</f>
        <v>86502.45</v>
      </c>
      <c r="FD7" s="578">
        <f>EB7+EF7+EJ7+EN7+ER7+EV7+EZ7</f>
        <v>51901.469999999994</v>
      </c>
      <c r="FE7" s="714">
        <f>EC7+EG7+EK7+EO7+ES7+EW7+FA7</f>
        <v>99907.74</v>
      </c>
      <c r="FF7" s="715">
        <f>FE7/FC7</f>
        <v>1.1549700615416096</v>
      </c>
      <c r="FG7" s="578">
        <f>'Proy 2021 vs 2019 Sem'!FA6*$FJ$4</f>
        <v>9729.9815999999992</v>
      </c>
      <c r="FH7" s="578">
        <f>'Proy 2021 vs 2019 Sem'!FB6*$FJ$4</f>
        <v>6810.9871199999989</v>
      </c>
      <c r="FI7" s="985">
        <v>8762.75</v>
      </c>
      <c r="FJ7" s="986">
        <f>FI7/FG7</f>
        <v>0.90059265888025941</v>
      </c>
      <c r="FK7" s="578">
        <f>'Proy 2021 vs 2019 Sem'!FA6*$FN$4</f>
        <v>9729.9815999999992</v>
      </c>
      <c r="FL7" s="578">
        <f>'Proy 2021 vs 2019 Sem'!FB6*$FN$4</f>
        <v>6810.9871199999989</v>
      </c>
      <c r="FM7" s="985">
        <v>9230.15</v>
      </c>
      <c r="FN7" s="986">
        <f>FM7/FK7</f>
        <v>0.94862974869346106</v>
      </c>
      <c r="FO7" s="578">
        <f>'Proy 2021 vs 2019 Sem'!FA6*$FR$4</f>
        <v>9729.9815999999992</v>
      </c>
      <c r="FP7" s="578">
        <f>'Proy 2021 vs 2019 Sem'!FB6*$FR$4</f>
        <v>6810.9871199999989</v>
      </c>
      <c r="FQ7" s="985">
        <v>6482.19</v>
      </c>
      <c r="FR7" s="986">
        <f>FQ7/FO7</f>
        <v>0.66620783743311496</v>
      </c>
      <c r="FS7" s="578">
        <f>'Proy 2021 vs 2019 Sem'!FA6*$FV$4</f>
        <v>9729.9815999999992</v>
      </c>
      <c r="FT7" s="578">
        <f>'Proy 2021 vs 2019 Sem'!FB6*$FV$4</f>
        <v>6810.9871199999989</v>
      </c>
      <c r="FU7" s="985">
        <v>9899.11</v>
      </c>
      <c r="FV7" s="986">
        <f>FU7/FS7</f>
        <v>1.0173821911441232</v>
      </c>
      <c r="FW7" s="578">
        <f>'Proy 2021 vs 2019 Sem'!FA6*$FZ$4</f>
        <v>11351.645200000001</v>
      </c>
      <c r="FX7" s="578">
        <f>'Proy 2021 vs 2019 Sem'!FB6*$FZ$4</f>
        <v>7946.15164</v>
      </c>
      <c r="FY7" s="985">
        <v>8959.8799999999992</v>
      </c>
      <c r="FZ7" s="986">
        <f>FY7/FW7</f>
        <v>0.7893023294984588</v>
      </c>
      <c r="GA7" s="578">
        <f>'Proy 2021 vs 2019 Sem'!FA6*$GD$4</f>
        <v>12973.308799999999</v>
      </c>
      <c r="GB7" s="578">
        <f>'Proy 2021 vs 2019 Sem'!FB6*$GD$4</f>
        <v>9081.3161600000003</v>
      </c>
      <c r="GC7" s="985">
        <v>15874.1</v>
      </c>
      <c r="GD7" s="986">
        <f>GC7/GA7</f>
        <v>1.2235968668224411</v>
      </c>
      <c r="GE7" s="578">
        <f>'Proy 2021 vs 2019 Sem'!FA6*$GH$4</f>
        <v>17838.299599999998</v>
      </c>
      <c r="GF7" s="578">
        <f>'Proy 2021 vs 2019 Sem'!FB6*$GH$4</f>
        <v>12486.809719999999</v>
      </c>
      <c r="GG7" s="985">
        <v>20696.55</v>
      </c>
      <c r="GH7" s="986">
        <f>GG7/GE7</f>
        <v>1.1602311018478466</v>
      </c>
      <c r="GI7" s="577">
        <f>FG7+FK7+FO7+FS7+FW7+GA7+GE7</f>
        <v>81083.179999999993</v>
      </c>
      <c r="GJ7" s="578">
        <f>FH7+FL7+FP7+FT7+FX7+GB7+GF7</f>
        <v>56758.225999999995</v>
      </c>
      <c r="GK7" s="767">
        <f>FI7+FM7+FQ7+FU7+FY7+GC7+GG7</f>
        <v>79904.73</v>
      </c>
      <c r="GL7" s="763">
        <f>GK7/GI7</f>
        <v>0.98546615956601602</v>
      </c>
      <c r="GM7" s="578">
        <f>'Proy 2021 vs 2019 Sem'!FF6*$GP$4</f>
        <v>10059.714</v>
      </c>
      <c r="GN7" s="578">
        <f>'Proy 2021 vs 2019 Sem'!FG6*$GP$4</f>
        <v>7645.3826399999998</v>
      </c>
      <c r="GO7" s="985">
        <v>7712.66</v>
      </c>
      <c r="GP7" s="986">
        <f>GO7/GM7</f>
        <v>0.76668780046828366</v>
      </c>
      <c r="GQ7" s="578">
        <f>'Proy 2021 vs 2019 Sem'!FF6*$GT$4</f>
        <v>10059.714</v>
      </c>
      <c r="GR7" s="578">
        <f>'Proy 2021 vs 2019 Sem'!FG6*$GT$4</f>
        <v>7645.3826399999998</v>
      </c>
      <c r="GS7" s="985">
        <v>9040.7199999999993</v>
      </c>
      <c r="GT7" s="986">
        <f>GS7/GQ7</f>
        <v>0.89870547015551328</v>
      </c>
      <c r="GU7" s="578">
        <f>'Proy 2021 vs 2019 Sem'!FF6*$GX$4</f>
        <v>10059.714</v>
      </c>
      <c r="GV7" s="578">
        <f>'Proy 2021 vs 2019 Sem'!FG6*$GX$4</f>
        <v>7645.3826399999998</v>
      </c>
      <c r="GW7" s="985">
        <v>9744.5499999999993</v>
      </c>
      <c r="GX7" s="986">
        <f>GW7/GU7</f>
        <v>0.96867067990203293</v>
      </c>
      <c r="GY7" s="578">
        <f>'Proy 2021 vs 2019 Sem'!FF6*$HB$4</f>
        <v>10059.714</v>
      </c>
      <c r="GZ7" s="578">
        <f>'Proy 2021 vs 2019 Sem'!FG6*$HB$4</f>
        <v>7645.3826399999998</v>
      </c>
      <c r="HA7" s="985">
        <v>7670.48</v>
      </c>
      <c r="HB7" s="986">
        <f>HA7/GY7</f>
        <v>0.76249483832244136</v>
      </c>
      <c r="HC7" s="578">
        <f>'Proy 2021 vs 2019 Sem'!FF6*$HF$4</f>
        <v>11736.333000000001</v>
      </c>
      <c r="HD7" s="578">
        <f>'Proy 2021 vs 2019 Sem'!FG6*$HF$4</f>
        <v>8919.613080000001</v>
      </c>
      <c r="HE7" s="985">
        <v>11001.44</v>
      </c>
      <c r="HF7" s="986">
        <f>HE7/HC7</f>
        <v>0.93738308209216625</v>
      </c>
      <c r="HG7" s="578">
        <f>'Proy 2021 vs 2019 Sem'!FF6*$HJ$4</f>
        <v>13412.951999999999</v>
      </c>
      <c r="HH7" s="578">
        <f>'Proy 2021 vs 2019 Sem'!FG6*$HJ$4</f>
        <v>10193.84352</v>
      </c>
      <c r="HI7" s="985">
        <v>12621.34</v>
      </c>
      <c r="HJ7" s="986">
        <f>HI7/HG7</f>
        <v>0.94098152293395221</v>
      </c>
      <c r="HK7" s="578">
        <f>'Proy 2021 vs 2019 Sem'!FF6*$HN$4</f>
        <v>18442.809000000001</v>
      </c>
      <c r="HL7" s="578">
        <f>'Proy 2021 vs 2019 Sem'!FG6*$HN$4</f>
        <v>14016.53484</v>
      </c>
      <c r="HM7" s="985">
        <v>15522.73</v>
      </c>
      <c r="HN7" s="986">
        <f>HM7/HK7</f>
        <v>0.841668424804486</v>
      </c>
      <c r="HO7" s="577">
        <f>GM7+GQ7+GU7+GY7+HC7+HG7+HK7</f>
        <v>83830.95</v>
      </c>
      <c r="HP7" s="578">
        <f>GN7+GR7+GV7+GZ7+HD7+HH7+HL7</f>
        <v>63711.522000000004</v>
      </c>
      <c r="HQ7" s="767">
        <f>GO7+GS7+GW7+HA7+HE7+HI7+HM7</f>
        <v>73313.919999999998</v>
      </c>
      <c r="HR7" s="763">
        <f>HQ7/HO7</f>
        <v>0.87454478328111518</v>
      </c>
      <c r="HS7" s="578">
        <f>'Proy 2021 vs 2019 Sem'!FK6*$CX$4</f>
        <v>9745.5156000000006</v>
      </c>
      <c r="HT7" s="578">
        <f>'Proy 2021 vs 2019 Sem'!FL6*$CX$4</f>
        <v>7698.957324</v>
      </c>
      <c r="HU7" s="985">
        <v>8754.98</v>
      </c>
      <c r="HV7" s="986">
        <f>HU7/HS7</f>
        <v>0.89835985691716491</v>
      </c>
      <c r="HW7" s="578">
        <f>'Proy 2021 vs 2019 Sem'!FK6*$DB$4</f>
        <v>9745.5156000000006</v>
      </c>
      <c r="HX7" s="578">
        <f>'Proy 2021 vs 2019 Sem'!FL6*$DB$4</f>
        <v>7698.957324</v>
      </c>
      <c r="HY7" s="985">
        <v>8908.02</v>
      </c>
      <c r="HZ7" s="986">
        <f>HY7/HW7</f>
        <v>0.91406348987836006</v>
      </c>
      <c r="IA7" s="578">
        <f>'Proy 2021 vs 2019 Sem'!FK6*$DF$4</f>
        <v>9745.5156000000006</v>
      </c>
      <c r="IB7" s="578">
        <f>'Proy 2021 vs 2019 Sem'!FL6*$DF$4</f>
        <v>7698.957324</v>
      </c>
      <c r="IC7" s="985">
        <v>6839.04</v>
      </c>
      <c r="ID7" s="986">
        <f>IC7/IA7</f>
        <v>0.70176276768773527</v>
      </c>
      <c r="IE7" s="578">
        <f>'Proy 2021 vs 2019 Sem'!FK6*$DJ$4</f>
        <v>9745.5156000000006</v>
      </c>
      <c r="IF7" s="578">
        <f>'Proy 2021 vs 2019 Sem'!FL6*$DJ$4</f>
        <v>7698.957324</v>
      </c>
      <c r="IG7" s="985">
        <v>11251.04</v>
      </c>
      <c r="IH7" s="986">
        <f>IG7/IE7</f>
        <v>1.1544838120211927</v>
      </c>
      <c r="II7" s="578">
        <f>'Proy 2021 vs 2019 Sem'!FK6*$DN$4</f>
        <v>11369.768200000002</v>
      </c>
      <c r="IJ7" s="578">
        <f>'Proy 2021 vs 2019 Sem'!FL6*$DN$4</f>
        <v>8982.1168780000007</v>
      </c>
      <c r="IK7" s="985">
        <v>10753.47</v>
      </c>
      <c r="IL7" s="986">
        <f>IK7/II7</f>
        <v>0.94579500750068035</v>
      </c>
      <c r="IM7" s="578">
        <f>'Proy 2021 vs 2019 Sem'!FK6*$DR$4</f>
        <v>12994.0208</v>
      </c>
      <c r="IN7" s="578">
        <f>'Proy 2021 vs 2019 Sem'!FL6*$DR$4</f>
        <v>10265.276432000001</v>
      </c>
      <c r="IO7" s="1409">
        <v>8976.44</v>
      </c>
      <c r="IP7" s="986">
        <f>IO7/IM7</f>
        <v>0.6908131161372314</v>
      </c>
      <c r="IQ7" s="578">
        <f>'Proy 2021 vs 2019 Sem'!FK6*$IT$4</f>
        <v>17866.778600000001</v>
      </c>
      <c r="IR7" s="578">
        <f>'Proy 2021 vs 2019 Sem'!FL6*$IT$4</f>
        <v>14114.755094</v>
      </c>
      <c r="IS7" s="985">
        <v>20027.18</v>
      </c>
      <c r="IT7" s="986">
        <f>IS7/IQ7</f>
        <v>1.1209172312685398</v>
      </c>
      <c r="IU7" s="577">
        <f>HS7+HW7+IA7+IE7+II7+IM7+IQ7</f>
        <v>81212.63</v>
      </c>
      <c r="IV7" s="578">
        <f>HT7+HX7+IB7+IF7+IJ7+IN7+IR7</f>
        <v>64157.977699999996</v>
      </c>
      <c r="IW7" s="767">
        <f>HU7+HY7+IC7+IG7+IK7+IO7+IS7</f>
        <v>75510.170000000013</v>
      </c>
      <c r="IX7" s="763">
        <f>IW7/IU7</f>
        <v>0.92978358169166553</v>
      </c>
      <c r="IY7" s="578">
        <f>'Proy 2021 vs 2019 Sem'!FP6*$JB$4</f>
        <v>9040.4567999999999</v>
      </c>
      <c r="IZ7" s="578">
        <f>'Proy 2021 vs 2019 Sem'!FQ6*$JB$4</f>
        <v>6870.7471679999999</v>
      </c>
      <c r="JA7" s="985">
        <v>7778.43</v>
      </c>
      <c r="JB7" s="986">
        <f>JA7/IY7</f>
        <v>0.86040231949341328</v>
      </c>
      <c r="JC7" s="578">
        <f>'Proy 2021 vs 2019 Sem'!FP6*$JF$4</f>
        <v>9040.4567999999999</v>
      </c>
      <c r="JD7" s="578">
        <f>'Proy 2021 vs 2019 Sem'!FQ6*$JF$4</f>
        <v>6870.7471679999999</v>
      </c>
      <c r="JE7" s="985">
        <v>7983.61</v>
      </c>
      <c r="JF7" s="986">
        <f>JE7/JC7</f>
        <v>0.88309807530964579</v>
      </c>
      <c r="JG7" s="578">
        <f>'Proy 2021 vs 2019 Sem'!FP6*$JJ$4</f>
        <v>9040.4567999999999</v>
      </c>
      <c r="JH7" s="578">
        <f>'Proy 2021 vs 2019 Sem'!FQ6*$JJ$4</f>
        <v>6870.7471679999999</v>
      </c>
      <c r="JI7" s="985">
        <v>8126.96</v>
      </c>
      <c r="JJ7" s="986">
        <f>JI7/JG7</f>
        <v>0.89895457495023923</v>
      </c>
      <c r="JK7" s="578">
        <f>'Proy 2021 vs 2019 Sem'!FP6*$JN$4</f>
        <v>9040.4567999999999</v>
      </c>
      <c r="JL7" s="578">
        <f>'Proy 2021 vs 2019 Sem'!FQ6*$JN$4</f>
        <v>6870.7471679999999</v>
      </c>
      <c r="JM7" s="985">
        <v>8116.31</v>
      </c>
      <c r="JN7" s="986">
        <f>JM7/JK7</f>
        <v>0.89777653713250427</v>
      </c>
      <c r="JO7" s="578">
        <f>'Proy 2021 vs 2019 Sem'!FP6*$JR$4</f>
        <v>10547.199600000002</v>
      </c>
      <c r="JP7" s="578">
        <f>'Proy 2021 vs 2019 Sem'!FQ6*$JR$4</f>
        <v>8015.8716960000011</v>
      </c>
      <c r="JQ7" s="985">
        <v>7064.5</v>
      </c>
      <c r="JR7" s="986">
        <f>JQ7/JO7</f>
        <v>0.66979864494078589</v>
      </c>
      <c r="JS7" s="578">
        <f>'Proy 2021 vs 2019 Sem'!FP6*$JV$4</f>
        <v>12053.9424</v>
      </c>
      <c r="JT7" s="578">
        <f>'Proy 2021 vs 2019 Sem'!FQ6*$JV$4</f>
        <v>9160.9962240000004</v>
      </c>
      <c r="JU7" s="985">
        <v>14700.31</v>
      </c>
      <c r="JV7" s="986">
        <f>JU7/JS7</f>
        <v>1.2195437403118834</v>
      </c>
      <c r="JW7" s="578">
        <f>'Proy 2021 vs 2019 Sem'!FP6*$JZ$4</f>
        <v>16574.1708</v>
      </c>
      <c r="JX7" s="578">
        <f>'Proy 2021 vs 2019 Sem'!FQ6*$JZ$4</f>
        <v>12596.369807999999</v>
      </c>
      <c r="JY7" s="985">
        <v>19165.599999999999</v>
      </c>
      <c r="JZ7" s="986">
        <f>JY7/JW7</f>
        <v>1.1563534750106472</v>
      </c>
      <c r="KA7" s="577">
        <f>IY7+JC7+JG7+JK7+JO7+JS7+JW7</f>
        <v>75337.14</v>
      </c>
      <c r="KB7" s="578">
        <f>IZ7+JD7+JH7+JL7+JP7+JT7+JX7</f>
        <v>57256.2264</v>
      </c>
      <c r="KC7" s="772">
        <f>JA7+JE7+JI7+JM7+JQ7+JU7+JY7</f>
        <v>72935.72</v>
      </c>
      <c r="KD7" s="763">
        <f>KC7/KA7</f>
        <v>0.9681243540702501</v>
      </c>
      <c r="KE7" s="578">
        <f>'Proy 2021 vs 2019 Sem'!FY6*$KH$4</f>
        <v>10206.045599999999</v>
      </c>
      <c r="KF7" s="578">
        <f>'Proy 2021 vs 2019 Sem'!FZ6*$KH$4</f>
        <v>7654.5342000000001</v>
      </c>
      <c r="KG7" s="985">
        <v>5962.96</v>
      </c>
      <c r="KH7" s="986">
        <f>KG7/KE7</f>
        <v>0.58425762863532571</v>
      </c>
      <c r="KI7" s="578">
        <f>'Proy 2021 vs 2019 Sem'!FY6*$KL$4</f>
        <v>10206.045599999999</v>
      </c>
      <c r="KJ7" s="578">
        <f>'Proy 2021 vs 2019 Sem'!FZ6*$KL$4</f>
        <v>7654.5342000000001</v>
      </c>
      <c r="KK7" s="985">
        <v>12093.52</v>
      </c>
      <c r="KL7" s="986">
        <f>KK7/KI7</f>
        <v>1.1849368966174325</v>
      </c>
      <c r="KM7" s="578">
        <f>'Proy 2021 vs 2019 Sem'!FY6*$KP$4</f>
        <v>10206.045599999999</v>
      </c>
      <c r="KN7" s="578">
        <f>'Proy 2021 vs 2019 Sem'!FZ6*$KP$4</f>
        <v>7654.5342000000001</v>
      </c>
      <c r="KO7" s="985">
        <v>6230.54</v>
      </c>
      <c r="KP7" s="986">
        <f>KO7/KM7</f>
        <v>0.61047542252799658</v>
      </c>
      <c r="KQ7" s="578">
        <f>'Proy 2021 vs 2019 Sem'!FY6*$KT$4</f>
        <v>10206.045599999999</v>
      </c>
      <c r="KR7" s="578">
        <f>'Proy 2021 vs 2019 Sem'!FZ6*$KT$4</f>
        <v>7654.5342000000001</v>
      </c>
      <c r="KS7" s="985">
        <v>8960.0400000000009</v>
      </c>
      <c r="KT7" s="986">
        <f>KS7/KQ7</f>
        <v>0.87791494876330955</v>
      </c>
      <c r="KU7" s="578">
        <f>'Proy 2021 vs 2019 Sem'!FY6*$KX$4</f>
        <v>11907.053200000002</v>
      </c>
      <c r="KV7" s="578">
        <f>'Proy 2021 vs 2019 Sem'!FZ6*$KX$4</f>
        <v>8930.2899000000016</v>
      </c>
      <c r="KW7" s="985">
        <v>6994.16</v>
      </c>
      <c r="KX7" s="986">
        <f>KW7/KU7</f>
        <v>0.58739638452274645</v>
      </c>
      <c r="KY7" s="578">
        <f>'Proy 2021 vs 2019 Sem'!FY6*$LB$4</f>
        <v>13608.060800000001</v>
      </c>
      <c r="KZ7" s="578">
        <f>'Proy 2021 vs 2019 Sem'!FZ6*$LB$4</f>
        <v>10206.045600000001</v>
      </c>
      <c r="LA7" s="985">
        <v>12290.99</v>
      </c>
      <c r="LB7" s="986">
        <f>LA7/KY7</f>
        <v>0.9032139244998082</v>
      </c>
      <c r="LC7" s="578">
        <f>'Proy 2021 vs 2019 Sem'!FY6*$LF$4</f>
        <v>18711.083600000002</v>
      </c>
      <c r="LD7" s="578">
        <f>'Proy 2021 vs 2019 Sem'!FZ6*$LF$4</f>
        <v>14033.3127</v>
      </c>
      <c r="LE7" s="985">
        <v>13895.66</v>
      </c>
      <c r="LF7" s="986">
        <f>LE7/LC7</f>
        <v>0.7426432534350923</v>
      </c>
      <c r="LG7" s="577">
        <f>KE7+KI7+KM7+KQ7+KU7+KY7+LC7</f>
        <v>85050.38</v>
      </c>
      <c r="LH7" s="578">
        <f>KF7+KJ7+KN7+KR7+KV7+KZ7+LD7</f>
        <v>63787.785000000011</v>
      </c>
      <c r="LI7" s="796">
        <f>KG7+KK7+KO7+KS7+KW7+LA7+LE7</f>
        <v>66427.87</v>
      </c>
      <c r="LJ7" s="790">
        <f>LI7/LG7</f>
        <v>0.78104142509416175</v>
      </c>
      <c r="LK7" s="578">
        <f>'Proy 2021 vs 2019 Sem'!GD6*$LN$4</f>
        <v>9572.0435999999991</v>
      </c>
      <c r="LL7" s="578">
        <f>'Proy 2021 vs 2019 Sem'!GE6*$LN$4</f>
        <v>7753.3553160000001</v>
      </c>
      <c r="LM7" s="985">
        <v>5850.51</v>
      </c>
      <c r="LN7" s="986">
        <f>LM7/LK7</f>
        <v>0.61120803921118794</v>
      </c>
      <c r="LO7" s="578">
        <f>'Proy 2021 vs 2019 Sem'!GD6*$LR$4</f>
        <v>9572.0435999999991</v>
      </c>
      <c r="LP7" s="578">
        <f>'Proy 2021 vs 2019 Sem'!GE6*$LR$4</f>
        <v>7753.3553160000001</v>
      </c>
      <c r="LQ7" s="985">
        <v>7237.25</v>
      </c>
      <c r="LR7" s="986">
        <f>LQ7/LO7</f>
        <v>0.75608201366738459</v>
      </c>
      <c r="LS7" s="578">
        <f>'Proy 2021 vs 2019 Sem'!GD6*$LV$4</f>
        <v>9572.0435999999991</v>
      </c>
      <c r="LT7" s="578">
        <f>'Proy 2021 vs 2019 Sem'!GE6*$LV$4</f>
        <v>7753.3553160000001</v>
      </c>
      <c r="LU7" s="985">
        <v>21329.85</v>
      </c>
      <c r="LV7" s="986">
        <f>LU7/LS7</f>
        <v>2.2283486046804049</v>
      </c>
      <c r="LW7" s="578">
        <f>'Proy 2021 vs 2019 Sem'!GD6*$LZ$4</f>
        <v>9572.0435999999991</v>
      </c>
      <c r="LX7" s="578">
        <f>'Proy 2021 vs 2019 Sem'!GE6*$LZ$4</f>
        <v>7753.3553160000001</v>
      </c>
      <c r="LY7" s="985">
        <v>6956.05</v>
      </c>
      <c r="LZ7" s="986">
        <f>LY7/LW7</f>
        <v>0.72670479687326128</v>
      </c>
      <c r="MA7" s="578">
        <f>'Proy 2021 vs 2019 Sem'!GD6*$MD$4</f>
        <v>11167.3842</v>
      </c>
      <c r="MB7" s="578">
        <f>'Proy 2021 vs 2019 Sem'!GE6*$MD$4</f>
        <v>9045.5812020000012</v>
      </c>
      <c r="MC7" s="985">
        <v>10291.44</v>
      </c>
      <c r="MD7" s="986">
        <f>MC7/MA7</f>
        <v>0.92156227597148488</v>
      </c>
      <c r="ME7" s="578">
        <f>'Proy 2021 vs 2019 Sem'!GD6*$MH$4</f>
        <v>12762.7248</v>
      </c>
      <c r="MF7" s="578">
        <f>'Proy 2021 vs 2019 Sem'!GE6*$MH$4</f>
        <v>10337.807088</v>
      </c>
      <c r="MG7" s="985">
        <v>12493.93</v>
      </c>
      <c r="MH7" s="986">
        <f>MG7/ME7</f>
        <v>0.97893907420145898</v>
      </c>
      <c r="MI7" s="578">
        <f>'Proy 2021 vs 2019 Sem'!GD6*$ML$4</f>
        <v>17548.746599999999</v>
      </c>
      <c r="MJ7" s="578">
        <f>'Proy 2021 vs 2019 Sem'!GE6*$ML$4</f>
        <v>14214.484746</v>
      </c>
      <c r="MK7" s="985">
        <v>14338.56</v>
      </c>
      <c r="ML7" s="986">
        <f>MK7/MI7</f>
        <v>0.81707031999652902</v>
      </c>
      <c r="MM7" s="577">
        <f>LK7+LO7+LS7+LW7+MA7+ME7+MI7</f>
        <v>79767.03</v>
      </c>
      <c r="MN7" s="578">
        <f>LL7+LP7+LT7+LX7+MB7+MF7+MJ7</f>
        <v>64611.294300000009</v>
      </c>
      <c r="MO7" s="796">
        <f>LM7+LQ7+LU7+LY7+MC7+MG7+MK7</f>
        <v>78497.590000000011</v>
      </c>
      <c r="MP7" s="790">
        <f>MO7/MM7</f>
        <v>0.98408565543934645</v>
      </c>
      <c r="MQ7" s="578">
        <f>'Proy 2021 vs 2019 Sem'!GI6*$MT$4</f>
        <v>9239.2739999999994</v>
      </c>
      <c r="MR7" s="578">
        <f>'Proy 2021 vs 2019 Sem'!GJ6*$MT$4</f>
        <v>7391.4192000000003</v>
      </c>
      <c r="MS7" s="985">
        <v>8500.1</v>
      </c>
      <c r="MT7" s="986">
        <f>MS7/MQ7</f>
        <v>0.91999652786571773</v>
      </c>
      <c r="MU7" s="578">
        <f>'Proy 2021 vs 2019 Sem'!GI6*$MX$4</f>
        <v>9239.2739999999994</v>
      </c>
      <c r="MV7" s="578">
        <f>'Proy 2021 vs 2019 Sem'!GJ6*$MX$4</f>
        <v>7391.4192000000003</v>
      </c>
      <c r="MW7" s="985">
        <v>8024.97</v>
      </c>
      <c r="MX7" s="986">
        <f>MW7/MU7</f>
        <v>0.86857149165616265</v>
      </c>
      <c r="MY7" s="578">
        <f>'Proy 2021 vs 2019 Sem'!GI6*$NB$4</f>
        <v>9239.2739999999994</v>
      </c>
      <c r="MZ7" s="578">
        <f>'Proy 2021 vs 2019 Sem'!GJ6*$NB$4</f>
        <v>7391.4192000000003</v>
      </c>
      <c r="NA7" s="985">
        <v>6038.99</v>
      </c>
      <c r="NB7" s="986">
        <f>NA7/MY7</f>
        <v>0.65362170231124217</v>
      </c>
      <c r="NC7" s="578">
        <f>'Proy 2021 vs 2019 Sem'!GI6*$NF$4</f>
        <v>9239.2739999999994</v>
      </c>
      <c r="ND7" s="578">
        <f>'Proy 2021 vs 2019 Sem'!GJ6*$NF$4</f>
        <v>7391.4192000000003</v>
      </c>
      <c r="NE7" s="985">
        <v>8943.4599999999991</v>
      </c>
      <c r="NF7" s="986">
        <f>NE7/NC7</f>
        <v>0.96798298221267165</v>
      </c>
      <c r="NG7" s="578">
        <f>'Proy 2021 vs 2019 Sem'!GI6*$NJ$4</f>
        <v>10779.153</v>
      </c>
      <c r="NH7" s="578">
        <f>'Proy 2021 vs 2019 Sem'!GJ6*$NJ$4</f>
        <v>8623.3224000000009</v>
      </c>
      <c r="NI7" s="985">
        <v>8376.9500000000007</v>
      </c>
      <c r="NJ7" s="986">
        <f>NI7/NG7</f>
        <v>0.77714362158139894</v>
      </c>
      <c r="NK7" s="578">
        <f>'Proy 2021 vs 2019 Sem'!GI6*$NN$4</f>
        <v>12319.031999999999</v>
      </c>
      <c r="NL7" s="578">
        <f>'Proy 2021 vs 2019 Sem'!GJ6*$NN$4</f>
        <v>9855.2256000000016</v>
      </c>
      <c r="NM7" s="985">
        <v>10029.94</v>
      </c>
      <c r="NN7" s="986">
        <f>NM7/NK7</f>
        <v>0.81418247797391885</v>
      </c>
      <c r="NO7" s="578">
        <f>'Proy 2021 vs 2019 Sem'!GI6*$NR$4</f>
        <v>16938.668999999998</v>
      </c>
      <c r="NP7" s="578">
        <f>'Proy 2021 vs 2019 Sem'!GJ6*$NR$4</f>
        <v>13550.935200000002</v>
      </c>
      <c r="NQ7" s="985">
        <v>15262.52</v>
      </c>
      <c r="NR7" s="986">
        <f>NQ7/NO7</f>
        <v>0.90104600308324123</v>
      </c>
      <c r="NS7" s="577">
        <f>MQ7+MU7+MY7+NC7+NG7+NK7+NO7</f>
        <v>76993.95</v>
      </c>
      <c r="NT7" s="578">
        <f>MR7+MV7+MZ7+ND7+NH7+NL7+NP7</f>
        <v>61595.160000000011</v>
      </c>
      <c r="NU7" s="796">
        <f>MS7+MW7+NA7+NE7+NI7+NM7+NQ7</f>
        <v>65176.930000000008</v>
      </c>
      <c r="NV7" s="790">
        <f>NU7/NS7</f>
        <v>0.84652014866103131</v>
      </c>
      <c r="NW7" s="578">
        <f>'Proy 2021 vs 2019 Sem'!GN6*$NZ$4</f>
        <v>9795.493199999999</v>
      </c>
      <c r="NX7" s="578">
        <f>'Proy 2021 vs 2019 Sem'!GO6*$NZ$4</f>
        <v>7150.7100359999995</v>
      </c>
      <c r="NY7" s="985">
        <v>6011.87</v>
      </c>
      <c r="NZ7" s="986">
        <f>NY7/NW7</f>
        <v>0.61373836694613815</v>
      </c>
      <c r="OA7" s="578">
        <f>'Proy 2021 vs 2019 Sem'!GN6*$OD$4</f>
        <v>9795.493199999999</v>
      </c>
      <c r="OB7" s="578">
        <f>'Proy 2021 vs 2019 Sem'!GO6*$OD$4</f>
        <v>7150.7100359999995</v>
      </c>
      <c r="OC7" s="985">
        <v>7007.86</v>
      </c>
      <c r="OD7" s="986">
        <f>OC7/OA7</f>
        <v>0.71541675920922498</v>
      </c>
      <c r="OE7" s="578">
        <f>'Proy 2021 vs 2019 Sem'!GN6*$OH$4</f>
        <v>9795.493199999999</v>
      </c>
      <c r="OF7" s="578">
        <f>'Proy 2021 vs 2019 Sem'!GO6*$OH$4</f>
        <v>7150.7100359999995</v>
      </c>
      <c r="OG7" s="985">
        <v>8825.2000000000007</v>
      </c>
      <c r="OH7" s="986">
        <f>OG7/OE7</f>
        <v>0.9009449365959441</v>
      </c>
      <c r="OI7" s="578">
        <f>'Proy 2021 vs 2019 Sem'!GN6*$OL$4</f>
        <v>9795.493199999999</v>
      </c>
      <c r="OJ7" s="578">
        <f>'Proy 2021 vs 2019 Sem'!GO6*$OL$4</f>
        <v>7150.7100359999995</v>
      </c>
      <c r="OK7" s="985">
        <v>9091.66</v>
      </c>
      <c r="OL7" s="986">
        <f>OK7/OI7</f>
        <v>0.9281472422440149</v>
      </c>
      <c r="OM7" s="578">
        <f>'Proy 2021 vs 2019 Sem'!GN6*$OP$4</f>
        <v>11428.075400000002</v>
      </c>
      <c r="ON7" s="578">
        <f>'Proy 2021 vs 2019 Sem'!GO6*$OP$4</f>
        <v>8342.4950420000005</v>
      </c>
      <c r="OO7" s="985">
        <v>11659.06</v>
      </c>
      <c r="OP7" s="986">
        <f>OO7/OM7</f>
        <v>1.0202120297526212</v>
      </c>
      <c r="OQ7" s="578">
        <f>'Proy 2021 vs 2019 Sem'!GN6*$JV$4</f>
        <v>13060.6576</v>
      </c>
      <c r="OR7" s="578">
        <f>'Proy 2021 vs 2019 Sem'!GO6*$JV$4</f>
        <v>9534.2800480000005</v>
      </c>
      <c r="OS7" s="985">
        <v>11142.32</v>
      </c>
      <c r="OT7" s="986">
        <f>OS7/OQ7</f>
        <v>0.85312090257997419</v>
      </c>
      <c r="OU7" s="578">
        <f>'Proy 2021 vs 2019 Sem'!GN6*$OX$4</f>
        <v>17958.404200000001</v>
      </c>
      <c r="OV7" s="578">
        <f>'Proy 2021 vs 2019 Sem'!GO6*$OX$4</f>
        <v>13109.635066000001</v>
      </c>
      <c r="OW7" s="985">
        <v>25547.75</v>
      </c>
      <c r="OX7" s="986">
        <f>OW7/OU7</f>
        <v>1.4226069151511802</v>
      </c>
      <c r="OY7" s="577">
        <f>NW7+OA7+OE7+OI7+OM7+OQ7+OU7</f>
        <v>81629.11</v>
      </c>
      <c r="OZ7" s="578">
        <f>NX7+OB7+OF7+OJ7+ON7+OR7+OV7</f>
        <v>59589.2503</v>
      </c>
      <c r="PA7" s="789">
        <f>NY7+OC7+OG7+OK7+OO7+OS7+OW7</f>
        <v>79285.72</v>
      </c>
      <c r="PB7" s="790">
        <f>PA7/OY7</f>
        <v>0.97129222651086111</v>
      </c>
      <c r="PC7" s="578">
        <f>'Proy 2021 vs 2019 Sem'!GW6*$PF$4</f>
        <v>8879.52</v>
      </c>
      <c r="PD7" s="578">
        <f>'Proy 2021 vs 2019 Sem'!GX6*$PF$4</f>
        <v>6748.4351999999999</v>
      </c>
      <c r="PE7" s="985">
        <v>11723.92</v>
      </c>
      <c r="PF7" s="986">
        <f>PE7/PC7</f>
        <v>1.3203326305926446</v>
      </c>
      <c r="PG7" s="578">
        <f>'Proy 2021 vs 2019 Sem'!GW6*$PJ$4</f>
        <v>8879.52</v>
      </c>
      <c r="PH7" s="578">
        <f>'Proy 2021 vs 2019 Sem'!GX6*$PJ$4</f>
        <v>6748.4351999999999</v>
      </c>
      <c r="PI7" s="985">
        <v>7476.18</v>
      </c>
      <c r="PJ7" s="986">
        <f>PI7/PG7</f>
        <v>0.84195767338775063</v>
      </c>
      <c r="PK7" s="578">
        <f>'Proy 2021 vs 2019 Sem'!GW6*'Vtas Diarias 2021'!$PN$4</f>
        <v>8879.52</v>
      </c>
      <c r="PL7" s="578">
        <f>'Proy 2021 vs 2019 Sem'!GX6*'Vtas Diarias 2021'!$PN$4</f>
        <v>6748.4351999999999</v>
      </c>
      <c r="PM7" s="985">
        <v>10200.65</v>
      </c>
      <c r="PN7" s="986">
        <f>PM7/PK7</f>
        <v>1.148783943276213</v>
      </c>
      <c r="PO7" s="578">
        <f>'Proy 2021 vs 2019 Sem'!GW6*$PR$4</f>
        <v>8879.52</v>
      </c>
      <c r="PP7" s="578">
        <f>'Proy 2021 vs 2019 Sem'!GX6*$PR$4</f>
        <v>6748.4351999999999</v>
      </c>
      <c r="PQ7" s="985">
        <v>10687</v>
      </c>
      <c r="PR7" s="986">
        <f>PQ7/PO7</f>
        <v>1.2035560480746705</v>
      </c>
      <c r="PS7" s="578">
        <f>'Proy 2021 vs 2019 Sem'!GW6*$PV$4</f>
        <v>10359.44</v>
      </c>
      <c r="PT7" s="578">
        <f>'Proy 2021 vs 2019 Sem'!GX6*$PV$4</f>
        <v>7873.1744000000008</v>
      </c>
      <c r="PU7" s="985">
        <v>8112.69</v>
      </c>
      <c r="PV7" s="986">
        <f>PU7/PS7</f>
        <v>0.78312051616689693</v>
      </c>
      <c r="PW7" s="578">
        <f>'Proy 2021 vs 2019 Sem'!GW6*$PZ$4</f>
        <v>11839.36</v>
      </c>
      <c r="PX7" s="578">
        <f>'Proy 2021 vs 2019 Sem'!GX6*$PZ$4</f>
        <v>8997.9135999999999</v>
      </c>
      <c r="PY7" s="985">
        <v>13479.68</v>
      </c>
      <c r="PZ7" s="986">
        <f>PY7/PW7</f>
        <v>1.1385480296232229</v>
      </c>
      <c r="QA7" s="578">
        <f>'Proy 2021 vs 2019 Sem'!GW6*$QD$4</f>
        <v>16279.12</v>
      </c>
      <c r="QB7" s="578">
        <f>'Proy 2021 vs 2019 Sem'!GX6*$QD$4</f>
        <v>12372.1312</v>
      </c>
      <c r="QC7" s="985">
        <v>16156.48</v>
      </c>
      <c r="QD7" s="986">
        <f>QC7/QA7</f>
        <v>0.99246642324646539</v>
      </c>
      <c r="QE7" s="577">
        <f>PC7+PG7+PK7+PO7+PS7+PW7+QA7</f>
        <v>73996</v>
      </c>
      <c r="QF7" s="578">
        <f>PD7+PH7+PL7+PP7+PT7+PX7+QB7</f>
        <v>56236.960000000006</v>
      </c>
      <c r="QG7" s="732">
        <f>PE7+PI7+PM7+PQ7+PU7+PY7+QC7</f>
        <v>77836.600000000006</v>
      </c>
      <c r="QH7" s="715">
        <f>QG7/QE7</f>
        <v>1.0519028055570572</v>
      </c>
      <c r="QI7" s="578">
        <f>'Proy 2021 vs 2019 Sem'!HB6*$QL$4</f>
        <v>9095.0435999999991</v>
      </c>
      <c r="QJ7" s="581">
        <f>'Proy 2021 vs 2019 Sem'!UG6*$AL$4</f>
        <v>0</v>
      </c>
      <c r="QK7" s="985">
        <v>6780.88</v>
      </c>
      <c r="QL7" s="986">
        <f>QK7/QI7</f>
        <v>0.74555772332966064</v>
      </c>
      <c r="QM7" s="578">
        <f>'Proy 2021 vs 2019 Sem'!HB6*$QP$4</f>
        <v>9095.0435999999991</v>
      </c>
      <c r="QN7" s="578">
        <f>'Proy 2021 vs 2019 Sem'!UG6*$AP$4</f>
        <v>0</v>
      </c>
      <c r="QO7" s="985">
        <v>8139.91</v>
      </c>
      <c r="QP7" s="986">
        <f>QO7/QM7</f>
        <v>0.89498306528184213</v>
      </c>
      <c r="QQ7" s="578">
        <f>'Proy 2021 vs 2019 Sem'!HB6*$QT$4</f>
        <v>9095.0435999999991</v>
      </c>
      <c r="QR7" s="578">
        <f>'Proy 2021 vs 2019 Sem'!HC6*$QT$4</f>
        <v>7094.134008</v>
      </c>
      <c r="QS7" s="985">
        <v>6622.24</v>
      </c>
      <c r="QT7" s="986">
        <f>QS7/QQ7</f>
        <v>0.72811525609398953</v>
      </c>
      <c r="QU7" s="578">
        <f>'Proy 2021 vs 2019 Sem'!HB6*$QX$4</f>
        <v>9095.0435999999991</v>
      </c>
      <c r="QV7" s="578">
        <f>'Proy 2021 vs 2019 Sem'!HC6*$QX$4</f>
        <v>7094.134008</v>
      </c>
      <c r="QW7" s="985">
        <v>5346.77</v>
      </c>
      <c r="QX7" s="986">
        <f>QW7/QU7</f>
        <v>0.5878773357392153</v>
      </c>
      <c r="QY7" s="578">
        <f>'Proy 2021 vs 2019 Sem'!HB6*$RB$4</f>
        <v>10610.8842</v>
      </c>
      <c r="QZ7" s="578">
        <f>'Proy 2021 vs 2019 Sem'!HC6*$RB$4</f>
        <v>8276.4896760000011</v>
      </c>
      <c r="RA7" s="985">
        <v>6488.26</v>
      </c>
      <c r="RB7" s="986">
        <f>RA7/QY7</f>
        <v>0.61147213349100538</v>
      </c>
      <c r="RC7" s="578">
        <f>'Proy 2021 vs 2019 Sem'!HB6*$RF$4</f>
        <v>12126.7248</v>
      </c>
      <c r="RD7" s="578">
        <f>'Proy 2021 vs 2019 Sem'!HC6*$RF$4</f>
        <v>9458.8453439999994</v>
      </c>
      <c r="RE7" s="985">
        <v>8614.8700000000008</v>
      </c>
      <c r="RF7" s="986">
        <f>RE7/RC7</f>
        <v>0.71040368624511052</v>
      </c>
      <c r="RG7" s="578">
        <f>'Proy 2021 vs 2019 Sem'!HB6*$RJ$4</f>
        <v>16674.246599999999</v>
      </c>
      <c r="RH7" s="578">
        <f>'Proy 2021 vs 2019 Sem'!HC6*$RJ$4</f>
        <v>13005.912348</v>
      </c>
      <c r="RI7" s="985">
        <v>15870.74</v>
      </c>
      <c r="RJ7" s="986">
        <f>RI7/RG7</f>
        <v>0.95181151992798285</v>
      </c>
      <c r="RK7" s="577">
        <f>QI7+QM7+QQ7+QU7+QY7+RC7+RG7</f>
        <v>75792.03</v>
      </c>
      <c r="RL7" s="578">
        <f>QJ7+QN7+QR7+QV7+QZ7+RD7+RH7</f>
        <v>44929.515383999998</v>
      </c>
      <c r="RM7" s="732">
        <f>QK7+QO7+QS7+QW7+RA7+RE7+RI7</f>
        <v>57863.67</v>
      </c>
      <c r="RN7" s="715">
        <f>RM7/RK7</f>
        <v>0.76345322852547948</v>
      </c>
      <c r="RO7" s="578">
        <f>'Proy 2021 vs 2019 Sem'!HG6*$RR$4</f>
        <v>8805.5352000000003</v>
      </c>
      <c r="RP7" s="578">
        <f>'Proy 2021 vs 2019 Sem'!HH6*$RR$4</f>
        <v>6780.2621040000004</v>
      </c>
      <c r="RQ7" s="985">
        <v>5676.16</v>
      </c>
      <c r="RR7" s="986">
        <f>RQ7/RO7</f>
        <v>0.64461272041703943</v>
      </c>
      <c r="RS7" s="578">
        <f>'Proy 2021 vs 2019 Sem'!HG6*$RV$4</f>
        <v>8805.5352000000003</v>
      </c>
      <c r="RT7" s="578">
        <f>'Proy 2021 vs 2019 Sem'!HH6*$RV$4</f>
        <v>6780.2621040000004</v>
      </c>
      <c r="RU7" s="985">
        <v>6123.77</v>
      </c>
      <c r="RV7" s="986">
        <f>RU7/RS7</f>
        <v>0.69544551931380616</v>
      </c>
      <c r="RW7" s="578">
        <f>'Proy 2021 vs 2019 Sem'!HG6*$RZ$4</f>
        <v>8805.5352000000003</v>
      </c>
      <c r="RX7" s="578">
        <f>'Proy 2021 vs 2019 Sem'!HH6*$RZ$4</f>
        <v>6780.2621040000004</v>
      </c>
      <c r="RY7" s="985">
        <v>6387.95</v>
      </c>
      <c r="RZ7" s="986">
        <f>RY7/RW7</f>
        <v>0.72544710286320813</v>
      </c>
      <c r="SA7" s="578">
        <f>'Proy 2021 vs 2019 Sem'!HG6*$SD$4</f>
        <v>8805.5352000000003</v>
      </c>
      <c r="SB7" s="578">
        <f>'Proy 2021 vs 2019 Sem'!HH6*$SD$4</f>
        <v>6780.2621040000004</v>
      </c>
      <c r="SC7" s="985">
        <v>13059.65</v>
      </c>
      <c r="SD7" s="986">
        <f>SC7/SA7</f>
        <v>1.4831182549812532</v>
      </c>
      <c r="SE7" s="578">
        <f>'Proy 2021 vs 2019 Sem'!HG6*$SH$4</f>
        <v>10273.124400000002</v>
      </c>
      <c r="SF7" s="578">
        <f>'Proy 2021 vs 2019 Sem'!HH6*$SH$4</f>
        <v>7910.3057880000015</v>
      </c>
      <c r="SG7" s="985">
        <v>8572.9</v>
      </c>
      <c r="SH7" s="986">
        <f>SG7/SE7</f>
        <v>0.83449782813882767</v>
      </c>
      <c r="SI7" s="578">
        <f>'Proy 2021 vs 2019 Sem'!HG6*$SL$4</f>
        <v>11740.713600000001</v>
      </c>
      <c r="SJ7" s="578">
        <f>'Proy 2021 vs 2019 Sem'!HH6*$SL$4</f>
        <v>9040.3494719999999</v>
      </c>
      <c r="SK7" s="985">
        <v>15241.66</v>
      </c>
      <c r="SL7" s="986">
        <f>SK7/SI7</f>
        <v>1.2981885530365036</v>
      </c>
      <c r="SM7" s="578">
        <f>'Proy 2021 vs 2019 Sem'!HG6*$SP$4</f>
        <v>16143.481200000002</v>
      </c>
      <c r="SN7" s="578">
        <f>'Proy 2021 vs 2019 Sem'!HH6*$SP$4</f>
        <v>12430.480524000001</v>
      </c>
      <c r="SO7" s="985">
        <v>12127.31</v>
      </c>
      <c r="SP7" s="986">
        <f>SO7/SM7</f>
        <v>0.75122025105712631</v>
      </c>
      <c r="SQ7" s="577">
        <f>RO7+RS7+RW7+SA7+SE7+SI7+SM7</f>
        <v>73379.460000000006</v>
      </c>
      <c r="SR7" s="578">
        <f>RP7+RT7+RX7+SB7+SF7+SJ7+SN7</f>
        <v>56502.184200000003</v>
      </c>
      <c r="SS7" s="732">
        <f>RQ7+RU7+RY7+SC7+SG7+SK7+SO7</f>
        <v>67189.399999999994</v>
      </c>
      <c r="ST7" s="715">
        <f>SS7/SQ7</f>
        <v>0.91564315136688101</v>
      </c>
      <c r="SU7" s="578">
        <f>'Proy 2021 vs 2019 Sem'!HL6*$SX$4</f>
        <v>8248.2587999999996</v>
      </c>
      <c r="SV7" s="578">
        <f>'Proy 2021 vs 2019 Sem'!HM6*$SX$4</f>
        <v>6268.6766880000005</v>
      </c>
      <c r="SW7" s="985">
        <v>6755.58</v>
      </c>
      <c r="SX7" s="986">
        <f>SW7/SU7</f>
        <v>0.81903104204247323</v>
      </c>
      <c r="SY7" s="578">
        <f>'Proy 2021 vs 2019 Sem'!HL6*$TB$4</f>
        <v>8248.2587999999996</v>
      </c>
      <c r="SZ7" s="578">
        <f>'Proy 2021 vs 2019 Sem'!HM6*$TB$4</f>
        <v>6268.6766880000005</v>
      </c>
      <c r="TA7" s="985">
        <v>4873.13</v>
      </c>
      <c r="TB7" s="986">
        <f>TA7/SY7</f>
        <v>0.59080711676990549</v>
      </c>
      <c r="TC7" s="578">
        <f>'Proy 2021 vs 2019 Sem'!HL6*$TF$4</f>
        <v>8248.2587999999996</v>
      </c>
      <c r="TD7" s="578">
        <f>'Proy 2021 vs 2019 Sem'!HM6*$TF$4</f>
        <v>6268.6766880000005</v>
      </c>
      <c r="TE7" s="985">
        <v>6021.24</v>
      </c>
      <c r="TF7" s="986">
        <f>TE7/TC7</f>
        <v>0.73000134282886464</v>
      </c>
      <c r="TG7" s="578">
        <f>'Proy 2021 vs 2019 Sem'!HL6*$TJ$4</f>
        <v>8248.2587999999996</v>
      </c>
      <c r="TH7" s="578">
        <f>'Proy 2021 vs 2019 Sem'!HM6*$TJ$4</f>
        <v>6268.6766880000005</v>
      </c>
      <c r="TI7" s="985">
        <v>6610.53</v>
      </c>
      <c r="TJ7" s="986">
        <f>TI7/TG7</f>
        <v>0.8014455123546802</v>
      </c>
      <c r="TK7" s="578">
        <f>'Proy 2021 vs 2019 Sem'!HL6*$TN$4</f>
        <v>9622.968600000002</v>
      </c>
      <c r="TL7" s="578">
        <f>'Proy 2021 vs 2019 Sem'!HM6*$TN$4</f>
        <v>7313.4561360000016</v>
      </c>
      <c r="TM7" s="985">
        <v>10558.01</v>
      </c>
      <c r="TN7" s="986">
        <f>TM7/TK7</f>
        <v>1.0971676661191638</v>
      </c>
      <c r="TO7" s="578">
        <f>'Proy 2021 vs 2019 Sem'!HL6*$TR$4</f>
        <v>10997.678400000001</v>
      </c>
      <c r="TP7" s="581">
        <f>'Proy 2021 vs 2019 Sem'!HM6*$TR$4</f>
        <v>8358.2355840000018</v>
      </c>
      <c r="TQ7" s="985">
        <v>9918.73</v>
      </c>
      <c r="TR7" s="986">
        <f>TQ7/TO7</f>
        <v>0.90189307590591106</v>
      </c>
      <c r="TS7" s="578">
        <f>'Proy 2021 vs 2019 Sem'!HL6*$TV$4</f>
        <v>15121.8078</v>
      </c>
      <c r="TT7" s="578">
        <f>'Proy 2021 vs 2019 Sem'!HM6*$TV$4</f>
        <v>11492.573928000002</v>
      </c>
      <c r="TU7" s="985">
        <v>13942.96</v>
      </c>
      <c r="TV7" s="986">
        <f>TU7/TS7</f>
        <v>0.9220431964490382</v>
      </c>
      <c r="TW7" s="577">
        <f>SU7+SY7+TC7+TG7+TK7+TO7+TS7</f>
        <v>68735.489999999991</v>
      </c>
      <c r="TX7" s="578">
        <f>SV7+SZ7+TD7+TH7+TL7+TP7+TT7</f>
        <v>52238.972399999999</v>
      </c>
      <c r="TY7" s="714">
        <f>SW7+TA7+TE7+TI7+TM7+TQ7+TU7</f>
        <v>58680.18</v>
      </c>
      <c r="TZ7" s="715">
        <f>TY7/TW7</f>
        <v>0.85371007029992818</v>
      </c>
      <c r="UA7" s="578">
        <v>7230.59</v>
      </c>
      <c r="UB7" s="578">
        <f>'Proy 2021 vs 2019 Sem'!HR6*$UD$4</f>
        <v>6266.2069920000004</v>
      </c>
      <c r="UC7" s="985">
        <v>4203.6099999999997</v>
      </c>
      <c r="UD7" s="986">
        <f>UC7/UA7</f>
        <v>0.58136472957255214</v>
      </c>
      <c r="UE7" s="578">
        <v>6252.7</v>
      </c>
      <c r="UF7" s="578">
        <f>'Proy 2021 vs 2019 Sem'!HR6*$UH$4</f>
        <v>6266.2069920000004</v>
      </c>
      <c r="UG7" s="985">
        <v>7674.2</v>
      </c>
      <c r="UH7" s="986">
        <f>UG7/UE7</f>
        <v>1.227341788347434</v>
      </c>
      <c r="UI7" s="578">
        <v>9656.1200000000008</v>
      </c>
      <c r="UJ7" s="578">
        <f>'Proy 2021 vs 2019 Sem'!HR6*$UL$4</f>
        <v>6266.2069920000004</v>
      </c>
      <c r="UK7" s="985">
        <v>7358.42</v>
      </c>
      <c r="UL7" s="986">
        <f>UK7/UI7</f>
        <v>0.76204728193104476</v>
      </c>
      <c r="UM7" s="578">
        <v>9109.69</v>
      </c>
      <c r="UN7" s="578">
        <f>'Proy 2021 vs 2019 Sem'!HR6*$UP$4</f>
        <v>6266.2069920000004</v>
      </c>
      <c r="UO7" s="985">
        <v>4710.16</v>
      </c>
      <c r="UP7" s="986">
        <f>UO7/UM7</f>
        <v>0.51704942758754679</v>
      </c>
      <c r="UQ7" s="578">
        <v>6163.65</v>
      </c>
      <c r="UR7" s="578">
        <f>'Proy 2021 vs 2019 Sem'!HR6*$UT$4</f>
        <v>7310.5748240000012</v>
      </c>
      <c r="US7" s="985">
        <v>6678.1</v>
      </c>
      <c r="UT7" s="986">
        <f>US7/UQ7</f>
        <v>1.0834651545756169</v>
      </c>
      <c r="UU7" s="578">
        <v>8274.06</v>
      </c>
      <c r="UV7" s="578">
        <f>'Proy 2021 vs 2019 Sem'!HR6*$UX$4</f>
        <v>8354.9426560000011</v>
      </c>
      <c r="UW7" s="985">
        <v>8492.07</v>
      </c>
      <c r="UX7" s="986">
        <f>UW7/UU7</f>
        <v>1.0263486124103525</v>
      </c>
      <c r="UY7" s="578">
        <v>15706.88</v>
      </c>
      <c r="UZ7" s="578">
        <f>'Proy 2021 vs 2019 Sem'!HR6*$VB$4</f>
        <v>11488.046152000001</v>
      </c>
      <c r="VA7" s="985">
        <v>14562.09</v>
      </c>
      <c r="VB7" s="986">
        <f>VA7/UY7</f>
        <v>0.92711537873848915</v>
      </c>
      <c r="VC7" s="577">
        <f>UA7+UE7+UI7+UM7+UQ7+UU7+UY7</f>
        <v>62393.69</v>
      </c>
      <c r="VD7" s="578">
        <f>UB7+UF7+UJ7+UN7+UR7+UV7+UZ7</f>
        <v>52218.391600000003</v>
      </c>
      <c r="VE7" s="714">
        <f>UC7+UG7+UK7+UO7+US7+UW7+VA7</f>
        <v>53678.649999999994</v>
      </c>
      <c r="VF7" s="1530">
        <f>VE7/VC7</f>
        <v>0.86032177292287071</v>
      </c>
      <c r="VG7" s="578">
        <v>6825.84</v>
      </c>
      <c r="VH7" s="578">
        <f>'Proy 2021 vs 2019 Sem'!IA6*$VJ$4</f>
        <v>7377.0549839999994</v>
      </c>
      <c r="VI7" s="985">
        <v>4172.33</v>
      </c>
      <c r="VJ7" s="986">
        <f>VI7/VG7</f>
        <v>0.61125517152467679</v>
      </c>
      <c r="VK7" s="578">
        <v>8809.39</v>
      </c>
      <c r="VL7" s="578">
        <f>'Proy 2021 vs 2019 Sem'!IA6*$VN$4</f>
        <v>7377.0549839999994</v>
      </c>
      <c r="VM7" s="985">
        <v>9157.08</v>
      </c>
      <c r="VN7" s="986">
        <f>VM7/VK7</f>
        <v>1.0394681130021488</v>
      </c>
      <c r="VO7" s="578">
        <v>9140.77</v>
      </c>
      <c r="VP7" s="578">
        <f>'Proy 2021 vs 2019 Sem'!IA6*$VR$4</f>
        <v>7377.0549839999994</v>
      </c>
      <c r="VQ7" s="985">
        <v>6503.04</v>
      </c>
      <c r="VR7" s="986">
        <f>VQ7/VO7</f>
        <v>0.71143240667908714</v>
      </c>
      <c r="VS7" s="578">
        <v>7911.56</v>
      </c>
      <c r="VT7" s="578">
        <f>'Proy 2021 vs 2019 Sem'!IA6*$VV$4</f>
        <v>7377.0549839999994</v>
      </c>
      <c r="VU7" s="985">
        <v>6694.57</v>
      </c>
      <c r="VV7" s="986">
        <f>VU7/VS7</f>
        <v>0.84617572261349205</v>
      </c>
      <c r="VW7" s="578">
        <v>9770.6</v>
      </c>
      <c r="VX7" s="578">
        <f>'Proy 2021 vs 2019 Sem'!IA6*$VZ$4</f>
        <v>8606.5641480000013</v>
      </c>
      <c r="VY7" s="985">
        <v>7849.38</v>
      </c>
      <c r="VZ7" s="986">
        <f>VY7/VW7</f>
        <v>0.80336724459091557</v>
      </c>
      <c r="WA7" s="578">
        <v>13674.58</v>
      </c>
      <c r="WB7" s="578">
        <f>'Proy 2021 vs 2019 Sem'!IA6*$WD$4</f>
        <v>9836.0733120000004</v>
      </c>
      <c r="WC7" s="985">
        <v>9164.93</v>
      </c>
      <c r="WD7" s="986">
        <f>WC7/WA7</f>
        <v>0.67021656240996075</v>
      </c>
      <c r="WE7" s="578">
        <v>19770.36</v>
      </c>
      <c r="WF7" s="578">
        <f>'Proy 2021 vs 2019 Sem'!IA6*$WH$4</f>
        <v>13524.600804</v>
      </c>
      <c r="WG7" s="985">
        <v>16258.87</v>
      </c>
      <c r="WH7" s="1537">
        <f>WG7/WE7</f>
        <v>0.82238613763229407</v>
      </c>
      <c r="WI7" s="574">
        <f>VG7+VK7+VO7+VS7</f>
        <v>32687.56</v>
      </c>
      <c r="WJ7" s="580">
        <f>VH7+VL7+VP7+VT7+VX7+WB7+WF7</f>
        <v>61475.458200000001</v>
      </c>
      <c r="WK7" s="796">
        <f>VI7+VM7+VQ7+VU7+VY7+WC7+WG7</f>
        <v>59800.200000000004</v>
      </c>
      <c r="WL7" s="790">
        <f>WK7/WI7</f>
        <v>1.8294482671695287</v>
      </c>
      <c r="WM7" s="578">
        <v>7120.72</v>
      </c>
      <c r="WN7" s="578">
        <f>'Proy 2021 vs 2019 Sem'!IF6*$WP$4</f>
        <v>8058.4511999999995</v>
      </c>
      <c r="WO7" s="985">
        <v>5756.24</v>
      </c>
      <c r="WP7" s="986">
        <f>WO7/WM7</f>
        <v>0.80837892797357569</v>
      </c>
      <c r="WQ7" s="578">
        <v>11549.53</v>
      </c>
      <c r="WR7" s="578">
        <f>'Proy 2021 vs 2019 Sem'!IF6*$WT$4</f>
        <v>8058.4511999999995</v>
      </c>
      <c r="WS7" s="985">
        <v>8874.64</v>
      </c>
      <c r="WT7" s="986">
        <f>WS7/WQ7</f>
        <v>0.76839836772578618</v>
      </c>
      <c r="WU7" s="578">
        <v>10545.95</v>
      </c>
      <c r="WV7" s="578">
        <f>'Proy 2021 vs 2019 Sem'!IF6*$WX$4</f>
        <v>8058.4511999999995</v>
      </c>
      <c r="WW7" s="985">
        <v>6650.09</v>
      </c>
      <c r="WX7" s="986">
        <f>WW7/WU7</f>
        <v>0.63058235625998604</v>
      </c>
      <c r="WY7" s="578">
        <v>6984.39</v>
      </c>
      <c r="WZ7" s="578">
        <f>'Proy 2021 vs 2019 Sem'!IF6*$XB$4</f>
        <v>8058.4511999999995</v>
      </c>
      <c r="XA7" s="985">
        <v>5042.9799999999996</v>
      </c>
      <c r="XB7" s="986">
        <f>XA7/WY7</f>
        <v>0.72203585424067085</v>
      </c>
      <c r="XC7" s="578">
        <v>11398.59</v>
      </c>
      <c r="XD7" s="578">
        <f>'Proy 2021 vs 2019 Sem'!IF6*$XF$4</f>
        <v>9401.5264000000006</v>
      </c>
      <c r="XE7" s="985">
        <v>7969.86</v>
      </c>
      <c r="XF7" s="986">
        <f>XE7/XC7</f>
        <v>0.69919700594547218</v>
      </c>
      <c r="XG7" s="578">
        <v>11861.94</v>
      </c>
      <c r="XH7" s="578">
        <f>'Proy 2021 vs 2019 Sem'!IF6*$XJ$4</f>
        <v>10744.6016</v>
      </c>
      <c r="XI7" s="985">
        <v>12180.67</v>
      </c>
      <c r="XJ7" s="986">
        <f>XI7/XG7</f>
        <v>1.0268699723653971</v>
      </c>
      <c r="XK7" s="578">
        <v>17094.3</v>
      </c>
      <c r="XL7" s="578">
        <f>'Proy 2021 vs 2019 Sem'!IF6*$XN$4</f>
        <v>14773.8272</v>
      </c>
      <c r="XM7" s="985">
        <v>17235.669999999998</v>
      </c>
      <c r="XN7" s="986">
        <f>XM7/XK7</f>
        <v>1.0082700081313654</v>
      </c>
      <c r="XO7" s="577">
        <f>WM7+WQ7+WU7+WY7+XC7+XG7+XK7</f>
        <v>76555.420000000013</v>
      </c>
      <c r="XP7" s="578">
        <f>WN7+WR7+WV7+WZ7+XD7+XH7+XL7</f>
        <v>67153.760000000009</v>
      </c>
      <c r="XQ7" s="796">
        <f>WO7+WS7+WW7+XA7+XE7+XI7+XM7</f>
        <v>63710.149999999994</v>
      </c>
      <c r="XR7" s="790">
        <f>XQ7/XO7</f>
        <v>0.83220952873095055</v>
      </c>
      <c r="XS7" s="578">
        <v>9778.64</v>
      </c>
      <c r="XT7" s="578">
        <f>'Proy 2021 vs 2019 Sem'!IK6*$XV$4</f>
        <v>8448.8329439999998</v>
      </c>
      <c r="XU7" s="985">
        <v>7103.07</v>
      </c>
      <c r="XV7" s="986">
        <f>XU7/XS7</f>
        <v>0.72638628684561457</v>
      </c>
      <c r="XW7" s="578">
        <v>10226.379999999999</v>
      </c>
      <c r="XX7" s="578">
        <f>'Proy 2021 vs 2019 Sem'!IK6*$XZ$4</f>
        <v>8448.8329439999998</v>
      </c>
      <c r="XY7" s="985">
        <v>7668.23</v>
      </c>
      <c r="XZ7" s="986">
        <f>XY7/XW7</f>
        <v>0.74984794228260643</v>
      </c>
      <c r="YA7" s="578">
        <v>9307.1</v>
      </c>
      <c r="YB7" s="578">
        <f>'Proy 2021 vs 2019 Sem'!IK6*$YD$4</f>
        <v>8448.8329439999998</v>
      </c>
      <c r="YC7" s="985">
        <v>8093.25</v>
      </c>
      <c r="YD7" s="986">
        <f>YC7/YA7</f>
        <v>0.86957806405862192</v>
      </c>
      <c r="YE7" s="578">
        <v>9552.94</v>
      </c>
      <c r="YF7" s="578">
        <f>'Proy 2021 vs 2019 Sem'!IK6*$YH$4</f>
        <v>8448.8329439999998</v>
      </c>
      <c r="YG7" s="985">
        <v>6464.63</v>
      </c>
      <c r="YH7" s="986">
        <f>YG7/YE7</f>
        <v>0.67671627792072386</v>
      </c>
      <c r="YI7" s="578">
        <v>11132.1</v>
      </c>
      <c r="YJ7" s="578">
        <f>'Proy 2021 vs 2019 Sem'!IK6*$YL$4</f>
        <v>9856.9717680000012</v>
      </c>
      <c r="YK7" s="985">
        <v>10190.49</v>
      </c>
      <c r="YL7" s="986">
        <f>YK7/YI7</f>
        <v>0.91541488128924453</v>
      </c>
      <c r="YM7" s="578">
        <v>11476.61</v>
      </c>
      <c r="YN7" s="578">
        <f>'Proy 2021 vs 2019 Sem'!IK6*$YP$4</f>
        <v>11265.110592000001</v>
      </c>
      <c r="YO7" s="985">
        <v>11933.49</v>
      </c>
      <c r="YP7" s="986">
        <f>YO7/YM7</f>
        <v>1.0398096650491739</v>
      </c>
      <c r="YQ7" s="578">
        <v>21439.91</v>
      </c>
      <c r="YR7" s="578">
        <f>'Proy 2021 vs 2019 Sem'!IK6*$YT$4</f>
        <v>15489.527064</v>
      </c>
      <c r="YS7" s="985">
        <v>17491.16</v>
      </c>
      <c r="YT7" s="986">
        <f>YS7/YQ7</f>
        <v>0.81582245447858692</v>
      </c>
      <c r="YU7" s="577">
        <f>XS7+XW7+YA7+YE7+YI7+YM7+YQ7</f>
        <v>82913.679999999993</v>
      </c>
      <c r="YV7" s="578">
        <f>XT7+XX7+YB7+YF7+YJ7+YN7+YR7</f>
        <v>70406.941200000001</v>
      </c>
      <c r="YW7" s="796">
        <f>XU7+XY7+YC7+YG7+YK7+YO7+YS7</f>
        <v>68944.319999999992</v>
      </c>
      <c r="YX7" s="790">
        <f>YW7/YU7</f>
        <v>0.83151923783867754</v>
      </c>
      <c r="YY7" s="578">
        <v>10595.36</v>
      </c>
      <c r="YZ7" s="578">
        <f>'Proy 2021 vs 2019 Sem'!IP6*$ZB$4</f>
        <v>12197.025336000001</v>
      </c>
      <c r="ZA7" s="985">
        <v>8830.65</v>
      </c>
      <c r="ZB7" s="986">
        <f>ZA7/YY7</f>
        <v>0.83344501744159705</v>
      </c>
      <c r="ZC7" s="578">
        <v>9280.83</v>
      </c>
      <c r="ZD7" s="578">
        <f>'Proy 2021 vs 2019 Sem'!IP6*$ZF$4</f>
        <v>12197.025336000001</v>
      </c>
      <c r="ZE7" s="985">
        <v>12182.4</v>
      </c>
      <c r="ZF7" s="986">
        <f>ZE7/ZC7</f>
        <v>1.3126412185117065</v>
      </c>
      <c r="ZG7" s="578">
        <v>20674.21</v>
      </c>
      <c r="ZH7" s="578">
        <f>'Proy 2021 vs 2019 Sem'!IP6*$ZJ$4</f>
        <v>12197.025336000001</v>
      </c>
      <c r="ZI7" s="985">
        <v>8377.9599999999991</v>
      </c>
      <c r="ZJ7" s="986">
        <f>ZI7/ZG7</f>
        <v>0.40523724969418418</v>
      </c>
      <c r="ZK7" s="578">
        <v>19124.63</v>
      </c>
      <c r="ZL7" s="578">
        <f>'Proy 2021 vs 2019 Sem'!IP6*$ZN$4</f>
        <v>12197.025336000001</v>
      </c>
      <c r="ZM7" s="985">
        <v>15585.37</v>
      </c>
      <c r="ZN7" s="986">
        <f>ZM7/ZK7</f>
        <v>0.81493707329239828</v>
      </c>
      <c r="ZO7" s="578">
        <v>22632.42</v>
      </c>
      <c r="ZP7" s="578">
        <f>'Proy 2021 vs 2019 Sem'!IP6*$ZR$4</f>
        <v>14229.862892000001</v>
      </c>
      <c r="ZQ7" s="985">
        <v>15371.77</v>
      </c>
      <c r="ZR7" s="986">
        <f>ZQ7/ZO7</f>
        <v>0.67919250349719573</v>
      </c>
      <c r="ZS7" s="578">
        <v>13344.71</v>
      </c>
      <c r="ZT7" s="578">
        <f>'Proy 2021 vs 2019 Sem'!IP6*$ZV$4</f>
        <v>16262.700448000001</v>
      </c>
      <c r="ZU7" s="985">
        <v>22981.08</v>
      </c>
      <c r="ZV7" s="986">
        <f>ZU7/ZS7</f>
        <v>1.7221116082702437</v>
      </c>
      <c r="ZW7" s="578">
        <v>21592.1</v>
      </c>
      <c r="ZX7" s="578">
        <f>'Proy 2021 vs 2019 Sem'!IP6*$ZZ$4</f>
        <v>22361.213115999999</v>
      </c>
      <c r="ZY7" s="985">
        <v>32315.18</v>
      </c>
      <c r="ZZ7" s="986">
        <f>ZY7/ZW7</f>
        <v>1.4966205232469283</v>
      </c>
      <c r="AAA7" s="577">
        <f>YY7+ZC7+ZG7+ZK7+ZO7+ZS7+ZW7</f>
        <v>117244.26000000001</v>
      </c>
      <c r="AAB7" s="578">
        <f>YZ7+ZD7+ZH7+ZL7+ZP7+ZT7+ZX7</f>
        <v>101641.8778</v>
      </c>
      <c r="AAC7" s="789">
        <f>ZA7+ZE7+ZI7+ZM7+ZQ7+ZU7+ZY7</f>
        <v>115644.41</v>
      </c>
      <c r="AAD7" s="790">
        <f>AAC7/AAA7</f>
        <v>0.98635455586482434</v>
      </c>
      <c r="AAE7" s="578">
        <v>7714.88</v>
      </c>
      <c r="AAF7" s="578">
        <f>'Proy 2021 vs 2019 Sem'!IY6*$AAH$4</f>
        <v>8072.2878959999989</v>
      </c>
      <c r="AAG7" s="985">
        <v>14721.31</v>
      </c>
      <c r="AAH7" s="986">
        <f>AAG7/AAE7</f>
        <v>1.9081709631258035</v>
      </c>
      <c r="AAI7" s="578">
        <v>7175.36</v>
      </c>
      <c r="AAJ7" s="578">
        <f>'Proy 2021 vs 2019 Sem'!IY6*$AAL$4</f>
        <v>8072.2878959999989</v>
      </c>
      <c r="AAK7" s="985">
        <v>9545.06</v>
      </c>
      <c r="AAL7" s="986">
        <f>AAK7/AAI7</f>
        <v>1.3302552067073987</v>
      </c>
      <c r="AAM7" s="578">
        <v>12369.82</v>
      </c>
      <c r="AAN7" s="578">
        <f>'Proy 2021 vs 2019 Sem'!IY6*$AAP$4</f>
        <v>8072.2878959999989</v>
      </c>
      <c r="AAO7" s="985">
        <v>8757.09</v>
      </c>
      <c r="AAP7" s="986">
        <f>AAO7/AAM7</f>
        <v>0.70793997002381603</v>
      </c>
      <c r="AAQ7" s="578">
        <v>6260.18</v>
      </c>
      <c r="AAR7" s="578">
        <f>'Proy 2021 vs 2019 Sem'!IY6*$AAT$4</f>
        <v>8072.2878959999989</v>
      </c>
      <c r="AAS7" s="985">
        <v>7768.94</v>
      </c>
      <c r="AAT7" s="986">
        <f>AAS7/AAQ7</f>
        <v>1.2410090444683699</v>
      </c>
      <c r="AAU7" s="578">
        <v>9334.11</v>
      </c>
      <c r="AAV7" s="578">
        <f>'Proy 2021 vs 2019 Sem'!IY6*$AAX$4</f>
        <v>9417.6692120000007</v>
      </c>
      <c r="AAW7" s="985">
        <v>6037.07</v>
      </c>
      <c r="AAX7" s="986">
        <f>AAW7/AAU7</f>
        <v>0.6467751076428282</v>
      </c>
      <c r="AAY7" s="578">
        <v>10901.01</v>
      </c>
      <c r="AAZ7" s="578">
        <f>'Proy 2021 vs 2019 Sem'!IY6*$ABB$4</f>
        <v>10763.050528</v>
      </c>
      <c r="ABA7" s="985">
        <v>12387.13</v>
      </c>
      <c r="ABB7" s="986">
        <f>ABA7/AAY7</f>
        <v>1.1363286521157212</v>
      </c>
      <c r="ABC7" s="578">
        <v>18755.400000000001</v>
      </c>
      <c r="ABD7" s="578">
        <f>'Proy 2021 vs 2019 Sem'!IY6*$ABF$4</f>
        <v>14799.194475999999</v>
      </c>
      <c r="ABE7" s="985">
        <v>65017.88</v>
      </c>
      <c r="ABF7" s="986">
        <f>ABE7/ABC7</f>
        <v>3.4666218795653516</v>
      </c>
      <c r="ABG7" s="577">
        <f>AAE7+AAI7+AAM7+AAQ7+AAU7+AAY7+ABC7</f>
        <v>72510.760000000009</v>
      </c>
      <c r="ABH7" s="578">
        <f>AAF7+AAJ7+AAN7+AAR7+AAV7+AAZ7+ABD7</f>
        <v>67269.065799999997</v>
      </c>
      <c r="ABI7" s="767">
        <f>AAG7+AAK7+AAO7+AAS7+AAW7+ABA7+ABE7</f>
        <v>124234.48</v>
      </c>
      <c r="ABJ7" s="763">
        <f>ABI7/ABG7</f>
        <v>1.7133247534572797</v>
      </c>
      <c r="ABK7" s="578">
        <v>9876.42</v>
      </c>
      <c r="ABL7" s="578">
        <f>'Proy 2021 vs 2019 Sem'!JD6*$ABN$4</f>
        <v>8897.6468399999994</v>
      </c>
      <c r="ABM7" s="985">
        <v>8224.6200000000008</v>
      </c>
      <c r="ABN7" s="986">
        <f>ABM7/ABK7</f>
        <v>0.83275316359571594</v>
      </c>
      <c r="ABO7" s="578">
        <v>8242.01</v>
      </c>
      <c r="ABP7" s="578">
        <f>'Proy 2021 vs 2019 Sem'!JD6*$ABR$4</f>
        <v>8897.6468399999994</v>
      </c>
      <c r="ABQ7" s="985">
        <v>11903.81</v>
      </c>
      <c r="ABR7" s="986">
        <f>ABQ7/ABO7</f>
        <v>1.4442848285794363</v>
      </c>
      <c r="ABS7" s="578">
        <v>10135.36</v>
      </c>
      <c r="ABT7" s="578">
        <f>'Proy 2021 vs 2019 Sem'!JD6*$ABV$4</f>
        <v>8897.6468399999994</v>
      </c>
      <c r="ABU7" s="985">
        <v>7255.82</v>
      </c>
      <c r="ABV7" s="986">
        <f>ABU7/ABS7</f>
        <v>0.71589169008303599</v>
      </c>
      <c r="ABW7" s="578">
        <v>10283.68</v>
      </c>
      <c r="ABX7" s="578">
        <f>'Proy 2021 vs 2019 Sem'!JD6*$ABZ$4</f>
        <v>8897.6468399999994</v>
      </c>
      <c r="ABY7" s="985">
        <v>9343.2800000000007</v>
      </c>
      <c r="ABZ7" s="986">
        <f>ABY7/ABW7</f>
        <v>0.90855413626250525</v>
      </c>
      <c r="ACA7" s="578">
        <v>9368.11</v>
      </c>
      <c r="ACB7" s="578">
        <f>'Proy 2021 vs 2019 Sem'!JD6*$ACD$4</f>
        <v>10380.58798</v>
      </c>
      <c r="ACC7" s="985">
        <v>8658.99</v>
      </c>
      <c r="ACD7" s="986">
        <f>ACC7/ACA7</f>
        <v>0.92430490248299813</v>
      </c>
      <c r="ACE7" s="578">
        <v>12738.58</v>
      </c>
      <c r="ACF7" s="578">
        <f>'Proy 2021 vs 2019 Sem'!JD6*$ACH$4</f>
        <v>11863.529120000001</v>
      </c>
      <c r="ACG7" s="985">
        <v>13672.44</v>
      </c>
      <c r="ACH7" s="986">
        <f>ACG7/ACE7</f>
        <v>1.0733095839567677</v>
      </c>
      <c r="ACI7" s="578">
        <v>20252.23</v>
      </c>
      <c r="ACJ7" s="578">
        <f>'Proy 2021 vs 2019 Sem'!JD6*$ACL$4</f>
        <v>16312.35254</v>
      </c>
      <c r="ACK7" s="985">
        <v>23200.95</v>
      </c>
      <c r="ACL7" s="986">
        <f>ACK7/ACI7</f>
        <v>1.1455997685193187</v>
      </c>
      <c r="ACM7" s="577">
        <f>ABK7+ABO7+ABS7+ABW7+ACA7+ACE7+ACI7</f>
        <v>80896.39</v>
      </c>
      <c r="ACN7" s="578">
        <f>ABL7+ABP7+ABT7+ABX7+ACB7+ACF7+ACJ7</f>
        <v>74147.057000000001</v>
      </c>
      <c r="ACO7" s="767">
        <f>ABM7+ABQ7+ABU7+ABY7+ACC7+ACG7+ACK7</f>
        <v>82259.91</v>
      </c>
      <c r="ACP7" s="763">
        <f>ACO7/ACM7</f>
        <v>1.0168551402602761</v>
      </c>
      <c r="ACQ7" s="578">
        <v>9085.82</v>
      </c>
      <c r="ACR7" s="578">
        <f>'Proy 2021 vs 2019 Sem'!JI6*$ACT$4</f>
        <v>10743.064560000001</v>
      </c>
      <c r="ACS7" s="985">
        <v>11276.02</v>
      </c>
      <c r="ACT7" s="986">
        <f>ACS7/ACQ7</f>
        <v>1.2410569436770704</v>
      </c>
      <c r="ACU7" s="578">
        <v>12780.71</v>
      </c>
      <c r="ACV7" s="578">
        <f>'Proy 2021 vs 2019 Sem'!JI6*$ACX$4</f>
        <v>10743.064560000001</v>
      </c>
      <c r="ACW7" s="985">
        <v>13882.51</v>
      </c>
      <c r="ACX7" s="986">
        <f>ACW7/ACU7</f>
        <v>1.0862080432151267</v>
      </c>
      <c r="ACY7" s="578">
        <v>14677.32</v>
      </c>
      <c r="ACZ7" s="578">
        <f>'Proy 2021 vs 2019 Sem'!JI6*$ADB$4</f>
        <v>10743.064560000001</v>
      </c>
      <c r="ADA7" s="985">
        <v>14503.72</v>
      </c>
      <c r="ADB7" s="986">
        <f>ADA7/ACY7</f>
        <v>0.98817222762738699</v>
      </c>
      <c r="ADC7" s="578">
        <v>11715.91</v>
      </c>
      <c r="ADD7" s="578">
        <f>'Proy 2021 vs 2019 Sem'!JI6*$ADF$4</f>
        <v>10743.064560000001</v>
      </c>
      <c r="ADE7" s="985">
        <v>11676.3</v>
      </c>
      <c r="ADF7" s="986">
        <f>ADE7/ADC7</f>
        <v>0.99661912732344304</v>
      </c>
      <c r="ADG7" s="578">
        <v>13113.58</v>
      </c>
      <c r="ADH7" s="578">
        <f>'Proy 2021 vs 2019 Sem'!JI6*$ADJ$4</f>
        <v>12533.575320000004</v>
      </c>
      <c r="ADI7" s="985">
        <v>10951.16</v>
      </c>
      <c r="ADJ7" s="986">
        <f>ADI7/ADG7</f>
        <v>0.83510071239127681</v>
      </c>
      <c r="ADK7" s="578">
        <v>11799.83</v>
      </c>
      <c r="ADL7" s="578">
        <f>'Proy 2021 vs 2019 Sem'!JI6*$ADN$4</f>
        <v>14324.086080000003</v>
      </c>
      <c r="ADM7" s="985">
        <v>15648.9</v>
      </c>
      <c r="ADN7" s="986">
        <f>ADM7/ADK7</f>
        <v>1.3261970723307031</v>
      </c>
      <c r="ADO7" s="578">
        <v>19927.349999999999</v>
      </c>
      <c r="ADP7" s="578">
        <f>'Proy 2021 vs 2019 Sem'!JI6*$ADR$4</f>
        <v>19695.618360000004</v>
      </c>
      <c r="ADQ7" s="985">
        <v>20739.12</v>
      </c>
      <c r="ADR7" s="986">
        <f>ADQ7/ADO7</f>
        <v>1.0407364752463324</v>
      </c>
      <c r="ADS7" s="577">
        <f>ACQ7+ACU7+ACY7+ADC7+ADG7+ADK7+ADO7</f>
        <v>93100.51999999999</v>
      </c>
      <c r="ADT7" s="578">
        <f>ACR7+ACV7+ACZ7+ADD7+ADH7+ADL7+ADP7</f>
        <v>89525.538000000015</v>
      </c>
      <c r="ADU7" s="767">
        <f>ACS7+ACW7+ADA7+ADE7+ADI7+ADM7+ADQ7</f>
        <v>98677.73</v>
      </c>
      <c r="ADV7" s="763">
        <f>ADU7/ADS7</f>
        <v>1.05990525079774</v>
      </c>
      <c r="ADW7" s="578">
        <v>9598.07</v>
      </c>
      <c r="ADX7" s="578">
        <f>'Proy 2021 vs 2019 Sem'!JN6*$ADZ$4</f>
        <v>13038.291359999999</v>
      </c>
      <c r="ADY7" s="985">
        <v>12025.6</v>
      </c>
      <c r="ADZ7" s="986">
        <f>ADY7/ADW7</f>
        <v>1.2529185555012623</v>
      </c>
      <c r="AEA7" s="578">
        <v>12434.56</v>
      </c>
      <c r="AEB7" s="578">
        <f>'Proy 2021 vs 2019 Sem'!JN6*$AED$4</f>
        <v>13038.291359999999</v>
      </c>
      <c r="AEC7" s="985">
        <v>14316</v>
      </c>
      <c r="AED7" s="986">
        <f>AEC7/AEA7</f>
        <v>1.1513073241031448</v>
      </c>
      <c r="AEE7" s="578">
        <v>17029.13</v>
      </c>
      <c r="AEF7" s="578">
        <f>'Proy 2021 vs 2019 Sem'!JN6*$AEH$4</f>
        <v>13038.291359999999</v>
      </c>
      <c r="AEG7" s="985">
        <v>31531</v>
      </c>
      <c r="AEH7" s="986">
        <f>AEG7/AEE7</f>
        <v>1.851591948619806</v>
      </c>
      <c r="AEI7" s="578">
        <v>16729.150000000001</v>
      </c>
      <c r="AEJ7" s="578">
        <f>'Proy 2021 vs 2019 Sem'!JN6*$AEL$4</f>
        <v>13038.291359999999</v>
      </c>
      <c r="AEK7" s="985">
        <v>10585</v>
      </c>
      <c r="AEL7" s="986">
        <f>AEK7/AEI7</f>
        <v>0.63272790309131066</v>
      </c>
      <c r="AEM7" s="578">
        <v>17187.87</v>
      </c>
      <c r="AEN7" s="578">
        <f>'Proy 2021 vs 2019 Sem'!JN6*$AEP$4</f>
        <v>15211.339920000002</v>
      </c>
      <c r="AEO7" s="985">
        <v>12306</v>
      </c>
      <c r="AEP7" s="986">
        <f>AEO7/AEM7</f>
        <v>0.71597004166310318</v>
      </c>
      <c r="AEQ7" s="578">
        <v>21067.200000000001</v>
      </c>
      <c r="AER7" s="578">
        <f>'Proy 2021 vs 2019 Sem'!JN6*$AET$4</f>
        <v>17384.388480000001</v>
      </c>
      <c r="AES7" s="985">
        <v>11466</v>
      </c>
      <c r="AET7" s="986">
        <f>AES7/AEQ7</f>
        <v>0.54425837320574166</v>
      </c>
      <c r="AEU7" s="578">
        <v>23940.560000000001</v>
      </c>
      <c r="AEV7" s="578">
        <f>'Proy 2021 vs 2019 Sem'!JN6*$AEX$4</f>
        <v>23903.534159999999</v>
      </c>
      <c r="AEW7" s="985">
        <v>31565</v>
      </c>
      <c r="AEX7" s="986">
        <f>AEW7/AEU7</f>
        <v>1.3184737533290782</v>
      </c>
      <c r="AEY7" s="577">
        <f>ADW7+AEA7+AEE7+AEI7+AEM7+AEQ7+AEU7</f>
        <v>117986.54</v>
      </c>
      <c r="AEZ7" s="578">
        <f>ADX7+AEB7+AEF7+AEJ7+AEN7+AER7+AEV7</f>
        <v>108652.428</v>
      </c>
      <c r="AFA7" s="772">
        <f>ADY7+AEC7+AEG7+AEK7+AEO7+AES7+AEW7</f>
        <v>123794.6</v>
      </c>
      <c r="AFB7" s="763">
        <f>AFA7/AEY7</f>
        <v>1.0492264626117522</v>
      </c>
      <c r="AFC7" s="578">
        <v>15457.02</v>
      </c>
      <c r="AFD7" s="578">
        <f>'Proy 2021 vs 2019 Sem'!JX6*$AFF$4</f>
        <v>22597.252019999996</v>
      </c>
      <c r="AFE7" s="985">
        <v>11464</v>
      </c>
      <c r="AFF7" s="986">
        <f>AFE7/AFC7</f>
        <v>0.74166948092193707</v>
      </c>
      <c r="AFG7" s="578">
        <v>19880.86</v>
      </c>
      <c r="AFH7" s="578">
        <f>'Proy 2021 vs 2019 Sem'!JX6*$AFJ$4</f>
        <v>22597.252019999996</v>
      </c>
      <c r="AFI7" s="985">
        <v>14506.55</v>
      </c>
      <c r="AFJ7" s="986">
        <f>AFI7/AFG7</f>
        <v>0.72967416902488114</v>
      </c>
      <c r="AFK7" s="578">
        <v>19247.73</v>
      </c>
      <c r="AFL7" s="578">
        <f>'Proy 2021 vs 2019 Sem'!JX6*$AFN$4</f>
        <v>22597.252019999996</v>
      </c>
      <c r="AFM7" s="985">
        <v>16534.2</v>
      </c>
      <c r="AFN7" s="986">
        <f>AFM7/AFK7</f>
        <v>0.85902077803460464</v>
      </c>
      <c r="AFO7" s="578">
        <v>26728.45</v>
      </c>
      <c r="AFP7" s="578">
        <f>'Proy 2021 vs 2019 Sem'!JX6*$AFR$4</f>
        <v>22597.252019999996</v>
      </c>
      <c r="AFQ7" s="985">
        <v>18177.75</v>
      </c>
      <c r="AFR7" s="986">
        <f>AFQ7/AFO7</f>
        <v>0.68008994161651726</v>
      </c>
      <c r="AFS7" s="578">
        <v>31183.43</v>
      </c>
      <c r="AFT7" s="578">
        <f>'Proy 2021 vs 2019 Sem'!JX6*$AFV$4</f>
        <v>26363.46069</v>
      </c>
      <c r="AFU7" s="985">
        <v>18180.21</v>
      </c>
      <c r="AFV7" s="986">
        <f>AFU7/AFS7</f>
        <v>0.58300866838574206</v>
      </c>
      <c r="AFW7" s="578">
        <v>27333.03</v>
      </c>
      <c r="AFX7" s="578">
        <f>'Proy 2021 vs 2019 Sem'!JX6*$AFZ$4</f>
        <v>30129.66936</v>
      </c>
      <c r="AFY7" s="985">
        <v>19177.78</v>
      </c>
      <c r="AFZ7" s="986">
        <f>AFY7/AFW7</f>
        <v>0.70163388398578563</v>
      </c>
      <c r="AGA7" s="578">
        <v>38913.68</v>
      </c>
      <c r="AGB7" s="578">
        <f>'Proy 2021 vs 2019 Sem'!JX6*$AGD$4</f>
        <v>41428.29537</v>
      </c>
      <c r="AGC7" s="985">
        <v>36207.81</v>
      </c>
      <c r="AGD7" s="986">
        <f>AGC7/AGA7</f>
        <v>0.93046481340238185</v>
      </c>
      <c r="AGE7" s="577">
        <f>AFC7+AFG7+AFK7+AFO7+AFS7+AFW7+AGA7</f>
        <v>178744.19999999998</v>
      </c>
      <c r="AGF7" s="578">
        <f>AFD7+AFH7+AFL7+AFP7+AFT7+AFX7+AGB7</f>
        <v>188310.43349999998</v>
      </c>
      <c r="AGG7" s="732">
        <f>AFE7+AFI7+AFM7+AFQ7+AFU7+AFY7+AGC7</f>
        <v>134248.29999999999</v>
      </c>
      <c r="AGH7" s="715">
        <f>AGG7/AGE7</f>
        <v>0.75106381074183104</v>
      </c>
      <c r="AGI7" s="578">
        <v>23047.3</v>
      </c>
      <c r="AGJ7" s="578">
        <f>'Proy 2021 vs 2019 Sem'!KC6*$AGL$4</f>
        <v>29424.06306</v>
      </c>
      <c r="AGK7" s="985">
        <v>15984.01</v>
      </c>
      <c r="AGL7" s="986">
        <f>AGK7/AGI7</f>
        <v>0.69353069556954616</v>
      </c>
      <c r="AGM7" s="578">
        <v>16028.25</v>
      </c>
      <c r="AGN7" s="578">
        <f>'Proy 2021 vs 2019 Sem'!KC6*$AGP$4</f>
        <v>29424.06306</v>
      </c>
      <c r="AGO7" s="985">
        <v>26290.68</v>
      </c>
      <c r="AGP7" s="986">
        <f>AGO7/AGM7</f>
        <v>1.640271395816761</v>
      </c>
      <c r="AGQ7" s="578">
        <v>17774.689999999999</v>
      </c>
      <c r="AGR7" s="578">
        <f>'Proy 2021 vs 2019 Sem'!KC6*$AGT$4</f>
        <v>29424.06306</v>
      </c>
      <c r="AGS7" s="985">
        <v>15416.36</v>
      </c>
      <c r="AGT7" s="986">
        <f>AGS7/AGQ7</f>
        <v>0.86732089279756786</v>
      </c>
      <c r="AGU7" s="578">
        <v>30531.32</v>
      </c>
      <c r="AGV7" s="578">
        <f>'Proy 2021 vs 2019 Sem'!KC6*$AGX$4</f>
        <v>29424.06306</v>
      </c>
      <c r="AGW7" s="985">
        <v>17420.939999999999</v>
      </c>
      <c r="AGX7" s="986">
        <f>AGW7/AGU7</f>
        <v>0.57059242771029872</v>
      </c>
      <c r="AGY7" s="578">
        <v>25121.86</v>
      </c>
      <c r="AGZ7" s="578">
        <f>'Proy 2021 vs 2019 Sem'!KC6*$AHB$4</f>
        <v>34328.073570000008</v>
      </c>
      <c r="AHA7" s="985">
        <v>21883.38</v>
      </c>
      <c r="AHB7" s="986">
        <f>AHA7/AGY7</f>
        <v>0.871089162983951</v>
      </c>
      <c r="AHC7" s="578">
        <v>34861.9</v>
      </c>
      <c r="AHD7" s="578">
        <f>'Proy 2021 vs 2019 Sem'!KC6*$AHF$4</f>
        <v>39232.084080000001</v>
      </c>
      <c r="AHE7" s="985">
        <v>20798.86</v>
      </c>
      <c r="AHF7" s="986">
        <f>AHE7/AHC7</f>
        <v>0.59660718434738214</v>
      </c>
      <c r="AHG7" s="578">
        <v>46103.65</v>
      </c>
      <c r="AHH7" s="578">
        <f>'Proy 2021 vs 2019 Sem'!KC6*$AHJ$4</f>
        <v>53944.115610000001</v>
      </c>
      <c r="AHI7" s="985">
        <v>35466.25</v>
      </c>
      <c r="AHJ7" s="986">
        <f>AHI7/AHG7</f>
        <v>0.76927206414242688</v>
      </c>
      <c r="AHK7" s="577">
        <f>AGI7+AGM7+AGQ7+AGU7+AGY7+AHC7+AHG7</f>
        <v>193468.97</v>
      </c>
      <c r="AHL7" s="578">
        <f>AGJ7+AGN7+AGR7+AGV7+AGZ7+AHD7+AHH7</f>
        <v>245200.52550000002</v>
      </c>
      <c r="AHM7" s="732">
        <f>AGK7+AGO7+AGS7+AGW7+AHA7+AHE7+AHI7</f>
        <v>153260.48000000001</v>
      </c>
      <c r="AHN7" s="715">
        <f>AHM7/AHK7</f>
        <v>0.79217085820015487</v>
      </c>
      <c r="AHO7" s="578">
        <v>32124.82</v>
      </c>
      <c r="AHP7" s="578">
        <f>'Proy 2021 vs 2019 Sem'!KH6*$AHR$4</f>
        <v>33025.147152000005</v>
      </c>
      <c r="AHQ7" s="985">
        <v>13757.87</v>
      </c>
      <c r="AHR7" s="986">
        <f>AHQ7/AHO7</f>
        <v>0.42826294435268436</v>
      </c>
      <c r="AHS7" s="578">
        <v>25724.29</v>
      </c>
      <c r="AHT7" s="578">
        <f>'Proy 2021 vs 2019 Sem'!KH6*$AHV$4</f>
        <v>33025.147152000005</v>
      </c>
      <c r="AHU7" s="985">
        <v>24723.93</v>
      </c>
      <c r="AHV7" s="986">
        <f>AHU7/AHS7</f>
        <v>0.96111224060994493</v>
      </c>
      <c r="AHW7" s="578">
        <v>39017.449999999997</v>
      </c>
      <c r="AHX7" s="578">
        <f>'Proy 2021 vs 2019 Sem'!KH6*$AHZ$4</f>
        <v>33025.147152000005</v>
      </c>
      <c r="AHY7" s="985">
        <v>29173.25</v>
      </c>
      <c r="AHZ7" s="986">
        <f>AHY7/AHW7</f>
        <v>0.74769750457807982</v>
      </c>
      <c r="AIA7" s="578">
        <v>31006.37</v>
      </c>
      <c r="AIB7" s="578">
        <f>'Proy 2021 vs 2019 Sem'!KH6*$AID$4</f>
        <v>33025.147152000005</v>
      </c>
      <c r="AIC7" s="985">
        <v>27100.639999999999</v>
      </c>
      <c r="AID7" s="986">
        <f>AIC7/AIA7</f>
        <v>0.87403459353674751</v>
      </c>
      <c r="AIE7" s="578">
        <v>27398.2</v>
      </c>
      <c r="AIF7" s="578">
        <f>'Proy 2021 vs 2019 Sem'!KH6*$AIH$4</f>
        <v>38529.338344000011</v>
      </c>
      <c r="AIG7" s="985">
        <v>27097.83</v>
      </c>
      <c r="AIH7" s="986">
        <f>AIG7/AIE7</f>
        <v>0.98903687103532356</v>
      </c>
      <c r="AII7" s="578">
        <v>37948.57</v>
      </c>
      <c r="AIJ7" s="578">
        <f>'Proy 2021 vs 2019 Sem'!KH6*$AIL$4</f>
        <v>44033.529536000009</v>
      </c>
      <c r="AIK7" s="985">
        <v>25672.61</v>
      </c>
      <c r="AIL7" s="986">
        <f>AIK7/AII7</f>
        <v>0.67651060369336713</v>
      </c>
      <c r="AIM7" s="578">
        <v>37874.33</v>
      </c>
      <c r="AIN7" s="578">
        <f>'Proy 2021 vs 2019 Sem'!KH6*$AIP$4</f>
        <v>60546.103112000012</v>
      </c>
      <c r="AIO7" s="985">
        <v>36047.86</v>
      </c>
      <c r="AIP7" s="986">
        <f>AIO7/AIM7</f>
        <v>0.95177551655699255</v>
      </c>
      <c r="AIQ7" s="577">
        <f>AHO7+AHS7+AHW7+AIA7+AIE7+AII7+AIM7</f>
        <v>231094.03000000003</v>
      </c>
      <c r="AIR7" s="578">
        <f>AHP7+AHT7+AHX7+AIB7+AIF7+AIJ7+AIN7</f>
        <v>275209.55960000004</v>
      </c>
      <c r="AIS7" s="732">
        <f>AHQ7+AHU7+AHY7+AIC7+AIG7+AIK7+AIO7</f>
        <v>183573.99</v>
      </c>
      <c r="AIT7" s="715">
        <f>AIS7/AIQ7</f>
        <v>0.7943692444153575</v>
      </c>
      <c r="AIU7" s="578">
        <f>'Proy 2021 vs 2019 Sem'!KL6*$AIX$4</f>
        <v>29376.207600000002</v>
      </c>
      <c r="AIV7" s="578">
        <f>'Proy 2021 vs 2019 Sem'!KM6*$AIX$4</f>
        <v>52289.649528000002</v>
      </c>
      <c r="AIW7" s="985">
        <v>26304.92</v>
      </c>
      <c r="AIX7" s="986">
        <f>AIW7/AIU7</f>
        <v>0.89544982654602412</v>
      </c>
      <c r="AIY7" s="578">
        <f>'Proy 2021 vs 2019 Sem'!KL6*$AJB$4</f>
        <v>29376.207600000002</v>
      </c>
      <c r="AIZ7" s="578">
        <f>'Proy 2021 vs 2019 Sem'!KM6*$AJB$4</f>
        <v>52289.649528000002</v>
      </c>
      <c r="AJA7" s="985">
        <v>27060.51</v>
      </c>
      <c r="AJB7" s="986">
        <f>AJA7/AIY7</f>
        <v>0.92117098192075675</v>
      </c>
      <c r="AJC7" s="578">
        <f>'Proy 2021 vs 2019 Sem'!KL6*$AJF$4</f>
        <v>29376.207600000002</v>
      </c>
      <c r="AJD7" s="578">
        <f>'Proy 2021 vs 2019 Sem'!KM6*$AJF$4</f>
        <v>52289.649528000002</v>
      </c>
      <c r="AJE7" s="985">
        <v>44522.28</v>
      </c>
      <c r="AJF7" s="986">
        <f>AJE7/AJC7</f>
        <v>1.5155897795330122</v>
      </c>
      <c r="AJG7" s="578">
        <f>'Proy 2021 vs 2019 Sem'!KL6*$AJJ$4</f>
        <v>29376.207600000002</v>
      </c>
      <c r="AJH7" s="578">
        <f>'Proy 2021 vs 2019 Sem'!KM6*$AJJ$4</f>
        <v>52289.649528000002</v>
      </c>
      <c r="AJI7" s="985">
        <v>45760.98</v>
      </c>
      <c r="AJJ7" s="986">
        <f>AJI7/AJG7</f>
        <v>1.5577565567040723</v>
      </c>
      <c r="AJK7" s="578">
        <f>'Proy 2021 vs 2019 Sem'!KL6*$AJN$4</f>
        <v>34272.242200000008</v>
      </c>
      <c r="AJL7" s="578">
        <f>'Proy 2021 vs 2019 Sem'!KM6*$AJN$4</f>
        <v>61004.591116000011</v>
      </c>
      <c r="AJM7" s="985">
        <v>69813.75</v>
      </c>
      <c r="AJN7" s="986">
        <f>AJM7/AJK7</f>
        <v>2.0370347989662605</v>
      </c>
      <c r="AJO7" s="578">
        <f>'Proy 2021 vs 2019 Sem'!KL6*$AJR$4</f>
        <v>39168.2768</v>
      </c>
      <c r="AJP7" s="578">
        <f>'Proy 2021 vs 2019 Sem'!KM6*$AJR$4</f>
        <v>69719.532704000012</v>
      </c>
      <c r="AJQ7" s="985">
        <v>78060.38</v>
      </c>
      <c r="AJR7" s="986">
        <f>AJQ7/AJO7</f>
        <v>1.9929490490120312</v>
      </c>
      <c r="AJS7" s="578">
        <f>'Proy 2021 vs 2019 Sem'!KL6*$AJV$4</f>
        <v>53856.380600000004</v>
      </c>
      <c r="AJT7" s="578">
        <f>'Proy 2021 vs 2019 Sem'!KM6*$AJV$4</f>
        <v>95864.357468000017</v>
      </c>
      <c r="AJU7" s="987">
        <v>0</v>
      </c>
      <c r="AJV7" s="986">
        <f>AJU7/AJS7</f>
        <v>0</v>
      </c>
      <c r="AJW7" s="577">
        <f>AIU7+AIY7+AJC7+AJG7+AJK7+AJO7+AJS7</f>
        <v>244801.73</v>
      </c>
      <c r="AJX7" s="578">
        <f>AIV7+AIZ7+AJD7+AJH7+AJL7+AJP7+AJT7</f>
        <v>435747.07940000005</v>
      </c>
      <c r="AJY7" s="714">
        <f>AIW7+AJA7+AJE7+AJI7+AJM7+AJQ7+AJU7</f>
        <v>291522.82</v>
      </c>
      <c r="AJZ7" s="715">
        <f>AJY7/AJW7</f>
        <v>1.1908527770616653</v>
      </c>
      <c r="AKA7" s="578">
        <f>'Proy 2021 vs 2019 Sem'!KQ6*$AKD$4</f>
        <v>7880.174399999999</v>
      </c>
      <c r="AKB7" s="578">
        <f>'Proy 2021 vs 2019 Sem'!KR6*$AKD$4</f>
        <v>8274.1831199999997</v>
      </c>
      <c r="AKC7" s="985">
        <v>5848.94</v>
      </c>
      <c r="AKD7" s="986">
        <f>AKC7/AKA7</f>
        <v>0.74223484190908262</v>
      </c>
      <c r="AKE7" s="578">
        <f>'Proy 2021 vs 2019 Sem'!KQ6*$AKH$4</f>
        <v>7880.174399999999</v>
      </c>
      <c r="AKF7" s="578">
        <f>'Proy 2021 vs 2019 Sem'!KR6*$AKH$4</f>
        <v>8274.1831199999997</v>
      </c>
      <c r="AKG7" s="985">
        <v>12074.99</v>
      </c>
      <c r="AKH7" s="986">
        <f>AKG7/AKE7</f>
        <v>1.5323252236651008</v>
      </c>
      <c r="AKI7" s="578">
        <f>'Proy 2021 vs 2019 Sem'!KQ6*$AKL$4</f>
        <v>7880.174399999999</v>
      </c>
      <c r="AKJ7" s="578">
        <f>'Proy 2021 vs 2019 Sem'!KR6*$AKL$4</f>
        <v>8274.1831199999997</v>
      </c>
      <c r="AKK7" s="985">
        <v>12394.4</v>
      </c>
      <c r="AKL7" s="986">
        <f>AKK7/AKI7</f>
        <v>1.572858590540839</v>
      </c>
      <c r="AKM7" s="578">
        <f>'Proy 2021 vs 2019 Sem'!KQ6*$AKP$4</f>
        <v>7880.174399999999</v>
      </c>
      <c r="AKN7" s="578">
        <f>'Proy 2021 vs 2019 Sem'!KR6*$AKP$4</f>
        <v>8274.1831199999997</v>
      </c>
      <c r="AKO7" s="985">
        <v>9928.36</v>
      </c>
      <c r="AKP7" s="986">
        <f>AKO7/AKM7</f>
        <v>1.2599162779950659</v>
      </c>
      <c r="AKQ7" s="578">
        <f>'Proy 2021 vs 2019 Sem'!KQ6*$AKT$4</f>
        <v>9193.5367999999999</v>
      </c>
      <c r="AKR7" s="578">
        <f>'Proy 2021 vs 2019 Sem'!KR6*$AKT$4</f>
        <v>9653.2136399999999</v>
      </c>
      <c r="AKS7" s="985">
        <v>15403.26</v>
      </c>
      <c r="AKT7" s="986">
        <f>AKS7/AKQ7</f>
        <v>1.6754444274373275</v>
      </c>
      <c r="AKU7" s="578">
        <f>'Proy 2021 vs 2019 Sem'!KQ6*$AKX$4</f>
        <v>10506.8992</v>
      </c>
      <c r="AKV7" s="578">
        <f>'Proy 2021 vs 2019 Sem'!KR6*$AKX$4</f>
        <v>11032.24416</v>
      </c>
      <c r="AKW7" s="985">
        <v>12324.84</v>
      </c>
      <c r="AKX7" s="986">
        <f>AKW7/AKU7</f>
        <v>1.1730235310528152</v>
      </c>
      <c r="AKY7" s="578">
        <f>'Proy 2021 vs 2019 Sem'!KQ6*$ALB$4</f>
        <v>14446.9864</v>
      </c>
      <c r="AKZ7" s="578">
        <f>'Proy 2021 vs 2019 Sem'!KR6*$ALB$4</f>
        <v>15169.335719999999</v>
      </c>
      <c r="ALA7" s="987">
        <v>0</v>
      </c>
      <c r="ALB7" s="986">
        <f>ALA7/AKY7</f>
        <v>0</v>
      </c>
      <c r="ALC7" s="577">
        <f>AKA7+AKE7+AKI7+AKM7+AKQ7+AKU7+AKY7</f>
        <v>65668.12</v>
      </c>
      <c r="ALD7" s="578">
        <f>AKB7+AKF7+AKJ7+AKN7+AKR7+AKV7+AKZ7</f>
        <v>68951.525999999998</v>
      </c>
      <c r="ALE7" s="714">
        <f>AKC7+AKG7+AKK7+AKO7+AKS7+AKW7+ALA7</f>
        <v>67974.790000000008</v>
      </c>
      <c r="ALF7" s="715">
        <f>ALE7/ALC7</f>
        <v>1.035126176902887</v>
      </c>
    </row>
    <row r="8" spans="2:994" ht="15.75" customHeight="1">
      <c r="B8" s="570" t="s">
        <v>470</v>
      </c>
      <c r="C8" s="574">
        <f>'Proy 2021 vs 2019 Sem'!DX7*$F$4</f>
        <v>13429.9128</v>
      </c>
      <c r="D8" s="576">
        <f>'Proy 2021 vs 2019 Sem'!$DY$7*F4</f>
        <v>8362.2554922969339</v>
      </c>
      <c r="E8" s="735">
        <v>9521.0300000000007</v>
      </c>
      <c r="F8" s="700">
        <f t="shared" ref="F8:F36" si="580">E8/C8</f>
        <v>0.70894205657091092</v>
      </c>
      <c r="G8" s="574">
        <f>'Proy 2021 vs 2019 Sem'!DX7*$J$4</f>
        <v>13429.9128</v>
      </c>
      <c r="H8" s="574">
        <f>'Proy 2021 vs 2019 Sem'!$DY$7*J4</f>
        <v>8362.2554922969339</v>
      </c>
      <c r="I8" s="735">
        <v>11089.46</v>
      </c>
      <c r="J8" s="700">
        <f t="shared" ref="J8:J36" si="581">I8/G8</f>
        <v>0.8257283695840526</v>
      </c>
      <c r="K8" s="574">
        <f>'Proy 2021 vs 2019 Sem'!DX7*'Vtas Diarias 2021'!$N$4</f>
        <v>13429.9128</v>
      </c>
      <c r="L8" s="574">
        <f>'Proy 2021 vs 2019 Sem'!$DY$7*N4</f>
        <v>8362.2554922969339</v>
      </c>
      <c r="M8" s="735">
        <v>7928.65</v>
      </c>
      <c r="N8" s="700">
        <f t="shared" ref="N8:N36" si="582">M8/K8</f>
        <v>0.59037241105541649</v>
      </c>
      <c r="O8" s="574">
        <f>'Proy 2021 vs 2019 Sem'!DX7*$R$4</f>
        <v>13429.9128</v>
      </c>
      <c r="P8" s="574">
        <f>'Proy 2021 vs 2019 Sem'!$DY$7*R4</f>
        <v>8362.2554922969339</v>
      </c>
      <c r="Q8" s="735">
        <v>5944.42</v>
      </c>
      <c r="R8" s="700">
        <f t="shared" ref="R8:R36" si="583">Q8/O8</f>
        <v>0.44262536090331128</v>
      </c>
      <c r="S8" s="574">
        <f>'Proy 2021 vs 2019 Sem'!DX7*$V$4</f>
        <v>15668.231600000001</v>
      </c>
      <c r="T8" s="574">
        <f>'Proy 2021 vs 2019 Sem'!$DY$7*V4</f>
        <v>9755.964741013091</v>
      </c>
      <c r="U8" s="735">
        <v>8120.32</v>
      </c>
      <c r="V8" s="700">
        <f t="shared" ref="V8:V36" si="584">U8/S8</f>
        <v>0.51826652855961097</v>
      </c>
      <c r="W8" s="574">
        <f>'Proy 2021 vs 2019 Sem'!DX7*$Z$4</f>
        <v>17906.5504</v>
      </c>
      <c r="X8" s="574">
        <f>'Proy 2021 vs 2019 Sem'!$DY$7*Z4</f>
        <v>11149.673989729246</v>
      </c>
      <c r="Y8" s="735">
        <v>12171.53</v>
      </c>
      <c r="Z8" s="700">
        <f t="shared" ref="Z8:Z36" si="585">Y8/W8</f>
        <v>0.67972500163962346</v>
      </c>
      <c r="AA8" s="574">
        <f>'Proy 2021 vs 2019 Sem'!DX7*$AD$4</f>
        <v>24621.506799999999</v>
      </c>
      <c r="AB8" s="574">
        <f>'Proy 2021 vs 2019 Sem'!$DY$7*AD4</f>
        <v>15330.801735877712</v>
      </c>
      <c r="AC8" s="735">
        <v>15858.99</v>
      </c>
      <c r="AD8" s="700">
        <f t="shared" ref="AD8:AD36" si="586">AC8/AA8</f>
        <v>0.64411126942076513</v>
      </c>
      <c r="AE8" s="579">
        <f t="shared" ref="AE8:AE34" si="587">C8+G8+K8+O8+S8+W8+AA8</f>
        <v>111915.94</v>
      </c>
      <c r="AF8" s="574">
        <f t="shared" ref="AF8:AF35" si="588">D8+H8+L8+P8+T8+X8+AB8</f>
        <v>69685.462435807785</v>
      </c>
      <c r="AG8" s="729">
        <f t="shared" ref="AG8:AG35" si="589">E8+I8+M8+Q8+U8+Y8+AC8</f>
        <v>70634.399999999994</v>
      </c>
      <c r="AH8" s="711">
        <f t="shared" ref="AH8:AH36" si="590">AG8/AE8</f>
        <v>0.63113797730689647</v>
      </c>
      <c r="AI8" s="593">
        <f>'Proy 2021 vs 2019 Sem'!EC7*$AL$4</f>
        <v>13285.1124</v>
      </c>
      <c r="AJ8" s="611">
        <f>'Proy 2021 vs 2019 Sem'!ED7*$AL$4</f>
        <v>7971.0674400000007</v>
      </c>
      <c r="AK8" s="735">
        <v>6821.22</v>
      </c>
      <c r="AL8" s="700">
        <f t="shared" ref="AL8:AL34" si="591">AK8/AI8</f>
        <v>0.51344842216013165</v>
      </c>
      <c r="AM8" s="593">
        <f>'Proy 2021 vs 2019 Sem'!EC7*$AP$4</f>
        <v>13285.1124</v>
      </c>
      <c r="AN8" s="593">
        <f>'Proy 2021 vs 2019 Sem'!ED7*$AP$4</f>
        <v>7971.0674400000007</v>
      </c>
      <c r="AO8" s="735">
        <v>8716.25</v>
      </c>
      <c r="AP8" s="700">
        <f t="shared" ref="AP8:AP34" si="592">AO8/AM8</f>
        <v>0.65609155102067485</v>
      </c>
      <c r="AQ8" s="593">
        <f>'Proy 2021 vs 2019 Sem'!EC7*$AT$4</f>
        <v>13285.1124</v>
      </c>
      <c r="AR8" s="593">
        <f>'Proy 2021 vs 2019 Sem'!ED7*$AT$4</f>
        <v>7971.0674400000007</v>
      </c>
      <c r="AS8" s="735">
        <v>14023.84</v>
      </c>
      <c r="AT8" s="700">
        <f t="shared" ref="AT8:AT34" si="593">AS8/AQ8</f>
        <v>1.055605671804478</v>
      </c>
      <c r="AU8" s="593">
        <f>'Proy 2021 vs 2019 Sem'!EC7*$AX$4</f>
        <v>13285.1124</v>
      </c>
      <c r="AV8" s="593">
        <f>'Proy 2021 vs 2019 Sem'!ED7*$AX$4</f>
        <v>7971.0674400000007</v>
      </c>
      <c r="AW8" s="735">
        <v>9514.73</v>
      </c>
      <c r="AX8" s="700">
        <f t="shared" ref="AX8:AX34" si="594">AW8/AU8</f>
        <v>0.71619491905841903</v>
      </c>
      <c r="AY8" s="593">
        <f>'Proy 2021 vs 2019 Sem'!EC7*$BB$4</f>
        <v>15499.297800000002</v>
      </c>
      <c r="AZ8" s="593">
        <f>'Proy 2021 vs 2019 Sem'!ED7*$BB$4</f>
        <v>9299.5786800000024</v>
      </c>
      <c r="BA8" s="735">
        <v>12621.33</v>
      </c>
      <c r="BB8" s="700">
        <f t="shared" ref="BB8:BB34" si="595">BA8/AY8</f>
        <v>0.81431624599147956</v>
      </c>
      <c r="BC8" s="593">
        <f>'Proy 2021 vs 2019 Sem'!EC7*$BF$4</f>
        <v>17713.483200000002</v>
      </c>
      <c r="BD8" s="593">
        <f>'Proy 2021 vs 2019 Sem'!ED7*$BF$4</f>
        <v>10628.08992</v>
      </c>
      <c r="BE8" s="735">
        <v>13488.29</v>
      </c>
      <c r="BF8" s="700">
        <f t="shared" ref="BF8:BF34" si="596">BE8/BC8</f>
        <v>0.76147022286390287</v>
      </c>
      <c r="BG8" s="593">
        <f>'Proy 2021 vs 2019 Sem'!EC7*$BJ$4</f>
        <v>24356.039400000001</v>
      </c>
      <c r="BH8" s="593">
        <f>'Proy 2021 vs 2019 Sem'!ED7*$BJ$4</f>
        <v>14613.623640000002</v>
      </c>
      <c r="BI8" s="735">
        <v>17147.740000000002</v>
      </c>
      <c r="BJ8" s="700">
        <f t="shared" ref="BJ8:BJ34" si="597">BI8/BG8</f>
        <v>0.70404468141893384</v>
      </c>
      <c r="BK8" s="579">
        <f t="shared" ref="BK8:BK34" si="598">AI8+AM8+AQ8+AU8+AY8+BC8+BG8</f>
        <v>110709.27000000002</v>
      </c>
      <c r="BL8" s="574">
        <f t="shared" ref="BL8:BL35" si="599">AJ8+AN8+AR8+AV8+AZ8+BD8+BH8</f>
        <v>66425.562000000005</v>
      </c>
      <c r="BM8" s="730">
        <f t="shared" ref="BM8:BM35" si="600">AK8+AO8+AS8+AW8+BA8+BE8+BI8</f>
        <v>82333.400000000009</v>
      </c>
      <c r="BN8" s="711">
        <f t="shared" ref="BN8:BN34" si="601">BM8/BK8</f>
        <v>0.74369020769444139</v>
      </c>
      <c r="BO8" s="593">
        <f>'Proy 2021 vs 2019 Sem'!EH7*$BR$4</f>
        <v>16694.488799999999</v>
      </c>
      <c r="BP8" s="593">
        <f>'Proy 2021 vs 2019 Sem'!EI7*$BR$4</f>
        <v>11686.142159999998</v>
      </c>
      <c r="BQ8" s="735">
        <v>10412.08</v>
      </c>
      <c r="BR8" s="700">
        <f t="shared" ref="BR8:BR34" si="602">BQ8/BO8</f>
        <v>0.62368366739088177</v>
      </c>
      <c r="BS8" s="593">
        <f>'Proy 2021 vs 2019 Sem'!EH7*$BV$4</f>
        <v>16694.488799999999</v>
      </c>
      <c r="BT8" s="593">
        <f>'Proy 2021 vs 2019 Sem'!EI7*$BV$4</f>
        <v>11686.142159999998</v>
      </c>
      <c r="BU8" s="735">
        <v>12107.54</v>
      </c>
      <c r="BV8" s="700">
        <f t="shared" ref="BV8:BV34" si="603">BU8/BS8</f>
        <v>0.72524173366722089</v>
      </c>
      <c r="BW8" s="593">
        <f>'Proy 2021 vs 2019 Sem'!EH7*$BZ$4</f>
        <v>16694.488799999999</v>
      </c>
      <c r="BX8" s="593">
        <f>'Proy 2021 vs 2019 Sem'!EI7*$BZ$4</f>
        <v>11686.142159999998</v>
      </c>
      <c r="BY8" s="735">
        <v>6624.91</v>
      </c>
      <c r="BZ8" s="700">
        <f t="shared" ref="BZ8:BZ34" si="604">BY8/BW8</f>
        <v>0.39683215696907115</v>
      </c>
      <c r="CA8" s="593">
        <f>'Proy 2021 vs 2019 Sem'!EH7*$CD$4</f>
        <v>16694.488799999999</v>
      </c>
      <c r="CB8" s="593">
        <f>'Proy 2021 vs 2019 Sem'!EI7*$CD$4</f>
        <v>11686.142159999998</v>
      </c>
      <c r="CC8" s="735">
        <v>10395.469999999999</v>
      </c>
      <c r="CD8" s="700">
        <f t="shared" ref="CD8:CD34" si="605">CC8/CA8</f>
        <v>0.6226887282706135</v>
      </c>
      <c r="CE8" s="593">
        <f>'Proy 2021 vs 2019 Sem'!EH7*$CH$4</f>
        <v>19476.903600000001</v>
      </c>
      <c r="CF8" s="593">
        <f>'Proy 2021 vs 2019 Sem'!EI7*$CH$4</f>
        <v>13633.832519999998</v>
      </c>
      <c r="CG8" s="735">
        <v>9453.48</v>
      </c>
      <c r="CH8" s="700">
        <f t="shared" ref="CH8:CH34" si="606">CG8/CE8</f>
        <v>0.4853687318142294</v>
      </c>
      <c r="CI8" s="593">
        <f>'Proy 2021 vs 2019 Sem'!EH7*$CL$4</f>
        <v>22259.3184</v>
      </c>
      <c r="CJ8" s="593">
        <f>'Proy 2021 vs 2019 Sem'!EI7*$CL$4</f>
        <v>15581.522879999997</v>
      </c>
      <c r="CK8" s="735">
        <v>13351.61</v>
      </c>
      <c r="CL8" s="700">
        <f t="shared" ref="CL8:CL34" si="607">CK8/CI8</f>
        <v>0.59982115175638084</v>
      </c>
      <c r="CM8" s="593">
        <f>'Proy 2021 vs 2019 Sem'!EH7*$CP$4</f>
        <v>30606.5628</v>
      </c>
      <c r="CN8" s="593">
        <f>'Proy 2021 vs 2019 Sem'!EI7*$CP$4</f>
        <v>21424.593959999995</v>
      </c>
      <c r="CO8" s="735">
        <v>21291.35</v>
      </c>
      <c r="CP8" s="700">
        <f t="shared" ref="CP8:CP34" si="608">CO8/CM8</f>
        <v>0.69564655590793745</v>
      </c>
      <c r="CQ8" s="579">
        <f t="shared" ref="CQ8:CQ34" si="609">BO8+BS8+BW8+CA8+CE8+CI8+CM8</f>
        <v>139120.74</v>
      </c>
      <c r="CR8" s="574">
        <f t="shared" ref="CR8:CR35" si="610">BP8+BT8+BX8+CB8+CF8+CJ8+CN8</f>
        <v>97384.517999999982</v>
      </c>
      <c r="CS8" s="730">
        <f t="shared" ref="CS8:CS35" si="611">BQ8+BU8+BY8+CC8+CG8+CK8+CO8</f>
        <v>83636.44</v>
      </c>
      <c r="CT8" s="711">
        <f t="shared" ref="CT8:CT34" si="612">CS8/CQ8</f>
        <v>0.60117880339049379</v>
      </c>
      <c r="CU8" s="593">
        <f>'Proy 2021 vs 2019 Sem'!EM7*$CX$4</f>
        <v>14064.1368</v>
      </c>
      <c r="CV8" s="593">
        <f>'Proy 2021 vs 2019 Sem'!EN7*$CX$4</f>
        <v>9844.8957599999994</v>
      </c>
      <c r="CW8" s="735">
        <v>9773.07</v>
      </c>
      <c r="CX8" s="700">
        <f t="shared" ref="CX8:CX34" si="613">CW8/CU8</f>
        <v>0.69489298482932838</v>
      </c>
      <c r="CY8" s="593">
        <f>'Proy 2021 vs 2019 Sem'!EM7*$DB$4</f>
        <v>14064.1368</v>
      </c>
      <c r="CZ8" s="593">
        <f>'Proy 2021 vs 2019 Sem'!EN7*$DB$4</f>
        <v>9844.8957599999994</v>
      </c>
      <c r="DA8" s="735">
        <v>9403.34</v>
      </c>
      <c r="DB8" s="700">
        <f t="shared" ref="DB8:DB34" si="614">DA8/CY8</f>
        <v>0.66860413360029325</v>
      </c>
      <c r="DC8" s="593">
        <f>'Proy 2021 vs 2019 Sem'!EM7*$DF$4</f>
        <v>14064.1368</v>
      </c>
      <c r="DD8" s="593">
        <f>'Proy 2021 vs 2019 Sem'!EN7*$DF$4</f>
        <v>9844.8957599999994</v>
      </c>
      <c r="DE8" s="735">
        <v>8938.23</v>
      </c>
      <c r="DF8" s="700">
        <f t="shared" ref="DF8:DF34" si="615">DE8/DC8</f>
        <v>0.63553349395748193</v>
      </c>
      <c r="DG8" s="593">
        <f>'Proy 2021 vs 2019 Sem'!EM7*$DJ$4</f>
        <v>14064.1368</v>
      </c>
      <c r="DH8" s="593">
        <f>'Proy 2021 vs 2019 Sem'!EN7*$DJ$4</f>
        <v>9844.8957599999994</v>
      </c>
      <c r="DI8" s="735">
        <v>8674.32</v>
      </c>
      <c r="DJ8" s="700">
        <f t="shared" ref="DJ8:DJ34" si="616">DI8/DG8</f>
        <v>0.61676874474087873</v>
      </c>
      <c r="DK8" s="593">
        <f>'Proy 2021 vs 2019 Sem'!EM7*$DN$4</f>
        <v>16408.159600000003</v>
      </c>
      <c r="DL8" s="593">
        <f>'Proy 2021 vs 2019 Sem'!EN7*$DN$4</f>
        <v>11485.711720000001</v>
      </c>
      <c r="DM8" s="735">
        <v>12431.35</v>
      </c>
      <c r="DN8" s="700">
        <f t="shared" ref="DN8:DN34" si="617">DM8/DK8</f>
        <v>0.75763219660540104</v>
      </c>
      <c r="DO8" s="593">
        <f>'Proy 2021 vs 2019 Sem'!EM7*$DR$4</f>
        <v>18752.182400000002</v>
      </c>
      <c r="DP8" s="593">
        <f>'Proy 2021 vs 2019 Sem'!EN7*$DR$4</f>
        <v>13126.527679999999</v>
      </c>
      <c r="DQ8" s="735">
        <v>12456.62</v>
      </c>
      <c r="DR8" s="700">
        <f t="shared" ref="DR8:DR34" si="618">DQ8/DO8</f>
        <v>0.66427574851234383</v>
      </c>
      <c r="DS8" s="593">
        <f>'Proy 2021 vs 2019 Sem'!EM7*$DV$4</f>
        <v>25784.250800000002</v>
      </c>
      <c r="DT8" s="593">
        <f>'Proy 2021 vs 2019 Sem'!EN7*$DV$4</f>
        <v>18048.975559999999</v>
      </c>
      <c r="DU8" s="735">
        <v>14790.14</v>
      </c>
      <c r="DV8" s="700">
        <f t="shared" ref="DV8:DV34" si="619">DU8/DS8</f>
        <v>0.57361139226895819</v>
      </c>
      <c r="DW8" s="579">
        <f t="shared" ref="DW8:DW34" si="620">CU8+CY8+DC8+DG8+DK8+DO8+DS8</f>
        <v>117201.14000000001</v>
      </c>
      <c r="DX8" s="574">
        <f t="shared" ref="DX8:DX35" si="621">CV8+CZ8+DD8+DH8+DL8+DP8+DT8</f>
        <v>82040.797999999995</v>
      </c>
      <c r="DY8" s="710">
        <f t="shared" ref="DY8:DY35" si="622">CW8+DA8+DE8+DI8+DM8+DQ8+DU8</f>
        <v>76467.070000000007</v>
      </c>
      <c r="DZ8" s="711">
        <f t="shared" ref="DZ8:DZ34" si="623">DY8/DW8</f>
        <v>0.65244305644125988</v>
      </c>
      <c r="EA8" s="593">
        <f>'Proy 2021 vs 2019 Sem'!ER7*$ED$4</f>
        <v>12769.526399999999</v>
      </c>
      <c r="EB8" s="593">
        <f>'Proy 2021 vs 2019 Sem'!ES7*$ED$4</f>
        <v>7661.7158399999998</v>
      </c>
      <c r="EC8" s="735">
        <v>7136.02</v>
      </c>
      <c r="ED8" s="700">
        <f t="shared" ref="ED8:ED34" si="624">EC8/EA8</f>
        <v>0.55883200178825743</v>
      </c>
      <c r="EE8" s="593">
        <f>'Proy 2021 vs 2019 Sem'!ER7*$EH$4</f>
        <v>12769.526399999999</v>
      </c>
      <c r="EF8" s="593">
        <f>'Proy 2021 vs 2019 Sem'!ES7*$EH$4</f>
        <v>7661.7158399999998</v>
      </c>
      <c r="EG8" s="735">
        <v>9111.5300000000007</v>
      </c>
      <c r="EH8" s="700">
        <f t="shared" ref="EH8:EH34" si="625">EG8/EE8</f>
        <v>0.71353703454499307</v>
      </c>
      <c r="EI8" s="593">
        <f>'Proy 2021 vs 2019 Sem'!ER7*$EL$4</f>
        <v>12769.526399999999</v>
      </c>
      <c r="EJ8" s="593">
        <f>'Proy 2021 vs 2019 Sem'!ES7*$EL$4</f>
        <v>7661.7158399999998</v>
      </c>
      <c r="EK8" s="735">
        <v>7455.13</v>
      </c>
      <c r="EL8" s="700">
        <f t="shared" ref="EL8:EL34" si="626">EK8/EI8</f>
        <v>0.58382196539411213</v>
      </c>
      <c r="EM8" s="593">
        <f>'Proy 2021 vs 2019 Sem'!ER7*$EP$4</f>
        <v>12769.526399999999</v>
      </c>
      <c r="EN8" s="593">
        <f>'Proy 2021 vs 2019 Sem'!ES7*$EP$4</f>
        <v>7661.7158399999998</v>
      </c>
      <c r="EO8" s="735">
        <v>10055.52</v>
      </c>
      <c r="EP8" s="700">
        <f t="shared" ref="EP8:EP34" si="627">EO8/EM8</f>
        <v>0.78746225075348142</v>
      </c>
      <c r="EQ8" s="593">
        <f>'Proy 2021 vs 2019 Sem'!ER7*$ET$4</f>
        <v>14897.780800000002</v>
      </c>
      <c r="ER8" s="593">
        <f>'Proy 2021 vs 2019 Sem'!ES7*$ET$4</f>
        <v>8938.6684800000003</v>
      </c>
      <c r="ES8" s="735">
        <v>7961.55</v>
      </c>
      <c r="ET8" s="1370">
        <f t="shared" ref="ET8:ET34" si="628">ES8/EQ8</f>
        <v>0.53441180984485948</v>
      </c>
      <c r="EU8" s="593">
        <f>'Proy 2021 vs 2019 Sem'!ER7*$EX$4</f>
        <v>17026.035200000002</v>
      </c>
      <c r="EV8" s="593">
        <f>'Proy 2021 vs 2019 Sem'!ES7*$EX$4</f>
        <v>10215.62112</v>
      </c>
      <c r="EW8" s="735">
        <v>10870.44</v>
      </c>
      <c r="EX8" s="700">
        <f t="shared" ref="EX8:EX34" si="629">EW8/EU8</f>
        <v>0.63845985705468289</v>
      </c>
      <c r="EY8" s="593">
        <f>'Proy 2021 vs 2019 Sem'!ER7*$FB$4</f>
        <v>23410.7984</v>
      </c>
      <c r="EZ8" s="593">
        <f>'Proy 2021 vs 2019 Sem'!ES7*$FB$4</f>
        <v>14046.47904</v>
      </c>
      <c r="FA8" s="699">
        <v>18024.13</v>
      </c>
      <c r="FB8" s="700">
        <f t="shared" ref="FB8:FB34" si="630">FA8/EY8</f>
        <v>0.76990667691196735</v>
      </c>
      <c r="FC8" s="579">
        <f t="shared" ref="FC8:FC34" si="631">EA8+EE8+EI8+EM8+EQ8+EU8+EY8</f>
        <v>106412.72</v>
      </c>
      <c r="FD8" s="574">
        <f t="shared" ref="FD8:FD35" si="632">EB8+EF8+EJ8+EN8+ER8+EV8+EZ8</f>
        <v>63847.631999999991</v>
      </c>
      <c r="FE8" s="710">
        <f t="shared" ref="FE8:FE35" si="633">EC8+EG8+EK8+EO8+ES8+EW8+FA8</f>
        <v>70614.320000000007</v>
      </c>
      <c r="FF8" s="711">
        <f t="shared" ref="FF8:FF34" si="634">FE8/FC8</f>
        <v>0.66358908972536368</v>
      </c>
      <c r="FG8" s="593">
        <f>'Proy 2021 vs 2019 Sem'!FA7*$FJ$4</f>
        <v>12156.312</v>
      </c>
      <c r="FH8" s="593">
        <f>'Proy 2021 vs 2019 Sem'!FB7*$FJ$4</f>
        <v>8509.4183999999987</v>
      </c>
      <c r="FI8" s="735">
        <v>11912.6</v>
      </c>
      <c r="FJ8" s="700">
        <f t="shared" ref="FJ8:FJ34" si="635">FI8/FG8</f>
        <v>0.97995181433316292</v>
      </c>
      <c r="FK8" s="593">
        <f>'Proy 2021 vs 2019 Sem'!FA7*$FN$4</f>
        <v>12156.312</v>
      </c>
      <c r="FL8" s="593">
        <f>'Proy 2021 vs 2019 Sem'!FB7*$FN$4</f>
        <v>8509.4183999999987</v>
      </c>
      <c r="FM8" s="735">
        <v>8470</v>
      </c>
      <c r="FN8" s="700">
        <f t="shared" ref="FN8:FN34" si="636">FM8/FK8</f>
        <v>0.69675737180816022</v>
      </c>
      <c r="FO8" s="593">
        <f>'Proy 2021 vs 2019 Sem'!FA7*$FR$4</f>
        <v>12156.312</v>
      </c>
      <c r="FP8" s="593">
        <f>'Proy 2021 vs 2019 Sem'!FB7*$FR$4</f>
        <v>8509.4183999999987</v>
      </c>
      <c r="FQ8" s="735">
        <v>10686.38</v>
      </c>
      <c r="FR8" s="700">
        <f t="shared" ref="FR8:FR34" si="637">FQ8/FO8</f>
        <v>0.87908076067807406</v>
      </c>
      <c r="FS8" s="593">
        <f>'Proy 2021 vs 2019 Sem'!FA7*$FV$4</f>
        <v>12156.312</v>
      </c>
      <c r="FT8" s="593">
        <f>'Proy 2021 vs 2019 Sem'!FB7*$FV$4</f>
        <v>8509.4183999999987</v>
      </c>
      <c r="FU8" s="735">
        <v>9205.6200000000008</v>
      </c>
      <c r="FV8" s="700">
        <f t="shared" ref="FV8:FV34" si="638">FU8/FS8</f>
        <v>0.75727079068059466</v>
      </c>
      <c r="FW8" s="593">
        <f>'Proy 2021 vs 2019 Sem'!FA7*$FZ$4</f>
        <v>14182.364000000001</v>
      </c>
      <c r="FX8" s="593">
        <f>'Proy 2021 vs 2019 Sem'!FB7*$FZ$4</f>
        <v>9927.6548000000003</v>
      </c>
      <c r="FY8" s="735">
        <v>14049.66</v>
      </c>
      <c r="FZ8" s="700">
        <f t="shared" ref="FZ8:FZ34" si="639">FY8/FW8</f>
        <v>0.99064302679017391</v>
      </c>
      <c r="GA8" s="593">
        <f>'Proy 2021 vs 2019 Sem'!FA7*$GD$4</f>
        <v>16208.416000000001</v>
      </c>
      <c r="GB8" s="593">
        <f>'Proy 2021 vs 2019 Sem'!FB7*$GD$4</f>
        <v>11345.891199999998</v>
      </c>
      <c r="GC8" s="735">
        <v>11985.97</v>
      </c>
      <c r="GD8" s="700">
        <f t="shared" ref="GD8:GD34" si="640">GC8/GA8</f>
        <v>0.73949052146736605</v>
      </c>
      <c r="GE8" s="593">
        <f>'Proy 2021 vs 2019 Sem'!FA7*$GH$4</f>
        <v>22286.572</v>
      </c>
      <c r="GF8" s="593">
        <f>'Proy 2021 vs 2019 Sem'!FB7*$GH$4</f>
        <v>15600.600399999998</v>
      </c>
      <c r="GG8" s="735">
        <v>19531.990000000002</v>
      </c>
      <c r="GH8" s="700">
        <f t="shared" ref="GH8:GH34" si="641">GG8/GE8</f>
        <v>0.87640171848770643</v>
      </c>
      <c r="GI8" s="579">
        <f t="shared" ref="GI8:GI34" si="642">FG8+FK8+FO8+FS8+FW8+GA8+GE8</f>
        <v>101302.6</v>
      </c>
      <c r="GJ8" s="574">
        <f t="shared" ref="GJ8:GJ35" si="643">FH8+FL8+FP8+FT8+FX8+GB8+GF8</f>
        <v>70911.819999999992</v>
      </c>
      <c r="GK8" s="759">
        <f t="shared" ref="GK8:GK35" si="644">FI8+FM8+FQ8+FU8+FY8+GC8+GG8</f>
        <v>85842.22</v>
      </c>
      <c r="GL8" s="761">
        <f t="shared" ref="GL8:GL34" si="645">GK8/GI8</f>
        <v>0.84738417375269737</v>
      </c>
      <c r="GM8" s="593">
        <f>'Proy 2021 vs 2019 Sem'!FF7*$GP$4</f>
        <v>13889.097599999999</v>
      </c>
      <c r="GN8" s="593">
        <f>'Proy 2021 vs 2019 Sem'!FG7*$GP$4</f>
        <v>10555.714175999999</v>
      </c>
      <c r="GO8" s="735">
        <v>6598.31</v>
      </c>
      <c r="GP8" s="700">
        <f t="shared" ref="GP8:GP34" si="646">GO8/GM8</f>
        <v>0.47507118101034879</v>
      </c>
      <c r="GQ8" s="593">
        <f>'Proy 2021 vs 2019 Sem'!FF7*$GT$4</f>
        <v>13889.097599999999</v>
      </c>
      <c r="GR8" s="593">
        <f>'Proy 2021 vs 2019 Sem'!FG7*$GT$4</f>
        <v>10555.714175999999</v>
      </c>
      <c r="GS8" s="735">
        <v>7717.38</v>
      </c>
      <c r="GT8" s="700">
        <f t="shared" ref="GT8:GT34" si="647">GS8/GQ8</f>
        <v>0.55564301024135654</v>
      </c>
      <c r="GU8" s="593">
        <f>'Proy 2021 vs 2019 Sem'!FF7*$GX$4</f>
        <v>13889.097599999999</v>
      </c>
      <c r="GV8" s="593">
        <f>'Proy 2021 vs 2019 Sem'!FG7*$GX$4</f>
        <v>10555.714175999999</v>
      </c>
      <c r="GW8" s="735">
        <v>9001.2999999999993</v>
      </c>
      <c r="GX8" s="700">
        <f t="shared" ref="GX8:GX34" si="648">GW8/GU8</f>
        <v>0.64808386111420224</v>
      </c>
      <c r="GY8" s="593">
        <f>'Proy 2021 vs 2019 Sem'!FF7*$HB$4</f>
        <v>13889.097599999999</v>
      </c>
      <c r="GZ8" s="593">
        <f>'Proy 2021 vs 2019 Sem'!FG7*$HB$4</f>
        <v>10555.714175999999</v>
      </c>
      <c r="HA8" s="735">
        <v>8691.1200000000008</v>
      </c>
      <c r="HB8" s="700">
        <f t="shared" ref="HB8:HB34" si="649">HA8/GY8</f>
        <v>0.62575123671101585</v>
      </c>
      <c r="HC8" s="593">
        <f>'Proy 2021 vs 2019 Sem'!FF7*$HF$4</f>
        <v>16203.947200000001</v>
      </c>
      <c r="HD8" s="593">
        <f>'Proy 2021 vs 2019 Sem'!FG7*$HF$4</f>
        <v>12314.999872</v>
      </c>
      <c r="HE8" s="735">
        <v>11176.91</v>
      </c>
      <c r="HF8" s="700">
        <f t="shared" ref="HF8:HF34" si="650">HE8/HC8</f>
        <v>0.68976465191147995</v>
      </c>
      <c r="HG8" s="593">
        <f>'Proy 2021 vs 2019 Sem'!FF7*$HJ$4</f>
        <v>18518.7968</v>
      </c>
      <c r="HH8" s="593">
        <f>'Proy 2021 vs 2019 Sem'!FG7*$HJ$4</f>
        <v>14074.285567999999</v>
      </c>
      <c r="HI8" s="735">
        <v>10023.620000000001</v>
      </c>
      <c r="HJ8" s="700">
        <f t="shared" ref="HJ8:HJ34" si="651">HI8/HG8</f>
        <v>0.54126734626733419</v>
      </c>
      <c r="HK8" s="593">
        <f>'Proy 2021 vs 2019 Sem'!FF7*$HN$4</f>
        <v>25463.345600000001</v>
      </c>
      <c r="HL8" s="593">
        <f>'Proy 2021 vs 2019 Sem'!FG7*$HN$4</f>
        <v>19352.142656</v>
      </c>
      <c r="HM8" s="735">
        <v>13751.31</v>
      </c>
      <c r="HN8" s="700">
        <f t="shared" ref="HN8:HN34" si="652">HM8/HK8</f>
        <v>0.54004333193356957</v>
      </c>
      <c r="HO8" s="579">
        <f t="shared" ref="HO8:HO34" si="653">GM8+GQ8+GU8+GY8+HC8+HG8+HK8</f>
        <v>115742.48</v>
      </c>
      <c r="HP8" s="574">
        <f t="shared" ref="HP8:HP35" si="654">GN8+GR8+GV8+GZ8+HD8+HH8+HL8</f>
        <v>87964.284799999994</v>
      </c>
      <c r="HQ8" s="765">
        <f t="shared" ref="HQ8:HQ35" si="655">GO8+GS8+GW8+HA8+HE8+HI8+HM8</f>
        <v>66959.950000000012</v>
      </c>
      <c r="HR8" s="761">
        <f t="shared" ref="HR8:HR34" si="656">HQ8/HO8</f>
        <v>0.5785252743849969</v>
      </c>
      <c r="HS8" s="593">
        <f>'Proy 2021 vs 2019 Sem'!FK7*$CX$4</f>
        <v>11353.089599999999</v>
      </c>
      <c r="HT8" s="593">
        <f>'Proy 2021 vs 2019 Sem'!FL7*$CX$4</f>
        <v>8968.9407840000003</v>
      </c>
      <c r="HU8" s="735">
        <v>9065.56</v>
      </c>
      <c r="HV8" s="700">
        <f t="shared" ref="HV8:HV34" si="657">HU8/HS8</f>
        <v>0.79851038962997345</v>
      </c>
      <c r="HW8" s="593">
        <f>'Proy 2021 vs 2019 Sem'!FK7*$DB$4</f>
        <v>11353.089599999999</v>
      </c>
      <c r="HX8" s="593">
        <f>'Proy 2021 vs 2019 Sem'!FL7*$DB$4</f>
        <v>8968.9407840000003</v>
      </c>
      <c r="HY8" s="735">
        <v>12115.99</v>
      </c>
      <c r="HZ8" s="700">
        <f t="shared" ref="HZ8:HZ34" si="658">HY8/HW8</f>
        <v>1.0671976023161132</v>
      </c>
      <c r="IA8" s="593">
        <f>'Proy 2021 vs 2019 Sem'!FK7*$DF$4</f>
        <v>11353.089599999999</v>
      </c>
      <c r="IB8" s="593">
        <f>'Proy 2021 vs 2019 Sem'!FL7*$DF$4</f>
        <v>8968.9407840000003</v>
      </c>
      <c r="IC8" s="735">
        <v>8650.2900000000009</v>
      </c>
      <c r="ID8" s="700">
        <f t="shared" ref="ID8:ID34" si="659">IC8/IA8</f>
        <v>0.76193268130289404</v>
      </c>
      <c r="IE8" s="593">
        <f>'Proy 2021 vs 2019 Sem'!FK7*$DJ$4</f>
        <v>11353.089599999999</v>
      </c>
      <c r="IF8" s="593">
        <f>'Proy 2021 vs 2019 Sem'!FL7*$DJ$4</f>
        <v>8968.9407840000003</v>
      </c>
      <c r="IG8" s="735">
        <v>8104.9</v>
      </c>
      <c r="IH8" s="700">
        <f t="shared" ref="IH8:IH34" si="660">IG8/IE8</f>
        <v>0.7138937756643795</v>
      </c>
      <c r="II8" s="593">
        <f>'Proy 2021 vs 2019 Sem'!FK7*$DN$4</f>
        <v>13245.271200000001</v>
      </c>
      <c r="IJ8" s="593">
        <f>'Proy 2021 vs 2019 Sem'!FL7*$DN$4</f>
        <v>10463.764248000001</v>
      </c>
      <c r="IK8" s="735">
        <v>14172.24</v>
      </c>
      <c r="IL8" s="700">
        <f t="shared" ref="IL8:IL34" si="661">IK8/II8</f>
        <v>1.0699848863796764</v>
      </c>
      <c r="IM8" s="593">
        <f>'Proy 2021 vs 2019 Sem'!FK7*$DR$4</f>
        <v>15137.452800000001</v>
      </c>
      <c r="IN8" s="593">
        <f>'Proy 2021 vs 2019 Sem'!FL7*$DR$4</f>
        <v>11958.587712</v>
      </c>
      <c r="IO8" s="1410">
        <v>9706.6</v>
      </c>
      <c r="IP8" s="700">
        <f t="shared" ref="IP8:IP34" si="662">IO8/IM8</f>
        <v>0.64123073599278202</v>
      </c>
      <c r="IQ8" s="593">
        <f>'Proy 2021 vs 2019 Sem'!FK7*$IT$4</f>
        <v>20813.997599999999</v>
      </c>
      <c r="IR8" s="593">
        <f>'Proy 2021 vs 2019 Sem'!FL7*$IT$4</f>
        <v>16443.058104</v>
      </c>
      <c r="IS8" s="735">
        <v>17431.05</v>
      </c>
      <c r="IT8" s="700">
        <f t="shared" ref="IT8:IT34" si="663">IS8/IQ8</f>
        <v>0.8374676664707601</v>
      </c>
      <c r="IU8" s="579">
        <f t="shared" ref="IU8:IU34" si="664">HS8+HW8+IA8+IE8+II8+IM8+IQ8</f>
        <v>94609.08</v>
      </c>
      <c r="IV8" s="574">
        <f t="shared" ref="IV8:IV35" si="665">HT8+HX8+IB8+IF8+IJ8+IN8+IR8</f>
        <v>74741.173200000005</v>
      </c>
      <c r="IW8" s="765">
        <f t="shared" ref="IW8:IW35" si="666">HU8+HY8+IC8+IG8+IK8+IO8+IS8</f>
        <v>79246.62999999999</v>
      </c>
      <c r="IX8" s="761">
        <f t="shared" ref="IX8:IX34" si="667">IW8/IU8</f>
        <v>0.83762182234517013</v>
      </c>
      <c r="IY8" s="593">
        <f>'Proy 2021 vs 2019 Sem'!FP7*$JB$4</f>
        <v>13117.5288</v>
      </c>
      <c r="IZ8" s="593">
        <f>'Proy 2021 vs 2019 Sem'!FQ7*$JB$4</f>
        <v>9969.3218880000004</v>
      </c>
      <c r="JA8" s="735">
        <v>6373.27</v>
      </c>
      <c r="JB8" s="700">
        <f t="shared" ref="JB8:JB34" si="668">JA8/IY8</f>
        <v>0.48585904381624079</v>
      </c>
      <c r="JC8" s="593">
        <f>'Proy 2021 vs 2019 Sem'!FP7*$JF$4</f>
        <v>13117.5288</v>
      </c>
      <c r="JD8" s="593">
        <f>'Proy 2021 vs 2019 Sem'!FQ7*$JF$4</f>
        <v>9969.3218880000004</v>
      </c>
      <c r="JE8" s="735">
        <v>7748.3</v>
      </c>
      <c r="JF8" s="700">
        <f t="shared" ref="JF8:JF34" si="669">JE8/JC8</f>
        <v>0.59068290362739662</v>
      </c>
      <c r="JG8" s="593">
        <f>'Proy 2021 vs 2019 Sem'!FP7*$JJ$4</f>
        <v>13117.5288</v>
      </c>
      <c r="JH8" s="593">
        <f>'Proy 2021 vs 2019 Sem'!FQ7*$JJ$4</f>
        <v>9969.3218880000004</v>
      </c>
      <c r="JI8" s="735">
        <v>8907.7000000000007</v>
      </c>
      <c r="JJ8" s="700">
        <f t="shared" ref="JJ8:JJ34" si="670">JI8/JG8</f>
        <v>0.67906845380815939</v>
      </c>
      <c r="JK8" s="593">
        <f>'Proy 2021 vs 2019 Sem'!FP7*$JN$4</f>
        <v>13117.5288</v>
      </c>
      <c r="JL8" s="593">
        <f>'Proy 2021 vs 2019 Sem'!FQ7*$JN$4</f>
        <v>9969.3218880000004</v>
      </c>
      <c r="JM8" s="735">
        <v>6157.46</v>
      </c>
      <c r="JN8" s="700">
        <f t="shared" ref="JN8:JN34" si="671">JM8/JK8</f>
        <v>0.46940701208904528</v>
      </c>
      <c r="JO8" s="593">
        <f>'Proy 2021 vs 2019 Sem'!FP7*$JR$4</f>
        <v>15303.783600000002</v>
      </c>
      <c r="JP8" s="593">
        <f>'Proy 2021 vs 2019 Sem'!FQ7*$JR$4</f>
        <v>11630.875536000001</v>
      </c>
      <c r="JQ8" s="735">
        <v>7688.37</v>
      </c>
      <c r="JR8" s="700">
        <f t="shared" ref="JR8:JR34" si="672">JQ8/JO8</f>
        <v>0.50238360662653381</v>
      </c>
      <c r="JS8" s="593">
        <f>'Proy 2021 vs 2019 Sem'!FP7*$JV$4</f>
        <v>17490.038400000001</v>
      </c>
      <c r="JT8" s="593">
        <f>'Proy 2021 vs 2019 Sem'!FQ7*$JV$4</f>
        <v>13292.429184000001</v>
      </c>
      <c r="JU8" s="735">
        <v>10811.4</v>
      </c>
      <c r="JV8" s="700">
        <f t="shared" ref="JV8:JV34" si="673">JU8/JS8</f>
        <v>0.61814615569969245</v>
      </c>
      <c r="JW8" s="593">
        <f>'Proy 2021 vs 2019 Sem'!FP7*$JZ$4</f>
        <v>24048.802800000001</v>
      </c>
      <c r="JX8" s="593">
        <f>'Proy 2021 vs 2019 Sem'!FQ7*$JZ$4</f>
        <v>18277.090128</v>
      </c>
      <c r="JY8" s="735">
        <v>15883.8</v>
      </c>
      <c r="JZ8" s="700">
        <f t="shared" ref="JZ8:JZ34" si="674">JY8/JW8</f>
        <v>0.66048194299302077</v>
      </c>
      <c r="KA8" s="579">
        <f t="shared" ref="KA8:KA34" si="675">IY8+JC8+JG8+JK8+JO8+JS8+JW8</f>
        <v>109312.74</v>
      </c>
      <c r="KB8" s="574">
        <f t="shared" ref="KB8:KB35" si="676">IZ8+JD8+JH8+JL8+JP8+JT8+JX8</f>
        <v>83077.682400000005</v>
      </c>
      <c r="KC8" s="770">
        <f t="shared" ref="KC8:KC35" si="677">JA8+JE8+JI8+JM8+JQ8+JU8+JY8</f>
        <v>63570.3</v>
      </c>
      <c r="KD8" s="761">
        <f t="shared" ref="KD8:KD34" si="678">KC8/KA8</f>
        <v>0.58154520689903111</v>
      </c>
      <c r="KE8" s="593">
        <f>'Proy 2021 vs 2019 Sem'!FY7*$KH$4</f>
        <v>11512.3752</v>
      </c>
      <c r="KF8" s="593">
        <f>'Proy 2021 vs 2019 Sem'!FZ7*$KH$4</f>
        <v>8634.2813999999998</v>
      </c>
      <c r="KG8" s="735">
        <v>7104.35</v>
      </c>
      <c r="KH8" s="700">
        <f t="shared" ref="KH8:KH34" si="679">KG8/KE8</f>
        <v>0.61710549531081993</v>
      </c>
      <c r="KI8" s="593">
        <f>'Proy 2021 vs 2019 Sem'!FY7*$KL$4</f>
        <v>11512.3752</v>
      </c>
      <c r="KJ8" s="593">
        <f>'Proy 2021 vs 2019 Sem'!FZ7*$KL$4</f>
        <v>8634.2813999999998</v>
      </c>
      <c r="KK8" s="735">
        <v>6661.83</v>
      </c>
      <c r="KL8" s="700">
        <f t="shared" ref="KL8:KL34" si="680">KK8/KI8</f>
        <v>0.57866685929416195</v>
      </c>
      <c r="KM8" s="593">
        <f>'Proy 2021 vs 2019 Sem'!FY7*$KP$4</f>
        <v>11512.3752</v>
      </c>
      <c r="KN8" s="593">
        <f>'Proy 2021 vs 2019 Sem'!FZ7*$KP$4</f>
        <v>8634.2813999999998</v>
      </c>
      <c r="KO8" s="735">
        <v>6127.85</v>
      </c>
      <c r="KP8" s="700">
        <f t="shared" ref="KP8:KP34" si="681">KO8/KM8</f>
        <v>0.53228372890417963</v>
      </c>
      <c r="KQ8" s="593">
        <f>'Proy 2021 vs 2019 Sem'!FY7*$KT$4</f>
        <v>11512.3752</v>
      </c>
      <c r="KR8" s="593">
        <f>'Proy 2021 vs 2019 Sem'!FZ7*$KT$4</f>
        <v>8634.2813999999998</v>
      </c>
      <c r="KS8" s="735">
        <v>9648.2900000000009</v>
      </c>
      <c r="KT8" s="700">
        <f t="shared" ref="KT8:KT34" si="682">KS8/KQ8</f>
        <v>0.83807987773018378</v>
      </c>
      <c r="KU8" s="593">
        <f>'Proy 2021 vs 2019 Sem'!FY7*$KX$4</f>
        <v>13431.104400000002</v>
      </c>
      <c r="KV8" s="593">
        <f>'Proy 2021 vs 2019 Sem'!FZ7*$KX$4</f>
        <v>10073.328300000001</v>
      </c>
      <c r="KW8" s="735">
        <v>5561.93</v>
      </c>
      <c r="KX8" s="700">
        <f t="shared" ref="KX8:KX34" si="683">KW8/KU8</f>
        <v>0.41410816522280919</v>
      </c>
      <c r="KY8" s="593">
        <f>'Proy 2021 vs 2019 Sem'!FY7*$LB$4</f>
        <v>15349.833600000002</v>
      </c>
      <c r="KZ8" s="593">
        <f>'Proy 2021 vs 2019 Sem'!FZ7*$LB$4</f>
        <v>11512.3752</v>
      </c>
      <c r="LA8" s="735">
        <v>9729.75</v>
      </c>
      <c r="LB8" s="700">
        <f t="shared" ref="LB8:LB34" si="684">LA8/KY8</f>
        <v>0.63386680621736502</v>
      </c>
      <c r="LC8" s="593">
        <f>'Proy 2021 vs 2019 Sem'!FY7*$LF$4</f>
        <v>21106.021200000003</v>
      </c>
      <c r="LD8" s="593">
        <f>'Proy 2021 vs 2019 Sem'!FZ7*$LF$4</f>
        <v>15829.5159</v>
      </c>
      <c r="LE8" s="735">
        <v>13171.86</v>
      </c>
      <c r="LF8" s="700">
        <f t="shared" ref="LF8:LF34" si="685">LE8/LC8</f>
        <v>0.62408067703447578</v>
      </c>
      <c r="LG8" s="579">
        <f t="shared" ref="LG8:LG34" si="686">KE8+KI8+KM8+KQ8+KU8+KY8+LC8</f>
        <v>95936.46</v>
      </c>
      <c r="LH8" s="574">
        <f t="shared" ref="LH8:LH35" si="687">KF8+KJ8+KN8+KR8+KV8+KZ8+LD8</f>
        <v>71952.345000000001</v>
      </c>
      <c r="LI8" s="793">
        <f t="shared" ref="LI8:LI35" si="688">KG8+KK8+KO8+KS8+KW8+LA8+LE8</f>
        <v>58005.86</v>
      </c>
      <c r="LJ8" s="786">
        <f t="shared" ref="LJ8:LJ34" si="689">LI8/LG8</f>
        <v>0.60462789642227777</v>
      </c>
      <c r="LK8" s="593">
        <f>'Proy 2021 vs 2019 Sem'!GD7*$LN$4</f>
        <v>11156.0232</v>
      </c>
      <c r="LL8" s="593">
        <f>'Proy 2021 vs 2019 Sem'!GE7*$LN$4</f>
        <v>9036.3787919999995</v>
      </c>
      <c r="LM8" s="735">
        <v>5060.93</v>
      </c>
      <c r="LN8" s="700">
        <f t="shared" ref="LN8:LN34" si="690">LM8/LK8</f>
        <v>0.45365000675150985</v>
      </c>
      <c r="LO8" s="593">
        <f>'Proy 2021 vs 2019 Sem'!GD7*$LR$4</f>
        <v>11156.0232</v>
      </c>
      <c r="LP8" s="593">
        <f>'Proy 2021 vs 2019 Sem'!GE7*$LR$4</f>
        <v>9036.3787919999995</v>
      </c>
      <c r="LQ8" s="735">
        <v>7721.12</v>
      </c>
      <c r="LR8" s="700">
        <f t="shared" ref="LR8:LR34" si="691">LQ8/LO8</f>
        <v>0.69210325772718007</v>
      </c>
      <c r="LS8" s="593">
        <f>'Proy 2021 vs 2019 Sem'!GD7*$LV$4</f>
        <v>11156.0232</v>
      </c>
      <c r="LT8" s="593">
        <f>'Proy 2021 vs 2019 Sem'!GE7*$LV$4</f>
        <v>9036.3787919999995</v>
      </c>
      <c r="LU8" s="735">
        <v>4005.56</v>
      </c>
      <c r="LV8" s="700">
        <f t="shared" ref="LV8:LV34" si="692">LU8/LS8</f>
        <v>0.35904909197392132</v>
      </c>
      <c r="LW8" s="593">
        <f>'Proy 2021 vs 2019 Sem'!GD7*$LZ$4</f>
        <v>11156.0232</v>
      </c>
      <c r="LX8" s="593">
        <f>'Proy 2021 vs 2019 Sem'!GE7*$LZ$4</f>
        <v>9036.3787919999995</v>
      </c>
      <c r="LY8" s="735">
        <v>6351.25</v>
      </c>
      <c r="LZ8" s="700">
        <f t="shared" ref="LZ8:LZ34" si="693">LY8/LW8</f>
        <v>0.56931129365166611</v>
      </c>
      <c r="MA8" s="593">
        <f>'Proy 2021 vs 2019 Sem'!GD7*$MD$4</f>
        <v>13015.360400000001</v>
      </c>
      <c r="MB8" s="593">
        <f>'Proy 2021 vs 2019 Sem'!GE7*$MD$4</f>
        <v>10542.441924000001</v>
      </c>
      <c r="MC8" s="735">
        <v>10035.67</v>
      </c>
      <c r="MD8" s="700">
        <f t="shared" ref="MD8:MD34" si="694">MC8/MA8</f>
        <v>0.77106355041847319</v>
      </c>
      <c r="ME8" s="593">
        <f>'Proy 2021 vs 2019 Sem'!GD7*$MH$4</f>
        <v>14874.6976</v>
      </c>
      <c r="MF8" s="593">
        <f>'Proy 2021 vs 2019 Sem'!GE7*$MH$4</f>
        <v>12048.505056</v>
      </c>
      <c r="MG8" s="735">
        <v>8469.68</v>
      </c>
      <c r="MH8" s="700">
        <f t="shared" ref="MH8:MH34" si="695">MG8/ME8</f>
        <v>0.56940182770505532</v>
      </c>
      <c r="MI8" s="593">
        <f>'Proy 2021 vs 2019 Sem'!GD7*$ML$4</f>
        <v>20452.709200000001</v>
      </c>
      <c r="MJ8" s="593">
        <f>'Proy 2021 vs 2019 Sem'!GE7*$ML$4</f>
        <v>16566.694452</v>
      </c>
      <c r="MK8" s="735">
        <v>14147.91</v>
      </c>
      <c r="ML8" s="700">
        <f t="shared" ref="ML8:ML34" si="696">MK8/MI8</f>
        <v>0.69173769898415216</v>
      </c>
      <c r="MM8" s="579">
        <f t="shared" ref="MM8:MM34" si="697">LK8+LO8+LS8+LW8+MA8+ME8+MI8</f>
        <v>92966.86</v>
      </c>
      <c r="MN8" s="574">
        <f t="shared" ref="MN8:MN35" si="698">LL8+LP8+LT8+LX8+MB8+MF8+MJ8</f>
        <v>75303.156600000002</v>
      </c>
      <c r="MO8" s="794">
        <f t="shared" ref="MO8:MO35" si="699">LM8+LQ8+LU8+LY8+MC8+MG8+MK8</f>
        <v>55792.119999999995</v>
      </c>
      <c r="MP8" s="786">
        <f t="shared" ref="MP8:MP34" si="700">MO8/MM8</f>
        <v>0.60012912128042184</v>
      </c>
      <c r="MQ8" s="593">
        <f>'Proy 2021 vs 2019 Sem'!GI7*$MT$4</f>
        <v>11280.721199999998</v>
      </c>
      <c r="MR8" s="593">
        <f>'Proy 2021 vs 2019 Sem'!GJ7*$MT$4</f>
        <v>9024.5769600000003</v>
      </c>
      <c r="MS8" s="735">
        <v>3737.86</v>
      </c>
      <c r="MT8" s="700">
        <f t="shared" ref="MT8:MT35" si="701">MS8/MQ8</f>
        <v>0.33134938216538856</v>
      </c>
      <c r="MU8" s="593">
        <f>'Proy 2021 vs 2019 Sem'!GI7*$MX$4</f>
        <v>11280.721199999998</v>
      </c>
      <c r="MV8" s="593">
        <f>'Proy 2021 vs 2019 Sem'!GJ7*$MX$4</f>
        <v>9024.5769600000003</v>
      </c>
      <c r="MW8" s="735">
        <v>7422.07</v>
      </c>
      <c r="MX8" s="700">
        <f t="shared" ref="MX8:MX35" si="702">MW8/MU8</f>
        <v>0.65794286273115243</v>
      </c>
      <c r="MY8" s="593">
        <f>'Proy 2021 vs 2019 Sem'!GI7*$NB$4</f>
        <v>11280.721199999998</v>
      </c>
      <c r="MZ8" s="593">
        <f>'Proy 2021 vs 2019 Sem'!GJ7*$NB$4</f>
        <v>9024.5769600000003</v>
      </c>
      <c r="NA8" s="735">
        <v>6302.55</v>
      </c>
      <c r="NB8" s="700">
        <f t="shared" ref="NB8:NB35" si="703">NA8/MY8</f>
        <v>0.55870098092664511</v>
      </c>
      <c r="NC8" s="593">
        <f>'Proy 2021 vs 2019 Sem'!GI7*$NF$4</f>
        <v>11280.721199999998</v>
      </c>
      <c r="ND8" s="593">
        <f>'Proy 2021 vs 2019 Sem'!GJ7*$NF$4</f>
        <v>9024.5769600000003</v>
      </c>
      <c r="NE8" s="735">
        <v>6253.14</v>
      </c>
      <c r="NF8" s="700">
        <f t="shared" ref="NF8:NF35" si="704">NE8/NC8</f>
        <v>0.55432094182063474</v>
      </c>
      <c r="NG8" s="593">
        <f>'Proy 2021 vs 2019 Sem'!GI7*$NJ$4</f>
        <v>13160.841400000001</v>
      </c>
      <c r="NH8" s="593">
        <f>'Proy 2021 vs 2019 Sem'!GJ7*$NJ$4</f>
        <v>10528.673120000001</v>
      </c>
      <c r="NI8" s="735">
        <v>6294.35</v>
      </c>
      <c r="NJ8" s="700">
        <f t="shared" ref="NJ8:NJ35" si="705">NI8/NG8</f>
        <v>0.47826349461213019</v>
      </c>
      <c r="NK8" s="593">
        <f>'Proy 2021 vs 2019 Sem'!GI7*$NN$4</f>
        <v>15040.961599999999</v>
      </c>
      <c r="NL8" s="593">
        <f>'Proy 2021 vs 2019 Sem'!GJ7*$NN$4</f>
        <v>12032.76928</v>
      </c>
      <c r="NM8" s="735">
        <v>9759.5300000000007</v>
      </c>
      <c r="NN8" s="700">
        <f t="shared" ref="NN8:NN35" si="706">NM8/NK8</f>
        <v>0.64886343436978133</v>
      </c>
      <c r="NO8" s="593">
        <f>'Proy 2021 vs 2019 Sem'!GI7*$NR$4</f>
        <v>20681.322199999999</v>
      </c>
      <c r="NP8" s="593">
        <f>'Proy 2021 vs 2019 Sem'!GJ7*$NR$4</f>
        <v>16545.05776</v>
      </c>
      <c r="NQ8" s="735">
        <v>13797.18</v>
      </c>
      <c r="NR8" s="700">
        <f t="shared" ref="NR8:NR35" si="707">NQ8/NO8</f>
        <v>0.66713239446557249</v>
      </c>
      <c r="NS8" s="579">
        <f t="shared" ref="NS8:NS35" si="708">MQ8+MU8+MY8+NC8+NG8+NK8+NO8</f>
        <v>94006.00999999998</v>
      </c>
      <c r="NT8" s="574">
        <f t="shared" ref="NT8:NT35" si="709">MR8+MV8+MZ8+ND8+NH8+NL8+NP8</f>
        <v>75204.808000000005</v>
      </c>
      <c r="NU8" s="794">
        <f t="shared" ref="NU8:NU35" si="710">MS8+MW8+NA8+NE8+NI8+NM8+NQ8</f>
        <v>53566.68</v>
      </c>
      <c r="NV8" s="786">
        <f t="shared" ref="NV8:NV35" si="711">NU8/NS8</f>
        <v>0.56982186564454773</v>
      </c>
      <c r="NW8" s="593">
        <f>'Proy 2021 vs 2019 Sem'!GN7*$NZ$4</f>
        <v>10683.199200000001</v>
      </c>
      <c r="NX8" s="593">
        <f>'Proy 2021 vs 2019 Sem'!GO7*$NZ$4</f>
        <v>7798.7354160000004</v>
      </c>
      <c r="NY8" s="735">
        <v>6126.23</v>
      </c>
      <c r="NZ8" s="700">
        <f t="shared" ref="NZ8:NZ35" si="712">NY8/NW8</f>
        <v>0.57344526534710683</v>
      </c>
      <c r="OA8" s="593">
        <f>'Proy 2021 vs 2019 Sem'!GN7*$OD$4</f>
        <v>10683.199200000001</v>
      </c>
      <c r="OB8" s="593">
        <f>'Proy 2021 vs 2019 Sem'!GO7*$OD$4</f>
        <v>7798.7354160000004</v>
      </c>
      <c r="OC8" s="735">
        <v>6233.63</v>
      </c>
      <c r="OD8" s="700">
        <f t="shared" ref="OD8:OD35" si="713">OC8/OA8</f>
        <v>0.58349843369016274</v>
      </c>
      <c r="OE8" s="593">
        <f>'Proy 2021 vs 2019 Sem'!GN7*$OH$4</f>
        <v>10683.199200000001</v>
      </c>
      <c r="OF8" s="593">
        <f>'Proy 2021 vs 2019 Sem'!GO7*$OH$4</f>
        <v>7798.7354160000004</v>
      </c>
      <c r="OG8" s="735">
        <v>7232.55</v>
      </c>
      <c r="OH8" s="700">
        <f t="shared" ref="OH8:OH35" si="714">OG8/OE8</f>
        <v>0.67700225977252204</v>
      </c>
      <c r="OI8" s="593">
        <f>'Proy 2021 vs 2019 Sem'!GN7*$OL$4</f>
        <v>10683.199200000001</v>
      </c>
      <c r="OJ8" s="593">
        <f>'Proy 2021 vs 2019 Sem'!GO7*$OL$4</f>
        <v>7798.7354160000004</v>
      </c>
      <c r="OK8" s="735">
        <v>3494.48</v>
      </c>
      <c r="OL8" s="700">
        <f t="shared" ref="OL8:OL35" si="715">OK8/OI8</f>
        <v>0.3271005187285097</v>
      </c>
      <c r="OM8" s="593">
        <f>'Proy 2021 vs 2019 Sem'!GN7*$OP$4</f>
        <v>12463.732400000001</v>
      </c>
      <c r="ON8" s="593">
        <f>'Proy 2021 vs 2019 Sem'!GO7*$OP$4</f>
        <v>9098.5246520000019</v>
      </c>
      <c r="OO8" s="735">
        <v>10495.7</v>
      </c>
      <c r="OP8" s="700">
        <f t="shared" ref="OP8:OP35" si="716">OO8/OM8</f>
        <v>0.84209927356912762</v>
      </c>
      <c r="OQ8" s="593">
        <f>'Proy 2021 vs 2019 Sem'!GN7*$JV$4</f>
        <v>14244.265600000001</v>
      </c>
      <c r="OR8" s="593">
        <f>'Proy 2021 vs 2019 Sem'!GO7*$JV$4</f>
        <v>10398.313888000001</v>
      </c>
      <c r="OS8" s="735">
        <v>9188.7099999999991</v>
      </c>
      <c r="OT8" s="700">
        <f t="shared" ref="OT8:OT34" si="717">OS8/OQ8</f>
        <v>0.64508134417263319</v>
      </c>
      <c r="OU8" s="593">
        <f>'Proy 2021 vs 2019 Sem'!GN7*$OX$4</f>
        <v>19585.8652</v>
      </c>
      <c r="OV8" s="593">
        <f>'Proy 2021 vs 2019 Sem'!GO7*$OX$4</f>
        <v>14297.681596</v>
      </c>
      <c r="OW8" s="735">
        <v>16020.24</v>
      </c>
      <c r="OX8" s="700">
        <f t="shared" ref="OX8:OX34" si="718">OW8/OU8</f>
        <v>0.81794905848734212</v>
      </c>
      <c r="OY8" s="579">
        <f t="shared" ref="OY8:OY35" si="719">NW8+OA8+OE8+OI8+OM8+OQ8+OU8</f>
        <v>89026.66</v>
      </c>
      <c r="OZ8" s="574">
        <f t="shared" ref="OZ8:OZ35" si="720">NX8+OB8+OF8+OJ8+ON8+OR8+OV8</f>
        <v>64989.461800000012</v>
      </c>
      <c r="PA8" s="785">
        <f t="shared" ref="PA8:PA35" si="721">NY8+OC8+OG8+OK8+OO8+OS8+OW8</f>
        <v>58791.539999999994</v>
      </c>
      <c r="PB8" s="786">
        <f t="shared" ref="PB8:PB34" si="722">PA8/OY8</f>
        <v>0.66038128353911052</v>
      </c>
      <c r="PC8" s="593">
        <f>'Proy 2021 vs 2019 Sem'!GW7*$PF$4</f>
        <v>9999.119999999999</v>
      </c>
      <c r="PD8" s="593">
        <f>'Proy 2021 vs 2019 Sem'!GX7*$PF$4</f>
        <v>7599.3311999999996</v>
      </c>
      <c r="PE8" s="735">
        <v>11924.02</v>
      </c>
      <c r="PF8" s="700">
        <f t="shared" ref="PF8:PF34" si="723">PE8/PC8</f>
        <v>1.192506940610774</v>
      </c>
      <c r="PG8" s="593">
        <f>'Proy 2021 vs 2019 Sem'!GW7*$PJ$4</f>
        <v>9999.119999999999</v>
      </c>
      <c r="PH8" s="593">
        <f>'Proy 2021 vs 2019 Sem'!GX7*$PJ$4</f>
        <v>7599.3311999999996</v>
      </c>
      <c r="PI8" s="735">
        <v>8778.8700000000008</v>
      </c>
      <c r="PJ8" s="700">
        <f t="shared" ref="PJ8:PJ34" si="724">PI8/PG8</f>
        <v>0.87796426085495538</v>
      </c>
      <c r="PK8" s="593">
        <f>'Proy 2021 vs 2019 Sem'!GW7*'Vtas Diarias 2021'!$PN$4</f>
        <v>9999.119999999999</v>
      </c>
      <c r="PL8" s="593">
        <f>'Proy 2021 vs 2019 Sem'!GX7*'Vtas Diarias 2021'!$PN$4</f>
        <v>7599.3311999999996</v>
      </c>
      <c r="PM8" s="735">
        <v>4778.93</v>
      </c>
      <c r="PN8" s="700">
        <f t="shared" ref="PN8:PN34" si="725">PM8/PK8</f>
        <v>0.47793505828512917</v>
      </c>
      <c r="PO8" s="593">
        <f>'Proy 2021 vs 2019 Sem'!GW7*$PR$4</f>
        <v>9999.119999999999</v>
      </c>
      <c r="PP8" s="593">
        <f>'Proy 2021 vs 2019 Sem'!GX7*$PR$4</f>
        <v>7599.3311999999996</v>
      </c>
      <c r="PQ8" s="735">
        <v>7486.13</v>
      </c>
      <c r="PR8" s="700">
        <f t="shared" ref="PR8:PR34" si="726">PQ8/PO8</f>
        <v>0.74867888374176939</v>
      </c>
      <c r="PS8" s="593">
        <f>'Proy 2021 vs 2019 Sem'!GW7*$PV$4</f>
        <v>11665.640000000001</v>
      </c>
      <c r="PT8" s="593">
        <f>'Proy 2021 vs 2019 Sem'!GX7*$PV$4</f>
        <v>8865.8864000000012</v>
      </c>
      <c r="PU8" s="735">
        <v>6549.78</v>
      </c>
      <c r="PV8" s="700">
        <f t="shared" ref="PV8:PV34" si="727">PU8/PS8</f>
        <v>0.56145912268851084</v>
      </c>
      <c r="PW8" s="593">
        <f>'Proy 2021 vs 2019 Sem'!GW7*PZ$4</f>
        <v>13332.16</v>
      </c>
      <c r="PX8" s="593">
        <f>'Proy 2021 vs 2019 Sem'!GX7*$PZ$4</f>
        <v>10132.4416</v>
      </c>
      <c r="PY8" s="735">
        <v>7746.69</v>
      </c>
      <c r="PZ8" s="700">
        <f t="shared" ref="PZ8:PZ34" si="728">PY8/PW8</f>
        <v>0.5810528826536735</v>
      </c>
      <c r="QA8" s="593">
        <f>'Proy 2021 vs 2019 Sem'!GW7*$QD$4</f>
        <v>18331.72</v>
      </c>
      <c r="QB8" s="593">
        <f>'Proy 2021 vs 2019 Sem'!GX7*$QD$4</f>
        <v>13932.1072</v>
      </c>
      <c r="QC8" s="735">
        <v>12531.78</v>
      </c>
      <c r="QD8" s="700">
        <f t="shared" ref="QD8:QD34" si="729">QC8/QA8</f>
        <v>0.68361179420152607</v>
      </c>
      <c r="QE8" s="579">
        <f t="shared" ref="QE8:QE35" si="730">PC8+PG8+PK8+PO8+PS8+PW8+QA8</f>
        <v>83326</v>
      </c>
      <c r="QF8" s="574">
        <f t="shared" ref="QF8:QF35" si="731">PD8+PH8+PL8+PP8+PT8+PX8+QB8</f>
        <v>63327.759999999995</v>
      </c>
      <c r="QG8" s="729">
        <f t="shared" ref="QG8:QG35" si="732">PE8+PI8+PM8+PQ8+PU8+PY8+QC8</f>
        <v>59796.2</v>
      </c>
      <c r="QH8" s="711">
        <f t="shared" ref="QH8:QH34" si="733">QG8/QE8</f>
        <v>0.71761755034443031</v>
      </c>
      <c r="QI8" s="578">
        <f>'Proy 2021 vs 2019 Sem'!HB7*$QL$4</f>
        <v>10258.2996</v>
      </c>
      <c r="QJ8" s="611">
        <f>'Proy 2021 vs 2019 Sem'!UG7*$AL$4</f>
        <v>0</v>
      </c>
      <c r="QK8" s="735">
        <v>5342.08</v>
      </c>
      <c r="QL8" s="700">
        <f t="shared" ref="QL8:QL34" si="734">QK8/QI8</f>
        <v>0.5207568708560627</v>
      </c>
      <c r="QM8" s="593">
        <f>'Proy 2021 vs 2019 Sem'!HB7*$QP$4</f>
        <v>10258.2996</v>
      </c>
      <c r="QN8" s="593">
        <f>'Proy 2021 vs 2019 Sem'!UG7*$AP$4</f>
        <v>0</v>
      </c>
      <c r="QO8" s="735">
        <v>8085.69</v>
      </c>
      <c r="QP8" s="700">
        <f t="shared" ref="QP8:QP34" si="735">QO8/QM8</f>
        <v>0.78820957812540393</v>
      </c>
      <c r="QQ8" s="593">
        <f>'Proy 2021 vs 2019 Sem'!HB7*$QT$4</f>
        <v>10258.2996</v>
      </c>
      <c r="QR8" s="593">
        <f>'Proy 2021 vs 2019 Sem'!HC7*$QT$4</f>
        <v>8001.473688</v>
      </c>
      <c r="QS8" s="735">
        <v>4791.92</v>
      </c>
      <c r="QT8" s="700">
        <f t="shared" ref="QT8:QT34" si="736">QS8/QQ8</f>
        <v>0.46712615022474097</v>
      </c>
      <c r="QU8" s="593">
        <f>'Proy 2021 vs 2019 Sem'!HB7*$QX$4</f>
        <v>10258.2996</v>
      </c>
      <c r="QV8" s="593">
        <f>'Proy 2021 vs 2019 Sem'!HC7*$QX$4</f>
        <v>8001.473688</v>
      </c>
      <c r="QW8" s="735">
        <v>4501.34</v>
      </c>
      <c r="QX8" s="700">
        <f t="shared" ref="QX8:QX34" si="737">QW8/QU8</f>
        <v>0.43879981824668096</v>
      </c>
      <c r="QY8" s="593">
        <f>'Proy 2021 vs 2019 Sem'!HB7*$RB$4</f>
        <v>11968.016200000002</v>
      </c>
      <c r="QZ8" s="593">
        <f>'Proy 2021 vs 2019 Sem'!HC7*$RB$4</f>
        <v>9335.0526360000022</v>
      </c>
      <c r="RA8" s="735">
        <v>4622.97</v>
      </c>
      <c r="RB8" s="700">
        <f t="shared" ref="RB8:RB34" si="738">RA8/QY8</f>
        <v>0.38627705066107776</v>
      </c>
      <c r="RC8" s="593">
        <f>'Proy 2021 vs 2019 Sem'!HB7*$RF$4</f>
        <v>13677.7328</v>
      </c>
      <c r="RD8" s="593">
        <f>'Proy 2021 vs 2019 Sem'!HC7*$RF$4</f>
        <v>10668.631584000001</v>
      </c>
      <c r="RE8" s="735">
        <v>5008.72</v>
      </c>
      <c r="RF8" s="700">
        <f t="shared" ref="RF8:RF35" si="739">RE8/RC8</f>
        <v>0.36619519281733592</v>
      </c>
      <c r="RG8" s="593">
        <f>'Proy 2021 vs 2019 Sem'!HB7*$RJ$4</f>
        <v>18806.882600000001</v>
      </c>
      <c r="RH8" s="593">
        <f>'Proy 2021 vs 2019 Sem'!HC7*$RJ$4</f>
        <v>14669.368428000002</v>
      </c>
      <c r="RI8" s="735">
        <v>16007.49</v>
      </c>
      <c r="RJ8" s="700">
        <f t="shared" ref="RJ8:RJ34" si="740">RI8/RG8</f>
        <v>0.85115063141830849</v>
      </c>
      <c r="RK8" s="579">
        <f t="shared" ref="RK8:RK35" si="741">QI8+QM8+QQ8+QU8+QY8+RC8+RG8</f>
        <v>85485.83</v>
      </c>
      <c r="RL8" s="574">
        <f t="shared" ref="RL8:RL35" si="742">QJ8+QN8+QR8+QV8+QZ8+RD8+RH8</f>
        <v>50676.000024000008</v>
      </c>
      <c r="RM8" s="730">
        <f t="shared" ref="RM8:RM35" si="743">QK8+QO8+QS8+QW8+RA8+RE8+RI8</f>
        <v>48360.210000000006</v>
      </c>
      <c r="RN8" s="711">
        <f t="shared" ref="RN8:RN34" si="744">RM8/RK8</f>
        <v>0.56571024694969918</v>
      </c>
      <c r="RO8" s="593">
        <f>'Proy 2021 vs 2019 Sem'!HG7*$RR$4</f>
        <v>10122.9336</v>
      </c>
      <c r="RP8" s="593">
        <f>'Proy 2021 vs 2019 Sem'!HH7*$RR$4</f>
        <v>7794.6588719999991</v>
      </c>
      <c r="RQ8" s="735">
        <v>6191.66</v>
      </c>
      <c r="RR8" s="700">
        <f t="shared" ref="RR8:RR34" si="745">RQ8/RO8</f>
        <v>0.61164680562559448</v>
      </c>
      <c r="RS8" s="593">
        <f>'Proy 2021 vs 2019 Sem'!HG7*$RV$4</f>
        <v>10122.9336</v>
      </c>
      <c r="RT8" s="593">
        <f>'Proy 2021 vs 2019 Sem'!HH7*$RV$4</f>
        <v>7794.6588719999991</v>
      </c>
      <c r="RU8" s="735">
        <v>5930.41</v>
      </c>
      <c r="RV8" s="700">
        <f t="shared" ref="RV8:RV34" si="746">RU8/RS8</f>
        <v>0.58583906941758457</v>
      </c>
      <c r="RW8" s="593">
        <f>'Proy 2021 vs 2019 Sem'!HG7*$RZ$4</f>
        <v>10122.9336</v>
      </c>
      <c r="RX8" s="593">
        <f>'Proy 2021 vs 2019 Sem'!HH7*$RZ$4</f>
        <v>7794.6588719999991</v>
      </c>
      <c r="RY8" s="735">
        <v>7875.44</v>
      </c>
      <c r="RZ8" s="700">
        <f t="shared" ref="RZ8:RZ34" si="747">RY8/RW8</f>
        <v>0.77798001164405539</v>
      </c>
      <c r="SA8" s="593">
        <f>'Proy 2021 vs 2019 Sem'!HG7*$SD$4</f>
        <v>10122.9336</v>
      </c>
      <c r="SB8" s="593">
        <f>'Proy 2021 vs 2019 Sem'!HH7*$SD$4</f>
        <v>7794.6588719999991</v>
      </c>
      <c r="SC8" s="735">
        <v>5206.95</v>
      </c>
      <c r="SD8" s="700">
        <f t="shared" ref="SD8:SD34" si="748">SC8/SA8</f>
        <v>0.51437164420400816</v>
      </c>
      <c r="SE8" s="593">
        <f>'Proy 2021 vs 2019 Sem'!HG7*$SH$4</f>
        <v>11810.0892</v>
      </c>
      <c r="SF8" s="593">
        <f>'Proy 2021 vs 2019 Sem'!HH7*$SH$4</f>
        <v>9093.7686840000006</v>
      </c>
      <c r="SG8" s="735">
        <v>4535.25</v>
      </c>
      <c r="SH8" s="700">
        <f t="shared" ref="SH8:SH34" si="749">SG8/SE8</f>
        <v>0.38401488110690984</v>
      </c>
      <c r="SI8" s="593">
        <f>'Proy 2021 vs 2019 Sem'!HG7*$SL$4</f>
        <v>13497.2448</v>
      </c>
      <c r="SJ8" s="593">
        <f>'Proy 2021 vs 2019 Sem'!HH7*$SL$4</f>
        <v>10392.878495999999</v>
      </c>
      <c r="SK8" s="735">
        <v>9930.9</v>
      </c>
      <c r="SL8" s="700">
        <f t="shared" ref="SL8:SL34" si="750">SK8/SI8</f>
        <v>0.73577238519079091</v>
      </c>
      <c r="SM8" s="593">
        <f>'Proy 2021 vs 2019 Sem'!HG7*$SP$4</f>
        <v>18558.711599999999</v>
      </c>
      <c r="SN8" s="593">
        <f>'Proy 2021 vs 2019 Sem'!HH7*$SP$4</f>
        <v>14290.207931999999</v>
      </c>
      <c r="SO8" s="735">
        <v>14210.97</v>
      </c>
      <c r="SP8" s="700">
        <f t="shared" ref="SP8:SP34" si="751">SO8/SM8</f>
        <v>0.76573041848443835</v>
      </c>
      <c r="SQ8" s="579">
        <f t="shared" ref="SQ8:SR35" si="752">RO8+RS8+RW8+SA8+SE8+SI8+SM8</f>
        <v>84357.78</v>
      </c>
      <c r="SR8" s="574">
        <f t="shared" ref="SR8:SR35" si="753">RP8+RT8+RX8+SB8+SF8+SJ8+SN8</f>
        <v>64955.49059999999</v>
      </c>
      <c r="SS8" s="730">
        <f t="shared" ref="SS8:SS35" si="754">RQ8+RU8+RY8+SC8+SG8+SK8+SO8</f>
        <v>53881.58</v>
      </c>
      <c r="ST8" s="711">
        <f t="shared" ref="ST8:ST34" si="755">SS8/SQ8</f>
        <v>0.63872686075901952</v>
      </c>
      <c r="SU8" s="593">
        <f>'Proy 2021 vs 2019 Sem'!HL7*$SX$4</f>
        <v>9545.2559999999994</v>
      </c>
      <c r="SV8" s="593">
        <f>'Proy 2021 vs 2019 Sem'!HM7*$SX$4</f>
        <v>7254.3945599999997</v>
      </c>
      <c r="SW8" s="735">
        <v>4221.12</v>
      </c>
      <c r="SX8" s="700">
        <f t="shared" ref="SX8:SX34" si="756">SW8/SU8</f>
        <v>0.44222176964137999</v>
      </c>
      <c r="SY8" s="593">
        <f>'Proy 2021 vs 2019 Sem'!HL7*$TB$4</f>
        <v>9545.2559999999994</v>
      </c>
      <c r="SZ8" s="593">
        <f>'Proy 2021 vs 2019 Sem'!HM7*$TB$4</f>
        <v>7254.3945599999997</v>
      </c>
      <c r="TA8" s="735">
        <v>6316.15</v>
      </c>
      <c r="TB8" s="700">
        <f t="shared" ref="TB8:TB34" si="757">TA8/SY8</f>
        <v>0.66170566823980415</v>
      </c>
      <c r="TC8" s="593">
        <f>'Proy 2021 vs 2019 Sem'!HL7*$TF$4</f>
        <v>9545.2559999999994</v>
      </c>
      <c r="TD8" s="593">
        <f>'Proy 2021 vs 2019 Sem'!HM7*$TF$4</f>
        <v>7254.3945599999997</v>
      </c>
      <c r="TE8" s="735">
        <v>4080.43</v>
      </c>
      <c r="TF8" s="700">
        <f t="shared" ref="TF8:TF34" si="758">TE8/TC8</f>
        <v>0.4274825106838413</v>
      </c>
      <c r="TG8" s="593">
        <f>'Proy 2021 vs 2019 Sem'!HL7*$TJ$4</f>
        <v>9545.2559999999994</v>
      </c>
      <c r="TH8" s="593">
        <f>'Proy 2021 vs 2019 Sem'!HM7*$TJ$4</f>
        <v>7254.3945599999997</v>
      </c>
      <c r="TI8" s="735">
        <v>5460.87</v>
      </c>
      <c r="TJ8" s="700">
        <f t="shared" ref="TJ8:TJ34" si="759">TI8/TG8</f>
        <v>0.57210304260042899</v>
      </c>
      <c r="TK8" s="593">
        <f>'Proy 2021 vs 2019 Sem'!HL7*$TN$4</f>
        <v>11136.132000000001</v>
      </c>
      <c r="TL8" s="593">
        <f>'Proy 2021 vs 2019 Sem'!HM7*$TN$4</f>
        <v>8463.4603200000001</v>
      </c>
      <c r="TM8" s="735">
        <v>5685</v>
      </c>
      <c r="TN8" s="700">
        <f t="shared" ref="TN8:TN34" si="760">TM8/TK8</f>
        <v>0.51050041432698523</v>
      </c>
      <c r="TO8" s="593">
        <f>'Proy 2021 vs 2019 Sem'!HL7*$TR$4</f>
        <v>12727.008000000002</v>
      </c>
      <c r="TP8" s="611">
        <f>'Proy 2021 vs 2019 Sem'!HM7*$TR$4</f>
        <v>9672.5260799999996</v>
      </c>
      <c r="TQ8" s="735">
        <v>6202.83</v>
      </c>
      <c r="TR8" s="700">
        <f t="shared" ref="TR8:TR34" si="761">TQ8/TO8</f>
        <v>0.48737535169302942</v>
      </c>
      <c r="TS8" s="593">
        <f>'Proy 2021 vs 2019 Sem'!HL7*$TV$4</f>
        <v>17499.636000000002</v>
      </c>
      <c r="TT8" s="593">
        <f>'Proy 2021 vs 2019 Sem'!HM7*$TV$4</f>
        <v>13299.72336</v>
      </c>
      <c r="TU8" s="735">
        <v>11869.31</v>
      </c>
      <c r="TV8" s="700">
        <f t="shared" ref="TV8:TV34" si="762">TU8/TS8</f>
        <v>0.67826039353047107</v>
      </c>
      <c r="TW8" s="579">
        <f t="shared" ref="TW8:TW34" si="763">SU8+SY8+TC8+TG8+TK8+TO8+TS8</f>
        <v>79543.8</v>
      </c>
      <c r="TX8" s="574">
        <f t="shared" ref="TX8:TX35" si="764">SV8+SZ8+TD8+TH8+TL8+TP8+TT8</f>
        <v>60453.288</v>
      </c>
      <c r="TY8" s="710">
        <f t="shared" ref="TY8:TY35" si="765">SW8+TA8+TE8+TI8+TM8+TQ8+TU8</f>
        <v>43835.71</v>
      </c>
      <c r="TZ8" s="711">
        <f t="shared" ref="TZ8:TZ34" si="766">TY8/TW8</f>
        <v>0.55108895979322081</v>
      </c>
      <c r="UA8" s="593">
        <v>10759.64</v>
      </c>
      <c r="UB8" s="593">
        <f>'Proy 2021 vs 2019 Sem'!HR7*$UD$4</f>
        <v>8215.7966880000004</v>
      </c>
      <c r="UC8" s="735">
        <v>6553</v>
      </c>
      <c r="UD8" s="700">
        <f t="shared" ref="UD8:UD34" si="767">UC8/UA8</f>
        <v>0.60903524653241192</v>
      </c>
      <c r="UE8" s="593">
        <v>11524.8</v>
      </c>
      <c r="UF8" s="593">
        <f>'Proy 2021 vs 2019 Sem'!HR7*$UH$4</f>
        <v>8215.7966880000004</v>
      </c>
      <c r="UG8" s="735">
        <v>6014.14</v>
      </c>
      <c r="UH8" s="700">
        <f t="shared" ref="UH8:UH34" si="768">UG8/UE8</f>
        <v>0.52184332916840215</v>
      </c>
      <c r="UI8" s="593">
        <v>10049.6</v>
      </c>
      <c r="UJ8" s="593">
        <f>'Proy 2021 vs 2019 Sem'!HR7*$UL$4</f>
        <v>8215.7966880000004</v>
      </c>
      <c r="UK8" s="735">
        <v>6472.43</v>
      </c>
      <c r="UL8" s="700">
        <f t="shared" ref="UL8:UL35" si="769">UK8/UI8</f>
        <v>0.64404851934405349</v>
      </c>
      <c r="UM8" s="593">
        <v>9884.66</v>
      </c>
      <c r="UN8" s="593">
        <f>'Proy 2021 vs 2019 Sem'!HR7*$UP$4</f>
        <v>8215.7966880000004</v>
      </c>
      <c r="UO8" s="735">
        <v>6030.7</v>
      </c>
      <c r="UP8" s="700">
        <f t="shared" ref="UP8:UP35" si="770">UO8/UM8</f>
        <v>0.61010697383622703</v>
      </c>
      <c r="UQ8" s="593">
        <v>10309.6</v>
      </c>
      <c r="UR8" s="593">
        <f>'Proy 2021 vs 2019 Sem'!HR7*$UT$4</f>
        <v>9585.0961360000001</v>
      </c>
      <c r="US8" s="735">
        <v>5879.47</v>
      </c>
      <c r="UT8" s="700">
        <f t="shared" ref="UT8:UT34" si="771">US8/UQ8</f>
        <v>0.57029079692713591</v>
      </c>
      <c r="UU8" s="593">
        <v>14795.18</v>
      </c>
      <c r="UV8" s="593">
        <f>'Proy 2021 vs 2019 Sem'!HR7*$UX$4</f>
        <v>10954.395584</v>
      </c>
      <c r="UW8" s="735">
        <v>10833.9</v>
      </c>
      <c r="UX8" s="700">
        <f t="shared" ref="UX8:UX34" si="772">UW8/UU8</f>
        <v>0.73225874913316358</v>
      </c>
      <c r="UY8" s="593">
        <v>22762.01</v>
      </c>
      <c r="UZ8" s="593">
        <f>'Proy 2021 vs 2019 Sem'!HR7*$VB$4</f>
        <v>15062.293927999999</v>
      </c>
      <c r="VA8" s="735">
        <v>13164.62</v>
      </c>
      <c r="VB8" s="700">
        <f t="shared" ref="VB8:VB34" si="773">VA8/UY8</f>
        <v>0.57835929252293627</v>
      </c>
      <c r="VC8" s="577">
        <f>UA8+UE8+UI8+UM8+UQ8+UU8+UY8</f>
        <v>90085.489999999991</v>
      </c>
      <c r="VD8" s="574">
        <f t="shared" ref="VD8:VD35" si="774">UB8+UF8+UJ8+UN8+UR8+UV8+UZ8</f>
        <v>68464.972399999999</v>
      </c>
      <c r="VE8" s="710">
        <f t="shared" ref="VE8:VE35" si="775">UC8+UG8+UK8+UO8+US8+UW8+VA8</f>
        <v>54948.26</v>
      </c>
      <c r="VF8" s="1531">
        <f t="shared" ref="VF8:VF34" si="776">VE8/VC8</f>
        <v>0.60995683100574805</v>
      </c>
      <c r="VG8" s="593">
        <v>7527.7</v>
      </c>
      <c r="VH8" s="593">
        <f>'Proy 2021 vs 2019 Sem'!IA7*$VJ$4</f>
        <v>5614.9772879999991</v>
      </c>
      <c r="VI8" s="735">
        <v>5748.85</v>
      </c>
      <c r="VJ8" s="700">
        <f t="shared" ref="VJ8:VJ34" si="777">VI8/VG8</f>
        <v>0.76369276140122488</v>
      </c>
      <c r="VK8" s="593">
        <v>8865.5400000000009</v>
      </c>
      <c r="VL8" s="593">
        <f>'Proy 2021 vs 2019 Sem'!IA7*$VN$4</f>
        <v>5614.9772879999991</v>
      </c>
      <c r="VM8" s="735">
        <v>7902.45</v>
      </c>
      <c r="VN8" s="700">
        <f t="shared" ref="VN8:VN34" si="778">VM8/VK8</f>
        <v>0.89136702332852813</v>
      </c>
      <c r="VO8" s="593">
        <v>6323.12</v>
      </c>
      <c r="VP8" s="593">
        <f>'Proy 2021 vs 2019 Sem'!IA7*$VR$4</f>
        <v>5614.9772879999991</v>
      </c>
      <c r="VQ8" s="735">
        <v>4991.1000000000004</v>
      </c>
      <c r="VR8" s="700">
        <f t="shared" ref="VR8:VR35" si="779">VQ8/VO8</f>
        <v>0.7893413378205697</v>
      </c>
      <c r="VS8" s="593">
        <v>9673.89</v>
      </c>
      <c r="VT8" s="593">
        <f>'Proy 2021 vs 2019 Sem'!IA7*$VV$4</f>
        <v>5614.9772879999991</v>
      </c>
      <c r="VU8" s="735">
        <v>6462.84</v>
      </c>
      <c r="VV8" s="700">
        <f t="shared" ref="VV8:VV34" si="780">VU8/VS8</f>
        <v>0.66807044529139781</v>
      </c>
      <c r="VW8" s="593">
        <v>10844.7</v>
      </c>
      <c r="VX8" s="593">
        <f>'Proy 2021 vs 2019 Sem'!IA7*$VZ$4</f>
        <v>6550.8068359999997</v>
      </c>
      <c r="VY8" s="735">
        <v>5728.36</v>
      </c>
      <c r="VZ8" s="700">
        <f t="shared" ref="VZ8:VZ34" si="781">VY8/VW8</f>
        <v>0.52821747028502397</v>
      </c>
      <c r="WA8" s="593">
        <v>11947.44</v>
      </c>
      <c r="WB8" s="593">
        <f>'Proy 2021 vs 2019 Sem'!IA7*$WD$4</f>
        <v>7486.6363839999995</v>
      </c>
      <c r="WC8" s="735">
        <v>8186.4</v>
      </c>
      <c r="WD8" s="700">
        <f t="shared" ref="WD8:WD34" si="782">WC8/WA8</f>
        <v>0.68520118117354001</v>
      </c>
      <c r="WE8" s="593">
        <v>21524.95</v>
      </c>
      <c r="WF8" s="593">
        <f>'Proy 2021 vs 2019 Sem'!IA7*$WH$4</f>
        <v>10294.125027999999</v>
      </c>
      <c r="WG8" s="735">
        <v>17777.689999999999</v>
      </c>
      <c r="WH8" s="1538">
        <f t="shared" ref="WH8:WH34" si="783">WG8/WE8</f>
        <v>0.82591086158155991</v>
      </c>
      <c r="WI8" s="574">
        <f t="shared" ref="WI8:WI35" si="784">VG8+VK8+VO8+VS8</f>
        <v>32390.25</v>
      </c>
      <c r="WJ8" s="575">
        <f t="shared" ref="WJ8:WJ35" si="785">VH8+VL8+VP8+VT8+VX8+WB8+WF8</f>
        <v>46791.477399999989</v>
      </c>
      <c r="WK8" s="793">
        <f t="shared" ref="WK8:WK35" si="786">VI8+VM8+VQ8+VU8+VY8+WC8+WG8</f>
        <v>56797.69</v>
      </c>
      <c r="WL8" s="786">
        <f t="shared" ref="WL8:WL34" si="787">WK8/WI8</f>
        <v>1.7535428099505252</v>
      </c>
      <c r="WM8" s="593">
        <v>9344.77</v>
      </c>
      <c r="WN8" s="593">
        <f>'Proy 2021 vs 2019 Sem'!IF7*$WP$4</f>
        <v>6298.6593599999997</v>
      </c>
      <c r="WO8" s="735">
        <v>4010.12</v>
      </c>
      <c r="WP8" s="700">
        <f t="shared" ref="WP8:WP34" si="788">WO8/WM8</f>
        <v>0.42912987692580978</v>
      </c>
      <c r="WQ8" s="593">
        <v>9649.9</v>
      </c>
      <c r="WR8" s="593">
        <f>'Proy 2021 vs 2019 Sem'!IF7*$WT$4</f>
        <v>6298.6593599999997</v>
      </c>
      <c r="WS8" s="735">
        <v>5551.25</v>
      </c>
      <c r="WT8" s="700">
        <f t="shared" ref="WT8:WT34" si="789">WS8/WQ8</f>
        <v>0.57526502865314666</v>
      </c>
      <c r="WU8" s="593">
        <v>8914.84</v>
      </c>
      <c r="WV8" s="593">
        <f>'Proy 2021 vs 2019 Sem'!IF7*$WX$4</f>
        <v>6298.6593599999997</v>
      </c>
      <c r="WW8" s="735">
        <v>4825.3599999999997</v>
      </c>
      <c r="WX8" s="700">
        <f t="shared" ref="WX8:WX34" si="790">WW8/WU8</f>
        <v>0.54127275419413023</v>
      </c>
      <c r="WY8" s="593">
        <v>9572.7000000000007</v>
      </c>
      <c r="WZ8" s="593">
        <f>'Proy 2021 vs 2019 Sem'!IF7*$XB$4</f>
        <v>6298.6593599999997</v>
      </c>
      <c r="XA8" s="735">
        <v>5791.54</v>
      </c>
      <c r="XB8" s="700">
        <f t="shared" ref="XB8:XB34" si="791">XA8/WY8</f>
        <v>0.60500590220105088</v>
      </c>
      <c r="XC8" s="593">
        <v>10869.02</v>
      </c>
      <c r="XD8" s="593">
        <f>'Proy 2021 vs 2019 Sem'!IF7*$XF$4</f>
        <v>7348.4359200000008</v>
      </c>
      <c r="XE8" s="735">
        <v>8776.39</v>
      </c>
      <c r="XF8" s="700">
        <f t="shared" ref="XF8:XF34" si="792">XE8/XC8</f>
        <v>0.80746838261407183</v>
      </c>
      <c r="XG8" s="593">
        <v>14234.05</v>
      </c>
      <c r="XH8" s="593">
        <f>'Proy 2021 vs 2019 Sem'!IF7*$XJ$4</f>
        <v>8398.2124800000001</v>
      </c>
      <c r="XI8" s="735">
        <v>8089.48</v>
      </c>
      <c r="XJ8" s="700">
        <f t="shared" ref="XJ8:XJ34" si="793">XI8/XG8</f>
        <v>0.56831892539368623</v>
      </c>
      <c r="XK8" s="593">
        <v>20730.32</v>
      </c>
      <c r="XL8" s="593">
        <f>'Proy 2021 vs 2019 Sem'!IF7*$XN$4</f>
        <v>11547.542160000001</v>
      </c>
      <c r="XM8" s="735">
        <v>16551.22</v>
      </c>
      <c r="XN8" s="700">
        <f t="shared" ref="XN8:XN34" si="794">XM8/XK8</f>
        <v>0.79840639218304399</v>
      </c>
      <c r="XO8" s="579">
        <f t="shared" ref="XO8:XO35" si="795">WM8+WQ8+WU8+WY8+XC8+XG8+XK8</f>
        <v>83315.600000000006</v>
      </c>
      <c r="XP8" s="574">
        <f t="shared" ref="XP8:XP35" si="796">WN8+WR8+WV8+WZ8+XD8+XH8+XL8</f>
        <v>52488.827999999994</v>
      </c>
      <c r="XQ8" s="794">
        <f t="shared" ref="XQ8:XQ35" si="797">WO8+WS8+WW8+XA8+XE8+XI8+XM8</f>
        <v>53595.360000000001</v>
      </c>
      <c r="XR8" s="786">
        <f t="shared" ref="XR8:XR34" si="798">XQ8/XO8</f>
        <v>0.64328121024153939</v>
      </c>
      <c r="XS8" s="593">
        <v>9266.1200000000008</v>
      </c>
      <c r="XT8" s="593">
        <f>'Proy 2021 vs 2019 Sem'!IK7*$XV$4</f>
        <v>6974.4763440000006</v>
      </c>
      <c r="XU8" s="735">
        <v>7140.22</v>
      </c>
      <c r="XV8" s="700">
        <f t="shared" ref="XV8:XW35" si="799">XU8/XS8</f>
        <v>0.77057279638079368</v>
      </c>
      <c r="XW8" s="593">
        <v>9417.49</v>
      </c>
      <c r="XX8" s="593">
        <f>'Proy 2021 vs 2019 Sem'!IK7*$XZ$4</f>
        <v>6974.4763440000006</v>
      </c>
      <c r="XY8" s="735">
        <v>5161.13</v>
      </c>
      <c r="XZ8" s="700">
        <f t="shared" ref="XZ8:XZ34" si="800">XY8/XW8</f>
        <v>0.54803668493409607</v>
      </c>
      <c r="YA8" s="593">
        <v>8384.4599999999991</v>
      </c>
      <c r="YB8" s="593">
        <f>'Proy 2021 vs 2019 Sem'!IK7*$YD$4</f>
        <v>6974.4763440000006</v>
      </c>
      <c r="YC8" s="735">
        <v>6797.77</v>
      </c>
      <c r="YD8" s="700">
        <f t="shared" ref="YD8:YD34" si="801">YC8/YA8</f>
        <v>0.81075823607006303</v>
      </c>
      <c r="YE8" s="593">
        <v>7780.8</v>
      </c>
      <c r="YF8" s="593">
        <f>'Proy 2021 vs 2019 Sem'!IK7*$YH$4</f>
        <v>6974.4763440000006</v>
      </c>
      <c r="YG8" s="735">
        <v>6299.84</v>
      </c>
      <c r="YH8" s="700">
        <f t="shared" ref="YH8:YH34" si="802">YG8/YE8</f>
        <v>0.80966481595722806</v>
      </c>
      <c r="YI8" s="593">
        <v>14066.35</v>
      </c>
      <c r="YJ8" s="593">
        <f>'Proy 2021 vs 2019 Sem'!IK7*$YL$4</f>
        <v>8136.8890680000022</v>
      </c>
      <c r="YK8" s="735">
        <v>6861.67</v>
      </c>
      <c r="YL8" s="700">
        <f t="shared" ref="YL8:YL34" si="803">YK8/YI8</f>
        <v>0.4878074269444454</v>
      </c>
      <c r="YM8" s="593">
        <v>14108.87</v>
      </c>
      <c r="YN8" s="593">
        <f>'Proy 2021 vs 2019 Sem'!IK7*$YP$4</f>
        <v>9299.301792000002</v>
      </c>
      <c r="YO8" s="735">
        <v>8924.2999999999993</v>
      </c>
      <c r="YP8" s="700">
        <f t="shared" ref="YP8:YP34" si="804">YO8/YM8</f>
        <v>0.63253116656401243</v>
      </c>
      <c r="YQ8" s="593">
        <v>25037.48</v>
      </c>
      <c r="YR8" s="593">
        <f>'Proy 2021 vs 2019 Sem'!IK7*$YT$4</f>
        <v>12786.539964000001</v>
      </c>
      <c r="YS8" s="735">
        <v>18552.32</v>
      </c>
      <c r="YT8" s="700">
        <f t="shared" ref="YT8:YT34" si="805">YS8/YQ8</f>
        <v>0.74098191990567741</v>
      </c>
      <c r="YU8" s="579">
        <f t="shared" ref="YU8:YU35" si="806">XS8+XW8+YA8+YE8+YI8+YM8+YQ8</f>
        <v>88061.57</v>
      </c>
      <c r="YV8" s="574">
        <f t="shared" ref="YV8:YV35" si="807">XT8+XX8+YB8+YF8+YJ8+YN8+YR8</f>
        <v>58120.636200000015</v>
      </c>
      <c r="YW8" s="794">
        <f t="shared" ref="YW8:YW35" si="808">XU8+XY8+YC8+YG8+YK8+YO8+YS8</f>
        <v>59737.250000000007</v>
      </c>
      <c r="YX8" s="786">
        <f t="shared" ref="YX8:YX34" si="809">YW8/YU8</f>
        <v>0.67835776718493668</v>
      </c>
      <c r="YY8" s="593">
        <v>15455.69</v>
      </c>
      <c r="YZ8" s="593">
        <f>'Proy 2021 vs 2019 Sem'!IP7*$ZB$4</f>
        <v>9621.3964319999995</v>
      </c>
      <c r="ZA8" s="735">
        <v>9421.2800000000007</v>
      </c>
      <c r="ZB8" s="700">
        <f t="shared" ref="ZB8:ZB34" si="810">ZA8/YY8</f>
        <v>0.60956709147246102</v>
      </c>
      <c r="ZC8" s="593">
        <v>14585.01</v>
      </c>
      <c r="ZD8" s="593">
        <f>'Proy 2021 vs 2019 Sem'!IP7*$ZF$4</f>
        <v>9621.3964319999995</v>
      </c>
      <c r="ZE8" s="735">
        <v>7049.38</v>
      </c>
      <c r="ZF8" s="700">
        <f t="shared" ref="ZF8:ZF34" si="811">ZE8/ZC8</f>
        <v>0.48333048794618583</v>
      </c>
      <c r="ZG8" s="593">
        <v>14855.42</v>
      </c>
      <c r="ZH8" s="593">
        <f>'Proy 2021 vs 2019 Sem'!IP7*$ZJ$4</f>
        <v>9621.3964319999995</v>
      </c>
      <c r="ZI8" s="735">
        <v>11014.88</v>
      </c>
      <c r="ZJ8" s="700">
        <f t="shared" ref="ZJ8:ZJ34" si="812">ZI8/ZG8</f>
        <v>0.74147213609578178</v>
      </c>
      <c r="ZK8" s="593">
        <v>15148.04</v>
      </c>
      <c r="ZL8" s="593">
        <f>'Proy 2021 vs 2019 Sem'!IP7*$ZN$4</f>
        <v>9621.3964319999995</v>
      </c>
      <c r="ZM8" s="735">
        <v>8386.83</v>
      </c>
      <c r="ZN8" s="700">
        <f t="shared" ref="ZN8:ZN34" si="813">ZM8/ZK8</f>
        <v>0.55365776694542657</v>
      </c>
      <c r="ZO8" s="593">
        <v>21440.5</v>
      </c>
      <c r="ZP8" s="593">
        <f>'Proy 2021 vs 2019 Sem'!IP7*$ZR$4</f>
        <v>11224.962504000001</v>
      </c>
      <c r="ZQ8" s="735">
        <v>10291.41</v>
      </c>
      <c r="ZR8" s="700">
        <f t="shared" ref="ZR8:ZR34" si="814">ZQ8/ZO8</f>
        <v>0.47999860077889972</v>
      </c>
      <c r="ZS8" s="593">
        <v>16293.9</v>
      </c>
      <c r="ZT8" s="593">
        <f>'Proy 2021 vs 2019 Sem'!IP7*$ZV$4</f>
        <v>12828.528576000001</v>
      </c>
      <c r="ZU8" s="735">
        <v>16233.15</v>
      </c>
      <c r="ZV8" s="700">
        <f t="shared" ref="ZV8:ZV34" si="815">ZU8/ZS8</f>
        <v>0.99627161084823157</v>
      </c>
      <c r="ZW8" s="593">
        <v>18421.88</v>
      </c>
      <c r="ZX8" s="593">
        <f>'Proy 2021 vs 2019 Sem'!IP7*$ZZ$4</f>
        <v>17639.226792000001</v>
      </c>
      <c r="ZY8" s="735">
        <v>26836.959999999999</v>
      </c>
      <c r="ZZ8" s="700">
        <f t="shared" ref="ZZ8:ZZ34" si="816">ZY8/ZW8</f>
        <v>1.4567981118105209</v>
      </c>
      <c r="AAA8" s="579">
        <f t="shared" ref="AAA8:AAA35" si="817">YY8+ZC8+ZG8+ZK8+ZO8+ZS8+ZW8</f>
        <v>116200.44</v>
      </c>
      <c r="AAB8" s="574">
        <f t="shared" ref="AAB8:AAB35" si="818">YZ8+ZD8+ZH8+ZL8+ZP8+ZT8+ZX8</f>
        <v>80178.303599999999</v>
      </c>
      <c r="AAC8" s="785">
        <f t="shared" ref="AAC8:AAC35" si="819">ZA8+ZE8+ZI8+ZM8+ZQ8+ZU8+ZY8</f>
        <v>89233.89</v>
      </c>
      <c r="AAD8" s="786">
        <f t="shared" ref="AAD8:AAD34" si="820">AAC8/AAA8</f>
        <v>0.7679307410539925</v>
      </c>
      <c r="AAE8" s="593">
        <v>11690.07</v>
      </c>
      <c r="AAF8" s="593">
        <f>'Proy 2021 vs 2019 Sem'!IY7*$AAH$4</f>
        <v>9149.9011200000004</v>
      </c>
      <c r="AAG8" s="735">
        <v>10451.56</v>
      </c>
      <c r="AAH8" s="700">
        <f t="shared" ref="AAH8:AAH34" si="821">AAG8/AAE8</f>
        <v>0.89405452661960105</v>
      </c>
      <c r="AAI8" s="593">
        <v>13739.34</v>
      </c>
      <c r="AAJ8" s="593">
        <f>'Proy 2021 vs 2019 Sem'!IY7*$AAL$4</f>
        <v>9149.9011200000004</v>
      </c>
      <c r="AAK8" s="735">
        <v>7761.54</v>
      </c>
      <c r="AAL8" s="700">
        <f t="shared" ref="AAL8:AAL34" si="822">AAK8/AAI8</f>
        <v>0.5649135984697955</v>
      </c>
      <c r="AAM8" s="593">
        <v>12048.35</v>
      </c>
      <c r="AAN8" s="593">
        <f>'Proy 2021 vs 2019 Sem'!IY7*$AAP$4</f>
        <v>9149.9011200000004</v>
      </c>
      <c r="AAO8" s="735">
        <v>7929.1</v>
      </c>
      <c r="AAP8" s="700">
        <f t="shared" ref="AAP8:AAP34" si="823">AAO8/AAM8</f>
        <v>0.6581067117074122</v>
      </c>
      <c r="AAQ8" s="593">
        <v>8973.56</v>
      </c>
      <c r="AAR8" s="593">
        <f>'Proy 2021 vs 2019 Sem'!IY7*$AAT$4</f>
        <v>9149.9011200000004</v>
      </c>
      <c r="AAS8" s="735">
        <v>4541.8900000000003</v>
      </c>
      <c r="AAT8" s="700">
        <f t="shared" ref="AAT8:AAT34" si="824">AAS8/AAQ8</f>
        <v>0.50614137532930081</v>
      </c>
      <c r="AAU8" s="593">
        <v>12342.55</v>
      </c>
      <c r="AAV8" s="593">
        <f>'Proy 2021 vs 2019 Sem'!IY7*$AAX$4</f>
        <v>10674.884640000002</v>
      </c>
      <c r="AAW8" s="735">
        <v>10734.54</v>
      </c>
      <c r="AAX8" s="700">
        <f t="shared" ref="AAX8:AAX34" si="825">AAW8/AAU8</f>
        <v>0.86971817007020447</v>
      </c>
      <c r="AAY8" s="593">
        <v>11918.91</v>
      </c>
      <c r="AAZ8" s="593">
        <f>'Proy 2021 vs 2019 Sem'!IY7*$ABB$4</f>
        <v>12199.868160000002</v>
      </c>
      <c r="ABA8" s="735">
        <v>9555.7900000000009</v>
      </c>
      <c r="ABB8" s="700">
        <f t="shared" ref="ABB8:ABB34" si="826">ABA8/AAY8</f>
        <v>0.80173354778247352</v>
      </c>
      <c r="ABC8" s="593">
        <v>24598.69</v>
      </c>
      <c r="ABD8" s="593">
        <f>'Proy 2021 vs 2019 Sem'!IY7*$ABF$4</f>
        <v>16774.818720000003</v>
      </c>
      <c r="ABE8" s="735">
        <v>14199.14</v>
      </c>
      <c r="ABF8" s="700">
        <f t="shared" ref="ABF8:ABF34" si="827">ABE8/ABC8</f>
        <v>0.57723155176149621</v>
      </c>
      <c r="ABG8" s="579">
        <f t="shared" ref="ABG8:ABG35" si="828">AAE8+AAI8+AAM8+AAQ8+AAU8+AAY8+ABC8</f>
        <v>95311.47</v>
      </c>
      <c r="ABH8" s="574">
        <f t="shared" ref="ABH8:ABH35" si="829">AAF8+AAJ8+AAN8+AAR8+AAV8+AAZ8+ABD8</f>
        <v>76249.176000000007</v>
      </c>
      <c r="ABI8" s="759">
        <f t="shared" ref="ABI8:ABI35" si="830">AAG8+AAK8+AAO8+AAS8+AAW8+ABA8+ABE8</f>
        <v>65173.56</v>
      </c>
      <c r="ABJ8" s="761">
        <f t="shared" ref="ABJ8:ABJ35" si="831">ABI8/ABG8</f>
        <v>0.68379555996775621</v>
      </c>
      <c r="ABK8" s="593">
        <v>11301.42</v>
      </c>
      <c r="ABL8" s="593">
        <f>'Proy 2021 vs 2019 Sem'!JD7*$ABN$4</f>
        <v>10174.429440000002</v>
      </c>
      <c r="ABM8" s="735">
        <v>7118.5</v>
      </c>
      <c r="ABN8" s="700">
        <f t="shared" ref="ABN8:ABN34" si="832">ABM8/ABK8</f>
        <v>0.62987659957775222</v>
      </c>
      <c r="ABO8" s="593">
        <v>9846.2000000000007</v>
      </c>
      <c r="ABP8" s="593">
        <f>'Proy 2021 vs 2019 Sem'!JD7*$ABR$4</f>
        <v>10174.429440000002</v>
      </c>
      <c r="ABQ8" s="735">
        <v>9735.09</v>
      </c>
      <c r="ABR8" s="700">
        <f t="shared" ref="ABR8:ABR34" si="833">ABQ8/ABO8</f>
        <v>0.98871544352135843</v>
      </c>
      <c r="ABS8" s="593">
        <v>9623.17</v>
      </c>
      <c r="ABT8" s="593">
        <f>'Proy 2021 vs 2019 Sem'!JD7*$ABV$4</f>
        <v>10174.429440000002</v>
      </c>
      <c r="ABU8" s="735">
        <v>6349.83</v>
      </c>
      <c r="ABV8" s="700">
        <f t="shared" ref="ABV8:ABV34" si="834">ABU8/ABS8</f>
        <v>0.65984805422745307</v>
      </c>
      <c r="ABW8" s="593">
        <v>11288.65</v>
      </c>
      <c r="ABX8" s="593">
        <f>'Proy 2021 vs 2019 Sem'!JD7*$ABZ$4</f>
        <v>10174.429440000002</v>
      </c>
      <c r="ABY8" s="735">
        <v>6525.35</v>
      </c>
      <c r="ABZ8" s="700">
        <f t="shared" ref="ABZ8:ABZ34" si="835">ABY8/ABW8</f>
        <v>0.57804520469675302</v>
      </c>
      <c r="ACA8" s="593">
        <v>12766.81</v>
      </c>
      <c r="ACB8" s="593">
        <f>'Proy 2021 vs 2019 Sem'!JD7*$ACD$4</f>
        <v>11870.167680000002</v>
      </c>
      <c r="ACC8" s="735">
        <v>8351.08</v>
      </c>
      <c r="ACD8" s="700">
        <f t="shared" ref="ACD8:ACD34" si="836">ACC8/ACA8</f>
        <v>0.65412424873558861</v>
      </c>
      <c r="ACE8" s="593">
        <v>20352.86</v>
      </c>
      <c r="ACF8" s="593">
        <f>'Proy 2021 vs 2019 Sem'!JD7*$ACH$4</f>
        <v>13565.905920000003</v>
      </c>
      <c r="ACG8" s="735">
        <v>13921.55</v>
      </c>
      <c r="ACH8" s="700">
        <f t="shared" ref="ACH8:ACH34" si="837">ACG8/ACE8</f>
        <v>0.68400952003797</v>
      </c>
      <c r="ACI8" s="593">
        <v>30804.53</v>
      </c>
      <c r="ACJ8" s="593">
        <f>'Proy 2021 vs 2019 Sem'!JD7*$ACL$4</f>
        <v>18653.120640000001</v>
      </c>
      <c r="ACK8" s="735">
        <v>20947.07</v>
      </c>
      <c r="ACL8" s="700">
        <f t="shared" ref="ACL8:ACL34" si="838">ACK8/ACI8</f>
        <v>0.67999966238731768</v>
      </c>
      <c r="ACM8" s="579">
        <f t="shared" ref="ACM8:ACM35" si="839">ABK8+ABO8+ABS8+ABW8+ACA8+ACE8+ACI8</f>
        <v>105983.64</v>
      </c>
      <c r="ACN8" s="574">
        <f t="shared" ref="ACN8:ACN35" si="840">ABL8+ABP8+ABT8+ABX8+ACB8+ACF8+ACJ8</f>
        <v>84786.912000000011</v>
      </c>
      <c r="ACO8" s="765">
        <f t="shared" ref="ACO8:ACO35" si="841">ABM8+ABQ8+ABU8+ABY8+ACC8+ACG8+ACK8</f>
        <v>72948.47</v>
      </c>
      <c r="ACP8" s="761">
        <f t="shared" ref="ACP8:ACP34" si="842">ACO8/ACM8</f>
        <v>0.68829934506872947</v>
      </c>
      <c r="ACQ8" s="593">
        <v>14307.77</v>
      </c>
      <c r="ACR8" s="593">
        <f>'Proy 2021 vs 2019 Sem'!JI7*$ACT$4</f>
        <v>12228.2592</v>
      </c>
      <c r="ACS8" s="735">
        <v>8467.51</v>
      </c>
      <c r="ACT8" s="700">
        <f t="shared" ref="ACT8:ACT34" si="843">ACS8/ACQ8</f>
        <v>0.59181200145095991</v>
      </c>
      <c r="ACU8" s="593">
        <v>26040.959999999999</v>
      </c>
      <c r="ACV8" s="593">
        <f>'Proy 2021 vs 2019 Sem'!JI7*$ACX$4</f>
        <v>12228.2592</v>
      </c>
      <c r="ACW8" s="735">
        <v>10378.23</v>
      </c>
      <c r="ACX8" s="700">
        <f t="shared" ref="ACX8:ACX34" si="844">ACW8/ACU8</f>
        <v>0.39853484664159844</v>
      </c>
      <c r="ACY8" s="593">
        <v>15912.48</v>
      </c>
      <c r="ACZ8" s="593">
        <f>'Proy 2021 vs 2019 Sem'!JI7*$ADB$4</f>
        <v>12228.2592</v>
      </c>
      <c r="ADA8" s="735">
        <v>9432.64</v>
      </c>
      <c r="ADB8" s="700">
        <f t="shared" ref="ADB8:ADB34" si="845">ADA8/ACY8</f>
        <v>0.59278252038651424</v>
      </c>
      <c r="ADC8" s="593">
        <v>10815.42</v>
      </c>
      <c r="ADD8" s="593">
        <f>'Proy 2021 vs 2019 Sem'!JI7*$ADF$4</f>
        <v>12228.2592</v>
      </c>
      <c r="ADE8" s="735">
        <v>6652.43</v>
      </c>
      <c r="ADF8" s="700">
        <f t="shared" ref="ADF8:ADF34" si="846">ADE8/ADC8</f>
        <v>0.61508753243054826</v>
      </c>
      <c r="ADG8" s="593">
        <v>16225.79</v>
      </c>
      <c r="ADH8" s="593">
        <f>'Proy 2021 vs 2019 Sem'!JI7*$ADJ$4</f>
        <v>14266.302400000002</v>
      </c>
      <c r="ADI8" s="735">
        <v>11105.9</v>
      </c>
      <c r="ADJ8" s="700">
        <f t="shared" ref="ADJ8:ADJ34" si="847">ADI8/ADG8</f>
        <v>0.68445973971067042</v>
      </c>
      <c r="ADK8" s="593">
        <v>16627.27</v>
      </c>
      <c r="ADL8" s="593">
        <f>'Proy 2021 vs 2019 Sem'!JI7*$ADN$4</f>
        <v>16304.345600000001</v>
      </c>
      <c r="ADM8" s="735">
        <v>13439.75</v>
      </c>
      <c r="ADN8" s="700">
        <f t="shared" ref="ADN8:ADN34" si="848">ADM8/ADK8</f>
        <v>0.80829564925571062</v>
      </c>
      <c r="ADO8" s="593">
        <v>27448.01</v>
      </c>
      <c r="ADP8" s="593">
        <f>'Proy 2021 vs 2019 Sem'!JI7*$ADR$4</f>
        <v>22418.475200000001</v>
      </c>
      <c r="ADQ8" s="735">
        <v>19654.78</v>
      </c>
      <c r="ADR8" s="700">
        <f t="shared" ref="ADR8:ADR34" si="849">ADQ8/ADO8</f>
        <v>0.71607304136073979</v>
      </c>
      <c r="ADS8" s="579">
        <f t="shared" ref="ADS8:ADS34" si="850">ACQ8+ACU8+ACY8+ADC8+ADG8+ADK8+ADO8</f>
        <v>127377.69999999998</v>
      </c>
      <c r="ADT8" s="574">
        <f t="shared" ref="ADT8:ADT35" si="851">ACR8+ACV8+ACZ8+ADD8+ADH8+ADL8+ADP8</f>
        <v>101902.16</v>
      </c>
      <c r="ADU8" s="765">
        <f t="shared" ref="ADU8:ADU35" si="852">ACS8+ACW8+ADA8+ADE8+ADI8+ADM8+ADQ8</f>
        <v>79131.239999999991</v>
      </c>
      <c r="ADV8" s="761">
        <f t="shared" ref="ADV8:ADV34" si="853">ADU8/ADS8</f>
        <v>0.62123307297902219</v>
      </c>
      <c r="ADW8" s="593">
        <v>18040.14</v>
      </c>
      <c r="ADX8" s="593">
        <f>'Proy 2021 vs 2019 Sem'!JN7*$ADZ$4</f>
        <v>9906.0397799999992</v>
      </c>
      <c r="ADY8" s="735">
        <v>12979.14</v>
      </c>
      <c r="ADZ8" s="700">
        <f t="shared" ref="ADZ8:ADZ34" si="854">ADY8/ADW8</f>
        <v>0.7194589398973622</v>
      </c>
      <c r="AEA8" s="593">
        <v>16067.95</v>
      </c>
      <c r="AEB8" s="593">
        <f>'Proy 2021 vs 2019 Sem'!JN7*$AED$4</f>
        <v>9906.0397799999992</v>
      </c>
      <c r="AEC8" s="735">
        <v>12596</v>
      </c>
      <c r="AED8" s="700">
        <f t="shared" ref="AED8:AED34" si="855">AEC8/AEA8</f>
        <v>0.78392078641021412</v>
      </c>
      <c r="AEE8" s="593">
        <v>15290.78</v>
      </c>
      <c r="AEF8" s="593">
        <f>'Proy 2021 vs 2019 Sem'!JN7*$AEH$4</f>
        <v>9906.0397799999992</v>
      </c>
      <c r="AEG8" s="735">
        <v>11679</v>
      </c>
      <c r="AEH8" s="700">
        <f t="shared" ref="AEH8:AEH34" si="856">AEG8/AEE8</f>
        <v>0.76379360634316884</v>
      </c>
      <c r="AEI8" s="593">
        <v>11210.05</v>
      </c>
      <c r="AEJ8" s="593">
        <f>'Proy 2021 vs 2019 Sem'!JN7*$AEL$4</f>
        <v>9906.0397799999992</v>
      </c>
      <c r="AEK8" s="735">
        <v>9814</v>
      </c>
      <c r="AEL8" s="700">
        <f t="shared" ref="AEL8:AEL34" si="857">AEK8/AEI8</f>
        <v>0.87546442700969229</v>
      </c>
      <c r="AEM8" s="593">
        <v>17684.400000000001</v>
      </c>
      <c r="AEN8" s="593">
        <f>'Proy 2021 vs 2019 Sem'!JN7*$AEP$4</f>
        <v>11557.046410000001</v>
      </c>
      <c r="AEO8" s="735">
        <v>10666</v>
      </c>
      <c r="AEP8" s="700">
        <f t="shared" ref="AEP8:AEP34" si="858">AEO8/AEM8</f>
        <v>0.60313044265001914</v>
      </c>
      <c r="AEQ8" s="593">
        <v>19208.349999999999</v>
      </c>
      <c r="AER8" s="593">
        <f>'Proy 2021 vs 2019 Sem'!JN7*$AET$4</f>
        <v>13208.053040000001</v>
      </c>
      <c r="AES8" s="735">
        <v>10965</v>
      </c>
      <c r="AET8" s="700">
        <f t="shared" ref="AET8:AET34" si="859">AES8/AEQ8</f>
        <v>0.57084549167419385</v>
      </c>
      <c r="AEU8" s="593">
        <v>29498.84</v>
      </c>
      <c r="AEV8" s="593">
        <f>'Proy 2021 vs 2019 Sem'!JN7*$AEX$4</f>
        <v>18161.072929999998</v>
      </c>
      <c r="AEW8" s="735">
        <v>25791</v>
      </c>
      <c r="AEX8" s="700">
        <f t="shared" ref="AEX8:AEX34" si="860">AEW8/AEU8</f>
        <v>0.87430556591377828</v>
      </c>
      <c r="AEY8" s="579">
        <f t="shared" ref="AEY8:AEY34" si="861">ADW8+AEA8+AEE8+AEI8+AEM8+AEQ8+AEU8</f>
        <v>127000.51000000001</v>
      </c>
      <c r="AEZ8" s="574">
        <f t="shared" ref="AEZ8:AEZ35" si="862">ADX8+AEB8+AEF8+AEJ8+AEN8+AER8+AEV8</f>
        <v>82550.3315</v>
      </c>
      <c r="AFA8" s="770">
        <f t="shared" ref="AFA8:AFA35" si="863">ADY8+AEC8+AEG8+AEK8+AEO8+AES8+AEW8</f>
        <v>94490.14</v>
      </c>
      <c r="AFB8" s="761">
        <f t="shared" ref="AFB8:AFB34" si="864">AFA8/AEY8</f>
        <v>0.74401386262149649</v>
      </c>
      <c r="AFC8" s="593">
        <v>19966.37</v>
      </c>
      <c r="AFD8" s="593">
        <f>'Proy 2021 vs 2019 Sem'!JX7*$AFF$4</f>
        <v>13634.272079999999</v>
      </c>
      <c r="AFE8" s="735">
        <v>10736</v>
      </c>
      <c r="AFF8" s="700">
        <f t="shared" ref="AFF8:AFF34" si="865">AFE8/AFC8</f>
        <v>0.5377041495274304</v>
      </c>
      <c r="AFG8" s="593">
        <v>23184.76</v>
      </c>
      <c r="AFH8" s="593">
        <f>'Proy 2021 vs 2019 Sem'!JX7*$AFJ$4</f>
        <v>13634.272079999999</v>
      </c>
      <c r="AFI8" s="735">
        <v>16515.55</v>
      </c>
      <c r="AFJ8" s="700">
        <f t="shared" ref="AFJ8:AFJ34" si="866">AFI8/AFG8</f>
        <v>0.71234509220712228</v>
      </c>
      <c r="AFK8" s="593">
        <v>21527.29</v>
      </c>
      <c r="AFL8" s="593">
        <f>'Proy 2021 vs 2019 Sem'!JX7*$AFN$4</f>
        <v>13634.272079999999</v>
      </c>
      <c r="AFM8" s="735">
        <v>11889.6</v>
      </c>
      <c r="AFN8" s="700">
        <f t="shared" ref="AFN8:AFN34" si="867">AFM8/AFK8</f>
        <v>0.55230361090504188</v>
      </c>
      <c r="AFO8" s="593">
        <v>18213.150000000001</v>
      </c>
      <c r="AFP8" s="593">
        <f>'Proy 2021 vs 2019 Sem'!JX7*$AFR$4</f>
        <v>13634.272079999999</v>
      </c>
      <c r="AFQ8" s="735">
        <v>13589.65</v>
      </c>
      <c r="AFR8" s="700">
        <f t="shared" ref="AFR8:AFR34" si="868">AFQ8/AFO8</f>
        <v>0.7461449557050811</v>
      </c>
      <c r="AFS8" s="593">
        <v>26317.4</v>
      </c>
      <c r="AFT8" s="593">
        <f>'Proy 2021 vs 2019 Sem'!JX7*$AFV$4</f>
        <v>15906.65076</v>
      </c>
      <c r="AFU8" s="735">
        <v>15941.91</v>
      </c>
      <c r="AFV8" s="700">
        <f t="shared" ref="AFV8:AFV34" si="869">AFU8/AFS8</f>
        <v>0.60575550776292486</v>
      </c>
      <c r="AFW8" s="593">
        <v>32611.05</v>
      </c>
      <c r="AFX8" s="593">
        <f>'Proy 2021 vs 2019 Sem'!JX7*$AFZ$4</f>
        <v>18179.029439999998</v>
      </c>
      <c r="AFY8" s="735">
        <v>21007.18</v>
      </c>
      <c r="AFZ8" s="700">
        <f t="shared" ref="AFZ8:AFZ34" si="870">AFY8/AFW8</f>
        <v>0.64417367732716369</v>
      </c>
      <c r="AGA8" s="593">
        <v>35408.21</v>
      </c>
      <c r="AGB8" s="593">
        <f>'Proy 2021 vs 2019 Sem'!JX7*$AGD$4</f>
        <v>24996.16548</v>
      </c>
      <c r="AGC8" s="735">
        <v>32641.57</v>
      </c>
      <c r="AGD8" s="700">
        <f t="shared" ref="AGD8:AGD34" si="871">AGC8/AGA8</f>
        <v>0.92186444895124608</v>
      </c>
      <c r="AGE8" s="579">
        <f t="shared" ref="AGE8:AGE34" si="872">AFC8+AFG8+AFK8+AFO8+AFS8+AFW8+AGA8</f>
        <v>177228.22999999998</v>
      </c>
      <c r="AGF8" s="574">
        <f t="shared" ref="AGF8:AGF35" si="873">AFD8+AFH8+AFL8+AFP8+AFT8+AFX8+AGB8</f>
        <v>113618.93399999999</v>
      </c>
      <c r="AGG8" s="729">
        <f t="shared" ref="AGG8:AGG35" si="874">AFE8+AFI8+AFM8+AFQ8+AFU8+AFY8+AGC8</f>
        <v>122321.46000000002</v>
      </c>
      <c r="AGH8" s="711">
        <f t="shared" ref="AGH8:AGH34" si="875">AGG8/AGE8</f>
        <v>0.6901917375126978</v>
      </c>
      <c r="AGI8" s="593">
        <v>30245.97</v>
      </c>
      <c r="AGJ8" s="593">
        <f>'Proy 2021 vs 2019 Sem'!KC7*$AGL$4</f>
        <v>14923.035863999999</v>
      </c>
      <c r="AGK8" s="735">
        <v>16248.18</v>
      </c>
      <c r="AGL8" s="700">
        <f t="shared" ref="AGL8:AGL34" si="876">AGK8/AGI8</f>
        <v>0.53720148502428589</v>
      </c>
      <c r="AGM8" s="593">
        <v>23216.73</v>
      </c>
      <c r="AGN8" s="593">
        <f>'Proy 2021 vs 2019 Sem'!KC7*$AGP$4</f>
        <v>14923.035863999999</v>
      </c>
      <c r="AGO8" s="735">
        <v>18583.41</v>
      </c>
      <c r="AGP8" s="700">
        <f t="shared" ref="AGP8:AGP34" si="877">AGO8/AGM8</f>
        <v>0.80043184376094312</v>
      </c>
      <c r="AGQ8" s="593">
        <v>21476.97</v>
      </c>
      <c r="AGR8" s="593">
        <f>'Proy 2021 vs 2019 Sem'!KC7*$AGT$4</f>
        <v>14923.035863999999</v>
      </c>
      <c r="AGS8" s="735">
        <v>13632.93</v>
      </c>
      <c r="AGT8" s="700">
        <f t="shared" ref="AGT8:AGT34" si="878">AGS8/AGQ8</f>
        <v>0.63476970913494779</v>
      </c>
      <c r="AGU8" s="593">
        <v>22287.49</v>
      </c>
      <c r="AGV8" s="593">
        <f>'Proy 2021 vs 2019 Sem'!KC7*$AGX$4</f>
        <v>14923.035863999999</v>
      </c>
      <c r="AGW8" s="735">
        <v>12461.4</v>
      </c>
      <c r="AGX8" s="700">
        <f t="shared" ref="AGX8:AGX34" si="879">AGW8/AGU8</f>
        <v>0.55912083415404779</v>
      </c>
      <c r="AGY8" s="593">
        <v>24574.74</v>
      </c>
      <c r="AGZ8" s="593">
        <f>'Proy 2021 vs 2019 Sem'!KC7*$AHB$4</f>
        <v>17410.208508000003</v>
      </c>
      <c r="AHA8" s="735">
        <v>15951.88</v>
      </c>
      <c r="AHB8" s="700">
        <f t="shared" ref="AHB8:AHB34" si="880">AHA8/AGY8</f>
        <v>0.64911693877534404</v>
      </c>
      <c r="AHC8" s="593">
        <v>26227.8</v>
      </c>
      <c r="AHD8" s="593">
        <f>'Proy 2021 vs 2019 Sem'!KC7*$AHF$4</f>
        <v>19897.381152000002</v>
      </c>
      <c r="AHE8" s="735">
        <v>18143.189999999999</v>
      </c>
      <c r="AHF8" s="700">
        <f t="shared" ref="AHF8:AHF34" si="881">AHE8/AHC8</f>
        <v>0.69175416924027178</v>
      </c>
      <c r="AHG8" s="593">
        <v>41298.01</v>
      </c>
      <c r="AHH8" s="593">
        <f>'Proy 2021 vs 2019 Sem'!KC7*$AHJ$4</f>
        <v>27358.899084000001</v>
      </c>
      <c r="AHI8" s="735">
        <v>32446.87</v>
      </c>
      <c r="AHJ8" s="700">
        <f t="shared" ref="AHJ8:AHJ34" si="882">AHI8/AHG8</f>
        <v>0.78567635583409456</v>
      </c>
      <c r="AHK8" s="579">
        <f t="shared" ref="AHK8:AHK34" si="883">AGI8+AGM8+AGQ8+AGU8+AGY8+AHC8+AHG8</f>
        <v>189327.71000000002</v>
      </c>
      <c r="AHL8" s="574">
        <f t="shared" ref="AHL8:AHL35" si="884">AGJ8+AGN8+AGR8+AGV8+AGZ8+AHD8+AHH8</f>
        <v>124358.63220000001</v>
      </c>
      <c r="AHM8" s="730">
        <f t="shared" ref="AHM8:AHM35" si="885">AGK8+AGO8+AGS8+AGW8+AHA8+AHE8+AHI8</f>
        <v>127467.86</v>
      </c>
      <c r="AHN8" s="711">
        <f t="shared" ref="AHN8:AHN34" si="886">AHM8/AHK8</f>
        <v>0.67326573590310679</v>
      </c>
      <c r="AHO8" s="593">
        <v>37641.730000000003</v>
      </c>
      <c r="AHP8" s="593">
        <f>'Proy 2021 vs 2019 Sem'!KH7*$AHR$4</f>
        <v>20615.061455999999</v>
      </c>
      <c r="AHQ8" s="735">
        <v>13337.68</v>
      </c>
      <c r="AHR8" s="700">
        <f t="shared" ref="AHR8:AHR34" si="887">AHQ8/AHO8</f>
        <v>0.35433227962689279</v>
      </c>
      <c r="AHS8" s="593">
        <v>31453.599999999999</v>
      </c>
      <c r="AHT8" s="593">
        <f>'Proy 2021 vs 2019 Sem'!KH7*$AHV$4</f>
        <v>20615.061455999999</v>
      </c>
      <c r="AHU8" s="735">
        <v>17297.84</v>
      </c>
      <c r="AHV8" s="700">
        <f t="shared" ref="AHV8:AHV34" si="888">AHU8/AHS8</f>
        <v>0.54994785970445359</v>
      </c>
      <c r="AHW8" s="593">
        <v>30748.74</v>
      </c>
      <c r="AHX8" s="593">
        <f>'Proy 2021 vs 2019 Sem'!KH7*$AHZ$4</f>
        <v>20615.061455999999</v>
      </c>
      <c r="AHY8" s="735">
        <v>17367.27</v>
      </c>
      <c r="AHZ8" s="700">
        <f t="shared" ref="AHZ8:AHZ34" si="889">AHY8/AHW8</f>
        <v>0.56481241182565523</v>
      </c>
      <c r="AIA8" s="593">
        <v>31851.58</v>
      </c>
      <c r="AIB8" s="593">
        <f>'Proy 2021 vs 2019 Sem'!KH7*$AID$4</f>
        <v>20615.061455999999</v>
      </c>
      <c r="AIC8" s="735">
        <v>15448.52</v>
      </c>
      <c r="AID8" s="700">
        <f t="shared" ref="AID8:AID34" si="890">AIC8/AIA8</f>
        <v>0.48501581397217969</v>
      </c>
      <c r="AIE8" s="593">
        <v>31745.39</v>
      </c>
      <c r="AIF8" s="593">
        <f>'Proy 2021 vs 2019 Sem'!KH7*$AIH$4</f>
        <v>24050.905032000002</v>
      </c>
      <c r="AIG8" s="735">
        <v>19399.93</v>
      </c>
      <c r="AIH8" s="700">
        <f t="shared" ref="AIH8:AIH34" si="891">AIG8/AIE8</f>
        <v>0.6111101485916538</v>
      </c>
      <c r="AII8" s="593">
        <v>42984.55</v>
      </c>
      <c r="AIJ8" s="593">
        <f>'Proy 2021 vs 2019 Sem'!KH7*$AIL$4</f>
        <v>27486.748607999998</v>
      </c>
      <c r="AIK8" s="735">
        <v>20805.849999999999</v>
      </c>
      <c r="AIL8" s="700">
        <f t="shared" ref="AIL8:AIL34" si="892">AIK8/AII8</f>
        <v>0.48403089016867684</v>
      </c>
      <c r="AIM8" s="593">
        <v>47531.74</v>
      </c>
      <c r="AIN8" s="593">
        <f>'Proy 2021 vs 2019 Sem'!KH7*$AIP$4</f>
        <v>37794.279336</v>
      </c>
      <c r="AIO8" s="735">
        <v>32529.86</v>
      </c>
      <c r="AIP8" s="700">
        <f t="shared" ref="AIP8:AIP34" si="893">AIO8/AIM8</f>
        <v>0.68438184674072533</v>
      </c>
      <c r="AIQ8" s="579">
        <f t="shared" ref="AIQ8:AIQ34" si="894">AHO8+AHS8+AHW8+AIA8+AIE8+AII8+AIM8</f>
        <v>253957.33000000002</v>
      </c>
      <c r="AIR8" s="574">
        <f t="shared" ref="AIR8:AIR35" si="895">AHP8+AHT8+AHX8+AIB8+AIF8+AIJ8+AIN8</f>
        <v>171792.17879999999</v>
      </c>
      <c r="AIS8" s="730">
        <f t="shared" ref="AIS8:AIS35" si="896">AHQ8+AHU8+AHY8+AIC8+AIG8+AIK8+AIO8</f>
        <v>136186.95000000001</v>
      </c>
      <c r="AIT8" s="711">
        <f t="shared" ref="AIT8:AIT34" si="897">AIS8/AIQ8</f>
        <v>0.53625918180821952</v>
      </c>
      <c r="AIU8" s="593">
        <f>'Proy 2021 vs 2019 Sem'!KL7*$AIX$4</f>
        <v>32179.0128</v>
      </c>
      <c r="AIV8" s="593">
        <f>'Proy 2021 vs 2019 Sem'!KM7*$AIX$4</f>
        <v>36684.07459199999</v>
      </c>
      <c r="AIW8" s="735">
        <v>27700.17</v>
      </c>
      <c r="AIX8" s="700">
        <f t="shared" ref="AIX8:AIX34" si="898">AIW8/AIU8</f>
        <v>0.86081478546787482</v>
      </c>
      <c r="AIY8" s="593">
        <f>'Proy 2021 vs 2019 Sem'!KL7*$AJB$4</f>
        <v>32179.0128</v>
      </c>
      <c r="AIZ8" s="593">
        <f>'Proy 2021 vs 2019 Sem'!KM7*$AJB$4</f>
        <v>36684.07459199999</v>
      </c>
      <c r="AJA8" s="735">
        <v>37794.29</v>
      </c>
      <c r="AJB8" s="700">
        <f t="shared" ref="AJB8:AJB34" si="899">AJA8/AIY8</f>
        <v>1.1745012264639765</v>
      </c>
      <c r="AJC8" s="593">
        <f>'Proy 2021 vs 2019 Sem'!KL7*$AJF$4</f>
        <v>32179.0128</v>
      </c>
      <c r="AJD8" s="593">
        <f>'Proy 2021 vs 2019 Sem'!KM7*$AJF$4</f>
        <v>36684.07459199999</v>
      </c>
      <c r="AJE8" s="735">
        <v>32363.71</v>
      </c>
      <c r="AJF8" s="700">
        <f t="shared" ref="AJF8:AJF34" si="900">AJE8/AJC8</f>
        <v>1.0057396788754189</v>
      </c>
      <c r="AJG8" s="593">
        <f>'Proy 2021 vs 2019 Sem'!KL7*$AJJ$4</f>
        <v>32179.0128</v>
      </c>
      <c r="AJH8" s="593">
        <f>'Proy 2021 vs 2019 Sem'!KM7*$AJJ$4</f>
        <v>36684.07459199999</v>
      </c>
      <c r="AJI8" s="735">
        <v>37687.49</v>
      </c>
      <c r="AJJ8" s="700">
        <f t="shared" ref="AJJ8:AJJ34" si="901">AJI8/AJG8</f>
        <v>1.1711822930751934</v>
      </c>
      <c r="AJK8" s="593">
        <f>'Proy 2021 vs 2019 Sem'!KL7*$AJN$4</f>
        <v>37542.181600000004</v>
      </c>
      <c r="AJL8" s="593">
        <f>'Proy 2021 vs 2019 Sem'!KM7*$AJN$4</f>
        <v>42798.087024</v>
      </c>
      <c r="AJM8" s="735">
        <v>61023.23</v>
      </c>
      <c r="AJN8" s="700">
        <f t="shared" ref="AJN8:AJN34" si="902">AJM8/AJK8</f>
        <v>1.6254577491042768</v>
      </c>
      <c r="AJO8" s="593">
        <f>'Proy 2021 vs 2019 Sem'!KL7*$AJR$4</f>
        <v>42905.350400000003</v>
      </c>
      <c r="AJP8" s="593">
        <f>'Proy 2021 vs 2019 Sem'!KM7*$AJR$4</f>
        <v>48912.099455999996</v>
      </c>
      <c r="AJQ8" s="735">
        <v>83508.539999999994</v>
      </c>
      <c r="AJR8" s="700">
        <f t="shared" ref="AJR8:AJR34" si="903">AJQ8/AJO8</f>
        <v>1.9463432700458725</v>
      </c>
      <c r="AJS8" s="593">
        <f>'Proy 2021 vs 2019 Sem'!KL7*$AJV$4</f>
        <v>58994.856800000001</v>
      </c>
      <c r="AJT8" s="593">
        <f>'Proy 2021 vs 2019 Sem'!KM7*$AJV$4</f>
        <v>67254.136751999991</v>
      </c>
      <c r="AJU8" s="699">
        <v>0</v>
      </c>
      <c r="AJV8" s="700">
        <f t="shared" ref="AJV8:AJV34" si="904">AJU8/AJS8</f>
        <v>0</v>
      </c>
      <c r="AJW8" s="579">
        <f t="shared" ref="AJW8:AJW34" si="905">AIU8+AIY8+AJC8+AJG8+AJK8+AJO8+AJS8</f>
        <v>268158.44</v>
      </c>
      <c r="AJX8" s="574">
        <f t="shared" ref="AJX8:AJX35" si="906">AIV8+AIZ8+AJD8+AJH8+AJL8+AJP8+AJT8</f>
        <v>305700.62159999995</v>
      </c>
      <c r="AJY8" s="710">
        <f t="shared" ref="AJY8:AJY35" si="907">AIW8+AJA8+AJE8+AJI8+AJM8+AJQ8+AJU8</f>
        <v>280077.43</v>
      </c>
      <c r="AJZ8" s="711">
        <f t="shared" ref="AJZ8:AJZ34" si="908">AJY8/AJW8</f>
        <v>1.0444475661478341</v>
      </c>
      <c r="AKA8" s="593">
        <f>'Proy 2021 vs 2019 Sem'!KQ7*$AKD$4</f>
        <v>11023.483199999999</v>
      </c>
      <c r="AKB8" s="593">
        <f>'Proy 2021 vs 2019 Sem'!KR7*$AKD$4</f>
        <v>8267.6124</v>
      </c>
      <c r="AKC8" s="735">
        <v>12237.8</v>
      </c>
      <c r="AKD8" s="700">
        <f t="shared" ref="AKD8:AKD34" si="909">AKC8/AKA8</f>
        <v>1.1101572686208658</v>
      </c>
      <c r="AKE8" s="593">
        <f>'Proy 2021 vs 2019 Sem'!KQ7*$AKH$4</f>
        <v>11023.483199999999</v>
      </c>
      <c r="AKF8" s="593">
        <f>'Proy 2021 vs 2019 Sem'!KR7*$AKH$4</f>
        <v>8267.6124</v>
      </c>
      <c r="AKG8" s="735">
        <v>10697.95</v>
      </c>
      <c r="AKH8" s="700">
        <f t="shared" ref="AKH8:AKH34" si="910">AKG8/AKE8</f>
        <v>0.97046911633157862</v>
      </c>
      <c r="AKI8" s="593">
        <f>'Proy 2021 vs 2019 Sem'!KQ7*$AKL$4</f>
        <v>11023.483199999999</v>
      </c>
      <c r="AKJ8" s="593">
        <f>'Proy 2021 vs 2019 Sem'!KR7*$AKL$4</f>
        <v>8267.6124</v>
      </c>
      <c r="AKK8" s="735">
        <v>13442.2</v>
      </c>
      <c r="AKL8" s="700">
        <f t="shared" ref="AKL8:AKL34" si="911">AKK8/AKI8</f>
        <v>1.2194149304822275</v>
      </c>
      <c r="AKM8" s="593">
        <f>'Proy 2021 vs 2019 Sem'!KQ7*$AKP$4</f>
        <v>11023.483199999999</v>
      </c>
      <c r="AKN8" s="593">
        <f>'Proy 2021 vs 2019 Sem'!KR7*$AKP$4</f>
        <v>8267.6124</v>
      </c>
      <c r="AKO8" s="735">
        <v>12827.2</v>
      </c>
      <c r="AKP8" s="700">
        <f t="shared" ref="AKP8:AKP34" si="912">AKO8/AKM8</f>
        <v>1.1636249420691276</v>
      </c>
      <c r="AKQ8" s="593">
        <f>'Proy 2021 vs 2019 Sem'!KQ7*$AKT$4</f>
        <v>12860.730400000002</v>
      </c>
      <c r="AKR8" s="593">
        <f>'Proy 2021 vs 2019 Sem'!KR7*$AKT$4</f>
        <v>9645.5478000000021</v>
      </c>
      <c r="AKS8" s="735">
        <v>16640.21</v>
      </c>
      <c r="AKT8" s="700">
        <f t="shared" ref="AKT8:AKT34" si="913">AKS8/AKQ8</f>
        <v>1.293877523472539</v>
      </c>
      <c r="AKU8" s="593">
        <f>'Proy 2021 vs 2019 Sem'!KQ7*$AKX$4</f>
        <v>14697.9776</v>
      </c>
      <c r="AKV8" s="593">
        <f>'Proy 2021 vs 2019 Sem'!KR7*$AKX$4</f>
        <v>11023.483200000001</v>
      </c>
      <c r="AKW8" s="735">
        <v>18023.75</v>
      </c>
      <c r="AKX8" s="700">
        <f t="shared" ref="AKX8:AKX34" si="914">AKW8/AKU8</f>
        <v>1.2262741508056183</v>
      </c>
      <c r="AKY8" s="593">
        <f>'Proy 2021 vs 2019 Sem'!KQ7*$ALB$4</f>
        <v>20209.7192</v>
      </c>
      <c r="AKZ8" s="593">
        <f>'Proy 2021 vs 2019 Sem'!KR7*$ALB$4</f>
        <v>15157.289400000001</v>
      </c>
      <c r="ALA8" s="699">
        <v>0</v>
      </c>
      <c r="ALB8" s="700">
        <f>ALA8/AKY8</f>
        <v>0</v>
      </c>
      <c r="ALC8" s="579">
        <f t="shared" ref="ALC8:ALC34" si="915">AKA8+AKE8+AKI8+AKM8+AKQ8+AKU8+AKY8</f>
        <v>91862.359999999986</v>
      </c>
      <c r="ALD8" s="574">
        <f t="shared" ref="ALD8:ALD35" si="916">AKB8+AKF8+AKJ8+AKN8+AKR8+AKV8+AKZ8</f>
        <v>68896.77</v>
      </c>
      <c r="ALE8" s="710">
        <f t="shared" ref="ALE8:ALE35" si="917">AKC8+AKG8+AKK8+AKO8+AKS8+AKW8+ALA8</f>
        <v>83869.109999999986</v>
      </c>
      <c r="ALF8" s="711">
        <f t="shared" ref="ALF8:ALF34" si="918">ALE8/ALC8</f>
        <v>0.91298666831551023</v>
      </c>
    </row>
    <row r="9" spans="2:994" ht="19.5" customHeight="1">
      <c r="B9" s="570" t="s">
        <v>471</v>
      </c>
      <c r="C9" s="574">
        <f>'Proy 2021 vs 2019 Sem'!DX8*$F$4</f>
        <v>9107.4599999999991</v>
      </c>
      <c r="D9" s="576">
        <f>'Proy 2021 vs 2019 Sem'!$DY$8*F4</f>
        <v>7420.88381638183</v>
      </c>
      <c r="E9" s="735">
        <v>10030.530000000001</v>
      </c>
      <c r="F9" s="700">
        <f t="shared" si="580"/>
        <v>1.1013531764070335</v>
      </c>
      <c r="G9" s="574">
        <f>'Proy 2021 vs 2019 Sem'!DX8*$J$4</f>
        <v>9107.4599999999991</v>
      </c>
      <c r="H9" s="574">
        <f>'Proy 2021 vs 2019 Sem'!$DY$8*J4</f>
        <v>7420.88381638183</v>
      </c>
      <c r="I9" s="735">
        <v>5119.6000000000004</v>
      </c>
      <c r="J9" s="700">
        <f t="shared" si="581"/>
        <v>0.56213258142226274</v>
      </c>
      <c r="K9" s="574">
        <f>'Proy 2021 vs 2019 Sem'!DX8*'Vtas Diarias 2021'!$N$4</f>
        <v>9107.4599999999991</v>
      </c>
      <c r="L9" s="574">
        <f>'Proy 2021 vs 2019 Sem'!$DY$8*N4</f>
        <v>7420.88381638183</v>
      </c>
      <c r="M9" s="735">
        <v>8338.59</v>
      </c>
      <c r="N9" s="700">
        <f t="shared" si="582"/>
        <v>0.91557799869557499</v>
      </c>
      <c r="O9" s="574">
        <f>'Proy 2021 vs 2019 Sem'!DX8*$R$4</f>
        <v>9107.4599999999991</v>
      </c>
      <c r="P9" s="574">
        <f>'Proy 2021 vs 2019 Sem'!$DY$8*R4</f>
        <v>7420.88381638183</v>
      </c>
      <c r="Q9" s="735">
        <v>7299.48</v>
      </c>
      <c r="R9" s="700">
        <f t="shared" si="583"/>
        <v>0.80148361892338815</v>
      </c>
      <c r="S9" s="574">
        <f>'Proy 2021 vs 2019 Sem'!DX8*$V$4</f>
        <v>10625.37</v>
      </c>
      <c r="T9" s="574">
        <f>'Proy 2021 vs 2019 Sem'!$DY$8*V4</f>
        <v>8657.6977857788024</v>
      </c>
      <c r="U9" s="735">
        <v>6334.54</v>
      </c>
      <c r="V9" s="700">
        <f t="shared" si="584"/>
        <v>0.59617123921331672</v>
      </c>
      <c r="W9" s="574">
        <f>'Proy 2021 vs 2019 Sem'!DX8*$Z$4</f>
        <v>12143.28</v>
      </c>
      <c r="X9" s="574">
        <f>'Proy 2021 vs 2019 Sem'!$DY$8*Z4</f>
        <v>9894.5117551757739</v>
      </c>
      <c r="Y9" s="735">
        <v>10527.51</v>
      </c>
      <c r="Z9" s="700">
        <f t="shared" si="585"/>
        <v>0.86694122181156985</v>
      </c>
      <c r="AA9" s="574">
        <f>'Proy 2021 vs 2019 Sem'!DX8*$AD$4</f>
        <v>16697.009999999998</v>
      </c>
      <c r="AB9" s="574">
        <f>'Proy 2021 vs 2019 Sem'!$DY$8*AD4</f>
        <v>13604.953663366688</v>
      </c>
      <c r="AC9" s="735">
        <v>15866.5</v>
      </c>
      <c r="AD9" s="700">
        <f t="shared" si="586"/>
        <v>0.95025995672279062</v>
      </c>
      <c r="AE9" s="579">
        <f t="shared" si="587"/>
        <v>75895.5</v>
      </c>
      <c r="AF9" s="574">
        <f t="shared" si="588"/>
        <v>61840.698469848583</v>
      </c>
      <c r="AG9" s="729">
        <f t="shared" si="589"/>
        <v>63516.75</v>
      </c>
      <c r="AH9" s="711">
        <f t="shared" si="590"/>
        <v>0.83689744451252046</v>
      </c>
      <c r="AI9" s="593">
        <f>'Proy 2021 vs 2019 Sem'!EC8*$AL$4</f>
        <v>9787.4867999999988</v>
      </c>
      <c r="AJ9" s="611">
        <f>'Proy 2021 vs 2019 Sem'!ED8*$AL$4</f>
        <v>7829.9894400000003</v>
      </c>
      <c r="AK9" s="735">
        <v>7648.94</v>
      </c>
      <c r="AL9" s="700">
        <f t="shared" si="591"/>
        <v>0.78150194797708439</v>
      </c>
      <c r="AM9" s="593">
        <f>'Proy 2021 vs 2019 Sem'!EC8*$AP$4</f>
        <v>9787.4867999999988</v>
      </c>
      <c r="AN9" s="593">
        <f>'Proy 2021 vs 2019 Sem'!ED8*$AP$4</f>
        <v>7829.9894400000003</v>
      </c>
      <c r="AO9" s="735">
        <v>7325.57</v>
      </c>
      <c r="AP9" s="700">
        <f t="shared" si="592"/>
        <v>0.74846282295880084</v>
      </c>
      <c r="AQ9" s="593">
        <f>'Proy 2021 vs 2019 Sem'!EC8*$AT$4</f>
        <v>9787.4867999999988</v>
      </c>
      <c r="AR9" s="593">
        <f>'Proy 2021 vs 2019 Sem'!ED8*$AT$4</f>
        <v>7829.9894400000003</v>
      </c>
      <c r="AS9" s="735">
        <v>5801.45</v>
      </c>
      <c r="AT9" s="700">
        <f t="shared" si="593"/>
        <v>0.5927415401469559</v>
      </c>
      <c r="AU9" s="593">
        <f>'Proy 2021 vs 2019 Sem'!EC8*$AX$4</f>
        <v>9787.4867999999988</v>
      </c>
      <c r="AV9" s="593">
        <f>'Proy 2021 vs 2019 Sem'!ED8*$AX$4</f>
        <v>7829.9894400000003</v>
      </c>
      <c r="AW9" s="735">
        <v>7920.11</v>
      </c>
      <c r="AX9" s="700">
        <f t="shared" si="594"/>
        <v>0.80920773246917699</v>
      </c>
      <c r="AY9" s="593">
        <f>'Proy 2021 vs 2019 Sem'!EC8*$BB$4</f>
        <v>11418.734600000002</v>
      </c>
      <c r="AZ9" s="593">
        <f>'Proy 2021 vs 2019 Sem'!ED8*$BB$4</f>
        <v>9134.987680000002</v>
      </c>
      <c r="BA9" s="735">
        <v>11316.56</v>
      </c>
      <c r="BB9" s="700">
        <f t="shared" si="595"/>
        <v>0.99105202077294952</v>
      </c>
      <c r="BC9" s="593">
        <f>'Proy 2021 vs 2019 Sem'!EC8*$BF$4</f>
        <v>13049.982400000001</v>
      </c>
      <c r="BD9" s="593">
        <f>'Proy 2021 vs 2019 Sem'!ED8*$BF$4</f>
        <v>10439.985920000001</v>
      </c>
      <c r="BE9" s="735">
        <v>10816.34</v>
      </c>
      <c r="BF9" s="700">
        <f t="shared" si="596"/>
        <v>0.82883943199800791</v>
      </c>
      <c r="BG9" s="593">
        <f>'Proy 2021 vs 2019 Sem'!EC8*$BJ$4</f>
        <v>17943.7258</v>
      </c>
      <c r="BH9" s="593">
        <f>'Proy 2021 vs 2019 Sem'!ED8*$BJ$4</f>
        <v>14354.980640000002</v>
      </c>
      <c r="BI9" s="735">
        <v>19861.38</v>
      </c>
      <c r="BJ9" s="700">
        <f t="shared" si="597"/>
        <v>1.1068704583080511</v>
      </c>
      <c r="BK9" s="579">
        <f t="shared" si="598"/>
        <v>81562.39</v>
      </c>
      <c r="BL9" s="574">
        <f t="shared" si="599"/>
        <v>65249.912000000004</v>
      </c>
      <c r="BM9" s="730">
        <f t="shared" si="600"/>
        <v>70690.350000000006</v>
      </c>
      <c r="BN9" s="711">
        <f t="shared" si="601"/>
        <v>0.86670277808190765</v>
      </c>
      <c r="BO9" s="593">
        <f>'Proy 2021 vs 2019 Sem'!EH8*$BR$4</f>
        <v>10743.6036</v>
      </c>
      <c r="BP9" s="593">
        <f>'Proy 2021 vs 2019 Sem'!EI8*$BR$4</f>
        <v>7520.5225199999986</v>
      </c>
      <c r="BQ9" s="735">
        <v>7816.14</v>
      </c>
      <c r="BR9" s="700">
        <f t="shared" si="602"/>
        <v>0.72751567267429706</v>
      </c>
      <c r="BS9" s="593">
        <f>'Proy 2021 vs 2019 Sem'!EH8*$BV$4</f>
        <v>10743.6036</v>
      </c>
      <c r="BT9" s="593">
        <f>'Proy 2021 vs 2019 Sem'!EI8*$BV$4</f>
        <v>7520.5225199999986</v>
      </c>
      <c r="BU9" s="735">
        <v>7546.66</v>
      </c>
      <c r="BV9" s="700">
        <f t="shared" si="603"/>
        <v>0.70243284106275106</v>
      </c>
      <c r="BW9" s="593">
        <f>'Proy 2021 vs 2019 Sem'!EH8*$BZ$4</f>
        <v>10743.6036</v>
      </c>
      <c r="BX9" s="593">
        <f>'Proy 2021 vs 2019 Sem'!EI8*$BZ$4</f>
        <v>7520.5225199999986</v>
      </c>
      <c r="BY9" s="735">
        <v>7578.81</v>
      </c>
      <c r="BZ9" s="700">
        <f t="shared" si="604"/>
        <v>0.7054253193034784</v>
      </c>
      <c r="CA9" s="593">
        <f>'Proy 2021 vs 2019 Sem'!EH8*$CD$4</f>
        <v>10743.6036</v>
      </c>
      <c r="CB9" s="593">
        <f>'Proy 2021 vs 2019 Sem'!EI8*$CD$4</f>
        <v>7520.5225199999986</v>
      </c>
      <c r="CC9" s="735">
        <v>8803.8799999999992</v>
      </c>
      <c r="CD9" s="700">
        <f t="shared" si="605"/>
        <v>0.81945316746422014</v>
      </c>
      <c r="CE9" s="593">
        <f>'Proy 2021 vs 2019 Sem'!EH8*$CH$4</f>
        <v>12534.2042</v>
      </c>
      <c r="CF9" s="593">
        <f>'Proy 2021 vs 2019 Sem'!EI8*$CH$4</f>
        <v>8773.942939999999</v>
      </c>
      <c r="CG9" s="735">
        <v>7352.72</v>
      </c>
      <c r="CH9" s="700">
        <f t="shared" si="606"/>
        <v>0.58661243128622398</v>
      </c>
      <c r="CI9" s="593">
        <f>'Proy 2021 vs 2019 Sem'!EH8*$CL$4</f>
        <v>14324.8048</v>
      </c>
      <c r="CJ9" s="593">
        <f>'Proy 2021 vs 2019 Sem'!EI8*$CL$4</f>
        <v>10027.363359999999</v>
      </c>
      <c r="CK9" s="735">
        <v>11264.24</v>
      </c>
      <c r="CL9" s="700">
        <f t="shared" si="607"/>
        <v>0.78634509560646859</v>
      </c>
      <c r="CM9" s="593">
        <f>'Proy 2021 vs 2019 Sem'!EH8*$CP$4</f>
        <v>19696.606599999999</v>
      </c>
      <c r="CN9" s="593">
        <f>'Proy 2021 vs 2019 Sem'!EI8*$CP$4</f>
        <v>13787.624619999999</v>
      </c>
      <c r="CO9" s="735">
        <v>17201.560000000001</v>
      </c>
      <c r="CP9" s="700">
        <f t="shared" si="608"/>
        <v>0.8733260682578694</v>
      </c>
      <c r="CQ9" s="579">
        <f t="shared" si="609"/>
        <v>89530.03</v>
      </c>
      <c r="CR9" s="574">
        <f t="shared" si="610"/>
        <v>62671.020999999993</v>
      </c>
      <c r="CS9" s="730">
        <f t="shared" si="611"/>
        <v>67564.009999999995</v>
      </c>
      <c r="CT9" s="711">
        <f t="shared" si="612"/>
        <v>0.75465193075440717</v>
      </c>
      <c r="CU9" s="593">
        <f>'Proy 2021 vs 2019 Sem'!EM8*$CX$4</f>
        <v>11427.546</v>
      </c>
      <c r="CV9" s="593">
        <f>'Proy 2021 vs 2019 Sem'!EN8*$CX$4</f>
        <v>7999.2821999999996</v>
      </c>
      <c r="CW9" s="735">
        <v>8378.42</v>
      </c>
      <c r="CX9" s="700">
        <f t="shared" si="613"/>
        <v>0.73317753435426991</v>
      </c>
      <c r="CY9" s="593">
        <f>'Proy 2021 vs 2019 Sem'!EM8*$DB$4</f>
        <v>11427.546</v>
      </c>
      <c r="CZ9" s="593">
        <f>'Proy 2021 vs 2019 Sem'!EN8*$DB$4</f>
        <v>7999.2821999999996</v>
      </c>
      <c r="DA9" s="735">
        <v>6866.27</v>
      </c>
      <c r="DB9" s="700">
        <f t="shared" si="614"/>
        <v>0.60085253649383696</v>
      </c>
      <c r="DC9" s="593">
        <f>'Proy 2021 vs 2019 Sem'!EM8*$DF$4</f>
        <v>11427.546</v>
      </c>
      <c r="DD9" s="593">
        <f>'Proy 2021 vs 2019 Sem'!EN8*$DF$4</f>
        <v>7999.2821999999996</v>
      </c>
      <c r="DE9" s="735">
        <v>5880.22</v>
      </c>
      <c r="DF9" s="700">
        <f t="shared" si="615"/>
        <v>0.51456541938225409</v>
      </c>
      <c r="DG9" s="593">
        <f>'Proy 2021 vs 2019 Sem'!EM8*$DJ$4</f>
        <v>11427.546</v>
      </c>
      <c r="DH9" s="593">
        <f>'Proy 2021 vs 2019 Sem'!EN8*$DJ$4</f>
        <v>7999.2821999999996</v>
      </c>
      <c r="DI9" s="735">
        <v>8166.17</v>
      </c>
      <c r="DJ9" s="700">
        <f t="shared" si="616"/>
        <v>0.71460399284325782</v>
      </c>
      <c r="DK9" s="593">
        <f>'Proy 2021 vs 2019 Sem'!EM8*$DN$4</f>
        <v>13332.137000000002</v>
      </c>
      <c r="DL9" s="593">
        <f>'Proy 2021 vs 2019 Sem'!EN8*$DN$4</f>
        <v>9332.4958999999999</v>
      </c>
      <c r="DM9" s="735">
        <v>8740.14</v>
      </c>
      <c r="DN9" s="700">
        <f t="shared" si="617"/>
        <v>0.65556932095732268</v>
      </c>
      <c r="DO9" s="593">
        <f>'Proy 2021 vs 2019 Sem'!EM8*$DR$4</f>
        <v>15236.728000000001</v>
      </c>
      <c r="DP9" s="593">
        <f>'Proy 2021 vs 2019 Sem'!EN8*$DR$4</f>
        <v>10665.7096</v>
      </c>
      <c r="DQ9" s="735">
        <v>8552.9500000000007</v>
      </c>
      <c r="DR9" s="700">
        <f t="shared" si="618"/>
        <v>0.56133770977600972</v>
      </c>
      <c r="DS9" s="593">
        <f>'Proy 2021 vs 2019 Sem'!EM8*$DV$4</f>
        <v>20950.501</v>
      </c>
      <c r="DT9" s="593">
        <f>'Proy 2021 vs 2019 Sem'!EN8*$DV$4</f>
        <v>14665.350699999999</v>
      </c>
      <c r="DU9" s="735">
        <v>15920.03</v>
      </c>
      <c r="DV9" s="700">
        <f t="shared" si="619"/>
        <v>0.75988779456873135</v>
      </c>
      <c r="DW9" s="579">
        <f t="shared" si="620"/>
        <v>95229.55</v>
      </c>
      <c r="DX9" s="574">
        <f t="shared" si="621"/>
        <v>66660.684999999998</v>
      </c>
      <c r="DY9" s="710">
        <f t="shared" si="622"/>
        <v>62504.2</v>
      </c>
      <c r="DZ9" s="711">
        <f t="shared" si="623"/>
        <v>0.65635299127214186</v>
      </c>
      <c r="EA9" s="593">
        <f>'Proy 2021 vs 2019 Sem'!ER8*$ED$4</f>
        <v>10734.5484</v>
      </c>
      <c r="EB9" s="593">
        <f>'Proy 2021 vs 2019 Sem'!ES8*$ED$4</f>
        <v>6440.7290400000002</v>
      </c>
      <c r="EC9" s="735">
        <v>8358.26</v>
      </c>
      <c r="ED9" s="700">
        <f t="shared" si="624"/>
        <v>0.77863173079549397</v>
      </c>
      <c r="EE9" s="593">
        <f>'Proy 2021 vs 2019 Sem'!ER8*$EH$4</f>
        <v>10734.5484</v>
      </c>
      <c r="EF9" s="593">
        <f>'Proy 2021 vs 2019 Sem'!ES8*$EH$4</f>
        <v>6440.7290400000002</v>
      </c>
      <c r="EG9" s="735">
        <v>7571.55</v>
      </c>
      <c r="EH9" s="700">
        <f t="shared" si="625"/>
        <v>0.70534406459055143</v>
      </c>
      <c r="EI9" s="593">
        <f>'Proy 2021 vs 2019 Sem'!ER8*$EL$4</f>
        <v>10734.5484</v>
      </c>
      <c r="EJ9" s="593">
        <f>'Proy 2021 vs 2019 Sem'!ES8*$EL$4</f>
        <v>6440.7290400000002</v>
      </c>
      <c r="EK9" s="735">
        <v>4738.18</v>
      </c>
      <c r="EL9" s="700">
        <f t="shared" si="626"/>
        <v>0.44139537346536167</v>
      </c>
      <c r="EM9" s="593">
        <f>'Proy 2021 vs 2019 Sem'!ER8*$EP$4</f>
        <v>10734.5484</v>
      </c>
      <c r="EN9" s="593">
        <f>'Proy 2021 vs 2019 Sem'!ES8*$EP$4</f>
        <v>6440.7290400000002</v>
      </c>
      <c r="EO9" s="735">
        <v>4242.17</v>
      </c>
      <c r="EP9" s="700">
        <f t="shared" si="627"/>
        <v>0.39518849251264265</v>
      </c>
      <c r="EQ9" s="593">
        <f>'Proy 2021 vs 2019 Sem'!ER8*$ET$4</f>
        <v>12523.639800000003</v>
      </c>
      <c r="ER9" s="593">
        <f>'Proy 2021 vs 2019 Sem'!ES8*$ET$4</f>
        <v>7514.1838800000014</v>
      </c>
      <c r="ES9" s="735">
        <v>9671.57</v>
      </c>
      <c r="ET9" s="700">
        <f t="shared" si="628"/>
        <v>0.77226510459044007</v>
      </c>
      <c r="EU9" s="593">
        <f>'Proy 2021 vs 2019 Sem'!ER8*$EX$4</f>
        <v>14312.731200000002</v>
      </c>
      <c r="EV9" s="593">
        <f>'Proy 2021 vs 2019 Sem'!ES8*$EX$4</f>
        <v>8587.6387200000008</v>
      </c>
      <c r="EW9" s="735">
        <v>9345.7000000000007</v>
      </c>
      <c r="EX9" s="700">
        <f t="shared" si="629"/>
        <v>0.65296412469480314</v>
      </c>
      <c r="EY9" s="593">
        <f>'Proy 2021 vs 2019 Sem'!ER8*$FB$4</f>
        <v>19680.005400000002</v>
      </c>
      <c r="EZ9" s="593">
        <f>'Proy 2021 vs 2019 Sem'!ES8*$FB$4</f>
        <v>11808.003240000002</v>
      </c>
      <c r="FA9" s="699">
        <v>13089.08</v>
      </c>
      <c r="FB9" s="700">
        <f t="shared" si="630"/>
        <v>0.66509534595961028</v>
      </c>
      <c r="FC9" s="579">
        <f t="shared" si="631"/>
        <v>89454.57</v>
      </c>
      <c r="FD9" s="574">
        <f t="shared" si="632"/>
        <v>53672.742000000013</v>
      </c>
      <c r="FE9" s="710">
        <f t="shared" si="633"/>
        <v>57016.510000000009</v>
      </c>
      <c r="FF9" s="711">
        <f t="shared" si="634"/>
        <v>0.63737951006863047</v>
      </c>
      <c r="FG9" s="593">
        <f>'Proy 2021 vs 2019 Sem'!FA8*$FJ$4</f>
        <v>8939.1743999999999</v>
      </c>
      <c r="FH9" s="593">
        <f>'Proy 2021 vs 2019 Sem'!FB8*$FJ$4</f>
        <v>6257.4220799999994</v>
      </c>
      <c r="FI9" s="735">
        <v>6179.35</v>
      </c>
      <c r="FJ9" s="700">
        <f t="shared" si="635"/>
        <v>0.69126629859688171</v>
      </c>
      <c r="FK9" s="593">
        <f>'Proy 2021 vs 2019 Sem'!FA8*$FN$4</f>
        <v>8939.1743999999999</v>
      </c>
      <c r="FL9" s="593">
        <f>'Proy 2021 vs 2019 Sem'!FB8*$FN$4</f>
        <v>6257.4220799999994</v>
      </c>
      <c r="FM9" s="735">
        <v>9460.58</v>
      </c>
      <c r="FN9" s="700">
        <f t="shared" si="636"/>
        <v>1.0583281605961283</v>
      </c>
      <c r="FO9" s="593">
        <f>'Proy 2021 vs 2019 Sem'!FA8*$FR$4</f>
        <v>8939.1743999999999</v>
      </c>
      <c r="FP9" s="593">
        <f>'Proy 2021 vs 2019 Sem'!FB8*$FR$4</f>
        <v>6257.4220799999994</v>
      </c>
      <c r="FQ9" s="735">
        <v>6765.88</v>
      </c>
      <c r="FR9" s="700">
        <f t="shared" si="637"/>
        <v>0.75687974048252149</v>
      </c>
      <c r="FS9" s="593">
        <f>'Proy 2021 vs 2019 Sem'!FA8*$FV$4</f>
        <v>8939.1743999999999</v>
      </c>
      <c r="FT9" s="593">
        <f>'Proy 2021 vs 2019 Sem'!FB8*$FV$4</f>
        <v>6257.4220799999994</v>
      </c>
      <c r="FU9" s="735">
        <v>6098.22</v>
      </c>
      <c r="FV9" s="700">
        <f t="shared" si="638"/>
        <v>0.68219051638594275</v>
      </c>
      <c r="FW9" s="593">
        <f>'Proy 2021 vs 2019 Sem'!FA8*$FZ$4</f>
        <v>10429.0368</v>
      </c>
      <c r="FX9" s="593">
        <f>'Proy 2021 vs 2019 Sem'!FB8*$FZ$4</f>
        <v>7300.3257599999997</v>
      </c>
      <c r="FY9" s="735">
        <v>12458.72</v>
      </c>
      <c r="FZ9" s="700">
        <f t="shared" si="639"/>
        <v>1.1946184713817483</v>
      </c>
      <c r="GA9" s="593">
        <f>'Proy 2021 vs 2019 Sem'!FA8*$GD$4</f>
        <v>11918.8992</v>
      </c>
      <c r="GB9" s="593">
        <f>'Proy 2021 vs 2019 Sem'!FB8*$GD$4</f>
        <v>8343.2294399999992</v>
      </c>
      <c r="GC9" s="735">
        <v>10788.21</v>
      </c>
      <c r="GD9" s="700">
        <f t="shared" si="640"/>
        <v>0.90513476278077754</v>
      </c>
      <c r="GE9" s="593">
        <f>'Proy 2021 vs 2019 Sem'!FA8*$GH$4</f>
        <v>16388.486399999998</v>
      </c>
      <c r="GF9" s="593">
        <f>'Proy 2021 vs 2019 Sem'!FB8*$GH$4</f>
        <v>11471.940479999999</v>
      </c>
      <c r="GG9" s="735">
        <v>18895.57</v>
      </c>
      <c r="GH9" s="700">
        <f t="shared" si="641"/>
        <v>1.152978349483208</v>
      </c>
      <c r="GI9" s="579">
        <f t="shared" si="642"/>
        <v>74493.119999999995</v>
      </c>
      <c r="GJ9" s="574">
        <f t="shared" si="643"/>
        <v>52145.183999999994</v>
      </c>
      <c r="GK9" s="759">
        <f t="shared" si="644"/>
        <v>70646.53</v>
      </c>
      <c r="GL9" s="761">
        <f t="shared" si="645"/>
        <v>0.94836315085205192</v>
      </c>
      <c r="GM9" s="593">
        <f>'Proy 2021 vs 2019 Sem'!FF8*$GP$4</f>
        <v>9068.9351999999999</v>
      </c>
      <c r="GN9" s="593">
        <f>'Proy 2021 vs 2019 Sem'!FG8*$GP$4</f>
        <v>6892.3907520000002</v>
      </c>
      <c r="GO9" s="735">
        <v>5811.31</v>
      </c>
      <c r="GP9" s="700">
        <f t="shared" si="646"/>
        <v>0.64079297865090057</v>
      </c>
      <c r="GQ9" s="593">
        <f>'Proy 2021 vs 2019 Sem'!FF8*$GT$4</f>
        <v>9068.9351999999999</v>
      </c>
      <c r="GR9" s="593">
        <f>'Proy 2021 vs 2019 Sem'!FG8*$GT$4</f>
        <v>6892.3907520000002</v>
      </c>
      <c r="GS9" s="735">
        <v>7270.09</v>
      </c>
      <c r="GT9" s="700">
        <f t="shared" si="647"/>
        <v>0.80164758482340903</v>
      </c>
      <c r="GU9" s="593">
        <f>'Proy 2021 vs 2019 Sem'!FF8*$GX$4</f>
        <v>9068.9351999999999</v>
      </c>
      <c r="GV9" s="593">
        <f>'Proy 2021 vs 2019 Sem'!FG8*$GX$4</f>
        <v>6892.3907520000002</v>
      </c>
      <c r="GW9" s="735">
        <v>7993.78</v>
      </c>
      <c r="GX9" s="700">
        <f t="shared" si="648"/>
        <v>0.88144636869827897</v>
      </c>
      <c r="GY9" s="593">
        <f>'Proy 2021 vs 2019 Sem'!FF8*$HB$4</f>
        <v>9068.9351999999999</v>
      </c>
      <c r="GZ9" s="593">
        <f>'Proy 2021 vs 2019 Sem'!FG8*$HB$4</f>
        <v>6892.3907520000002</v>
      </c>
      <c r="HA9" s="735">
        <v>8254.19</v>
      </c>
      <c r="HB9" s="700">
        <f t="shared" si="649"/>
        <v>0.91016087533627987</v>
      </c>
      <c r="HC9" s="593">
        <f>'Proy 2021 vs 2019 Sem'!FF8*$HF$4</f>
        <v>10580.424400000002</v>
      </c>
      <c r="HD9" s="593">
        <f>'Proy 2021 vs 2019 Sem'!FG8*$HF$4</f>
        <v>8041.1225440000017</v>
      </c>
      <c r="HE9" s="735">
        <v>9539.67</v>
      </c>
      <c r="HF9" s="700">
        <f t="shared" si="650"/>
        <v>0.90163396470183166</v>
      </c>
      <c r="HG9" s="593">
        <f>'Proy 2021 vs 2019 Sem'!FF8*$HJ$4</f>
        <v>12091.913600000002</v>
      </c>
      <c r="HH9" s="593">
        <f>'Proy 2021 vs 2019 Sem'!FG8*$HJ$4</f>
        <v>9189.8543360000021</v>
      </c>
      <c r="HI9" s="735">
        <v>13961.68</v>
      </c>
      <c r="HJ9" s="700">
        <f t="shared" si="651"/>
        <v>1.1546294872632896</v>
      </c>
      <c r="HK9" s="593">
        <f>'Proy 2021 vs 2019 Sem'!FF8*$HN$4</f>
        <v>16626.3812</v>
      </c>
      <c r="HL9" s="593">
        <f>'Proy 2021 vs 2019 Sem'!FG8*$HN$4</f>
        <v>12636.049712000002</v>
      </c>
      <c r="HM9" s="735">
        <v>15387.33</v>
      </c>
      <c r="HN9" s="700">
        <f t="shared" si="652"/>
        <v>0.92547679587666376</v>
      </c>
      <c r="HO9" s="579">
        <f t="shared" si="653"/>
        <v>75574.460000000006</v>
      </c>
      <c r="HP9" s="574">
        <f t="shared" si="654"/>
        <v>57436.589600000007</v>
      </c>
      <c r="HQ9" s="765">
        <f t="shared" si="655"/>
        <v>68218.05</v>
      </c>
      <c r="HR9" s="761">
        <f t="shared" si="656"/>
        <v>0.90266010501431304</v>
      </c>
      <c r="HS9" s="593">
        <f>'Proy 2021 vs 2019 Sem'!FK8*$CX$4</f>
        <v>10423.6608</v>
      </c>
      <c r="HT9" s="593">
        <f>'Proy 2021 vs 2019 Sem'!FL8*$CX$4</f>
        <v>8234.6920320000008</v>
      </c>
      <c r="HU9" s="735">
        <v>6436.09</v>
      </c>
      <c r="HV9" s="700">
        <f t="shared" si="657"/>
        <v>0.61745006130667646</v>
      </c>
      <c r="HW9" s="593">
        <f>'Proy 2021 vs 2019 Sem'!FK8*$DB$4</f>
        <v>10423.6608</v>
      </c>
      <c r="HX9" s="593">
        <f>'Proy 2021 vs 2019 Sem'!FL8*$DB$4</f>
        <v>8234.6920320000008</v>
      </c>
      <c r="HY9" s="735">
        <v>6277.28</v>
      </c>
      <c r="HZ9" s="700">
        <f t="shared" si="658"/>
        <v>0.6022145310023902</v>
      </c>
      <c r="IA9" s="593">
        <f>'Proy 2021 vs 2019 Sem'!FK8*$DF$4</f>
        <v>10423.6608</v>
      </c>
      <c r="IB9" s="593">
        <f>'Proy 2021 vs 2019 Sem'!FL8*$DF$4</f>
        <v>8234.6920320000008</v>
      </c>
      <c r="IC9" s="735">
        <v>6308.04</v>
      </c>
      <c r="ID9" s="700">
        <f t="shared" si="659"/>
        <v>0.6051655096067593</v>
      </c>
      <c r="IE9" s="593">
        <f>'Proy 2021 vs 2019 Sem'!FK8*$DJ$4</f>
        <v>10423.6608</v>
      </c>
      <c r="IF9" s="593">
        <f>'Proy 2021 vs 2019 Sem'!FL8*$DJ$4</f>
        <v>8234.6920320000008</v>
      </c>
      <c r="IG9" s="735">
        <v>6729.89</v>
      </c>
      <c r="IH9" s="700">
        <f t="shared" si="660"/>
        <v>0.64563593627298388</v>
      </c>
      <c r="II9" s="593">
        <f>'Proy 2021 vs 2019 Sem'!FK8*$DN$4</f>
        <v>12160.937600000001</v>
      </c>
      <c r="IJ9" s="593">
        <f>'Proy 2021 vs 2019 Sem'!FL8*$DN$4</f>
        <v>9607.1407040000013</v>
      </c>
      <c r="IK9" s="735">
        <v>7362.58</v>
      </c>
      <c r="IL9" s="700">
        <f t="shared" si="661"/>
        <v>0.60542864721220169</v>
      </c>
      <c r="IM9" s="593">
        <f>'Proy 2021 vs 2019 Sem'!FK8*$DR$4</f>
        <v>13898.214399999999</v>
      </c>
      <c r="IN9" s="593">
        <f>'Proy 2021 vs 2019 Sem'!FL8*$DR$4</f>
        <v>10979.589376000002</v>
      </c>
      <c r="IO9" s="1410">
        <v>8807.49</v>
      </c>
      <c r="IP9" s="700">
        <f t="shared" si="662"/>
        <v>0.63371378124660394</v>
      </c>
      <c r="IQ9" s="593">
        <f>'Proy 2021 vs 2019 Sem'!FK8*$IT$4</f>
        <v>19110.0448</v>
      </c>
      <c r="IR9" s="593">
        <f>'Proy 2021 vs 2019 Sem'!FL8*$IT$4</f>
        <v>15096.935392000001</v>
      </c>
      <c r="IS9" s="735">
        <v>14368.47</v>
      </c>
      <c r="IT9" s="700">
        <f t="shared" si="663"/>
        <v>0.75188049794629475</v>
      </c>
      <c r="IU9" s="579">
        <f t="shared" si="664"/>
        <v>86863.84</v>
      </c>
      <c r="IV9" s="574">
        <f t="shared" si="665"/>
        <v>68622.433600000004</v>
      </c>
      <c r="IW9" s="765">
        <f t="shared" si="666"/>
        <v>56289.84</v>
      </c>
      <c r="IX9" s="761">
        <f t="shared" si="667"/>
        <v>0.64802384974000693</v>
      </c>
      <c r="IY9" s="593">
        <f>'Proy 2021 vs 2019 Sem'!FP8*$JB$4</f>
        <v>9015.2711999999992</v>
      </c>
      <c r="IZ9" s="593">
        <f>'Proy 2021 vs 2019 Sem'!FQ8*$JB$4</f>
        <v>6851.6061119999995</v>
      </c>
      <c r="JA9" s="735">
        <v>6674.03</v>
      </c>
      <c r="JB9" s="700">
        <f t="shared" si="668"/>
        <v>0.74030274319423695</v>
      </c>
      <c r="JC9" s="593">
        <f>'Proy 2021 vs 2019 Sem'!FP8*$JF$4</f>
        <v>9015.2711999999992</v>
      </c>
      <c r="JD9" s="593">
        <f>'Proy 2021 vs 2019 Sem'!FQ8*$JF$4</f>
        <v>6851.6061119999995</v>
      </c>
      <c r="JE9" s="735">
        <v>5638.35</v>
      </c>
      <c r="JF9" s="700">
        <f t="shared" si="669"/>
        <v>0.62542211708506346</v>
      </c>
      <c r="JG9" s="593">
        <f>'Proy 2021 vs 2019 Sem'!FP8*$JJ$4</f>
        <v>9015.2711999999992</v>
      </c>
      <c r="JH9" s="593">
        <f>'Proy 2021 vs 2019 Sem'!FQ8*$JJ$4</f>
        <v>6851.6061119999995</v>
      </c>
      <c r="JI9" s="735">
        <v>5895.01</v>
      </c>
      <c r="JJ9" s="700">
        <f t="shared" si="670"/>
        <v>0.65389158786482215</v>
      </c>
      <c r="JK9" s="593">
        <f>'Proy 2021 vs 2019 Sem'!FP8*$JN$4</f>
        <v>9015.2711999999992</v>
      </c>
      <c r="JL9" s="593">
        <f>'Proy 2021 vs 2019 Sem'!FQ8*$JN$4</f>
        <v>6851.6061119999995</v>
      </c>
      <c r="JM9" s="735">
        <v>6646.08</v>
      </c>
      <c r="JN9" s="700">
        <f t="shared" si="671"/>
        <v>0.73720244821919501</v>
      </c>
      <c r="JO9" s="593">
        <f>'Proy 2021 vs 2019 Sem'!FP8*$JR$4</f>
        <v>10517.8164</v>
      </c>
      <c r="JP9" s="593">
        <f>'Proy 2021 vs 2019 Sem'!FQ8*$JR$4</f>
        <v>7993.5404640000006</v>
      </c>
      <c r="JQ9" s="735">
        <v>6254.19</v>
      </c>
      <c r="JR9" s="700">
        <f t="shared" si="672"/>
        <v>0.59462817776511101</v>
      </c>
      <c r="JS9" s="593">
        <f>'Proy 2021 vs 2019 Sem'!FP8*$JV$4</f>
        <v>12020.3616</v>
      </c>
      <c r="JT9" s="593">
        <f>'Proy 2021 vs 2019 Sem'!FQ8*$JV$4</f>
        <v>9135.4748159999999</v>
      </c>
      <c r="JU9" s="735">
        <v>12833.56</v>
      </c>
      <c r="JV9" s="700">
        <f t="shared" si="673"/>
        <v>1.0676517418577491</v>
      </c>
      <c r="JW9" s="593">
        <f>'Proy 2021 vs 2019 Sem'!FP8*$JZ$4</f>
        <v>16527.997199999998</v>
      </c>
      <c r="JX9" s="593">
        <f>'Proy 2021 vs 2019 Sem'!FQ8*$JZ$4</f>
        <v>12561.277871999999</v>
      </c>
      <c r="JY9" s="735">
        <v>16237.73</v>
      </c>
      <c r="JZ9" s="700">
        <f t="shared" si="674"/>
        <v>0.98243784794445643</v>
      </c>
      <c r="KA9" s="579">
        <f t="shared" si="675"/>
        <v>75127.259999999995</v>
      </c>
      <c r="KB9" s="574">
        <f t="shared" si="676"/>
        <v>57096.717599999996</v>
      </c>
      <c r="KC9" s="770">
        <f t="shared" si="677"/>
        <v>60178.95</v>
      </c>
      <c r="KD9" s="761">
        <f t="shared" si="678"/>
        <v>0.80102681769573392</v>
      </c>
      <c r="KE9" s="593">
        <f>'Proy 2021 vs 2019 Sem'!FY8*$KH$4</f>
        <v>8817.4331999999995</v>
      </c>
      <c r="KF9" s="593">
        <f>'Proy 2021 vs 2019 Sem'!FZ8*$KH$4</f>
        <v>6613.0749000000005</v>
      </c>
      <c r="KG9" s="735">
        <v>5860.2</v>
      </c>
      <c r="KH9" s="700">
        <f t="shared" si="679"/>
        <v>0.66461518528997765</v>
      </c>
      <c r="KI9" s="593">
        <f>'Proy 2021 vs 2019 Sem'!FY8*$KL$4</f>
        <v>8817.4331999999995</v>
      </c>
      <c r="KJ9" s="593">
        <f>'Proy 2021 vs 2019 Sem'!FZ8*$KL$4</f>
        <v>6613.0749000000005</v>
      </c>
      <c r="KK9" s="735">
        <v>7037.79</v>
      </c>
      <c r="KL9" s="700">
        <f t="shared" si="680"/>
        <v>0.79816765722704885</v>
      </c>
      <c r="KM9" s="593">
        <f>'Proy 2021 vs 2019 Sem'!FY8*$KP$4</f>
        <v>8817.4331999999995</v>
      </c>
      <c r="KN9" s="593">
        <f>'Proy 2021 vs 2019 Sem'!FZ8*$KP$4</f>
        <v>6613.0749000000005</v>
      </c>
      <c r="KO9" s="735">
        <v>6255.62</v>
      </c>
      <c r="KP9" s="700">
        <f t="shared" si="681"/>
        <v>0.70946043571954709</v>
      </c>
      <c r="KQ9" s="593">
        <f>'Proy 2021 vs 2019 Sem'!FY8*$KT$4</f>
        <v>8817.4331999999995</v>
      </c>
      <c r="KR9" s="593">
        <f>'Proy 2021 vs 2019 Sem'!FZ8*$KT$4</f>
        <v>6613.0749000000005</v>
      </c>
      <c r="KS9" s="735">
        <v>6402.95</v>
      </c>
      <c r="KT9" s="700">
        <f t="shared" si="682"/>
        <v>0.72616937999598341</v>
      </c>
      <c r="KU9" s="593">
        <f>'Proy 2021 vs 2019 Sem'!FY8*$KX$4</f>
        <v>10287.005400000002</v>
      </c>
      <c r="KV9" s="593">
        <f>'Proy 2021 vs 2019 Sem'!FZ8*$KX$4</f>
        <v>7715.2540500000014</v>
      </c>
      <c r="KW9" s="735">
        <v>7212.03</v>
      </c>
      <c r="KX9" s="700">
        <f t="shared" si="683"/>
        <v>0.70108158006799515</v>
      </c>
      <c r="KY9" s="593">
        <f>'Proy 2021 vs 2019 Sem'!FY8*$LB$4</f>
        <v>11756.577600000001</v>
      </c>
      <c r="KZ9" s="593">
        <f>'Proy 2021 vs 2019 Sem'!FZ8*$LB$4</f>
        <v>8817.4332000000013</v>
      </c>
      <c r="LA9" s="735">
        <v>7383.2</v>
      </c>
      <c r="LB9" s="700">
        <f t="shared" si="684"/>
        <v>0.6280058917826562</v>
      </c>
      <c r="LC9" s="593">
        <f>'Proy 2021 vs 2019 Sem'!FY8*$LF$4</f>
        <v>16165.2942</v>
      </c>
      <c r="LD9" s="593">
        <f>'Proy 2021 vs 2019 Sem'!FZ8*$LF$4</f>
        <v>12123.970650000001</v>
      </c>
      <c r="LE9" s="735">
        <v>15788.44</v>
      </c>
      <c r="LF9" s="700">
        <f t="shared" si="685"/>
        <v>0.9766874518126617</v>
      </c>
      <c r="LG9" s="579">
        <f t="shared" si="686"/>
        <v>73478.61</v>
      </c>
      <c r="LH9" s="574">
        <f t="shared" si="687"/>
        <v>55108.957500000004</v>
      </c>
      <c r="LI9" s="793">
        <f t="shared" si="688"/>
        <v>55940.23</v>
      </c>
      <c r="LJ9" s="786">
        <f t="shared" si="689"/>
        <v>0.76131312228143677</v>
      </c>
      <c r="LK9" s="593">
        <f>'Proy 2021 vs 2019 Sem'!GD8*$LN$4</f>
        <v>7669.1279999999997</v>
      </c>
      <c r="LL9" s="593">
        <f>'Proy 2021 vs 2019 Sem'!GE8*$LN$4</f>
        <v>6211.9936799999996</v>
      </c>
      <c r="LM9" s="735">
        <v>4932.1400000000003</v>
      </c>
      <c r="LN9" s="700">
        <f t="shared" si="690"/>
        <v>0.64311614045299548</v>
      </c>
      <c r="LO9" s="593">
        <f>'Proy 2021 vs 2019 Sem'!GD8*$LR$4</f>
        <v>7669.1279999999997</v>
      </c>
      <c r="LP9" s="593">
        <f>'Proy 2021 vs 2019 Sem'!GE8*$LR$4</f>
        <v>6211.9936799999996</v>
      </c>
      <c r="LQ9" s="735">
        <v>6903.45</v>
      </c>
      <c r="LR9" s="700">
        <f t="shared" si="691"/>
        <v>0.90016100917861852</v>
      </c>
      <c r="LS9" s="593">
        <f>'Proy 2021 vs 2019 Sem'!GD8*$LV$4</f>
        <v>7669.1279999999997</v>
      </c>
      <c r="LT9" s="593">
        <f>'Proy 2021 vs 2019 Sem'!GE8*$LV$4</f>
        <v>6211.9936799999996</v>
      </c>
      <c r="LU9" s="735">
        <v>5137.1899999999996</v>
      </c>
      <c r="LV9" s="700">
        <f t="shared" si="692"/>
        <v>0.66985320886546684</v>
      </c>
      <c r="LW9" s="593">
        <f>'Proy 2021 vs 2019 Sem'!GD8*$LZ$4</f>
        <v>7669.1279999999997</v>
      </c>
      <c r="LX9" s="593">
        <f>'Proy 2021 vs 2019 Sem'!GE8*$LZ$4</f>
        <v>6211.9936799999996</v>
      </c>
      <c r="LY9" s="735">
        <v>2944.14</v>
      </c>
      <c r="LZ9" s="700">
        <f t="shared" si="693"/>
        <v>0.38389501387902247</v>
      </c>
      <c r="MA9" s="593">
        <f>'Proy 2021 vs 2019 Sem'!GD8*$MD$4</f>
        <v>8947.3160000000007</v>
      </c>
      <c r="MB9" s="593">
        <f>'Proy 2021 vs 2019 Sem'!GE8*$MD$4</f>
        <v>7247.325960000001</v>
      </c>
      <c r="MC9" s="735">
        <v>9894.32</v>
      </c>
      <c r="MD9" s="700">
        <f t="shared" si="694"/>
        <v>1.1058422436404391</v>
      </c>
      <c r="ME9" s="593">
        <f>'Proy 2021 vs 2019 Sem'!GD8*$MH$4</f>
        <v>10225.504000000001</v>
      </c>
      <c r="MF9" s="593">
        <f>'Proy 2021 vs 2019 Sem'!GE8*$MH$4</f>
        <v>8282.6582400000007</v>
      </c>
      <c r="MG9" s="735">
        <v>13391.33</v>
      </c>
      <c r="MH9" s="700">
        <f t="shared" si="695"/>
        <v>1.3096009741915899</v>
      </c>
      <c r="MI9" s="593">
        <f>'Proy 2021 vs 2019 Sem'!GD8*$ML$4</f>
        <v>14060.068000000001</v>
      </c>
      <c r="MJ9" s="593">
        <f>'Proy 2021 vs 2019 Sem'!GE8*$ML$4</f>
        <v>11388.65508</v>
      </c>
      <c r="MK9" s="735">
        <v>16722.09</v>
      </c>
      <c r="ML9" s="700">
        <f t="shared" si="696"/>
        <v>1.189332085733867</v>
      </c>
      <c r="MM9" s="579">
        <f t="shared" si="697"/>
        <v>63909.4</v>
      </c>
      <c r="MN9" s="574">
        <f t="shared" si="698"/>
        <v>51766.614000000001</v>
      </c>
      <c r="MO9" s="794">
        <f t="shared" si="699"/>
        <v>59924.66</v>
      </c>
      <c r="MP9" s="786">
        <f t="shared" si="700"/>
        <v>0.93765017352689906</v>
      </c>
      <c r="MQ9" s="593">
        <f>'Proy 2021 vs 2019 Sem'!GI8*$MT$4</f>
        <v>6534.0443999999998</v>
      </c>
      <c r="MR9" s="593">
        <f>'Proy 2021 vs 2019 Sem'!GJ8*$MT$4</f>
        <v>5227.2355200000002</v>
      </c>
      <c r="MS9" s="735">
        <v>5129.33</v>
      </c>
      <c r="MT9" s="700">
        <f t="shared" si="701"/>
        <v>0.78501609202410683</v>
      </c>
      <c r="MU9" s="593">
        <f>'Proy 2021 vs 2019 Sem'!GI8*$MX$4</f>
        <v>6534.0443999999998</v>
      </c>
      <c r="MV9" s="593">
        <f>'Proy 2021 vs 2019 Sem'!GJ8*$MX$4</f>
        <v>5227.2355200000002</v>
      </c>
      <c r="MW9" s="735">
        <v>5938.73</v>
      </c>
      <c r="MX9" s="700">
        <f t="shared" si="702"/>
        <v>0.9088903650547584</v>
      </c>
      <c r="MY9" s="593">
        <f>'Proy 2021 vs 2019 Sem'!GI8*$NB$4</f>
        <v>6534.0443999999998</v>
      </c>
      <c r="MZ9" s="593">
        <f>'Proy 2021 vs 2019 Sem'!GJ8*$NB$4</f>
        <v>5227.2355200000002</v>
      </c>
      <c r="NA9" s="735">
        <v>4965.0600000000004</v>
      </c>
      <c r="NB9" s="700">
        <f t="shared" si="703"/>
        <v>0.75987546090136771</v>
      </c>
      <c r="NC9" s="593">
        <f>'Proy 2021 vs 2019 Sem'!GI8*$NF$4</f>
        <v>6534.0443999999998</v>
      </c>
      <c r="ND9" s="593">
        <f>'Proy 2021 vs 2019 Sem'!GJ8*$NF$4</f>
        <v>5227.2355200000002</v>
      </c>
      <c r="NE9" s="735">
        <v>5289.81</v>
      </c>
      <c r="NF9" s="700">
        <f t="shared" si="704"/>
        <v>0.80957668423557094</v>
      </c>
      <c r="NG9" s="593">
        <f>'Proy 2021 vs 2019 Sem'!GI8*$NJ$4</f>
        <v>7623.0518000000011</v>
      </c>
      <c r="NH9" s="593">
        <f>'Proy 2021 vs 2019 Sem'!GJ8*$NJ$4</f>
        <v>6098.4414400000005</v>
      </c>
      <c r="NI9" s="735">
        <v>6424.47</v>
      </c>
      <c r="NJ9" s="700">
        <f t="shared" si="705"/>
        <v>0.84276877142563811</v>
      </c>
      <c r="NK9" s="593">
        <f>'Proy 2021 vs 2019 Sem'!GI8*$NN$4</f>
        <v>8712.0591999999997</v>
      </c>
      <c r="NL9" s="593">
        <f>'Proy 2021 vs 2019 Sem'!GJ8*$NN$4</f>
        <v>6969.6473600000008</v>
      </c>
      <c r="NM9" s="735">
        <v>6971.82</v>
      </c>
      <c r="NN9" s="700">
        <f t="shared" si="706"/>
        <v>0.80024938306204352</v>
      </c>
      <c r="NO9" s="593">
        <f>'Proy 2021 vs 2019 Sem'!GI8*$NR$4</f>
        <v>11979.081400000001</v>
      </c>
      <c r="NP9" s="593">
        <f>'Proy 2021 vs 2019 Sem'!GJ8*$NR$4</f>
        <v>9583.26512</v>
      </c>
      <c r="NQ9" s="735">
        <v>14843.76</v>
      </c>
      <c r="NR9" s="700">
        <f t="shared" si="707"/>
        <v>1.2391400896566243</v>
      </c>
      <c r="NS9" s="579">
        <f t="shared" si="708"/>
        <v>54450.37</v>
      </c>
      <c r="NT9" s="574">
        <f t="shared" si="709"/>
        <v>43560.296000000002</v>
      </c>
      <c r="NU9" s="794">
        <f t="shared" si="710"/>
        <v>49562.98</v>
      </c>
      <c r="NV9" s="786">
        <f t="shared" si="711"/>
        <v>0.91024138127987009</v>
      </c>
      <c r="NW9" s="593">
        <f>'Proy 2021 vs 2019 Sem'!GN8*$NZ$4</f>
        <v>7451.6027999999997</v>
      </c>
      <c r="NX9" s="593">
        <f>'Proy 2021 vs 2019 Sem'!GO8*$NZ$4</f>
        <v>5439.6700440000004</v>
      </c>
      <c r="NY9" s="735">
        <v>3927.64</v>
      </c>
      <c r="NZ9" s="700">
        <f t="shared" si="712"/>
        <v>0.52708660209317648</v>
      </c>
      <c r="OA9" s="593">
        <f>'Proy 2021 vs 2019 Sem'!GN8*$OD$4</f>
        <v>7451.6027999999997</v>
      </c>
      <c r="OB9" s="593">
        <f>'Proy 2021 vs 2019 Sem'!GO8*$OD$4</f>
        <v>5439.6700440000004</v>
      </c>
      <c r="OC9" s="735">
        <v>5830.32</v>
      </c>
      <c r="OD9" s="700">
        <f t="shared" si="713"/>
        <v>0.78242495695020142</v>
      </c>
      <c r="OE9" s="593">
        <f>'Proy 2021 vs 2019 Sem'!GN8*$OH$4</f>
        <v>7451.6027999999997</v>
      </c>
      <c r="OF9" s="593">
        <f>'Proy 2021 vs 2019 Sem'!GO8*$OH$4</f>
        <v>5439.6700440000004</v>
      </c>
      <c r="OG9" s="735">
        <v>6919.6</v>
      </c>
      <c r="OH9" s="700">
        <f t="shared" si="714"/>
        <v>0.92860558804878879</v>
      </c>
      <c r="OI9" s="593">
        <f>'Proy 2021 vs 2019 Sem'!GN8*$OL$4</f>
        <v>7451.6027999999997</v>
      </c>
      <c r="OJ9" s="593">
        <f>'Proy 2021 vs 2019 Sem'!GO8*$OL$4</f>
        <v>5439.6700440000004</v>
      </c>
      <c r="OK9" s="735">
        <v>4852.84</v>
      </c>
      <c r="OL9" s="700">
        <f t="shared" si="715"/>
        <v>0.65124780939746285</v>
      </c>
      <c r="OM9" s="593">
        <f>'Proy 2021 vs 2019 Sem'!GN8*$OP$4</f>
        <v>8693.5366000000013</v>
      </c>
      <c r="ON9" s="593">
        <f>'Proy 2021 vs 2019 Sem'!GO8*$OP$4</f>
        <v>6346.2817180000011</v>
      </c>
      <c r="OO9" s="735">
        <v>7623.5</v>
      </c>
      <c r="OP9" s="700">
        <f t="shared" si="716"/>
        <v>0.87691584573302406</v>
      </c>
      <c r="OQ9" s="593">
        <f>'Proy 2021 vs 2019 Sem'!GN8*$JV$4</f>
        <v>9935.4704000000002</v>
      </c>
      <c r="OR9" s="593">
        <f>'Proy 2021 vs 2019 Sem'!GO8*$JV$4</f>
        <v>7252.8933920000009</v>
      </c>
      <c r="OS9" s="735">
        <v>12538.85</v>
      </c>
      <c r="OT9" s="700">
        <f t="shared" si="717"/>
        <v>1.2620288215040125</v>
      </c>
      <c r="OU9" s="593">
        <f>'Proy 2021 vs 2019 Sem'!GN8*$OX$4</f>
        <v>13661.2718</v>
      </c>
      <c r="OV9" s="593">
        <f>'Proy 2021 vs 2019 Sem'!GO8*$OX$4</f>
        <v>9972.7284140000011</v>
      </c>
      <c r="OW9" s="735">
        <v>18227.52</v>
      </c>
      <c r="OX9" s="700">
        <f t="shared" si="718"/>
        <v>1.3342476649941186</v>
      </c>
      <c r="OY9" s="579">
        <f t="shared" si="719"/>
        <v>62096.69</v>
      </c>
      <c r="OZ9" s="574">
        <f t="shared" si="720"/>
        <v>45330.583700000003</v>
      </c>
      <c r="PA9" s="785">
        <f t="shared" si="721"/>
        <v>59920.270000000004</v>
      </c>
      <c r="PB9" s="786">
        <f t="shared" si="722"/>
        <v>0.96495111092072705</v>
      </c>
      <c r="PC9" s="593">
        <f>'Proy 2021 vs 2019 Sem'!GW8*$PF$4</f>
        <v>6899.16</v>
      </c>
      <c r="PD9" s="593">
        <f>'Proy 2021 vs 2019 Sem'!GX8*$PF$4</f>
        <v>5243.3616000000002</v>
      </c>
      <c r="PE9" s="735">
        <v>7773.51</v>
      </c>
      <c r="PF9" s="700">
        <f t="shared" si="723"/>
        <v>1.1267328196476094</v>
      </c>
      <c r="PG9" s="593">
        <f>'Proy 2021 vs 2019 Sem'!GW8*$PJ$4</f>
        <v>6899.16</v>
      </c>
      <c r="PH9" s="593">
        <f>'Proy 2021 vs 2019 Sem'!GX8*$PJ$4</f>
        <v>5243.3616000000002</v>
      </c>
      <c r="PI9" s="735">
        <v>5143.7299999999996</v>
      </c>
      <c r="PJ9" s="700">
        <f t="shared" si="724"/>
        <v>0.74555887963172318</v>
      </c>
      <c r="PK9" s="593">
        <f>'Proy 2021 vs 2019 Sem'!GW8*'Vtas Diarias 2021'!$PN$4</f>
        <v>6899.16</v>
      </c>
      <c r="PL9" s="593">
        <f>'Proy 2021 vs 2019 Sem'!GX8*'Vtas Diarias 2021'!$PN$4</f>
        <v>5243.3616000000002</v>
      </c>
      <c r="PM9" s="735">
        <v>6922.48</v>
      </c>
      <c r="PN9" s="700">
        <f t="shared" si="725"/>
        <v>1.0033801216379965</v>
      </c>
      <c r="PO9" s="593">
        <f>'Proy 2021 vs 2019 Sem'!GW8*$PR$4</f>
        <v>6899.16</v>
      </c>
      <c r="PP9" s="593">
        <f>'Proy 2021 vs 2019 Sem'!GX8*$PR$4</f>
        <v>5243.3616000000002</v>
      </c>
      <c r="PQ9" s="735">
        <v>7895.29</v>
      </c>
      <c r="PR9" s="700">
        <f t="shared" si="726"/>
        <v>1.1443842438789651</v>
      </c>
      <c r="PS9" s="593">
        <f>'Proy 2021 vs 2019 Sem'!GW8*$PV$4</f>
        <v>8049.02</v>
      </c>
      <c r="PT9" s="593">
        <f>'Proy 2021 vs 2019 Sem'!GX8*$PV$4</f>
        <v>6117.2552000000005</v>
      </c>
      <c r="PU9" s="735">
        <v>7344.3</v>
      </c>
      <c r="PV9" s="700">
        <f t="shared" si="727"/>
        <v>0.91244648416825902</v>
      </c>
      <c r="PW9" s="593">
        <f>'Proy 2021 vs 2019 Sem'!GW8*PZ$4</f>
        <v>9198.880000000001</v>
      </c>
      <c r="PX9" s="593">
        <f>'Proy 2021 vs 2019 Sem'!GX8*$PZ$4</f>
        <v>6991.1487999999999</v>
      </c>
      <c r="PY9" s="735">
        <v>9435.56</v>
      </c>
      <c r="PZ9" s="700">
        <f t="shared" si="728"/>
        <v>1.0257292192092948</v>
      </c>
      <c r="QA9" s="593">
        <f>'Proy 2021 vs 2019 Sem'!GW8*$QD$4</f>
        <v>12648.460000000001</v>
      </c>
      <c r="QB9" s="593">
        <f>'Proy 2021 vs 2019 Sem'!GX8*$QD$4</f>
        <v>9612.8296000000009</v>
      </c>
      <c r="QC9" s="735">
        <v>15536.88</v>
      </c>
      <c r="QD9" s="700">
        <f t="shared" si="729"/>
        <v>1.2283613973558836</v>
      </c>
      <c r="QE9" s="579">
        <f t="shared" si="730"/>
        <v>57493.000000000007</v>
      </c>
      <c r="QF9" s="574">
        <f t="shared" si="731"/>
        <v>43694.680000000008</v>
      </c>
      <c r="QG9" s="729">
        <f t="shared" si="732"/>
        <v>60051.75</v>
      </c>
      <c r="QH9" s="711">
        <f t="shared" si="733"/>
        <v>1.044505418050893</v>
      </c>
      <c r="QI9" s="578">
        <f>'Proy 2021 vs 2019 Sem'!HB8*$QL$4</f>
        <v>7635.8735999999999</v>
      </c>
      <c r="QJ9" s="611">
        <f>'Proy 2021 vs 2019 Sem'!UG8*$AL$4</f>
        <v>0</v>
      </c>
      <c r="QK9" s="735">
        <v>6438.37</v>
      </c>
      <c r="QL9" s="700">
        <f t="shared" si="734"/>
        <v>0.84317398863176574</v>
      </c>
      <c r="QM9" s="593">
        <f>'Proy 2021 vs 2019 Sem'!HB8*$QP$4</f>
        <v>7635.8735999999999</v>
      </c>
      <c r="QN9" s="593">
        <f>'Proy 2021 vs 2019 Sem'!UG8*$AP$4</f>
        <v>0</v>
      </c>
      <c r="QO9" s="735">
        <v>6422.98</v>
      </c>
      <c r="QP9" s="700">
        <f t="shared" si="735"/>
        <v>0.84115850215226184</v>
      </c>
      <c r="QQ9" s="593">
        <f>'Proy 2021 vs 2019 Sem'!HB8*$QT$4</f>
        <v>7635.8735999999999</v>
      </c>
      <c r="QR9" s="593">
        <f>'Proy 2021 vs 2019 Sem'!HC8*$QT$4</f>
        <v>5955.9814080000006</v>
      </c>
      <c r="QS9" s="735">
        <v>4475.28</v>
      </c>
      <c r="QT9" s="700">
        <f t="shared" si="736"/>
        <v>0.58608618141609881</v>
      </c>
      <c r="QU9" s="593">
        <f>'Proy 2021 vs 2019 Sem'!HB8*$QX$4</f>
        <v>7635.8735999999999</v>
      </c>
      <c r="QV9" s="593">
        <f>'Proy 2021 vs 2019 Sem'!HC8*$QX$4</f>
        <v>5955.9814080000006</v>
      </c>
      <c r="QW9" s="735">
        <v>5021.37</v>
      </c>
      <c r="QX9" s="700">
        <f t="shared" si="737"/>
        <v>0.65760255643833598</v>
      </c>
      <c r="QY9" s="593">
        <f>'Proy 2021 vs 2019 Sem'!HB8*$RB$4</f>
        <v>8908.5192000000006</v>
      </c>
      <c r="QZ9" s="593">
        <f>'Proy 2021 vs 2019 Sem'!HC8*$RB$4</f>
        <v>6948.6449760000014</v>
      </c>
      <c r="RA9" s="735">
        <v>8112</v>
      </c>
      <c r="RB9" s="700">
        <f t="shared" si="738"/>
        <v>0.91058904604482405</v>
      </c>
      <c r="RC9" s="593">
        <f>'Proy 2021 vs 2019 Sem'!HB8*$RF$4</f>
        <v>10181.1648</v>
      </c>
      <c r="RD9" s="593">
        <f>'Proy 2021 vs 2019 Sem'!HC8*$RF$4</f>
        <v>7941.3085440000004</v>
      </c>
      <c r="RE9" s="735">
        <v>8149.92</v>
      </c>
      <c r="RF9" s="700">
        <f t="shared" si="739"/>
        <v>0.80048994001157903</v>
      </c>
      <c r="RG9" s="593">
        <f>'Proy 2021 vs 2019 Sem'!HB8*$RJ$4</f>
        <v>13999.1016</v>
      </c>
      <c r="RH9" s="593">
        <f>'Proy 2021 vs 2019 Sem'!HC8*$RJ$4</f>
        <v>10919.299248000001</v>
      </c>
      <c r="RI9" s="735">
        <v>18504.77</v>
      </c>
      <c r="RJ9" s="700">
        <f t="shared" si="740"/>
        <v>1.3218541109809505</v>
      </c>
      <c r="RK9" s="579">
        <f t="shared" si="741"/>
        <v>63632.28</v>
      </c>
      <c r="RL9" s="574">
        <f t="shared" si="742"/>
        <v>37721.215584000005</v>
      </c>
      <c r="RM9" s="730">
        <f t="shared" si="743"/>
        <v>57124.69</v>
      </c>
      <c r="RN9" s="711">
        <f t="shared" si="744"/>
        <v>0.89773130870055262</v>
      </c>
      <c r="RO9" s="593">
        <f>'Proy 2021 vs 2019 Sem'!HG8*$RR$4</f>
        <v>6843.1812</v>
      </c>
      <c r="RP9" s="593">
        <f>'Proy 2021 vs 2019 Sem'!HH8*$RR$4</f>
        <v>5269.2495239999998</v>
      </c>
      <c r="RQ9" s="735">
        <v>4940.62</v>
      </c>
      <c r="RR9" s="700">
        <f t="shared" si="745"/>
        <v>0.7219770828222406</v>
      </c>
      <c r="RS9" s="593">
        <f>'Proy 2021 vs 2019 Sem'!HG8*$RV$4</f>
        <v>6843.1812</v>
      </c>
      <c r="RT9" s="593">
        <f>'Proy 2021 vs 2019 Sem'!HH8*$RV$4</f>
        <v>5269.2495239999998</v>
      </c>
      <c r="RU9" s="735">
        <v>7178.63</v>
      </c>
      <c r="RV9" s="700">
        <f t="shared" si="746"/>
        <v>1.0490194238901638</v>
      </c>
      <c r="RW9" s="593">
        <f>'Proy 2021 vs 2019 Sem'!HG8*$RZ$4</f>
        <v>6843.1812</v>
      </c>
      <c r="RX9" s="593">
        <f>'Proy 2021 vs 2019 Sem'!HH8*$RZ$4</f>
        <v>5269.2495239999998</v>
      </c>
      <c r="RY9" s="735">
        <v>6931.81</v>
      </c>
      <c r="RZ9" s="700">
        <f t="shared" si="747"/>
        <v>1.0129514033619336</v>
      </c>
      <c r="SA9" s="593">
        <f>'Proy 2021 vs 2019 Sem'!HG8*$SD$4</f>
        <v>6843.1812</v>
      </c>
      <c r="SB9" s="593">
        <f>'Proy 2021 vs 2019 Sem'!HH8*$SD$4</f>
        <v>5269.2495239999998</v>
      </c>
      <c r="SC9" s="735">
        <v>9400.82</v>
      </c>
      <c r="SD9" s="700">
        <f t="shared" si="748"/>
        <v>1.3737499746462947</v>
      </c>
      <c r="SE9" s="593">
        <f>'Proy 2021 vs 2019 Sem'!HG8*$SH$4</f>
        <v>7983.711400000001</v>
      </c>
      <c r="SF9" s="593">
        <f>'Proy 2021 vs 2019 Sem'!HH8*$SH$4</f>
        <v>6147.4577780000009</v>
      </c>
      <c r="SG9" s="735">
        <v>6548.6</v>
      </c>
      <c r="SH9" s="700">
        <f t="shared" si="749"/>
        <v>0.82024508050228362</v>
      </c>
      <c r="SI9" s="593">
        <f>'Proy 2021 vs 2019 Sem'!HG8*$SL$4</f>
        <v>9124.2416000000012</v>
      </c>
      <c r="SJ9" s="593">
        <f>'Proy 2021 vs 2019 Sem'!HH8*$SL$4</f>
        <v>7025.6660320000001</v>
      </c>
      <c r="SK9" s="735">
        <v>8388.24</v>
      </c>
      <c r="SL9" s="700">
        <f t="shared" si="750"/>
        <v>0.9193355862036795</v>
      </c>
      <c r="SM9" s="593">
        <f>'Proy 2021 vs 2019 Sem'!HG8*$SP$4</f>
        <v>12545.832200000001</v>
      </c>
      <c r="SN9" s="593">
        <f>'Proy 2021 vs 2019 Sem'!HH8*$SP$4</f>
        <v>9660.2907940000005</v>
      </c>
      <c r="SO9" s="735">
        <v>13158.47</v>
      </c>
      <c r="SP9" s="700">
        <f t="shared" si="751"/>
        <v>1.0488319778420119</v>
      </c>
      <c r="SQ9" s="579">
        <f t="shared" si="752"/>
        <v>57026.510000000009</v>
      </c>
      <c r="SR9" s="574">
        <f t="shared" si="753"/>
        <v>43910.412700000001</v>
      </c>
      <c r="SS9" s="730">
        <f t="shared" si="754"/>
        <v>56547.19</v>
      </c>
      <c r="ST9" s="711">
        <f t="shared" si="755"/>
        <v>0.99159478635462683</v>
      </c>
      <c r="SU9" s="593">
        <f>'Proy 2021 vs 2019 Sem'!HL8*$SX$4</f>
        <v>7067.4780000000001</v>
      </c>
      <c r="SV9" s="593">
        <f>'Proy 2021 vs 2019 Sem'!HM8*$SX$4</f>
        <v>5371.2832800000006</v>
      </c>
      <c r="SW9" s="735">
        <v>5246</v>
      </c>
      <c r="SX9" s="700">
        <f t="shared" si="756"/>
        <v>0.74227326919164094</v>
      </c>
      <c r="SY9" s="593">
        <f>'Proy 2021 vs 2019 Sem'!HL8*$TB$4</f>
        <v>7067.4780000000001</v>
      </c>
      <c r="SZ9" s="593">
        <f>'Proy 2021 vs 2019 Sem'!HM8*$TB$4</f>
        <v>5371.2832800000006</v>
      </c>
      <c r="TA9" s="735">
        <v>5610.87</v>
      </c>
      <c r="TB9" s="700">
        <f t="shared" si="757"/>
        <v>0.79389988904104125</v>
      </c>
      <c r="TC9" s="593">
        <f>'Proy 2021 vs 2019 Sem'!HL8*$TF$4</f>
        <v>7067.4780000000001</v>
      </c>
      <c r="TD9" s="593">
        <f>'Proy 2021 vs 2019 Sem'!HM8*$TF$4</f>
        <v>5371.2832800000006</v>
      </c>
      <c r="TE9" s="735">
        <v>6132.14</v>
      </c>
      <c r="TF9" s="700">
        <f t="shared" si="758"/>
        <v>0.86765604364102733</v>
      </c>
      <c r="TG9" s="593">
        <f>'Proy 2021 vs 2019 Sem'!HL8*$TJ$4</f>
        <v>7067.4780000000001</v>
      </c>
      <c r="TH9" s="593">
        <f>'Proy 2021 vs 2019 Sem'!HM8*$TJ$4</f>
        <v>5371.2832800000006</v>
      </c>
      <c r="TI9" s="735">
        <v>4727.43</v>
      </c>
      <c r="TJ9" s="700">
        <f t="shared" si="759"/>
        <v>0.66889914620179936</v>
      </c>
      <c r="TK9" s="593">
        <f>'Proy 2021 vs 2019 Sem'!HL8*$TN$4</f>
        <v>8245.3910000000014</v>
      </c>
      <c r="TL9" s="593">
        <f>'Proy 2021 vs 2019 Sem'!HM8*$TN$4</f>
        <v>6266.4971600000008</v>
      </c>
      <c r="TM9" s="735">
        <v>4510.18</v>
      </c>
      <c r="TN9" s="700">
        <f t="shared" si="760"/>
        <v>0.54699407220348917</v>
      </c>
      <c r="TO9" s="593">
        <f>'Proy 2021 vs 2019 Sem'!HL8*$TR$4</f>
        <v>9423.3040000000001</v>
      </c>
      <c r="TP9" s="611">
        <f>'Proy 2021 vs 2019 Sem'!HM8*$TR$4</f>
        <v>7161.711040000001</v>
      </c>
      <c r="TQ9" s="735">
        <v>7198.24</v>
      </c>
      <c r="TR9" s="700">
        <f t="shared" si="761"/>
        <v>0.76387644927936105</v>
      </c>
      <c r="TS9" s="593">
        <f>'Proy 2021 vs 2019 Sem'!HL8*$TV$4</f>
        <v>12957.043</v>
      </c>
      <c r="TT9" s="593">
        <f>'Proy 2021 vs 2019 Sem'!HM8*$TV$4</f>
        <v>9847.35268</v>
      </c>
      <c r="TU9" s="735">
        <v>15995.88</v>
      </c>
      <c r="TV9" s="700">
        <f t="shared" si="762"/>
        <v>1.2345316751669342</v>
      </c>
      <c r="TW9" s="579">
        <f t="shared" si="763"/>
        <v>58895.65</v>
      </c>
      <c r="TX9" s="574">
        <f t="shared" si="764"/>
        <v>44760.694000000003</v>
      </c>
      <c r="TY9" s="710">
        <f t="shared" si="765"/>
        <v>49420.74</v>
      </c>
      <c r="TZ9" s="711">
        <f t="shared" si="766"/>
        <v>0.83912377229897284</v>
      </c>
      <c r="UA9" s="593">
        <v>8000.2</v>
      </c>
      <c r="UB9" s="593">
        <f>'Proy 2021 vs 2019 Sem'!HR8*$UD$4</f>
        <v>5474.6794559999989</v>
      </c>
      <c r="UC9" s="735">
        <v>5704.13</v>
      </c>
      <c r="UD9" s="700">
        <f t="shared" si="767"/>
        <v>0.71299842503937405</v>
      </c>
      <c r="UE9" s="593">
        <v>4198.6000000000004</v>
      </c>
      <c r="UF9" s="593">
        <f>'Proy 2021 vs 2019 Sem'!HR8*$UH$4</f>
        <v>5474.6794559999989</v>
      </c>
      <c r="UG9" s="735">
        <v>6284.94</v>
      </c>
      <c r="UH9" s="700">
        <f t="shared" si="768"/>
        <v>1.4969132567998855</v>
      </c>
      <c r="UI9" s="593">
        <v>9491.58</v>
      </c>
      <c r="UJ9" s="593">
        <f>'Proy 2021 vs 2019 Sem'!HR8*$UL$4</f>
        <v>5474.6794559999989</v>
      </c>
      <c r="UK9" s="735">
        <v>5951.32</v>
      </c>
      <c r="UL9" s="700">
        <f t="shared" si="769"/>
        <v>0.62701046611839117</v>
      </c>
      <c r="UM9" s="593">
        <v>6687.51</v>
      </c>
      <c r="UN9" s="593">
        <f>'Proy 2021 vs 2019 Sem'!HR8*$UP$4</f>
        <v>5474.6794559999989</v>
      </c>
      <c r="UO9" s="735">
        <v>5229.3599999999997</v>
      </c>
      <c r="UP9" s="700">
        <f t="shared" si="770"/>
        <v>0.78195920454698375</v>
      </c>
      <c r="UQ9" s="593">
        <v>7176.74</v>
      </c>
      <c r="UR9" s="593">
        <f>'Proy 2021 vs 2019 Sem'!HR8*$UT$4</f>
        <v>6387.1260320000001</v>
      </c>
      <c r="US9" s="735">
        <v>2635.48</v>
      </c>
      <c r="UT9" s="700">
        <f t="shared" si="771"/>
        <v>0.36722523039708838</v>
      </c>
      <c r="UU9" s="593">
        <v>8394.73</v>
      </c>
      <c r="UV9" s="593">
        <f>'Proy 2021 vs 2019 Sem'!HR8*$UX$4</f>
        <v>7299.5726079999995</v>
      </c>
      <c r="UW9" s="735">
        <v>9378.4</v>
      </c>
      <c r="UX9" s="700">
        <f t="shared" si="772"/>
        <v>1.1171770861004464</v>
      </c>
      <c r="UY9" s="593">
        <v>16080.02</v>
      </c>
      <c r="UZ9" s="593">
        <f>'Proy 2021 vs 2019 Sem'!HR8*$VB$4</f>
        <v>10036.912335999999</v>
      </c>
      <c r="VA9" s="735">
        <v>15743.61</v>
      </c>
      <c r="VB9" s="700">
        <f t="shared" si="773"/>
        <v>0.97907900612063914</v>
      </c>
      <c r="VC9" s="577">
        <f>UA9+UE9+UI9+UM9+UQ9+UU9+UY9</f>
        <v>60029.380000000005</v>
      </c>
      <c r="VD9" s="574">
        <f t="shared" si="774"/>
        <v>45622.328799999996</v>
      </c>
      <c r="VE9" s="710">
        <f t="shared" si="775"/>
        <v>50927.24</v>
      </c>
      <c r="VF9" s="1532">
        <f t="shared" si="776"/>
        <v>0.84837191388616695</v>
      </c>
      <c r="VG9" s="593">
        <v>7885.55</v>
      </c>
      <c r="VH9" s="593">
        <f>'Proy 2021 vs 2019 Sem'!IA8*$VJ$4</f>
        <v>5981.0963999999994</v>
      </c>
      <c r="VI9" s="735">
        <v>5003.96</v>
      </c>
      <c r="VJ9" s="700">
        <f t="shared" si="777"/>
        <v>0.63457336520597807</v>
      </c>
      <c r="VK9" s="593">
        <v>8156.32</v>
      </c>
      <c r="VL9" s="593">
        <f>'Proy 2021 vs 2019 Sem'!IA8*$VN$4</f>
        <v>5981.0963999999994</v>
      </c>
      <c r="VM9" s="735">
        <v>6171.85</v>
      </c>
      <c r="VN9" s="700">
        <f t="shared" si="778"/>
        <v>0.75669542146458213</v>
      </c>
      <c r="VO9" s="593">
        <v>5571.14</v>
      </c>
      <c r="VP9" s="593">
        <f>'Proy 2021 vs 2019 Sem'!IA8*$VR$4</f>
        <v>5981.0963999999994</v>
      </c>
      <c r="VQ9" s="735">
        <v>5200.63</v>
      </c>
      <c r="VR9" s="700">
        <f t="shared" si="779"/>
        <v>0.93349476049785141</v>
      </c>
      <c r="VS9" s="593">
        <v>6326.72</v>
      </c>
      <c r="VT9" s="593">
        <f>'Proy 2021 vs 2019 Sem'!IA8*$VV$4</f>
        <v>5981.0963999999994</v>
      </c>
      <c r="VU9" s="735">
        <v>6920.61</v>
      </c>
      <c r="VV9" s="700">
        <f t="shared" si="780"/>
        <v>1.0938701254362448</v>
      </c>
      <c r="VW9" s="593">
        <v>5910.96</v>
      </c>
      <c r="VX9" s="593">
        <f>'Proy 2021 vs 2019 Sem'!IA8*$VZ$4</f>
        <v>6977.9457999999995</v>
      </c>
      <c r="VY9" s="735">
        <v>4677.01</v>
      </c>
      <c r="VZ9" s="700">
        <f t="shared" si="781"/>
        <v>0.79124372352375927</v>
      </c>
      <c r="WA9" s="593">
        <v>6603.62</v>
      </c>
      <c r="WB9" s="593">
        <f>'Proy 2021 vs 2019 Sem'!IA8*$WD$4</f>
        <v>7974.7951999999996</v>
      </c>
      <c r="WC9" s="735">
        <v>7968.26</v>
      </c>
      <c r="WD9" s="700">
        <f t="shared" si="782"/>
        <v>1.2066502918096438</v>
      </c>
      <c r="WE9" s="593">
        <v>18183.89</v>
      </c>
      <c r="WF9" s="593">
        <f>'Proy 2021 vs 2019 Sem'!IA8*$WH$4</f>
        <v>10965.343399999998</v>
      </c>
      <c r="WG9" s="735">
        <v>16268.9</v>
      </c>
      <c r="WH9" s="1538">
        <f t="shared" si="783"/>
        <v>0.89468755035363723</v>
      </c>
      <c r="WI9" s="574">
        <f t="shared" si="784"/>
        <v>27939.73</v>
      </c>
      <c r="WJ9" s="575">
        <f t="shared" si="785"/>
        <v>49842.469999999994</v>
      </c>
      <c r="WK9" s="793">
        <f t="shared" si="786"/>
        <v>52211.220000000008</v>
      </c>
      <c r="WL9" s="786">
        <f t="shared" si="787"/>
        <v>1.8687088243157686</v>
      </c>
      <c r="WM9" s="593">
        <v>5809.32</v>
      </c>
      <c r="WN9" s="593">
        <f>'Proy 2021 vs 2019 Sem'!IF8*$WP$4</f>
        <v>7001.1704880000007</v>
      </c>
      <c r="WO9" s="735">
        <v>4613.79</v>
      </c>
      <c r="WP9" s="700">
        <f t="shared" si="788"/>
        <v>0.7942048294809031</v>
      </c>
      <c r="WQ9" s="593">
        <v>10509.98</v>
      </c>
      <c r="WR9" s="593">
        <f>'Proy 2021 vs 2019 Sem'!IF8*$WT$4</f>
        <v>7001.1704880000007</v>
      </c>
      <c r="WS9" s="735">
        <v>6686.49</v>
      </c>
      <c r="WT9" s="700">
        <f t="shared" si="789"/>
        <v>0.63620387479329177</v>
      </c>
      <c r="WU9" s="593">
        <v>7364.91</v>
      </c>
      <c r="WV9" s="593">
        <f>'Proy 2021 vs 2019 Sem'!IF8*$WX$4</f>
        <v>7001.1704880000007</v>
      </c>
      <c r="WW9" s="735">
        <v>4994.8900000000003</v>
      </c>
      <c r="WX9" s="700">
        <f t="shared" si="790"/>
        <v>0.67820109139147666</v>
      </c>
      <c r="WY9" s="593">
        <v>6984.23</v>
      </c>
      <c r="WZ9" s="593">
        <f>'Proy 2021 vs 2019 Sem'!IF8*$XB$4</f>
        <v>7001.1704880000007</v>
      </c>
      <c r="XA9" s="735">
        <v>5235.9799999999996</v>
      </c>
      <c r="XB9" s="700">
        <f t="shared" si="791"/>
        <v>0.74968607849397861</v>
      </c>
      <c r="XC9" s="593">
        <v>5567.5</v>
      </c>
      <c r="XD9" s="1547">
        <f>'Proy 2021 vs 2019 Sem'!IF8*$XF$4</f>
        <v>8168.0322360000009</v>
      </c>
      <c r="XE9" s="735">
        <v>4932.05</v>
      </c>
      <c r="XF9" s="700">
        <f t="shared" si="792"/>
        <v>0.88586439155815</v>
      </c>
      <c r="XG9" s="593">
        <v>9328.27</v>
      </c>
      <c r="XH9" s="593">
        <f>'Proy 2021 vs 2019 Sem'!IF8*$XJ$4</f>
        <v>9334.8939840000003</v>
      </c>
      <c r="XI9" s="735">
        <v>7793.36</v>
      </c>
      <c r="XJ9" s="700">
        <f t="shared" si="793"/>
        <v>0.83545609207280658</v>
      </c>
      <c r="XK9" s="593">
        <v>21495.74</v>
      </c>
      <c r="XL9" s="593">
        <f>'Proy 2021 vs 2019 Sem'!IF8*$XN$4</f>
        <v>12835.479228</v>
      </c>
      <c r="XM9" s="735">
        <v>18258.009999999998</v>
      </c>
      <c r="XN9" s="700">
        <f t="shared" si="794"/>
        <v>0.84937806281616712</v>
      </c>
      <c r="XO9" s="579">
        <f t="shared" si="795"/>
        <v>67059.950000000012</v>
      </c>
      <c r="XP9" s="574">
        <f t="shared" si="796"/>
        <v>58343.087400000004</v>
      </c>
      <c r="XQ9" s="794">
        <f t="shared" si="797"/>
        <v>52514.569999999992</v>
      </c>
      <c r="XR9" s="786">
        <f t="shared" si="798"/>
        <v>0.78309885408503854</v>
      </c>
      <c r="XS9" s="593">
        <v>9937.7199999999993</v>
      </c>
      <c r="XT9" s="593">
        <f>'Proy 2021 vs 2019 Sem'!IK8*$XV$4</f>
        <v>8062.5153599999994</v>
      </c>
      <c r="XU9" s="735">
        <v>4395.38</v>
      </c>
      <c r="XV9" s="700">
        <f t="shared" si="799"/>
        <v>0.44229259830222628</v>
      </c>
      <c r="XW9" s="593">
        <v>8847.81</v>
      </c>
      <c r="XX9" s="593">
        <f>'Proy 2021 vs 2019 Sem'!IK8*$XZ$4</f>
        <v>8062.5153599999994</v>
      </c>
      <c r="XY9" s="735">
        <v>9072.44</v>
      </c>
      <c r="XZ9" s="700">
        <f t="shared" si="800"/>
        <v>1.0253882034085271</v>
      </c>
      <c r="YA9" s="593">
        <v>6827.08</v>
      </c>
      <c r="YB9" s="593">
        <f>'Proy 2021 vs 2019 Sem'!IK8*$YD$4</f>
        <v>8062.5153599999994</v>
      </c>
      <c r="YC9" s="735">
        <v>7579.19</v>
      </c>
      <c r="YD9" s="700">
        <f t="shared" si="801"/>
        <v>1.110165693092801</v>
      </c>
      <c r="YE9" s="593">
        <v>6962.48</v>
      </c>
      <c r="YF9" s="593">
        <f>'Proy 2021 vs 2019 Sem'!IK8*$YH$4</f>
        <v>8062.5153599999994</v>
      </c>
      <c r="YG9" s="735">
        <v>5291.99</v>
      </c>
      <c r="YH9" s="700">
        <f t="shared" si="802"/>
        <v>0.7600725603520585</v>
      </c>
      <c r="YI9" s="593">
        <v>9735.7199999999993</v>
      </c>
      <c r="YJ9" s="593">
        <f>'Proy 2021 vs 2019 Sem'!IK8*$YL$4</f>
        <v>9406.2679200000002</v>
      </c>
      <c r="YK9" s="735">
        <v>8324.58</v>
      </c>
      <c r="YL9" s="700">
        <f t="shared" si="803"/>
        <v>0.85505540422280024</v>
      </c>
      <c r="YM9" s="593">
        <v>10738.03</v>
      </c>
      <c r="YN9" s="593">
        <f>'Proy 2021 vs 2019 Sem'!IK8*$YP$4</f>
        <v>10750.020479999999</v>
      </c>
      <c r="YO9" s="735">
        <v>10096.040000000001</v>
      </c>
      <c r="YP9" s="700">
        <f t="shared" si="804"/>
        <v>0.94021342834765786</v>
      </c>
      <c r="YQ9" s="593">
        <v>21604.080000000002</v>
      </c>
      <c r="YR9" s="593">
        <f>'Proy 2021 vs 2019 Sem'!IK8*$YT$4</f>
        <v>14781.27816</v>
      </c>
      <c r="YS9" s="735">
        <v>17249.64</v>
      </c>
      <c r="YT9" s="700">
        <f t="shared" si="805"/>
        <v>0.79844362731484042</v>
      </c>
      <c r="YU9" s="579">
        <f t="shared" si="806"/>
        <v>74652.92</v>
      </c>
      <c r="YV9" s="574">
        <f t="shared" si="807"/>
        <v>67187.627999999997</v>
      </c>
      <c r="YW9" s="794">
        <f t="shared" si="808"/>
        <v>62009.26</v>
      </c>
      <c r="YX9" s="786">
        <f t="shared" si="809"/>
        <v>0.83063408638268943</v>
      </c>
      <c r="YY9" s="593">
        <v>5284.6</v>
      </c>
      <c r="YZ9" s="593">
        <f>'Proy 2021 vs 2019 Sem'!IP8*$ZB$4</f>
        <v>10244.015100000001</v>
      </c>
      <c r="ZA9" s="735">
        <v>6767.26</v>
      </c>
      <c r="ZB9" s="700">
        <f t="shared" si="810"/>
        <v>1.280562388827915</v>
      </c>
      <c r="ZC9" s="593">
        <v>10562.28</v>
      </c>
      <c r="ZD9" s="593">
        <f>'Proy 2021 vs 2019 Sem'!IP8*$ZF$4</f>
        <v>10244.015100000001</v>
      </c>
      <c r="ZE9" s="735">
        <v>10083.34</v>
      </c>
      <c r="ZF9" s="700">
        <f t="shared" si="811"/>
        <v>0.95465562359642042</v>
      </c>
      <c r="ZG9" s="593">
        <v>10223.42</v>
      </c>
      <c r="ZH9" s="593">
        <f>'Proy 2021 vs 2019 Sem'!IP8*$ZJ$4</f>
        <v>10244.015100000001</v>
      </c>
      <c r="ZI9" s="735">
        <v>10629.15</v>
      </c>
      <c r="ZJ9" s="700">
        <f t="shared" si="812"/>
        <v>1.0396863280585167</v>
      </c>
      <c r="ZK9" s="593">
        <v>14328.19</v>
      </c>
      <c r="ZL9" s="593">
        <f>'Proy 2021 vs 2019 Sem'!IP8*$ZN$4</f>
        <v>10244.015100000001</v>
      </c>
      <c r="ZM9" s="735">
        <v>13017.28</v>
      </c>
      <c r="ZN9" s="700">
        <f t="shared" si="813"/>
        <v>0.90850833217594129</v>
      </c>
      <c r="ZO9" s="593">
        <v>22917.01</v>
      </c>
      <c r="ZP9" s="593">
        <f>'Proy 2021 vs 2019 Sem'!IP8*$ZR$4</f>
        <v>11951.350950000002</v>
      </c>
      <c r="ZQ9" s="735">
        <v>13561.75</v>
      </c>
      <c r="ZR9" s="700">
        <f t="shared" si="814"/>
        <v>0.59177658865619909</v>
      </c>
      <c r="ZS9" s="593">
        <v>11659.5</v>
      </c>
      <c r="ZT9" s="593">
        <f>'Proy 2021 vs 2019 Sem'!IP8*$ZV$4</f>
        <v>13658.686800000001</v>
      </c>
      <c r="ZU9" s="735">
        <v>18285.060000000001</v>
      </c>
      <c r="ZV9" s="700">
        <f t="shared" si="815"/>
        <v>1.5682542133024573</v>
      </c>
      <c r="ZW9" s="593">
        <v>16751.27</v>
      </c>
      <c r="ZX9" s="593">
        <f>'Proy 2021 vs 2019 Sem'!IP8*$ZZ$4</f>
        <v>18780.694350000002</v>
      </c>
      <c r="ZY9" s="735">
        <v>38070.53</v>
      </c>
      <c r="ZZ9" s="700">
        <f t="shared" si="816"/>
        <v>2.2726951449054309</v>
      </c>
      <c r="AAA9" s="579">
        <f t="shared" si="817"/>
        <v>91726.27</v>
      </c>
      <c r="AAB9" s="574">
        <f t="shared" si="818"/>
        <v>85366.79250000001</v>
      </c>
      <c r="AAC9" s="785">
        <f t="shared" si="819"/>
        <v>110414.37</v>
      </c>
      <c r="AAD9" s="786">
        <f t="shared" si="820"/>
        <v>1.2037377078562117</v>
      </c>
      <c r="AAE9" s="593">
        <v>7406.65</v>
      </c>
      <c r="AAF9" s="593">
        <f>'Proy 2021 vs 2019 Sem'!IY8*$AAH$4</f>
        <v>7677.2855399999989</v>
      </c>
      <c r="AAG9" s="735">
        <v>9208.11</v>
      </c>
      <c r="AAH9" s="700">
        <f t="shared" si="821"/>
        <v>1.243221969446376</v>
      </c>
      <c r="AAI9" s="593">
        <v>7640.67</v>
      </c>
      <c r="AAJ9" s="593">
        <f>'Proy 2021 vs 2019 Sem'!IY8*$AAL$4</f>
        <v>7677.2855399999989</v>
      </c>
      <c r="AAK9" s="735">
        <v>6917.82</v>
      </c>
      <c r="AAL9" s="700">
        <f t="shared" si="822"/>
        <v>0.90539442221689981</v>
      </c>
      <c r="AAM9" s="593">
        <v>5916.45</v>
      </c>
      <c r="AAN9" s="593">
        <f>'Proy 2021 vs 2019 Sem'!IY8*$AAP$4</f>
        <v>7677.2855399999989</v>
      </c>
      <c r="AAO9" s="735">
        <v>4492.01</v>
      </c>
      <c r="AAP9" s="700">
        <f t="shared" si="823"/>
        <v>0.75924076092927351</v>
      </c>
      <c r="AAQ9" s="593">
        <v>7962.24</v>
      </c>
      <c r="AAR9" s="593">
        <f>'Proy 2021 vs 2019 Sem'!IY8*$AAT$4</f>
        <v>7677.2855399999989</v>
      </c>
      <c r="AAS9" s="735">
        <v>6939.98</v>
      </c>
      <c r="AAT9" s="700">
        <f t="shared" si="824"/>
        <v>0.87161150630978212</v>
      </c>
      <c r="AAU9" s="593">
        <v>6412.07</v>
      </c>
      <c r="AAV9" s="593">
        <f>'Proy 2021 vs 2019 Sem'!IY8*$AAX$4</f>
        <v>8956.8331300000009</v>
      </c>
      <c r="AAW9" s="735">
        <v>8577.73</v>
      </c>
      <c r="AAX9" s="700">
        <f t="shared" si="825"/>
        <v>1.3377474045043176</v>
      </c>
      <c r="AAY9" s="593">
        <v>9683.81</v>
      </c>
      <c r="AAZ9" s="593">
        <f>'Proy 2021 vs 2019 Sem'!IY8*$ABB$4</f>
        <v>10236.380719999999</v>
      </c>
      <c r="ABA9" s="735">
        <v>9262.73</v>
      </c>
      <c r="ABB9" s="700">
        <f t="shared" si="826"/>
        <v>0.95651711464805689</v>
      </c>
      <c r="ABC9" s="593">
        <v>22038.79</v>
      </c>
      <c r="ABD9" s="593">
        <f>'Proy 2021 vs 2019 Sem'!IY8*$ABF$4</f>
        <v>14075.02349</v>
      </c>
      <c r="ABE9" s="735">
        <v>15281.74</v>
      </c>
      <c r="ABF9" s="700">
        <f t="shared" si="827"/>
        <v>0.69340195174054475</v>
      </c>
      <c r="ABG9" s="579">
        <f t="shared" si="828"/>
        <v>67060.679999999993</v>
      </c>
      <c r="ABH9" s="574">
        <f t="shared" si="829"/>
        <v>63977.379499999995</v>
      </c>
      <c r="ABI9" s="759">
        <f t="shared" si="830"/>
        <v>60680.12</v>
      </c>
      <c r="ABJ9" s="761">
        <f t="shared" si="831"/>
        <v>0.90485393228938338</v>
      </c>
      <c r="ABK9" s="593">
        <v>7532.61</v>
      </c>
      <c r="ABL9" s="593">
        <f>'Proy 2021 vs 2019 Sem'!JD8*$ABN$4</f>
        <v>8204.6280959999985</v>
      </c>
      <c r="ABM9" s="735">
        <v>5441.47</v>
      </c>
      <c r="ABN9" s="700">
        <f t="shared" si="832"/>
        <v>0.7223883886196153</v>
      </c>
      <c r="ABO9" s="593">
        <v>6677.46</v>
      </c>
      <c r="ABP9" s="593">
        <f>'Proy 2021 vs 2019 Sem'!JD8*$ABR$4</f>
        <v>8204.6280959999985</v>
      </c>
      <c r="ABQ9" s="735">
        <v>3760.7</v>
      </c>
      <c r="ABR9" s="700">
        <f t="shared" si="833"/>
        <v>0.56319319022502567</v>
      </c>
      <c r="ABS9" s="593">
        <v>7693.3</v>
      </c>
      <c r="ABT9" s="593">
        <f>'Proy 2021 vs 2019 Sem'!JD8*$ABV$4</f>
        <v>8204.6280959999985</v>
      </c>
      <c r="ABU9" s="735">
        <v>5040.93</v>
      </c>
      <c r="ABV9" s="700">
        <f t="shared" si="834"/>
        <v>0.65523637450768857</v>
      </c>
      <c r="ABW9" s="593">
        <v>5408.79</v>
      </c>
      <c r="ABX9" s="593">
        <f>'Proy 2021 vs 2019 Sem'!JD8*$ABZ$4</f>
        <v>8204.6280959999985</v>
      </c>
      <c r="ABY9" s="735">
        <v>5300.1</v>
      </c>
      <c r="ABZ9" s="700">
        <f t="shared" si="835"/>
        <v>0.97990493252649857</v>
      </c>
      <c r="ACA9" s="593">
        <v>9701.2999999999993</v>
      </c>
      <c r="ACB9" s="593">
        <f>'Proy 2021 vs 2019 Sem'!JD8*$ACD$4</f>
        <v>9572.0661119999986</v>
      </c>
      <c r="ACC9" s="735">
        <v>7294.41</v>
      </c>
      <c r="ACD9" s="700">
        <f t="shared" si="836"/>
        <v>0.75190026078979111</v>
      </c>
      <c r="ACE9" s="593">
        <v>11999.5</v>
      </c>
      <c r="ACF9" s="593">
        <f>'Proy 2021 vs 2019 Sem'!JD8*$ACH$4</f>
        <v>10939.504127999999</v>
      </c>
      <c r="ACG9" s="735">
        <v>10148.24</v>
      </c>
      <c r="ACH9" s="700">
        <f t="shared" si="837"/>
        <v>0.84572190507937828</v>
      </c>
      <c r="ACI9" s="593">
        <v>22207.77</v>
      </c>
      <c r="ACJ9" s="593">
        <f>'Proy 2021 vs 2019 Sem'!JD8*$ACL$4</f>
        <v>15041.818175999997</v>
      </c>
      <c r="ACK9" s="735">
        <v>17383.46</v>
      </c>
      <c r="ACL9" s="700">
        <f t="shared" si="838"/>
        <v>0.78276477106886455</v>
      </c>
      <c r="ACM9" s="579">
        <f t="shared" si="839"/>
        <v>71220.73</v>
      </c>
      <c r="ACN9" s="574">
        <f t="shared" si="840"/>
        <v>68371.900799999989</v>
      </c>
      <c r="ACO9" s="765">
        <f t="shared" si="841"/>
        <v>54369.31</v>
      </c>
      <c r="ACP9" s="761">
        <f t="shared" si="842"/>
        <v>0.76339164173127683</v>
      </c>
      <c r="ACQ9" s="593">
        <v>10797.97</v>
      </c>
      <c r="ACR9" s="593">
        <f>'Proy 2021 vs 2019 Sem'!JI8*$ACT$4</f>
        <v>12636.071424</v>
      </c>
      <c r="ACS9" s="735">
        <v>11122.86</v>
      </c>
      <c r="ACT9" s="700">
        <f t="shared" si="843"/>
        <v>1.0300880628488505</v>
      </c>
      <c r="ACU9" s="593">
        <v>18074.53</v>
      </c>
      <c r="ACV9" s="593">
        <f>'Proy 2021 vs 2019 Sem'!JI8*$ACX$4</f>
        <v>12636.071424</v>
      </c>
      <c r="ACW9" s="735">
        <v>11838.02</v>
      </c>
      <c r="ACX9" s="700">
        <f t="shared" si="844"/>
        <v>0.65495589650187314</v>
      </c>
      <c r="ACY9" s="593">
        <v>12101.57</v>
      </c>
      <c r="ACZ9" s="593">
        <f>'Proy 2021 vs 2019 Sem'!JI8*$ADB$4</f>
        <v>12636.071424</v>
      </c>
      <c r="ADA9" s="735">
        <v>7674.6</v>
      </c>
      <c r="ADB9" s="700">
        <f t="shared" si="845"/>
        <v>0.63418217636224061</v>
      </c>
      <c r="ADC9" s="593">
        <v>8703.06</v>
      </c>
      <c r="ADD9" s="593">
        <f>'Proy 2021 vs 2019 Sem'!JI8*$ADF$4</f>
        <v>12636.071424</v>
      </c>
      <c r="ADE9" s="735">
        <v>8975.49</v>
      </c>
      <c r="ADF9" s="700">
        <f t="shared" si="846"/>
        <v>1.0313027831590269</v>
      </c>
      <c r="ADG9" s="593">
        <v>13967.87</v>
      </c>
      <c r="ADH9" s="593">
        <f>'Proy 2021 vs 2019 Sem'!JI8*$ADJ$4</f>
        <v>14742.083328000001</v>
      </c>
      <c r="ADI9" s="735">
        <v>11075.36</v>
      </c>
      <c r="ADJ9" s="700">
        <f t="shared" si="847"/>
        <v>0.79291688711306729</v>
      </c>
      <c r="ADK9" s="593">
        <v>19239.13</v>
      </c>
      <c r="ADL9" s="593">
        <f>'Proy 2021 vs 2019 Sem'!JI8*$ADN$4</f>
        <v>16848.095232</v>
      </c>
      <c r="ADM9" s="735">
        <v>10451.91</v>
      </c>
      <c r="ADN9" s="700">
        <f t="shared" si="848"/>
        <v>0.54326313092120071</v>
      </c>
      <c r="ADO9" s="593">
        <v>26144.07</v>
      </c>
      <c r="ADP9" s="593">
        <f>'Proy 2021 vs 2019 Sem'!JI8*$ADR$4</f>
        <v>23166.130944</v>
      </c>
      <c r="ADQ9" s="735">
        <v>17131.78</v>
      </c>
      <c r="ADR9" s="700">
        <f t="shared" si="849"/>
        <v>0.65528358820948684</v>
      </c>
      <c r="ADS9" s="579">
        <f t="shared" si="850"/>
        <v>109028.20000000001</v>
      </c>
      <c r="ADT9" s="574">
        <f t="shared" si="851"/>
        <v>105300.59520000001</v>
      </c>
      <c r="ADU9" s="765">
        <f t="shared" si="852"/>
        <v>78270.02</v>
      </c>
      <c r="ADV9" s="761">
        <f t="shared" si="853"/>
        <v>0.71788784919864768</v>
      </c>
      <c r="ADW9" s="593">
        <v>9495.81</v>
      </c>
      <c r="ADX9" s="593">
        <f>'Proy 2021 vs 2019 Sem'!JN8*$ADZ$4</f>
        <v>9874.1510400000006</v>
      </c>
      <c r="ADY9" s="735">
        <v>6586.49</v>
      </c>
      <c r="ADZ9" s="700">
        <f t="shared" si="854"/>
        <v>0.69362066005954204</v>
      </c>
      <c r="AEA9" s="593">
        <v>7525.88</v>
      </c>
      <c r="AEB9" s="593">
        <f>'Proy 2021 vs 2019 Sem'!JN8*$AED$4</f>
        <v>9874.1510400000006</v>
      </c>
      <c r="AEC9" s="735">
        <v>10481</v>
      </c>
      <c r="AED9" s="700">
        <f t="shared" si="855"/>
        <v>1.3926610575773199</v>
      </c>
      <c r="AEE9" s="593">
        <v>10185.89</v>
      </c>
      <c r="AEF9" s="593">
        <f>'Proy 2021 vs 2019 Sem'!JN8*$AEH$4</f>
        <v>9874.1510400000006</v>
      </c>
      <c r="AEG9" s="735">
        <v>10238</v>
      </c>
      <c r="AEH9" s="700">
        <f t="shared" si="856"/>
        <v>1.0051159005251382</v>
      </c>
      <c r="AEI9" s="593">
        <v>16034.19</v>
      </c>
      <c r="AEJ9" s="593">
        <f>'Proy 2021 vs 2019 Sem'!JN8*$AEL$4</f>
        <v>9874.1510400000006</v>
      </c>
      <c r="AEK9" s="735">
        <v>10955</v>
      </c>
      <c r="AEL9" s="700">
        <f t="shared" si="857"/>
        <v>0.68322752817572951</v>
      </c>
      <c r="AEM9" s="593">
        <v>12142.24</v>
      </c>
      <c r="AEN9" s="593">
        <f>'Proy 2021 vs 2019 Sem'!JN8*$AEP$4</f>
        <v>11519.842880000002</v>
      </c>
      <c r="AEO9" s="735">
        <v>13040</v>
      </c>
      <c r="AEP9" s="700">
        <f t="shared" si="858"/>
        <v>1.0739369342065386</v>
      </c>
      <c r="AEQ9" s="593">
        <v>18156.240000000002</v>
      </c>
      <c r="AER9" s="593">
        <f>'Proy 2021 vs 2019 Sem'!JN8*$AET$4</f>
        <v>13165.534720000001</v>
      </c>
      <c r="AES9" s="735">
        <v>9787</v>
      </c>
      <c r="AET9" s="700">
        <f t="shared" si="859"/>
        <v>0.53904332615122952</v>
      </c>
      <c r="AEU9" s="593">
        <v>30549.07</v>
      </c>
      <c r="AEV9" s="593">
        <f>'Proy 2021 vs 2019 Sem'!JN8*$AEX$4</f>
        <v>18102.610240000002</v>
      </c>
      <c r="AEW9" s="735">
        <v>30033</v>
      </c>
      <c r="AEX9" s="700">
        <f t="shared" si="860"/>
        <v>0.98310685071591375</v>
      </c>
      <c r="AEY9" s="579">
        <f t="shared" si="861"/>
        <v>104089.32</v>
      </c>
      <c r="AEZ9" s="574">
        <f t="shared" si="862"/>
        <v>82284.592000000004</v>
      </c>
      <c r="AFA9" s="770">
        <f t="shared" si="863"/>
        <v>91120.489999999991</v>
      </c>
      <c r="AFB9" s="761">
        <f t="shared" si="864"/>
        <v>0.87540671799950254</v>
      </c>
      <c r="AFC9" s="593">
        <v>11085.94</v>
      </c>
      <c r="AFD9" s="593">
        <f>'Proy 2021 vs 2019 Sem'!JX8*$AFF$4</f>
        <v>12329.969280000001</v>
      </c>
      <c r="AFE9" s="735">
        <v>9116</v>
      </c>
      <c r="AFF9" s="700">
        <f t="shared" si="865"/>
        <v>0.82230284486475658</v>
      </c>
      <c r="AFG9" s="593">
        <v>16136.69</v>
      </c>
      <c r="AFH9" s="593">
        <f>'Proy 2021 vs 2019 Sem'!JX8*$AFJ$4</f>
        <v>12329.969280000001</v>
      </c>
      <c r="AFI9" s="735">
        <v>12436.08</v>
      </c>
      <c r="AFJ9" s="700">
        <f t="shared" si="866"/>
        <v>0.77067106079375636</v>
      </c>
      <c r="AFK9" s="593">
        <v>16286.94</v>
      </c>
      <c r="AFL9" s="593">
        <f>'Proy 2021 vs 2019 Sem'!JX8*$AFN$4</f>
        <v>12329.969280000001</v>
      </c>
      <c r="AFM9" s="735">
        <v>12705.51</v>
      </c>
      <c r="AFN9" s="700">
        <f t="shared" si="867"/>
        <v>0.7801041816326455</v>
      </c>
      <c r="AFO9" s="593">
        <v>12737.73</v>
      </c>
      <c r="AFP9" s="593">
        <f>'Proy 2021 vs 2019 Sem'!JX8*$AFR$4</f>
        <v>12329.969280000001</v>
      </c>
      <c r="AFQ9" s="735">
        <v>11650.19</v>
      </c>
      <c r="AFR9" s="700">
        <f t="shared" si="868"/>
        <v>0.91462057996204982</v>
      </c>
      <c r="AFS9" s="593">
        <v>16499.849999999999</v>
      </c>
      <c r="AFT9" s="593">
        <f>'Proy 2021 vs 2019 Sem'!JX8*$AFV$4</f>
        <v>14384.964160000001</v>
      </c>
      <c r="AFU9" s="735">
        <v>17741.45</v>
      </c>
      <c r="AFV9" s="700">
        <f t="shared" si="869"/>
        <v>1.0752491689318389</v>
      </c>
      <c r="AFW9" s="593">
        <v>21458.560000000001</v>
      </c>
      <c r="AFX9" s="593">
        <f>'Proy 2021 vs 2019 Sem'!JX8*$AFZ$4</f>
        <v>16439.959040000002</v>
      </c>
      <c r="AFY9" s="735">
        <v>20328.93</v>
      </c>
      <c r="AFZ9" s="700">
        <f t="shared" si="870"/>
        <v>0.94735760461093377</v>
      </c>
      <c r="AGA9" s="593">
        <v>34136.17</v>
      </c>
      <c r="AGB9" s="593">
        <f>'Proy 2021 vs 2019 Sem'!JX8*$AGD$4</f>
        <v>22604.94368</v>
      </c>
      <c r="AGC9" s="735">
        <v>35955.769999999997</v>
      </c>
      <c r="AGD9" s="700">
        <f t="shared" si="871"/>
        <v>1.0533041638824743</v>
      </c>
      <c r="AGE9" s="579">
        <f t="shared" si="872"/>
        <v>128341.87999999999</v>
      </c>
      <c r="AGF9" s="574">
        <f t="shared" si="873"/>
        <v>102749.74400000001</v>
      </c>
      <c r="AGG9" s="729">
        <f t="shared" si="874"/>
        <v>119933.93</v>
      </c>
      <c r="AGH9" s="711">
        <f t="shared" si="875"/>
        <v>0.93448786943124096</v>
      </c>
      <c r="AGI9" s="593">
        <v>19940.18</v>
      </c>
      <c r="AGJ9" s="593">
        <f>'Proy 2021 vs 2019 Sem'!KC8*$AGL$4</f>
        <v>14187.604572000002</v>
      </c>
      <c r="AGK9" s="735">
        <v>18335.38</v>
      </c>
      <c r="AGL9" s="700">
        <f t="shared" si="876"/>
        <v>0.9195192821729794</v>
      </c>
      <c r="AGM9" s="593">
        <v>16546.03</v>
      </c>
      <c r="AGN9" s="593">
        <f>'Proy 2021 vs 2019 Sem'!KC8*$AGP$4</f>
        <v>14187.604572000002</v>
      </c>
      <c r="AGO9" s="735">
        <v>16074.75</v>
      </c>
      <c r="AGP9" s="700">
        <f t="shared" si="877"/>
        <v>0.97151703459984062</v>
      </c>
      <c r="AGQ9" s="593">
        <v>14056.29</v>
      </c>
      <c r="AGR9" s="593">
        <f>'Proy 2021 vs 2019 Sem'!KC8*$AGT$4</f>
        <v>14187.604572000002</v>
      </c>
      <c r="AGS9" s="735">
        <v>16407.28</v>
      </c>
      <c r="AGT9" s="700">
        <f t="shared" si="878"/>
        <v>1.1672553710829812</v>
      </c>
      <c r="AGU9" s="593">
        <v>16512.84</v>
      </c>
      <c r="AGV9" s="593">
        <f>'Proy 2021 vs 2019 Sem'!KC8*$AGX$4</f>
        <v>14187.604572000002</v>
      </c>
      <c r="AGW9" s="735">
        <v>15751.12</v>
      </c>
      <c r="AGX9" s="700">
        <f t="shared" si="879"/>
        <v>0.95387104822671331</v>
      </c>
      <c r="AGY9" s="593">
        <v>22155.34</v>
      </c>
      <c r="AGZ9" s="593">
        <f>'Proy 2021 vs 2019 Sem'!KC8*$AHB$4</f>
        <v>16552.205334000006</v>
      </c>
      <c r="AHA9" s="735">
        <v>16552.169999999998</v>
      </c>
      <c r="AHB9" s="700">
        <f t="shared" si="880"/>
        <v>0.74709618538916567</v>
      </c>
      <c r="AHC9" s="593">
        <v>20301.78</v>
      </c>
      <c r="AHD9" s="593">
        <f>'Proy 2021 vs 2019 Sem'!KC8*$AHF$4</f>
        <v>18916.806096000004</v>
      </c>
      <c r="AHE9" s="735">
        <v>24151.01</v>
      </c>
      <c r="AHF9" s="700">
        <f t="shared" si="881"/>
        <v>1.1896006163006396</v>
      </c>
      <c r="AHG9" s="593">
        <v>36821.4</v>
      </c>
      <c r="AHH9" s="593">
        <f>'Proy 2021 vs 2019 Sem'!KC8*$AHJ$4</f>
        <v>26010.608382000006</v>
      </c>
      <c r="AHI9" s="735">
        <v>32525.43</v>
      </c>
      <c r="AHJ9" s="700">
        <f t="shared" si="882"/>
        <v>0.88332953119653246</v>
      </c>
      <c r="AHK9" s="579">
        <f t="shared" si="883"/>
        <v>146333.85999999999</v>
      </c>
      <c r="AHL9" s="574">
        <f t="shared" si="884"/>
        <v>118230.03810000002</v>
      </c>
      <c r="AHM9" s="730">
        <f t="shared" si="885"/>
        <v>139797.13999999998</v>
      </c>
      <c r="AHN9" s="711">
        <f t="shared" si="886"/>
        <v>0.95533009243383582</v>
      </c>
      <c r="AHO9" s="593">
        <v>25457.4</v>
      </c>
      <c r="AHP9" s="593">
        <f>'Proy 2021 vs 2019 Sem'!KH8*$AHR$4</f>
        <v>17271.820835999999</v>
      </c>
      <c r="AHQ9" s="735">
        <v>19697.86</v>
      </c>
      <c r="AHR9" s="700">
        <f t="shared" si="887"/>
        <v>0.77375772859757863</v>
      </c>
      <c r="AHS9" s="593">
        <v>22960.26</v>
      </c>
      <c r="AHT9" s="593">
        <f>'Proy 2021 vs 2019 Sem'!KH8*$AHV$4</f>
        <v>17271.820835999999</v>
      </c>
      <c r="AHU9" s="735">
        <v>16169.58</v>
      </c>
      <c r="AHV9" s="700">
        <f t="shared" si="888"/>
        <v>0.7042420251338618</v>
      </c>
      <c r="AHW9" s="593">
        <v>18964.78</v>
      </c>
      <c r="AHX9" s="593">
        <f>'Proy 2021 vs 2019 Sem'!KH8*$AHZ$4</f>
        <v>17271.820835999999</v>
      </c>
      <c r="AHY9" s="735">
        <v>14736.36</v>
      </c>
      <c r="AHZ9" s="700">
        <f t="shared" si="889"/>
        <v>0.77703827832434658</v>
      </c>
      <c r="AIA9" s="593">
        <v>25132.93</v>
      </c>
      <c r="AIB9" s="593">
        <f>'Proy 2021 vs 2019 Sem'!KH8*$AID$4</f>
        <v>17271.820835999999</v>
      </c>
      <c r="AIC9" s="735">
        <v>24774.47</v>
      </c>
      <c r="AID9" s="700">
        <f t="shared" si="890"/>
        <v>0.98573743690051263</v>
      </c>
      <c r="AIE9" s="593">
        <v>21586.83</v>
      </c>
      <c r="AIF9" s="593">
        <f>'Proy 2021 vs 2019 Sem'!KH8*$AIH$4</f>
        <v>20150.457642000005</v>
      </c>
      <c r="AIG9" s="735">
        <v>22640.28</v>
      </c>
      <c r="AIH9" s="700">
        <f t="shared" si="891"/>
        <v>1.0488005881363776</v>
      </c>
      <c r="AII9" s="593">
        <v>23720.75</v>
      </c>
      <c r="AIJ9" s="593">
        <f>'Proy 2021 vs 2019 Sem'!KH8*$AIL$4</f>
        <v>23029.094448000003</v>
      </c>
      <c r="AIK9" s="735">
        <v>21298.26</v>
      </c>
      <c r="AIL9" s="700">
        <f t="shared" si="892"/>
        <v>0.89787464561617991</v>
      </c>
      <c r="AIM9" s="593">
        <v>39187.230000000003</v>
      </c>
      <c r="AIN9" s="593">
        <f>'Proy 2021 vs 2019 Sem'!KH8*$AIP$4</f>
        <v>31665.004866000003</v>
      </c>
      <c r="AIO9" s="735">
        <v>32145.81</v>
      </c>
      <c r="AIP9" s="700">
        <f t="shared" si="893"/>
        <v>0.82031340311627021</v>
      </c>
      <c r="AIQ9" s="579">
        <f t="shared" si="894"/>
        <v>177010.18000000002</v>
      </c>
      <c r="AIR9" s="574">
        <f t="shared" si="895"/>
        <v>143931.84030000001</v>
      </c>
      <c r="AIS9" s="730">
        <f t="shared" si="896"/>
        <v>151462.62</v>
      </c>
      <c r="AIT9" s="711">
        <f t="shared" si="897"/>
        <v>0.85567180373467777</v>
      </c>
      <c r="AIU9" s="593">
        <f>'Proy 2021 vs 2019 Sem'!KL8*$AIX$4</f>
        <v>23281.2408</v>
      </c>
      <c r="AIV9" s="593">
        <f>'Proy 2021 vs 2019 Sem'!KM8*$AIX$4</f>
        <v>32360.924712</v>
      </c>
      <c r="AIW9" s="735">
        <v>28206.91</v>
      </c>
      <c r="AIX9" s="700">
        <f t="shared" si="898"/>
        <v>1.2115724519287649</v>
      </c>
      <c r="AIY9" s="593">
        <f>'Proy 2021 vs 2019 Sem'!KL8*$AJB$4</f>
        <v>23281.2408</v>
      </c>
      <c r="AIZ9" s="593">
        <f>'Proy 2021 vs 2019 Sem'!KM8*$AJB$4</f>
        <v>32360.924712</v>
      </c>
      <c r="AJA9" s="735">
        <v>28755.77</v>
      </c>
      <c r="AJB9" s="700">
        <f t="shared" si="899"/>
        <v>1.2351476558757986</v>
      </c>
      <c r="AJC9" s="593">
        <f>'Proy 2021 vs 2019 Sem'!KL8*$AJF$4</f>
        <v>23281.2408</v>
      </c>
      <c r="AJD9" s="593">
        <f>'Proy 2021 vs 2019 Sem'!KM8*$AJF$4</f>
        <v>32360.924712</v>
      </c>
      <c r="AJE9" s="735">
        <v>26754.47</v>
      </c>
      <c r="AJF9" s="700">
        <f t="shared" si="900"/>
        <v>1.1491857427117889</v>
      </c>
      <c r="AJG9" s="593">
        <f>'Proy 2021 vs 2019 Sem'!KL8*$AJJ$4</f>
        <v>23281.2408</v>
      </c>
      <c r="AJH9" s="593">
        <f>'Proy 2021 vs 2019 Sem'!KM8*$AJJ$4</f>
        <v>32360.924712</v>
      </c>
      <c r="AJI9" s="735">
        <v>39770.51</v>
      </c>
      <c r="AJJ9" s="700">
        <f t="shared" si="901"/>
        <v>1.708264191829501</v>
      </c>
      <c r="AJK9" s="593">
        <f>'Proy 2021 vs 2019 Sem'!KL8*$AJN$4</f>
        <v>27161.447600000003</v>
      </c>
      <c r="AJL9" s="593">
        <f>'Proy 2021 vs 2019 Sem'!KM8*$AJN$4</f>
        <v>37754.412164000001</v>
      </c>
      <c r="AJM9" s="735">
        <v>59229.36</v>
      </c>
      <c r="AJN9" s="700">
        <f t="shared" si="902"/>
        <v>2.1806407696767973</v>
      </c>
      <c r="AJO9" s="593">
        <f>'Proy 2021 vs 2019 Sem'!KL8*$AJR$4</f>
        <v>31041.654399999999</v>
      </c>
      <c r="AJP9" s="593">
        <f>'Proy 2021 vs 2019 Sem'!KM8*$AJR$4</f>
        <v>43147.899616000002</v>
      </c>
      <c r="AJQ9" s="735">
        <v>74739.42</v>
      </c>
      <c r="AJR9" s="700">
        <f t="shared" si="903"/>
        <v>2.4077138105113365</v>
      </c>
      <c r="AJS9" s="593">
        <f>'Proy 2021 vs 2019 Sem'!KL8*$AJV$4</f>
        <v>42682.274799999999</v>
      </c>
      <c r="AJT9" s="593">
        <f>'Proy 2021 vs 2019 Sem'!KM8*$AJV$4</f>
        <v>59328.361971999999</v>
      </c>
      <c r="AJU9" s="699">
        <v>0</v>
      </c>
      <c r="AJV9" s="700">
        <f t="shared" si="904"/>
        <v>0</v>
      </c>
      <c r="AJW9" s="579">
        <f t="shared" si="905"/>
        <v>194010.34000000003</v>
      </c>
      <c r="AJX9" s="574">
        <f t="shared" si="906"/>
        <v>269674.3726</v>
      </c>
      <c r="AJY9" s="710">
        <f t="shared" si="907"/>
        <v>257456.44</v>
      </c>
      <c r="AJZ9" s="711">
        <f t="shared" si="908"/>
        <v>1.3270243225180678</v>
      </c>
      <c r="AKA9" s="593">
        <f>'Proy 2021 vs 2019 Sem'!KQ8*$AKD$4</f>
        <v>7053.9384</v>
      </c>
      <c r="AKB9" s="593">
        <f>'Proy 2021 vs 2019 Sem'!KR8*$AKD$4</f>
        <v>5995.847639999999</v>
      </c>
      <c r="AKC9" s="735">
        <v>6502.16</v>
      </c>
      <c r="AKD9" s="700">
        <f t="shared" si="909"/>
        <v>0.92177725850285275</v>
      </c>
      <c r="AKE9" s="593">
        <f>'Proy 2021 vs 2019 Sem'!KQ8*$AKH$4</f>
        <v>7053.9384</v>
      </c>
      <c r="AKF9" s="593">
        <f>'Proy 2021 vs 2019 Sem'!KR8*$AKH$4</f>
        <v>5995.847639999999</v>
      </c>
      <c r="AKG9" s="735">
        <v>9365.6299999999992</v>
      </c>
      <c r="AKH9" s="700">
        <f t="shared" si="910"/>
        <v>1.3277164427747199</v>
      </c>
      <c r="AKI9" s="593">
        <f>'Proy 2021 vs 2019 Sem'!KQ8*$AKL$4</f>
        <v>7053.9384</v>
      </c>
      <c r="AKJ9" s="593">
        <f>'Proy 2021 vs 2019 Sem'!KR8*$AKL$4</f>
        <v>5995.847639999999</v>
      </c>
      <c r="AKK9" s="735">
        <v>11316.56</v>
      </c>
      <c r="AKL9" s="700">
        <f t="shared" si="911"/>
        <v>1.60428959799252</v>
      </c>
      <c r="AKM9" s="593">
        <f>'Proy 2021 vs 2019 Sem'!KQ8*$AKP$4</f>
        <v>7053.9384</v>
      </c>
      <c r="AKN9" s="593">
        <f>'Proy 2021 vs 2019 Sem'!KR8*$AKP$4</f>
        <v>5995.847639999999</v>
      </c>
      <c r="AKO9" s="735">
        <v>9661.33</v>
      </c>
      <c r="AKP9" s="700">
        <f t="shared" si="912"/>
        <v>1.3696362871555556</v>
      </c>
      <c r="AKQ9" s="593">
        <f>'Proy 2021 vs 2019 Sem'!KQ8*$AKT$4</f>
        <v>8229.5948000000008</v>
      </c>
      <c r="AKR9" s="593">
        <f>'Proy 2021 vs 2019 Sem'!KR8*$AKT$4</f>
        <v>6995.1555800000006</v>
      </c>
      <c r="AKS9" s="735">
        <v>11732.19</v>
      </c>
      <c r="AKT9" s="700">
        <f t="shared" si="913"/>
        <v>1.4256096788629253</v>
      </c>
      <c r="AKU9" s="593">
        <f>'Proy 2021 vs 2019 Sem'!KQ8*$AKX$4</f>
        <v>9405.2512000000006</v>
      </c>
      <c r="AKV9" s="593">
        <f>'Proy 2021 vs 2019 Sem'!KR8*$AKX$4</f>
        <v>7994.4635199999993</v>
      </c>
      <c r="AKW9" s="735">
        <v>14299.83</v>
      </c>
      <c r="AKX9" s="700">
        <f t="shared" si="914"/>
        <v>1.5204091518576346</v>
      </c>
      <c r="AKY9" s="593">
        <f>'Proy 2021 vs 2019 Sem'!KQ8*$ALB$4</f>
        <v>12932.2204</v>
      </c>
      <c r="AKZ9" s="593">
        <f>'Proy 2021 vs 2019 Sem'!KR8*$ALB$4</f>
        <v>10992.387339999999</v>
      </c>
      <c r="ALA9" s="699">
        <v>0</v>
      </c>
      <c r="ALB9" s="700">
        <f>ALA9/AKY9</f>
        <v>0</v>
      </c>
      <c r="ALC9" s="579">
        <f t="shared" si="915"/>
        <v>58782.82</v>
      </c>
      <c r="ALD9" s="574">
        <f t="shared" si="916"/>
        <v>49965.396999999997</v>
      </c>
      <c r="ALE9" s="710">
        <f t="shared" si="917"/>
        <v>62877.700000000004</v>
      </c>
      <c r="ALF9" s="711">
        <f t="shared" si="918"/>
        <v>1.069661169709109</v>
      </c>
    </row>
    <row r="10" spans="2:994" ht="19.5" customHeight="1">
      <c r="B10" s="570" t="s">
        <v>472</v>
      </c>
      <c r="C10" s="574">
        <f>'Proy 2021 vs 2019 Sem'!DX9*$F$4</f>
        <v>6699.8843999999999</v>
      </c>
      <c r="D10" s="576">
        <f>'Proy 2021 vs 2019 Sem'!$DY$9*F4</f>
        <v>4347.3880911266824</v>
      </c>
      <c r="E10" s="735">
        <v>6818.87</v>
      </c>
      <c r="F10" s="700">
        <f t="shared" si="580"/>
        <v>1.0177593511911938</v>
      </c>
      <c r="G10" s="574">
        <f>'Proy 2021 vs 2019 Sem'!DX9*$J$4</f>
        <v>6699.8843999999999</v>
      </c>
      <c r="H10" s="574">
        <f>'Proy 2021 vs 2019 Sem'!$DY$9*J4</f>
        <v>4347.3880911266824</v>
      </c>
      <c r="I10" s="735">
        <v>5472.98</v>
      </c>
      <c r="J10" s="700">
        <f t="shared" si="581"/>
        <v>0.81687678073967962</v>
      </c>
      <c r="K10" s="574">
        <f>'Proy 2021 vs 2019 Sem'!DX9*'Vtas Diarias 2021'!$N$4</f>
        <v>6699.8843999999999</v>
      </c>
      <c r="L10" s="574">
        <f>'Proy 2021 vs 2019 Sem'!$DY$9*N4</f>
        <v>4347.3880911266824</v>
      </c>
      <c r="M10" s="735">
        <v>4860.3</v>
      </c>
      <c r="N10" s="700">
        <f t="shared" si="582"/>
        <v>0.72543042682945402</v>
      </c>
      <c r="O10" s="574">
        <f>'Proy 2021 vs 2019 Sem'!DX9*$R$4</f>
        <v>6699.8843999999999</v>
      </c>
      <c r="P10" s="574">
        <f>'Proy 2021 vs 2019 Sem'!$DY$9*R4</f>
        <v>4347.3880911266824</v>
      </c>
      <c r="Q10" s="735">
        <v>4606.3900000000003</v>
      </c>
      <c r="R10" s="700">
        <f t="shared" si="583"/>
        <v>0.68753275802788483</v>
      </c>
      <c r="S10" s="574">
        <f>'Proy 2021 vs 2019 Sem'!DX9*$V$4</f>
        <v>7816.5318000000007</v>
      </c>
      <c r="T10" s="574">
        <f>'Proy 2021 vs 2019 Sem'!$DY$9*V4</f>
        <v>5071.9527729811307</v>
      </c>
      <c r="U10" s="735">
        <v>2126.06</v>
      </c>
      <c r="V10" s="700">
        <f t="shared" si="584"/>
        <v>0.27199531127091425</v>
      </c>
      <c r="W10" s="574">
        <f>'Proy 2021 vs 2019 Sem'!DX9*$Z$4</f>
        <v>8933.1792000000005</v>
      </c>
      <c r="X10" s="574">
        <f>'Proy 2021 vs 2019 Sem'!$DY$9*Z4</f>
        <v>5796.5174548355772</v>
      </c>
      <c r="Y10" s="735">
        <v>6399.97</v>
      </c>
      <c r="Z10" s="700">
        <f t="shared" si="585"/>
        <v>0.71642691327629471</v>
      </c>
      <c r="AA10" s="574">
        <f>'Proy 2021 vs 2019 Sem'!DX9*$AD$4</f>
        <v>12283.1214</v>
      </c>
      <c r="AB10" s="574">
        <f>'Proy 2021 vs 2019 Sem'!$DY$9*AD4</f>
        <v>7970.2115003989184</v>
      </c>
      <c r="AC10" s="735">
        <v>8416.5400000000009</v>
      </c>
      <c r="AD10" s="700">
        <f t="shared" si="586"/>
        <v>0.68521182246069801</v>
      </c>
      <c r="AE10" s="579">
        <f t="shared" si="587"/>
        <v>55832.369999999995</v>
      </c>
      <c r="AF10" s="574">
        <f t="shared" si="588"/>
        <v>36228.234092722356</v>
      </c>
      <c r="AG10" s="729">
        <f t="shared" si="589"/>
        <v>38701.11</v>
      </c>
      <c r="AH10" s="711">
        <f t="shared" si="590"/>
        <v>0.69316616865807423</v>
      </c>
      <c r="AI10" s="593">
        <f>'Proy 2021 vs 2019 Sem'!EC9*$AL$4</f>
        <v>9019.3511999999992</v>
      </c>
      <c r="AJ10" s="611">
        <f>'Proy 2021 vs 2019 Sem'!ED9*$AL$4</f>
        <v>6251.909115085602</v>
      </c>
      <c r="AK10" s="735">
        <v>2704.71</v>
      </c>
      <c r="AL10" s="700">
        <f t="shared" si="591"/>
        <v>0.2998785544574426</v>
      </c>
      <c r="AM10" s="593">
        <f>'Proy 2021 vs 2019 Sem'!EC9*$AP$4</f>
        <v>9019.3511999999992</v>
      </c>
      <c r="AN10" s="593">
        <f>'Proy 2021 vs 2019 Sem'!ED9*$AP$4</f>
        <v>6251.909115085602</v>
      </c>
      <c r="AO10" s="735">
        <v>4027.53</v>
      </c>
      <c r="AP10" s="700">
        <f t="shared" si="592"/>
        <v>0.44654320590155094</v>
      </c>
      <c r="AQ10" s="593">
        <f>'Proy 2021 vs 2019 Sem'!EC9*$AT$4</f>
        <v>9019.3511999999992</v>
      </c>
      <c r="AR10" s="593">
        <f>'Proy 2021 vs 2019 Sem'!ED9*$AT$4</f>
        <v>6251.909115085602</v>
      </c>
      <c r="AS10" s="735">
        <v>3154.98</v>
      </c>
      <c r="AT10" s="700">
        <f t="shared" si="593"/>
        <v>0.34980121408289327</v>
      </c>
      <c r="AU10" s="593">
        <f>'Proy 2021 vs 2019 Sem'!EC9*$AX$4</f>
        <v>9019.3511999999992</v>
      </c>
      <c r="AV10" s="593">
        <f>'Proy 2021 vs 2019 Sem'!ED9*$AX$4</f>
        <v>6251.909115085602</v>
      </c>
      <c r="AW10" s="735">
        <v>3811.21</v>
      </c>
      <c r="AX10" s="700">
        <f t="shared" si="594"/>
        <v>0.42255921911545041</v>
      </c>
      <c r="AY10" s="593">
        <f>'Proy 2021 vs 2019 Sem'!EC9*$BB$4</f>
        <v>10522.5764</v>
      </c>
      <c r="AZ10" s="593">
        <f>'Proy 2021 vs 2019 Sem'!ED9*$BB$4</f>
        <v>7293.8939675998708</v>
      </c>
      <c r="BA10" s="735">
        <v>5753.6</v>
      </c>
      <c r="BB10" s="700">
        <f t="shared" si="595"/>
        <v>0.54678624143798094</v>
      </c>
      <c r="BC10" s="593">
        <f>'Proy 2021 vs 2019 Sem'!EC9*$BF$4</f>
        <v>12025.801599999999</v>
      </c>
      <c r="BD10" s="593">
        <f>'Proy 2021 vs 2019 Sem'!ED9*$BF$4</f>
        <v>8335.8788201141379</v>
      </c>
      <c r="BE10" s="735">
        <v>6183.59</v>
      </c>
      <c r="BF10" s="700">
        <f t="shared" si="596"/>
        <v>0.51419358190642361</v>
      </c>
      <c r="BG10" s="593">
        <f>'Proy 2021 vs 2019 Sem'!EC9*$BJ$4</f>
        <v>16535.477199999998</v>
      </c>
      <c r="BH10" s="593">
        <f>'Proy 2021 vs 2019 Sem'!ED9*$BJ$4</f>
        <v>11461.833377656938</v>
      </c>
      <c r="BI10" s="735">
        <v>12919.71</v>
      </c>
      <c r="BJ10" s="700">
        <f t="shared" si="597"/>
        <v>0.78133275766604426</v>
      </c>
      <c r="BK10" s="579">
        <f t="shared" si="598"/>
        <v>75161.259999999995</v>
      </c>
      <c r="BL10" s="574">
        <f t="shared" si="599"/>
        <v>52099.242625713348</v>
      </c>
      <c r="BM10" s="730">
        <f t="shared" si="600"/>
        <v>38555.33</v>
      </c>
      <c r="BN10" s="711">
        <f t="shared" si="601"/>
        <v>0.51296811681975529</v>
      </c>
      <c r="BO10" s="593">
        <f>'Proy 2021 vs 2019 Sem'!EH9*$BR$4</f>
        <v>9909.1895999999997</v>
      </c>
      <c r="BP10" s="593">
        <f>'Proy 2021 vs 2019 Sem'!EI9*$BR$4</f>
        <v>6936.4327199999998</v>
      </c>
      <c r="BQ10" s="735">
        <v>8399.66</v>
      </c>
      <c r="BR10" s="700">
        <f t="shared" si="602"/>
        <v>0.84766366767268231</v>
      </c>
      <c r="BS10" s="593">
        <f>'Proy 2021 vs 2019 Sem'!EH9*$BV$4</f>
        <v>9909.1895999999997</v>
      </c>
      <c r="BT10" s="593">
        <f>'Proy 2021 vs 2019 Sem'!EI9*$BV$4</f>
        <v>6936.4327199999998</v>
      </c>
      <c r="BU10" s="735">
        <v>5557.36</v>
      </c>
      <c r="BV10" s="700">
        <f t="shared" si="603"/>
        <v>0.5608289097627116</v>
      </c>
      <c r="BW10" s="593">
        <f>'Proy 2021 vs 2019 Sem'!EH9*$BZ$4</f>
        <v>9909.1895999999997</v>
      </c>
      <c r="BX10" s="593">
        <f>'Proy 2021 vs 2019 Sem'!EI9*$BZ$4</f>
        <v>6936.4327199999998</v>
      </c>
      <c r="BY10" s="735">
        <v>7086.35</v>
      </c>
      <c r="BZ10" s="700">
        <f t="shared" si="604"/>
        <v>0.71512911610854646</v>
      </c>
      <c r="CA10" s="593">
        <f>'Proy 2021 vs 2019 Sem'!EH9*$CD$4</f>
        <v>9909.1895999999997</v>
      </c>
      <c r="CB10" s="593">
        <f>'Proy 2021 vs 2019 Sem'!EI9*$CD$4</f>
        <v>6936.4327199999998</v>
      </c>
      <c r="CC10" s="735">
        <v>3986.42</v>
      </c>
      <c r="CD10" s="700">
        <f t="shared" si="605"/>
        <v>0.40229525934189414</v>
      </c>
      <c r="CE10" s="593">
        <f>'Proy 2021 vs 2019 Sem'!EH9*$CH$4</f>
        <v>11560.721200000002</v>
      </c>
      <c r="CF10" s="593">
        <f>'Proy 2021 vs 2019 Sem'!EI9*$CH$4</f>
        <v>8092.5048400000005</v>
      </c>
      <c r="CG10" s="735">
        <v>5006.74</v>
      </c>
      <c r="CH10" s="700">
        <f t="shared" si="606"/>
        <v>0.43308197761918166</v>
      </c>
      <c r="CI10" s="593">
        <f>'Proy 2021 vs 2019 Sem'!EH9*$CL$4</f>
        <v>13212.2528</v>
      </c>
      <c r="CJ10" s="593">
        <f>'Proy 2021 vs 2019 Sem'!EI9*$CL$4</f>
        <v>9248.5769600000003</v>
      </c>
      <c r="CK10" s="735">
        <v>7033.95</v>
      </c>
      <c r="CL10" s="700">
        <f t="shared" si="607"/>
        <v>0.53238082153559763</v>
      </c>
      <c r="CM10" s="593">
        <f>'Proy 2021 vs 2019 Sem'!EH9*$CP$4</f>
        <v>18166.847600000001</v>
      </c>
      <c r="CN10" s="593">
        <f>'Proy 2021 vs 2019 Sem'!EI9*$CP$4</f>
        <v>12716.793320000001</v>
      </c>
      <c r="CO10" s="735">
        <v>10749.72</v>
      </c>
      <c r="CP10" s="700">
        <f t="shared" si="608"/>
        <v>0.59172181308990557</v>
      </c>
      <c r="CQ10" s="579">
        <f t="shared" si="609"/>
        <v>82576.58</v>
      </c>
      <c r="CR10" s="574">
        <f t="shared" si="610"/>
        <v>57803.606</v>
      </c>
      <c r="CS10" s="730">
        <f t="shared" si="611"/>
        <v>47820.2</v>
      </c>
      <c r="CT10" s="711">
        <f t="shared" si="612"/>
        <v>0.57910124153846032</v>
      </c>
      <c r="CU10" s="593">
        <f>'Proy 2021 vs 2019 Sem'!EM9*$CX$4</f>
        <v>9450.9947999999986</v>
      </c>
      <c r="CV10" s="593">
        <f>'Proy 2021 vs 2019 Sem'!EN9*$CX$4</f>
        <v>6615.696359999999</v>
      </c>
      <c r="CW10" s="735">
        <v>7273.71</v>
      </c>
      <c r="CX10" s="700">
        <f t="shared" si="613"/>
        <v>0.76962374373542153</v>
      </c>
      <c r="CY10" s="593">
        <f>'Proy 2021 vs 2019 Sem'!EM9*$DB$4</f>
        <v>9450.9947999999986</v>
      </c>
      <c r="CZ10" s="593">
        <f>'Proy 2021 vs 2019 Sem'!EN9*$DB$4</f>
        <v>6615.696359999999</v>
      </c>
      <c r="DA10" s="735">
        <v>3901.9</v>
      </c>
      <c r="DB10" s="700">
        <f t="shared" si="614"/>
        <v>0.41285600961287172</v>
      </c>
      <c r="DC10" s="593">
        <f>'Proy 2021 vs 2019 Sem'!EM9*$DF$4</f>
        <v>9450.9947999999986</v>
      </c>
      <c r="DD10" s="593">
        <f>'Proy 2021 vs 2019 Sem'!EN9*$DF$4</f>
        <v>6615.696359999999</v>
      </c>
      <c r="DE10" s="735">
        <v>4921.62</v>
      </c>
      <c r="DF10" s="700">
        <f t="shared" si="615"/>
        <v>0.52075152977546879</v>
      </c>
      <c r="DG10" s="593">
        <f>'Proy 2021 vs 2019 Sem'!EM9*$DJ$4</f>
        <v>9450.9947999999986</v>
      </c>
      <c r="DH10" s="593">
        <f>'Proy 2021 vs 2019 Sem'!EN9*$DJ$4</f>
        <v>6615.696359999999</v>
      </c>
      <c r="DI10" s="735">
        <v>4558.33</v>
      </c>
      <c r="DJ10" s="700">
        <f t="shared" si="616"/>
        <v>0.48231219003527548</v>
      </c>
      <c r="DK10" s="593">
        <f>'Proy 2021 vs 2019 Sem'!EM9*$DN$4</f>
        <v>11026.160599999999</v>
      </c>
      <c r="DL10" s="593">
        <f>'Proy 2021 vs 2019 Sem'!EN9*$DN$4</f>
        <v>7718.3124199999993</v>
      </c>
      <c r="DM10" s="735">
        <v>4407.59</v>
      </c>
      <c r="DN10" s="700">
        <f t="shared" si="617"/>
        <v>0.39973932540035745</v>
      </c>
      <c r="DO10" s="593">
        <f>'Proy 2021 vs 2019 Sem'!EM9*$DR$4</f>
        <v>12601.3264</v>
      </c>
      <c r="DP10" s="593">
        <f>'Proy 2021 vs 2019 Sem'!EN9*$DR$4</f>
        <v>8820.9284799999987</v>
      </c>
      <c r="DQ10" s="735">
        <v>9656.7099999999991</v>
      </c>
      <c r="DR10" s="700">
        <f t="shared" si="618"/>
        <v>0.76632488465658655</v>
      </c>
      <c r="DS10" s="593">
        <f>'Proy 2021 vs 2019 Sem'!EM9*$DV$4</f>
        <v>17326.823799999998</v>
      </c>
      <c r="DT10" s="593">
        <f>'Proy 2021 vs 2019 Sem'!EN9*$DV$4</f>
        <v>12128.776659999998</v>
      </c>
      <c r="DU10" s="735">
        <v>11001.01</v>
      </c>
      <c r="DV10" s="700">
        <f t="shared" si="619"/>
        <v>0.63491209508346247</v>
      </c>
      <c r="DW10" s="579">
        <f t="shared" si="620"/>
        <v>78758.289999999979</v>
      </c>
      <c r="DX10" s="574">
        <f t="shared" si="621"/>
        <v>55130.802999999993</v>
      </c>
      <c r="DY10" s="710">
        <f t="shared" si="622"/>
        <v>45720.87</v>
      </c>
      <c r="DZ10" s="711">
        <f t="shared" si="623"/>
        <v>0.58052136479855032</v>
      </c>
      <c r="EA10" s="593">
        <f>'Proy 2021 vs 2019 Sem'!ER9*$ED$4</f>
        <v>8818.3007999999991</v>
      </c>
      <c r="EB10" s="593">
        <f>'Proy 2021 vs 2019 Sem'!ES9*$ED$4</f>
        <v>5290.9804799999993</v>
      </c>
      <c r="EC10" s="735">
        <v>4254.5</v>
      </c>
      <c r="ED10" s="700">
        <f t="shared" si="624"/>
        <v>0.48246256240204466</v>
      </c>
      <c r="EE10" s="593">
        <f>'Proy 2021 vs 2019 Sem'!ER9*$EH$4</f>
        <v>8818.3007999999991</v>
      </c>
      <c r="EF10" s="593">
        <f>'Proy 2021 vs 2019 Sem'!ES9*$EH$4</f>
        <v>5290.9804799999993</v>
      </c>
      <c r="EG10" s="735">
        <v>5320.87</v>
      </c>
      <c r="EH10" s="700">
        <f t="shared" si="625"/>
        <v>0.60338948746225585</v>
      </c>
      <c r="EI10" s="593">
        <f>'Proy 2021 vs 2019 Sem'!ER9*$EL$4</f>
        <v>8818.3007999999991</v>
      </c>
      <c r="EJ10" s="593">
        <f>'Proy 2021 vs 2019 Sem'!ES9*$EL$4</f>
        <v>5290.9804799999993</v>
      </c>
      <c r="EK10" s="735">
        <v>8828.9699999999993</v>
      </c>
      <c r="EL10" s="700">
        <f t="shared" si="626"/>
        <v>1.0012098929535269</v>
      </c>
      <c r="EM10" s="593">
        <f>'Proy 2021 vs 2019 Sem'!ER9*$EP$4</f>
        <v>8818.3007999999991</v>
      </c>
      <c r="EN10" s="593">
        <f>'Proy 2021 vs 2019 Sem'!ES9*$EP$4</f>
        <v>5290.9804799999993</v>
      </c>
      <c r="EO10" s="735">
        <v>6091.85</v>
      </c>
      <c r="EP10" s="700">
        <f t="shared" si="627"/>
        <v>0.69081902944385853</v>
      </c>
      <c r="EQ10" s="593">
        <f>'Proy 2021 vs 2019 Sem'!ER9*$ET$4</f>
        <v>10288.017600000001</v>
      </c>
      <c r="ER10" s="593">
        <f>'Proy 2021 vs 2019 Sem'!ES9*$ET$4</f>
        <v>6172.8105599999999</v>
      </c>
      <c r="ES10" s="735">
        <v>4610.2</v>
      </c>
      <c r="ET10" s="1370">
        <f t="shared" si="628"/>
        <v>0.44811354132986703</v>
      </c>
      <c r="EU10" s="593">
        <f>'Proy 2021 vs 2019 Sem'!ER9*$EX$4</f>
        <v>11757.734399999999</v>
      </c>
      <c r="EV10" s="593">
        <f>'Proy 2021 vs 2019 Sem'!ES9*$EX$4</f>
        <v>7054.6406399999987</v>
      </c>
      <c r="EW10" s="735">
        <v>6868.3</v>
      </c>
      <c r="EX10" s="700">
        <f t="shared" si="629"/>
        <v>0.58415165425066928</v>
      </c>
      <c r="EY10" s="593">
        <f>'Proy 2021 vs 2019 Sem'!ER9*$FB$4</f>
        <v>16166.8848</v>
      </c>
      <c r="EZ10" s="593">
        <f>'Proy 2021 vs 2019 Sem'!ES9*$FB$4</f>
        <v>9700.1308799999988</v>
      </c>
      <c r="FA10" s="699">
        <v>7492.91</v>
      </c>
      <c r="FB10" s="700">
        <f t="shared" si="630"/>
        <v>0.46347271553515368</v>
      </c>
      <c r="FC10" s="579">
        <f t="shared" si="631"/>
        <v>73485.84</v>
      </c>
      <c r="FD10" s="574">
        <f t="shared" si="632"/>
        <v>44091.503999999994</v>
      </c>
      <c r="FE10" s="710">
        <f t="shared" si="633"/>
        <v>43467.599999999991</v>
      </c>
      <c r="FF10" s="711">
        <f t="shared" si="634"/>
        <v>0.59150987455542448</v>
      </c>
      <c r="FG10" s="593">
        <f>'Proy 2021 vs 2019 Sem'!FA9*$FJ$4</f>
        <v>8107.3739999999998</v>
      </c>
      <c r="FH10" s="593">
        <f>'Proy 2021 vs 2019 Sem'!FB9*$FJ$4</f>
        <v>5675.1617999999989</v>
      </c>
      <c r="FI10" s="735">
        <v>6239.88</v>
      </c>
      <c r="FJ10" s="700">
        <f t="shared" si="635"/>
        <v>0.76965488455324749</v>
      </c>
      <c r="FK10" s="593">
        <f>'Proy 2021 vs 2019 Sem'!FA9*$FN$4</f>
        <v>8107.3739999999998</v>
      </c>
      <c r="FL10" s="593">
        <f>'Proy 2021 vs 2019 Sem'!FB9*$FN$4</f>
        <v>5675.1617999999989</v>
      </c>
      <c r="FM10" s="735">
        <v>5628.91</v>
      </c>
      <c r="FN10" s="700">
        <f t="shared" si="636"/>
        <v>0.69429509481121754</v>
      </c>
      <c r="FO10" s="593">
        <f>'Proy 2021 vs 2019 Sem'!FA9*$FR$4</f>
        <v>8107.3739999999998</v>
      </c>
      <c r="FP10" s="593">
        <f>'Proy 2021 vs 2019 Sem'!FB9*$FR$4</f>
        <v>5675.1617999999989</v>
      </c>
      <c r="FQ10" s="735">
        <v>3991.6</v>
      </c>
      <c r="FR10" s="700">
        <f t="shared" si="637"/>
        <v>0.49234190996986199</v>
      </c>
      <c r="FS10" s="593">
        <f>'Proy 2021 vs 2019 Sem'!FA9*$FV$4</f>
        <v>8107.3739999999998</v>
      </c>
      <c r="FT10" s="593">
        <f>'Proy 2021 vs 2019 Sem'!FB9*$FV$4</f>
        <v>5675.1617999999989</v>
      </c>
      <c r="FU10" s="735">
        <v>9488.74</v>
      </c>
      <c r="FV10" s="700">
        <f t="shared" si="638"/>
        <v>1.1703838998916296</v>
      </c>
      <c r="FW10" s="593">
        <f>'Proy 2021 vs 2019 Sem'!FA9*$FZ$4</f>
        <v>9458.603000000001</v>
      </c>
      <c r="FX10" s="593">
        <f>'Proy 2021 vs 2019 Sem'!FB9*$FZ$4</f>
        <v>6621.0220999999992</v>
      </c>
      <c r="FY10" s="735">
        <v>5117.1099999999997</v>
      </c>
      <c r="FZ10" s="700">
        <f t="shared" si="639"/>
        <v>0.54100061076672734</v>
      </c>
      <c r="GA10" s="593">
        <f>'Proy 2021 vs 2019 Sem'!FA9*$GD$4</f>
        <v>10809.832</v>
      </c>
      <c r="GB10" s="593">
        <f>'Proy 2021 vs 2019 Sem'!FB9*$GD$4</f>
        <v>7566.8823999999986</v>
      </c>
      <c r="GC10" s="735">
        <v>7658.7</v>
      </c>
      <c r="GD10" s="700">
        <f t="shared" si="640"/>
        <v>0.7084938970374377</v>
      </c>
      <c r="GE10" s="593">
        <f>'Proy 2021 vs 2019 Sem'!FA9*$GH$4</f>
        <v>14863.519</v>
      </c>
      <c r="GF10" s="593">
        <f>'Proy 2021 vs 2019 Sem'!FB9*$GH$4</f>
        <v>10404.463299999998</v>
      </c>
      <c r="GG10" s="735">
        <v>11047.89</v>
      </c>
      <c r="GH10" s="700">
        <f t="shared" si="641"/>
        <v>0.74328898829409096</v>
      </c>
      <c r="GI10" s="579">
        <f t="shared" si="642"/>
        <v>67561.450000000012</v>
      </c>
      <c r="GJ10" s="574">
        <f t="shared" si="643"/>
        <v>47293.014999999992</v>
      </c>
      <c r="GK10" s="759">
        <f t="shared" si="644"/>
        <v>49172.83</v>
      </c>
      <c r="GL10" s="761">
        <f t="shared" si="645"/>
        <v>0.72782378116514657</v>
      </c>
      <c r="GM10" s="593">
        <f>'Proy 2021 vs 2019 Sem'!FF9*$GP$4</f>
        <v>10198.0188</v>
      </c>
      <c r="GN10" s="593">
        <f>'Proy 2021 vs 2019 Sem'!FG9*$GP$4</f>
        <v>7750.4942879999999</v>
      </c>
      <c r="GO10" s="735">
        <v>6567.57</v>
      </c>
      <c r="GP10" s="700">
        <f t="shared" si="646"/>
        <v>0.64400450016820909</v>
      </c>
      <c r="GQ10" s="593">
        <f>'Proy 2021 vs 2019 Sem'!FF9*$GT$4</f>
        <v>10198.0188</v>
      </c>
      <c r="GR10" s="593">
        <f>'Proy 2021 vs 2019 Sem'!FG9*$GT$4</f>
        <v>7750.4942879999999</v>
      </c>
      <c r="GS10" s="735">
        <v>5180.4399999999996</v>
      </c>
      <c r="GT10" s="700">
        <f t="shared" si="647"/>
        <v>0.50798494311463704</v>
      </c>
      <c r="GU10" s="593">
        <f>'Proy 2021 vs 2019 Sem'!FF9*$GX$4</f>
        <v>10198.0188</v>
      </c>
      <c r="GV10" s="593">
        <f>'Proy 2021 vs 2019 Sem'!FG9*$GX$4</f>
        <v>7750.4942879999999</v>
      </c>
      <c r="GW10" s="735">
        <v>5625.5</v>
      </c>
      <c r="GX10" s="700">
        <f t="shared" si="648"/>
        <v>0.55162675322779364</v>
      </c>
      <c r="GY10" s="593">
        <f>'Proy 2021 vs 2019 Sem'!FF9*$HB$4</f>
        <v>10198.0188</v>
      </c>
      <c r="GZ10" s="593">
        <f>'Proy 2021 vs 2019 Sem'!FG9*$HB$4</f>
        <v>7750.4942879999999</v>
      </c>
      <c r="HA10" s="735">
        <v>5730.38</v>
      </c>
      <c r="HB10" s="700">
        <f t="shared" si="649"/>
        <v>0.56191110375281916</v>
      </c>
      <c r="HC10" s="593">
        <f>'Proy 2021 vs 2019 Sem'!FF9*$HF$4</f>
        <v>11897.688600000001</v>
      </c>
      <c r="HD10" s="593">
        <f>'Proy 2021 vs 2019 Sem'!FG9*$HF$4</f>
        <v>9042.2433360000014</v>
      </c>
      <c r="HE10" s="735">
        <v>8253.52</v>
      </c>
      <c r="HF10" s="700">
        <f t="shared" si="650"/>
        <v>0.69370785179232208</v>
      </c>
      <c r="HG10" s="593">
        <f>'Proy 2021 vs 2019 Sem'!FF9*$HJ$4</f>
        <v>13597.358400000001</v>
      </c>
      <c r="HH10" s="593">
        <f>'Proy 2021 vs 2019 Sem'!FG9*$HJ$4</f>
        <v>10333.992384000001</v>
      </c>
      <c r="HI10" s="735">
        <v>9949.91</v>
      </c>
      <c r="HJ10" s="700">
        <f t="shared" si="651"/>
        <v>0.73175316170234939</v>
      </c>
      <c r="HK10" s="593">
        <f>'Proy 2021 vs 2019 Sem'!FF9*$HN$4</f>
        <v>18696.3678</v>
      </c>
      <c r="HL10" s="593">
        <f>'Proy 2021 vs 2019 Sem'!FG9*$HN$4</f>
        <v>14209.239528</v>
      </c>
      <c r="HM10" s="735">
        <v>6935.56</v>
      </c>
      <c r="HN10" s="700">
        <f t="shared" si="652"/>
        <v>0.37095761455869519</v>
      </c>
      <c r="HO10" s="579">
        <f t="shared" si="653"/>
        <v>84983.489999999991</v>
      </c>
      <c r="HP10" s="574">
        <f t="shared" si="654"/>
        <v>64587.452400000002</v>
      </c>
      <c r="HQ10" s="765">
        <f t="shared" si="655"/>
        <v>48242.879999999997</v>
      </c>
      <c r="HR10" s="761">
        <f t="shared" si="656"/>
        <v>0.56767355635782901</v>
      </c>
      <c r="HS10" s="593">
        <f>'Proy 2021 vs 2019 Sem'!FK9*$CX$4</f>
        <v>8794.1496000000006</v>
      </c>
      <c r="HT10" s="593">
        <f>'Proy 2021 vs 2019 Sem'!FL9*$CX$4</f>
        <v>6947.3781840000001</v>
      </c>
      <c r="HU10" s="735">
        <v>5537.21</v>
      </c>
      <c r="HV10" s="700">
        <f t="shared" si="657"/>
        <v>0.62964700987119893</v>
      </c>
      <c r="HW10" s="593">
        <f>'Proy 2021 vs 2019 Sem'!FK9*$DB$4</f>
        <v>8794.1496000000006</v>
      </c>
      <c r="HX10" s="593">
        <f>'Proy 2021 vs 2019 Sem'!FL9*$DB$4</f>
        <v>6947.3781840000001</v>
      </c>
      <c r="HY10" s="735">
        <v>4958.47</v>
      </c>
      <c r="HZ10" s="700">
        <f t="shared" si="658"/>
        <v>0.56383734932141705</v>
      </c>
      <c r="IA10" s="593">
        <f>'Proy 2021 vs 2019 Sem'!FK9*$DF$4</f>
        <v>8794.1496000000006</v>
      </c>
      <c r="IB10" s="593">
        <f>'Proy 2021 vs 2019 Sem'!FL9*$DF$4</f>
        <v>6947.3781840000001</v>
      </c>
      <c r="IC10" s="735">
        <v>5908.61</v>
      </c>
      <c r="ID10" s="700">
        <f t="shared" si="659"/>
        <v>0.6718796323410281</v>
      </c>
      <c r="IE10" s="593">
        <f>'Proy 2021 vs 2019 Sem'!FK9*$DJ$4</f>
        <v>8794.1496000000006</v>
      </c>
      <c r="IF10" s="593">
        <f>'Proy 2021 vs 2019 Sem'!FL9*$DJ$4</f>
        <v>6947.3781840000001</v>
      </c>
      <c r="IG10" s="735">
        <v>3456.43</v>
      </c>
      <c r="IH10" s="700">
        <f t="shared" si="660"/>
        <v>0.39303743479642417</v>
      </c>
      <c r="II10" s="593">
        <f>'Proy 2021 vs 2019 Sem'!FK9*$DN$4</f>
        <v>10259.841200000001</v>
      </c>
      <c r="IJ10" s="593">
        <f>'Proy 2021 vs 2019 Sem'!FL9*$DN$4</f>
        <v>8105.2745480000012</v>
      </c>
      <c r="IK10" s="735">
        <v>5890.99</v>
      </c>
      <c r="IL10" s="700">
        <f t="shared" si="661"/>
        <v>0.57417945221218425</v>
      </c>
      <c r="IM10" s="593">
        <f>'Proy 2021 vs 2019 Sem'!FK9*$DR$4</f>
        <v>11725.532800000001</v>
      </c>
      <c r="IN10" s="593">
        <f>'Proy 2021 vs 2019 Sem'!FL9*$DR$4</f>
        <v>9263.1709119999996</v>
      </c>
      <c r="IO10" s="1410">
        <v>8138.73</v>
      </c>
      <c r="IP10" s="700">
        <f t="shared" si="662"/>
        <v>0.6941032138002291</v>
      </c>
      <c r="IQ10" s="593">
        <f>'Proy 2021 vs 2019 Sem'!FK9*$IT$4</f>
        <v>16122.607600000001</v>
      </c>
      <c r="IR10" s="593">
        <f>'Proy 2021 vs 2019 Sem'!FL9*$IT$4</f>
        <v>12736.860004</v>
      </c>
      <c r="IS10" s="735">
        <v>15073.39</v>
      </c>
      <c r="IT10" s="700">
        <f t="shared" si="663"/>
        <v>0.93492258659201</v>
      </c>
      <c r="IU10" s="579">
        <f t="shared" si="664"/>
        <v>73284.58</v>
      </c>
      <c r="IV10" s="574">
        <f t="shared" si="665"/>
        <v>57894.818200000009</v>
      </c>
      <c r="IW10" s="765">
        <f t="shared" si="666"/>
        <v>48963.83</v>
      </c>
      <c r="IX10" s="761">
        <f t="shared" si="667"/>
        <v>0.66813277772759294</v>
      </c>
      <c r="IY10" s="593">
        <f>'Proy 2021 vs 2019 Sem'!FP9*$JB$4</f>
        <v>9800.782799999999</v>
      </c>
      <c r="IZ10" s="593">
        <f>'Proy 2021 vs 2019 Sem'!FQ9*$JB$4</f>
        <v>7448.5949279999995</v>
      </c>
      <c r="JA10" s="735">
        <v>7128.32</v>
      </c>
      <c r="JB10" s="700">
        <f t="shared" si="668"/>
        <v>0.72732149517689548</v>
      </c>
      <c r="JC10" s="593">
        <f>'Proy 2021 vs 2019 Sem'!FP9*$JF$4</f>
        <v>9800.782799999999</v>
      </c>
      <c r="JD10" s="593">
        <f>'Proy 2021 vs 2019 Sem'!FQ9*$JF$4</f>
        <v>7448.5949279999995</v>
      </c>
      <c r="JE10" s="735">
        <v>6895.94</v>
      </c>
      <c r="JF10" s="700">
        <f t="shared" si="669"/>
        <v>0.70361114420370585</v>
      </c>
      <c r="JG10" s="593">
        <f>'Proy 2021 vs 2019 Sem'!FP9*$JJ$4</f>
        <v>9800.782799999999</v>
      </c>
      <c r="JH10" s="593">
        <f>'Proy 2021 vs 2019 Sem'!FQ9*$JJ$4</f>
        <v>7448.5949279999995</v>
      </c>
      <c r="JI10" s="735">
        <v>7030.13</v>
      </c>
      <c r="JJ10" s="700">
        <f t="shared" si="670"/>
        <v>0.71730290768202731</v>
      </c>
      <c r="JK10" s="593">
        <f>'Proy 2021 vs 2019 Sem'!FP9*$JN$4</f>
        <v>9800.782799999999</v>
      </c>
      <c r="JL10" s="593">
        <f>'Proy 2021 vs 2019 Sem'!FQ9*$JN$4</f>
        <v>7448.5949279999995</v>
      </c>
      <c r="JM10" s="735">
        <v>4929.6899999999996</v>
      </c>
      <c r="JN10" s="700">
        <f t="shared" si="671"/>
        <v>0.50298941427413324</v>
      </c>
      <c r="JO10" s="593">
        <f>'Proy 2021 vs 2019 Sem'!FP9*$JR$4</f>
        <v>11434.246600000002</v>
      </c>
      <c r="JP10" s="593">
        <f>'Proy 2021 vs 2019 Sem'!FQ9*$JR$4</f>
        <v>8690.0274160000008</v>
      </c>
      <c r="JQ10" s="735">
        <v>6189.47</v>
      </c>
      <c r="JR10" s="700">
        <f t="shared" si="672"/>
        <v>0.54130982272150741</v>
      </c>
      <c r="JS10" s="593">
        <f>'Proy 2021 vs 2019 Sem'!FP9*$JV$4</f>
        <v>13067.7104</v>
      </c>
      <c r="JT10" s="593">
        <f>'Proy 2021 vs 2019 Sem'!FQ9*$JV$4</f>
        <v>9931.4599040000012</v>
      </c>
      <c r="JU10" s="735">
        <v>6658.24</v>
      </c>
      <c r="JV10" s="700">
        <f t="shared" si="673"/>
        <v>0.50951848458472115</v>
      </c>
      <c r="JW10" s="593">
        <f>'Proy 2021 vs 2019 Sem'!FP9*$JZ$4</f>
        <v>17968.1018</v>
      </c>
      <c r="JX10" s="593">
        <f>'Proy 2021 vs 2019 Sem'!FQ9*$JZ$4</f>
        <v>13655.757368</v>
      </c>
      <c r="JY10" s="735">
        <v>14191.31</v>
      </c>
      <c r="JZ10" s="700">
        <f t="shared" si="674"/>
        <v>0.78980574342026488</v>
      </c>
      <c r="KA10" s="579">
        <f t="shared" si="675"/>
        <v>81673.19</v>
      </c>
      <c r="KB10" s="574">
        <f t="shared" si="676"/>
        <v>62071.624400000001</v>
      </c>
      <c r="KC10" s="770">
        <f t="shared" si="677"/>
        <v>53023.1</v>
      </c>
      <c r="KD10" s="761">
        <f t="shared" si="678"/>
        <v>0.64921059162743611</v>
      </c>
      <c r="KE10" s="593">
        <f>'Proy 2021 vs 2019 Sem'!FY9*$KH$4</f>
        <v>9034.5731999999989</v>
      </c>
      <c r="KF10" s="593">
        <f>'Proy 2021 vs 2019 Sem'!FZ9*$KH$4</f>
        <v>6775.9299000000001</v>
      </c>
      <c r="KG10" s="735">
        <v>3708.31</v>
      </c>
      <c r="KH10" s="700">
        <f t="shared" si="679"/>
        <v>0.41045768492970985</v>
      </c>
      <c r="KI10" s="593">
        <f>'Proy 2021 vs 2019 Sem'!FY9*$KL$4</f>
        <v>9034.5731999999989</v>
      </c>
      <c r="KJ10" s="593">
        <f>'Proy 2021 vs 2019 Sem'!FZ9*$KL$4</f>
        <v>6775.9299000000001</v>
      </c>
      <c r="KK10" s="735">
        <v>5710.26</v>
      </c>
      <c r="KL10" s="700">
        <f t="shared" si="680"/>
        <v>0.63204535218110813</v>
      </c>
      <c r="KM10" s="593">
        <f>'Proy 2021 vs 2019 Sem'!FY9*$KP$4</f>
        <v>9034.5731999999989</v>
      </c>
      <c r="KN10" s="593">
        <f>'Proy 2021 vs 2019 Sem'!FZ9*$KP$4</f>
        <v>6775.9299000000001</v>
      </c>
      <c r="KO10" s="735">
        <v>4151.51</v>
      </c>
      <c r="KP10" s="700">
        <f t="shared" si="681"/>
        <v>0.45951368239509099</v>
      </c>
      <c r="KQ10" s="593">
        <f>'Proy 2021 vs 2019 Sem'!FY9*$KT$4</f>
        <v>9034.5731999999989</v>
      </c>
      <c r="KR10" s="593">
        <f>'Proy 2021 vs 2019 Sem'!FZ9*$KT$4</f>
        <v>6775.9299000000001</v>
      </c>
      <c r="KS10" s="735">
        <v>7153.55</v>
      </c>
      <c r="KT10" s="700">
        <f t="shared" si="682"/>
        <v>0.79179722623753834</v>
      </c>
      <c r="KU10" s="593">
        <f>'Proy 2021 vs 2019 Sem'!FY9*$KX$4</f>
        <v>10540.335400000002</v>
      </c>
      <c r="KV10" s="593">
        <f>'Proy 2021 vs 2019 Sem'!FZ9*$KX$4</f>
        <v>7905.2515500000018</v>
      </c>
      <c r="KW10" s="735">
        <v>5312.86</v>
      </c>
      <c r="KX10" s="700">
        <f t="shared" si="683"/>
        <v>0.50405037395679064</v>
      </c>
      <c r="KY10" s="593">
        <f>'Proy 2021 vs 2019 Sem'!FY9*$LB$4</f>
        <v>12046.097600000001</v>
      </c>
      <c r="KZ10" s="593">
        <f>'Proy 2021 vs 2019 Sem'!FZ9*$LB$4</f>
        <v>9034.5732000000007</v>
      </c>
      <c r="LA10" s="735">
        <v>6380.32</v>
      </c>
      <c r="LB10" s="700">
        <f t="shared" si="684"/>
        <v>0.5296586672185023</v>
      </c>
      <c r="LC10" s="593">
        <f>'Proy 2021 vs 2019 Sem'!FY9*$LF$4</f>
        <v>16563.3842</v>
      </c>
      <c r="LD10" s="593">
        <f>'Proy 2021 vs 2019 Sem'!FZ9*$LF$4</f>
        <v>12422.53815</v>
      </c>
      <c r="LE10" s="735">
        <v>10806.58</v>
      </c>
      <c r="LF10" s="700">
        <f t="shared" si="685"/>
        <v>0.65243792388755917</v>
      </c>
      <c r="LG10" s="579">
        <f t="shared" si="686"/>
        <v>75288.11</v>
      </c>
      <c r="LH10" s="574">
        <f t="shared" si="687"/>
        <v>56466.082500000004</v>
      </c>
      <c r="LI10" s="793">
        <f t="shared" si="688"/>
        <v>43223.39</v>
      </c>
      <c r="LJ10" s="786">
        <f t="shared" si="689"/>
        <v>0.57410645585338771</v>
      </c>
      <c r="LK10" s="593">
        <f>'Proy 2021 vs 2019 Sem'!GD9*$LN$4</f>
        <v>7156.3907999999992</v>
      </c>
      <c r="LL10" s="593">
        <f>'Proy 2021 vs 2019 Sem'!GE9*$LN$4</f>
        <v>5796.6765480000004</v>
      </c>
      <c r="LM10" s="735">
        <v>6728</v>
      </c>
      <c r="LN10" s="700">
        <f t="shared" si="690"/>
        <v>0.94013870790846144</v>
      </c>
      <c r="LO10" s="593">
        <f>'Proy 2021 vs 2019 Sem'!GD9*$LR$4</f>
        <v>7156.3907999999992</v>
      </c>
      <c r="LP10" s="593">
        <f>'Proy 2021 vs 2019 Sem'!GE9*$LR$4</f>
        <v>5796.6765480000004</v>
      </c>
      <c r="LQ10" s="735">
        <v>3943.35</v>
      </c>
      <c r="LR10" s="700">
        <f t="shared" si="691"/>
        <v>0.55102496638389287</v>
      </c>
      <c r="LS10" s="593">
        <f>'Proy 2021 vs 2019 Sem'!GD9*$LV$4</f>
        <v>7156.3907999999992</v>
      </c>
      <c r="LT10" s="593">
        <f>'Proy 2021 vs 2019 Sem'!GE9*$LV$4</f>
        <v>5796.6765480000004</v>
      </c>
      <c r="LU10" s="735">
        <v>6705.87</v>
      </c>
      <c r="LV10" s="700">
        <f t="shared" si="692"/>
        <v>0.93704636700388144</v>
      </c>
      <c r="LW10" s="593">
        <f>'Proy 2021 vs 2019 Sem'!GD9*$LZ$4</f>
        <v>7156.3907999999992</v>
      </c>
      <c r="LX10" s="593">
        <f>'Proy 2021 vs 2019 Sem'!GE9*$LZ$4</f>
        <v>5796.6765480000004</v>
      </c>
      <c r="LY10" s="735">
        <v>4091.81</v>
      </c>
      <c r="LZ10" s="700">
        <f t="shared" si="693"/>
        <v>0.57177006040530942</v>
      </c>
      <c r="MA10" s="593">
        <f>'Proy 2021 vs 2019 Sem'!GD9*$MD$4</f>
        <v>8349.1226000000006</v>
      </c>
      <c r="MB10" s="593">
        <f>'Proy 2021 vs 2019 Sem'!GE9*$MD$4</f>
        <v>6762.7893060000006</v>
      </c>
      <c r="MC10" s="735">
        <v>2091.11</v>
      </c>
      <c r="MD10" s="700">
        <f t="shared" si="694"/>
        <v>0.25045865298468606</v>
      </c>
      <c r="ME10" s="593">
        <f>'Proy 2021 vs 2019 Sem'!GD9*$MH$4</f>
        <v>9541.8544000000002</v>
      </c>
      <c r="MF10" s="593">
        <f>'Proy 2021 vs 2019 Sem'!GE9*$MH$4</f>
        <v>7728.9020640000008</v>
      </c>
      <c r="MG10" s="735">
        <v>6384.23</v>
      </c>
      <c r="MH10" s="700">
        <f t="shared" si="695"/>
        <v>0.66907644283484347</v>
      </c>
      <c r="MI10" s="593">
        <f>'Proy 2021 vs 2019 Sem'!GD9*$ML$4</f>
        <v>13120.049799999999</v>
      </c>
      <c r="MJ10" s="593">
        <f>'Proy 2021 vs 2019 Sem'!GE9*$ML$4</f>
        <v>10627.240338</v>
      </c>
      <c r="MK10" s="735">
        <v>12655.28</v>
      </c>
      <c r="ML10" s="700">
        <f t="shared" si="696"/>
        <v>0.96457560702246736</v>
      </c>
      <c r="MM10" s="579">
        <f t="shared" si="697"/>
        <v>59636.590000000004</v>
      </c>
      <c r="MN10" s="574">
        <f t="shared" si="698"/>
        <v>48305.637900000002</v>
      </c>
      <c r="MO10" s="794">
        <f t="shared" si="699"/>
        <v>42599.65</v>
      </c>
      <c r="MP10" s="786">
        <f t="shared" si="700"/>
        <v>0.71432068802055915</v>
      </c>
      <c r="MQ10" s="593">
        <f>'Proy 2021 vs 2019 Sem'!GI9*$MT$4</f>
        <v>7498.8719999999994</v>
      </c>
      <c r="MR10" s="593">
        <f>'Proy 2021 vs 2019 Sem'!GJ9*$MT$4</f>
        <v>5999.0976000000001</v>
      </c>
      <c r="MS10" s="735">
        <v>4841.24</v>
      </c>
      <c r="MT10" s="700">
        <f t="shared" si="701"/>
        <v>0.64559576426961285</v>
      </c>
      <c r="MU10" s="593">
        <f>'Proy 2021 vs 2019 Sem'!GI9*$MX$4</f>
        <v>7498.8719999999994</v>
      </c>
      <c r="MV10" s="593">
        <f>'Proy 2021 vs 2019 Sem'!GJ9*$MX$4</f>
        <v>5999.0976000000001</v>
      </c>
      <c r="MW10" s="735">
        <v>3718.88</v>
      </c>
      <c r="MX10" s="700">
        <f t="shared" si="702"/>
        <v>0.49592525382484198</v>
      </c>
      <c r="MY10" s="593">
        <f>'Proy 2021 vs 2019 Sem'!GI9*$NB$4</f>
        <v>7498.8719999999994</v>
      </c>
      <c r="MZ10" s="593">
        <f>'Proy 2021 vs 2019 Sem'!GJ9*$NB$4</f>
        <v>5999.0976000000001</v>
      </c>
      <c r="NA10" s="735">
        <v>4913.1000000000004</v>
      </c>
      <c r="NB10" s="700">
        <f t="shared" si="703"/>
        <v>0.65517853885224353</v>
      </c>
      <c r="NC10" s="593">
        <f>'Proy 2021 vs 2019 Sem'!GI9*$NF$4</f>
        <v>7498.8719999999994</v>
      </c>
      <c r="ND10" s="593">
        <f>'Proy 2021 vs 2019 Sem'!GJ9*$NF$4</f>
        <v>5999.0976000000001</v>
      </c>
      <c r="NE10" s="735">
        <v>3214.16</v>
      </c>
      <c r="NF10" s="700">
        <f t="shared" si="704"/>
        <v>0.42861913098396665</v>
      </c>
      <c r="NG10" s="593">
        <f>'Proy 2021 vs 2019 Sem'!GI9*$NJ$4</f>
        <v>8748.6840000000011</v>
      </c>
      <c r="NH10" s="593">
        <f>'Proy 2021 vs 2019 Sem'!GJ9*$NJ$4</f>
        <v>6998.9472000000014</v>
      </c>
      <c r="NI10" s="735">
        <v>5506.2</v>
      </c>
      <c r="NJ10" s="700">
        <f t="shared" si="705"/>
        <v>0.6293746579485554</v>
      </c>
      <c r="NK10" s="593">
        <f>'Proy 2021 vs 2019 Sem'!GI9*$NN$4</f>
        <v>9998.4959999999992</v>
      </c>
      <c r="NL10" s="593">
        <f>'Proy 2021 vs 2019 Sem'!GJ9*$NN$4</f>
        <v>7998.796800000001</v>
      </c>
      <c r="NM10" s="735">
        <v>7677.6</v>
      </c>
      <c r="NN10" s="700">
        <f t="shared" si="706"/>
        <v>0.76787548847346654</v>
      </c>
      <c r="NO10" s="593">
        <f>'Proy 2021 vs 2019 Sem'!GI9*$NR$4</f>
        <v>13747.931999999999</v>
      </c>
      <c r="NP10" s="593">
        <f>'Proy 2021 vs 2019 Sem'!GJ9*$NR$4</f>
        <v>10998.345600000001</v>
      </c>
      <c r="NQ10" s="735">
        <v>12564.91</v>
      </c>
      <c r="NR10" s="700">
        <f t="shared" si="707"/>
        <v>0.91394909430742022</v>
      </c>
      <c r="NS10" s="579">
        <f t="shared" si="708"/>
        <v>62490.6</v>
      </c>
      <c r="NT10" s="574">
        <f t="shared" si="709"/>
        <v>49992.480000000003</v>
      </c>
      <c r="NU10" s="794">
        <f t="shared" si="710"/>
        <v>42436.09</v>
      </c>
      <c r="NV10" s="786">
        <f t="shared" si="711"/>
        <v>0.67907957356786453</v>
      </c>
      <c r="NW10" s="593">
        <f>'Proy 2021 vs 2019 Sem'!GN9*$NZ$4</f>
        <v>6765.8796000000002</v>
      </c>
      <c r="NX10" s="593">
        <f>'Proy 2021 vs 2019 Sem'!GO9*$NZ$4</f>
        <v>4939.0921079999998</v>
      </c>
      <c r="NY10" s="735">
        <v>3293.54</v>
      </c>
      <c r="NZ10" s="700">
        <f t="shared" si="712"/>
        <v>0.48678666998449099</v>
      </c>
      <c r="OA10" s="593">
        <f>'Proy 2021 vs 2019 Sem'!GN9*$OD$4</f>
        <v>6765.8796000000002</v>
      </c>
      <c r="OB10" s="593">
        <f>'Proy 2021 vs 2019 Sem'!GO9*$OD$4</f>
        <v>4939.0921079999998</v>
      </c>
      <c r="OC10" s="735">
        <v>5444.89</v>
      </c>
      <c r="OD10" s="700">
        <f t="shared" si="713"/>
        <v>0.80475715234424217</v>
      </c>
      <c r="OE10" s="593">
        <f>'Proy 2021 vs 2019 Sem'!GN9*$OH$4</f>
        <v>6765.8796000000002</v>
      </c>
      <c r="OF10" s="593">
        <f>'Proy 2021 vs 2019 Sem'!GO9*$OH$4</f>
        <v>4939.0921079999998</v>
      </c>
      <c r="OG10" s="735">
        <v>5404.32</v>
      </c>
      <c r="OH10" s="700">
        <f t="shared" si="714"/>
        <v>0.79876088838471193</v>
      </c>
      <c r="OI10" s="593">
        <f>'Proy 2021 vs 2019 Sem'!GN9*$OL$4</f>
        <v>6765.8796000000002</v>
      </c>
      <c r="OJ10" s="593">
        <f>'Proy 2021 vs 2019 Sem'!GO9*$OL$4</f>
        <v>4939.0921079999998</v>
      </c>
      <c r="OK10" s="735">
        <v>4191</v>
      </c>
      <c r="OL10" s="700">
        <f t="shared" si="715"/>
        <v>0.61943165527213928</v>
      </c>
      <c r="OM10" s="593">
        <f>'Proy 2021 vs 2019 Sem'!GN9*$OP$4</f>
        <v>7893.5262000000012</v>
      </c>
      <c r="ON10" s="593">
        <f>'Proy 2021 vs 2019 Sem'!GO9*$OP$4</f>
        <v>5762.2741260000003</v>
      </c>
      <c r="OO10" s="735">
        <v>5455.63</v>
      </c>
      <c r="OP10" s="700">
        <f t="shared" si="716"/>
        <v>0.69115245351310794</v>
      </c>
      <c r="OQ10" s="593">
        <f>'Proy 2021 vs 2019 Sem'!GN9*$JV$4</f>
        <v>9021.1728000000003</v>
      </c>
      <c r="OR10" s="593">
        <f>'Proy 2021 vs 2019 Sem'!GO9*$JV$4</f>
        <v>6585.4561439999998</v>
      </c>
      <c r="OS10" s="735">
        <v>6971.45</v>
      </c>
      <c r="OT10" s="700">
        <f t="shared" si="717"/>
        <v>0.77278754709143804</v>
      </c>
      <c r="OU10" s="593">
        <f>'Proy 2021 vs 2019 Sem'!GN9*$OX$4</f>
        <v>12404.1126</v>
      </c>
      <c r="OV10" s="593">
        <f>'Proy 2021 vs 2019 Sem'!GO9*$OX$4</f>
        <v>9055.0021980000001</v>
      </c>
      <c r="OW10" s="735">
        <v>12956.49</v>
      </c>
      <c r="OX10" s="700">
        <f t="shared" si="718"/>
        <v>1.0445317950435244</v>
      </c>
      <c r="OY10" s="579">
        <f t="shared" si="719"/>
        <v>56382.33</v>
      </c>
      <c r="OZ10" s="574">
        <f t="shared" si="720"/>
        <v>41159.100899999998</v>
      </c>
      <c r="PA10" s="785">
        <f t="shared" si="721"/>
        <v>43717.32</v>
      </c>
      <c r="PB10" s="786">
        <f t="shared" si="722"/>
        <v>0.77537270985431073</v>
      </c>
      <c r="PC10" s="593">
        <f>'Proy 2021 vs 2019 Sem'!GW9*$PF$4</f>
        <v>6026.04</v>
      </c>
      <c r="PD10" s="593">
        <f>'Proy 2021 vs 2019 Sem'!GX9*$PF$4</f>
        <v>4579.7903999999999</v>
      </c>
      <c r="PE10" s="735">
        <v>10411.299999999999</v>
      </c>
      <c r="PF10" s="700">
        <f t="shared" si="723"/>
        <v>1.7277183689454434</v>
      </c>
      <c r="PG10" s="593">
        <f>'Proy 2021 vs 2019 Sem'!GW9*$PJ$4</f>
        <v>6026.04</v>
      </c>
      <c r="PH10" s="593">
        <f>'Proy 2021 vs 2019 Sem'!GX9*$PJ$4</f>
        <v>4579.7903999999999</v>
      </c>
      <c r="PI10" s="735">
        <v>8715.4599999999991</v>
      </c>
      <c r="PJ10" s="700">
        <f t="shared" si="724"/>
        <v>1.4462997258564496</v>
      </c>
      <c r="PK10" s="593">
        <f>'Proy 2021 vs 2019 Sem'!GW9*'Vtas Diarias 2021'!$PN$4</f>
        <v>6026.04</v>
      </c>
      <c r="PL10" s="593">
        <f>'Proy 2021 vs 2019 Sem'!GX9*'Vtas Diarias 2021'!$PN$4</f>
        <v>4579.7903999999999</v>
      </c>
      <c r="PM10" s="735">
        <v>5657.51</v>
      </c>
      <c r="PN10" s="700">
        <f t="shared" si="725"/>
        <v>0.93884375145203158</v>
      </c>
      <c r="PO10" s="593">
        <f>'Proy 2021 vs 2019 Sem'!GW9*$PR$4</f>
        <v>6026.04</v>
      </c>
      <c r="PP10" s="593">
        <f>'Proy 2021 vs 2019 Sem'!GX9*$PR$4</f>
        <v>4579.7903999999999</v>
      </c>
      <c r="PQ10" s="735">
        <v>4558.22</v>
      </c>
      <c r="PR10" s="700">
        <f t="shared" si="726"/>
        <v>0.75642046850004319</v>
      </c>
      <c r="PS10" s="593">
        <f>'Proy 2021 vs 2019 Sem'!GW9*$PV$4</f>
        <v>7030.380000000001</v>
      </c>
      <c r="PT10" s="593">
        <f>'Proy 2021 vs 2019 Sem'!GX9*$PV$4</f>
        <v>5343.0888000000004</v>
      </c>
      <c r="PU10" s="735">
        <v>2683.38</v>
      </c>
      <c r="PV10" s="700">
        <f t="shared" si="727"/>
        <v>0.38168349363761273</v>
      </c>
      <c r="PW10" s="593">
        <f>'Proy 2021 vs 2019 Sem'!GW9*PZ$4</f>
        <v>8034.72</v>
      </c>
      <c r="PX10" s="593">
        <f>'Proy 2021 vs 2019 Sem'!GX9*$PZ$4</f>
        <v>6106.3872000000001</v>
      </c>
      <c r="PY10" s="735">
        <v>7247.8</v>
      </c>
      <c r="PZ10" s="700">
        <f t="shared" si="728"/>
        <v>0.9020600593424537</v>
      </c>
      <c r="QA10" s="593">
        <f>'Proy 2021 vs 2019 Sem'!GW9*$QD$4</f>
        <v>11047.74</v>
      </c>
      <c r="QB10" s="593">
        <f>'Proy 2021 vs 2019 Sem'!GX9*$QD$4</f>
        <v>8396.2824000000001</v>
      </c>
      <c r="QC10" s="735">
        <v>10212.969999999999</v>
      </c>
      <c r="QD10" s="700">
        <f t="shared" si="729"/>
        <v>0.92443974966825793</v>
      </c>
      <c r="QE10" s="579">
        <f t="shared" si="730"/>
        <v>50217</v>
      </c>
      <c r="QF10" s="574">
        <f t="shared" si="731"/>
        <v>38164.92</v>
      </c>
      <c r="QG10" s="729">
        <f t="shared" si="732"/>
        <v>49486.64</v>
      </c>
      <c r="QH10" s="711">
        <f t="shared" si="733"/>
        <v>0.98545592130155124</v>
      </c>
      <c r="QI10" s="578">
        <f>'Proy 2021 vs 2019 Sem'!HB9*$QL$4</f>
        <v>6674.7083999999995</v>
      </c>
      <c r="QJ10" s="611">
        <f>'Proy 2021 vs 2019 Sem'!UG9*$AL$4</f>
        <v>0</v>
      </c>
      <c r="QK10" s="735">
        <v>5112.95</v>
      </c>
      <c r="QL10" s="700">
        <f t="shared" si="734"/>
        <v>0.76601848254524496</v>
      </c>
      <c r="QM10" s="593">
        <f>'Proy 2021 vs 2019 Sem'!HB9*$QP$4</f>
        <v>6674.7083999999995</v>
      </c>
      <c r="QN10" s="593">
        <f>'Proy 2021 vs 2019 Sem'!UG9*$AP$4</f>
        <v>0</v>
      </c>
      <c r="QO10" s="735">
        <v>8524.2199999999993</v>
      </c>
      <c r="QP10" s="700">
        <f t="shared" si="735"/>
        <v>1.2770924944076958</v>
      </c>
      <c r="QQ10" s="593">
        <f>'Proy 2021 vs 2019 Sem'!HB9*$QT$4</f>
        <v>6674.7083999999995</v>
      </c>
      <c r="QR10" s="593">
        <f>'Proy 2021 vs 2019 Sem'!HC9*$QT$4</f>
        <v>5206.2725519999995</v>
      </c>
      <c r="QS10" s="735">
        <v>3161.11</v>
      </c>
      <c r="QT10" s="700">
        <f t="shared" si="736"/>
        <v>0.47359522102868201</v>
      </c>
      <c r="QU10" s="593">
        <f>'Proy 2021 vs 2019 Sem'!HB9*$QX$4</f>
        <v>6674.7083999999995</v>
      </c>
      <c r="QV10" s="593">
        <f>'Proy 2021 vs 2019 Sem'!HC9*$QX$4</f>
        <v>5206.2725519999995</v>
      </c>
      <c r="QW10" s="735">
        <v>3461.3</v>
      </c>
      <c r="QX10" s="700">
        <f t="shared" si="737"/>
        <v>0.5185694703906466</v>
      </c>
      <c r="QY10" s="593">
        <f>'Proy 2021 vs 2019 Sem'!HB9*$RB$4</f>
        <v>7787.1598000000004</v>
      </c>
      <c r="QZ10" s="593">
        <f>'Proy 2021 vs 2019 Sem'!HC9*$RB$4</f>
        <v>6073.9846440000001</v>
      </c>
      <c r="RA10" s="735">
        <v>6604.44</v>
      </c>
      <c r="RB10" s="700">
        <f t="shared" si="738"/>
        <v>0.84811923340779516</v>
      </c>
      <c r="RC10" s="593">
        <f>'Proy 2021 vs 2019 Sem'!HB9*$RF$4</f>
        <v>8899.6111999999994</v>
      </c>
      <c r="RD10" s="593">
        <f>'Proy 2021 vs 2019 Sem'!HC9*$RF$4</f>
        <v>6941.6967359999999</v>
      </c>
      <c r="RE10" s="735">
        <v>5503.3</v>
      </c>
      <c r="RF10" s="700">
        <f t="shared" si="739"/>
        <v>0.61837532857615185</v>
      </c>
      <c r="RG10" s="593">
        <f>'Proy 2021 vs 2019 Sem'!HB9*$RJ$4</f>
        <v>12236.965399999999</v>
      </c>
      <c r="RH10" s="593">
        <f>'Proy 2021 vs 2019 Sem'!HC9*$RJ$4</f>
        <v>9544.8330119999991</v>
      </c>
      <c r="RI10" s="735">
        <v>11893.68</v>
      </c>
      <c r="RJ10" s="700">
        <f t="shared" si="740"/>
        <v>0.97194685211743759</v>
      </c>
      <c r="RK10" s="579">
        <f t="shared" si="741"/>
        <v>55622.57</v>
      </c>
      <c r="RL10" s="574">
        <f t="shared" si="742"/>
        <v>32973.059496000002</v>
      </c>
      <c r="RM10" s="730">
        <f t="shared" si="743"/>
        <v>44261</v>
      </c>
      <c r="RN10" s="711">
        <f t="shared" si="744"/>
        <v>0.79573813291978424</v>
      </c>
      <c r="RO10" s="593">
        <f>'Proy 2021 vs 2019 Sem'!HG9*$RR$4</f>
        <v>6884.1251999999995</v>
      </c>
      <c r="RP10" s="593">
        <f>'Proy 2021 vs 2019 Sem'!HH9*$RR$4</f>
        <v>5300.7764040000002</v>
      </c>
      <c r="RQ10" s="735">
        <v>4297.6099999999997</v>
      </c>
      <c r="RR10" s="700">
        <f t="shared" si="745"/>
        <v>0.62427830336380286</v>
      </c>
      <c r="RS10" s="593">
        <f>'Proy 2021 vs 2019 Sem'!HG9*$RV$4</f>
        <v>6884.1251999999995</v>
      </c>
      <c r="RT10" s="593">
        <f>'Proy 2021 vs 2019 Sem'!HH9*$RV$4</f>
        <v>5300.7764040000002</v>
      </c>
      <c r="RU10" s="735">
        <v>3864.27</v>
      </c>
      <c r="RV10" s="700">
        <f t="shared" si="746"/>
        <v>0.56133058126252555</v>
      </c>
      <c r="RW10" s="593">
        <f>'Proy 2021 vs 2019 Sem'!HG9*$RZ$4</f>
        <v>6884.1251999999995</v>
      </c>
      <c r="RX10" s="593">
        <f>'Proy 2021 vs 2019 Sem'!HH9*$RZ$4</f>
        <v>5300.7764040000002</v>
      </c>
      <c r="RY10" s="735">
        <v>6283.16</v>
      </c>
      <c r="RZ10" s="700">
        <f t="shared" si="747"/>
        <v>0.91270274979891419</v>
      </c>
      <c r="SA10" s="593">
        <f>'Proy 2021 vs 2019 Sem'!HG9*$SD$4</f>
        <v>6884.1251999999995</v>
      </c>
      <c r="SB10" s="593">
        <f>'Proy 2021 vs 2019 Sem'!HH9*$SD$4</f>
        <v>5300.7764040000002</v>
      </c>
      <c r="SC10" s="735">
        <v>4722.21</v>
      </c>
      <c r="SD10" s="700">
        <f t="shared" si="748"/>
        <v>0.68595643786373905</v>
      </c>
      <c r="SE10" s="593">
        <f>'Proy 2021 vs 2019 Sem'!HG9*$SH$4</f>
        <v>8031.4794000000011</v>
      </c>
      <c r="SF10" s="593">
        <f>'Proy 2021 vs 2019 Sem'!HH9*$SH$4</f>
        <v>6184.2391380000008</v>
      </c>
      <c r="SG10" s="735">
        <v>7015.97</v>
      </c>
      <c r="SH10" s="700">
        <f t="shared" si="749"/>
        <v>0.87355886139731609</v>
      </c>
      <c r="SI10" s="593">
        <f>'Proy 2021 vs 2019 Sem'!HG9*$SL$4</f>
        <v>9178.8335999999999</v>
      </c>
      <c r="SJ10" s="593">
        <f>'Proy 2021 vs 2019 Sem'!HH9*$SL$4</f>
        <v>7067.7018720000005</v>
      </c>
      <c r="SK10" s="735">
        <v>7753.94</v>
      </c>
      <c r="SL10" s="700">
        <f t="shared" si="750"/>
        <v>0.84476310802714627</v>
      </c>
      <c r="SM10" s="593">
        <f>'Proy 2021 vs 2019 Sem'!HG9*$SP$4</f>
        <v>12620.896199999999</v>
      </c>
      <c r="SN10" s="593">
        <f>'Proy 2021 vs 2019 Sem'!HH9*$SP$4</f>
        <v>9718.0900740000016</v>
      </c>
      <c r="SO10" s="735">
        <v>8194.1200000000008</v>
      </c>
      <c r="SP10" s="700">
        <f t="shared" si="751"/>
        <v>0.64925024896409511</v>
      </c>
      <c r="SQ10" s="579">
        <f t="shared" si="752"/>
        <v>57367.709999999992</v>
      </c>
      <c r="SR10" s="574">
        <f t="shared" si="753"/>
        <v>44173.136700000003</v>
      </c>
      <c r="SS10" s="730">
        <f t="shared" si="754"/>
        <v>42131.280000000006</v>
      </c>
      <c r="ST10" s="711">
        <f t="shared" si="755"/>
        <v>0.73440756132674656</v>
      </c>
      <c r="SU10" s="593">
        <f>'Proy 2021 vs 2019 Sem'!HL9*$SX$4</f>
        <v>5942.9531999999999</v>
      </c>
      <c r="SV10" s="593">
        <f>'Proy 2021 vs 2019 Sem'!HM9*$SX$4</f>
        <v>4516.6444320000001</v>
      </c>
      <c r="SW10" s="735">
        <v>4989.47</v>
      </c>
      <c r="SX10" s="700">
        <f t="shared" si="756"/>
        <v>0.83956070863893062</v>
      </c>
      <c r="SY10" s="593">
        <f>'Proy 2021 vs 2019 Sem'!HL9*$TB$4</f>
        <v>5942.9531999999999</v>
      </c>
      <c r="SZ10" s="593">
        <f>'Proy 2021 vs 2019 Sem'!HM9*$TB$4</f>
        <v>4516.6444320000001</v>
      </c>
      <c r="TA10" s="735">
        <v>4177.04</v>
      </c>
      <c r="TB10" s="700">
        <f t="shared" si="757"/>
        <v>0.70285594710723953</v>
      </c>
      <c r="TC10" s="593">
        <f>'Proy 2021 vs 2019 Sem'!HL9*$TF$4</f>
        <v>5942.9531999999999</v>
      </c>
      <c r="TD10" s="593">
        <f>'Proy 2021 vs 2019 Sem'!HM9*$TF$4</f>
        <v>4516.6444320000001</v>
      </c>
      <c r="TE10" s="735">
        <v>3169.58</v>
      </c>
      <c r="TF10" s="700">
        <f t="shared" si="758"/>
        <v>0.53333416793522792</v>
      </c>
      <c r="TG10" s="593">
        <f>'Proy 2021 vs 2019 Sem'!HL9*$TJ$4</f>
        <v>5942.9531999999999</v>
      </c>
      <c r="TH10" s="593">
        <f>'Proy 2021 vs 2019 Sem'!HM9*$TJ$4</f>
        <v>4516.6444320000001</v>
      </c>
      <c r="TI10" s="735">
        <v>4497.3999999999996</v>
      </c>
      <c r="TJ10" s="700">
        <f t="shared" si="759"/>
        <v>0.75676180657118408</v>
      </c>
      <c r="TK10" s="593">
        <f>'Proy 2021 vs 2019 Sem'!HL9*$TN$4</f>
        <v>6933.4454000000005</v>
      </c>
      <c r="TL10" s="593">
        <f>'Proy 2021 vs 2019 Sem'!HM9*$TN$4</f>
        <v>5269.4185040000002</v>
      </c>
      <c r="TM10" s="735">
        <v>4622.0200000000004</v>
      </c>
      <c r="TN10" s="700">
        <f t="shared" si="760"/>
        <v>0.66662672500456988</v>
      </c>
      <c r="TO10" s="593">
        <f>'Proy 2021 vs 2019 Sem'!HL9*$TR$4</f>
        <v>7923.9376000000002</v>
      </c>
      <c r="TP10" s="611">
        <f>'Proy 2021 vs 2019 Sem'!HM9*$TR$4</f>
        <v>6022.1925760000004</v>
      </c>
      <c r="TQ10" s="735">
        <v>5376.56</v>
      </c>
      <c r="TR10" s="700">
        <f t="shared" si="761"/>
        <v>0.67852124428642657</v>
      </c>
      <c r="TS10" s="593">
        <f>'Proy 2021 vs 2019 Sem'!HL9*$TV$4</f>
        <v>10895.414200000001</v>
      </c>
      <c r="TT10" s="593">
        <f>'Proy 2021 vs 2019 Sem'!HM9*$TV$4</f>
        <v>8280.5147919999999</v>
      </c>
      <c r="TU10" s="735">
        <v>13020.13</v>
      </c>
      <c r="TV10" s="700">
        <f t="shared" si="762"/>
        <v>1.1950100988358936</v>
      </c>
      <c r="TW10" s="579">
        <f t="shared" si="763"/>
        <v>49524.61</v>
      </c>
      <c r="TX10" s="574">
        <f t="shared" si="764"/>
        <v>37638.703600000001</v>
      </c>
      <c r="TY10" s="710">
        <f t="shared" si="765"/>
        <v>39852.199999999997</v>
      </c>
      <c r="TZ10" s="711">
        <f t="shared" si="766"/>
        <v>0.8046948779606744</v>
      </c>
      <c r="UA10" s="593">
        <v>5904.16</v>
      </c>
      <c r="UB10" s="593">
        <f>'Proy 2021 vs 2019 Sem'!HR9*$UD$4</f>
        <v>4711.0199039999998</v>
      </c>
      <c r="UC10" s="735">
        <v>4467.7299999999996</v>
      </c>
      <c r="UD10" s="700">
        <f t="shared" si="767"/>
        <v>0.75670882902902359</v>
      </c>
      <c r="UE10" s="593">
        <v>7933.25</v>
      </c>
      <c r="UF10" s="593">
        <f>'Proy 2021 vs 2019 Sem'!HR9*$UH$4</f>
        <v>4711.0199039999998</v>
      </c>
      <c r="UG10" s="735">
        <v>4462.33</v>
      </c>
      <c r="UH10" s="700">
        <f t="shared" si="768"/>
        <v>0.56248447987899031</v>
      </c>
      <c r="UI10" s="593">
        <v>9027.18</v>
      </c>
      <c r="UJ10" s="593">
        <f>'Proy 2021 vs 2019 Sem'!HR9*$UL$4</f>
        <v>4711.0199039999998</v>
      </c>
      <c r="UK10" s="735">
        <v>3552.1</v>
      </c>
      <c r="UL10" s="700">
        <f t="shared" si="769"/>
        <v>0.39348943966997441</v>
      </c>
      <c r="UM10" s="593">
        <v>5540.11</v>
      </c>
      <c r="UN10" s="593">
        <f>'Proy 2021 vs 2019 Sem'!HR9*$UP$4</f>
        <v>4711.0199039999998</v>
      </c>
      <c r="UO10" s="735">
        <v>5528.49</v>
      </c>
      <c r="UP10" s="700">
        <f t="shared" si="770"/>
        <v>0.99790256872155969</v>
      </c>
      <c r="UQ10" s="593">
        <v>5636</v>
      </c>
      <c r="UR10" s="593">
        <f>'Proy 2021 vs 2019 Sem'!HR9*$UT$4</f>
        <v>5496.1898879999999</v>
      </c>
      <c r="US10" s="735">
        <v>5793.82</v>
      </c>
      <c r="UT10" s="700">
        <f t="shared" si="771"/>
        <v>1.0280021291696237</v>
      </c>
      <c r="UU10" s="593">
        <v>6322.49</v>
      </c>
      <c r="UV10" s="593">
        <f>'Proy 2021 vs 2019 Sem'!HR9*$UX$4</f>
        <v>6281.359872</v>
      </c>
      <c r="UW10" s="735">
        <v>9685.7199999999993</v>
      </c>
      <c r="UX10" s="700">
        <f t="shared" si="772"/>
        <v>1.5319470651594544</v>
      </c>
      <c r="UY10" s="593">
        <v>11292.73</v>
      </c>
      <c r="UZ10" s="593">
        <f>'Proy 2021 vs 2019 Sem'!HR9*$VB$4</f>
        <v>8636.8698239999994</v>
      </c>
      <c r="VA10" s="735">
        <v>10760.77</v>
      </c>
      <c r="VB10" s="700">
        <f t="shared" si="773"/>
        <v>0.95289358729023022</v>
      </c>
      <c r="VC10" s="577">
        <f>UA10+UE10+UI10+UM10+UQ10+UU10+UY10</f>
        <v>51655.92</v>
      </c>
      <c r="VD10" s="574">
        <f t="shared" si="774"/>
        <v>39258.499199999998</v>
      </c>
      <c r="VE10" s="710">
        <f t="shared" si="775"/>
        <v>44250.960000000006</v>
      </c>
      <c r="VF10" s="1531">
        <f t="shared" si="776"/>
        <v>0.8566483764106807</v>
      </c>
      <c r="VG10" s="593">
        <v>6832.45</v>
      </c>
      <c r="VH10" s="593">
        <f>'Proy 2021 vs 2019 Sem'!IA9*$VJ$4</f>
        <v>5684.7400079999998</v>
      </c>
      <c r="VI10" s="735">
        <v>4550.0200000000004</v>
      </c>
      <c r="VJ10" s="700">
        <f t="shared" si="777"/>
        <v>0.66594267063791179</v>
      </c>
      <c r="VK10" s="593">
        <v>6712.46</v>
      </c>
      <c r="VL10" s="593">
        <f>'Proy 2021 vs 2019 Sem'!IA9*$VN$4</f>
        <v>5684.7400079999998</v>
      </c>
      <c r="VM10" s="735">
        <v>4296.4799999999996</v>
      </c>
      <c r="VN10" s="700">
        <f t="shared" si="778"/>
        <v>0.64007532260899869</v>
      </c>
      <c r="VO10" s="593">
        <v>6100.14</v>
      </c>
      <c r="VP10" s="593">
        <f>'Proy 2021 vs 2019 Sem'!IA9*$VR$4</f>
        <v>5684.7400079999998</v>
      </c>
      <c r="VQ10" s="735">
        <v>7006.68</v>
      </c>
      <c r="VR10" s="700">
        <f t="shared" si="779"/>
        <v>1.1486097040395795</v>
      </c>
      <c r="VS10" s="593">
        <v>7789.66</v>
      </c>
      <c r="VT10" s="593">
        <f>'Proy 2021 vs 2019 Sem'!IA9*$VV$4</f>
        <v>5684.7400079999998</v>
      </c>
      <c r="VU10" s="735">
        <v>3746.19</v>
      </c>
      <c r="VV10" s="700">
        <f t="shared" si="780"/>
        <v>0.48091829425161048</v>
      </c>
      <c r="VW10" s="593">
        <v>7684.98</v>
      </c>
      <c r="VX10" s="593">
        <f>'Proy 2021 vs 2019 Sem'!IA9*$VZ$4</f>
        <v>6632.1966760000014</v>
      </c>
      <c r="VY10" s="735">
        <v>2862.89</v>
      </c>
      <c r="VZ10" s="700">
        <f t="shared" si="781"/>
        <v>0.37253057262348116</v>
      </c>
      <c r="WA10" s="593">
        <v>7800.76</v>
      </c>
      <c r="WB10" s="593">
        <f>'Proy 2021 vs 2019 Sem'!IA9*$WD$4</f>
        <v>7579.6533440000003</v>
      </c>
      <c r="WC10" s="735">
        <v>7768.23</v>
      </c>
      <c r="WD10" s="700">
        <f t="shared" si="782"/>
        <v>0.99582989349755657</v>
      </c>
      <c r="WE10" s="593">
        <v>12164.24</v>
      </c>
      <c r="WF10" s="593">
        <f>'Proy 2021 vs 2019 Sem'!IA9*$WH$4</f>
        <v>10422.023348000001</v>
      </c>
      <c r="WG10" s="735">
        <v>9368.67</v>
      </c>
      <c r="WH10" s="1538">
        <f t="shared" si="783"/>
        <v>0.7701812854728286</v>
      </c>
      <c r="WI10" s="574">
        <f t="shared" si="784"/>
        <v>27434.71</v>
      </c>
      <c r="WJ10" s="575">
        <f t="shared" si="785"/>
        <v>47372.833400000003</v>
      </c>
      <c r="WK10" s="793">
        <f t="shared" si="786"/>
        <v>39599.159999999996</v>
      </c>
      <c r="WL10" s="786">
        <f t="shared" si="787"/>
        <v>1.4433963398920564</v>
      </c>
      <c r="WM10" s="593">
        <v>7023.16</v>
      </c>
      <c r="WN10" s="593">
        <f>'Proy 2021 vs 2019 Sem'!IF9*$WP$4</f>
        <v>5665.33968</v>
      </c>
      <c r="WO10" s="735">
        <v>2958.44</v>
      </c>
      <c r="WP10" s="700">
        <f t="shared" si="788"/>
        <v>0.42124058116289537</v>
      </c>
      <c r="WQ10" s="593">
        <v>8131.43</v>
      </c>
      <c r="WR10" s="593">
        <f>'Proy 2021 vs 2019 Sem'!IF9*$WT$4</f>
        <v>5665.33968</v>
      </c>
      <c r="WS10" s="735">
        <v>4846.9399999999996</v>
      </c>
      <c r="WT10" s="700">
        <f t="shared" si="789"/>
        <v>0.59607473716185211</v>
      </c>
      <c r="WU10" s="593">
        <v>5594.01</v>
      </c>
      <c r="WV10" s="593">
        <f>'Proy 2021 vs 2019 Sem'!IF9*$WX$4</f>
        <v>5665.33968</v>
      </c>
      <c r="WW10" s="735">
        <v>3507.37</v>
      </c>
      <c r="WX10" s="700">
        <f t="shared" si="790"/>
        <v>0.62698672329867122</v>
      </c>
      <c r="WY10" s="593">
        <v>6887.31</v>
      </c>
      <c r="WZ10" s="593">
        <f>'Proy 2021 vs 2019 Sem'!IF9*$XB$4</f>
        <v>5665.33968</v>
      </c>
      <c r="XA10" s="735">
        <v>3502.84</v>
      </c>
      <c r="XB10" s="700">
        <f t="shared" si="791"/>
        <v>0.50859334050594496</v>
      </c>
      <c r="XC10" s="593">
        <v>5953.12</v>
      </c>
      <c r="XD10" s="1547">
        <f>'Proy 2021 vs 2019 Sem'!IF9*$XF$4</f>
        <v>6609.5629600000011</v>
      </c>
      <c r="XE10" s="735">
        <v>7296.64</v>
      </c>
      <c r="XF10" s="700">
        <f t="shared" si="792"/>
        <v>1.2256833391566104</v>
      </c>
      <c r="XG10" s="593">
        <v>7131.58</v>
      </c>
      <c r="XH10" s="593">
        <f>'Proy 2021 vs 2019 Sem'!IF9*$XJ$4</f>
        <v>7553.7862400000013</v>
      </c>
      <c r="XI10" s="735">
        <v>11000.25</v>
      </c>
      <c r="XJ10" s="700">
        <f t="shared" si="793"/>
        <v>1.5424702520339111</v>
      </c>
      <c r="XK10" s="593">
        <v>12928.44</v>
      </c>
      <c r="XL10" s="593">
        <f>'Proy 2021 vs 2019 Sem'!IF9*$XN$4</f>
        <v>10386.456080000002</v>
      </c>
      <c r="XM10" s="735">
        <v>13783.84</v>
      </c>
      <c r="XN10" s="700">
        <f t="shared" si="794"/>
        <v>1.0661642085201308</v>
      </c>
      <c r="XO10" s="579">
        <f t="shared" si="795"/>
        <v>53649.05</v>
      </c>
      <c r="XP10" s="574">
        <f t="shared" si="796"/>
        <v>47211.164000000004</v>
      </c>
      <c r="XQ10" s="794">
        <f t="shared" si="797"/>
        <v>46896.319999999992</v>
      </c>
      <c r="XR10" s="786">
        <f t="shared" si="798"/>
        <v>0.87413141518815318</v>
      </c>
      <c r="XS10" s="593">
        <v>7705.14</v>
      </c>
      <c r="XT10" s="593">
        <f>'Proy 2021 vs 2019 Sem'!IK9*$XV$4</f>
        <v>7374.027024</v>
      </c>
      <c r="XU10" s="735">
        <v>3922.12</v>
      </c>
      <c r="XV10" s="700">
        <f t="shared" si="799"/>
        <v>0.50902644208930659</v>
      </c>
      <c r="XW10" s="593">
        <v>6598.39</v>
      </c>
      <c r="XX10" s="593">
        <f>'Proy 2021 vs 2019 Sem'!IK9*$XZ$4</f>
        <v>7374.027024</v>
      </c>
      <c r="XY10" s="735">
        <v>7287.57</v>
      </c>
      <c r="XZ10" s="700">
        <f t="shared" si="800"/>
        <v>1.1044466907836608</v>
      </c>
      <c r="YA10" s="593">
        <v>7733.25</v>
      </c>
      <c r="YB10" s="593">
        <f>'Proy 2021 vs 2019 Sem'!IK9*$YD$4</f>
        <v>7374.027024</v>
      </c>
      <c r="YC10" s="735">
        <v>3744.68</v>
      </c>
      <c r="YD10" s="700">
        <f t="shared" si="801"/>
        <v>0.4842310800762939</v>
      </c>
      <c r="YE10" s="593">
        <v>8729.58</v>
      </c>
      <c r="YF10" s="593">
        <f>'Proy 2021 vs 2019 Sem'!IK9*$YH$4</f>
        <v>7374.027024</v>
      </c>
      <c r="YG10" s="735">
        <v>4439.28</v>
      </c>
      <c r="YH10" s="700">
        <f t="shared" si="802"/>
        <v>0.5085330565731685</v>
      </c>
      <c r="YI10" s="593">
        <v>6666.22</v>
      </c>
      <c r="YJ10" s="593">
        <f>'Proy 2021 vs 2019 Sem'!IK9*$YL$4</f>
        <v>8603.0315280000013</v>
      </c>
      <c r="YK10" s="735">
        <v>4559.6499999999996</v>
      </c>
      <c r="YL10" s="700">
        <f t="shared" si="803"/>
        <v>0.68399332755294595</v>
      </c>
      <c r="YM10" s="593">
        <v>10861.77</v>
      </c>
      <c r="YN10" s="593">
        <f>'Proy 2021 vs 2019 Sem'!IK9*$YP$4</f>
        <v>9832.036032</v>
      </c>
      <c r="YO10" s="735">
        <v>4570.5200000000004</v>
      </c>
      <c r="YP10" s="700">
        <f t="shared" si="804"/>
        <v>0.4207896134792028</v>
      </c>
      <c r="YQ10" s="593">
        <v>19233.37</v>
      </c>
      <c r="YR10" s="593">
        <f>'Proy 2021 vs 2019 Sem'!IK9*$YT$4</f>
        <v>13519.049544</v>
      </c>
      <c r="YS10" s="735">
        <v>13344.83</v>
      </c>
      <c r="YT10" s="700">
        <f t="shared" si="805"/>
        <v>0.69383732544010757</v>
      </c>
      <c r="YU10" s="579">
        <f t="shared" si="806"/>
        <v>67527.72</v>
      </c>
      <c r="YV10" s="574">
        <f t="shared" si="807"/>
        <v>61450.225200000008</v>
      </c>
      <c r="YW10" s="794">
        <f t="shared" si="808"/>
        <v>41868.649999999994</v>
      </c>
      <c r="YX10" s="786">
        <f t="shared" si="809"/>
        <v>0.62002167406214803</v>
      </c>
      <c r="YY10" s="593">
        <v>8087.95</v>
      </c>
      <c r="YZ10" s="593">
        <f>'Proy 2021 vs 2019 Sem'!IP9*$ZB$4</f>
        <v>8802.8409359999987</v>
      </c>
      <c r="ZA10" s="735">
        <v>5072.1099999999997</v>
      </c>
      <c r="ZB10" s="700">
        <f t="shared" si="810"/>
        <v>0.62711935657366824</v>
      </c>
      <c r="ZC10" s="593">
        <v>9088.4500000000007</v>
      </c>
      <c r="ZD10" s="593">
        <f>'Proy 2021 vs 2019 Sem'!IP9*$ZF$4</f>
        <v>8802.8409359999987</v>
      </c>
      <c r="ZE10" s="735">
        <v>5995.29</v>
      </c>
      <c r="ZF10" s="700">
        <f t="shared" si="811"/>
        <v>0.65966033812146185</v>
      </c>
      <c r="ZG10" s="593">
        <v>11136.22</v>
      </c>
      <c r="ZH10" s="593">
        <f>'Proy 2021 vs 2019 Sem'!IP9*$ZJ$4</f>
        <v>8802.8409359999987</v>
      </c>
      <c r="ZI10" s="735">
        <v>9401.93</v>
      </c>
      <c r="ZJ10" s="700">
        <f t="shared" si="812"/>
        <v>0.84426582808170103</v>
      </c>
      <c r="ZK10" s="593">
        <v>11710.77</v>
      </c>
      <c r="ZL10" s="593">
        <f>'Proy 2021 vs 2019 Sem'!IP9*$ZN$4</f>
        <v>8802.8409359999987</v>
      </c>
      <c r="ZM10" s="735">
        <v>8059.18</v>
      </c>
      <c r="ZN10" s="700">
        <f t="shared" si="813"/>
        <v>0.68818532000884658</v>
      </c>
      <c r="ZO10" s="593">
        <v>11345.26</v>
      </c>
      <c r="ZP10" s="593">
        <f>'Proy 2021 vs 2019 Sem'!IP9*$ZR$4</f>
        <v>10269.981092</v>
      </c>
      <c r="ZQ10" s="735">
        <v>7069.01</v>
      </c>
      <c r="ZR10" s="700">
        <f t="shared" si="814"/>
        <v>0.62308047589918614</v>
      </c>
      <c r="ZS10" s="593">
        <v>10699.77</v>
      </c>
      <c r="ZT10" s="593">
        <f>'Proy 2021 vs 2019 Sem'!IP9*$ZV$4</f>
        <v>11737.121247999999</v>
      </c>
      <c r="ZU10" s="735">
        <v>14730.38</v>
      </c>
      <c r="ZV10" s="700">
        <f t="shared" si="815"/>
        <v>1.3767006206675469</v>
      </c>
      <c r="ZW10" s="593">
        <v>15970.95</v>
      </c>
      <c r="ZX10" s="593">
        <f>'Proy 2021 vs 2019 Sem'!IP9*$ZZ$4</f>
        <v>16138.541715999998</v>
      </c>
      <c r="ZY10" s="735">
        <v>18824.03</v>
      </c>
      <c r="ZZ10" s="700">
        <f t="shared" si="816"/>
        <v>1.178641846602738</v>
      </c>
      <c r="AAA10" s="579">
        <f t="shared" si="817"/>
        <v>78039.37</v>
      </c>
      <c r="AAB10" s="574">
        <f t="shared" si="818"/>
        <v>73357.007799999992</v>
      </c>
      <c r="AAC10" s="785">
        <f t="shared" si="819"/>
        <v>69151.929999999993</v>
      </c>
      <c r="AAD10" s="786">
        <f t="shared" si="820"/>
        <v>0.8861159437858096</v>
      </c>
      <c r="AAE10" s="593">
        <v>9028.51</v>
      </c>
      <c r="AAF10" s="593">
        <f>'Proy 2021 vs 2019 Sem'!IY9*$AAH$4</f>
        <v>6273.1682999999994</v>
      </c>
      <c r="AAG10" s="735">
        <v>10315.11</v>
      </c>
      <c r="AAH10" s="700">
        <f t="shared" si="821"/>
        <v>1.142504134126229</v>
      </c>
      <c r="AAI10" s="593">
        <v>8385.5</v>
      </c>
      <c r="AAJ10" s="593">
        <f>'Proy 2021 vs 2019 Sem'!IY9*$AAL$4</f>
        <v>6273.1682999999994</v>
      </c>
      <c r="AAK10" s="735">
        <v>10431.07</v>
      </c>
      <c r="AAL10" s="700">
        <f t="shared" si="822"/>
        <v>1.2439413272911573</v>
      </c>
      <c r="AAM10" s="593">
        <v>5737.35</v>
      </c>
      <c r="AAN10" s="593">
        <f>'Proy 2021 vs 2019 Sem'!IY9*$AAP$4</f>
        <v>6273.1682999999994</v>
      </c>
      <c r="AAO10" s="735">
        <v>4279.03</v>
      </c>
      <c r="AAP10" s="700">
        <f t="shared" si="823"/>
        <v>0.74581993429022098</v>
      </c>
      <c r="AAQ10" s="593">
        <v>6769.98</v>
      </c>
      <c r="AAR10" s="593">
        <f>'Proy 2021 vs 2019 Sem'!IY9*$AAT$4</f>
        <v>6273.1682999999994</v>
      </c>
      <c r="AAS10" s="735">
        <v>6030.31</v>
      </c>
      <c r="AAT10" s="700">
        <f t="shared" si="824"/>
        <v>0.89074266098275046</v>
      </c>
      <c r="AAU10" s="593">
        <v>6813.67</v>
      </c>
      <c r="AAV10" s="593">
        <f>'Proy 2021 vs 2019 Sem'!IY9*$AAX$4</f>
        <v>7318.6963500000002</v>
      </c>
      <c r="AAW10" s="735">
        <v>5428.4</v>
      </c>
      <c r="AAX10" s="700">
        <f t="shared" si="825"/>
        <v>0.79669253133773721</v>
      </c>
      <c r="AAY10" s="593">
        <v>9073.68</v>
      </c>
      <c r="AAZ10" s="593">
        <f>'Proy 2021 vs 2019 Sem'!IY9*$ABB$4</f>
        <v>8364.2243999999992</v>
      </c>
      <c r="ABA10" s="735">
        <v>3956.55</v>
      </c>
      <c r="ABB10" s="700">
        <f t="shared" si="826"/>
        <v>0.43604689607744596</v>
      </c>
      <c r="ABC10" s="593">
        <v>15692.96</v>
      </c>
      <c r="ABD10" s="593">
        <f>'Proy 2021 vs 2019 Sem'!IY9*$ABF$4</f>
        <v>11500.80855</v>
      </c>
      <c r="ABE10" s="735">
        <v>8772.41</v>
      </c>
      <c r="ABF10" s="700">
        <f t="shared" si="827"/>
        <v>0.55900289046808249</v>
      </c>
      <c r="ABG10" s="579">
        <f t="shared" si="828"/>
        <v>61501.65</v>
      </c>
      <c r="ABH10" s="574">
        <f t="shared" si="829"/>
        <v>52276.402499999997</v>
      </c>
      <c r="ABI10" s="759">
        <f t="shared" si="830"/>
        <v>49212.880000000005</v>
      </c>
      <c r="ABJ10" s="761">
        <f t="shared" si="831"/>
        <v>0.80018796243678025</v>
      </c>
      <c r="ABK10" s="593">
        <v>7355.91</v>
      </c>
      <c r="ABL10" s="593">
        <f>'Proy 2021 vs 2019 Sem'!JD9*$ABN$4</f>
        <v>7193.9100599999992</v>
      </c>
      <c r="ABM10" s="735">
        <v>8493.4599999999991</v>
      </c>
      <c r="ABN10" s="700">
        <f t="shared" si="832"/>
        <v>1.1546443607928862</v>
      </c>
      <c r="ABO10" s="593">
        <v>9546.44</v>
      </c>
      <c r="ABP10" s="593">
        <f>'Proy 2021 vs 2019 Sem'!JD9*$ABR$4</f>
        <v>7193.9100599999992</v>
      </c>
      <c r="ABQ10" s="735">
        <v>7706.95</v>
      </c>
      <c r="ABR10" s="700">
        <f t="shared" si="833"/>
        <v>0.80731141661184691</v>
      </c>
      <c r="ABS10" s="593">
        <v>4043.05</v>
      </c>
      <c r="ABT10" s="593">
        <f>'Proy 2021 vs 2019 Sem'!JD9*$ABV$4</f>
        <v>7193.9100599999992</v>
      </c>
      <c r="ABU10" s="735">
        <v>4299.47</v>
      </c>
      <c r="ABV10" s="700">
        <f t="shared" si="834"/>
        <v>1.0634224162451615</v>
      </c>
      <c r="ABW10" s="593">
        <v>7341.78</v>
      </c>
      <c r="ABX10" s="593">
        <f>'Proy 2021 vs 2019 Sem'!JD9*$ABZ$4</f>
        <v>7193.9100599999992</v>
      </c>
      <c r="ABY10" s="735">
        <v>3811.93</v>
      </c>
      <c r="ABZ10" s="700">
        <f t="shared" si="835"/>
        <v>0.51921060015418607</v>
      </c>
      <c r="ACA10" s="593">
        <v>8712.36</v>
      </c>
      <c r="ACB10" s="593">
        <f>'Proy 2021 vs 2019 Sem'!JD9*$ACD$4</f>
        <v>8392.8950700000005</v>
      </c>
      <c r="ACC10" s="735">
        <v>3186.51</v>
      </c>
      <c r="ACD10" s="700">
        <f t="shared" si="836"/>
        <v>0.36574590581656408</v>
      </c>
      <c r="ACE10" s="593">
        <v>11778.63</v>
      </c>
      <c r="ACF10" s="593">
        <f>'Proy 2021 vs 2019 Sem'!JD9*$ACH$4</f>
        <v>9591.880079999999</v>
      </c>
      <c r="ACG10" s="735">
        <v>8169.91</v>
      </c>
      <c r="ACH10" s="700">
        <f t="shared" si="837"/>
        <v>0.69362141437501645</v>
      </c>
      <c r="ACI10" s="593">
        <v>21750.36</v>
      </c>
      <c r="ACJ10" s="593">
        <f>'Proy 2021 vs 2019 Sem'!JD9*$ACL$4</f>
        <v>13188.835109999998</v>
      </c>
      <c r="ACK10" s="735">
        <v>12447.96</v>
      </c>
      <c r="ACL10" s="700">
        <f t="shared" si="838"/>
        <v>0.57231052727403131</v>
      </c>
      <c r="ACM10" s="579">
        <f t="shared" si="839"/>
        <v>70528.53</v>
      </c>
      <c r="ACN10" s="574">
        <f t="shared" si="840"/>
        <v>59949.250499999995</v>
      </c>
      <c r="ACO10" s="765">
        <f t="shared" si="841"/>
        <v>48116.189999999995</v>
      </c>
      <c r="ACP10" s="761">
        <f t="shared" si="842"/>
        <v>0.68222306632507435</v>
      </c>
      <c r="ACQ10" s="593">
        <v>12879.31</v>
      </c>
      <c r="ACR10" s="593">
        <f>'Proy 2021 vs 2019 Sem'!JI9*$ACT$4</f>
        <v>8824.4315999999981</v>
      </c>
      <c r="ACS10" s="735">
        <v>6791.73</v>
      </c>
      <c r="ACT10" s="700">
        <f t="shared" si="843"/>
        <v>0.5273364799822351</v>
      </c>
      <c r="ACU10" s="593">
        <v>13324.68</v>
      </c>
      <c r="ACV10" s="593">
        <f>'Proy 2021 vs 2019 Sem'!JI9*$ACX$4</f>
        <v>8824.4315999999981</v>
      </c>
      <c r="ACW10" s="735">
        <v>5944.48</v>
      </c>
      <c r="ACX10" s="700">
        <f t="shared" si="844"/>
        <v>0.44612553547252165</v>
      </c>
      <c r="ACY10" s="593">
        <v>12081.4</v>
      </c>
      <c r="ACZ10" s="593">
        <f>'Proy 2021 vs 2019 Sem'!JI9*$ADB$4</f>
        <v>8824.4315999999981</v>
      </c>
      <c r="ADA10" s="735">
        <v>4343.8599999999997</v>
      </c>
      <c r="ADB10" s="700">
        <f t="shared" si="845"/>
        <v>0.35954938997136093</v>
      </c>
      <c r="ADC10" s="593">
        <v>7782.72</v>
      </c>
      <c r="ADD10" s="593">
        <f>'Proy 2021 vs 2019 Sem'!JI9*$ADF$4</f>
        <v>8824.4315999999981</v>
      </c>
      <c r="ADE10" s="735">
        <v>4236.54</v>
      </c>
      <c r="ADF10" s="700">
        <f t="shared" si="846"/>
        <v>0.54435210312075977</v>
      </c>
      <c r="ADG10" s="593">
        <v>8801.65</v>
      </c>
      <c r="ADH10" s="593">
        <f>'Proy 2021 vs 2019 Sem'!JI9*$ADJ$4</f>
        <v>10295.1702</v>
      </c>
      <c r="ADI10" s="735">
        <v>8014.02</v>
      </c>
      <c r="ADJ10" s="700">
        <f t="shared" si="847"/>
        <v>0.91051336965228125</v>
      </c>
      <c r="ADK10" s="593">
        <v>11081.39</v>
      </c>
      <c r="ADL10" s="593">
        <f>'Proy 2021 vs 2019 Sem'!JI9*$ADN$4</f>
        <v>11765.908799999999</v>
      </c>
      <c r="ADM10" s="735">
        <v>8914.5300000000007</v>
      </c>
      <c r="ADN10" s="700">
        <f t="shared" si="848"/>
        <v>0.80445954884721149</v>
      </c>
      <c r="ADO10" s="593">
        <v>15756.55</v>
      </c>
      <c r="ADP10" s="593">
        <f>'Proy 2021 vs 2019 Sem'!JI9*$ADR$4</f>
        <v>16178.124599999999</v>
      </c>
      <c r="ADQ10" s="735">
        <v>14915.11</v>
      </c>
      <c r="ADR10" s="700">
        <f t="shared" si="849"/>
        <v>0.94659744677610269</v>
      </c>
      <c r="ADS10" s="579">
        <f t="shared" si="850"/>
        <v>81707.7</v>
      </c>
      <c r="ADT10" s="574">
        <f t="shared" si="851"/>
        <v>73536.929999999993</v>
      </c>
      <c r="ADU10" s="765">
        <f t="shared" si="852"/>
        <v>53160.270000000004</v>
      </c>
      <c r="ADV10" s="761">
        <f t="shared" si="853"/>
        <v>0.65061518069900393</v>
      </c>
      <c r="ADW10" s="593">
        <v>9974.59</v>
      </c>
      <c r="ADX10" s="593">
        <f>'Proy 2021 vs 2019 Sem'!JN9*$ADZ$4</f>
        <v>6413.5791000000008</v>
      </c>
      <c r="ADY10" s="735">
        <v>5781.29</v>
      </c>
      <c r="ADZ10" s="700">
        <f t="shared" si="854"/>
        <v>0.57960176809272357</v>
      </c>
      <c r="AEA10" s="593">
        <v>6932.99</v>
      </c>
      <c r="AEB10" s="593">
        <f>'Proy 2021 vs 2019 Sem'!JN9*$AED$4</f>
        <v>6413.5791000000008</v>
      </c>
      <c r="AEC10" s="735">
        <v>11897</v>
      </c>
      <c r="AED10" s="700">
        <f t="shared" si="855"/>
        <v>1.7159984364610363</v>
      </c>
      <c r="AEE10" s="593">
        <v>5438.24</v>
      </c>
      <c r="AEF10" s="593">
        <f>'Proy 2021 vs 2019 Sem'!JN9*$AEH$4</f>
        <v>6413.5791000000008</v>
      </c>
      <c r="AEG10" s="735">
        <v>7680</v>
      </c>
      <c r="AEH10" s="700">
        <f t="shared" si="856"/>
        <v>1.4122216011062403</v>
      </c>
      <c r="AEI10" s="593">
        <v>6546.36</v>
      </c>
      <c r="AEJ10" s="593">
        <f>'Proy 2021 vs 2019 Sem'!JN9*$AEL$4</f>
        <v>6413.5791000000008</v>
      </c>
      <c r="AEK10" s="735">
        <v>9333</v>
      </c>
      <c r="AEL10" s="700">
        <f t="shared" si="857"/>
        <v>1.4256777812402619</v>
      </c>
      <c r="AEM10" s="593">
        <v>9099.48</v>
      </c>
      <c r="AEN10" s="593">
        <f>'Proy 2021 vs 2019 Sem'!JN9*$AEP$4</f>
        <v>7482.5089500000022</v>
      </c>
      <c r="AEO10" s="735">
        <v>9700</v>
      </c>
      <c r="AEP10" s="700">
        <f t="shared" si="858"/>
        <v>1.0659949799329194</v>
      </c>
      <c r="AEQ10" s="593">
        <v>11268.29</v>
      </c>
      <c r="AER10" s="593">
        <f>'Proy 2021 vs 2019 Sem'!JN9*$AET$4</f>
        <v>8551.4388000000017</v>
      </c>
      <c r="AES10" s="735">
        <v>9791</v>
      </c>
      <c r="AET10" s="700">
        <f t="shared" si="859"/>
        <v>0.86889847527885766</v>
      </c>
      <c r="AEU10" s="593">
        <v>22002.04</v>
      </c>
      <c r="AEV10" s="593">
        <f>'Proy 2021 vs 2019 Sem'!JN9*$AEX$4</f>
        <v>11758.228350000001</v>
      </c>
      <c r="AEW10" s="735">
        <v>15325</v>
      </c>
      <c r="AEX10" s="700">
        <f t="shared" si="860"/>
        <v>0.69652632210467758</v>
      </c>
      <c r="AEY10" s="579">
        <f t="shared" si="861"/>
        <v>71261.990000000005</v>
      </c>
      <c r="AEZ10" s="574">
        <f t="shared" si="862"/>
        <v>53446.492500000008</v>
      </c>
      <c r="AFA10" s="770">
        <f t="shared" si="863"/>
        <v>69507.290000000008</v>
      </c>
      <c r="AFB10" s="761">
        <f t="shared" si="864"/>
        <v>0.97537677519249744</v>
      </c>
      <c r="AFC10" s="593">
        <v>9816.64</v>
      </c>
      <c r="AFD10" s="593">
        <f>'Proy 2021 vs 2019 Sem'!JX9*$AFF$4</f>
        <v>7661.4039599999996</v>
      </c>
      <c r="AFE10" s="735">
        <v>7718</v>
      </c>
      <c r="AFF10" s="700">
        <f t="shared" si="865"/>
        <v>0.78621605763275426</v>
      </c>
      <c r="AFG10" s="593">
        <v>12222.04</v>
      </c>
      <c r="AFH10" s="593">
        <f>'Proy 2021 vs 2019 Sem'!JX9*$AFJ$4</f>
        <v>7661.4039599999996</v>
      </c>
      <c r="AFI10" s="735">
        <v>8792.7099999999991</v>
      </c>
      <c r="AFJ10" s="700">
        <f t="shared" si="866"/>
        <v>0.71941427126731694</v>
      </c>
      <c r="AFK10" s="593">
        <v>12596.9</v>
      </c>
      <c r="AFL10" s="593">
        <f>'Proy 2021 vs 2019 Sem'!JX9*$AFN$4</f>
        <v>7661.4039599999996</v>
      </c>
      <c r="AFM10" s="735">
        <v>8614</v>
      </c>
      <c r="AFN10" s="700">
        <f t="shared" si="867"/>
        <v>0.68381903484190554</v>
      </c>
      <c r="AFO10" s="593">
        <v>11934.89</v>
      </c>
      <c r="AFP10" s="593">
        <f>'Proy 2021 vs 2019 Sem'!JX9*$AFR$4</f>
        <v>7661.4039599999996</v>
      </c>
      <c r="AFQ10" s="735">
        <v>5443.72</v>
      </c>
      <c r="AFR10" s="700">
        <f t="shared" si="868"/>
        <v>0.4561181544195213</v>
      </c>
      <c r="AFS10" s="593">
        <v>11125.48</v>
      </c>
      <c r="AFT10" s="593">
        <f>'Proy 2021 vs 2019 Sem'!JX9*$AFV$4</f>
        <v>8938.3046200000008</v>
      </c>
      <c r="AFU10" s="735">
        <v>9775.7800000000007</v>
      </c>
      <c r="AFV10" s="700">
        <f t="shared" si="869"/>
        <v>0.87868388599862668</v>
      </c>
      <c r="AFW10" s="593">
        <v>13563.86</v>
      </c>
      <c r="AFX10" s="593">
        <f>'Proy 2021 vs 2019 Sem'!JX9*$AFZ$4</f>
        <v>10215.20528</v>
      </c>
      <c r="AFY10" s="735">
        <v>15210.88</v>
      </c>
      <c r="AFZ10" s="700">
        <f t="shared" si="870"/>
        <v>1.1214270863898623</v>
      </c>
      <c r="AGA10" s="593">
        <v>20589.080000000002</v>
      </c>
      <c r="AGB10" s="593">
        <f>'Proy 2021 vs 2019 Sem'!JX9*$AGD$4</f>
        <v>14045.90726</v>
      </c>
      <c r="AGC10" s="735">
        <v>20842.22</v>
      </c>
      <c r="AGD10" s="700">
        <f t="shared" si="871"/>
        <v>1.012294866987743</v>
      </c>
      <c r="AGE10" s="579">
        <f t="shared" si="872"/>
        <v>91848.89</v>
      </c>
      <c r="AGF10" s="574">
        <f t="shared" si="873"/>
        <v>63845.033000000003</v>
      </c>
      <c r="AGG10" s="729">
        <f t="shared" si="874"/>
        <v>76397.31</v>
      </c>
      <c r="AGH10" s="711">
        <f t="shared" si="875"/>
        <v>0.83177172854239168</v>
      </c>
      <c r="AGI10" s="593">
        <v>13093.71</v>
      </c>
      <c r="AGJ10" s="593">
        <f>'Proy 2021 vs 2019 Sem'!KC9*$AGL$4</f>
        <v>11031.026999999998</v>
      </c>
      <c r="AGK10" s="735">
        <v>5314.18</v>
      </c>
      <c r="AGL10" s="700">
        <f t="shared" si="876"/>
        <v>0.40585746896792435</v>
      </c>
      <c r="AGM10" s="593">
        <v>15856.16</v>
      </c>
      <c r="AGN10" s="593">
        <f>'Proy 2021 vs 2019 Sem'!KC9*$AGP$4</f>
        <v>11031.026999999998</v>
      </c>
      <c r="AGO10" s="735">
        <v>10445.700000000001</v>
      </c>
      <c r="AGP10" s="700">
        <f t="shared" si="877"/>
        <v>0.65877867024550718</v>
      </c>
      <c r="AGQ10" s="593">
        <v>25702.18</v>
      </c>
      <c r="AGR10" s="593">
        <f>'Proy 2021 vs 2019 Sem'!KC9*$AGT$4</f>
        <v>11031.026999999998</v>
      </c>
      <c r="AGS10" s="735">
        <v>11859.37</v>
      </c>
      <c r="AGT10" s="700">
        <f t="shared" si="878"/>
        <v>0.46141494612519252</v>
      </c>
      <c r="AGU10" s="593">
        <v>12621.05</v>
      </c>
      <c r="AGV10" s="593">
        <f>'Proy 2021 vs 2019 Sem'!KC9*$AGX$4</f>
        <v>11031.026999999998</v>
      </c>
      <c r="AGW10" s="735">
        <v>8093.36</v>
      </c>
      <c r="AGX10" s="700">
        <f t="shared" si="879"/>
        <v>0.64125884930334642</v>
      </c>
      <c r="AGY10" s="593">
        <v>14996.88</v>
      </c>
      <c r="AGZ10" s="593">
        <f>'Proy 2021 vs 2019 Sem'!KC9*$AHB$4</f>
        <v>12869.531499999999</v>
      </c>
      <c r="AHA10" s="735">
        <v>11753.1</v>
      </c>
      <c r="AHB10" s="700">
        <f t="shared" si="880"/>
        <v>0.78370301022612709</v>
      </c>
      <c r="AHC10" s="593">
        <v>19255.57</v>
      </c>
      <c r="AHD10" s="593">
        <f>'Proy 2021 vs 2019 Sem'!KC9*$AHF$4</f>
        <v>14708.035999999998</v>
      </c>
      <c r="AHE10" s="735">
        <v>10193.98</v>
      </c>
      <c r="AHF10" s="700">
        <f t="shared" si="881"/>
        <v>0.52940421914282465</v>
      </c>
      <c r="AHG10" s="593">
        <v>29790.54</v>
      </c>
      <c r="AHH10" s="593">
        <f>'Proy 2021 vs 2019 Sem'!KC9*$AHJ$4</f>
        <v>20223.549499999997</v>
      </c>
      <c r="AHI10" s="735">
        <v>20015.36</v>
      </c>
      <c r="AHJ10" s="700">
        <f t="shared" si="882"/>
        <v>0.67186966063723585</v>
      </c>
      <c r="AHK10" s="579">
        <f t="shared" si="883"/>
        <v>131316.09000000003</v>
      </c>
      <c r="AHL10" s="574">
        <f t="shared" si="884"/>
        <v>91925.224999999977</v>
      </c>
      <c r="AHM10" s="730">
        <f t="shared" si="885"/>
        <v>77675.05</v>
      </c>
      <c r="AHN10" s="711">
        <f t="shared" si="886"/>
        <v>0.59151205309265598</v>
      </c>
      <c r="AHO10" s="593">
        <v>26187.97</v>
      </c>
      <c r="AHP10" s="593">
        <f>'Proy 2021 vs 2019 Sem'!KH9*$AHR$4</f>
        <v>16501.3128</v>
      </c>
      <c r="AHQ10" s="735">
        <v>10875.39</v>
      </c>
      <c r="AHR10" s="700">
        <f t="shared" si="887"/>
        <v>0.41528190233912743</v>
      </c>
      <c r="AHS10" s="593">
        <v>9289.14</v>
      </c>
      <c r="AHT10" s="593">
        <f>'Proy 2021 vs 2019 Sem'!KH9*$AHV$4</f>
        <v>16501.3128</v>
      </c>
      <c r="AHU10" s="735">
        <v>16474.11</v>
      </c>
      <c r="AHV10" s="700">
        <f t="shared" si="888"/>
        <v>1.7734806451404546</v>
      </c>
      <c r="AHW10" s="593">
        <v>32629.84</v>
      </c>
      <c r="AHX10" s="593">
        <f>'Proy 2021 vs 2019 Sem'!KH9*$AHZ$4</f>
        <v>16501.3128</v>
      </c>
      <c r="AHY10" s="735">
        <v>12701.44</v>
      </c>
      <c r="AHZ10" s="700">
        <f t="shared" si="889"/>
        <v>0.38925842112618392</v>
      </c>
      <c r="AIA10" s="593">
        <v>27206.9</v>
      </c>
      <c r="AIB10" s="593">
        <f>'Proy 2021 vs 2019 Sem'!KH9*$AID$4</f>
        <v>16501.3128</v>
      </c>
      <c r="AIC10" s="735">
        <v>19960.5</v>
      </c>
      <c r="AID10" s="700">
        <f t="shared" si="890"/>
        <v>0.73365580055059554</v>
      </c>
      <c r="AIE10" s="593">
        <v>20571.349999999999</v>
      </c>
      <c r="AIF10" s="593">
        <f>'Proy 2021 vs 2019 Sem'!KH9*$AIH$4</f>
        <v>19251.531600000002</v>
      </c>
      <c r="AIG10" s="735">
        <v>21770.97</v>
      </c>
      <c r="AIH10" s="700">
        <f t="shared" si="891"/>
        <v>1.0583150838423343</v>
      </c>
      <c r="AII10" s="593">
        <v>31220.13</v>
      </c>
      <c r="AIJ10" s="593">
        <f>'Proy 2021 vs 2019 Sem'!KH9*$AIL$4</f>
        <v>22001.750400000001</v>
      </c>
      <c r="AIK10" s="735">
        <v>23867.13</v>
      </c>
      <c r="AIL10" s="700">
        <f t="shared" si="892"/>
        <v>0.76447887949217386</v>
      </c>
      <c r="AIM10" s="593">
        <v>47653.47</v>
      </c>
      <c r="AIN10" s="593">
        <f>'Proy 2021 vs 2019 Sem'!KH9*$AIP$4</f>
        <v>30252.406800000001</v>
      </c>
      <c r="AIO10" s="735">
        <v>29278.48</v>
      </c>
      <c r="AIP10" s="700">
        <f t="shared" si="893"/>
        <v>0.61440394581968527</v>
      </c>
      <c r="AIQ10" s="579">
        <f t="shared" si="894"/>
        <v>194758.80000000002</v>
      </c>
      <c r="AIR10" s="574">
        <f t="shared" si="895"/>
        <v>137510.94</v>
      </c>
      <c r="AIS10" s="730">
        <f t="shared" si="896"/>
        <v>134928.02000000002</v>
      </c>
      <c r="AIT10" s="711">
        <f t="shared" si="897"/>
        <v>0.69279549884267111</v>
      </c>
      <c r="AIU10" s="593">
        <f>'Proy 2021 vs 2019 Sem'!KL9*$AIX$4</f>
        <v>23470.5036</v>
      </c>
      <c r="AIV10" s="593">
        <f>'Proy 2021 vs 2019 Sem'!KM9*$AIX$4</f>
        <v>28399.309355999998</v>
      </c>
      <c r="AIW10" s="735">
        <v>25861.88</v>
      </c>
      <c r="AIX10" s="700">
        <f t="shared" si="898"/>
        <v>1.1018885849556292</v>
      </c>
      <c r="AIY10" s="593">
        <f>'Proy 2021 vs 2019 Sem'!KL9*$AJB$4</f>
        <v>23470.5036</v>
      </c>
      <c r="AIZ10" s="593">
        <f>'Proy 2021 vs 2019 Sem'!KM9*$AJB$4</f>
        <v>28399.309355999998</v>
      </c>
      <c r="AJA10" s="735">
        <v>31227.14</v>
      </c>
      <c r="AJB10" s="700">
        <f t="shared" si="899"/>
        <v>1.3304844468697297</v>
      </c>
      <c r="AJC10" s="593">
        <f>'Proy 2021 vs 2019 Sem'!KL9*$AJF$4</f>
        <v>23470.5036</v>
      </c>
      <c r="AJD10" s="593">
        <f>'Proy 2021 vs 2019 Sem'!KM9*$AJF$4</f>
        <v>28399.309355999998</v>
      </c>
      <c r="AJE10" s="735">
        <v>39952.480000000003</v>
      </c>
      <c r="AJF10" s="700">
        <f t="shared" si="900"/>
        <v>1.7022421282856497</v>
      </c>
      <c r="AJG10" s="593">
        <f>'Proy 2021 vs 2019 Sem'!KL9*$AJJ$4</f>
        <v>23470.5036</v>
      </c>
      <c r="AJH10" s="593">
        <f>'Proy 2021 vs 2019 Sem'!KM9*$AJJ$4</f>
        <v>28399.309355999998</v>
      </c>
      <c r="AJI10" s="735">
        <v>42210.5</v>
      </c>
      <c r="AJJ10" s="700">
        <f t="shared" si="901"/>
        <v>1.7984488411232897</v>
      </c>
      <c r="AJK10" s="593">
        <f>'Proy 2021 vs 2019 Sem'!KL9*$AJN$4</f>
        <v>27382.254200000003</v>
      </c>
      <c r="AJL10" s="593">
        <f>'Proy 2021 vs 2019 Sem'!KM9*$AJN$4</f>
        <v>33132.527582000002</v>
      </c>
      <c r="AJM10" s="735">
        <v>62986.7</v>
      </c>
      <c r="AJN10" s="700">
        <f t="shared" si="902"/>
        <v>2.3002744602378278</v>
      </c>
      <c r="AJO10" s="593">
        <f>'Proy 2021 vs 2019 Sem'!KL9*$AJR$4</f>
        <v>31294.004799999999</v>
      </c>
      <c r="AJP10" s="593">
        <f>'Proy 2021 vs 2019 Sem'!KM9*$AJR$4</f>
        <v>37865.745808</v>
      </c>
      <c r="AJQ10" s="735">
        <v>55130.43</v>
      </c>
      <c r="AJR10" s="700">
        <f t="shared" si="903"/>
        <v>1.761693025623873</v>
      </c>
      <c r="AJS10" s="593">
        <f>'Proy 2021 vs 2019 Sem'!KL9*$AJV$4</f>
        <v>43029.256600000001</v>
      </c>
      <c r="AJT10" s="593">
        <f>'Proy 2021 vs 2019 Sem'!KM9*$AJV$4</f>
        <v>52065.400485999999</v>
      </c>
      <c r="AJU10" s="699">
        <v>0</v>
      </c>
      <c r="AJV10" s="700">
        <f t="shared" si="904"/>
        <v>0</v>
      </c>
      <c r="AJW10" s="579">
        <f t="shared" si="905"/>
        <v>195587.53</v>
      </c>
      <c r="AJX10" s="574">
        <f t="shared" si="906"/>
        <v>236660.91130000001</v>
      </c>
      <c r="AJY10" s="710">
        <f t="shared" si="907"/>
        <v>257369.13</v>
      </c>
      <c r="AJZ10" s="711">
        <f t="shared" si="908"/>
        <v>1.3158769886812314</v>
      </c>
      <c r="AKA10" s="593">
        <f>'Proy 2021 vs 2019 Sem'!KQ9*$AKD$4</f>
        <v>8626.9092000000001</v>
      </c>
      <c r="AKB10" s="593">
        <f>'Proy 2021 vs 2019 Sem'!KR9*$AKD$4</f>
        <v>6901.52736</v>
      </c>
      <c r="AKC10" s="735">
        <v>6795.06</v>
      </c>
      <c r="AKD10" s="700">
        <f t="shared" si="909"/>
        <v>0.78765869009030487</v>
      </c>
      <c r="AKE10" s="593">
        <f>'Proy 2021 vs 2019 Sem'!KQ9*$AKH$4</f>
        <v>8626.9092000000001</v>
      </c>
      <c r="AKF10" s="593">
        <f>'Proy 2021 vs 2019 Sem'!KR9*$AKH$4</f>
        <v>6901.52736</v>
      </c>
      <c r="AKG10" s="735">
        <v>14198.2</v>
      </c>
      <c r="AKH10" s="700">
        <f t="shared" si="910"/>
        <v>1.6458038065359493</v>
      </c>
      <c r="AKI10" s="593">
        <f>'Proy 2021 vs 2019 Sem'!KQ9*$AKL$4</f>
        <v>8626.9092000000001</v>
      </c>
      <c r="AKJ10" s="593">
        <f>'Proy 2021 vs 2019 Sem'!KR9*$AKL$4</f>
        <v>6901.52736</v>
      </c>
      <c r="AKK10" s="735">
        <v>8976.2199999999993</v>
      </c>
      <c r="AKL10" s="700">
        <f t="shared" si="911"/>
        <v>1.0404908399870487</v>
      </c>
      <c r="AKM10" s="593">
        <f>'Proy 2021 vs 2019 Sem'!KQ9*$AKP$4</f>
        <v>8626.9092000000001</v>
      </c>
      <c r="AKN10" s="593">
        <f>'Proy 2021 vs 2019 Sem'!KR9*$AKP$4</f>
        <v>6901.52736</v>
      </c>
      <c r="AKO10" s="735">
        <v>11995.07</v>
      </c>
      <c r="AKP10" s="700">
        <f t="shared" si="912"/>
        <v>1.3904249739872074</v>
      </c>
      <c r="AKQ10" s="593">
        <f>'Proy 2021 vs 2019 Sem'!KQ9*$AKT$4</f>
        <v>10064.727400000002</v>
      </c>
      <c r="AKR10" s="593">
        <f>'Proy 2021 vs 2019 Sem'!KR9*$AKT$4</f>
        <v>8051.7819200000013</v>
      </c>
      <c r="AKS10" s="735">
        <v>10350.17</v>
      </c>
      <c r="AKT10" s="700">
        <f t="shared" si="913"/>
        <v>1.0283606886362366</v>
      </c>
      <c r="AKU10" s="593">
        <f>'Proy 2021 vs 2019 Sem'!KQ9*$AKX$4</f>
        <v>11502.545600000001</v>
      </c>
      <c r="AKV10" s="593">
        <f>'Proy 2021 vs 2019 Sem'!KR9*$AKX$4</f>
        <v>9202.0364800000007</v>
      </c>
      <c r="AKW10" s="735">
        <v>12962.49</v>
      </c>
      <c r="AKX10" s="700">
        <f t="shared" si="914"/>
        <v>1.1269235915917601</v>
      </c>
      <c r="AKY10" s="593">
        <f>'Proy 2021 vs 2019 Sem'!KQ9*$ALB$4</f>
        <v>15816.0002</v>
      </c>
      <c r="AKZ10" s="593">
        <f>'Proy 2021 vs 2019 Sem'!KR9*$ALB$4</f>
        <v>12652.800160000001</v>
      </c>
      <c r="ALA10" s="699">
        <v>0</v>
      </c>
      <c r="ALB10" s="700">
        <f>ALA10/AKY10</f>
        <v>0</v>
      </c>
      <c r="ALC10" s="579">
        <f t="shared" si="915"/>
        <v>71890.91</v>
      </c>
      <c r="ALD10" s="574">
        <f t="shared" si="916"/>
        <v>57512.728000000003</v>
      </c>
      <c r="ALE10" s="710">
        <f t="shared" si="917"/>
        <v>65277.21</v>
      </c>
      <c r="ALF10" s="711">
        <f t="shared" si="918"/>
        <v>0.90800366833581603</v>
      </c>
    </row>
    <row r="11" spans="2:994" ht="15.75" customHeight="1">
      <c r="B11" s="570" t="s">
        <v>473</v>
      </c>
      <c r="C11" s="574">
        <f>'Proy 2021 vs 2019 Sem'!DX10*$F$4</f>
        <v>11138.554799999998</v>
      </c>
      <c r="D11" s="576">
        <f>'Proy 2021 vs 2019 Sem'!$DY$10*F4</f>
        <v>7020.5634379621451</v>
      </c>
      <c r="E11" s="735">
        <v>6546.85</v>
      </c>
      <c r="F11" s="700">
        <f t="shared" si="580"/>
        <v>0.58776476100831332</v>
      </c>
      <c r="G11" s="574">
        <f>'Proy 2021 vs 2019 Sem'!DX10*$J$4</f>
        <v>11138.554799999998</v>
      </c>
      <c r="H11" s="574">
        <f>'Proy 2021 vs 2019 Sem'!$DY$10*J4</f>
        <v>7020.5634379621451</v>
      </c>
      <c r="I11" s="735">
        <v>4935.46</v>
      </c>
      <c r="J11" s="700">
        <f t="shared" si="581"/>
        <v>0.44309698058854108</v>
      </c>
      <c r="K11" s="574">
        <f>'Proy 2021 vs 2019 Sem'!DX10*'Vtas Diarias 2021'!$N$4</f>
        <v>11138.554799999998</v>
      </c>
      <c r="L11" s="574">
        <f>'Proy 2021 vs 2019 Sem'!$DY$10*N4</f>
        <v>7020.5634379621451</v>
      </c>
      <c r="M11" s="735">
        <v>9071.5300000000007</v>
      </c>
      <c r="N11" s="700">
        <f t="shared" si="582"/>
        <v>0.81442612285751848</v>
      </c>
      <c r="O11" s="574">
        <f>'Proy 2021 vs 2019 Sem'!DX10*$R$4</f>
        <v>11138.554799999998</v>
      </c>
      <c r="P11" s="574">
        <f>'Proy 2021 vs 2019 Sem'!$DY$10*R4</f>
        <v>7020.5634379621451</v>
      </c>
      <c r="Q11" s="735">
        <v>4719.3999999999996</v>
      </c>
      <c r="R11" s="700">
        <f t="shared" si="583"/>
        <v>0.42369949106862592</v>
      </c>
      <c r="S11" s="574">
        <f>'Proy 2021 vs 2019 Sem'!DX10*$V$4</f>
        <v>12994.980600000001</v>
      </c>
      <c r="T11" s="574">
        <f>'Proy 2021 vs 2019 Sem'!$DY$10*V4</f>
        <v>8190.6573442891695</v>
      </c>
      <c r="U11" s="735">
        <v>7635.02</v>
      </c>
      <c r="V11" s="700">
        <f t="shared" si="584"/>
        <v>0.58753608297037396</v>
      </c>
      <c r="W11" s="574">
        <f>'Proy 2021 vs 2019 Sem'!DX10*$Z$4</f>
        <v>14851.4064</v>
      </c>
      <c r="X11" s="574">
        <f>'Proy 2021 vs 2019 Sem'!$DY$10*Z4</f>
        <v>9360.7512506161929</v>
      </c>
      <c r="Y11" s="735">
        <v>11230.8</v>
      </c>
      <c r="Z11" s="700">
        <f t="shared" si="585"/>
        <v>0.75621120973431843</v>
      </c>
      <c r="AA11" s="574">
        <f>'Proy 2021 vs 2019 Sem'!DX10*$AD$4</f>
        <v>20420.683799999999</v>
      </c>
      <c r="AB11" s="574">
        <f>'Proy 2021 vs 2019 Sem'!$DY$10*AD4</f>
        <v>12871.032969597265</v>
      </c>
      <c r="AC11" s="735">
        <v>15755.91</v>
      </c>
      <c r="AD11" s="700">
        <f t="shared" si="586"/>
        <v>0.77156622933459262</v>
      </c>
      <c r="AE11" s="579">
        <f t="shared" si="587"/>
        <v>92821.29</v>
      </c>
      <c r="AF11" s="574">
        <f t="shared" si="588"/>
        <v>58504.695316351208</v>
      </c>
      <c r="AG11" s="729">
        <f t="shared" si="589"/>
        <v>59894.970000000016</v>
      </c>
      <c r="AH11" s="711">
        <f t="shared" si="590"/>
        <v>0.64527189828971365</v>
      </c>
      <c r="AI11" s="593">
        <f>'Proy 2021 vs 2019 Sem'!EC10*$AL$4</f>
        <v>10616.361599999998</v>
      </c>
      <c r="AJ11" s="611">
        <f>'Proy 2021 vs 2019 Sem'!ED10*$AL$4</f>
        <v>6369.8169599999992</v>
      </c>
      <c r="AK11" s="735">
        <v>5421.6</v>
      </c>
      <c r="AL11" s="700">
        <f t="shared" si="591"/>
        <v>0.51068343414376549</v>
      </c>
      <c r="AM11" s="593">
        <f>'Proy 2021 vs 2019 Sem'!EC10*$AP$4</f>
        <v>10616.361599999998</v>
      </c>
      <c r="AN11" s="593">
        <f>'Proy 2021 vs 2019 Sem'!ED10*$AP$4</f>
        <v>6369.8169599999992</v>
      </c>
      <c r="AO11" s="735">
        <v>6427.64</v>
      </c>
      <c r="AP11" s="700">
        <f t="shared" si="592"/>
        <v>0.60544659669467182</v>
      </c>
      <c r="AQ11" s="593">
        <f>'Proy 2021 vs 2019 Sem'!EC10*$AT$4</f>
        <v>10616.361599999998</v>
      </c>
      <c r="AR11" s="593">
        <f>'Proy 2021 vs 2019 Sem'!ED10*$AT$4</f>
        <v>6369.8169599999992</v>
      </c>
      <c r="AS11" s="735">
        <v>7552.24</v>
      </c>
      <c r="AT11" s="700">
        <f t="shared" si="593"/>
        <v>0.71137742708387031</v>
      </c>
      <c r="AU11" s="593">
        <f>'Proy 2021 vs 2019 Sem'!EC10*$AX$4</f>
        <v>10616.361599999998</v>
      </c>
      <c r="AV11" s="593">
        <f>'Proy 2021 vs 2019 Sem'!ED10*$AX$4</f>
        <v>6369.8169599999992</v>
      </c>
      <c r="AW11" s="735">
        <v>8697.98</v>
      </c>
      <c r="AX11" s="700">
        <f t="shared" si="594"/>
        <v>0.81929952348269686</v>
      </c>
      <c r="AY11" s="593">
        <f>'Proy 2021 vs 2019 Sem'!EC10*$BB$4</f>
        <v>12385.7552</v>
      </c>
      <c r="AZ11" s="593">
        <f>'Proy 2021 vs 2019 Sem'!ED10*$BB$4</f>
        <v>7431.4531200000001</v>
      </c>
      <c r="BA11" s="735">
        <v>6992.29</v>
      </c>
      <c r="BB11" s="700">
        <f t="shared" si="595"/>
        <v>0.56454288713860579</v>
      </c>
      <c r="BC11" s="593">
        <f>'Proy 2021 vs 2019 Sem'!EC10*$BF$4</f>
        <v>14155.148799999999</v>
      </c>
      <c r="BD11" s="593">
        <f>'Proy 2021 vs 2019 Sem'!ED10*$BF$4</f>
        <v>8493.0892800000001</v>
      </c>
      <c r="BE11" s="735">
        <v>10829.71</v>
      </c>
      <c r="BF11" s="700">
        <f t="shared" si="596"/>
        <v>0.76507214109964006</v>
      </c>
      <c r="BG11" s="593">
        <f>'Proy 2021 vs 2019 Sem'!EC10*$BJ$4</f>
        <v>19463.329599999997</v>
      </c>
      <c r="BH11" s="593">
        <f>'Proy 2021 vs 2019 Sem'!ED10*$BJ$4</f>
        <v>11677.99776</v>
      </c>
      <c r="BI11" s="735">
        <v>20143.259999999998</v>
      </c>
      <c r="BJ11" s="700">
        <f t="shared" si="597"/>
        <v>1.034933920042129</v>
      </c>
      <c r="BK11" s="579">
        <f t="shared" si="598"/>
        <v>88469.68</v>
      </c>
      <c r="BL11" s="574">
        <f t="shared" si="599"/>
        <v>53081.807999999997</v>
      </c>
      <c r="BM11" s="730">
        <f t="shared" si="600"/>
        <v>66064.72</v>
      </c>
      <c r="BN11" s="711">
        <f t="shared" si="601"/>
        <v>0.74674984695321611</v>
      </c>
      <c r="BO11" s="593">
        <f>'Proy 2021 vs 2019 Sem'!EH10*$BR$4</f>
        <v>11195.939999999999</v>
      </c>
      <c r="BP11" s="593">
        <f>'Proy 2021 vs 2019 Sem'!EI10*$BR$4</f>
        <v>7837.1579999999994</v>
      </c>
      <c r="BQ11" s="735">
        <v>5783.89</v>
      </c>
      <c r="BR11" s="700">
        <f t="shared" si="602"/>
        <v>0.51660601968213482</v>
      </c>
      <c r="BS11" s="593">
        <f>'Proy 2021 vs 2019 Sem'!EH10*$BV$4</f>
        <v>11195.939999999999</v>
      </c>
      <c r="BT11" s="593">
        <f>'Proy 2021 vs 2019 Sem'!EI10*$BV$4</f>
        <v>7837.1579999999994</v>
      </c>
      <c r="BU11" s="735">
        <v>7011.78</v>
      </c>
      <c r="BV11" s="700">
        <f t="shared" si="603"/>
        <v>0.62627881178355727</v>
      </c>
      <c r="BW11" s="593">
        <f>'Proy 2021 vs 2019 Sem'!EH10*$BZ$4</f>
        <v>11195.939999999999</v>
      </c>
      <c r="BX11" s="593">
        <f>'Proy 2021 vs 2019 Sem'!EI10*$BZ$4</f>
        <v>7837.1579999999994</v>
      </c>
      <c r="BY11" s="735">
        <v>6124.31</v>
      </c>
      <c r="BZ11" s="700">
        <f t="shared" si="604"/>
        <v>0.5470116845928078</v>
      </c>
      <c r="CA11" s="593">
        <f>'Proy 2021 vs 2019 Sem'!EH10*$CD$4</f>
        <v>11195.939999999999</v>
      </c>
      <c r="CB11" s="593">
        <f>'Proy 2021 vs 2019 Sem'!EI10*$CD$4</f>
        <v>7837.1579999999994</v>
      </c>
      <c r="CC11" s="735">
        <v>7925.62</v>
      </c>
      <c r="CD11" s="700">
        <f t="shared" si="605"/>
        <v>0.70790125706282825</v>
      </c>
      <c r="CE11" s="593">
        <f>'Proy 2021 vs 2019 Sem'!EH10*$CH$4</f>
        <v>13061.930000000002</v>
      </c>
      <c r="CF11" s="593">
        <f>'Proy 2021 vs 2019 Sem'!EI10*$CH$4</f>
        <v>9143.3510000000006</v>
      </c>
      <c r="CG11" s="735">
        <v>9139.6</v>
      </c>
      <c r="CH11" s="700">
        <f t="shared" si="606"/>
        <v>0.6997128295741899</v>
      </c>
      <c r="CI11" s="593">
        <f>'Proy 2021 vs 2019 Sem'!EH10*$CL$4</f>
        <v>14927.92</v>
      </c>
      <c r="CJ11" s="593">
        <f>'Proy 2021 vs 2019 Sem'!EI10*$CL$4</f>
        <v>10449.544</v>
      </c>
      <c r="CK11" s="735">
        <v>8618.92</v>
      </c>
      <c r="CL11" s="700">
        <f t="shared" si="607"/>
        <v>0.57736911773374988</v>
      </c>
      <c r="CM11" s="593">
        <f>'Proy 2021 vs 2019 Sem'!EH10*$CP$4</f>
        <v>20525.89</v>
      </c>
      <c r="CN11" s="593">
        <f>'Proy 2021 vs 2019 Sem'!EI10*$CP$4</f>
        <v>14368.123</v>
      </c>
      <c r="CO11" s="735">
        <v>14665.2</v>
      </c>
      <c r="CP11" s="700">
        <f t="shared" si="608"/>
        <v>0.714473282279112</v>
      </c>
      <c r="CQ11" s="579">
        <f t="shared" si="609"/>
        <v>93299.5</v>
      </c>
      <c r="CR11" s="574">
        <f t="shared" si="610"/>
        <v>65309.65</v>
      </c>
      <c r="CS11" s="730">
        <f t="shared" si="611"/>
        <v>59269.319999999992</v>
      </c>
      <c r="CT11" s="711">
        <f t="shared" si="612"/>
        <v>0.63525870985375044</v>
      </c>
      <c r="CU11" s="593">
        <f>'Proy 2021 vs 2019 Sem'!EM10*$CX$4</f>
        <v>12513.633599999999</v>
      </c>
      <c r="CV11" s="593">
        <f>'Proy 2021 vs 2019 Sem'!EN10*$CX$4</f>
        <v>8759.5435199999993</v>
      </c>
      <c r="CW11" s="735">
        <v>5221.3999999999996</v>
      </c>
      <c r="CX11" s="700">
        <f t="shared" si="613"/>
        <v>0.41725690290308642</v>
      </c>
      <c r="CY11" s="593">
        <f>'Proy 2021 vs 2019 Sem'!EM10*$DB$4</f>
        <v>12513.633599999999</v>
      </c>
      <c r="CZ11" s="593">
        <f>'Proy 2021 vs 2019 Sem'!EN10*$DB$4</f>
        <v>8759.5435199999993</v>
      </c>
      <c r="DA11" s="735">
        <v>4724.01</v>
      </c>
      <c r="DB11" s="700">
        <f t="shared" si="614"/>
        <v>0.37750905540338026</v>
      </c>
      <c r="DC11" s="593">
        <f>'Proy 2021 vs 2019 Sem'!EM10*$DF$4</f>
        <v>12513.633599999999</v>
      </c>
      <c r="DD11" s="593">
        <f>'Proy 2021 vs 2019 Sem'!EN10*$DF$4</f>
        <v>8759.5435199999993</v>
      </c>
      <c r="DE11" s="735">
        <v>7043.86</v>
      </c>
      <c r="DF11" s="700">
        <f t="shared" si="615"/>
        <v>0.56289485733384426</v>
      </c>
      <c r="DG11" s="593">
        <f>'Proy 2021 vs 2019 Sem'!EM10*$DJ$4</f>
        <v>12513.633599999999</v>
      </c>
      <c r="DH11" s="593">
        <f>'Proy 2021 vs 2019 Sem'!EN10*$DJ$4</f>
        <v>8759.5435199999993</v>
      </c>
      <c r="DI11" s="735">
        <v>8296.1</v>
      </c>
      <c r="DJ11" s="700">
        <f t="shared" si="616"/>
        <v>0.66296491212592323</v>
      </c>
      <c r="DK11" s="593">
        <f>'Proy 2021 vs 2019 Sem'!EM10*$DN$4</f>
        <v>14599.239200000002</v>
      </c>
      <c r="DL11" s="593">
        <f>'Proy 2021 vs 2019 Sem'!EN10*$DN$4</f>
        <v>10219.46744</v>
      </c>
      <c r="DM11" s="735">
        <v>7930.64</v>
      </c>
      <c r="DN11" s="700">
        <f t="shared" si="617"/>
        <v>0.54322282766625263</v>
      </c>
      <c r="DO11" s="593">
        <f>'Proy 2021 vs 2019 Sem'!EM10*$DR$4</f>
        <v>16684.844799999999</v>
      </c>
      <c r="DP11" s="593">
        <f>'Proy 2021 vs 2019 Sem'!EN10*$DR$4</f>
        <v>11679.39136</v>
      </c>
      <c r="DQ11" s="735">
        <v>8788.6</v>
      </c>
      <c r="DR11" s="700">
        <f t="shared" si="618"/>
        <v>0.5267414893784329</v>
      </c>
      <c r="DS11" s="593">
        <f>'Proy 2021 vs 2019 Sem'!EM10*$DV$4</f>
        <v>22941.661599999999</v>
      </c>
      <c r="DT11" s="593">
        <f>'Proy 2021 vs 2019 Sem'!EN10*$DV$4</f>
        <v>16059.163119999999</v>
      </c>
      <c r="DU11" s="735">
        <v>15873.22</v>
      </c>
      <c r="DV11" s="700">
        <f t="shared" si="619"/>
        <v>0.69189495847153459</v>
      </c>
      <c r="DW11" s="579">
        <f t="shared" si="620"/>
        <v>104280.28</v>
      </c>
      <c r="DX11" s="574">
        <f t="shared" si="621"/>
        <v>72996.195999999996</v>
      </c>
      <c r="DY11" s="710">
        <f t="shared" si="622"/>
        <v>57877.83</v>
      </c>
      <c r="DZ11" s="711">
        <f t="shared" si="623"/>
        <v>0.55502181236951031</v>
      </c>
      <c r="EA11" s="593">
        <f>'Proy 2021 vs 2019 Sem'!ER10*$ED$4</f>
        <v>11816.0124</v>
      </c>
      <c r="EB11" s="593">
        <f>'Proy 2021 vs 2019 Sem'!ES10*$ED$4</f>
        <v>7680.4080599999998</v>
      </c>
      <c r="EC11" s="735">
        <v>6180.45</v>
      </c>
      <c r="ED11" s="700">
        <f t="shared" si="624"/>
        <v>0.52305716943898939</v>
      </c>
      <c r="EE11" s="593">
        <f>'Proy 2021 vs 2019 Sem'!ER10*$EH$4</f>
        <v>11816.0124</v>
      </c>
      <c r="EF11" s="593">
        <f>'Proy 2021 vs 2019 Sem'!ES10*$EH$4</f>
        <v>7680.4080599999998</v>
      </c>
      <c r="EG11" s="735">
        <v>7896.03</v>
      </c>
      <c r="EH11" s="700">
        <f t="shared" si="625"/>
        <v>0.66824828315176787</v>
      </c>
      <c r="EI11" s="593">
        <f>'Proy 2021 vs 2019 Sem'!ER10*$EL$4</f>
        <v>11816.0124</v>
      </c>
      <c r="EJ11" s="593">
        <f>'Proy 2021 vs 2019 Sem'!ES10*$EL$4</f>
        <v>7680.4080599999998</v>
      </c>
      <c r="EK11" s="735">
        <v>7604.41</v>
      </c>
      <c r="EL11" s="700">
        <f t="shared" si="626"/>
        <v>0.64356821426490718</v>
      </c>
      <c r="EM11" s="593">
        <f>'Proy 2021 vs 2019 Sem'!ER10*$EP$4</f>
        <v>11816.0124</v>
      </c>
      <c r="EN11" s="593">
        <f>'Proy 2021 vs 2019 Sem'!ES10*$EP$4</f>
        <v>7680.4080599999998</v>
      </c>
      <c r="EO11" s="735">
        <v>6863.77</v>
      </c>
      <c r="EP11" s="700">
        <f t="shared" si="627"/>
        <v>0.58088716968509624</v>
      </c>
      <c r="EQ11" s="593">
        <f>'Proy 2021 vs 2019 Sem'!ER10*$ET$4</f>
        <v>13785.347800000001</v>
      </c>
      <c r="ER11" s="593">
        <f>'Proy 2021 vs 2019 Sem'!ES10*$ET$4</f>
        <v>8960.4760700000006</v>
      </c>
      <c r="ES11" s="735">
        <v>8727.01</v>
      </c>
      <c r="ET11" s="700">
        <f t="shared" si="628"/>
        <v>0.63306418717995638</v>
      </c>
      <c r="EU11" s="593">
        <f>'Proy 2021 vs 2019 Sem'!ER10*$EX$4</f>
        <v>15754.683200000001</v>
      </c>
      <c r="EV11" s="593">
        <f>'Proy 2021 vs 2019 Sem'!ES10*$EX$4</f>
        <v>10240.544080000001</v>
      </c>
      <c r="EW11" s="735">
        <v>11301.84</v>
      </c>
      <c r="EX11" s="700">
        <f t="shared" si="629"/>
        <v>0.71736383756672428</v>
      </c>
      <c r="EY11" s="593">
        <f>'Proy 2021 vs 2019 Sem'!ER10*$FB$4</f>
        <v>21662.689399999999</v>
      </c>
      <c r="EZ11" s="593">
        <f>'Proy 2021 vs 2019 Sem'!ES10*$FB$4</f>
        <v>14080.74811</v>
      </c>
      <c r="FA11" s="699">
        <v>18488.95</v>
      </c>
      <c r="FB11" s="700">
        <f t="shared" si="630"/>
        <v>0.85349282624160239</v>
      </c>
      <c r="FC11" s="579">
        <f t="shared" si="631"/>
        <v>98466.77</v>
      </c>
      <c r="FD11" s="574">
        <f t="shared" si="632"/>
        <v>64003.400499999996</v>
      </c>
      <c r="FE11" s="710">
        <f t="shared" si="633"/>
        <v>67062.459999999992</v>
      </c>
      <c r="FF11" s="711">
        <f t="shared" si="634"/>
        <v>0.68106692237391342</v>
      </c>
      <c r="FG11" s="593">
        <f>'Proy 2021 vs 2019 Sem'!FA10*$FJ$4</f>
        <v>10327.9476</v>
      </c>
      <c r="FH11" s="593">
        <f>'Proy 2021 vs 2019 Sem'!FB10*$FJ$4</f>
        <v>7229.5633199999984</v>
      </c>
      <c r="FI11" s="735">
        <v>6928.22</v>
      </c>
      <c r="FJ11" s="700">
        <f t="shared" si="635"/>
        <v>0.67082253593153407</v>
      </c>
      <c r="FK11" s="593">
        <f>'Proy 2021 vs 2019 Sem'!FA10*$FN$4</f>
        <v>10327.9476</v>
      </c>
      <c r="FL11" s="593">
        <f>'Proy 2021 vs 2019 Sem'!FB10*$FN$4</f>
        <v>7229.5633199999984</v>
      </c>
      <c r="FM11" s="735">
        <v>6942.81</v>
      </c>
      <c r="FN11" s="700">
        <f t="shared" si="636"/>
        <v>0.67223520769993073</v>
      </c>
      <c r="FO11" s="593">
        <f>'Proy 2021 vs 2019 Sem'!FA10*$FR$4</f>
        <v>10327.9476</v>
      </c>
      <c r="FP11" s="593">
        <f>'Proy 2021 vs 2019 Sem'!FB10*$FR$4</f>
        <v>7229.5633199999984</v>
      </c>
      <c r="FQ11" s="735">
        <v>9257.64</v>
      </c>
      <c r="FR11" s="700">
        <f t="shared" si="637"/>
        <v>0.89636783207536797</v>
      </c>
      <c r="FS11" s="593">
        <f>'Proy 2021 vs 2019 Sem'!FA10*$FV$4</f>
        <v>10327.9476</v>
      </c>
      <c r="FT11" s="593">
        <f>'Proy 2021 vs 2019 Sem'!FB10*$FV$4</f>
        <v>7229.5633199999984</v>
      </c>
      <c r="FU11" s="735">
        <v>6623.05</v>
      </c>
      <c r="FV11" s="700">
        <f t="shared" si="638"/>
        <v>0.64127455487864793</v>
      </c>
      <c r="FW11" s="593">
        <f>'Proy 2021 vs 2019 Sem'!FA10*$FZ$4</f>
        <v>12049.272200000001</v>
      </c>
      <c r="FX11" s="593">
        <f>'Proy 2021 vs 2019 Sem'!FB10*$FZ$4</f>
        <v>8434.4905399999989</v>
      </c>
      <c r="FY11" s="735">
        <v>7545.79</v>
      </c>
      <c r="FZ11" s="700">
        <f t="shared" si="639"/>
        <v>0.62624446313031246</v>
      </c>
      <c r="GA11" s="593">
        <f>'Proy 2021 vs 2019 Sem'!FA10*$GD$4</f>
        <v>13770.596799999999</v>
      </c>
      <c r="GB11" s="593">
        <f>'Proy 2021 vs 2019 Sem'!FB10*$GD$4</f>
        <v>9639.4177599999985</v>
      </c>
      <c r="GC11" s="735">
        <v>10183.57</v>
      </c>
      <c r="GD11" s="700">
        <f t="shared" si="640"/>
        <v>0.73951551613216937</v>
      </c>
      <c r="GE11" s="593">
        <f>'Proy 2021 vs 2019 Sem'!FA10*$GH$4</f>
        <v>18934.570599999999</v>
      </c>
      <c r="GF11" s="593">
        <f>'Proy 2021 vs 2019 Sem'!FB10*$GH$4</f>
        <v>13254.199419999997</v>
      </c>
      <c r="GG11" s="735">
        <v>13311.3</v>
      </c>
      <c r="GH11" s="700">
        <f t="shared" si="641"/>
        <v>0.70301567863387404</v>
      </c>
      <c r="GI11" s="579">
        <f t="shared" si="642"/>
        <v>86066.23000000001</v>
      </c>
      <c r="GJ11" s="574">
        <f t="shared" si="643"/>
        <v>60246.360999999983</v>
      </c>
      <c r="GK11" s="759">
        <f t="shared" si="644"/>
        <v>60792.37999999999</v>
      </c>
      <c r="GL11" s="761">
        <f t="shared" si="645"/>
        <v>0.70634417238910063</v>
      </c>
      <c r="GM11" s="593">
        <f>'Proy 2021 vs 2019 Sem'!FF10*$GP$4</f>
        <v>10702.3668</v>
      </c>
      <c r="GN11" s="593">
        <f>'Proy 2021 vs 2019 Sem'!FG10*$GP$4</f>
        <v>8133.7987680000006</v>
      </c>
      <c r="GO11" s="735">
        <v>5473.48</v>
      </c>
      <c r="GP11" s="700">
        <f t="shared" si="646"/>
        <v>0.51142706116183567</v>
      </c>
      <c r="GQ11" s="593">
        <f>'Proy 2021 vs 2019 Sem'!FF10*$GT$4</f>
        <v>10702.3668</v>
      </c>
      <c r="GR11" s="593">
        <f>'Proy 2021 vs 2019 Sem'!FG10*$GT$4</f>
        <v>8133.7987680000006</v>
      </c>
      <c r="GS11" s="735">
        <v>5562.18</v>
      </c>
      <c r="GT11" s="700">
        <f t="shared" si="647"/>
        <v>0.51971494753852021</v>
      </c>
      <c r="GU11" s="593">
        <f>'Proy 2021 vs 2019 Sem'!FF10*$GX$4</f>
        <v>10702.3668</v>
      </c>
      <c r="GV11" s="593">
        <f>'Proy 2021 vs 2019 Sem'!FG10*$GX$4</f>
        <v>8133.7987680000006</v>
      </c>
      <c r="GW11" s="735">
        <v>8067.81</v>
      </c>
      <c r="GX11" s="700">
        <f t="shared" si="648"/>
        <v>0.75383418927484347</v>
      </c>
      <c r="GY11" s="593">
        <f>'Proy 2021 vs 2019 Sem'!FF10*$HB$4</f>
        <v>10702.3668</v>
      </c>
      <c r="GZ11" s="593">
        <f>'Proy 2021 vs 2019 Sem'!FG10*$HB$4</f>
        <v>8133.7987680000006</v>
      </c>
      <c r="HA11" s="735">
        <v>8509.8700000000008</v>
      </c>
      <c r="HB11" s="700">
        <f t="shared" si="649"/>
        <v>0.79513907148089902</v>
      </c>
      <c r="HC11" s="593">
        <f>'Proy 2021 vs 2019 Sem'!FF10*$HF$4</f>
        <v>12486.0946</v>
      </c>
      <c r="HD11" s="593">
        <f>'Proy 2021 vs 2019 Sem'!FG10*$HF$4</f>
        <v>9489.4318960000019</v>
      </c>
      <c r="HE11" s="735">
        <v>7073.51</v>
      </c>
      <c r="HF11" s="700">
        <f t="shared" si="650"/>
        <v>0.56651100497028106</v>
      </c>
      <c r="HG11" s="593">
        <f>'Proy 2021 vs 2019 Sem'!FF10*$HJ$4</f>
        <v>14269.822400000001</v>
      </c>
      <c r="HH11" s="593">
        <f>'Proy 2021 vs 2019 Sem'!FG10*$HJ$4</f>
        <v>10845.065024000001</v>
      </c>
      <c r="HI11" s="735">
        <v>7338.7</v>
      </c>
      <c r="HJ11" s="700">
        <f t="shared" si="651"/>
        <v>0.51428110275570071</v>
      </c>
      <c r="HK11" s="593">
        <f>'Proy 2021 vs 2019 Sem'!FF10*$HN$4</f>
        <v>19621.005799999999</v>
      </c>
      <c r="HL11" s="593">
        <f>'Proy 2021 vs 2019 Sem'!FG10*$HN$4</f>
        <v>14911.964408000002</v>
      </c>
      <c r="HM11" s="735">
        <v>17403.560000000001</v>
      </c>
      <c r="HN11" s="700">
        <f t="shared" si="652"/>
        <v>0.88698612993631565</v>
      </c>
      <c r="HO11" s="579">
        <f t="shared" si="653"/>
        <v>89186.39</v>
      </c>
      <c r="HP11" s="574">
        <f t="shared" si="654"/>
        <v>67781.656400000007</v>
      </c>
      <c r="HQ11" s="765">
        <f t="shared" si="655"/>
        <v>59429.11</v>
      </c>
      <c r="HR11" s="761">
        <f t="shared" si="656"/>
        <v>0.66634729805747273</v>
      </c>
      <c r="HS11" s="593">
        <f>'Proy 2021 vs 2019 Sem'!FK10*$CX$4</f>
        <v>9474.4331999999995</v>
      </c>
      <c r="HT11" s="593">
        <f>'Proy 2021 vs 2019 Sem'!FL10*$CX$4</f>
        <v>7484.8022279999996</v>
      </c>
      <c r="HU11" s="735">
        <v>4909.21</v>
      </c>
      <c r="HV11" s="700">
        <f t="shared" si="657"/>
        <v>0.5181534236792128</v>
      </c>
      <c r="HW11" s="593">
        <f>'Proy 2021 vs 2019 Sem'!FK10*$DB$4</f>
        <v>9474.4331999999995</v>
      </c>
      <c r="HX11" s="593">
        <f>'Proy 2021 vs 2019 Sem'!FL10*$DB$4</f>
        <v>7484.8022279999996</v>
      </c>
      <c r="HY11" s="735">
        <v>5516.85</v>
      </c>
      <c r="HZ11" s="700">
        <f t="shared" si="658"/>
        <v>0.58228813096703247</v>
      </c>
      <c r="IA11" s="593">
        <f>'Proy 2021 vs 2019 Sem'!FK10*$DF$4</f>
        <v>9474.4331999999995</v>
      </c>
      <c r="IB11" s="593">
        <f>'Proy 2021 vs 2019 Sem'!FL10*$DF$4</f>
        <v>7484.8022279999996</v>
      </c>
      <c r="IC11" s="735">
        <v>6597.88</v>
      </c>
      <c r="ID11" s="700">
        <f t="shared" si="659"/>
        <v>0.6963878324668541</v>
      </c>
      <c r="IE11" s="593">
        <f>'Proy 2021 vs 2019 Sem'!FK10*$DJ$4</f>
        <v>9474.4331999999995</v>
      </c>
      <c r="IF11" s="593">
        <f>'Proy 2021 vs 2019 Sem'!FL10*$DJ$4</f>
        <v>7484.8022279999996</v>
      </c>
      <c r="IG11" s="735">
        <v>7034.74</v>
      </c>
      <c r="IH11" s="700">
        <f t="shared" si="660"/>
        <v>0.74249718706127987</v>
      </c>
      <c r="II11" s="593">
        <f>'Proy 2021 vs 2019 Sem'!FK10*$DN$4</f>
        <v>11053.505400000002</v>
      </c>
      <c r="IJ11" s="593">
        <f>'Proy 2021 vs 2019 Sem'!FL10*$DN$4</f>
        <v>8732.2692660000012</v>
      </c>
      <c r="IK11" s="735">
        <v>5089.1499999999996</v>
      </c>
      <c r="IL11" s="700">
        <f t="shared" si="661"/>
        <v>0.46041050470740247</v>
      </c>
      <c r="IM11" s="593">
        <f>'Proy 2021 vs 2019 Sem'!FK10*$DR$4</f>
        <v>12632.577600000001</v>
      </c>
      <c r="IN11" s="593">
        <f>'Proy 2021 vs 2019 Sem'!FL10*$DR$4</f>
        <v>9979.736304</v>
      </c>
      <c r="IO11" s="1410">
        <v>8237.15</v>
      </c>
      <c r="IP11" s="700">
        <f t="shared" si="662"/>
        <v>0.65205615677357875</v>
      </c>
      <c r="IQ11" s="593">
        <f>'Proy 2021 vs 2019 Sem'!FK10*$IT$4</f>
        <v>17369.7942</v>
      </c>
      <c r="IR11" s="593">
        <f>'Proy 2021 vs 2019 Sem'!FL10*$IT$4</f>
        <v>13722.137418</v>
      </c>
      <c r="IS11" s="735">
        <v>16204.14</v>
      </c>
      <c r="IT11" s="700">
        <f t="shared" si="663"/>
        <v>0.93289188193145078</v>
      </c>
      <c r="IU11" s="579">
        <f t="shared" si="664"/>
        <v>78953.61</v>
      </c>
      <c r="IV11" s="574">
        <f t="shared" si="665"/>
        <v>62373.351899999994</v>
      </c>
      <c r="IW11" s="765">
        <f t="shared" si="666"/>
        <v>53589.120000000003</v>
      </c>
      <c r="IX11" s="761">
        <f t="shared" si="667"/>
        <v>0.67874185866865366</v>
      </c>
      <c r="IY11" s="593">
        <f>'Proy 2021 vs 2019 Sem'!FP10*$JB$4</f>
        <v>10415.2464</v>
      </c>
      <c r="IZ11" s="593">
        <f>'Proy 2021 vs 2019 Sem'!FQ10*$JB$4</f>
        <v>7915.5872640000007</v>
      </c>
      <c r="JA11" s="735">
        <v>3718.22</v>
      </c>
      <c r="JB11" s="700">
        <f t="shared" si="668"/>
        <v>0.35699779507856866</v>
      </c>
      <c r="JC11" s="593">
        <f>'Proy 2021 vs 2019 Sem'!FP10*$JF$4</f>
        <v>10415.2464</v>
      </c>
      <c r="JD11" s="593">
        <f>'Proy 2021 vs 2019 Sem'!FQ10*$JF$4</f>
        <v>7915.5872640000007</v>
      </c>
      <c r="JE11" s="735">
        <v>7842.02</v>
      </c>
      <c r="JF11" s="700">
        <f t="shared" si="669"/>
        <v>0.75293657958970617</v>
      </c>
      <c r="JG11" s="593">
        <f>'Proy 2021 vs 2019 Sem'!FP10*$JJ$4</f>
        <v>10415.2464</v>
      </c>
      <c r="JH11" s="593">
        <f>'Proy 2021 vs 2019 Sem'!FQ10*$JJ$4</f>
        <v>7915.5872640000007</v>
      </c>
      <c r="JI11" s="735">
        <v>4022.72</v>
      </c>
      <c r="JJ11" s="700">
        <f t="shared" si="670"/>
        <v>0.38623378127664842</v>
      </c>
      <c r="JK11" s="593">
        <f>'Proy 2021 vs 2019 Sem'!FP10*$JN$4</f>
        <v>10415.2464</v>
      </c>
      <c r="JL11" s="593">
        <f>'Proy 2021 vs 2019 Sem'!FQ10*$JN$4</f>
        <v>7915.5872640000007</v>
      </c>
      <c r="JM11" s="735">
        <v>5067.1899999999996</v>
      </c>
      <c r="JN11" s="700">
        <f t="shared" si="671"/>
        <v>0.48651657439424567</v>
      </c>
      <c r="JO11" s="593">
        <f>'Proy 2021 vs 2019 Sem'!FP10*$JR$4</f>
        <v>12151.120800000001</v>
      </c>
      <c r="JP11" s="593">
        <f>'Proy 2021 vs 2019 Sem'!FQ10*$JR$4</f>
        <v>9234.8518080000013</v>
      </c>
      <c r="JQ11" s="735">
        <v>5148.46</v>
      </c>
      <c r="JR11" s="700">
        <f t="shared" si="672"/>
        <v>0.42370247854008658</v>
      </c>
      <c r="JS11" s="593">
        <f>'Proy 2021 vs 2019 Sem'!FP10*$JV$4</f>
        <v>13886.995200000001</v>
      </c>
      <c r="JT11" s="593">
        <f>'Proy 2021 vs 2019 Sem'!FQ10*$JV$4</f>
        <v>10554.116352000001</v>
      </c>
      <c r="JU11" s="735">
        <v>10470.08</v>
      </c>
      <c r="JV11" s="700">
        <f t="shared" si="673"/>
        <v>0.75394855756845069</v>
      </c>
      <c r="JW11" s="593">
        <f>'Proy 2021 vs 2019 Sem'!FP10*$JZ$4</f>
        <v>19094.618399999999</v>
      </c>
      <c r="JX11" s="593">
        <f>'Proy 2021 vs 2019 Sem'!FQ10*$JZ$4</f>
        <v>14511.909984000002</v>
      </c>
      <c r="JY11" s="735">
        <v>13978.98</v>
      </c>
      <c r="JZ11" s="700">
        <f t="shared" si="674"/>
        <v>0.73209004271067291</v>
      </c>
      <c r="KA11" s="579">
        <f t="shared" si="675"/>
        <v>86793.72</v>
      </c>
      <c r="KB11" s="574">
        <f t="shared" si="676"/>
        <v>65963.227200000008</v>
      </c>
      <c r="KC11" s="770">
        <f t="shared" si="677"/>
        <v>50247.67</v>
      </c>
      <c r="KD11" s="761">
        <f t="shared" si="678"/>
        <v>0.5789320932436125</v>
      </c>
      <c r="KE11" s="593">
        <f>'Proy 2021 vs 2019 Sem'!FY10*$KH$4</f>
        <v>11177.1456</v>
      </c>
      <c r="KF11" s="593">
        <f>'Proy 2021 vs 2019 Sem'!FZ10*$KH$4</f>
        <v>8382.8592000000008</v>
      </c>
      <c r="KG11" s="735">
        <v>6619.1</v>
      </c>
      <c r="KH11" s="700">
        <f t="shared" si="679"/>
        <v>0.59219949680175954</v>
      </c>
      <c r="KI11" s="593">
        <f>'Proy 2021 vs 2019 Sem'!FY10*$KL$4</f>
        <v>11177.1456</v>
      </c>
      <c r="KJ11" s="593">
        <f>'Proy 2021 vs 2019 Sem'!FZ10*$KL$4</f>
        <v>8382.8592000000008</v>
      </c>
      <c r="KK11" s="735">
        <v>7031.57</v>
      </c>
      <c r="KL11" s="700">
        <f t="shared" si="680"/>
        <v>0.62910247854335899</v>
      </c>
      <c r="KM11" s="593">
        <f>'Proy 2021 vs 2019 Sem'!FY10*$KP$4</f>
        <v>11177.1456</v>
      </c>
      <c r="KN11" s="593">
        <f>'Proy 2021 vs 2019 Sem'!FZ10*$KP$4</f>
        <v>8382.8592000000008</v>
      </c>
      <c r="KO11" s="735">
        <v>7161.18</v>
      </c>
      <c r="KP11" s="700">
        <f t="shared" si="681"/>
        <v>0.64069846240528538</v>
      </c>
      <c r="KQ11" s="593">
        <f>'Proy 2021 vs 2019 Sem'!FY10*$KT$4</f>
        <v>11177.1456</v>
      </c>
      <c r="KR11" s="593">
        <f>'Proy 2021 vs 2019 Sem'!FZ10*$KT$4</f>
        <v>8382.8592000000008</v>
      </c>
      <c r="KS11" s="735">
        <v>5467.92</v>
      </c>
      <c r="KT11" s="700">
        <f t="shared" si="682"/>
        <v>0.48920540142198737</v>
      </c>
      <c r="KU11" s="593">
        <f>'Proy 2021 vs 2019 Sem'!FY10*$KX$4</f>
        <v>13040.003200000001</v>
      </c>
      <c r="KV11" s="593">
        <f>'Proy 2021 vs 2019 Sem'!FZ10*$KX$4</f>
        <v>9780.0024000000012</v>
      </c>
      <c r="KW11" s="735">
        <v>7590.12</v>
      </c>
      <c r="KX11" s="700">
        <f t="shared" si="683"/>
        <v>0.58206427434005537</v>
      </c>
      <c r="KY11" s="593">
        <f>'Proy 2021 vs 2019 Sem'!FY10*$LB$4</f>
        <v>14902.8608</v>
      </c>
      <c r="KZ11" s="593">
        <f>'Proy 2021 vs 2019 Sem'!FZ10*$LB$4</f>
        <v>11177.145600000002</v>
      </c>
      <c r="LA11" s="735">
        <v>10632.82</v>
      </c>
      <c r="LB11" s="700">
        <f t="shared" si="684"/>
        <v>0.7134750933189955</v>
      </c>
      <c r="LC11" s="593">
        <f>'Proy 2021 vs 2019 Sem'!FY10*$LF$4</f>
        <v>20491.4336</v>
      </c>
      <c r="LD11" s="593">
        <f>'Proy 2021 vs 2019 Sem'!FZ10*$LF$4</f>
        <v>15368.575200000001</v>
      </c>
      <c r="LE11" s="735">
        <v>17581.46</v>
      </c>
      <c r="LF11" s="700">
        <f t="shared" si="685"/>
        <v>0.85799072642726171</v>
      </c>
      <c r="LG11" s="579">
        <f t="shared" si="686"/>
        <v>93142.88</v>
      </c>
      <c r="LH11" s="574">
        <f t="shared" si="687"/>
        <v>69857.160000000018</v>
      </c>
      <c r="LI11" s="793">
        <f t="shared" si="688"/>
        <v>62084.17</v>
      </c>
      <c r="LJ11" s="786">
        <f t="shared" si="689"/>
        <v>0.66654767385333147</v>
      </c>
      <c r="LK11" s="593">
        <f>'Proy 2021 vs 2019 Sem'!GD10*$LN$4</f>
        <v>11802.619199999999</v>
      </c>
      <c r="LL11" s="593">
        <f>'Proy 2021 vs 2019 Sem'!GE10*$LN$4</f>
        <v>9560.1215520000005</v>
      </c>
      <c r="LM11" s="735">
        <v>6796.1</v>
      </c>
      <c r="LN11" s="700">
        <f t="shared" si="690"/>
        <v>0.5758128670287016</v>
      </c>
      <c r="LO11" s="593">
        <f>'Proy 2021 vs 2019 Sem'!GD10*$LR$4</f>
        <v>11802.619199999999</v>
      </c>
      <c r="LP11" s="593">
        <f>'Proy 2021 vs 2019 Sem'!GE10*$LR$4</f>
        <v>9560.1215520000005</v>
      </c>
      <c r="LQ11" s="735">
        <v>5387.69</v>
      </c>
      <c r="LR11" s="700">
        <f t="shared" si="691"/>
        <v>0.45648257464749858</v>
      </c>
      <c r="LS11" s="593">
        <f>'Proy 2021 vs 2019 Sem'!GD10*$LV$4</f>
        <v>11802.619199999999</v>
      </c>
      <c r="LT11" s="593">
        <f>'Proy 2021 vs 2019 Sem'!GE10*$LV$4</f>
        <v>9560.1215520000005</v>
      </c>
      <c r="LU11" s="735">
        <v>7141.41</v>
      </c>
      <c r="LV11" s="700">
        <f t="shared" si="692"/>
        <v>0.60506993227401595</v>
      </c>
      <c r="LW11" s="593">
        <f>'Proy 2021 vs 2019 Sem'!GD10*$LZ$4</f>
        <v>11802.619199999999</v>
      </c>
      <c r="LX11" s="593">
        <f>'Proy 2021 vs 2019 Sem'!GE10*$LZ$4</f>
        <v>9560.1215520000005</v>
      </c>
      <c r="LY11" s="735">
        <v>4228.7</v>
      </c>
      <c r="LZ11" s="700">
        <f t="shared" si="693"/>
        <v>0.35828487968162187</v>
      </c>
      <c r="MA11" s="593">
        <f>'Proy 2021 vs 2019 Sem'!GD10*$MD$4</f>
        <v>13769.722400000002</v>
      </c>
      <c r="MB11" s="593">
        <f>'Proy 2021 vs 2019 Sem'!GE10*$MD$4</f>
        <v>11153.475144000002</v>
      </c>
      <c r="MC11" s="735">
        <v>7135.85</v>
      </c>
      <c r="MD11" s="700">
        <f t="shared" si="694"/>
        <v>0.51822758605503905</v>
      </c>
      <c r="ME11" s="593">
        <f>'Proy 2021 vs 2019 Sem'!GD10*$MH$4</f>
        <v>15736.8256</v>
      </c>
      <c r="MF11" s="593">
        <f>'Proy 2021 vs 2019 Sem'!GE10*$MH$4</f>
        <v>12746.828736000001</v>
      </c>
      <c r="MG11" s="735">
        <v>11107.31</v>
      </c>
      <c r="MH11" s="700">
        <f t="shared" si="695"/>
        <v>0.70581642589976978</v>
      </c>
      <c r="MI11" s="593">
        <f>'Proy 2021 vs 2019 Sem'!GD10*$ML$4</f>
        <v>21638.135200000001</v>
      </c>
      <c r="MJ11" s="593">
        <f>'Proy 2021 vs 2019 Sem'!GE10*$ML$4</f>
        <v>17526.889512000002</v>
      </c>
      <c r="MK11" s="735">
        <v>10235.799999999999</v>
      </c>
      <c r="ML11" s="700">
        <f t="shared" si="696"/>
        <v>0.47304446087387414</v>
      </c>
      <c r="MM11" s="579">
        <f t="shared" si="697"/>
        <v>98355.16</v>
      </c>
      <c r="MN11" s="574">
        <f t="shared" si="698"/>
        <v>79667.679600000003</v>
      </c>
      <c r="MO11" s="794">
        <f t="shared" si="699"/>
        <v>52032.86</v>
      </c>
      <c r="MP11" s="786">
        <f t="shared" si="700"/>
        <v>0.52903030201974155</v>
      </c>
      <c r="MQ11" s="593">
        <f>'Proy 2021 vs 2019 Sem'!GI10*$MT$4</f>
        <v>9987.5532000000003</v>
      </c>
      <c r="MR11" s="593">
        <f>'Proy 2021 vs 2019 Sem'!GJ10*$MT$4</f>
        <v>7990.0425600000008</v>
      </c>
      <c r="MS11" s="735">
        <v>6204.63</v>
      </c>
      <c r="MT11" s="700">
        <f t="shared" si="701"/>
        <v>0.62123624032360603</v>
      </c>
      <c r="MU11" s="593">
        <f>'Proy 2021 vs 2019 Sem'!GI10*$MX$4</f>
        <v>9987.5532000000003</v>
      </c>
      <c r="MV11" s="593">
        <f>'Proy 2021 vs 2019 Sem'!GJ10*$MX$4</f>
        <v>7990.0425600000008</v>
      </c>
      <c r="MW11" s="735">
        <v>6449.09</v>
      </c>
      <c r="MX11" s="700">
        <f t="shared" si="702"/>
        <v>0.64571270569051886</v>
      </c>
      <c r="MY11" s="593">
        <f>'Proy 2021 vs 2019 Sem'!GI10*$NB$4</f>
        <v>9987.5532000000003</v>
      </c>
      <c r="MZ11" s="593">
        <f>'Proy 2021 vs 2019 Sem'!GJ10*$NB$4</f>
        <v>7990.0425600000008</v>
      </c>
      <c r="NA11" s="735">
        <v>4486.68</v>
      </c>
      <c r="NB11" s="700">
        <f t="shared" si="703"/>
        <v>0.44922714404164577</v>
      </c>
      <c r="NC11" s="593">
        <f>'Proy 2021 vs 2019 Sem'!GI10*$NF$4</f>
        <v>9987.5532000000003</v>
      </c>
      <c r="ND11" s="593">
        <f>'Proy 2021 vs 2019 Sem'!GJ10*$NF$4</f>
        <v>7990.0425600000008</v>
      </c>
      <c r="NE11" s="735">
        <v>10933.88</v>
      </c>
      <c r="NF11" s="700">
        <f t="shared" si="704"/>
        <v>1.0947506141944754</v>
      </c>
      <c r="NG11" s="593">
        <f>'Proy 2021 vs 2019 Sem'!GI10*$NJ$4</f>
        <v>11652.145400000001</v>
      </c>
      <c r="NH11" s="593">
        <f>'Proy 2021 vs 2019 Sem'!GJ10*$NJ$4</f>
        <v>9321.7163200000014</v>
      </c>
      <c r="NI11" s="735">
        <v>7780.4</v>
      </c>
      <c r="NJ11" s="700">
        <f t="shared" si="705"/>
        <v>0.66772252944938348</v>
      </c>
      <c r="NK11" s="593">
        <f>'Proy 2021 vs 2019 Sem'!GI10*$NN$4</f>
        <v>13316.7376</v>
      </c>
      <c r="NL11" s="593">
        <f>'Proy 2021 vs 2019 Sem'!GJ10*$NN$4</f>
        <v>10653.390080000001</v>
      </c>
      <c r="NM11" s="735">
        <v>9326.5</v>
      </c>
      <c r="NN11" s="700">
        <f t="shared" si="706"/>
        <v>0.70035922311783028</v>
      </c>
      <c r="NO11" s="593">
        <f>'Proy 2021 vs 2019 Sem'!GI10*$NR$4</f>
        <v>18310.514200000001</v>
      </c>
      <c r="NP11" s="593">
        <f>'Proy 2021 vs 2019 Sem'!GJ10*$NR$4</f>
        <v>14648.411360000002</v>
      </c>
      <c r="NQ11" s="735">
        <v>13878.45</v>
      </c>
      <c r="NR11" s="700">
        <f t="shared" si="707"/>
        <v>0.75794976855428775</v>
      </c>
      <c r="NS11" s="579">
        <f t="shared" si="708"/>
        <v>83229.61</v>
      </c>
      <c r="NT11" s="574">
        <f t="shared" si="709"/>
        <v>66583.688000000009</v>
      </c>
      <c r="NU11" s="794">
        <f t="shared" si="710"/>
        <v>59059.630000000005</v>
      </c>
      <c r="NV11" s="786">
        <f t="shared" si="711"/>
        <v>0.7095987834137395</v>
      </c>
      <c r="NW11" s="593">
        <f>'Proy 2021 vs 2019 Sem'!GN10*$NZ$4</f>
        <v>11356.3392</v>
      </c>
      <c r="NX11" s="593">
        <f>'Proy 2021 vs 2019 Sem'!GO10*$NZ$4</f>
        <v>8290.1276159999998</v>
      </c>
      <c r="NY11" s="735">
        <v>3438.88</v>
      </c>
      <c r="NZ11" s="700">
        <f t="shared" si="712"/>
        <v>0.30281589334703918</v>
      </c>
      <c r="OA11" s="593">
        <f>'Proy 2021 vs 2019 Sem'!GN10*$OD$4</f>
        <v>11356.3392</v>
      </c>
      <c r="OB11" s="593">
        <f>'Proy 2021 vs 2019 Sem'!GO10*$OD$4</f>
        <v>8290.1276159999998</v>
      </c>
      <c r="OC11" s="735">
        <v>5571.36</v>
      </c>
      <c r="OD11" s="700">
        <f t="shared" si="713"/>
        <v>0.49059471559285578</v>
      </c>
      <c r="OE11" s="593">
        <f>'Proy 2021 vs 2019 Sem'!GN10*$OH$4</f>
        <v>11356.3392</v>
      </c>
      <c r="OF11" s="593">
        <f>'Proy 2021 vs 2019 Sem'!GO10*$OH$4</f>
        <v>8290.1276159999998</v>
      </c>
      <c r="OG11" s="735">
        <v>6605.66</v>
      </c>
      <c r="OH11" s="700">
        <f t="shared" si="714"/>
        <v>0.58167160065102663</v>
      </c>
      <c r="OI11" s="593">
        <f>'Proy 2021 vs 2019 Sem'!GN10*$OL$4</f>
        <v>11356.3392</v>
      </c>
      <c r="OJ11" s="593">
        <f>'Proy 2021 vs 2019 Sem'!GO10*$OL$4</f>
        <v>8290.1276159999998</v>
      </c>
      <c r="OK11" s="735">
        <v>6154.93</v>
      </c>
      <c r="OL11" s="700">
        <f t="shared" si="715"/>
        <v>0.54198187387710295</v>
      </c>
      <c r="OM11" s="593">
        <f>'Proy 2021 vs 2019 Sem'!GN10*$OP$4</f>
        <v>13249.062400000003</v>
      </c>
      <c r="ON11" s="593">
        <f>'Proy 2021 vs 2019 Sem'!GO10*$OP$4</f>
        <v>9671.8155520000018</v>
      </c>
      <c r="OO11" s="735">
        <v>6716.92</v>
      </c>
      <c r="OP11" s="700">
        <f t="shared" si="716"/>
        <v>0.50697323306440156</v>
      </c>
      <c r="OQ11" s="593">
        <f>'Proy 2021 vs 2019 Sem'!GN10*$JV$4</f>
        <v>15141.785600000001</v>
      </c>
      <c r="OR11" s="593">
        <f>'Proy 2021 vs 2019 Sem'!GO10*$JV$4</f>
        <v>11053.503488</v>
      </c>
      <c r="OS11" s="735">
        <v>13283.46</v>
      </c>
      <c r="OT11" s="700">
        <f t="shared" si="717"/>
        <v>0.87727170037330326</v>
      </c>
      <c r="OU11" s="593">
        <f>'Proy 2021 vs 2019 Sem'!GN10*$OX$4</f>
        <v>20819.9552</v>
      </c>
      <c r="OV11" s="593">
        <f>'Proy 2021 vs 2019 Sem'!GO10*$OX$4</f>
        <v>15198.567296000001</v>
      </c>
      <c r="OW11" s="735">
        <v>17697.849999999999</v>
      </c>
      <c r="OX11" s="700">
        <f t="shared" si="718"/>
        <v>0.85004265523107359</v>
      </c>
      <c r="OY11" s="579">
        <f t="shared" si="719"/>
        <v>94636.160000000003</v>
      </c>
      <c r="OZ11" s="574">
        <f t="shared" si="720"/>
        <v>69084.396800000002</v>
      </c>
      <c r="PA11" s="785">
        <f t="shared" si="721"/>
        <v>59469.06</v>
      </c>
      <c r="PB11" s="786">
        <f t="shared" si="722"/>
        <v>0.62839679885574384</v>
      </c>
      <c r="PC11" s="593">
        <f>'Proy 2021 vs 2019 Sem'!GW10*$PF$4</f>
        <v>9961.08</v>
      </c>
      <c r="PD11" s="593">
        <f>'Proy 2021 vs 2019 Sem'!GX10*$PF$4</f>
        <v>7570.4207999999999</v>
      </c>
      <c r="PE11" s="735">
        <v>7900.6</v>
      </c>
      <c r="PF11" s="700">
        <f t="shared" si="723"/>
        <v>0.79314692784316565</v>
      </c>
      <c r="PG11" s="593">
        <f>'Proy 2021 vs 2019 Sem'!GW10*$PJ$4</f>
        <v>9961.08</v>
      </c>
      <c r="PH11" s="593">
        <f>'Proy 2021 vs 2019 Sem'!GX10*$PJ$4</f>
        <v>7570.4207999999999</v>
      </c>
      <c r="PI11" s="735">
        <v>12396.25</v>
      </c>
      <c r="PJ11" s="700">
        <f t="shared" si="724"/>
        <v>1.2444684712902616</v>
      </c>
      <c r="PK11" s="593">
        <f>'Proy 2021 vs 2019 Sem'!GW10*'Vtas Diarias 2021'!$PN$4</f>
        <v>9961.08</v>
      </c>
      <c r="PL11" s="593">
        <f>'Proy 2021 vs 2019 Sem'!GX10*'Vtas Diarias 2021'!$PN$4</f>
        <v>7570.4207999999999</v>
      </c>
      <c r="PM11" s="735">
        <v>8159.26</v>
      </c>
      <c r="PN11" s="700">
        <f t="shared" si="725"/>
        <v>0.81911399165552334</v>
      </c>
      <c r="PO11" s="593">
        <f>'Proy 2021 vs 2019 Sem'!GW10*$PR$4</f>
        <v>9961.08</v>
      </c>
      <c r="PP11" s="593">
        <f>'Proy 2021 vs 2019 Sem'!GX10*$PR$4</f>
        <v>7570.4207999999999</v>
      </c>
      <c r="PQ11" s="735">
        <v>6589.38</v>
      </c>
      <c r="PR11" s="700">
        <f t="shared" si="726"/>
        <v>0.66151260706670367</v>
      </c>
      <c r="PS11" s="593">
        <f>'Proy 2021 vs 2019 Sem'!GW10*$PV$4</f>
        <v>11621.26</v>
      </c>
      <c r="PT11" s="593">
        <f>'Proy 2021 vs 2019 Sem'!GX10*$PV$4</f>
        <v>8832.1576000000023</v>
      </c>
      <c r="PU11" s="735">
        <v>8485.01</v>
      </c>
      <c r="PV11" s="700">
        <f t="shared" si="727"/>
        <v>0.73012823050168396</v>
      </c>
      <c r="PW11" s="593">
        <f>'Proy 2021 vs 2019 Sem'!GW10*PZ$4</f>
        <v>13281.44</v>
      </c>
      <c r="PX11" s="593">
        <f>'Proy 2021 vs 2019 Sem'!GX10*$PZ$4</f>
        <v>10093.894400000001</v>
      </c>
      <c r="PY11" s="735">
        <v>8753.56</v>
      </c>
      <c r="PZ11" s="700">
        <f t="shared" si="728"/>
        <v>0.65908214771892193</v>
      </c>
      <c r="QA11" s="593">
        <f>'Proy 2021 vs 2019 Sem'!GW10*$QD$4</f>
        <v>18261.98</v>
      </c>
      <c r="QB11" s="593">
        <f>'Proy 2021 vs 2019 Sem'!GX10*$QD$4</f>
        <v>13879.104800000001</v>
      </c>
      <c r="QC11" s="735">
        <v>17274.189999999999</v>
      </c>
      <c r="QD11" s="700">
        <f t="shared" si="729"/>
        <v>0.94591002728072193</v>
      </c>
      <c r="QE11" s="579">
        <f t="shared" si="730"/>
        <v>83009</v>
      </c>
      <c r="QF11" s="574">
        <f t="shared" si="731"/>
        <v>63086.840000000011</v>
      </c>
      <c r="QG11" s="729">
        <f t="shared" si="732"/>
        <v>69558.25</v>
      </c>
      <c r="QH11" s="711">
        <f t="shared" si="733"/>
        <v>0.83796034164970068</v>
      </c>
      <c r="QI11" s="578">
        <f>'Proy 2021 vs 2019 Sem'!HB10*$QL$4</f>
        <v>9135.1967999999997</v>
      </c>
      <c r="QJ11" s="611">
        <f>'Proy 2021 vs 2019 Sem'!UG10*$AL$4</f>
        <v>0</v>
      </c>
      <c r="QK11" s="735">
        <v>5481.74</v>
      </c>
      <c r="QL11" s="700">
        <f t="shared" si="734"/>
        <v>0.60006807954044294</v>
      </c>
      <c r="QM11" s="593">
        <f>'Proy 2021 vs 2019 Sem'!HB10*$QP$4</f>
        <v>9135.1967999999997</v>
      </c>
      <c r="QN11" s="593">
        <f>'Proy 2021 vs 2019 Sem'!UG10*$AP$4</f>
        <v>0</v>
      </c>
      <c r="QO11" s="735">
        <v>6820.6</v>
      </c>
      <c r="QP11" s="700">
        <f t="shared" si="735"/>
        <v>0.74662868784611192</v>
      </c>
      <c r="QQ11" s="593">
        <f>'Proy 2021 vs 2019 Sem'!HB10*$QT$4</f>
        <v>9135.1967999999997</v>
      </c>
      <c r="QR11" s="593">
        <f>'Proy 2021 vs 2019 Sem'!HC10*$QT$4</f>
        <v>7125.4535040000001</v>
      </c>
      <c r="QS11" s="735">
        <v>8743.93</v>
      </c>
      <c r="QT11" s="700">
        <f t="shared" si="736"/>
        <v>0.95716930805475375</v>
      </c>
      <c r="QU11" s="593">
        <f>'Proy 2021 vs 2019 Sem'!HB10*$QX$4</f>
        <v>9135.1967999999997</v>
      </c>
      <c r="QV11" s="593">
        <f>'Proy 2021 vs 2019 Sem'!HC10*$QX$4</f>
        <v>7125.4535040000001</v>
      </c>
      <c r="QW11" s="735">
        <v>6846.06</v>
      </c>
      <c r="QX11" s="700">
        <f t="shared" si="737"/>
        <v>0.74941571045300315</v>
      </c>
      <c r="QY11" s="593">
        <f>'Proy 2021 vs 2019 Sem'!HB10*$RB$4</f>
        <v>10657.729600000001</v>
      </c>
      <c r="QZ11" s="593">
        <f>'Proy 2021 vs 2019 Sem'!HC10*$RB$4</f>
        <v>8313.0290880000011</v>
      </c>
      <c r="RA11" s="735">
        <v>5184.3599999999997</v>
      </c>
      <c r="RB11" s="700">
        <f t="shared" si="738"/>
        <v>0.48644131485565173</v>
      </c>
      <c r="RC11" s="593">
        <f>'Proy 2021 vs 2019 Sem'!HB10*$RF$4</f>
        <v>12180.2624</v>
      </c>
      <c r="RD11" s="593">
        <f>'Proy 2021 vs 2019 Sem'!HC10*$RF$4</f>
        <v>9500.6046720000013</v>
      </c>
      <c r="RE11" s="735">
        <v>6694.33</v>
      </c>
      <c r="RF11" s="700">
        <f t="shared" si="739"/>
        <v>0.54960474414738392</v>
      </c>
      <c r="RG11" s="593">
        <f>'Proy 2021 vs 2019 Sem'!HB10*$RJ$4</f>
        <v>16747.860799999999</v>
      </c>
      <c r="RH11" s="593">
        <f>'Proy 2021 vs 2019 Sem'!HC10*$RJ$4</f>
        <v>13063.331424000002</v>
      </c>
      <c r="RI11" s="735">
        <v>12863.22</v>
      </c>
      <c r="RJ11" s="700">
        <f t="shared" si="740"/>
        <v>0.76805152333246052</v>
      </c>
      <c r="RK11" s="579">
        <f t="shared" si="741"/>
        <v>76126.64</v>
      </c>
      <c r="RL11" s="574">
        <f t="shared" si="742"/>
        <v>45127.872192000003</v>
      </c>
      <c r="RM11" s="730">
        <f t="shared" si="743"/>
        <v>52634.240000000005</v>
      </c>
      <c r="RN11" s="711">
        <f t="shared" si="744"/>
        <v>0.69140369258383139</v>
      </c>
      <c r="RO11" s="593">
        <f>'Proy 2021 vs 2019 Sem'!HG10*$RR$4</f>
        <v>6897.2915999999996</v>
      </c>
      <c r="RP11" s="593">
        <f>'Proy 2021 vs 2019 Sem'!HH10*$RR$4</f>
        <v>5310.9145320000007</v>
      </c>
      <c r="RQ11" s="735">
        <v>4791.71</v>
      </c>
      <c r="RR11" s="700">
        <f t="shared" si="745"/>
        <v>0.694723418682197</v>
      </c>
      <c r="RS11" s="593">
        <f>'Proy 2021 vs 2019 Sem'!HG10*$RV$4</f>
        <v>6897.2915999999996</v>
      </c>
      <c r="RT11" s="593">
        <f>'Proy 2021 vs 2019 Sem'!HH10*$RV$4</f>
        <v>5310.9145320000007</v>
      </c>
      <c r="RU11" s="735">
        <v>4615.3500000000004</v>
      </c>
      <c r="RV11" s="700">
        <f t="shared" si="746"/>
        <v>0.66915396182466758</v>
      </c>
      <c r="RW11" s="593">
        <f>'Proy 2021 vs 2019 Sem'!HG10*$RZ$4</f>
        <v>6897.2915999999996</v>
      </c>
      <c r="RX11" s="593">
        <f>'Proy 2021 vs 2019 Sem'!HH10*$RZ$4</f>
        <v>5310.9145320000007</v>
      </c>
      <c r="RY11" s="735">
        <v>5890.79</v>
      </c>
      <c r="RZ11" s="700">
        <f t="shared" si="747"/>
        <v>0.85407292334863738</v>
      </c>
      <c r="SA11" s="593">
        <f>'Proy 2021 vs 2019 Sem'!HG10*$SD$4</f>
        <v>6897.2915999999996</v>
      </c>
      <c r="SB11" s="593">
        <f>'Proy 2021 vs 2019 Sem'!HH10*$SD$4</f>
        <v>5310.9145320000007</v>
      </c>
      <c r="SC11" s="735">
        <v>6127.16</v>
      </c>
      <c r="SD11" s="700">
        <f t="shared" si="748"/>
        <v>0.88834289679734579</v>
      </c>
      <c r="SE11" s="593">
        <f>'Proy 2021 vs 2019 Sem'!HG10*$SH$4</f>
        <v>8046.8402000000006</v>
      </c>
      <c r="SF11" s="593">
        <f>'Proy 2021 vs 2019 Sem'!HH10*$SH$4</f>
        <v>6196.0669540000008</v>
      </c>
      <c r="SG11" s="735">
        <v>5206.84</v>
      </c>
      <c r="SH11" s="700">
        <f t="shared" si="749"/>
        <v>0.64706640999283171</v>
      </c>
      <c r="SI11" s="593">
        <f>'Proy 2021 vs 2019 Sem'!HG10*$SL$4</f>
        <v>9196.3888000000006</v>
      </c>
      <c r="SJ11" s="593">
        <f>'Proy 2021 vs 2019 Sem'!HH10*$SL$4</f>
        <v>7081.2193760000009</v>
      </c>
      <c r="SK11" s="735">
        <v>8384.7999999999993</v>
      </c>
      <c r="SL11" s="700">
        <f t="shared" si="750"/>
        <v>0.91174918572385699</v>
      </c>
      <c r="SM11" s="593">
        <f>'Proy 2021 vs 2019 Sem'!HG10*$SP$4</f>
        <v>12645.034600000001</v>
      </c>
      <c r="SN11" s="593">
        <f>'Proy 2021 vs 2019 Sem'!HH10*$SP$4</f>
        <v>9736.6766420000004</v>
      </c>
      <c r="SO11" s="735">
        <v>15799.91</v>
      </c>
      <c r="SP11" s="700">
        <f t="shared" si="751"/>
        <v>1.2494951971108088</v>
      </c>
      <c r="SQ11" s="579">
        <f t="shared" si="752"/>
        <v>57477.43</v>
      </c>
      <c r="SR11" s="574">
        <f t="shared" si="753"/>
        <v>44257.621100000004</v>
      </c>
      <c r="SS11" s="730">
        <f t="shared" si="754"/>
        <v>50816.56</v>
      </c>
      <c r="ST11" s="711">
        <f t="shared" si="755"/>
        <v>0.88411329455753318</v>
      </c>
      <c r="SU11" s="593">
        <f>'Proy 2021 vs 2019 Sem'!HL10*$SX$4</f>
        <v>8358.6383999999998</v>
      </c>
      <c r="SV11" s="593">
        <f>'Proy 2021 vs 2019 Sem'!HM10*$SX$4</f>
        <v>6352.565184000001</v>
      </c>
      <c r="SW11" s="735">
        <v>4893.53</v>
      </c>
      <c r="SX11" s="700">
        <f t="shared" si="756"/>
        <v>0.5854458305075142</v>
      </c>
      <c r="SY11" s="593">
        <f>'Proy 2021 vs 2019 Sem'!HL10*$TB$4</f>
        <v>8358.6383999999998</v>
      </c>
      <c r="SZ11" s="593">
        <f>'Proy 2021 vs 2019 Sem'!HM10*$TB$4</f>
        <v>6352.565184000001</v>
      </c>
      <c r="TA11" s="735">
        <v>4997.46</v>
      </c>
      <c r="TB11" s="700">
        <f t="shared" si="757"/>
        <v>0.59787967379950302</v>
      </c>
      <c r="TC11" s="593">
        <f>'Proy 2021 vs 2019 Sem'!HL10*$TF$4</f>
        <v>8358.6383999999998</v>
      </c>
      <c r="TD11" s="593">
        <f>'Proy 2021 vs 2019 Sem'!HM10*$TF$4</f>
        <v>6352.565184000001</v>
      </c>
      <c r="TE11" s="735">
        <v>5035.6499999999996</v>
      </c>
      <c r="TF11" s="700">
        <f t="shared" si="758"/>
        <v>0.60244859976237275</v>
      </c>
      <c r="TG11" s="593">
        <f>'Proy 2021 vs 2019 Sem'!HL10*$TJ$4</f>
        <v>8358.6383999999998</v>
      </c>
      <c r="TH11" s="593">
        <f>'Proy 2021 vs 2019 Sem'!HM10*$TJ$4</f>
        <v>6352.565184000001</v>
      </c>
      <c r="TI11" s="735">
        <v>4153.3900000000003</v>
      </c>
      <c r="TJ11" s="700">
        <f t="shared" si="759"/>
        <v>0.496897915813657</v>
      </c>
      <c r="TK11" s="593">
        <f>'Proy 2021 vs 2019 Sem'!HL10*$TN$4</f>
        <v>9751.7448000000022</v>
      </c>
      <c r="TL11" s="593">
        <f>'Proy 2021 vs 2019 Sem'!HM10*$TN$4</f>
        <v>7411.3260480000017</v>
      </c>
      <c r="TM11" s="735">
        <v>5951.58</v>
      </c>
      <c r="TN11" s="700">
        <f t="shared" si="760"/>
        <v>0.61030924435184142</v>
      </c>
      <c r="TO11" s="593">
        <f>'Proy 2021 vs 2019 Sem'!HL10*$TR$4</f>
        <v>11144.851200000001</v>
      </c>
      <c r="TP11" s="611">
        <f>'Proy 2021 vs 2019 Sem'!HM10*$TR$4</f>
        <v>8470.0869120000007</v>
      </c>
      <c r="TQ11" s="735">
        <v>6555.34</v>
      </c>
      <c r="TR11" s="700">
        <f t="shared" si="761"/>
        <v>0.58819448392455875</v>
      </c>
      <c r="TS11" s="593">
        <f>'Proy 2021 vs 2019 Sem'!HL10*$TV$4</f>
        <v>15324.170400000001</v>
      </c>
      <c r="TT11" s="593">
        <f>'Proy 2021 vs 2019 Sem'!HM10*$TV$4</f>
        <v>11646.369504000002</v>
      </c>
      <c r="TU11" s="735">
        <v>14862.61</v>
      </c>
      <c r="TV11" s="700">
        <f t="shared" si="762"/>
        <v>0.96988023573530613</v>
      </c>
      <c r="TW11" s="579">
        <f t="shared" si="763"/>
        <v>69655.320000000007</v>
      </c>
      <c r="TX11" s="574">
        <f t="shared" si="764"/>
        <v>52938.043200000007</v>
      </c>
      <c r="TY11" s="710">
        <f t="shared" si="765"/>
        <v>46449.56</v>
      </c>
      <c r="TZ11" s="711">
        <f t="shared" si="766"/>
        <v>0.66684870588492007</v>
      </c>
      <c r="UA11" s="593">
        <v>5283.53</v>
      </c>
      <c r="UB11" s="593">
        <f>'Proy 2021 vs 2019 Sem'!HR10*$UD$4</f>
        <v>6278.972256</v>
      </c>
      <c r="UC11" s="735">
        <v>5969.68</v>
      </c>
      <c r="UD11" s="700">
        <f t="shared" si="767"/>
        <v>1.1298658283382512</v>
      </c>
      <c r="UE11" s="593">
        <v>7595.87</v>
      </c>
      <c r="UF11" s="593">
        <f>'Proy 2021 vs 2019 Sem'!HR10*$UH$4</f>
        <v>6278.972256</v>
      </c>
      <c r="UG11" s="735">
        <v>5918.64</v>
      </c>
      <c r="UH11" s="700">
        <f t="shared" si="768"/>
        <v>0.77919185030812799</v>
      </c>
      <c r="UI11" s="593">
        <v>8839.86</v>
      </c>
      <c r="UJ11" s="593">
        <f>'Proy 2021 vs 2019 Sem'!HR10*$UL$4</f>
        <v>6278.972256</v>
      </c>
      <c r="UK11" s="735">
        <v>5792.59</v>
      </c>
      <c r="UL11" s="700">
        <f t="shared" si="769"/>
        <v>0.65528073974022205</v>
      </c>
      <c r="UM11" s="593">
        <v>8614.99</v>
      </c>
      <c r="UN11" s="593">
        <f>'Proy 2021 vs 2019 Sem'!HR10*$UP$4</f>
        <v>6278.972256</v>
      </c>
      <c r="UO11" s="735">
        <v>6193.77</v>
      </c>
      <c r="UP11" s="700">
        <f t="shared" si="770"/>
        <v>0.71895266274249892</v>
      </c>
      <c r="UQ11" s="593">
        <v>6720.7</v>
      </c>
      <c r="UR11" s="593">
        <f>'Proy 2021 vs 2019 Sem'!HR10*$UT$4</f>
        <v>7325.4676320000017</v>
      </c>
      <c r="US11" s="735">
        <v>6902.7</v>
      </c>
      <c r="UT11" s="700">
        <f t="shared" si="771"/>
        <v>1.0270805124466202</v>
      </c>
      <c r="UU11" s="593">
        <v>12755.52</v>
      </c>
      <c r="UV11" s="593">
        <f>'Proy 2021 vs 2019 Sem'!HR10*$UX$4</f>
        <v>8371.9630080000006</v>
      </c>
      <c r="UW11" s="735">
        <v>6213.64</v>
      </c>
      <c r="UX11" s="700">
        <f t="shared" si="772"/>
        <v>0.48713341361230278</v>
      </c>
      <c r="UY11" s="593">
        <v>19037.91</v>
      </c>
      <c r="UZ11" s="593">
        <f>'Proy 2021 vs 2019 Sem'!HR10*$VB$4</f>
        <v>11511.449136000001</v>
      </c>
      <c r="VA11" s="735">
        <v>14325.25</v>
      </c>
      <c r="VB11" s="700">
        <f t="shared" si="773"/>
        <v>0.75245917225157599</v>
      </c>
      <c r="VC11" s="577">
        <f>UA11+UE11+UI11+UM11+UQ11+UU11+UY11</f>
        <v>68848.38</v>
      </c>
      <c r="VD11" s="574">
        <f t="shared" si="774"/>
        <v>52324.768800000005</v>
      </c>
      <c r="VE11" s="710">
        <f t="shared" si="775"/>
        <v>51316.270000000004</v>
      </c>
      <c r="VF11" s="1532">
        <f t="shared" si="776"/>
        <v>0.74535188772778682</v>
      </c>
      <c r="VG11" s="593">
        <v>5699.48</v>
      </c>
      <c r="VH11" s="593">
        <f>'Proy 2021 vs 2019 Sem'!IA10*$VJ$4</f>
        <v>5811.6383999999998</v>
      </c>
      <c r="VI11" s="735">
        <v>2849.11</v>
      </c>
      <c r="VJ11" s="700">
        <f t="shared" si="777"/>
        <v>0.49988946360018816</v>
      </c>
      <c r="VK11" s="593">
        <v>6264.9</v>
      </c>
      <c r="VL11" s="593">
        <f>'Proy 2021 vs 2019 Sem'!IA10*$VN$4</f>
        <v>5811.6383999999998</v>
      </c>
      <c r="VM11" s="735">
        <v>5822.35</v>
      </c>
      <c r="VN11" s="700">
        <f t="shared" si="778"/>
        <v>0.92936040479496895</v>
      </c>
      <c r="VO11" s="593">
        <v>8767.5</v>
      </c>
      <c r="VP11" s="593">
        <f>'Proy 2021 vs 2019 Sem'!IA10*$VR$4</f>
        <v>5811.6383999999998</v>
      </c>
      <c r="VQ11" s="735">
        <v>4227.3500000000004</v>
      </c>
      <c r="VR11" s="700">
        <f t="shared" si="779"/>
        <v>0.48216139150270892</v>
      </c>
      <c r="VS11" s="593">
        <v>7572.05</v>
      </c>
      <c r="VT11" s="593">
        <f>'Proy 2021 vs 2019 Sem'!IA10*$VV$4</f>
        <v>5811.6383999999998</v>
      </c>
      <c r="VU11" s="735">
        <v>3915.73</v>
      </c>
      <c r="VV11" s="700">
        <f t="shared" si="780"/>
        <v>0.5171294431494774</v>
      </c>
      <c r="VW11" s="593">
        <v>7186.57</v>
      </c>
      <c r="VX11" s="593">
        <f>'Proy 2021 vs 2019 Sem'!IA10*$VZ$4</f>
        <v>6780.2448000000004</v>
      </c>
      <c r="VY11" s="735">
        <v>5976.72</v>
      </c>
      <c r="VZ11" s="700">
        <f t="shared" si="781"/>
        <v>0.8316512606152866</v>
      </c>
      <c r="WA11" s="593">
        <v>8547.0300000000007</v>
      </c>
      <c r="WB11" s="593">
        <f>'Proy 2021 vs 2019 Sem'!IA10*$WD$4</f>
        <v>7748.8512000000001</v>
      </c>
      <c r="WC11" s="735">
        <v>9418.57</v>
      </c>
      <c r="WD11" s="700">
        <f t="shared" si="782"/>
        <v>1.1019699240554905</v>
      </c>
      <c r="WE11" s="593">
        <v>19848.259999999998</v>
      </c>
      <c r="WF11" s="593">
        <f>'Proy 2021 vs 2019 Sem'!IA10*$WH$4</f>
        <v>10654.670400000001</v>
      </c>
      <c r="WG11" s="735">
        <v>14141.76</v>
      </c>
      <c r="WH11" s="1538">
        <f t="shared" si="783"/>
        <v>0.71249368962317106</v>
      </c>
      <c r="WI11" s="574">
        <f t="shared" si="784"/>
        <v>28303.929999999997</v>
      </c>
      <c r="WJ11" s="575">
        <f t="shared" si="785"/>
        <v>48430.32</v>
      </c>
      <c r="WK11" s="793">
        <f t="shared" si="786"/>
        <v>46351.590000000004</v>
      </c>
      <c r="WL11" s="786">
        <f t="shared" si="787"/>
        <v>1.6376379534573471</v>
      </c>
      <c r="WM11" s="593">
        <v>4980</v>
      </c>
      <c r="WN11" s="593">
        <f>'Proy 2021 vs 2019 Sem'!IF10*$WP$4</f>
        <v>8045.3363760000002</v>
      </c>
      <c r="WO11" s="735">
        <v>5734.08</v>
      </c>
      <c r="WP11" s="700">
        <f t="shared" si="788"/>
        <v>1.151421686746988</v>
      </c>
      <c r="WQ11" s="593">
        <v>8039.46</v>
      </c>
      <c r="WR11" s="593">
        <f>'Proy 2021 vs 2019 Sem'!IF10*$WT$4</f>
        <v>8045.3363760000002</v>
      </c>
      <c r="WS11" s="735">
        <v>7574.3</v>
      </c>
      <c r="WT11" s="700">
        <f t="shared" si="789"/>
        <v>0.94214039251392512</v>
      </c>
      <c r="WU11" s="593">
        <v>9465.4500000000007</v>
      </c>
      <c r="WV11" s="593">
        <f>'Proy 2021 vs 2019 Sem'!IF10*$WX$4</f>
        <v>8045.3363760000002</v>
      </c>
      <c r="WW11" s="735">
        <v>5670.45</v>
      </c>
      <c r="WX11" s="700">
        <f t="shared" si="790"/>
        <v>0.59906819010189682</v>
      </c>
      <c r="WY11" s="593">
        <v>9570.89</v>
      </c>
      <c r="WZ11" s="593">
        <f>'Proy 2021 vs 2019 Sem'!IF10*$XB$4</f>
        <v>8045.3363760000002</v>
      </c>
      <c r="XA11" s="735">
        <v>7273.67</v>
      </c>
      <c r="XB11" s="700">
        <f t="shared" si="791"/>
        <v>0.75997843460743986</v>
      </c>
      <c r="XC11" s="593">
        <v>8646.23</v>
      </c>
      <c r="XD11" s="1547">
        <f>'Proy 2021 vs 2019 Sem'!IF10*$XF$4</f>
        <v>9386.2257720000016</v>
      </c>
      <c r="XE11" s="735">
        <v>7586.13</v>
      </c>
      <c r="XF11" s="700">
        <f t="shared" si="792"/>
        <v>0.87739164930842695</v>
      </c>
      <c r="XG11" s="593">
        <v>21276.07</v>
      </c>
      <c r="XH11" s="593">
        <f>'Proy 2021 vs 2019 Sem'!IF10*$XJ$4</f>
        <v>10727.115168000002</v>
      </c>
      <c r="XI11" s="735">
        <v>9902.6299999999992</v>
      </c>
      <c r="XJ11" s="700">
        <f t="shared" si="793"/>
        <v>0.46543511090159034</v>
      </c>
      <c r="XK11" s="593">
        <v>19357.14</v>
      </c>
      <c r="XL11" s="593">
        <f>'Proy 2021 vs 2019 Sem'!IF10*$XN$4</f>
        <v>14749.783356000002</v>
      </c>
      <c r="XM11" s="735">
        <v>16055.43</v>
      </c>
      <c r="XN11" s="700">
        <f t="shared" si="794"/>
        <v>0.82943193054345843</v>
      </c>
      <c r="XO11" s="579">
        <f t="shared" si="795"/>
        <v>81335.239999999991</v>
      </c>
      <c r="XP11" s="574">
        <f t="shared" si="796"/>
        <v>67044.469800000006</v>
      </c>
      <c r="XQ11" s="794">
        <f t="shared" si="797"/>
        <v>59796.689999999995</v>
      </c>
      <c r="XR11" s="786">
        <f t="shared" si="798"/>
        <v>0.73518797018364979</v>
      </c>
      <c r="XS11" s="593">
        <v>5357.37</v>
      </c>
      <c r="XT11" s="593">
        <f>'Proy 2021 vs 2019 Sem'!IK10*$XV$4</f>
        <v>7420.3497600000001</v>
      </c>
      <c r="XU11" s="735">
        <v>5128.7</v>
      </c>
      <c r="XV11" s="700">
        <f t="shared" si="799"/>
        <v>0.95731674310342574</v>
      </c>
      <c r="XW11" s="593">
        <v>9412.02</v>
      </c>
      <c r="XX11" s="593">
        <f>'Proy 2021 vs 2019 Sem'!IK10*$XZ$4</f>
        <v>7420.3497600000001</v>
      </c>
      <c r="XY11" s="735">
        <v>5536.88</v>
      </c>
      <c r="XZ11" s="700">
        <f t="shared" si="800"/>
        <v>0.58827754297164692</v>
      </c>
      <c r="YA11" s="593">
        <v>9099.7999999999993</v>
      </c>
      <c r="YB11" s="593">
        <f>'Proy 2021 vs 2019 Sem'!IK10*$YD$4</f>
        <v>7420.3497600000001</v>
      </c>
      <c r="YC11" s="735">
        <v>5010.74</v>
      </c>
      <c r="YD11" s="700">
        <f t="shared" si="801"/>
        <v>0.55064287127189615</v>
      </c>
      <c r="YE11" s="593">
        <v>11603.34</v>
      </c>
      <c r="YF11" s="593">
        <f>'Proy 2021 vs 2019 Sem'!IK10*$YH$4</f>
        <v>7420.3497600000001</v>
      </c>
      <c r="YG11" s="735">
        <v>5740.04</v>
      </c>
      <c r="YH11" s="700">
        <f t="shared" si="802"/>
        <v>0.49468859828290818</v>
      </c>
      <c r="YI11" s="593">
        <v>8738.56</v>
      </c>
      <c r="YJ11" s="593">
        <f>'Proy 2021 vs 2019 Sem'!IK10*$YL$4</f>
        <v>8657.0747200000005</v>
      </c>
      <c r="YK11" s="735">
        <v>5790.13</v>
      </c>
      <c r="YL11" s="700">
        <f t="shared" si="803"/>
        <v>0.66259543906547536</v>
      </c>
      <c r="YM11" s="593">
        <v>12042.73</v>
      </c>
      <c r="YN11" s="593">
        <f>'Proy 2021 vs 2019 Sem'!IK10*$YP$4</f>
        <v>9893.7996800000001</v>
      </c>
      <c r="YO11" s="735">
        <v>8856.56</v>
      </c>
      <c r="YP11" s="700">
        <f t="shared" si="804"/>
        <v>0.73542793037791265</v>
      </c>
      <c r="YQ11" s="593">
        <v>20937.580000000002</v>
      </c>
      <c r="YR11" s="593">
        <f>'Proy 2021 vs 2019 Sem'!IK10*$YT$4</f>
        <v>13603.974560000001</v>
      </c>
      <c r="YS11" s="735">
        <v>18745</v>
      </c>
      <c r="YT11" s="700">
        <f t="shared" si="805"/>
        <v>0.89528016131759247</v>
      </c>
      <c r="YU11" s="579">
        <f t="shared" si="806"/>
        <v>77191.399999999994</v>
      </c>
      <c r="YV11" s="574">
        <f t="shared" si="807"/>
        <v>61836.248000000007</v>
      </c>
      <c r="YW11" s="794">
        <f t="shared" si="808"/>
        <v>54808.05</v>
      </c>
      <c r="YX11" s="786">
        <f t="shared" si="809"/>
        <v>0.71002793057257685</v>
      </c>
      <c r="YY11" s="593">
        <v>7298.49</v>
      </c>
      <c r="YZ11" s="593">
        <f>'Proy 2021 vs 2019 Sem'!IP10*$ZB$4</f>
        <v>10992.578099999999</v>
      </c>
      <c r="ZA11" s="735">
        <v>5570.11</v>
      </c>
      <c r="ZB11" s="700">
        <f t="shared" si="810"/>
        <v>0.76318663175533563</v>
      </c>
      <c r="ZC11" s="593">
        <v>12753.1</v>
      </c>
      <c r="ZD11" s="593">
        <f>'Proy 2021 vs 2019 Sem'!IP10*$ZF$4</f>
        <v>10992.578099999999</v>
      </c>
      <c r="ZE11" s="735">
        <v>8388.7900000000009</v>
      </c>
      <c r="ZF11" s="700">
        <f t="shared" si="811"/>
        <v>0.65778438183657317</v>
      </c>
      <c r="ZG11" s="593">
        <v>15920.37</v>
      </c>
      <c r="ZH11" s="593">
        <f>'Proy 2021 vs 2019 Sem'!IP10*$ZJ$4</f>
        <v>10992.578099999999</v>
      </c>
      <c r="ZI11" s="735">
        <v>9991.65</v>
      </c>
      <c r="ZJ11" s="700">
        <f t="shared" si="812"/>
        <v>0.62760161981159979</v>
      </c>
      <c r="ZK11" s="593">
        <v>20171.169999999998</v>
      </c>
      <c r="ZL11" s="593">
        <f>'Proy 2021 vs 2019 Sem'!IP10*$ZN$4</f>
        <v>10992.578099999999</v>
      </c>
      <c r="ZM11" s="735">
        <v>12106.65</v>
      </c>
      <c r="ZN11" s="700">
        <f t="shared" si="813"/>
        <v>0.60019572488854145</v>
      </c>
      <c r="ZO11" s="593">
        <v>23457.21</v>
      </c>
      <c r="ZP11" s="593">
        <f>'Proy 2021 vs 2019 Sem'!IP10*$ZR$4</f>
        <v>12824.67445</v>
      </c>
      <c r="ZQ11" s="735">
        <v>14785.81</v>
      </c>
      <c r="ZR11" s="700">
        <f t="shared" si="814"/>
        <v>0.63033114338832286</v>
      </c>
      <c r="ZS11" s="593">
        <v>14092.67</v>
      </c>
      <c r="ZT11" s="593">
        <f>'Proy 2021 vs 2019 Sem'!IP10*$ZV$4</f>
        <v>14656.770799999998</v>
      </c>
      <c r="ZU11" s="735">
        <v>21101.69</v>
      </c>
      <c r="ZV11" s="700">
        <f t="shared" si="815"/>
        <v>1.4973521696030629</v>
      </c>
      <c r="ZW11" s="593">
        <v>14773.05</v>
      </c>
      <c r="ZX11" s="593">
        <f>'Proy 2021 vs 2019 Sem'!IP10*$ZZ$4</f>
        <v>20153.059849999998</v>
      </c>
      <c r="ZY11" s="735">
        <v>32413.99</v>
      </c>
      <c r="ZZ11" s="700">
        <f t="shared" si="816"/>
        <v>2.1941298513170944</v>
      </c>
      <c r="AAA11" s="579">
        <f t="shared" si="817"/>
        <v>108466.06</v>
      </c>
      <c r="AAB11" s="574">
        <f t="shared" si="818"/>
        <v>91604.817499999976</v>
      </c>
      <c r="AAC11" s="785">
        <f t="shared" si="819"/>
        <v>104358.69</v>
      </c>
      <c r="AAD11" s="786">
        <f t="shared" si="820"/>
        <v>0.96213220983596159</v>
      </c>
      <c r="AAE11" s="593">
        <v>7893.98</v>
      </c>
      <c r="AAF11" s="593">
        <f>'Proy 2021 vs 2019 Sem'!IY10*$AAH$4</f>
        <v>8331.3139079999983</v>
      </c>
      <c r="AAG11" s="735">
        <v>14447.45</v>
      </c>
      <c r="AAH11" s="700">
        <f t="shared" si="821"/>
        <v>1.8301857871441278</v>
      </c>
      <c r="AAI11" s="593">
        <v>7617.35</v>
      </c>
      <c r="AAJ11" s="593">
        <f>'Proy 2021 vs 2019 Sem'!IY10*$AAL$4</f>
        <v>8331.3139079999983</v>
      </c>
      <c r="AAK11" s="735">
        <v>11288.25</v>
      </c>
      <c r="AAL11" s="700">
        <f t="shared" si="822"/>
        <v>1.4819130012405888</v>
      </c>
      <c r="AAM11" s="593">
        <v>15927.68</v>
      </c>
      <c r="AAN11" s="593">
        <f>'Proy 2021 vs 2019 Sem'!IY10*$AAP$4</f>
        <v>8331.3139079999983</v>
      </c>
      <c r="AAO11" s="735">
        <v>8516.31</v>
      </c>
      <c r="AAP11" s="700">
        <f t="shared" si="823"/>
        <v>0.5346861564270502</v>
      </c>
      <c r="AAQ11" s="593">
        <v>9381.02</v>
      </c>
      <c r="AAR11" s="593">
        <f>'Proy 2021 vs 2019 Sem'!IY10*$AAT$4</f>
        <v>8331.3139079999983</v>
      </c>
      <c r="AAS11" s="735">
        <v>5765.46</v>
      </c>
      <c r="AAT11" s="700">
        <f t="shared" si="824"/>
        <v>0.61458775271772148</v>
      </c>
      <c r="AAU11" s="593">
        <v>9082.25</v>
      </c>
      <c r="AAV11" s="593">
        <f>'Proy 2021 vs 2019 Sem'!IY10*$AAX$4</f>
        <v>9719.8662260000001</v>
      </c>
      <c r="AAW11" s="735">
        <v>4699.7299999999996</v>
      </c>
      <c r="AAX11" s="700">
        <f t="shared" si="825"/>
        <v>0.51746318368245747</v>
      </c>
      <c r="AAY11" s="593">
        <v>11330.08</v>
      </c>
      <c r="AAZ11" s="593">
        <f>'Proy 2021 vs 2019 Sem'!IY10*$ABB$4</f>
        <v>11108.418543999998</v>
      </c>
      <c r="ABA11" s="735">
        <v>6531.12</v>
      </c>
      <c r="ABB11" s="700">
        <f t="shared" si="826"/>
        <v>0.57644076652592036</v>
      </c>
      <c r="ABC11" s="593">
        <v>21817.63</v>
      </c>
      <c r="ABD11" s="593">
        <f>'Proy 2021 vs 2019 Sem'!IY10*$ABF$4</f>
        <v>15274.075497999998</v>
      </c>
      <c r="ABE11" s="735">
        <v>14842.35</v>
      </c>
      <c r="ABF11" s="700">
        <f t="shared" si="827"/>
        <v>0.68029158070789542</v>
      </c>
      <c r="ABG11" s="579">
        <f t="shared" si="828"/>
        <v>83049.990000000005</v>
      </c>
      <c r="ABH11" s="574">
        <f t="shared" si="829"/>
        <v>69427.61589999999</v>
      </c>
      <c r="ABI11" s="759">
        <f t="shared" si="830"/>
        <v>66090.67</v>
      </c>
      <c r="ABJ11" s="761">
        <f t="shared" si="831"/>
        <v>0.79579383453267116</v>
      </c>
      <c r="ABK11" s="593">
        <v>6932.78</v>
      </c>
      <c r="ABL11" s="593">
        <f>'Proy 2021 vs 2019 Sem'!JD10*$ABN$4</f>
        <v>9345.8291520000002</v>
      </c>
      <c r="ABM11" s="735">
        <v>5815.55</v>
      </c>
      <c r="ABN11" s="700">
        <f t="shared" si="832"/>
        <v>0.8388481965387623</v>
      </c>
      <c r="ABO11" s="593">
        <v>10982.87</v>
      </c>
      <c r="ABP11" s="593">
        <f>'Proy 2021 vs 2019 Sem'!JD10*$ABR$4</f>
        <v>9345.8291520000002</v>
      </c>
      <c r="ABQ11" s="735">
        <v>6662.03</v>
      </c>
      <c r="ABR11" s="700">
        <f t="shared" si="833"/>
        <v>0.60658370717307941</v>
      </c>
      <c r="ABS11" s="593">
        <v>10388.66</v>
      </c>
      <c r="ABT11" s="593">
        <f>'Proy 2021 vs 2019 Sem'!JD10*$ABV$4</f>
        <v>9345.8291520000002</v>
      </c>
      <c r="ABU11" s="735">
        <v>4299.8999999999996</v>
      </c>
      <c r="ABV11" s="700">
        <f t="shared" si="834"/>
        <v>0.41390323679858609</v>
      </c>
      <c r="ABW11" s="593">
        <v>11771.46</v>
      </c>
      <c r="ABX11" s="593">
        <f>'Proy 2021 vs 2019 Sem'!JD10*$ABZ$4</f>
        <v>9345.8291520000002</v>
      </c>
      <c r="ABY11" s="735">
        <v>6689.23</v>
      </c>
      <c r="ABZ11" s="700">
        <f t="shared" si="835"/>
        <v>0.56825831290256268</v>
      </c>
      <c r="ACA11" s="593">
        <v>13619.22</v>
      </c>
      <c r="ACB11" s="593">
        <f>'Proy 2021 vs 2019 Sem'!JD10*$ACD$4</f>
        <v>10903.467344000001</v>
      </c>
      <c r="ACC11" s="735">
        <v>6871.54</v>
      </c>
      <c r="ACD11" s="700">
        <f t="shared" si="836"/>
        <v>0.50454725013620461</v>
      </c>
      <c r="ACE11" s="593">
        <v>12334.36</v>
      </c>
      <c r="ACF11" s="593">
        <f>'Proy 2021 vs 2019 Sem'!JD10*$ACH$4</f>
        <v>12461.105536000001</v>
      </c>
      <c r="ACG11" s="735">
        <v>8371.09</v>
      </c>
      <c r="ACH11" s="700">
        <f t="shared" si="837"/>
        <v>0.67868053145846241</v>
      </c>
      <c r="ACI11" s="593">
        <v>24168.19</v>
      </c>
      <c r="ACJ11" s="593">
        <f>'Proy 2021 vs 2019 Sem'!JD10*$ACL$4</f>
        <v>17134.020111999998</v>
      </c>
      <c r="ACK11" s="735">
        <v>17008.78</v>
      </c>
      <c r="ACL11" s="700">
        <f t="shared" si="838"/>
        <v>0.70376722460391117</v>
      </c>
      <c r="ACM11" s="579">
        <f t="shared" si="839"/>
        <v>90197.540000000008</v>
      </c>
      <c r="ACN11" s="574">
        <f t="shared" si="840"/>
        <v>77881.909599999999</v>
      </c>
      <c r="ACO11" s="765">
        <f t="shared" si="841"/>
        <v>55718.119999999995</v>
      </c>
      <c r="ACP11" s="761">
        <f t="shared" si="842"/>
        <v>0.61773436393054615</v>
      </c>
      <c r="ACQ11" s="593">
        <v>9100.2900000000009</v>
      </c>
      <c r="ACR11" s="593">
        <f>'Proy 2021 vs 2019 Sem'!JI10*$ACT$4</f>
        <v>12269.974320000001</v>
      </c>
      <c r="ACS11" s="735">
        <v>5393.87</v>
      </c>
      <c r="ACT11" s="700">
        <f t="shared" si="843"/>
        <v>0.59271407834255829</v>
      </c>
      <c r="ACU11" s="593">
        <v>20317.990000000002</v>
      </c>
      <c r="ACV11" s="593">
        <f>'Proy 2021 vs 2019 Sem'!JI10*$ACX$4</f>
        <v>12269.974320000001</v>
      </c>
      <c r="ACW11" s="735">
        <v>12216.84</v>
      </c>
      <c r="ACX11" s="700">
        <f t="shared" si="844"/>
        <v>0.60128191814249343</v>
      </c>
      <c r="ACY11" s="593">
        <v>13305.78</v>
      </c>
      <c r="ACZ11" s="593">
        <f>'Proy 2021 vs 2019 Sem'!JI10*$ADB$4</f>
        <v>12269.974320000001</v>
      </c>
      <c r="ADA11" s="735">
        <v>8878.7800000000007</v>
      </c>
      <c r="ADB11" s="700">
        <f t="shared" si="845"/>
        <v>0.66728744951442154</v>
      </c>
      <c r="ADC11" s="593">
        <v>12447.4</v>
      </c>
      <c r="ADD11" s="593">
        <f>'Proy 2021 vs 2019 Sem'!JI10*$ADF$4</f>
        <v>12269.974320000001</v>
      </c>
      <c r="ADE11" s="735">
        <v>7622.68</v>
      </c>
      <c r="ADF11" s="700">
        <f t="shared" si="846"/>
        <v>0.61239134277037777</v>
      </c>
      <c r="ADG11" s="593">
        <v>15238.99</v>
      </c>
      <c r="ADH11" s="593">
        <f>'Proy 2021 vs 2019 Sem'!JI10*$ADJ$4</f>
        <v>14314.970040000002</v>
      </c>
      <c r="ADI11" s="735">
        <v>5692.36</v>
      </c>
      <c r="ADJ11" s="700">
        <f t="shared" si="847"/>
        <v>0.37353919124561402</v>
      </c>
      <c r="ADK11" s="593">
        <v>21542.37</v>
      </c>
      <c r="ADL11" s="593">
        <f>'Proy 2021 vs 2019 Sem'!JI10*$ADN$4</f>
        <v>16359.965760000001</v>
      </c>
      <c r="ADM11" s="735">
        <v>7436.08</v>
      </c>
      <c r="ADN11" s="700">
        <f t="shared" si="848"/>
        <v>0.34518393287275262</v>
      </c>
      <c r="ADO11" s="593">
        <v>23572.73</v>
      </c>
      <c r="ADP11" s="593">
        <f>'Proy 2021 vs 2019 Sem'!JI10*$ADR$4</f>
        <v>22494.952920000003</v>
      </c>
      <c r="ADQ11" s="735">
        <v>16615.009999999998</v>
      </c>
      <c r="ADR11" s="700">
        <f t="shared" si="849"/>
        <v>0.70484029639333245</v>
      </c>
      <c r="ADS11" s="579">
        <f t="shared" si="850"/>
        <v>115525.55</v>
      </c>
      <c r="ADT11" s="574">
        <f t="shared" si="851"/>
        <v>102249.78600000002</v>
      </c>
      <c r="ADU11" s="765">
        <f t="shared" si="852"/>
        <v>63855.619999999995</v>
      </c>
      <c r="ADV11" s="761">
        <f t="shared" si="853"/>
        <v>0.55274023798198746</v>
      </c>
      <c r="ADW11" s="593">
        <v>9165</v>
      </c>
      <c r="ADX11" s="593">
        <f>'Proy 2021 vs 2019 Sem'!JN10*$ADZ$4</f>
        <v>9247.4935800000003</v>
      </c>
      <c r="ADY11" s="735">
        <v>8401.17</v>
      </c>
      <c r="ADZ11" s="700">
        <f t="shared" si="854"/>
        <v>0.91665793780687399</v>
      </c>
      <c r="AEA11" s="593">
        <v>12298.49</v>
      </c>
      <c r="AEB11" s="593">
        <f>'Proy 2021 vs 2019 Sem'!JN10*$AED$4</f>
        <v>9247.4935800000003</v>
      </c>
      <c r="AEC11" s="735">
        <v>8508</v>
      </c>
      <c r="AED11" s="700">
        <f t="shared" si="855"/>
        <v>0.69179224441374509</v>
      </c>
      <c r="AEE11" s="593">
        <v>12645.25</v>
      </c>
      <c r="AEF11" s="593">
        <f>'Proy 2021 vs 2019 Sem'!JN10*$AEH$4</f>
        <v>9247.4935800000003</v>
      </c>
      <c r="AEG11" s="735">
        <v>9339</v>
      </c>
      <c r="AEH11" s="700">
        <f t="shared" si="856"/>
        <v>0.73853818627547896</v>
      </c>
      <c r="AEI11" s="593">
        <v>8892.27</v>
      </c>
      <c r="AEJ11" s="593">
        <f>'Proy 2021 vs 2019 Sem'!JN10*$AEL$4</f>
        <v>9247.4935800000003</v>
      </c>
      <c r="AEK11" s="735">
        <v>13265</v>
      </c>
      <c r="AEL11" s="700">
        <f t="shared" si="857"/>
        <v>1.4917450774661587</v>
      </c>
      <c r="AEM11" s="593">
        <v>17679.47</v>
      </c>
      <c r="AEN11" s="593">
        <f>'Proy 2021 vs 2019 Sem'!JN10*$AEP$4</f>
        <v>10788.742510000002</v>
      </c>
      <c r="AEO11" s="735">
        <v>13722</v>
      </c>
      <c r="AEP11" s="700">
        <f t="shared" si="858"/>
        <v>0.77615448879406446</v>
      </c>
      <c r="AEQ11" s="593">
        <v>19885.599999999999</v>
      </c>
      <c r="AER11" s="593">
        <f>'Proy 2021 vs 2019 Sem'!JN10*$AET$4</f>
        <v>12329.991440000002</v>
      </c>
      <c r="AES11" s="735">
        <v>8121</v>
      </c>
      <c r="AET11" s="700">
        <f t="shared" si="859"/>
        <v>0.40838596773544678</v>
      </c>
      <c r="AEU11" s="593">
        <v>33897.67</v>
      </c>
      <c r="AEV11" s="593">
        <f>'Proy 2021 vs 2019 Sem'!JN10*$AEX$4</f>
        <v>16953.738230000003</v>
      </c>
      <c r="AEW11" s="735">
        <v>22637</v>
      </c>
      <c r="AEX11" s="700">
        <f t="shared" si="860"/>
        <v>0.66780401130815192</v>
      </c>
      <c r="AEY11" s="579">
        <f t="shared" si="861"/>
        <v>114463.74999999999</v>
      </c>
      <c r="AEZ11" s="574">
        <f t="shared" si="862"/>
        <v>77062.446500000005</v>
      </c>
      <c r="AFA11" s="770">
        <f t="shared" si="863"/>
        <v>83993.17</v>
      </c>
      <c r="AFB11" s="761">
        <f t="shared" si="864"/>
        <v>0.73379711917528478</v>
      </c>
      <c r="AFC11" s="593">
        <v>12609.91</v>
      </c>
      <c r="AFD11" s="593">
        <f>'Proy 2021 vs 2019 Sem'!JX10*$AFF$4</f>
        <v>11714.51736</v>
      </c>
      <c r="AFE11" s="735">
        <v>9181</v>
      </c>
      <c r="AFF11" s="700">
        <f t="shared" si="865"/>
        <v>0.72807815440395685</v>
      </c>
      <c r="AFG11" s="593">
        <v>21083.41</v>
      </c>
      <c r="AFH11" s="593">
        <f>'Proy 2021 vs 2019 Sem'!JX10*$AFJ$4</f>
        <v>11714.51736</v>
      </c>
      <c r="AFI11" s="735">
        <v>12620.95</v>
      </c>
      <c r="AFJ11" s="700">
        <f t="shared" si="866"/>
        <v>0.59861995758750608</v>
      </c>
      <c r="AFK11" s="593">
        <v>17440.59</v>
      </c>
      <c r="AFL11" s="593">
        <f>'Proy 2021 vs 2019 Sem'!JX10*$AFN$4</f>
        <v>11714.51736</v>
      </c>
      <c r="AFM11" s="735">
        <v>10309.219999999999</v>
      </c>
      <c r="AFN11" s="700">
        <f t="shared" si="867"/>
        <v>0.59110500275506728</v>
      </c>
      <c r="AFO11" s="593">
        <v>17028.259999999998</v>
      </c>
      <c r="AFP11" s="593">
        <f>'Proy 2021 vs 2019 Sem'!JX10*$AFR$4</f>
        <v>11714.51736</v>
      </c>
      <c r="AFQ11" s="735">
        <v>17778.21</v>
      </c>
      <c r="AFR11" s="700">
        <f t="shared" si="868"/>
        <v>1.0440414933763051</v>
      </c>
      <c r="AFS11" s="593">
        <v>19574.68</v>
      </c>
      <c r="AFT11" s="593">
        <f>'Proy 2021 vs 2019 Sem'!JX10*$AFV$4</f>
        <v>13666.936920000002</v>
      </c>
      <c r="AFU11" s="735">
        <v>16126.39</v>
      </c>
      <c r="AFV11" s="700">
        <f t="shared" si="869"/>
        <v>0.82383926582707856</v>
      </c>
      <c r="AFW11" s="593">
        <v>24184.93</v>
      </c>
      <c r="AFX11" s="593">
        <f>'Proy 2021 vs 2019 Sem'!JX10*$AFZ$4</f>
        <v>15619.35648</v>
      </c>
      <c r="AFY11" s="735">
        <v>15773.79</v>
      </c>
      <c r="AFZ11" s="700">
        <f t="shared" si="870"/>
        <v>0.65221565660930181</v>
      </c>
      <c r="AGA11" s="593">
        <v>36162.81</v>
      </c>
      <c r="AGB11" s="593">
        <f>'Proy 2021 vs 2019 Sem'!JX10*$AGD$4</f>
        <v>21476.615160000001</v>
      </c>
      <c r="AGC11" s="735">
        <v>30195.89</v>
      </c>
      <c r="AGD11" s="700">
        <f t="shared" si="871"/>
        <v>0.83499844176932048</v>
      </c>
      <c r="AGE11" s="579">
        <f t="shared" si="872"/>
        <v>148084.59</v>
      </c>
      <c r="AGF11" s="574">
        <f t="shared" si="873"/>
        <v>97620.978000000003</v>
      </c>
      <c r="AGG11" s="729">
        <f t="shared" si="874"/>
        <v>111985.45</v>
      </c>
      <c r="AGH11" s="711">
        <f t="shared" si="875"/>
        <v>0.75622622178310384</v>
      </c>
      <c r="AGI11" s="593">
        <v>15897.26</v>
      </c>
      <c r="AGJ11" s="593">
        <f>'Proy 2021 vs 2019 Sem'!KC10*$AGL$4</f>
        <v>13593.310380000001</v>
      </c>
      <c r="AGK11" s="735">
        <v>9483.9</v>
      </c>
      <c r="AGL11" s="700">
        <f t="shared" si="876"/>
        <v>0.59657450403402845</v>
      </c>
      <c r="AGM11" s="593">
        <v>13167.78</v>
      </c>
      <c r="AGN11" s="593">
        <f>'Proy 2021 vs 2019 Sem'!KC10*$AGP$4</f>
        <v>13593.310380000001</v>
      </c>
      <c r="AGO11" s="735">
        <v>12144.03</v>
      </c>
      <c r="AGP11" s="700">
        <f t="shared" si="877"/>
        <v>0.92225340945854195</v>
      </c>
      <c r="AGQ11" s="593">
        <v>24155.51</v>
      </c>
      <c r="AGR11" s="593">
        <f>'Proy 2021 vs 2019 Sem'!KC10*$AGT$4</f>
        <v>13593.310380000001</v>
      </c>
      <c r="AGS11" s="735">
        <v>14070.51</v>
      </c>
      <c r="AGT11" s="700">
        <f t="shared" si="878"/>
        <v>0.5824969127126689</v>
      </c>
      <c r="AGU11" s="593">
        <v>22956.06</v>
      </c>
      <c r="AGV11" s="593">
        <f>'Proy 2021 vs 2019 Sem'!KC10*$AGX$4</f>
        <v>13593.310380000001</v>
      </c>
      <c r="AGW11" s="735">
        <v>14769.78</v>
      </c>
      <c r="AGX11" s="700">
        <f t="shared" si="879"/>
        <v>0.64339350916490023</v>
      </c>
      <c r="AGY11" s="593">
        <v>26445.52</v>
      </c>
      <c r="AGZ11" s="593">
        <f>'Proy 2021 vs 2019 Sem'!KC10*$AHB$4</f>
        <v>15858.862110000002</v>
      </c>
      <c r="AHA11" s="735">
        <v>18664.47</v>
      </c>
      <c r="AHB11" s="700">
        <f t="shared" si="880"/>
        <v>0.70577058042345175</v>
      </c>
      <c r="AHC11" s="593">
        <v>30276.2</v>
      </c>
      <c r="AHD11" s="593">
        <f>'Proy 2021 vs 2019 Sem'!KC10*$AHF$4</f>
        <v>18124.413840000001</v>
      </c>
      <c r="AHE11" s="735">
        <v>23356.54</v>
      </c>
      <c r="AHF11" s="700">
        <f t="shared" si="881"/>
        <v>0.77144886082137121</v>
      </c>
      <c r="AHG11" s="593">
        <v>39777.620000000003</v>
      </c>
      <c r="AHH11" s="593">
        <f>'Proy 2021 vs 2019 Sem'!KC10*$AHJ$4</f>
        <v>24921.069030000002</v>
      </c>
      <c r="AHI11" s="735">
        <v>30240.15</v>
      </c>
      <c r="AHJ11" s="700">
        <f t="shared" si="882"/>
        <v>0.76023025007529355</v>
      </c>
      <c r="AHK11" s="579">
        <f t="shared" si="883"/>
        <v>172675.95</v>
      </c>
      <c r="AHL11" s="574">
        <f t="shared" si="884"/>
        <v>113277.58649999999</v>
      </c>
      <c r="AHM11" s="730">
        <f t="shared" si="885"/>
        <v>122729.38</v>
      </c>
      <c r="AHN11" s="711">
        <f t="shared" si="886"/>
        <v>0.71074970197065657</v>
      </c>
      <c r="AHO11" s="593">
        <v>25899.21</v>
      </c>
      <c r="AHP11" s="593">
        <f>'Proy 2021 vs 2019 Sem'!KH10*$AHR$4</f>
        <v>19281.569004000001</v>
      </c>
      <c r="AHQ11" s="735">
        <v>18944.689999999999</v>
      </c>
      <c r="AHR11" s="700">
        <f t="shared" si="887"/>
        <v>0.73147752383180797</v>
      </c>
      <c r="AHS11" s="593">
        <v>24954.11</v>
      </c>
      <c r="AHT11" s="593">
        <f>'Proy 2021 vs 2019 Sem'!KH10*$AHV$4</f>
        <v>19281.569004000001</v>
      </c>
      <c r="AHU11" s="735">
        <v>13643.26</v>
      </c>
      <c r="AHV11" s="700">
        <f t="shared" si="888"/>
        <v>0.54673398490268732</v>
      </c>
      <c r="AHW11" s="593">
        <v>33411.75</v>
      </c>
      <c r="AHX11" s="593">
        <f>'Proy 2021 vs 2019 Sem'!KH10*$AHZ$4</f>
        <v>19281.569004000001</v>
      </c>
      <c r="AHY11" s="735">
        <v>15708.66</v>
      </c>
      <c r="AHZ11" s="700">
        <f t="shared" si="889"/>
        <v>0.47015376327190284</v>
      </c>
      <c r="AIA11" s="593">
        <v>29125.79</v>
      </c>
      <c r="AIB11" s="593">
        <f>'Proy 2021 vs 2019 Sem'!KH10*$AID$4</f>
        <v>19281.569004000001</v>
      </c>
      <c r="AIC11" s="735">
        <v>17911.37</v>
      </c>
      <c r="AID11" s="700">
        <f t="shared" si="890"/>
        <v>0.61496598032190708</v>
      </c>
      <c r="AIE11" s="593">
        <v>27773.360000000001</v>
      </c>
      <c r="AIF11" s="593">
        <f>'Proy 2021 vs 2019 Sem'!KH10*$AIH$4</f>
        <v>22495.163838000004</v>
      </c>
      <c r="AIG11" s="735">
        <v>22501.27</v>
      </c>
      <c r="AIH11" s="700">
        <f t="shared" si="891"/>
        <v>0.81017457016363881</v>
      </c>
      <c r="AII11" s="593">
        <v>36174.21</v>
      </c>
      <c r="AIJ11" s="593">
        <f>'Proy 2021 vs 2019 Sem'!KH10*$AIL$4</f>
        <v>25708.758672000004</v>
      </c>
      <c r="AIK11" s="735">
        <v>20435.78</v>
      </c>
      <c r="AIL11" s="700">
        <f t="shared" si="892"/>
        <v>0.56492678070924007</v>
      </c>
      <c r="AIM11" s="593">
        <v>52632.81</v>
      </c>
      <c r="AIN11" s="593">
        <f>'Proy 2021 vs 2019 Sem'!KH10*$AIP$4</f>
        <v>35349.543174000006</v>
      </c>
      <c r="AIO11" s="735">
        <v>31522.78</v>
      </c>
      <c r="AIP11" s="700">
        <f t="shared" si="893"/>
        <v>0.59891881128900393</v>
      </c>
      <c r="AIQ11" s="579">
        <f t="shared" si="894"/>
        <v>229971.24000000002</v>
      </c>
      <c r="AIR11" s="574">
        <f t="shared" si="895"/>
        <v>160679.74170000001</v>
      </c>
      <c r="AIS11" s="730">
        <f t="shared" si="896"/>
        <v>140667.81</v>
      </c>
      <c r="AIT11" s="711">
        <f t="shared" si="897"/>
        <v>0.61167565996513296</v>
      </c>
      <c r="AIU11" s="593">
        <f>'Proy 2021 vs 2019 Sem'!KL10*$AIX$4</f>
        <v>27351.27</v>
      </c>
      <c r="AIV11" s="593">
        <f>'Proy 2021 vs 2019 Sem'!KM10*$AIX$4</f>
        <v>30633.422399999999</v>
      </c>
      <c r="AIW11" s="735">
        <v>22750.45</v>
      </c>
      <c r="AIX11" s="700">
        <f t="shared" si="898"/>
        <v>0.83178770126579138</v>
      </c>
      <c r="AIY11" s="593">
        <f>'Proy 2021 vs 2019 Sem'!KL10*$AJB$4</f>
        <v>27351.27</v>
      </c>
      <c r="AIZ11" s="593">
        <f>'Proy 2021 vs 2019 Sem'!KM10*$AJB$4</f>
        <v>30633.422399999999</v>
      </c>
      <c r="AJA11" s="735">
        <v>25782.28</v>
      </c>
      <c r="AJB11" s="700">
        <f t="shared" si="899"/>
        <v>0.94263557048722046</v>
      </c>
      <c r="AJC11" s="593">
        <f>'Proy 2021 vs 2019 Sem'!KL10*$AJF$4</f>
        <v>27351.27</v>
      </c>
      <c r="AJD11" s="593">
        <f>'Proy 2021 vs 2019 Sem'!KM10*$AJF$4</f>
        <v>30633.422399999999</v>
      </c>
      <c r="AJE11" s="735">
        <v>32967.21</v>
      </c>
      <c r="AJF11" s="700">
        <f t="shared" si="900"/>
        <v>1.2053264802694719</v>
      </c>
      <c r="AJG11" s="593">
        <f>'Proy 2021 vs 2019 Sem'!KL10*$AJJ$4</f>
        <v>27351.27</v>
      </c>
      <c r="AJH11" s="593">
        <f>'Proy 2021 vs 2019 Sem'!KM10*$AJJ$4</f>
        <v>30633.422399999999</v>
      </c>
      <c r="AJI11" s="735">
        <v>39682.11</v>
      </c>
      <c r="AJJ11" s="700">
        <f t="shared" si="901"/>
        <v>1.4508324476340586</v>
      </c>
      <c r="AJK11" s="593">
        <f>'Proy 2021 vs 2019 Sem'!KL10*$AJN$4</f>
        <v>31909.815000000002</v>
      </c>
      <c r="AJL11" s="593">
        <f>'Proy 2021 vs 2019 Sem'!KM10*$AJN$4</f>
        <v>35738.992800000007</v>
      </c>
      <c r="AJM11" s="735">
        <v>59331.01</v>
      </c>
      <c r="AJN11" s="700">
        <f t="shared" si="902"/>
        <v>1.8593341891828579</v>
      </c>
      <c r="AJO11" s="593">
        <f>'Proy 2021 vs 2019 Sem'!KL10*$AJR$4</f>
        <v>36468.36</v>
      </c>
      <c r="AJP11" s="593">
        <f>'Proy 2021 vs 2019 Sem'!KM10*$AJR$4</f>
        <v>40844.563200000004</v>
      </c>
      <c r="AJQ11" s="735">
        <v>66345.429999999993</v>
      </c>
      <c r="AJR11" s="700">
        <f t="shared" si="903"/>
        <v>1.819260038016516</v>
      </c>
      <c r="AJS11" s="593">
        <f>'Proy 2021 vs 2019 Sem'!KL10*$AJV$4</f>
        <v>50143.995000000003</v>
      </c>
      <c r="AJT11" s="593">
        <f>'Proy 2021 vs 2019 Sem'!KM10*$AJV$4</f>
        <v>56161.274400000002</v>
      </c>
      <c r="AJU11" s="699">
        <v>0</v>
      </c>
      <c r="AJV11" s="700">
        <f t="shared" si="904"/>
        <v>0</v>
      </c>
      <c r="AJW11" s="579">
        <f t="shared" si="905"/>
        <v>227927.25</v>
      </c>
      <c r="AJX11" s="574">
        <f t="shared" si="906"/>
        <v>255278.52</v>
      </c>
      <c r="AJY11" s="710">
        <f t="shared" si="907"/>
        <v>246858.49</v>
      </c>
      <c r="AJZ11" s="711">
        <f t="shared" si="908"/>
        <v>1.0830582565270277</v>
      </c>
      <c r="AKA11" s="593">
        <f>'Proy 2021 vs 2019 Sem'!KQ10*$AKD$4</f>
        <v>7923.9275999999991</v>
      </c>
      <c r="AKB11" s="593">
        <f>'Proy 2021 vs 2019 Sem'!KR10*$AKD$4</f>
        <v>5942.9457000000002</v>
      </c>
      <c r="AKC11" s="735">
        <v>7032.17</v>
      </c>
      <c r="AKD11" s="700">
        <f t="shared" si="909"/>
        <v>0.88746015296757641</v>
      </c>
      <c r="AKE11" s="593">
        <f>'Proy 2021 vs 2019 Sem'!KQ10*$AKH$4</f>
        <v>7923.9275999999991</v>
      </c>
      <c r="AKF11" s="593">
        <f>'Proy 2021 vs 2019 Sem'!KR10*$AKH$4</f>
        <v>5942.9457000000002</v>
      </c>
      <c r="AKG11" s="735">
        <v>5985.85</v>
      </c>
      <c r="AKH11" s="700">
        <f t="shared" si="910"/>
        <v>0.75541452448404511</v>
      </c>
      <c r="AKI11" s="593">
        <f>'Proy 2021 vs 2019 Sem'!KQ10*$AKL$4</f>
        <v>7923.9275999999991</v>
      </c>
      <c r="AKJ11" s="593">
        <f>'Proy 2021 vs 2019 Sem'!KR10*$AKL$4</f>
        <v>5942.9457000000002</v>
      </c>
      <c r="AKK11" s="735">
        <v>10890.61</v>
      </c>
      <c r="AKL11" s="700">
        <f t="shared" si="911"/>
        <v>1.3743954450063378</v>
      </c>
      <c r="AKM11" s="593">
        <f>'Proy 2021 vs 2019 Sem'!KQ10*$AKP$4</f>
        <v>7923.9275999999991</v>
      </c>
      <c r="AKN11" s="593">
        <f>'Proy 2021 vs 2019 Sem'!KR10*$AKP$4</f>
        <v>5942.9457000000002</v>
      </c>
      <c r="AKO11" s="735">
        <v>10680.11</v>
      </c>
      <c r="AKP11" s="700">
        <f t="shared" si="912"/>
        <v>1.3478303360570838</v>
      </c>
      <c r="AKQ11" s="593">
        <f>'Proy 2021 vs 2019 Sem'!KQ10*$AKT$4</f>
        <v>9244.5822000000007</v>
      </c>
      <c r="AKR11" s="593">
        <f>'Proy 2021 vs 2019 Sem'!KR10*$AKT$4</f>
        <v>6933.4366500000006</v>
      </c>
      <c r="AKS11" s="735">
        <v>13948.5</v>
      </c>
      <c r="AKT11" s="700">
        <f t="shared" si="913"/>
        <v>1.5088296797231138</v>
      </c>
      <c r="AKU11" s="593">
        <f>'Proy 2021 vs 2019 Sem'!KQ10*$AKX$4</f>
        <v>10565.236799999999</v>
      </c>
      <c r="AKV11" s="593">
        <f>'Proy 2021 vs 2019 Sem'!KR10*$AKX$4</f>
        <v>7923.9276</v>
      </c>
      <c r="AKW11" s="735">
        <v>15364.87</v>
      </c>
      <c r="AKX11" s="700">
        <f t="shared" si="914"/>
        <v>1.4542854354196777</v>
      </c>
      <c r="AKY11" s="593">
        <f>'Proy 2021 vs 2019 Sem'!KQ10*$ALB$4</f>
        <v>14527.200599999998</v>
      </c>
      <c r="AKZ11" s="593">
        <f>'Proy 2021 vs 2019 Sem'!KR10*$ALB$4</f>
        <v>10895.400450000001</v>
      </c>
      <c r="ALA11" s="699">
        <v>0</v>
      </c>
      <c r="ALB11" s="700">
        <f>ALA11/AKY11</f>
        <v>0</v>
      </c>
      <c r="ALC11" s="579">
        <f t="shared" si="915"/>
        <v>66032.73</v>
      </c>
      <c r="ALD11" s="574">
        <f t="shared" si="916"/>
        <v>49524.547500000001</v>
      </c>
      <c r="ALE11" s="710">
        <f t="shared" si="917"/>
        <v>63902.110000000008</v>
      </c>
      <c r="ALF11" s="711">
        <f t="shared" si="918"/>
        <v>0.96773387985018966</v>
      </c>
    </row>
    <row r="12" spans="2:994" ht="15.75" customHeight="1">
      <c r="B12" s="570" t="s">
        <v>474</v>
      </c>
      <c r="C12" s="574">
        <f>'Proy 2021 vs 2019 Sem'!DX11*$F$4</f>
        <v>15970.23</v>
      </c>
      <c r="D12" s="576">
        <f>'Proy 2021 vs 2019 Sem'!$DY$11*F4</f>
        <v>11045.896491666772</v>
      </c>
      <c r="E12" s="735">
        <v>7914.89</v>
      </c>
      <c r="F12" s="700">
        <f t="shared" si="580"/>
        <v>0.4956027558776549</v>
      </c>
      <c r="G12" s="574">
        <f>'Proy 2021 vs 2019 Sem'!DX11*$J$4</f>
        <v>15970.23</v>
      </c>
      <c r="H12" s="574">
        <f>'Proy 2021 vs 2019 Sem'!$DY$11*J4</f>
        <v>11045.896491666772</v>
      </c>
      <c r="I12" s="735">
        <v>12444.33</v>
      </c>
      <c r="J12" s="700">
        <f t="shared" si="581"/>
        <v>0.77922046207224316</v>
      </c>
      <c r="K12" s="574">
        <f>'Proy 2021 vs 2019 Sem'!DX11*'Vtas Diarias 2021'!$N$4</f>
        <v>15970.23</v>
      </c>
      <c r="L12" s="574">
        <f>'Proy 2021 vs 2019 Sem'!$DY$11*N4</f>
        <v>11045.896491666772</v>
      </c>
      <c r="M12" s="735">
        <v>14798.65</v>
      </c>
      <c r="N12" s="700">
        <f t="shared" si="582"/>
        <v>0.92663975409245825</v>
      </c>
      <c r="O12" s="574">
        <f>'Proy 2021 vs 2019 Sem'!DX11*$R$4</f>
        <v>15970.23</v>
      </c>
      <c r="P12" s="574">
        <f>'Proy 2021 vs 2019 Sem'!$DY$11*R4</f>
        <v>11045.896491666772</v>
      </c>
      <c r="Q12" s="735">
        <v>11610.43</v>
      </c>
      <c r="R12" s="700">
        <f t="shared" si="583"/>
        <v>0.72700455785545981</v>
      </c>
      <c r="S12" s="574">
        <f>'Proy 2021 vs 2019 Sem'!DX11*$V$4</f>
        <v>18631.935000000001</v>
      </c>
      <c r="T12" s="574">
        <f>'Proy 2021 vs 2019 Sem'!$DY$11*V4</f>
        <v>12886.879240277902</v>
      </c>
      <c r="U12" s="735">
        <v>9809.25</v>
      </c>
      <c r="V12" s="700">
        <f t="shared" si="584"/>
        <v>0.52647510846296963</v>
      </c>
      <c r="W12" s="574">
        <f>'Proy 2021 vs 2019 Sem'!DX11*$Z$4</f>
        <v>21293.64</v>
      </c>
      <c r="X12" s="574">
        <f>'Proy 2021 vs 2019 Sem'!$DY$11*Z4</f>
        <v>14727.86198888903</v>
      </c>
      <c r="Y12" s="735">
        <v>13997.8</v>
      </c>
      <c r="Z12" s="700">
        <f t="shared" si="585"/>
        <v>0.65736999404517027</v>
      </c>
      <c r="AA12" s="574">
        <f>'Proy 2021 vs 2019 Sem'!DX11*$AD$4</f>
        <v>29278.755000000001</v>
      </c>
      <c r="AB12" s="574">
        <f>'Proy 2021 vs 2019 Sem'!$DY$11*AD4</f>
        <v>20250.810234722416</v>
      </c>
      <c r="AC12" s="735">
        <v>16175.62</v>
      </c>
      <c r="AD12" s="700">
        <f t="shared" si="586"/>
        <v>0.55246952952746797</v>
      </c>
      <c r="AE12" s="579">
        <f t="shared" si="587"/>
        <v>133085.25</v>
      </c>
      <c r="AF12" s="574">
        <f t="shared" si="588"/>
        <v>92049.137430556439</v>
      </c>
      <c r="AG12" s="729">
        <f t="shared" si="589"/>
        <v>86750.97</v>
      </c>
      <c r="AH12" s="711">
        <f t="shared" si="590"/>
        <v>0.65184511431582393</v>
      </c>
      <c r="AI12" s="593">
        <f>'Proy 2021 vs 2019 Sem'!EC11*$AL$4</f>
        <v>15696.284399999999</v>
      </c>
      <c r="AJ12" s="611">
        <f>'Proy 2021 vs 2019 Sem'!ED11*$AL$4</f>
        <v>9417.7706399999988</v>
      </c>
      <c r="AK12" s="735">
        <v>5530.74</v>
      </c>
      <c r="AL12" s="700">
        <f t="shared" si="591"/>
        <v>0.35235982344968214</v>
      </c>
      <c r="AM12" s="593">
        <f>'Proy 2021 vs 2019 Sem'!EC11*$AP$4</f>
        <v>15696.284399999999</v>
      </c>
      <c r="AN12" s="593">
        <f>'Proy 2021 vs 2019 Sem'!ED11*$AP$4</f>
        <v>9417.7706399999988</v>
      </c>
      <c r="AO12" s="735">
        <v>12725.28</v>
      </c>
      <c r="AP12" s="700">
        <f t="shared" si="592"/>
        <v>0.81071925531624556</v>
      </c>
      <c r="AQ12" s="593">
        <f>'Proy 2021 vs 2019 Sem'!EC11*$AT$4</f>
        <v>15696.284399999999</v>
      </c>
      <c r="AR12" s="593">
        <f>'Proy 2021 vs 2019 Sem'!ED11*$AT$4</f>
        <v>9417.7706399999988</v>
      </c>
      <c r="AS12" s="735">
        <v>15731.14</v>
      </c>
      <c r="AT12" s="700">
        <f t="shared" si="593"/>
        <v>1.002220627449895</v>
      </c>
      <c r="AU12" s="593">
        <f>'Proy 2021 vs 2019 Sem'!EC11*$AX$4</f>
        <v>15696.284399999999</v>
      </c>
      <c r="AV12" s="593">
        <f>'Proy 2021 vs 2019 Sem'!ED11*$AX$4</f>
        <v>9417.7706399999988</v>
      </c>
      <c r="AW12" s="735">
        <v>9809.2800000000007</v>
      </c>
      <c r="AX12" s="700">
        <f t="shared" si="594"/>
        <v>0.62494280493541521</v>
      </c>
      <c r="AY12" s="593">
        <f>'Proy 2021 vs 2019 Sem'!EC11*$BB$4</f>
        <v>18312.3318</v>
      </c>
      <c r="AZ12" s="593">
        <f>'Proy 2021 vs 2019 Sem'!ED11*$BB$4</f>
        <v>10987.399079999999</v>
      </c>
      <c r="BA12" s="735">
        <v>13931.55</v>
      </c>
      <c r="BB12" s="700">
        <f t="shared" si="595"/>
        <v>0.76077422319313803</v>
      </c>
      <c r="BC12" s="593">
        <f>'Proy 2021 vs 2019 Sem'!EC11*$BF$4</f>
        <v>20928.379199999999</v>
      </c>
      <c r="BD12" s="593">
        <f>'Proy 2021 vs 2019 Sem'!ED11*$BF$4</f>
        <v>12557.02752</v>
      </c>
      <c r="BE12" s="735">
        <v>15174.13</v>
      </c>
      <c r="BF12" s="700">
        <f t="shared" si="596"/>
        <v>0.72505041384188984</v>
      </c>
      <c r="BG12" s="593">
        <f>'Proy 2021 vs 2019 Sem'!EC11*$BJ$4</f>
        <v>28776.521399999998</v>
      </c>
      <c r="BH12" s="593">
        <f>'Proy 2021 vs 2019 Sem'!ED11*$BJ$4</f>
        <v>17265.912839999997</v>
      </c>
      <c r="BI12" s="735">
        <v>19418.45</v>
      </c>
      <c r="BJ12" s="700">
        <f t="shared" si="597"/>
        <v>0.67480185426442829</v>
      </c>
      <c r="BK12" s="579">
        <f t="shared" si="598"/>
        <v>130802.37</v>
      </c>
      <c r="BL12" s="574">
        <f t="shared" si="599"/>
        <v>78481.421999999991</v>
      </c>
      <c r="BM12" s="730">
        <f t="shared" si="600"/>
        <v>92320.57</v>
      </c>
      <c r="BN12" s="711">
        <f t="shared" si="601"/>
        <v>0.7058019667380645</v>
      </c>
      <c r="BO12" s="593">
        <f>'Proy 2021 vs 2019 Sem'!EH11*$BR$4</f>
        <v>17229.0864</v>
      </c>
      <c r="BP12" s="593">
        <f>'Proy 2021 vs 2019 Sem'!EI11*$BR$4</f>
        <v>12060.360479999999</v>
      </c>
      <c r="BQ12" s="735">
        <v>9776.36</v>
      </c>
      <c r="BR12" s="700">
        <f t="shared" si="602"/>
        <v>0.56743345369723153</v>
      </c>
      <c r="BS12" s="593">
        <f>'Proy 2021 vs 2019 Sem'!EH11*$BV$4</f>
        <v>17229.0864</v>
      </c>
      <c r="BT12" s="593">
        <f>'Proy 2021 vs 2019 Sem'!EI11*$BV$4</f>
        <v>12060.360479999999</v>
      </c>
      <c r="BU12" s="735">
        <v>14060.32</v>
      </c>
      <c r="BV12" s="700">
        <f t="shared" si="603"/>
        <v>0.81608041619664751</v>
      </c>
      <c r="BW12" s="593">
        <f>'Proy 2021 vs 2019 Sem'!EH11*$BZ$4</f>
        <v>17229.0864</v>
      </c>
      <c r="BX12" s="593">
        <f>'Proy 2021 vs 2019 Sem'!EI11*$BZ$4</f>
        <v>12060.360479999999</v>
      </c>
      <c r="BY12" s="735">
        <v>13633.49</v>
      </c>
      <c r="BZ12" s="700">
        <f t="shared" si="604"/>
        <v>0.79130661275225833</v>
      </c>
      <c r="CA12" s="593">
        <f>'Proy 2021 vs 2019 Sem'!EH11*$CD$4</f>
        <v>17229.0864</v>
      </c>
      <c r="CB12" s="593">
        <f>'Proy 2021 vs 2019 Sem'!EI11*$CD$4</f>
        <v>12060.360479999999</v>
      </c>
      <c r="CC12" s="735">
        <v>15012.8</v>
      </c>
      <c r="CD12" s="700">
        <f t="shared" si="605"/>
        <v>0.87136367253924729</v>
      </c>
      <c r="CE12" s="593">
        <f>'Proy 2021 vs 2019 Sem'!EH11*$CH$4</f>
        <v>20100.600800000004</v>
      </c>
      <c r="CF12" s="593">
        <f>'Proy 2021 vs 2019 Sem'!EI11*$CH$4</f>
        <v>14070.420560000002</v>
      </c>
      <c r="CG12" s="735">
        <v>14772.49</v>
      </c>
      <c r="CH12" s="700">
        <f t="shared" si="606"/>
        <v>0.73492778385012236</v>
      </c>
      <c r="CI12" s="593">
        <f>'Proy 2021 vs 2019 Sem'!EH11*$CL$4</f>
        <v>22972.1152</v>
      </c>
      <c r="CJ12" s="593">
        <f>'Proy 2021 vs 2019 Sem'!EI11*$CL$4</f>
        <v>16080.48064</v>
      </c>
      <c r="CK12" s="735">
        <v>14129.92</v>
      </c>
      <c r="CL12" s="700">
        <f t="shared" si="607"/>
        <v>0.6150900723325643</v>
      </c>
      <c r="CM12" s="593">
        <f>'Proy 2021 vs 2019 Sem'!EH11*$CP$4</f>
        <v>31586.6584</v>
      </c>
      <c r="CN12" s="593">
        <f>'Proy 2021 vs 2019 Sem'!EI11*$CP$4</f>
        <v>22110.660879999999</v>
      </c>
      <c r="CO12" s="735">
        <v>23939.82</v>
      </c>
      <c r="CP12" s="700">
        <f t="shared" si="608"/>
        <v>0.75790923170271152</v>
      </c>
      <c r="CQ12" s="579">
        <f t="shared" si="609"/>
        <v>143575.72</v>
      </c>
      <c r="CR12" s="574">
        <f t="shared" si="610"/>
        <v>100503.00399999999</v>
      </c>
      <c r="CS12" s="730">
        <f t="shared" si="611"/>
        <v>105325.20000000001</v>
      </c>
      <c r="CT12" s="711">
        <f t="shared" si="612"/>
        <v>0.73358643090907016</v>
      </c>
      <c r="CU12" s="593">
        <f>'Proy 2021 vs 2019 Sem'!EM11*$CX$4</f>
        <v>16074.4812</v>
      </c>
      <c r="CV12" s="593">
        <f>'Proy 2021 vs 2019 Sem'!EN11*$CX$4</f>
        <v>11252.136839999999</v>
      </c>
      <c r="CW12" s="735">
        <v>7678.2</v>
      </c>
      <c r="CX12" s="700">
        <f t="shared" si="613"/>
        <v>0.47766393854129485</v>
      </c>
      <c r="CY12" s="593">
        <f>'Proy 2021 vs 2019 Sem'!EM11*$DB$4</f>
        <v>16074.4812</v>
      </c>
      <c r="CZ12" s="593">
        <f>'Proy 2021 vs 2019 Sem'!EN11*$DB$4</f>
        <v>11252.136839999999</v>
      </c>
      <c r="DA12" s="735">
        <v>7633.39</v>
      </c>
      <c r="DB12" s="700">
        <f t="shared" si="614"/>
        <v>0.47487629025314981</v>
      </c>
      <c r="DC12" s="593">
        <f>'Proy 2021 vs 2019 Sem'!EM11*$DF$4</f>
        <v>16074.4812</v>
      </c>
      <c r="DD12" s="593">
        <f>'Proy 2021 vs 2019 Sem'!EN11*$DF$4</f>
        <v>11252.136839999999</v>
      </c>
      <c r="DE12" s="735">
        <v>13551.61</v>
      </c>
      <c r="DF12" s="700">
        <f t="shared" si="615"/>
        <v>0.84305115862775093</v>
      </c>
      <c r="DG12" s="593">
        <f>'Proy 2021 vs 2019 Sem'!EM11*$DJ$4</f>
        <v>16074.4812</v>
      </c>
      <c r="DH12" s="593">
        <f>'Proy 2021 vs 2019 Sem'!EN11*$DJ$4</f>
        <v>11252.136839999999</v>
      </c>
      <c r="DI12" s="735">
        <v>11965.14</v>
      </c>
      <c r="DJ12" s="700">
        <f t="shared" si="616"/>
        <v>0.74435621598786028</v>
      </c>
      <c r="DK12" s="593">
        <f>'Proy 2021 vs 2019 Sem'!EM11*$DN$4</f>
        <v>18753.561400000002</v>
      </c>
      <c r="DL12" s="593">
        <f>'Proy 2021 vs 2019 Sem'!EN11*$DN$4</f>
        <v>13127.492980000001</v>
      </c>
      <c r="DM12" s="735">
        <v>11220.55</v>
      </c>
      <c r="DN12" s="700">
        <f t="shared" si="617"/>
        <v>0.59831568845371408</v>
      </c>
      <c r="DO12" s="593">
        <f>'Proy 2021 vs 2019 Sem'!EM11*$DR$4</f>
        <v>21432.641600000003</v>
      </c>
      <c r="DP12" s="593">
        <f>'Proy 2021 vs 2019 Sem'!EN11*$DR$4</f>
        <v>15002.849120000001</v>
      </c>
      <c r="DQ12" s="735">
        <v>13861.25</v>
      </c>
      <c r="DR12" s="700">
        <f t="shared" si="618"/>
        <v>0.64673549153175769</v>
      </c>
      <c r="DS12" s="593">
        <f>'Proy 2021 vs 2019 Sem'!EM11*$DV$4</f>
        <v>29469.882200000004</v>
      </c>
      <c r="DT12" s="593">
        <f>'Proy 2021 vs 2019 Sem'!EN11*$DV$4</f>
        <v>20628.917539999999</v>
      </c>
      <c r="DU12" s="735">
        <v>22726.07</v>
      </c>
      <c r="DV12" s="700">
        <f t="shared" si="619"/>
        <v>0.7711625667780917</v>
      </c>
      <c r="DW12" s="579">
        <f t="shared" si="620"/>
        <v>133954.01</v>
      </c>
      <c r="DX12" s="574">
        <f t="shared" si="621"/>
        <v>93767.807000000001</v>
      </c>
      <c r="DY12" s="710">
        <f t="shared" si="622"/>
        <v>88636.209999999992</v>
      </c>
      <c r="DZ12" s="711">
        <f t="shared" si="623"/>
        <v>0.661691352128988</v>
      </c>
      <c r="EA12" s="593">
        <f>'Proy 2021 vs 2019 Sem'!ER11*$ED$4</f>
        <v>15961.902</v>
      </c>
      <c r="EB12" s="593">
        <f>'Proy 2021 vs 2019 Sem'!ES11*$ED$4</f>
        <v>10375.2363</v>
      </c>
      <c r="EC12" s="735">
        <v>5746.78</v>
      </c>
      <c r="ED12" s="700">
        <f t="shared" si="624"/>
        <v>0.36003102888365057</v>
      </c>
      <c r="EE12" s="593">
        <f>'Proy 2021 vs 2019 Sem'!ER11*$EH$4</f>
        <v>15961.902</v>
      </c>
      <c r="EF12" s="593">
        <f>'Proy 2021 vs 2019 Sem'!ES11*$EH$4</f>
        <v>10375.2363</v>
      </c>
      <c r="EG12" s="735">
        <v>13633.19</v>
      </c>
      <c r="EH12" s="700">
        <f t="shared" si="625"/>
        <v>0.85410811318099811</v>
      </c>
      <c r="EI12" s="593">
        <f>'Proy 2021 vs 2019 Sem'!ER11*$EL$4</f>
        <v>15961.902</v>
      </c>
      <c r="EJ12" s="593">
        <f>'Proy 2021 vs 2019 Sem'!ES11*$EL$4</f>
        <v>10375.2363</v>
      </c>
      <c r="EK12" s="735">
        <v>13322.03</v>
      </c>
      <c r="EL12" s="700">
        <f t="shared" si="626"/>
        <v>0.83461419572680007</v>
      </c>
      <c r="EM12" s="593">
        <f>'Proy 2021 vs 2019 Sem'!ER11*$EP$4</f>
        <v>15961.902</v>
      </c>
      <c r="EN12" s="593">
        <f>'Proy 2021 vs 2019 Sem'!ES11*$EP$4</f>
        <v>10375.2363</v>
      </c>
      <c r="EO12" s="735">
        <v>14573.46</v>
      </c>
      <c r="EP12" s="700">
        <f t="shared" si="627"/>
        <v>0.91301525344536005</v>
      </c>
      <c r="EQ12" s="593">
        <f>'Proy 2021 vs 2019 Sem'!ER11*$ET$4</f>
        <v>18622.219000000001</v>
      </c>
      <c r="ER12" s="593">
        <f>'Proy 2021 vs 2019 Sem'!ES11*$ET$4</f>
        <v>12104.442350000001</v>
      </c>
      <c r="ES12" s="735">
        <v>14198.21</v>
      </c>
      <c r="ET12" s="700">
        <f t="shared" si="628"/>
        <v>0.762433843141894</v>
      </c>
      <c r="EU12" s="593">
        <f>'Proy 2021 vs 2019 Sem'!ER11*$EX$4</f>
        <v>21282.536</v>
      </c>
      <c r="EV12" s="593">
        <f>'Proy 2021 vs 2019 Sem'!ES11*$EX$4</f>
        <v>13833.648400000002</v>
      </c>
      <c r="EW12" s="735">
        <v>14518.03</v>
      </c>
      <c r="EX12" s="700">
        <f t="shared" si="629"/>
        <v>0.68215695723479575</v>
      </c>
      <c r="EY12" s="593">
        <f>'Proy 2021 vs 2019 Sem'!ER11*$FB$4</f>
        <v>29263.487000000001</v>
      </c>
      <c r="EZ12" s="593">
        <f>'Proy 2021 vs 2019 Sem'!ES11*$FB$4</f>
        <v>19021.26655</v>
      </c>
      <c r="FA12" s="699">
        <v>13269.68</v>
      </c>
      <c r="FB12" s="700">
        <f t="shared" si="630"/>
        <v>0.45345518803005258</v>
      </c>
      <c r="FC12" s="579">
        <f t="shared" si="631"/>
        <v>133015.85</v>
      </c>
      <c r="FD12" s="574">
        <f t="shared" si="632"/>
        <v>86460.302500000005</v>
      </c>
      <c r="FE12" s="710">
        <f t="shared" si="633"/>
        <v>89261.38</v>
      </c>
      <c r="FF12" s="711">
        <f t="shared" si="634"/>
        <v>0.67105822351246114</v>
      </c>
      <c r="FG12" s="593">
        <f>'Proy 2021 vs 2019 Sem'!FA11*$FJ$4</f>
        <v>15974.347199999998</v>
      </c>
      <c r="FH12" s="593">
        <f>'Proy 2021 vs 2019 Sem'!FB11*$FJ$4</f>
        <v>11182.043039999999</v>
      </c>
      <c r="FI12" s="735">
        <v>10098.76</v>
      </c>
      <c r="FJ12" s="700">
        <f t="shared" si="635"/>
        <v>0.63218608394839459</v>
      </c>
      <c r="FK12" s="593">
        <f>'Proy 2021 vs 2019 Sem'!FA11*$FN$4</f>
        <v>15974.347199999998</v>
      </c>
      <c r="FL12" s="593">
        <f>'Proy 2021 vs 2019 Sem'!FB11*$FN$4</f>
        <v>11182.043039999999</v>
      </c>
      <c r="FM12" s="735">
        <v>13006.88</v>
      </c>
      <c r="FN12" s="700">
        <f t="shared" si="636"/>
        <v>0.8142354637189807</v>
      </c>
      <c r="FO12" s="593">
        <f>'Proy 2021 vs 2019 Sem'!FA11*$FR$4</f>
        <v>15974.347199999998</v>
      </c>
      <c r="FP12" s="593">
        <f>'Proy 2021 vs 2019 Sem'!FB11*$FR$4</f>
        <v>11182.043039999999</v>
      </c>
      <c r="FQ12" s="735">
        <v>10419.92</v>
      </c>
      <c r="FR12" s="700">
        <f t="shared" si="637"/>
        <v>0.65229081786828835</v>
      </c>
      <c r="FS12" s="593">
        <f>'Proy 2021 vs 2019 Sem'!FA11*$FV$4</f>
        <v>15974.347199999998</v>
      </c>
      <c r="FT12" s="593">
        <f>'Proy 2021 vs 2019 Sem'!FB11*$FV$4</f>
        <v>11182.043039999999</v>
      </c>
      <c r="FU12" s="735">
        <v>12728</v>
      </c>
      <c r="FV12" s="700">
        <f t="shared" si="638"/>
        <v>0.79677747332297877</v>
      </c>
      <c r="FW12" s="593">
        <f>'Proy 2021 vs 2019 Sem'!FA11*$FZ$4</f>
        <v>18636.738400000002</v>
      </c>
      <c r="FX12" s="593">
        <f>'Proy 2021 vs 2019 Sem'!FB11*$FZ$4</f>
        <v>13045.71688</v>
      </c>
      <c r="FY12" s="735">
        <v>11121.11</v>
      </c>
      <c r="FZ12" s="700">
        <f t="shared" si="639"/>
        <v>0.59673048799139661</v>
      </c>
      <c r="GA12" s="593">
        <f>'Proy 2021 vs 2019 Sem'!FA11*$GD$4</f>
        <v>21299.1296</v>
      </c>
      <c r="GB12" s="593">
        <f>'Proy 2021 vs 2019 Sem'!FB11*$GD$4</f>
        <v>14909.390719999999</v>
      </c>
      <c r="GC12" s="735">
        <v>17330.66</v>
      </c>
      <c r="GD12" s="700">
        <f t="shared" si="640"/>
        <v>0.81367925945668684</v>
      </c>
      <c r="GE12" s="593">
        <f>'Proy 2021 vs 2019 Sem'!FA11*$GH$4</f>
        <v>29286.303199999998</v>
      </c>
      <c r="GF12" s="593">
        <f>'Proy 2021 vs 2019 Sem'!FB11*$GH$4</f>
        <v>20500.412239999998</v>
      </c>
      <c r="GG12" s="735">
        <v>20600.900000000001</v>
      </c>
      <c r="GH12" s="700">
        <f t="shared" si="641"/>
        <v>0.70343122036652284</v>
      </c>
      <c r="GI12" s="579">
        <f t="shared" si="642"/>
        <v>133119.56</v>
      </c>
      <c r="GJ12" s="574">
        <f t="shared" si="643"/>
        <v>93183.691999999981</v>
      </c>
      <c r="GK12" s="759">
        <f t="shared" si="644"/>
        <v>95306.23000000001</v>
      </c>
      <c r="GL12" s="761">
        <f t="shared" si="645"/>
        <v>0.71594459897553753</v>
      </c>
      <c r="GM12" s="593">
        <f>'Proy 2021 vs 2019 Sem'!FF11*$GP$4</f>
        <v>15821.341200000001</v>
      </c>
      <c r="GN12" s="593">
        <f>'Proy 2021 vs 2019 Sem'!FG11*$GP$4</f>
        <v>12024.219311999999</v>
      </c>
      <c r="GO12" s="735">
        <v>7836.38</v>
      </c>
      <c r="GP12" s="700">
        <f t="shared" si="646"/>
        <v>0.49530440567200457</v>
      </c>
      <c r="GQ12" s="593">
        <f>'Proy 2021 vs 2019 Sem'!FF11*$GT$4</f>
        <v>15821.341200000001</v>
      </c>
      <c r="GR12" s="593">
        <f>'Proy 2021 vs 2019 Sem'!FG11*$GT$4</f>
        <v>12024.219311999999</v>
      </c>
      <c r="GS12" s="735">
        <v>11525.1</v>
      </c>
      <c r="GT12" s="700">
        <f t="shared" si="647"/>
        <v>0.72845278123450119</v>
      </c>
      <c r="GU12" s="593">
        <f>'Proy 2021 vs 2019 Sem'!FF11*$GX$4</f>
        <v>15821.341200000001</v>
      </c>
      <c r="GV12" s="593">
        <f>'Proy 2021 vs 2019 Sem'!FG11*$GX$4</f>
        <v>12024.219311999999</v>
      </c>
      <c r="GW12" s="735">
        <v>19521.849999999999</v>
      </c>
      <c r="GX12" s="700">
        <f t="shared" si="648"/>
        <v>1.233893495704397</v>
      </c>
      <c r="GY12" s="593">
        <f>'Proy 2021 vs 2019 Sem'!FF11*$HB$4</f>
        <v>15821.341200000001</v>
      </c>
      <c r="GZ12" s="593">
        <f>'Proy 2021 vs 2019 Sem'!FG11*$HB$4</f>
        <v>12024.219311999999</v>
      </c>
      <c r="HA12" s="735">
        <v>16121.53</v>
      </c>
      <c r="HB12" s="700">
        <f t="shared" si="649"/>
        <v>1.0189736632441755</v>
      </c>
      <c r="HC12" s="593">
        <f>'Proy 2021 vs 2019 Sem'!FF11*$HF$4</f>
        <v>18458.231400000004</v>
      </c>
      <c r="HD12" s="593">
        <f>'Proy 2021 vs 2019 Sem'!FG11*$HF$4</f>
        <v>14028.255864000002</v>
      </c>
      <c r="HE12" s="735">
        <v>18853.36</v>
      </c>
      <c r="HF12" s="700">
        <f t="shared" si="650"/>
        <v>1.0214066337904939</v>
      </c>
      <c r="HG12" s="593">
        <f>'Proy 2021 vs 2019 Sem'!FF11*$HJ$4</f>
        <v>21095.121600000002</v>
      </c>
      <c r="HH12" s="593">
        <f>'Proy 2021 vs 2019 Sem'!FG11*$HJ$4</f>
        <v>16032.292416</v>
      </c>
      <c r="HI12" s="735">
        <v>16148.35</v>
      </c>
      <c r="HJ12" s="700">
        <f t="shared" si="651"/>
        <v>0.76550163142932526</v>
      </c>
      <c r="HK12" s="593">
        <f>'Proy 2021 vs 2019 Sem'!FF11*$HN$4</f>
        <v>29005.792200000004</v>
      </c>
      <c r="HL12" s="593">
        <f>'Proy 2021 vs 2019 Sem'!FG11*$HN$4</f>
        <v>22044.402072000001</v>
      </c>
      <c r="HM12" s="735">
        <v>21867.86</v>
      </c>
      <c r="HN12" s="700">
        <f t="shared" si="652"/>
        <v>0.7539135579961852</v>
      </c>
      <c r="HO12" s="579">
        <f t="shared" si="653"/>
        <v>131844.51</v>
      </c>
      <c r="HP12" s="574">
        <f t="shared" si="654"/>
        <v>100201.82759999999</v>
      </c>
      <c r="HQ12" s="765">
        <f t="shared" si="655"/>
        <v>111874.43000000001</v>
      </c>
      <c r="HR12" s="761">
        <f t="shared" si="656"/>
        <v>0.84853309402113142</v>
      </c>
      <c r="HS12" s="593">
        <f>'Proy 2021 vs 2019 Sem'!FK11*$CX$4</f>
        <v>15374.122799999999</v>
      </c>
      <c r="HT12" s="593">
        <f>'Proy 2021 vs 2019 Sem'!FL11*$CX$4</f>
        <v>12145.557012000001</v>
      </c>
      <c r="HU12" s="735">
        <v>6441.26</v>
      </c>
      <c r="HV12" s="700">
        <f t="shared" si="657"/>
        <v>0.41896764347426707</v>
      </c>
      <c r="HW12" s="593">
        <f>'Proy 2021 vs 2019 Sem'!FK11*$DB$4</f>
        <v>15374.122799999999</v>
      </c>
      <c r="HX12" s="593">
        <f>'Proy 2021 vs 2019 Sem'!FL11*$DB$4</f>
        <v>12145.557012000001</v>
      </c>
      <c r="HY12" s="735">
        <v>12995.18</v>
      </c>
      <c r="HZ12" s="700">
        <f t="shared" si="658"/>
        <v>0.84526318470670736</v>
      </c>
      <c r="IA12" s="593">
        <f>'Proy 2021 vs 2019 Sem'!FK11*$DF$4</f>
        <v>15374.122799999999</v>
      </c>
      <c r="IB12" s="593">
        <f>'Proy 2021 vs 2019 Sem'!FL11*$DF$4</f>
        <v>12145.557012000001</v>
      </c>
      <c r="IC12" s="735">
        <v>8271.92</v>
      </c>
      <c r="ID12" s="700">
        <f t="shared" si="659"/>
        <v>0.53804175416108946</v>
      </c>
      <c r="IE12" s="593">
        <f>'Proy 2021 vs 2019 Sem'!FK11*$DJ$4</f>
        <v>15374.122799999999</v>
      </c>
      <c r="IF12" s="593">
        <f>'Proy 2021 vs 2019 Sem'!FL11*$DJ$4</f>
        <v>12145.557012000001</v>
      </c>
      <c r="IG12" s="735">
        <v>13891.8</v>
      </c>
      <c r="IH12" s="700">
        <f t="shared" si="660"/>
        <v>0.90358326004785128</v>
      </c>
      <c r="II12" s="593">
        <f>'Proy 2021 vs 2019 Sem'!FK11*$DN$4</f>
        <v>17936.476600000002</v>
      </c>
      <c r="IJ12" s="593">
        <f>'Proy 2021 vs 2019 Sem'!FL11*$DN$4</f>
        <v>14169.816514000004</v>
      </c>
      <c r="IK12" s="735">
        <v>14792.14</v>
      </c>
      <c r="IL12" s="700">
        <f t="shared" si="661"/>
        <v>0.82469597178299769</v>
      </c>
      <c r="IM12" s="593">
        <f>'Proy 2021 vs 2019 Sem'!FK11*$DR$4</f>
        <v>20498.830400000003</v>
      </c>
      <c r="IN12" s="593">
        <f>'Proy 2021 vs 2019 Sem'!FL11*$DR$4</f>
        <v>16194.076016000003</v>
      </c>
      <c r="IO12" s="1410">
        <v>22491.11</v>
      </c>
      <c r="IP12" s="700">
        <f t="shared" si="662"/>
        <v>1.0971899157719749</v>
      </c>
      <c r="IQ12" s="593">
        <f>'Proy 2021 vs 2019 Sem'!FK11*$IT$4</f>
        <v>28185.891800000001</v>
      </c>
      <c r="IR12" s="593">
        <f>'Proy 2021 vs 2019 Sem'!FL11*$IT$4</f>
        <v>22266.854522000001</v>
      </c>
      <c r="IS12" s="735">
        <v>27955.91</v>
      </c>
      <c r="IT12" s="700">
        <f t="shared" si="663"/>
        <v>0.99184053491612423</v>
      </c>
      <c r="IU12" s="579">
        <f t="shared" si="664"/>
        <v>128117.69</v>
      </c>
      <c r="IV12" s="574">
        <f t="shared" si="665"/>
        <v>101212.97510000001</v>
      </c>
      <c r="IW12" s="765">
        <f t="shared" si="666"/>
        <v>106839.32</v>
      </c>
      <c r="IX12" s="761">
        <f t="shared" si="667"/>
        <v>0.83391544134147289</v>
      </c>
      <c r="IY12" s="593">
        <f>'Proy 2021 vs 2019 Sem'!FP11*$JB$4</f>
        <v>12516.217199999999</v>
      </c>
      <c r="IZ12" s="593">
        <f>'Proy 2021 vs 2019 Sem'!FQ11*$JB$4</f>
        <v>9512.3250719999996</v>
      </c>
      <c r="JA12" s="735">
        <v>7135.1</v>
      </c>
      <c r="JB12" s="700">
        <f t="shared" si="668"/>
        <v>0.57006840693049021</v>
      </c>
      <c r="JC12" s="593">
        <f>'Proy 2021 vs 2019 Sem'!FP11*$JF$4</f>
        <v>12516.217199999999</v>
      </c>
      <c r="JD12" s="593">
        <f>'Proy 2021 vs 2019 Sem'!FQ11*$JF$4</f>
        <v>9512.3250719999996</v>
      </c>
      <c r="JE12" s="735">
        <v>10813.67</v>
      </c>
      <c r="JF12" s="700">
        <f t="shared" si="669"/>
        <v>0.86397270255105518</v>
      </c>
      <c r="JG12" s="593">
        <f>'Proy 2021 vs 2019 Sem'!FP11*$JJ$4</f>
        <v>12516.217199999999</v>
      </c>
      <c r="JH12" s="593">
        <f>'Proy 2021 vs 2019 Sem'!FQ11*$JJ$4</f>
        <v>9512.3250719999996</v>
      </c>
      <c r="JI12" s="735">
        <v>11269.01</v>
      </c>
      <c r="JJ12" s="700">
        <f t="shared" si="670"/>
        <v>0.900352704010282</v>
      </c>
      <c r="JK12" s="593">
        <f>'Proy 2021 vs 2019 Sem'!FP11*$JN$4</f>
        <v>12516.217199999999</v>
      </c>
      <c r="JL12" s="593">
        <f>'Proy 2021 vs 2019 Sem'!FQ11*$JN$4</f>
        <v>9512.3250719999996</v>
      </c>
      <c r="JM12" s="735">
        <v>11355.66</v>
      </c>
      <c r="JN12" s="700">
        <f t="shared" si="671"/>
        <v>0.90727572225256692</v>
      </c>
      <c r="JO12" s="593">
        <f>'Proy 2021 vs 2019 Sem'!FP11*$JR$4</f>
        <v>14602.253400000001</v>
      </c>
      <c r="JP12" s="593">
        <f>'Proy 2021 vs 2019 Sem'!FQ11*$JR$4</f>
        <v>11097.712584000001</v>
      </c>
      <c r="JQ12" s="735">
        <v>15762.69</v>
      </c>
      <c r="JR12" s="700">
        <f t="shared" si="672"/>
        <v>1.0794696933556844</v>
      </c>
      <c r="JS12" s="593">
        <f>'Proy 2021 vs 2019 Sem'!FP11*$JV$4</f>
        <v>16688.2896</v>
      </c>
      <c r="JT12" s="593">
        <f>'Proy 2021 vs 2019 Sem'!FQ11*$JV$4</f>
        <v>12683.100096</v>
      </c>
      <c r="JU12" s="735">
        <v>17345.93</v>
      </c>
      <c r="JV12" s="700">
        <f t="shared" si="673"/>
        <v>1.0394072979174571</v>
      </c>
      <c r="JW12" s="593">
        <f>'Proy 2021 vs 2019 Sem'!FP11*$JZ$4</f>
        <v>22946.3982</v>
      </c>
      <c r="JX12" s="593">
        <f>'Proy 2021 vs 2019 Sem'!FQ11*$JZ$4</f>
        <v>17439.262632000002</v>
      </c>
      <c r="JY12" s="735">
        <v>17325.599999999999</v>
      </c>
      <c r="JZ12" s="700">
        <f t="shared" si="674"/>
        <v>0.7550466024772462</v>
      </c>
      <c r="KA12" s="579">
        <f t="shared" si="675"/>
        <v>104301.81</v>
      </c>
      <c r="KB12" s="574">
        <f t="shared" si="676"/>
        <v>79269.375599999999</v>
      </c>
      <c r="KC12" s="770">
        <f t="shared" si="677"/>
        <v>91007.66</v>
      </c>
      <c r="KD12" s="761">
        <f t="shared" si="678"/>
        <v>0.87254152157091047</v>
      </c>
      <c r="KE12" s="593">
        <f>'Proy 2021 vs 2019 Sem'!FY11*$KH$4</f>
        <v>13012.124399999999</v>
      </c>
      <c r="KF12" s="593">
        <f>'Proy 2021 vs 2019 Sem'!FZ11*$KH$4</f>
        <v>9759.0932999999986</v>
      </c>
      <c r="KG12" s="735">
        <v>7935.62</v>
      </c>
      <c r="KH12" s="700">
        <f t="shared" si="679"/>
        <v>0.60986352082523898</v>
      </c>
      <c r="KI12" s="593">
        <f>'Proy 2021 vs 2019 Sem'!FY11*$KL$4</f>
        <v>13012.124399999999</v>
      </c>
      <c r="KJ12" s="593">
        <f>'Proy 2021 vs 2019 Sem'!FZ11*$KL$4</f>
        <v>9759.0932999999986</v>
      </c>
      <c r="KK12" s="735">
        <v>13946.95</v>
      </c>
      <c r="KL12" s="700">
        <f t="shared" si="680"/>
        <v>1.0718426577600197</v>
      </c>
      <c r="KM12" s="593">
        <f>'Proy 2021 vs 2019 Sem'!FY11*$KP$4</f>
        <v>13012.124399999999</v>
      </c>
      <c r="KN12" s="593">
        <f>'Proy 2021 vs 2019 Sem'!FZ11*$KP$4</f>
        <v>9759.0932999999986</v>
      </c>
      <c r="KO12" s="735">
        <v>8210.56</v>
      </c>
      <c r="KP12" s="700">
        <f t="shared" si="681"/>
        <v>0.63099304522480593</v>
      </c>
      <c r="KQ12" s="593">
        <f>'Proy 2021 vs 2019 Sem'!FY11*$KT$4</f>
        <v>13012.124399999999</v>
      </c>
      <c r="KR12" s="593">
        <f>'Proy 2021 vs 2019 Sem'!FZ11*$KT$4</f>
        <v>9759.0932999999986</v>
      </c>
      <c r="KS12" s="735">
        <v>11750.96</v>
      </c>
      <c r="KT12" s="700">
        <f t="shared" si="682"/>
        <v>0.90307774801169283</v>
      </c>
      <c r="KU12" s="593">
        <f>'Proy 2021 vs 2019 Sem'!FY11*$KX$4</f>
        <v>15180.811800000001</v>
      </c>
      <c r="KV12" s="593">
        <f>'Proy 2021 vs 2019 Sem'!FZ11*$KX$4</f>
        <v>11385.608850000001</v>
      </c>
      <c r="KW12" s="735">
        <v>10322.120000000001</v>
      </c>
      <c r="KX12" s="700">
        <f t="shared" si="683"/>
        <v>0.67994519239083118</v>
      </c>
      <c r="KY12" s="593">
        <f>'Proy 2021 vs 2019 Sem'!FY11*$LB$4</f>
        <v>17349.499199999998</v>
      </c>
      <c r="KZ12" s="593">
        <f>'Proy 2021 vs 2019 Sem'!FZ11*$LB$4</f>
        <v>13012.124400000001</v>
      </c>
      <c r="LA12" s="735">
        <v>13577.99</v>
      </c>
      <c r="LB12" s="700">
        <f t="shared" si="684"/>
        <v>0.78261567342531713</v>
      </c>
      <c r="LC12" s="593">
        <f>'Proy 2021 vs 2019 Sem'!FY11*$LF$4</f>
        <v>23855.561399999999</v>
      </c>
      <c r="LD12" s="593">
        <f>'Proy 2021 vs 2019 Sem'!FZ11*$LF$4</f>
        <v>17891.671050000001</v>
      </c>
      <c r="LE12" s="735">
        <v>19001.849999999999</v>
      </c>
      <c r="LF12" s="700">
        <f t="shared" si="685"/>
        <v>0.79653753191488508</v>
      </c>
      <c r="LG12" s="579">
        <f t="shared" si="686"/>
        <v>108434.37</v>
      </c>
      <c r="LH12" s="574">
        <f t="shared" si="687"/>
        <v>81325.777499999997</v>
      </c>
      <c r="LI12" s="793">
        <f t="shared" si="688"/>
        <v>84746.049999999988</v>
      </c>
      <c r="LJ12" s="786">
        <f t="shared" si="689"/>
        <v>0.78154232832265258</v>
      </c>
      <c r="LK12" s="593">
        <f>'Proy 2021 vs 2019 Sem'!GD11*$LN$4</f>
        <v>14462.908799999999</v>
      </c>
      <c r="LL12" s="593">
        <f>'Proy 2021 vs 2019 Sem'!GE11*$LN$4</f>
        <v>11714.956128000002</v>
      </c>
      <c r="LM12" s="735">
        <v>9238.41</v>
      </c>
      <c r="LN12" s="700">
        <f t="shared" si="690"/>
        <v>0.63876569559783158</v>
      </c>
      <c r="LO12" s="593">
        <f>'Proy 2021 vs 2019 Sem'!GD11*$LR$4</f>
        <v>14462.908799999999</v>
      </c>
      <c r="LP12" s="593">
        <f>'Proy 2021 vs 2019 Sem'!GE11*$LR$4</f>
        <v>11714.956128000002</v>
      </c>
      <c r="LQ12" s="735">
        <v>13697.98</v>
      </c>
      <c r="LR12" s="700">
        <f t="shared" si="691"/>
        <v>0.94711099886075478</v>
      </c>
      <c r="LS12" s="593">
        <f>'Proy 2021 vs 2019 Sem'!GD11*$LV$4</f>
        <v>14462.908799999999</v>
      </c>
      <c r="LT12" s="593">
        <f>'Proy 2021 vs 2019 Sem'!GE11*$LV$4</f>
        <v>11714.956128000002</v>
      </c>
      <c r="LU12" s="735">
        <v>11181.01</v>
      </c>
      <c r="LV12" s="700">
        <f t="shared" si="692"/>
        <v>0.77308169156124396</v>
      </c>
      <c r="LW12" s="593">
        <f>'Proy 2021 vs 2019 Sem'!GD11*$LZ$4</f>
        <v>14462.908799999999</v>
      </c>
      <c r="LX12" s="593">
        <f>'Proy 2021 vs 2019 Sem'!GE11*$LZ$4</f>
        <v>11714.956128000002</v>
      </c>
      <c r="LY12" s="735">
        <v>11419.54</v>
      </c>
      <c r="LZ12" s="700">
        <f t="shared" si="693"/>
        <v>0.78957422451561066</v>
      </c>
      <c r="MA12" s="593">
        <f>'Proy 2021 vs 2019 Sem'!GD11*$MD$4</f>
        <v>16873.393600000003</v>
      </c>
      <c r="MB12" s="593">
        <f>'Proy 2021 vs 2019 Sem'!GE11*$MD$4</f>
        <v>13667.448816000002</v>
      </c>
      <c r="MC12" s="735">
        <v>11261.96</v>
      </c>
      <c r="MD12" s="700">
        <f t="shared" si="694"/>
        <v>0.66743894363964795</v>
      </c>
      <c r="ME12" s="593">
        <f>'Proy 2021 vs 2019 Sem'!GD11*$MH$4</f>
        <v>19283.878400000001</v>
      </c>
      <c r="MF12" s="593">
        <f>'Proy 2021 vs 2019 Sem'!GE11*$MH$4</f>
        <v>15619.941504000002</v>
      </c>
      <c r="MG12" s="735">
        <v>13978.27</v>
      </c>
      <c r="MH12" s="700">
        <f t="shared" si="695"/>
        <v>0.72486818834120004</v>
      </c>
      <c r="MI12" s="593">
        <f>'Proy 2021 vs 2019 Sem'!GD11*$ML$4</f>
        <v>26515.3328</v>
      </c>
      <c r="MJ12" s="593">
        <f>'Proy 2021 vs 2019 Sem'!GE11*$ML$4</f>
        <v>21477.419568000001</v>
      </c>
      <c r="MK12" s="735">
        <v>18831.73</v>
      </c>
      <c r="ML12" s="700">
        <f t="shared" si="696"/>
        <v>0.71022038991718783</v>
      </c>
      <c r="MM12" s="579">
        <f t="shared" si="697"/>
        <v>120524.24</v>
      </c>
      <c r="MN12" s="574">
        <f t="shared" si="698"/>
        <v>97624.63440000001</v>
      </c>
      <c r="MO12" s="794">
        <f t="shared" si="699"/>
        <v>89608.9</v>
      </c>
      <c r="MP12" s="786">
        <f t="shared" si="700"/>
        <v>0.74349276129017694</v>
      </c>
      <c r="MQ12" s="593">
        <f>'Proy 2021 vs 2019 Sem'!GI11*$MT$4</f>
        <v>14066.4156</v>
      </c>
      <c r="MR12" s="593">
        <f>'Proy 2021 vs 2019 Sem'!GJ11*$MT$4</f>
        <v>11253.13248</v>
      </c>
      <c r="MS12" s="735">
        <v>6324.36</v>
      </c>
      <c r="MT12" s="700">
        <f t="shared" si="701"/>
        <v>0.44960707687322987</v>
      </c>
      <c r="MU12" s="593">
        <f>'Proy 2021 vs 2019 Sem'!GI11*$MX$4</f>
        <v>14066.4156</v>
      </c>
      <c r="MV12" s="593">
        <f>'Proy 2021 vs 2019 Sem'!GJ11*$MX$4</f>
        <v>11253.13248</v>
      </c>
      <c r="MW12" s="735">
        <v>8917.31</v>
      </c>
      <c r="MX12" s="700">
        <f t="shared" si="702"/>
        <v>0.63394330535776289</v>
      </c>
      <c r="MY12" s="593">
        <f>'Proy 2021 vs 2019 Sem'!GI11*$NB$4</f>
        <v>14066.4156</v>
      </c>
      <c r="MZ12" s="593">
        <f>'Proy 2021 vs 2019 Sem'!GJ11*$NB$4</f>
        <v>11253.13248</v>
      </c>
      <c r="NA12" s="735">
        <v>11720.36</v>
      </c>
      <c r="NB12" s="700">
        <f t="shared" si="703"/>
        <v>0.83321581938756317</v>
      </c>
      <c r="NC12" s="593">
        <f>'Proy 2021 vs 2019 Sem'!GI11*$NF$4</f>
        <v>14066.4156</v>
      </c>
      <c r="ND12" s="593">
        <f>'Proy 2021 vs 2019 Sem'!GJ11*$NF$4</f>
        <v>11253.13248</v>
      </c>
      <c r="NE12" s="735">
        <v>9940.44</v>
      </c>
      <c r="NF12" s="700">
        <f t="shared" si="704"/>
        <v>0.70667896375818728</v>
      </c>
      <c r="NG12" s="593">
        <f>'Proy 2021 vs 2019 Sem'!GI11*$NJ$4</f>
        <v>16410.818200000002</v>
      </c>
      <c r="NH12" s="593">
        <f>'Proy 2021 vs 2019 Sem'!GJ11*$NJ$4</f>
        <v>13128.654560000003</v>
      </c>
      <c r="NI12" s="735">
        <v>10358.81</v>
      </c>
      <c r="NJ12" s="700">
        <f t="shared" si="705"/>
        <v>0.63121837520569202</v>
      </c>
      <c r="NK12" s="593">
        <f>'Proy 2021 vs 2019 Sem'!GI11*$NN$4</f>
        <v>18755.220800000003</v>
      </c>
      <c r="NL12" s="593">
        <f>'Proy 2021 vs 2019 Sem'!GJ11*$NN$4</f>
        <v>15004.176640000001</v>
      </c>
      <c r="NM12" s="735">
        <v>14470.43</v>
      </c>
      <c r="NN12" s="700">
        <f t="shared" si="706"/>
        <v>0.77154143661161256</v>
      </c>
      <c r="NO12" s="593">
        <f>'Proy 2021 vs 2019 Sem'!GI11*$NR$4</f>
        <v>25788.428600000003</v>
      </c>
      <c r="NP12" s="593">
        <f>'Proy 2021 vs 2019 Sem'!GJ11*$NR$4</f>
        <v>20630.742880000002</v>
      </c>
      <c r="NQ12" s="735">
        <v>27994.400000000001</v>
      </c>
      <c r="NR12" s="700">
        <f t="shared" si="707"/>
        <v>1.085541132971553</v>
      </c>
      <c r="NS12" s="579">
        <f t="shared" si="708"/>
        <v>117220.13000000002</v>
      </c>
      <c r="NT12" s="574">
        <f t="shared" si="709"/>
        <v>93776.104000000007</v>
      </c>
      <c r="NU12" s="794">
        <f t="shared" si="710"/>
        <v>89726.11</v>
      </c>
      <c r="NV12" s="786">
        <f t="shared" si="711"/>
        <v>0.76544967148560561</v>
      </c>
      <c r="NW12" s="593">
        <f>'Proy 2021 vs 2019 Sem'!GN11*$NZ$4</f>
        <v>12179.230799999999</v>
      </c>
      <c r="NX12" s="593">
        <f>'Proy 2021 vs 2019 Sem'!GO11*$NZ$4</f>
        <v>8890.8384839999999</v>
      </c>
      <c r="NY12" s="735">
        <v>6027.86</v>
      </c>
      <c r="NZ12" s="700">
        <f t="shared" si="712"/>
        <v>0.49492944989596549</v>
      </c>
      <c r="OA12" s="593">
        <f>'Proy 2021 vs 2019 Sem'!GN11*$OD$4</f>
        <v>12179.230799999999</v>
      </c>
      <c r="OB12" s="593">
        <f>'Proy 2021 vs 2019 Sem'!GO11*$OD$4</f>
        <v>8890.8384839999999</v>
      </c>
      <c r="OC12" s="735">
        <v>6830.91</v>
      </c>
      <c r="OD12" s="700">
        <f t="shared" si="713"/>
        <v>0.56086546943506488</v>
      </c>
      <c r="OE12" s="593">
        <f>'Proy 2021 vs 2019 Sem'!GN11*$OH$4</f>
        <v>12179.230799999999</v>
      </c>
      <c r="OF12" s="593">
        <f>'Proy 2021 vs 2019 Sem'!GO11*$OH$4</f>
        <v>8890.8384839999999</v>
      </c>
      <c r="OG12" s="735">
        <v>7895.23</v>
      </c>
      <c r="OH12" s="700">
        <f t="shared" si="714"/>
        <v>0.64825358264825728</v>
      </c>
      <c r="OI12" s="593">
        <f>'Proy 2021 vs 2019 Sem'!GN11*$OL$4</f>
        <v>12179.230799999999</v>
      </c>
      <c r="OJ12" s="593">
        <f>'Proy 2021 vs 2019 Sem'!GO11*$OL$4</f>
        <v>8890.8384839999999</v>
      </c>
      <c r="OK12" s="735">
        <v>14114.23</v>
      </c>
      <c r="OL12" s="700">
        <f t="shared" si="715"/>
        <v>1.1588769629031088</v>
      </c>
      <c r="OM12" s="593">
        <f>'Proy 2021 vs 2019 Sem'!GN11*$OP$4</f>
        <v>14209.1026</v>
      </c>
      <c r="ON12" s="593">
        <f>'Proy 2021 vs 2019 Sem'!GO11*$OP$4</f>
        <v>10372.644898</v>
      </c>
      <c r="OO12" s="735">
        <v>15689.24</v>
      </c>
      <c r="OP12" s="700">
        <f t="shared" si="716"/>
        <v>1.1041682533842778</v>
      </c>
      <c r="OQ12" s="593">
        <f>'Proy 2021 vs 2019 Sem'!GN11*$JV$4</f>
        <v>16238.974399999999</v>
      </c>
      <c r="OR12" s="593">
        <f>'Proy 2021 vs 2019 Sem'!GO11*$JV$4</f>
        <v>11854.451311999999</v>
      </c>
      <c r="OS12" s="735">
        <v>14707.56</v>
      </c>
      <c r="OT12" s="700">
        <f t="shared" si="717"/>
        <v>0.90569512813567832</v>
      </c>
      <c r="OU12" s="593">
        <f>'Proy 2021 vs 2019 Sem'!GN11*$OX$4</f>
        <v>22328.589799999998</v>
      </c>
      <c r="OV12" s="593">
        <f>'Proy 2021 vs 2019 Sem'!GO11*$OX$4</f>
        <v>16299.870553999999</v>
      </c>
      <c r="OW12" s="735">
        <v>30808.18</v>
      </c>
      <c r="OX12" s="700">
        <f t="shared" si="718"/>
        <v>1.3797638039819247</v>
      </c>
      <c r="OY12" s="579">
        <f t="shared" si="719"/>
        <v>101493.59</v>
      </c>
      <c r="OZ12" s="574">
        <f t="shared" si="720"/>
        <v>74090.320699999997</v>
      </c>
      <c r="PA12" s="785">
        <f t="shared" si="721"/>
        <v>96073.209999999992</v>
      </c>
      <c r="PB12" s="786">
        <f t="shared" si="722"/>
        <v>0.94659386863741835</v>
      </c>
      <c r="PC12" s="593">
        <f>'Proy 2021 vs 2019 Sem'!GW11*$PF$4</f>
        <v>13971.72</v>
      </c>
      <c r="PD12" s="593">
        <f>'Proy 2021 vs 2019 Sem'!GX11*$PF$4</f>
        <v>10618.5072</v>
      </c>
      <c r="PE12" s="735">
        <v>7954.42</v>
      </c>
      <c r="PF12" s="700">
        <f t="shared" si="723"/>
        <v>0.56932288937940356</v>
      </c>
      <c r="PG12" s="593">
        <f>'Proy 2021 vs 2019 Sem'!GW11*$PJ$4</f>
        <v>13971.72</v>
      </c>
      <c r="PH12" s="593">
        <f>'Proy 2021 vs 2019 Sem'!GX11*$PJ$4</f>
        <v>10618.5072</v>
      </c>
      <c r="PI12" s="735">
        <v>18186.560000000001</v>
      </c>
      <c r="PJ12" s="700">
        <f t="shared" si="724"/>
        <v>1.3016693721317063</v>
      </c>
      <c r="PK12" s="593">
        <f>'Proy 2021 vs 2019 Sem'!GW11*'Vtas Diarias 2021'!$PN$4</f>
        <v>13971.72</v>
      </c>
      <c r="PL12" s="593">
        <f>'Proy 2021 vs 2019 Sem'!GX11*'Vtas Diarias 2021'!$PN$4</f>
        <v>10618.5072</v>
      </c>
      <c r="PM12" s="735">
        <v>13875.89</v>
      </c>
      <c r="PN12" s="700">
        <f t="shared" si="725"/>
        <v>0.99314114511312857</v>
      </c>
      <c r="PO12" s="593">
        <f>'Proy 2021 vs 2019 Sem'!GW11*$PR$4</f>
        <v>13971.72</v>
      </c>
      <c r="PP12" s="593">
        <f>'Proy 2021 vs 2019 Sem'!GX11*$PR$4</f>
        <v>10618.5072</v>
      </c>
      <c r="PQ12" s="735">
        <v>9472.5499999999993</v>
      </c>
      <c r="PR12" s="700">
        <f t="shared" si="726"/>
        <v>0.67798023435911969</v>
      </c>
      <c r="PS12" s="593">
        <f>'Proy 2021 vs 2019 Sem'!GW11*$PV$4</f>
        <v>16300.340000000002</v>
      </c>
      <c r="PT12" s="593">
        <f>'Proy 2021 vs 2019 Sem'!GX11*$PV$4</f>
        <v>12388.258400000001</v>
      </c>
      <c r="PU12" s="735">
        <v>10330.92</v>
      </c>
      <c r="PV12" s="700">
        <f t="shared" si="727"/>
        <v>0.63378555293938643</v>
      </c>
      <c r="PW12" s="593">
        <f>'Proy 2021 vs 2019 Sem'!GW11*PZ$4</f>
        <v>18628.96</v>
      </c>
      <c r="PX12" s="593">
        <f>'Proy 2021 vs 2019 Sem'!GX11*$PZ$4</f>
        <v>14158.009599999999</v>
      </c>
      <c r="PY12" s="735">
        <v>12883.2</v>
      </c>
      <c r="PZ12" s="700">
        <f t="shared" si="728"/>
        <v>0.69156839673282899</v>
      </c>
      <c r="QA12" s="593">
        <f>'Proy 2021 vs 2019 Sem'!GW11*$QD$4</f>
        <v>25614.82</v>
      </c>
      <c r="QB12" s="593">
        <f>'Proy 2021 vs 2019 Sem'!GX11*$QD$4</f>
        <v>19467.263200000001</v>
      </c>
      <c r="QC12" s="735">
        <v>21340.61</v>
      </c>
      <c r="QD12" s="700">
        <f t="shared" si="729"/>
        <v>0.83313527090957507</v>
      </c>
      <c r="QE12" s="579">
        <f t="shared" si="730"/>
        <v>116431</v>
      </c>
      <c r="QF12" s="574">
        <f t="shared" si="731"/>
        <v>88487.56</v>
      </c>
      <c r="QG12" s="729">
        <f t="shared" si="732"/>
        <v>94044.15</v>
      </c>
      <c r="QH12" s="711">
        <f t="shared" si="733"/>
        <v>0.80772431740687611</v>
      </c>
      <c r="QI12" s="578">
        <f>'Proy 2021 vs 2019 Sem'!HB11*$QL$4</f>
        <v>14109.111599999998</v>
      </c>
      <c r="QJ12" s="611">
        <f>'Proy 2021 vs 2019 Sem'!UG11*$AL$4</f>
        <v>0</v>
      </c>
      <c r="QK12" s="735">
        <v>5766.44</v>
      </c>
      <c r="QL12" s="700">
        <f t="shared" si="734"/>
        <v>0.40870326661814771</v>
      </c>
      <c r="QM12" s="593">
        <f>'Proy 2021 vs 2019 Sem'!HB11*$QP$4</f>
        <v>14109.111599999998</v>
      </c>
      <c r="QN12" s="593">
        <f>'Proy 2021 vs 2019 Sem'!UG11*$AP$4</f>
        <v>0</v>
      </c>
      <c r="QO12" s="735">
        <v>12926.98</v>
      </c>
      <c r="QP12" s="700">
        <f t="shared" si="735"/>
        <v>0.91621502235477403</v>
      </c>
      <c r="QQ12" s="593">
        <f>'Proy 2021 vs 2019 Sem'!HB11*$QT$4</f>
        <v>14109.111599999998</v>
      </c>
      <c r="QR12" s="593">
        <f>'Proy 2021 vs 2019 Sem'!HC11*$QT$4</f>
        <v>11287.289280000001</v>
      </c>
      <c r="QS12" s="735">
        <v>11220.66</v>
      </c>
      <c r="QT12" s="700">
        <f t="shared" si="736"/>
        <v>0.79527757084294393</v>
      </c>
      <c r="QU12" s="593">
        <f>'Proy 2021 vs 2019 Sem'!HB11*$QX$4</f>
        <v>14109.111599999998</v>
      </c>
      <c r="QV12" s="593">
        <f>'Proy 2021 vs 2019 Sem'!HC11*$QX$4</f>
        <v>11287.289280000001</v>
      </c>
      <c r="QW12" s="735">
        <v>8656.07</v>
      </c>
      <c r="QX12" s="700">
        <f t="shared" si="737"/>
        <v>0.6135092162712783</v>
      </c>
      <c r="QY12" s="593">
        <f>'Proy 2021 vs 2019 Sem'!HB11*$RB$4</f>
        <v>16460.6302</v>
      </c>
      <c r="QZ12" s="593">
        <f>'Proy 2021 vs 2019 Sem'!HC11*$RB$4</f>
        <v>13168.504160000002</v>
      </c>
      <c r="RA12" s="735">
        <v>11486.31</v>
      </c>
      <c r="RB12" s="700">
        <f t="shared" si="738"/>
        <v>0.69780499655474915</v>
      </c>
      <c r="RC12" s="593">
        <f>'Proy 2021 vs 2019 Sem'!HB11*$RF$4</f>
        <v>18812.148799999999</v>
      </c>
      <c r="RD12" s="593">
        <f>'Proy 2021 vs 2019 Sem'!HC11*$RF$4</f>
        <v>15049.719040000002</v>
      </c>
      <c r="RE12" s="735">
        <v>10538.56</v>
      </c>
      <c r="RF12" s="700">
        <f t="shared" si="739"/>
        <v>0.56019969393395397</v>
      </c>
      <c r="RG12" s="593">
        <f>'Proy 2021 vs 2019 Sem'!HB11*$RJ$4</f>
        <v>25866.704599999997</v>
      </c>
      <c r="RH12" s="593">
        <f>'Proy 2021 vs 2019 Sem'!HC11*$RJ$4</f>
        <v>20693.363680000002</v>
      </c>
      <c r="RI12" s="735">
        <v>17410.41</v>
      </c>
      <c r="RJ12" s="700">
        <f t="shared" si="740"/>
        <v>0.67308187375364392</v>
      </c>
      <c r="RK12" s="579">
        <f t="shared" si="741"/>
        <v>117575.93</v>
      </c>
      <c r="RL12" s="574">
        <f t="shared" si="742"/>
        <v>71486.165440000012</v>
      </c>
      <c r="RM12" s="730">
        <f t="shared" si="743"/>
        <v>78005.429999999993</v>
      </c>
      <c r="RN12" s="711">
        <f t="shared" si="744"/>
        <v>0.66344727190335639</v>
      </c>
      <c r="RO12" s="593">
        <f>'Proy 2021 vs 2019 Sem'!HG11*$RR$4</f>
        <v>12965.9856</v>
      </c>
      <c r="RP12" s="593">
        <f>'Proy 2021 vs 2019 Sem'!HH11*$RR$4</f>
        <v>10113.468768000001</v>
      </c>
      <c r="RQ12" s="735">
        <v>7361.55</v>
      </c>
      <c r="RR12" s="700">
        <f t="shared" si="745"/>
        <v>0.56775861296652996</v>
      </c>
      <c r="RS12" s="593">
        <f>'Proy 2021 vs 2019 Sem'!HG11*$RV$4</f>
        <v>12965.9856</v>
      </c>
      <c r="RT12" s="593">
        <f>'Proy 2021 vs 2019 Sem'!HH11*$RV$4</f>
        <v>10113.468768000001</v>
      </c>
      <c r="RU12" s="735">
        <v>10902.4</v>
      </c>
      <c r="RV12" s="700">
        <f t="shared" si="746"/>
        <v>0.84084622151670441</v>
      </c>
      <c r="RW12" s="593">
        <f>'Proy 2021 vs 2019 Sem'!HG11*$RZ$4</f>
        <v>12965.9856</v>
      </c>
      <c r="RX12" s="593">
        <f>'Proy 2021 vs 2019 Sem'!HH11*$RZ$4</f>
        <v>10113.468768000001</v>
      </c>
      <c r="RY12" s="735">
        <v>13669.63</v>
      </c>
      <c r="RZ12" s="700">
        <f t="shared" si="747"/>
        <v>1.054268485382245</v>
      </c>
      <c r="SA12" s="593">
        <f>'Proy 2021 vs 2019 Sem'!HG11*$SD$4</f>
        <v>12965.9856</v>
      </c>
      <c r="SB12" s="593">
        <f>'Proy 2021 vs 2019 Sem'!HH11*$SD$4</f>
        <v>10113.468768000001</v>
      </c>
      <c r="SC12" s="735">
        <v>10570.19</v>
      </c>
      <c r="SD12" s="700">
        <f t="shared" si="748"/>
        <v>0.81522456727084447</v>
      </c>
      <c r="SE12" s="593">
        <f>'Proy 2021 vs 2019 Sem'!HG11*$SH$4</f>
        <v>15126.983200000002</v>
      </c>
      <c r="SF12" s="593">
        <f>'Proy 2021 vs 2019 Sem'!HH11*$SH$4</f>
        <v>11799.046896000002</v>
      </c>
      <c r="SG12" s="735">
        <v>6443.87</v>
      </c>
      <c r="SH12" s="700">
        <f t="shared" si="749"/>
        <v>0.42598513628282464</v>
      </c>
      <c r="SI12" s="593">
        <f>'Proy 2021 vs 2019 Sem'!HG11*$SL$4</f>
        <v>17287.980800000001</v>
      </c>
      <c r="SJ12" s="593">
        <f>'Proy 2021 vs 2019 Sem'!HH11*$SL$4</f>
        <v>13484.625024000001</v>
      </c>
      <c r="SK12" s="735">
        <v>14027.12</v>
      </c>
      <c r="SL12" s="700">
        <f t="shared" si="750"/>
        <v>0.81137989232380447</v>
      </c>
      <c r="SM12" s="593">
        <f>'Proy 2021 vs 2019 Sem'!HG11*$SP$4</f>
        <v>23770.973600000001</v>
      </c>
      <c r="SN12" s="593">
        <f>'Proy 2021 vs 2019 Sem'!HH11*$SP$4</f>
        <v>18541.359408</v>
      </c>
      <c r="SO12" s="735">
        <v>17457.98</v>
      </c>
      <c r="SP12" s="700">
        <f t="shared" si="751"/>
        <v>0.73442427280302891</v>
      </c>
      <c r="SQ12" s="579">
        <f t="shared" si="752"/>
        <v>108049.88</v>
      </c>
      <c r="SR12" s="574">
        <f t="shared" si="753"/>
        <v>84278.906400000007</v>
      </c>
      <c r="SS12" s="730">
        <f t="shared" si="754"/>
        <v>80432.740000000005</v>
      </c>
      <c r="ST12" s="711">
        <f t="shared" si="755"/>
        <v>0.74440378832442944</v>
      </c>
      <c r="SU12" s="593">
        <f>'Proy 2021 vs 2019 Sem'!HL11*$SX$4</f>
        <v>12718.7256</v>
      </c>
      <c r="SV12" s="593">
        <f>'Proy 2021 vs 2019 Sem'!HM11*$SX$4</f>
        <v>9666.2314560000013</v>
      </c>
      <c r="SW12" s="735">
        <v>4405.87</v>
      </c>
      <c r="SX12" s="700">
        <f t="shared" si="756"/>
        <v>0.34640813384636587</v>
      </c>
      <c r="SY12" s="593">
        <f>'Proy 2021 vs 2019 Sem'!HL11*$TB$4</f>
        <v>12718.7256</v>
      </c>
      <c r="SZ12" s="593">
        <f>'Proy 2021 vs 2019 Sem'!HM11*$TB$4</f>
        <v>9666.2314560000013</v>
      </c>
      <c r="TA12" s="735">
        <v>10791.87</v>
      </c>
      <c r="TB12" s="700">
        <f t="shared" si="757"/>
        <v>0.84850246317131028</v>
      </c>
      <c r="TC12" s="593">
        <f>'Proy 2021 vs 2019 Sem'!HL11*$TF$4</f>
        <v>12718.7256</v>
      </c>
      <c r="TD12" s="593">
        <f>'Proy 2021 vs 2019 Sem'!HM11*$TF$4</f>
        <v>9666.2314560000013</v>
      </c>
      <c r="TE12" s="735">
        <v>8918.84</v>
      </c>
      <c r="TF12" s="700">
        <f t="shared" si="758"/>
        <v>0.70123692266778681</v>
      </c>
      <c r="TG12" s="593">
        <f>'Proy 2021 vs 2019 Sem'!HL11*$TJ$4</f>
        <v>12718.7256</v>
      </c>
      <c r="TH12" s="593">
        <f>'Proy 2021 vs 2019 Sem'!HM11*$TJ$4</f>
        <v>9666.2314560000013</v>
      </c>
      <c r="TI12" s="735">
        <v>10213.950000000001</v>
      </c>
      <c r="TJ12" s="700">
        <f t="shared" si="759"/>
        <v>0.80306394848238571</v>
      </c>
      <c r="TK12" s="593">
        <f>'Proy 2021 vs 2019 Sem'!HL11*$TN$4</f>
        <v>14838.513200000001</v>
      </c>
      <c r="TL12" s="593">
        <f>'Proy 2021 vs 2019 Sem'!HM11*$TN$4</f>
        <v>11277.270032000002</v>
      </c>
      <c r="TM12" s="735">
        <v>8021.59</v>
      </c>
      <c r="TN12" s="700">
        <f t="shared" si="760"/>
        <v>0.54059257095919822</v>
      </c>
      <c r="TO12" s="593">
        <f>'Proy 2021 vs 2019 Sem'!HL11*$TR$4</f>
        <v>16958.300800000001</v>
      </c>
      <c r="TP12" s="611">
        <f>'Proy 2021 vs 2019 Sem'!HM11*$TR$4</f>
        <v>12888.308608000001</v>
      </c>
      <c r="TQ12" s="735">
        <v>13422.29</v>
      </c>
      <c r="TR12" s="700">
        <f t="shared" si="761"/>
        <v>0.79148790661856883</v>
      </c>
      <c r="TS12" s="593">
        <f>'Proy 2021 vs 2019 Sem'!HL11*$TV$4</f>
        <v>23317.6636</v>
      </c>
      <c r="TT12" s="593">
        <f>'Proy 2021 vs 2019 Sem'!HM11*$TV$4</f>
        <v>17721.424336000004</v>
      </c>
      <c r="TU12" s="735">
        <v>16489.080000000002</v>
      </c>
      <c r="TV12" s="700">
        <f t="shared" si="762"/>
        <v>0.70714975062938989</v>
      </c>
      <c r="TW12" s="579">
        <f t="shared" si="763"/>
        <v>105989.38</v>
      </c>
      <c r="TX12" s="574">
        <f t="shared" si="764"/>
        <v>80551.928800000009</v>
      </c>
      <c r="TY12" s="710">
        <f t="shared" si="765"/>
        <v>72263.489999999991</v>
      </c>
      <c r="TZ12" s="711">
        <f t="shared" si="766"/>
        <v>0.68179934631186623</v>
      </c>
      <c r="UA12" s="593">
        <v>14903.98</v>
      </c>
      <c r="UB12" s="593">
        <f>'Proy 2021 vs 2019 Sem'!HR11*$UD$4</f>
        <v>10738.115088</v>
      </c>
      <c r="UC12" s="735">
        <v>5152.46</v>
      </c>
      <c r="UD12" s="700">
        <f t="shared" si="767"/>
        <v>0.34571034045939408</v>
      </c>
      <c r="UE12" s="593">
        <v>16150.94</v>
      </c>
      <c r="UF12" s="593">
        <f>'Proy 2021 vs 2019 Sem'!HR11*$UH$4</f>
        <v>10738.115088</v>
      </c>
      <c r="UG12" s="735">
        <v>8888.49</v>
      </c>
      <c r="UH12" s="700">
        <f t="shared" si="768"/>
        <v>0.55033886572546242</v>
      </c>
      <c r="UI12" s="593">
        <v>13833.09</v>
      </c>
      <c r="UJ12" s="593">
        <f>'Proy 2021 vs 2019 Sem'!HR11*$UL$4</f>
        <v>10738.115088</v>
      </c>
      <c r="UK12" s="735">
        <v>8818.2099999999991</v>
      </c>
      <c r="UL12" s="700">
        <f t="shared" si="769"/>
        <v>0.63747217722143057</v>
      </c>
      <c r="UM12" s="593">
        <v>11026.43</v>
      </c>
      <c r="UN12" s="593">
        <f>'Proy 2021 vs 2019 Sem'!HR11*$UP$4</f>
        <v>10738.115088</v>
      </c>
      <c r="UO12" s="735">
        <v>6480.44</v>
      </c>
      <c r="UP12" s="700">
        <f t="shared" si="770"/>
        <v>0.58771878114675369</v>
      </c>
      <c r="UQ12" s="593">
        <v>17108.16</v>
      </c>
      <c r="UR12" s="593">
        <f>'Proy 2021 vs 2019 Sem'!HR11*$UT$4</f>
        <v>12527.800936000001</v>
      </c>
      <c r="US12" s="735">
        <v>7873.13</v>
      </c>
      <c r="UT12" s="700">
        <f t="shared" si="771"/>
        <v>0.46019735611544432</v>
      </c>
      <c r="UU12" s="593">
        <v>19368.38</v>
      </c>
      <c r="UV12" s="593">
        <f>'Proy 2021 vs 2019 Sem'!HR11*$UX$4</f>
        <v>14317.486784000001</v>
      </c>
      <c r="UW12" s="735">
        <v>16167.99</v>
      </c>
      <c r="UX12" s="700">
        <f t="shared" si="772"/>
        <v>0.83476212259362936</v>
      </c>
      <c r="UY12" s="593">
        <v>25351.51</v>
      </c>
      <c r="UZ12" s="593">
        <f>'Proy 2021 vs 2019 Sem'!HR11*$VB$4</f>
        <v>19686.544328</v>
      </c>
      <c r="VA12" s="735">
        <v>16068.05</v>
      </c>
      <c r="VB12" s="700">
        <f t="shared" si="773"/>
        <v>0.63381037263658069</v>
      </c>
      <c r="VC12" s="577">
        <f>UA12+UE12+UI12+UM12+UQ12+UU12+UY12</f>
        <v>117742.48999999999</v>
      </c>
      <c r="VD12" s="574">
        <f t="shared" si="774"/>
        <v>89484.292400000006</v>
      </c>
      <c r="VE12" s="710">
        <f t="shared" si="775"/>
        <v>69448.76999999999</v>
      </c>
      <c r="VF12" s="1531">
        <f t="shared" si="776"/>
        <v>0.58983609060756226</v>
      </c>
      <c r="VG12" s="593">
        <v>9477.51</v>
      </c>
      <c r="VH12" s="593">
        <f>'Proy 2021 vs 2019 Sem'!IA11*$VJ$4</f>
        <v>8612.7640679999986</v>
      </c>
      <c r="VI12" s="735">
        <v>5511.68</v>
      </c>
      <c r="VJ12" s="700">
        <f t="shared" si="777"/>
        <v>0.58155359371818127</v>
      </c>
      <c r="VK12" s="593">
        <v>16124.27</v>
      </c>
      <c r="VL12" s="593">
        <f>'Proy 2021 vs 2019 Sem'!IA11*$VN$4</f>
        <v>8612.7640679999986</v>
      </c>
      <c r="VM12" s="735">
        <v>11894.59</v>
      </c>
      <c r="VN12" s="700">
        <f t="shared" si="778"/>
        <v>0.737682388101911</v>
      </c>
      <c r="VO12" s="593">
        <v>13059.95</v>
      </c>
      <c r="VP12" s="593">
        <f>'Proy 2021 vs 2019 Sem'!IA11*$VR$4</f>
        <v>8612.7640679999986</v>
      </c>
      <c r="VQ12" s="735">
        <v>11058.27</v>
      </c>
      <c r="VR12" s="700">
        <f t="shared" si="779"/>
        <v>0.84673141933927765</v>
      </c>
      <c r="VS12" s="593">
        <v>16532.28</v>
      </c>
      <c r="VT12" s="593">
        <f>'Proy 2021 vs 2019 Sem'!IA11*$VV$4</f>
        <v>8612.7640679999986</v>
      </c>
      <c r="VU12" s="735">
        <v>9860.56</v>
      </c>
      <c r="VV12" s="700">
        <f t="shared" si="780"/>
        <v>0.59644283789047847</v>
      </c>
      <c r="VW12" s="593">
        <v>19318.509999999998</v>
      </c>
      <c r="VX12" s="593">
        <f>'Proy 2021 vs 2019 Sem'!IA11*$VZ$4</f>
        <v>10048.224746</v>
      </c>
      <c r="VY12" s="735">
        <v>11480.62</v>
      </c>
      <c r="VZ12" s="700">
        <f t="shared" si="781"/>
        <v>0.59428082186462627</v>
      </c>
      <c r="WA12" s="593">
        <v>19459.23</v>
      </c>
      <c r="WB12" s="593">
        <f>'Proy 2021 vs 2019 Sem'!IA11*$WD$4</f>
        <v>11483.685423999999</v>
      </c>
      <c r="WC12" s="735">
        <v>13803.12</v>
      </c>
      <c r="WD12" s="700">
        <f t="shared" si="782"/>
        <v>0.70933536424617016</v>
      </c>
      <c r="WE12" s="593">
        <v>27677.46</v>
      </c>
      <c r="WF12" s="593">
        <f>'Proy 2021 vs 2019 Sem'!IA11*$WH$4</f>
        <v>15790.067458</v>
      </c>
      <c r="WG12" s="735">
        <v>17097.28</v>
      </c>
      <c r="WH12" s="1538">
        <f t="shared" si="783"/>
        <v>0.61773298561356427</v>
      </c>
      <c r="WI12" s="574">
        <f t="shared" si="784"/>
        <v>55194.009999999995</v>
      </c>
      <c r="WJ12" s="575">
        <f t="shared" si="785"/>
        <v>71773.033899999995</v>
      </c>
      <c r="WK12" s="793">
        <f t="shared" si="786"/>
        <v>80706.12</v>
      </c>
      <c r="WL12" s="786">
        <f t="shared" si="787"/>
        <v>1.4622260640239766</v>
      </c>
      <c r="WM12" s="593">
        <v>12246.73</v>
      </c>
      <c r="WN12" s="593">
        <f>'Proy 2021 vs 2019 Sem'!IF11*$WP$4</f>
        <v>9755.5382160000008</v>
      </c>
      <c r="WO12" s="735">
        <v>10777.73</v>
      </c>
      <c r="WP12" s="700">
        <f t="shared" si="788"/>
        <v>0.88004961324369857</v>
      </c>
      <c r="WQ12" s="593">
        <v>14797.25</v>
      </c>
      <c r="WR12" s="593">
        <f>'Proy 2021 vs 2019 Sem'!IF11*$WT$4</f>
        <v>9755.5382160000008</v>
      </c>
      <c r="WS12" s="735">
        <v>12662.61</v>
      </c>
      <c r="WT12" s="700">
        <f t="shared" si="789"/>
        <v>0.85574076264170706</v>
      </c>
      <c r="WU12" s="593">
        <v>19822.330000000002</v>
      </c>
      <c r="WV12" s="593">
        <f>'Proy 2021 vs 2019 Sem'!IF11*$WX$4</f>
        <v>9755.5382160000008</v>
      </c>
      <c r="WW12" s="735">
        <v>9210.0400000000009</v>
      </c>
      <c r="WX12" s="700">
        <f t="shared" si="790"/>
        <v>0.4646295364873857</v>
      </c>
      <c r="WY12" s="593">
        <v>14430.81</v>
      </c>
      <c r="WZ12" s="593">
        <f>'Proy 2021 vs 2019 Sem'!IF11*$XB$4</f>
        <v>9755.5382160000008</v>
      </c>
      <c r="XA12" s="735">
        <v>6500.06</v>
      </c>
      <c r="XB12" s="700">
        <f t="shared" si="791"/>
        <v>0.45042932448005346</v>
      </c>
      <c r="XC12" s="593">
        <v>18040.07</v>
      </c>
      <c r="XD12" s="1547">
        <f>'Proy 2021 vs 2019 Sem'!IF11*$XF$4</f>
        <v>11381.461252000003</v>
      </c>
      <c r="XE12" s="735">
        <v>11885.09</v>
      </c>
      <c r="XF12" s="700">
        <f t="shared" si="792"/>
        <v>0.65881617975983464</v>
      </c>
      <c r="XG12" s="593">
        <v>24343.53</v>
      </c>
      <c r="XH12" s="593">
        <f>'Proy 2021 vs 2019 Sem'!IF11*$XJ$4</f>
        <v>13007.384288000001</v>
      </c>
      <c r="XI12" s="735">
        <v>13922.72</v>
      </c>
      <c r="XJ12" s="700">
        <f t="shared" si="793"/>
        <v>0.5719269144614606</v>
      </c>
      <c r="XK12" s="593">
        <v>29591.66</v>
      </c>
      <c r="XL12" s="593">
        <f>'Proy 2021 vs 2019 Sem'!IF11*$XN$4</f>
        <v>17885.153396000002</v>
      </c>
      <c r="XM12" s="735">
        <v>21334.98</v>
      </c>
      <c r="XN12" s="700">
        <f t="shared" si="794"/>
        <v>0.72097949219476032</v>
      </c>
      <c r="XO12" s="579">
        <f t="shared" si="795"/>
        <v>133272.38</v>
      </c>
      <c r="XP12" s="574">
        <f t="shared" si="796"/>
        <v>81296.151800000007</v>
      </c>
      <c r="XQ12" s="794">
        <f t="shared" si="797"/>
        <v>86293.23</v>
      </c>
      <c r="XR12" s="786">
        <f t="shared" si="798"/>
        <v>0.64749522744322563</v>
      </c>
      <c r="XS12" s="593">
        <v>9724.2900000000009</v>
      </c>
      <c r="XT12" s="593">
        <f>'Proy 2021 vs 2019 Sem'!IK11*$XV$4</f>
        <v>9531.6095999999998</v>
      </c>
      <c r="XU12" s="735">
        <v>6261.78</v>
      </c>
      <c r="XV12" s="700">
        <f t="shared" si="799"/>
        <v>0.64393184489561694</v>
      </c>
      <c r="XW12" s="593">
        <v>12931.49</v>
      </c>
      <c r="XX12" s="593">
        <f>'Proy 2021 vs 2019 Sem'!IK11*$XZ$4</f>
        <v>9531.6095999999998</v>
      </c>
      <c r="XY12" s="735">
        <v>13381.99</v>
      </c>
      <c r="XZ12" s="700">
        <f t="shared" si="800"/>
        <v>1.0348374394597992</v>
      </c>
      <c r="YA12" s="593">
        <v>16672.240000000002</v>
      </c>
      <c r="YB12" s="593">
        <f>'Proy 2021 vs 2019 Sem'!IK11*$YD$4</f>
        <v>9531.6095999999998</v>
      </c>
      <c r="YC12" s="735">
        <v>8892.77</v>
      </c>
      <c r="YD12" s="700">
        <f t="shared" si="801"/>
        <v>0.53338783510793986</v>
      </c>
      <c r="YE12" s="593">
        <v>14758.32</v>
      </c>
      <c r="YF12" s="593">
        <f>'Proy 2021 vs 2019 Sem'!IK11*$YH$4</f>
        <v>9531.6095999999998</v>
      </c>
      <c r="YG12" s="735">
        <v>12371.78</v>
      </c>
      <c r="YH12" s="700">
        <f t="shared" si="802"/>
        <v>0.83829189230210488</v>
      </c>
      <c r="YI12" s="593">
        <v>16398.88</v>
      </c>
      <c r="YJ12" s="593">
        <f>'Proy 2021 vs 2019 Sem'!IK11*$YL$4</f>
        <v>11120.211200000002</v>
      </c>
      <c r="YK12" s="735">
        <v>25015.96</v>
      </c>
      <c r="YL12" s="700">
        <f t="shared" si="803"/>
        <v>1.525467592908784</v>
      </c>
      <c r="YM12" s="593">
        <v>20432.009999999998</v>
      </c>
      <c r="YN12" s="593">
        <f>'Proy 2021 vs 2019 Sem'!IK11*$YP$4</f>
        <v>12708.8128</v>
      </c>
      <c r="YO12" s="735">
        <v>19765.12</v>
      </c>
      <c r="YP12" s="700">
        <f t="shared" si="804"/>
        <v>0.96736052889559077</v>
      </c>
      <c r="YQ12" s="593">
        <v>33192.269999999997</v>
      </c>
      <c r="YR12" s="593">
        <f>'Proy 2021 vs 2019 Sem'!IK11*$YT$4</f>
        <v>17474.617600000001</v>
      </c>
      <c r="YS12" s="735">
        <v>27874.92</v>
      </c>
      <c r="YT12" s="700">
        <f t="shared" si="805"/>
        <v>0.83980155620570696</v>
      </c>
      <c r="YU12" s="579">
        <f t="shared" si="806"/>
        <v>124109.5</v>
      </c>
      <c r="YV12" s="574">
        <f t="shared" si="807"/>
        <v>79430.080000000002</v>
      </c>
      <c r="YW12" s="794">
        <f t="shared" si="808"/>
        <v>113564.31999999999</v>
      </c>
      <c r="YX12" s="786">
        <f t="shared" si="809"/>
        <v>0.91503325692231452</v>
      </c>
      <c r="YY12" s="593">
        <v>14987.16</v>
      </c>
      <c r="YZ12" s="593">
        <f>'Proy 2021 vs 2019 Sem'!IP11*$ZB$4</f>
        <v>14076.801840000002</v>
      </c>
      <c r="ZA12" s="735">
        <v>10021.42</v>
      </c>
      <c r="ZB12" s="700">
        <f t="shared" si="810"/>
        <v>0.6686670456577497</v>
      </c>
      <c r="ZC12" s="593">
        <v>18337.650000000001</v>
      </c>
      <c r="ZD12" s="593">
        <f>'Proy 2021 vs 2019 Sem'!IP11*$ZF$4</f>
        <v>14076.801840000002</v>
      </c>
      <c r="ZE12" s="735">
        <v>15829.33</v>
      </c>
      <c r="ZF12" s="700">
        <f t="shared" si="811"/>
        <v>0.86321475216289978</v>
      </c>
      <c r="ZG12" s="593">
        <v>25474.400000000001</v>
      </c>
      <c r="ZH12" s="593">
        <f>'Proy 2021 vs 2019 Sem'!IP11*$ZJ$4</f>
        <v>14076.801840000002</v>
      </c>
      <c r="ZI12" s="735">
        <v>20486.52</v>
      </c>
      <c r="ZJ12" s="700">
        <f t="shared" si="812"/>
        <v>0.80420029519831671</v>
      </c>
      <c r="ZK12" s="593">
        <v>32150.16</v>
      </c>
      <c r="ZL12" s="593">
        <f>'Proy 2021 vs 2019 Sem'!IP11*$ZN$4</f>
        <v>14076.801840000002</v>
      </c>
      <c r="ZM12" s="735">
        <v>18629.78</v>
      </c>
      <c r="ZN12" s="700">
        <f t="shared" si="813"/>
        <v>0.57946150190232326</v>
      </c>
      <c r="ZO12" s="593">
        <v>35805.06</v>
      </c>
      <c r="ZP12" s="593">
        <f>'Proy 2021 vs 2019 Sem'!IP11*$ZR$4</f>
        <v>16422.935480000004</v>
      </c>
      <c r="ZQ12" s="735">
        <v>19470.919999999998</v>
      </c>
      <c r="ZR12" s="700">
        <f t="shared" si="814"/>
        <v>0.5438035853033063</v>
      </c>
      <c r="ZS12" s="593">
        <v>17019.14</v>
      </c>
      <c r="ZT12" s="593">
        <f>'Proy 2021 vs 2019 Sem'!IP11*$ZV$4</f>
        <v>18769.069120000004</v>
      </c>
      <c r="ZU12" s="735">
        <v>22247.79</v>
      </c>
      <c r="ZV12" s="700">
        <f t="shared" si="815"/>
        <v>1.3072217515103584</v>
      </c>
      <c r="ZW12" s="593">
        <v>31311.03</v>
      </c>
      <c r="ZX12" s="593">
        <f>'Proy 2021 vs 2019 Sem'!IP11*$ZZ$4</f>
        <v>25807.470040000004</v>
      </c>
      <c r="ZY12" s="735">
        <v>31572.09</v>
      </c>
      <c r="ZZ12" s="700">
        <f t="shared" si="816"/>
        <v>1.0083376369285839</v>
      </c>
      <c r="AAA12" s="579">
        <f t="shared" si="817"/>
        <v>175084.6</v>
      </c>
      <c r="AAB12" s="574">
        <f t="shared" si="818"/>
        <v>117306.68200000002</v>
      </c>
      <c r="AAC12" s="785">
        <f t="shared" si="819"/>
        <v>138257.85</v>
      </c>
      <c r="AAD12" s="786">
        <f t="shared" si="820"/>
        <v>0.78966311143298729</v>
      </c>
      <c r="AAE12" s="593">
        <v>12054.86</v>
      </c>
      <c r="AAF12" s="593">
        <f>'Proy 2021 vs 2019 Sem'!IY11*$AAH$4</f>
        <v>10855.513920000001</v>
      </c>
      <c r="AAG12" s="735">
        <v>12295.16</v>
      </c>
      <c r="AAH12" s="700">
        <f t="shared" si="821"/>
        <v>1.0199338689955753</v>
      </c>
      <c r="AAI12" s="593">
        <v>14354.46</v>
      </c>
      <c r="AAJ12" s="593">
        <f>'Proy 2021 vs 2019 Sem'!IY11*$AAL$4</f>
        <v>10855.513920000001</v>
      </c>
      <c r="AAK12" s="735">
        <v>11367</v>
      </c>
      <c r="AAL12" s="700">
        <f t="shared" si="822"/>
        <v>0.79187931834426373</v>
      </c>
      <c r="AAM12" s="593">
        <v>13187.5</v>
      </c>
      <c r="AAN12" s="593">
        <f>'Proy 2021 vs 2019 Sem'!IY11*$AAP$4</f>
        <v>10855.513920000001</v>
      </c>
      <c r="AAO12" s="735">
        <v>5403.33</v>
      </c>
      <c r="AAP12" s="700">
        <f t="shared" si="823"/>
        <v>0.40973118483412324</v>
      </c>
      <c r="AAQ12" s="593">
        <v>11840.6</v>
      </c>
      <c r="AAR12" s="593">
        <f>'Proy 2021 vs 2019 Sem'!IY11*$AAT$4</f>
        <v>10855.513920000001</v>
      </c>
      <c r="AAS12" s="735">
        <v>8689.89</v>
      </c>
      <c r="AAT12" s="700">
        <f t="shared" si="824"/>
        <v>0.73390622096853197</v>
      </c>
      <c r="AAU12" s="593">
        <v>16176.36</v>
      </c>
      <c r="AAV12" s="593">
        <f>'Proy 2021 vs 2019 Sem'!IY11*$AAX$4</f>
        <v>12664.766240000003</v>
      </c>
      <c r="AAW12" s="735">
        <v>10777.09</v>
      </c>
      <c r="AAX12" s="700">
        <f t="shared" si="825"/>
        <v>0.66622466364497324</v>
      </c>
      <c r="AAY12" s="593">
        <v>14685.5</v>
      </c>
      <c r="AAZ12" s="593">
        <f>'Proy 2021 vs 2019 Sem'!IY11*$ABB$4</f>
        <v>14474.018560000002</v>
      </c>
      <c r="ABA12" s="735">
        <v>11996.45</v>
      </c>
      <c r="ABB12" s="700">
        <f t="shared" si="826"/>
        <v>0.81689081066357982</v>
      </c>
      <c r="ABC12" s="593">
        <v>30768</v>
      </c>
      <c r="ABD12" s="593">
        <f>'Proy 2021 vs 2019 Sem'!IY11*$ABF$4</f>
        <v>19901.775520000003</v>
      </c>
      <c r="ABE12" s="735">
        <v>21429.67</v>
      </c>
      <c r="ABF12" s="700">
        <f t="shared" si="827"/>
        <v>0.6964921346853874</v>
      </c>
      <c r="ABG12" s="579">
        <f t="shared" si="828"/>
        <v>113067.28</v>
      </c>
      <c r="ABH12" s="574">
        <f t="shared" si="829"/>
        <v>90462.616000000009</v>
      </c>
      <c r="ABI12" s="759">
        <f t="shared" si="830"/>
        <v>81958.59</v>
      </c>
      <c r="ABJ12" s="761">
        <f t="shared" si="831"/>
        <v>0.72486567289847248</v>
      </c>
      <c r="ABK12" s="593">
        <v>12019.96</v>
      </c>
      <c r="ABL12" s="593">
        <f>'Proy 2021 vs 2019 Sem'!JD11*$ABN$4</f>
        <v>13101.21984</v>
      </c>
      <c r="ABM12" s="735">
        <v>6155.34</v>
      </c>
      <c r="ABN12" s="700">
        <f t="shared" si="832"/>
        <v>0.51209321828026055</v>
      </c>
      <c r="ABO12" s="593">
        <v>16029.91</v>
      </c>
      <c r="ABP12" s="593">
        <f>'Proy 2021 vs 2019 Sem'!JD11*$ABR$4</f>
        <v>13101.21984</v>
      </c>
      <c r="ABQ12" s="735">
        <v>8422.33</v>
      </c>
      <c r="ABR12" s="700">
        <f t="shared" si="833"/>
        <v>0.52541343026879128</v>
      </c>
      <c r="ABS12" s="593">
        <v>7839.02</v>
      </c>
      <c r="ABT12" s="593">
        <f>'Proy 2021 vs 2019 Sem'!JD11*$ABV$4</f>
        <v>13101.21984</v>
      </c>
      <c r="ABU12" s="735">
        <v>21259.38</v>
      </c>
      <c r="ABV12" s="700">
        <f t="shared" si="834"/>
        <v>2.7119946115713445</v>
      </c>
      <c r="ABW12" s="593">
        <v>16199.94</v>
      </c>
      <c r="ABX12" s="593">
        <f>'Proy 2021 vs 2019 Sem'!JD11*$ABZ$4</f>
        <v>13101.21984</v>
      </c>
      <c r="ABY12" s="735">
        <v>11737.7</v>
      </c>
      <c r="ABZ12" s="700">
        <f t="shared" si="835"/>
        <v>0.72455206624222068</v>
      </c>
      <c r="ACA12" s="593">
        <v>18773.78</v>
      </c>
      <c r="ACB12" s="593">
        <f>'Proy 2021 vs 2019 Sem'!JD11*$ACD$4</f>
        <v>15284.756480000004</v>
      </c>
      <c r="ACC12" s="735">
        <v>11298.45</v>
      </c>
      <c r="ACD12" s="700">
        <f t="shared" si="836"/>
        <v>0.6018207308277822</v>
      </c>
      <c r="ACE12" s="593">
        <v>24640.080000000002</v>
      </c>
      <c r="ACF12" s="593">
        <f>'Proy 2021 vs 2019 Sem'!JD11*$ACH$4</f>
        <v>17468.293120000002</v>
      </c>
      <c r="ACG12" s="735">
        <v>14256.58</v>
      </c>
      <c r="ACH12" s="700">
        <f t="shared" si="837"/>
        <v>0.57859308898347728</v>
      </c>
      <c r="ACI12" s="593">
        <v>40949.24</v>
      </c>
      <c r="ACJ12" s="593">
        <f>'Proy 2021 vs 2019 Sem'!JD11*$ACL$4</f>
        <v>24018.903040000001</v>
      </c>
      <c r="ACK12" s="735">
        <v>24889.46</v>
      </c>
      <c r="ACL12" s="700">
        <f t="shared" si="838"/>
        <v>0.60781250152627986</v>
      </c>
      <c r="ACM12" s="579">
        <f t="shared" si="839"/>
        <v>136451.93</v>
      </c>
      <c r="ACN12" s="574">
        <f t="shared" si="840"/>
        <v>109176.83200000001</v>
      </c>
      <c r="ACO12" s="765">
        <f t="shared" si="841"/>
        <v>98019.239999999991</v>
      </c>
      <c r="ACP12" s="761">
        <f t="shared" si="842"/>
        <v>0.71834264271674275</v>
      </c>
      <c r="ACQ12" s="593">
        <v>18435.080000000002</v>
      </c>
      <c r="ACR12" s="593">
        <f>'Proy 2021 vs 2019 Sem'!JI11*$ACT$4</f>
        <v>15676.383059999998</v>
      </c>
      <c r="ACS12" s="735">
        <v>9430.4</v>
      </c>
      <c r="ACT12" s="700">
        <f t="shared" si="843"/>
        <v>0.51154646467495657</v>
      </c>
      <c r="ACU12" s="593">
        <v>27578.87</v>
      </c>
      <c r="ACV12" s="593">
        <f>'Proy 2021 vs 2019 Sem'!JI11*$ACX$4</f>
        <v>15676.383059999998</v>
      </c>
      <c r="ACW12" s="735">
        <v>17482.27</v>
      </c>
      <c r="ACX12" s="700">
        <f t="shared" si="844"/>
        <v>0.63390088136315959</v>
      </c>
      <c r="ACY12" s="593">
        <v>14386.5</v>
      </c>
      <c r="ACZ12" s="593">
        <f>'Proy 2021 vs 2019 Sem'!JI11*$ADB$4</f>
        <v>15676.383059999998</v>
      </c>
      <c r="ADA12" s="735">
        <v>14207.22</v>
      </c>
      <c r="ADB12" s="700">
        <f t="shared" si="845"/>
        <v>0.98753831717234908</v>
      </c>
      <c r="ADC12" s="593">
        <v>21234.95</v>
      </c>
      <c r="ADD12" s="593">
        <f>'Proy 2021 vs 2019 Sem'!JI11*$ADF$4</f>
        <v>15676.383059999998</v>
      </c>
      <c r="ADE12" s="735">
        <v>12717.83</v>
      </c>
      <c r="ADF12" s="700">
        <f t="shared" si="846"/>
        <v>0.59891028705035798</v>
      </c>
      <c r="ADG12" s="593">
        <v>19094.599999999999</v>
      </c>
      <c r="ADH12" s="593">
        <f>'Proy 2021 vs 2019 Sem'!JI11*$ADJ$4</f>
        <v>18289.113570000001</v>
      </c>
      <c r="ADI12" s="735">
        <v>20955.75</v>
      </c>
      <c r="ADJ12" s="700">
        <f t="shared" si="847"/>
        <v>1.0974699653305124</v>
      </c>
      <c r="ADK12" s="593">
        <v>20563.45</v>
      </c>
      <c r="ADL12" s="593">
        <f>'Proy 2021 vs 2019 Sem'!JI11*$ADN$4</f>
        <v>20901.844079999999</v>
      </c>
      <c r="ADM12" s="735">
        <v>13013.77</v>
      </c>
      <c r="ADN12" s="700">
        <f t="shared" si="848"/>
        <v>0.63285927215520743</v>
      </c>
      <c r="ADO12" s="593">
        <v>32315.14</v>
      </c>
      <c r="ADP12" s="593">
        <f>'Proy 2021 vs 2019 Sem'!JI11*$ADR$4</f>
        <v>28740.035609999999</v>
      </c>
      <c r="ADQ12" s="735">
        <v>21433.15</v>
      </c>
      <c r="ADR12" s="700">
        <f t="shared" si="849"/>
        <v>0.66325412794126848</v>
      </c>
      <c r="ADS12" s="579">
        <f t="shared" si="850"/>
        <v>153608.59</v>
      </c>
      <c r="ADT12" s="574">
        <f t="shared" si="851"/>
        <v>130636.52549999999</v>
      </c>
      <c r="ADU12" s="765">
        <f t="shared" si="852"/>
        <v>109240.39000000001</v>
      </c>
      <c r="ADV12" s="761">
        <f t="shared" si="853"/>
        <v>0.71116068443828573</v>
      </c>
      <c r="ADW12" s="593">
        <v>14226.54</v>
      </c>
      <c r="ADX12" s="593">
        <f>'Proy 2021 vs 2019 Sem'!JN11*$ADZ$4</f>
        <v>16704.888299999999</v>
      </c>
      <c r="ADY12" s="735">
        <v>7356.76</v>
      </c>
      <c r="ADZ12" s="700">
        <f t="shared" si="854"/>
        <v>0.51711519455890187</v>
      </c>
      <c r="AEA12" s="593">
        <v>16158.63</v>
      </c>
      <c r="AEB12" s="593">
        <f>'Proy 2021 vs 2019 Sem'!JN11*$AED$4</f>
        <v>16704.888299999999</v>
      </c>
      <c r="AEC12" s="735">
        <v>12307</v>
      </c>
      <c r="AED12" s="700">
        <f t="shared" si="855"/>
        <v>0.76163635159663912</v>
      </c>
      <c r="AEE12" s="593">
        <v>21362.98</v>
      </c>
      <c r="AEF12" s="593">
        <f>'Proy 2021 vs 2019 Sem'!JN11*$AEH$4</f>
        <v>16704.888299999999</v>
      </c>
      <c r="AEG12" s="735">
        <v>11839</v>
      </c>
      <c r="AEH12" s="700">
        <f t="shared" si="856"/>
        <v>0.55418298383465225</v>
      </c>
      <c r="AEI12" s="593">
        <v>15809.34</v>
      </c>
      <c r="AEJ12" s="593">
        <f>'Proy 2021 vs 2019 Sem'!JN11*$AEL$4</f>
        <v>16704.888299999999</v>
      </c>
      <c r="AEK12" s="735">
        <v>18353</v>
      </c>
      <c r="AEL12" s="700">
        <f t="shared" si="857"/>
        <v>1.1608960272851365</v>
      </c>
      <c r="AEM12" s="593">
        <v>25617.5</v>
      </c>
      <c r="AEN12" s="593">
        <f>'Proy 2021 vs 2019 Sem'!JN11*$AEP$4</f>
        <v>19489.036350000002</v>
      </c>
      <c r="AEO12" s="735">
        <v>16100</v>
      </c>
      <c r="AEP12" s="700">
        <f t="shared" si="858"/>
        <v>0.62847662730555287</v>
      </c>
      <c r="AEQ12" s="593">
        <v>30212.76</v>
      </c>
      <c r="AER12" s="593">
        <f>'Proy 2021 vs 2019 Sem'!JN11*$AET$4</f>
        <v>22273.184399999998</v>
      </c>
      <c r="AES12" s="735">
        <v>21951</v>
      </c>
      <c r="AET12" s="700">
        <f t="shared" si="859"/>
        <v>0.7265473263614447</v>
      </c>
      <c r="AEU12" s="593">
        <v>62191.18</v>
      </c>
      <c r="AEV12" s="593">
        <f>'Proy 2021 vs 2019 Sem'!JN11*$AEX$4</f>
        <v>30625.628549999998</v>
      </c>
      <c r="AEW12" s="735">
        <v>49345</v>
      </c>
      <c r="AEX12" s="700">
        <f t="shared" si="860"/>
        <v>0.7934404846475015</v>
      </c>
      <c r="AEY12" s="579">
        <f t="shared" si="861"/>
        <v>185578.93</v>
      </c>
      <c r="AEZ12" s="574">
        <f t="shared" si="862"/>
        <v>139207.4025</v>
      </c>
      <c r="AFA12" s="770">
        <f t="shared" si="863"/>
        <v>137251.76</v>
      </c>
      <c r="AFB12" s="761">
        <f t="shared" si="864"/>
        <v>0.7395869778966826</v>
      </c>
      <c r="AFC12" s="593">
        <v>17110.95</v>
      </c>
      <c r="AFD12" s="593">
        <f>'Proy 2021 vs 2019 Sem'!JX11*$AFF$4</f>
        <v>24448.796399999996</v>
      </c>
      <c r="AFE12" s="735">
        <v>12064</v>
      </c>
      <c r="AFF12" s="700">
        <f t="shared" si="865"/>
        <v>0.70504559945531953</v>
      </c>
      <c r="AFG12" s="593">
        <v>35314.22</v>
      </c>
      <c r="AFH12" s="593">
        <f>'Proy 2021 vs 2019 Sem'!JX11*$AFJ$4</f>
        <v>24448.796399999996</v>
      </c>
      <c r="AFI12" s="735">
        <v>23168.75</v>
      </c>
      <c r="AFJ12" s="700">
        <f t="shared" si="866"/>
        <v>0.65607423864947323</v>
      </c>
      <c r="AFK12" s="593">
        <v>29903.81</v>
      </c>
      <c r="AFL12" s="593">
        <f>'Proy 2021 vs 2019 Sem'!JX11*$AFN$4</f>
        <v>24448.796399999996</v>
      </c>
      <c r="AFM12" s="735">
        <v>31035.29</v>
      </c>
      <c r="AFN12" s="700">
        <f t="shared" si="867"/>
        <v>1.0378373190573376</v>
      </c>
      <c r="AFO12" s="593">
        <v>37998.129999999997</v>
      </c>
      <c r="AFP12" s="593">
        <f>'Proy 2021 vs 2019 Sem'!JX11*$AFR$4</f>
        <v>24448.796399999996</v>
      </c>
      <c r="AFQ12" s="735">
        <v>27968.07</v>
      </c>
      <c r="AFR12" s="700">
        <f t="shared" si="868"/>
        <v>0.73603806292572826</v>
      </c>
      <c r="AFS12" s="593">
        <v>40063.42</v>
      </c>
      <c r="AFT12" s="593">
        <f>'Proy 2021 vs 2019 Sem'!JX11*$AFV$4</f>
        <v>28523.595799999999</v>
      </c>
      <c r="AFU12" s="735">
        <v>26798.31</v>
      </c>
      <c r="AFV12" s="700">
        <f t="shared" si="869"/>
        <v>0.66889721346804643</v>
      </c>
      <c r="AFW12" s="593">
        <v>55102.09</v>
      </c>
      <c r="AFX12" s="593">
        <f>'Proy 2021 vs 2019 Sem'!JX11*$AFZ$4</f>
        <v>32598.395199999995</v>
      </c>
      <c r="AFY12" s="735">
        <v>29709.02</v>
      </c>
      <c r="AFZ12" s="700">
        <f t="shared" si="870"/>
        <v>0.53916321504320441</v>
      </c>
      <c r="AGA12" s="593">
        <v>77549.98</v>
      </c>
      <c r="AGB12" s="593">
        <f>'Proy 2021 vs 2019 Sem'!JX11*$AGD$4</f>
        <v>44822.793399999995</v>
      </c>
      <c r="AGC12" s="735">
        <v>45754.06</v>
      </c>
      <c r="AGD12" s="700">
        <f t="shared" si="871"/>
        <v>0.58999447839960761</v>
      </c>
      <c r="AGE12" s="579">
        <f t="shared" si="872"/>
        <v>293042.59999999998</v>
      </c>
      <c r="AGF12" s="574">
        <f t="shared" si="873"/>
        <v>203739.96999999997</v>
      </c>
      <c r="AGG12" s="729">
        <f t="shared" si="874"/>
        <v>196497.5</v>
      </c>
      <c r="AGH12" s="711">
        <f t="shared" si="875"/>
        <v>0.67054243990464191</v>
      </c>
      <c r="AGI12" s="593">
        <v>45357.87</v>
      </c>
      <c r="AGJ12" s="593">
        <f>'Proy 2021 vs 2019 Sem'!KC11*$AGL$4</f>
        <v>29647.421159999994</v>
      </c>
      <c r="AGK12" s="735">
        <v>18977.78</v>
      </c>
      <c r="AGL12" s="700">
        <f t="shared" si="876"/>
        <v>0.41840104043686349</v>
      </c>
      <c r="AGM12" s="593">
        <v>32149.63</v>
      </c>
      <c r="AGN12" s="593">
        <f>'Proy 2021 vs 2019 Sem'!KC11*$AGP$4</f>
        <v>29647.421159999994</v>
      </c>
      <c r="AGO12" s="735">
        <v>23692.33</v>
      </c>
      <c r="AGP12" s="700">
        <f t="shared" si="877"/>
        <v>0.73693942978503957</v>
      </c>
      <c r="AGQ12" s="593">
        <v>41563.78</v>
      </c>
      <c r="AGR12" s="593">
        <f>'Proy 2021 vs 2019 Sem'!KC11*$AGT$4</f>
        <v>29647.421159999994</v>
      </c>
      <c r="AGS12" s="735">
        <v>27804.21</v>
      </c>
      <c r="AGT12" s="700">
        <f t="shared" si="878"/>
        <v>0.66895287194764286</v>
      </c>
      <c r="AGU12" s="593">
        <v>52596.39</v>
      </c>
      <c r="AGV12" s="593">
        <f>'Proy 2021 vs 2019 Sem'!KC11*$AGX$4</f>
        <v>29647.421159999994</v>
      </c>
      <c r="AGW12" s="735">
        <v>26781.83</v>
      </c>
      <c r="AGX12" s="700">
        <f t="shared" si="879"/>
        <v>0.50919521282734426</v>
      </c>
      <c r="AGY12" s="593">
        <v>47417.82</v>
      </c>
      <c r="AGZ12" s="593">
        <f>'Proy 2021 vs 2019 Sem'!KC11*$AHB$4</f>
        <v>34588.658019999995</v>
      </c>
      <c r="AHA12" s="735">
        <v>22451.45</v>
      </c>
      <c r="AHB12" s="700">
        <f t="shared" si="880"/>
        <v>0.47348127771373716</v>
      </c>
      <c r="AHC12" s="593">
        <v>52585.51</v>
      </c>
      <c r="AHD12" s="593">
        <f>'Proy 2021 vs 2019 Sem'!KC11*$AHF$4</f>
        <v>39529.894879999993</v>
      </c>
      <c r="AHE12" s="735">
        <v>31310.65</v>
      </c>
      <c r="AHF12" s="700">
        <f t="shared" si="881"/>
        <v>0.59542353017019323</v>
      </c>
      <c r="AHG12" s="593">
        <v>80968</v>
      </c>
      <c r="AHH12" s="593">
        <f>'Proy 2021 vs 2019 Sem'!KC11*$AHJ$4</f>
        <v>54353.605459999992</v>
      </c>
      <c r="AHI12" s="735">
        <v>49818.07</v>
      </c>
      <c r="AHJ12" s="700">
        <f t="shared" si="882"/>
        <v>0.61528097520007907</v>
      </c>
      <c r="AHK12" s="579">
        <f t="shared" si="883"/>
        <v>352639</v>
      </c>
      <c r="AHL12" s="574">
        <f t="shared" si="884"/>
        <v>247061.84299999994</v>
      </c>
      <c r="AHM12" s="730">
        <f t="shared" si="885"/>
        <v>200836.32</v>
      </c>
      <c r="AHN12" s="711">
        <f t="shared" si="886"/>
        <v>0.56952384733395911</v>
      </c>
      <c r="AHO12" s="593">
        <v>47672.27</v>
      </c>
      <c r="AHP12" s="593">
        <f>'Proy 2021 vs 2019 Sem'!KH11*$AHR$4</f>
        <v>38594.755079999995</v>
      </c>
      <c r="AHQ12" s="735">
        <v>17432.04</v>
      </c>
      <c r="AHR12" s="700">
        <f t="shared" si="887"/>
        <v>0.36566414815153553</v>
      </c>
      <c r="AHS12" s="593">
        <v>57424.959999999999</v>
      </c>
      <c r="AHT12" s="593">
        <f>'Proy 2021 vs 2019 Sem'!KH11*$AHV$4</f>
        <v>38594.755079999995</v>
      </c>
      <c r="AHU12" s="735">
        <v>31655.52</v>
      </c>
      <c r="AHV12" s="700">
        <f t="shared" si="888"/>
        <v>0.55125018807152848</v>
      </c>
      <c r="AHW12" s="593">
        <v>58277.11</v>
      </c>
      <c r="AHX12" s="593">
        <f>'Proy 2021 vs 2019 Sem'!KH11*$AHZ$4</f>
        <v>38594.755079999995</v>
      </c>
      <c r="AHY12" s="735">
        <v>31767.83</v>
      </c>
      <c r="AHZ12" s="700">
        <f t="shared" si="889"/>
        <v>0.54511677054678931</v>
      </c>
      <c r="AIA12" s="593">
        <v>58373.33</v>
      </c>
      <c r="AIB12" s="593">
        <f>'Proy 2021 vs 2019 Sem'!KH11*$AID$4</f>
        <v>38594.755079999995</v>
      </c>
      <c r="AIC12" s="735">
        <v>36144.32</v>
      </c>
      <c r="AID12" s="700">
        <f t="shared" si="890"/>
        <v>0.61919236062085203</v>
      </c>
      <c r="AIE12" s="593">
        <v>58671.41</v>
      </c>
      <c r="AIF12" s="593">
        <f>'Proy 2021 vs 2019 Sem'!KH11*$AIH$4</f>
        <v>45027.214260000001</v>
      </c>
      <c r="AIG12" s="735">
        <v>39069.25</v>
      </c>
      <c r="AIH12" s="700">
        <f t="shared" si="891"/>
        <v>0.6658992855293574</v>
      </c>
      <c r="AII12" s="593">
        <v>69969.22</v>
      </c>
      <c r="AIJ12" s="593">
        <f>'Proy 2021 vs 2019 Sem'!KH11*$AIL$4</f>
        <v>51459.673439999999</v>
      </c>
      <c r="AIK12" s="735">
        <v>41941.14</v>
      </c>
      <c r="AIL12" s="700">
        <f t="shared" si="892"/>
        <v>0.59942271758924848</v>
      </c>
      <c r="AIM12" s="593">
        <v>100455.15</v>
      </c>
      <c r="AIN12" s="593">
        <f>'Proy 2021 vs 2019 Sem'!KH11*$AIP$4</f>
        <v>70757.05098</v>
      </c>
      <c r="AIO12" s="735">
        <v>55385.86</v>
      </c>
      <c r="AIP12" s="700">
        <f t="shared" si="893"/>
        <v>0.55134913441471145</v>
      </c>
      <c r="AIQ12" s="579">
        <f t="shared" si="894"/>
        <v>450843.44999999995</v>
      </c>
      <c r="AIR12" s="574">
        <f t="shared" si="895"/>
        <v>321622.95899999997</v>
      </c>
      <c r="AIS12" s="730">
        <f t="shared" si="896"/>
        <v>253395.95999999996</v>
      </c>
      <c r="AIT12" s="711">
        <f t="shared" si="897"/>
        <v>0.56204866678222787</v>
      </c>
      <c r="AIU12" s="593">
        <f>'Proy 2021 vs 2019 Sem'!KL11*$AIX$4</f>
        <v>40560.319199999998</v>
      </c>
      <c r="AIV12" s="593">
        <f>'Proy 2021 vs 2019 Sem'!KM11*$AIX$4</f>
        <v>49077.986231999996</v>
      </c>
      <c r="AIW12" s="735">
        <v>22020.38</v>
      </c>
      <c r="AIX12" s="700">
        <f t="shared" si="898"/>
        <v>0.54290450455823835</v>
      </c>
      <c r="AIY12" s="593">
        <f>'Proy 2021 vs 2019 Sem'!KL11*$AJB$4</f>
        <v>40560.319199999998</v>
      </c>
      <c r="AIZ12" s="593">
        <f>'Proy 2021 vs 2019 Sem'!KM11*$AJB$4</f>
        <v>49077.986231999996</v>
      </c>
      <c r="AJA12" s="735">
        <v>64766.26</v>
      </c>
      <c r="AJB12" s="700">
        <f t="shared" si="899"/>
        <v>1.596788715607544</v>
      </c>
      <c r="AJC12" s="593">
        <f>'Proy 2021 vs 2019 Sem'!KL11*$AJF$4</f>
        <v>40560.319199999998</v>
      </c>
      <c r="AJD12" s="593">
        <f>'Proy 2021 vs 2019 Sem'!KM11*$AJF$4</f>
        <v>49077.986231999996</v>
      </c>
      <c r="AJE12" s="735">
        <v>69566.5</v>
      </c>
      <c r="AJF12" s="700">
        <f t="shared" si="900"/>
        <v>1.7151368966544032</v>
      </c>
      <c r="AJG12" s="593">
        <f>'Proy 2021 vs 2019 Sem'!KL11*$AJJ$4</f>
        <v>40560.319199999998</v>
      </c>
      <c r="AJH12" s="593">
        <f>'Proy 2021 vs 2019 Sem'!KM11*$AJJ$4</f>
        <v>49077.986231999996</v>
      </c>
      <c r="AJI12" s="735">
        <v>72390.64</v>
      </c>
      <c r="AJJ12" s="700">
        <f t="shared" si="901"/>
        <v>1.7847650469180727</v>
      </c>
      <c r="AJK12" s="593">
        <f>'Proy 2021 vs 2019 Sem'!KL11*$AJN$4</f>
        <v>47320.3724</v>
      </c>
      <c r="AJL12" s="593">
        <f>'Proy 2021 vs 2019 Sem'!KM11*$AJN$4</f>
        <v>57257.650604000002</v>
      </c>
      <c r="AJM12" s="735">
        <v>83803.570000000007</v>
      </c>
      <c r="AJN12" s="700">
        <f t="shared" si="902"/>
        <v>1.7709828927719937</v>
      </c>
      <c r="AJO12" s="593">
        <f>'Proy 2021 vs 2019 Sem'!KL11*$AJR$4</f>
        <v>54080.425599999995</v>
      </c>
      <c r="AJP12" s="593">
        <f>'Proy 2021 vs 2019 Sem'!KM11*$AJR$4</f>
        <v>65437.314975999994</v>
      </c>
      <c r="AJQ12" s="735">
        <v>30488.3</v>
      </c>
      <c r="AJR12" s="700">
        <f t="shared" si="903"/>
        <v>0.56375850710760678</v>
      </c>
      <c r="AJS12" s="593">
        <f>'Proy 2021 vs 2019 Sem'!KL11*$AJV$4</f>
        <v>74360.585200000001</v>
      </c>
      <c r="AJT12" s="593">
        <f>'Proy 2021 vs 2019 Sem'!KM11*$AJV$4</f>
        <v>89976.308091999992</v>
      </c>
      <c r="AJU12" s="699">
        <v>0</v>
      </c>
      <c r="AJV12" s="700">
        <f t="shared" si="904"/>
        <v>0</v>
      </c>
      <c r="AJW12" s="579">
        <f t="shared" si="905"/>
        <v>338002.66000000003</v>
      </c>
      <c r="AJX12" s="574">
        <f t="shared" si="906"/>
        <v>408983.21859999991</v>
      </c>
      <c r="AJY12" s="710">
        <f t="shared" si="907"/>
        <v>343035.65</v>
      </c>
      <c r="AJZ12" s="711">
        <f t="shared" si="908"/>
        <v>1.0148903857738871</v>
      </c>
      <c r="AKA12" s="593">
        <f>'Proy 2021 vs 2019 Sem'!KQ11*$AKD$4</f>
        <v>13721.8344</v>
      </c>
      <c r="AKB12" s="593">
        <f>'Proy 2021 vs 2019 Sem'!KR11*$AKD$4</f>
        <v>10977.46752</v>
      </c>
      <c r="AKC12" s="735">
        <v>8463.76</v>
      </c>
      <c r="AKD12" s="700">
        <f t="shared" si="909"/>
        <v>0.61680965920999609</v>
      </c>
      <c r="AKE12" s="593">
        <f>'Proy 2021 vs 2019 Sem'!KQ11*$AKH$4</f>
        <v>13721.8344</v>
      </c>
      <c r="AKF12" s="593">
        <f>'Proy 2021 vs 2019 Sem'!KR11*$AKH$4</f>
        <v>10977.46752</v>
      </c>
      <c r="AKG12" s="735">
        <v>13747.33</v>
      </c>
      <c r="AKH12" s="700">
        <f t="shared" si="910"/>
        <v>1.0018580314597005</v>
      </c>
      <c r="AKI12" s="593">
        <f>'Proy 2021 vs 2019 Sem'!KQ11*$AKL$4</f>
        <v>13721.8344</v>
      </c>
      <c r="AKJ12" s="593">
        <f>'Proy 2021 vs 2019 Sem'!KR11*$AKL$4</f>
        <v>10977.46752</v>
      </c>
      <c r="AKK12" s="735">
        <v>17195.490000000002</v>
      </c>
      <c r="AKL12" s="700">
        <f t="shared" si="911"/>
        <v>1.2531480484854125</v>
      </c>
      <c r="AKM12" s="593">
        <f>'Proy 2021 vs 2019 Sem'!KQ11*$AKP$4</f>
        <v>13721.8344</v>
      </c>
      <c r="AKN12" s="593">
        <f>'Proy 2021 vs 2019 Sem'!KR11*$AKP$4</f>
        <v>10977.46752</v>
      </c>
      <c r="AKO12" s="735">
        <v>12586.06</v>
      </c>
      <c r="AKP12" s="700">
        <f t="shared" si="912"/>
        <v>0.91722867607263936</v>
      </c>
      <c r="AKQ12" s="593">
        <f>'Proy 2021 vs 2019 Sem'!KQ11*$AKT$4</f>
        <v>16008.8068</v>
      </c>
      <c r="AKR12" s="593">
        <f>'Proy 2021 vs 2019 Sem'!KR11*$AKT$4</f>
        <v>12807.045440000002</v>
      </c>
      <c r="AKS12" s="735">
        <v>19063.77</v>
      </c>
      <c r="AKT12" s="700">
        <f t="shared" si="913"/>
        <v>1.1908301623079116</v>
      </c>
      <c r="AKU12" s="593">
        <f>'Proy 2021 vs 2019 Sem'!KQ11*$AKX$4</f>
        <v>18295.779200000001</v>
      </c>
      <c r="AKV12" s="593">
        <f>'Proy 2021 vs 2019 Sem'!KR11*$AKX$4</f>
        <v>14636.623360000001</v>
      </c>
      <c r="AKW12" s="735">
        <v>11656.05</v>
      </c>
      <c r="AKX12" s="700">
        <f t="shared" si="914"/>
        <v>0.63708956435154174</v>
      </c>
      <c r="AKY12" s="593">
        <f>'Proy 2021 vs 2019 Sem'!KQ11*$ALB$4</f>
        <v>25156.696400000001</v>
      </c>
      <c r="AKZ12" s="593">
        <f>'Proy 2021 vs 2019 Sem'!KR11*$ALB$4</f>
        <v>20125.357120000001</v>
      </c>
      <c r="ALA12" s="699">
        <v>0</v>
      </c>
      <c r="ALB12" s="700">
        <f>ALA12/AKY12</f>
        <v>0</v>
      </c>
      <c r="ALC12" s="579">
        <f t="shared" si="915"/>
        <v>114348.62000000001</v>
      </c>
      <c r="ALD12" s="574">
        <f t="shared" si="916"/>
        <v>91478.896000000008</v>
      </c>
      <c r="ALE12" s="710">
        <f t="shared" si="917"/>
        <v>82712.460000000006</v>
      </c>
      <c r="ALF12" s="711">
        <f t="shared" si="918"/>
        <v>0.72333588284668415</v>
      </c>
    </row>
    <row r="13" spans="2:994" ht="19.5" customHeight="1">
      <c r="B13" s="570" t="s">
        <v>475</v>
      </c>
      <c r="C13" s="574">
        <f>'Proy 2021 vs 2019 Sem'!DX12*$F$4</f>
        <v>2081.0616</v>
      </c>
      <c r="D13" s="576">
        <f>'Proy 2021 vs 2019 Sem'!$DY$12*F4</f>
        <v>4014.7347265161798</v>
      </c>
      <c r="E13" s="735">
        <v>17264.46</v>
      </c>
      <c r="F13" s="700">
        <f t="shared" si="580"/>
        <v>8.2959870097069679</v>
      </c>
      <c r="G13" s="574">
        <f>'Proy 2021 vs 2019 Sem'!DX12*$J$4</f>
        <v>2081.0616</v>
      </c>
      <c r="H13" s="574">
        <f>'Proy 2021 vs 2019 Sem'!$DY$12*J4</f>
        <v>4014.7347265161798</v>
      </c>
      <c r="I13" s="735">
        <v>10287.92</v>
      </c>
      <c r="J13" s="700">
        <f t="shared" si="581"/>
        <v>4.9435922511856445</v>
      </c>
      <c r="K13" s="574">
        <f>'Proy 2021 vs 2019 Sem'!DX12*'Vtas Diarias 2021'!$N$4</f>
        <v>2081.0616</v>
      </c>
      <c r="L13" s="574">
        <f>'Proy 2021 vs 2019 Sem'!$DY$12*N4</f>
        <v>4014.7347265161798</v>
      </c>
      <c r="M13" s="735">
        <v>9074.1299999999992</v>
      </c>
      <c r="N13" s="700">
        <f t="shared" si="582"/>
        <v>4.3603370510512516</v>
      </c>
      <c r="O13" s="574">
        <f>'Proy 2021 vs 2019 Sem'!DX12*$R$4</f>
        <v>2081.0616</v>
      </c>
      <c r="P13" s="574">
        <f>'Proy 2021 vs 2019 Sem'!$DY$12*R4</f>
        <v>4014.7347265161798</v>
      </c>
      <c r="Q13" s="735">
        <v>7778.7</v>
      </c>
      <c r="R13" s="700">
        <f t="shared" si="583"/>
        <v>3.7378518732938995</v>
      </c>
      <c r="S13" s="574">
        <f>'Proy 2021 vs 2019 Sem'!DX12*$V$4</f>
        <v>2427.9052000000001</v>
      </c>
      <c r="T13" s="574">
        <f>'Proy 2021 vs 2019 Sem'!$DY$12*V4</f>
        <v>4683.8571809355435</v>
      </c>
      <c r="U13" s="735">
        <v>7276.5</v>
      </c>
      <c r="V13" s="700">
        <f t="shared" si="584"/>
        <v>2.9970280552963926</v>
      </c>
      <c r="W13" s="574">
        <f>'Proy 2021 vs 2019 Sem'!DX12*$Z$4</f>
        <v>2774.7488000000003</v>
      </c>
      <c r="X13" s="574">
        <f>'Proy 2021 vs 2019 Sem'!$DY$12*Z4</f>
        <v>5352.9796353549073</v>
      </c>
      <c r="Y13" s="735">
        <v>10333</v>
      </c>
      <c r="Z13" s="700">
        <f t="shared" si="585"/>
        <v>3.7239407041098636</v>
      </c>
      <c r="AA13" s="574">
        <f>'Proy 2021 vs 2019 Sem'!DX12*$AD$4</f>
        <v>3815.2796000000003</v>
      </c>
      <c r="AB13" s="574">
        <f>'Proy 2021 vs 2019 Sem'!$DY$12*AD4</f>
        <v>7360.3469986129967</v>
      </c>
      <c r="AC13" s="735">
        <v>17351.54</v>
      </c>
      <c r="AD13" s="700">
        <f t="shared" si="586"/>
        <v>4.5479078387859175</v>
      </c>
      <c r="AE13" s="579">
        <f t="shared" si="587"/>
        <v>17342.180000000004</v>
      </c>
      <c r="AF13" s="574">
        <f t="shared" si="588"/>
        <v>33456.122720968167</v>
      </c>
      <c r="AG13" s="729">
        <f t="shared" si="589"/>
        <v>79366.25</v>
      </c>
      <c r="AH13" s="711">
        <f t="shared" si="590"/>
        <v>4.5764863471605057</v>
      </c>
      <c r="AI13" s="593">
        <f>'Proy 2021 vs 2019 Sem'!EC12*$AL$4</f>
        <v>4200.366</v>
      </c>
      <c r="AJ13" s="611">
        <f>'Proy 2021 vs 2019 Sem'!ED12*$AL$4</f>
        <v>19222.917652077191</v>
      </c>
      <c r="AK13" s="735">
        <v>17946.080000000002</v>
      </c>
      <c r="AL13" s="700">
        <f t="shared" si="591"/>
        <v>4.2725038722816064</v>
      </c>
      <c r="AM13" s="593">
        <f>'Proy 2021 vs 2019 Sem'!EC12*$AP$4</f>
        <v>4200.366</v>
      </c>
      <c r="AN13" s="593">
        <f>'Proy 2021 vs 2019 Sem'!ED12*$AP$4</f>
        <v>19222.917652077191</v>
      </c>
      <c r="AO13" s="735">
        <v>7425.17</v>
      </c>
      <c r="AP13" s="700">
        <f t="shared" si="592"/>
        <v>1.7677435728219875</v>
      </c>
      <c r="AQ13" s="593">
        <f>'Proy 2021 vs 2019 Sem'!EC12*$AT$4</f>
        <v>4200.366</v>
      </c>
      <c r="AR13" s="593">
        <f>'Proy 2021 vs 2019 Sem'!ED12*$AT$4</f>
        <v>19222.917652077191</v>
      </c>
      <c r="AS13" s="735">
        <v>8331.1299999999992</v>
      </c>
      <c r="AT13" s="700">
        <f t="shared" si="593"/>
        <v>1.9834295392353902</v>
      </c>
      <c r="AU13" s="593">
        <f>'Proy 2021 vs 2019 Sem'!EC12*$AX$4</f>
        <v>4200.366</v>
      </c>
      <c r="AV13" s="593">
        <f>'Proy 2021 vs 2019 Sem'!ED12*$AX$4</f>
        <v>19222.917652077191</v>
      </c>
      <c r="AW13" s="735">
        <v>8214.18</v>
      </c>
      <c r="AX13" s="700">
        <f t="shared" si="594"/>
        <v>1.9555867274423229</v>
      </c>
      <c r="AY13" s="593">
        <f>'Proy 2021 vs 2019 Sem'!EC12*$BB$4</f>
        <v>4900.4270000000006</v>
      </c>
      <c r="AZ13" s="593">
        <f>'Proy 2021 vs 2019 Sem'!ED12*$BB$4</f>
        <v>22426.737260756727</v>
      </c>
      <c r="BA13" s="735">
        <v>13010.15</v>
      </c>
      <c r="BB13" s="700">
        <f t="shared" si="595"/>
        <v>2.6549012973767385</v>
      </c>
      <c r="BC13" s="593">
        <f>'Proy 2021 vs 2019 Sem'!EC12*$BF$4</f>
        <v>5600.4880000000003</v>
      </c>
      <c r="BD13" s="593">
        <f>'Proy 2021 vs 2019 Sem'!ED12*$BF$4</f>
        <v>25630.556869436256</v>
      </c>
      <c r="BE13" s="735">
        <v>14374.44</v>
      </c>
      <c r="BF13" s="700">
        <f t="shared" si="596"/>
        <v>2.5666406213172852</v>
      </c>
      <c r="BG13" s="593">
        <f>'Proy 2021 vs 2019 Sem'!EC12*$BJ$4</f>
        <v>7700.6710000000003</v>
      </c>
      <c r="BH13" s="593">
        <f>'Proy 2021 vs 2019 Sem'!ED12*$BJ$4</f>
        <v>35242.015695474853</v>
      </c>
      <c r="BI13" s="735">
        <v>19823.21</v>
      </c>
      <c r="BJ13" s="700">
        <f t="shared" si="597"/>
        <v>2.5742185323850348</v>
      </c>
      <c r="BK13" s="579">
        <f t="shared" si="598"/>
        <v>35003.050000000003</v>
      </c>
      <c r="BL13" s="574">
        <f t="shared" si="599"/>
        <v>160190.9804339766</v>
      </c>
      <c r="BM13" s="730">
        <f t="shared" si="600"/>
        <v>89124.359999999986</v>
      </c>
      <c r="BN13" s="711">
        <f t="shared" si="601"/>
        <v>2.5461884035819731</v>
      </c>
      <c r="BO13" s="593">
        <f>'Proy 2021 vs 2019 Sem'!EH12*$BR$4</f>
        <v>18111.8112</v>
      </c>
      <c r="BP13" s="593">
        <f>'Proy 2021 vs 2019 Sem'!EI12*$BR$4</f>
        <v>12678.26784</v>
      </c>
      <c r="BQ13" s="735">
        <v>14753</v>
      </c>
      <c r="BR13" s="700">
        <f t="shared" si="602"/>
        <v>0.81455133542911484</v>
      </c>
      <c r="BS13" s="593">
        <f>'Proy 2021 vs 2019 Sem'!EH12*$BV$4</f>
        <v>18111.8112</v>
      </c>
      <c r="BT13" s="593">
        <f>'Proy 2021 vs 2019 Sem'!EI12*$BV$4</f>
        <v>12678.26784</v>
      </c>
      <c r="BU13" s="735">
        <v>10658.18</v>
      </c>
      <c r="BV13" s="700">
        <f t="shared" si="603"/>
        <v>0.58846571898894351</v>
      </c>
      <c r="BW13" s="593">
        <f>'Proy 2021 vs 2019 Sem'!EH12*$BZ$4</f>
        <v>18111.8112</v>
      </c>
      <c r="BX13" s="593">
        <f>'Proy 2021 vs 2019 Sem'!EI12*$BZ$4</f>
        <v>12678.26784</v>
      </c>
      <c r="BY13" s="735">
        <v>10004.450000000001</v>
      </c>
      <c r="BZ13" s="700">
        <f t="shared" si="604"/>
        <v>0.55237159274275127</v>
      </c>
      <c r="CA13" s="593">
        <f>'Proy 2021 vs 2019 Sem'!EH12*$CD$4</f>
        <v>18111.8112</v>
      </c>
      <c r="CB13" s="593">
        <f>'Proy 2021 vs 2019 Sem'!EI12*$CD$4</f>
        <v>12678.26784</v>
      </c>
      <c r="CC13" s="735">
        <v>9119.9699999999993</v>
      </c>
      <c r="CD13" s="700">
        <f t="shared" si="605"/>
        <v>0.50353716142977456</v>
      </c>
      <c r="CE13" s="593">
        <f>'Proy 2021 vs 2019 Sem'!EH12*$CH$4</f>
        <v>21130.446400000004</v>
      </c>
      <c r="CF13" s="593">
        <f>'Proy 2021 vs 2019 Sem'!EI12*$CH$4</f>
        <v>14791.312480000002</v>
      </c>
      <c r="CG13" s="735">
        <v>12797.07</v>
      </c>
      <c r="CH13" s="700">
        <f t="shared" si="606"/>
        <v>0.60562232135332439</v>
      </c>
      <c r="CI13" s="593">
        <f>'Proy 2021 vs 2019 Sem'!EH12*$CL$4</f>
        <v>24149.081600000001</v>
      </c>
      <c r="CJ13" s="593">
        <f>'Proy 2021 vs 2019 Sem'!EI12*$CL$4</f>
        <v>16904.357120000001</v>
      </c>
      <c r="CK13" s="735">
        <v>15911.65</v>
      </c>
      <c r="CL13" s="700">
        <f t="shared" si="607"/>
        <v>0.65889255183932127</v>
      </c>
      <c r="CM13" s="593">
        <f>'Proy 2021 vs 2019 Sem'!EH12*$CP$4</f>
        <v>33204.987200000003</v>
      </c>
      <c r="CN13" s="593">
        <f>'Proy 2021 vs 2019 Sem'!EI12*$CP$4</f>
        <v>23243.491040000001</v>
      </c>
      <c r="CO13" s="735">
        <v>22798.87</v>
      </c>
      <c r="CP13" s="700">
        <f t="shared" si="608"/>
        <v>0.68660981143218136</v>
      </c>
      <c r="CQ13" s="579">
        <f t="shared" si="609"/>
        <v>150931.76</v>
      </c>
      <c r="CR13" s="574">
        <f t="shared" si="610"/>
        <v>105652.23199999999</v>
      </c>
      <c r="CS13" s="730">
        <f t="shared" si="611"/>
        <v>96043.19</v>
      </c>
      <c r="CT13" s="711">
        <f t="shared" si="612"/>
        <v>0.63633518882970685</v>
      </c>
      <c r="CU13" s="593">
        <f>'Proy 2021 vs 2019 Sem'!EM12*$CX$4</f>
        <v>19003.2</v>
      </c>
      <c r="CV13" s="593">
        <f>'Proy 2021 vs 2019 Sem'!EN12*$CX$4</f>
        <v>13302.24</v>
      </c>
      <c r="CW13" s="735">
        <v>15465.04</v>
      </c>
      <c r="CX13" s="700">
        <f t="shared" si="613"/>
        <v>0.81381241054138254</v>
      </c>
      <c r="CY13" s="593">
        <f>'Proy 2021 vs 2019 Sem'!EM12*$DB$4</f>
        <v>19003.2</v>
      </c>
      <c r="CZ13" s="593">
        <f>'Proy 2021 vs 2019 Sem'!EN12*$DB$4</f>
        <v>13302.24</v>
      </c>
      <c r="DA13" s="735">
        <v>5187.9399999999996</v>
      </c>
      <c r="DB13" s="700">
        <f t="shared" si="614"/>
        <v>0.27300349414835395</v>
      </c>
      <c r="DC13" s="593">
        <f>'Proy 2021 vs 2019 Sem'!EM12*$DF$4</f>
        <v>19003.2</v>
      </c>
      <c r="DD13" s="593">
        <f>'Proy 2021 vs 2019 Sem'!EN12*$DF$4</f>
        <v>13302.24</v>
      </c>
      <c r="DE13" s="735">
        <v>8628.7999999999993</v>
      </c>
      <c r="DF13" s="700">
        <f t="shared" si="615"/>
        <v>0.4540708933232297</v>
      </c>
      <c r="DG13" s="593">
        <f>'Proy 2021 vs 2019 Sem'!EM12*$DJ$4</f>
        <v>19003.2</v>
      </c>
      <c r="DH13" s="593">
        <f>'Proy 2021 vs 2019 Sem'!EN12*$DJ$4</f>
        <v>13302.24</v>
      </c>
      <c r="DI13" s="735">
        <v>8689.9599999999991</v>
      </c>
      <c r="DJ13" s="700">
        <f t="shared" si="616"/>
        <v>0.45728929864443879</v>
      </c>
      <c r="DK13" s="593">
        <f>'Proy 2021 vs 2019 Sem'!EM12*$DN$4</f>
        <v>22170.400000000001</v>
      </c>
      <c r="DL13" s="593">
        <f>'Proy 2021 vs 2019 Sem'!EN12*$DN$4</f>
        <v>15519.28</v>
      </c>
      <c r="DM13" s="735">
        <v>11691.37</v>
      </c>
      <c r="DN13" s="700">
        <f t="shared" si="617"/>
        <v>0.52734141016851299</v>
      </c>
      <c r="DO13" s="593">
        <f>'Proy 2021 vs 2019 Sem'!EM12*$DR$4</f>
        <v>25337.600000000002</v>
      </c>
      <c r="DP13" s="593">
        <f>'Proy 2021 vs 2019 Sem'!EN12*$DR$4</f>
        <v>17736.32</v>
      </c>
      <c r="DQ13" s="735">
        <v>15022.53</v>
      </c>
      <c r="DR13" s="700">
        <f t="shared" si="618"/>
        <v>0.59289474930538011</v>
      </c>
      <c r="DS13" s="593">
        <f>'Proy 2021 vs 2019 Sem'!EM12*$DV$4</f>
        <v>34839.199999999997</v>
      </c>
      <c r="DT13" s="593">
        <f>'Proy 2021 vs 2019 Sem'!EN12*$DV$4</f>
        <v>24387.439999999999</v>
      </c>
      <c r="DU13" s="735">
        <v>18396.78</v>
      </c>
      <c r="DV13" s="700">
        <f t="shared" si="619"/>
        <v>0.52804829043146806</v>
      </c>
      <c r="DW13" s="579">
        <f t="shared" si="620"/>
        <v>158360</v>
      </c>
      <c r="DX13" s="574">
        <f t="shared" si="621"/>
        <v>110852</v>
      </c>
      <c r="DY13" s="710">
        <f t="shared" si="622"/>
        <v>83082.42</v>
      </c>
      <c r="DZ13" s="711">
        <f t="shared" si="623"/>
        <v>0.52464271280626418</v>
      </c>
      <c r="EA13" s="593">
        <f>'Proy 2021 vs 2019 Sem'!ER12*$ED$4</f>
        <v>17835.307199999999</v>
      </c>
      <c r="EB13" s="593">
        <f>'Proy 2021 vs 2019 Sem'!ES12*$ED$4</f>
        <v>11592.94968</v>
      </c>
      <c r="EC13" s="735">
        <v>18837.16</v>
      </c>
      <c r="ED13" s="700">
        <f t="shared" si="624"/>
        <v>1.0561724442851201</v>
      </c>
      <c r="EE13" s="593">
        <f>'Proy 2021 vs 2019 Sem'!ER12*$EH$4</f>
        <v>17835.307199999999</v>
      </c>
      <c r="EF13" s="593">
        <f>'Proy 2021 vs 2019 Sem'!ES12*$EH$4</f>
        <v>11592.94968</v>
      </c>
      <c r="EG13" s="735">
        <v>8239.98</v>
      </c>
      <c r="EH13" s="700">
        <f t="shared" si="625"/>
        <v>0.46200381678875707</v>
      </c>
      <c r="EI13" s="593">
        <f>'Proy 2021 vs 2019 Sem'!ER12*$EL$4</f>
        <v>17835.307199999999</v>
      </c>
      <c r="EJ13" s="593">
        <f>'Proy 2021 vs 2019 Sem'!ES12*$EL$4</f>
        <v>11592.94968</v>
      </c>
      <c r="EK13" s="735">
        <v>9895.81</v>
      </c>
      <c r="EL13" s="700">
        <f t="shared" si="626"/>
        <v>0.55484382124912324</v>
      </c>
      <c r="EM13" s="593">
        <f>'Proy 2021 vs 2019 Sem'!ER12*$EP$4</f>
        <v>17835.307199999999</v>
      </c>
      <c r="EN13" s="593">
        <f>'Proy 2021 vs 2019 Sem'!ES12*$EP$4</f>
        <v>11592.94968</v>
      </c>
      <c r="EO13" s="735">
        <v>10217.15</v>
      </c>
      <c r="EP13" s="700">
        <f t="shared" si="627"/>
        <v>0.57286089246615279</v>
      </c>
      <c r="EQ13" s="593">
        <f>'Proy 2021 vs 2019 Sem'!ER12*$ET$4</f>
        <v>20807.858400000001</v>
      </c>
      <c r="ER13" s="593">
        <f>'Proy 2021 vs 2019 Sem'!ES12*$ET$4</f>
        <v>13525.107960000001</v>
      </c>
      <c r="ES13" s="735">
        <v>14181.67</v>
      </c>
      <c r="ET13" s="700">
        <f t="shared" si="628"/>
        <v>0.681553561514048</v>
      </c>
      <c r="EU13" s="593">
        <f>'Proy 2021 vs 2019 Sem'!ER12*$EX$4</f>
        <v>23780.409599999999</v>
      </c>
      <c r="EV13" s="593">
        <f>'Proy 2021 vs 2019 Sem'!ES12*$EX$4</f>
        <v>15457.266240000001</v>
      </c>
      <c r="EW13" s="735">
        <v>20167.830000000002</v>
      </c>
      <c r="EX13" s="700">
        <f t="shared" si="629"/>
        <v>0.84808589672063528</v>
      </c>
      <c r="EY13" s="593">
        <f>'Proy 2021 vs 2019 Sem'!ER12*$FB$4</f>
        <v>32698.063200000001</v>
      </c>
      <c r="EZ13" s="593">
        <f>'Proy 2021 vs 2019 Sem'!ES12*$FB$4</f>
        <v>21253.74108</v>
      </c>
      <c r="FA13" s="699">
        <v>17362.400000000001</v>
      </c>
      <c r="FB13" s="700">
        <f t="shared" si="630"/>
        <v>0.53099169494540588</v>
      </c>
      <c r="FC13" s="579">
        <f t="shared" si="631"/>
        <v>148627.56</v>
      </c>
      <c r="FD13" s="574">
        <f t="shared" si="632"/>
        <v>96607.91399999999</v>
      </c>
      <c r="FE13" s="710">
        <f t="shared" si="633"/>
        <v>98902</v>
      </c>
      <c r="FF13" s="711">
        <f t="shared" si="634"/>
        <v>0.66543513194995596</v>
      </c>
      <c r="FG13" s="593">
        <f>'Proy 2021 vs 2019 Sem'!FA12*$FJ$4</f>
        <v>17075.1492</v>
      </c>
      <c r="FH13" s="593">
        <f>'Proy 2021 vs 2019 Sem'!FB12*$FJ$4</f>
        <v>11952.604439999999</v>
      </c>
      <c r="FI13" s="735">
        <v>19799.939999999999</v>
      </c>
      <c r="FJ13" s="700">
        <f t="shared" si="635"/>
        <v>1.1595763977277573</v>
      </c>
      <c r="FK13" s="593">
        <f>'Proy 2021 vs 2019 Sem'!FA12*$FN$4</f>
        <v>17075.1492</v>
      </c>
      <c r="FL13" s="593">
        <f>'Proy 2021 vs 2019 Sem'!FB12*$FN$4</f>
        <v>11952.604439999999</v>
      </c>
      <c r="FM13" s="735">
        <v>10796.87</v>
      </c>
      <c r="FN13" s="700">
        <f t="shared" si="636"/>
        <v>0.63231482627396318</v>
      </c>
      <c r="FO13" s="593">
        <f>'Proy 2021 vs 2019 Sem'!FA12*$FR$4</f>
        <v>17075.1492</v>
      </c>
      <c r="FP13" s="593">
        <f>'Proy 2021 vs 2019 Sem'!FB12*$FR$4</f>
        <v>11952.604439999999</v>
      </c>
      <c r="FQ13" s="735">
        <v>9323.8799999999992</v>
      </c>
      <c r="FR13" s="700">
        <f t="shared" si="637"/>
        <v>0.54604969425391603</v>
      </c>
      <c r="FS13" s="593">
        <f>'Proy 2021 vs 2019 Sem'!FA12*$FV$4</f>
        <v>17075.1492</v>
      </c>
      <c r="FT13" s="593">
        <f>'Proy 2021 vs 2019 Sem'!FB12*$FV$4</f>
        <v>11952.604439999999</v>
      </c>
      <c r="FU13" s="735">
        <v>10228.290000000001</v>
      </c>
      <c r="FV13" s="700">
        <f t="shared" si="638"/>
        <v>0.59901614212542287</v>
      </c>
      <c r="FW13" s="593">
        <f>'Proy 2021 vs 2019 Sem'!FA12*$FZ$4</f>
        <v>19921.007400000002</v>
      </c>
      <c r="FX13" s="593">
        <f>'Proy 2021 vs 2019 Sem'!FB12*$FZ$4</f>
        <v>13944.705180000001</v>
      </c>
      <c r="FY13" s="735">
        <v>9921.77</v>
      </c>
      <c r="FZ13" s="700">
        <f t="shared" si="639"/>
        <v>0.49805563547955911</v>
      </c>
      <c r="GA13" s="593">
        <f>'Proy 2021 vs 2019 Sem'!FA12*$GD$4</f>
        <v>22766.865600000001</v>
      </c>
      <c r="GB13" s="593">
        <f>'Proy 2021 vs 2019 Sem'!FB12*$GD$4</f>
        <v>15936.805920000001</v>
      </c>
      <c r="GC13" s="735">
        <v>13649.93</v>
      </c>
      <c r="GD13" s="700">
        <f t="shared" si="640"/>
        <v>0.59955244783454076</v>
      </c>
      <c r="GE13" s="593">
        <f>'Proy 2021 vs 2019 Sem'!FA12*$GH$4</f>
        <v>31304.440200000001</v>
      </c>
      <c r="GF13" s="593">
        <f>'Proy 2021 vs 2019 Sem'!FB12*$GH$4</f>
        <v>21913.10814</v>
      </c>
      <c r="GG13" s="735">
        <v>20843.13</v>
      </c>
      <c r="GH13" s="700">
        <f t="shared" si="641"/>
        <v>0.66582024360876446</v>
      </c>
      <c r="GI13" s="579">
        <f t="shared" si="642"/>
        <v>142292.91</v>
      </c>
      <c r="GJ13" s="574">
        <f t="shared" si="643"/>
        <v>99605.036999999997</v>
      </c>
      <c r="GK13" s="759">
        <f t="shared" si="644"/>
        <v>94563.81</v>
      </c>
      <c r="GL13" s="761">
        <f t="shared" si="645"/>
        <v>0.66457148146032008</v>
      </c>
      <c r="GM13" s="593">
        <f>'Proy 2021 vs 2019 Sem'!FF12*$GP$4</f>
        <v>16978.885199999997</v>
      </c>
      <c r="GN13" s="593">
        <f>'Proy 2021 vs 2019 Sem'!FG12*$GP$4</f>
        <v>12903.952751999999</v>
      </c>
      <c r="GO13" s="735">
        <v>16685.080000000002</v>
      </c>
      <c r="GP13" s="700">
        <f t="shared" si="646"/>
        <v>0.98269584860612669</v>
      </c>
      <c r="GQ13" s="593">
        <f>'Proy 2021 vs 2019 Sem'!FF12*$GT$4</f>
        <v>16978.885199999997</v>
      </c>
      <c r="GR13" s="593">
        <f>'Proy 2021 vs 2019 Sem'!FG12*$GT$4</f>
        <v>12903.952751999999</v>
      </c>
      <c r="GS13" s="735">
        <v>9176</v>
      </c>
      <c r="GT13" s="700">
        <f t="shared" si="647"/>
        <v>0.54043595276797096</v>
      </c>
      <c r="GU13" s="593">
        <f>'Proy 2021 vs 2019 Sem'!FF12*$GX$4</f>
        <v>16978.885199999997</v>
      </c>
      <c r="GV13" s="593">
        <f>'Proy 2021 vs 2019 Sem'!FG12*$GX$4</f>
        <v>12903.952751999999</v>
      </c>
      <c r="GW13" s="735">
        <v>9092</v>
      </c>
      <c r="GX13" s="700">
        <f t="shared" si="648"/>
        <v>0.53548863149154236</v>
      </c>
      <c r="GY13" s="593">
        <f>'Proy 2021 vs 2019 Sem'!FF12*$HB$4</f>
        <v>16978.885199999997</v>
      </c>
      <c r="GZ13" s="593">
        <f>'Proy 2021 vs 2019 Sem'!FG12*$HB$4</f>
        <v>12903.952751999999</v>
      </c>
      <c r="HA13" s="735">
        <v>12732.75</v>
      </c>
      <c r="HB13" s="700">
        <f t="shared" si="649"/>
        <v>0.74991672598151515</v>
      </c>
      <c r="HC13" s="593">
        <f>'Proy 2021 vs 2019 Sem'!FF12*$HF$4</f>
        <v>19808.699400000001</v>
      </c>
      <c r="HD13" s="593">
        <f>'Proy 2021 vs 2019 Sem'!FG12*$HF$4</f>
        <v>15054.611544000001</v>
      </c>
      <c r="HE13" s="735">
        <v>15721.28</v>
      </c>
      <c r="HF13" s="700">
        <f t="shared" si="650"/>
        <v>0.79365533710910874</v>
      </c>
      <c r="HG13" s="593">
        <f>'Proy 2021 vs 2019 Sem'!FF12*$HJ$4</f>
        <v>22638.513599999998</v>
      </c>
      <c r="HH13" s="593">
        <f>'Proy 2021 vs 2019 Sem'!FG12*$HJ$4</f>
        <v>17205.270336000001</v>
      </c>
      <c r="HI13" s="735">
        <v>14694.41</v>
      </c>
      <c r="HJ13" s="700">
        <f t="shared" si="651"/>
        <v>0.64908899319255664</v>
      </c>
      <c r="HK13" s="593">
        <f>'Proy 2021 vs 2019 Sem'!FF12*$HN$4</f>
        <v>31127.956199999997</v>
      </c>
      <c r="HL13" s="593">
        <f>'Proy 2021 vs 2019 Sem'!FG12*$HN$4</f>
        <v>23657.246712</v>
      </c>
      <c r="HM13" s="735">
        <v>20989.7</v>
      </c>
      <c r="HN13" s="700">
        <f t="shared" si="652"/>
        <v>0.67430382724581206</v>
      </c>
      <c r="HO13" s="579">
        <f t="shared" si="653"/>
        <v>141490.70999999996</v>
      </c>
      <c r="HP13" s="574">
        <f t="shared" si="654"/>
        <v>107532.93960000001</v>
      </c>
      <c r="HQ13" s="765">
        <f t="shared" si="655"/>
        <v>99091.22</v>
      </c>
      <c r="HR13" s="761">
        <f t="shared" si="656"/>
        <v>0.70033728716182164</v>
      </c>
      <c r="HS13" s="593">
        <f>'Proy 2021 vs 2019 Sem'!FK12*$CX$4</f>
        <v>15713.299199999999</v>
      </c>
      <c r="HT13" s="593">
        <f>'Proy 2021 vs 2019 Sem'!FL12*$CX$4</f>
        <v>12413.506368</v>
      </c>
      <c r="HU13" s="735">
        <v>15078.7</v>
      </c>
      <c r="HV13" s="700">
        <f t="shared" si="657"/>
        <v>0.95961387917821872</v>
      </c>
      <c r="HW13" s="593">
        <f>'Proy 2021 vs 2019 Sem'!FK12*$DB$4</f>
        <v>15713.299199999999</v>
      </c>
      <c r="HX13" s="593">
        <f>'Proy 2021 vs 2019 Sem'!FL12*$DB$4</f>
        <v>12413.506368</v>
      </c>
      <c r="HY13" s="735">
        <v>9156.6299999999992</v>
      </c>
      <c r="HZ13" s="700">
        <f t="shared" si="658"/>
        <v>0.58273121917006454</v>
      </c>
      <c r="IA13" s="593">
        <f>'Proy 2021 vs 2019 Sem'!FK12*$DF$4</f>
        <v>15713.299199999999</v>
      </c>
      <c r="IB13" s="593">
        <f>'Proy 2021 vs 2019 Sem'!FL12*$DF$4</f>
        <v>12413.506368</v>
      </c>
      <c r="IC13" s="735">
        <v>9703.7000000000007</v>
      </c>
      <c r="ID13" s="700">
        <f t="shared" si="659"/>
        <v>0.61754695029290863</v>
      </c>
      <c r="IE13" s="593">
        <f>'Proy 2021 vs 2019 Sem'!FK12*$DJ$4</f>
        <v>15713.299199999999</v>
      </c>
      <c r="IF13" s="593">
        <f>'Proy 2021 vs 2019 Sem'!FL12*$DJ$4</f>
        <v>12413.506368</v>
      </c>
      <c r="IG13" s="735">
        <v>15116.69</v>
      </c>
      <c r="IH13" s="700">
        <f t="shared" si="660"/>
        <v>0.96203157641140069</v>
      </c>
      <c r="II13" s="593">
        <f>'Proy 2021 vs 2019 Sem'!FK12*$DN$4</f>
        <v>18332.182400000002</v>
      </c>
      <c r="IJ13" s="593">
        <f>'Proy 2021 vs 2019 Sem'!FL12*$DN$4</f>
        <v>14482.424096000002</v>
      </c>
      <c r="IK13" s="735">
        <v>11429.28</v>
      </c>
      <c r="IL13" s="700">
        <f t="shared" si="661"/>
        <v>0.62345441206170849</v>
      </c>
      <c r="IM13" s="593">
        <f>'Proy 2021 vs 2019 Sem'!FK12*$DR$4</f>
        <v>20951.065600000002</v>
      </c>
      <c r="IN13" s="593">
        <f>'Proy 2021 vs 2019 Sem'!FL12*$DR$4</f>
        <v>16551.341823999999</v>
      </c>
      <c r="IO13" s="1410">
        <v>13362.32</v>
      </c>
      <c r="IP13" s="700">
        <f t="shared" si="662"/>
        <v>0.63778713002550091</v>
      </c>
      <c r="IQ13" s="593">
        <f>'Proy 2021 vs 2019 Sem'!FK12*$IT$4</f>
        <v>28807.715200000002</v>
      </c>
      <c r="IR13" s="593">
        <f>'Proy 2021 vs 2019 Sem'!FL12*$IT$4</f>
        <v>22758.095008</v>
      </c>
      <c r="IS13" s="735">
        <v>16690.849999999999</v>
      </c>
      <c r="IT13" s="700">
        <f t="shared" si="663"/>
        <v>0.57938819111902351</v>
      </c>
      <c r="IU13" s="579">
        <f t="shared" si="664"/>
        <v>130944.16</v>
      </c>
      <c r="IV13" s="574">
        <f t="shared" si="665"/>
        <v>103445.8864</v>
      </c>
      <c r="IW13" s="765">
        <f t="shared" si="666"/>
        <v>90538.170000000013</v>
      </c>
      <c r="IX13" s="761">
        <f t="shared" si="667"/>
        <v>0.69142579554521566</v>
      </c>
      <c r="IY13" s="593">
        <f>'Proy 2021 vs 2019 Sem'!FP12*$JB$4</f>
        <v>16095.421200000001</v>
      </c>
      <c r="IZ13" s="593">
        <f>'Proy 2021 vs 2019 Sem'!FQ12*$JB$4</f>
        <v>12232.520112000002</v>
      </c>
      <c r="JA13" s="735">
        <v>20921.73</v>
      </c>
      <c r="JB13" s="700">
        <f t="shared" si="668"/>
        <v>1.2998560112238629</v>
      </c>
      <c r="JC13" s="593">
        <f>'Proy 2021 vs 2019 Sem'!FP12*$JF$4</f>
        <v>16095.421200000001</v>
      </c>
      <c r="JD13" s="593">
        <f>'Proy 2021 vs 2019 Sem'!FQ12*$JF$4</f>
        <v>12232.520112000002</v>
      </c>
      <c r="JE13" s="735">
        <v>10320.92</v>
      </c>
      <c r="JF13" s="700">
        <f t="shared" si="669"/>
        <v>0.64123329683351182</v>
      </c>
      <c r="JG13" s="593">
        <f>'Proy 2021 vs 2019 Sem'!FP12*$JJ$4</f>
        <v>16095.421200000001</v>
      </c>
      <c r="JH13" s="593">
        <f>'Proy 2021 vs 2019 Sem'!FQ12*$JJ$4</f>
        <v>12232.520112000002</v>
      </c>
      <c r="JI13" s="735">
        <v>11827.67</v>
      </c>
      <c r="JJ13" s="700">
        <f t="shared" si="670"/>
        <v>0.73484687682482019</v>
      </c>
      <c r="JK13" s="593">
        <f>'Proy 2021 vs 2019 Sem'!FP12*$JN$4</f>
        <v>16095.421200000001</v>
      </c>
      <c r="JL13" s="593">
        <f>'Proy 2021 vs 2019 Sem'!FQ12*$JN$4</f>
        <v>12232.520112000002</v>
      </c>
      <c r="JM13" s="735">
        <v>9629.4699999999993</v>
      </c>
      <c r="JN13" s="700">
        <f t="shared" si="671"/>
        <v>0.598273874311534</v>
      </c>
      <c r="JO13" s="593">
        <f>'Proy 2021 vs 2019 Sem'!FP12*$JR$4</f>
        <v>18777.991400000003</v>
      </c>
      <c r="JP13" s="593">
        <f>'Proy 2021 vs 2019 Sem'!FQ12*$JR$4</f>
        <v>14271.273464000004</v>
      </c>
      <c r="JQ13" s="735">
        <v>6689.64</v>
      </c>
      <c r="JR13" s="700">
        <f t="shared" si="672"/>
        <v>0.35624896494520703</v>
      </c>
      <c r="JS13" s="593">
        <f>'Proy 2021 vs 2019 Sem'!FP12*$JV$4</f>
        <v>21460.561600000001</v>
      </c>
      <c r="JT13" s="593">
        <f>'Proy 2021 vs 2019 Sem'!FQ12*$JV$4</f>
        <v>16310.026816000003</v>
      </c>
      <c r="JU13" s="735">
        <v>18375.509999999998</v>
      </c>
      <c r="JV13" s="700">
        <f t="shared" si="673"/>
        <v>0.85624553273573223</v>
      </c>
      <c r="JW13" s="593">
        <f>'Proy 2021 vs 2019 Sem'!FP12*$JZ$4</f>
        <v>29508.272200000003</v>
      </c>
      <c r="JX13" s="593">
        <f>'Proy 2021 vs 2019 Sem'!FQ12*$JZ$4</f>
        <v>22426.286872000004</v>
      </c>
      <c r="JY13" s="735">
        <v>18284.84</v>
      </c>
      <c r="JZ13" s="700">
        <f t="shared" si="674"/>
        <v>0.61965132611186902</v>
      </c>
      <c r="KA13" s="579">
        <f t="shared" si="675"/>
        <v>134128.51</v>
      </c>
      <c r="KB13" s="574">
        <f t="shared" si="676"/>
        <v>101937.66760000002</v>
      </c>
      <c r="KC13" s="770">
        <f t="shared" si="677"/>
        <v>96049.78</v>
      </c>
      <c r="KD13" s="761">
        <f t="shared" si="678"/>
        <v>0.71610263917790473</v>
      </c>
      <c r="KE13" s="593">
        <f>'Proy 2021 vs 2019 Sem'!FY12*$KH$4</f>
        <v>15705.631199999998</v>
      </c>
      <c r="KF13" s="593">
        <f>'Proy 2021 vs 2019 Sem'!FZ12*$KH$4</f>
        <v>11779.223399999999</v>
      </c>
      <c r="KG13" s="735">
        <v>16675.439999999999</v>
      </c>
      <c r="KH13" s="700">
        <f t="shared" si="679"/>
        <v>1.0617491132734609</v>
      </c>
      <c r="KI13" s="593">
        <f>'Proy 2021 vs 2019 Sem'!FY12*$KL$4</f>
        <v>15705.631199999998</v>
      </c>
      <c r="KJ13" s="593">
        <f>'Proy 2021 vs 2019 Sem'!FZ12*$KL$4</f>
        <v>11779.223399999999</v>
      </c>
      <c r="KK13" s="735">
        <v>10166.16</v>
      </c>
      <c r="KL13" s="700">
        <f t="shared" si="680"/>
        <v>0.64729394639038773</v>
      </c>
      <c r="KM13" s="593">
        <f>'Proy 2021 vs 2019 Sem'!FY12*$KP$4</f>
        <v>15705.631199999998</v>
      </c>
      <c r="KN13" s="593">
        <f>'Proy 2021 vs 2019 Sem'!FZ12*$KP$4</f>
        <v>11779.223399999999</v>
      </c>
      <c r="KO13" s="735">
        <v>8470.34</v>
      </c>
      <c r="KP13" s="700">
        <f t="shared" si="681"/>
        <v>0.5393186617039627</v>
      </c>
      <c r="KQ13" s="593">
        <f>'Proy 2021 vs 2019 Sem'!FY12*$KT$4</f>
        <v>15705.631199999998</v>
      </c>
      <c r="KR13" s="593">
        <f>'Proy 2021 vs 2019 Sem'!FZ12*$KT$4</f>
        <v>11779.223399999999</v>
      </c>
      <c r="KS13" s="735">
        <v>9148.76</v>
      </c>
      <c r="KT13" s="700">
        <f t="shared" si="682"/>
        <v>0.582514633350107</v>
      </c>
      <c r="KU13" s="593">
        <f>'Proy 2021 vs 2019 Sem'!FY12*$KX$4</f>
        <v>18323.236400000002</v>
      </c>
      <c r="KV13" s="593">
        <f>'Proy 2021 vs 2019 Sem'!FZ12*$KX$4</f>
        <v>13742.427299999999</v>
      </c>
      <c r="KW13" s="735">
        <v>11143.81</v>
      </c>
      <c r="KX13" s="700">
        <f t="shared" si="683"/>
        <v>0.60817913149884362</v>
      </c>
      <c r="KY13" s="593">
        <f>'Proy 2021 vs 2019 Sem'!FY12*$LB$4</f>
        <v>20940.8416</v>
      </c>
      <c r="KZ13" s="593">
        <f>'Proy 2021 vs 2019 Sem'!FZ12*$LB$4</f>
        <v>15705.6312</v>
      </c>
      <c r="LA13" s="735">
        <v>15386.14</v>
      </c>
      <c r="LB13" s="700">
        <f t="shared" si="684"/>
        <v>0.73474315378040966</v>
      </c>
      <c r="LC13" s="593">
        <f>'Proy 2021 vs 2019 Sem'!FY12*$LF$4</f>
        <v>28793.657199999998</v>
      </c>
      <c r="LD13" s="593">
        <f>'Proy 2021 vs 2019 Sem'!FZ12*$LF$4</f>
        <v>21595.242899999997</v>
      </c>
      <c r="LE13" s="735">
        <v>21239.66</v>
      </c>
      <c r="LF13" s="700">
        <f t="shared" si="685"/>
        <v>0.73765065175534572</v>
      </c>
      <c r="LG13" s="579">
        <f t="shared" si="686"/>
        <v>130880.26</v>
      </c>
      <c r="LH13" s="574">
        <f t="shared" si="687"/>
        <v>98160.194999999992</v>
      </c>
      <c r="LI13" s="793">
        <f t="shared" si="688"/>
        <v>92230.31</v>
      </c>
      <c r="LJ13" s="786">
        <f t="shared" si="689"/>
        <v>0.70469228896702985</v>
      </c>
      <c r="LK13" s="593">
        <f>'Proy 2021 vs 2019 Sem'!GD12*$LN$4</f>
        <v>14156.01</v>
      </c>
      <c r="LL13" s="593">
        <f>'Proy 2021 vs 2019 Sem'!GE12*$LN$4</f>
        <v>11466.3681</v>
      </c>
      <c r="LM13" s="735">
        <v>20777.080000000002</v>
      </c>
      <c r="LN13" s="700">
        <f t="shared" si="690"/>
        <v>1.4677214836666548</v>
      </c>
      <c r="LO13" s="593">
        <f>'Proy 2021 vs 2019 Sem'!GD12*$LR$4</f>
        <v>14156.01</v>
      </c>
      <c r="LP13" s="593">
        <f>'Proy 2021 vs 2019 Sem'!GE12*$LR$4</f>
        <v>11466.3681</v>
      </c>
      <c r="LQ13" s="735">
        <v>7287.01</v>
      </c>
      <c r="LR13" s="700">
        <f t="shared" si="691"/>
        <v>0.51476440042074001</v>
      </c>
      <c r="LS13" s="593">
        <f>'Proy 2021 vs 2019 Sem'!GD12*$LV$4</f>
        <v>14156.01</v>
      </c>
      <c r="LT13" s="593">
        <f>'Proy 2021 vs 2019 Sem'!GE12*$LV$4</f>
        <v>11466.3681</v>
      </c>
      <c r="LU13" s="735">
        <v>8108.11</v>
      </c>
      <c r="LV13" s="700">
        <f t="shared" si="692"/>
        <v>0.57276803280020283</v>
      </c>
      <c r="LW13" s="593">
        <f>'Proy 2021 vs 2019 Sem'!GD12*$LZ$4</f>
        <v>14156.01</v>
      </c>
      <c r="LX13" s="593">
        <f>'Proy 2021 vs 2019 Sem'!GE12*$LZ$4</f>
        <v>11466.3681</v>
      </c>
      <c r="LY13" s="735">
        <v>7576.31</v>
      </c>
      <c r="LZ13" s="700">
        <f t="shared" si="693"/>
        <v>0.53520094998520062</v>
      </c>
      <c r="MA13" s="593">
        <f>'Proy 2021 vs 2019 Sem'!GD12*$MD$4</f>
        <v>16515.345000000001</v>
      </c>
      <c r="MB13" s="593">
        <f>'Proy 2021 vs 2019 Sem'!GE12*$MD$4</f>
        <v>13377.429450000001</v>
      </c>
      <c r="MC13" s="735">
        <v>10145.07</v>
      </c>
      <c r="MD13" s="700">
        <f t="shared" si="694"/>
        <v>0.61428144552838582</v>
      </c>
      <c r="ME13" s="593">
        <f>'Proy 2021 vs 2019 Sem'!GD12*$MH$4</f>
        <v>18874.68</v>
      </c>
      <c r="MF13" s="593">
        <f>'Proy 2021 vs 2019 Sem'!GE12*$MH$4</f>
        <v>15288.490800000001</v>
      </c>
      <c r="MG13" s="735">
        <v>18426.490000000002</v>
      </c>
      <c r="MH13" s="700">
        <f t="shared" si="695"/>
        <v>0.97625443186321581</v>
      </c>
      <c r="MI13" s="593">
        <f>'Proy 2021 vs 2019 Sem'!GD12*$ML$4</f>
        <v>25952.685000000001</v>
      </c>
      <c r="MJ13" s="593">
        <f>'Proy 2021 vs 2019 Sem'!GE12*$ML$4</f>
        <v>21021.674849999999</v>
      </c>
      <c r="MK13" s="735">
        <v>19429.29</v>
      </c>
      <c r="ML13" s="700">
        <f t="shared" si="696"/>
        <v>0.74864277048790906</v>
      </c>
      <c r="MM13" s="579">
        <f t="shared" si="697"/>
        <v>117966.75</v>
      </c>
      <c r="MN13" s="574">
        <f t="shared" si="698"/>
        <v>95553.067500000005</v>
      </c>
      <c r="MO13" s="794">
        <f t="shared" si="699"/>
        <v>91749.360000000015</v>
      </c>
      <c r="MP13" s="786">
        <f t="shared" si="700"/>
        <v>0.77775610500416448</v>
      </c>
      <c r="MQ13" s="593">
        <f>'Proy 2021 vs 2019 Sem'!GI12*$MT$4</f>
        <v>13225.949999999999</v>
      </c>
      <c r="MR13" s="593">
        <f>'Proy 2021 vs 2019 Sem'!GJ12*$MT$4</f>
        <v>10580.76</v>
      </c>
      <c r="MS13" s="735">
        <v>16758.05</v>
      </c>
      <c r="MT13" s="700">
        <f t="shared" si="701"/>
        <v>1.2670583209523703</v>
      </c>
      <c r="MU13" s="593">
        <f>'Proy 2021 vs 2019 Sem'!GI12*$MX$4</f>
        <v>13225.949999999999</v>
      </c>
      <c r="MV13" s="593">
        <f>'Proy 2021 vs 2019 Sem'!GJ12*$MX$4</f>
        <v>10580.76</v>
      </c>
      <c r="MW13" s="735">
        <v>11752.43</v>
      </c>
      <c r="MX13" s="700">
        <f t="shared" si="702"/>
        <v>0.88858872141509693</v>
      </c>
      <c r="MY13" s="593">
        <f>'Proy 2021 vs 2019 Sem'!GI12*$NB$4</f>
        <v>13225.949999999999</v>
      </c>
      <c r="MZ13" s="593">
        <f>'Proy 2021 vs 2019 Sem'!GJ12*$NB$4</f>
        <v>10580.76</v>
      </c>
      <c r="NA13" s="735">
        <v>6519.44</v>
      </c>
      <c r="NB13" s="700">
        <f t="shared" si="703"/>
        <v>0.49292791822137544</v>
      </c>
      <c r="NC13" s="593">
        <f>'Proy 2021 vs 2019 Sem'!GI12*$NF$4</f>
        <v>13225.949999999999</v>
      </c>
      <c r="ND13" s="593">
        <f>'Proy 2021 vs 2019 Sem'!GJ12*$NF$4</f>
        <v>10580.76</v>
      </c>
      <c r="NE13" s="735">
        <v>10287.1</v>
      </c>
      <c r="NF13" s="700">
        <f t="shared" si="704"/>
        <v>0.77779668001164382</v>
      </c>
      <c r="NG13" s="593">
        <f>'Proy 2021 vs 2019 Sem'!GI12*$NJ$4</f>
        <v>15430.275000000001</v>
      </c>
      <c r="NH13" s="593">
        <f>'Proy 2021 vs 2019 Sem'!GJ12*$NJ$4</f>
        <v>12344.220000000001</v>
      </c>
      <c r="NI13" s="735">
        <v>10090.09</v>
      </c>
      <c r="NJ13" s="700">
        <f t="shared" si="705"/>
        <v>0.65391511168789918</v>
      </c>
      <c r="NK13" s="593">
        <f>'Proy 2021 vs 2019 Sem'!GI12*$NN$4</f>
        <v>17634.600000000002</v>
      </c>
      <c r="NL13" s="593">
        <f>'Proy 2021 vs 2019 Sem'!GJ12*$NN$4</f>
        <v>14107.68</v>
      </c>
      <c r="NM13" s="735">
        <v>11199.18</v>
      </c>
      <c r="NN13" s="700">
        <f t="shared" si="706"/>
        <v>0.63506855840223186</v>
      </c>
      <c r="NO13" s="593">
        <f>'Proy 2021 vs 2019 Sem'!GI12*$NR$4</f>
        <v>24247.575000000001</v>
      </c>
      <c r="NP13" s="593">
        <f>'Proy 2021 vs 2019 Sem'!GJ12*$NR$4</f>
        <v>19398.060000000001</v>
      </c>
      <c r="NQ13" s="735">
        <v>21669.13</v>
      </c>
      <c r="NR13" s="700">
        <f t="shared" si="707"/>
        <v>0.89366173730775145</v>
      </c>
      <c r="NS13" s="579">
        <f t="shared" si="708"/>
        <v>110216.25</v>
      </c>
      <c r="NT13" s="574">
        <f t="shared" si="709"/>
        <v>88173</v>
      </c>
      <c r="NU13" s="794">
        <f t="shared" si="710"/>
        <v>88275.420000000013</v>
      </c>
      <c r="NV13" s="786">
        <f t="shared" si="711"/>
        <v>0.80092926406042675</v>
      </c>
      <c r="NW13" s="593">
        <f>'Proy 2021 vs 2019 Sem'!GN12*$NZ$4</f>
        <v>12636.134399999999</v>
      </c>
      <c r="NX13" s="593">
        <f>'Proy 2021 vs 2019 Sem'!GO12*$NZ$4</f>
        <v>9224.3781119999985</v>
      </c>
      <c r="NY13" s="735">
        <v>14414.22</v>
      </c>
      <c r="NZ13" s="1482">
        <f t="shared" si="712"/>
        <v>1.1407143627722098</v>
      </c>
      <c r="OA13" s="593">
        <f>'Proy 2021 vs 2019 Sem'!GN12*$OD$4</f>
        <v>12636.134399999999</v>
      </c>
      <c r="OB13" s="593">
        <f>'Proy 2021 vs 2019 Sem'!GO12*$OD$4</f>
        <v>9224.3781119999985</v>
      </c>
      <c r="OC13" s="735">
        <v>5517.69</v>
      </c>
      <c r="OD13" s="700">
        <f t="shared" si="713"/>
        <v>0.43665964806452201</v>
      </c>
      <c r="OE13" s="593">
        <f>'Proy 2021 vs 2019 Sem'!GN12*$OH$4</f>
        <v>12636.134399999999</v>
      </c>
      <c r="OF13" s="593">
        <f>'Proy 2021 vs 2019 Sem'!GO12*$OH$4</f>
        <v>9224.3781119999985</v>
      </c>
      <c r="OG13" s="735">
        <v>7457.22</v>
      </c>
      <c r="OH13" s="700">
        <f t="shared" si="714"/>
        <v>0.59015041815319724</v>
      </c>
      <c r="OI13" s="593">
        <f>'Proy 2021 vs 2019 Sem'!GN12*$OL$4</f>
        <v>12636.134399999999</v>
      </c>
      <c r="OJ13" s="593">
        <f>'Proy 2021 vs 2019 Sem'!GO12*$OL$4</f>
        <v>9224.3781119999985</v>
      </c>
      <c r="OK13" s="735">
        <v>8940.77</v>
      </c>
      <c r="OL13" s="700">
        <f t="shared" si="715"/>
        <v>0.7075557854148814</v>
      </c>
      <c r="OM13" s="593">
        <f>'Proy 2021 vs 2019 Sem'!GN12*$OP$4</f>
        <v>14742.156800000001</v>
      </c>
      <c r="ON13" s="593">
        <f>'Proy 2021 vs 2019 Sem'!GO12*$OP$4</f>
        <v>10761.774464</v>
      </c>
      <c r="OO13" s="735">
        <v>13753.9</v>
      </c>
      <c r="OP13" s="700">
        <f t="shared" si="716"/>
        <v>0.93296389304446947</v>
      </c>
      <c r="OQ13" s="593">
        <f>'Proy 2021 vs 2019 Sem'!GN12*$JV$4</f>
        <v>16848.179199999999</v>
      </c>
      <c r="OR13" s="593">
        <f>'Proy 2021 vs 2019 Sem'!GO12*$JV$4</f>
        <v>12299.170816</v>
      </c>
      <c r="OS13" s="735">
        <v>14344.98</v>
      </c>
      <c r="OT13" s="700">
        <f t="shared" si="717"/>
        <v>0.85142612918077232</v>
      </c>
      <c r="OU13" s="593">
        <f>'Proy 2021 vs 2019 Sem'!GN12*$OX$4</f>
        <v>23166.2464</v>
      </c>
      <c r="OV13" s="593">
        <f>'Proy 2021 vs 2019 Sem'!GO12*$OX$4</f>
        <v>16911.359871999997</v>
      </c>
      <c r="OW13" s="735">
        <v>22846.21</v>
      </c>
      <c r="OX13" s="700">
        <f t="shared" si="718"/>
        <v>0.98618522852282187</v>
      </c>
      <c r="OY13" s="579">
        <f t="shared" si="719"/>
        <v>105301.12</v>
      </c>
      <c r="OZ13" s="574">
        <f t="shared" si="720"/>
        <v>76869.817599999995</v>
      </c>
      <c r="PA13" s="785">
        <f t="shared" si="721"/>
        <v>87274.989999999991</v>
      </c>
      <c r="PB13" s="786">
        <f t="shared" si="722"/>
        <v>0.82881350169874735</v>
      </c>
      <c r="PC13" s="593">
        <f>'Proy 2021 vs 2019 Sem'!GW12*$PF$4</f>
        <v>12088.439999999999</v>
      </c>
      <c r="PD13" s="593">
        <f>'Proy 2021 vs 2019 Sem'!GX12*$PF$4</f>
        <v>9187.2143999999989</v>
      </c>
      <c r="PE13" s="735">
        <v>23913.22</v>
      </c>
      <c r="PF13" s="700">
        <f t="shared" si="723"/>
        <v>1.9781890798150963</v>
      </c>
      <c r="PG13" s="593">
        <f>'Proy 2021 vs 2019 Sem'!GW12*$PJ$4</f>
        <v>12088.439999999999</v>
      </c>
      <c r="PH13" s="593">
        <f>'Proy 2021 vs 2019 Sem'!GX12*$PJ$4</f>
        <v>9187.2143999999989</v>
      </c>
      <c r="PI13" s="735">
        <v>8703.7000000000007</v>
      </c>
      <c r="PJ13" s="700">
        <f t="shared" si="724"/>
        <v>0.72000191918891121</v>
      </c>
      <c r="PK13" s="593">
        <f>'Proy 2021 vs 2019 Sem'!GW12*'Vtas Diarias 2021'!$PN$4</f>
        <v>12088.439999999999</v>
      </c>
      <c r="PL13" s="593">
        <f>'Proy 2021 vs 2019 Sem'!GX12*'Vtas Diarias 2021'!$PN$4</f>
        <v>9187.2143999999989</v>
      </c>
      <c r="PM13" s="735">
        <v>9857.6</v>
      </c>
      <c r="PN13" s="700">
        <f t="shared" si="725"/>
        <v>0.81545675041610011</v>
      </c>
      <c r="PO13" s="593">
        <f>'Proy 2021 vs 2019 Sem'!GW12*$PR$4</f>
        <v>12088.439999999999</v>
      </c>
      <c r="PP13" s="593">
        <f>'Proy 2021 vs 2019 Sem'!GX12*$PR$4</f>
        <v>9187.2143999999989</v>
      </c>
      <c r="PQ13" s="735">
        <v>10496.11</v>
      </c>
      <c r="PR13" s="700">
        <f t="shared" si="726"/>
        <v>0.86827663453679726</v>
      </c>
      <c r="PS13" s="593">
        <f>'Proy 2021 vs 2019 Sem'!GW12*$PV$4</f>
        <v>14103.180000000002</v>
      </c>
      <c r="PT13" s="593">
        <f>'Proy 2021 vs 2019 Sem'!GX12*$PV$4</f>
        <v>10718.416800000001</v>
      </c>
      <c r="PU13" s="735">
        <v>8279.93</v>
      </c>
      <c r="PV13" s="700">
        <f t="shared" si="727"/>
        <v>0.58709666897820201</v>
      </c>
      <c r="PW13" s="593">
        <f>'Proy 2021 vs 2019 Sem'!GW12*PZ$4</f>
        <v>16117.92</v>
      </c>
      <c r="PX13" s="593">
        <f>'Proy 2021 vs 2019 Sem'!GX12*$PZ$4</f>
        <v>12249.619199999999</v>
      </c>
      <c r="PY13" s="735">
        <v>11799.98</v>
      </c>
      <c r="PZ13" s="700">
        <f t="shared" si="728"/>
        <v>0.7321031497860766</v>
      </c>
      <c r="QA13" s="593">
        <f>'Proy 2021 vs 2019 Sem'!GW12*$QD$4</f>
        <v>22162.14</v>
      </c>
      <c r="QB13" s="593">
        <f>'Proy 2021 vs 2019 Sem'!GX12*$QD$4</f>
        <v>16843.2264</v>
      </c>
      <c r="QC13" s="735">
        <v>19014.23</v>
      </c>
      <c r="QD13" s="700">
        <f t="shared" si="729"/>
        <v>0.85796001649660192</v>
      </c>
      <c r="QE13" s="579">
        <f t="shared" si="730"/>
        <v>100737</v>
      </c>
      <c r="QF13" s="574">
        <f t="shared" si="731"/>
        <v>76560.12</v>
      </c>
      <c r="QG13" s="729">
        <f t="shared" si="732"/>
        <v>92064.77</v>
      </c>
      <c r="QH13" s="711">
        <f t="shared" si="733"/>
        <v>0.91391216732680147</v>
      </c>
      <c r="QI13" s="578">
        <f>'Proy 2021 vs 2019 Sem'!HB12*$QL$4</f>
        <v>13862.162399999999</v>
      </c>
      <c r="QJ13" s="611">
        <f>'Proy 2021 vs 2019 Sem'!UG12*$AL$4</f>
        <v>0</v>
      </c>
      <c r="QK13" s="735">
        <v>19199.36</v>
      </c>
      <c r="QL13" s="700">
        <f t="shared" si="734"/>
        <v>1.3850191222691202</v>
      </c>
      <c r="QM13" s="593">
        <f>'Proy 2021 vs 2019 Sem'!HB12*$QP$4</f>
        <v>13862.162399999999</v>
      </c>
      <c r="QN13" s="593">
        <f>'Proy 2021 vs 2019 Sem'!UG12*$AP$4</f>
        <v>0</v>
      </c>
      <c r="QO13" s="735">
        <v>7150.71</v>
      </c>
      <c r="QP13" s="700">
        <f t="shared" si="735"/>
        <v>0.515843761865032</v>
      </c>
      <c r="QQ13" s="593">
        <f>'Proy 2021 vs 2019 Sem'!HB12*$QT$4</f>
        <v>13862.162399999999</v>
      </c>
      <c r="QR13" s="593">
        <f>'Proy 2021 vs 2019 Sem'!HC12*$QT$4</f>
        <v>10812.486672000001</v>
      </c>
      <c r="QS13" s="735">
        <v>7300.51</v>
      </c>
      <c r="QT13" s="700">
        <f t="shared" si="736"/>
        <v>0.52665015668839665</v>
      </c>
      <c r="QU13" s="593">
        <f>'Proy 2021 vs 2019 Sem'!HB12*$QX$4</f>
        <v>13862.162399999999</v>
      </c>
      <c r="QV13" s="593">
        <f>'Proy 2021 vs 2019 Sem'!HC12*$QX$4</f>
        <v>10812.486672000001</v>
      </c>
      <c r="QW13" s="735">
        <v>7214.04</v>
      </c>
      <c r="QX13" s="700">
        <f t="shared" si="737"/>
        <v>0.52041231316118475</v>
      </c>
      <c r="QY13" s="593">
        <f>'Proy 2021 vs 2019 Sem'!HB12*$RB$4</f>
        <v>16172.522800000002</v>
      </c>
      <c r="QZ13" s="593">
        <f>'Proy 2021 vs 2019 Sem'!HC12*$RB$4</f>
        <v>12614.567784000003</v>
      </c>
      <c r="RA13" s="735">
        <v>7655.57</v>
      </c>
      <c r="RB13" s="700">
        <f t="shared" si="738"/>
        <v>0.47336894154819176</v>
      </c>
      <c r="RC13" s="593">
        <f>'Proy 2021 vs 2019 Sem'!HB12*$RF$4</f>
        <v>18482.8832</v>
      </c>
      <c r="RD13" s="593">
        <f>'Proy 2021 vs 2019 Sem'!HC12*$RF$4</f>
        <v>14416.648896000001</v>
      </c>
      <c r="RE13" s="735">
        <v>9869.1299999999992</v>
      </c>
      <c r="RF13" s="700">
        <f t="shared" si="739"/>
        <v>0.53396052408100481</v>
      </c>
      <c r="RG13" s="593">
        <f>'Proy 2021 vs 2019 Sem'!HB12*$RJ$4</f>
        <v>25413.964400000001</v>
      </c>
      <c r="RH13" s="593">
        <f>'Proy 2021 vs 2019 Sem'!HC12*$RJ$4</f>
        <v>19822.892232000002</v>
      </c>
      <c r="RI13" s="735">
        <v>21445.99</v>
      </c>
      <c r="RJ13" s="700">
        <f t="shared" si="740"/>
        <v>0.8438663745039322</v>
      </c>
      <c r="RK13" s="579">
        <f t="shared" si="741"/>
        <v>115518.01999999999</v>
      </c>
      <c r="RL13" s="574">
        <f t="shared" si="742"/>
        <v>68479.082256000009</v>
      </c>
      <c r="RM13" s="730">
        <f t="shared" si="743"/>
        <v>79835.31</v>
      </c>
      <c r="RN13" s="711">
        <f t="shared" si="744"/>
        <v>0.69110698053862074</v>
      </c>
      <c r="RO13" s="593">
        <f>'Proy 2021 vs 2019 Sem'!HG12*$RR$4</f>
        <v>11177.606400000001</v>
      </c>
      <c r="RP13" s="593">
        <f>'Proy 2021 vs 2019 Sem'!HH12*$RR$4</f>
        <v>8606.7569280000007</v>
      </c>
      <c r="RQ13" s="735">
        <v>16544.14</v>
      </c>
      <c r="RR13" s="700">
        <f t="shared" si="745"/>
        <v>1.4801147408446944</v>
      </c>
      <c r="RS13" s="593">
        <f>'Proy 2021 vs 2019 Sem'!HG12*$RV$4</f>
        <v>11177.606400000001</v>
      </c>
      <c r="RT13" s="593">
        <f>'Proy 2021 vs 2019 Sem'!HH12*$RV$4</f>
        <v>8606.7569280000007</v>
      </c>
      <c r="RU13" s="735">
        <v>9024.2199999999993</v>
      </c>
      <c r="RV13" s="700">
        <f t="shared" si="746"/>
        <v>0.80734816355673422</v>
      </c>
      <c r="RW13" s="593">
        <f>'Proy 2021 vs 2019 Sem'!HG12*$RZ$4</f>
        <v>11177.606400000001</v>
      </c>
      <c r="RX13" s="593">
        <f>'Proy 2021 vs 2019 Sem'!HH12*$RZ$4</f>
        <v>8606.7569280000007</v>
      </c>
      <c r="RY13" s="735">
        <v>6906.36</v>
      </c>
      <c r="RZ13" s="700">
        <f t="shared" si="747"/>
        <v>0.61787468200705287</v>
      </c>
      <c r="SA13" s="593">
        <f>'Proy 2021 vs 2019 Sem'!HG12*$SD$4</f>
        <v>11177.606400000001</v>
      </c>
      <c r="SB13" s="593">
        <f>'Proy 2021 vs 2019 Sem'!HH12*$SD$4</f>
        <v>8606.7569280000007</v>
      </c>
      <c r="SC13" s="735">
        <v>8450.81</v>
      </c>
      <c r="SD13" s="700">
        <f t="shared" si="748"/>
        <v>0.75604827165859045</v>
      </c>
      <c r="SE13" s="593">
        <f>'Proy 2021 vs 2019 Sem'!HG12*$SH$4</f>
        <v>13040.540800000001</v>
      </c>
      <c r="SF13" s="593">
        <f>'Proy 2021 vs 2019 Sem'!HH12*$SH$4</f>
        <v>10041.216416000001</v>
      </c>
      <c r="SG13" s="735">
        <v>11095.43</v>
      </c>
      <c r="SH13" s="700">
        <f t="shared" si="749"/>
        <v>0.85084124732004973</v>
      </c>
      <c r="SI13" s="593">
        <f>'Proy 2021 vs 2019 Sem'!HG12*$SL$4</f>
        <v>14903.475200000001</v>
      </c>
      <c r="SJ13" s="593">
        <f>'Proy 2021 vs 2019 Sem'!HH12*$SL$4</f>
        <v>11475.675904000002</v>
      </c>
      <c r="SK13" s="735">
        <v>14311.8</v>
      </c>
      <c r="SL13" s="700">
        <f t="shared" si="750"/>
        <v>0.96029951457227902</v>
      </c>
      <c r="SM13" s="593">
        <f>'Proy 2021 vs 2019 Sem'!HG12*$SP$4</f>
        <v>20492.278399999999</v>
      </c>
      <c r="SN13" s="593">
        <f>'Proy 2021 vs 2019 Sem'!HH12*$SP$4</f>
        <v>15779.054368000001</v>
      </c>
      <c r="SO13" s="735">
        <v>18086.73</v>
      </c>
      <c r="SP13" s="700">
        <f t="shared" si="751"/>
        <v>0.8826119598297083</v>
      </c>
      <c r="SQ13" s="579">
        <f t="shared" si="752"/>
        <v>93146.72</v>
      </c>
      <c r="SR13" s="574">
        <f t="shared" si="753"/>
        <v>71722.974400000006</v>
      </c>
      <c r="SS13" s="730">
        <f t="shared" si="754"/>
        <v>84419.489999999991</v>
      </c>
      <c r="ST13" s="711">
        <f t="shared" si="755"/>
        <v>0.90630663108695608</v>
      </c>
      <c r="SU13" s="593">
        <f>'Proy 2021 vs 2019 Sem'!HL12*$SX$4</f>
        <v>10649.1396</v>
      </c>
      <c r="SV13" s="593">
        <f>'Proy 2021 vs 2019 Sem'!HM12*$SX$4</f>
        <v>8093.3460959999993</v>
      </c>
      <c r="SW13" s="735">
        <v>12399.02</v>
      </c>
      <c r="SX13" s="700">
        <f t="shared" si="756"/>
        <v>1.1643212940883976</v>
      </c>
      <c r="SY13" s="593">
        <f>'Proy 2021 vs 2019 Sem'!HL12*$TB$4</f>
        <v>10649.1396</v>
      </c>
      <c r="SZ13" s="593">
        <f>'Proy 2021 vs 2019 Sem'!HM12*$TB$4</f>
        <v>8093.3460959999993</v>
      </c>
      <c r="TA13" s="735">
        <v>6846.46</v>
      </c>
      <c r="TB13" s="700">
        <f t="shared" si="757"/>
        <v>0.64291203394497709</v>
      </c>
      <c r="TC13" s="593">
        <f>'Proy 2021 vs 2019 Sem'!HL12*$TF$4</f>
        <v>10649.1396</v>
      </c>
      <c r="TD13" s="593">
        <f>'Proy 2021 vs 2019 Sem'!HM12*$TF$4</f>
        <v>8093.3460959999993</v>
      </c>
      <c r="TE13" s="735">
        <v>5909.86</v>
      </c>
      <c r="TF13" s="700">
        <f t="shared" si="758"/>
        <v>0.55496126654213451</v>
      </c>
      <c r="TG13" s="593">
        <f>'Proy 2021 vs 2019 Sem'!HL12*$TJ$4</f>
        <v>10649.1396</v>
      </c>
      <c r="TH13" s="593">
        <f>'Proy 2021 vs 2019 Sem'!HM12*$TJ$4</f>
        <v>8093.3460959999993</v>
      </c>
      <c r="TI13" s="735">
        <v>5002.71</v>
      </c>
      <c r="TJ13" s="700">
        <f t="shared" si="759"/>
        <v>0.4697759807750102</v>
      </c>
      <c r="TK13" s="593">
        <f>'Proy 2021 vs 2019 Sem'!HL12*$TN$4</f>
        <v>12423.996200000001</v>
      </c>
      <c r="TL13" s="593">
        <f>'Proy 2021 vs 2019 Sem'!HM12*$TN$4</f>
        <v>9442.2371120000007</v>
      </c>
      <c r="TM13" s="735">
        <v>6916.31</v>
      </c>
      <c r="TN13" s="700">
        <f t="shared" si="760"/>
        <v>0.55668964225858342</v>
      </c>
      <c r="TO13" s="593">
        <f>'Proy 2021 vs 2019 Sem'!HL12*$TR$4</f>
        <v>14198.852800000001</v>
      </c>
      <c r="TP13" s="611">
        <f>'Proy 2021 vs 2019 Sem'!HM12*$TR$4</f>
        <v>10791.128128</v>
      </c>
      <c r="TQ13" s="735">
        <v>7147.22</v>
      </c>
      <c r="TR13" s="700">
        <f t="shared" si="761"/>
        <v>0.50336601841523421</v>
      </c>
      <c r="TS13" s="593">
        <f>'Proy 2021 vs 2019 Sem'!HL12*$TV$4</f>
        <v>19523.422600000002</v>
      </c>
      <c r="TT13" s="593">
        <f>'Proy 2021 vs 2019 Sem'!HM12*$TV$4</f>
        <v>14837.801175999999</v>
      </c>
      <c r="TU13" s="735">
        <v>19005.55</v>
      </c>
      <c r="TV13" s="700">
        <f t="shared" si="762"/>
        <v>0.97347429236101246</v>
      </c>
      <c r="TW13" s="579">
        <f t="shared" si="763"/>
        <v>88742.83</v>
      </c>
      <c r="TX13" s="574">
        <f t="shared" si="764"/>
        <v>67444.550799999997</v>
      </c>
      <c r="TY13" s="710">
        <f t="shared" si="765"/>
        <v>63227.130000000005</v>
      </c>
      <c r="TZ13" s="711">
        <f t="shared" si="766"/>
        <v>0.71247592622412426</v>
      </c>
      <c r="UA13" s="593">
        <v>21178.94</v>
      </c>
      <c r="UB13" s="593">
        <f>'Proy 2021 vs 2019 Sem'!HR12*$UD$4</f>
        <v>9354.9640319999999</v>
      </c>
      <c r="UC13" s="735">
        <v>14216.97</v>
      </c>
      <c r="UD13" s="700">
        <f t="shared" si="767"/>
        <v>0.6712786381188105</v>
      </c>
      <c r="UE13" s="593">
        <v>7842.42</v>
      </c>
      <c r="UF13" s="593">
        <f>'Proy 2021 vs 2019 Sem'!HR12*$UH$4</f>
        <v>9354.9640319999999</v>
      </c>
      <c r="UG13" s="735">
        <v>7799.6</v>
      </c>
      <c r="UH13" s="700">
        <f t="shared" si="768"/>
        <v>0.99453995067848955</v>
      </c>
      <c r="UI13" s="593">
        <v>10715</v>
      </c>
      <c r="UJ13" s="593">
        <f>'Proy 2021 vs 2019 Sem'!HR12*$UL$4</f>
        <v>9354.9640319999999</v>
      </c>
      <c r="UK13" s="735">
        <v>6825.82</v>
      </c>
      <c r="UL13" s="700">
        <f t="shared" si="769"/>
        <v>0.63703406439570698</v>
      </c>
      <c r="UM13" s="593">
        <v>8911.98</v>
      </c>
      <c r="UN13" s="593">
        <f>'Proy 2021 vs 2019 Sem'!HR12*$UP$4</f>
        <v>9354.9640319999999</v>
      </c>
      <c r="UO13" s="735">
        <v>9236.9599999999991</v>
      </c>
      <c r="UP13" s="700">
        <f t="shared" si="770"/>
        <v>1.036465521691027</v>
      </c>
      <c r="UQ13" s="593">
        <v>9336.57</v>
      </c>
      <c r="UR13" s="593">
        <f>'Proy 2021 vs 2019 Sem'!HR12*$UT$4</f>
        <v>10914.124704</v>
      </c>
      <c r="US13" s="735">
        <v>11436.13</v>
      </c>
      <c r="UT13" s="700">
        <f t="shared" si="771"/>
        <v>1.2248748737491391</v>
      </c>
      <c r="UU13" s="593">
        <v>18221.330000000002</v>
      </c>
      <c r="UV13" s="593">
        <f>'Proy 2021 vs 2019 Sem'!HR12*$UX$4</f>
        <v>12473.285376</v>
      </c>
      <c r="UW13" s="735">
        <v>13573.81</v>
      </c>
      <c r="UX13" s="700">
        <f t="shared" si="772"/>
        <v>0.74494068215657139</v>
      </c>
      <c r="UY13" s="593">
        <v>26370.12</v>
      </c>
      <c r="UZ13" s="593">
        <f>'Proy 2021 vs 2019 Sem'!HR12*$VB$4</f>
        <v>17150.767391999998</v>
      </c>
      <c r="VA13" s="735">
        <v>19088.759999999998</v>
      </c>
      <c r="VB13" s="700">
        <f t="shared" si="773"/>
        <v>0.72387838963190154</v>
      </c>
      <c r="VC13" s="577">
        <f>UA13+UE13+UI13+UM13+UQ13+UU13+UY13</f>
        <v>102576.35999999999</v>
      </c>
      <c r="VD13" s="574">
        <f t="shared" si="774"/>
        <v>77958.033599999995</v>
      </c>
      <c r="VE13" s="710">
        <f t="shared" si="775"/>
        <v>82178.049999999988</v>
      </c>
      <c r="VF13" s="1532">
        <f t="shared" si="776"/>
        <v>0.80114024322953159</v>
      </c>
      <c r="VG13" s="593">
        <v>21872.9</v>
      </c>
      <c r="VH13" s="593">
        <f>'Proy 2021 vs 2019 Sem'!IA12*$VJ$4</f>
        <v>8446.4928</v>
      </c>
      <c r="VI13" s="735">
        <v>18925.59</v>
      </c>
      <c r="VJ13" s="700">
        <f t="shared" si="777"/>
        <v>0.86525289284914209</v>
      </c>
      <c r="VK13" s="593">
        <v>6736.86</v>
      </c>
      <c r="VL13" s="593">
        <f>'Proy 2021 vs 2019 Sem'!IA12*$VN$4</f>
        <v>8446.4928</v>
      </c>
      <c r="VM13" s="735">
        <v>6505.64</v>
      </c>
      <c r="VN13" s="700">
        <f t="shared" si="778"/>
        <v>0.96567837241682342</v>
      </c>
      <c r="VO13" s="593">
        <v>9019.26</v>
      </c>
      <c r="VP13" s="593">
        <f>'Proy 2021 vs 2019 Sem'!IA12*$VR$4</f>
        <v>8446.4928</v>
      </c>
      <c r="VQ13" s="735">
        <v>6680.3</v>
      </c>
      <c r="VR13" s="700">
        <f t="shared" si="779"/>
        <v>0.74067052064138295</v>
      </c>
      <c r="VS13" s="593">
        <v>8385.6299999999992</v>
      </c>
      <c r="VT13" s="593">
        <f>'Proy 2021 vs 2019 Sem'!IA12*$VV$4</f>
        <v>8446.4928</v>
      </c>
      <c r="VU13" s="735">
        <v>10653.69</v>
      </c>
      <c r="VV13" s="700">
        <f t="shared" si="780"/>
        <v>1.2704698394753884</v>
      </c>
      <c r="VW13" s="593">
        <v>3119.92</v>
      </c>
      <c r="VX13" s="593">
        <f>'Proy 2021 vs 2019 Sem'!IA12*$VZ$4</f>
        <v>9854.2416000000012</v>
      </c>
      <c r="VY13" s="735">
        <v>8925.19</v>
      </c>
      <c r="VZ13" s="700">
        <f t="shared" si="781"/>
        <v>2.8607111720813356</v>
      </c>
      <c r="WA13" s="593">
        <v>8013.95</v>
      </c>
      <c r="WB13" s="593">
        <f>'Proy 2021 vs 2019 Sem'!IA12*$WD$4</f>
        <v>11261.990400000001</v>
      </c>
      <c r="WC13" s="735">
        <v>15119.69</v>
      </c>
      <c r="WD13" s="700">
        <f t="shared" si="782"/>
        <v>1.8866713668041355</v>
      </c>
      <c r="WE13" s="593">
        <v>30835.78</v>
      </c>
      <c r="WF13" s="593">
        <f>'Proy 2021 vs 2019 Sem'!IA12*$WH$4</f>
        <v>15485.236800000001</v>
      </c>
      <c r="WG13" s="735">
        <v>27279.96</v>
      </c>
      <c r="WH13" s="1538">
        <f t="shared" si="783"/>
        <v>0.88468525848867774</v>
      </c>
      <c r="WI13" s="574">
        <f t="shared" si="784"/>
        <v>46014.65</v>
      </c>
      <c r="WJ13" s="575">
        <f t="shared" si="785"/>
        <v>70387.44</v>
      </c>
      <c r="WK13" s="793">
        <f t="shared" si="786"/>
        <v>94090.06</v>
      </c>
      <c r="WL13" s="786">
        <f t="shared" si="787"/>
        <v>2.0447848674280906</v>
      </c>
      <c r="WM13" s="593">
        <v>19942.78</v>
      </c>
      <c r="WN13" s="593">
        <f>'Proy 2021 vs 2019 Sem'!IF12*$WP$4</f>
        <v>9704.2316159999991</v>
      </c>
      <c r="WO13" s="735">
        <v>23011.48</v>
      </c>
      <c r="WP13" s="700">
        <f t="shared" si="788"/>
        <v>1.1538752370532093</v>
      </c>
      <c r="WQ13" s="593">
        <v>12277.07</v>
      </c>
      <c r="WR13" s="593">
        <f>'Proy 2021 vs 2019 Sem'!IF12*$WT$4</f>
        <v>9704.2316159999991</v>
      </c>
      <c r="WS13" s="735">
        <v>11530.72</v>
      </c>
      <c r="WT13" s="700">
        <f t="shared" si="789"/>
        <v>0.93920780772611057</v>
      </c>
      <c r="WU13" s="593">
        <v>7130.55</v>
      </c>
      <c r="WV13" s="593">
        <f>'Proy 2021 vs 2019 Sem'!IF12*$WX$4</f>
        <v>9704.2316159999991</v>
      </c>
      <c r="WW13" s="735">
        <v>9813.92</v>
      </c>
      <c r="WX13" s="700">
        <f t="shared" si="790"/>
        <v>1.3763201997040901</v>
      </c>
      <c r="WY13" s="593">
        <v>8104.05</v>
      </c>
      <c r="WZ13" s="593">
        <f>'Proy 2021 vs 2019 Sem'!IF12*$XB$4</f>
        <v>9704.2316159999991</v>
      </c>
      <c r="XA13" s="735">
        <v>8206.1200000000008</v>
      </c>
      <c r="XB13" s="700">
        <f t="shared" si="791"/>
        <v>1.0125949370993517</v>
      </c>
      <c r="XC13" s="593">
        <v>11541.21</v>
      </c>
      <c r="XD13" s="1547">
        <f>'Proy 2021 vs 2019 Sem'!IF12*$XF$4</f>
        <v>11321.603552</v>
      </c>
      <c r="XE13" s="735">
        <v>15740.34</v>
      </c>
      <c r="XF13" s="700">
        <f t="shared" si="792"/>
        <v>1.363837933804168</v>
      </c>
      <c r="XG13" s="593">
        <v>13673.65</v>
      </c>
      <c r="XH13" s="593">
        <f>'Proy 2021 vs 2019 Sem'!IF12*$XJ$4</f>
        <v>12938.975488</v>
      </c>
      <c r="XI13" s="735">
        <v>18210.29</v>
      </c>
      <c r="XJ13" s="700">
        <f t="shared" si="793"/>
        <v>1.3317797369392959</v>
      </c>
      <c r="XK13" s="593">
        <v>24968.87</v>
      </c>
      <c r="XL13" s="593">
        <f>'Proy 2021 vs 2019 Sem'!IF12*$XN$4</f>
        <v>17791.091295999999</v>
      </c>
      <c r="XM13" s="735">
        <v>26099.91</v>
      </c>
      <c r="XN13" s="700">
        <f t="shared" si="794"/>
        <v>1.0452980050759206</v>
      </c>
      <c r="XO13" s="579">
        <f t="shared" si="795"/>
        <v>97638.18</v>
      </c>
      <c r="XP13" s="574">
        <f t="shared" si="796"/>
        <v>80868.596799999999</v>
      </c>
      <c r="XQ13" s="794">
        <f t="shared" si="797"/>
        <v>112612.78</v>
      </c>
      <c r="XR13" s="786">
        <f t="shared" si="798"/>
        <v>1.1533682827762666</v>
      </c>
      <c r="XS13" s="593">
        <v>21463.9</v>
      </c>
      <c r="XT13" s="593">
        <f>'Proy 2021 vs 2019 Sem'!IK12*$XV$4</f>
        <v>10221.216</v>
      </c>
      <c r="XU13" s="735">
        <v>23767.03</v>
      </c>
      <c r="XV13" s="700">
        <f t="shared" si="799"/>
        <v>1.107302493954966</v>
      </c>
      <c r="XW13" s="593">
        <v>6168.53</v>
      </c>
      <c r="XX13" s="593">
        <f>'Proy 2021 vs 2019 Sem'!IK12*$XZ$4</f>
        <v>10221.216</v>
      </c>
      <c r="XY13" s="735">
        <v>7455.2</v>
      </c>
      <c r="XZ13" s="700">
        <f t="shared" si="800"/>
        <v>1.2085861623433785</v>
      </c>
      <c r="YA13" s="593">
        <v>7467.52</v>
      </c>
      <c r="YB13" s="593">
        <f>'Proy 2021 vs 2019 Sem'!IK12*$YD$4</f>
        <v>10221.216</v>
      </c>
      <c r="YC13" s="735">
        <v>9246.92</v>
      </c>
      <c r="YD13" s="700">
        <f t="shared" si="801"/>
        <v>1.2382852673980116</v>
      </c>
      <c r="YE13" s="593">
        <v>9825.4500000000007</v>
      </c>
      <c r="YF13" s="593">
        <f>'Proy 2021 vs 2019 Sem'!IK12*$YH$4</f>
        <v>10221.216</v>
      </c>
      <c r="YG13" s="735">
        <v>9703.64</v>
      </c>
      <c r="YH13" s="700">
        <f t="shared" si="802"/>
        <v>0.98760260344309914</v>
      </c>
      <c r="YI13" s="593">
        <v>9288.39</v>
      </c>
      <c r="YJ13" s="593">
        <f>'Proy 2021 vs 2019 Sem'!IK12*$YL$4</f>
        <v>11924.752000000002</v>
      </c>
      <c r="YK13" s="735">
        <v>10518.41</v>
      </c>
      <c r="YL13" s="700">
        <f t="shared" si="803"/>
        <v>1.1324255333809197</v>
      </c>
      <c r="YM13" s="593">
        <v>18481.16</v>
      </c>
      <c r="YN13" s="593">
        <f>'Proy 2021 vs 2019 Sem'!IK12*$YP$4</f>
        <v>13628.288</v>
      </c>
      <c r="YO13" s="735">
        <v>20004.509999999998</v>
      </c>
      <c r="YP13" s="700">
        <f t="shared" si="804"/>
        <v>1.0824271853065499</v>
      </c>
      <c r="YQ13" s="593">
        <v>25052.31</v>
      </c>
      <c r="YR13" s="593">
        <f>'Proy 2021 vs 2019 Sem'!IK12*$YT$4</f>
        <v>18738.896000000001</v>
      </c>
      <c r="YS13" s="735">
        <v>22492.2</v>
      </c>
      <c r="YT13" s="700">
        <f t="shared" si="805"/>
        <v>0.89780942356213855</v>
      </c>
      <c r="YU13" s="579">
        <f t="shared" si="806"/>
        <v>97747.26</v>
      </c>
      <c r="YV13" s="574">
        <f t="shared" si="807"/>
        <v>85176.800000000017</v>
      </c>
      <c r="YW13" s="794">
        <f t="shared" si="808"/>
        <v>103187.90999999999</v>
      </c>
      <c r="YX13" s="786">
        <f t="shared" si="809"/>
        <v>1.0556603837284031</v>
      </c>
      <c r="YY13" s="593">
        <v>28722.76</v>
      </c>
      <c r="YZ13" s="593">
        <f>'Proy 2021 vs 2019 Sem'!IP12*$ZB$4</f>
        <v>15803.637695999998</v>
      </c>
      <c r="ZA13" s="735">
        <v>20562.13</v>
      </c>
      <c r="ZB13" s="700">
        <f t="shared" si="810"/>
        <v>0.71588280513432556</v>
      </c>
      <c r="ZC13" s="593">
        <v>11207.97</v>
      </c>
      <c r="ZD13" s="593">
        <f>'Proy 2021 vs 2019 Sem'!IP12*$ZF$4</f>
        <v>15803.637695999998</v>
      </c>
      <c r="ZE13" s="735">
        <v>8167.74</v>
      </c>
      <c r="ZF13" s="700">
        <f t="shared" si="811"/>
        <v>0.72874392062077253</v>
      </c>
      <c r="ZG13" s="593">
        <v>13916</v>
      </c>
      <c r="ZH13" s="593">
        <f>'Proy 2021 vs 2019 Sem'!IP12*$ZJ$4</f>
        <v>15803.637695999998</v>
      </c>
      <c r="ZI13" s="735">
        <v>10414.02</v>
      </c>
      <c r="ZJ13" s="700">
        <f t="shared" si="812"/>
        <v>0.74834866340902562</v>
      </c>
      <c r="ZK13" s="593">
        <v>23188.400000000001</v>
      </c>
      <c r="ZL13" s="593">
        <f>'Proy 2021 vs 2019 Sem'!IP12*$ZN$4</f>
        <v>15803.637695999998</v>
      </c>
      <c r="ZM13" s="735">
        <v>15044.43</v>
      </c>
      <c r="ZN13" s="700">
        <f t="shared" si="813"/>
        <v>0.64879120594780149</v>
      </c>
      <c r="ZO13" s="593">
        <v>29902.75</v>
      </c>
      <c r="ZP13" s="593">
        <f>'Proy 2021 vs 2019 Sem'!IP12*$ZR$4</f>
        <v>18437.577312000001</v>
      </c>
      <c r="ZQ13" s="735">
        <v>19351.830000000002</v>
      </c>
      <c r="ZR13" s="700">
        <f t="shared" si="814"/>
        <v>0.64715887334776911</v>
      </c>
      <c r="ZS13" s="593">
        <v>18984.240000000002</v>
      </c>
      <c r="ZT13" s="593">
        <f>'Proy 2021 vs 2019 Sem'!IP12*$ZV$4</f>
        <v>21071.516927999997</v>
      </c>
      <c r="ZU13" s="735">
        <v>24132.48</v>
      </c>
      <c r="ZV13" s="700">
        <f t="shared" si="815"/>
        <v>1.2711849407719245</v>
      </c>
      <c r="ZW13" s="593">
        <v>23733.54</v>
      </c>
      <c r="ZX13" s="593">
        <f>'Proy 2021 vs 2019 Sem'!IP12*$ZZ$4</f>
        <v>28973.335775999996</v>
      </c>
      <c r="ZY13" s="735">
        <v>34259.449999999997</v>
      </c>
      <c r="ZZ13" s="700">
        <f t="shared" si="816"/>
        <v>1.4435035818508319</v>
      </c>
      <c r="AAA13" s="579">
        <f t="shared" si="817"/>
        <v>149655.66</v>
      </c>
      <c r="AAB13" s="574">
        <f t="shared" si="818"/>
        <v>131696.98079999999</v>
      </c>
      <c r="AAC13" s="785">
        <f t="shared" si="819"/>
        <v>131932.07999999999</v>
      </c>
      <c r="AAD13" s="786">
        <f t="shared" si="820"/>
        <v>0.88157093423663346</v>
      </c>
      <c r="AAE13" s="593">
        <v>21564.54</v>
      </c>
      <c r="AAF13" s="593">
        <f>'Proy 2021 vs 2019 Sem'!IY12*$AAH$4</f>
        <v>11148.799859999999</v>
      </c>
      <c r="AAG13" s="735">
        <v>21912.1</v>
      </c>
      <c r="AAH13" s="700">
        <f t="shared" si="821"/>
        <v>1.0161171998104295</v>
      </c>
      <c r="AAI13" s="593">
        <v>8738.41</v>
      </c>
      <c r="AAJ13" s="593">
        <f>'Proy 2021 vs 2019 Sem'!IY12*$AAL$4</f>
        <v>11148.799859999999</v>
      </c>
      <c r="AAK13" s="735">
        <v>8885.94</v>
      </c>
      <c r="AAL13" s="700">
        <f t="shared" si="822"/>
        <v>1.0168829340806853</v>
      </c>
      <c r="AAM13" s="593">
        <v>8370.23</v>
      </c>
      <c r="AAN13" s="593">
        <f>'Proy 2021 vs 2019 Sem'!IY12*$AAP$4</f>
        <v>11148.799859999999</v>
      </c>
      <c r="AAO13" s="735">
        <v>8266.41</v>
      </c>
      <c r="AAP13" s="700">
        <f t="shared" si="823"/>
        <v>0.98759651765841561</v>
      </c>
      <c r="AAQ13" s="593">
        <v>8908.27</v>
      </c>
      <c r="AAR13" s="593">
        <f>'Proy 2021 vs 2019 Sem'!IY12*$AAT$4</f>
        <v>11148.799859999999</v>
      </c>
      <c r="AAS13" s="735">
        <v>8402.4699999999993</v>
      </c>
      <c r="AAT13" s="700">
        <f t="shared" si="824"/>
        <v>0.94322129886049688</v>
      </c>
      <c r="AAU13" s="593">
        <v>7165.94</v>
      </c>
      <c r="AAV13" s="593">
        <f>'Proy 2021 vs 2019 Sem'!IY12*$AAX$4</f>
        <v>13006.933170000002</v>
      </c>
      <c r="AAW13" s="735">
        <v>7508.92</v>
      </c>
      <c r="AAX13" s="700">
        <f t="shared" si="825"/>
        <v>1.0478625274562723</v>
      </c>
      <c r="AAY13" s="593">
        <v>10798.61</v>
      </c>
      <c r="AAZ13" s="593">
        <f>'Proy 2021 vs 2019 Sem'!IY12*$ABB$4</f>
        <v>14865.066480000001</v>
      </c>
      <c r="ABA13" s="735">
        <v>13147.55</v>
      </c>
      <c r="ABB13" s="700">
        <f t="shared" si="826"/>
        <v>1.217522440388161</v>
      </c>
      <c r="ABC13" s="593">
        <v>29238.07</v>
      </c>
      <c r="ABD13" s="593">
        <f>'Proy 2021 vs 2019 Sem'!IY12*$ABF$4</f>
        <v>20439.466410000001</v>
      </c>
      <c r="ABE13" s="735">
        <v>22836.16</v>
      </c>
      <c r="ABF13" s="700">
        <f t="shared" si="827"/>
        <v>0.78104197712092482</v>
      </c>
      <c r="ABG13" s="579">
        <f t="shared" si="828"/>
        <v>94784.07</v>
      </c>
      <c r="ABH13" s="574">
        <f t="shared" si="829"/>
        <v>92906.665500000003</v>
      </c>
      <c r="ABI13" s="759">
        <f t="shared" si="830"/>
        <v>90959.55</v>
      </c>
      <c r="ABJ13" s="761">
        <f t="shared" si="831"/>
        <v>0.95965018172357441</v>
      </c>
      <c r="ABK13" s="593">
        <v>25941.71</v>
      </c>
      <c r="ABL13" s="593">
        <f>'Proy 2021 vs 2019 Sem'!JD12*$ABN$4</f>
        <v>15897.830099999997</v>
      </c>
      <c r="ABM13" s="735">
        <v>22313.22</v>
      </c>
      <c r="ABN13" s="700">
        <f t="shared" si="832"/>
        <v>0.86012911253730007</v>
      </c>
      <c r="ABO13" s="593">
        <v>7734.71</v>
      </c>
      <c r="ABP13" s="593">
        <f>'Proy 2021 vs 2019 Sem'!JD12*$ABR$4</f>
        <v>15897.830099999997</v>
      </c>
      <c r="ABQ13" s="735">
        <v>7560.67</v>
      </c>
      <c r="ABR13" s="700">
        <f t="shared" si="833"/>
        <v>0.97749883318185171</v>
      </c>
      <c r="ABS13" s="593">
        <v>9188.69</v>
      </c>
      <c r="ABT13" s="593">
        <f>'Proy 2021 vs 2019 Sem'!JD12*$ABV$4</f>
        <v>15897.830099999997</v>
      </c>
      <c r="ABU13" s="735">
        <v>6706.48</v>
      </c>
      <c r="ABV13" s="700">
        <f t="shared" si="834"/>
        <v>0.72986247223488865</v>
      </c>
      <c r="ABW13" s="593">
        <v>10241.5</v>
      </c>
      <c r="ABX13" s="593">
        <f>'Proy 2021 vs 2019 Sem'!JD12*$ABZ$4</f>
        <v>15897.830099999997</v>
      </c>
      <c r="ABY13" s="735">
        <v>7933.32</v>
      </c>
      <c r="ABZ13" s="700">
        <f t="shared" si="835"/>
        <v>0.77462481081872769</v>
      </c>
      <c r="ACA13" s="593">
        <v>14612.46</v>
      </c>
      <c r="ACB13" s="593">
        <f>'Proy 2021 vs 2019 Sem'!JD12*$ACD$4</f>
        <v>18547.46845</v>
      </c>
      <c r="ACC13" s="735">
        <v>12092.96</v>
      </c>
      <c r="ACD13" s="700">
        <f t="shared" si="836"/>
        <v>0.8275786554762169</v>
      </c>
      <c r="ACE13" s="593">
        <v>31564.76</v>
      </c>
      <c r="ACF13" s="593">
        <f>'Proy 2021 vs 2019 Sem'!JD12*$ACH$4</f>
        <v>21197.106799999998</v>
      </c>
      <c r="ACG13" s="735">
        <v>15796.31</v>
      </c>
      <c r="ACH13" s="700">
        <f t="shared" si="837"/>
        <v>0.50044131493475641</v>
      </c>
      <c r="ACI13" s="593">
        <v>38406.14</v>
      </c>
      <c r="ACJ13" s="593">
        <f>'Proy 2021 vs 2019 Sem'!JD12*$ACL$4</f>
        <v>29146.021849999997</v>
      </c>
      <c r="ACK13" s="735">
        <v>29289.14</v>
      </c>
      <c r="ACL13" s="700">
        <f t="shared" si="838"/>
        <v>0.76261608169943662</v>
      </c>
      <c r="ACM13" s="579">
        <f t="shared" si="839"/>
        <v>137689.97</v>
      </c>
      <c r="ACN13" s="574">
        <f t="shared" si="840"/>
        <v>132481.91749999998</v>
      </c>
      <c r="ACO13" s="765">
        <f t="shared" si="841"/>
        <v>101692.09999999999</v>
      </c>
      <c r="ACP13" s="761">
        <f t="shared" si="842"/>
        <v>0.73855851664431327</v>
      </c>
      <c r="ACQ13" s="593">
        <v>39058.15</v>
      </c>
      <c r="ACR13" s="593">
        <f>'Proy 2021 vs 2019 Sem'!JI12*$ACT$4</f>
        <v>18953.594399999998</v>
      </c>
      <c r="ACS13" s="735">
        <v>29110.27</v>
      </c>
      <c r="ACT13" s="700">
        <f t="shared" si="843"/>
        <v>0.74530590926605589</v>
      </c>
      <c r="ACU13" s="593">
        <v>32292.01</v>
      </c>
      <c r="ACV13" s="593">
        <f>'Proy 2021 vs 2019 Sem'!JI12*$ACX$4</f>
        <v>18953.594399999998</v>
      </c>
      <c r="ACW13" s="735">
        <v>21843.599999999999</v>
      </c>
      <c r="ACX13" s="700">
        <f t="shared" si="844"/>
        <v>0.6764397756596755</v>
      </c>
      <c r="ACY13" s="593">
        <v>12708.38</v>
      </c>
      <c r="ACZ13" s="593">
        <f>'Proy 2021 vs 2019 Sem'!JI12*$ADB$4</f>
        <v>18953.594399999998</v>
      </c>
      <c r="ADA13" s="735">
        <v>8465.3700000000008</v>
      </c>
      <c r="ADB13" s="700">
        <f t="shared" si="845"/>
        <v>0.66612502931136786</v>
      </c>
      <c r="ADC13" s="593">
        <v>13755.42</v>
      </c>
      <c r="ADD13" s="593">
        <f>'Proy 2021 vs 2019 Sem'!JI12*$ADF$4</f>
        <v>18953.594399999998</v>
      </c>
      <c r="ADE13" s="735">
        <v>8835.27</v>
      </c>
      <c r="ADF13" s="700">
        <f t="shared" si="846"/>
        <v>0.64231190323523379</v>
      </c>
      <c r="ADG13" s="593">
        <v>12556.93</v>
      </c>
      <c r="ADH13" s="593">
        <f>'Proy 2021 vs 2019 Sem'!JI12*$ADJ$4</f>
        <v>22112.5268</v>
      </c>
      <c r="ADI13" s="735">
        <v>16375.53</v>
      </c>
      <c r="ADJ13" s="700">
        <f t="shared" si="847"/>
        <v>1.3041029933271906</v>
      </c>
      <c r="ADK13" s="593">
        <v>19938.810000000001</v>
      </c>
      <c r="ADL13" s="593">
        <f>'Proy 2021 vs 2019 Sem'!JI12*$ADN$4</f>
        <v>25271.459200000001</v>
      </c>
      <c r="ADM13" s="735">
        <v>14553.22</v>
      </c>
      <c r="ADN13" s="700">
        <f t="shared" si="848"/>
        <v>0.72989411103270452</v>
      </c>
      <c r="ADO13" s="593">
        <v>30202.9</v>
      </c>
      <c r="ADP13" s="593">
        <f>'Proy 2021 vs 2019 Sem'!JI12*$ADR$4</f>
        <v>34748.256399999998</v>
      </c>
      <c r="ADQ13" s="735">
        <v>29821.54</v>
      </c>
      <c r="ADR13" s="700">
        <f t="shared" si="849"/>
        <v>0.9873733979187429</v>
      </c>
      <c r="ADS13" s="579">
        <f t="shared" si="850"/>
        <v>160512.6</v>
      </c>
      <c r="ADT13" s="574">
        <f t="shared" si="851"/>
        <v>157946.62</v>
      </c>
      <c r="ADU13" s="765">
        <f t="shared" si="852"/>
        <v>129004.79999999999</v>
      </c>
      <c r="ADV13" s="761">
        <f t="shared" si="853"/>
        <v>0.80370512969075314</v>
      </c>
      <c r="ADW13" s="593">
        <v>33572.949999999997</v>
      </c>
      <c r="ADX13" s="593">
        <f>'Proy 2021 vs 2019 Sem'!JN12*$ADZ$4</f>
        <v>15800.588459999999</v>
      </c>
      <c r="ADY13" s="735">
        <v>30826.58</v>
      </c>
      <c r="ADZ13" s="700">
        <f t="shared" si="854"/>
        <v>0.91819694128755458</v>
      </c>
      <c r="AEA13" s="593">
        <v>12630.75</v>
      </c>
      <c r="AEB13" s="593">
        <f>'Proy 2021 vs 2019 Sem'!JN12*$AED$4</f>
        <v>15800.588459999999</v>
      </c>
      <c r="AEC13" s="735">
        <v>11480</v>
      </c>
      <c r="AED13" s="700">
        <f t="shared" si="855"/>
        <v>0.90889297943510872</v>
      </c>
      <c r="AEE13" s="593">
        <v>12395.15</v>
      </c>
      <c r="AEF13" s="593">
        <f>'Proy 2021 vs 2019 Sem'!JN12*$AEH$4</f>
        <v>15800.588459999999</v>
      </c>
      <c r="AEG13" s="735">
        <v>12581</v>
      </c>
      <c r="AEH13" s="700">
        <f t="shared" si="856"/>
        <v>1.0149937677236662</v>
      </c>
      <c r="AEI13" s="593">
        <v>13665.63</v>
      </c>
      <c r="AEJ13" s="593">
        <f>'Proy 2021 vs 2019 Sem'!JN12*$AEL$4</f>
        <v>15800.588459999999</v>
      </c>
      <c r="AEK13" s="735">
        <v>8940</v>
      </c>
      <c r="AEL13" s="700">
        <f t="shared" si="857"/>
        <v>0.65419596462073104</v>
      </c>
      <c r="AEM13" s="593">
        <v>14941.24</v>
      </c>
      <c r="AEN13" s="593">
        <f>'Proy 2021 vs 2019 Sem'!JN12*$AEP$4</f>
        <v>18434.019870000004</v>
      </c>
      <c r="AEO13" s="735">
        <v>11657</v>
      </c>
      <c r="AEP13" s="700">
        <f t="shared" si="858"/>
        <v>0.78018959604423732</v>
      </c>
      <c r="AEQ13" s="593">
        <v>24160.49</v>
      </c>
      <c r="AER13" s="593">
        <f>'Proy 2021 vs 2019 Sem'!JN12*$AET$4</f>
        <v>21067.451280000001</v>
      </c>
      <c r="AES13" s="735">
        <v>15816</v>
      </c>
      <c r="AET13" s="700">
        <f t="shared" si="859"/>
        <v>0.65462248489165575</v>
      </c>
      <c r="AEU13" s="593">
        <v>44595.1</v>
      </c>
      <c r="AEV13" s="593">
        <f>'Proy 2021 vs 2019 Sem'!JN12*$AEX$4</f>
        <v>28967.745510000001</v>
      </c>
      <c r="AEW13" s="735">
        <v>42944</v>
      </c>
      <c r="AEX13" s="700">
        <f t="shared" si="860"/>
        <v>0.96297575294146665</v>
      </c>
      <c r="AEY13" s="579">
        <f t="shared" si="861"/>
        <v>155961.31</v>
      </c>
      <c r="AEZ13" s="574">
        <f t="shared" si="862"/>
        <v>131671.5705</v>
      </c>
      <c r="AFA13" s="770">
        <f t="shared" si="863"/>
        <v>134244.58000000002</v>
      </c>
      <c r="AFB13" s="761">
        <f t="shared" si="864"/>
        <v>0.8607556579256741</v>
      </c>
      <c r="AFC13" s="593">
        <v>40206.03</v>
      </c>
      <c r="AFD13" s="593">
        <f>'Proy 2021 vs 2019 Sem'!JX12*$AFF$4</f>
        <v>20253.033516</v>
      </c>
      <c r="AFE13" s="735">
        <v>31211</v>
      </c>
      <c r="AFF13" s="700">
        <f t="shared" si="865"/>
        <v>0.77627659333687016</v>
      </c>
      <c r="AFG13" s="593">
        <v>13814.94</v>
      </c>
      <c r="AFH13" s="593">
        <f>'Proy 2021 vs 2019 Sem'!JX12*$AFJ$4</f>
        <v>20253.033516</v>
      </c>
      <c r="AFI13" s="735">
        <v>10953.94</v>
      </c>
      <c r="AFJ13" s="700">
        <f t="shared" si="866"/>
        <v>0.79290536187634542</v>
      </c>
      <c r="AFK13" s="593">
        <v>19600.41</v>
      </c>
      <c r="AFL13" s="593">
        <f>'Proy 2021 vs 2019 Sem'!JX12*$AFN$4</f>
        <v>20253.033516</v>
      </c>
      <c r="AFM13" s="735">
        <v>15228.79</v>
      </c>
      <c r="AFN13" s="700">
        <f t="shared" si="867"/>
        <v>0.77696282883878454</v>
      </c>
      <c r="AFO13" s="593">
        <v>21193.96</v>
      </c>
      <c r="AFP13" s="593">
        <f>'Proy 2021 vs 2019 Sem'!JX12*$AFR$4</f>
        <v>20253.033516</v>
      </c>
      <c r="AFQ13" s="735">
        <v>17077.02</v>
      </c>
      <c r="AFR13" s="700">
        <f t="shared" si="868"/>
        <v>0.80574937387821821</v>
      </c>
      <c r="AFS13" s="593">
        <v>26942.59</v>
      </c>
      <c r="AFT13" s="593">
        <f>'Proy 2021 vs 2019 Sem'!JX12*$AFV$4</f>
        <v>23628.539102000002</v>
      </c>
      <c r="AFU13" s="735">
        <v>26124.16</v>
      </c>
      <c r="AFV13" s="700">
        <f t="shared" si="869"/>
        <v>0.96962318767423616</v>
      </c>
      <c r="AFW13" s="593">
        <v>33070.57</v>
      </c>
      <c r="AFX13" s="593">
        <f>'Proy 2021 vs 2019 Sem'!JX12*$AFZ$4</f>
        <v>27004.044687999998</v>
      </c>
      <c r="AFY13" s="735">
        <v>31457.41</v>
      </c>
      <c r="AFZ13" s="700">
        <f t="shared" si="870"/>
        <v>0.95122067747849526</v>
      </c>
      <c r="AGA13" s="593">
        <v>48366.2</v>
      </c>
      <c r="AGB13" s="593">
        <f>'Proy 2021 vs 2019 Sem'!JX12*$AGD$4</f>
        <v>37130.561446</v>
      </c>
      <c r="AGC13" s="735">
        <v>46660.05</v>
      </c>
      <c r="AGD13" s="700">
        <f t="shared" si="871"/>
        <v>0.96472433228163479</v>
      </c>
      <c r="AGE13" s="579">
        <f t="shared" si="872"/>
        <v>203194.7</v>
      </c>
      <c r="AGF13" s="574">
        <f t="shared" si="873"/>
        <v>168775.27929999999</v>
      </c>
      <c r="AGG13" s="729">
        <f t="shared" si="874"/>
        <v>178712.37</v>
      </c>
      <c r="AGH13" s="711">
        <f t="shared" si="875"/>
        <v>0.87951294989485451</v>
      </c>
      <c r="AGI13" s="593">
        <v>45216.39</v>
      </c>
      <c r="AGJ13" s="593">
        <f>'Proy 2021 vs 2019 Sem'!KC12*$AGL$4</f>
        <v>26089.330571999999</v>
      </c>
      <c r="AGK13" s="735">
        <v>41847.22</v>
      </c>
      <c r="AGL13" s="700">
        <f t="shared" si="876"/>
        <v>0.9254878596013526</v>
      </c>
      <c r="AGM13" s="593">
        <v>25324.01</v>
      </c>
      <c r="AGN13" s="593">
        <f>'Proy 2021 vs 2019 Sem'!KC12*$AGP$4</f>
        <v>26089.330571999999</v>
      </c>
      <c r="AGO13" s="735">
        <v>18923.900000000001</v>
      </c>
      <c r="AGP13" s="700">
        <f t="shared" si="877"/>
        <v>0.74727106804964938</v>
      </c>
      <c r="AGQ13" s="593">
        <v>23476.77</v>
      </c>
      <c r="AGR13" s="593">
        <f>'Proy 2021 vs 2019 Sem'!KC12*$AGT$4</f>
        <v>26089.330571999999</v>
      </c>
      <c r="AGS13" s="735">
        <v>24666.799999999999</v>
      </c>
      <c r="AGT13" s="700">
        <f t="shared" si="878"/>
        <v>1.0506896817577545</v>
      </c>
      <c r="AGU13" s="593">
        <v>30873.84</v>
      </c>
      <c r="AGV13" s="593">
        <f>'Proy 2021 vs 2019 Sem'!KC12*$AGX$4</f>
        <v>26089.330571999999</v>
      </c>
      <c r="AGW13" s="735">
        <v>26496.43</v>
      </c>
      <c r="AGX13" s="700">
        <f t="shared" si="879"/>
        <v>0.85821621152406047</v>
      </c>
      <c r="AGY13" s="593">
        <v>43279.93</v>
      </c>
      <c r="AGZ13" s="593">
        <f>'Proy 2021 vs 2019 Sem'!KC12*$AHB$4</f>
        <v>30437.552334000004</v>
      </c>
      <c r="AHA13" s="735">
        <v>23478.48</v>
      </c>
      <c r="AHB13" s="700">
        <f t="shared" si="880"/>
        <v>0.54247962046149334</v>
      </c>
      <c r="AHC13" s="593">
        <v>40898.32</v>
      </c>
      <c r="AHD13" s="593">
        <f>'Proy 2021 vs 2019 Sem'!KC12*$AHF$4</f>
        <v>34785.774096000001</v>
      </c>
      <c r="AHE13" s="735">
        <v>42371.27</v>
      </c>
      <c r="AHF13" s="700">
        <f t="shared" si="881"/>
        <v>1.0360149267744982</v>
      </c>
      <c r="AHG13" s="593">
        <v>51716.93</v>
      </c>
      <c r="AHH13" s="593">
        <f>'Proy 2021 vs 2019 Sem'!KC12*$AHJ$4</f>
        <v>47830.439381999997</v>
      </c>
      <c r="AHI13" s="735">
        <v>53294.39</v>
      </c>
      <c r="AHJ13" s="700">
        <f t="shared" si="882"/>
        <v>1.0305018105289698</v>
      </c>
      <c r="AHK13" s="579">
        <f t="shared" si="883"/>
        <v>260786.19</v>
      </c>
      <c r="AHL13" s="574">
        <f t="shared" si="884"/>
        <v>217411.08809999999</v>
      </c>
      <c r="AHM13" s="730">
        <f t="shared" si="885"/>
        <v>231078.49</v>
      </c>
      <c r="AHN13" s="711">
        <f t="shared" si="886"/>
        <v>0.88608407523419852</v>
      </c>
      <c r="AHO13" s="593">
        <v>68429.3</v>
      </c>
      <c r="AHP13" s="593">
        <f>'Proy 2021 vs 2019 Sem'!KH12*$AHR$4</f>
        <v>35184.415128000001</v>
      </c>
      <c r="AHQ13" s="735">
        <v>51627.839999999997</v>
      </c>
      <c r="AHR13" s="700">
        <f t="shared" si="887"/>
        <v>0.75446979583307139</v>
      </c>
      <c r="AHS13" s="593">
        <v>35651.730000000003</v>
      </c>
      <c r="AHT13" s="593">
        <f>'Proy 2021 vs 2019 Sem'!KH12*$AHV$4</f>
        <v>35184.415128000001</v>
      </c>
      <c r="AHU13" s="735">
        <v>41778.589999999997</v>
      </c>
      <c r="AHV13" s="700">
        <f t="shared" si="888"/>
        <v>1.171853091000072</v>
      </c>
      <c r="AHW13" s="593">
        <v>36114.550000000003</v>
      </c>
      <c r="AHX13" s="593">
        <f>'Proy 2021 vs 2019 Sem'!KH12*$AHZ$4</f>
        <v>35184.415128000001</v>
      </c>
      <c r="AHY13" s="735">
        <v>25966.2</v>
      </c>
      <c r="AHZ13" s="700">
        <f t="shared" si="889"/>
        <v>0.71899552950265189</v>
      </c>
      <c r="AIA13" s="593">
        <v>37622.870000000003</v>
      </c>
      <c r="AIB13" s="593">
        <f>'Proy 2021 vs 2019 Sem'!KH12*$AID$4</f>
        <v>35184.415128000001</v>
      </c>
      <c r="AIC13" s="735">
        <v>34031.49</v>
      </c>
      <c r="AID13" s="700">
        <f t="shared" si="890"/>
        <v>0.90454263590204564</v>
      </c>
      <c r="AIE13" s="593">
        <v>46969.69</v>
      </c>
      <c r="AIF13" s="593">
        <f>'Proy 2021 vs 2019 Sem'!KH12*$AIH$4</f>
        <v>41048.484316000002</v>
      </c>
      <c r="AIG13" s="735">
        <v>39160.57</v>
      </c>
      <c r="AIH13" s="700">
        <f t="shared" si="891"/>
        <v>0.83374129145838516</v>
      </c>
      <c r="AII13" s="593">
        <v>52736.77</v>
      </c>
      <c r="AIJ13" s="593">
        <f>'Proy 2021 vs 2019 Sem'!KH12*$AIL$4</f>
        <v>46912.553504000003</v>
      </c>
      <c r="AIK13" s="735">
        <v>45339.7</v>
      </c>
      <c r="AIL13" s="700">
        <f t="shared" si="892"/>
        <v>0.85973600582667464</v>
      </c>
      <c r="AIM13" s="593">
        <v>74016.740000000005</v>
      </c>
      <c r="AIN13" s="593">
        <f>'Proy 2021 vs 2019 Sem'!KH12*$AIP$4</f>
        <v>64504.761068</v>
      </c>
      <c r="AIO13" s="735">
        <v>71279.5</v>
      </c>
      <c r="AIP13" s="700">
        <f t="shared" si="893"/>
        <v>0.96301863605449245</v>
      </c>
      <c r="AIQ13" s="579">
        <f t="shared" si="894"/>
        <v>351541.65</v>
      </c>
      <c r="AIR13" s="574">
        <f t="shared" si="895"/>
        <v>293203.45939999999</v>
      </c>
      <c r="AIS13" s="730">
        <f t="shared" si="896"/>
        <v>309183.89</v>
      </c>
      <c r="AIT13" s="711">
        <f t="shared" si="897"/>
        <v>0.87950855894315794</v>
      </c>
      <c r="AIU13" s="593">
        <f>'Proy 2021 vs 2019 Sem'!KL12*$AIX$4</f>
        <v>38408.646000000001</v>
      </c>
      <c r="AIV13" s="593">
        <f>'Proy 2021 vs 2019 Sem'!KM12*$AIX$4</f>
        <v>54540.277319999994</v>
      </c>
      <c r="AIW13" s="735">
        <v>68785.8</v>
      </c>
      <c r="AIX13" s="700">
        <f t="shared" si="898"/>
        <v>1.790893644102945</v>
      </c>
      <c r="AIY13" s="593">
        <f>'Proy 2021 vs 2019 Sem'!KL12*$AJB$4</f>
        <v>38408.646000000001</v>
      </c>
      <c r="AIZ13" s="593">
        <f>'Proy 2021 vs 2019 Sem'!KM12*$AJB$4</f>
        <v>54540.277319999994</v>
      </c>
      <c r="AJA13" s="735">
        <v>55407.9</v>
      </c>
      <c r="AJB13" s="700">
        <f t="shared" si="899"/>
        <v>1.4425892545131636</v>
      </c>
      <c r="AJC13" s="593">
        <f>'Proy 2021 vs 2019 Sem'!KL12*$AJF$4</f>
        <v>38408.646000000001</v>
      </c>
      <c r="AJD13" s="593">
        <f>'Proy 2021 vs 2019 Sem'!KM12*$AJF$4</f>
        <v>54540.277319999994</v>
      </c>
      <c r="AJE13" s="735">
        <v>60846.86</v>
      </c>
      <c r="AJF13" s="700">
        <f t="shared" si="900"/>
        <v>1.5841969539879119</v>
      </c>
      <c r="AJG13" s="593">
        <f>'Proy 2021 vs 2019 Sem'!KL12*$AJJ$4</f>
        <v>38408.646000000001</v>
      </c>
      <c r="AJH13" s="593">
        <f>'Proy 2021 vs 2019 Sem'!KM12*$AJJ$4</f>
        <v>54540.277319999994</v>
      </c>
      <c r="AJI13" s="735">
        <v>57749.68</v>
      </c>
      <c r="AJJ13" s="700">
        <f t="shared" si="901"/>
        <v>1.5035593808748167</v>
      </c>
      <c r="AJK13" s="593">
        <f>'Proy 2021 vs 2019 Sem'!KL12*$AJN$4</f>
        <v>44810.087</v>
      </c>
      <c r="AJL13" s="593">
        <f>'Proy 2021 vs 2019 Sem'!KM12*$AJN$4</f>
        <v>63630.323540000005</v>
      </c>
      <c r="AJM13" s="735">
        <v>96387.839999999997</v>
      </c>
      <c r="AJN13" s="700">
        <f t="shared" si="902"/>
        <v>2.1510299678730815</v>
      </c>
      <c r="AJO13" s="593">
        <f>'Proy 2021 vs 2019 Sem'!KL12*$AJR$4</f>
        <v>51211.527999999998</v>
      </c>
      <c r="AJP13" s="593">
        <f>'Proy 2021 vs 2019 Sem'!KM12*$AJR$4</f>
        <v>72720.369760000001</v>
      </c>
      <c r="AJQ13" s="735">
        <v>84559.94</v>
      </c>
      <c r="AJR13" s="700">
        <f t="shared" si="903"/>
        <v>1.651189552477325</v>
      </c>
      <c r="AJS13" s="593">
        <f>'Proy 2021 vs 2019 Sem'!KL12*$AJV$4</f>
        <v>70415.850999999995</v>
      </c>
      <c r="AJT13" s="593">
        <f>'Proy 2021 vs 2019 Sem'!KM12*$AJV$4</f>
        <v>99990.508419999998</v>
      </c>
      <c r="AJU13" s="699">
        <v>0</v>
      </c>
      <c r="AJV13" s="700">
        <f t="shared" si="904"/>
        <v>0</v>
      </c>
      <c r="AJW13" s="579">
        <f t="shared" si="905"/>
        <v>320072.05</v>
      </c>
      <c r="AJX13" s="574">
        <f t="shared" si="906"/>
        <v>454502.31099999999</v>
      </c>
      <c r="AJY13" s="710">
        <f t="shared" si="907"/>
        <v>423738.01999999996</v>
      </c>
      <c r="AJZ13" s="711">
        <f t="shared" si="908"/>
        <v>1.3238832319160638</v>
      </c>
      <c r="AKA13" s="593">
        <f>'Proy 2021 vs 2019 Sem'!KQ12*$AKD$4</f>
        <v>12935.1</v>
      </c>
      <c r="AKB13" s="593">
        <f>'Proy 2021 vs 2019 Sem'!KR12*$AKD$4</f>
        <v>11641.59</v>
      </c>
      <c r="AKC13" s="735">
        <v>19588.71</v>
      </c>
      <c r="AKD13" s="700">
        <f t="shared" si="909"/>
        <v>1.5143841176334158</v>
      </c>
      <c r="AKE13" s="593">
        <f>'Proy 2021 vs 2019 Sem'!KQ12*$AKH$4</f>
        <v>12935.1</v>
      </c>
      <c r="AKF13" s="593">
        <f>'Proy 2021 vs 2019 Sem'!KR12*$AKH$4</f>
        <v>11641.59</v>
      </c>
      <c r="AKG13" s="735">
        <v>10707.42</v>
      </c>
      <c r="AKH13" s="700">
        <f t="shared" si="910"/>
        <v>0.82778022589697797</v>
      </c>
      <c r="AKI13" s="593">
        <f>'Proy 2021 vs 2019 Sem'!KQ12*$AKL$4</f>
        <v>12935.1</v>
      </c>
      <c r="AKJ13" s="593">
        <f>'Proy 2021 vs 2019 Sem'!KR12*$AKL$4</f>
        <v>11641.59</v>
      </c>
      <c r="AKK13" s="735">
        <v>13158.61</v>
      </c>
      <c r="AKL13" s="700">
        <f t="shared" si="911"/>
        <v>1.0172793407086145</v>
      </c>
      <c r="AKM13" s="593">
        <f>'Proy 2021 vs 2019 Sem'!KQ12*$AKP$4</f>
        <v>12935.1</v>
      </c>
      <c r="AKN13" s="593">
        <f>'Proy 2021 vs 2019 Sem'!KR12*$AKP$4</f>
        <v>11641.59</v>
      </c>
      <c r="AKO13" s="735">
        <v>14224.49</v>
      </c>
      <c r="AKP13" s="700">
        <f t="shared" si="912"/>
        <v>1.0996814868072144</v>
      </c>
      <c r="AKQ13" s="593">
        <f>'Proy 2021 vs 2019 Sem'!KQ12*$AKT$4</f>
        <v>15090.95</v>
      </c>
      <c r="AKR13" s="593">
        <f>'Proy 2021 vs 2019 Sem'!KR12*$AKT$4</f>
        <v>13581.855000000001</v>
      </c>
      <c r="AKS13" s="735">
        <v>18997.310000000001</v>
      </c>
      <c r="AKT13" s="700">
        <f t="shared" si="913"/>
        <v>1.2588544790089424</v>
      </c>
      <c r="AKU13" s="593">
        <f>'Proy 2021 vs 2019 Sem'!KQ12*$AKX$4</f>
        <v>17246.8</v>
      </c>
      <c r="AKV13" s="593">
        <f>'Proy 2021 vs 2019 Sem'!KR12*$AKX$4</f>
        <v>15522.12</v>
      </c>
      <c r="AKW13" s="735">
        <v>17146.830000000002</v>
      </c>
      <c r="AKX13" s="700">
        <f t="shared" si="914"/>
        <v>0.99420356239998164</v>
      </c>
      <c r="AKY13" s="593">
        <f>'Proy 2021 vs 2019 Sem'!KQ12*$ALB$4</f>
        <v>23714.35</v>
      </c>
      <c r="AKZ13" s="593">
        <f>'Proy 2021 vs 2019 Sem'!KR12*$ALB$4</f>
        <v>21342.915000000001</v>
      </c>
      <c r="ALA13" s="699">
        <v>0</v>
      </c>
      <c r="ALB13" s="700">
        <f>ALA13/AKY13</f>
        <v>0</v>
      </c>
      <c r="ALC13" s="579">
        <f t="shared" si="915"/>
        <v>107792.5</v>
      </c>
      <c r="ALD13" s="574">
        <f t="shared" si="916"/>
        <v>97013.25</v>
      </c>
      <c r="ALE13" s="710">
        <f t="shared" si="917"/>
        <v>93823.37</v>
      </c>
      <c r="ALF13" s="711">
        <f t="shared" si="918"/>
        <v>0.87040721757079564</v>
      </c>
    </row>
    <row r="14" spans="2:994" ht="19.5" customHeight="1">
      <c r="B14" s="570" t="s">
        <v>476</v>
      </c>
      <c r="C14" s="574">
        <f>'Proy 2021 vs 2019 Sem'!DX13*$F$4</f>
        <v>11388.582</v>
      </c>
      <c r="D14" s="576">
        <f>'Proy 2021 vs 2019 Sem'!$DY$13*F4</f>
        <v>9687.56008832306</v>
      </c>
      <c r="E14" s="735">
        <v>8213.2099999999991</v>
      </c>
      <c r="F14" s="700">
        <f t="shared" si="580"/>
        <v>0.72117933558365732</v>
      </c>
      <c r="G14" s="574">
        <f>'Proy 2021 vs 2019 Sem'!DX13*$J$4</f>
        <v>11388.582</v>
      </c>
      <c r="H14" s="574">
        <f>'Proy 2021 vs 2019 Sem'!$DY$13*J4</f>
        <v>9687.56008832306</v>
      </c>
      <c r="I14" s="735">
        <v>8434.5400000000009</v>
      </c>
      <c r="J14" s="700">
        <f t="shared" si="581"/>
        <v>0.74061371292756206</v>
      </c>
      <c r="K14" s="574">
        <f>'Proy 2021 vs 2019 Sem'!DX13*'Vtas Diarias 2021'!$N$4</f>
        <v>11388.582</v>
      </c>
      <c r="L14" s="574">
        <f>'Proy 2021 vs 2019 Sem'!$DY$13*N4</f>
        <v>9687.56008832306</v>
      </c>
      <c r="M14" s="735">
        <v>6906.64</v>
      </c>
      <c r="N14" s="700">
        <f t="shared" si="582"/>
        <v>0.60645302461711215</v>
      </c>
      <c r="O14" s="574">
        <f>'Proy 2021 vs 2019 Sem'!DX13*$R$4</f>
        <v>11388.582</v>
      </c>
      <c r="P14" s="574">
        <f>'Proy 2021 vs 2019 Sem'!$DY$13*R4</f>
        <v>9687.56008832306</v>
      </c>
      <c r="Q14" s="735">
        <v>5033.29</v>
      </c>
      <c r="R14" s="700">
        <f t="shared" si="583"/>
        <v>0.44195932382099895</v>
      </c>
      <c r="S14" s="574">
        <f>'Proy 2021 vs 2019 Sem'!DX13*$V$4</f>
        <v>13286.679000000002</v>
      </c>
      <c r="T14" s="574">
        <f>'Proy 2021 vs 2019 Sem'!$DY$13*V4</f>
        <v>11302.153436376904</v>
      </c>
      <c r="U14" s="735">
        <v>19524.54</v>
      </c>
      <c r="V14" s="700">
        <f t="shared" si="584"/>
        <v>1.4694823288799255</v>
      </c>
      <c r="W14" s="574">
        <f>'Proy 2021 vs 2019 Sem'!DX13*$Z$4</f>
        <v>15184.776000000002</v>
      </c>
      <c r="X14" s="574">
        <f>'Proy 2021 vs 2019 Sem'!$DY$13*Z4</f>
        <v>12916.746784430747</v>
      </c>
      <c r="Y14" s="735">
        <v>10723.83</v>
      </c>
      <c r="Z14" s="700">
        <f t="shared" si="585"/>
        <v>0.70622246913619269</v>
      </c>
      <c r="AA14" s="574">
        <f>'Proy 2021 vs 2019 Sem'!DX13*$AD$4</f>
        <v>20879.067000000003</v>
      </c>
      <c r="AB14" s="574">
        <f>'Proy 2021 vs 2019 Sem'!$DY$13*AD4</f>
        <v>17760.526828592276</v>
      </c>
      <c r="AC14" s="735">
        <v>17812.919999999998</v>
      </c>
      <c r="AD14" s="700">
        <f t="shared" si="586"/>
        <v>0.85314731735857718</v>
      </c>
      <c r="AE14" s="579">
        <f t="shared" si="587"/>
        <v>94904.85</v>
      </c>
      <c r="AF14" s="574">
        <f t="shared" si="588"/>
        <v>80729.667402692168</v>
      </c>
      <c r="AG14" s="729">
        <f t="shared" si="589"/>
        <v>76648.97</v>
      </c>
      <c r="AH14" s="711">
        <f t="shared" si="590"/>
        <v>0.80764017855778703</v>
      </c>
      <c r="AI14" s="593">
        <f>'Proy 2021 vs 2019 Sem'!EC13*$AL$4</f>
        <v>10720.8444</v>
      </c>
      <c r="AJ14" s="611">
        <f>'Proy 2021 vs 2019 Sem'!ED13*$AL$4</f>
        <v>7504.5910799999983</v>
      </c>
      <c r="AK14" s="735">
        <v>9071.7900000000009</v>
      </c>
      <c r="AL14" s="700">
        <f t="shared" si="591"/>
        <v>0.84618241451205101</v>
      </c>
      <c r="AM14" s="593">
        <f>'Proy 2021 vs 2019 Sem'!EC13*$AP$4</f>
        <v>10720.8444</v>
      </c>
      <c r="AN14" s="593">
        <f>'Proy 2021 vs 2019 Sem'!ED13*$AP$4</f>
        <v>7504.5910799999983</v>
      </c>
      <c r="AO14" s="735">
        <v>6785.09</v>
      </c>
      <c r="AP14" s="700">
        <f t="shared" si="592"/>
        <v>0.63288764829009181</v>
      </c>
      <c r="AQ14" s="593">
        <f>'Proy 2021 vs 2019 Sem'!EC13*$AT$4</f>
        <v>10720.8444</v>
      </c>
      <c r="AR14" s="593">
        <f>'Proy 2021 vs 2019 Sem'!ED13*$AT$4</f>
        <v>7504.5910799999983</v>
      </c>
      <c r="AS14" s="735">
        <v>9306.4</v>
      </c>
      <c r="AT14" s="700">
        <f t="shared" si="593"/>
        <v>0.86806595196923109</v>
      </c>
      <c r="AU14" s="593">
        <f>'Proy 2021 vs 2019 Sem'!EC13*$AX$4</f>
        <v>10720.8444</v>
      </c>
      <c r="AV14" s="593">
        <f>'Proy 2021 vs 2019 Sem'!ED13*$AX$4</f>
        <v>7504.5910799999983</v>
      </c>
      <c r="AW14" s="735">
        <v>8048.24</v>
      </c>
      <c r="AX14" s="700">
        <f t="shared" si="594"/>
        <v>0.75070952433560179</v>
      </c>
      <c r="AY14" s="593">
        <f>'Proy 2021 vs 2019 Sem'!EC13*$BB$4</f>
        <v>12507.6518</v>
      </c>
      <c r="AZ14" s="593">
        <f>'Proy 2021 vs 2019 Sem'!ED13*$BB$4</f>
        <v>8755.3562599999987</v>
      </c>
      <c r="BA14" s="735">
        <v>5724.35</v>
      </c>
      <c r="BB14" s="700">
        <f t="shared" si="595"/>
        <v>0.45766784137690819</v>
      </c>
      <c r="BC14" s="593">
        <f>'Proy 2021 vs 2019 Sem'!EC13*$BF$4</f>
        <v>14294.459199999999</v>
      </c>
      <c r="BD14" s="593">
        <f>'Proy 2021 vs 2019 Sem'!ED13*$BF$4</f>
        <v>10006.121439999999</v>
      </c>
      <c r="BE14" s="735">
        <v>17548.759999999998</v>
      </c>
      <c r="BF14" s="700">
        <f t="shared" si="596"/>
        <v>1.2276616942598289</v>
      </c>
      <c r="BG14" s="593">
        <f>'Proy 2021 vs 2019 Sem'!EC13*$BJ$4</f>
        <v>19654.881399999998</v>
      </c>
      <c r="BH14" s="593">
        <f>'Proy 2021 vs 2019 Sem'!ED13*$BJ$4</f>
        <v>13758.416979999998</v>
      </c>
      <c r="BI14" s="735">
        <v>14228.57</v>
      </c>
      <c r="BJ14" s="700">
        <f t="shared" si="597"/>
        <v>0.72392042009472524</v>
      </c>
      <c r="BK14" s="579">
        <f t="shared" si="598"/>
        <v>89340.37</v>
      </c>
      <c r="BL14" s="574">
        <f t="shared" si="599"/>
        <v>62538.258999999991</v>
      </c>
      <c r="BM14" s="730">
        <f t="shared" si="600"/>
        <v>70713.199999999983</v>
      </c>
      <c r="BN14" s="711">
        <f t="shared" si="601"/>
        <v>0.7915033259880162</v>
      </c>
      <c r="BO14" s="593">
        <f>'Proy 2021 vs 2019 Sem'!EH13*$BR$4</f>
        <v>12144.237599999999</v>
      </c>
      <c r="BP14" s="593">
        <f>'Proy 2021 vs 2019 Sem'!EI13*$BR$4</f>
        <v>8500.9663199999995</v>
      </c>
      <c r="BQ14" s="735">
        <v>7698.6</v>
      </c>
      <c r="BR14" s="700">
        <f t="shared" si="602"/>
        <v>0.63393028476320334</v>
      </c>
      <c r="BS14" s="593">
        <f>'Proy 2021 vs 2019 Sem'!EH13*$BV$4</f>
        <v>12144.237599999999</v>
      </c>
      <c r="BT14" s="593">
        <f>'Proy 2021 vs 2019 Sem'!EI13*$BV$4</f>
        <v>8500.9663199999995</v>
      </c>
      <c r="BU14" s="735">
        <v>8555.17</v>
      </c>
      <c r="BV14" s="700">
        <f t="shared" si="603"/>
        <v>0.70446332505879172</v>
      </c>
      <c r="BW14" s="593">
        <f>'Proy 2021 vs 2019 Sem'!EH13*$BZ$4</f>
        <v>12144.237599999999</v>
      </c>
      <c r="BX14" s="593">
        <f>'Proy 2021 vs 2019 Sem'!EI13*$BZ$4</f>
        <v>8500.9663199999995</v>
      </c>
      <c r="BY14" s="735">
        <v>12779.09</v>
      </c>
      <c r="BZ14" s="700">
        <f t="shared" si="604"/>
        <v>1.0522760193690546</v>
      </c>
      <c r="CA14" s="593">
        <f>'Proy 2021 vs 2019 Sem'!EH13*$CD$4</f>
        <v>12144.237599999999</v>
      </c>
      <c r="CB14" s="593">
        <f>'Proy 2021 vs 2019 Sem'!EI13*$CD$4</f>
        <v>8500.9663199999995</v>
      </c>
      <c r="CC14" s="735">
        <v>12640.05</v>
      </c>
      <c r="CD14" s="700">
        <f t="shared" si="605"/>
        <v>1.0408269680099145</v>
      </c>
      <c r="CE14" s="593">
        <f>'Proy 2021 vs 2019 Sem'!EH13*$CH$4</f>
        <v>14168.2772</v>
      </c>
      <c r="CF14" s="593">
        <f>'Proy 2021 vs 2019 Sem'!EI13*$CH$4</f>
        <v>9917.7940400000007</v>
      </c>
      <c r="CG14" s="735">
        <v>8878.58</v>
      </c>
      <c r="CH14" s="700">
        <f t="shared" si="606"/>
        <v>0.6266520533632699</v>
      </c>
      <c r="CI14" s="593">
        <f>'Proy 2021 vs 2019 Sem'!EH13*$CL$4</f>
        <v>16192.316800000001</v>
      </c>
      <c r="CJ14" s="593">
        <f>'Proy 2021 vs 2019 Sem'!EI13*$CL$4</f>
        <v>11334.62176</v>
      </c>
      <c r="CK14" s="735">
        <v>11821.55</v>
      </c>
      <c r="CL14" s="700">
        <f t="shared" si="607"/>
        <v>0.73007156085286073</v>
      </c>
      <c r="CM14" s="593">
        <f>'Proy 2021 vs 2019 Sem'!EH13*$CP$4</f>
        <v>22264.435600000001</v>
      </c>
      <c r="CN14" s="593">
        <f>'Proy 2021 vs 2019 Sem'!EI13*$CP$4</f>
        <v>15585.10492</v>
      </c>
      <c r="CO14" s="735">
        <v>19922.240000000002</v>
      </c>
      <c r="CP14" s="700">
        <f t="shared" si="608"/>
        <v>0.8948010341658964</v>
      </c>
      <c r="CQ14" s="579">
        <f t="shared" si="609"/>
        <v>101201.98</v>
      </c>
      <c r="CR14" s="574">
        <f t="shared" si="610"/>
        <v>70841.385999999999</v>
      </c>
      <c r="CS14" s="730">
        <f t="shared" si="611"/>
        <v>82295.280000000013</v>
      </c>
      <c r="CT14" s="711">
        <f t="shared" si="612"/>
        <v>0.81317855638792857</v>
      </c>
      <c r="CU14" s="593">
        <f>'Proy 2021 vs 2019 Sem'!EM13*$CX$4</f>
        <v>12479.196</v>
      </c>
      <c r="CV14" s="593">
        <f>'Proy 2021 vs 2019 Sem'!EN13*$CX$4</f>
        <v>8735.4372000000003</v>
      </c>
      <c r="CW14" s="735">
        <v>13514.03</v>
      </c>
      <c r="CX14" s="700">
        <f t="shared" si="613"/>
        <v>1.0829247332921128</v>
      </c>
      <c r="CY14" s="593">
        <f>'Proy 2021 vs 2019 Sem'!EM13*$DB$4</f>
        <v>12479.196</v>
      </c>
      <c r="CZ14" s="593">
        <f>'Proy 2021 vs 2019 Sem'!EN13*$DB$4</f>
        <v>8735.4372000000003</v>
      </c>
      <c r="DA14" s="735">
        <v>9287.7900000000009</v>
      </c>
      <c r="DB14" s="700">
        <f t="shared" si="614"/>
        <v>0.74426188994867948</v>
      </c>
      <c r="DC14" s="593">
        <f>'Proy 2021 vs 2019 Sem'!EM13*$DF$4</f>
        <v>12479.196</v>
      </c>
      <c r="DD14" s="593">
        <f>'Proy 2021 vs 2019 Sem'!EN13*$DF$4</f>
        <v>8735.4372000000003</v>
      </c>
      <c r="DE14" s="735">
        <v>9432.98</v>
      </c>
      <c r="DF14" s="700">
        <f t="shared" si="615"/>
        <v>0.75589645358563162</v>
      </c>
      <c r="DG14" s="593">
        <f>'Proy 2021 vs 2019 Sem'!EM13*$DJ$4</f>
        <v>12479.196</v>
      </c>
      <c r="DH14" s="593">
        <f>'Proy 2021 vs 2019 Sem'!EN13*$DJ$4</f>
        <v>8735.4372000000003</v>
      </c>
      <c r="DI14" s="735">
        <v>9329.9599999999991</v>
      </c>
      <c r="DJ14" s="700">
        <f t="shared" si="616"/>
        <v>0.74764111405895051</v>
      </c>
      <c r="DK14" s="593">
        <f>'Proy 2021 vs 2019 Sem'!EM13*$DN$4</f>
        <v>14559.062000000002</v>
      </c>
      <c r="DL14" s="593">
        <f>'Proy 2021 vs 2019 Sem'!EN13*$DN$4</f>
        <v>10191.3434</v>
      </c>
      <c r="DM14" s="735">
        <v>15821.85</v>
      </c>
      <c r="DN14" s="700">
        <f t="shared" si="617"/>
        <v>1.086735532824848</v>
      </c>
      <c r="DO14" s="593">
        <f>'Proy 2021 vs 2019 Sem'!EM13*$DR$4</f>
        <v>16638.928</v>
      </c>
      <c r="DP14" s="593">
        <f>'Proy 2021 vs 2019 Sem'!EN13*$DR$4</f>
        <v>11647.249599999999</v>
      </c>
      <c r="DQ14" s="735">
        <v>14130.69</v>
      </c>
      <c r="DR14" s="700">
        <f t="shared" si="618"/>
        <v>0.84925483180166417</v>
      </c>
      <c r="DS14" s="593">
        <f>'Proy 2021 vs 2019 Sem'!EM13*$DV$4</f>
        <v>22878.526000000002</v>
      </c>
      <c r="DT14" s="593">
        <f>'Proy 2021 vs 2019 Sem'!EN13*$DV$4</f>
        <v>16014.968199999999</v>
      </c>
      <c r="DU14" s="735">
        <v>18858.330000000002</v>
      </c>
      <c r="DV14" s="700">
        <f t="shared" si="619"/>
        <v>0.82428081249639951</v>
      </c>
      <c r="DW14" s="579">
        <f t="shared" si="620"/>
        <v>103993.3</v>
      </c>
      <c r="DX14" s="574">
        <f t="shared" si="621"/>
        <v>72795.31</v>
      </c>
      <c r="DY14" s="710">
        <f t="shared" si="622"/>
        <v>90375.62999999999</v>
      </c>
      <c r="DZ14" s="711">
        <f t="shared" si="623"/>
        <v>0.86905242933919769</v>
      </c>
      <c r="EA14" s="593">
        <f>'Proy 2021 vs 2019 Sem'!ER13*$ED$4</f>
        <v>11028.8436</v>
      </c>
      <c r="EB14" s="593">
        <f>'Proy 2021 vs 2019 Sem'!ES13*$ED$4</f>
        <v>7168.7483399999992</v>
      </c>
      <c r="EC14" s="735">
        <v>11538.09</v>
      </c>
      <c r="ED14" s="700">
        <f t="shared" si="624"/>
        <v>1.0461740521916549</v>
      </c>
      <c r="EE14" s="593">
        <f>'Proy 2021 vs 2019 Sem'!ER13*$EH$4</f>
        <v>11028.8436</v>
      </c>
      <c r="EF14" s="593">
        <f>'Proy 2021 vs 2019 Sem'!ES13*$EH$4</f>
        <v>7168.7483399999992</v>
      </c>
      <c r="EG14" s="735">
        <v>9508.61</v>
      </c>
      <c r="EH14" s="700">
        <f t="shared" si="625"/>
        <v>0.8621583862155775</v>
      </c>
      <c r="EI14" s="593">
        <f>'Proy 2021 vs 2019 Sem'!ER13*$EL$4</f>
        <v>11028.8436</v>
      </c>
      <c r="EJ14" s="593">
        <f>'Proy 2021 vs 2019 Sem'!ES13*$EL$4</f>
        <v>7168.7483399999992</v>
      </c>
      <c r="EK14" s="735">
        <v>5239.8100000000004</v>
      </c>
      <c r="EL14" s="700">
        <f t="shared" si="626"/>
        <v>0.4751005808079462</v>
      </c>
      <c r="EM14" s="593">
        <f>'Proy 2021 vs 2019 Sem'!ER13*$EP$4</f>
        <v>11028.8436</v>
      </c>
      <c r="EN14" s="593">
        <f>'Proy 2021 vs 2019 Sem'!ES13*$EP$4</f>
        <v>7168.7483399999992</v>
      </c>
      <c r="EO14" s="735">
        <v>8289.48</v>
      </c>
      <c r="EP14" s="700">
        <f t="shared" si="627"/>
        <v>0.75161823856129395</v>
      </c>
      <c r="EQ14" s="593">
        <f>'Proy 2021 vs 2019 Sem'!ER13*$ET$4</f>
        <v>12866.984200000001</v>
      </c>
      <c r="ER14" s="593">
        <f>'Proy 2021 vs 2019 Sem'!ES13*$ET$4</f>
        <v>8363.5397300000004</v>
      </c>
      <c r="ES14" s="735">
        <v>8526.48</v>
      </c>
      <c r="ET14" s="700">
        <f t="shared" si="628"/>
        <v>0.66266343903647595</v>
      </c>
      <c r="EU14" s="593">
        <f>'Proy 2021 vs 2019 Sem'!ER13*$EX$4</f>
        <v>14705.1248</v>
      </c>
      <c r="EV14" s="593">
        <f>'Proy 2021 vs 2019 Sem'!ES13*$EX$4</f>
        <v>9558.3311200000007</v>
      </c>
      <c r="EW14" s="735">
        <v>14469.11</v>
      </c>
      <c r="EX14" s="700">
        <f t="shared" si="629"/>
        <v>0.98395016681531333</v>
      </c>
      <c r="EY14" s="593">
        <f>'Proy 2021 vs 2019 Sem'!ER13*$FB$4</f>
        <v>20219.546600000001</v>
      </c>
      <c r="EZ14" s="593">
        <f>'Proy 2021 vs 2019 Sem'!ES13*$FB$4</f>
        <v>13142.70529</v>
      </c>
      <c r="FA14" s="699">
        <v>19209.8</v>
      </c>
      <c r="FB14" s="700">
        <f t="shared" si="630"/>
        <v>0.95006086832827386</v>
      </c>
      <c r="FC14" s="579">
        <f t="shared" si="631"/>
        <v>91907.03</v>
      </c>
      <c r="FD14" s="574">
        <f t="shared" si="632"/>
        <v>59739.569499999998</v>
      </c>
      <c r="FE14" s="710">
        <f t="shared" si="633"/>
        <v>76781.38</v>
      </c>
      <c r="FF14" s="711">
        <f t="shared" si="634"/>
        <v>0.83542445012095379</v>
      </c>
      <c r="FG14" s="593">
        <f>'Proy 2021 vs 2019 Sem'!FA13*$FJ$4</f>
        <v>10939.940399999999</v>
      </c>
      <c r="FH14" s="593">
        <f>'Proy 2021 vs 2019 Sem'!FB13*$FJ$4</f>
        <v>7657.9582799999989</v>
      </c>
      <c r="FI14" s="735">
        <v>8738.5400000000009</v>
      </c>
      <c r="FJ14" s="700">
        <f t="shared" si="635"/>
        <v>0.79877400428982237</v>
      </c>
      <c r="FK14" s="593">
        <f>'Proy 2021 vs 2019 Sem'!FA13*$FN$4</f>
        <v>10939.940399999999</v>
      </c>
      <c r="FL14" s="593">
        <f>'Proy 2021 vs 2019 Sem'!FB13*$FN$4</f>
        <v>7657.9582799999989</v>
      </c>
      <c r="FM14" s="735">
        <v>10729.23</v>
      </c>
      <c r="FN14" s="700">
        <f t="shared" si="636"/>
        <v>0.98073934662386275</v>
      </c>
      <c r="FO14" s="593">
        <f>'Proy 2021 vs 2019 Sem'!FA13*$FR$4</f>
        <v>10939.940399999999</v>
      </c>
      <c r="FP14" s="593">
        <f>'Proy 2021 vs 2019 Sem'!FB13*$FR$4</f>
        <v>7657.9582799999989</v>
      </c>
      <c r="FQ14" s="735">
        <v>12275.93</v>
      </c>
      <c r="FR14" s="700">
        <f t="shared" si="637"/>
        <v>1.1221203727947184</v>
      </c>
      <c r="FS14" s="593">
        <f>'Proy 2021 vs 2019 Sem'!FA13*$FV$4</f>
        <v>10939.940399999999</v>
      </c>
      <c r="FT14" s="593">
        <f>'Proy 2021 vs 2019 Sem'!FB13*$FV$4</f>
        <v>7657.9582799999989</v>
      </c>
      <c r="FU14" s="735">
        <v>8653.52</v>
      </c>
      <c r="FV14" s="700">
        <f t="shared" si="638"/>
        <v>0.79100248114697236</v>
      </c>
      <c r="FW14" s="593">
        <f>'Proy 2021 vs 2019 Sem'!FA13*$FZ$4</f>
        <v>12763.263800000001</v>
      </c>
      <c r="FX14" s="593">
        <f>'Proy 2021 vs 2019 Sem'!FB13*$FZ$4</f>
        <v>8934.2846600000012</v>
      </c>
      <c r="FY14" s="735">
        <v>7081.86</v>
      </c>
      <c r="FZ14" s="700">
        <f t="shared" si="639"/>
        <v>0.55486277734069867</v>
      </c>
      <c r="GA14" s="593">
        <f>'Proy 2021 vs 2019 Sem'!FA13*$GD$4</f>
        <v>14586.5872</v>
      </c>
      <c r="GB14" s="593">
        <f>'Proy 2021 vs 2019 Sem'!FB13*$GD$4</f>
        <v>10210.61104</v>
      </c>
      <c r="GC14" s="735">
        <v>12382.42</v>
      </c>
      <c r="GD14" s="700">
        <f t="shared" si="640"/>
        <v>0.8488908221108773</v>
      </c>
      <c r="GE14" s="593">
        <f>'Proy 2021 vs 2019 Sem'!FA13*$GH$4</f>
        <v>20056.557400000002</v>
      </c>
      <c r="GF14" s="593">
        <f>'Proy 2021 vs 2019 Sem'!FB13*$GH$4</f>
        <v>14039.590179999999</v>
      </c>
      <c r="GG14" s="735">
        <v>21982.17</v>
      </c>
      <c r="GH14" s="700">
        <f t="shared" si="641"/>
        <v>1.0960091286653211</v>
      </c>
      <c r="GI14" s="579">
        <f t="shared" si="642"/>
        <v>91166.17</v>
      </c>
      <c r="GJ14" s="574">
        <f t="shared" si="643"/>
        <v>63816.319000000003</v>
      </c>
      <c r="GK14" s="759">
        <f t="shared" si="644"/>
        <v>81843.67</v>
      </c>
      <c r="GL14" s="761">
        <f t="shared" si="645"/>
        <v>0.89774167325445398</v>
      </c>
      <c r="GM14" s="593">
        <f>'Proy 2021 vs 2019 Sem'!FF13*$GP$4</f>
        <v>9641.2703999999994</v>
      </c>
      <c r="GN14" s="593">
        <f>'Proy 2021 vs 2019 Sem'!FG13*$GP$4</f>
        <v>7327.3655039999994</v>
      </c>
      <c r="GO14" s="735">
        <v>8422.86</v>
      </c>
      <c r="GP14" s="700">
        <f t="shared" si="646"/>
        <v>0.87362553383006469</v>
      </c>
      <c r="GQ14" s="593">
        <f>'Proy 2021 vs 2019 Sem'!FF13*$GT$4</f>
        <v>9641.2703999999994</v>
      </c>
      <c r="GR14" s="593">
        <f>'Proy 2021 vs 2019 Sem'!FG13*$GT$4</f>
        <v>7327.3655039999994</v>
      </c>
      <c r="GS14" s="735">
        <v>8218.48</v>
      </c>
      <c r="GT14" s="700">
        <f t="shared" si="647"/>
        <v>0.85242708263840417</v>
      </c>
      <c r="GU14" s="593">
        <f>'Proy 2021 vs 2019 Sem'!FF13*$GX$4</f>
        <v>9641.2703999999994</v>
      </c>
      <c r="GV14" s="593">
        <f>'Proy 2021 vs 2019 Sem'!FG13*$GX$4</f>
        <v>7327.3655039999994</v>
      </c>
      <c r="GW14" s="735">
        <v>7884.32</v>
      </c>
      <c r="GX14" s="700">
        <f t="shared" si="648"/>
        <v>0.81776774977704181</v>
      </c>
      <c r="GY14" s="593">
        <f>'Proy 2021 vs 2019 Sem'!FF13*$HB$4</f>
        <v>9641.2703999999994</v>
      </c>
      <c r="GZ14" s="593">
        <f>'Proy 2021 vs 2019 Sem'!FG13*$HB$4</f>
        <v>7327.3655039999994</v>
      </c>
      <c r="HA14" s="735">
        <v>5501.8</v>
      </c>
      <c r="HB14" s="700">
        <f t="shared" si="649"/>
        <v>0.57065093828298818</v>
      </c>
      <c r="HC14" s="593">
        <f>'Proy 2021 vs 2019 Sem'!FF13*$HF$4</f>
        <v>11248.148800000001</v>
      </c>
      <c r="HD14" s="593">
        <f>'Proy 2021 vs 2019 Sem'!FG13*$HF$4</f>
        <v>8548.5930879999996</v>
      </c>
      <c r="HE14" s="735">
        <v>11437.46</v>
      </c>
      <c r="HF14" s="700">
        <f t="shared" si="650"/>
        <v>1.0168304316884569</v>
      </c>
      <c r="HG14" s="593">
        <f>'Proy 2021 vs 2019 Sem'!FF13*$HJ$4</f>
        <v>12855.0272</v>
      </c>
      <c r="HH14" s="593">
        <f>'Proy 2021 vs 2019 Sem'!FG13*$HJ$4</f>
        <v>9769.8206719999998</v>
      </c>
      <c r="HI14" s="735">
        <v>12950.9</v>
      </c>
      <c r="HJ14" s="700">
        <f t="shared" si="651"/>
        <v>1.0074580005556113</v>
      </c>
      <c r="HK14" s="593">
        <f>'Proy 2021 vs 2019 Sem'!FF13*$HN$4</f>
        <v>17675.662400000001</v>
      </c>
      <c r="HL14" s="593">
        <f>'Proy 2021 vs 2019 Sem'!FG13*$HN$4</f>
        <v>13433.503423999999</v>
      </c>
      <c r="HM14" s="735">
        <v>18015.900000000001</v>
      </c>
      <c r="HN14" s="700">
        <f t="shared" si="652"/>
        <v>1.0192489306652519</v>
      </c>
      <c r="HO14" s="579">
        <f t="shared" si="653"/>
        <v>80343.92</v>
      </c>
      <c r="HP14" s="574">
        <f t="shared" si="654"/>
        <v>61061.379199999996</v>
      </c>
      <c r="HQ14" s="765">
        <f t="shared" si="655"/>
        <v>72431.72</v>
      </c>
      <c r="HR14" s="761">
        <f t="shared" si="656"/>
        <v>0.90152086181505708</v>
      </c>
      <c r="HS14" s="593">
        <f>'Proy 2021 vs 2019 Sem'!FK13*$CX$4</f>
        <v>8769.2304000000004</v>
      </c>
      <c r="HT14" s="593">
        <f>'Proy 2021 vs 2019 Sem'!FL13*$CX$4</f>
        <v>6927.6920159999991</v>
      </c>
      <c r="HU14" s="735">
        <v>8239.5300000000007</v>
      </c>
      <c r="HV14" s="700">
        <f t="shared" si="657"/>
        <v>0.93959556587770809</v>
      </c>
      <c r="HW14" s="593">
        <f>'Proy 2021 vs 2019 Sem'!FK13*$DB$4</f>
        <v>8769.2304000000004</v>
      </c>
      <c r="HX14" s="593">
        <f>'Proy 2021 vs 2019 Sem'!FL13*$DB$4</f>
        <v>6927.6920159999991</v>
      </c>
      <c r="HY14" s="735">
        <v>16312.04</v>
      </c>
      <c r="HZ14" s="700">
        <f t="shared" si="658"/>
        <v>1.8601449906025962</v>
      </c>
      <c r="IA14" s="593">
        <f>'Proy 2021 vs 2019 Sem'!FK13*$DF$4</f>
        <v>8769.2304000000004</v>
      </c>
      <c r="IB14" s="593">
        <f>'Proy 2021 vs 2019 Sem'!FL13*$DF$4</f>
        <v>6927.6920159999991</v>
      </c>
      <c r="IC14" s="735">
        <v>6239.05</v>
      </c>
      <c r="ID14" s="700">
        <f t="shared" si="659"/>
        <v>0.71147064399174642</v>
      </c>
      <c r="IE14" s="593">
        <f>'Proy 2021 vs 2019 Sem'!FK13*$DJ$4</f>
        <v>8769.2304000000004</v>
      </c>
      <c r="IF14" s="593">
        <f>'Proy 2021 vs 2019 Sem'!FL13*$DJ$4</f>
        <v>6927.6920159999991</v>
      </c>
      <c r="IG14" s="735">
        <v>8881.8799999999992</v>
      </c>
      <c r="IH14" s="700">
        <f t="shared" si="660"/>
        <v>1.0128460075584282</v>
      </c>
      <c r="II14" s="593">
        <f>'Proy 2021 vs 2019 Sem'!FK13*$DN$4</f>
        <v>10230.7688</v>
      </c>
      <c r="IJ14" s="593">
        <f>'Proy 2021 vs 2019 Sem'!FL13*$DN$4</f>
        <v>8082.3073520000007</v>
      </c>
      <c r="IK14" s="735">
        <v>10979.57</v>
      </c>
      <c r="IL14" s="700">
        <f t="shared" si="661"/>
        <v>1.0731910978185726</v>
      </c>
      <c r="IM14" s="593">
        <f>'Proy 2021 vs 2019 Sem'!FK13*$DR$4</f>
        <v>11692.307199999999</v>
      </c>
      <c r="IN14" s="593">
        <f>'Proy 2021 vs 2019 Sem'!FL13*$DR$4</f>
        <v>9236.9226880000006</v>
      </c>
      <c r="IO14" s="1410">
        <v>7663.34</v>
      </c>
      <c r="IP14" s="700">
        <f t="shared" si="662"/>
        <v>0.65541726443862169</v>
      </c>
      <c r="IQ14" s="593">
        <f>'Proy 2021 vs 2019 Sem'!FK13*$IT$4</f>
        <v>16076.922399999999</v>
      </c>
      <c r="IR14" s="593">
        <f>'Proy 2021 vs 2019 Sem'!FL13*$IT$4</f>
        <v>12700.768695999999</v>
      </c>
      <c r="IS14" s="735">
        <v>16147.6</v>
      </c>
      <c r="IT14" s="700">
        <f t="shared" si="663"/>
        <v>1.0043962145391707</v>
      </c>
      <c r="IU14" s="579">
        <f t="shared" si="664"/>
        <v>73076.92</v>
      </c>
      <c r="IV14" s="574">
        <f t="shared" si="665"/>
        <v>57730.766799999998</v>
      </c>
      <c r="IW14" s="765">
        <f t="shared" si="666"/>
        <v>74463.010000000009</v>
      </c>
      <c r="IX14" s="761">
        <f t="shared" si="667"/>
        <v>1.0189675481670548</v>
      </c>
      <c r="IY14" s="593">
        <f>'Proy 2021 vs 2019 Sem'!FP13*$JB$4</f>
        <v>10576.767599999999</v>
      </c>
      <c r="IZ14" s="593">
        <f>'Proy 2021 vs 2019 Sem'!FQ13*$JB$4</f>
        <v>8038.3433759999998</v>
      </c>
      <c r="JA14" s="735">
        <v>9897.19</v>
      </c>
      <c r="JB14" s="700">
        <f t="shared" si="668"/>
        <v>0.9357480824292671</v>
      </c>
      <c r="JC14" s="593">
        <f>'Proy 2021 vs 2019 Sem'!FP13*$JF$4</f>
        <v>10576.767599999999</v>
      </c>
      <c r="JD14" s="593">
        <f>'Proy 2021 vs 2019 Sem'!FQ13*$JF$4</f>
        <v>8038.3433759999998</v>
      </c>
      <c r="JE14" s="735">
        <v>7843.17</v>
      </c>
      <c r="JF14" s="700">
        <f t="shared" si="669"/>
        <v>0.74154697319812535</v>
      </c>
      <c r="JG14" s="593">
        <f>'Proy 2021 vs 2019 Sem'!FP13*$JJ$4</f>
        <v>10576.767599999999</v>
      </c>
      <c r="JH14" s="593">
        <f>'Proy 2021 vs 2019 Sem'!FQ13*$JJ$4</f>
        <v>8038.3433759999998</v>
      </c>
      <c r="JI14" s="735">
        <v>4560.8999999999996</v>
      </c>
      <c r="JJ14" s="700">
        <f t="shared" si="670"/>
        <v>0.43121870239448201</v>
      </c>
      <c r="JK14" s="593">
        <f>'Proy 2021 vs 2019 Sem'!FP13*$JN$4</f>
        <v>10576.767599999999</v>
      </c>
      <c r="JL14" s="593">
        <f>'Proy 2021 vs 2019 Sem'!FQ13*$JN$4</f>
        <v>8038.3433759999998</v>
      </c>
      <c r="JM14" s="735">
        <v>6495.04</v>
      </c>
      <c r="JN14" s="700">
        <f t="shared" si="671"/>
        <v>0.61408553592498338</v>
      </c>
      <c r="JO14" s="593">
        <f>'Proy 2021 vs 2019 Sem'!FP13*$JR$4</f>
        <v>12339.5622</v>
      </c>
      <c r="JP14" s="593">
        <f>'Proy 2021 vs 2019 Sem'!FQ13*$JR$4</f>
        <v>9378.0672720000002</v>
      </c>
      <c r="JQ14" s="735">
        <v>5714.95</v>
      </c>
      <c r="JR14" s="700">
        <f t="shared" si="672"/>
        <v>0.46314041838534592</v>
      </c>
      <c r="JS14" s="593">
        <f>'Proy 2021 vs 2019 Sem'!FP13*$JV$4</f>
        <v>14102.3568</v>
      </c>
      <c r="JT14" s="593">
        <f>'Proy 2021 vs 2019 Sem'!FQ13*$JV$4</f>
        <v>10717.791168</v>
      </c>
      <c r="JU14" s="735">
        <v>15919.76</v>
      </c>
      <c r="JV14" s="700">
        <f t="shared" si="673"/>
        <v>1.1288723031032657</v>
      </c>
      <c r="JW14" s="593">
        <f>'Proy 2021 vs 2019 Sem'!FP13*$JZ$4</f>
        <v>19390.740600000001</v>
      </c>
      <c r="JX14" s="593">
        <f>'Proy 2021 vs 2019 Sem'!FQ13*$JZ$4</f>
        <v>14736.962856</v>
      </c>
      <c r="JY14" s="735">
        <v>15591.56</v>
      </c>
      <c r="JZ14" s="700">
        <f t="shared" si="674"/>
        <v>0.80407243444842935</v>
      </c>
      <c r="KA14" s="579">
        <f t="shared" si="675"/>
        <v>88139.73</v>
      </c>
      <c r="KB14" s="574">
        <f t="shared" si="676"/>
        <v>66986.194799999997</v>
      </c>
      <c r="KC14" s="770">
        <f t="shared" si="677"/>
        <v>66022.570000000007</v>
      </c>
      <c r="KD14" s="761">
        <f t="shared" si="678"/>
        <v>0.74906707792274851</v>
      </c>
      <c r="KE14" s="593">
        <f>'Proy 2021 vs 2019 Sem'!FY13*$KH$4</f>
        <v>7978.3499999999995</v>
      </c>
      <c r="KF14" s="593">
        <f>'Proy 2021 vs 2019 Sem'!FZ13*$KH$4</f>
        <v>5983.7624999999998</v>
      </c>
      <c r="KG14" s="735">
        <v>9342.4</v>
      </c>
      <c r="KH14" s="700">
        <f t="shared" si="679"/>
        <v>1.1709689346794763</v>
      </c>
      <c r="KI14" s="593">
        <f>'Proy 2021 vs 2019 Sem'!FY13*$KL$4</f>
        <v>7978.3499999999995</v>
      </c>
      <c r="KJ14" s="593">
        <f>'Proy 2021 vs 2019 Sem'!FZ13*$KL$4</f>
        <v>5983.7624999999998</v>
      </c>
      <c r="KK14" s="735">
        <v>6409.82</v>
      </c>
      <c r="KL14" s="700">
        <f t="shared" si="680"/>
        <v>0.80340170586650128</v>
      </c>
      <c r="KM14" s="593">
        <f>'Proy 2021 vs 2019 Sem'!FY13*$KP$4</f>
        <v>7978.3499999999995</v>
      </c>
      <c r="KN14" s="593">
        <f>'Proy 2021 vs 2019 Sem'!FZ13*$KP$4</f>
        <v>5983.7624999999998</v>
      </c>
      <c r="KO14" s="735">
        <v>12686.48</v>
      </c>
      <c r="KP14" s="700">
        <f t="shared" si="681"/>
        <v>1.5901132439664845</v>
      </c>
      <c r="KQ14" s="593">
        <f>'Proy 2021 vs 2019 Sem'!FY13*$KT$4</f>
        <v>7978.3499999999995</v>
      </c>
      <c r="KR14" s="593">
        <f>'Proy 2021 vs 2019 Sem'!FZ13*$KT$4</f>
        <v>5983.7624999999998</v>
      </c>
      <c r="KS14" s="735">
        <v>6852.75</v>
      </c>
      <c r="KT14" s="700">
        <f t="shared" si="682"/>
        <v>0.8589181973716371</v>
      </c>
      <c r="KU14" s="593">
        <f>'Proy 2021 vs 2019 Sem'!FY13*$KX$4</f>
        <v>9308.0750000000007</v>
      </c>
      <c r="KV14" s="593">
        <f>'Proy 2021 vs 2019 Sem'!FZ13*$KX$4</f>
        <v>6981.0562500000005</v>
      </c>
      <c r="KW14" s="735">
        <v>6706.11</v>
      </c>
      <c r="KX14" s="700">
        <f t="shared" si="683"/>
        <v>0.72046153474268304</v>
      </c>
      <c r="KY14" s="593">
        <f>'Proy 2021 vs 2019 Sem'!FY13*$LB$4</f>
        <v>10637.800000000001</v>
      </c>
      <c r="KZ14" s="593">
        <f>'Proy 2021 vs 2019 Sem'!FZ13*$LB$4</f>
        <v>7978.35</v>
      </c>
      <c r="LA14" s="735">
        <v>7674.92</v>
      </c>
      <c r="LB14" s="700">
        <f t="shared" si="684"/>
        <v>0.72147624508827002</v>
      </c>
      <c r="LC14" s="593">
        <f>'Proy 2021 vs 2019 Sem'!FY13*$LF$4</f>
        <v>14626.975</v>
      </c>
      <c r="LD14" s="593">
        <f>'Proy 2021 vs 2019 Sem'!FZ13*$LF$4</f>
        <v>10970.231250000001</v>
      </c>
      <c r="LE14" s="735">
        <v>14922.42</v>
      </c>
      <c r="LF14" s="700">
        <f t="shared" si="685"/>
        <v>1.020198639841799</v>
      </c>
      <c r="LG14" s="579">
        <f t="shared" si="686"/>
        <v>66486.25</v>
      </c>
      <c r="LH14" s="574">
        <f t="shared" si="687"/>
        <v>49864.6875</v>
      </c>
      <c r="LI14" s="793">
        <f t="shared" si="688"/>
        <v>64594.899999999994</v>
      </c>
      <c r="LJ14" s="786">
        <f t="shared" si="689"/>
        <v>0.97155276466938645</v>
      </c>
      <c r="LK14" s="593">
        <f>'Proy 2021 vs 2019 Sem'!GD13*$LN$4</f>
        <v>8755.9367999999995</v>
      </c>
      <c r="LL14" s="593">
        <f>'Proy 2021 vs 2019 Sem'!GE13*$LN$4</f>
        <v>7092.3088079999998</v>
      </c>
      <c r="LM14" s="735">
        <v>7341.19</v>
      </c>
      <c r="LN14" s="700">
        <f t="shared" si="690"/>
        <v>0.83842427917021967</v>
      </c>
      <c r="LO14" s="593">
        <f>'Proy 2021 vs 2019 Sem'!GD13*$LR$4</f>
        <v>8755.9367999999995</v>
      </c>
      <c r="LP14" s="593">
        <f>'Proy 2021 vs 2019 Sem'!GE13*$LR$4</f>
        <v>7092.3088079999998</v>
      </c>
      <c r="LQ14" s="735">
        <v>5511.85</v>
      </c>
      <c r="LR14" s="700">
        <f t="shared" si="691"/>
        <v>0.62949860487800702</v>
      </c>
      <c r="LS14" s="593">
        <f>'Proy 2021 vs 2019 Sem'!GD13*$LV$4</f>
        <v>8755.9367999999995</v>
      </c>
      <c r="LT14" s="593">
        <f>'Proy 2021 vs 2019 Sem'!GE13*$LV$4</f>
        <v>7092.3088079999998</v>
      </c>
      <c r="LU14" s="735">
        <v>3129.09</v>
      </c>
      <c r="LV14" s="700">
        <f t="shared" si="692"/>
        <v>0.35736781471515422</v>
      </c>
      <c r="LW14" s="593">
        <f>'Proy 2021 vs 2019 Sem'!GD13*$LZ$4</f>
        <v>8755.9367999999995</v>
      </c>
      <c r="LX14" s="593">
        <f>'Proy 2021 vs 2019 Sem'!GE13*$LZ$4</f>
        <v>7092.3088079999998</v>
      </c>
      <c r="LY14" s="735">
        <v>5694.92</v>
      </c>
      <c r="LZ14" s="700">
        <f t="shared" si="693"/>
        <v>0.65040670462582606</v>
      </c>
      <c r="MA14" s="593">
        <f>'Proy 2021 vs 2019 Sem'!GD13*$MD$4</f>
        <v>10215.259600000001</v>
      </c>
      <c r="MB14" s="593">
        <f>'Proy 2021 vs 2019 Sem'!GE13*$MD$4</f>
        <v>8274.3602760000012</v>
      </c>
      <c r="MC14" s="735">
        <v>6804.79</v>
      </c>
      <c r="MD14" s="700">
        <f t="shared" si="694"/>
        <v>0.66613970339040618</v>
      </c>
      <c r="ME14" s="593">
        <f>'Proy 2021 vs 2019 Sem'!GD13*$MH$4</f>
        <v>11674.582399999999</v>
      </c>
      <c r="MF14" s="593">
        <f>'Proy 2021 vs 2019 Sem'!GE13*$MH$4</f>
        <v>9456.4117440000009</v>
      </c>
      <c r="MG14" s="735">
        <v>13300.38</v>
      </c>
      <c r="MH14" s="700">
        <f t="shared" si="695"/>
        <v>1.1392595935594236</v>
      </c>
      <c r="MI14" s="593">
        <f>'Proy 2021 vs 2019 Sem'!GD13*$ML$4</f>
        <v>16052.550799999999</v>
      </c>
      <c r="MJ14" s="593">
        <f>'Proy 2021 vs 2019 Sem'!GE13*$ML$4</f>
        <v>13002.566148</v>
      </c>
      <c r="MK14" s="735">
        <v>18912.7</v>
      </c>
      <c r="ML14" s="700">
        <f t="shared" si="696"/>
        <v>1.1781741254480256</v>
      </c>
      <c r="MM14" s="579">
        <f t="shared" si="697"/>
        <v>72966.14</v>
      </c>
      <c r="MN14" s="574">
        <f t="shared" si="698"/>
        <v>59102.573399999994</v>
      </c>
      <c r="MO14" s="794">
        <f t="shared" si="699"/>
        <v>60694.92</v>
      </c>
      <c r="MP14" s="786">
        <f t="shared" si="700"/>
        <v>0.83182308944943506</v>
      </c>
      <c r="MQ14" s="593">
        <f>'Proy 2021 vs 2019 Sem'!GI13*$MT$4</f>
        <v>8262.4752000000008</v>
      </c>
      <c r="MR14" s="593">
        <f>'Proy 2021 vs 2019 Sem'!GJ13*$MT$4</f>
        <v>6609.9801600000001</v>
      </c>
      <c r="MS14" s="735">
        <v>6705.44</v>
      </c>
      <c r="MT14" s="700">
        <f t="shared" si="701"/>
        <v>0.81155341924657143</v>
      </c>
      <c r="MU14" s="593">
        <f>'Proy 2021 vs 2019 Sem'!GI13*$MX$4</f>
        <v>8262.4752000000008</v>
      </c>
      <c r="MV14" s="593">
        <f>'Proy 2021 vs 2019 Sem'!GJ13*$MX$4</f>
        <v>6609.9801600000001</v>
      </c>
      <c r="MW14" s="735">
        <v>7507.7</v>
      </c>
      <c r="MX14" s="700">
        <f t="shared" si="702"/>
        <v>0.90865023110750143</v>
      </c>
      <c r="MY14" s="593">
        <f>'Proy 2021 vs 2019 Sem'!GI13*$NB$4</f>
        <v>8262.4752000000008</v>
      </c>
      <c r="MZ14" s="593">
        <f>'Proy 2021 vs 2019 Sem'!GJ13*$NB$4</f>
        <v>6609.9801600000001</v>
      </c>
      <c r="NA14" s="735">
        <v>4527.63</v>
      </c>
      <c r="NB14" s="700">
        <f t="shared" si="703"/>
        <v>0.54797501843031249</v>
      </c>
      <c r="NC14" s="593">
        <f>'Proy 2021 vs 2019 Sem'!GI13*$NF$4</f>
        <v>8262.4752000000008</v>
      </c>
      <c r="ND14" s="593">
        <f>'Proy 2021 vs 2019 Sem'!GJ13*$NF$4</f>
        <v>6609.9801600000001</v>
      </c>
      <c r="NE14" s="735">
        <v>6796.74</v>
      </c>
      <c r="NF14" s="700">
        <f t="shared" si="704"/>
        <v>0.82260337677019579</v>
      </c>
      <c r="NG14" s="593">
        <f>'Proy 2021 vs 2019 Sem'!GI13*$NJ$4</f>
        <v>9639.5544000000027</v>
      </c>
      <c r="NH14" s="593">
        <f>'Proy 2021 vs 2019 Sem'!GJ13*$NJ$4</f>
        <v>7711.6435200000014</v>
      </c>
      <c r="NI14" s="735">
        <v>6644.43</v>
      </c>
      <c r="NJ14" s="700">
        <f t="shared" si="705"/>
        <v>0.68928808576462808</v>
      </c>
      <c r="NK14" s="593">
        <f>'Proy 2021 vs 2019 Sem'!GI13*$NN$4</f>
        <v>11016.633600000001</v>
      </c>
      <c r="NL14" s="593">
        <f>'Proy 2021 vs 2019 Sem'!GJ13*$NN$4</f>
        <v>8813.3068800000019</v>
      </c>
      <c r="NM14" s="735">
        <v>9454.85</v>
      </c>
      <c r="NN14" s="700">
        <f t="shared" si="706"/>
        <v>0.85823404347404264</v>
      </c>
      <c r="NO14" s="593">
        <f>'Proy 2021 vs 2019 Sem'!GI13*$NR$4</f>
        <v>15147.871200000001</v>
      </c>
      <c r="NP14" s="593">
        <f>'Proy 2021 vs 2019 Sem'!GJ13*$NR$4</f>
        <v>12118.296960000001</v>
      </c>
      <c r="NQ14" s="735">
        <v>17491.64</v>
      </c>
      <c r="NR14" s="700">
        <f t="shared" si="707"/>
        <v>1.1547259525153606</v>
      </c>
      <c r="NS14" s="579">
        <f t="shared" si="708"/>
        <v>68853.960000000006</v>
      </c>
      <c r="NT14" s="574">
        <f t="shared" si="709"/>
        <v>55083.168000000005</v>
      </c>
      <c r="NU14" s="794">
        <f t="shared" si="710"/>
        <v>59128.43</v>
      </c>
      <c r="NV14" s="786">
        <f t="shared" si="711"/>
        <v>0.85875133398282388</v>
      </c>
      <c r="NW14" s="593">
        <f>'Proy 2021 vs 2019 Sem'!GN13*$NZ$4</f>
        <v>8846.5439999999999</v>
      </c>
      <c r="NX14" s="593">
        <f>'Proy 2021 vs 2019 Sem'!GO13*$NZ$4</f>
        <v>6457.9771199999996</v>
      </c>
      <c r="NY14" s="735">
        <v>6135.76</v>
      </c>
      <c r="NZ14" s="700">
        <f t="shared" si="712"/>
        <v>0.69357706240990835</v>
      </c>
      <c r="OA14" s="593">
        <f>'Proy 2021 vs 2019 Sem'!GN13*$OD$4</f>
        <v>8846.5439999999999</v>
      </c>
      <c r="OB14" s="593">
        <f>'Proy 2021 vs 2019 Sem'!GO13*$OD$4</f>
        <v>6457.9771199999996</v>
      </c>
      <c r="OC14" s="735">
        <v>9594.89</v>
      </c>
      <c r="OD14" s="700">
        <f t="shared" si="713"/>
        <v>1.0845919039118552</v>
      </c>
      <c r="OE14" s="593">
        <f>'Proy 2021 vs 2019 Sem'!GN13*$OH$4</f>
        <v>8846.5439999999999</v>
      </c>
      <c r="OF14" s="593">
        <f>'Proy 2021 vs 2019 Sem'!GO13*$OH$4</f>
        <v>6457.9771199999996</v>
      </c>
      <c r="OG14" s="735">
        <v>5671.43</v>
      </c>
      <c r="OH14" s="700">
        <f t="shared" si="714"/>
        <v>0.64108989906114755</v>
      </c>
      <c r="OI14" s="593">
        <f>'Proy 2021 vs 2019 Sem'!GN13*$OL$4</f>
        <v>8846.5439999999999</v>
      </c>
      <c r="OJ14" s="593">
        <f>'Proy 2021 vs 2019 Sem'!GO13*$OL$4</f>
        <v>6457.9771199999996</v>
      </c>
      <c r="OK14" s="735">
        <v>5278.6</v>
      </c>
      <c r="OL14" s="700">
        <f t="shared" si="715"/>
        <v>0.59668498794557523</v>
      </c>
      <c r="OM14" s="593">
        <f>'Proy 2021 vs 2019 Sem'!GN13*$OP$4</f>
        <v>10320.968000000001</v>
      </c>
      <c r="ON14" s="593">
        <f>'Proy 2021 vs 2019 Sem'!GO13*$OP$4</f>
        <v>7534.3066399999998</v>
      </c>
      <c r="OO14" s="735">
        <v>6613.2</v>
      </c>
      <c r="OP14" s="700">
        <f t="shared" si="716"/>
        <v>0.64075385177049282</v>
      </c>
      <c r="OQ14" s="593">
        <f>'Proy 2021 vs 2019 Sem'!GN13*$JV$4</f>
        <v>11795.392</v>
      </c>
      <c r="OR14" s="593">
        <f>'Proy 2021 vs 2019 Sem'!GO13*$JV$4</f>
        <v>8610.63616</v>
      </c>
      <c r="OS14" s="735">
        <v>10453.77</v>
      </c>
      <c r="OT14" s="700">
        <f t="shared" si="717"/>
        <v>0.88625880343781716</v>
      </c>
      <c r="OU14" s="593">
        <f>'Proy 2021 vs 2019 Sem'!GN13*$OX$4</f>
        <v>16218.663999999999</v>
      </c>
      <c r="OV14" s="593">
        <f>'Proy 2021 vs 2019 Sem'!GO13*$OX$4</f>
        <v>11839.62472</v>
      </c>
      <c r="OW14" s="735">
        <v>15805.54</v>
      </c>
      <c r="OX14" s="700">
        <f t="shared" si="718"/>
        <v>0.97452786493388122</v>
      </c>
      <c r="OY14" s="579">
        <f t="shared" si="719"/>
        <v>73721.2</v>
      </c>
      <c r="OZ14" s="574">
        <f t="shared" si="720"/>
        <v>53816.476000000002</v>
      </c>
      <c r="PA14" s="785">
        <f t="shared" si="721"/>
        <v>59553.189999999995</v>
      </c>
      <c r="PB14" s="786">
        <f t="shared" si="722"/>
        <v>0.80781634048279194</v>
      </c>
      <c r="PC14" s="593">
        <f>'Proy 2021 vs 2019 Sem'!GW13*$PF$4</f>
        <v>8500.08</v>
      </c>
      <c r="PD14" s="593">
        <f>'Proy 2021 vs 2019 Sem'!GX13*$PF$4</f>
        <v>6460.0608000000002</v>
      </c>
      <c r="PE14" s="735">
        <v>8029.27</v>
      </c>
      <c r="PF14" s="700">
        <f t="shared" si="723"/>
        <v>0.94461110954249849</v>
      </c>
      <c r="PG14" s="593">
        <f>'Proy 2021 vs 2019 Sem'!GW13*$PJ$4</f>
        <v>8500.08</v>
      </c>
      <c r="PH14" s="593">
        <f>'Proy 2021 vs 2019 Sem'!GX13*$PJ$4</f>
        <v>6460.0608000000002</v>
      </c>
      <c r="PI14" s="735">
        <v>7542.64</v>
      </c>
      <c r="PJ14" s="700">
        <f t="shared" si="724"/>
        <v>0.88736106013119886</v>
      </c>
      <c r="PK14" s="593">
        <f>'Proy 2021 vs 2019 Sem'!GW13*'Vtas Diarias 2021'!$PN$4</f>
        <v>8500.08</v>
      </c>
      <c r="PL14" s="593">
        <f>'Proy 2021 vs 2019 Sem'!GX13*'Vtas Diarias 2021'!$PN$4</f>
        <v>6460.0608000000002</v>
      </c>
      <c r="PM14" s="735">
        <v>7849.77</v>
      </c>
      <c r="PN14" s="700">
        <f t="shared" si="725"/>
        <v>0.92349366123612964</v>
      </c>
      <c r="PO14" s="593">
        <f>'Proy 2021 vs 2019 Sem'!GW13*$PR$4</f>
        <v>8500.08</v>
      </c>
      <c r="PP14" s="593">
        <f>'Proy 2021 vs 2019 Sem'!GX13*$PR$4</f>
        <v>6460.0608000000002</v>
      </c>
      <c r="PQ14" s="735">
        <v>7376.47</v>
      </c>
      <c r="PR14" s="700">
        <f t="shared" si="726"/>
        <v>0.86781183235922488</v>
      </c>
      <c r="PS14" s="593">
        <f>'Proy 2021 vs 2019 Sem'!GW13*$PV$4</f>
        <v>9916.76</v>
      </c>
      <c r="PT14" s="593">
        <f>'Proy 2021 vs 2019 Sem'!GX13*$PV$4</f>
        <v>7536.7376000000013</v>
      </c>
      <c r="PU14" s="735">
        <v>7509.91</v>
      </c>
      <c r="PV14" s="700">
        <f t="shared" si="727"/>
        <v>0.75729472125976627</v>
      </c>
      <c r="PW14" s="593">
        <f>'Proy 2021 vs 2019 Sem'!GW13*PZ$4</f>
        <v>11333.44</v>
      </c>
      <c r="PX14" s="593">
        <f>'Proy 2021 vs 2019 Sem'!GX13*$PZ$4</f>
        <v>8613.4144000000015</v>
      </c>
      <c r="PY14" s="735">
        <v>11083.47</v>
      </c>
      <c r="PZ14" s="700">
        <f t="shared" si="728"/>
        <v>0.97794403111500117</v>
      </c>
      <c r="QA14" s="593">
        <f>'Proy 2021 vs 2019 Sem'!GW13*$QD$4</f>
        <v>15583.48</v>
      </c>
      <c r="QB14" s="593">
        <f>'Proy 2021 vs 2019 Sem'!GX13*$QD$4</f>
        <v>11843.444800000001</v>
      </c>
      <c r="QC14" s="735">
        <v>18322.68</v>
      </c>
      <c r="QD14" s="700">
        <f t="shared" si="729"/>
        <v>1.1757758857456744</v>
      </c>
      <c r="QE14" s="579">
        <f t="shared" si="730"/>
        <v>70834</v>
      </c>
      <c r="QF14" s="574">
        <f t="shared" si="731"/>
        <v>53833.840000000011</v>
      </c>
      <c r="QG14" s="729">
        <f t="shared" si="732"/>
        <v>67714.209999999992</v>
      </c>
      <c r="QH14" s="711">
        <f t="shared" si="733"/>
        <v>0.9559563204111019</v>
      </c>
      <c r="QI14" s="578">
        <f>'Proy 2021 vs 2019 Sem'!HB13*$QL$4</f>
        <v>7976.1527999999998</v>
      </c>
      <c r="QJ14" s="611">
        <f>'Proy 2021 vs 2019 Sem'!UG13*$AL$4</f>
        <v>0</v>
      </c>
      <c r="QK14" s="735">
        <v>6169.92</v>
      </c>
      <c r="QL14" s="700">
        <f t="shared" si="734"/>
        <v>0.77354586286260718</v>
      </c>
      <c r="QM14" s="593">
        <f>'Proy 2021 vs 2019 Sem'!HB13*$QP$4</f>
        <v>7976.1527999999998</v>
      </c>
      <c r="QN14" s="593">
        <f>'Proy 2021 vs 2019 Sem'!UG13*$AP$4</f>
        <v>0</v>
      </c>
      <c r="QO14" s="735">
        <v>5565.54</v>
      </c>
      <c r="QP14" s="700">
        <f t="shared" si="735"/>
        <v>0.69777249001548713</v>
      </c>
      <c r="QQ14" s="593">
        <f>'Proy 2021 vs 2019 Sem'!HB13*$QT$4</f>
        <v>7976.1527999999998</v>
      </c>
      <c r="QR14" s="593">
        <f>'Proy 2021 vs 2019 Sem'!HC13*$QT$4</f>
        <v>6221.3991839999999</v>
      </c>
      <c r="QS14" s="735">
        <v>5415</v>
      </c>
      <c r="QT14" s="700">
        <f t="shared" si="736"/>
        <v>0.67889872922193772</v>
      </c>
      <c r="QU14" s="593">
        <f>'Proy 2021 vs 2019 Sem'!HB13*$QX$4</f>
        <v>7976.1527999999998</v>
      </c>
      <c r="QV14" s="593">
        <f>'Proy 2021 vs 2019 Sem'!HC13*$QX$4</f>
        <v>6221.3991839999999</v>
      </c>
      <c r="QW14" s="735">
        <v>7103.34</v>
      </c>
      <c r="QX14" s="700">
        <f t="shared" si="737"/>
        <v>0.89057220669092496</v>
      </c>
      <c r="QY14" s="593">
        <f>'Proy 2021 vs 2019 Sem'!HB13*$RB$4</f>
        <v>9305.5116000000016</v>
      </c>
      <c r="QZ14" s="593">
        <f>'Proy 2021 vs 2019 Sem'!HC13*$RB$4</f>
        <v>7258.2990480000017</v>
      </c>
      <c r="RA14" s="735">
        <v>6890.88</v>
      </c>
      <c r="RB14" s="700">
        <f t="shared" si="738"/>
        <v>0.74051597549993908</v>
      </c>
      <c r="RC14" s="593">
        <f>'Proy 2021 vs 2019 Sem'!HB13*$RF$4</f>
        <v>10634.8704</v>
      </c>
      <c r="RD14" s="593">
        <f>'Proy 2021 vs 2019 Sem'!HC13*$RF$4</f>
        <v>8295.1989120000017</v>
      </c>
      <c r="RE14" s="735">
        <v>25652.38</v>
      </c>
      <c r="RF14" s="700">
        <f t="shared" si="739"/>
        <v>2.4121008564429709</v>
      </c>
      <c r="RG14" s="593">
        <f>'Proy 2021 vs 2019 Sem'!HB13*$RJ$4</f>
        <v>14622.9468</v>
      </c>
      <c r="RH14" s="593">
        <f>'Proy 2021 vs 2019 Sem'!HC13*$RJ$4</f>
        <v>11405.898504000001</v>
      </c>
      <c r="RI14" s="735">
        <v>18234.13</v>
      </c>
      <c r="RJ14" s="700">
        <f t="shared" si="740"/>
        <v>1.2469531790952013</v>
      </c>
      <c r="RK14" s="579">
        <f t="shared" si="741"/>
        <v>66467.94</v>
      </c>
      <c r="RL14" s="574">
        <f t="shared" si="742"/>
        <v>39402.194832000008</v>
      </c>
      <c r="RM14" s="730">
        <f t="shared" si="743"/>
        <v>75031.19</v>
      </c>
      <c r="RN14" s="711">
        <f t="shared" si="744"/>
        <v>1.1288327876567259</v>
      </c>
      <c r="RO14" s="593">
        <f>'Proy 2021 vs 2019 Sem'!HG13*$RR$4</f>
        <v>11510.4588</v>
      </c>
      <c r="RP14" s="593">
        <f>'Proy 2021 vs 2019 Sem'!HH13*$RR$4</f>
        <v>8863.0532760000006</v>
      </c>
      <c r="RQ14" s="735">
        <v>8140.71</v>
      </c>
      <c r="RR14" s="700">
        <f t="shared" si="745"/>
        <v>0.70724461478459921</v>
      </c>
      <c r="RS14" s="593">
        <f>'Proy 2021 vs 2019 Sem'!HG13*$RV$4</f>
        <v>11510.4588</v>
      </c>
      <c r="RT14" s="593">
        <f>'Proy 2021 vs 2019 Sem'!HH13*$RV$4</f>
        <v>8863.0532760000006</v>
      </c>
      <c r="RU14" s="735">
        <v>5787.23</v>
      </c>
      <c r="RV14" s="700">
        <f t="shared" si="746"/>
        <v>0.50278013244789155</v>
      </c>
      <c r="RW14" s="593">
        <f>'Proy 2021 vs 2019 Sem'!HG13*$RZ$4</f>
        <v>11510.4588</v>
      </c>
      <c r="RX14" s="593">
        <f>'Proy 2021 vs 2019 Sem'!HH13*$RZ$4</f>
        <v>8863.0532760000006</v>
      </c>
      <c r="RY14" s="735">
        <v>9652.4599999999991</v>
      </c>
      <c r="RZ14" s="700">
        <f t="shared" si="747"/>
        <v>0.83858169059255905</v>
      </c>
      <c r="SA14" s="593">
        <f>'Proy 2021 vs 2019 Sem'!HG13*$SD$4</f>
        <v>11510.4588</v>
      </c>
      <c r="SB14" s="593">
        <f>'Proy 2021 vs 2019 Sem'!HH13*$SD$4</f>
        <v>8863.0532760000006</v>
      </c>
      <c r="SC14" s="735">
        <v>8296.6200000000008</v>
      </c>
      <c r="SD14" s="700">
        <f t="shared" si="748"/>
        <v>0.72078968737545024</v>
      </c>
      <c r="SE14" s="593">
        <f>'Proy 2021 vs 2019 Sem'!HG13*$SH$4</f>
        <v>13428.868600000002</v>
      </c>
      <c r="SF14" s="593">
        <f>'Proy 2021 vs 2019 Sem'!HH13*$SH$4</f>
        <v>10340.228822000001</v>
      </c>
      <c r="SG14" s="735">
        <v>3997.41</v>
      </c>
      <c r="SH14" s="700">
        <f t="shared" si="749"/>
        <v>0.29767288064759229</v>
      </c>
      <c r="SI14" s="593">
        <f>'Proy 2021 vs 2019 Sem'!HG13*$SL$4</f>
        <v>15347.278400000001</v>
      </c>
      <c r="SJ14" s="593">
        <f>'Proy 2021 vs 2019 Sem'!HH13*$SL$4</f>
        <v>11817.404368000001</v>
      </c>
      <c r="SK14" s="735">
        <v>7795.07</v>
      </c>
      <c r="SL14" s="700">
        <f t="shared" si="750"/>
        <v>0.50791220415992444</v>
      </c>
      <c r="SM14" s="593">
        <f>'Proy 2021 vs 2019 Sem'!HG13*$SP$4</f>
        <v>21102.507800000003</v>
      </c>
      <c r="SN14" s="593">
        <f>'Proy 2021 vs 2019 Sem'!HH13*$SP$4</f>
        <v>16248.931006000001</v>
      </c>
      <c r="SO14" s="735">
        <v>17755.330000000002</v>
      </c>
      <c r="SP14" s="700">
        <f t="shared" si="751"/>
        <v>0.84138483294388355</v>
      </c>
      <c r="SQ14" s="579">
        <f t="shared" si="752"/>
        <v>95920.49</v>
      </c>
      <c r="SR14" s="574">
        <f t="shared" si="753"/>
        <v>73858.777300000002</v>
      </c>
      <c r="SS14" s="730">
        <f t="shared" si="754"/>
        <v>61424.829999999994</v>
      </c>
      <c r="ST14" s="711">
        <f t="shared" si="755"/>
        <v>0.64037235422796512</v>
      </c>
      <c r="SU14" s="593">
        <f>'Proy 2021 vs 2019 Sem'!HL13*$SX$4</f>
        <v>9469.0007999999998</v>
      </c>
      <c r="SV14" s="593">
        <f>'Proy 2021 vs 2019 Sem'!HM13*$SX$4</f>
        <v>7196.4406079999999</v>
      </c>
      <c r="SW14" s="735">
        <v>5045.84</v>
      </c>
      <c r="SX14" s="700">
        <f t="shared" si="756"/>
        <v>0.53287987894139799</v>
      </c>
      <c r="SY14" s="593">
        <f>'Proy 2021 vs 2019 Sem'!HL13*$TB$4</f>
        <v>9469.0007999999998</v>
      </c>
      <c r="SZ14" s="593">
        <f>'Proy 2021 vs 2019 Sem'!HM13*$TB$4</f>
        <v>7196.4406079999999</v>
      </c>
      <c r="TA14" s="735">
        <v>6501.78</v>
      </c>
      <c r="TB14" s="700">
        <f t="shared" si="757"/>
        <v>0.68663844658245254</v>
      </c>
      <c r="TC14" s="593">
        <f>'Proy 2021 vs 2019 Sem'!HL13*$TF$4</f>
        <v>9469.0007999999998</v>
      </c>
      <c r="TD14" s="593">
        <f>'Proy 2021 vs 2019 Sem'!HM13*$TF$4</f>
        <v>7196.4406079999999</v>
      </c>
      <c r="TE14" s="735">
        <v>6754.76</v>
      </c>
      <c r="TF14" s="700">
        <f t="shared" si="758"/>
        <v>0.71335509867102354</v>
      </c>
      <c r="TG14" s="593">
        <f>'Proy 2021 vs 2019 Sem'!HL13*$TJ$4</f>
        <v>9469.0007999999998</v>
      </c>
      <c r="TH14" s="593">
        <f>'Proy 2021 vs 2019 Sem'!HM13*$TJ$4</f>
        <v>7196.4406079999999</v>
      </c>
      <c r="TI14" s="735">
        <v>5205.8100000000004</v>
      </c>
      <c r="TJ14" s="700">
        <f t="shared" si="759"/>
        <v>0.54977395291803133</v>
      </c>
      <c r="TK14" s="593">
        <f>'Proy 2021 vs 2019 Sem'!HL13*$TN$4</f>
        <v>11047.167600000001</v>
      </c>
      <c r="TL14" s="593">
        <f>'Proy 2021 vs 2019 Sem'!HM13*$TN$4</f>
        <v>8395.8473760000015</v>
      </c>
      <c r="TM14" s="735">
        <v>9077.17</v>
      </c>
      <c r="TN14" s="700">
        <f t="shared" si="760"/>
        <v>0.82167396464592424</v>
      </c>
      <c r="TO14" s="593">
        <f>'Proy 2021 vs 2019 Sem'!HL13*$TR$4</f>
        <v>12625.3344</v>
      </c>
      <c r="TP14" s="611">
        <f>'Proy 2021 vs 2019 Sem'!HM13*$TR$4</f>
        <v>9595.2541440000005</v>
      </c>
      <c r="TQ14" s="735">
        <v>8151.15</v>
      </c>
      <c r="TR14" s="700">
        <f t="shared" si="761"/>
        <v>0.64561854298290899</v>
      </c>
      <c r="TS14" s="593">
        <f>'Proy 2021 vs 2019 Sem'!HL13*$TV$4</f>
        <v>17359.834800000001</v>
      </c>
      <c r="TT14" s="593">
        <f>'Proy 2021 vs 2019 Sem'!HM13*$TV$4</f>
        <v>13193.474448000001</v>
      </c>
      <c r="TU14" s="735">
        <v>30364.79</v>
      </c>
      <c r="TV14" s="700">
        <f t="shared" si="762"/>
        <v>1.749140492972894</v>
      </c>
      <c r="TW14" s="579">
        <f t="shared" si="763"/>
        <v>78908.34</v>
      </c>
      <c r="TX14" s="574">
        <f t="shared" si="764"/>
        <v>59970.338400000001</v>
      </c>
      <c r="TY14" s="710">
        <f t="shared" si="765"/>
        <v>71101.3</v>
      </c>
      <c r="TZ14" s="711">
        <f t="shared" si="766"/>
        <v>0.90106191563528015</v>
      </c>
      <c r="UA14" s="593">
        <v>11316.17</v>
      </c>
      <c r="UB14" s="593">
        <f>'Proy 2021 vs 2019 Sem'!HR13*$UD$4</f>
        <v>7147.0767840000008</v>
      </c>
      <c r="UC14" s="735">
        <v>5810.81</v>
      </c>
      <c r="UD14" s="700">
        <f t="shared" si="767"/>
        <v>0.51349617405889103</v>
      </c>
      <c r="UE14" s="593">
        <v>8436.36</v>
      </c>
      <c r="UF14" s="593">
        <f>'Proy 2021 vs 2019 Sem'!HR13*$UH$4</f>
        <v>7147.0767840000008</v>
      </c>
      <c r="UG14" s="735">
        <v>4286.51</v>
      </c>
      <c r="UH14" s="700">
        <f t="shared" si="768"/>
        <v>0.50809946469804512</v>
      </c>
      <c r="UI14" s="593">
        <v>14203.77</v>
      </c>
      <c r="UJ14" s="593">
        <f>'Proy 2021 vs 2019 Sem'!HR13*$UL$4</f>
        <v>7147.0767840000008</v>
      </c>
      <c r="UK14" s="735">
        <v>4998.53</v>
      </c>
      <c r="UL14" s="700">
        <f t="shared" si="769"/>
        <v>0.35191572378319275</v>
      </c>
      <c r="UM14" s="593">
        <v>6393.69</v>
      </c>
      <c r="UN14" s="593">
        <f>'Proy 2021 vs 2019 Sem'!HR13*$UP$4</f>
        <v>7147.0767840000008</v>
      </c>
      <c r="UO14" s="735">
        <v>5181.22</v>
      </c>
      <c r="UP14" s="700">
        <f t="shared" si="770"/>
        <v>0.81036459384174098</v>
      </c>
      <c r="UQ14" s="593">
        <v>9484.25</v>
      </c>
      <c r="UR14" s="593">
        <f>'Proy 2021 vs 2019 Sem'!HR13*$UT$4</f>
        <v>8338.2562480000015</v>
      </c>
      <c r="US14" s="735">
        <v>6595.75</v>
      </c>
      <c r="UT14" s="700">
        <f t="shared" si="771"/>
        <v>0.69544244405198097</v>
      </c>
      <c r="UU14" s="593">
        <v>9890.2199999999993</v>
      </c>
      <c r="UV14" s="593">
        <f>'Proy 2021 vs 2019 Sem'!HR13*$UX$4</f>
        <v>9529.4357120000022</v>
      </c>
      <c r="UW14" s="735">
        <v>8495.26</v>
      </c>
      <c r="UX14" s="700">
        <f t="shared" si="772"/>
        <v>0.85895561473860038</v>
      </c>
      <c r="UY14" s="593">
        <v>16425.689999999999</v>
      </c>
      <c r="UZ14" s="593">
        <f>'Proy 2021 vs 2019 Sem'!HR13*$VB$4</f>
        <v>13102.974104000003</v>
      </c>
      <c r="VA14" s="735">
        <v>17376.830000000002</v>
      </c>
      <c r="VB14" s="700">
        <f t="shared" si="773"/>
        <v>1.0579056344056172</v>
      </c>
      <c r="VC14" s="577">
        <f>UA14+UE14+UI14+UM14+UQ14+UU14+UY14</f>
        <v>76150.150000000009</v>
      </c>
      <c r="VD14" s="574">
        <f t="shared" si="774"/>
        <v>59558.973200000015</v>
      </c>
      <c r="VE14" s="710">
        <f t="shared" si="775"/>
        <v>52744.91</v>
      </c>
      <c r="VF14" s="1531">
        <f t="shared" si="776"/>
        <v>0.69264354699235653</v>
      </c>
      <c r="VG14" s="593">
        <v>11784.82</v>
      </c>
      <c r="VH14" s="593">
        <f>'Proy 2021 vs 2019 Sem'!IA13*$VJ$4</f>
        <v>6198.6743760000008</v>
      </c>
      <c r="VI14" s="735">
        <v>6122.88</v>
      </c>
      <c r="VJ14" s="700">
        <f t="shared" si="777"/>
        <v>0.51955651422762505</v>
      </c>
      <c r="VK14" s="593">
        <v>7737.35</v>
      </c>
      <c r="VL14" s="593">
        <f>'Proy 2021 vs 2019 Sem'!IA13*$VN$4</f>
        <v>6198.6743760000008</v>
      </c>
      <c r="VM14" s="735">
        <v>4352.57</v>
      </c>
      <c r="VN14" s="700">
        <f t="shared" si="778"/>
        <v>0.56254014617407766</v>
      </c>
      <c r="VO14" s="593">
        <v>11059.99</v>
      </c>
      <c r="VP14" s="593">
        <f>'Proy 2021 vs 2019 Sem'!IA13*$VR$4</f>
        <v>6198.6743760000008</v>
      </c>
      <c r="VQ14" s="735">
        <v>6872.06</v>
      </c>
      <c r="VR14" s="700">
        <f t="shared" si="779"/>
        <v>0.62134414226414314</v>
      </c>
      <c r="VS14" s="593">
        <v>6180.47</v>
      </c>
      <c r="VT14" s="593">
        <f>'Proy 2021 vs 2019 Sem'!IA13*$VV$4</f>
        <v>6198.6743760000008</v>
      </c>
      <c r="VU14" s="735">
        <v>5460.67</v>
      </c>
      <c r="VV14" s="700">
        <f t="shared" si="780"/>
        <v>0.88353636535732716</v>
      </c>
      <c r="VW14" s="593">
        <v>7543.86</v>
      </c>
      <c r="VX14" s="593">
        <f>'Proy 2021 vs 2019 Sem'!IA13*$VZ$4</f>
        <v>7231.7867720000022</v>
      </c>
      <c r="VY14" s="735">
        <v>6102.41</v>
      </c>
      <c r="VZ14" s="700">
        <f t="shared" si="781"/>
        <v>0.80892407865469407</v>
      </c>
      <c r="WA14" s="593">
        <v>10792.55</v>
      </c>
      <c r="WB14" s="593">
        <f>'Proy 2021 vs 2019 Sem'!IA13*$WD$4</f>
        <v>8264.8991680000017</v>
      </c>
      <c r="WC14" s="735">
        <v>10404.049999999999</v>
      </c>
      <c r="WD14" s="700">
        <f t="shared" si="782"/>
        <v>0.96400294647696794</v>
      </c>
      <c r="WE14" s="593">
        <v>16227.3</v>
      </c>
      <c r="WF14" s="593">
        <f>'Proy 2021 vs 2019 Sem'!IA13*$WH$4</f>
        <v>11364.236356000001</v>
      </c>
      <c r="WG14" s="735">
        <v>17865.07</v>
      </c>
      <c r="WH14" s="1538">
        <f t="shared" si="783"/>
        <v>1.1009268331761908</v>
      </c>
      <c r="WI14" s="574">
        <f t="shared" si="784"/>
        <v>36762.629999999997</v>
      </c>
      <c r="WJ14" s="575">
        <f t="shared" si="785"/>
        <v>51655.619800000008</v>
      </c>
      <c r="WK14" s="793">
        <f t="shared" si="786"/>
        <v>57179.71</v>
      </c>
      <c r="WL14" s="786">
        <f t="shared" si="787"/>
        <v>1.5553759347467797</v>
      </c>
      <c r="WM14" s="593">
        <v>10529.05</v>
      </c>
      <c r="WN14" s="593">
        <f>'Proy 2021 vs 2019 Sem'!IF13*$WP$4</f>
        <v>7944.422364</v>
      </c>
      <c r="WO14" s="735">
        <v>8306.8700000000008</v>
      </c>
      <c r="WP14" s="700">
        <f t="shared" si="788"/>
        <v>0.7889477208295147</v>
      </c>
      <c r="WQ14" s="593">
        <v>6839.38</v>
      </c>
      <c r="WR14" s="593">
        <f>'Proy 2021 vs 2019 Sem'!IF13*$WT$4</f>
        <v>7944.422364</v>
      </c>
      <c r="WS14" s="735">
        <v>4602.87</v>
      </c>
      <c r="WT14" s="700">
        <f t="shared" si="789"/>
        <v>0.67299521301638454</v>
      </c>
      <c r="WU14" s="593">
        <v>6633.87</v>
      </c>
      <c r="WV14" s="593">
        <f>'Proy 2021 vs 2019 Sem'!IF13*$WX$4</f>
        <v>7944.422364</v>
      </c>
      <c r="WW14" s="735">
        <v>5357.1</v>
      </c>
      <c r="WX14" s="700">
        <f t="shared" si="790"/>
        <v>0.80753768162475303</v>
      </c>
      <c r="WY14" s="593">
        <v>30675.93</v>
      </c>
      <c r="WZ14" s="593">
        <f>'Proy 2021 vs 2019 Sem'!IF13*$XB$4</f>
        <v>7944.422364</v>
      </c>
      <c r="XA14" s="735">
        <v>5847.15</v>
      </c>
      <c r="XB14" s="700">
        <f t="shared" si="791"/>
        <v>0.19061035802337531</v>
      </c>
      <c r="XC14" s="593">
        <v>7600.65</v>
      </c>
      <c r="XD14" s="1547">
        <f>'Proy 2021 vs 2019 Sem'!IF13*$XF$4</f>
        <v>9268.4927580000021</v>
      </c>
      <c r="XE14" s="735">
        <v>5511.02</v>
      </c>
      <c r="XF14" s="700">
        <f t="shared" si="792"/>
        <v>0.72507219777255905</v>
      </c>
      <c r="XG14" s="593">
        <v>9970.2800000000007</v>
      </c>
      <c r="XH14" s="593">
        <f>'Proy 2021 vs 2019 Sem'!IF13*$XJ$4</f>
        <v>10592.563152000001</v>
      </c>
      <c r="XI14" s="735">
        <v>6406.8</v>
      </c>
      <c r="XJ14" s="700">
        <f t="shared" si="793"/>
        <v>0.64258977681669915</v>
      </c>
      <c r="XK14" s="593">
        <v>18778.009999999998</v>
      </c>
      <c r="XL14" s="593">
        <f>'Proy 2021 vs 2019 Sem'!IF13*$XN$4</f>
        <v>14564.774334000002</v>
      </c>
      <c r="XM14" s="735">
        <v>34590.019999999997</v>
      </c>
      <c r="XN14" s="700">
        <f t="shared" si="794"/>
        <v>1.842049290633033</v>
      </c>
      <c r="XO14" s="579">
        <f t="shared" si="795"/>
        <v>91027.17</v>
      </c>
      <c r="XP14" s="574">
        <f t="shared" si="796"/>
        <v>66203.519700000004</v>
      </c>
      <c r="XQ14" s="794">
        <f t="shared" si="797"/>
        <v>70621.83</v>
      </c>
      <c r="XR14" s="786">
        <f t="shared" si="798"/>
        <v>0.77583242453873935</v>
      </c>
      <c r="XS14" s="593">
        <v>12886.16</v>
      </c>
      <c r="XT14" s="593">
        <f>'Proy 2021 vs 2019 Sem'!IK13*$XV$4</f>
        <v>9575.5815359999997</v>
      </c>
      <c r="XU14" s="735">
        <v>8646.67</v>
      </c>
      <c r="XV14" s="700">
        <f t="shared" si="799"/>
        <v>0.67100439541337376</v>
      </c>
      <c r="XW14" s="593">
        <v>5676.31</v>
      </c>
      <c r="XX14" s="593">
        <f>'Proy 2021 vs 2019 Sem'!IK13*$XZ$4</f>
        <v>9575.5815359999997</v>
      </c>
      <c r="XY14" s="735">
        <v>6946.6</v>
      </c>
      <c r="XZ14" s="700">
        <f t="shared" si="800"/>
        <v>1.2237879890280834</v>
      </c>
      <c r="YA14" s="593">
        <v>6404.48</v>
      </c>
      <c r="YB14" s="593">
        <f>'Proy 2021 vs 2019 Sem'!IK13*$YD$4</f>
        <v>9575.5815359999997</v>
      </c>
      <c r="YC14" s="735">
        <v>4835.79</v>
      </c>
      <c r="YD14" s="700">
        <f t="shared" si="801"/>
        <v>0.75506364294993511</v>
      </c>
      <c r="YE14" s="593">
        <v>5717.55</v>
      </c>
      <c r="YF14" s="593">
        <f>'Proy 2021 vs 2019 Sem'!IK13*$YH$4</f>
        <v>9575.5815359999997</v>
      </c>
      <c r="YG14" s="735">
        <v>7343.64</v>
      </c>
      <c r="YH14" s="700">
        <f t="shared" si="802"/>
        <v>1.2844032846236588</v>
      </c>
      <c r="YI14" s="593">
        <v>10822.15</v>
      </c>
      <c r="YJ14" s="593">
        <f>'Proy 2021 vs 2019 Sem'!IK13*$YL$4</f>
        <v>11171.511792000001</v>
      </c>
      <c r="YK14" s="735">
        <v>5383.01</v>
      </c>
      <c r="YL14" s="700">
        <f t="shared" si="803"/>
        <v>0.4974067075396294</v>
      </c>
      <c r="YM14" s="593">
        <v>40592.49</v>
      </c>
      <c r="YN14" s="593">
        <f>'Proy 2021 vs 2019 Sem'!IK13*$YP$4</f>
        <v>12767.442047999999</v>
      </c>
      <c r="YO14" s="735">
        <v>9487.32</v>
      </c>
      <c r="YP14" s="700">
        <f t="shared" si="804"/>
        <v>0.23372106515269203</v>
      </c>
      <c r="YQ14" s="593">
        <v>21535.54</v>
      </c>
      <c r="YR14" s="593">
        <f>'Proy 2021 vs 2019 Sem'!IK13*$YT$4</f>
        <v>17555.232816</v>
      </c>
      <c r="YS14" s="735">
        <v>25042.16</v>
      </c>
      <c r="YT14" s="700">
        <f t="shared" si="805"/>
        <v>1.1628294437938402</v>
      </c>
      <c r="YU14" s="579">
        <f t="shared" si="806"/>
        <v>103634.68</v>
      </c>
      <c r="YV14" s="574">
        <f t="shared" si="807"/>
        <v>79796.512799999997</v>
      </c>
      <c r="YW14" s="794">
        <f t="shared" si="808"/>
        <v>67685.19</v>
      </c>
      <c r="YX14" s="786">
        <f t="shared" si="809"/>
        <v>0.65311332075324602</v>
      </c>
      <c r="YY14" s="593">
        <v>9470.91</v>
      </c>
      <c r="YZ14" s="593">
        <f>'Proy 2021 vs 2019 Sem'!IP13*$ZB$4</f>
        <v>9410.2154999999984</v>
      </c>
      <c r="ZA14" s="735">
        <v>8156.55</v>
      </c>
      <c r="ZB14" s="700">
        <f t="shared" si="810"/>
        <v>0.86122136098854285</v>
      </c>
      <c r="ZC14" s="593">
        <v>9375.4500000000007</v>
      </c>
      <c r="ZD14" s="593">
        <f>'Proy 2021 vs 2019 Sem'!IP13*$ZF$4</f>
        <v>9410.2154999999984</v>
      </c>
      <c r="ZE14" s="735">
        <v>6645.36</v>
      </c>
      <c r="ZF14" s="700">
        <f t="shared" si="811"/>
        <v>0.70880437738988522</v>
      </c>
      <c r="ZG14" s="593">
        <v>9840.32</v>
      </c>
      <c r="ZH14" s="593">
        <f>'Proy 2021 vs 2019 Sem'!IP13*$ZJ$4</f>
        <v>9410.2154999999984</v>
      </c>
      <c r="ZI14" s="735">
        <v>8242.3700000000008</v>
      </c>
      <c r="ZJ14" s="700">
        <f t="shared" si="812"/>
        <v>0.83761198822802518</v>
      </c>
      <c r="ZK14" s="593">
        <v>19763.82</v>
      </c>
      <c r="ZL14" s="593">
        <f>'Proy 2021 vs 2019 Sem'!IP13*$ZN$4</f>
        <v>9410.2154999999984</v>
      </c>
      <c r="ZM14" s="735">
        <v>13580.26</v>
      </c>
      <c r="ZN14" s="700">
        <f t="shared" si="813"/>
        <v>0.68712728612181251</v>
      </c>
      <c r="ZO14" s="593">
        <v>24677.82</v>
      </c>
      <c r="ZP14" s="593">
        <f>'Proy 2021 vs 2019 Sem'!IP13*$ZR$4</f>
        <v>10978.58475</v>
      </c>
      <c r="ZQ14" s="735">
        <v>14499.52</v>
      </c>
      <c r="ZR14" s="700">
        <f t="shared" si="814"/>
        <v>0.58755270927496839</v>
      </c>
      <c r="ZS14" s="593">
        <v>14657.09</v>
      </c>
      <c r="ZT14" s="593">
        <f>'Proy 2021 vs 2019 Sem'!IP13*$ZV$4</f>
        <v>12546.954</v>
      </c>
      <c r="ZU14" s="735">
        <v>16812.64</v>
      </c>
      <c r="ZV14" s="700">
        <f t="shared" si="815"/>
        <v>1.147065345167424</v>
      </c>
      <c r="ZW14" s="593">
        <v>13144.45</v>
      </c>
      <c r="ZX14" s="593">
        <f>'Proy 2021 vs 2019 Sem'!IP13*$ZZ$4</f>
        <v>17252.061749999997</v>
      </c>
      <c r="ZY14" s="735">
        <v>32132.75</v>
      </c>
      <c r="ZZ14" s="700">
        <f t="shared" si="816"/>
        <v>2.444586878872832</v>
      </c>
      <c r="AAA14" s="579">
        <f t="shared" si="817"/>
        <v>100929.86</v>
      </c>
      <c r="AAB14" s="574">
        <f t="shared" si="818"/>
        <v>78418.462499999994</v>
      </c>
      <c r="AAC14" s="785">
        <f t="shared" si="819"/>
        <v>100069.45</v>
      </c>
      <c r="AAD14" s="786">
        <f t="shared" si="820"/>
        <v>0.99147516899359611</v>
      </c>
      <c r="AAE14" s="593">
        <v>12110.33</v>
      </c>
      <c r="AAF14" s="593">
        <f>'Proy 2021 vs 2019 Sem'!IY13*$AAH$4</f>
        <v>6705.0872999999992</v>
      </c>
      <c r="AAG14" s="735">
        <v>14215</v>
      </c>
      <c r="AAH14" s="700">
        <f t="shared" si="821"/>
        <v>1.1737913004847926</v>
      </c>
      <c r="AAI14" s="593">
        <v>6833.91</v>
      </c>
      <c r="AAJ14" s="593">
        <f>'Proy 2021 vs 2019 Sem'!IY13*$AAL$4</f>
        <v>6705.0872999999992</v>
      </c>
      <c r="AAK14" s="735">
        <v>13772.25</v>
      </c>
      <c r="AAL14" s="700">
        <f t="shared" si="822"/>
        <v>2.0152811494444616</v>
      </c>
      <c r="AAM14" s="593">
        <v>9105.98</v>
      </c>
      <c r="AAN14" s="593">
        <f>'Proy 2021 vs 2019 Sem'!IY13*$AAP$4</f>
        <v>6705.0872999999992</v>
      </c>
      <c r="AAO14" s="735">
        <v>7284.07</v>
      </c>
      <c r="AAP14" s="700">
        <f t="shared" si="823"/>
        <v>0.79992158998811769</v>
      </c>
      <c r="AAQ14" s="593">
        <v>4581.37</v>
      </c>
      <c r="AAR14" s="593">
        <f>'Proy 2021 vs 2019 Sem'!IY13*$AAT$4</f>
        <v>6705.0872999999992</v>
      </c>
      <c r="AAS14" s="735">
        <v>5055.25</v>
      </c>
      <c r="AAT14" s="700">
        <f t="shared" si="824"/>
        <v>1.1034363083531782</v>
      </c>
      <c r="AAU14" s="593">
        <v>6916.61</v>
      </c>
      <c r="AAV14" s="593">
        <f>'Proy 2021 vs 2019 Sem'!IY13*$AAX$4</f>
        <v>7822.60185</v>
      </c>
      <c r="AAW14" s="735">
        <v>5679.75</v>
      </c>
      <c r="AAX14" s="700">
        <f t="shared" si="825"/>
        <v>0.82117540240088716</v>
      </c>
      <c r="AAY14" s="593">
        <v>7390.15</v>
      </c>
      <c r="AAZ14" s="593">
        <f>'Proy 2021 vs 2019 Sem'!IY13*$ABB$4</f>
        <v>8940.116399999999</v>
      </c>
      <c r="ABA14" s="735">
        <v>8178.24</v>
      </c>
      <c r="ABB14" s="700">
        <f t="shared" si="826"/>
        <v>1.1066405959283641</v>
      </c>
      <c r="ABC14" s="593">
        <v>17490.36</v>
      </c>
      <c r="ABD14" s="593">
        <f>'Proy 2021 vs 2019 Sem'!IY13*$ABF$4</f>
        <v>12292.660049999999</v>
      </c>
      <c r="ABE14" s="735">
        <v>12645.89</v>
      </c>
      <c r="ABF14" s="700">
        <f t="shared" si="827"/>
        <v>0.72302056675791693</v>
      </c>
      <c r="ABG14" s="579">
        <f t="shared" si="828"/>
        <v>64428.71</v>
      </c>
      <c r="ABH14" s="574">
        <f t="shared" si="829"/>
        <v>55875.727499999994</v>
      </c>
      <c r="ABI14" s="759">
        <f t="shared" si="830"/>
        <v>66830.45</v>
      </c>
      <c r="ABJ14" s="761">
        <f t="shared" si="831"/>
        <v>1.0372774808000966</v>
      </c>
      <c r="ABK14" s="593">
        <v>9698.64</v>
      </c>
      <c r="ABL14" s="593">
        <f>'Proy 2021 vs 2019 Sem'!JD13*$ABN$4</f>
        <v>8468.1593400000002</v>
      </c>
      <c r="ABM14" s="735">
        <v>5770.02</v>
      </c>
      <c r="ABN14" s="700">
        <f t="shared" si="832"/>
        <v>0.59493083566355698</v>
      </c>
      <c r="ABO14" s="593">
        <v>6829.23</v>
      </c>
      <c r="ABP14" s="593">
        <f>'Proy 2021 vs 2019 Sem'!JD13*$ABR$4</f>
        <v>8468.1593400000002</v>
      </c>
      <c r="ABQ14" s="735">
        <v>29129.63</v>
      </c>
      <c r="ABR14" s="700">
        <f t="shared" si="833"/>
        <v>4.2654340240407782</v>
      </c>
      <c r="ABS14" s="593">
        <v>6287.05</v>
      </c>
      <c r="ABT14" s="593">
        <f>'Proy 2021 vs 2019 Sem'!JD13*$ABV$4</f>
        <v>8468.1593400000002</v>
      </c>
      <c r="ABU14" s="735">
        <v>9423.8700000000008</v>
      </c>
      <c r="ABV14" s="700">
        <f t="shared" si="834"/>
        <v>1.4989335220811033</v>
      </c>
      <c r="ABW14" s="593">
        <v>18477.5</v>
      </c>
      <c r="ABX14" s="593">
        <f>'Proy 2021 vs 2019 Sem'!JD13*$ABZ$4</f>
        <v>8468.1593400000002</v>
      </c>
      <c r="ABY14" s="735">
        <v>20616.36</v>
      </c>
      <c r="ABZ14" s="700">
        <f t="shared" si="835"/>
        <v>1.115754836963875</v>
      </c>
      <c r="ACA14" s="593">
        <v>7401.75</v>
      </c>
      <c r="ACB14" s="593">
        <f>'Proy 2021 vs 2019 Sem'!JD13*$ACD$4</f>
        <v>9879.5192300000017</v>
      </c>
      <c r="ACC14" s="735">
        <v>6144.26</v>
      </c>
      <c r="ACD14" s="700">
        <f t="shared" si="836"/>
        <v>0.83010909582193404</v>
      </c>
      <c r="ACE14" s="593">
        <v>12000.12</v>
      </c>
      <c r="ACF14" s="593">
        <f>'Proy 2021 vs 2019 Sem'!JD13*$ACH$4</f>
        <v>11290.87912</v>
      </c>
      <c r="ACG14" s="735">
        <v>8323.64</v>
      </c>
      <c r="ACH14" s="700">
        <f t="shared" si="837"/>
        <v>0.69362973036936293</v>
      </c>
      <c r="ACI14" s="593">
        <v>20284.97</v>
      </c>
      <c r="ACJ14" s="593">
        <f>'Proy 2021 vs 2019 Sem'!JD13*$ACL$4</f>
        <v>15524.958790000001</v>
      </c>
      <c r="ACK14" s="735">
        <v>18360.740000000002</v>
      </c>
      <c r="ACL14" s="700">
        <f t="shared" si="838"/>
        <v>0.90514011112661252</v>
      </c>
      <c r="ACM14" s="579">
        <f t="shared" si="839"/>
        <v>80979.260000000009</v>
      </c>
      <c r="ACN14" s="574">
        <f t="shared" si="840"/>
        <v>70567.994500000001</v>
      </c>
      <c r="ACO14" s="765">
        <f t="shared" si="841"/>
        <v>97768.52</v>
      </c>
      <c r="ACP14" s="761">
        <f t="shared" si="842"/>
        <v>1.2073279009958846</v>
      </c>
      <c r="ACQ14" s="593">
        <v>14333.13</v>
      </c>
      <c r="ACR14" s="593">
        <f>'Proy 2021 vs 2019 Sem'!JI13*$ACT$4</f>
        <v>11356.390835999999</v>
      </c>
      <c r="ACS14" s="735">
        <v>9782.9500000000007</v>
      </c>
      <c r="ACT14" s="700">
        <f t="shared" si="843"/>
        <v>0.68254107790831464</v>
      </c>
      <c r="ACU14" s="593">
        <v>12512.24</v>
      </c>
      <c r="ACV14" s="593">
        <f>'Proy 2021 vs 2019 Sem'!JI13*$ACX$4</f>
        <v>11356.390835999999</v>
      </c>
      <c r="ACW14" s="735">
        <v>12485.63</v>
      </c>
      <c r="ACX14" s="700">
        <f t="shared" si="844"/>
        <v>0.99787328248179374</v>
      </c>
      <c r="ACY14" s="593">
        <v>13345.57</v>
      </c>
      <c r="ACZ14" s="593">
        <f>'Proy 2021 vs 2019 Sem'!JI13*$ADB$4</f>
        <v>11356.390835999999</v>
      </c>
      <c r="ADA14" s="735">
        <v>7553.85</v>
      </c>
      <c r="ADB14" s="700">
        <f t="shared" si="845"/>
        <v>0.56601928580045668</v>
      </c>
      <c r="ADC14" s="593">
        <v>6149.44</v>
      </c>
      <c r="ADD14" s="593">
        <f>'Proy 2021 vs 2019 Sem'!JI13*$ADF$4</f>
        <v>11356.390835999999</v>
      </c>
      <c r="ADE14" s="735">
        <v>9650.52</v>
      </c>
      <c r="ADF14" s="700">
        <f t="shared" si="846"/>
        <v>1.5693331425300516</v>
      </c>
      <c r="ADG14" s="593">
        <v>11195.1</v>
      </c>
      <c r="ADH14" s="593">
        <f>'Proy 2021 vs 2019 Sem'!JI13*$ADJ$4</f>
        <v>13249.122642</v>
      </c>
      <c r="ADI14" s="735">
        <v>10955.96</v>
      </c>
      <c r="ADJ14" s="700">
        <f t="shared" si="847"/>
        <v>0.97863886879081019</v>
      </c>
      <c r="ADK14" s="593">
        <v>12355.44</v>
      </c>
      <c r="ADL14" s="593">
        <f>'Proy 2021 vs 2019 Sem'!JI13*$ADN$4</f>
        <v>15141.854448</v>
      </c>
      <c r="ADM14" s="735">
        <v>12433.91</v>
      </c>
      <c r="ADN14" s="700">
        <f t="shared" si="848"/>
        <v>1.0063510486069294</v>
      </c>
      <c r="ADO14" s="593">
        <v>21378.41</v>
      </c>
      <c r="ADP14" s="593">
        <f>'Proy 2021 vs 2019 Sem'!JI13*$ADR$4</f>
        <v>20820.049865999998</v>
      </c>
      <c r="ADQ14" s="735">
        <v>26772.720000000001</v>
      </c>
      <c r="ADR14" s="700">
        <f t="shared" si="849"/>
        <v>1.2523251261436188</v>
      </c>
      <c r="ADS14" s="579">
        <f t="shared" si="850"/>
        <v>91269.33</v>
      </c>
      <c r="ADT14" s="574">
        <f t="shared" si="851"/>
        <v>94636.590299999996</v>
      </c>
      <c r="ADU14" s="765">
        <f t="shared" si="852"/>
        <v>89635.54</v>
      </c>
      <c r="ADV14" s="761">
        <f t="shared" si="853"/>
        <v>0.98209924407246108</v>
      </c>
      <c r="ADW14" s="593">
        <v>13948.74</v>
      </c>
      <c r="ADX14" s="593">
        <f>'Proy 2021 vs 2019 Sem'!JN13*$ADZ$4</f>
        <v>11791.010124</v>
      </c>
      <c r="ADY14" s="735">
        <v>8951.32</v>
      </c>
      <c r="ADZ14" s="700">
        <f t="shared" si="854"/>
        <v>0.6417296472656312</v>
      </c>
      <c r="AEA14" s="593">
        <v>9886.39</v>
      </c>
      <c r="AEB14" s="593">
        <f>'Proy 2021 vs 2019 Sem'!JN13*$AED$4</f>
        <v>11791.010124</v>
      </c>
      <c r="AEC14" s="735">
        <v>7161</v>
      </c>
      <c r="AED14" s="700">
        <f t="shared" si="855"/>
        <v>0.72432910293848418</v>
      </c>
      <c r="AEE14" s="593">
        <v>11066.5</v>
      </c>
      <c r="AEF14" s="593">
        <f>'Proy 2021 vs 2019 Sem'!JN13*$AEH$4</f>
        <v>11791.010124</v>
      </c>
      <c r="AEG14" s="735">
        <v>12640</v>
      </c>
      <c r="AEH14" s="700">
        <f t="shared" si="856"/>
        <v>1.1421858762933177</v>
      </c>
      <c r="AEI14" s="593">
        <v>7797.99</v>
      </c>
      <c r="AEJ14" s="593">
        <f>'Proy 2021 vs 2019 Sem'!JN13*$AEL$4</f>
        <v>11791.010124</v>
      </c>
      <c r="AEK14" s="735">
        <v>9964</v>
      </c>
      <c r="AEL14" s="700">
        <f t="shared" si="857"/>
        <v>1.2777651676906485</v>
      </c>
      <c r="AEM14" s="593">
        <v>11561.63</v>
      </c>
      <c r="AEN14" s="593">
        <f>'Proy 2021 vs 2019 Sem'!JN13*$AEP$4</f>
        <v>13756.178478000002</v>
      </c>
      <c r="AEO14" s="735">
        <v>8895</v>
      </c>
      <c r="AEP14" s="700">
        <f t="shared" si="858"/>
        <v>0.76935518607670372</v>
      </c>
      <c r="AEQ14" s="593">
        <v>24370.59</v>
      </c>
      <c r="AER14" s="593">
        <f>'Proy 2021 vs 2019 Sem'!JN13*$AET$4</f>
        <v>15721.346832000001</v>
      </c>
      <c r="AES14" s="735">
        <v>7853</v>
      </c>
      <c r="AET14" s="700">
        <f t="shared" si="859"/>
        <v>0.32223265829838343</v>
      </c>
      <c r="AEU14" s="593">
        <v>31127.88</v>
      </c>
      <c r="AEV14" s="593">
        <f>'Proy 2021 vs 2019 Sem'!JN13*$AEX$4</f>
        <v>21616.851894000003</v>
      </c>
      <c r="AEW14" s="735">
        <v>24964</v>
      </c>
      <c r="AEX14" s="700">
        <f t="shared" si="860"/>
        <v>0.80198201740690334</v>
      </c>
      <c r="AEY14" s="579">
        <f t="shared" si="861"/>
        <v>109759.72</v>
      </c>
      <c r="AEZ14" s="574">
        <f t="shared" si="862"/>
        <v>98258.417700000005</v>
      </c>
      <c r="AFA14" s="770">
        <f t="shared" si="863"/>
        <v>80428.320000000007</v>
      </c>
      <c r="AFB14" s="761">
        <f t="shared" si="864"/>
        <v>0.73276717542646796</v>
      </c>
      <c r="AFC14" s="593">
        <v>18800.400000000001</v>
      </c>
      <c r="AFD14" s="593">
        <f>'Proy 2021 vs 2019 Sem'!JX13*$AFF$4</f>
        <v>14620.339259999999</v>
      </c>
      <c r="AFE14" s="735">
        <v>12810</v>
      </c>
      <c r="AFF14" s="700">
        <f t="shared" si="865"/>
        <v>0.68136848152166973</v>
      </c>
      <c r="AFG14" s="593">
        <v>14114.08</v>
      </c>
      <c r="AFH14" s="593">
        <f>'Proy 2021 vs 2019 Sem'!JX13*$AFJ$4</f>
        <v>14620.339259999999</v>
      </c>
      <c r="AFI14" s="735">
        <v>10948.78</v>
      </c>
      <c r="AFJ14" s="700">
        <f t="shared" si="866"/>
        <v>0.77573458560529629</v>
      </c>
      <c r="AFK14" s="593">
        <v>17611.27</v>
      </c>
      <c r="AFL14" s="593">
        <f>'Proy 2021 vs 2019 Sem'!JX13*$AFN$4</f>
        <v>14620.339259999999</v>
      </c>
      <c r="AFM14" s="735">
        <v>13433.18</v>
      </c>
      <c r="AFN14" s="700">
        <f t="shared" si="867"/>
        <v>0.7627604369247647</v>
      </c>
      <c r="AFO14" s="593">
        <v>12005.3</v>
      </c>
      <c r="AFP14" s="593">
        <f>'Proy 2021 vs 2019 Sem'!JX13*$AFR$4</f>
        <v>14620.339259999999</v>
      </c>
      <c r="AFQ14" s="735">
        <v>22604.28</v>
      </c>
      <c r="AFR14" s="700">
        <f t="shared" si="868"/>
        <v>1.8828584042048095</v>
      </c>
      <c r="AFS14" s="593">
        <v>20799.43</v>
      </c>
      <c r="AFT14" s="593">
        <f>'Proy 2021 vs 2019 Sem'!JX13*$AFV$4</f>
        <v>17057.062470000001</v>
      </c>
      <c r="AFU14" s="735">
        <v>20769.900000000001</v>
      </c>
      <c r="AFV14" s="700">
        <f t="shared" si="869"/>
        <v>0.99858024955491576</v>
      </c>
      <c r="AFW14" s="593">
        <v>15102.58</v>
      </c>
      <c r="AFX14" s="593">
        <f>'Proy 2021 vs 2019 Sem'!JX13*$AFZ$4</f>
        <v>19493.785680000001</v>
      </c>
      <c r="AFY14" s="735">
        <v>14734.14</v>
      </c>
      <c r="AFZ14" s="700">
        <f t="shared" si="870"/>
        <v>0.97560416829442387</v>
      </c>
      <c r="AGA14" s="593">
        <v>26691.52</v>
      </c>
      <c r="AGB14" s="593">
        <f>'Proy 2021 vs 2019 Sem'!JX13*$AGD$4</f>
        <v>26803.955310000001</v>
      </c>
      <c r="AGC14" s="735">
        <v>31056.35</v>
      </c>
      <c r="AGD14" s="700">
        <f t="shared" si="871"/>
        <v>1.1635287162364676</v>
      </c>
      <c r="AGE14" s="579">
        <f t="shared" si="872"/>
        <v>125124.58000000002</v>
      </c>
      <c r="AGF14" s="574">
        <f t="shared" si="873"/>
        <v>121836.1605</v>
      </c>
      <c r="AGG14" s="729">
        <f t="shared" si="874"/>
        <v>126356.63</v>
      </c>
      <c r="AGH14" s="711">
        <f t="shared" si="875"/>
        <v>1.0098465864980326</v>
      </c>
      <c r="AGI14" s="593">
        <v>21188.09</v>
      </c>
      <c r="AGJ14" s="593">
        <f>'Proy 2021 vs 2019 Sem'!KC13*$AGL$4</f>
        <v>20529.243119999996</v>
      </c>
      <c r="AGK14" s="735">
        <v>12996.89</v>
      </c>
      <c r="AGL14" s="700">
        <f t="shared" si="876"/>
        <v>0.61340545561209148</v>
      </c>
      <c r="AGM14" s="593">
        <v>14123.18</v>
      </c>
      <c r="AGN14" s="593">
        <f>'Proy 2021 vs 2019 Sem'!KC13*$AGP$4</f>
        <v>20529.243119999996</v>
      </c>
      <c r="AGO14" s="735">
        <v>14168.75</v>
      </c>
      <c r="AGP14" s="700">
        <f t="shared" si="877"/>
        <v>1.0032266104375926</v>
      </c>
      <c r="AGQ14" s="593">
        <v>33640.75</v>
      </c>
      <c r="AGR14" s="593">
        <f>'Proy 2021 vs 2019 Sem'!KC13*$AGT$4</f>
        <v>20529.243119999996</v>
      </c>
      <c r="AGS14" s="735">
        <v>11657.27</v>
      </c>
      <c r="AGT14" s="700">
        <f t="shared" si="878"/>
        <v>0.34652229810571999</v>
      </c>
      <c r="AGU14" s="593">
        <v>18854.189999999999</v>
      </c>
      <c r="AGV14" s="593">
        <f>'Proy 2021 vs 2019 Sem'!KC13*$AGX$4</f>
        <v>20529.243119999996</v>
      </c>
      <c r="AGW14" s="735">
        <v>14437.23</v>
      </c>
      <c r="AGX14" s="700">
        <f t="shared" si="879"/>
        <v>0.76573058826711726</v>
      </c>
      <c r="AGY14" s="593">
        <v>18808.55</v>
      </c>
      <c r="AGZ14" s="593">
        <f>'Proy 2021 vs 2019 Sem'!KC13*$AHB$4</f>
        <v>23950.783640000001</v>
      </c>
      <c r="AHA14" s="735">
        <v>17457.599999999999</v>
      </c>
      <c r="AHB14" s="700">
        <f t="shared" si="880"/>
        <v>0.92817362316606011</v>
      </c>
      <c r="AHC14" s="593">
        <v>22463.3</v>
      </c>
      <c r="AHD14" s="593">
        <f>'Proy 2021 vs 2019 Sem'!KC13*$AHF$4</f>
        <v>27372.324159999996</v>
      </c>
      <c r="AHE14" s="735">
        <v>16772.939999999999</v>
      </c>
      <c r="AHF14" s="700">
        <f t="shared" si="881"/>
        <v>0.74668192117809939</v>
      </c>
      <c r="AHG14" s="593">
        <v>33025.699999999997</v>
      </c>
      <c r="AHH14" s="593">
        <f>'Proy 2021 vs 2019 Sem'!KC13*$AHJ$4</f>
        <v>37636.945719999996</v>
      </c>
      <c r="AHI14" s="735">
        <v>39614.04</v>
      </c>
      <c r="AHJ14" s="700">
        <f t="shared" si="882"/>
        <v>1.1994913052562097</v>
      </c>
      <c r="AHK14" s="579">
        <f t="shared" si="883"/>
        <v>162103.76</v>
      </c>
      <c r="AHL14" s="574">
        <f t="shared" si="884"/>
        <v>171077.02599999995</v>
      </c>
      <c r="AHM14" s="730">
        <f t="shared" si="885"/>
        <v>127104.72</v>
      </c>
      <c r="AHN14" s="711">
        <f t="shared" si="886"/>
        <v>0.78409482913906492</v>
      </c>
      <c r="AHO14" s="593">
        <v>24205.38</v>
      </c>
      <c r="AHP14" s="593">
        <f>'Proy 2021 vs 2019 Sem'!KH13*$AHR$4</f>
        <v>26433.117300000002</v>
      </c>
      <c r="AHQ14" s="735">
        <v>17318</v>
      </c>
      <c r="AHR14" s="700">
        <f t="shared" si="887"/>
        <v>0.7154607777279266</v>
      </c>
      <c r="AHS14" s="593">
        <v>26385.4</v>
      </c>
      <c r="AHT14" s="593">
        <f>'Proy 2021 vs 2019 Sem'!KH13*$AHV$4</f>
        <v>26433.117300000002</v>
      </c>
      <c r="AHU14" s="735">
        <v>24161.81</v>
      </c>
      <c r="AHV14" s="700">
        <f t="shared" si="888"/>
        <v>0.91572650026150826</v>
      </c>
      <c r="AHW14" s="593">
        <v>25483.37</v>
      </c>
      <c r="AHX14" s="593">
        <f>'Proy 2021 vs 2019 Sem'!KH13*$AHZ$4</f>
        <v>26433.117300000002</v>
      </c>
      <c r="AHY14" s="735">
        <v>12938.39</v>
      </c>
      <c r="AHZ14" s="700">
        <f t="shared" si="889"/>
        <v>0.50771895553845503</v>
      </c>
      <c r="AIA14" s="593">
        <v>28764.86</v>
      </c>
      <c r="AIB14" s="593">
        <f>'Proy 2021 vs 2019 Sem'!KH13*$AID$4</f>
        <v>26433.117300000002</v>
      </c>
      <c r="AIC14" s="735">
        <v>21891.48</v>
      </c>
      <c r="AID14" s="700">
        <f t="shared" si="890"/>
        <v>0.7610494193262195</v>
      </c>
      <c r="AIE14" s="593">
        <v>31273.08</v>
      </c>
      <c r="AIF14" s="593">
        <f>'Proy 2021 vs 2019 Sem'!KH13*$AIH$4</f>
        <v>30838.636850000003</v>
      </c>
      <c r="AIG14" s="735">
        <v>25247.51</v>
      </c>
      <c r="AIH14" s="700">
        <f t="shared" si="891"/>
        <v>0.8073240627402225</v>
      </c>
      <c r="AII14" s="593">
        <v>29915.51</v>
      </c>
      <c r="AIJ14" s="593">
        <f>'Proy 2021 vs 2019 Sem'!KH13*$AIL$4</f>
        <v>35244.1564</v>
      </c>
      <c r="AIK14" s="735">
        <v>27951.24</v>
      </c>
      <c r="AIL14" s="700">
        <f t="shared" si="892"/>
        <v>0.93433941122848996</v>
      </c>
      <c r="AIM14" s="593">
        <v>46178.07</v>
      </c>
      <c r="AIN14" s="593">
        <f>'Proy 2021 vs 2019 Sem'!KH13*$AIP$4</f>
        <v>48460.715049999999</v>
      </c>
      <c r="AIO14" s="735">
        <v>25900.35</v>
      </c>
      <c r="AIP14" s="700">
        <f t="shared" si="893"/>
        <v>0.56087987219907631</v>
      </c>
      <c r="AIQ14" s="579">
        <f t="shared" si="894"/>
        <v>212205.67</v>
      </c>
      <c r="AIR14" s="574">
        <f t="shared" si="895"/>
        <v>220275.97750000001</v>
      </c>
      <c r="AIS14" s="730">
        <f t="shared" si="896"/>
        <v>155408.78</v>
      </c>
      <c r="AIT14" s="711">
        <f t="shared" si="897"/>
        <v>0.73234980007838613</v>
      </c>
      <c r="AIU14" s="593">
        <f>'Proy 2021 vs 2019 Sem'!KL13*$AIX$4</f>
        <v>27238.010399999999</v>
      </c>
      <c r="AIV14" s="593">
        <f>'Proy 2021 vs 2019 Sem'!KM13*$AIX$4</f>
        <v>44125.576848000004</v>
      </c>
      <c r="AIW14" s="735">
        <v>26467.55</v>
      </c>
      <c r="AIX14" s="700">
        <f t="shared" si="898"/>
        <v>0.97171377833088723</v>
      </c>
      <c r="AIY14" s="593">
        <f>'Proy 2021 vs 2019 Sem'!KL13*$AJB$4</f>
        <v>27238.010399999999</v>
      </c>
      <c r="AIZ14" s="593">
        <f>'Proy 2021 vs 2019 Sem'!KM13*$AJB$4</f>
        <v>44125.576848000004</v>
      </c>
      <c r="AJA14" s="735">
        <v>51926.3</v>
      </c>
      <c r="AJB14" s="700">
        <f t="shared" si="899"/>
        <v>1.9063910776684336</v>
      </c>
      <c r="AJC14" s="593">
        <f>'Proy 2021 vs 2019 Sem'!KL13*$AJF$4</f>
        <v>27238.010399999999</v>
      </c>
      <c r="AJD14" s="593">
        <f>'Proy 2021 vs 2019 Sem'!KM13*$AJF$4</f>
        <v>44125.576848000004</v>
      </c>
      <c r="AJE14" s="735">
        <v>30250.400000000001</v>
      </c>
      <c r="AJF14" s="700">
        <f t="shared" si="900"/>
        <v>1.1105950675457559</v>
      </c>
      <c r="AJG14" s="593">
        <f>'Proy 2021 vs 2019 Sem'!KL13*$AJJ$4</f>
        <v>27238.010399999999</v>
      </c>
      <c r="AJH14" s="593">
        <f>'Proy 2021 vs 2019 Sem'!KM13*$AJJ$4</f>
        <v>44125.576848000004</v>
      </c>
      <c r="AJI14" s="735">
        <v>39194.51</v>
      </c>
      <c r="AJJ14" s="700">
        <f t="shared" si="901"/>
        <v>1.4389637651360909</v>
      </c>
      <c r="AJK14" s="593">
        <f>'Proy 2021 vs 2019 Sem'!KL13*$AJN$4</f>
        <v>31777.678800000005</v>
      </c>
      <c r="AJL14" s="593">
        <f>'Proy 2021 vs 2019 Sem'!KM13*$AJN$4</f>
        <v>51479.839656000011</v>
      </c>
      <c r="AJM14" s="735">
        <v>53332.05</v>
      </c>
      <c r="AJN14" s="700">
        <f t="shared" si="902"/>
        <v>1.6782865210406746</v>
      </c>
      <c r="AJO14" s="593">
        <f>'Proy 2021 vs 2019 Sem'!KL13*$AJR$4</f>
        <v>36317.347200000004</v>
      </c>
      <c r="AJP14" s="593">
        <f>'Proy 2021 vs 2019 Sem'!KM13*$AJR$4</f>
        <v>58834.102464000003</v>
      </c>
      <c r="AJQ14" s="735">
        <v>88530.92</v>
      </c>
      <c r="AJR14" s="700">
        <f t="shared" si="903"/>
        <v>2.4377033793922038</v>
      </c>
      <c r="AJS14" s="593">
        <f>'Proy 2021 vs 2019 Sem'!KL13*$AJV$4</f>
        <v>49936.352400000003</v>
      </c>
      <c r="AJT14" s="593">
        <f>'Proy 2021 vs 2019 Sem'!KM13*$AJV$4</f>
        <v>80896.890888000009</v>
      </c>
      <c r="AJU14" s="699">
        <v>0</v>
      </c>
      <c r="AJV14" s="700">
        <f t="shared" si="904"/>
        <v>0</v>
      </c>
      <c r="AJW14" s="579">
        <f t="shared" si="905"/>
        <v>226983.42</v>
      </c>
      <c r="AJX14" s="574">
        <f t="shared" si="906"/>
        <v>367713.14040000003</v>
      </c>
      <c r="AJY14" s="710">
        <f t="shared" si="907"/>
        <v>289701.73</v>
      </c>
      <c r="AJZ14" s="711">
        <f t="shared" si="908"/>
        <v>1.2763122962901869</v>
      </c>
      <c r="AKA14" s="593">
        <f>'Proy 2021 vs 2019 Sem'!KQ13*$AKD$4</f>
        <v>7790.4239999999991</v>
      </c>
      <c r="AKB14" s="593">
        <f>'Proy 2021 vs 2019 Sem'!KR13*$AKD$4</f>
        <v>7400.9027999999989</v>
      </c>
      <c r="AKC14" s="735">
        <v>11652.96</v>
      </c>
      <c r="AKD14" s="700">
        <f t="shared" si="909"/>
        <v>1.4958056198224898</v>
      </c>
      <c r="AKE14" s="593">
        <f>'Proy 2021 vs 2019 Sem'!KQ13*$AKH$4</f>
        <v>7790.4239999999991</v>
      </c>
      <c r="AKF14" s="593">
        <f>'Proy 2021 vs 2019 Sem'!KR13*$AKH$4</f>
        <v>7400.9027999999989</v>
      </c>
      <c r="AKG14" s="735">
        <v>11911.43</v>
      </c>
      <c r="AKH14" s="700">
        <f t="shared" si="910"/>
        <v>1.5289835315767155</v>
      </c>
      <c r="AKI14" s="593">
        <f>'Proy 2021 vs 2019 Sem'!KQ13*$AKL$4</f>
        <v>7790.4239999999991</v>
      </c>
      <c r="AKJ14" s="593">
        <f>'Proy 2021 vs 2019 Sem'!KR13*$AKL$4</f>
        <v>7400.9027999999989</v>
      </c>
      <c r="AKK14" s="735">
        <v>6705.66</v>
      </c>
      <c r="AKL14" s="700">
        <f t="shared" si="911"/>
        <v>0.86075674443393591</v>
      </c>
      <c r="AKM14" s="593">
        <f>'Proy 2021 vs 2019 Sem'!KQ13*$AKP$4</f>
        <v>7790.4239999999991</v>
      </c>
      <c r="AKN14" s="593">
        <f>'Proy 2021 vs 2019 Sem'!KR13*$AKP$4</f>
        <v>7400.9027999999989</v>
      </c>
      <c r="AKO14" s="735">
        <v>6532.88</v>
      </c>
      <c r="AKP14" s="700">
        <f t="shared" si="912"/>
        <v>0.83857823399599318</v>
      </c>
      <c r="AKQ14" s="593">
        <f>'Proy 2021 vs 2019 Sem'!KQ13*$AKT$4</f>
        <v>9088.8280000000013</v>
      </c>
      <c r="AKR14" s="593">
        <f>'Proy 2021 vs 2019 Sem'!KR13*$AKT$4</f>
        <v>8634.3865999999998</v>
      </c>
      <c r="AKS14" s="735">
        <v>8332.52</v>
      </c>
      <c r="AKT14" s="700">
        <f t="shared" si="913"/>
        <v>0.91678707089626954</v>
      </c>
      <c r="AKU14" s="593">
        <f>'Proy 2021 vs 2019 Sem'!KQ13*$AKX$4</f>
        <v>10387.232</v>
      </c>
      <c r="AKV14" s="593">
        <f>'Proy 2021 vs 2019 Sem'!KR13*$AKX$4</f>
        <v>9867.8703999999998</v>
      </c>
      <c r="AKW14" s="735">
        <v>16450.849999999999</v>
      </c>
      <c r="AKX14" s="700">
        <f t="shared" si="914"/>
        <v>1.5837568661217925</v>
      </c>
      <c r="AKY14" s="593">
        <f>'Proy 2021 vs 2019 Sem'!KQ13*$ALB$4</f>
        <v>14282.444</v>
      </c>
      <c r="AKZ14" s="593">
        <f>'Proy 2021 vs 2019 Sem'!KR13*$ALB$4</f>
        <v>13568.3218</v>
      </c>
      <c r="ALA14" s="699">
        <v>0</v>
      </c>
      <c r="ALB14" s="700">
        <f>ALA14/AKY14</f>
        <v>0</v>
      </c>
      <c r="ALC14" s="579">
        <f t="shared" si="915"/>
        <v>64920.2</v>
      </c>
      <c r="ALD14" s="574">
        <f t="shared" si="916"/>
        <v>61674.189999999995</v>
      </c>
      <c r="ALE14" s="710">
        <f t="shared" si="917"/>
        <v>61586.299999999996</v>
      </c>
      <c r="ALF14" s="711">
        <f t="shared" si="918"/>
        <v>0.94864618408446055</v>
      </c>
    </row>
    <row r="15" spans="2:994" ht="15.75" customHeight="1">
      <c r="B15" s="570" t="s">
        <v>17</v>
      </c>
      <c r="C15" s="574">
        <f>'Proy 2021 vs 2019 Sem'!DX14*$F$4</f>
        <v>18187.629599999997</v>
      </c>
      <c r="D15" s="576">
        <f>'Proy 2021 vs 2019 Sem'!$DY$14*F4</f>
        <v>17988.559567259563</v>
      </c>
      <c r="E15" s="735">
        <v>19349.650000000001</v>
      </c>
      <c r="F15" s="700">
        <f t="shared" si="580"/>
        <v>1.0638907007431031</v>
      </c>
      <c r="G15" s="574">
        <f>'Proy 2021 vs 2019 Sem'!DX14*$J$4</f>
        <v>18187.629599999997</v>
      </c>
      <c r="H15" s="574">
        <f>'Proy 2021 vs 2019 Sem'!$DY$14*J4</f>
        <v>17988.559567259563</v>
      </c>
      <c r="I15" s="735">
        <v>14901.27</v>
      </c>
      <c r="J15" s="700">
        <f t="shared" si="581"/>
        <v>0.81930797623017371</v>
      </c>
      <c r="K15" s="574">
        <f>'Proy 2021 vs 2019 Sem'!DX14*'Vtas Diarias 2021'!$N$4</f>
        <v>18187.629599999997</v>
      </c>
      <c r="L15" s="574">
        <f>'Proy 2021 vs 2019 Sem'!$DY$14*N4</f>
        <v>17988.559567259563</v>
      </c>
      <c r="M15" s="735">
        <v>16548.95</v>
      </c>
      <c r="N15" s="700">
        <f t="shared" si="582"/>
        <v>0.90990142002891916</v>
      </c>
      <c r="O15" s="574">
        <f>'Proy 2021 vs 2019 Sem'!DX14*$R$4</f>
        <v>18187.629599999997</v>
      </c>
      <c r="P15" s="574">
        <f>'Proy 2021 vs 2019 Sem'!$DY$14*R4</f>
        <v>17988.559567259563</v>
      </c>
      <c r="Q15" s="735">
        <v>13428.41</v>
      </c>
      <c r="R15" s="700">
        <f t="shared" si="583"/>
        <v>0.73832656015822984</v>
      </c>
      <c r="S15" s="574">
        <f>'Proy 2021 vs 2019 Sem'!DX14*$V$4</f>
        <v>21218.9012</v>
      </c>
      <c r="T15" s="574">
        <f>'Proy 2021 vs 2019 Sem'!$DY$14*V4</f>
        <v>20986.65282846949</v>
      </c>
      <c r="U15" s="735">
        <v>13988.77</v>
      </c>
      <c r="V15" s="700">
        <f t="shared" si="584"/>
        <v>0.65925986780126011</v>
      </c>
      <c r="W15" s="574">
        <f>'Proy 2021 vs 2019 Sem'!DX14*$Z$4</f>
        <v>24250.172799999997</v>
      </c>
      <c r="X15" s="574">
        <f>'Proy 2021 vs 2019 Sem'!$DY$14*Z4</f>
        <v>23984.746089679418</v>
      </c>
      <c r="Y15" s="735">
        <v>20300.259999999998</v>
      </c>
      <c r="Z15" s="700">
        <f t="shared" si="585"/>
        <v>0.83711815859720395</v>
      </c>
      <c r="AA15" s="574">
        <f>'Proy 2021 vs 2019 Sem'!DX14*$AD$4</f>
        <v>33343.9876</v>
      </c>
      <c r="AB15" s="574">
        <f>'Proy 2021 vs 2019 Sem'!$DY$14*AD4</f>
        <v>32979.025873309198</v>
      </c>
      <c r="AC15" s="735">
        <v>23602.86</v>
      </c>
      <c r="AD15" s="700">
        <f t="shared" si="586"/>
        <v>0.7078595482683061</v>
      </c>
      <c r="AE15" s="579">
        <f t="shared" si="587"/>
        <v>151563.57999999999</v>
      </c>
      <c r="AF15" s="574">
        <f t="shared" si="588"/>
        <v>149904.66306049636</v>
      </c>
      <c r="AG15" s="729">
        <f t="shared" si="589"/>
        <v>122120.17</v>
      </c>
      <c r="AH15" s="711">
        <f t="shared" si="590"/>
        <v>0.8057355863460075</v>
      </c>
      <c r="AI15" s="593">
        <f>'Proy 2021 vs 2019 Sem'!EC14*$AL$4</f>
        <v>22735.0272</v>
      </c>
      <c r="AJ15" s="611">
        <f>'Proy 2021 vs 2019 Sem'!ED14*$AL$4</f>
        <v>15914.519039999999</v>
      </c>
      <c r="AK15" s="735">
        <v>11323.26</v>
      </c>
      <c r="AL15" s="700">
        <f t="shared" si="591"/>
        <v>0.49805350573761353</v>
      </c>
      <c r="AM15" s="593">
        <f>'Proy 2021 vs 2019 Sem'!EC14*$AP$4</f>
        <v>22735.0272</v>
      </c>
      <c r="AN15" s="593">
        <f>'Proy 2021 vs 2019 Sem'!ED14*$AP$4</f>
        <v>15914.519039999999</v>
      </c>
      <c r="AO15" s="735">
        <v>17065.150000000001</v>
      </c>
      <c r="AP15" s="700">
        <f t="shared" si="592"/>
        <v>0.75061049410136627</v>
      </c>
      <c r="AQ15" s="593">
        <f>'Proy 2021 vs 2019 Sem'!EC14*$AT$4</f>
        <v>22735.0272</v>
      </c>
      <c r="AR15" s="593">
        <f>'Proy 2021 vs 2019 Sem'!ED14*$AT$4</f>
        <v>15914.519039999999</v>
      </c>
      <c r="AS15" s="735">
        <v>20970.77</v>
      </c>
      <c r="AT15" s="700">
        <f t="shared" si="593"/>
        <v>0.92239916035816316</v>
      </c>
      <c r="AU15" s="593">
        <f>'Proy 2021 vs 2019 Sem'!EC14*$AX$4</f>
        <v>22735.0272</v>
      </c>
      <c r="AV15" s="593">
        <f>'Proy 2021 vs 2019 Sem'!ED14*$AX$4</f>
        <v>15914.519039999999</v>
      </c>
      <c r="AW15" s="735">
        <v>14180.81</v>
      </c>
      <c r="AX15" s="700">
        <f t="shared" si="594"/>
        <v>0.6237428209454704</v>
      </c>
      <c r="AY15" s="593">
        <f>'Proy 2021 vs 2019 Sem'!EC14*$BB$4</f>
        <v>26524.198400000001</v>
      </c>
      <c r="AZ15" s="593">
        <f>'Proy 2021 vs 2019 Sem'!ED14*$BB$4</f>
        <v>18566.938880000002</v>
      </c>
      <c r="BA15" s="735">
        <v>18946.990000000002</v>
      </c>
      <c r="BB15" s="700">
        <f t="shared" si="595"/>
        <v>0.71432846769838676</v>
      </c>
      <c r="BC15" s="593">
        <f>'Proy 2021 vs 2019 Sem'!EC14*$BF$4</f>
        <v>30313.369600000002</v>
      </c>
      <c r="BD15" s="593">
        <f>'Proy 2021 vs 2019 Sem'!ED14*$BF$4</f>
        <v>21219.35872</v>
      </c>
      <c r="BE15" s="735">
        <v>21634.52</v>
      </c>
      <c r="BF15" s="700">
        <f t="shared" si="596"/>
        <v>0.71369564932827523</v>
      </c>
      <c r="BG15" s="593">
        <f>'Proy 2021 vs 2019 Sem'!EC14*$BJ$4</f>
        <v>41680.883199999997</v>
      </c>
      <c r="BH15" s="593">
        <f>'Proy 2021 vs 2019 Sem'!ED14*$BJ$4</f>
        <v>29176.61824</v>
      </c>
      <c r="BI15" s="735">
        <v>27803.99</v>
      </c>
      <c r="BJ15" s="700">
        <f t="shared" si="597"/>
        <v>0.66706815847894518</v>
      </c>
      <c r="BK15" s="579">
        <f t="shared" si="598"/>
        <v>189458.56</v>
      </c>
      <c r="BL15" s="574">
        <f t="shared" si="599"/>
        <v>132620.992</v>
      </c>
      <c r="BM15" s="730">
        <f t="shared" si="600"/>
        <v>131925.49000000002</v>
      </c>
      <c r="BN15" s="711">
        <f t="shared" si="601"/>
        <v>0.6963290019727798</v>
      </c>
      <c r="BO15" s="593">
        <f>'Proy 2021 vs 2019 Sem'!EH14*$BR$4</f>
        <v>23591.057999999997</v>
      </c>
      <c r="BP15" s="593">
        <f>'Proy 2021 vs 2019 Sem'!EI14*$BR$4</f>
        <v>16513.740599999997</v>
      </c>
      <c r="BQ15" s="735">
        <v>15318.5</v>
      </c>
      <c r="BR15" s="700">
        <f t="shared" si="602"/>
        <v>0.64933501498745849</v>
      </c>
      <c r="BS15" s="593">
        <f>'Proy 2021 vs 2019 Sem'!EH14*$BV$4</f>
        <v>23591.057999999997</v>
      </c>
      <c r="BT15" s="593">
        <f>'Proy 2021 vs 2019 Sem'!EI14*$BV$4</f>
        <v>16513.740599999997</v>
      </c>
      <c r="BU15" s="735">
        <v>13394.42</v>
      </c>
      <c r="BV15" s="700">
        <f t="shared" si="603"/>
        <v>0.56777529858983011</v>
      </c>
      <c r="BW15" s="593">
        <f>'Proy 2021 vs 2019 Sem'!EH14*$BZ$4</f>
        <v>23591.057999999997</v>
      </c>
      <c r="BX15" s="593">
        <f>'Proy 2021 vs 2019 Sem'!EI14*$BZ$4</f>
        <v>16513.740599999997</v>
      </c>
      <c r="BY15" s="735">
        <v>16792.740000000002</v>
      </c>
      <c r="BZ15" s="700">
        <f t="shared" si="604"/>
        <v>0.71182648951140737</v>
      </c>
      <c r="CA15" s="593">
        <f>'Proy 2021 vs 2019 Sem'!EH14*$CD$4</f>
        <v>23591.057999999997</v>
      </c>
      <c r="CB15" s="593">
        <f>'Proy 2021 vs 2019 Sem'!EI14*$CD$4</f>
        <v>16513.740599999997</v>
      </c>
      <c r="CC15" s="735">
        <v>13156.49</v>
      </c>
      <c r="CD15" s="700">
        <f t="shared" si="605"/>
        <v>0.55768969751165898</v>
      </c>
      <c r="CE15" s="593">
        <f>'Proy 2021 vs 2019 Sem'!EH14*$CH$4</f>
        <v>27522.901000000002</v>
      </c>
      <c r="CF15" s="593">
        <f>'Proy 2021 vs 2019 Sem'!EI14*$CH$4</f>
        <v>19266.030699999999</v>
      </c>
      <c r="CG15" s="735">
        <v>19682.689999999999</v>
      </c>
      <c r="CH15" s="700">
        <f t="shared" si="606"/>
        <v>0.71513864036352848</v>
      </c>
      <c r="CI15" s="593">
        <f>'Proy 2021 vs 2019 Sem'!EH14*$CL$4</f>
        <v>31454.743999999999</v>
      </c>
      <c r="CJ15" s="593">
        <f>'Proy 2021 vs 2019 Sem'!EI14*$CL$4</f>
        <v>22018.320799999998</v>
      </c>
      <c r="CK15" s="735">
        <v>25491.08</v>
      </c>
      <c r="CL15" s="700">
        <f t="shared" si="607"/>
        <v>0.81040494241504568</v>
      </c>
      <c r="CM15" s="593">
        <f>'Proy 2021 vs 2019 Sem'!EH14*$CP$4</f>
        <v>43250.273000000001</v>
      </c>
      <c r="CN15" s="593">
        <f>'Proy 2021 vs 2019 Sem'!EI14*$CP$4</f>
        <v>30275.191099999996</v>
      </c>
      <c r="CO15" s="735">
        <v>42241.33</v>
      </c>
      <c r="CP15" s="700">
        <f t="shared" si="608"/>
        <v>0.97667198539995348</v>
      </c>
      <c r="CQ15" s="579">
        <f t="shared" si="609"/>
        <v>196592.14999999997</v>
      </c>
      <c r="CR15" s="574">
        <f t="shared" si="610"/>
        <v>137614.505</v>
      </c>
      <c r="CS15" s="730">
        <f t="shared" si="611"/>
        <v>146077.25</v>
      </c>
      <c r="CT15" s="711">
        <f t="shared" si="612"/>
        <v>0.7430472172973337</v>
      </c>
      <c r="CU15" s="593">
        <f>'Proy 2021 vs 2019 Sem'!EM14*$CX$4</f>
        <v>23493.403199999997</v>
      </c>
      <c r="CV15" s="593">
        <f>'Proy 2021 vs 2019 Sem'!EN14*$CX$4</f>
        <v>16445.382239999999</v>
      </c>
      <c r="CW15" s="735">
        <v>20448.66</v>
      </c>
      <c r="CX15" s="700">
        <f t="shared" si="613"/>
        <v>0.87040007894641691</v>
      </c>
      <c r="CY15" s="593">
        <f>'Proy 2021 vs 2019 Sem'!EM14*$DB$4</f>
        <v>23493.403199999997</v>
      </c>
      <c r="CZ15" s="593">
        <f>'Proy 2021 vs 2019 Sem'!EN14*$DB$4</f>
        <v>16445.382239999999</v>
      </c>
      <c r="DA15" s="735">
        <v>11795.51</v>
      </c>
      <c r="DB15" s="700">
        <f t="shared" si="614"/>
        <v>0.50207753638689523</v>
      </c>
      <c r="DC15" s="593">
        <f>'Proy 2021 vs 2019 Sem'!EM14*$DF$4</f>
        <v>23493.403199999997</v>
      </c>
      <c r="DD15" s="593">
        <f>'Proy 2021 vs 2019 Sem'!EN14*$DF$4</f>
        <v>16445.382239999999</v>
      </c>
      <c r="DE15" s="735">
        <v>12822.13</v>
      </c>
      <c r="DF15" s="700">
        <f t="shared" si="615"/>
        <v>0.54577576057605826</v>
      </c>
      <c r="DG15" s="593">
        <f>'Proy 2021 vs 2019 Sem'!EM14*$DJ$4</f>
        <v>23493.403199999997</v>
      </c>
      <c r="DH15" s="593">
        <f>'Proy 2021 vs 2019 Sem'!EN14*$DJ$4</f>
        <v>16445.382239999999</v>
      </c>
      <c r="DI15" s="735">
        <v>12229.41</v>
      </c>
      <c r="DJ15" s="700">
        <f t="shared" si="616"/>
        <v>0.52054655070151779</v>
      </c>
      <c r="DK15" s="593">
        <f>'Proy 2021 vs 2019 Sem'!EM14*$DN$4</f>
        <v>27408.970400000002</v>
      </c>
      <c r="DL15" s="593">
        <f>'Proy 2021 vs 2019 Sem'!EN14*$DN$4</f>
        <v>19186.279279999999</v>
      </c>
      <c r="DM15" s="735">
        <v>18978.310000000001</v>
      </c>
      <c r="DN15" s="700">
        <f t="shared" si="617"/>
        <v>0.69241236438417986</v>
      </c>
      <c r="DO15" s="593">
        <f>'Proy 2021 vs 2019 Sem'!EM14*$DR$4</f>
        <v>31324.5376</v>
      </c>
      <c r="DP15" s="593">
        <f>'Proy 2021 vs 2019 Sem'!EN14*$DR$4</f>
        <v>21927.176319999999</v>
      </c>
      <c r="DQ15" s="735">
        <v>19819.28</v>
      </c>
      <c r="DR15" s="700">
        <f t="shared" si="618"/>
        <v>0.63270782327525876</v>
      </c>
      <c r="DS15" s="593">
        <f>'Proy 2021 vs 2019 Sem'!EM14*$DV$4</f>
        <v>43071.239199999996</v>
      </c>
      <c r="DT15" s="593">
        <f>'Proy 2021 vs 2019 Sem'!EN14*$DV$4</f>
        <v>30149.867439999998</v>
      </c>
      <c r="DU15" s="735">
        <v>37187.32</v>
      </c>
      <c r="DV15" s="700">
        <f t="shared" si="619"/>
        <v>0.86339099340331971</v>
      </c>
      <c r="DW15" s="579">
        <f t="shared" si="620"/>
        <v>195778.36</v>
      </c>
      <c r="DX15" s="574">
        <f t="shared" si="621"/>
        <v>137044.85199999998</v>
      </c>
      <c r="DY15" s="710">
        <f t="shared" si="622"/>
        <v>133280.62</v>
      </c>
      <c r="DZ15" s="711">
        <f t="shared" si="623"/>
        <v>0.68077299247986345</v>
      </c>
      <c r="EA15" s="593">
        <f>'Proy 2021 vs 2019 Sem'!ER14*$ED$4</f>
        <v>23306.875199999999</v>
      </c>
      <c r="EB15" s="593">
        <f>'Proy 2021 vs 2019 Sem'!ES14*$ED$4</f>
        <v>15149.468879999999</v>
      </c>
      <c r="EC15" s="735">
        <v>21886.69</v>
      </c>
      <c r="ED15" s="700">
        <f t="shared" si="624"/>
        <v>0.93906582552087459</v>
      </c>
      <c r="EE15" s="593">
        <f>'Proy 2021 vs 2019 Sem'!ER14*$EH$4</f>
        <v>23306.875199999999</v>
      </c>
      <c r="EF15" s="593">
        <f>'Proy 2021 vs 2019 Sem'!ES14*$EH$4</f>
        <v>15149.468879999999</v>
      </c>
      <c r="EG15" s="735">
        <v>12470.65</v>
      </c>
      <c r="EH15" s="700">
        <f t="shared" si="625"/>
        <v>0.53506314737550065</v>
      </c>
      <c r="EI15" s="593">
        <f>'Proy 2021 vs 2019 Sem'!ER14*$EL$4</f>
        <v>23306.875199999999</v>
      </c>
      <c r="EJ15" s="593">
        <f>'Proy 2021 vs 2019 Sem'!ES14*$EL$4</f>
        <v>15149.468879999999</v>
      </c>
      <c r="EK15" s="735">
        <v>12376.31</v>
      </c>
      <c r="EL15" s="700">
        <f t="shared" si="626"/>
        <v>0.53101541471333746</v>
      </c>
      <c r="EM15" s="593">
        <f>'Proy 2021 vs 2019 Sem'!ER14*$EP$4</f>
        <v>23306.875199999999</v>
      </c>
      <c r="EN15" s="593">
        <f>'Proy 2021 vs 2019 Sem'!ES14*$EP$4</f>
        <v>15149.468879999999</v>
      </c>
      <c r="EO15" s="735">
        <v>17856.740000000002</v>
      </c>
      <c r="EP15" s="700">
        <f t="shared" si="627"/>
        <v>0.76615761858972853</v>
      </c>
      <c r="EQ15" s="593">
        <f>'Proy 2021 vs 2019 Sem'!ER14*$ET$4</f>
        <v>27191.3544</v>
      </c>
      <c r="ER15" s="593">
        <f>'Proy 2021 vs 2019 Sem'!ES14*$ET$4</f>
        <v>17674.380359999999</v>
      </c>
      <c r="ES15" s="735">
        <v>16763.48</v>
      </c>
      <c r="ET15" s="700">
        <f t="shared" si="628"/>
        <v>0.616500368219981</v>
      </c>
      <c r="EU15" s="593">
        <f>'Proy 2021 vs 2019 Sem'!ER14*$EX$4</f>
        <v>31075.833599999998</v>
      </c>
      <c r="EV15" s="593">
        <f>'Proy 2021 vs 2019 Sem'!ES14*$EX$4</f>
        <v>20199.291839999998</v>
      </c>
      <c r="EW15" s="735">
        <v>19753.36</v>
      </c>
      <c r="EX15" s="700">
        <f t="shared" si="629"/>
        <v>0.63565020505194114</v>
      </c>
      <c r="EY15" s="593">
        <f>'Proy 2021 vs 2019 Sem'!ER14*$FB$4</f>
        <v>42729.271199999996</v>
      </c>
      <c r="EZ15" s="593">
        <f>'Proy 2021 vs 2019 Sem'!ES14*$FB$4</f>
        <v>27774.026279999998</v>
      </c>
      <c r="FA15" s="699">
        <v>30834.74</v>
      </c>
      <c r="FB15" s="700">
        <f t="shared" si="630"/>
        <v>0.72163037501093641</v>
      </c>
      <c r="FC15" s="579">
        <f t="shared" si="631"/>
        <v>194223.96</v>
      </c>
      <c r="FD15" s="574">
        <f t="shared" si="632"/>
        <v>126245.57399999999</v>
      </c>
      <c r="FE15" s="710">
        <f t="shared" si="633"/>
        <v>131941.97</v>
      </c>
      <c r="FF15" s="711">
        <f t="shared" si="634"/>
        <v>0.6793290076054469</v>
      </c>
      <c r="FG15" s="593">
        <f>'Proy 2021 vs 2019 Sem'!FA14*$FJ$4</f>
        <v>22566.436799999999</v>
      </c>
      <c r="FH15" s="593">
        <f>'Proy 2021 vs 2019 Sem'!FB14*$FJ$4</f>
        <v>16924.827600000001</v>
      </c>
      <c r="FI15" s="735">
        <v>16971.79</v>
      </c>
      <c r="FJ15" s="700">
        <f t="shared" si="635"/>
        <v>0.75208107289671899</v>
      </c>
      <c r="FK15" s="593">
        <f>'Proy 2021 vs 2019 Sem'!FA14*$FN$4</f>
        <v>22566.436799999999</v>
      </c>
      <c r="FL15" s="593">
        <f>'Proy 2021 vs 2019 Sem'!FB14*$FN$4</f>
        <v>16924.827600000001</v>
      </c>
      <c r="FM15" s="735">
        <v>24469.22</v>
      </c>
      <c r="FN15" s="700">
        <f t="shared" si="636"/>
        <v>1.0843191690767946</v>
      </c>
      <c r="FO15" s="593">
        <f>'Proy 2021 vs 2019 Sem'!FA14*$FR$4</f>
        <v>22566.436799999999</v>
      </c>
      <c r="FP15" s="593">
        <f>'Proy 2021 vs 2019 Sem'!FB14*$FR$4</f>
        <v>16924.827600000001</v>
      </c>
      <c r="FQ15" s="735">
        <v>15362.23</v>
      </c>
      <c r="FR15" s="700">
        <f t="shared" si="637"/>
        <v>0.68075567871663278</v>
      </c>
      <c r="FS15" s="593">
        <f>'Proy 2021 vs 2019 Sem'!FA14*$FV$4</f>
        <v>22566.436799999999</v>
      </c>
      <c r="FT15" s="593">
        <f>'Proy 2021 vs 2019 Sem'!FB14*$FV$4</f>
        <v>16924.827600000001</v>
      </c>
      <c r="FU15" s="735">
        <v>14392.98</v>
      </c>
      <c r="FV15" s="700">
        <f t="shared" si="638"/>
        <v>0.63780472422655576</v>
      </c>
      <c r="FW15" s="593">
        <f>'Proy 2021 vs 2019 Sem'!FA14*$FZ$4</f>
        <v>26327.509600000005</v>
      </c>
      <c r="FX15" s="593">
        <f>'Proy 2021 vs 2019 Sem'!FB14*$FZ$4</f>
        <v>19745.632200000004</v>
      </c>
      <c r="FY15" s="735">
        <v>20639.93</v>
      </c>
      <c r="FZ15" s="700">
        <f t="shared" si="639"/>
        <v>0.78396818816467151</v>
      </c>
      <c r="GA15" s="593">
        <f>'Proy 2021 vs 2019 Sem'!FA14*$GD$4</f>
        <v>30088.582400000003</v>
      </c>
      <c r="GB15" s="593">
        <f>'Proy 2021 vs 2019 Sem'!FB14*$GD$4</f>
        <v>22566.436800000003</v>
      </c>
      <c r="GC15" s="735">
        <v>21148.52</v>
      </c>
      <c r="GD15" s="700">
        <f t="shared" si="640"/>
        <v>0.70287525410303142</v>
      </c>
      <c r="GE15" s="593">
        <f>'Proy 2021 vs 2019 Sem'!FA14*$GH$4</f>
        <v>41371.800800000005</v>
      </c>
      <c r="GF15" s="593">
        <f>'Proy 2021 vs 2019 Sem'!FB14*$GH$4</f>
        <v>31028.850600000002</v>
      </c>
      <c r="GG15" s="735">
        <v>31131.39</v>
      </c>
      <c r="GH15" s="700">
        <f t="shared" si="641"/>
        <v>0.75247848529716399</v>
      </c>
      <c r="GI15" s="579">
        <f t="shared" si="642"/>
        <v>188053.64</v>
      </c>
      <c r="GJ15" s="574">
        <f t="shared" si="643"/>
        <v>141040.23000000001</v>
      </c>
      <c r="GK15" s="759">
        <f t="shared" si="644"/>
        <v>144116.06</v>
      </c>
      <c r="GL15" s="761">
        <f t="shared" si="645"/>
        <v>0.7663561311549193</v>
      </c>
      <c r="GM15" s="593">
        <f>'Proy 2021 vs 2019 Sem'!FF14*$GP$4</f>
        <v>20131.995599999998</v>
      </c>
      <c r="GN15" s="593">
        <f>'Proy 2021 vs 2019 Sem'!FG14*$GP$4</f>
        <v>15300.316655999999</v>
      </c>
      <c r="GO15" s="735">
        <v>18769.919999999998</v>
      </c>
      <c r="GP15" s="700">
        <f t="shared" si="646"/>
        <v>0.93234274301152742</v>
      </c>
      <c r="GQ15" s="593">
        <f>'Proy 2021 vs 2019 Sem'!FF14*$GT$4</f>
        <v>20131.995599999998</v>
      </c>
      <c r="GR15" s="593">
        <f>'Proy 2021 vs 2019 Sem'!FG14*$GT$4</f>
        <v>15300.316655999999</v>
      </c>
      <c r="GS15" s="735">
        <v>17170.72</v>
      </c>
      <c r="GT15" s="700">
        <f t="shared" si="647"/>
        <v>0.85290700143010179</v>
      </c>
      <c r="GU15" s="593">
        <f>'Proy 2021 vs 2019 Sem'!FF14*$GX$4</f>
        <v>20131.995599999998</v>
      </c>
      <c r="GV15" s="593">
        <f>'Proy 2021 vs 2019 Sem'!FG14*$GX$4</f>
        <v>15300.316655999999</v>
      </c>
      <c r="GW15" s="735">
        <v>28262.94</v>
      </c>
      <c r="GX15" s="700">
        <f t="shared" si="648"/>
        <v>1.4038816897019391</v>
      </c>
      <c r="GY15" s="593">
        <f>'Proy 2021 vs 2019 Sem'!FF14*$HB$4</f>
        <v>20131.995599999998</v>
      </c>
      <c r="GZ15" s="593">
        <f>'Proy 2021 vs 2019 Sem'!FG14*$HB$4</f>
        <v>15300.316655999999</v>
      </c>
      <c r="HA15" s="735">
        <v>11798.67</v>
      </c>
      <c r="HB15" s="700">
        <f t="shared" si="649"/>
        <v>0.58606559600082575</v>
      </c>
      <c r="HC15" s="593">
        <f>'Proy 2021 vs 2019 Sem'!FF14*$HF$4</f>
        <v>23487.328200000004</v>
      </c>
      <c r="HD15" s="593">
        <f>'Proy 2021 vs 2019 Sem'!FG14*$HF$4</f>
        <v>17850.369432000003</v>
      </c>
      <c r="HE15" s="735">
        <v>23121.75</v>
      </c>
      <c r="HF15" s="700">
        <f t="shared" si="650"/>
        <v>0.98443508785303202</v>
      </c>
      <c r="HG15" s="593">
        <f>'Proy 2021 vs 2019 Sem'!FF14*$HJ$4</f>
        <v>26842.660800000001</v>
      </c>
      <c r="HH15" s="593">
        <f>'Proy 2021 vs 2019 Sem'!FG14*$HJ$4</f>
        <v>20400.422208</v>
      </c>
      <c r="HI15" s="735">
        <v>22876.17</v>
      </c>
      <c r="HJ15" s="700">
        <f t="shared" si="651"/>
        <v>0.85223183239718159</v>
      </c>
      <c r="HK15" s="593">
        <f>'Proy 2021 vs 2019 Sem'!FF14*$HN$4</f>
        <v>36908.658600000002</v>
      </c>
      <c r="HL15" s="593">
        <f>'Proy 2021 vs 2019 Sem'!FG14*$HN$4</f>
        <v>28050.580536000001</v>
      </c>
      <c r="HM15" s="735">
        <v>28345.41</v>
      </c>
      <c r="HN15" s="700">
        <f t="shared" si="652"/>
        <v>0.76798808396683371</v>
      </c>
      <c r="HO15" s="579">
        <f t="shared" si="653"/>
        <v>167766.63</v>
      </c>
      <c r="HP15" s="574">
        <f t="shared" si="654"/>
        <v>127502.63880000002</v>
      </c>
      <c r="HQ15" s="765">
        <f t="shared" si="655"/>
        <v>150345.57999999999</v>
      </c>
      <c r="HR15" s="761">
        <f t="shared" si="656"/>
        <v>0.89615902757300414</v>
      </c>
      <c r="HS15" s="593">
        <f>'Proy 2021 vs 2019 Sem'!FK14*$CX$4</f>
        <v>20576.8488</v>
      </c>
      <c r="HT15" s="593">
        <f>'Proy 2021 vs 2019 Sem'!FL14*$CX$4</f>
        <v>16873.016015999998</v>
      </c>
      <c r="HU15" s="735">
        <v>18279.740000000002</v>
      </c>
      <c r="HV15" s="700">
        <f t="shared" si="657"/>
        <v>0.88836440300810304</v>
      </c>
      <c r="HW15" s="593">
        <f>'Proy 2021 vs 2019 Sem'!FK14*$DB$4</f>
        <v>20576.8488</v>
      </c>
      <c r="HX15" s="593">
        <f>'Proy 2021 vs 2019 Sem'!FL14*$DB$4</f>
        <v>16873.016015999998</v>
      </c>
      <c r="HY15" s="735">
        <v>14895.75</v>
      </c>
      <c r="HZ15" s="700">
        <f t="shared" si="658"/>
        <v>0.72390822058234694</v>
      </c>
      <c r="IA15" s="593">
        <f>'Proy 2021 vs 2019 Sem'!FK14*$DF$4</f>
        <v>20576.8488</v>
      </c>
      <c r="IB15" s="593">
        <f>'Proy 2021 vs 2019 Sem'!FL14*$DF$4</f>
        <v>16873.016015999998</v>
      </c>
      <c r="IC15" s="735">
        <v>13724.63</v>
      </c>
      <c r="ID15" s="700">
        <f t="shared" si="659"/>
        <v>0.66699377214649114</v>
      </c>
      <c r="IE15" s="593">
        <f>'Proy 2021 vs 2019 Sem'!FK14*$DJ$4</f>
        <v>20576.8488</v>
      </c>
      <c r="IF15" s="593">
        <f>'Proy 2021 vs 2019 Sem'!FL14*$DJ$4</f>
        <v>16873.016015999998</v>
      </c>
      <c r="IG15" s="735">
        <v>15545.12</v>
      </c>
      <c r="IH15" s="700">
        <f t="shared" si="660"/>
        <v>0.75546650272319638</v>
      </c>
      <c r="II15" s="593">
        <f>'Proy 2021 vs 2019 Sem'!FK14*$DN$4</f>
        <v>24006.3236</v>
      </c>
      <c r="IJ15" s="593">
        <f>'Proy 2021 vs 2019 Sem'!FL14*$DN$4</f>
        <v>19685.185352</v>
      </c>
      <c r="IK15" s="735">
        <v>15367.24</v>
      </c>
      <c r="IL15" s="700">
        <f t="shared" si="661"/>
        <v>0.64013300228944681</v>
      </c>
      <c r="IM15" s="593">
        <f>'Proy 2021 vs 2019 Sem'!FK14*$DR$4</f>
        <v>27435.7984</v>
      </c>
      <c r="IN15" s="593">
        <f>'Proy 2021 vs 2019 Sem'!FL14*$DR$4</f>
        <v>22497.354687999999</v>
      </c>
      <c r="IO15" s="1410">
        <v>20719.77</v>
      </c>
      <c r="IP15" s="700">
        <f t="shared" si="662"/>
        <v>0.75520929618727628</v>
      </c>
      <c r="IQ15" s="593">
        <f>'Proy 2021 vs 2019 Sem'!FK14*$IT$4</f>
        <v>37724.222799999996</v>
      </c>
      <c r="IR15" s="593">
        <f>'Proy 2021 vs 2019 Sem'!FL14*$IT$4</f>
        <v>30933.862696</v>
      </c>
      <c r="IS15" s="735">
        <v>30014.92</v>
      </c>
      <c r="IT15" s="700">
        <f t="shared" si="663"/>
        <v>0.79564051350051934</v>
      </c>
      <c r="IU15" s="579">
        <f t="shared" si="664"/>
        <v>171473.74</v>
      </c>
      <c r="IV15" s="574">
        <f t="shared" si="665"/>
        <v>140608.46679999999</v>
      </c>
      <c r="IW15" s="765">
        <f t="shared" si="666"/>
        <v>128547.17000000001</v>
      </c>
      <c r="IX15" s="761">
        <f t="shared" si="667"/>
        <v>0.74966096849581765</v>
      </c>
      <c r="IY15" s="593">
        <f>'Proy 2021 vs 2019 Sem'!FP14*$JB$4</f>
        <v>21934.159199999998</v>
      </c>
      <c r="IZ15" s="593">
        <f>'Proy 2021 vs 2019 Sem'!FQ14*$JB$4</f>
        <v>17986.010543999997</v>
      </c>
      <c r="JA15" s="735">
        <v>12797.9</v>
      </c>
      <c r="JB15" s="700">
        <f t="shared" si="668"/>
        <v>0.58346891181495575</v>
      </c>
      <c r="JC15" s="593">
        <f>'Proy 2021 vs 2019 Sem'!FP14*$JF$4</f>
        <v>21934.159199999998</v>
      </c>
      <c r="JD15" s="593">
        <f>'Proy 2021 vs 2019 Sem'!FQ14*$JF$4</f>
        <v>17986.010543999997</v>
      </c>
      <c r="JE15" s="735">
        <v>16927.64</v>
      </c>
      <c r="JF15" s="700">
        <f t="shared" si="669"/>
        <v>0.77174784069224778</v>
      </c>
      <c r="JG15" s="593">
        <f>'Proy 2021 vs 2019 Sem'!FP14*$JJ$4</f>
        <v>21934.159199999998</v>
      </c>
      <c r="JH15" s="593">
        <f>'Proy 2021 vs 2019 Sem'!FQ14*$JJ$4</f>
        <v>17986.010543999997</v>
      </c>
      <c r="JI15" s="735">
        <v>14858.5</v>
      </c>
      <c r="JJ15" s="700">
        <f t="shared" si="670"/>
        <v>0.67741370273267654</v>
      </c>
      <c r="JK15" s="593">
        <f>'Proy 2021 vs 2019 Sem'!FP14*$JN$4</f>
        <v>21934.159199999998</v>
      </c>
      <c r="JL15" s="593">
        <f>'Proy 2021 vs 2019 Sem'!FQ14*$JN$4</f>
        <v>17986.010543999997</v>
      </c>
      <c r="JM15" s="735">
        <v>17621.77</v>
      </c>
      <c r="JN15" s="700">
        <f t="shared" si="671"/>
        <v>0.80339391354467793</v>
      </c>
      <c r="JO15" s="593">
        <f>'Proy 2021 vs 2019 Sem'!FP14*$JR$4</f>
        <v>25589.852400000003</v>
      </c>
      <c r="JP15" s="593">
        <f>'Proy 2021 vs 2019 Sem'!FQ14*$JR$4</f>
        <v>20983.678968</v>
      </c>
      <c r="JQ15" s="735">
        <v>30873.8</v>
      </c>
      <c r="JR15" s="700">
        <f t="shared" si="672"/>
        <v>1.2064860522603091</v>
      </c>
      <c r="JS15" s="593">
        <f>'Proy 2021 vs 2019 Sem'!FP14*$JV$4</f>
        <v>29245.545600000001</v>
      </c>
      <c r="JT15" s="593">
        <f>'Proy 2021 vs 2019 Sem'!FQ14*$JV$4</f>
        <v>23981.347391999996</v>
      </c>
      <c r="JU15" s="735">
        <v>22386.61</v>
      </c>
      <c r="JV15" s="700">
        <f t="shared" si="673"/>
        <v>0.76547075941711962</v>
      </c>
      <c r="JW15" s="593">
        <f>'Proy 2021 vs 2019 Sem'!FP14*$JZ$4</f>
        <v>40212.625200000002</v>
      </c>
      <c r="JX15" s="593">
        <f>'Proy 2021 vs 2019 Sem'!FQ14*$JZ$4</f>
        <v>32974.352663999998</v>
      </c>
      <c r="JY15" s="735">
        <v>27844.94</v>
      </c>
      <c r="JZ15" s="700">
        <f t="shared" si="674"/>
        <v>0.69244273064768713</v>
      </c>
      <c r="KA15" s="579">
        <f t="shared" si="675"/>
        <v>182784.66</v>
      </c>
      <c r="KB15" s="574">
        <f t="shared" si="676"/>
        <v>149883.42119999998</v>
      </c>
      <c r="KC15" s="770">
        <f t="shared" si="677"/>
        <v>143311.16</v>
      </c>
      <c r="KD15" s="761">
        <f t="shared" si="678"/>
        <v>0.78404369381982053</v>
      </c>
      <c r="KE15" s="593">
        <f>'Proy 2021 vs 2019 Sem'!FY14*$KH$4</f>
        <v>17806.071599999999</v>
      </c>
      <c r="KF15" s="593">
        <f>'Proy 2021 vs 2019 Sem'!FZ14*$KH$4</f>
        <v>14600.978711999998</v>
      </c>
      <c r="KG15" s="735">
        <v>11833.69</v>
      </c>
      <c r="KH15" s="700">
        <f t="shared" si="679"/>
        <v>0.66458735345083086</v>
      </c>
      <c r="KI15" s="593">
        <f>'Proy 2021 vs 2019 Sem'!FY14*$KL$4</f>
        <v>17806.071599999999</v>
      </c>
      <c r="KJ15" s="593">
        <f>'Proy 2021 vs 2019 Sem'!FZ14*$KL$4</f>
        <v>14600.978711999998</v>
      </c>
      <c r="KK15" s="735">
        <v>12998.78</v>
      </c>
      <c r="KL15" s="700">
        <f t="shared" si="680"/>
        <v>0.73001952884430732</v>
      </c>
      <c r="KM15" s="593">
        <f>'Proy 2021 vs 2019 Sem'!FY14*$KP$4</f>
        <v>17806.071599999999</v>
      </c>
      <c r="KN15" s="593">
        <f>'Proy 2021 vs 2019 Sem'!FZ14*$KP$4</f>
        <v>14600.978711999998</v>
      </c>
      <c r="KO15" s="735">
        <v>11299.04</v>
      </c>
      <c r="KP15" s="700">
        <f t="shared" si="681"/>
        <v>0.63456107859298971</v>
      </c>
      <c r="KQ15" s="593">
        <f>'Proy 2021 vs 2019 Sem'!FY14*$KT$4</f>
        <v>17806.071599999999</v>
      </c>
      <c r="KR15" s="593">
        <f>'Proy 2021 vs 2019 Sem'!FZ14*$KT$4</f>
        <v>14600.978711999998</v>
      </c>
      <c r="KS15" s="735">
        <v>11533.91</v>
      </c>
      <c r="KT15" s="700">
        <f t="shared" si="682"/>
        <v>0.64775152313775941</v>
      </c>
      <c r="KU15" s="593">
        <f>'Proy 2021 vs 2019 Sem'!FY14*$KX$4</f>
        <v>20773.750200000002</v>
      </c>
      <c r="KV15" s="593">
        <f>'Proy 2021 vs 2019 Sem'!FZ14*$KX$4</f>
        <v>17034.475163999999</v>
      </c>
      <c r="KW15" s="735">
        <v>11217.59</v>
      </c>
      <c r="KX15" s="700">
        <f t="shared" si="683"/>
        <v>0.53998868244790965</v>
      </c>
      <c r="KY15" s="593">
        <f>'Proy 2021 vs 2019 Sem'!FY14*$LB$4</f>
        <v>23741.428799999998</v>
      </c>
      <c r="KZ15" s="593">
        <f>'Proy 2021 vs 2019 Sem'!FZ14*$LB$4</f>
        <v>19467.971615999999</v>
      </c>
      <c r="LA15" s="735">
        <v>22456.12</v>
      </c>
      <c r="LB15" s="700">
        <f t="shared" si="684"/>
        <v>0.94586219680257833</v>
      </c>
      <c r="LC15" s="593">
        <f>'Proy 2021 vs 2019 Sem'!FY14*$LF$4</f>
        <v>32644.464599999999</v>
      </c>
      <c r="LD15" s="593">
        <f>'Proy 2021 vs 2019 Sem'!FZ14*$LF$4</f>
        <v>26768.460971999997</v>
      </c>
      <c r="LE15" s="735">
        <v>33106.019999999997</v>
      </c>
      <c r="LF15" s="700">
        <f t="shared" si="685"/>
        <v>1.0141388564847222</v>
      </c>
      <c r="LG15" s="579">
        <f t="shared" si="686"/>
        <v>148383.93</v>
      </c>
      <c r="LH15" s="574">
        <f t="shared" si="687"/>
        <v>121674.82259999998</v>
      </c>
      <c r="LI15" s="793">
        <f t="shared" si="688"/>
        <v>114445.15</v>
      </c>
      <c r="LJ15" s="786">
        <f t="shared" si="689"/>
        <v>0.77127725354086529</v>
      </c>
      <c r="LK15" s="593">
        <f>'Proy 2021 vs 2019 Sem'!GD14*$LN$4</f>
        <v>20422.232399999997</v>
      </c>
      <c r="LL15" s="593">
        <f>'Proy 2021 vs 2019 Sem'!GE14*$LN$4</f>
        <v>17767.342187999999</v>
      </c>
      <c r="LM15" s="735">
        <v>15655.38</v>
      </c>
      <c r="LN15" s="700">
        <f t="shared" si="690"/>
        <v>0.76658514570620606</v>
      </c>
      <c r="LO15" s="593">
        <f>'Proy 2021 vs 2019 Sem'!GD14*$LR$4</f>
        <v>20422.232399999997</v>
      </c>
      <c r="LP15" s="593">
        <f>'Proy 2021 vs 2019 Sem'!GE14*$LR$4</f>
        <v>17767.342187999999</v>
      </c>
      <c r="LQ15" s="735">
        <v>11257.75</v>
      </c>
      <c r="LR15" s="700">
        <f t="shared" si="691"/>
        <v>0.55124972527489213</v>
      </c>
      <c r="LS15" s="593">
        <f>'Proy 2021 vs 2019 Sem'!GD14*$LV$4</f>
        <v>20422.232399999997</v>
      </c>
      <c r="LT15" s="593">
        <f>'Proy 2021 vs 2019 Sem'!GE14*$LV$4</f>
        <v>17767.342187999999</v>
      </c>
      <c r="LU15" s="735">
        <v>11866.5</v>
      </c>
      <c r="LV15" s="700">
        <f t="shared" si="692"/>
        <v>0.5810579258710229</v>
      </c>
      <c r="LW15" s="593">
        <f>'Proy 2021 vs 2019 Sem'!GD14*$LZ$4</f>
        <v>20422.232399999997</v>
      </c>
      <c r="LX15" s="593">
        <f>'Proy 2021 vs 2019 Sem'!GE14*$LZ$4</f>
        <v>17767.342187999999</v>
      </c>
      <c r="LY15" s="735">
        <v>12889.62</v>
      </c>
      <c r="LZ15" s="700">
        <f t="shared" si="693"/>
        <v>0.63115626869469976</v>
      </c>
      <c r="MA15" s="593">
        <f>'Proy 2021 vs 2019 Sem'!GD14*$MD$4</f>
        <v>23825.9378</v>
      </c>
      <c r="MB15" s="593">
        <f>'Proy 2021 vs 2019 Sem'!GE14*$MD$4</f>
        <v>20728.565886</v>
      </c>
      <c r="MC15" s="735">
        <v>14138.5</v>
      </c>
      <c r="MD15" s="700">
        <f t="shared" si="694"/>
        <v>0.59340791194376408</v>
      </c>
      <c r="ME15" s="593">
        <f>'Proy 2021 vs 2019 Sem'!GD14*$MH$4</f>
        <v>27229.643199999999</v>
      </c>
      <c r="MF15" s="593">
        <f>'Proy 2021 vs 2019 Sem'!GE14*$MH$4</f>
        <v>23689.789583999998</v>
      </c>
      <c r="MG15" s="735">
        <v>21917.57</v>
      </c>
      <c r="MH15" s="700">
        <f t="shared" si="695"/>
        <v>0.80491579852944972</v>
      </c>
      <c r="MI15" s="593">
        <f>'Proy 2021 vs 2019 Sem'!GD14*$ML$4</f>
        <v>37440.759399999995</v>
      </c>
      <c r="MJ15" s="593">
        <f>'Proy 2021 vs 2019 Sem'!GE14*$ML$4</f>
        <v>32573.460677999999</v>
      </c>
      <c r="MK15" s="735">
        <v>28857.69</v>
      </c>
      <c r="ML15" s="700">
        <f t="shared" si="696"/>
        <v>0.77075600127918353</v>
      </c>
      <c r="MM15" s="579">
        <f t="shared" si="697"/>
        <v>170185.26999999996</v>
      </c>
      <c r="MN15" s="574">
        <f t="shared" si="698"/>
        <v>148061.18489999999</v>
      </c>
      <c r="MO15" s="794">
        <f t="shared" si="699"/>
        <v>116583.01000000001</v>
      </c>
      <c r="MP15" s="786">
        <f t="shared" si="700"/>
        <v>0.68503584358387792</v>
      </c>
      <c r="MQ15" s="593">
        <f>'Proy 2021 vs 2019 Sem'!GI14*$MT$4</f>
        <v>20683.6548</v>
      </c>
      <c r="MR15" s="593">
        <f>'Proy 2021 vs 2019 Sem'!GJ14*$MT$4</f>
        <v>17581.10658</v>
      </c>
      <c r="MS15" s="735">
        <v>11457.88</v>
      </c>
      <c r="MT15" s="700">
        <f t="shared" si="701"/>
        <v>0.55395819118002299</v>
      </c>
      <c r="MU15" s="593">
        <f>'Proy 2021 vs 2019 Sem'!GI14*$MX$4</f>
        <v>20683.6548</v>
      </c>
      <c r="MV15" s="593">
        <f>'Proy 2021 vs 2019 Sem'!GJ14*$MX$4</f>
        <v>17581.10658</v>
      </c>
      <c r="MW15" s="735">
        <v>18320.13</v>
      </c>
      <c r="MX15" s="700">
        <f t="shared" si="702"/>
        <v>0.8857298275931389</v>
      </c>
      <c r="MY15" s="593">
        <f>'Proy 2021 vs 2019 Sem'!GI14*$NB$4</f>
        <v>20683.6548</v>
      </c>
      <c r="MZ15" s="593">
        <f>'Proy 2021 vs 2019 Sem'!GJ14*$NB$4</f>
        <v>17581.10658</v>
      </c>
      <c r="NA15" s="735">
        <v>10952.58</v>
      </c>
      <c r="NB15" s="700">
        <f t="shared" si="703"/>
        <v>0.52952827273060077</v>
      </c>
      <c r="NC15" s="593">
        <f>'Proy 2021 vs 2019 Sem'!GI14*$NF$4</f>
        <v>20683.6548</v>
      </c>
      <c r="ND15" s="593">
        <f>'Proy 2021 vs 2019 Sem'!GJ14*$NF$4</f>
        <v>17581.10658</v>
      </c>
      <c r="NE15" s="735">
        <v>10750.92</v>
      </c>
      <c r="NF15" s="700">
        <f t="shared" si="704"/>
        <v>0.51977854513410271</v>
      </c>
      <c r="NG15" s="593">
        <f>'Proy 2021 vs 2019 Sem'!GI14*$NJ$4</f>
        <v>24130.930600000003</v>
      </c>
      <c r="NH15" s="593">
        <f>'Proy 2021 vs 2019 Sem'!GJ14*$NJ$4</f>
        <v>20511.291010000004</v>
      </c>
      <c r="NI15" s="735">
        <v>13116.84</v>
      </c>
      <c r="NJ15" s="700">
        <f t="shared" si="705"/>
        <v>0.54356958782186371</v>
      </c>
      <c r="NK15" s="593">
        <f>'Proy 2021 vs 2019 Sem'!GI14*$NN$4</f>
        <v>27578.206400000003</v>
      </c>
      <c r="NL15" s="593">
        <f>'Proy 2021 vs 2019 Sem'!GJ14*$NN$4</f>
        <v>23441.475440000002</v>
      </c>
      <c r="NM15" s="735">
        <v>20322.900000000001</v>
      </c>
      <c r="NN15" s="700">
        <f t="shared" si="706"/>
        <v>0.73691884472951075</v>
      </c>
      <c r="NO15" s="593">
        <f>'Proy 2021 vs 2019 Sem'!GI14*$NR$4</f>
        <v>37920.033800000005</v>
      </c>
      <c r="NP15" s="593">
        <f>'Proy 2021 vs 2019 Sem'!GJ14*$NR$4</f>
        <v>32232.028730000002</v>
      </c>
      <c r="NQ15" s="735">
        <v>33374.5</v>
      </c>
      <c r="NR15" s="700">
        <f t="shared" si="707"/>
        <v>0.88012843490661641</v>
      </c>
      <c r="NS15" s="579">
        <f t="shared" si="708"/>
        <v>172363.79</v>
      </c>
      <c r="NT15" s="574">
        <f t="shared" si="709"/>
        <v>146509.22149999999</v>
      </c>
      <c r="NU15" s="794">
        <f t="shared" si="710"/>
        <v>118295.75</v>
      </c>
      <c r="NV15" s="786">
        <f t="shared" si="711"/>
        <v>0.68631439352778212</v>
      </c>
      <c r="NW15" s="593">
        <f>'Proy 2021 vs 2019 Sem'!GN14*$NZ$4</f>
        <v>19144.3992</v>
      </c>
      <c r="NX15" s="593">
        <f>'Proy 2021 vs 2019 Sem'!GO14*$NZ$4</f>
        <v>15315.51936</v>
      </c>
      <c r="NY15" s="735">
        <v>11930.16</v>
      </c>
      <c r="NZ15" s="700">
        <f t="shared" si="712"/>
        <v>0.6231671140664472</v>
      </c>
      <c r="OA15" s="593">
        <f>'Proy 2021 vs 2019 Sem'!GN14*$OD$4</f>
        <v>19144.3992</v>
      </c>
      <c r="OB15" s="593">
        <f>'Proy 2021 vs 2019 Sem'!GO14*$OD$4</f>
        <v>15315.51936</v>
      </c>
      <c r="OC15" s="735">
        <v>11903.2</v>
      </c>
      <c r="OD15" s="700">
        <f t="shared" si="713"/>
        <v>0.62175886929896451</v>
      </c>
      <c r="OE15" s="593">
        <f>'Proy 2021 vs 2019 Sem'!GN14*$OH$4</f>
        <v>19144.3992</v>
      </c>
      <c r="OF15" s="593">
        <f>'Proy 2021 vs 2019 Sem'!GO14*$OH$4</f>
        <v>15315.51936</v>
      </c>
      <c r="OG15" s="735">
        <v>14826.49</v>
      </c>
      <c r="OH15" s="700">
        <f t="shared" si="714"/>
        <v>0.77445574787220273</v>
      </c>
      <c r="OI15" s="593">
        <f>'Proy 2021 vs 2019 Sem'!GN14*$OL$4</f>
        <v>19144.3992</v>
      </c>
      <c r="OJ15" s="593">
        <f>'Proy 2021 vs 2019 Sem'!GO14*$OL$4</f>
        <v>15315.51936</v>
      </c>
      <c r="OK15" s="735">
        <v>13525.61</v>
      </c>
      <c r="OL15" s="700">
        <f t="shared" si="715"/>
        <v>0.70650480376527047</v>
      </c>
      <c r="OM15" s="593">
        <f>'Proy 2021 vs 2019 Sem'!GN14*$OP$4</f>
        <v>22335.132400000002</v>
      </c>
      <c r="ON15" s="593">
        <f>'Proy 2021 vs 2019 Sem'!GO14*$OP$4</f>
        <v>17868.105920000002</v>
      </c>
      <c r="OO15" s="735">
        <v>14564.58</v>
      </c>
      <c r="OP15" s="700">
        <f t="shared" si="716"/>
        <v>0.65209284364931719</v>
      </c>
      <c r="OQ15" s="593">
        <f>'Proy 2021 vs 2019 Sem'!GN14*$JV$4</f>
        <v>25525.865600000001</v>
      </c>
      <c r="OR15" s="593">
        <f>'Proy 2021 vs 2019 Sem'!GO14*$JV$4</f>
        <v>20420.692480000002</v>
      </c>
      <c r="OS15" s="735">
        <v>31384.38</v>
      </c>
      <c r="OT15" s="700">
        <f t="shared" si="717"/>
        <v>1.2295128593014295</v>
      </c>
      <c r="OU15" s="593">
        <f>'Proy 2021 vs 2019 Sem'!GN14*$OX$4</f>
        <v>35098.065200000005</v>
      </c>
      <c r="OV15" s="593">
        <f>'Proy 2021 vs 2019 Sem'!GO14*$OX$4</f>
        <v>28078.452160000001</v>
      </c>
      <c r="OW15" s="735">
        <v>56611.92</v>
      </c>
      <c r="OX15" s="700">
        <f t="shared" si="718"/>
        <v>1.6129641243016435</v>
      </c>
      <c r="OY15" s="579">
        <f t="shared" si="719"/>
        <v>159536.66</v>
      </c>
      <c r="OZ15" s="574">
        <f t="shared" si="720"/>
        <v>127629.32799999999</v>
      </c>
      <c r="PA15" s="785">
        <f t="shared" si="721"/>
        <v>154746.34</v>
      </c>
      <c r="PB15" s="786">
        <f t="shared" si="722"/>
        <v>0.96997354714584094</v>
      </c>
      <c r="PC15" s="593">
        <f>'Proy 2021 vs 2019 Sem'!GW14*$PF$4</f>
        <v>19059.84</v>
      </c>
      <c r="PD15" s="593">
        <f>'Proy 2021 vs 2019 Sem'!GX14*$PF$4</f>
        <v>15819.6672</v>
      </c>
      <c r="PE15" s="735">
        <v>40132.21</v>
      </c>
      <c r="PF15" s="700">
        <f t="shared" si="723"/>
        <v>2.1055900784056947</v>
      </c>
      <c r="PG15" s="593">
        <f>'Proy 2021 vs 2019 Sem'!GW14*$PJ$4</f>
        <v>19059.84</v>
      </c>
      <c r="PH15" s="593">
        <f>'Proy 2021 vs 2019 Sem'!GX14*$PJ$4</f>
        <v>15819.6672</v>
      </c>
      <c r="PI15" s="735">
        <v>26707.52</v>
      </c>
      <c r="PJ15" s="700">
        <f t="shared" si="724"/>
        <v>1.401245760719922</v>
      </c>
      <c r="PK15" s="593">
        <f>'Proy 2021 vs 2019 Sem'!GW14*'Vtas Diarias 2021'!$PN$4</f>
        <v>19059.84</v>
      </c>
      <c r="PL15" s="593">
        <f>'Proy 2021 vs 2019 Sem'!GX14*'Vtas Diarias 2021'!$PN$4</f>
        <v>15819.6672</v>
      </c>
      <c r="PM15" s="735">
        <v>19965.150000000001</v>
      </c>
      <c r="PN15" s="700">
        <f t="shared" si="725"/>
        <v>1.0474983000906619</v>
      </c>
      <c r="PO15" s="593">
        <f>'Proy 2021 vs 2019 Sem'!GW14*$PR$4</f>
        <v>19059.84</v>
      </c>
      <c r="PP15" s="593">
        <f>'Proy 2021 vs 2019 Sem'!GX14*$PR$4</f>
        <v>15819.6672</v>
      </c>
      <c r="PQ15" s="735">
        <v>12777.33</v>
      </c>
      <c r="PR15" s="700">
        <f t="shared" si="726"/>
        <v>0.67037970937846281</v>
      </c>
      <c r="PS15" s="593">
        <f>'Proy 2021 vs 2019 Sem'!GW14*$PV$4</f>
        <v>22236.480000000003</v>
      </c>
      <c r="PT15" s="593">
        <f>'Proy 2021 vs 2019 Sem'!GX14*$PV$4</f>
        <v>18456.278400000003</v>
      </c>
      <c r="PU15" s="735">
        <v>12916.55</v>
      </c>
      <c r="PV15" s="700">
        <f t="shared" si="727"/>
        <v>0.58087206248470968</v>
      </c>
      <c r="PW15" s="593">
        <f>'Proy 2021 vs 2019 Sem'!GW14*PZ$4</f>
        <v>25413.119999999999</v>
      </c>
      <c r="PX15" s="593">
        <f>'Proy 2021 vs 2019 Sem'!GX14*$PZ$4</f>
        <v>21092.889599999999</v>
      </c>
      <c r="PY15" s="735">
        <v>19201.04</v>
      </c>
      <c r="PZ15" s="700">
        <f t="shared" si="728"/>
        <v>0.75555618515160683</v>
      </c>
      <c r="QA15" s="593">
        <f>'Proy 2021 vs 2019 Sem'!GW14*$QD$4</f>
        <v>34943.040000000001</v>
      </c>
      <c r="QB15" s="593">
        <f>'Proy 2021 vs 2019 Sem'!GX14*$QD$4</f>
        <v>29002.7232</v>
      </c>
      <c r="QC15" s="735">
        <v>32955.18</v>
      </c>
      <c r="QD15" s="700">
        <f t="shared" si="729"/>
        <v>0.94311141789609598</v>
      </c>
      <c r="QE15" s="579">
        <f t="shared" si="730"/>
        <v>158832</v>
      </c>
      <c r="QF15" s="574">
        <f t="shared" si="731"/>
        <v>131830.56</v>
      </c>
      <c r="QG15" s="729">
        <f t="shared" si="732"/>
        <v>164654.98000000001</v>
      </c>
      <c r="QH15" s="711">
        <f t="shared" si="733"/>
        <v>1.0366612521406267</v>
      </c>
      <c r="QI15" s="578">
        <f>'Proy 2021 vs 2019 Sem'!HB14*$QL$4</f>
        <v>17035.591199999999</v>
      </c>
      <c r="QJ15" s="611">
        <f>'Proy 2021 vs 2019 Sem'!UG14*$AL$4</f>
        <v>0</v>
      </c>
      <c r="QK15" s="735">
        <v>15465.96</v>
      </c>
      <c r="QL15" s="700">
        <f t="shared" si="734"/>
        <v>0.9078616537828168</v>
      </c>
      <c r="QM15" s="593">
        <f>'Proy 2021 vs 2019 Sem'!HB14*$QP$4</f>
        <v>17035.591199999999</v>
      </c>
      <c r="QN15" s="593">
        <f>'Proy 2021 vs 2019 Sem'!UG14*$AP$4</f>
        <v>0</v>
      </c>
      <c r="QO15" s="735">
        <v>13506.53</v>
      </c>
      <c r="QP15" s="700">
        <f t="shared" si="735"/>
        <v>0.7928418709648305</v>
      </c>
      <c r="QQ15" s="593">
        <f>'Proy 2021 vs 2019 Sem'!HB14*$QT$4</f>
        <v>17035.591199999999</v>
      </c>
      <c r="QR15" s="593">
        <f>'Proy 2021 vs 2019 Sem'!HC14*$QT$4</f>
        <v>14480.25252</v>
      </c>
      <c r="QS15" s="735">
        <v>13881.82</v>
      </c>
      <c r="QT15" s="700">
        <f t="shared" si="736"/>
        <v>0.81487163181046518</v>
      </c>
      <c r="QU15" s="593">
        <f>'Proy 2021 vs 2019 Sem'!HB14*$QX$4</f>
        <v>17035.591199999999</v>
      </c>
      <c r="QV15" s="593">
        <f>'Proy 2021 vs 2019 Sem'!HC14*$QX$4</f>
        <v>14480.25252</v>
      </c>
      <c r="QW15" s="735">
        <v>13462.62</v>
      </c>
      <c r="QX15" s="700">
        <f t="shared" si="737"/>
        <v>0.79026432613621311</v>
      </c>
      <c r="QY15" s="593">
        <f>'Proy 2021 vs 2019 Sem'!HB14*$RB$4</f>
        <v>19874.856400000004</v>
      </c>
      <c r="QZ15" s="593">
        <f>'Proy 2021 vs 2019 Sem'!HC14*$RB$4</f>
        <v>16893.627940000002</v>
      </c>
      <c r="RA15" s="735">
        <v>13192.76</v>
      </c>
      <c r="RB15" s="700">
        <f t="shared" si="738"/>
        <v>0.66379146266435396</v>
      </c>
      <c r="RC15" s="593">
        <f>'Proy 2021 vs 2019 Sem'!HB14*$RF$4</f>
        <v>22714.121600000002</v>
      </c>
      <c r="RD15" s="593">
        <f>'Proy 2021 vs 2019 Sem'!HC14*$RF$4</f>
        <v>19307.003360000002</v>
      </c>
      <c r="RE15" s="735">
        <v>17086.3</v>
      </c>
      <c r="RF15" s="700">
        <f t="shared" si="739"/>
        <v>0.75223247902309365</v>
      </c>
      <c r="RG15" s="593">
        <f>'Proy 2021 vs 2019 Sem'!HB14*$RJ$4</f>
        <v>31231.917200000004</v>
      </c>
      <c r="RH15" s="593">
        <f>'Proy 2021 vs 2019 Sem'!HC14*$RJ$4</f>
        <v>26547.129620000003</v>
      </c>
      <c r="RI15" s="735">
        <v>25860.23</v>
      </c>
      <c r="RJ15" s="700">
        <f t="shared" si="740"/>
        <v>0.82800648562170232</v>
      </c>
      <c r="RK15" s="579">
        <f t="shared" si="741"/>
        <v>141963.26</v>
      </c>
      <c r="RL15" s="574">
        <f t="shared" si="742"/>
        <v>91708.265960000004</v>
      </c>
      <c r="RM15" s="730">
        <f t="shared" si="743"/>
        <v>112456.22</v>
      </c>
      <c r="RN15" s="711">
        <f t="shared" si="744"/>
        <v>0.79215016617679812</v>
      </c>
      <c r="RO15" s="593">
        <f>'Proy 2021 vs 2019 Sem'!HG14*$RR$4</f>
        <v>15962.082</v>
      </c>
      <c r="RP15" s="593">
        <f>'Proy 2021 vs 2019 Sem'!HH14*$RR$4</f>
        <v>13408.148880000001</v>
      </c>
      <c r="RQ15" s="735">
        <v>13953.44</v>
      </c>
      <c r="RR15" s="700">
        <f t="shared" si="745"/>
        <v>0.87416165384941635</v>
      </c>
      <c r="RS15" s="593">
        <f>'Proy 2021 vs 2019 Sem'!HG14*$RV$4</f>
        <v>15962.082</v>
      </c>
      <c r="RT15" s="593">
        <f>'Proy 2021 vs 2019 Sem'!HH14*$RV$4</f>
        <v>13408.148880000001</v>
      </c>
      <c r="RU15" s="735">
        <v>8272.02</v>
      </c>
      <c r="RV15" s="700">
        <f t="shared" si="746"/>
        <v>0.51822938887295533</v>
      </c>
      <c r="RW15" s="593">
        <f>'Proy 2021 vs 2019 Sem'!HG14*$RZ$4</f>
        <v>15962.082</v>
      </c>
      <c r="RX15" s="593">
        <f>'Proy 2021 vs 2019 Sem'!HH14*$RZ$4</f>
        <v>13408.148880000001</v>
      </c>
      <c r="RY15" s="735">
        <v>22977.83</v>
      </c>
      <c r="RZ15" s="700">
        <f t="shared" si="747"/>
        <v>1.4395258713744234</v>
      </c>
      <c r="SA15" s="593">
        <f>'Proy 2021 vs 2019 Sem'!HG14*$SD$4</f>
        <v>15962.082</v>
      </c>
      <c r="SB15" s="593">
        <f>'Proy 2021 vs 2019 Sem'!HH14*$SD$4</f>
        <v>13408.148880000001</v>
      </c>
      <c r="SC15" s="735">
        <v>24894.73</v>
      </c>
      <c r="SD15" s="700">
        <f t="shared" si="748"/>
        <v>1.5596167216782872</v>
      </c>
      <c r="SE15" s="593">
        <f>'Proy 2021 vs 2019 Sem'!HG14*$SH$4</f>
        <v>18622.429000000004</v>
      </c>
      <c r="SF15" s="593">
        <f>'Proy 2021 vs 2019 Sem'!HH14*$SH$4</f>
        <v>15642.840360000002</v>
      </c>
      <c r="SG15" s="735">
        <v>20097.12</v>
      </c>
      <c r="SH15" s="700">
        <f t="shared" si="749"/>
        <v>1.0791889715353455</v>
      </c>
      <c r="SI15" s="593">
        <f>'Proy 2021 vs 2019 Sem'!HG14*$SL$4</f>
        <v>21282.776000000002</v>
      </c>
      <c r="SJ15" s="593">
        <f>'Proy 2021 vs 2019 Sem'!HH14*$SL$4</f>
        <v>17877.531840000003</v>
      </c>
      <c r="SK15" s="735">
        <v>19968.64</v>
      </c>
      <c r="SL15" s="700">
        <f t="shared" si="750"/>
        <v>0.93825354361667845</v>
      </c>
      <c r="SM15" s="593">
        <f>'Proy 2021 vs 2019 Sem'!HG14*$SP$4</f>
        <v>29263.817000000003</v>
      </c>
      <c r="SN15" s="593">
        <f>'Proy 2021 vs 2019 Sem'!HH14*$SP$4</f>
        <v>24581.606280000004</v>
      </c>
      <c r="SO15" s="735">
        <v>25131.06</v>
      </c>
      <c r="SP15" s="700">
        <f t="shared" si="751"/>
        <v>0.858775873290897</v>
      </c>
      <c r="SQ15" s="579">
        <f t="shared" si="752"/>
        <v>133017.35</v>
      </c>
      <c r="SR15" s="574">
        <f t="shared" si="753"/>
        <v>111734.57400000002</v>
      </c>
      <c r="SS15" s="730">
        <f t="shared" si="754"/>
        <v>135294.84</v>
      </c>
      <c r="ST15" s="711">
        <f t="shared" si="755"/>
        <v>1.0171217514106241</v>
      </c>
      <c r="SU15" s="593">
        <f>'Proy 2021 vs 2019 Sem'!HL14*$SX$4</f>
        <v>16002.171599999998</v>
      </c>
      <c r="SV15" s="593">
        <f>'Proy 2021 vs 2019 Sem'!HM14*$SX$4</f>
        <v>13281.802427999997</v>
      </c>
      <c r="SW15" s="735">
        <v>12880.9</v>
      </c>
      <c r="SX15" s="700">
        <f t="shared" si="756"/>
        <v>0.8049469985686194</v>
      </c>
      <c r="SY15" s="593">
        <f>'Proy 2021 vs 2019 Sem'!HL14*$TB$4</f>
        <v>16002.171599999998</v>
      </c>
      <c r="SZ15" s="593">
        <f>'Proy 2021 vs 2019 Sem'!HM14*$TB$4</f>
        <v>13281.802427999997</v>
      </c>
      <c r="TA15" s="735">
        <v>15763.03</v>
      </c>
      <c r="TB15" s="700">
        <f t="shared" si="757"/>
        <v>0.9850556783180604</v>
      </c>
      <c r="TC15" s="593">
        <f>'Proy 2021 vs 2019 Sem'!HL14*$TF$4</f>
        <v>16002.171599999998</v>
      </c>
      <c r="TD15" s="593">
        <f>'Proy 2021 vs 2019 Sem'!HM14*$TF$4</f>
        <v>13281.802427999997</v>
      </c>
      <c r="TE15" s="735">
        <v>11699.64</v>
      </c>
      <c r="TF15" s="700">
        <f t="shared" si="758"/>
        <v>0.7311282676158779</v>
      </c>
      <c r="TG15" s="593">
        <f>'Proy 2021 vs 2019 Sem'!HL14*$TJ$4</f>
        <v>16002.171599999998</v>
      </c>
      <c r="TH15" s="593">
        <f>'Proy 2021 vs 2019 Sem'!HM14*$TJ$4</f>
        <v>13281.802427999997</v>
      </c>
      <c r="TI15" s="735">
        <v>10461.92</v>
      </c>
      <c r="TJ15" s="700">
        <f t="shared" si="759"/>
        <v>0.65378126553773497</v>
      </c>
      <c r="TK15" s="593">
        <f>'Proy 2021 vs 2019 Sem'!HL14*$TN$4</f>
        <v>18669.200199999999</v>
      </c>
      <c r="TL15" s="593">
        <f>'Proy 2021 vs 2019 Sem'!HM14*$TN$4</f>
        <v>15495.436166</v>
      </c>
      <c r="TM15" s="735">
        <v>11364.1</v>
      </c>
      <c r="TN15" s="700">
        <f t="shared" si="760"/>
        <v>0.60870845447358801</v>
      </c>
      <c r="TO15" s="593">
        <f>'Proy 2021 vs 2019 Sem'!HL14*$TR$4</f>
        <v>21336.228800000001</v>
      </c>
      <c r="TP15" s="611">
        <f>'Proy 2021 vs 2019 Sem'!HM14*$TR$4</f>
        <v>17709.069904</v>
      </c>
      <c r="TQ15" s="735">
        <v>15166.45</v>
      </c>
      <c r="TR15" s="700">
        <f t="shared" si="761"/>
        <v>0.71083086623068081</v>
      </c>
      <c r="TS15" s="593">
        <f>'Proy 2021 vs 2019 Sem'!HL14*$TV$4</f>
        <v>29337.314599999998</v>
      </c>
      <c r="TT15" s="593">
        <f>'Proy 2021 vs 2019 Sem'!HM14*$TV$4</f>
        <v>24349.971117999998</v>
      </c>
      <c r="TU15" s="735">
        <v>29345.86</v>
      </c>
      <c r="TV15" s="700">
        <f t="shared" si="762"/>
        <v>1.0002912809204427</v>
      </c>
      <c r="TW15" s="579">
        <f t="shared" si="763"/>
        <v>133351.43</v>
      </c>
      <c r="TX15" s="574">
        <f t="shared" si="764"/>
        <v>110681.68689999999</v>
      </c>
      <c r="TY15" s="710">
        <f t="shared" si="765"/>
        <v>106681.9</v>
      </c>
      <c r="TZ15" s="711">
        <f t="shared" si="766"/>
        <v>0.80000566923054373</v>
      </c>
      <c r="UA15" s="593">
        <v>18830.900000000001</v>
      </c>
      <c r="UB15" s="593">
        <f>'Proy 2021 vs 2019 Sem'!HR14*$UD$4</f>
        <v>14865.728279999998</v>
      </c>
      <c r="UC15" s="735">
        <v>15131.67</v>
      </c>
      <c r="UD15" s="700">
        <f t="shared" si="767"/>
        <v>0.80355532661742135</v>
      </c>
      <c r="UE15" s="593">
        <v>13211.41</v>
      </c>
      <c r="UF15" s="593">
        <f>'Proy 2021 vs 2019 Sem'!HR14*$UH$4</f>
        <v>14865.728279999998</v>
      </c>
      <c r="UG15" s="735">
        <v>8891.34</v>
      </c>
      <c r="UH15" s="700">
        <f t="shared" si="768"/>
        <v>0.67300462251947368</v>
      </c>
      <c r="UI15" s="593">
        <v>13786.43</v>
      </c>
      <c r="UJ15" s="593">
        <f>'Proy 2021 vs 2019 Sem'!HR14*$UL$4</f>
        <v>14865.728279999998</v>
      </c>
      <c r="UK15" s="735">
        <v>25926.57</v>
      </c>
      <c r="UL15" s="700">
        <f t="shared" si="769"/>
        <v>1.8805861996180302</v>
      </c>
      <c r="UM15" s="593">
        <v>18521.32</v>
      </c>
      <c r="UN15" s="593">
        <f>'Proy 2021 vs 2019 Sem'!HR14*$UP$4</f>
        <v>14865.728279999998</v>
      </c>
      <c r="UO15" s="735">
        <v>12483.86</v>
      </c>
      <c r="UP15" s="700">
        <f t="shared" si="770"/>
        <v>0.67402647327512299</v>
      </c>
      <c r="UQ15" s="593">
        <v>15969.9</v>
      </c>
      <c r="UR15" s="593">
        <f>'Proy 2021 vs 2019 Sem'!HR14*$UT$4</f>
        <v>17343.34966</v>
      </c>
      <c r="US15" s="735">
        <v>15657.14</v>
      </c>
      <c r="UT15" s="700">
        <f t="shared" si="771"/>
        <v>0.98041565695464594</v>
      </c>
      <c r="UU15" s="593">
        <v>21911.61</v>
      </c>
      <c r="UV15" s="593">
        <f>'Proy 2021 vs 2019 Sem'!HR14*$UX$4</f>
        <v>19820.97104</v>
      </c>
      <c r="UW15" s="735">
        <v>15180.33</v>
      </c>
      <c r="UX15" s="700">
        <f t="shared" si="772"/>
        <v>0.69279847532883254</v>
      </c>
      <c r="UY15" s="593">
        <v>32673.37</v>
      </c>
      <c r="UZ15" s="593">
        <f>'Proy 2021 vs 2019 Sem'!HR14*$VB$4</f>
        <v>27253.835179999998</v>
      </c>
      <c r="VA15" s="735">
        <v>28456.13</v>
      </c>
      <c r="VB15" s="700">
        <f t="shared" si="773"/>
        <v>0.87092730257087048</v>
      </c>
      <c r="VC15" s="577">
        <f>UA15+UE15+UI15+UM15+UQ15+UU15+UY15</f>
        <v>134904.94</v>
      </c>
      <c r="VD15" s="574">
        <f t="shared" si="774"/>
        <v>123881.06899999999</v>
      </c>
      <c r="VE15" s="710">
        <f t="shared" si="775"/>
        <v>121727.04000000001</v>
      </c>
      <c r="VF15" s="1532">
        <f t="shared" si="776"/>
        <v>0.90231714272286845</v>
      </c>
      <c r="VG15" s="593">
        <v>16750.419999999998</v>
      </c>
      <c r="VH15" s="593">
        <f>'Proy 2021 vs 2019 Sem'!IA14*$VJ$4</f>
        <v>13351.457135999999</v>
      </c>
      <c r="VI15" s="735">
        <v>7493.67</v>
      </c>
      <c r="VJ15" s="700">
        <f t="shared" si="777"/>
        <v>0.44737206589446715</v>
      </c>
      <c r="VK15" s="593">
        <v>13800.27</v>
      </c>
      <c r="VL15" s="593">
        <f>'Proy 2021 vs 2019 Sem'!IA14*$VN$4</f>
        <v>13351.457135999999</v>
      </c>
      <c r="VM15" s="735">
        <v>11146.78</v>
      </c>
      <c r="VN15" s="700">
        <f t="shared" si="778"/>
        <v>0.80772187790528738</v>
      </c>
      <c r="VO15" s="593">
        <v>12261.84</v>
      </c>
      <c r="VP15" s="593">
        <f>'Proy 2021 vs 2019 Sem'!IA14*$VR$4</f>
        <v>13351.457135999999</v>
      </c>
      <c r="VQ15" s="735">
        <v>11846.35</v>
      </c>
      <c r="VR15" s="700">
        <f t="shared" si="779"/>
        <v>0.96611519967639448</v>
      </c>
      <c r="VS15" s="593">
        <v>10634.62</v>
      </c>
      <c r="VT15" s="593">
        <f>'Proy 2021 vs 2019 Sem'!IA14*$VV$4</f>
        <v>13351.457135999999</v>
      </c>
      <c r="VU15" s="735">
        <v>14669.2</v>
      </c>
      <c r="VV15" s="700">
        <f t="shared" si="780"/>
        <v>1.3793816798343523</v>
      </c>
      <c r="VW15" s="593">
        <v>15539.86</v>
      </c>
      <c r="VX15" s="593">
        <f>'Proy 2021 vs 2019 Sem'!IA14*$VZ$4</f>
        <v>15576.699992000002</v>
      </c>
      <c r="VY15" s="735">
        <v>14116.31</v>
      </c>
      <c r="VZ15" s="700">
        <f t="shared" si="781"/>
        <v>0.90839364061194883</v>
      </c>
      <c r="WA15" s="593">
        <v>24004.31</v>
      </c>
      <c r="WB15" s="593">
        <f>'Proy 2021 vs 2019 Sem'!IA14*$WD$4</f>
        <v>17801.942848000002</v>
      </c>
      <c r="WC15" s="735">
        <v>16425.560000000001</v>
      </c>
      <c r="WD15" s="700">
        <f t="shared" si="782"/>
        <v>0.68427544886730762</v>
      </c>
      <c r="WE15" s="593">
        <v>32132.46</v>
      </c>
      <c r="WF15" s="593">
        <f>'Proy 2021 vs 2019 Sem'!IA14*$WH$4</f>
        <v>24477.671416000001</v>
      </c>
      <c r="WG15" s="735">
        <v>29657.34</v>
      </c>
      <c r="WH15" s="1538">
        <f t="shared" si="783"/>
        <v>0.92297135046616419</v>
      </c>
      <c r="WI15" s="574">
        <f t="shared" si="784"/>
        <v>53447.15</v>
      </c>
      <c r="WJ15" s="575">
        <f t="shared" si="785"/>
        <v>111262.1428</v>
      </c>
      <c r="WK15" s="793">
        <f t="shared" si="786"/>
        <v>105355.20999999999</v>
      </c>
      <c r="WL15" s="786">
        <f t="shared" si="787"/>
        <v>1.9712035159966432</v>
      </c>
      <c r="WM15" s="593">
        <v>18353.599999999999</v>
      </c>
      <c r="WN15" s="593">
        <f>'Proy 2021 vs 2019 Sem'!IF14*$WP$4</f>
        <v>15943.907952</v>
      </c>
      <c r="WO15" s="735">
        <v>13594.03</v>
      </c>
      <c r="WP15" s="700">
        <f t="shared" si="788"/>
        <v>0.74067376427512865</v>
      </c>
      <c r="WQ15" s="593">
        <v>14740.77</v>
      </c>
      <c r="WR15" s="593">
        <f>'Proy 2021 vs 2019 Sem'!IF14*$WT$4</f>
        <v>15943.907952</v>
      </c>
      <c r="WS15" s="735">
        <v>13971.43</v>
      </c>
      <c r="WT15" s="700">
        <f t="shared" si="789"/>
        <v>0.94780869656062738</v>
      </c>
      <c r="WU15" s="593">
        <v>15770.71</v>
      </c>
      <c r="WV15" s="593">
        <f>'Proy 2021 vs 2019 Sem'!IF14*$WX$4</f>
        <v>15943.907952</v>
      </c>
      <c r="WW15" s="735">
        <v>15513.49</v>
      </c>
      <c r="WX15" s="700">
        <f t="shared" si="790"/>
        <v>0.98369001776077303</v>
      </c>
      <c r="WY15" s="593">
        <v>22349.21</v>
      </c>
      <c r="WZ15" s="593">
        <f>'Proy 2021 vs 2019 Sem'!IF14*$XB$4</f>
        <v>15943.907952</v>
      </c>
      <c r="XA15" s="735">
        <v>14310.84</v>
      </c>
      <c r="XB15" s="700">
        <f t="shared" si="791"/>
        <v>0.64032867380994674</v>
      </c>
      <c r="XC15" s="593">
        <v>19095.09</v>
      </c>
      <c r="XD15" s="1547">
        <f>'Proy 2021 vs 2019 Sem'!IF14*$XF$4</f>
        <v>18601.225944000002</v>
      </c>
      <c r="XE15" s="735">
        <v>14385.88</v>
      </c>
      <c r="XF15" s="700">
        <f t="shared" si="792"/>
        <v>0.75338110477614917</v>
      </c>
      <c r="XG15" s="593">
        <v>22398.68</v>
      </c>
      <c r="XH15" s="593">
        <f>'Proy 2021 vs 2019 Sem'!IF14*$XJ$4</f>
        <v>21258.543936000002</v>
      </c>
      <c r="XI15" s="735">
        <v>22628.11</v>
      </c>
      <c r="XJ15" s="700">
        <f t="shared" si="793"/>
        <v>1.0102430143204868</v>
      </c>
      <c r="XK15" s="593">
        <v>33117.97</v>
      </c>
      <c r="XL15" s="593">
        <f>'Proy 2021 vs 2019 Sem'!IF14*$XN$4</f>
        <v>29230.497912000003</v>
      </c>
      <c r="XM15" s="735">
        <v>37687</v>
      </c>
      <c r="XN15" s="700">
        <f t="shared" si="794"/>
        <v>1.1379622603680117</v>
      </c>
      <c r="XO15" s="579">
        <f t="shared" si="795"/>
        <v>145826.03</v>
      </c>
      <c r="XP15" s="574">
        <f t="shared" si="796"/>
        <v>132865.8996</v>
      </c>
      <c r="XQ15" s="794">
        <f t="shared" si="797"/>
        <v>132090.78</v>
      </c>
      <c r="XR15" s="786">
        <f t="shared" si="798"/>
        <v>0.9058107115718641</v>
      </c>
      <c r="XS15" s="593">
        <v>20998.5</v>
      </c>
      <c r="XT15" s="593">
        <f>'Proy 2021 vs 2019 Sem'!IK14*$XV$4</f>
        <v>16508.554848</v>
      </c>
      <c r="XU15" s="735">
        <v>9765.31</v>
      </c>
      <c r="XV15" s="700">
        <f t="shared" si="799"/>
        <v>0.4650479796175917</v>
      </c>
      <c r="XW15" s="593">
        <v>18107.18</v>
      </c>
      <c r="XX15" s="593">
        <f>'Proy 2021 vs 2019 Sem'!IK14*$XZ$4</f>
        <v>16508.554848</v>
      </c>
      <c r="XY15" s="735">
        <v>16482.2</v>
      </c>
      <c r="XZ15" s="700">
        <f t="shared" si="800"/>
        <v>0.91025769887967101</v>
      </c>
      <c r="YA15" s="593">
        <v>16341.48</v>
      </c>
      <c r="YB15" s="593">
        <f>'Proy 2021 vs 2019 Sem'!IK14*$YD$4</f>
        <v>16508.554848</v>
      </c>
      <c r="YC15" s="735">
        <v>11634.42</v>
      </c>
      <c r="YD15" s="700">
        <f t="shared" si="801"/>
        <v>0.71195632219358351</v>
      </c>
      <c r="YE15" s="593">
        <v>15015.36</v>
      </c>
      <c r="YF15" s="593">
        <f>'Proy 2021 vs 2019 Sem'!IK14*$YH$4</f>
        <v>16508.554848</v>
      </c>
      <c r="YG15" s="735">
        <v>13122.85</v>
      </c>
      <c r="YH15" s="700">
        <f t="shared" si="802"/>
        <v>0.87396172985529486</v>
      </c>
      <c r="YI15" s="593">
        <v>18965.48</v>
      </c>
      <c r="YJ15" s="593">
        <f>'Proy 2021 vs 2019 Sem'!IK14*$YL$4</f>
        <v>19259.980656000003</v>
      </c>
      <c r="YK15" s="735">
        <v>17922.400000000001</v>
      </c>
      <c r="YL15" s="700">
        <f t="shared" si="803"/>
        <v>0.94500112836585215</v>
      </c>
      <c r="YM15" s="593">
        <v>24379.72</v>
      </c>
      <c r="YN15" s="593">
        <f>'Proy 2021 vs 2019 Sem'!IK14*$YP$4</f>
        <v>22011.406464</v>
      </c>
      <c r="YO15" s="735">
        <v>31273.72</v>
      </c>
      <c r="YP15" s="700">
        <f t="shared" si="804"/>
        <v>1.2827760121937413</v>
      </c>
      <c r="YQ15" s="593">
        <v>36825.31</v>
      </c>
      <c r="YR15" s="593">
        <f>'Proy 2021 vs 2019 Sem'!IK14*$YT$4</f>
        <v>30265.683888</v>
      </c>
      <c r="YS15" s="735">
        <v>40902.25</v>
      </c>
      <c r="YT15" s="700">
        <f t="shared" si="805"/>
        <v>1.1107102696487823</v>
      </c>
      <c r="YU15" s="579">
        <f t="shared" si="806"/>
        <v>150633.03</v>
      </c>
      <c r="YV15" s="574">
        <f t="shared" si="807"/>
        <v>137571.2904</v>
      </c>
      <c r="YW15" s="794">
        <f t="shared" si="808"/>
        <v>141103.15</v>
      </c>
      <c r="YX15" s="786">
        <f t="shared" si="809"/>
        <v>0.93673445989900084</v>
      </c>
      <c r="YY15" s="593">
        <v>27275.64</v>
      </c>
      <c r="YZ15" s="593">
        <f>'Proy 2021 vs 2019 Sem'!IP14*$ZB$4</f>
        <v>21990.60252</v>
      </c>
      <c r="ZA15" s="735">
        <v>22389.98</v>
      </c>
      <c r="ZB15" s="700">
        <f t="shared" si="810"/>
        <v>0.82087826353478777</v>
      </c>
      <c r="ZC15" s="593">
        <v>24471.8</v>
      </c>
      <c r="ZD15" s="593">
        <f>'Proy 2021 vs 2019 Sem'!IP14*$ZF$4</f>
        <v>21990.60252</v>
      </c>
      <c r="ZE15" s="735">
        <v>25013.040000000001</v>
      </c>
      <c r="ZF15" s="700">
        <f t="shared" si="811"/>
        <v>1.0221168855580709</v>
      </c>
      <c r="ZG15" s="593">
        <v>24981.040000000001</v>
      </c>
      <c r="ZH15" s="593">
        <f>'Proy 2021 vs 2019 Sem'!IP14*$ZJ$4</f>
        <v>21990.60252</v>
      </c>
      <c r="ZI15" s="735">
        <v>27811.06</v>
      </c>
      <c r="ZJ15" s="700">
        <f t="shared" si="812"/>
        <v>1.1132867166459042</v>
      </c>
      <c r="ZK15" s="593">
        <v>35647.67</v>
      </c>
      <c r="ZL15" s="593">
        <f>'Proy 2021 vs 2019 Sem'!IP14*$ZN$4</f>
        <v>21990.60252</v>
      </c>
      <c r="ZM15" s="735">
        <v>33614.089999999997</v>
      </c>
      <c r="ZN15" s="700">
        <f t="shared" si="813"/>
        <v>0.9429533543146017</v>
      </c>
      <c r="ZO15" s="593">
        <v>36535.31</v>
      </c>
      <c r="ZP15" s="593">
        <f>'Proy 2021 vs 2019 Sem'!IP14*$ZR$4</f>
        <v>25655.702940000003</v>
      </c>
      <c r="ZQ15" s="735">
        <v>33383</v>
      </c>
      <c r="ZR15" s="700">
        <f t="shared" si="814"/>
        <v>0.91371881065194194</v>
      </c>
      <c r="ZS15" s="593">
        <v>24373.4</v>
      </c>
      <c r="ZT15" s="593">
        <f>'Proy 2021 vs 2019 Sem'!IP14*$ZV$4</f>
        <v>29320.803360000002</v>
      </c>
      <c r="ZU15" s="735">
        <v>41651.31</v>
      </c>
      <c r="ZV15" s="700">
        <f t="shared" si="815"/>
        <v>1.7088838651973051</v>
      </c>
      <c r="ZW15" s="593">
        <v>28104.400000000001</v>
      </c>
      <c r="ZX15" s="593">
        <f>'Proy 2021 vs 2019 Sem'!IP14*$ZZ$4</f>
        <v>40316.104620000006</v>
      </c>
      <c r="ZY15" s="735">
        <v>70382.33</v>
      </c>
      <c r="ZZ15" s="700">
        <f t="shared" si="816"/>
        <v>2.5043171176043608</v>
      </c>
      <c r="AAA15" s="579">
        <f t="shared" si="817"/>
        <v>201389.26</v>
      </c>
      <c r="AAB15" s="574">
        <f t="shared" si="818"/>
        <v>183255.02100000001</v>
      </c>
      <c r="AAC15" s="785">
        <f t="shared" si="819"/>
        <v>254244.81</v>
      </c>
      <c r="AAD15" s="786">
        <f t="shared" si="820"/>
        <v>1.2624546611869967</v>
      </c>
      <c r="AAE15" s="593">
        <v>14413.36</v>
      </c>
      <c r="AAF15" s="593">
        <f>'Proy 2021 vs 2019 Sem'!IY14*$AAH$4</f>
        <v>15113.674259999998</v>
      </c>
      <c r="AAG15" s="735">
        <v>26180.76</v>
      </c>
      <c r="AAH15" s="700">
        <f t="shared" si="821"/>
        <v>1.8164230963494978</v>
      </c>
      <c r="AAI15" s="593">
        <v>16806.91</v>
      </c>
      <c r="AAJ15" s="593">
        <f>'Proy 2021 vs 2019 Sem'!IY14*$AAL$4</f>
        <v>15113.674259999998</v>
      </c>
      <c r="AAK15" s="735">
        <v>19207.2</v>
      </c>
      <c r="AAL15" s="700">
        <f t="shared" si="822"/>
        <v>1.1428156633194324</v>
      </c>
      <c r="AAM15" s="593">
        <v>15552.42</v>
      </c>
      <c r="AAN15" s="593">
        <f>'Proy 2021 vs 2019 Sem'!IY14*$AAP$4</f>
        <v>15113.674259999998</v>
      </c>
      <c r="AAO15" s="735">
        <v>15615.59</v>
      </c>
      <c r="AAP15" s="700">
        <f t="shared" si="823"/>
        <v>1.0040617473036351</v>
      </c>
      <c r="AAQ15" s="593">
        <v>11777.13</v>
      </c>
      <c r="AAR15" s="593">
        <f>'Proy 2021 vs 2019 Sem'!IY14*$AAT$4</f>
        <v>15113.674259999998</v>
      </c>
      <c r="AAS15" s="735">
        <v>10532.83</v>
      </c>
      <c r="AAT15" s="700">
        <f t="shared" si="824"/>
        <v>0.8943460758266234</v>
      </c>
      <c r="AAU15" s="593">
        <v>16306.92</v>
      </c>
      <c r="AAV15" s="593">
        <f>'Proy 2021 vs 2019 Sem'!IY14*$AAX$4</f>
        <v>17632.61997</v>
      </c>
      <c r="AAW15" s="735">
        <v>16035.33</v>
      </c>
      <c r="AAX15" s="700">
        <f t="shared" si="825"/>
        <v>0.98334510747584458</v>
      </c>
      <c r="AAY15" s="593">
        <v>20845.490000000002</v>
      </c>
      <c r="AAZ15" s="593">
        <f>'Proy 2021 vs 2019 Sem'!IY14*$ABB$4</f>
        <v>20151.565679999996</v>
      </c>
      <c r="ABA15" s="735">
        <v>14772.94</v>
      </c>
      <c r="ABB15" s="700">
        <f t="shared" si="826"/>
        <v>0.70868758661945574</v>
      </c>
      <c r="ABC15" s="593">
        <v>33083.08</v>
      </c>
      <c r="ABD15" s="593">
        <f>'Proy 2021 vs 2019 Sem'!IY14*$ABF$4</f>
        <v>27708.402809999996</v>
      </c>
      <c r="ABE15" s="735">
        <v>26000.71</v>
      </c>
      <c r="ABF15" s="700">
        <f t="shared" si="827"/>
        <v>0.78592168564716458</v>
      </c>
      <c r="ABG15" s="579">
        <f t="shared" si="828"/>
        <v>128785.31000000001</v>
      </c>
      <c r="ABH15" s="574">
        <f t="shared" si="829"/>
        <v>125947.2855</v>
      </c>
      <c r="ABI15" s="759">
        <f t="shared" si="830"/>
        <v>128345.36000000002</v>
      </c>
      <c r="ABJ15" s="761">
        <f t="shared" si="831"/>
        <v>0.99658384950892309</v>
      </c>
      <c r="ABK15" s="593">
        <v>15528.65</v>
      </c>
      <c r="ABL15" s="593">
        <f>'Proy 2021 vs 2019 Sem'!JD14*$ABN$4</f>
        <v>22017.017220000002</v>
      </c>
      <c r="ABM15" s="735">
        <v>14181.68</v>
      </c>
      <c r="ABN15" s="700">
        <f t="shared" si="832"/>
        <v>0.91325904054763296</v>
      </c>
      <c r="ABO15" s="593">
        <v>17031.759999999998</v>
      </c>
      <c r="ABP15" s="593">
        <f>'Proy 2021 vs 2019 Sem'!JD14*$ABR$4</f>
        <v>22017.017220000002</v>
      </c>
      <c r="ABQ15" s="735">
        <v>14406.26</v>
      </c>
      <c r="ABR15" s="700">
        <f t="shared" si="833"/>
        <v>0.84584681794482786</v>
      </c>
      <c r="ABS15" s="593">
        <v>17402.169999999998</v>
      </c>
      <c r="ABT15" s="593">
        <f>'Proy 2021 vs 2019 Sem'!JD14*$ABV$4</f>
        <v>22017.017220000002</v>
      </c>
      <c r="ABU15" s="735">
        <v>16162.64</v>
      </c>
      <c r="ABV15" s="700">
        <f t="shared" si="834"/>
        <v>0.9287715267693627</v>
      </c>
      <c r="ABW15" s="593">
        <v>17830.57</v>
      </c>
      <c r="ABX15" s="593">
        <f>'Proy 2021 vs 2019 Sem'!JD14*$ABZ$4</f>
        <v>22017.017220000002</v>
      </c>
      <c r="ABY15" s="735">
        <v>13659.28</v>
      </c>
      <c r="ABZ15" s="700">
        <f t="shared" si="835"/>
        <v>0.76605963802615396</v>
      </c>
      <c r="ACA15" s="593">
        <v>16866.61</v>
      </c>
      <c r="ACB15" s="593">
        <f>'Proy 2021 vs 2019 Sem'!JD14*$ACD$4</f>
        <v>25686.520090000002</v>
      </c>
      <c r="ACC15" s="735">
        <v>16306.8</v>
      </c>
      <c r="ACD15" s="700">
        <f t="shared" si="836"/>
        <v>0.96680957228512421</v>
      </c>
      <c r="ACE15" s="593">
        <v>37768.67</v>
      </c>
      <c r="ACF15" s="593">
        <f>'Proy 2021 vs 2019 Sem'!JD14*$ACH$4</f>
        <v>29356.022960000002</v>
      </c>
      <c r="ACG15" s="735">
        <v>27245.48</v>
      </c>
      <c r="ACH15" s="700">
        <f t="shared" si="837"/>
        <v>0.72137779805325419</v>
      </c>
      <c r="ACI15" s="593">
        <v>64404.73</v>
      </c>
      <c r="ACJ15" s="593">
        <f>'Proy 2021 vs 2019 Sem'!JD14*$ACL$4</f>
        <v>40364.531569999999</v>
      </c>
      <c r="ACK15" s="735">
        <v>39828.230000000003</v>
      </c>
      <c r="ACL15" s="700">
        <f t="shared" si="838"/>
        <v>0.61840535625256099</v>
      </c>
      <c r="ACM15" s="579">
        <f t="shared" si="839"/>
        <v>186833.16</v>
      </c>
      <c r="ACN15" s="574">
        <f t="shared" si="840"/>
        <v>183475.14350000001</v>
      </c>
      <c r="ACO15" s="765">
        <f t="shared" si="841"/>
        <v>141790.37</v>
      </c>
      <c r="ACP15" s="761">
        <f t="shared" si="842"/>
        <v>0.75891437044687349</v>
      </c>
      <c r="ACQ15" s="593">
        <v>43891.15</v>
      </c>
      <c r="ACR15" s="593">
        <f>'Proy 2021 vs 2019 Sem'!JI14*$ACT$4</f>
        <v>27435.456719999998</v>
      </c>
      <c r="ACS15" s="735">
        <v>29730.400000000001</v>
      </c>
      <c r="ACT15" s="700">
        <f t="shared" si="843"/>
        <v>0.67736662174493034</v>
      </c>
      <c r="ACU15" s="593">
        <v>49943.93</v>
      </c>
      <c r="ACV15" s="593">
        <f>'Proy 2021 vs 2019 Sem'!JI14*$ACX$4</f>
        <v>27435.456719999998</v>
      </c>
      <c r="ACW15" s="735">
        <v>24056.43</v>
      </c>
      <c r="ACX15" s="700">
        <f t="shared" si="844"/>
        <v>0.48166874332876891</v>
      </c>
      <c r="ACY15" s="593">
        <v>26768.18</v>
      </c>
      <c r="ACZ15" s="593">
        <f>'Proy 2021 vs 2019 Sem'!JI14*$ADB$4</f>
        <v>27435.456719999998</v>
      </c>
      <c r="ADA15" s="735">
        <v>32515.34</v>
      </c>
      <c r="ADB15" s="700">
        <f t="shared" si="845"/>
        <v>1.2147011862592076</v>
      </c>
      <c r="ADC15" s="593">
        <v>18336.78</v>
      </c>
      <c r="ADD15" s="593">
        <f>'Proy 2021 vs 2019 Sem'!JI14*$ADF$4</f>
        <v>27435.456719999998</v>
      </c>
      <c r="ADE15" s="735">
        <v>23823.13</v>
      </c>
      <c r="ADF15" s="700">
        <f t="shared" si="846"/>
        <v>1.2991992050948968</v>
      </c>
      <c r="ADG15" s="593">
        <v>25263.69</v>
      </c>
      <c r="ADH15" s="593">
        <f>'Proy 2021 vs 2019 Sem'!JI14*$ADJ$4</f>
        <v>32008.03284</v>
      </c>
      <c r="ADI15" s="735">
        <v>19919.099999999999</v>
      </c>
      <c r="ADJ15" s="700">
        <f t="shared" si="847"/>
        <v>0.78844776831887975</v>
      </c>
      <c r="ADK15" s="593">
        <v>27959.56</v>
      </c>
      <c r="ADL15" s="593">
        <f>'Proy 2021 vs 2019 Sem'!JI14*$ADN$4</f>
        <v>36580.608959999998</v>
      </c>
      <c r="ADM15" s="735">
        <v>28021.29</v>
      </c>
      <c r="ADN15" s="700">
        <f t="shared" si="848"/>
        <v>1.0022078315967775</v>
      </c>
      <c r="ADO15" s="593">
        <v>36592.83</v>
      </c>
      <c r="ADP15" s="593">
        <f>'Proy 2021 vs 2019 Sem'!JI14*$ADR$4</f>
        <v>50298.337319999999</v>
      </c>
      <c r="ADQ15" s="735">
        <v>44494.67</v>
      </c>
      <c r="ADR15" s="700">
        <f t="shared" si="849"/>
        <v>1.2159395706754574</v>
      </c>
      <c r="ADS15" s="579">
        <f t="shared" si="850"/>
        <v>228756.12</v>
      </c>
      <c r="ADT15" s="574">
        <f t="shared" si="851"/>
        <v>228628.80599999998</v>
      </c>
      <c r="ADU15" s="765">
        <f t="shared" si="852"/>
        <v>202560.36</v>
      </c>
      <c r="ADV15" s="761">
        <f t="shared" si="853"/>
        <v>0.88548608011011898</v>
      </c>
      <c r="ADW15" s="593">
        <v>22893.919999999998</v>
      </c>
      <c r="ADX15" s="593">
        <f>'Proy 2021 vs 2019 Sem'!JN14*$ADZ$4</f>
        <v>30525.921359999997</v>
      </c>
      <c r="ADY15" s="735">
        <v>26532.28</v>
      </c>
      <c r="ADZ15" s="700">
        <f t="shared" si="854"/>
        <v>1.1589225436273036</v>
      </c>
      <c r="AEA15" s="593">
        <v>49222.11</v>
      </c>
      <c r="AEB15" s="593">
        <f>'Proy 2021 vs 2019 Sem'!JN14*$AED$4</f>
        <v>30525.921359999997</v>
      </c>
      <c r="AEC15" s="735">
        <v>27025</v>
      </c>
      <c r="AED15" s="700">
        <f t="shared" si="855"/>
        <v>0.54904188382009633</v>
      </c>
      <c r="AEE15" s="593">
        <v>32387.81</v>
      </c>
      <c r="AEF15" s="593">
        <f>'Proy 2021 vs 2019 Sem'!JN14*$AEH$4</f>
        <v>30525.921359999997</v>
      </c>
      <c r="AEG15" s="735">
        <v>45569</v>
      </c>
      <c r="AEH15" s="700">
        <f t="shared" si="856"/>
        <v>1.406979971785681</v>
      </c>
      <c r="AEI15" s="593">
        <v>19487.93</v>
      </c>
      <c r="AEJ15" s="593">
        <f>'Proy 2021 vs 2019 Sem'!JN14*$AEL$4</f>
        <v>30525.921359999997</v>
      </c>
      <c r="AEK15" s="735">
        <v>30703</v>
      </c>
      <c r="AEL15" s="700">
        <f t="shared" si="857"/>
        <v>1.575488007192144</v>
      </c>
      <c r="AEM15" s="593">
        <v>30204.71</v>
      </c>
      <c r="AEN15" s="593">
        <f>'Proy 2021 vs 2019 Sem'!JN14*$AEP$4</f>
        <v>35613.574919999999</v>
      </c>
      <c r="AEO15" s="735">
        <v>22590</v>
      </c>
      <c r="AEP15" s="700">
        <f t="shared" si="858"/>
        <v>0.74789660288080906</v>
      </c>
      <c r="AEQ15" s="593">
        <v>41446.58</v>
      </c>
      <c r="AER15" s="593">
        <f>'Proy 2021 vs 2019 Sem'!JN14*$AET$4</f>
        <v>40701.228479999998</v>
      </c>
      <c r="AES15" s="735">
        <v>20297</v>
      </c>
      <c r="AET15" s="700">
        <f t="shared" si="859"/>
        <v>0.48971471228747943</v>
      </c>
      <c r="AEU15" s="593">
        <v>60980.33</v>
      </c>
      <c r="AEV15" s="593">
        <f>'Proy 2021 vs 2019 Sem'!JN14*$AEX$4</f>
        <v>55964.189159999994</v>
      </c>
      <c r="AEW15" s="735">
        <v>65471</v>
      </c>
      <c r="AEX15" s="700">
        <f t="shared" si="860"/>
        <v>1.0736412872806691</v>
      </c>
      <c r="AEY15" s="579">
        <f t="shared" si="861"/>
        <v>256623.39</v>
      </c>
      <c r="AEZ15" s="574">
        <f t="shared" si="862"/>
        <v>254382.67799999996</v>
      </c>
      <c r="AFA15" s="770">
        <f t="shared" si="863"/>
        <v>238187.28</v>
      </c>
      <c r="AFB15" s="761">
        <f t="shared" si="864"/>
        <v>0.92815888684192027</v>
      </c>
      <c r="AFC15" s="593">
        <v>32776.39</v>
      </c>
      <c r="AFD15" s="593">
        <f>'Proy 2021 vs 2019 Sem'!JX14*$AFF$4</f>
        <v>42233.02248</v>
      </c>
      <c r="AFE15" s="735">
        <v>32336</v>
      </c>
      <c r="AFF15" s="700">
        <f t="shared" si="865"/>
        <v>0.98656380400648147</v>
      </c>
      <c r="AFG15" s="593">
        <v>47541.84</v>
      </c>
      <c r="AFH15" s="593">
        <f>'Proy 2021 vs 2019 Sem'!JX14*$AFJ$4</f>
        <v>42233.02248</v>
      </c>
      <c r="AFI15" s="735">
        <v>40631.97</v>
      </c>
      <c r="AFJ15" s="700">
        <f t="shared" si="866"/>
        <v>0.85465707679803737</v>
      </c>
      <c r="AFK15" s="593">
        <v>61852.71</v>
      </c>
      <c r="AFL15" s="593">
        <f>'Proy 2021 vs 2019 Sem'!JX14*$AFN$4</f>
        <v>42233.02248</v>
      </c>
      <c r="AFM15" s="735">
        <v>43609.24</v>
      </c>
      <c r="AFN15" s="700">
        <f t="shared" si="867"/>
        <v>0.70504978682421515</v>
      </c>
      <c r="AFO15" s="593">
        <v>32091.71</v>
      </c>
      <c r="AFP15" s="593">
        <f>'Proy 2021 vs 2019 Sem'!JX14*$AFR$4</f>
        <v>42233.02248</v>
      </c>
      <c r="AFQ15" s="735">
        <v>37243.82</v>
      </c>
      <c r="AFR15" s="700">
        <f t="shared" si="868"/>
        <v>1.1605433303491774</v>
      </c>
      <c r="AFS15" s="593">
        <v>45959.5</v>
      </c>
      <c r="AFT15" s="593">
        <f>'Proy 2021 vs 2019 Sem'!JX14*$AFV$4</f>
        <v>49271.859560000004</v>
      </c>
      <c r="AFU15" s="735">
        <v>61333.63</v>
      </c>
      <c r="AFV15" s="700">
        <f t="shared" si="869"/>
        <v>1.3345147357999978</v>
      </c>
      <c r="AFW15" s="593">
        <v>56683.01</v>
      </c>
      <c r="AFX15" s="593">
        <f>'Proy 2021 vs 2019 Sem'!JX14*$AFZ$4</f>
        <v>56310.696640000002</v>
      </c>
      <c r="AFY15" s="735">
        <v>48512.98</v>
      </c>
      <c r="AFZ15" s="700">
        <f t="shared" si="870"/>
        <v>0.85586457035362096</v>
      </c>
      <c r="AGA15" s="593">
        <v>115823.89</v>
      </c>
      <c r="AGB15" s="593">
        <f>'Proy 2021 vs 2019 Sem'!JX14*$AGD$4</f>
        <v>77427.207880000002</v>
      </c>
      <c r="AGC15" s="735">
        <v>124732.75</v>
      </c>
      <c r="AGD15" s="700">
        <f t="shared" si="871"/>
        <v>1.0769172922788208</v>
      </c>
      <c r="AGE15" s="579">
        <f t="shared" si="872"/>
        <v>392729.05</v>
      </c>
      <c r="AGF15" s="574">
        <f t="shared" si="873"/>
        <v>351941.85399999999</v>
      </c>
      <c r="AGG15" s="729">
        <f t="shared" si="874"/>
        <v>388400.39</v>
      </c>
      <c r="AGH15" s="711">
        <f t="shared" si="875"/>
        <v>0.98897799895373162</v>
      </c>
      <c r="AGI15" s="593">
        <v>56466.91</v>
      </c>
      <c r="AGJ15" s="593">
        <f>'Proy 2021 vs 2019 Sem'!KC14*$AGL$4</f>
        <v>56388.091967999993</v>
      </c>
      <c r="AGK15" s="735">
        <v>51741.440000000002</v>
      </c>
      <c r="AGL15" s="700">
        <f t="shared" si="876"/>
        <v>0.91631435118372861</v>
      </c>
      <c r="AGM15" s="593">
        <v>45966.52</v>
      </c>
      <c r="AGN15" s="593">
        <f>'Proy 2021 vs 2019 Sem'!KC14*$AGP$4</f>
        <v>56388.091967999993</v>
      </c>
      <c r="AGO15" s="735">
        <v>37187.93</v>
      </c>
      <c r="AGP15" s="700">
        <f t="shared" si="877"/>
        <v>0.80902208825031785</v>
      </c>
      <c r="AGQ15" s="593">
        <v>49944.69</v>
      </c>
      <c r="AGR15" s="593">
        <f>'Proy 2021 vs 2019 Sem'!KC14*$AGT$4</f>
        <v>56388.091967999993</v>
      </c>
      <c r="AGS15" s="735">
        <v>39338.83</v>
      </c>
      <c r="AGT15" s="700">
        <f t="shared" si="878"/>
        <v>0.78764789610266872</v>
      </c>
      <c r="AGU15" s="593">
        <v>48170.19</v>
      </c>
      <c r="AGV15" s="593">
        <f>'Proy 2021 vs 2019 Sem'!KC14*$AGX$4</f>
        <v>56388.091967999993</v>
      </c>
      <c r="AGW15" s="735">
        <v>88167</v>
      </c>
      <c r="AGX15" s="700">
        <f t="shared" si="879"/>
        <v>1.8303228615041791</v>
      </c>
      <c r="AGY15" s="593">
        <v>52301.96</v>
      </c>
      <c r="AGZ15" s="593">
        <f>'Proy 2021 vs 2019 Sem'!KC14*$AHB$4</f>
        <v>65786.107296000002</v>
      </c>
      <c r="AHA15" s="735">
        <v>44464.49</v>
      </c>
      <c r="AHB15" s="700">
        <f t="shared" si="880"/>
        <v>0.85014959286420622</v>
      </c>
      <c r="AHC15" s="593">
        <v>69538.83</v>
      </c>
      <c r="AHD15" s="593">
        <f>'Proy 2021 vs 2019 Sem'!KC14*$AHF$4</f>
        <v>75184.122623999996</v>
      </c>
      <c r="AHE15" s="735">
        <v>53659.7</v>
      </c>
      <c r="AHF15" s="700">
        <f t="shared" si="881"/>
        <v>0.77165088915070901</v>
      </c>
      <c r="AHG15" s="593">
        <v>91771.65</v>
      </c>
      <c r="AHH15" s="593">
        <f>'Proy 2021 vs 2019 Sem'!KC14*$AHJ$4</f>
        <v>103378.16860799999</v>
      </c>
      <c r="AHI15" s="735">
        <v>87960.6</v>
      </c>
      <c r="AHJ15" s="700">
        <f t="shared" si="882"/>
        <v>0.95847246943909159</v>
      </c>
      <c r="AHK15" s="579">
        <f t="shared" si="883"/>
        <v>414160.75</v>
      </c>
      <c r="AHL15" s="574">
        <f t="shared" si="884"/>
        <v>469900.76639999996</v>
      </c>
      <c r="AHM15" s="730">
        <f t="shared" si="885"/>
        <v>402519.99</v>
      </c>
      <c r="AHN15" s="711">
        <f t="shared" si="886"/>
        <v>0.9718931356967071</v>
      </c>
      <c r="AHO15" s="593">
        <v>74264.23</v>
      </c>
      <c r="AHP15" s="593">
        <f>'Proy 2021 vs 2019 Sem'!KH14*$AHR$4</f>
        <v>73057.380119999987</v>
      </c>
      <c r="AHQ15" s="735">
        <v>55937.39</v>
      </c>
      <c r="AHR15" s="700">
        <f t="shared" si="887"/>
        <v>0.75322116717563758</v>
      </c>
      <c r="AHS15" s="593">
        <v>67063.289999999994</v>
      </c>
      <c r="AHT15" s="593">
        <f>'Proy 2021 vs 2019 Sem'!KH14*$AHV$4</f>
        <v>73057.380119999987</v>
      </c>
      <c r="AHU15" s="735">
        <v>54606.46</v>
      </c>
      <c r="AHV15" s="700">
        <f t="shared" si="888"/>
        <v>0.81425262613868188</v>
      </c>
      <c r="AHW15" s="593">
        <v>76462.67</v>
      </c>
      <c r="AHX15" s="593">
        <f>'Proy 2021 vs 2019 Sem'!KH14*$AHZ$4</f>
        <v>73057.380119999987</v>
      </c>
      <c r="AHY15" s="735">
        <v>64236.58</v>
      </c>
      <c r="AHZ15" s="700">
        <f t="shared" si="889"/>
        <v>0.84010380490244463</v>
      </c>
      <c r="AIA15" s="593">
        <v>109744.46</v>
      </c>
      <c r="AIB15" s="593">
        <f>'Proy 2021 vs 2019 Sem'!KH14*$AID$4</f>
        <v>73057.380119999987</v>
      </c>
      <c r="AIC15" s="735">
        <v>60446.07</v>
      </c>
      <c r="AID15" s="700">
        <f t="shared" si="890"/>
        <v>0.55078926079731039</v>
      </c>
      <c r="AIE15" s="593">
        <v>75057.58</v>
      </c>
      <c r="AIF15" s="593">
        <f>'Proy 2021 vs 2019 Sem'!KH14*$AIH$4</f>
        <v>85233.610140000004</v>
      </c>
      <c r="AIG15" s="735">
        <v>56494.57</v>
      </c>
      <c r="AIH15" s="700">
        <f t="shared" si="891"/>
        <v>0.75268307344841123</v>
      </c>
      <c r="AII15" s="593">
        <v>85118.47</v>
      </c>
      <c r="AIJ15" s="593">
        <f>'Proy 2021 vs 2019 Sem'!KH14*$AIL$4</f>
        <v>97409.840159999992</v>
      </c>
      <c r="AIK15" s="735">
        <v>78497.23</v>
      </c>
      <c r="AIL15" s="700">
        <f t="shared" si="892"/>
        <v>0.92221147772040535</v>
      </c>
      <c r="AIM15" s="593">
        <v>134597.20000000001</v>
      </c>
      <c r="AIN15" s="593">
        <f>'Proy 2021 vs 2019 Sem'!KH14*$AIP$4</f>
        <v>133938.53021999999</v>
      </c>
      <c r="AIO15" s="735">
        <v>103076.82</v>
      </c>
      <c r="AIP15" s="700">
        <f t="shared" si="893"/>
        <v>0.76581697093253054</v>
      </c>
      <c r="AIQ15" s="579">
        <f t="shared" si="894"/>
        <v>622307.90000000014</v>
      </c>
      <c r="AIR15" s="574">
        <f t="shared" si="895"/>
        <v>608811.50099999993</v>
      </c>
      <c r="AIS15" s="730">
        <f t="shared" si="896"/>
        <v>473295.12</v>
      </c>
      <c r="AIT15" s="711">
        <f t="shared" si="897"/>
        <v>0.76054814666501891</v>
      </c>
      <c r="AIU15" s="593">
        <f>'Proy 2021 vs 2019 Sem'!KL14*$AIX$4</f>
        <v>65643.957599999994</v>
      </c>
      <c r="AIV15" s="593">
        <f>'Proy 2021 vs 2019 Sem'!KM14*$AIX$4</f>
        <v>96496.617671999993</v>
      </c>
      <c r="AIW15" s="735">
        <v>102892.12</v>
      </c>
      <c r="AIX15" s="700">
        <f t="shared" si="898"/>
        <v>1.5674271290431765</v>
      </c>
      <c r="AIY15" s="593">
        <f>'Proy 2021 vs 2019 Sem'!KL14*$AJB$4</f>
        <v>65643.957599999994</v>
      </c>
      <c r="AIZ15" s="593">
        <f>'Proy 2021 vs 2019 Sem'!KM14*$AJB$4</f>
        <v>96496.617671999993</v>
      </c>
      <c r="AJA15" s="735">
        <v>109537.42</v>
      </c>
      <c r="AJB15" s="700">
        <f t="shared" si="899"/>
        <v>1.6686595995242068</v>
      </c>
      <c r="AJC15" s="593">
        <f>'Proy 2021 vs 2019 Sem'!KL14*$AJF$4</f>
        <v>65643.957599999994</v>
      </c>
      <c r="AJD15" s="593">
        <f>'Proy 2021 vs 2019 Sem'!KM14*$AJF$4</f>
        <v>96496.617671999993</v>
      </c>
      <c r="AJE15" s="735">
        <v>161216.82</v>
      </c>
      <c r="AJF15" s="700">
        <f t="shared" si="900"/>
        <v>2.4559277943351794</v>
      </c>
      <c r="AJG15" s="593">
        <f>'Proy 2021 vs 2019 Sem'!KL14*$AJJ$4</f>
        <v>65643.957599999994</v>
      </c>
      <c r="AJH15" s="593">
        <f>'Proy 2021 vs 2019 Sem'!KM14*$AJJ$4</f>
        <v>96496.617671999993</v>
      </c>
      <c r="AJI15" s="735">
        <v>124350</v>
      </c>
      <c r="AJJ15" s="700">
        <f t="shared" si="901"/>
        <v>1.8943099189376116</v>
      </c>
      <c r="AJK15" s="593">
        <f>'Proy 2021 vs 2019 Sem'!KL14*$AJN$4</f>
        <v>76584.617200000008</v>
      </c>
      <c r="AJL15" s="593">
        <f>'Proy 2021 vs 2019 Sem'!KM14*$AJN$4</f>
        <v>112579.38728400001</v>
      </c>
      <c r="AJM15" s="735">
        <v>160187.99</v>
      </c>
      <c r="AJN15" s="700">
        <f t="shared" si="902"/>
        <v>2.0916470677351637</v>
      </c>
      <c r="AJO15" s="593">
        <f>'Proy 2021 vs 2019 Sem'!KL14*$AJR$4</f>
        <v>87525.276799999992</v>
      </c>
      <c r="AJP15" s="593">
        <f>'Proy 2021 vs 2019 Sem'!KM14*$AJR$4</f>
        <v>128662.156896</v>
      </c>
      <c r="AJQ15" s="735">
        <v>165451.19</v>
      </c>
      <c r="AJR15" s="700">
        <f t="shared" si="903"/>
        <v>1.8903246701871614</v>
      </c>
      <c r="AJS15" s="593">
        <f>'Proy 2021 vs 2019 Sem'!KL14*$AJV$4</f>
        <v>120347.25559999999</v>
      </c>
      <c r="AJT15" s="593">
        <f>'Proy 2021 vs 2019 Sem'!KM14*$AJV$4</f>
        <v>176910.46573200001</v>
      </c>
      <c r="AJU15" s="699">
        <v>0</v>
      </c>
      <c r="AJV15" s="700">
        <f t="shared" si="904"/>
        <v>0</v>
      </c>
      <c r="AJW15" s="579">
        <f t="shared" si="905"/>
        <v>547032.98</v>
      </c>
      <c r="AJX15" s="574">
        <f t="shared" si="906"/>
        <v>804138.48059999989</v>
      </c>
      <c r="AJY15" s="710">
        <f t="shared" si="907"/>
        <v>823635.54</v>
      </c>
      <c r="AJZ15" s="711">
        <f t="shared" si="908"/>
        <v>1.5056414697336897</v>
      </c>
      <c r="AKA15" s="593">
        <f>'Proy 2021 vs 2019 Sem'!KQ14*$AKD$4</f>
        <v>16391.7228</v>
      </c>
      <c r="AKB15" s="593">
        <f>'Proy 2021 vs 2019 Sem'!KR14*$AKD$4</f>
        <v>15572.13666</v>
      </c>
      <c r="AKC15" s="735">
        <v>18778.849999999999</v>
      </c>
      <c r="AKD15" s="700">
        <f t="shared" si="909"/>
        <v>1.1456300371306913</v>
      </c>
      <c r="AKE15" s="593">
        <f>'Proy 2021 vs 2019 Sem'!KQ14*$AKH$4</f>
        <v>16391.7228</v>
      </c>
      <c r="AKF15" s="593">
        <f>'Proy 2021 vs 2019 Sem'!KR14*$AKH$4</f>
        <v>15572.13666</v>
      </c>
      <c r="AKG15" s="735">
        <v>17940.919999999998</v>
      </c>
      <c r="AKH15" s="700">
        <f t="shared" si="910"/>
        <v>1.0945109442675542</v>
      </c>
      <c r="AKI15" s="593">
        <f>'Proy 2021 vs 2019 Sem'!KQ14*$AKL$4</f>
        <v>16391.7228</v>
      </c>
      <c r="AKJ15" s="593">
        <f>'Proy 2021 vs 2019 Sem'!KR14*$AKL$4</f>
        <v>15572.13666</v>
      </c>
      <c r="AKK15" s="735">
        <v>22139.759999999998</v>
      </c>
      <c r="AKL15" s="700">
        <f t="shared" si="911"/>
        <v>1.3506670574004582</v>
      </c>
      <c r="AKM15" s="593">
        <f>'Proy 2021 vs 2019 Sem'!KQ14*$AKP$4</f>
        <v>16391.7228</v>
      </c>
      <c r="AKN15" s="593">
        <f>'Proy 2021 vs 2019 Sem'!KR14*$AKP$4</f>
        <v>15572.13666</v>
      </c>
      <c r="AKO15" s="735">
        <v>17740.189999999999</v>
      </c>
      <c r="AKP15" s="700">
        <f t="shared" si="912"/>
        <v>1.082265129568931</v>
      </c>
      <c r="AKQ15" s="593">
        <f>'Proy 2021 vs 2019 Sem'!KQ14*$AKT$4</f>
        <v>19123.676600000003</v>
      </c>
      <c r="AKR15" s="593">
        <f>'Proy 2021 vs 2019 Sem'!KR14*$AKT$4</f>
        <v>18167.492770000001</v>
      </c>
      <c r="AKS15" s="735">
        <v>27671.17</v>
      </c>
      <c r="AKT15" s="700">
        <f t="shared" si="913"/>
        <v>1.4469586878498037</v>
      </c>
      <c r="AKU15" s="593">
        <f>'Proy 2021 vs 2019 Sem'!KQ14*$AKX$4</f>
        <v>21855.630400000002</v>
      </c>
      <c r="AKV15" s="593">
        <f>'Proy 2021 vs 2019 Sem'!KR14*$AKX$4</f>
        <v>20762.848880000001</v>
      </c>
      <c r="AKW15" s="735">
        <v>27151.1</v>
      </c>
      <c r="AKX15" s="700">
        <f t="shared" si="914"/>
        <v>1.2422931529808445</v>
      </c>
      <c r="AKY15" s="593">
        <f>'Proy 2021 vs 2019 Sem'!KQ14*$ALB$4</f>
        <v>30051.4918</v>
      </c>
      <c r="AKZ15" s="593">
        <f>'Proy 2021 vs 2019 Sem'!KR14*$ALB$4</f>
        <v>28548.91721</v>
      </c>
      <c r="ALA15" s="699">
        <v>0</v>
      </c>
      <c r="ALB15" s="700">
        <f>ALA15/AKY15</f>
        <v>0</v>
      </c>
      <c r="ALC15" s="579">
        <f t="shared" si="915"/>
        <v>136597.69</v>
      </c>
      <c r="ALD15" s="574">
        <f t="shared" si="916"/>
        <v>129767.8055</v>
      </c>
      <c r="ALE15" s="710">
        <f t="shared" si="917"/>
        <v>131421.99</v>
      </c>
      <c r="ALF15" s="711">
        <f t="shared" si="918"/>
        <v>0.9621099009800238</v>
      </c>
    </row>
    <row r="16" spans="2:994" ht="15.75" customHeight="1">
      <c r="B16" s="570" t="s">
        <v>18</v>
      </c>
      <c r="C16" s="574">
        <f>'Proy 2021 vs 2019 Sem'!DX15*$F$4</f>
        <v>13000.207199999999</v>
      </c>
      <c r="D16" s="576">
        <f>'Proy 2021 vs 2019 Sem'!$DY$15*F4</f>
        <v>9570.1554262693426</v>
      </c>
      <c r="E16" s="735">
        <v>8011.26</v>
      </c>
      <c r="F16" s="700">
        <f t="shared" si="580"/>
        <v>0.61624094729813239</v>
      </c>
      <c r="G16" s="574">
        <f>'Proy 2021 vs 2019 Sem'!DX15*$J$4</f>
        <v>13000.207199999999</v>
      </c>
      <c r="H16" s="574">
        <f>'Proy 2021 vs 2019 Sem'!$DY$15*J4</f>
        <v>9570.1554262693426</v>
      </c>
      <c r="I16" s="735">
        <v>14256.14</v>
      </c>
      <c r="J16" s="700">
        <f t="shared" si="581"/>
        <v>1.0966086755909552</v>
      </c>
      <c r="K16" s="574">
        <f>'Proy 2021 vs 2019 Sem'!DX15*'Vtas Diarias 2021'!$N$4</f>
        <v>13000.207199999999</v>
      </c>
      <c r="L16" s="574">
        <f>'Proy 2021 vs 2019 Sem'!$DY$15*N4</f>
        <v>9570.1554262693426</v>
      </c>
      <c r="M16" s="735">
        <v>9083.7000000000007</v>
      </c>
      <c r="N16" s="700">
        <f t="shared" si="582"/>
        <v>0.69873501708495855</v>
      </c>
      <c r="O16" s="574">
        <f>'Proy 2021 vs 2019 Sem'!DX15*$R$4</f>
        <v>13000.207199999999</v>
      </c>
      <c r="P16" s="574">
        <f>'Proy 2021 vs 2019 Sem'!$DY$15*R4</f>
        <v>9570.1554262693426</v>
      </c>
      <c r="Q16" s="735">
        <v>7760.66</v>
      </c>
      <c r="R16" s="700">
        <f t="shared" si="583"/>
        <v>0.59696433146080941</v>
      </c>
      <c r="S16" s="574">
        <f>'Proy 2021 vs 2019 Sem'!DX15*$V$4</f>
        <v>15166.9084</v>
      </c>
      <c r="T16" s="574">
        <f>'Proy 2021 vs 2019 Sem'!$DY$15*V4</f>
        <v>11165.181330647569</v>
      </c>
      <c r="U16" s="735">
        <v>9087.1200000000008</v>
      </c>
      <c r="V16" s="700">
        <f t="shared" si="584"/>
        <v>0.59914121984148072</v>
      </c>
      <c r="W16" s="574">
        <f>'Proy 2021 vs 2019 Sem'!DX15*$Z$4</f>
        <v>17333.6096</v>
      </c>
      <c r="X16" s="574">
        <f>'Proy 2021 vs 2019 Sem'!$DY$15*Z4</f>
        <v>12760.207235025791</v>
      </c>
      <c r="Y16" s="735">
        <v>9742.89</v>
      </c>
      <c r="Z16" s="700">
        <f t="shared" si="585"/>
        <v>0.56208084898831456</v>
      </c>
      <c r="AA16" s="574">
        <f>'Proy 2021 vs 2019 Sem'!DX15*$AD$4</f>
        <v>23833.713199999998</v>
      </c>
      <c r="AB16" s="574">
        <f>'Proy 2021 vs 2019 Sem'!$DY$15*AD4</f>
        <v>17545.284948160464</v>
      </c>
      <c r="AC16" s="735">
        <v>15723.25</v>
      </c>
      <c r="AD16" s="700">
        <f t="shared" si="586"/>
        <v>0.65970626851379588</v>
      </c>
      <c r="AE16" s="579">
        <f t="shared" si="587"/>
        <v>108335.06</v>
      </c>
      <c r="AF16" s="574">
        <f t="shared" si="588"/>
        <v>79751.295218911197</v>
      </c>
      <c r="AG16" s="729">
        <f t="shared" si="589"/>
        <v>73665.02</v>
      </c>
      <c r="AH16" s="711">
        <f t="shared" si="590"/>
        <v>0.67997396226115536</v>
      </c>
      <c r="AI16" s="593">
        <f>'Proy 2021 vs 2019 Sem'!EC15*$AL$4</f>
        <v>14889.8184</v>
      </c>
      <c r="AJ16" s="611">
        <f>'Proy 2021 vs 2019 Sem'!ED15*$AL$4</f>
        <v>9678.3819600000006</v>
      </c>
      <c r="AK16" s="735">
        <v>6826.83</v>
      </c>
      <c r="AL16" s="700">
        <f t="shared" si="591"/>
        <v>0.45848980938545225</v>
      </c>
      <c r="AM16" s="593">
        <f>'Proy 2021 vs 2019 Sem'!EC15*$AP$4</f>
        <v>14889.8184</v>
      </c>
      <c r="AN16" s="593">
        <f>'Proy 2021 vs 2019 Sem'!ED15*$AP$4</f>
        <v>9678.3819600000006</v>
      </c>
      <c r="AO16" s="735">
        <v>8575.91</v>
      </c>
      <c r="AP16" s="700">
        <f t="shared" si="592"/>
        <v>0.57595799825201355</v>
      </c>
      <c r="AQ16" s="593">
        <f>'Proy 2021 vs 2019 Sem'!EC15*$AT$4</f>
        <v>14889.8184</v>
      </c>
      <c r="AR16" s="593">
        <f>'Proy 2021 vs 2019 Sem'!ED15*$AT$4</f>
        <v>9678.3819600000006</v>
      </c>
      <c r="AS16" s="735">
        <v>10343.879999999999</v>
      </c>
      <c r="AT16" s="700">
        <f t="shared" si="593"/>
        <v>0.69469483926009457</v>
      </c>
      <c r="AU16" s="593">
        <f>'Proy 2021 vs 2019 Sem'!EC15*$AX$4</f>
        <v>14889.8184</v>
      </c>
      <c r="AV16" s="593">
        <f>'Proy 2021 vs 2019 Sem'!ED15*$AX$4</f>
        <v>9678.3819600000006</v>
      </c>
      <c r="AW16" s="735">
        <v>10343.52</v>
      </c>
      <c r="AX16" s="700">
        <f t="shared" si="594"/>
        <v>0.69467066166502078</v>
      </c>
      <c r="AY16" s="593">
        <f>'Proy 2021 vs 2019 Sem'!EC15*$BB$4</f>
        <v>17371.454800000003</v>
      </c>
      <c r="AZ16" s="593">
        <f>'Proy 2021 vs 2019 Sem'!ED15*$BB$4</f>
        <v>11291.445620000002</v>
      </c>
      <c r="BA16" s="735">
        <v>10571.14</v>
      </c>
      <c r="BB16" s="700">
        <f t="shared" si="595"/>
        <v>0.60853510092890994</v>
      </c>
      <c r="BC16" s="593">
        <f>'Proy 2021 vs 2019 Sem'!EC15*$BF$4</f>
        <v>19853.091200000003</v>
      </c>
      <c r="BD16" s="593">
        <f>'Proy 2021 vs 2019 Sem'!ED15*$BF$4</f>
        <v>12904.50928</v>
      </c>
      <c r="BE16" s="735">
        <v>13249.18</v>
      </c>
      <c r="BF16" s="700">
        <f t="shared" si="596"/>
        <v>0.66736106062918799</v>
      </c>
      <c r="BG16" s="593">
        <f>'Proy 2021 vs 2019 Sem'!EC15*$BJ$4</f>
        <v>27298.000400000001</v>
      </c>
      <c r="BH16" s="593">
        <f>'Proy 2021 vs 2019 Sem'!ED15*$BJ$4</f>
        <v>17743.700260000001</v>
      </c>
      <c r="BI16" s="735">
        <v>20207.240000000002</v>
      </c>
      <c r="BJ16" s="700">
        <f t="shared" si="597"/>
        <v>0.74024616103383167</v>
      </c>
      <c r="BK16" s="579">
        <f t="shared" si="598"/>
        <v>124081.82000000002</v>
      </c>
      <c r="BL16" s="574">
        <f t="shared" si="599"/>
        <v>80653.183000000005</v>
      </c>
      <c r="BM16" s="730">
        <f t="shared" si="600"/>
        <v>80117.7</v>
      </c>
      <c r="BN16" s="711">
        <f t="shared" si="601"/>
        <v>0.64568443628567007</v>
      </c>
      <c r="BO16" s="593">
        <f>'Proy 2021 vs 2019 Sem'!EH15*$BR$4</f>
        <v>14786.393999999998</v>
      </c>
      <c r="BP16" s="593">
        <f>'Proy 2021 vs 2019 Sem'!EI15*$BR$4</f>
        <v>10350.475799999998</v>
      </c>
      <c r="BQ16" s="735">
        <v>9230.61</v>
      </c>
      <c r="BR16" s="700">
        <f t="shared" si="602"/>
        <v>0.62426376572949438</v>
      </c>
      <c r="BS16" s="593">
        <f>'Proy 2021 vs 2019 Sem'!EH15*$BV$4</f>
        <v>14786.393999999998</v>
      </c>
      <c r="BT16" s="593">
        <f>'Proy 2021 vs 2019 Sem'!EI15*$BV$4</f>
        <v>10350.475799999998</v>
      </c>
      <c r="BU16" s="735">
        <v>10435.84</v>
      </c>
      <c r="BV16" s="700">
        <f t="shared" si="603"/>
        <v>0.70577315875662461</v>
      </c>
      <c r="BW16" s="593">
        <f>'Proy 2021 vs 2019 Sem'!EH15*$BZ$4</f>
        <v>14786.393999999998</v>
      </c>
      <c r="BX16" s="593">
        <f>'Proy 2021 vs 2019 Sem'!EI15*$BZ$4</f>
        <v>10350.475799999998</v>
      </c>
      <c r="BY16" s="735">
        <v>6905.55</v>
      </c>
      <c r="BZ16" s="700">
        <f t="shared" si="604"/>
        <v>0.46702055957659461</v>
      </c>
      <c r="CA16" s="593">
        <f>'Proy 2021 vs 2019 Sem'!EH15*$CD$4</f>
        <v>14786.393999999998</v>
      </c>
      <c r="CB16" s="593">
        <f>'Proy 2021 vs 2019 Sem'!EI15*$CD$4</f>
        <v>10350.475799999998</v>
      </c>
      <c r="CC16" s="735">
        <v>11762</v>
      </c>
      <c r="CD16" s="700">
        <f t="shared" si="605"/>
        <v>0.79546101639114997</v>
      </c>
      <c r="CE16" s="593">
        <f>'Proy 2021 vs 2019 Sem'!EH15*$CH$4</f>
        <v>17250.793000000001</v>
      </c>
      <c r="CF16" s="593">
        <f>'Proy 2021 vs 2019 Sem'!EI15*$CH$4</f>
        <v>12075.555100000001</v>
      </c>
      <c r="CG16" s="735">
        <v>11298.01</v>
      </c>
      <c r="CH16" s="700">
        <f t="shared" si="606"/>
        <v>0.65492699379095209</v>
      </c>
      <c r="CI16" s="593">
        <f>'Proy 2021 vs 2019 Sem'!EH15*$CL$4</f>
        <v>19715.191999999999</v>
      </c>
      <c r="CJ16" s="593">
        <f>'Proy 2021 vs 2019 Sem'!EI15*$CL$4</f>
        <v>13800.634399999999</v>
      </c>
      <c r="CK16" s="735">
        <v>16048.38</v>
      </c>
      <c r="CL16" s="700">
        <f t="shared" si="607"/>
        <v>0.81401083996544388</v>
      </c>
      <c r="CM16" s="593">
        <f>'Proy 2021 vs 2019 Sem'!EH15*$CP$4</f>
        <v>27108.388999999999</v>
      </c>
      <c r="CN16" s="593">
        <f>'Proy 2021 vs 2019 Sem'!EI15*$CP$4</f>
        <v>18975.872299999999</v>
      </c>
      <c r="CO16" s="735">
        <v>26753.759999999998</v>
      </c>
      <c r="CP16" s="700">
        <f t="shared" si="608"/>
        <v>0.98691810863419438</v>
      </c>
      <c r="CQ16" s="579">
        <f t="shared" si="609"/>
        <v>123219.94999999998</v>
      </c>
      <c r="CR16" s="574">
        <f t="shared" si="610"/>
        <v>86253.964999999997</v>
      </c>
      <c r="CS16" s="730">
        <f t="shared" si="611"/>
        <v>92434.15</v>
      </c>
      <c r="CT16" s="711">
        <f t="shared" si="612"/>
        <v>0.75015571747919074</v>
      </c>
      <c r="CU16" s="593">
        <f>'Proy 2021 vs 2019 Sem'!EM15*$CX$4</f>
        <v>13497.704399999999</v>
      </c>
      <c r="CV16" s="593">
        <f>'Proy 2021 vs 2019 Sem'!EN15*$CX$4</f>
        <v>9448.3930799999998</v>
      </c>
      <c r="CW16" s="735">
        <v>9695.23</v>
      </c>
      <c r="CX16" s="700">
        <f t="shared" si="613"/>
        <v>0.71828732595447864</v>
      </c>
      <c r="CY16" s="593">
        <f>'Proy 2021 vs 2019 Sem'!EM15*$DB$4</f>
        <v>13497.704399999999</v>
      </c>
      <c r="CZ16" s="593">
        <f>'Proy 2021 vs 2019 Sem'!EN15*$DB$4</f>
        <v>9448.3930799999998</v>
      </c>
      <c r="DA16" s="735">
        <v>8967.9500000000007</v>
      </c>
      <c r="DB16" s="700">
        <f t="shared" si="614"/>
        <v>0.66440557106881093</v>
      </c>
      <c r="DC16" s="593">
        <f>'Proy 2021 vs 2019 Sem'!EM15*$DF$4</f>
        <v>13497.704399999999</v>
      </c>
      <c r="DD16" s="593">
        <f>'Proy 2021 vs 2019 Sem'!EN15*$DF$4</f>
        <v>9448.3930799999998</v>
      </c>
      <c r="DE16" s="735">
        <v>16546</v>
      </c>
      <c r="DF16" s="700">
        <f t="shared" si="615"/>
        <v>1.2258380765843413</v>
      </c>
      <c r="DG16" s="593">
        <f>'Proy 2021 vs 2019 Sem'!EM15*$DJ$4</f>
        <v>13497.704399999999</v>
      </c>
      <c r="DH16" s="593">
        <f>'Proy 2021 vs 2019 Sem'!EN15*$DJ$4</f>
        <v>9448.3930799999998</v>
      </c>
      <c r="DI16" s="735">
        <v>7216.01</v>
      </c>
      <c r="DJ16" s="700">
        <f t="shared" si="616"/>
        <v>0.53461016674805839</v>
      </c>
      <c r="DK16" s="593">
        <f>'Proy 2021 vs 2019 Sem'!EM15*$DN$4</f>
        <v>15747.321800000002</v>
      </c>
      <c r="DL16" s="593">
        <f>'Proy 2021 vs 2019 Sem'!EN15*$DN$4</f>
        <v>11023.125260000001</v>
      </c>
      <c r="DM16" s="735">
        <v>8812.2999999999993</v>
      </c>
      <c r="DN16" s="700">
        <f t="shared" si="617"/>
        <v>0.55960626904823896</v>
      </c>
      <c r="DO16" s="593">
        <f>'Proy 2021 vs 2019 Sem'!EM15*$DR$4</f>
        <v>17996.939200000001</v>
      </c>
      <c r="DP16" s="593">
        <f>'Proy 2021 vs 2019 Sem'!EN15*$DR$4</f>
        <v>12597.85744</v>
      </c>
      <c r="DQ16" s="735">
        <v>16130.23</v>
      </c>
      <c r="DR16" s="700">
        <f t="shared" si="618"/>
        <v>0.89627629569365874</v>
      </c>
      <c r="DS16" s="593">
        <f>'Proy 2021 vs 2019 Sem'!EM15*$DV$4</f>
        <v>24745.791399999998</v>
      </c>
      <c r="DT16" s="593">
        <f>'Proy 2021 vs 2019 Sem'!EN15*$DV$4</f>
        <v>17322.053980000001</v>
      </c>
      <c r="DU16" s="735">
        <v>22636.5</v>
      </c>
      <c r="DV16" s="700">
        <f t="shared" si="619"/>
        <v>0.91476161073595741</v>
      </c>
      <c r="DW16" s="579">
        <f t="shared" si="620"/>
        <v>112480.87000000001</v>
      </c>
      <c r="DX16" s="574">
        <f t="shared" si="621"/>
        <v>78736.608999999997</v>
      </c>
      <c r="DY16" s="710">
        <f t="shared" si="622"/>
        <v>90004.22</v>
      </c>
      <c r="DZ16" s="711">
        <f t="shared" si="623"/>
        <v>0.80017357618233209</v>
      </c>
      <c r="EA16" s="593">
        <f>'Proy 2021 vs 2019 Sem'!ER15*$ED$4</f>
        <v>13560.351599999998</v>
      </c>
      <c r="EB16" s="593">
        <f>'Proy 2021 vs 2019 Sem'!ES15*$ED$4</f>
        <v>8814.2285400000001</v>
      </c>
      <c r="EC16" s="735">
        <v>10767.36</v>
      </c>
      <c r="ED16" s="700">
        <f t="shared" si="624"/>
        <v>0.79403250871459718</v>
      </c>
      <c r="EE16" s="593">
        <f>'Proy 2021 vs 2019 Sem'!ER15*$EH$4</f>
        <v>13560.351599999998</v>
      </c>
      <c r="EF16" s="593">
        <f>'Proy 2021 vs 2019 Sem'!ES15*$EH$4</f>
        <v>8814.2285400000001</v>
      </c>
      <c r="EG16" s="735">
        <v>10499.2</v>
      </c>
      <c r="EH16" s="700">
        <f t="shared" si="625"/>
        <v>0.77425721026289629</v>
      </c>
      <c r="EI16" s="593">
        <f>'Proy 2021 vs 2019 Sem'!ER15*$EL$4</f>
        <v>13560.351599999998</v>
      </c>
      <c r="EJ16" s="593">
        <f>'Proy 2021 vs 2019 Sem'!ES15*$EL$4</f>
        <v>8814.2285400000001</v>
      </c>
      <c r="EK16" s="735">
        <v>11485.62</v>
      </c>
      <c r="EL16" s="700">
        <f t="shared" si="626"/>
        <v>0.84700016185421045</v>
      </c>
      <c r="EM16" s="593">
        <f>'Proy 2021 vs 2019 Sem'!ER15*$EP$4</f>
        <v>13560.351599999998</v>
      </c>
      <c r="EN16" s="593">
        <f>'Proy 2021 vs 2019 Sem'!ES15*$EP$4</f>
        <v>8814.2285400000001</v>
      </c>
      <c r="EO16" s="735">
        <v>9055.51</v>
      </c>
      <c r="EP16" s="700">
        <f t="shared" si="627"/>
        <v>0.66779315663172045</v>
      </c>
      <c r="EQ16" s="593">
        <f>'Proy 2021 vs 2019 Sem'!ER15*$ET$4</f>
        <v>15820.4102</v>
      </c>
      <c r="ER16" s="593">
        <f>'Proy 2021 vs 2019 Sem'!ES15*$ET$4</f>
        <v>10283.266630000002</v>
      </c>
      <c r="ES16" s="735">
        <v>13242.45</v>
      </c>
      <c r="ET16" s="700">
        <f t="shared" si="628"/>
        <v>0.83704846034902436</v>
      </c>
      <c r="EU16" s="593">
        <f>'Proy 2021 vs 2019 Sem'!ER15*$EX$4</f>
        <v>18080.468799999999</v>
      </c>
      <c r="EV16" s="593">
        <f>'Proy 2021 vs 2019 Sem'!ES15*$EX$4</f>
        <v>11752.30472</v>
      </c>
      <c r="EW16" s="735">
        <v>16428.810000000001</v>
      </c>
      <c r="EX16" s="700">
        <f t="shared" si="629"/>
        <v>0.90864955890966737</v>
      </c>
      <c r="EY16" s="593">
        <f>'Proy 2021 vs 2019 Sem'!ER15*$FB$4</f>
        <v>24860.6446</v>
      </c>
      <c r="EZ16" s="593">
        <f>'Proy 2021 vs 2019 Sem'!ES15*$FB$4</f>
        <v>16159.41899</v>
      </c>
      <c r="FA16" s="699">
        <v>22694.94</v>
      </c>
      <c r="FB16" s="700">
        <f t="shared" si="630"/>
        <v>0.91288622500158334</v>
      </c>
      <c r="FC16" s="579">
        <f t="shared" si="631"/>
        <v>113002.93</v>
      </c>
      <c r="FD16" s="574">
        <f t="shared" si="632"/>
        <v>73451.904500000004</v>
      </c>
      <c r="FE16" s="710">
        <f t="shared" si="633"/>
        <v>94173.89</v>
      </c>
      <c r="FF16" s="711">
        <f t="shared" si="634"/>
        <v>0.83337564787036944</v>
      </c>
      <c r="FG16" s="593">
        <f>'Proy 2021 vs 2019 Sem'!FA15*$FJ$4</f>
        <v>12991.7076</v>
      </c>
      <c r="FH16" s="593">
        <f>'Proy 2021 vs 2019 Sem'!FB15*$FJ$4</f>
        <v>9094.1953199999989</v>
      </c>
      <c r="FI16" s="735">
        <v>8630.1</v>
      </c>
      <c r="FJ16" s="700">
        <f t="shared" si="635"/>
        <v>0.66427757348849203</v>
      </c>
      <c r="FK16" s="593">
        <f>'Proy 2021 vs 2019 Sem'!FA15*$FN$4</f>
        <v>12991.7076</v>
      </c>
      <c r="FL16" s="593">
        <f>'Proy 2021 vs 2019 Sem'!FB15*$FN$4</f>
        <v>9094.1953199999989</v>
      </c>
      <c r="FM16" s="735">
        <v>20107.93</v>
      </c>
      <c r="FN16" s="700">
        <f t="shared" si="636"/>
        <v>1.5477511208765198</v>
      </c>
      <c r="FO16" s="593">
        <f>'Proy 2021 vs 2019 Sem'!FA15*$FR$4</f>
        <v>12991.7076</v>
      </c>
      <c r="FP16" s="593">
        <f>'Proy 2021 vs 2019 Sem'!FB15*$FR$4</f>
        <v>9094.1953199999989</v>
      </c>
      <c r="FQ16" s="735">
        <v>11032.01</v>
      </c>
      <c r="FR16" s="700">
        <f t="shared" si="637"/>
        <v>0.84915781201849094</v>
      </c>
      <c r="FS16" s="593">
        <f>'Proy 2021 vs 2019 Sem'!FA15*$FV$4</f>
        <v>12991.7076</v>
      </c>
      <c r="FT16" s="593">
        <f>'Proy 2021 vs 2019 Sem'!FB15*$FV$4</f>
        <v>9094.1953199999989</v>
      </c>
      <c r="FU16" s="735">
        <v>11058.08</v>
      </c>
      <c r="FV16" s="700">
        <f t="shared" si="638"/>
        <v>0.85116447663892925</v>
      </c>
      <c r="FW16" s="593">
        <f>'Proy 2021 vs 2019 Sem'!FA15*$FZ$4</f>
        <v>15156.992200000001</v>
      </c>
      <c r="FX16" s="593">
        <f>'Proy 2021 vs 2019 Sem'!FB15*$FZ$4</f>
        <v>10609.894540000001</v>
      </c>
      <c r="FY16" s="735">
        <v>11070.98</v>
      </c>
      <c r="FZ16" s="700">
        <f t="shared" si="639"/>
        <v>0.7304206437475107</v>
      </c>
      <c r="GA16" s="593">
        <f>'Proy 2021 vs 2019 Sem'!FA15*$GD$4</f>
        <v>17322.2768</v>
      </c>
      <c r="GB16" s="593">
        <f>'Proy 2021 vs 2019 Sem'!FB15*$GD$4</f>
        <v>12125.59376</v>
      </c>
      <c r="GC16" s="735">
        <v>15398.83</v>
      </c>
      <c r="GD16" s="700">
        <f t="shared" si="640"/>
        <v>0.88896108622395409</v>
      </c>
      <c r="GE16" s="593">
        <f>'Proy 2021 vs 2019 Sem'!FA15*$GH$4</f>
        <v>23818.1306</v>
      </c>
      <c r="GF16" s="593">
        <f>'Proy 2021 vs 2019 Sem'!FB15*$GH$4</f>
        <v>16672.691419999999</v>
      </c>
      <c r="GG16" s="735">
        <v>24167.32</v>
      </c>
      <c r="GH16" s="700">
        <f t="shared" si="641"/>
        <v>1.0146606551901265</v>
      </c>
      <c r="GI16" s="579">
        <f t="shared" si="642"/>
        <v>108264.23000000001</v>
      </c>
      <c r="GJ16" s="574">
        <f t="shared" si="643"/>
        <v>75784.960999999996</v>
      </c>
      <c r="GK16" s="759">
        <f t="shared" si="644"/>
        <v>101465.25</v>
      </c>
      <c r="GL16" s="761">
        <f t="shared" si="645"/>
        <v>0.93720012602500369</v>
      </c>
      <c r="GM16" s="593">
        <f>'Proy 2021 vs 2019 Sem'!FF15*$GP$4</f>
        <v>14929.9908</v>
      </c>
      <c r="GN16" s="593">
        <f>'Proy 2021 vs 2019 Sem'!FG15*$GP$4</f>
        <v>11346.793007999999</v>
      </c>
      <c r="GO16" s="735">
        <v>9696.1200000000008</v>
      </c>
      <c r="GP16" s="700">
        <f t="shared" si="646"/>
        <v>0.64943911418887146</v>
      </c>
      <c r="GQ16" s="593">
        <f>'Proy 2021 vs 2019 Sem'!FF15*$GT$4</f>
        <v>14929.9908</v>
      </c>
      <c r="GR16" s="593">
        <f>'Proy 2021 vs 2019 Sem'!FG15*$GT$4</f>
        <v>11346.793007999999</v>
      </c>
      <c r="GS16" s="735">
        <v>13157.51</v>
      </c>
      <c r="GT16" s="700">
        <f t="shared" si="647"/>
        <v>0.88128051626126924</v>
      </c>
      <c r="GU16" s="593">
        <f>'Proy 2021 vs 2019 Sem'!FF15*$GX$4</f>
        <v>14929.9908</v>
      </c>
      <c r="GV16" s="593">
        <f>'Proy 2021 vs 2019 Sem'!FG15*$GX$4</f>
        <v>11346.793007999999</v>
      </c>
      <c r="GW16" s="735">
        <v>10762.46</v>
      </c>
      <c r="GX16" s="700">
        <f t="shared" si="648"/>
        <v>0.72086179718208532</v>
      </c>
      <c r="GY16" s="593">
        <f>'Proy 2021 vs 2019 Sem'!FF15*$HB$4</f>
        <v>14929.9908</v>
      </c>
      <c r="GZ16" s="593">
        <f>'Proy 2021 vs 2019 Sem'!FG15*$HB$4</f>
        <v>11346.793007999999</v>
      </c>
      <c r="HA16" s="735">
        <v>9565.76</v>
      </c>
      <c r="HB16" s="700">
        <f t="shared" si="649"/>
        <v>0.64070769554660412</v>
      </c>
      <c r="HC16" s="593">
        <f>'Proy 2021 vs 2019 Sem'!FF15*$HF$4</f>
        <v>17418.3226</v>
      </c>
      <c r="HD16" s="593">
        <f>'Proy 2021 vs 2019 Sem'!FG15*$HF$4</f>
        <v>13237.925176000001</v>
      </c>
      <c r="HE16" s="735">
        <v>13531.58</v>
      </c>
      <c r="HF16" s="700">
        <f t="shared" si="650"/>
        <v>0.77685896114933595</v>
      </c>
      <c r="HG16" s="593">
        <f>'Proy 2021 vs 2019 Sem'!FF15*$HJ$4</f>
        <v>19906.654399999999</v>
      </c>
      <c r="HH16" s="593">
        <f>'Proy 2021 vs 2019 Sem'!FG15*$HJ$4</f>
        <v>15129.057344000001</v>
      </c>
      <c r="HI16" s="735">
        <v>16046.62</v>
      </c>
      <c r="HJ16" s="700">
        <f t="shared" si="651"/>
        <v>0.80609326296436845</v>
      </c>
      <c r="HK16" s="593">
        <f>'Proy 2021 vs 2019 Sem'!FF15*$HN$4</f>
        <v>27371.649799999999</v>
      </c>
      <c r="HL16" s="593">
        <f>'Proy 2021 vs 2019 Sem'!FG15*$HN$4</f>
        <v>20802.453848000001</v>
      </c>
      <c r="HM16" s="735">
        <v>17680.439999999999</v>
      </c>
      <c r="HN16" s="700">
        <f t="shared" si="652"/>
        <v>0.64593987316029444</v>
      </c>
      <c r="HO16" s="579">
        <f t="shared" si="653"/>
        <v>124416.59</v>
      </c>
      <c r="HP16" s="574">
        <f t="shared" si="654"/>
        <v>94556.608399999997</v>
      </c>
      <c r="HQ16" s="765">
        <f t="shared" si="655"/>
        <v>90440.49</v>
      </c>
      <c r="HR16" s="761">
        <f t="shared" si="656"/>
        <v>0.72691664351193042</v>
      </c>
      <c r="HS16" s="593">
        <f>'Proy 2021 vs 2019 Sem'!FK15*$CX$4</f>
        <v>13518.1152</v>
      </c>
      <c r="HT16" s="593">
        <f>'Proy 2021 vs 2019 Sem'!FL15*$CX$4</f>
        <v>10679.311008000001</v>
      </c>
      <c r="HU16" s="735">
        <v>10835.86</v>
      </c>
      <c r="HV16" s="700">
        <f t="shared" si="657"/>
        <v>0.80158068189861265</v>
      </c>
      <c r="HW16" s="593">
        <f>'Proy 2021 vs 2019 Sem'!FK15*$DB$4</f>
        <v>13518.1152</v>
      </c>
      <c r="HX16" s="593">
        <f>'Proy 2021 vs 2019 Sem'!FL15*$DB$4</f>
        <v>10679.311008000001</v>
      </c>
      <c r="HY16" s="735">
        <v>9883.3799999999992</v>
      </c>
      <c r="HZ16" s="700">
        <f t="shared" si="658"/>
        <v>0.73112115511487863</v>
      </c>
      <c r="IA16" s="593">
        <f>'Proy 2021 vs 2019 Sem'!FK15*$DF$4</f>
        <v>13518.1152</v>
      </c>
      <c r="IB16" s="593">
        <f>'Proy 2021 vs 2019 Sem'!FL15*$DF$4</f>
        <v>10679.311008000001</v>
      </c>
      <c r="IC16" s="735">
        <v>12711.48</v>
      </c>
      <c r="ID16" s="700">
        <f t="shared" si="659"/>
        <v>0.94032931454822932</v>
      </c>
      <c r="IE16" s="593">
        <f>'Proy 2021 vs 2019 Sem'!FK15*$DJ$4</f>
        <v>13518.1152</v>
      </c>
      <c r="IF16" s="593">
        <f>'Proy 2021 vs 2019 Sem'!FL15*$DJ$4</f>
        <v>10679.311008000001</v>
      </c>
      <c r="IG16" s="735">
        <v>10935.14</v>
      </c>
      <c r="IH16" s="700">
        <f t="shared" si="660"/>
        <v>0.80892490100986858</v>
      </c>
      <c r="II16" s="593">
        <f>'Proy 2021 vs 2019 Sem'!FK15*$DN$4</f>
        <v>15771.134400000003</v>
      </c>
      <c r="IJ16" s="593">
        <f>'Proy 2021 vs 2019 Sem'!FL15*$DN$4</f>
        <v>12459.196176000001</v>
      </c>
      <c r="IK16" s="735">
        <v>7898.15</v>
      </c>
      <c r="IL16" s="700">
        <f t="shared" si="661"/>
        <v>0.50079783734516892</v>
      </c>
      <c r="IM16" s="593">
        <f>'Proy 2021 vs 2019 Sem'!FK15*$DR$4</f>
        <v>18024.153600000001</v>
      </c>
      <c r="IN16" s="593">
        <f>'Proy 2021 vs 2019 Sem'!FL15*$DR$4</f>
        <v>14239.081344000002</v>
      </c>
      <c r="IO16" s="1410">
        <v>15027.07</v>
      </c>
      <c r="IP16" s="700">
        <f t="shared" si="662"/>
        <v>0.83371848318025865</v>
      </c>
      <c r="IQ16" s="593">
        <f>'Proy 2021 vs 2019 Sem'!FK15*$IT$4</f>
        <v>24783.211200000002</v>
      </c>
      <c r="IR16" s="593">
        <f>'Proy 2021 vs 2019 Sem'!FL15*$IT$4</f>
        <v>19578.736848</v>
      </c>
      <c r="IS16" s="735">
        <v>25201.57</v>
      </c>
      <c r="IT16" s="700">
        <f t="shared" si="663"/>
        <v>1.0168807341641022</v>
      </c>
      <c r="IU16" s="579">
        <f t="shared" si="664"/>
        <v>112650.96000000002</v>
      </c>
      <c r="IV16" s="574">
        <f t="shared" si="665"/>
        <v>88994.258400000006</v>
      </c>
      <c r="IW16" s="765">
        <f t="shared" si="666"/>
        <v>92492.65</v>
      </c>
      <c r="IX16" s="761">
        <f t="shared" si="667"/>
        <v>0.82105514236185806</v>
      </c>
      <c r="IY16" s="593">
        <f>'Proy 2021 vs 2019 Sem'!FP15*$JB$4</f>
        <v>12499.517999999998</v>
      </c>
      <c r="IZ16" s="593">
        <f>'Proy 2021 vs 2019 Sem'!FQ15*$JB$4</f>
        <v>9499.633679999999</v>
      </c>
      <c r="JA16" s="735">
        <v>8064.06</v>
      </c>
      <c r="JB16" s="700">
        <f t="shared" si="668"/>
        <v>0.64514967697154413</v>
      </c>
      <c r="JC16" s="593">
        <f>'Proy 2021 vs 2019 Sem'!FP15*$JF$4</f>
        <v>12499.517999999998</v>
      </c>
      <c r="JD16" s="593">
        <f>'Proy 2021 vs 2019 Sem'!FQ15*$JF$4</f>
        <v>9499.633679999999</v>
      </c>
      <c r="JE16" s="735">
        <v>10326.879999999999</v>
      </c>
      <c r="JF16" s="700">
        <f t="shared" si="669"/>
        <v>0.82618225758785269</v>
      </c>
      <c r="JG16" s="593">
        <f>'Proy 2021 vs 2019 Sem'!FP15*$JJ$4</f>
        <v>12499.517999999998</v>
      </c>
      <c r="JH16" s="593">
        <f>'Proy 2021 vs 2019 Sem'!FQ15*$JJ$4</f>
        <v>9499.633679999999</v>
      </c>
      <c r="JI16" s="735">
        <v>11166.71</v>
      </c>
      <c r="JJ16" s="700">
        <f t="shared" si="670"/>
        <v>0.89337124839533821</v>
      </c>
      <c r="JK16" s="593">
        <f>'Proy 2021 vs 2019 Sem'!FP15*$JN$4</f>
        <v>12499.517999999998</v>
      </c>
      <c r="JL16" s="593">
        <f>'Proy 2021 vs 2019 Sem'!FQ15*$JN$4</f>
        <v>9499.633679999999</v>
      </c>
      <c r="JM16" s="735">
        <v>6536.37</v>
      </c>
      <c r="JN16" s="700">
        <f t="shared" si="671"/>
        <v>0.52292976417170656</v>
      </c>
      <c r="JO16" s="593">
        <f>'Proy 2021 vs 2019 Sem'!FP15*$JR$4</f>
        <v>14582.771000000001</v>
      </c>
      <c r="JP16" s="593">
        <f>'Proy 2021 vs 2019 Sem'!FQ15*$JR$4</f>
        <v>11082.905960000002</v>
      </c>
      <c r="JQ16" s="735">
        <v>8966.69</v>
      </c>
      <c r="JR16" s="700">
        <f t="shared" si="672"/>
        <v>0.61488245272451991</v>
      </c>
      <c r="JS16" s="593">
        <f>'Proy 2021 vs 2019 Sem'!FP15*$JV$4</f>
        <v>16666.023999999998</v>
      </c>
      <c r="JT16" s="593">
        <f>'Proy 2021 vs 2019 Sem'!FQ15*$JV$4</f>
        <v>12666.178240000001</v>
      </c>
      <c r="JU16" s="735">
        <v>21577.25</v>
      </c>
      <c r="JV16" s="700">
        <f t="shared" si="673"/>
        <v>1.294684923050633</v>
      </c>
      <c r="JW16" s="593">
        <f>'Proy 2021 vs 2019 Sem'!FP15*$JZ$4</f>
        <v>22915.782999999999</v>
      </c>
      <c r="JX16" s="593">
        <f>'Proy 2021 vs 2019 Sem'!FQ15*$JZ$4</f>
        <v>17415.995080000001</v>
      </c>
      <c r="JY16" s="735">
        <v>16259.72</v>
      </c>
      <c r="JZ16" s="700">
        <f t="shared" si="674"/>
        <v>0.70954241450095767</v>
      </c>
      <c r="KA16" s="579">
        <f t="shared" si="675"/>
        <v>104162.65</v>
      </c>
      <c r="KB16" s="574">
        <f t="shared" si="676"/>
        <v>79163.614000000001</v>
      </c>
      <c r="KC16" s="770">
        <f t="shared" si="677"/>
        <v>82897.679999999993</v>
      </c>
      <c r="KD16" s="761">
        <f t="shared" si="678"/>
        <v>0.79584841591491762</v>
      </c>
      <c r="KE16" s="593">
        <f>'Proy 2021 vs 2019 Sem'!FY15*$KH$4</f>
        <v>14613.374399999999</v>
      </c>
      <c r="KF16" s="593">
        <f>'Proy 2021 vs 2019 Sem'!FZ15*$KH$4</f>
        <v>10960.030799999999</v>
      </c>
      <c r="KG16" s="735">
        <v>8551.86</v>
      </c>
      <c r="KH16" s="700">
        <f t="shared" si="679"/>
        <v>0.58520775324828478</v>
      </c>
      <c r="KI16" s="593">
        <f>'Proy 2021 vs 2019 Sem'!FY15*$KL$4</f>
        <v>14613.374399999999</v>
      </c>
      <c r="KJ16" s="593">
        <f>'Proy 2021 vs 2019 Sem'!FZ15*$KL$4</f>
        <v>10960.030799999999</v>
      </c>
      <c r="KK16" s="735">
        <v>9858.9699999999993</v>
      </c>
      <c r="KL16" s="700">
        <f t="shared" si="680"/>
        <v>0.67465389787043295</v>
      </c>
      <c r="KM16" s="593">
        <f>'Proy 2021 vs 2019 Sem'!FY15*$KP$4</f>
        <v>14613.374399999999</v>
      </c>
      <c r="KN16" s="593">
        <f>'Proy 2021 vs 2019 Sem'!FZ15*$KP$4</f>
        <v>10960.030799999999</v>
      </c>
      <c r="KO16" s="735">
        <v>8207.7900000000009</v>
      </c>
      <c r="KP16" s="700">
        <f t="shared" si="681"/>
        <v>0.56166288328313829</v>
      </c>
      <c r="KQ16" s="593">
        <f>'Proy 2021 vs 2019 Sem'!FY15*$KT$4</f>
        <v>14613.374399999999</v>
      </c>
      <c r="KR16" s="593">
        <f>'Proy 2021 vs 2019 Sem'!FZ15*$KT$4</f>
        <v>10960.030799999999</v>
      </c>
      <c r="KS16" s="735">
        <v>7804.97</v>
      </c>
      <c r="KT16" s="700">
        <f t="shared" si="682"/>
        <v>0.53409772352099605</v>
      </c>
      <c r="KU16" s="593">
        <f>'Proy 2021 vs 2019 Sem'!FY15*$KX$4</f>
        <v>17048.936799999999</v>
      </c>
      <c r="KV16" s="593">
        <f>'Proy 2021 vs 2019 Sem'!FZ15*$KX$4</f>
        <v>12786.702600000001</v>
      </c>
      <c r="KW16" s="735">
        <v>12969.14</v>
      </c>
      <c r="KX16" s="700">
        <f t="shared" si="683"/>
        <v>0.76070080804100348</v>
      </c>
      <c r="KY16" s="593">
        <f>'Proy 2021 vs 2019 Sem'!FY15*$LB$4</f>
        <v>19484.499199999998</v>
      </c>
      <c r="KZ16" s="593">
        <f>'Proy 2021 vs 2019 Sem'!FZ15*$LB$4</f>
        <v>14613.374400000001</v>
      </c>
      <c r="LA16" s="735">
        <v>14002.59</v>
      </c>
      <c r="LB16" s="700">
        <f t="shared" si="684"/>
        <v>0.71865280478956328</v>
      </c>
      <c r="LC16" s="593">
        <f>'Proy 2021 vs 2019 Sem'!FY15*$LF$4</f>
        <v>26791.186399999999</v>
      </c>
      <c r="LD16" s="593">
        <f>'Proy 2021 vs 2019 Sem'!FZ15*$LF$4</f>
        <v>20093.389800000001</v>
      </c>
      <c r="LE16" s="735">
        <v>28086.71</v>
      </c>
      <c r="LF16" s="700">
        <f t="shared" si="685"/>
        <v>1.0483563355745977</v>
      </c>
      <c r="LG16" s="579">
        <f t="shared" si="686"/>
        <v>121778.12</v>
      </c>
      <c r="LH16" s="574">
        <f t="shared" si="687"/>
        <v>91333.59</v>
      </c>
      <c r="LI16" s="793">
        <f t="shared" si="688"/>
        <v>89482.03</v>
      </c>
      <c r="LJ16" s="786">
        <f t="shared" si="689"/>
        <v>0.73479562666922438</v>
      </c>
      <c r="LK16" s="593">
        <f>'Proy 2021 vs 2019 Sem'!GD15*$LN$4</f>
        <v>13457.607599999999</v>
      </c>
      <c r="LL16" s="593">
        <f>'Proy 2021 vs 2019 Sem'!GE15*$LN$4</f>
        <v>10900.662156</v>
      </c>
      <c r="LM16" s="735">
        <v>8430.99</v>
      </c>
      <c r="LN16" s="700">
        <f t="shared" si="690"/>
        <v>0.62648505221685913</v>
      </c>
      <c r="LO16" s="593">
        <f>'Proy 2021 vs 2019 Sem'!GD15*$LR$4</f>
        <v>13457.607599999999</v>
      </c>
      <c r="LP16" s="593">
        <f>'Proy 2021 vs 2019 Sem'!GE15*$LR$4</f>
        <v>10900.662156</v>
      </c>
      <c r="LQ16" s="735">
        <v>10411.07</v>
      </c>
      <c r="LR16" s="700">
        <f t="shared" si="691"/>
        <v>0.77361967367810602</v>
      </c>
      <c r="LS16" s="593">
        <f>'Proy 2021 vs 2019 Sem'!GD15*$LV$4</f>
        <v>13457.607599999999</v>
      </c>
      <c r="LT16" s="593">
        <f>'Proy 2021 vs 2019 Sem'!GE15*$LV$4</f>
        <v>10900.662156</v>
      </c>
      <c r="LU16" s="735">
        <v>8234.49</v>
      </c>
      <c r="LV16" s="700">
        <f t="shared" si="692"/>
        <v>0.61188364564887443</v>
      </c>
      <c r="LW16" s="593">
        <f>'Proy 2021 vs 2019 Sem'!GD15*$LZ$4</f>
        <v>13457.607599999999</v>
      </c>
      <c r="LX16" s="593">
        <f>'Proy 2021 vs 2019 Sem'!GE15*$LZ$4</f>
        <v>10900.662156</v>
      </c>
      <c r="LY16" s="735">
        <v>5966.59</v>
      </c>
      <c r="LZ16" s="700">
        <f t="shared" si="693"/>
        <v>0.44336186470468947</v>
      </c>
      <c r="MA16" s="593">
        <f>'Proy 2021 vs 2019 Sem'!GD15*$MD$4</f>
        <v>15700.542200000002</v>
      </c>
      <c r="MB16" s="593">
        <f>'Proy 2021 vs 2019 Sem'!GE15*$MD$4</f>
        <v>12717.439182000002</v>
      </c>
      <c r="MC16" s="735">
        <v>12429.96</v>
      </c>
      <c r="MD16" s="700">
        <f t="shared" si="694"/>
        <v>0.79168985641782474</v>
      </c>
      <c r="ME16" s="593">
        <f>'Proy 2021 vs 2019 Sem'!GD15*$MH$4</f>
        <v>17943.4768</v>
      </c>
      <c r="MF16" s="593">
        <f>'Proy 2021 vs 2019 Sem'!GE15*$MH$4</f>
        <v>14534.216208000002</v>
      </c>
      <c r="MG16" s="735">
        <v>18162.54</v>
      </c>
      <c r="MH16" s="700">
        <f t="shared" si="695"/>
        <v>1.0122085146842892</v>
      </c>
      <c r="MI16" s="593">
        <f>'Proy 2021 vs 2019 Sem'!GD15*$ML$4</f>
        <v>24672.280599999998</v>
      </c>
      <c r="MJ16" s="593">
        <f>'Proy 2021 vs 2019 Sem'!GE15*$ML$4</f>
        <v>19984.547286000001</v>
      </c>
      <c r="MK16" s="735">
        <v>19777.2</v>
      </c>
      <c r="ML16" s="700">
        <f t="shared" si="696"/>
        <v>0.8015959416414874</v>
      </c>
      <c r="MM16" s="579">
        <f t="shared" si="697"/>
        <v>112146.73</v>
      </c>
      <c r="MN16" s="574">
        <f t="shared" si="698"/>
        <v>90838.851300000009</v>
      </c>
      <c r="MO16" s="794">
        <f t="shared" si="699"/>
        <v>83412.84</v>
      </c>
      <c r="MP16" s="786">
        <f t="shared" si="700"/>
        <v>0.74378307775893238</v>
      </c>
      <c r="MQ16" s="593">
        <f>'Proy 2021 vs 2019 Sem'!GI15*$MT$4</f>
        <v>11599.9992</v>
      </c>
      <c r="MR16" s="593">
        <f>'Proy 2021 vs 2019 Sem'!GJ15*$MT$4</f>
        <v>9279.9993599999998</v>
      </c>
      <c r="MS16" s="735">
        <v>10059</v>
      </c>
      <c r="MT16" s="700">
        <f t="shared" si="701"/>
        <v>0.86715523221760216</v>
      </c>
      <c r="MU16" s="593">
        <f>'Proy 2021 vs 2019 Sem'!GI15*$MX$4</f>
        <v>11599.9992</v>
      </c>
      <c r="MV16" s="593">
        <f>'Proy 2021 vs 2019 Sem'!GJ15*$MX$4</f>
        <v>9279.9993599999998</v>
      </c>
      <c r="MW16" s="735">
        <v>7034.01</v>
      </c>
      <c r="MX16" s="700">
        <f t="shared" si="702"/>
        <v>0.60638021423311828</v>
      </c>
      <c r="MY16" s="593">
        <f>'Proy 2021 vs 2019 Sem'!GI15*$NB$4</f>
        <v>11599.9992</v>
      </c>
      <c r="MZ16" s="593">
        <f>'Proy 2021 vs 2019 Sem'!GJ15*$NB$4</f>
        <v>9279.9993599999998</v>
      </c>
      <c r="NA16" s="735">
        <v>7465.23</v>
      </c>
      <c r="NB16" s="700">
        <f t="shared" si="703"/>
        <v>0.64355435472788647</v>
      </c>
      <c r="NC16" s="593">
        <f>'Proy 2021 vs 2019 Sem'!GI15*$NF$4</f>
        <v>11599.9992</v>
      </c>
      <c r="ND16" s="593">
        <f>'Proy 2021 vs 2019 Sem'!GJ15*$NF$4</f>
        <v>9279.9993599999998</v>
      </c>
      <c r="NE16" s="735">
        <v>8157.85</v>
      </c>
      <c r="NF16" s="700">
        <f t="shared" si="704"/>
        <v>0.70326297953537786</v>
      </c>
      <c r="NG16" s="593">
        <f>'Proy 2021 vs 2019 Sem'!GI15*$NJ$4</f>
        <v>13533.332400000001</v>
      </c>
      <c r="NH16" s="593">
        <f>'Proy 2021 vs 2019 Sem'!GJ15*$NJ$4</f>
        <v>10826.665920000003</v>
      </c>
      <c r="NI16" s="735">
        <v>10865.3</v>
      </c>
      <c r="NJ16" s="700">
        <f t="shared" si="705"/>
        <v>0.80285473517224759</v>
      </c>
      <c r="NK16" s="593">
        <f>'Proy 2021 vs 2019 Sem'!GI15*$NN$4</f>
        <v>15466.6656</v>
      </c>
      <c r="NL16" s="593">
        <f>'Proy 2021 vs 2019 Sem'!GJ15*$NN$4</f>
        <v>12373.332480000001</v>
      </c>
      <c r="NM16" s="735">
        <v>15161.3</v>
      </c>
      <c r="NN16" s="700">
        <f t="shared" si="706"/>
        <v>0.98025653312114014</v>
      </c>
      <c r="NO16" s="593">
        <f>'Proy 2021 vs 2019 Sem'!GI15*$NR$4</f>
        <v>21266.665199999999</v>
      </c>
      <c r="NP16" s="593">
        <f>'Proy 2021 vs 2019 Sem'!GJ15*$NR$4</f>
        <v>17013.332160000002</v>
      </c>
      <c r="NQ16" s="735">
        <v>19366.03</v>
      </c>
      <c r="NR16" s="700">
        <f t="shared" si="707"/>
        <v>0.91062843270791693</v>
      </c>
      <c r="NS16" s="579">
        <f t="shared" si="708"/>
        <v>96666.66</v>
      </c>
      <c r="NT16" s="574">
        <f t="shared" si="709"/>
        <v>77333.328000000009</v>
      </c>
      <c r="NU16" s="794">
        <f t="shared" si="710"/>
        <v>78108.72</v>
      </c>
      <c r="NV16" s="786">
        <f t="shared" si="711"/>
        <v>0.80802129710491699</v>
      </c>
      <c r="NW16" s="593">
        <f>'Proy 2021 vs 2019 Sem'!GN15*$NZ$4</f>
        <v>11375.4108</v>
      </c>
      <c r="NX16" s="593">
        <f>'Proy 2021 vs 2019 Sem'!GO15*$NZ$4</f>
        <v>8304.049884</v>
      </c>
      <c r="NY16" s="735">
        <v>7237.34</v>
      </c>
      <c r="NZ16" s="700">
        <f t="shared" si="712"/>
        <v>0.63622669345708383</v>
      </c>
      <c r="OA16" s="593">
        <f>'Proy 2021 vs 2019 Sem'!GN15*$OD$4</f>
        <v>11375.4108</v>
      </c>
      <c r="OB16" s="593">
        <f>'Proy 2021 vs 2019 Sem'!GO15*$OD$4</f>
        <v>8304.049884</v>
      </c>
      <c r="OC16" s="735">
        <v>10972.57</v>
      </c>
      <c r="OD16" s="700">
        <f t="shared" si="713"/>
        <v>0.96458670310174643</v>
      </c>
      <c r="OE16" s="593">
        <f>'Proy 2021 vs 2019 Sem'!GN15*$OH$4</f>
        <v>11375.4108</v>
      </c>
      <c r="OF16" s="593">
        <f>'Proy 2021 vs 2019 Sem'!GO15*$OH$4</f>
        <v>8304.049884</v>
      </c>
      <c r="OG16" s="735">
        <v>11525.5</v>
      </c>
      <c r="OH16" s="700">
        <f t="shared" si="714"/>
        <v>1.0131941784467249</v>
      </c>
      <c r="OI16" s="593">
        <f>'Proy 2021 vs 2019 Sem'!GN15*$OL$4</f>
        <v>11375.4108</v>
      </c>
      <c r="OJ16" s="593">
        <f>'Proy 2021 vs 2019 Sem'!GO15*$OL$4</f>
        <v>8304.049884</v>
      </c>
      <c r="OK16" s="735">
        <v>10718.23</v>
      </c>
      <c r="OL16" s="700">
        <f t="shared" si="715"/>
        <v>0.94222795013257898</v>
      </c>
      <c r="OM16" s="593">
        <f>'Proy 2021 vs 2019 Sem'!GN15*$OP$4</f>
        <v>13271.312600000001</v>
      </c>
      <c r="ON16" s="593">
        <f>'Proy 2021 vs 2019 Sem'!GO15*$OP$4</f>
        <v>9688.0581980000006</v>
      </c>
      <c r="OO16" s="735">
        <v>18223.78</v>
      </c>
      <c r="OP16" s="700">
        <f t="shared" si="716"/>
        <v>1.3731708798721234</v>
      </c>
      <c r="OQ16" s="593">
        <f>'Proy 2021 vs 2019 Sem'!GN15*$JV$4</f>
        <v>15167.214399999999</v>
      </c>
      <c r="OR16" s="593">
        <f>'Proy 2021 vs 2019 Sem'!GO15*$JV$4</f>
        <v>11072.066511999999</v>
      </c>
      <c r="OS16" s="735">
        <v>17500.599999999999</v>
      </c>
      <c r="OT16" s="700">
        <f t="shared" si="717"/>
        <v>1.1538440440322384</v>
      </c>
      <c r="OU16" s="593">
        <f>'Proy 2021 vs 2019 Sem'!GN15*$OX$4</f>
        <v>20854.9198</v>
      </c>
      <c r="OV16" s="593">
        <f>'Proy 2021 vs 2019 Sem'!GO15*$OX$4</f>
        <v>15224.091453999999</v>
      </c>
      <c r="OW16" s="735">
        <v>25431.26</v>
      </c>
      <c r="OX16" s="700">
        <f t="shared" si="718"/>
        <v>1.2194369599062183</v>
      </c>
      <c r="OY16" s="579">
        <f t="shared" si="719"/>
        <v>94795.09</v>
      </c>
      <c r="OZ16" s="574">
        <f t="shared" si="720"/>
        <v>69200.415699999998</v>
      </c>
      <c r="PA16" s="785">
        <f t="shared" si="721"/>
        <v>101609.27999999998</v>
      </c>
      <c r="PB16" s="786">
        <f t="shared" si="722"/>
        <v>1.0718833644231995</v>
      </c>
      <c r="PC16" s="593">
        <f>'Proy 2021 vs 2019 Sem'!GW15*$PF$4</f>
        <v>12136.92</v>
      </c>
      <c r="PD16" s="593">
        <f>'Proy 2021 vs 2019 Sem'!GX15*$PF$4</f>
        <v>9224.0591999999997</v>
      </c>
      <c r="PE16" s="735">
        <v>17960.599999999999</v>
      </c>
      <c r="PF16" s="700">
        <f t="shared" si="723"/>
        <v>1.4798317859885373</v>
      </c>
      <c r="PG16" s="593">
        <f>'Proy 2021 vs 2019 Sem'!GW15*$PJ$4</f>
        <v>12136.92</v>
      </c>
      <c r="PH16" s="593">
        <f>'Proy 2021 vs 2019 Sem'!GX15*$PJ$4</f>
        <v>9224.0591999999997</v>
      </c>
      <c r="PI16" s="735">
        <v>15499.41</v>
      </c>
      <c r="PJ16" s="700">
        <f t="shared" si="724"/>
        <v>1.2770464005695019</v>
      </c>
      <c r="PK16" s="593">
        <f>'Proy 2021 vs 2019 Sem'!GW15*'Vtas Diarias 2021'!$PN$4</f>
        <v>12136.92</v>
      </c>
      <c r="PL16" s="593">
        <f>'Proy 2021 vs 2019 Sem'!GX15*'Vtas Diarias 2021'!$PN$4</f>
        <v>9224.0591999999997</v>
      </c>
      <c r="PM16" s="735">
        <v>8281.02</v>
      </c>
      <c r="PN16" s="700">
        <f t="shared" si="725"/>
        <v>0.68229995748509509</v>
      </c>
      <c r="PO16" s="593">
        <f>'Proy 2021 vs 2019 Sem'!GW15*$PR$4</f>
        <v>12136.92</v>
      </c>
      <c r="PP16" s="593">
        <f>'Proy 2021 vs 2019 Sem'!GX15*$PR$4</f>
        <v>9224.0591999999997</v>
      </c>
      <c r="PQ16" s="735">
        <v>7729.25</v>
      </c>
      <c r="PR16" s="700">
        <f t="shared" si="726"/>
        <v>0.63683784683428746</v>
      </c>
      <c r="PS16" s="593">
        <f>'Proy 2021 vs 2019 Sem'!GW15*$PV$4</f>
        <v>14159.740000000002</v>
      </c>
      <c r="PT16" s="593">
        <f>'Proy 2021 vs 2019 Sem'!GX15*$PV$4</f>
        <v>10761.402400000001</v>
      </c>
      <c r="PU16" s="735">
        <v>11786.08</v>
      </c>
      <c r="PV16" s="700">
        <f t="shared" si="727"/>
        <v>0.83236556603440448</v>
      </c>
      <c r="PW16" s="593">
        <f>'Proy 2021 vs 2019 Sem'!GW15*PZ$4</f>
        <v>16182.56</v>
      </c>
      <c r="PX16" s="593">
        <f>'Proy 2021 vs 2019 Sem'!GX15*$PZ$4</f>
        <v>12298.7456</v>
      </c>
      <c r="PY16" s="735">
        <v>12643.54</v>
      </c>
      <c r="PZ16" s="700">
        <f t="shared" si="728"/>
        <v>0.78130654235176644</v>
      </c>
      <c r="QA16" s="593">
        <f>'Proy 2021 vs 2019 Sem'!GW15*$QD$4</f>
        <v>22251.02</v>
      </c>
      <c r="QB16" s="593">
        <f>'Proy 2021 vs 2019 Sem'!GX15*$QD$4</f>
        <v>16910.7752</v>
      </c>
      <c r="QC16" s="735">
        <v>19973.14</v>
      </c>
      <c r="QD16" s="700">
        <f t="shared" si="729"/>
        <v>0.89762806379213178</v>
      </c>
      <c r="QE16" s="579">
        <f t="shared" si="730"/>
        <v>101141</v>
      </c>
      <c r="QF16" s="574">
        <f t="shared" si="731"/>
        <v>76867.16</v>
      </c>
      <c r="QG16" s="729">
        <f t="shared" si="732"/>
        <v>93873.04</v>
      </c>
      <c r="QH16" s="711">
        <f t="shared" si="733"/>
        <v>0.92814031896065885</v>
      </c>
      <c r="QI16" s="578">
        <f>'Proy 2021 vs 2019 Sem'!HB15*$QL$4</f>
        <v>11492.995200000001</v>
      </c>
      <c r="QJ16" s="611">
        <f>'Proy 2021 vs 2019 Sem'!UG15*$AL$4</f>
        <v>0</v>
      </c>
      <c r="QK16" s="735">
        <v>10682.12</v>
      </c>
      <c r="QL16" s="700">
        <f t="shared" si="734"/>
        <v>0.9294461377657236</v>
      </c>
      <c r="QM16" s="593">
        <f>'Proy 2021 vs 2019 Sem'!HB15*$QP$4</f>
        <v>11492.995200000001</v>
      </c>
      <c r="QN16" s="593">
        <f>'Proy 2021 vs 2019 Sem'!UG15*$AP$4</f>
        <v>0</v>
      </c>
      <c r="QO16" s="735">
        <v>8227.92</v>
      </c>
      <c r="QP16" s="700">
        <f t="shared" si="735"/>
        <v>0.71590737286656125</v>
      </c>
      <c r="QQ16" s="593">
        <f>'Proy 2021 vs 2019 Sem'!HB15*$QT$4</f>
        <v>11492.995200000001</v>
      </c>
      <c r="QR16" s="593">
        <f>'Proy 2021 vs 2019 Sem'!HC15*$QT$4</f>
        <v>9194.3961600000002</v>
      </c>
      <c r="QS16" s="735">
        <v>8139.95</v>
      </c>
      <c r="QT16" s="700">
        <f t="shared" si="736"/>
        <v>0.70825314535935757</v>
      </c>
      <c r="QU16" s="593">
        <f>'Proy 2021 vs 2019 Sem'!HB15*$QX$4</f>
        <v>11492.995200000001</v>
      </c>
      <c r="QV16" s="593">
        <f>'Proy 2021 vs 2019 Sem'!HC15*$QX$4</f>
        <v>9194.3961600000002</v>
      </c>
      <c r="QW16" s="735">
        <v>7597.5</v>
      </c>
      <c r="QX16" s="700">
        <f t="shared" si="737"/>
        <v>0.66105483103307994</v>
      </c>
      <c r="QY16" s="593">
        <f>'Proy 2021 vs 2019 Sem'!HB15*$RB$4</f>
        <v>13408.494400000001</v>
      </c>
      <c r="QZ16" s="593">
        <f>'Proy 2021 vs 2019 Sem'!HC15*$RB$4</f>
        <v>10726.795520000001</v>
      </c>
      <c r="RA16" s="735">
        <v>8918.9699999999993</v>
      </c>
      <c r="RB16" s="700">
        <f t="shared" si="738"/>
        <v>0.66517311593164397</v>
      </c>
      <c r="RC16" s="593">
        <f>'Proy 2021 vs 2019 Sem'!HB15*$RF$4</f>
        <v>15323.993600000002</v>
      </c>
      <c r="RD16" s="593">
        <f>'Proy 2021 vs 2019 Sem'!HC15*$RF$4</f>
        <v>12259.194880000001</v>
      </c>
      <c r="RE16" s="735">
        <v>11748.88</v>
      </c>
      <c r="RF16" s="700">
        <f t="shared" si="739"/>
        <v>0.76669831028903579</v>
      </c>
      <c r="RG16" s="593">
        <f>'Proy 2021 vs 2019 Sem'!HB15*$RJ$4</f>
        <v>21070.4912</v>
      </c>
      <c r="RH16" s="593">
        <f>'Proy 2021 vs 2019 Sem'!HC15*$RJ$4</f>
        <v>16856.392960000001</v>
      </c>
      <c r="RI16" s="735">
        <v>22030.17</v>
      </c>
      <c r="RJ16" s="700">
        <f t="shared" si="740"/>
        <v>1.0455461047818382</v>
      </c>
      <c r="RK16" s="579">
        <f t="shared" si="741"/>
        <v>95774.96</v>
      </c>
      <c r="RL16" s="574">
        <f t="shared" si="742"/>
        <v>58231.17568</v>
      </c>
      <c r="RM16" s="730">
        <f t="shared" si="743"/>
        <v>77345.510000000009</v>
      </c>
      <c r="RN16" s="711">
        <f t="shared" si="744"/>
        <v>0.80757548737164708</v>
      </c>
      <c r="RO16" s="593">
        <f>'Proy 2021 vs 2019 Sem'!HG15*$RR$4</f>
        <v>10360.8876</v>
      </c>
      <c r="RP16" s="593">
        <f>'Proy 2021 vs 2019 Sem'!HH15*$RR$4</f>
        <v>8081.4923280000003</v>
      </c>
      <c r="RQ16" s="735">
        <v>7090.52</v>
      </c>
      <c r="RR16" s="700">
        <f t="shared" si="745"/>
        <v>0.68435449487937694</v>
      </c>
      <c r="RS16" s="593">
        <f>'Proy 2021 vs 2019 Sem'!HG15*$RV$4</f>
        <v>10360.8876</v>
      </c>
      <c r="RT16" s="593">
        <f>'Proy 2021 vs 2019 Sem'!HH15*$RV$4</f>
        <v>8081.4923280000003</v>
      </c>
      <c r="RU16" s="735">
        <v>8602.06</v>
      </c>
      <c r="RV16" s="700">
        <f t="shared" si="746"/>
        <v>0.83024354013839508</v>
      </c>
      <c r="RW16" s="593">
        <f>'Proy 2021 vs 2019 Sem'!HG15*$RZ$4</f>
        <v>10360.8876</v>
      </c>
      <c r="RX16" s="593">
        <f>'Proy 2021 vs 2019 Sem'!HH15*$RZ$4</f>
        <v>8081.4923280000003</v>
      </c>
      <c r="RY16" s="735">
        <v>10750.12</v>
      </c>
      <c r="RZ16" s="700">
        <f t="shared" si="747"/>
        <v>1.0375674763617744</v>
      </c>
      <c r="SA16" s="593">
        <f>'Proy 2021 vs 2019 Sem'!HG15*$SD$4</f>
        <v>10360.8876</v>
      </c>
      <c r="SB16" s="593">
        <f>'Proy 2021 vs 2019 Sem'!HH15*$SD$4</f>
        <v>8081.4923280000003</v>
      </c>
      <c r="SC16" s="735">
        <v>11444.82</v>
      </c>
      <c r="SD16" s="700">
        <f t="shared" si="748"/>
        <v>1.1046177163431441</v>
      </c>
      <c r="SE16" s="593">
        <f>'Proy 2021 vs 2019 Sem'!HG15*$SH$4</f>
        <v>12087.7022</v>
      </c>
      <c r="SF16" s="593">
        <f>'Proy 2021 vs 2019 Sem'!HH15*$SH$4</f>
        <v>9428.4077160000015</v>
      </c>
      <c r="SG16" s="735">
        <v>9226.86</v>
      </c>
      <c r="SH16" s="700">
        <f t="shared" si="749"/>
        <v>0.76332621761644659</v>
      </c>
      <c r="SI16" s="593">
        <f>'Proy 2021 vs 2019 Sem'!HG15*$SL$4</f>
        <v>13814.516799999999</v>
      </c>
      <c r="SJ16" s="593">
        <f>'Proy 2021 vs 2019 Sem'!HH15*$SL$4</f>
        <v>10775.323104000001</v>
      </c>
      <c r="SK16" s="735">
        <v>13945.54</v>
      </c>
      <c r="SL16" s="700">
        <f t="shared" si="750"/>
        <v>1.00948445768295</v>
      </c>
      <c r="SM16" s="593">
        <f>'Proy 2021 vs 2019 Sem'!HG15*$SP$4</f>
        <v>18994.960599999999</v>
      </c>
      <c r="SN16" s="593">
        <f>'Proy 2021 vs 2019 Sem'!HH15*$SP$4</f>
        <v>14816.069268000001</v>
      </c>
      <c r="SO16" s="735">
        <v>23058.51</v>
      </c>
      <c r="SP16" s="700">
        <f t="shared" si="751"/>
        <v>1.2139277614505819</v>
      </c>
      <c r="SQ16" s="579">
        <f t="shared" si="752"/>
        <v>86340.73000000001</v>
      </c>
      <c r="SR16" s="574">
        <f t="shared" si="753"/>
        <v>67345.769400000005</v>
      </c>
      <c r="SS16" s="730">
        <f t="shared" si="754"/>
        <v>84118.430000000008</v>
      </c>
      <c r="ST16" s="711">
        <f t="shared" si="755"/>
        <v>0.9742612785414253</v>
      </c>
      <c r="SU16" s="593">
        <f>'Proy 2021 vs 2019 Sem'!HL15*$SX$4</f>
        <v>10949.270399999999</v>
      </c>
      <c r="SV16" s="593">
        <f>'Proy 2021 vs 2019 Sem'!HM15*$SX$4</f>
        <v>8321.4455039999993</v>
      </c>
      <c r="SW16" s="735">
        <v>6493.99</v>
      </c>
      <c r="SX16" s="700">
        <f t="shared" si="756"/>
        <v>0.59309796568728457</v>
      </c>
      <c r="SY16" s="593">
        <f>'Proy 2021 vs 2019 Sem'!HL15*$TB$4</f>
        <v>10949.270399999999</v>
      </c>
      <c r="SZ16" s="593">
        <f>'Proy 2021 vs 2019 Sem'!HM15*$TB$4</f>
        <v>8321.4455039999993</v>
      </c>
      <c r="TA16" s="735">
        <v>8212.2800000000007</v>
      </c>
      <c r="TB16" s="700">
        <f t="shared" si="757"/>
        <v>0.75002988326966524</v>
      </c>
      <c r="TC16" s="593">
        <f>'Proy 2021 vs 2019 Sem'!HL15*$TF$4</f>
        <v>10949.270399999999</v>
      </c>
      <c r="TD16" s="593">
        <f>'Proy 2021 vs 2019 Sem'!HM15*$TF$4</f>
        <v>8321.4455039999993</v>
      </c>
      <c r="TE16" s="735">
        <v>8812.43</v>
      </c>
      <c r="TF16" s="700">
        <f t="shared" si="758"/>
        <v>0.80484175457024065</v>
      </c>
      <c r="TG16" s="593">
        <f>'Proy 2021 vs 2019 Sem'!HL15*$TJ$4</f>
        <v>10949.270399999999</v>
      </c>
      <c r="TH16" s="593">
        <f>'Proy 2021 vs 2019 Sem'!HM15*$TJ$4</f>
        <v>8321.4455039999993</v>
      </c>
      <c r="TI16" s="735">
        <v>6422.6</v>
      </c>
      <c r="TJ16" s="700">
        <f t="shared" si="759"/>
        <v>0.58657789655098858</v>
      </c>
      <c r="TK16" s="593">
        <f>'Proy 2021 vs 2019 Sem'!HL15*$TN$4</f>
        <v>12774.148800000001</v>
      </c>
      <c r="TL16" s="593">
        <f>'Proy 2021 vs 2019 Sem'!HM15*$TN$4</f>
        <v>9708.3530879999998</v>
      </c>
      <c r="TM16" s="735">
        <v>7972.07</v>
      </c>
      <c r="TN16" s="700">
        <f t="shared" si="760"/>
        <v>0.62407837303413904</v>
      </c>
      <c r="TO16" s="593">
        <f>'Proy 2021 vs 2019 Sem'!HL15*$TR$4</f>
        <v>14599.0272</v>
      </c>
      <c r="TP16" s="611">
        <f>'Proy 2021 vs 2019 Sem'!HM15*$TR$4</f>
        <v>11095.260672</v>
      </c>
      <c r="TQ16" s="735">
        <v>11115.3</v>
      </c>
      <c r="TR16" s="700">
        <f t="shared" si="761"/>
        <v>0.7613726481720644</v>
      </c>
      <c r="TS16" s="593">
        <f>'Proy 2021 vs 2019 Sem'!HL15*$TV$4</f>
        <v>20073.662400000001</v>
      </c>
      <c r="TT16" s="593">
        <f>'Proy 2021 vs 2019 Sem'!HM15*$TV$4</f>
        <v>15255.983424</v>
      </c>
      <c r="TU16" s="735">
        <v>19007.490000000002</v>
      </c>
      <c r="TV16" s="700">
        <f t="shared" si="762"/>
        <v>0.94688700154686278</v>
      </c>
      <c r="TW16" s="579">
        <f t="shared" si="763"/>
        <v>91243.92</v>
      </c>
      <c r="TX16" s="574">
        <f t="shared" si="764"/>
        <v>69345.37920000001</v>
      </c>
      <c r="TY16" s="710">
        <f t="shared" si="765"/>
        <v>68036.160000000003</v>
      </c>
      <c r="TZ16" s="711">
        <f t="shared" si="766"/>
        <v>0.74565143628200103</v>
      </c>
      <c r="UA16" s="593">
        <v>11595.94</v>
      </c>
      <c r="UB16" s="593">
        <f>'Proy 2021 vs 2019 Sem'!HR15*$UD$4</f>
        <v>8338.8984479999999</v>
      </c>
      <c r="UC16" s="735">
        <v>6153.13</v>
      </c>
      <c r="UD16" s="700">
        <f t="shared" si="767"/>
        <v>0.53062796116571831</v>
      </c>
      <c r="UE16" s="593">
        <v>12437.45</v>
      </c>
      <c r="UF16" s="593">
        <f>'Proy 2021 vs 2019 Sem'!HR15*$UH$4</f>
        <v>8338.8984479999999</v>
      </c>
      <c r="UG16" s="735">
        <v>5740.78</v>
      </c>
      <c r="UH16" s="700">
        <f t="shared" si="768"/>
        <v>0.46157210682253996</v>
      </c>
      <c r="UI16" s="593">
        <v>12400.95</v>
      </c>
      <c r="UJ16" s="593">
        <f>'Proy 2021 vs 2019 Sem'!HR15*$UL$4</f>
        <v>8338.8984479999999</v>
      </c>
      <c r="UK16" s="735">
        <v>6411.65</v>
      </c>
      <c r="UL16" s="700">
        <f t="shared" si="769"/>
        <v>0.51702893729915844</v>
      </c>
      <c r="UM16" s="593">
        <v>10553.44</v>
      </c>
      <c r="UN16" s="593">
        <f>'Proy 2021 vs 2019 Sem'!HR15*$UP$4</f>
        <v>8338.8984479999999</v>
      </c>
      <c r="UO16" s="735">
        <v>8190.91</v>
      </c>
      <c r="UP16" s="700">
        <f t="shared" si="770"/>
        <v>0.77613650146303004</v>
      </c>
      <c r="UQ16" s="593">
        <v>11255.53</v>
      </c>
      <c r="UR16" s="593">
        <f>'Proy 2021 vs 2019 Sem'!HR15*$UT$4</f>
        <v>9728.7148560000005</v>
      </c>
      <c r="US16" s="735">
        <v>8377.11</v>
      </c>
      <c r="UT16" s="700">
        <f t="shared" si="771"/>
        <v>0.74426615183825195</v>
      </c>
      <c r="UU16" s="593">
        <v>12676.91</v>
      </c>
      <c r="UV16" s="593">
        <f>'Proy 2021 vs 2019 Sem'!HR15*$UX$4</f>
        <v>11118.531263999999</v>
      </c>
      <c r="UW16" s="735">
        <v>17839.54</v>
      </c>
      <c r="UX16" s="700">
        <f t="shared" si="772"/>
        <v>1.4072467186404258</v>
      </c>
      <c r="UY16" s="593">
        <v>20515.07</v>
      </c>
      <c r="UZ16" s="593">
        <f>'Proy 2021 vs 2019 Sem'!HR15*$VB$4</f>
        <v>15287.980487999999</v>
      </c>
      <c r="VA16" s="735">
        <v>19890.66</v>
      </c>
      <c r="VB16" s="700">
        <f t="shared" si="773"/>
        <v>0.96956335025910223</v>
      </c>
      <c r="VC16" s="577">
        <f>UA16+UE16+UI16+UM16+UQ16+UU16+UY16</f>
        <v>91435.290000000008</v>
      </c>
      <c r="VD16" s="574">
        <f t="shared" si="774"/>
        <v>69490.820399999997</v>
      </c>
      <c r="VE16" s="710">
        <f t="shared" si="775"/>
        <v>72603.78</v>
      </c>
      <c r="VF16" s="1531">
        <f t="shared" si="776"/>
        <v>0.79404549381316547</v>
      </c>
      <c r="VG16" s="593">
        <v>10198.030000000001</v>
      </c>
      <c r="VH16" s="593">
        <f>'Proy 2021 vs 2019 Sem'!IA15*$VJ$4</f>
        <v>7704.4320240000006</v>
      </c>
      <c r="VI16" s="735">
        <v>10283.780000000001</v>
      </c>
      <c r="VJ16" s="700">
        <f t="shared" si="777"/>
        <v>1.0084084867371443</v>
      </c>
      <c r="VK16" s="593">
        <v>10890.63</v>
      </c>
      <c r="VL16" s="593">
        <f>'Proy 2021 vs 2019 Sem'!IA15*$VN$4</f>
        <v>7704.4320240000006</v>
      </c>
      <c r="VM16" s="735">
        <v>9939.59</v>
      </c>
      <c r="VN16" s="700">
        <f t="shared" si="778"/>
        <v>0.91267355515704796</v>
      </c>
      <c r="VO16" s="593">
        <v>8652.51</v>
      </c>
      <c r="VP16" s="593">
        <f>'Proy 2021 vs 2019 Sem'!IA15*$VR$4</f>
        <v>7704.4320240000006</v>
      </c>
      <c r="VQ16" s="735">
        <v>5097.29</v>
      </c>
      <c r="VR16" s="700">
        <f t="shared" si="779"/>
        <v>0.58911113653725911</v>
      </c>
      <c r="VS16" s="593">
        <v>10496.91</v>
      </c>
      <c r="VT16" s="593">
        <f>'Proy 2021 vs 2019 Sem'!IA15*$VV$4</f>
        <v>7704.4320240000006</v>
      </c>
      <c r="VU16" s="735">
        <v>7504.16</v>
      </c>
      <c r="VV16" s="700">
        <f t="shared" si="780"/>
        <v>0.71489228734932475</v>
      </c>
      <c r="VW16" s="593">
        <v>8633.2900000000009</v>
      </c>
      <c r="VX16" s="593">
        <f>'Proy 2021 vs 2019 Sem'!IA15*$VZ$4</f>
        <v>8988.5040280000012</v>
      </c>
      <c r="VY16" s="735">
        <v>11410.57</v>
      </c>
      <c r="VZ16" s="700">
        <f t="shared" si="781"/>
        <v>1.321694278774372</v>
      </c>
      <c r="WA16" s="593">
        <v>11148.29</v>
      </c>
      <c r="WB16" s="593">
        <f>'Proy 2021 vs 2019 Sem'!IA15*$WD$4</f>
        <v>10272.576032000001</v>
      </c>
      <c r="WC16" s="735">
        <v>13360.8</v>
      </c>
      <c r="WD16" s="700">
        <f t="shared" si="782"/>
        <v>1.1984618268810732</v>
      </c>
      <c r="WE16" s="593">
        <v>21250.720000000001</v>
      </c>
      <c r="WF16" s="593">
        <f>'Proy 2021 vs 2019 Sem'!IA15*$WH$4</f>
        <v>14124.792044000002</v>
      </c>
      <c r="WG16" s="735">
        <v>20718.7</v>
      </c>
      <c r="WH16" s="1538">
        <f t="shared" si="783"/>
        <v>0.97496461296370196</v>
      </c>
      <c r="WI16" s="574">
        <f t="shared" si="784"/>
        <v>40238.080000000002</v>
      </c>
      <c r="WJ16" s="575">
        <f t="shared" si="785"/>
        <v>64203.600200000001</v>
      </c>
      <c r="WK16" s="793">
        <f t="shared" si="786"/>
        <v>78314.89</v>
      </c>
      <c r="WL16" s="786">
        <f t="shared" si="787"/>
        <v>1.9462879441563812</v>
      </c>
      <c r="WM16" s="593">
        <v>12219.63</v>
      </c>
      <c r="WN16" s="593">
        <f>'Proy 2021 vs 2019 Sem'!IF15*$WP$4</f>
        <v>10266.993972</v>
      </c>
      <c r="WO16" s="735">
        <v>8902.1</v>
      </c>
      <c r="WP16" s="700">
        <f t="shared" si="788"/>
        <v>0.72850814631866934</v>
      </c>
      <c r="WQ16" s="593">
        <v>11746.46</v>
      </c>
      <c r="WR16" s="593">
        <f>'Proy 2021 vs 2019 Sem'!IF15*$WT$4</f>
        <v>10266.993972</v>
      </c>
      <c r="WS16" s="735">
        <v>6500.33</v>
      </c>
      <c r="WT16" s="700">
        <f t="shared" si="789"/>
        <v>0.55338629680771911</v>
      </c>
      <c r="WU16" s="593">
        <v>14745.22</v>
      </c>
      <c r="WV16" s="593">
        <f>'Proy 2021 vs 2019 Sem'!IF15*$WX$4</f>
        <v>10266.993972</v>
      </c>
      <c r="WW16" s="735">
        <v>7694.03</v>
      </c>
      <c r="WX16" s="700">
        <f t="shared" si="790"/>
        <v>0.52179825055170426</v>
      </c>
      <c r="WY16" s="593">
        <v>12578.55</v>
      </c>
      <c r="WZ16" s="593">
        <f>'Proy 2021 vs 2019 Sem'!IF15*$XB$4</f>
        <v>10266.993972</v>
      </c>
      <c r="XA16" s="735">
        <v>8833.7199999999993</v>
      </c>
      <c r="XB16" s="700">
        <f t="shared" si="791"/>
        <v>0.70228444455044503</v>
      </c>
      <c r="XC16" s="593">
        <v>11197.9</v>
      </c>
      <c r="XD16" s="1547">
        <f>'Proy 2021 vs 2019 Sem'!IF15*$XF$4</f>
        <v>11978.159634000001</v>
      </c>
      <c r="XE16" s="735">
        <v>8204.3799999999992</v>
      </c>
      <c r="XF16" s="700">
        <f t="shared" si="792"/>
        <v>0.73267130444101125</v>
      </c>
      <c r="XG16" s="593">
        <v>16277.95</v>
      </c>
      <c r="XH16" s="593">
        <f>'Proy 2021 vs 2019 Sem'!IF15*$XJ$4</f>
        <v>13689.325296000001</v>
      </c>
      <c r="XI16" s="735">
        <v>13669.57</v>
      </c>
      <c r="XJ16" s="700">
        <f t="shared" si="793"/>
        <v>0.8397599206288261</v>
      </c>
      <c r="XK16" s="593">
        <v>26861.8</v>
      </c>
      <c r="XL16" s="593">
        <f>'Proy 2021 vs 2019 Sem'!IF15*$XN$4</f>
        <v>18822.822282000001</v>
      </c>
      <c r="XM16" s="735">
        <v>22348.19</v>
      </c>
      <c r="XN16" s="700">
        <f t="shared" si="794"/>
        <v>0.83196919044889017</v>
      </c>
      <c r="XO16" s="579">
        <f t="shared" si="795"/>
        <v>105627.51000000001</v>
      </c>
      <c r="XP16" s="574">
        <f t="shared" si="796"/>
        <v>85558.283100000001</v>
      </c>
      <c r="XQ16" s="794">
        <f t="shared" si="797"/>
        <v>76152.319999999992</v>
      </c>
      <c r="XR16" s="786">
        <f t="shared" si="798"/>
        <v>0.7209515778607295</v>
      </c>
      <c r="XS16" s="593">
        <v>15462.37</v>
      </c>
      <c r="XT16" s="593">
        <f>'Proy 2021 vs 2019 Sem'!IK15*$XV$4</f>
        <v>10793.630735999999</v>
      </c>
      <c r="XU16" s="735">
        <v>9769.86</v>
      </c>
      <c r="XV16" s="700">
        <f t="shared" si="799"/>
        <v>0.63184751108659276</v>
      </c>
      <c r="XW16" s="593">
        <v>13055.82</v>
      </c>
      <c r="XX16" s="593">
        <f>'Proy 2021 vs 2019 Sem'!IK15*$XZ$4</f>
        <v>10793.630735999999</v>
      </c>
      <c r="XY16" s="735">
        <v>10685.19</v>
      </c>
      <c r="XZ16" s="700">
        <f t="shared" si="800"/>
        <v>0.81842350767703609</v>
      </c>
      <c r="YA16" s="593">
        <v>10380.17</v>
      </c>
      <c r="YB16" s="593">
        <f>'Proy 2021 vs 2019 Sem'!IK15*$YD$4</f>
        <v>10793.630735999999</v>
      </c>
      <c r="YC16" s="735">
        <v>9604.7000000000007</v>
      </c>
      <c r="YD16" s="700">
        <f t="shared" si="801"/>
        <v>0.925293131037353</v>
      </c>
      <c r="YE16" s="593">
        <v>11132.16</v>
      </c>
      <c r="YF16" s="593">
        <f>'Proy 2021 vs 2019 Sem'!IK15*$YH$4</f>
        <v>10793.630735999999</v>
      </c>
      <c r="YG16" s="735">
        <v>7463.33</v>
      </c>
      <c r="YH16" s="700">
        <f t="shared" si="802"/>
        <v>0.67042963809359546</v>
      </c>
      <c r="YI16" s="593">
        <v>12245.58</v>
      </c>
      <c r="YJ16" s="593">
        <f>'Proy 2021 vs 2019 Sem'!IK15*$YL$4</f>
        <v>12592.569192000001</v>
      </c>
      <c r="YK16" s="735">
        <v>9789.8700000000008</v>
      </c>
      <c r="YL16" s="700">
        <f t="shared" si="803"/>
        <v>0.79946151999333648</v>
      </c>
      <c r="YM16" s="593">
        <v>18054.330000000002</v>
      </c>
      <c r="YN16" s="593">
        <f>'Proy 2021 vs 2019 Sem'!IK15*$YP$4</f>
        <v>14391.507648000001</v>
      </c>
      <c r="YO16" s="735">
        <v>15973.46</v>
      </c>
      <c r="YP16" s="700">
        <f t="shared" si="804"/>
        <v>0.88474399216143707</v>
      </c>
      <c r="YQ16" s="593">
        <v>26749.24</v>
      </c>
      <c r="YR16" s="593">
        <f>'Proy 2021 vs 2019 Sem'!IK15*$YT$4</f>
        <v>19788.323015999998</v>
      </c>
      <c r="YS16" s="735">
        <v>27186.45</v>
      </c>
      <c r="YT16" s="700">
        <f t="shared" si="805"/>
        <v>1.016344763440008</v>
      </c>
      <c r="YU16" s="579">
        <f t="shared" si="806"/>
        <v>107079.67000000001</v>
      </c>
      <c r="YV16" s="574">
        <f t="shared" si="807"/>
        <v>89946.9228</v>
      </c>
      <c r="YW16" s="794">
        <f t="shared" si="808"/>
        <v>90472.86</v>
      </c>
      <c r="YX16" s="786">
        <f t="shared" si="809"/>
        <v>0.84491164382557393</v>
      </c>
      <c r="YY16" s="593">
        <v>15700.73</v>
      </c>
      <c r="YZ16" s="593">
        <f>'Proy 2021 vs 2019 Sem'!IP15*$ZB$4</f>
        <v>16027.589268</v>
      </c>
      <c r="ZA16" s="735">
        <v>12255.1</v>
      </c>
      <c r="ZB16" s="700">
        <f t="shared" si="810"/>
        <v>0.78054332505558666</v>
      </c>
      <c r="ZC16" s="593">
        <v>19044.38</v>
      </c>
      <c r="ZD16" s="593">
        <f>'Proy 2021 vs 2019 Sem'!IP15*$ZF$4</f>
        <v>16027.589268</v>
      </c>
      <c r="ZE16" s="735">
        <v>11780.56</v>
      </c>
      <c r="ZF16" s="700">
        <f t="shared" si="811"/>
        <v>0.61858459030958213</v>
      </c>
      <c r="ZG16" s="593">
        <v>22397.47</v>
      </c>
      <c r="ZH16" s="593">
        <f>'Proy 2021 vs 2019 Sem'!IP15*$ZJ$4</f>
        <v>16027.589268</v>
      </c>
      <c r="ZI16" s="735">
        <v>16468.02</v>
      </c>
      <c r="ZJ16" s="700">
        <f t="shared" si="812"/>
        <v>0.73526250956023154</v>
      </c>
      <c r="ZK16" s="593">
        <v>32384.67</v>
      </c>
      <c r="ZL16" s="593">
        <f>'Proy 2021 vs 2019 Sem'!IP15*$ZN$4</f>
        <v>16027.589268</v>
      </c>
      <c r="ZM16" s="735">
        <v>20997.53</v>
      </c>
      <c r="ZN16" s="700">
        <f t="shared" si="813"/>
        <v>0.64837869275802407</v>
      </c>
      <c r="ZO16" s="593">
        <v>26283.21</v>
      </c>
      <c r="ZP16" s="593">
        <f>'Proy 2021 vs 2019 Sem'!IP15*$ZR$4</f>
        <v>18698.854146000001</v>
      </c>
      <c r="ZQ16" s="735">
        <v>16016.19</v>
      </c>
      <c r="ZR16" s="700">
        <f t="shared" si="814"/>
        <v>0.60936963179155057</v>
      </c>
      <c r="ZS16" s="593">
        <v>17864.18</v>
      </c>
      <c r="ZT16" s="593">
        <f>'Proy 2021 vs 2019 Sem'!IP15*$ZV$4</f>
        <v>21370.119024</v>
      </c>
      <c r="ZU16" s="735">
        <v>25870.959999999999</v>
      </c>
      <c r="ZV16" s="700">
        <f t="shared" si="815"/>
        <v>1.4482030521412121</v>
      </c>
      <c r="ZW16" s="593">
        <v>19995.330000000002</v>
      </c>
      <c r="ZX16" s="593">
        <f>'Proy 2021 vs 2019 Sem'!IP15*$ZZ$4</f>
        <v>29383.913658000001</v>
      </c>
      <c r="ZY16" s="735">
        <v>37856.410000000003</v>
      </c>
      <c r="ZZ16" s="700">
        <f t="shared" si="816"/>
        <v>1.8932625768116855</v>
      </c>
      <c r="AAA16" s="579">
        <f t="shared" si="817"/>
        <v>153669.96999999997</v>
      </c>
      <c r="AAB16" s="574">
        <f t="shared" si="818"/>
        <v>133563.2439</v>
      </c>
      <c r="AAC16" s="785">
        <f t="shared" si="819"/>
        <v>141244.76999999999</v>
      </c>
      <c r="AAD16" s="786">
        <f t="shared" si="820"/>
        <v>0.91914360365919257</v>
      </c>
      <c r="AAE16" s="593">
        <v>11621.83</v>
      </c>
      <c r="AAF16" s="593">
        <f>'Proy 2021 vs 2019 Sem'!IY15*$AAH$4</f>
        <v>10843.465284</v>
      </c>
      <c r="AAG16" s="735">
        <v>17337.43</v>
      </c>
      <c r="AAH16" s="700">
        <f t="shared" si="821"/>
        <v>1.4917986237967686</v>
      </c>
      <c r="AAI16" s="593">
        <v>15154.86</v>
      </c>
      <c r="AAJ16" s="593">
        <f>'Proy 2021 vs 2019 Sem'!IY15*$AAL$4</f>
        <v>10843.465284</v>
      </c>
      <c r="AAK16" s="735">
        <v>12777.28</v>
      </c>
      <c r="AAL16" s="700">
        <f t="shared" si="822"/>
        <v>0.84311435407519442</v>
      </c>
      <c r="AAM16" s="593">
        <v>11450.22</v>
      </c>
      <c r="AAN16" s="593">
        <f>'Proy 2021 vs 2019 Sem'!IY15*$AAP$4</f>
        <v>10843.465284</v>
      </c>
      <c r="AAO16" s="735">
        <v>6837.23</v>
      </c>
      <c r="AAP16" s="700">
        <f t="shared" si="823"/>
        <v>0.59712651809310213</v>
      </c>
      <c r="AAQ16" s="593">
        <v>9769.07</v>
      </c>
      <c r="AAR16" s="593">
        <f>'Proy 2021 vs 2019 Sem'!IY15*$AAT$4</f>
        <v>10843.465284</v>
      </c>
      <c r="AAS16" s="735">
        <v>9849.1299999999992</v>
      </c>
      <c r="AAT16" s="700">
        <f t="shared" si="824"/>
        <v>1.0081952529769977</v>
      </c>
      <c r="AAU16" s="593">
        <v>13667.23</v>
      </c>
      <c r="AAV16" s="593">
        <f>'Proy 2021 vs 2019 Sem'!IY15*$AAX$4</f>
        <v>12650.709498</v>
      </c>
      <c r="AAW16" s="735">
        <v>12994.04</v>
      </c>
      <c r="AAX16" s="700">
        <f t="shared" si="825"/>
        <v>0.95074422542095227</v>
      </c>
      <c r="AAY16" s="593">
        <v>14512.21</v>
      </c>
      <c r="AAZ16" s="593">
        <f>'Proy 2021 vs 2019 Sem'!IY15*$ABB$4</f>
        <v>14457.953712</v>
      </c>
      <c r="ABA16" s="735">
        <v>17583.55</v>
      </c>
      <c r="ABB16" s="700">
        <f t="shared" si="826"/>
        <v>1.2116383376480908</v>
      </c>
      <c r="ABC16" s="593">
        <v>27689.19</v>
      </c>
      <c r="ABD16" s="593">
        <f>'Proy 2021 vs 2019 Sem'!IY15*$ABF$4</f>
        <v>19879.686353999998</v>
      </c>
      <c r="ABE16" s="735">
        <v>19416.5</v>
      </c>
      <c r="ABF16" s="700">
        <f t="shared" si="827"/>
        <v>0.70123033573752069</v>
      </c>
      <c r="ABG16" s="579">
        <f t="shared" si="828"/>
        <v>103864.61000000002</v>
      </c>
      <c r="ABH16" s="574">
        <f t="shared" si="829"/>
        <v>90362.210699999996</v>
      </c>
      <c r="ABI16" s="759">
        <f t="shared" si="830"/>
        <v>96795.16</v>
      </c>
      <c r="ABJ16" s="761">
        <f t="shared" si="831"/>
        <v>0.93193591156795363</v>
      </c>
      <c r="ABK16" s="593">
        <v>10758.47</v>
      </c>
      <c r="ABL16" s="593">
        <f>'Proy 2021 vs 2019 Sem'!JD15*$ABN$4</f>
        <v>13229.808839999998</v>
      </c>
      <c r="ABM16" s="735">
        <v>9532.2800000000007</v>
      </c>
      <c r="ABN16" s="700">
        <f t="shared" si="832"/>
        <v>0.88602561516646894</v>
      </c>
      <c r="ABO16" s="593">
        <v>12553.18</v>
      </c>
      <c r="ABP16" s="593">
        <f>'Proy 2021 vs 2019 Sem'!JD15*$ABR$4</f>
        <v>13229.808839999998</v>
      </c>
      <c r="ABQ16" s="735">
        <v>9097.64</v>
      </c>
      <c r="ABR16" s="700">
        <f t="shared" si="833"/>
        <v>0.72472791754758548</v>
      </c>
      <c r="ABS16" s="593">
        <v>10025</v>
      </c>
      <c r="ABT16" s="593">
        <f>'Proy 2021 vs 2019 Sem'!JD15*$ABV$4</f>
        <v>13229.808839999998</v>
      </c>
      <c r="ABU16" s="735">
        <v>12148.16</v>
      </c>
      <c r="ABV16" s="700">
        <f t="shared" si="834"/>
        <v>1.2117865336658353</v>
      </c>
      <c r="ABW16" s="593">
        <v>13051.17</v>
      </c>
      <c r="ABX16" s="593">
        <f>'Proy 2021 vs 2019 Sem'!JD15*$ABZ$4</f>
        <v>13229.808839999998</v>
      </c>
      <c r="ABY16" s="735">
        <v>8439.39</v>
      </c>
      <c r="ABZ16" s="700">
        <f t="shared" si="835"/>
        <v>0.64663857723100682</v>
      </c>
      <c r="ACA16" s="593">
        <v>15689.29</v>
      </c>
      <c r="ACB16" s="593">
        <f>'Proy 2021 vs 2019 Sem'!JD15*$ACD$4</f>
        <v>15434.776980000001</v>
      </c>
      <c r="ACC16" s="735">
        <v>6850.57</v>
      </c>
      <c r="ACD16" s="700">
        <f t="shared" si="836"/>
        <v>0.43663989893742799</v>
      </c>
      <c r="ACE16" s="593">
        <v>21857.19</v>
      </c>
      <c r="ACF16" s="593">
        <f>'Proy 2021 vs 2019 Sem'!JD15*$ACH$4</f>
        <v>17639.74512</v>
      </c>
      <c r="ACG16" s="735">
        <v>19928.96</v>
      </c>
      <c r="ACH16" s="700">
        <f t="shared" si="837"/>
        <v>0.91178051707470176</v>
      </c>
      <c r="ACI16" s="593">
        <v>38635.949999999997</v>
      </c>
      <c r="ACJ16" s="593">
        <f>'Proy 2021 vs 2019 Sem'!JD15*$ACL$4</f>
        <v>24254.649539999999</v>
      </c>
      <c r="ACK16" s="735">
        <v>28652.07</v>
      </c>
      <c r="ACL16" s="700">
        <f t="shared" si="838"/>
        <v>0.74159092762051926</v>
      </c>
      <c r="ACM16" s="579">
        <f t="shared" si="839"/>
        <v>122570.25</v>
      </c>
      <c r="ACN16" s="574">
        <f t="shared" si="840"/>
        <v>110248.40699999999</v>
      </c>
      <c r="ACO16" s="765">
        <f t="shared" si="841"/>
        <v>94649.07</v>
      </c>
      <c r="ACP16" s="761">
        <f t="shared" si="842"/>
        <v>0.77220263481554463</v>
      </c>
      <c r="ACQ16" s="593">
        <v>23599.38</v>
      </c>
      <c r="ACR16" s="593">
        <f>'Proy 2021 vs 2019 Sem'!JI15*$ACT$4</f>
        <v>16486.876080000002</v>
      </c>
      <c r="ACS16" s="735">
        <v>11763.35</v>
      </c>
      <c r="ACT16" s="700">
        <f t="shared" si="843"/>
        <v>0.49846012903728826</v>
      </c>
      <c r="ACU16" s="593">
        <v>25562.78</v>
      </c>
      <c r="ACV16" s="593">
        <f>'Proy 2021 vs 2019 Sem'!JI15*$ACX$4</f>
        <v>16486.876080000002</v>
      </c>
      <c r="ACW16" s="735">
        <v>17709.77</v>
      </c>
      <c r="ACX16" s="700">
        <f t="shared" si="844"/>
        <v>0.69279514982329782</v>
      </c>
      <c r="ACY16" s="593">
        <v>20068.23</v>
      </c>
      <c r="ACZ16" s="593">
        <f>'Proy 2021 vs 2019 Sem'!JI15*$ADB$4</f>
        <v>16486.876080000002</v>
      </c>
      <c r="ADA16" s="735">
        <v>13529.08</v>
      </c>
      <c r="ADB16" s="700">
        <f t="shared" si="845"/>
        <v>0.67415412320867363</v>
      </c>
      <c r="ADC16" s="593">
        <v>14979.36</v>
      </c>
      <c r="ADD16" s="593">
        <f>'Proy 2021 vs 2019 Sem'!JI15*$ADF$4</f>
        <v>16486.876080000002</v>
      </c>
      <c r="ADE16" s="735">
        <v>12147.36</v>
      </c>
      <c r="ADF16" s="700">
        <f t="shared" si="846"/>
        <v>0.81093985323805562</v>
      </c>
      <c r="ADG16" s="593">
        <v>18362.669999999998</v>
      </c>
      <c r="ADH16" s="593">
        <f>'Proy 2021 vs 2019 Sem'!JI15*$ADJ$4</f>
        <v>19234.688760000005</v>
      </c>
      <c r="ADI16" s="735">
        <v>11209.08</v>
      </c>
      <c r="ADJ16" s="700">
        <f t="shared" si="847"/>
        <v>0.61042756853986924</v>
      </c>
      <c r="ADK16" s="593">
        <v>16349.6</v>
      </c>
      <c r="ADL16" s="593">
        <f>'Proy 2021 vs 2019 Sem'!JI15*$ADN$4</f>
        <v>21982.501440000004</v>
      </c>
      <c r="ADM16" s="735">
        <v>15979.33</v>
      </c>
      <c r="ADN16" s="700">
        <f t="shared" si="848"/>
        <v>0.97735296276361494</v>
      </c>
      <c r="ADO16" s="593">
        <v>33794.239999999998</v>
      </c>
      <c r="ADP16" s="593">
        <f>'Proy 2021 vs 2019 Sem'!JI15*$ADR$4</f>
        <v>30225.939480000005</v>
      </c>
      <c r="ADQ16" s="735">
        <v>22910.12</v>
      </c>
      <c r="ADR16" s="700">
        <f t="shared" si="849"/>
        <v>0.67792973003683465</v>
      </c>
      <c r="ADS16" s="579">
        <f t="shared" si="850"/>
        <v>152716.26</v>
      </c>
      <c r="ADT16" s="574">
        <f t="shared" si="851"/>
        <v>137390.63400000002</v>
      </c>
      <c r="ADU16" s="765">
        <f t="shared" si="852"/>
        <v>105248.09</v>
      </c>
      <c r="ADV16" s="761">
        <f t="shared" si="853"/>
        <v>0.68917409318431444</v>
      </c>
      <c r="ADW16" s="593">
        <v>14298.15</v>
      </c>
      <c r="ADX16" s="593">
        <f>'Proy 2021 vs 2019 Sem'!JN15*$ADZ$4</f>
        <v>13006.56192</v>
      </c>
      <c r="ADY16" s="735">
        <v>10311.85</v>
      </c>
      <c r="ADZ16" s="700">
        <f t="shared" si="854"/>
        <v>0.72120169392543798</v>
      </c>
      <c r="AEA16" s="593">
        <v>16876.78</v>
      </c>
      <c r="AEB16" s="593">
        <f>'Proy 2021 vs 2019 Sem'!JN15*$AED$4</f>
        <v>13006.56192</v>
      </c>
      <c r="AEC16" s="735">
        <v>12584</v>
      </c>
      <c r="AED16" s="700">
        <f t="shared" si="855"/>
        <v>0.7456398673206619</v>
      </c>
      <c r="AEE16" s="593">
        <v>13664.3</v>
      </c>
      <c r="AEF16" s="593">
        <f>'Proy 2021 vs 2019 Sem'!JN15*$AEH$4</f>
        <v>13006.56192</v>
      </c>
      <c r="AEG16" s="735">
        <v>15197</v>
      </c>
      <c r="AEH16" s="700">
        <f t="shared" si="856"/>
        <v>1.1121682047378938</v>
      </c>
      <c r="AEI16" s="593">
        <v>13738.29</v>
      </c>
      <c r="AEJ16" s="593">
        <f>'Proy 2021 vs 2019 Sem'!JN15*$AEL$4</f>
        <v>13006.56192</v>
      </c>
      <c r="AEK16" s="735">
        <v>15423</v>
      </c>
      <c r="AEL16" s="700">
        <f t="shared" si="857"/>
        <v>1.1226287987806343</v>
      </c>
      <c r="AEM16" s="593">
        <v>19480.86</v>
      </c>
      <c r="AEN16" s="593">
        <f>'Proy 2021 vs 2019 Sem'!JN15*$AEP$4</f>
        <v>15174.322240000001</v>
      </c>
      <c r="AEO16" s="735">
        <v>12026</v>
      </c>
      <c r="AEP16" s="700">
        <f t="shared" si="858"/>
        <v>0.61732387584531689</v>
      </c>
      <c r="AEQ16" s="593">
        <v>23969.15</v>
      </c>
      <c r="AER16" s="593">
        <f>'Proy 2021 vs 2019 Sem'!JN15*$AET$4</f>
        <v>17342.082560000003</v>
      </c>
      <c r="AES16" s="735">
        <v>10959</v>
      </c>
      <c r="AET16" s="700">
        <f t="shared" si="859"/>
        <v>0.45721270883614978</v>
      </c>
      <c r="AEU16" s="593">
        <v>33357.49</v>
      </c>
      <c r="AEV16" s="593">
        <f>'Proy 2021 vs 2019 Sem'!JN15*$AEX$4</f>
        <v>23845.363520000003</v>
      </c>
      <c r="AEW16" s="735">
        <v>28501</v>
      </c>
      <c r="AEX16" s="700">
        <f t="shared" si="860"/>
        <v>0.8544108084870895</v>
      </c>
      <c r="AEY16" s="579">
        <f t="shared" si="861"/>
        <v>135385.01999999999</v>
      </c>
      <c r="AEZ16" s="574">
        <f t="shared" si="862"/>
        <v>108388.01600000002</v>
      </c>
      <c r="AFA16" s="770">
        <f t="shared" si="863"/>
        <v>105001.85</v>
      </c>
      <c r="AFB16" s="761">
        <f t="shared" si="864"/>
        <v>0.77557952866572688</v>
      </c>
      <c r="AFC16" s="593">
        <v>19706.919999999998</v>
      </c>
      <c r="AFD16" s="593">
        <f>'Proy 2021 vs 2019 Sem'!JX15*$AFF$4</f>
        <v>18652.548599999998</v>
      </c>
      <c r="AFE16" s="735">
        <v>11078</v>
      </c>
      <c r="AFF16" s="700">
        <f t="shared" si="865"/>
        <v>0.56213756386081648</v>
      </c>
      <c r="AFG16" s="593">
        <v>20597.349999999999</v>
      </c>
      <c r="AFH16" s="593">
        <f>'Proy 2021 vs 2019 Sem'!JX15*$AFJ$4</f>
        <v>18652.548599999998</v>
      </c>
      <c r="AFI16" s="735">
        <v>25416.400000000001</v>
      </c>
      <c r="AFJ16" s="700">
        <f t="shared" si="866"/>
        <v>1.2339645634025738</v>
      </c>
      <c r="AFK16" s="593">
        <v>25297.96</v>
      </c>
      <c r="AFL16" s="593">
        <f>'Proy 2021 vs 2019 Sem'!JX15*$AFN$4</f>
        <v>18652.548599999998</v>
      </c>
      <c r="AFM16" s="735">
        <v>16449.03</v>
      </c>
      <c r="AFN16" s="700">
        <f t="shared" si="867"/>
        <v>0.65021171667596911</v>
      </c>
      <c r="AFO16" s="593">
        <v>26896.62</v>
      </c>
      <c r="AFP16" s="593">
        <f>'Proy 2021 vs 2019 Sem'!JX15*$AFR$4</f>
        <v>18652.548599999998</v>
      </c>
      <c r="AFQ16" s="735">
        <v>20655.93</v>
      </c>
      <c r="AFR16" s="700">
        <f t="shared" si="868"/>
        <v>0.76797493514054926</v>
      </c>
      <c r="AFS16" s="593">
        <v>31925.62</v>
      </c>
      <c r="AFT16" s="593">
        <f>'Proy 2021 vs 2019 Sem'!JX15*$AFV$4</f>
        <v>21761.306700000001</v>
      </c>
      <c r="AFU16" s="735">
        <v>20638.97</v>
      </c>
      <c r="AFV16" s="700">
        <f t="shared" si="869"/>
        <v>0.64647045225746602</v>
      </c>
      <c r="AFW16" s="593">
        <v>35284.620000000003</v>
      </c>
      <c r="AFX16" s="593">
        <f>'Proy 2021 vs 2019 Sem'!JX15*$AFZ$4</f>
        <v>24870.0648</v>
      </c>
      <c r="AFY16" s="735">
        <v>29829.73</v>
      </c>
      <c r="AFZ16" s="700">
        <f t="shared" si="870"/>
        <v>0.84540318132942904</v>
      </c>
      <c r="AGA16" s="593">
        <v>49616.25</v>
      </c>
      <c r="AGB16" s="593">
        <f>'Proy 2021 vs 2019 Sem'!JX15*$AGD$4</f>
        <v>34196.339099999997</v>
      </c>
      <c r="AGC16" s="735">
        <v>35313.33</v>
      </c>
      <c r="AGD16" s="700">
        <f t="shared" si="871"/>
        <v>0.71172912100370345</v>
      </c>
      <c r="AGE16" s="579">
        <f t="shared" si="872"/>
        <v>209325.34</v>
      </c>
      <c r="AGF16" s="574">
        <f t="shared" si="873"/>
        <v>155437.90499999997</v>
      </c>
      <c r="AGG16" s="729">
        <f t="shared" si="874"/>
        <v>159381.39000000001</v>
      </c>
      <c r="AGH16" s="711">
        <f t="shared" si="875"/>
        <v>0.76140514091604972</v>
      </c>
      <c r="AGI16" s="593">
        <v>27007.72</v>
      </c>
      <c r="AGJ16" s="593">
        <f>'Proy 2021 vs 2019 Sem'!KC15*$AGL$4</f>
        <v>19970.1342</v>
      </c>
      <c r="AGK16" s="735">
        <v>16950.29</v>
      </c>
      <c r="AGL16" s="700">
        <f t="shared" si="876"/>
        <v>0.62760906881439826</v>
      </c>
      <c r="AGM16" s="593">
        <v>25866.46</v>
      </c>
      <c r="AGN16" s="593">
        <f>'Proy 2021 vs 2019 Sem'!KC15*$AGP$4</f>
        <v>19970.1342</v>
      </c>
      <c r="AGO16" s="735">
        <v>25881.4</v>
      </c>
      <c r="AGP16" s="700">
        <f t="shared" si="877"/>
        <v>1.0005775819342888</v>
      </c>
      <c r="AGQ16" s="593">
        <v>27548.3</v>
      </c>
      <c r="AGR16" s="593">
        <f>'Proy 2021 vs 2019 Sem'!KC15*$AGT$4</f>
        <v>19970.1342</v>
      </c>
      <c r="AGS16" s="735">
        <v>22202.76</v>
      </c>
      <c r="AGT16" s="700">
        <f t="shared" si="878"/>
        <v>0.80595753639970524</v>
      </c>
      <c r="AGU16" s="593">
        <v>34303.26</v>
      </c>
      <c r="AGV16" s="593">
        <f>'Proy 2021 vs 2019 Sem'!KC15*$AGX$4</f>
        <v>19970.1342</v>
      </c>
      <c r="AGW16" s="735">
        <v>19995.43</v>
      </c>
      <c r="AGX16" s="700">
        <f t="shared" si="879"/>
        <v>0.58290174170035147</v>
      </c>
      <c r="AGY16" s="593">
        <v>27400.3</v>
      </c>
      <c r="AGZ16" s="593">
        <f>'Proy 2021 vs 2019 Sem'!KC15*$AHB$4</f>
        <v>23298.489900000004</v>
      </c>
      <c r="AHA16" s="735">
        <v>21109.46</v>
      </c>
      <c r="AHB16" s="700">
        <f t="shared" si="880"/>
        <v>0.77040981303124412</v>
      </c>
      <c r="AHC16" s="593">
        <v>38058.04</v>
      </c>
      <c r="AHD16" s="593">
        <f>'Proy 2021 vs 2019 Sem'!KC15*$AHF$4</f>
        <v>26626.845600000001</v>
      </c>
      <c r="AHE16" s="735">
        <v>37308.46</v>
      </c>
      <c r="AHF16" s="700">
        <f t="shared" si="881"/>
        <v>0.98030429312702383</v>
      </c>
      <c r="AHG16" s="593">
        <v>45054.43</v>
      </c>
      <c r="AHH16" s="593">
        <f>'Proy 2021 vs 2019 Sem'!KC15*$AHJ$4</f>
        <v>36611.912700000001</v>
      </c>
      <c r="AHI16" s="735">
        <v>39363.879999999997</v>
      </c>
      <c r="AHJ16" s="700">
        <f t="shared" si="882"/>
        <v>0.8736961049113261</v>
      </c>
      <c r="AHK16" s="579">
        <f t="shared" si="883"/>
        <v>225238.50999999998</v>
      </c>
      <c r="AHL16" s="574">
        <f t="shared" si="884"/>
        <v>166417.785</v>
      </c>
      <c r="AHM16" s="730">
        <f t="shared" si="885"/>
        <v>182811.68</v>
      </c>
      <c r="AHN16" s="711">
        <f t="shared" si="886"/>
        <v>0.81163598533838643</v>
      </c>
      <c r="AHO16" s="593">
        <v>31732.21</v>
      </c>
      <c r="AHP16" s="593">
        <f>'Proy 2021 vs 2019 Sem'!KH15*$AHR$4</f>
        <v>47650.340699999993</v>
      </c>
      <c r="AHQ16" s="735">
        <v>15488.11</v>
      </c>
      <c r="AHR16" s="700">
        <f t="shared" si="887"/>
        <v>0.48808797118133279</v>
      </c>
      <c r="AHS16" s="593">
        <v>58254.44</v>
      </c>
      <c r="AHT16" s="593">
        <f>'Proy 2021 vs 2019 Sem'!KH15*$AHV$4</f>
        <v>47650.340699999993</v>
      </c>
      <c r="AHU16" s="735">
        <v>33478.07</v>
      </c>
      <c r="AHV16" s="700">
        <f t="shared" si="888"/>
        <v>0.57468701098148056</v>
      </c>
      <c r="AHW16" s="593">
        <v>38049.26</v>
      </c>
      <c r="AHX16" s="593">
        <f>'Proy 2021 vs 2019 Sem'!KH15*$AHZ$4</f>
        <v>47650.340699999993</v>
      </c>
      <c r="AHY16" s="735">
        <v>36915.39</v>
      </c>
      <c r="AHZ16" s="700">
        <f t="shared" si="889"/>
        <v>0.97019994606991034</v>
      </c>
      <c r="AIA16" s="593">
        <v>42629.35</v>
      </c>
      <c r="AIB16" s="593">
        <f>'Proy 2021 vs 2019 Sem'!KH15*$AID$4</f>
        <v>47650.340699999993</v>
      </c>
      <c r="AIC16" s="735">
        <v>36293.089999999997</v>
      </c>
      <c r="AID16" s="700">
        <f t="shared" si="890"/>
        <v>0.8513639077302374</v>
      </c>
      <c r="AIE16" s="593">
        <v>32989.79</v>
      </c>
      <c r="AIF16" s="593">
        <f>'Proy 2021 vs 2019 Sem'!KH15*$AIH$4</f>
        <v>55592.064150000006</v>
      </c>
      <c r="AIG16" s="735">
        <v>30183.73</v>
      </c>
      <c r="AIH16" s="700">
        <f t="shared" si="891"/>
        <v>0.91494156222273615</v>
      </c>
      <c r="AII16" s="593">
        <v>56543.9</v>
      </c>
      <c r="AIJ16" s="593">
        <f>'Proy 2021 vs 2019 Sem'!KH15*$AIL$4</f>
        <v>63533.787599999996</v>
      </c>
      <c r="AIK16" s="735">
        <v>32790.19</v>
      </c>
      <c r="AIL16" s="700">
        <f t="shared" si="892"/>
        <v>0.57990676271003594</v>
      </c>
      <c r="AIM16" s="593">
        <v>67151.67</v>
      </c>
      <c r="AIN16" s="593">
        <f>'Proy 2021 vs 2019 Sem'!KH15*$AIP$4</f>
        <v>87358.957949999996</v>
      </c>
      <c r="AIO16" s="735">
        <v>50935.839999999997</v>
      </c>
      <c r="AIP16" s="700">
        <f t="shared" si="893"/>
        <v>0.758519333919767</v>
      </c>
      <c r="AIQ16" s="579">
        <f t="shared" si="894"/>
        <v>327350.62</v>
      </c>
      <c r="AIR16" s="574">
        <f t="shared" si="895"/>
        <v>397086.17249999999</v>
      </c>
      <c r="AIS16" s="730">
        <f t="shared" si="896"/>
        <v>236084.42</v>
      </c>
      <c r="AIT16" s="711">
        <f t="shared" si="897"/>
        <v>0.72119741212037425</v>
      </c>
      <c r="AIU16" s="593">
        <f>'Proy 2021 vs 2019 Sem'!KL15*$AIX$4</f>
        <v>40342.096799999999</v>
      </c>
      <c r="AIV16" s="593">
        <f>'Proy 2021 vs 2019 Sem'!KM15*$AIX$4</f>
        <v>52041.304872000001</v>
      </c>
      <c r="AIW16" s="735">
        <v>39158.35</v>
      </c>
      <c r="AIX16" s="700">
        <f t="shared" si="898"/>
        <v>0.97065728125465212</v>
      </c>
      <c r="AIY16" s="593">
        <f>'Proy 2021 vs 2019 Sem'!KL15*$AJB$4</f>
        <v>40342.096799999999</v>
      </c>
      <c r="AIZ16" s="593">
        <f>'Proy 2021 vs 2019 Sem'!KM15*$AJB$4</f>
        <v>52041.304872000001</v>
      </c>
      <c r="AJA16" s="735">
        <v>53238.28</v>
      </c>
      <c r="AJB16" s="700">
        <f t="shared" si="899"/>
        <v>1.3196706225740849</v>
      </c>
      <c r="AJC16" s="593">
        <f>'Proy 2021 vs 2019 Sem'!KL15*$AJF$4</f>
        <v>40342.096799999999</v>
      </c>
      <c r="AJD16" s="593">
        <f>'Proy 2021 vs 2019 Sem'!KM15*$AJF$4</f>
        <v>52041.304872000001</v>
      </c>
      <c r="AJE16" s="735">
        <v>55865.07</v>
      </c>
      <c r="AJF16" s="700">
        <f t="shared" si="900"/>
        <v>1.384783499899787</v>
      </c>
      <c r="AJG16" s="593">
        <f>'Proy 2021 vs 2019 Sem'!KL15*$AJJ$4</f>
        <v>40342.096799999999</v>
      </c>
      <c r="AJH16" s="593">
        <f>'Proy 2021 vs 2019 Sem'!KM15*$AJJ$4</f>
        <v>52041.304872000001</v>
      </c>
      <c r="AJI16" s="735">
        <v>62426.45</v>
      </c>
      <c r="AJJ16" s="700">
        <f t="shared" si="901"/>
        <v>1.5474270043395464</v>
      </c>
      <c r="AJK16" s="593">
        <f>'Proy 2021 vs 2019 Sem'!KL15*$AJN$4</f>
        <v>47065.779600000009</v>
      </c>
      <c r="AJL16" s="593">
        <f>'Proy 2021 vs 2019 Sem'!KM15*$AJN$4</f>
        <v>60714.855684000009</v>
      </c>
      <c r="AJM16" s="735">
        <v>86532.01</v>
      </c>
      <c r="AJN16" s="700">
        <f t="shared" si="902"/>
        <v>1.8385334469207428</v>
      </c>
      <c r="AJO16" s="593">
        <f>'Proy 2021 vs 2019 Sem'!KL15*$AJR$4</f>
        <v>53789.462400000004</v>
      </c>
      <c r="AJP16" s="593">
        <f>'Proy 2021 vs 2019 Sem'!KM15*$AJR$4</f>
        <v>69388.406495999996</v>
      </c>
      <c r="AJQ16" s="735">
        <v>90240.55</v>
      </c>
      <c r="AJR16" s="700">
        <f t="shared" si="903"/>
        <v>1.6776622404019415</v>
      </c>
      <c r="AJS16" s="593">
        <f>'Proy 2021 vs 2019 Sem'!KL15*$AJV$4</f>
        <v>73960.510800000004</v>
      </c>
      <c r="AJT16" s="593">
        <f>'Proy 2021 vs 2019 Sem'!KM15*$AJV$4</f>
        <v>95409.058932</v>
      </c>
      <c r="AJU16" s="699">
        <v>0</v>
      </c>
      <c r="AJV16" s="700">
        <f t="shared" si="904"/>
        <v>0</v>
      </c>
      <c r="AJW16" s="579">
        <f t="shared" si="905"/>
        <v>336184.14</v>
      </c>
      <c r="AJX16" s="574">
        <f t="shared" si="906"/>
        <v>433677.54060000001</v>
      </c>
      <c r="AJY16" s="710">
        <f t="shared" si="907"/>
        <v>387460.71</v>
      </c>
      <c r="AJZ16" s="711">
        <f t="shared" si="908"/>
        <v>1.1525252500013832</v>
      </c>
      <c r="AKA16" s="593">
        <f>'Proy 2021 vs 2019 Sem'!KQ15*$AKD$4</f>
        <v>12952.785599999999</v>
      </c>
      <c r="AKB16" s="593">
        <f>'Proy 2021 vs 2019 Sem'!KR15*$AKD$4</f>
        <v>11009.867759999999</v>
      </c>
      <c r="AKC16" s="735">
        <v>11236.59</v>
      </c>
      <c r="AKD16" s="700">
        <f t="shared" si="909"/>
        <v>0.86750374375068795</v>
      </c>
      <c r="AKE16" s="593">
        <f>'Proy 2021 vs 2019 Sem'!KQ15*$AKH$4</f>
        <v>12952.785599999999</v>
      </c>
      <c r="AKF16" s="593">
        <f>'Proy 2021 vs 2019 Sem'!KR15*$AKH$4</f>
        <v>11009.867759999999</v>
      </c>
      <c r="AKG16" s="735">
        <v>17737.55</v>
      </c>
      <c r="AKH16" s="700">
        <f t="shared" si="910"/>
        <v>1.3694004168493301</v>
      </c>
      <c r="AKI16" s="593">
        <f>'Proy 2021 vs 2019 Sem'!KQ15*$AKL$4</f>
        <v>12952.785599999999</v>
      </c>
      <c r="AKJ16" s="593">
        <f>'Proy 2021 vs 2019 Sem'!KR15*$AKL$4</f>
        <v>11009.867759999999</v>
      </c>
      <c r="AKK16" s="735">
        <v>14932.63</v>
      </c>
      <c r="AKL16" s="700">
        <f t="shared" si="911"/>
        <v>1.1528508585828827</v>
      </c>
      <c r="AKM16" s="593">
        <f>'Proy 2021 vs 2019 Sem'!KQ15*$AKP$4</f>
        <v>12952.785599999999</v>
      </c>
      <c r="AKN16" s="593">
        <f>'Proy 2021 vs 2019 Sem'!KR15*$AKP$4</f>
        <v>11009.867759999999</v>
      </c>
      <c r="AKO16" s="735">
        <v>15684.7</v>
      </c>
      <c r="AKP16" s="700">
        <f t="shared" si="912"/>
        <v>1.2109132725859371</v>
      </c>
      <c r="AKQ16" s="593">
        <f>'Proy 2021 vs 2019 Sem'!KQ15*$AKT$4</f>
        <v>15111.583200000003</v>
      </c>
      <c r="AKR16" s="593">
        <f>'Proy 2021 vs 2019 Sem'!KR15*$AKT$4</f>
        <v>12844.845720000001</v>
      </c>
      <c r="AKS16" s="735">
        <v>17314.77</v>
      </c>
      <c r="AKT16" s="700">
        <f t="shared" si="913"/>
        <v>1.1457945716766458</v>
      </c>
      <c r="AKU16" s="593">
        <f>'Proy 2021 vs 2019 Sem'!KQ15*$AKX$4</f>
        <v>17270.380800000003</v>
      </c>
      <c r="AKV16" s="593">
        <f>'Proy 2021 vs 2019 Sem'!KR15*$AKX$4</f>
        <v>14679.823680000001</v>
      </c>
      <c r="AKW16" s="735">
        <v>19931.509999999998</v>
      </c>
      <c r="AKX16" s="700">
        <f t="shared" si="914"/>
        <v>1.1540863071183698</v>
      </c>
      <c r="AKY16" s="593">
        <f>'Proy 2021 vs 2019 Sem'!KQ15*$ALB$4</f>
        <v>23746.7736</v>
      </c>
      <c r="AKZ16" s="593">
        <f>'Proy 2021 vs 2019 Sem'!KR15*$ALB$4</f>
        <v>20184.757560000002</v>
      </c>
      <c r="ALA16" s="699">
        <v>0</v>
      </c>
      <c r="ALB16" s="700">
        <f>ALA16/AKY16</f>
        <v>0</v>
      </c>
      <c r="ALC16" s="579">
        <f t="shared" si="915"/>
        <v>107939.88</v>
      </c>
      <c r="ALD16" s="574">
        <f t="shared" si="916"/>
        <v>91748.898000000001</v>
      </c>
      <c r="ALE16" s="710">
        <f t="shared" si="917"/>
        <v>96837.75</v>
      </c>
      <c r="ALF16" s="711">
        <f t="shared" si="918"/>
        <v>0.89714524418593011</v>
      </c>
    </row>
    <row r="17" spans="2:994" ht="19.5" customHeight="1">
      <c r="B17" s="570" t="s">
        <v>19</v>
      </c>
      <c r="C17" s="574">
        <f>'Proy 2021 vs 2019 Sem'!DX16*$F$4</f>
        <v>509.77919999999995</v>
      </c>
      <c r="D17" s="576">
        <f>'Proy 2021 vs 2019 Sem'!$DY$16*F4</f>
        <v>14390.84765380765</v>
      </c>
      <c r="E17" s="735">
        <v>17793.439999999999</v>
      </c>
      <c r="F17" s="700">
        <f t="shared" si="580"/>
        <v>34.904209508744181</v>
      </c>
      <c r="G17" s="574">
        <f>'Proy 2021 vs 2019 Sem'!DX16*$J$4</f>
        <v>509.77919999999995</v>
      </c>
      <c r="H17" s="574">
        <f>'Proy 2021 vs 2019 Sem'!$DY$16*J4</f>
        <v>14390.84765380765</v>
      </c>
      <c r="I17" s="735">
        <v>17037.64</v>
      </c>
      <c r="J17" s="700">
        <f t="shared" si="581"/>
        <v>33.421606844688839</v>
      </c>
      <c r="K17" s="574">
        <f>'Proy 2021 vs 2019 Sem'!DX16*'Vtas Diarias 2021'!$N$4</f>
        <v>509.77919999999995</v>
      </c>
      <c r="L17" s="574">
        <f>'Proy 2021 vs 2019 Sem'!$DY$16*N4</f>
        <v>14390.84765380765</v>
      </c>
      <c r="M17" s="735">
        <v>11868.27</v>
      </c>
      <c r="N17" s="700">
        <f t="shared" si="582"/>
        <v>23.281197035893189</v>
      </c>
      <c r="O17" s="574">
        <f>'Proy 2021 vs 2019 Sem'!DX16*$R$4</f>
        <v>509.77919999999995</v>
      </c>
      <c r="P17" s="574">
        <f>'Proy 2021 vs 2019 Sem'!$DY$16*R4</f>
        <v>14390.84765380765</v>
      </c>
      <c r="Q17" s="735">
        <v>10321.14</v>
      </c>
      <c r="R17" s="700">
        <f t="shared" si="583"/>
        <v>20.246294866483371</v>
      </c>
      <c r="S17" s="574">
        <f>'Proy 2021 vs 2019 Sem'!DX16*$V$4</f>
        <v>594.74240000000009</v>
      </c>
      <c r="T17" s="574">
        <f>'Proy 2021 vs 2019 Sem'!$DY$16*V4</f>
        <v>16789.322262775593</v>
      </c>
      <c r="U17" s="735">
        <v>12055.95</v>
      </c>
      <c r="V17" s="700">
        <f t="shared" si="584"/>
        <v>20.270876937645607</v>
      </c>
      <c r="W17" s="574">
        <f>'Proy 2021 vs 2019 Sem'!DX16*$Z$4</f>
        <v>679.7056</v>
      </c>
      <c r="X17" s="574">
        <f>'Proy 2021 vs 2019 Sem'!$DY$16*Z4</f>
        <v>19187.796871743536</v>
      </c>
      <c r="Y17" s="735">
        <v>13890.59</v>
      </c>
      <c r="Z17" s="700">
        <f t="shared" si="585"/>
        <v>20.436185901660956</v>
      </c>
      <c r="AA17" s="574">
        <f>'Proy 2021 vs 2019 Sem'!DX16*$AD$4</f>
        <v>934.59519999999998</v>
      </c>
      <c r="AB17" s="574">
        <f>'Proy 2021 vs 2019 Sem'!$DY$16*AD4</f>
        <v>26383.220698647361</v>
      </c>
      <c r="AC17" s="735">
        <v>29184.51</v>
      </c>
      <c r="AD17" s="700">
        <f t="shared" si="586"/>
        <v>31.226899089573752</v>
      </c>
      <c r="AE17" s="579">
        <f t="shared" si="587"/>
        <v>4248.16</v>
      </c>
      <c r="AF17" s="574">
        <f t="shared" si="588"/>
        <v>119923.73044839709</v>
      </c>
      <c r="AG17" s="729">
        <f t="shared" si="589"/>
        <v>112151.54</v>
      </c>
      <c r="AH17" s="711">
        <f t="shared" si="590"/>
        <v>26.400027305939513</v>
      </c>
      <c r="AI17" s="593">
        <f>'Proy 2021 vs 2019 Sem'!EC16*$AL$4</f>
        <v>0</v>
      </c>
      <c r="AJ17" s="611">
        <f>'Proy 2021 vs 2019 Sem'!ED16*$AL$4</f>
        <v>12731.615232</v>
      </c>
      <c r="AK17" s="735">
        <v>12141.88</v>
      </c>
      <c r="AL17" s="700"/>
      <c r="AM17" s="593">
        <f>'Proy 2021 vs 2019 Sem'!EC16*$AP$4</f>
        <v>0</v>
      </c>
      <c r="AN17" s="593">
        <f>'Proy 2021 vs 2019 Sem'!ED16*$AP$4</f>
        <v>12731.615232</v>
      </c>
      <c r="AO17" s="735">
        <v>14350.94</v>
      </c>
      <c r="AP17" s="700"/>
      <c r="AQ17" s="593">
        <f>'Proy 2021 vs 2019 Sem'!EC16*$AT$4</f>
        <v>0</v>
      </c>
      <c r="AR17" s="593">
        <f>'Proy 2021 vs 2019 Sem'!ED16*$AT$4</f>
        <v>12731.615232</v>
      </c>
      <c r="AS17" s="735">
        <v>11762.5</v>
      </c>
      <c r="AT17" s="700" t="e">
        <f t="shared" si="593"/>
        <v>#DIV/0!</v>
      </c>
      <c r="AU17" s="593">
        <f>'Proy 2021 vs 2019 Sem'!EC16*$AX$4</f>
        <v>0</v>
      </c>
      <c r="AV17" s="593">
        <f>'Proy 2021 vs 2019 Sem'!ED16*$AX$4</f>
        <v>12731.615232</v>
      </c>
      <c r="AW17" s="735">
        <v>12872.52</v>
      </c>
      <c r="AX17" s="700" t="e">
        <f t="shared" si="594"/>
        <v>#DIV/0!</v>
      </c>
      <c r="AY17" s="593">
        <f>'Proy 2021 vs 2019 Sem'!EC16*$BB$4</f>
        <v>0</v>
      </c>
      <c r="AZ17" s="593">
        <f>'Proy 2021 vs 2019 Sem'!ED16*$BB$4</f>
        <v>14853.551104000002</v>
      </c>
      <c r="BA17" s="735">
        <v>15563.71</v>
      </c>
      <c r="BB17" s="700" t="e">
        <f t="shared" si="595"/>
        <v>#DIV/0!</v>
      </c>
      <c r="BC17" s="593">
        <f>'Proy 2021 vs 2019 Sem'!EC16*$BF$4</f>
        <v>0</v>
      </c>
      <c r="BD17" s="593">
        <f>'Proy 2021 vs 2019 Sem'!ED16*$BF$4</f>
        <v>16975.486976</v>
      </c>
      <c r="BE17" s="735">
        <v>16815.41</v>
      </c>
      <c r="BF17" s="700" t="e">
        <f t="shared" si="596"/>
        <v>#DIV/0!</v>
      </c>
      <c r="BG17" s="593">
        <f>'Proy 2021 vs 2019 Sem'!EC16*$BJ$4</f>
        <v>0</v>
      </c>
      <c r="BH17" s="593">
        <f>'Proy 2021 vs 2019 Sem'!ED16*$BJ$4</f>
        <v>23341.294592000002</v>
      </c>
      <c r="BI17" s="735">
        <v>23638.67</v>
      </c>
      <c r="BJ17" s="700" t="e">
        <f t="shared" si="597"/>
        <v>#DIV/0!</v>
      </c>
      <c r="BK17" s="579">
        <f t="shared" si="598"/>
        <v>0</v>
      </c>
      <c r="BL17" s="574">
        <f t="shared" si="599"/>
        <v>106096.7936</v>
      </c>
      <c r="BM17" s="730">
        <f t="shared" si="600"/>
        <v>107145.62999999999</v>
      </c>
      <c r="BN17" s="711" t="e">
        <f t="shared" si="601"/>
        <v>#DIV/0!</v>
      </c>
      <c r="BO17" s="593">
        <f>'Proy 2021 vs 2019 Sem'!EH16*$BR$4</f>
        <v>0</v>
      </c>
      <c r="BP17" s="593">
        <f>'Proy 2021 vs 2019 Sem'!EI16*$BR$4</f>
        <v>13210.992479999999</v>
      </c>
      <c r="BQ17" s="735">
        <v>12580.55</v>
      </c>
      <c r="BR17" s="700"/>
      <c r="BS17" s="593">
        <f>'Proy 2021 vs 2019 Sem'!EH16*$BV$4</f>
        <v>0</v>
      </c>
      <c r="BT17" s="593">
        <f>'Proy 2021 vs 2019 Sem'!EI16*$BV$4</f>
        <v>13210.992479999999</v>
      </c>
      <c r="BU17" s="735">
        <v>10922.43</v>
      </c>
      <c r="BV17" s="700"/>
      <c r="BW17" s="593">
        <f>'Proy 2021 vs 2019 Sem'!EH16*$BZ$4</f>
        <v>0</v>
      </c>
      <c r="BX17" s="593">
        <f>'Proy 2021 vs 2019 Sem'!EI16*$BZ$4</f>
        <v>13210.992479999999</v>
      </c>
      <c r="BY17" s="735">
        <v>12647.91</v>
      </c>
      <c r="BZ17" s="700"/>
      <c r="CA17" s="593">
        <f>'Proy 2021 vs 2019 Sem'!EH16*$CD$4</f>
        <v>0</v>
      </c>
      <c r="CB17" s="593">
        <f>'Proy 2021 vs 2019 Sem'!EI16*$CD$4</f>
        <v>13210.992479999999</v>
      </c>
      <c r="CC17" s="735">
        <v>14647.06</v>
      </c>
      <c r="CD17" s="700"/>
      <c r="CE17" s="593">
        <f>'Proy 2021 vs 2019 Sem'!EH16*$CH$4</f>
        <v>0</v>
      </c>
      <c r="CF17" s="593">
        <f>'Proy 2021 vs 2019 Sem'!EI16*$CH$4</f>
        <v>15412.824560000001</v>
      </c>
      <c r="CG17" s="735">
        <v>15907.62</v>
      </c>
      <c r="CH17" s="700" t="e">
        <f t="shared" si="606"/>
        <v>#DIV/0!</v>
      </c>
      <c r="CI17" s="593">
        <f>'Proy 2021 vs 2019 Sem'!EH16*$CL$4</f>
        <v>0</v>
      </c>
      <c r="CJ17" s="593">
        <f>'Proy 2021 vs 2019 Sem'!EI16*$CL$4</f>
        <v>17614.656639999997</v>
      </c>
      <c r="CK17" s="735">
        <v>26618.639999999999</v>
      </c>
      <c r="CL17" s="700" t="e">
        <f t="shared" si="607"/>
        <v>#DIV/0!</v>
      </c>
      <c r="CM17" s="593">
        <f>'Proy 2021 vs 2019 Sem'!EH16*$CP$4</f>
        <v>0</v>
      </c>
      <c r="CN17" s="593">
        <f>'Proy 2021 vs 2019 Sem'!EI16*$CP$4</f>
        <v>24220.152879999998</v>
      </c>
      <c r="CO17" s="735">
        <v>30594.69</v>
      </c>
      <c r="CP17" s="700" t="e">
        <f t="shared" si="608"/>
        <v>#DIV/0!</v>
      </c>
      <c r="CQ17" s="579">
        <f t="shared" si="609"/>
        <v>0</v>
      </c>
      <c r="CR17" s="574">
        <f t="shared" si="610"/>
        <v>110091.60399999999</v>
      </c>
      <c r="CS17" s="730">
        <f t="shared" si="611"/>
        <v>123918.9</v>
      </c>
      <c r="CT17" s="711" t="e">
        <f t="shared" si="612"/>
        <v>#DIV/0!</v>
      </c>
      <c r="CU17" s="593">
        <f>'Proy 2021 vs 2019 Sem'!EM16*$CX$4</f>
        <v>0</v>
      </c>
      <c r="CV17" s="593">
        <f>'Proy 2021 vs 2019 Sem'!EN16*$CX$4</f>
        <v>13156.305791999999</v>
      </c>
      <c r="CW17" s="735">
        <v>9954.0300000000007</v>
      </c>
      <c r="CX17" s="700" t="e">
        <f t="shared" si="613"/>
        <v>#DIV/0!</v>
      </c>
      <c r="CY17" s="593">
        <f>'Proy 2021 vs 2019 Sem'!EM16*$DB$4</f>
        <v>0</v>
      </c>
      <c r="CZ17" s="593">
        <f>'Proy 2021 vs 2019 Sem'!EN16*$DB$4</f>
        <v>13156.305791999999</v>
      </c>
      <c r="DA17" s="735">
        <v>10352.67</v>
      </c>
      <c r="DB17" s="700" t="e">
        <f t="shared" si="614"/>
        <v>#DIV/0!</v>
      </c>
      <c r="DC17" s="593">
        <f>'Proy 2021 vs 2019 Sem'!EM16*$DF$4</f>
        <v>0</v>
      </c>
      <c r="DD17" s="593">
        <f>'Proy 2021 vs 2019 Sem'!EN16*$DF$4</f>
        <v>13156.305791999999</v>
      </c>
      <c r="DE17" s="735">
        <v>12694.23</v>
      </c>
      <c r="DF17" s="700" t="e">
        <f t="shared" si="615"/>
        <v>#DIV/0!</v>
      </c>
      <c r="DG17" s="593">
        <f>'Proy 2021 vs 2019 Sem'!EM16*$DJ$4</f>
        <v>0</v>
      </c>
      <c r="DH17" s="593">
        <f>'Proy 2021 vs 2019 Sem'!EN16*$DJ$4</f>
        <v>13156.305791999999</v>
      </c>
      <c r="DI17" s="735">
        <v>10662.71</v>
      </c>
      <c r="DJ17" s="700" t="e">
        <f t="shared" si="616"/>
        <v>#DIV/0!</v>
      </c>
      <c r="DK17" s="593">
        <f>'Proy 2021 vs 2019 Sem'!EM16*$DN$4</f>
        <v>0</v>
      </c>
      <c r="DL17" s="593">
        <f>'Proy 2021 vs 2019 Sem'!EN16*$DN$4</f>
        <v>15349.023424000001</v>
      </c>
      <c r="DM17" s="735">
        <v>15542.03</v>
      </c>
      <c r="DN17" s="700" t="e">
        <f t="shared" si="617"/>
        <v>#DIV/0!</v>
      </c>
      <c r="DO17" s="593">
        <f>'Proy 2021 vs 2019 Sem'!EM16*$DR$4</f>
        <v>0</v>
      </c>
      <c r="DP17" s="593">
        <f>'Proy 2021 vs 2019 Sem'!EN16*$DR$4</f>
        <v>17541.741055999999</v>
      </c>
      <c r="DQ17" s="735">
        <v>16217.87</v>
      </c>
      <c r="DR17" s="700" t="e">
        <f t="shared" si="618"/>
        <v>#DIV/0!</v>
      </c>
      <c r="DS17" s="593">
        <f>'Proy 2021 vs 2019 Sem'!EM16*$DV$4</f>
        <v>0</v>
      </c>
      <c r="DT17" s="593">
        <f>'Proy 2021 vs 2019 Sem'!EN16*$DV$4</f>
        <v>24119.893951999999</v>
      </c>
      <c r="DU17" s="735">
        <v>22096.23</v>
      </c>
      <c r="DV17" s="700" t="e">
        <f t="shared" si="619"/>
        <v>#DIV/0!</v>
      </c>
      <c r="DW17" s="579">
        <f t="shared" si="620"/>
        <v>0</v>
      </c>
      <c r="DX17" s="574">
        <f t="shared" si="621"/>
        <v>109635.88159999999</v>
      </c>
      <c r="DY17" s="710">
        <f t="shared" si="622"/>
        <v>97519.76999999999</v>
      </c>
      <c r="DZ17" s="711" t="e">
        <f t="shared" si="623"/>
        <v>#DIV/0!</v>
      </c>
      <c r="EA17" s="593">
        <f>'Proy 2021 vs 2019 Sem'!ER16*$ED$4</f>
        <v>0</v>
      </c>
      <c r="EB17" s="593">
        <f>'Proy 2021 vs 2019 Sem'!ES16*$ED$4</f>
        <v>12119.575104</v>
      </c>
      <c r="EC17" s="735">
        <v>15485.27</v>
      </c>
      <c r="ED17" s="700" t="e">
        <f t="shared" si="624"/>
        <v>#DIV/0!</v>
      </c>
      <c r="EE17" s="593">
        <f>'Proy 2021 vs 2019 Sem'!ER16*$EH$4</f>
        <v>0</v>
      </c>
      <c r="EF17" s="593">
        <f>'Proy 2021 vs 2019 Sem'!ES16*$EH$4</f>
        <v>12119.575104</v>
      </c>
      <c r="EG17" s="735">
        <v>13054.57</v>
      </c>
      <c r="EH17" s="700">
        <f>EG17/EF17</f>
        <v>1.0771474979920221</v>
      </c>
      <c r="EI17" s="593">
        <f>'Proy 2021 vs 2019 Sem'!ER16*$EL$4</f>
        <v>0</v>
      </c>
      <c r="EJ17" s="593">
        <f>'Proy 2021 vs 2019 Sem'!ES16*$EL$4</f>
        <v>12119.575104</v>
      </c>
      <c r="EK17" s="735">
        <v>12458.46</v>
      </c>
      <c r="EL17" s="700" t="e">
        <f t="shared" si="626"/>
        <v>#DIV/0!</v>
      </c>
      <c r="EM17" s="593">
        <f>'Proy 2021 vs 2019 Sem'!ER16*$EP$4</f>
        <v>0</v>
      </c>
      <c r="EN17" s="593">
        <f>'Proy 2021 vs 2019 Sem'!ES16*$EP$4</f>
        <v>12119.575104</v>
      </c>
      <c r="EO17" s="735">
        <v>11992.45</v>
      </c>
      <c r="EP17" s="700" t="e">
        <f t="shared" si="627"/>
        <v>#DIV/0!</v>
      </c>
      <c r="EQ17" s="593">
        <f>'Proy 2021 vs 2019 Sem'!ER16*$ET$4</f>
        <v>0</v>
      </c>
      <c r="ER17" s="593">
        <f>'Proy 2021 vs 2019 Sem'!ES16*$ET$4</f>
        <v>14139.504288</v>
      </c>
      <c r="ES17" s="735">
        <v>15445.12</v>
      </c>
      <c r="ET17" s="700" t="e">
        <f t="shared" si="628"/>
        <v>#DIV/0!</v>
      </c>
      <c r="EU17" s="593">
        <f>'Proy 2021 vs 2019 Sem'!ER16*$EX$4</f>
        <v>0</v>
      </c>
      <c r="EV17" s="593">
        <f>'Proy 2021 vs 2019 Sem'!ES16*$EX$4</f>
        <v>16159.433472000001</v>
      </c>
      <c r="EW17" s="735">
        <v>20941.5</v>
      </c>
      <c r="EX17" s="700" t="e">
        <f t="shared" si="629"/>
        <v>#DIV/0!</v>
      </c>
      <c r="EY17" s="593">
        <f>'Proy 2021 vs 2019 Sem'!ER16*$FB$4</f>
        <v>0</v>
      </c>
      <c r="EZ17" s="593">
        <f>'Proy 2021 vs 2019 Sem'!ES16*$FB$4</f>
        <v>22219.221023999999</v>
      </c>
      <c r="FA17" s="699">
        <v>26373.5</v>
      </c>
      <c r="FB17" s="700" t="e">
        <f t="shared" si="630"/>
        <v>#DIV/0!</v>
      </c>
      <c r="FC17" s="579">
        <f t="shared" si="631"/>
        <v>0</v>
      </c>
      <c r="FD17" s="574">
        <f t="shared" si="632"/>
        <v>100996.4592</v>
      </c>
      <c r="FE17" s="710">
        <f t="shared" si="633"/>
        <v>115750.87</v>
      </c>
      <c r="FF17" s="711">
        <f>FE17/FD17</f>
        <v>1.146088396730645</v>
      </c>
      <c r="FG17" s="593">
        <f>'Proy 2021 vs 2019 Sem'!FA16*$FJ$4</f>
        <v>0</v>
      </c>
      <c r="FH17" s="593">
        <f>'Proy 2021 vs 2019 Sem'!FB16*$FJ$4</f>
        <v>13539.862080000001</v>
      </c>
      <c r="FI17" s="735">
        <v>15658.3</v>
      </c>
      <c r="FJ17" s="700">
        <f>FI17/FH17</f>
        <v>1.1564593426050613</v>
      </c>
      <c r="FK17" s="593">
        <f>'Proy 2021 vs 2019 Sem'!FA16*$FN$4</f>
        <v>0</v>
      </c>
      <c r="FL17" s="593">
        <f>'Proy 2021 vs 2019 Sem'!FB16*$FN$4</f>
        <v>13539.862080000001</v>
      </c>
      <c r="FM17" s="735">
        <v>15322.93</v>
      </c>
      <c r="FN17" s="700">
        <f>FM17/FL17</f>
        <v>1.1316902572171548</v>
      </c>
      <c r="FO17" s="593">
        <f>'Proy 2021 vs 2019 Sem'!FA16*$FR$4</f>
        <v>0</v>
      </c>
      <c r="FP17" s="593">
        <f>'Proy 2021 vs 2019 Sem'!FB16*$FR$4</f>
        <v>13539.862080000001</v>
      </c>
      <c r="FQ17" s="735">
        <v>13164.53</v>
      </c>
      <c r="FR17" s="700">
        <f>FQ17/FP17</f>
        <v>0.9722794753903431</v>
      </c>
      <c r="FS17" s="593">
        <f>'Proy 2021 vs 2019 Sem'!FA16*$FV$4</f>
        <v>0</v>
      </c>
      <c r="FT17" s="593">
        <f>'Proy 2021 vs 2019 Sem'!FB16*$FV$4</f>
        <v>13539.862080000001</v>
      </c>
      <c r="FU17" s="735">
        <v>16932.54</v>
      </c>
      <c r="FV17" s="700">
        <f>FU17/FT17</f>
        <v>1.2505696069837662</v>
      </c>
      <c r="FW17" s="593">
        <f>'Proy 2021 vs 2019 Sem'!FA16*$FZ$4</f>
        <v>0</v>
      </c>
      <c r="FX17" s="593">
        <f>'Proy 2021 vs 2019 Sem'!FB16*$FZ$4</f>
        <v>15796.505760000002</v>
      </c>
      <c r="FY17" s="735">
        <v>15009.78</v>
      </c>
      <c r="FZ17" s="700">
        <f>FY17/FX17</f>
        <v>0.950196216052277</v>
      </c>
      <c r="GA17" s="593">
        <f>'Proy 2021 vs 2019 Sem'!FA16*$GD$4</f>
        <v>0</v>
      </c>
      <c r="GB17" s="593">
        <f>'Proy 2021 vs 2019 Sem'!FB16*$GD$4</f>
        <v>18053.149440000001</v>
      </c>
      <c r="GC17" s="735">
        <v>17261.63</v>
      </c>
      <c r="GD17" s="700">
        <f>GC17/GB17</f>
        <v>0.95615615753746286</v>
      </c>
      <c r="GE17" s="593">
        <f>'Proy 2021 vs 2019 Sem'!FA16*$GH$4</f>
        <v>0</v>
      </c>
      <c r="GF17" s="593">
        <f>'Proy 2021 vs 2019 Sem'!FB16*$GH$4</f>
        <v>24823.080480000001</v>
      </c>
      <c r="GG17" s="735">
        <v>24621.3</v>
      </c>
      <c r="GH17" s="700">
        <f>GG17/GF17</f>
        <v>0.99187125545668775</v>
      </c>
      <c r="GI17" s="579">
        <f t="shared" si="642"/>
        <v>0</v>
      </c>
      <c r="GJ17" s="574">
        <f t="shared" si="643"/>
        <v>112832.18400000001</v>
      </c>
      <c r="GK17" s="759">
        <f t="shared" si="644"/>
        <v>117971.01000000001</v>
      </c>
      <c r="GL17" s="761" t="e">
        <f t="shared" si="645"/>
        <v>#DIV/0!</v>
      </c>
      <c r="GM17" s="593">
        <f>'Proy 2021 vs 2019 Sem'!FF16*$GP$4</f>
        <v>0</v>
      </c>
      <c r="GN17" s="593">
        <f>'Proy 2021 vs 2019 Sem'!FG16*$GP$4</f>
        <v>12240.2533248</v>
      </c>
      <c r="GO17" s="735">
        <v>13157.15</v>
      </c>
      <c r="GP17" s="700" t="e">
        <f t="shared" si="646"/>
        <v>#DIV/0!</v>
      </c>
      <c r="GQ17" s="593">
        <f>'Proy 2021 vs 2019 Sem'!FF16*$GT$4</f>
        <v>0</v>
      </c>
      <c r="GR17" s="593">
        <f>'Proy 2021 vs 2019 Sem'!FG16*$GT$4</f>
        <v>12240.2533248</v>
      </c>
      <c r="GS17" s="735">
        <v>11338.23</v>
      </c>
      <c r="GT17" s="700">
        <f>GS17/GR17</f>
        <v>0.92630680911052643</v>
      </c>
      <c r="GU17" s="593">
        <f>'Proy 2021 vs 2019 Sem'!FF16*$GX$4</f>
        <v>0</v>
      </c>
      <c r="GV17" s="593">
        <f>'Proy 2021 vs 2019 Sem'!FG16*$GX$4</f>
        <v>12240.2533248</v>
      </c>
      <c r="GW17" s="735">
        <v>11371.48</v>
      </c>
      <c r="GX17" s="700">
        <f>GW17/GV17</f>
        <v>0.92902325615763381</v>
      </c>
      <c r="GY17" s="593">
        <f>'Proy 2021 vs 2019 Sem'!FF16*$HB$4</f>
        <v>0</v>
      </c>
      <c r="GZ17" s="593">
        <f>'Proy 2021 vs 2019 Sem'!FG16*$HB$4</f>
        <v>12240.2533248</v>
      </c>
      <c r="HA17" s="735">
        <v>15434.62</v>
      </c>
      <c r="HB17" s="700">
        <f>HA17/GZ17</f>
        <v>1.2609722683376077</v>
      </c>
      <c r="HC17" s="593">
        <f>'Proy 2021 vs 2019 Sem'!FF16*$HF$4</f>
        <v>0</v>
      </c>
      <c r="HD17" s="593">
        <f>'Proy 2021 vs 2019 Sem'!FG16*$HF$4</f>
        <v>14280.295545600002</v>
      </c>
      <c r="HE17" s="735">
        <v>15948.25</v>
      </c>
      <c r="HF17" s="700">
        <f>HE17/HD17</f>
        <v>1.1168011158504294</v>
      </c>
      <c r="HG17" s="593">
        <f>'Proy 2021 vs 2019 Sem'!FF16*$HJ$4</f>
        <v>0</v>
      </c>
      <c r="HH17" s="593">
        <f>'Proy 2021 vs 2019 Sem'!FG16*$HJ$4</f>
        <v>16320.337766400002</v>
      </c>
      <c r="HI17" s="735">
        <v>15595.26</v>
      </c>
      <c r="HJ17" s="700">
        <f>HI17/HH17</f>
        <v>0.95557213479412306</v>
      </c>
      <c r="HK17" s="593">
        <f>'Proy 2021 vs 2019 Sem'!FF16*$HN$4</f>
        <v>0</v>
      </c>
      <c r="HL17" s="593">
        <f>'Proy 2021 vs 2019 Sem'!FG16*$HN$4</f>
        <v>22440.464428800002</v>
      </c>
      <c r="HM17" s="735">
        <v>19962.080000000002</v>
      </c>
      <c r="HN17" s="700">
        <f>HM17/HL17</f>
        <v>0.88955734687829136</v>
      </c>
      <c r="HO17" s="579">
        <f t="shared" si="653"/>
        <v>0</v>
      </c>
      <c r="HP17" s="574">
        <f t="shared" si="654"/>
        <v>102002.11104</v>
      </c>
      <c r="HQ17" s="765">
        <f t="shared" si="655"/>
        <v>102807.07</v>
      </c>
      <c r="HR17" s="761">
        <f>HQ17/HP17</f>
        <v>1.0078915911817192</v>
      </c>
      <c r="HS17" s="593">
        <f>'Proy 2021 vs 2019 Sem'!FK16*$CX$4</f>
        <v>0</v>
      </c>
      <c r="HT17" s="593">
        <f>'Proy 2021 vs 2019 Sem'!FL16*$CX$4</f>
        <v>13498.412812799999</v>
      </c>
      <c r="HU17" s="735">
        <v>14351.91</v>
      </c>
      <c r="HV17" s="700" t="e">
        <f t="shared" si="657"/>
        <v>#DIV/0!</v>
      </c>
      <c r="HW17" s="593">
        <f>'Proy 2021 vs 2019 Sem'!FK16*$DB$4</f>
        <v>0</v>
      </c>
      <c r="HX17" s="593">
        <f>'Proy 2021 vs 2019 Sem'!FL16*$DB$4</f>
        <v>13498.412812799999</v>
      </c>
      <c r="HY17" s="735">
        <v>14035.75</v>
      </c>
      <c r="HZ17" s="700" t="e">
        <f t="shared" si="658"/>
        <v>#DIV/0!</v>
      </c>
      <c r="IA17" s="593">
        <f>'Proy 2021 vs 2019 Sem'!FK16*$DF$4</f>
        <v>0</v>
      </c>
      <c r="IB17" s="593">
        <f>'Proy 2021 vs 2019 Sem'!FL16*$DF$4</f>
        <v>13498.412812799999</v>
      </c>
      <c r="IC17" s="735">
        <v>9266.2000000000007</v>
      </c>
      <c r="ID17" s="700" t="e">
        <f t="shared" si="659"/>
        <v>#DIV/0!</v>
      </c>
      <c r="IE17" s="593">
        <f>'Proy 2021 vs 2019 Sem'!FK16*$DJ$4</f>
        <v>0</v>
      </c>
      <c r="IF17" s="593">
        <f>'Proy 2021 vs 2019 Sem'!FL16*$DJ$4</f>
        <v>13498.412812799999</v>
      </c>
      <c r="IG17" s="735">
        <v>10911.59</v>
      </c>
      <c r="IH17" s="700" t="e">
        <f t="shared" si="660"/>
        <v>#DIV/0!</v>
      </c>
      <c r="II17" s="593">
        <f>'Proy 2021 vs 2019 Sem'!FK16*$DN$4</f>
        <v>0</v>
      </c>
      <c r="IJ17" s="593">
        <f>'Proy 2021 vs 2019 Sem'!FL16*$DN$4</f>
        <v>15748.148281600003</v>
      </c>
      <c r="IK17" s="735">
        <v>13950.99</v>
      </c>
      <c r="IL17" s="700" t="e">
        <f t="shared" si="661"/>
        <v>#DIV/0!</v>
      </c>
      <c r="IM17" s="593">
        <f>'Proy 2021 vs 2019 Sem'!FK16*$DR$4</f>
        <v>0</v>
      </c>
      <c r="IN17" s="593">
        <f>'Proy 2021 vs 2019 Sem'!FL16*$DR$4</f>
        <v>17997.8837504</v>
      </c>
      <c r="IO17" s="1410">
        <v>17504.169999999998</v>
      </c>
      <c r="IP17" s="700" t="e">
        <f t="shared" si="662"/>
        <v>#DIV/0!</v>
      </c>
      <c r="IQ17" s="593">
        <f>'Proy 2021 vs 2019 Sem'!FK16*$IT$4</f>
        <v>0</v>
      </c>
      <c r="IR17" s="593">
        <f>'Proy 2021 vs 2019 Sem'!FL16*$IT$4</f>
        <v>24747.090156800001</v>
      </c>
      <c r="IS17" s="735">
        <v>19419.29</v>
      </c>
      <c r="IT17" s="700" t="e">
        <f t="shared" si="663"/>
        <v>#DIV/0!</v>
      </c>
      <c r="IU17" s="579">
        <f t="shared" si="664"/>
        <v>0</v>
      </c>
      <c r="IV17" s="574">
        <f t="shared" si="665"/>
        <v>112486.77343999999</v>
      </c>
      <c r="IW17" s="765">
        <f t="shared" si="666"/>
        <v>99439.9</v>
      </c>
      <c r="IX17" s="761">
        <f>IW17/IV17</f>
        <v>0.88401415525569194</v>
      </c>
      <c r="IY17" s="593">
        <f>'Proy 2021 vs 2019 Sem'!FP16*$JB$4</f>
        <v>0</v>
      </c>
      <c r="IZ17" s="593">
        <f>'Proy 2021 vs 2019 Sem'!FQ16*$JB$4</f>
        <v>14388.808435199999</v>
      </c>
      <c r="JA17" s="735">
        <v>10131.219999999999</v>
      </c>
      <c r="JB17" s="700">
        <f>JA17/IZ17</f>
        <v>0.70410416857142477</v>
      </c>
      <c r="JC17" s="593">
        <f>'Proy 2021 vs 2019 Sem'!FP16*$JF$4</f>
        <v>0</v>
      </c>
      <c r="JD17" s="593">
        <f>'Proy 2021 vs 2019 Sem'!FQ16*$JF$4</f>
        <v>14388.808435199999</v>
      </c>
      <c r="JE17" s="735">
        <v>11537.14</v>
      </c>
      <c r="JF17" s="700">
        <f>JE17/JD17</f>
        <v>0.80181344076943628</v>
      </c>
      <c r="JG17" s="593">
        <f>'Proy 2021 vs 2019 Sem'!FP16*$JJ$4</f>
        <v>0</v>
      </c>
      <c r="JH17" s="593">
        <f>'Proy 2021 vs 2019 Sem'!FQ16*$JJ$4</f>
        <v>14388.808435199999</v>
      </c>
      <c r="JI17" s="735">
        <v>11128.73</v>
      </c>
      <c r="JJ17" s="700">
        <f>JI17/JH17</f>
        <v>0.77342957550086489</v>
      </c>
      <c r="JK17" s="593">
        <f>'Proy 2021 vs 2019 Sem'!FP16*$JN$4</f>
        <v>0</v>
      </c>
      <c r="JL17" s="593">
        <f>'Proy 2021 vs 2019 Sem'!FQ16*$JN$4</f>
        <v>14388.808435199999</v>
      </c>
      <c r="JM17" s="735">
        <v>15820.53</v>
      </c>
      <c r="JN17" s="700">
        <f>JM17/JL17</f>
        <v>1.0995024411679231</v>
      </c>
      <c r="JO17" s="593">
        <f>'Proy 2021 vs 2019 Sem'!FP16*$JR$4</f>
        <v>0</v>
      </c>
      <c r="JP17" s="593">
        <f>'Proy 2021 vs 2019 Sem'!FQ16*$JR$4</f>
        <v>16786.943174399999</v>
      </c>
      <c r="JQ17" s="735">
        <v>9987.51</v>
      </c>
      <c r="JR17" s="700">
        <f>JQ17/JP17</f>
        <v>0.59495703870797045</v>
      </c>
      <c r="JS17" s="593">
        <f>'Proy 2021 vs 2019 Sem'!FP16*$JV$4</f>
        <v>0</v>
      </c>
      <c r="JT17" s="593">
        <f>'Proy 2021 vs 2019 Sem'!FQ16*$JV$4</f>
        <v>19185.077913599998</v>
      </c>
      <c r="JU17" s="735">
        <v>17821.18</v>
      </c>
      <c r="JV17" s="700">
        <f>JU17/JT17</f>
        <v>0.92890839850938778</v>
      </c>
      <c r="JW17" s="593">
        <f>'Proy 2021 vs 2019 Sem'!FP16*$JZ$4</f>
        <v>0</v>
      </c>
      <c r="JX17" s="593">
        <f>'Proy 2021 vs 2019 Sem'!FQ16*$JZ$4</f>
        <v>26379.482131199999</v>
      </c>
      <c r="JY17" s="735">
        <v>24026.93</v>
      </c>
      <c r="JZ17" s="700">
        <f>JY17/JX17</f>
        <v>0.91081886598457718</v>
      </c>
      <c r="KA17" s="579">
        <f t="shared" si="675"/>
        <v>0</v>
      </c>
      <c r="KB17" s="574">
        <f t="shared" si="676"/>
        <v>119906.73695999998</v>
      </c>
      <c r="KC17" s="770">
        <f t="shared" si="677"/>
        <v>100453.23999999999</v>
      </c>
      <c r="KD17" s="761">
        <f>KC17/KB17</f>
        <v>0.83776143481838272</v>
      </c>
      <c r="KE17" s="593">
        <f>'Proy 2021 vs 2019 Sem'!FY16*$KH$4</f>
        <v>0</v>
      </c>
      <c r="KF17" s="593">
        <f>'Proy 2021 vs 2019 Sem'!FZ16*$KH$4</f>
        <v>11680.782969599999</v>
      </c>
      <c r="KG17" s="735">
        <v>14158.76</v>
      </c>
      <c r="KH17" s="700" t="e">
        <f t="shared" si="679"/>
        <v>#DIV/0!</v>
      </c>
      <c r="KI17" s="593">
        <f>'Proy 2021 vs 2019 Sem'!FY16*$KL$4</f>
        <v>0</v>
      </c>
      <c r="KJ17" s="593">
        <f>'Proy 2021 vs 2019 Sem'!FZ16*$KL$4</f>
        <v>11680.782969599999</v>
      </c>
      <c r="KK17" s="735">
        <v>12677.74</v>
      </c>
      <c r="KL17" s="700" t="e">
        <f t="shared" si="680"/>
        <v>#DIV/0!</v>
      </c>
      <c r="KM17" s="593">
        <f>'Proy 2021 vs 2019 Sem'!FY16*$KP$4</f>
        <v>0</v>
      </c>
      <c r="KN17" s="593">
        <f>'Proy 2021 vs 2019 Sem'!FZ16*$KP$4</f>
        <v>11680.782969599999</v>
      </c>
      <c r="KO17" s="735">
        <v>12800.72</v>
      </c>
      <c r="KP17" s="700" t="e">
        <f t="shared" si="681"/>
        <v>#DIV/0!</v>
      </c>
      <c r="KQ17" s="593">
        <f>'Proy 2021 vs 2019 Sem'!FY16*$KT$4</f>
        <v>0</v>
      </c>
      <c r="KR17" s="593">
        <f>'Proy 2021 vs 2019 Sem'!FZ16*$KT$4</f>
        <v>11680.782969599999</v>
      </c>
      <c r="KS17" s="735">
        <v>10514.04</v>
      </c>
      <c r="KT17" s="700">
        <f>KS17/KR17</f>
        <v>0.90011431830926725</v>
      </c>
      <c r="KU17" s="593">
        <f>'Proy 2021 vs 2019 Sem'!FY16*$KX$4</f>
        <v>0</v>
      </c>
      <c r="KV17" s="593">
        <f>'Proy 2021 vs 2019 Sem'!FZ16*$KX$4</f>
        <v>13627.5801312</v>
      </c>
      <c r="KW17" s="735">
        <v>16424.02</v>
      </c>
      <c r="KX17" s="700" t="e">
        <f t="shared" si="683"/>
        <v>#DIV/0!</v>
      </c>
      <c r="KY17" s="593">
        <f>'Proy 2021 vs 2019 Sem'!FY16*$LB$4</f>
        <v>0</v>
      </c>
      <c r="KZ17" s="593">
        <f>'Proy 2021 vs 2019 Sem'!FZ16*$LB$4</f>
        <v>15574.377292799998</v>
      </c>
      <c r="LA17" s="735">
        <v>17398.22</v>
      </c>
      <c r="LB17" s="700" t="e">
        <f t="shared" si="684"/>
        <v>#DIV/0!</v>
      </c>
      <c r="LC17" s="593">
        <f>'Proy 2021 vs 2019 Sem'!FY16*$LF$4</f>
        <v>0</v>
      </c>
      <c r="LD17" s="593">
        <f>'Proy 2021 vs 2019 Sem'!FZ16*$LF$4</f>
        <v>21414.768777599998</v>
      </c>
      <c r="LE17" s="735">
        <v>25224.05</v>
      </c>
      <c r="LF17" s="700" t="e">
        <f t="shared" si="685"/>
        <v>#DIV/0!</v>
      </c>
      <c r="LG17" s="579">
        <f t="shared" si="686"/>
        <v>0</v>
      </c>
      <c r="LH17" s="574">
        <f t="shared" si="687"/>
        <v>97339.858079999991</v>
      </c>
      <c r="LI17" s="793">
        <f t="shared" si="688"/>
        <v>109197.55</v>
      </c>
      <c r="LJ17" s="786">
        <f>LI17/LH17</f>
        <v>1.1218174358776507</v>
      </c>
      <c r="LK17" s="593">
        <f>'Proy 2021 vs 2019 Sem'!GD16*$LN$4</f>
        <v>3698.7743999999998</v>
      </c>
      <c r="LL17" s="593">
        <f>'Proy 2021 vs 2019 Sem'!GE16*$LN$4</f>
        <v>14213.8737504</v>
      </c>
      <c r="LM17" s="735">
        <v>14150.13</v>
      </c>
      <c r="LN17" s="700">
        <f t="shared" si="690"/>
        <v>3.8256266724458783</v>
      </c>
      <c r="LO17" s="593">
        <f>'Proy 2021 vs 2019 Sem'!GD16*$LR$4</f>
        <v>3698.7743999999998</v>
      </c>
      <c r="LP17" s="593">
        <f>'Proy 2021 vs 2019 Sem'!GE16*$LR$4</f>
        <v>14213.8737504</v>
      </c>
      <c r="LQ17" s="735">
        <v>12696.91</v>
      </c>
      <c r="LR17" s="700">
        <f t="shared" si="691"/>
        <v>3.4327343673623352</v>
      </c>
      <c r="LS17" s="593">
        <f>'Proy 2021 vs 2019 Sem'!GD16*$LV$4</f>
        <v>3698.7743999999998</v>
      </c>
      <c r="LT17" s="593">
        <f>'Proy 2021 vs 2019 Sem'!GE16*$LV$4</f>
        <v>14213.8737504</v>
      </c>
      <c r="LU17" s="735">
        <v>9874.17</v>
      </c>
      <c r="LV17" s="700">
        <f t="shared" si="692"/>
        <v>2.6695788745590976</v>
      </c>
      <c r="LW17" s="593">
        <f>'Proy 2021 vs 2019 Sem'!GD16*$LZ$4</f>
        <v>3698.7743999999998</v>
      </c>
      <c r="LX17" s="593">
        <f>'Proy 2021 vs 2019 Sem'!GE16*$LZ$4</f>
        <v>14213.8737504</v>
      </c>
      <c r="LY17" s="735">
        <v>13437.07</v>
      </c>
      <c r="LZ17" s="700">
        <f t="shared" si="693"/>
        <v>3.6328438955346942</v>
      </c>
      <c r="MA17" s="593">
        <f>'Proy 2021 vs 2019 Sem'!GD16*$MD$4</f>
        <v>4315.2368000000006</v>
      </c>
      <c r="MB17" s="593">
        <f>'Proy 2021 vs 2019 Sem'!GE16*$MD$4</f>
        <v>16582.852708800001</v>
      </c>
      <c r="MC17" s="735">
        <v>10809.77</v>
      </c>
      <c r="MD17" s="700">
        <f t="shared" si="694"/>
        <v>2.5050235945336765</v>
      </c>
      <c r="ME17" s="593">
        <f>'Proy 2021 vs 2019 Sem'!GD16*$MH$4</f>
        <v>4931.6992</v>
      </c>
      <c r="MF17" s="593">
        <f>'Proy 2021 vs 2019 Sem'!GE16*$MH$4</f>
        <v>18951.8316672</v>
      </c>
      <c r="MG17" s="735">
        <v>16026.36</v>
      </c>
      <c r="MH17" s="700">
        <f t="shared" si="695"/>
        <v>3.2496629153700209</v>
      </c>
      <c r="MI17" s="593">
        <f>'Proy 2021 vs 2019 Sem'!GD16*$ML$4</f>
        <v>6781.0864000000001</v>
      </c>
      <c r="MJ17" s="593">
        <f>'Proy 2021 vs 2019 Sem'!GE16*$ML$4</f>
        <v>26058.768542400001</v>
      </c>
      <c r="MK17" s="735">
        <v>32013.22</v>
      </c>
      <c r="ML17" s="700">
        <f t="shared" si="696"/>
        <v>4.7209573970330183</v>
      </c>
      <c r="MM17" s="579">
        <f t="shared" si="697"/>
        <v>30823.119999999999</v>
      </c>
      <c r="MN17" s="574">
        <f t="shared" si="698"/>
        <v>118448.94792000001</v>
      </c>
      <c r="MO17" s="794">
        <f t="shared" si="699"/>
        <v>109007.63</v>
      </c>
      <c r="MP17" s="786">
        <f t="shared" si="700"/>
        <v>3.5365540542294229</v>
      </c>
      <c r="MQ17" s="593">
        <f>'Proy 2021 vs 2019 Sem'!GI16*$MT$4</f>
        <v>30067.217999999997</v>
      </c>
      <c r="MR17" s="593">
        <f>'Proy 2021 vs 2019 Sem'!GJ16*$MT$4</f>
        <v>14064.885264000002</v>
      </c>
      <c r="MS17" s="735">
        <v>12505.13</v>
      </c>
      <c r="MT17" s="700">
        <f t="shared" si="701"/>
        <v>0.4159057881577205</v>
      </c>
      <c r="MU17" s="593">
        <f>'Proy 2021 vs 2019 Sem'!GI16*$MX$4</f>
        <v>30067.217999999997</v>
      </c>
      <c r="MV17" s="593">
        <f>'Proy 2021 vs 2019 Sem'!GJ16*$MX$4</f>
        <v>14064.885264000002</v>
      </c>
      <c r="MW17" s="735">
        <v>11522.29</v>
      </c>
      <c r="MX17" s="700">
        <f t="shared" si="702"/>
        <v>0.38321769576420411</v>
      </c>
      <c r="MY17" s="593">
        <f>'Proy 2021 vs 2019 Sem'!GI16*$NB$4</f>
        <v>30067.217999999997</v>
      </c>
      <c r="MZ17" s="593">
        <f>'Proy 2021 vs 2019 Sem'!GJ16*$NB$4</f>
        <v>14064.885264000002</v>
      </c>
      <c r="NA17" s="735">
        <v>10713.76</v>
      </c>
      <c r="NB17" s="700">
        <f t="shared" si="703"/>
        <v>0.35632694717549196</v>
      </c>
      <c r="NC17" s="593">
        <f>'Proy 2021 vs 2019 Sem'!GI16*$NF$4</f>
        <v>30067.217999999997</v>
      </c>
      <c r="ND17" s="593">
        <f>'Proy 2021 vs 2019 Sem'!GJ16*$NF$4</f>
        <v>14064.885264000002</v>
      </c>
      <c r="NE17" s="735">
        <v>11877.25</v>
      </c>
      <c r="NF17" s="700">
        <f t="shared" si="704"/>
        <v>0.39502324425226176</v>
      </c>
      <c r="NG17" s="593">
        <f>'Proy 2021 vs 2019 Sem'!GI16*$NJ$4</f>
        <v>35078.421000000002</v>
      </c>
      <c r="NH17" s="593">
        <f>'Proy 2021 vs 2019 Sem'!GJ16*$NJ$4</f>
        <v>16409.032808000004</v>
      </c>
      <c r="NI17" s="735">
        <v>14638.26</v>
      </c>
      <c r="NJ17" s="700">
        <f t="shared" si="705"/>
        <v>0.41730099538972976</v>
      </c>
      <c r="NK17" s="593">
        <f>'Proy 2021 vs 2019 Sem'!GI16*$NN$4</f>
        <v>40089.624000000003</v>
      </c>
      <c r="NL17" s="593">
        <f>'Proy 2021 vs 2019 Sem'!GJ16*$NN$4</f>
        <v>18753.180352000003</v>
      </c>
      <c r="NM17" s="735">
        <v>11834.81</v>
      </c>
      <c r="NN17" s="700">
        <f t="shared" si="706"/>
        <v>0.29520880515117826</v>
      </c>
      <c r="NO17" s="593">
        <f>'Proy 2021 vs 2019 Sem'!GI16*$NR$4</f>
        <v>55123.233</v>
      </c>
      <c r="NP17" s="593">
        <f>'Proy 2021 vs 2019 Sem'!GJ16*$NR$4</f>
        <v>25785.622984000005</v>
      </c>
      <c r="NQ17" s="735">
        <v>20935</v>
      </c>
      <c r="NR17" s="700">
        <f t="shared" si="707"/>
        <v>0.3797854164323054</v>
      </c>
      <c r="NS17" s="579">
        <f t="shared" si="708"/>
        <v>250560.15000000002</v>
      </c>
      <c r="NT17" s="574">
        <f t="shared" si="709"/>
        <v>117207.3772</v>
      </c>
      <c r="NU17" s="794">
        <f t="shared" si="710"/>
        <v>94026.5</v>
      </c>
      <c r="NV17" s="786">
        <f t="shared" si="711"/>
        <v>0.37526518083581922</v>
      </c>
      <c r="NW17" s="593">
        <f>'Proy 2021 vs 2019 Sem'!GN16*$NZ$4</f>
        <v>26025.8328</v>
      </c>
      <c r="NX17" s="593">
        <f>'Proy 2021 vs 2019 Sem'!GO16*$NZ$4</f>
        <v>12252.415488000002</v>
      </c>
      <c r="NY17" s="735">
        <v>12240.41</v>
      </c>
      <c r="NZ17" s="700">
        <f t="shared" si="712"/>
        <v>0.47031770679783974</v>
      </c>
      <c r="OA17" s="593">
        <f>'Proy 2021 vs 2019 Sem'!GN16*$OD$4</f>
        <v>26025.8328</v>
      </c>
      <c r="OB17" s="593">
        <f>'Proy 2021 vs 2019 Sem'!GO16*$OD$4</f>
        <v>12252.415488000002</v>
      </c>
      <c r="OC17" s="735">
        <v>10761.54</v>
      </c>
      <c r="OD17" s="700">
        <f t="shared" si="713"/>
        <v>0.41349454915425421</v>
      </c>
      <c r="OE17" s="593">
        <f>'Proy 2021 vs 2019 Sem'!GN16*$OH$4</f>
        <v>26025.8328</v>
      </c>
      <c r="OF17" s="593">
        <f>'Proy 2021 vs 2019 Sem'!GO16*$OH$4</f>
        <v>12252.415488000002</v>
      </c>
      <c r="OG17" s="735">
        <v>10072.34</v>
      </c>
      <c r="OH17" s="700">
        <f t="shared" si="714"/>
        <v>0.38701316793213242</v>
      </c>
      <c r="OI17" s="593">
        <f>'Proy 2021 vs 2019 Sem'!GN16*$OL$4</f>
        <v>26025.8328</v>
      </c>
      <c r="OJ17" s="593">
        <f>'Proy 2021 vs 2019 Sem'!GO16*$OL$4</f>
        <v>12252.415488000002</v>
      </c>
      <c r="OK17" s="735">
        <v>10457.36</v>
      </c>
      <c r="OL17" s="700">
        <f t="shared" si="715"/>
        <v>0.40180693084295849</v>
      </c>
      <c r="OM17" s="593">
        <f>'Proy 2021 vs 2019 Sem'!GN16*$OP$4</f>
        <v>30363.471600000004</v>
      </c>
      <c r="ON17" s="593">
        <f>'Proy 2021 vs 2019 Sem'!GO16*$OP$4</f>
        <v>14294.484736000004</v>
      </c>
      <c r="OO17" s="735">
        <v>11577.67</v>
      </c>
      <c r="OP17" s="700">
        <f t="shared" si="716"/>
        <v>0.38130257806225287</v>
      </c>
      <c r="OQ17" s="593">
        <f>'Proy 2021 vs 2019 Sem'!GN16*$JV$4</f>
        <v>34701.110399999998</v>
      </c>
      <c r="OR17" s="593">
        <f>'Proy 2021 vs 2019 Sem'!GO16*$JV$4</f>
        <v>16336.553984000004</v>
      </c>
      <c r="OS17" s="735">
        <v>17154.5</v>
      </c>
      <c r="OT17" s="700">
        <f t="shared" si="717"/>
        <v>0.49435017503071027</v>
      </c>
      <c r="OU17" s="593">
        <f>'Proy 2021 vs 2019 Sem'!GN16*$OX$4</f>
        <v>47714.0268</v>
      </c>
      <c r="OV17" s="593">
        <f>'Proy 2021 vs 2019 Sem'!GO16*$OX$4</f>
        <v>22462.761728000005</v>
      </c>
      <c r="OW17" s="735">
        <v>29859.63</v>
      </c>
      <c r="OX17" s="700">
        <f t="shared" si="718"/>
        <v>0.6258040245724974</v>
      </c>
      <c r="OY17" s="579">
        <f t="shared" si="719"/>
        <v>216881.94</v>
      </c>
      <c r="OZ17" s="574">
        <f t="shared" si="720"/>
        <v>102103.46240000002</v>
      </c>
      <c r="PA17" s="785">
        <f t="shared" si="721"/>
        <v>102123.45000000001</v>
      </c>
      <c r="PB17" s="786">
        <f t="shared" si="722"/>
        <v>0.47087115690684073</v>
      </c>
      <c r="PC17" s="593">
        <f>'Proy 2021 vs 2019 Sem'!GW16*$PF$4</f>
        <v>26359.079999999998</v>
      </c>
      <c r="PD17" s="593">
        <f>'Proy 2021 vs 2019 Sem'!GX16*$PF$4</f>
        <v>12655.733759999999</v>
      </c>
      <c r="PE17" s="735">
        <v>21202.04</v>
      </c>
      <c r="PF17" s="700">
        <f t="shared" si="723"/>
        <v>0.8043543249612658</v>
      </c>
      <c r="PG17" s="593">
        <f>'Proy 2021 vs 2019 Sem'!GW16*$PJ$4</f>
        <v>26359.079999999998</v>
      </c>
      <c r="PH17" s="593">
        <f>'Proy 2021 vs 2019 Sem'!GX16*$PJ$4</f>
        <v>12655.733759999999</v>
      </c>
      <c r="PI17" s="735">
        <v>15902.71</v>
      </c>
      <c r="PJ17" s="700">
        <f t="shared" si="724"/>
        <v>0.60331051007850045</v>
      </c>
      <c r="PK17" s="593">
        <f>'Proy 2021 vs 2019 Sem'!GW16*'Vtas Diarias 2021'!$PN$4</f>
        <v>26359.079999999998</v>
      </c>
      <c r="PL17" s="593">
        <f>'Proy 2021 vs 2019 Sem'!GX16*'Vtas Diarias 2021'!$PN$4</f>
        <v>12655.733759999999</v>
      </c>
      <c r="PM17" s="735">
        <v>11272.04</v>
      </c>
      <c r="PN17" s="700">
        <f t="shared" si="725"/>
        <v>0.42763404489079293</v>
      </c>
      <c r="PO17" s="593">
        <f>'Proy 2021 vs 2019 Sem'!GW16*$PR$4</f>
        <v>26359.079999999998</v>
      </c>
      <c r="PP17" s="593">
        <f>'Proy 2021 vs 2019 Sem'!GX16*$PR$4</f>
        <v>12655.733759999999</v>
      </c>
      <c r="PQ17" s="735">
        <v>10357.780000000001</v>
      </c>
      <c r="PR17" s="700">
        <f t="shared" si="726"/>
        <v>0.39294922281050787</v>
      </c>
      <c r="PS17" s="593">
        <f>'Proy 2021 vs 2019 Sem'!GW16*$PV$4</f>
        <v>30752.260000000002</v>
      </c>
      <c r="PT17" s="593">
        <f>'Proy 2021 vs 2019 Sem'!GX16*$PV$4</f>
        <v>14765.022720000003</v>
      </c>
      <c r="PU17" s="735">
        <v>10385.08</v>
      </c>
      <c r="PV17" s="700">
        <f t="shared" si="727"/>
        <v>0.33770135918465827</v>
      </c>
      <c r="PW17" s="593">
        <f>'Proy 2021 vs 2019 Sem'!GW16*PZ$4</f>
        <v>35145.440000000002</v>
      </c>
      <c r="PX17" s="593">
        <f>'Proy 2021 vs 2019 Sem'!GX16*$PZ$4</f>
        <v>16874.311680000003</v>
      </c>
      <c r="PY17" s="735">
        <v>12568.22</v>
      </c>
      <c r="PZ17" s="700">
        <f t="shared" si="728"/>
        <v>0.35760599383590014</v>
      </c>
      <c r="QA17" s="593">
        <f>'Proy 2021 vs 2019 Sem'!GW16*$QD$4</f>
        <v>48324.98</v>
      </c>
      <c r="QB17" s="593">
        <f>'Proy 2021 vs 2019 Sem'!GX16*$QD$4</f>
        <v>23202.17856</v>
      </c>
      <c r="QC17" s="735">
        <v>22470.49</v>
      </c>
      <c r="QD17" s="700">
        <f t="shared" si="729"/>
        <v>0.4649870522450294</v>
      </c>
      <c r="QE17" s="579">
        <f t="shared" si="730"/>
        <v>219659</v>
      </c>
      <c r="QF17" s="574">
        <f t="shared" si="731"/>
        <v>105464.448</v>
      </c>
      <c r="QG17" s="729">
        <f t="shared" si="732"/>
        <v>104158.36</v>
      </c>
      <c r="QH17" s="711">
        <f t="shared" si="733"/>
        <v>0.47418207312243066</v>
      </c>
      <c r="QI17" s="578">
        <f>'Proy 2021 vs 2019 Sem'!HB16*$QL$4</f>
        <v>30564.133199999997</v>
      </c>
      <c r="QJ17" s="611">
        <f>'Proy 2021 vs 2019 Sem'!UG16*$AL$4</f>
        <v>0</v>
      </c>
      <c r="QK17" s="735">
        <v>16170.79</v>
      </c>
      <c r="QL17" s="700">
        <f t="shared" si="734"/>
        <v>0.52907733041812566</v>
      </c>
      <c r="QM17" s="593">
        <f>'Proy 2021 vs 2019 Sem'!HB16*$QP$4</f>
        <v>30564.133199999997</v>
      </c>
      <c r="QN17" s="593">
        <f>'Proy 2021 vs 2019 Sem'!UG16*$AP$4</f>
        <v>0</v>
      </c>
      <c r="QO17" s="735">
        <v>11014.63</v>
      </c>
      <c r="QP17" s="700">
        <f t="shared" si="735"/>
        <v>0.3603776337422846</v>
      </c>
      <c r="QQ17" s="593">
        <f>'Proy 2021 vs 2019 Sem'!HB16*$QT$4</f>
        <v>30564.133199999997</v>
      </c>
      <c r="QR17" s="593">
        <f>'Proy 2021 vs 2019 Sem'!HC16*$QT$4</f>
        <v>11584.202016000001</v>
      </c>
      <c r="QS17" s="735">
        <v>6512.6</v>
      </c>
      <c r="QT17" s="700">
        <f t="shared" si="736"/>
        <v>0.21307981997670397</v>
      </c>
      <c r="QU17" s="593">
        <f>'Proy 2021 vs 2019 Sem'!HB16*$QX$4</f>
        <v>30564.133199999997</v>
      </c>
      <c r="QV17" s="593">
        <f>'Proy 2021 vs 2019 Sem'!HC16*$QX$4</f>
        <v>11584.202016000001</v>
      </c>
      <c r="QW17" s="735">
        <v>8001.62</v>
      </c>
      <c r="QX17" s="700">
        <f t="shared" si="737"/>
        <v>0.26179770738598929</v>
      </c>
      <c r="QY17" s="593">
        <f>'Proy 2021 vs 2019 Sem'!HB16*$RB$4</f>
        <v>35658.155400000003</v>
      </c>
      <c r="QZ17" s="593">
        <f>'Proy 2021 vs 2019 Sem'!HC16*$RB$4</f>
        <v>13514.902352000003</v>
      </c>
      <c r="RA17" s="735">
        <v>8363.39</v>
      </c>
      <c r="RB17" s="700">
        <f t="shared" si="738"/>
        <v>0.23454354007330391</v>
      </c>
      <c r="RC17" s="593">
        <f>'Proy 2021 vs 2019 Sem'!HB16*$RF$4</f>
        <v>40752.177599999995</v>
      </c>
      <c r="RD17" s="593">
        <f>'Proy 2021 vs 2019 Sem'!HC16*$RF$4</f>
        <v>15445.602688000003</v>
      </c>
      <c r="RE17" s="735">
        <v>12687.23</v>
      </c>
      <c r="RF17" s="700">
        <f t="shared" si="739"/>
        <v>0.31132643081139305</v>
      </c>
      <c r="RG17" s="593">
        <f>'Proy 2021 vs 2019 Sem'!HB16*$RJ$4</f>
        <v>56034.244199999994</v>
      </c>
      <c r="RH17" s="593">
        <f>'Proy 2021 vs 2019 Sem'!HC16*$RJ$4</f>
        <v>21237.703696000004</v>
      </c>
      <c r="RI17" s="735">
        <v>16215.8</v>
      </c>
      <c r="RJ17" s="700">
        <f t="shared" si="740"/>
        <v>0.28939089357789538</v>
      </c>
      <c r="RK17" s="579">
        <f t="shared" si="741"/>
        <v>254701.10999999996</v>
      </c>
      <c r="RL17" s="574">
        <f t="shared" si="742"/>
        <v>73366.612768000021</v>
      </c>
      <c r="RM17" s="730">
        <f t="shared" si="743"/>
        <v>78966.06</v>
      </c>
      <c r="RN17" s="711">
        <f t="shared" si="744"/>
        <v>0.31003422010999487</v>
      </c>
      <c r="RO17" s="593">
        <f>'Proy 2021 vs 2019 Sem'!HG16*$RR$4</f>
        <v>23327.263199999998</v>
      </c>
      <c r="RP17" s="593">
        <f>'Proy 2021 vs 2019 Sem'!HH16*$RR$4</f>
        <v>10726.519104000001</v>
      </c>
      <c r="RQ17" s="735">
        <v>11252.38</v>
      </c>
      <c r="RR17" s="700">
        <f t="shared" si="745"/>
        <v>0.4823703450990342</v>
      </c>
      <c r="RS17" s="593">
        <f>'Proy 2021 vs 2019 Sem'!HG16*$RV$4</f>
        <v>23327.263199999998</v>
      </c>
      <c r="RT17" s="593">
        <f>'Proy 2021 vs 2019 Sem'!HH16*$RV$4</f>
        <v>10726.519104000001</v>
      </c>
      <c r="RU17" s="735">
        <v>8226.85</v>
      </c>
      <c r="RV17" s="700">
        <f t="shared" si="746"/>
        <v>0.35267103257959559</v>
      </c>
      <c r="RW17" s="593">
        <f>'Proy 2021 vs 2019 Sem'!HG16*$RZ$4</f>
        <v>23327.263199999998</v>
      </c>
      <c r="RX17" s="593">
        <f>'Proy 2021 vs 2019 Sem'!HH16*$RZ$4</f>
        <v>10726.519104000001</v>
      </c>
      <c r="RY17" s="735">
        <v>11671.17</v>
      </c>
      <c r="RZ17" s="700">
        <f t="shared" si="747"/>
        <v>0.50032315835489871</v>
      </c>
      <c r="SA17" s="593">
        <f>'Proy 2021 vs 2019 Sem'!HG16*$SD$4</f>
        <v>23327.263199999998</v>
      </c>
      <c r="SB17" s="593">
        <f>'Proy 2021 vs 2019 Sem'!HH16*$SD$4</f>
        <v>10726.519104000001</v>
      </c>
      <c r="SC17" s="735">
        <v>9601.6200000000008</v>
      </c>
      <c r="SD17" s="700">
        <f t="shared" si="748"/>
        <v>0.41160507847315764</v>
      </c>
      <c r="SE17" s="593">
        <f>'Proy 2021 vs 2019 Sem'!HG16*$SH$4</f>
        <v>27215.1404</v>
      </c>
      <c r="SF17" s="593">
        <f>'Proy 2021 vs 2019 Sem'!HH16*$SH$4</f>
        <v>12514.272288000002</v>
      </c>
      <c r="SG17" s="735">
        <v>11551.17</v>
      </c>
      <c r="SH17" s="700">
        <f t="shared" si="749"/>
        <v>0.42443911110596366</v>
      </c>
      <c r="SI17" s="593">
        <f>'Proy 2021 vs 2019 Sem'!HG16*$SL$4</f>
        <v>31103.017599999999</v>
      </c>
      <c r="SJ17" s="593">
        <f>'Proy 2021 vs 2019 Sem'!HH16*$SL$4</f>
        <v>14302.025472000001</v>
      </c>
      <c r="SK17" s="735">
        <v>10577.18</v>
      </c>
      <c r="SL17" s="700">
        <f t="shared" si="750"/>
        <v>0.34006925424496431</v>
      </c>
      <c r="SM17" s="593">
        <f>'Proy 2021 vs 2019 Sem'!HG16*$SP$4</f>
        <v>42766.6492</v>
      </c>
      <c r="SN17" s="593">
        <f>'Proy 2021 vs 2019 Sem'!HH16*$SP$4</f>
        <v>19665.285024000001</v>
      </c>
      <c r="SO17" s="735">
        <v>14865.42</v>
      </c>
      <c r="SP17" s="700">
        <f t="shared" si="751"/>
        <v>0.34759375069300497</v>
      </c>
      <c r="SQ17" s="579">
        <f t="shared" si="752"/>
        <v>194393.86</v>
      </c>
      <c r="SR17" s="574">
        <f t="shared" si="753"/>
        <v>89387.659200000009</v>
      </c>
      <c r="SS17" s="730">
        <f t="shared" si="754"/>
        <v>77745.790000000008</v>
      </c>
      <c r="ST17" s="711">
        <f t="shared" si="755"/>
        <v>0.39993953512729269</v>
      </c>
      <c r="SU17" s="593">
        <f>'Proy 2021 vs 2019 Sem'!HL16*$SX$4</f>
        <v>23505.335999999999</v>
      </c>
      <c r="SV17" s="593">
        <f>'Proy 2021 vs 2019 Sem'!HM16*$SX$4</f>
        <v>10625.441942399999</v>
      </c>
      <c r="SW17" s="735">
        <v>8157.4</v>
      </c>
      <c r="SX17" s="700">
        <f t="shared" si="756"/>
        <v>0.3470446029786598</v>
      </c>
      <c r="SY17" s="593">
        <f>'Proy 2021 vs 2019 Sem'!HL16*$TB$4</f>
        <v>23505.335999999999</v>
      </c>
      <c r="SZ17" s="593">
        <f>'Proy 2021 vs 2019 Sem'!HM16*$TB$4</f>
        <v>10625.441942399999</v>
      </c>
      <c r="TA17" s="735">
        <v>6645.3</v>
      </c>
      <c r="TB17" s="700">
        <f t="shared" si="757"/>
        <v>0.28271452916052764</v>
      </c>
      <c r="TC17" s="593">
        <f>'Proy 2021 vs 2019 Sem'!HL16*$TF$4</f>
        <v>23505.335999999999</v>
      </c>
      <c r="TD17" s="593">
        <f>'Proy 2021 vs 2019 Sem'!HM16*$TF$4</f>
        <v>10625.441942399999</v>
      </c>
      <c r="TE17" s="735">
        <v>5441.46</v>
      </c>
      <c r="TF17" s="700">
        <f t="shared" si="758"/>
        <v>0.23149892432935229</v>
      </c>
      <c r="TG17" s="593">
        <f>'Proy 2021 vs 2019 Sem'!HL16*$TJ$4</f>
        <v>23505.335999999999</v>
      </c>
      <c r="TH17" s="593">
        <f>'Proy 2021 vs 2019 Sem'!HM16*$TJ$4</f>
        <v>10625.441942399999</v>
      </c>
      <c r="TI17" s="735">
        <v>7846.86</v>
      </c>
      <c r="TJ17" s="700">
        <f t="shared" si="759"/>
        <v>0.33383313474012877</v>
      </c>
      <c r="TK17" s="593">
        <f>'Proy 2021 vs 2019 Sem'!HL16*$TN$4</f>
        <v>27422.892</v>
      </c>
      <c r="TL17" s="593">
        <f>'Proy 2021 vs 2019 Sem'!HM16*$TN$4</f>
        <v>12396.3489328</v>
      </c>
      <c r="TM17" s="735">
        <v>9427.41</v>
      </c>
      <c r="TN17" s="700">
        <f t="shared" si="760"/>
        <v>0.34377883995604841</v>
      </c>
      <c r="TO17" s="593">
        <f>'Proy 2021 vs 2019 Sem'!HL16*$TR$4</f>
        <v>31340.448</v>
      </c>
      <c r="TP17" s="611">
        <f>'Proy 2021 vs 2019 Sem'!HM16*$TR$4</f>
        <v>14167.255923199999</v>
      </c>
      <c r="TQ17" s="735">
        <v>14861.24</v>
      </c>
      <c r="TR17" s="700">
        <f t="shared" si="761"/>
        <v>0.47418722285016474</v>
      </c>
      <c r="TS17" s="593">
        <f>'Proy 2021 vs 2019 Sem'!HL16*$TV$4</f>
        <v>43093.115999999995</v>
      </c>
      <c r="TT17" s="593">
        <f>'Proy 2021 vs 2019 Sem'!HM16*$TV$4</f>
        <v>19479.976894399999</v>
      </c>
      <c r="TU17" s="735">
        <v>15505.24</v>
      </c>
      <c r="TV17" s="700">
        <f t="shared" si="762"/>
        <v>0.35980781710006771</v>
      </c>
      <c r="TW17" s="579">
        <f t="shared" si="763"/>
        <v>195877.8</v>
      </c>
      <c r="TX17" s="574">
        <f t="shared" si="764"/>
        <v>88545.349519999989</v>
      </c>
      <c r="TY17" s="710">
        <f t="shared" si="765"/>
        <v>67884.91</v>
      </c>
      <c r="TZ17" s="711">
        <f t="shared" si="766"/>
        <v>0.34656765595692829</v>
      </c>
      <c r="UA17" s="593">
        <v>40940.980000000003</v>
      </c>
      <c r="UB17" s="593">
        <f>'Proy 2021 vs 2019 Sem'!HR16*$UD$4</f>
        <v>11892.582623999999</v>
      </c>
      <c r="UC17" s="735">
        <v>6163.3</v>
      </c>
      <c r="UD17" s="700">
        <f t="shared" si="767"/>
        <v>0.15054109598744339</v>
      </c>
      <c r="UE17" s="593">
        <v>22938.560000000001</v>
      </c>
      <c r="UF17" s="593">
        <f>'Proy 2021 vs 2019 Sem'!HR16*$UH$4</f>
        <v>11892.582623999999</v>
      </c>
      <c r="UG17" s="735">
        <v>7681.95</v>
      </c>
      <c r="UH17" s="700">
        <f t="shared" si="768"/>
        <v>0.33489242567972877</v>
      </c>
      <c r="UI17" s="593">
        <v>18137.66</v>
      </c>
      <c r="UJ17" s="593">
        <f>'Proy 2021 vs 2019 Sem'!HR16*$UL$4</f>
        <v>11892.582623999999</v>
      </c>
      <c r="UK17" s="735">
        <v>7809.71</v>
      </c>
      <c r="UL17" s="700">
        <f t="shared" si="769"/>
        <v>0.43057979915821554</v>
      </c>
      <c r="UM17" s="593">
        <v>24166.34</v>
      </c>
      <c r="UN17" s="593">
        <f>'Proy 2021 vs 2019 Sem'!HR16*$UP$4</f>
        <v>11892.582623999999</v>
      </c>
      <c r="UO17" s="735">
        <v>6506.58</v>
      </c>
      <c r="UP17" s="700">
        <f t="shared" si="770"/>
        <v>0.26924143250488075</v>
      </c>
      <c r="UQ17" s="593">
        <v>24099.94</v>
      </c>
      <c r="UR17" s="593">
        <f>'Proy 2021 vs 2019 Sem'!HR16*$UT$4</f>
        <v>13874.679727999999</v>
      </c>
      <c r="US17" s="735">
        <v>6145.82</v>
      </c>
      <c r="UT17" s="700">
        <f t="shared" si="771"/>
        <v>0.25501391289770847</v>
      </c>
      <c r="UU17" s="593">
        <v>36709.9</v>
      </c>
      <c r="UV17" s="593">
        <f>'Proy 2021 vs 2019 Sem'!HR16*$UX$4</f>
        <v>15856.776832</v>
      </c>
      <c r="UW17" s="735">
        <v>14663.29</v>
      </c>
      <c r="UX17" s="700">
        <f t="shared" si="772"/>
        <v>0.39943693663017332</v>
      </c>
      <c r="UY17" s="593">
        <v>43811.01</v>
      </c>
      <c r="UZ17" s="593">
        <f>'Proy 2021 vs 2019 Sem'!HR16*$VB$4</f>
        <v>21803.068143999997</v>
      </c>
      <c r="VA17" s="735">
        <v>19395.66</v>
      </c>
      <c r="VB17" s="700">
        <f t="shared" si="773"/>
        <v>0.44271200321563003</v>
      </c>
      <c r="VC17" s="577">
        <f>UA17+UE17+UI17+UM17+UQ17+UU17+UY17</f>
        <v>210804.39</v>
      </c>
      <c r="VD17" s="574">
        <f t="shared" si="774"/>
        <v>99104.855199999991</v>
      </c>
      <c r="VE17" s="710">
        <f t="shared" si="775"/>
        <v>68366.31</v>
      </c>
      <c r="VF17" s="1532">
        <f t="shared" si="776"/>
        <v>0.32431160470614484</v>
      </c>
      <c r="VG17" s="593">
        <v>31818.32</v>
      </c>
      <c r="VH17" s="593">
        <f>'Proy 2021 vs 2019 Sem'!IA16*$VJ$4</f>
        <v>7056.0833280000006</v>
      </c>
      <c r="VI17" s="735">
        <v>12494.5</v>
      </c>
      <c r="VJ17" s="700">
        <f t="shared" si="777"/>
        <v>0.39268258034993675</v>
      </c>
      <c r="VK17" s="593">
        <v>18023.55</v>
      </c>
      <c r="VL17" s="593">
        <f>'Proy 2021 vs 2019 Sem'!IA16*$VN$4</f>
        <v>7056.0833280000006</v>
      </c>
      <c r="VM17" s="735">
        <v>7271.45</v>
      </c>
      <c r="VN17" s="700">
        <f t="shared" si="778"/>
        <v>0.40344160834019938</v>
      </c>
      <c r="VO17" s="593">
        <v>14471.78</v>
      </c>
      <c r="VP17" s="593">
        <f>'Proy 2021 vs 2019 Sem'!IA16*$VR$4</f>
        <v>7056.0833280000006</v>
      </c>
      <c r="VQ17" s="735">
        <v>5178.8599999999997</v>
      </c>
      <c r="VR17" s="700">
        <f t="shared" si="779"/>
        <v>0.3578592267157184</v>
      </c>
      <c r="VS17" s="593">
        <v>20098.98</v>
      </c>
      <c r="VT17" s="593">
        <f>'Proy 2021 vs 2019 Sem'!IA16*$VV$4</f>
        <v>7056.0833280000006</v>
      </c>
      <c r="VU17" s="735">
        <v>6710.5</v>
      </c>
      <c r="VV17" s="700">
        <f t="shared" si="780"/>
        <v>0.33387266418494871</v>
      </c>
      <c r="VW17" s="593">
        <v>21079.74</v>
      </c>
      <c r="VX17" s="593">
        <f>'Proy 2021 vs 2019 Sem'!IA16*$VZ$4</f>
        <v>8232.0972160000019</v>
      </c>
      <c r="VY17" s="735">
        <v>9577.7000000000007</v>
      </c>
      <c r="VZ17" s="700">
        <f t="shared" si="781"/>
        <v>0.45435569888433158</v>
      </c>
      <c r="WA17" s="593">
        <v>29476.18</v>
      </c>
      <c r="WB17" s="593">
        <f>'Proy 2021 vs 2019 Sem'!IA16*$WD$4</f>
        <v>9408.1111040000014</v>
      </c>
      <c r="WC17" s="735">
        <v>11768.75</v>
      </c>
      <c r="WD17" s="700">
        <f t="shared" si="782"/>
        <v>0.39926306597394912</v>
      </c>
      <c r="WE17" s="593">
        <v>43970.400000000001</v>
      </c>
      <c r="WF17" s="593">
        <f>'Proy 2021 vs 2019 Sem'!IA16*$WH$4</f>
        <v>12936.152768000002</v>
      </c>
      <c r="WG17" s="735">
        <v>25428.98</v>
      </c>
      <c r="WH17" s="1538">
        <f t="shared" si="783"/>
        <v>0.57832041555228064</v>
      </c>
      <c r="WI17" s="574">
        <f t="shared" si="784"/>
        <v>84412.62999999999</v>
      </c>
      <c r="WJ17" s="575">
        <f t="shared" si="785"/>
        <v>58800.694400000008</v>
      </c>
      <c r="WK17" s="793">
        <f t="shared" si="786"/>
        <v>78430.740000000005</v>
      </c>
      <c r="WL17" s="786">
        <f t="shared" si="787"/>
        <v>0.92913513060782504</v>
      </c>
      <c r="WM17" s="593">
        <v>24294.22</v>
      </c>
      <c r="WN17" s="593">
        <f>'Proy 2021 vs 2019 Sem'!IF16*$WP$4</f>
        <v>7824.6856080000007</v>
      </c>
      <c r="WO17" s="735">
        <v>17587.34</v>
      </c>
      <c r="WP17" s="700">
        <f t="shared" si="788"/>
        <v>0.72393104203386649</v>
      </c>
      <c r="WQ17" s="593">
        <v>19725.28</v>
      </c>
      <c r="WR17" s="593">
        <f>'Proy 2021 vs 2019 Sem'!IF16*$WT$4</f>
        <v>7824.6856080000007</v>
      </c>
      <c r="WS17" s="735">
        <v>10840.4</v>
      </c>
      <c r="WT17" s="700">
        <f t="shared" si="789"/>
        <v>0.54956887810971511</v>
      </c>
      <c r="WU17" s="593">
        <v>24172.54</v>
      </c>
      <c r="WV17" s="593">
        <f>'Proy 2021 vs 2019 Sem'!IF16*$WX$4</f>
        <v>7824.6856080000007</v>
      </c>
      <c r="WW17" s="735">
        <v>9699.51</v>
      </c>
      <c r="WX17" s="700">
        <f t="shared" si="790"/>
        <v>0.4012615140982288</v>
      </c>
      <c r="WY17" s="593">
        <v>21878.68</v>
      </c>
      <c r="WZ17" s="593">
        <f>'Proy 2021 vs 2019 Sem'!IF16*$XB$4</f>
        <v>7824.6856080000007</v>
      </c>
      <c r="XA17" s="735">
        <v>10079</v>
      </c>
      <c r="XB17" s="700">
        <f t="shared" si="791"/>
        <v>0.46067678671656609</v>
      </c>
      <c r="XC17" s="593">
        <v>24616.61</v>
      </c>
      <c r="XD17" s="1547">
        <f>'Proy 2021 vs 2019 Sem'!IF16*$XF$4</f>
        <v>9128.7998760000028</v>
      </c>
      <c r="XE17" s="735">
        <v>12337.73</v>
      </c>
      <c r="XF17" s="700">
        <f t="shared" si="792"/>
        <v>0.50119533111992265</v>
      </c>
      <c r="XG17" s="593">
        <v>28206.43</v>
      </c>
      <c r="XH17" s="593">
        <f>'Proy 2021 vs 2019 Sem'!IF16*$XJ$4</f>
        <v>10432.914144000002</v>
      </c>
      <c r="XI17" s="735">
        <v>14215.95</v>
      </c>
      <c r="XJ17" s="700">
        <f t="shared" si="793"/>
        <v>0.50399678371208267</v>
      </c>
      <c r="XK17" s="593">
        <v>48887.75</v>
      </c>
      <c r="XL17" s="593">
        <f>'Proy 2021 vs 2019 Sem'!IF16*$XN$4</f>
        <v>14345.256948000002</v>
      </c>
      <c r="XM17" s="735">
        <v>32674.38</v>
      </c>
      <c r="XN17" s="700">
        <f t="shared" si="794"/>
        <v>0.66835516054635369</v>
      </c>
      <c r="XO17" s="579">
        <f t="shared" si="795"/>
        <v>191781.51</v>
      </c>
      <c r="XP17" s="574">
        <f t="shared" si="796"/>
        <v>65205.713400000008</v>
      </c>
      <c r="XQ17" s="794">
        <f t="shared" si="797"/>
        <v>107434.31</v>
      </c>
      <c r="XR17" s="786">
        <f t="shared" si="798"/>
        <v>0.56019117797122353</v>
      </c>
      <c r="XS17" s="593">
        <v>41011.65</v>
      </c>
      <c r="XT17" s="593">
        <f>'Proy 2021 vs 2019 Sem'!IK16*$XV$4</f>
        <v>9520.0970400000006</v>
      </c>
      <c r="XU17" s="735">
        <v>16406.79</v>
      </c>
      <c r="XV17" s="700">
        <f t="shared" si="799"/>
        <v>0.40005193646195653</v>
      </c>
      <c r="XW17" s="593">
        <v>22228.32</v>
      </c>
      <c r="XX17" s="593">
        <f>'Proy 2021 vs 2019 Sem'!IK16*$XZ$4</f>
        <v>9520.0970400000006</v>
      </c>
      <c r="XY17" s="735">
        <v>11627.52</v>
      </c>
      <c r="XZ17" s="700">
        <f t="shared" si="800"/>
        <v>0.523094862769656</v>
      </c>
      <c r="YA17" s="593">
        <v>22913.75</v>
      </c>
      <c r="YB17" s="593">
        <f>'Proy 2021 vs 2019 Sem'!IK16*$YD$4</f>
        <v>9520.0970400000006</v>
      </c>
      <c r="YC17" s="735">
        <v>12463.51</v>
      </c>
      <c r="YD17" s="700">
        <f t="shared" si="801"/>
        <v>0.54393148218864218</v>
      </c>
      <c r="YE17" s="593">
        <v>22986.560000000001</v>
      </c>
      <c r="YF17" s="593">
        <f>'Proy 2021 vs 2019 Sem'!IK16*$YH$4</f>
        <v>9520.0970400000006</v>
      </c>
      <c r="YG17" s="735">
        <v>9333.56</v>
      </c>
      <c r="YH17" s="700">
        <f t="shared" si="802"/>
        <v>0.40604422758342262</v>
      </c>
      <c r="YI17" s="593">
        <v>21526.19</v>
      </c>
      <c r="YJ17" s="593">
        <f>'Proy 2021 vs 2019 Sem'!IK16*$YL$4</f>
        <v>11106.779880000002</v>
      </c>
      <c r="YK17" s="735">
        <v>13096.42</v>
      </c>
      <c r="YL17" s="700">
        <f t="shared" si="803"/>
        <v>0.6083947043113529</v>
      </c>
      <c r="YM17" s="593">
        <v>30284.46</v>
      </c>
      <c r="YN17" s="593">
        <f>'Proy 2021 vs 2019 Sem'!IK16*$YP$4</f>
        <v>12693.462720000001</v>
      </c>
      <c r="YO17" s="735">
        <v>18599.990000000002</v>
      </c>
      <c r="YP17" s="700">
        <f t="shared" si="804"/>
        <v>0.61417604936657288</v>
      </c>
      <c r="YQ17" s="593">
        <v>52741.86</v>
      </c>
      <c r="YR17" s="593">
        <f>'Proy 2021 vs 2019 Sem'!IK16*$YT$4</f>
        <v>17453.511240000003</v>
      </c>
      <c r="YS17" s="735">
        <v>26502.81</v>
      </c>
      <c r="YT17" s="700">
        <f t="shared" si="805"/>
        <v>0.50250048064288977</v>
      </c>
      <c r="YU17" s="579">
        <f t="shared" si="806"/>
        <v>213692.78999999998</v>
      </c>
      <c r="YV17" s="574">
        <f t="shared" si="807"/>
        <v>79334.142000000007</v>
      </c>
      <c r="YW17" s="794">
        <f t="shared" si="808"/>
        <v>108030.59999999999</v>
      </c>
      <c r="YX17" s="786">
        <f t="shared" si="809"/>
        <v>0.5055416235615624</v>
      </c>
      <c r="YY17" s="593">
        <v>35279.879999999997</v>
      </c>
      <c r="YZ17" s="593">
        <f>'Proy 2021 vs 2019 Sem'!IP16*$ZB$4</f>
        <v>11134.395839999999</v>
      </c>
      <c r="ZA17" s="735">
        <v>17113.18</v>
      </c>
      <c r="ZB17" s="700">
        <f t="shared" si="810"/>
        <v>0.48506911021239307</v>
      </c>
      <c r="ZC17" s="593">
        <v>25066.17</v>
      </c>
      <c r="ZD17" s="593">
        <f>'Proy 2021 vs 2019 Sem'!IP16*$ZF$4</f>
        <v>11134.395839999999</v>
      </c>
      <c r="ZE17" s="735">
        <v>11489.04</v>
      </c>
      <c r="ZF17" s="700">
        <f t="shared" si="811"/>
        <v>0.45834844334016733</v>
      </c>
      <c r="ZG17" s="593">
        <v>30443.31</v>
      </c>
      <c r="ZH17" s="593">
        <f>'Proy 2021 vs 2019 Sem'!IP16*$ZJ$4</f>
        <v>11134.395839999999</v>
      </c>
      <c r="ZI17" s="735">
        <v>19054.5</v>
      </c>
      <c r="ZJ17" s="700">
        <f t="shared" si="812"/>
        <v>0.62590106003585022</v>
      </c>
      <c r="ZK17" s="593">
        <v>34949.870000000003</v>
      </c>
      <c r="ZL17" s="593">
        <f>'Proy 2021 vs 2019 Sem'!IP16*$ZN$4</f>
        <v>11134.395839999999</v>
      </c>
      <c r="ZM17" s="735">
        <v>20217.689999999999</v>
      </c>
      <c r="ZN17" s="700">
        <f t="shared" si="813"/>
        <v>0.5784768298136731</v>
      </c>
      <c r="ZO17" s="593">
        <v>44354.8</v>
      </c>
      <c r="ZP17" s="593">
        <f>'Proy 2021 vs 2019 Sem'!IP16*$ZR$4</f>
        <v>12990.128480000001</v>
      </c>
      <c r="ZQ17" s="735">
        <v>25660.66</v>
      </c>
      <c r="ZR17" s="700">
        <f t="shared" si="814"/>
        <v>0.57853174853679867</v>
      </c>
      <c r="ZS17" s="593">
        <v>29562.05</v>
      </c>
      <c r="ZT17" s="593">
        <f>'Proy 2021 vs 2019 Sem'!IP16*$ZV$4</f>
        <v>14845.86112</v>
      </c>
      <c r="ZU17" s="735">
        <v>29383.55</v>
      </c>
      <c r="ZV17" s="700">
        <f t="shared" si="815"/>
        <v>0.99396185311911722</v>
      </c>
      <c r="ZW17" s="593">
        <v>32310.5</v>
      </c>
      <c r="ZX17" s="593">
        <f>'Proy 2021 vs 2019 Sem'!IP16*$ZZ$4</f>
        <v>20413.05904</v>
      </c>
      <c r="ZY17" s="735">
        <v>34471.760000000002</v>
      </c>
      <c r="ZZ17" s="700">
        <f t="shared" si="816"/>
        <v>1.0668903297689607</v>
      </c>
      <c r="AAA17" s="579">
        <f t="shared" si="817"/>
        <v>231966.58000000002</v>
      </c>
      <c r="AAB17" s="574">
        <f t="shared" si="818"/>
        <v>92786.631999999983</v>
      </c>
      <c r="AAC17" s="785">
        <f t="shared" si="819"/>
        <v>157390.38</v>
      </c>
      <c r="AAD17" s="786">
        <f t="shared" si="820"/>
        <v>0.67850455009510424</v>
      </c>
      <c r="AAE17" s="593">
        <v>28684.959999999999</v>
      </c>
      <c r="AAF17" s="593">
        <f>'Proy 2021 vs 2019 Sem'!IY16*$AAH$4</f>
        <v>12345.048720000001</v>
      </c>
      <c r="AAG17" s="735">
        <v>12315.44</v>
      </c>
      <c r="AAH17" s="700">
        <f t="shared" si="821"/>
        <v>0.42933439684071378</v>
      </c>
      <c r="AAI17" s="593">
        <v>19737.52</v>
      </c>
      <c r="AAJ17" s="593">
        <f>'Proy 2021 vs 2019 Sem'!IY16*$AAL$4</f>
        <v>12345.048720000001</v>
      </c>
      <c r="AAK17" s="735">
        <v>14449.95</v>
      </c>
      <c r="AAL17" s="700">
        <f t="shared" si="822"/>
        <v>0.73210565461111632</v>
      </c>
      <c r="AAM17" s="593">
        <v>16719.650000000001</v>
      </c>
      <c r="AAN17" s="593">
        <f>'Proy 2021 vs 2019 Sem'!IY16*$AAP$4</f>
        <v>12345.048720000001</v>
      </c>
      <c r="AAO17" s="735">
        <v>8424.7900000000009</v>
      </c>
      <c r="AAP17" s="700">
        <f t="shared" si="823"/>
        <v>0.50388554784340578</v>
      </c>
      <c r="AAQ17" s="593">
        <v>16882.150000000001</v>
      </c>
      <c r="AAR17" s="593">
        <f>'Proy 2021 vs 2019 Sem'!IY16*$AAT$4</f>
        <v>12345.048720000001</v>
      </c>
      <c r="AAS17" s="735">
        <v>9600.6200000000008</v>
      </c>
      <c r="AAT17" s="700">
        <f t="shared" si="824"/>
        <v>0.56868467582624249</v>
      </c>
      <c r="AAU17" s="593">
        <v>17411.419999999998</v>
      </c>
      <c r="AAV17" s="593">
        <f>'Proy 2021 vs 2019 Sem'!IY16*$AAX$4</f>
        <v>14402.556840000001</v>
      </c>
      <c r="AAW17" s="735">
        <v>11067.11</v>
      </c>
      <c r="AAX17" s="700">
        <f t="shared" si="825"/>
        <v>0.63562363092728802</v>
      </c>
      <c r="AAY17" s="593">
        <v>25755.919999999998</v>
      </c>
      <c r="AAZ17" s="593">
        <f>'Proy 2021 vs 2019 Sem'!IY16*$ABB$4</f>
        <v>16460.06496</v>
      </c>
      <c r="ABA17" s="735">
        <v>12986.91</v>
      </c>
      <c r="ABB17" s="700">
        <f t="shared" si="826"/>
        <v>0.5042300954499005</v>
      </c>
      <c r="ABC17" s="593">
        <v>46109.4</v>
      </c>
      <c r="ABD17" s="593">
        <f>'Proy 2021 vs 2019 Sem'!IY16*$ABF$4</f>
        <v>22632.589319999999</v>
      </c>
      <c r="ABE17" s="735">
        <v>25522.44</v>
      </c>
      <c r="ABF17" s="700">
        <f t="shared" si="827"/>
        <v>0.55351923902718314</v>
      </c>
      <c r="ABG17" s="579">
        <f t="shared" si="828"/>
        <v>171301.02</v>
      </c>
      <c r="ABH17" s="574">
        <f t="shared" si="829"/>
        <v>102875.406</v>
      </c>
      <c r="ABI17" s="759">
        <f t="shared" si="830"/>
        <v>94367.260000000009</v>
      </c>
      <c r="ABJ17" s="761">
        <f t="shared" si="831"/>
        <v>0.5508855697414996</v>
      </c>
      <c r="ABK17" s="593">
        <v>40504.660000000003</v>
      </c>
      <c r="ABL17" s="593">
        <f>'Proy 2021 vs 2019 Sem'!JD16*$ABN$4</f>
        <v>14721.266159999999</v>
      </c>
      <c r="ABM17" s="735">
        <v>17878.12</v>
      </c>
      <c r="ABN17" s="700">
        <f t="shared" si="832"/>
        <v>0.44138427529079366</v>
      </c>
      <c r="ABO17" s="593">
        <v>18288.490000000002</v>
      </c>
      <c r="ABP17" s="593">
        <f>'Proy 2021 vs 2019 Sem'!JD16*$ABR$4</f>
        <v>14721.266159999999</v>
      </c>
      <c r="ABQ17" s="735">
        <v>8995.4599999999991</v>
      </c>
      <c r="ABR17" s="700">
        <f t="shared" si="833"/>
        <v>0.49186455524759004</v>
      </c>
      <c r="ABS17" s="593">
        <v>7734.11</v>
      </c>
      <c r="ABT17" s="593">
        <f>'Proy 2021 vs 2019 Sem'!JD16*$ABV$4</f>
        <v>14721.266159999999</v>
      </c>
      <c r="ABU17" s="735">
        <v>10641.05</v>
      </c>
      <c r="ABV17" s="700">
        <f t="shared" si="834"/>
        <v>1.3758596658180449</v>
      </c>
      <c r="ABW17" s="593">
        <v>10828.59</v>
      </c>
      <c r="ABX17" s="593">
        <f>'Proy 2021 vs 2019 Sem'!JD16*$ABZ$4</f>
        <v>14721.266159999999</v>
      </c>
      <c r="ABY17" s="735">
        <v>17613.43</v>
      </c>
      <c r="ABZ17" s="700">
        <f t="shared" si="835"/>
        <v>1.6265672631432162</v>
      </c>
      <c r="ACA17" s="593">
        <v>26319.35</v>
      </c>
      <c r="ACB17" s="593">
        <f>'Proy 2021 vs 2019 Sem'!JD16*$ACD$4</f>
        <v>17174.810519999999</v>
      </c>
      <c r="ACC17" s="735">
        <v>15072.78</v>
      </c>
      <c r="ACD17" s="700">
        <f t="shared" si="836"/>
        <v>0.57268815529258899</v>
      </c>
      <c r="ACE17" s="593">
        <v>37669.589999999997</v>
      </c>
      <c r="ACF17" s="593">
        <f>'Proy 2021 vs 2019 Sem'!JD16*$ACH$4</f>
        <v>19628.354879999999</v>
      </c>
      <c r="ACG17" s="735">
        <v>23562.11</v>
      </c>
      <c r="ACH17" s="700">
        <f t="shared" si="837"/>
        <v>0.62549419837062215</v>
      </c>
      <c r="ACI17" s="593">
        <v>60838.64</v>
      </c>
      <c r="ACJ17" s="593">
        <f>'Proy 2021 vs 2019 Sem'!JD16*$ACL$4</f>
        <v>26988.987959999999</v>
      </c>
      <c r="ACK17" s="735">
        <v>38908.54</v>
      </c>
      <c r="ACL17" s="700">
        <f t="shared" si="838"/>
        <v>0.63953664973444513</v>
      </c>
      <c r="ACM17" s="579">
        <f t="shared" si="839"/>
        <v>202183.43</v>
      </c>
      <c r="ACN17" s="574">
        <f t="shared" si="840"/>
        <v>122677.21799999999</v>
      </c>
      <c r="ACO17" s="765">
        <f t="shared" si="841"/>
        <v>132671.49</v>
      </c>
      <c r="ACP17" s="761">
        <f t="shared" si="842"/>
        <v>0.65619368511059484</v>
      </c>
      <c r="ACQ17" s="593">
        <v>49348.19</v>
      </c>
      <c r="ACR17" s="593">
        <f>'Proy 2021 vs 2019 Sem'!JI16*$ACT$4</f>
        <v>21509.228520000001</v>
      </c>
      <c r="ACS17" s="735">
        <v>25884.73</v>
      </c>
      <c r="ACT17" s="700">
        <f t="shared" si="843"/>
        <v>0.52453251071619844</v>
      </c>
      <c r="ACU17" s="593">
        <v>47799.07</v>
      </c>
      <c r="ACV17" s="593">
        <f>'Proy 2021 vs 2019 Sem'!JI16*$ACX$4</f>
        <v>21509.228520000001</v>
      </c>
      <c r="ACW17" s="735">
        <v>33965.56</v>
      </c>
      <c r="ACX17" s="700">
        <f t="shared" si="844"/>
        <v>0.71059039433193993</v>
      </c>
      <c r="ACY17" s="593">
        <v>20264.13</v>
      </c>
      <c r="ACZ17" s="593">
        <f>'Proy 2021 vs 2019 Sem'!JI16*$ADB$4</f>
        <v>21509.228520000001</v>
      </c>
      <c r="ADA17" s="735">
        <v>17529.2</v>
      </c>
      <c r="ADB17" s="700">
        <f t="shared" si="845"/>
        <v>0.86503590334250713</v>
      </c>
      <c r="ADC17" s="593">
        <v>19995.37</v>
      </c>
      <c r="ADD17" s="593">
        <f>'Proy 2021 vs 2019 Sem'!JI16*$ADF$4</f>
        <v>21509.228520000001</v>
      </c>
      <c r="ADE17" s="735">
        <v>14402.71</v>
      </c>
      <c r="ADF17" s="700">
        <f t="shared" si="846"/>
        <v>0.72030224997086822</v>
      </c>
      <c r="ADG17" s="593">
        <v>36919</v>
      </c>
      <c r="ADH17" s="593">
        <f>'Proy 2021 vs 2019 Sem'!JI16*$ADJ$4</f>
        <v>25094.099940000007</v>
      </c>
      <c r="ADI17" s="735">
        <v>16867.47</v>
      </c>
      <c r="ADJ17" s="700">
        <f t="shared" si="847"/>
        <v>0.45687775941926922</v>
      </c>
      <c r="ADK17" s="593">
        <v>34341.15</v>
      </c>
      <c r="ADL17" s="593">
        <f>'Proy 2021 vs 2019 Sem'!JI16*$ADN$4</f>
        <v>28678.971360000003</v>
      </c>
      <c r="ADM17" s="735">
        <v>24863.06</v>
      </c>
      <c r="ADN17" s="700">
        <f t="shared" si="848"/>
        <v>0.72400196265995753</v>
      </c>
      <c r="ADO17" s="593">
        <v>66558.080000000002</v>
      </c>
      <c r="ADP17" s="593">
        <f>'Proy 2021 vs 2019 Sem'!JI16*$ADR$4</f>
        <v>39433.585620000005</v>
      </c>
      <c r="ADQ17" s="735">
        <v>37937.06</v>
      </c>
      <c r="ADR17" s="700">
        <f t="shared" si="849"/>
        <v>0.56998429041222343</v>
      </c>
      <c r="ADS17" s="579">
        <f t="shared" si="850"/>
        <v>275224.99</v>
      </c>
      <c r="ADT17" s="574">
        <f t="shared" si="851"/>
        <v>179243.571</v>
      </c>
      <c r="ADU17" s="765">
        <f t="shared" si="852"/>
        <v>171449.78999999998</v>
      </c>
      <c r="ADV17" s="761">
        <f t="shared" si="853"/>
        <v>0.62294412291558254</v>
      </c>
      <c r="ADW17" s="593">
        <v>56110.48</v>
      </c>
      <c r="ADX17" s="593">
        <f>'Proy 2021 vs 2019 Sem'!JN16*$ADZ$4</f>
        <v>25581.552359999998</v>
      </c>
      <c r="ADY17" s="735">
        <v>26569.8</v>
      </c>
      <c r="ADZ17" s="700">
        <f t="shared" si="854"/>
        <v>0.47352651412000035</v>
      </c>
      <c r="AEA17" s="593">
        <v>32165.57</v>
      </c>
      <c r="AEB17" s="593">
        <f>'Proy 2021 vs 2019 Sem'!JN16*$AED$4</f>
        <v>25581.552359999998</v>
      </c>
      <c r="AEC17" s="735">
        <v>28982</v>
      </c>
      <c r="AED17" s="700">
        <f t="shared" si="855"/>
        <v>0.90102553755459647</v>
      </c>
      <c r="AEE17" s="593">
        <v>30702.13</v>
      </c>
      <c r="AEF17" s="593">
        <f>'Proy 2021 vs 2019 Sem'!JN16*$AEH$4</f>
        <v>25581.552359999998</v>
      </c>
      <c r="AEG17" s="735">
        <v>16273</v>
      </c>
      <c r="AEH17" s="700">
        <f t="shared" si="856"/>
        <v>0.5300283726243098</v>
      </c>
      <c r="AEI17" s="593">
        <v>23381.18</v>
      </c>
      <c r="AEJ17" s="593">
        <f>'Proy 2021 vs 2019 Sem'!JN16*$AEL$4</f>
        <v>25581.552359999998</v>
      </c>
      <c r="AEK17" s="735">
        <v>18363</v>
      </c>
      <c r="AEL17" s="700">
        <f t="shared" si="857"/>
        <v>0.78537524624505695</v>
      </c>
      <c r="AEM17" s="593">
        <v>36226.49</v>
      </c>
      <c r="AEN17" s="593">
        <f>'Proy 2021 vs 2019 Sem'!JN16*$AEP$4</f>
        <v>29845.144420000004</v>
      </c>
      <c r="AEO17" s="735">
        <v>27842</v>
      </c>
      <c r="AEP17" s="700">
        <f t="shared" si="858"/>
        <v>0.76855361918861032</v>
      </c>
      <c r="AEQ17" s="593">
        <v>55402.67</v>
      </c>
      <c r="AER17" s="593">
        <f>'Proy 2021 vs 2019 Sem'!JN16*$AET$4</f>
        <v>34108.73648</v>
      </c>
      <c r="AES17" s="735">
        <v>11248</v>
      </c>
      <c r="AET17" s="700">
        <f t="shared" si="859"/>
        <v>0.20302270630639283</v>
      </c>
      <c r="AEU17" s="593">
        <v>92063.15</v>
      </c>
      <c r="AEV17" s="593">
        <f>'Proy 2021 vs 2019 Sem'!JN16*$AEX$4</f>
        <v>46899.51266</v>
      </c>
      <c r="AEW17" s="735">
        <v>45432</v>
      </c>
      <c r="AEX17" s="700">
        <f t="shared" si="860"/>
        <v>0.49348735080213962</v>
      </c>
      <c r="AEY17" s="579">
        <f t="shared" si="861"/>
        <v>326051.67000000004</v>
      </c>
      <c r="AEZ17" s="574">
        <f t="shared" si="862"/>
        <v>213179.603</v>
      </c>
      <c r="AFA17" s="770">
        <f t="shared" si="863"/>
        <v>174709.8</v>
      </c>
      <c r="AFB17" s="761">
        <f t="shared" si="864"/>
        <v>0.53583470374496156</v>
      </c>
      <c r="AFC17" s="593">
        <v>72968</v>
      </c>
      <c r="AFD17" s="593">
        <f>'Proy 2021 vs 2019 Sem'!JX16*$AFF$4</f>
        <v>30389.946479999999</v>
      </c>
      <c r="AFE17" s="735">
        <v>31516</v>
      </c>
      <c r="AFF17" s="700">
        <f t="shared" si="865"/>
        <v>0.4319153601578774</v>
      </c>
      <c r="AFG17" s="593">
        <v>48685.32</v>
      </c>
      <c r="AFH17" s="593">
        <f>'Proy 2021 vs 2019 Sem'!JX16*$AFJ$4</f>
        <v>30389.946479999999</v>
      </c>
      <c r="AFI17" s="735">
        <v>28611.599999999999</v>
      </c>
      <c r="AFJ17" s="700">
        <f t="shared" si="866"/>
        <v>0.58768433688019306</v>
      </c>
      <c r="AFK17" s="593">
        <v>44588.23</v>
      </c>
      <c r="AFL17" s="593">
        <f>'Proy 2021 vs 2019 Sem'!JX16*$AFN$4</f>
        <v>30389.946479999999</v>
      </c>
      <c r="AFM17" s="735">
        <v>25919.360000000001</v>
      </c>
      <c r="AFN17" s="700">
        <f t="shared" si="867"/>
        <v>0.5813049766720948</v>
      </c>
      <c r="AFO17" s="593">
        <v>48150.11</v>
      </c>
      <c r="AFP17" s="593">
        <f>'Proy 2021 vs 2019 Sem'!JX16*$AFR$4</f>
        <v>30389.946479999999</v>
      </c>
      <c r="AFQ17" s="735">
        <v>32929.9</v>
      </c>
      <c r="AFR17" s="700">
        <f t="shared" si="868"/>
        <v>0.68390082597942148</v>
      </c>
      <c r="AFS17" s="593">
        <v>46716.82</v>
      </c>
      <c r="AFT17" s="593">
        <f>'Proy 2021 vs 2019 Sem'!JX16*$AFV$4</f>
        <v>35454.937560000006</v>
      </c>
      <c r="AFU17" s="735">
        <v>28969.279999999999</v>
      </c>
      <c r="AFV17" s="700">
        <f t="shared" si="869"/>
        <v>0.6201038512467244</v>
      </c>
      <c r="AFW17" s="593">
        <v>66915.490000000005</v>
      </c>
      <c r="AFX17" s="593">
        <f>'Proy 2021 vs 2019 Sem'!JX16*$AFZ$4</f>
        <v>40519.928639999998</v>
      </c>
      <c r="AFY17" s="735">
        <v>48912.73</v>
      </c>
      <c r="AFZ17" s="700">
        <f t="shared" si="870"/>
        <v>0.73096274121283422</v>
      </c>
      <c r="AGA17" s="593">
        <v>95316.35</v>
      </c>
      <c r="AGB17" s="593">
        <f>'Proy 2021 vs 2019 Sem'!JX16*$AGD$4</f>
        <v>55714.901879999998</v>
      </c>
      <c r="AGC17" s="735">
        <v>69411.38</v>
      </c>
      <c r="AGD17" s="700">
        <f t="shared" si="871"/>
        <v>0.72822112890390789</v>
      </c>
      <c r="AGE17" s="579">
        <f t="shared" si="872"/>
        <v>423340.32000000007</v>
      </c>
      <c r="AGF17" s="574">
        <f t="shared" si="873"/>
        <v>253249.55399999997</v>
      </c>
      <c r="AGG17" s="729">
        <f t="shared" si="874"/>
        <v>266270.25</v>
      </c>
      <c r="AGH17" s="711">
        <f t="shared" si="875"/>
        <v>0.62897446196478513</v>
      </c>
      <c r="AGI17" s="593">
        <v>95880.71</v>
      </c>
      <c r="AGJ17" s="593">
        <f>'Proy 2021 vs 2019 Sem'!KC16*$AGL$4</f>
        <v>39523.213656</v>
      </c>
      <c r="AGK17" s="735">
        <v>44029.65</v>
      </c>
      <c r="AGL17" s="700">
        <f t="shared" si="876"/>
        <v>0.45921280724767266</v>
      </c>
      <c r="AGM17" s="593">
        <v>37744.639999999999</v>
      </c>
      <c r="AGN17" s="593">
        <f>'Proy 2021 vs 2019 Sem'!KC16*$AGP$4</f>
        <v>39523.213656</v>
      </c>
      <c r="AGO17" s="735">
        <v>32347.119999999999</v>
      </c>
      <c r="AGP17" s="700">
        <f t="shared" si="877"/>
        <v>0.85699903350515461</v>
      </c>
      <c r="AGQ17" s="593">
        <v>50050.57</v>
      </c>
      <c r="AGR17" s="593">
        <f>'Proy 2021 vs 2019 Sem'!KC16*$AGT$4</f>
        <v>39523.213656</v>
      </c>
      <c r="AGS17" s="735">
        <v>28166.98</v>
      </c>
      <c r="AGT17" s="700">
        <f t="shared" si="878"/>
        <v>0.5627704140032771</v>
      </c>
      <c r="AGU17" s="593">
        <v>57288.08</v>
      </c>
      <c r="AGV17" s="593">
        <f>'Proy 2021 vs 2019 Sem'!KC16*$AGX$4</f>
        <v>39523.213656</v>
      </c>
      <c r="AGW17" s="735">
        <v>31822.59</v>
      </c>
      <c r="AGX17" s="700">
        <f t="shared" si="879"/>
        <v>0.55548361893084908</v>
      </c>
      <c r="AGY17" s="593">
        <v>66014.600000000006</v>
      </c>
      <c r="AGZ17" s="593">
        <f>'Proy 2021 vs 2019 Sem'!KC16*$AHB$4</f>
        <v>46110.415932000004</v>
      </c>
      <c r="AHA17" s="735">
        <v>41920.5</v>
      </c>
      <c r="AHB17" s="700">
        <f t="shared" si="880"/>
        <v>0.63501861709379437</v>
      </c>
      <c r="AHC17" s="593">
        <v>88084.93</v>
      </c>
      <c r="AHD17" s="593">
        <f>'Proy 2021 vs 2019 Sem'!KC16*$AHF$4</f>
        <v>52697.618208</v>
      </c>
      <c r="AHE17" s="735">
        <v>38934.19</v>
      </c>
      <c r="AHF17" s="700">
        <f t="shared" si="881"/>
        <v>0.44200738991334848</v>
      </c>
      <c r="AHG17" s="593">
        <v>130986.6</v>
      </c>
      <c r="AHH17" s="593">
        <f>'Proy 2021 vs 2019 Sem'!KC16*$AHJ$4</f>
        <v>72459.225036000003</v>
      </c>
      <c r="AHI17" s="735">
        <v>80665.759999999995</v>
      </c>
      <c r="AHJ17" s="700">
        <f t="shared" si="882"/>
        <v>0.61583215382336809</v>
      </c>
      <c r="AHK17" s="579">
        <f t="shared" si="883"/>
        <v>526050.13</v>
      </c>
      <c r="AHL17" s="574">
        <f t="shared" si="884"/>
        <v>329360.11379999999</v>
      </c>
      <c r="AHM17" s="730">
        <f t="shared" si="885"/>
        <v>297886.78999999998</v>
      </c>
      <c r="AHN17" s="711">
        <f t="shared" si="886"/>
        <v>0.56627072784869381</v>
      </c>
      <c r="AHO17" s="593">
        <v>109756.25</v>
      </c>
      <c r="AHP17" s="593">
        <f>'Proy 2021 vs 2019 Sem'!KH16*$AHR$4</f>
        <v>50686.541879999997</v>
      </c>
      <c r="AHQ17" s="735">
        <v>62814.93</v>
      </c>
      <c r="AHR17" s="700">
        <f t="shared" si="887"/>
        <v>0.57231301178748362</v>
      </c>
      <c r="AHS17" s="593">
        <v>77291.75</v>
      </c>
      <c r="AHT17" s="593">
        <f>'Proy 2021 vs 2019 Sem'!KH16*$AHV$4</f>
        <v>50686.541879999997</v>
      </c>
      <c r="AHU17" s="735">
        <v>40600.1</v>
      </c>
      <c r="AHV17" s="700">
        <f t="shared" si="888"/>
        <v>0.52528374632480179</v>
      </c>
      <c r="AHW17" s="593">
        <v>64539.79</v>
      </c>
      <c r="AHX17" s="593">
        <f>'Proy 2021 vs 2019 Sem'!KH16*$AHZ$4</f>
        <v>50686.541879999997</v>
      </c>
      <c r="AHY17" s="735">
        <v>41956.27</v>
      </c>
      <c r="AHZ17" s="700">
        <f t="shared" si="889"/>
        <v>0.65008377002776108</v>
      </c>
      <c r="AIA17" s="593">
        <v>67103.94</v>
      </c>
      <c r="AIB17" s="593">
        <f>'Proy 2021 vs 2019 Sem'!KH16*$AID$4</f>
        <v>50686.541879999997</v>
      </c>
      <c r="AIC17" s="735">
        <v>44778.07</v>
      </c>
      <c r="AID17" s="700">
        <f t="shared" si="890"/>
        <v>0.66729420060878686</v>
      </c>
      <c r="AIE17" s="593">
        <v>69238.52</v>
      </c>
      <c r="AIF17" s="593">
        <f>'Proy 2021 vs 2019 Sem'!KH16*$AIH$4</f>
        <v>59134.298860000003</v>
      </c>
      <c r="AIG17" s="735">
        <v>41941.46</v>
      </c>
      <c r="AIH17" s="700">
        <f t="shared" si="891"/>
        <v>0.60575327144485469</v>
      </c>
      <c r="AII17" s="593">
        <v>97868.87</v>
      </c>
      <c r="AIJ17" s="593">
        <f>'Proy 2021 vs 2019 Sem'!KH16*$AIL$4</f>
        <v>67582.055840000001</v>
      </c>
      <c r="AIK17" s="735">
        <v>37017.47</v>
      </c>
      <c r="AIL17" s="700">
        <f t="shared" si="892"/>
        <v>0.37823538782045818</v>
      </c>
      <c r="AIM17" s="593">
        <v>145420.24</v>
      </c>
      <c r="AIN17" s="593">
        <f>'Proy 2021 vs 2019 Sem'!KH16*$AIP$4</f>
        <v>92925.326780000003</v>
      </c>
      <c r="AIO17" s="735">
        <v>74315.92</v>
      </c>
      <c r="AIP17" s="700">
        <f t="shared" si="893"/>
        <v>0.51104247936875913</v>
      </c>
      <c r="AIQ17" s="579">
        <f t="shared" si="894"/>
        <v>631219.36</v>
      </c>
      <c r="AIR17" s="574">
        <f t="shared" si="895"/>
        <v>422387.84899999999</v>
      </c>
      <c r="AIS17" s="730">
        <f t="shared" si="896"/>
        <v>343424.22</v>
      </c>
      <c r="AIT17" s="711">
        <f t="shared" si="897"/>
        <v>0.54406477646693219</v>
      </c>
      <c r="AIU17" s="593">
        <f>'Proy 2021 vs 2019 Sem'!KL16*$AIX$4</f>
        <v>54359.395199999999</v>
      </c>
      <c r="AIV17" s="593">
        <f>'Proy 2021 vs 2019 Sem'!KM16*$AIX$4</f>
        <v>58164.552864000005</v>
      </c>
      <c r="AIW17" s="735">
        <v>102845.46</v>
      </c>
      <c r="AIX17" s="700">
        <f t="shared" si="898"/>
        <v>1.8919537206330068</v>
      </c>
      <c r="AIY17" s="593">
        <f>'Proy 2021 vs 2019 Sem'!KL16*$AJB$4</f>
        <v>54359.395199999999</v>
      </c>
      <c r="AIZ17" s="593">
        <f>'Proy 2021 vs 2019 Sem'!KM16*$AJB$4</f>
        <v>58164.552864000005</v>
      </c>
      <c r="AJA17" s="735">
        <v>79698.47</v>
      </c>
      <c r="AJB17" s="700">
        <f t="shared" si="899"/>
        <v>1.46613974836865</v>
      </c>
      <c r="AJC17" s="593">
        <f>'Proy 2021 vs 2019 Sem'!KL16*$AJF$4</f>
        <v>54359.395199999999</v>
      </c>
      <c r="AJD17" s="593">
        <f>'Proy 2021 vs 2019 Sem'!KM16*$AJF$4</f>
        <v>58164.552864000005</v>
      </c>
      <c r="AJE17" s="735">
        <v>85769.36</v>
      </c>
      <c r="AJF17" s="700">
        <f t="shared" si="900"/>
        <v>1.5778203507312016</v>
      </c>
      <c r="AJG17" s="593">
        <f>'Proy 2021 vs 2019 Sem'!KL16*$AJJ$4</f>
        <v>54359.395199999999</v>
      </c>
      <c r="AJH17" s="593">
        <f>'Proy 2021 vs 2019 Sem'!KM16*$AJJ$4</f>
        <v>58164.552864000005</v>
      </c>
      <c r="AJI17" s="735">
        <v>96735.08</v>
      </c>
      <c r="AJJ17" s="700">
        <f t="shared" si="901"/>
        <v>1.7795466569135046</v>
      </c>
      <c r="AJK17" s="593">
        <f>'Proy 2021 vs 2019 Sem'!KL16*$AJN$4</f>
        <v>63419.294400000006</v>
      </c>
      <c r="AJL17" s="593">
        <f>'Proy 2021 vs 2019 Sem'!KM16*$AJN$4</f>
        <v>67858.645008000007</v>
      </c>
      <c r="AJM17" s="735">
        <v>125424.23</v>
      </c>
      <c r="AJN17" s="700">
        <f t="shared" si="902"/>
        <v>1.9776982886141978</v>
      </c>
      <c r="AJO17" s="593">
        <f>'Proy 2021 vs 2019 Sem'!KL16*$AJR$4</f>
        <v>72479.193599999999</v>
      </c>
      <c r="AJP17" s="593">
        <f>'Proy 2021 vs 2019 Sem'!KM16*$AJR$4</f>
        <v>77552.737152000002</v>
      </c>
      <c r="AJQ17" s="735">
        <v>101308.08</v>
      </c>
      <c r="AJR17" s="700">
        <f t="shared" si="903"/>
        <v>1.3977539617659323</v>
      </c>
      <c r="AJS17" s="593">
        <f>'Proy 2021 vs 2019 Sem'!KL16*$AJV$4</f>
        <v>99658.891199999998</v>
      </c>
      <c r="AJT17" s="593">
        <f>'Proy 2021 vs 2019 Sem'!KM16*$AJV$4</f>
        <v>106635.013584</v>
      </c>
      <c r="AJU17" s="699">
        <v>0</v>
      </c>
      <c r="AJV17" s="700">
        <f t="shared" si="904"/>
        <v>0</v>
      </c>
      <c r="AJW17" s="579">
        <f t="shared" si="905"/>
        <v>452994.96</v>
      </c>
      <c r="AJX17" s="574">
        <f t="shared" si="906"/>
        <v>484704.60720000003</v>
      </c>
      <c r="AJY17" s="710">
        <f t="shared" si="907"/>
        <v>591780.67999999993</v>
      </c>
      <c r="AJZ17" s="711">
        <f t="shared" si="908"/>
        <v>1.3063736514861002</v>
      </c>
      <c r="AKA17" s="593">
        <f>'Proy 2021 vs 2019 Sem'!KQ16*$AKD$4</f>
        <v>18193.4604</v>
      </c>
      <c r="AKB17" s="593">
        <f>'Proy 2021 vs 2019 Sem'!KR16*$AKD$4</f>
        <v>13645.095299999999</v>
      </c>
      <c r="AKC17" s="735">
        <v>18187.22</v>
      </c>
      <c r="AKD17" s="700">
        <f t="shared" si="909"/>
        <v>0.99965699763196236</v>
      </c>
      <c r="AKE17" s="593">
        <f>'Proy 2021 vs 2019 Sem'!KQ16*$AKH$4</f>
        <v>18193.4604</v>
      </c>
      <c r="AKF17" s="593">
        <f>'Proy 2021 vs 2019 Sem'!KR16*$AKH$4</f>
        <v>13645.095299999999</v>
      </c>
      <c r="AKG17" s="735">
        <v>14597.3</v>
      </c>
      <c r="AKH17" s="700">
        <f t="shared" si="910"/>
        <v>0.80233774549013226</v>
      </c>
      <c r="AKI17" s="593">
        <f>'Proy 2021 vs 2019 Sem'!KQ16*$AKL$4</f>
        <v>18193.4604</v>
      </c>
      <c r="AKJ17" s="593">
        <f>'Proy 2021 vs 2019 Sem'!KR16*$AKL$4</f>
        <v>13645.095299999999</v>
      </c>
      <c r="AKK17" s="735">
        <v>13835.27</v>
      </c>
      <c r="AKL17" s="700">
        <f t="shared" si="911"/>
        <v>0.76045291526838954</v>
      </c>
      <c r="AKM17" s="593">
        <f>'Proy 2021 vs 2019 Sem'!KQ16*$AKP$4</f>
        <v>18193.4604</v>
      </c>
      <c r="AKN17" s="593">
        <f>'Proy 2021 vs 2019 Sem'!KR16*$AKP$4</f>
        <v>13645.095299999999</v>
      </c>
      <c r="AKO17" s="735">
        <v>14652.3</v>
      </c>
      <c r="AKP17" s="700">
        <f t="shared" si="912"/>
        <v>0.80536080975557567</v>
      </c>
      <c r="AKQ17" s="593">
        <f>'Proy 2021 vs 2019 Sem'!KQ16*$AKT$4</f>
        <v>21225.703800000003</v>
      </c>
      <c r="AKR17" s="593">
        <f>'Proy 2021 vs 2019 Sem'!KR16*$AKT$4</f>
        <v>15919.277850000002</v>
      </c>
      <c r="AKS17" s="735">
        <v>13990.88</v>
      </c>
      <c r="AKT17" s="700">
        <f t="shared" si="913"/>
        <v>0.65914799018348669</v>
      </c>
      <c r="AKU17" s="593">
        <f>'Proy 2021 vs 2019 Sem'!KQ16*$AKX$4</f>
        <v>24257.947200000002</v>
      </c>
      <c r="AKV17" s="593">
        <f>'Proy 2021 vs 2019 Sem'!KR16*$AKX$4</f>
        <v>18193.4604</v>
      </c>
      <c r="AKW17" s="735">
        <v>11338.43</v>
      </c>
      <c r="AKX17" s="700">
        <f t="shared" si="914"/>
        <v>0.46741094398952271</v>
      </c>
      <c r="AKY17" s="593">
        <f>'Proy 2021 vs 2019 Sem'!KQ16*$ALB$4</f>
        <v>33354.6774</v>
      </c>
      <c r="AKZ17" s="593">
        <f>'Proy 2021 vs 2019 Sem'!KR16*$ALB$4</f>
        <v>25016.00805</v>
      </c>
      <c r="ALA17" s="699">
        <v>0</v>
      </c>
      <c r="ALB17" s="700">
        <f>ALA17/AKY17</f>
        <v>0</v>
      </c>
      <c r="ALC17" s="579">
        <f t="shared" si="915"/>
        <v>151612.16999999998</v>
      </c>
      <c r="ALD17" s="574">
        <f t="shared" si="916"/>
        <v>113709.1275</v>
      </c>
      <c r="ALE17" s="710">
        <f t="shared" si="917"/>
        <v>86601.400000000023</v>
      </c>
      <c r="ALF17" s="711">
        <f t="shared" si="918"/>
        <v>0.57120348584153924</v>
      </c>
    </row>
    <row r="18" spans="2:994" ht="19.5" customHeight="1">
      <c r="B18" s="570" t="s">
        <v>20</v>
      </c>
      <c r="C18" s="574">
        <f>'Proy 2021 vs 2019 Sem'!DX17*$F$4</f>
        <v>7845.9203999999991</v>
      </c>
      <c r="D18" s="576">
        <f>'Proy 2021 vs 2019 Sem'!$DY$17*F4</f>
        <v>8005.2827333381038</v>
      </c>
      <c r="E18" s="735">
        <v>8486.7900000000009</v>
      </c>
      <c r="F18" s="700">
        <f t="shared" si="580"/>
        <v>1.0816818890999713</v>
      </c>
      <c r="G18" s="574">
        <f>'Proy 2021 vs 2019 Sem'!DX17*$J$4</f>
        <v>7845.9203999999991</v>
      </c>
      <c r="H18" s="574">
        <f>'Proy 2021 vs 2019 Sem'!$DY$17*J4</f>
        <v>8005.2827333381038</v>
      </c>
      <c r="I18" s="735">
        <v>10459.530000000001</v>
      </c>
      <c r="J18" s="700">
        <f t="shared" si="581"/>
        <v>1.3331170170933677</v>
      </c>
      <c r="K18" s="574">
        <f>'Proy 2021 vs 2019 Sem'!DX17*'Vtas Diarias 2021'!$N$4</f>
        <v>7845.9203999999991</v>
      </c>
      <c r="L18" s="574">
        <f>'Proy 2021 vs 2019 Sem'!$DY$17*N4</f>
        <v>8005.2827333381038</v>
      </c>
      <c r="M18" s="735">
        <v>9834.07</v>
      </c>
      <c r="N18" s="700">
        <f t="shared" si="582"/>
        <v>1.2533991550564292</v>
      </c>
      <c r="O18" s="574">
        <f>'Proy 2021 vs 2019 Sem'!DX17*$R$4</f>
        <v>7845.9203999999991</v>
      </c>
      <c r="P18" s="574">
        <f>'Proy 2021 vs 2019 Sem'!$DY$17*R4</f>
        <v>8005.2827333381038</v>
      </c>
      <c r="Q18" s="735">
        <v>4504.37</v>
      </c>
      <c r="R18" s="700">
        <f t="shared" si="583"/>
        <v>0.57410345381531025</v>
      </c>
      <c r="S18" s="574">
        <f>'Proy 2021 vs 2019 Sem'!DX17*$V$4</f>
        <v>9153.5738000000001</v>
      </c>
      <c r="T18" s="574">
        <f>'Proy 2021 vs 2019 Sem'!$DY$17*V4</f>
        <v>9339.4965222277897</v>
      </c>
      <c r="U18" s="735">
        <v>7050.4</v>
      </c>
      <c r="V18" s="700">
        <f t="shared" si="584"/>
        <v>0.77023468145305163</v>
      </c>
      <c r="W18" s="574">
        <f>'Proy 2021 vs 2019 Sem'!DX17*$Z$4</f>
        <v>10461.227199999999</v>
      </c>
      <c r="X18" s="574">
        <f>'Proy 2021 vs 2019 Sem'!$DY$17*Z4</f>
        <v>10673.710311117473</v>
      </c>
      <c r="Y18" s="735">
        <v>10038.82</v>
      </c>
      <c r="Z18" s="700">
        <f t="shared" si="585"/>
        <v>0.95962163980149484</v>
      </c>
      <c r="AA18" s="574">
        <f>'Proy 2021 vs 2019 Sem'!DX17*$AD$4</f>
        <v>14384.187399999999</v>
      </c>
      <c r="AB18" s="574">
        <f>'Proy 2021 vs 2019 Sem'!$DY$17*AD4</f>
        <v>14676.351677786524</v>
      </c>
      <c r="AC18" s="735">
        <v>18625.47</v>
      </c>
      <c r="AD18" s="700">
        <f t="shared" si="586"/>
        <v>1.2948572958664319</v>
      </c>
      <c r="AE18" s="579">
        <f t="shared" si="587"/>
        <v>65382.67</v>
      </c>
      <c r="AF18" s="574">
        <f t="shared" si="588"/>
        <v>66710.689444484204</v>
      </c>
      <c r="AG18" s="729">
        <f t="shared" si="589"/>
        <v>68999.450000000012</v>
      </c>
      <c r="AH18" s="711">
        <f t="shared" si="590"/>
        <v>1.0553171046700909</v>
      </c>
      <c r="AI18" s="593">
        <f>'Proy 2021 vs 2019 Sem'!EC17*$AL$4</f>
        <v>7073.0592000000006</v>
      </c>
      <c r="AJ18" s="611">
        <f>'Proy 2021 vs 2019 Sem'!ED17*$AL$4</f>
        <v>7073.0592000000006</v>
      </c>
      <c r="AK18" s="735">
        <v>6019.75</v>
      </c>
      <c r="AL18" s="700">
        <f t="shared" si="591"/>
        <v>0.85108152353652</v>
      </c>
      <c r="AM18" s="593">
        <f>'Proy 2021 vs 2019 Sem'!EC17*$AP$4</f>
        <v>7073.0592000000006</v>
      </c>
      <c r="AN18" s="593">
        <f>'Proy 2021 vs 2019 Sem'!ED17*$AP$4</f>
        <v>7073.0592000000006</v>
      </c>
      <c r="AO18" s="735">
        <v>12242.28</v>
      </c>
      <c r="AP18" s="700">
        <f t="shared" si="592"/>
        <v>1.7308323956909621</v>
      </c>
      <c r="AQ18" s="593">
        <f>'Proy 2021 vs 2019 Sem'!EC17*$AT$4</f>
        <v>7073.0592000000006</v>
      </c>
      <c r="AR18" s="593">
        <f>'Proy 2021 vs 2019 Sem'!ED17*$AT$4</f>
        <v>7073.0592000000006</v>
      </c>
      <c r="AS18" s="735">
        <v>10376.68</v>
      </c>
      <c r="AT18" s="700">
        <f t="shared" si="593"/>
        <v>1.4670709952491277</v>
      </c>
      <c r="AU18" s="593">
        <f>'Proy 2021 vs 2019 Sem'!EC17*$AX$4</f>
        <v>7073.0592000000006</v>
      </c>
      <c r="AV18" s="593">
        <f>'Proy 2021 vs 2019 Sem'!ED17*$AX$4</f>
        <v>7073.0592000000006</v>
      </c>
      <c r="AW18" s="735">
        <v>12444.28</v>
      </c>
      <c r="AX18" s="700">
        <f t="shared" si="594"/>
        <v>1.7593914667079273</v>
      </c>
      <c r="AY18" s="593">
        <f>'Proy 2021 vs 2019 Sem'!EC17*$BB$4</f>
        <v>8251.9024000000009</v>
      </c>
      <c r="AZ18" s="593">
        <f>'Proy 2021 vs 2019 Sem'!ED17*$BB$4</f>
        <v>8251.9024000000009</v>
      </c>
      <c r="BA18" s="735">
        <v>13310.73</v>
      </c>
      <c r="BB18" s="700">
        <f t="shared" si="595"/>
        <v>1.6130498586604707</v>
      </c>
      <c r="BC18" s="593">
        <f>'Proy 2021 vs 2019 Sem'!EC17*$BF$4</f>
        <v>9430.7456000000002</v>
      </c>
      <c r="BD18" s="593">
        <f>'Proy 2021 vs 2019 Sem'!ED17*$BF$4</f>
        <v>9430.7456000000002</v>
      </c>
      <c r="BE18" s="735">
        <v>9372.34</v>
      </c>
      <c r="BF18" s="700">
        <f t="shared" si="596"/>
        <v>0.99380689475920125</v>
      </c>
      <c r="BG18" s="593">
        <f>'Proy 2021 vs 2019 Sem'!EC17*$BJ$4</f>
        <v>12967.2752</v>
      </c>
      <c r="BH18" s="593">
        <f>'Proy 2021 vs 2019 Sem'!ED17*$BJ$4</f>
        <v>12967.2752</v>
      </c>
      <c r="BI18" s="735">
        <v>9936.06</v>
      </c>
      <c r="BJ18" s="700">
        <f t="shared" si="597"/>
        <v>0.76624116067190429</v>
      </c>
      <c r="BK18" s="579">
        <f t="shared" si="598"/>
        <v>58942.16</v>
      </c>
      <c r="BL18" s="574">
        <f t="shared" si="599"/>
        <v>58942.16</v>
      </c>
      <c r="BM18" s="730">
        <f t="shared" si="600"/>
        <v>73702.12</v>
      </c>
      <c r="BN18" s="711">
        <f t="shared" si="601"/>
        <v>1.2504143044639013</v>
      </c>
      <c r="BO18" s="593">
        <f>'Proy 2021 vs 2019 Sem'!EH17*$BR$4</f>
        <v>9302.7924000000003</v>
      </c>
      <c r="BP18" s="593">
        <f>'Proy 2021 vs 2019 Sem'!EI17*$BR$4</f>
        <v>6511.9546799999998</v>
      </c>
      <c r="BQ18" s="735">
        <v>7166.68</v>
      </c>
      <c r="BR18" s="700">
        <f t="shared" si="602"/>
        <v>0.77037944004856007</v>
      </c>
      <c r="BS18" s="593">
        <f>'Proy 2021 vs 2019 Sem'!EH17*$BV$4</f>
        <v>9302.7924000000003</v>
      </c>
      <c r="BT18" s="593">
        <f>'Proy 2021 vs 2019 Sem'!EI17*$BV$4</f>
        <v>6511.9546799999998</v>
      </c>
      <c r="BU18" s="735">
        <v>9780.75</v>
      </c>
      <c r="BV18" s="700">
        <f t="shared" si="603"/>
        <v>1.0513778637046656</v>
      </c>
      <c r="BW18" s="593">
        <f>'Proy 2021 vs 2019 Sem'!EH17*$BZ$4</f>
        <v>9302.7924000000003</v>
      </c>
      <c r="BX18" s="593">
        <f>'Proy 2021 vs 2019 Sem'!EI17*$BZ$4</f>
        <v>6511.9546799999998</v>
      </c>
      <c r="BY18" s="735">
        <v>10689.19</v>
      </c>
      <c r="BZ18" s="700">
        <f t="shared" si="604"/>
        <v>1.1490302632143012</v>
      </c>
      <c r="CA18" s="593">
        <f>'Proy 2021 vs 2019 Sem'!EH17*$CD$4</f>
        <v>9302.7924000000003</v>
      </c>
      <c r="CB18" s="593">
        <f>'Proy 2021 vs 2019 Sem'!EI17*$CD$4</f>
        <v>6511.9546799999998</v>
      </c>
      <c r="CC18" s="735">
        <v>8105.26</v>
      </c>
      <c r="CD18" s="700">
        <f t="shared" si="605"/>
        <v>0.87127172697092536</v>
      </c>
      <c r="CE18" s="593">
        <f>'Proy 2021 vs 2019 Sem'!EH17*$CH$4</f>
        <v>10853.257800000001</v>
      </c>
      <c r="CF18" s="593">
        <f>'Proy 2021 vs 2019 Sem'!EI17*$CH$4</f>
        <v>7597.2804599999999</v>
      </c>
      <c r="CG18" s="735">
        <v>11134.13</v>
      </c>
      <c r="CH18" s="700">
        <f t="shared" si="606"/>
        <v>1.0258790683107148</v>
      </c>
      <c r="CI18" s="593">
        <f>'Proy 2021 vs 2019 Sem'!EH17*$CL$4</f>
        <v>12403.7232</v>
      </c>
      <c r="CJ18" s="593">
        <f>'Proy 2021 vs 2019 Sem'!EI17*$CL$4</f>
        <v>8682.6062399999992</v>
      </c>
      <c r="CK18" s="735">
        <v>11191.61</v>
      </c>
      <c r="CL18" s="700">
        <f t="shared" si="607"/>
        <v>0.90227827721921428</v>
      </c>
      <c r="CM18" s="593">
        <f>'Proy 2021 vs 2019 Sem'!EH17*$CP$4</f>
        <v>17055.1194</v>
      </c>
      <c r="CN18" s="593">
        <f>'Proy 2021 vs 2019 Sem'!EI17*$CP$4</f>
        <v>11938.583579999999</v>
      </c>
      <c r="CO18" s="735">
        <v>22975.94</v>
      </c>
      <c r="CP18" s="700">
        <f t="shared" si="608"/>
        <v>1.3471579682989496</v>
      </c>
      <c r="CQ18" s="579">
        <f t="shared" si="609"/>
        <v>77523.27</v>
      </c>
      <c r="CR18" s="574">
        <f t="shared" si="610"/>
        <v>54266.288999999997</v>
      </c>
      <c r="CS18" s="730">
        <f t="shared" si="611"/>
        <v>81043.56</v>
      </c>
      <c r="CT18" s="711">
        <f t="shared" si="612"/>
        <v>1.0454094622169574</v>
      </c>
      <c r="CU18" s="593">
        <f>'Proy 2021 vs 2019 Sem'!EM17*$CX$4</f>
        <v>7327.1435999999994</v>
      </c>
      <c r="CV18" s="593">
        <f>'Proy 2021 vs 2019 Sem'!EN17*$CX$4</f>
        <v>5861.7148800000004</v>
      </c>
      <c r="CW18" s="735">
        <v>5790.4</v>
      </c>
      <c r="CX18" s="700">
        <f t="shared" si="613"/>
        <v>0.79026702847750929</v>
      </c>
      <c r="CY18" s="593">
        <f>'Proy 2021 vs 2019 Sem'!EM17*$DB$4</f>
        <v>7327.1435999999994</v>
      </c>
      <c r="CZ18" s="593">
        <f>'Proy 2021 vs 2019 Sem'!EN17*$DB$4</f>
        <v>5861.7148800000004</v>
      </c>
      <c r="DA18" s="735">
        <v>7725.28</v>
      </c>
      <c r="DB18" s="700">
        <f t="shared" si="614"/>
        <v>1.0543371908256309</v>
      </c>
      <c r="DC18" s="593">
        <f>'Proy 2021 vs 2019 Sem'!EM17*$DF$4</f>
        <v>7327.1435999999994</v>
      </c>
      <c r="DD18" s="593">
        <f>'Proy 2021 vs 2019 Sem'!EN17*$DF$4</f>
        <v>5861.7148800000004</v>
      </c>
      <c r="DE18" s="735">
        <v>6569.61</v>
      </c>
      <c r="DF18" s="700">
        <f t="shared" si="615"/>
        <v>0.89661269911510955</v>
      </c>
      <c r="DG18" s="593">
        <f>'Proy 2021 vs 2019 Sem'!EM17*$DJ$4</f>
        <v>7327.1435999999994</v>
      </c>
      <c r="DH18" s="593">
        <f>'Proy 2021 vs 2019 Sem'!EN17*$DJ$4</f>
        <v>5861.7148800000004</v>
      </c>
      <c r="DI18" s="735">
        <v>7334.49</v>
      </c>
      <c r="DJ18" s="700">
        <f t="shared" si="616"/>
        <v>1.0010026280909794</v>
      </c>
      <c r="DK18" s="593">
        <f>'Proy 2021 vs 2019 Sem'!EM17*$DN$4</f>
        <v>8548.3342000000011</v>
      </c>
      <c r="DL18" s="593">
        <f>'Proy 2021 vs 2019 Sem'!EN17*$DN$4</f>
        <v>6838.6673600000013</v>
      </c>
      <c r="DM18" s="735">
        <v>9334.1200000000008</v>
      </c>
      <c r="DN18" s="700">
        <f t="shared" si="617"/>
        <v>1.0919226812634442</v>
      </c>
      <c r="DO18" s="593">
        <f>'Proy 2021 vs 2019 Sem'!EM17*$DR$4</f>
        <v>9769.5247999999992</v>
      </c>
      <c r="DP18" s="593">
        <f>'Proy 2021 vs 2019 Sem'!EN17*$DR$4</f>
        <v>7815.6198400000003</v>
      </c>
      <c r="DQ18" s="735">
        <v>13779.54</v>
      </c>
      <c r="DR18" s="700">
        <f t="shared" si="618"/>
        <v>1.4104616429245362</v>
      </c>
      <c r="DS18" s="593">
        <f>'Proy 2021 vs 2019 Sem'!EM17*$DV$4</f>
        <v>13433.096599999999</v>
      </c>
      <c r="DT18" s="593">
        <f>'Proy 2021 vs 2019 Sem'!EN17*$DV$4</f>
        <v>10746.477280000001</v>
      </c>
      <c r="DU18" s="735">
        <v>14851.28</v>
      </c>
      <c r="DV18" s="700">
        <f t="shared" si="619"/>
        <v>1.1055738257700016</v>
      </c>
      <c r="DW18" s="579">
        <f t="shared" si="620"/>
        <v>61059.529999999992</v>
      </c>
      <c r="DX18" s="574">
        <f t="shared" si="621"/>
        <v>48847.624000000003</v>
      </c>
      <c r="DY18" s="710">
        <f t="shared" si="622"/>
        <v>65384.72</v>
      </c>
      <c r="DZ18" s="711">
        <f t="shared" si="623"/>
        <v>1.070835625495316</v>
      </c>
      <c r="EA18" s="593">
        <f>'Proy 2021 vs 2019 Sem'!ER17*$ED$4</f>
        <v>7790.1995999999999</v>
      </c>
      <c r="EB18" s="593">
        <f>'Proy 2021 vs 2019 Sem'!ES17*$ED$4</f>
        <v>5063.6297399999994</v>
      </c>
      <c r="EC18" s="735">
        <v>6330.41</v>
      </c>
      <c r="ED18" s="700">
        <f t="shared" si="624"/>
        <v>0.81261204141675647</v>
      </c>
      <c r="EE18" s="593">
        <f>'Proy 2021 vs 2019 Sem'!ER17*$EH$4</f>
        <v>7790.1995999999999</v>
      </c>
      <c r="EF18" s="593">
        <f>'Proy 2021 vs 2019 Sem'!ES17*$EH$4</f>
        <v>5063.6297399999994</v>
      </c>
      <c r="EG18" s="735">
        <v>5036.04</v>
      </c>
      <c r="EH18" s="700">
        <f t="shared" si="625"/>
        <v>0.64645840396695353</v>
      </c>
      <c r="EI18" s="593">
        <f>'Proy 2021 vs 2019 Sem'!ER17*$EL$4</f>
        <v>7790.1995999999999</v>
      </c>
      <c r="EJ18" s="593">
        <f>'Proy 2021 vs 2019 Sem'!ES17*$EL$4</f>
        <v>5063.6297399999994</v>
      </c>
      <c r="EK18" s="735">
        <v>6581.33</v>
      </c>
      <c r="EL18" s="700">
        <f t="shared" si="626"/>
        <v>0.84482174243648389</v>
      </c>
      <c r="EM18" s="593">
        <f>'Proy 2021 vs 2019 Sem'!ER17*$EP$4</f>
        <v>7790.1995999999999</v>
      </c>
      <c r="EN18" s="593">
        <f>'Proy 2021 vs 2019 Sem'!ES17*$EP$4</f>
        <v>5063.6297399999994</v>
      </c>
      <c r="EO18" s="735">
        <v>6511.26</v>
      </c>
      <c r="EP18" s="700">
        <f t="shared" si="627"/>
        <v>0.83582710769053981</v>
      </c>
      <c r="EQ18" s="593">
        <f>'Proy 2021 vs 2019 Sem'!ER17*$ET$4</f>
        <v>9088.5662000000011</v>
      </c>
      <c r="ER18" s="593">
        <f>'Proy 2021 vs 2019 Sem'!ES17*$ET$4</f>
        <v>5907.5680300000004</v>
      </c>
      <c r="ES18" s="735">
        <v>7810.41</v>
      </c>
      <c r="ET18" s="700">
        <f t="shared" si="628"/>
        <v>0.85936657423477847</v>
      </c>
      <c r="EU18" s="593">
        <f>'Proy 2021 vs 2019 Sem'!ER17*$EX$4</f>
        <v>10386.9328</v>
      </c>
      <c r="EV18" s="593">
        <f>'Proy 2021 vs 2019 Sem'!ES17*$EX$4</f>
        <v>6751.5063200000004</v>
      </c>
      <c r="EW18" s="735">
        <v>11500.38</v>
      </c>
      <c r="EX18" s="700">
        <f t="shared" si="629"/>
        <v>1.1071969195757192</v>
      </c>
      <c r="EY18" s="593">
        <f>'Proy 2021 vs 2019 Sem'!ER17*$FB$4</f>
        <v>14282.0326</v>
      </c>
      <c r="EZ18" s="593">
        <f>'Proy 2021 vs 2019 Sem'!ES17*$FB$4</f>
        <v>9283.3211900000006</v>
      </c>
      <c r="FA18" s="699">
        <v>12384.47</v>
      </c>
      <c r="FB18" s="700">
        <f t="shared" si="630"/>
        <v>0.86713637665271814</v>
      </c>
      <c r="FC18" s="579">
        <f t="shared" si="631"/>
        <v>64918.33</v>
      </c>
      <c r="FD18" s="574">
        <f t="shared" si="632"/>
        <v>42196.914499999999</v>
      </c>
      <c r="FE18" s="710">
        <f t="shared" si="633"/>
        <v>56154.3</v>
      </c>
      <c r="FF18" s="711">
        <f t="shared" si="634"/>
        <v>0.86499914584987014</v>
      </c>
      <c r="FG18" s="593">
        <f>'Proy 2021 vs 2019 Sem'!FA17*$FJ$4</f>
        <v>6395.0928000000004</v>
      </c>
      <c r="FH18" s="593">
        <f>'Proy 2021 vs 2019 Sem'!FB17*$FJ$4</f>
        <v>4476.5649599999997</v>
      </c>
      <c r="FI18" s="735">
        <v>7353.15</v>
      </c>
      <c r="FJ18" s="700">
        <f t="shared" si="635"/>
        <v>1.1498113053183527</v>
      </c>
      <c r="FK18" s="593">
        <f>'Proy 2021 vs 2019 Sem'!FA17*$FN$4</f>
        <v>6395.0928000000004</v>
      </c>
      <c r="FL18" s="593">
        <f>'Proy 2021 vs 2019 Sem'!FB17*$FN$4</f>
        <v>4476.5649599999997</v>
      </c>
      <c r="FM18" s="735">
        <v>8033.89</v>
      </c>
      <c r="FN18" s="700">
        <f t="shared" si="636"/>
        <v>1.2562585487422482</v>
      </c>
      <c r="FO18" s="593">
        <f>'Proy 2021 vs 2019 Sem'!FA17*$FR$4</f>
        <v>6395.0928000000004</v>
      </c>
      <c r="FP18" s="593">
        <f>'Proy 2021 vs 2019 Sem'!FB17*$FR$4</f>
        <v>4476.5649599999997</v>
      </c>
      <c r="FQ18" s="735">
        <v>7821.74</v>
      </c>
      <c r="FR18" s="700">
        <f t="shared" si="637"/>
        <v>1.22308467517469</v>
      </c>
      <c r="FS18" s="593">
        <f>'Proy 2021 vs 2019 Sem'!FA17*$FV$4</f>
        <v>6395.0928000000004</v>
      </c>
      <c r="FT18" s="593">
        <f>'Proy 2021 vs 2019 Sem'!FB17*$FV$4</f>
        <v>4476.5649599999997</v>
      </c>
      <c r="FU18" s="735">
        <v>11385.79</v>
      </c>
      <c r="FV18" s="700">
        <f t="shared" si="638"/>
        <v>1.7803948052169001</v>
      </c>
      <c r="FW18" s="593">
        <f>'Proy 2021 vs 2019 Sem'!FA17*$FZ$4</f>
        <v>7460.941600000001</v>
      </c>
      <c r="FX18" s="593">
        <f>'Proy 2021 vs 2019 Sem'!FB17*$FZ$4</f>
        <v>5222.6591200000003</v>
      </c>
      <c r="FY18" s="735">
        <v>8943.77</v>
      </c>
      <c r="FZ18" s="700">
        <f t="shared" si="639"/>
        <v>1.1987454773804957</v>
      </c>
      <c r="GA18" s="593">
        <f>'Proy 2021 vs 2019 Sem'!FA17*$GD$4</f>
        <v>8526.7903999999999</v>
      </c>
      <c r="GB18" s="593">
        <f>'Proy 2021 vs 2019 Sem'!FB17*$GD$4</f>
        <v>5968.7532799999999</v>
      </c>
      <c r="GC18" s="735">
        <v>9626.69</v>
      </c>
      <c r="GD18" s="700">
        <f t="shared" si="640"/>
        <v>1.1289933900568261</v>
      </c>
      <c r="GE18" s="593">
        <f>'Proy 2021 vs 2019 Sem'!FA17*$GH$4</f>
        <v>11724.336800000001</v>
      </c>
      <c r="GF18" s="593">
        <f>'Proy 2021 vs 2019 Sem'!FB17*$GH$4</f>
        <v>8207.0357600000007</v>
      </c>
      <c r="GG18" s="735">
        <v>14221.79</v>
      </c>
      <c r="GH18" s="700">
        <f t="shared" si="641"/>
        <v>1.2130144538324761</v>
      </c>
      <c r="GI18" s="579">
        <f t="shared" si="642"/>
        <v>53292.44</v>
      </c>
      <c r="GJ18" s="574">
        <f t="shared" si="643"/>
        <v>37304.707999999999</v>
      </c>
      <c r="GK18" s="759">
        <f t="shared" si="644"/>
        <v>67386.820000000007</v>
      </c>
      <c r="GL18" s="761">
        <f t="shared" si="645"/>
        <v>1.2644724092197694</v>
      </c>
      <c r="GM18" s="593">
        <f>'Proy 2021 vs 2019 Sem'!FF17*$GP$4</f>
        <v>7879.7315999999992</v>
      </c>
      <c r="GN18" s="593">
        <f>'Proy 2021 vs 2019 Sem'!FG17*$GP$4</f>
        <v>5673.406751999999</v>
      </c>
      <c r="GO18" s="735">
        <v>5965.59</v>
      </c>
      <c r="GP18" s="700">
        <f t="shared" si="646"/>
        <v>0.75708035537657159</v>
      </c>
      <c r="GQ18" s="593">
        <f>'Proy 2021 vs 2019 Sem'!FF17*$GT$4</f>
        <v>7879.7315999999992</v>
      </c>
      <c r="GR18" s="593">
        <f>'Proy 2021 vs 2019 Sem'!FG17*$GT$4</f>
        <v>5673.406751999999</v>
      </c>
      <c r="GS18" s="735">
        <v>9570</v>
      </c>
      <c r="GT18" s="700">
        <f t="shared" si="647"/>
        <v>1.2145083723410073</v>
      </c>
      <c r="GU18" s="593">
        <f>'Proy 2021 vs 2019 Sem'!FF17*$GX$4</f>
        <v>7879.7315999999992</v>
      </c>
      <c r="GV18" s="593">
        <f>'Proy 2021 vs 2019 Sem'!FG17*$GX$4</f>
        <v>5673.406751999999</v>
      </c>
      <c r="GW18" s="735">
        <v>8780.98</v>
      </c>
      <c r="GX18" s="700">
        <f t="shared" si="648"/>
        <v>1.1143755201002024</v>
      </c>
      <c r="GY18" s="593">
        <f>'Proy 2021 vs 2019 Sem'!FF17*$HB$4</f>
        <v>7879.7315999999992</v>
      </c>
      <c r="GZ18" s="593">
        <f>'Proy 2021 vs 2019 Sem'!FG17*$HB$4</f>
        <v>5673.406751999999</v>
      </c>
      <c r="HA18" s="735">
        <v>7174.8</v>
      </c>
      <c r="HB18" s="700">
        <f t="shared" si="649"/>
        <v>0.91053862799083174</v>
      </c>
      <c r="HC18" s="593">
        <f>'Proy 2021 vs 2019 Sem'!FF17*$HF$4</f>
        <v>9193.020199999999</v>
      </c>
      <c r="HD18" s="593">
        <f>'Proy 2021 vs 2019 Sem'!FG17*$HF$4</f>
        <v>6618.9745439999997</v>
      </c>
      <c r="HE18" s="735">
        <v>12072.49</v>
      </c>
      <c r="HF18" s="700">
        <f t="shared" si="650"/>
        <v>1.3132234823110691</v>
      </c>
      <c r="HG18" s="593">
        <f>'Proy 2021 vs 2019 Sem'!FF17*$HJ$4</f>
        <v>10506.308799999999</v>
      </c>
      <c r="HH18" s="593">
        <f>'Proy 2021 vs 2019 Sem'!FG17*$HJ$4</f>
        <v>7564.5423359999995</v>
      </c>
      <c r="HI18" s="735">
        <v>6966.23</v>
      </c>
      <c r="HJ18" s="700">
        <f t="shared" si="651"/>
        <v>0.6630520892361359</v>
      </c>
      <c r="HK18" s="593">
        <f>'Proy 2021 vs 2019 Sem'!FF17*$HN$4</f>
        <v>14446.174599999998</v>
      </c>
      <c r="HL18" s="593">
        <f>'Proy 2021 vs 2019 Sem'!FG17*$HN$4</f>
        <v>10401.245711999998</v>
      </c>
      <c r="HM18" s="735">
        <v>13771.33</v>
      </c>
      <c r="HN18" s="700">
        <f t="shared" si="652"/>
        <v>0.95328558468343594</v>
      </c>
      <c r="HO18" s="579">
        <f t="shared" si="653"/>
        <v>65664.429999999993</v>
      </c>
      <c r="HP18" s="574">
        <f t="shared" si="654"/>
        <v>47278.389599999995</v>
      </c>
      <c r="HQ18" s="765">
        <f t="shared" si="655"/>
        <v>64301.42</v>
      </c>
      <c r="HR18" s="761">
        <f t="shared" si="656"/>
        <v>0.97924279552872084</v>
      </c>
      <c r="HS18" s="593">
        <f>'Proy 2021 vs 2019 Sem'!FK17*$CX$4</f>
        <v>6907.3343999999997</v>
      </c>
      <c r="HT18" s="593">
        <f>'Proy 2021 vs 2019 Sem'!FL17*$CX$4</f>
        <v>5456.7941760000003</v>
      </c>
      <c r="HU18" s="735">
        <v>3524.53</v>
      </c>
      <c r="HV18" s="700">
        <f t="shared" si="657"/>
        <v>0.51025906607330318</v>
      </c>
      <c r="HW18" s="593">
        <f>'Proy 2021 vs 2019 Sem'!FK17*$DB$4</f>
        <v>6907.3343999999997</v>
      </c>
      <c r="HX18" s="593">
        <f>'Proy 2021 vs 2019 Sem'!FL17*$DB$4</f>
        <v>5456.7941760000003</v>
      </c>
      <c r="HY18" s="735">
        <v>9952.86</v>
      </c>
      <c r="HZ18" s="700">
        <f t="shared" si="658"/>
        <v>1.4409118516109487</v>
      </c>
      <c r="IA18" s="593">
        <f>'Proy 2021 vs 2019 Sem'!FK17*$DF$4</f>
        <v>6907.3343999999997</v>
      </c>
      <c r="IB18" s="593">
        <f>'Proy 2021 vs 2019 Sem'!FL17*$DF$4</f>
        <v>5456.7941760000003</v>
      </c>
      <c r="IC18" s="735">
        <v>8232.24</v>
      </c>
      <c r="ID18" s="700">
        <f t="shared" si="659"/>
        <v>1.1918114171510215</v>
      </c>
      <c r="IE18" s="593">
        <f>'Proy 2021 vs 2019 Sem'!FK17*$DJ$4</f>
        <v>6907.3343999999997</v>
      </c>
      <c r="IF18" s="593">
        <f>'Proy 2021 vs 2019 Sem'!FL17*$DJ$4</f>
        <v>5456.7941760000003</v>
      </c>
      <c r="IG18" s="735">
        <v>11392.07</v>
      </c>
      <c r="IH18" s="700">
        <f t="shared" si="660"/>
        <v>1.6492715337482431</v>
      </c>
      <c r="II18" s="593">
        <f>'Proy 2021 vs 2019 Sem'!FK17*$DN$4</f>
        <v>8058.5568000000012</v>
      </c>
      <c r="IJ18" s="593">
        <f>'Proy 2021 vs 2019 Sem'!FL17*$DN$4</f>
        <v>6366.2598720000005</v>
      </c>
      <c r="IK18" s="735">
        <v>6583.77</v>
      </c>
      <c r="IL18" s="700">
        <f t="shared" si="661"/>
        <v>0.81699120120366953</v>
      </c>
      <c r="IM18" s="593">
        <f>'Proy 2021 vs 2019 Sem'!FK17*$DR$4</f>
        <v>9209.7792000000009</v>
      </c>
      <c r="IN18" s="593">
        <f>'Proy 2021 vs 2019 Sem'!FL17*$DR$4</f>
        <v>7275.7255680000007</v>
      </c>
      <c r="IO18" s="1410">
        <v>10864.23</v>
      </c>
      <c r="IP18" s="700">
        <f t="shared" si="662"/>
        <v>1.1796406584861447</v>
      </c>
      <c r="IQ18" s="593">
        <f>'Proy 2021 vs 2019 Sem'!FK17*$IT$4</f>
        <v>12663.446400000001</v>
      </c>
      <c r="IR18" s="593">
        <f>'Proy 2021 vs 2019 Sem'!FL17*$IT$4</f>
        <v>10004.122656</v>
      </c>
      <c r="IS18" s="735">
        <v>10264.6</v>
      </c>
      <c r="IT18" s="700">
        <f t="shared" si="663"/>
        <v>0.81056923018997418</v>
      </c>
      <c r="IU18" s="579">
        <f t="shared" si="664"/>
        <v>57561.119999999995</v>
      </c>
      <c r="IV18" s="574">
        <f t="shared" si="665"/>
        <v>45473.284800000001</v>
      </c>
      <c r="IW18" s="765">
        <f t="shared" si="666"/>
        <v>60814.299999999996</v>
      </c>
      <c r="IX18" s="761">
        <f t="shared" si="667"/>
        <v>1.0565169683981133</v>
      </c>
      <c r="IY18" s="593">
        <f>'Proy 2021 vs 2019 Sem'!FP17*$JB$4</f>
        <v>6514.1747999999998</v>
      </c>
      <c r="IZ18" s="593">
        <f>'Proy 2021 vs 2019 Sem'!FQ17*$JB$4</f>
        <v>4950.7728479999996</v>
      </c>
      <c r="JA18" s="735">
        <v>8735.8799999999992</v>
      </c>
      <c r="JB18" s="700">
        <f t="shared" si="668"/>
        <v>1.3410570437870348</v>
      </c>
      <c r="JC18" s="593">
        <f>'Proy 2021 vs 2019 Sem'!FP17*$JF$4</f>
        <v>6514.1747999999998</v>
      </c>
      <c r="JD18" s="593">
        <f>'Proy 2021 vs 2019 Sem'!FQ17*$JF$4</f>
        <v>4950.7728479999996</v>
      </c>
      <c r="JE18" s="735">
        <v>10569.38</v>
      </c>
      <c r="JF18" s="700">
        <f t="shared" si="669"/>
        <v>1.6225201694004281</v>
      </c>
      <c r="JG18" s="593">
        <f>'Proy 2021 vs 2019 Sem'!FP17*$JJ$4</f>
        <v>6514.1747999999998</v>
      </c>
      <c r="JH18" s="593">
        <f>'Proy 2021 vs 2019 Sem'!FQ17*$JJ$4</f>
        <v>4950.7728479999996</v>
      </c>
      <c r="JI18" s="735">
        <v>8404.1299999999992</v>
      </c>
      <c r="JJ18" s="700">
        <f t="shared" si="670"/>
        <v>1.2901296415932835</v>
      </c>
      <c r="JK18" s="593">
        <f>'Proy 2021 vs 2019 Sem'!FP17*$JN$4</f>
        <v>6514.1747999999998</v>
      </c>
      <c r="JL18" s="593">
        <f>'Proy 2021 vs 2019 Sem'!FQ17*$JN$4</f>
        <v>4950.7728479999996</v>
      </c>
      <c r="JM18" s="735">
        <v>5806.36</v>
      </c>
      <c r="JN18" s="700">
        <f t="shared" si="671"/>
        <v>0.8913423692591117</v>
      </c>
      <c r="JO18" s="593">
        <f>'Proy 2021 vs 2019 Sem'!FP17*$JR$4</f>
        <v>7599.8706000000011</v>
      </c>
      <c r="JP18" s="593">
        <f>'Proy 2021 vs 2019 Sem'!FQ17*$JR$4</f>
        <v>5775.9016560000009</v>
      </c>
      <c r="JQ18" s="735">
        <v>8675.6</v>
      </c>
      <c r="JR18" s="700">
        <f t="shared" si="672"/>
        <v>1.1415457521079371</v>
      </c>
      <c r="JS18" s="593">
        <f>'Proy 2021 vs 2019 Sem'!FP17*$JV$4</f>
        <v>8685.5663999999997</v>
      </c>
      <c r="JT18" s="593">
        <f>'Proy 2021 vs 2019 Sem'!FQ17*$JV$4</f>
        <v>6601.0304640000004</v>
      </c>
      <c r="JU18" s="735">
        <v>10821.92</v>
      </c>
      <c r="JV18" s="700">
        <f t="shared" si="673"/>
        <v>1.2459659510518508</v>
      </c>
      <c r="JW18" s="593">
        <f>'Proy 2021 vs 2019 Sem'!FP17*$JZ$4</f>
        <v>11942.6538</v>
      </c>
      <c r="JX18" s="593">
        <f>'Proy 2021 vs 2019 Sem'!FQ17*$JZ$4</f>
        <v>9076.4168879999997</v>
      </c>
      <c r="JY18" s="735">
        <v>11812.78</v>
      </c>
      <c r="JZ18" s="700">
        <f t="shared" si="674"/>
        <v>0.98912521436399681</v>
      </c>
      <c r="KA18" s="579">
        <f t="shared" si="675"/>
        <v>54284.789999999994</v>
      </c>
      <c r="KB18" s="574">
        <f t="shared" si="676"/>
        <v>41256.440399999999</v>
      </c>
      <c r="KC18" s="770">
        <f t="shared" si="677"/>
        <v>64826.049999999996</v>
      </c>
      <c r="KD18" s="761">
        <f t="shared" si="678"/>
        <v>1.1941844115082696</v>
      </c>
      <c r="KE18" s="593">
        <f>'Proy 2021 vs 2019 Sem'!FY17*$KH$4</f>
        <v>7514.8499999999995</v>
      </c>
      <c r="KF18" s="593">
        <f>'Proy 2021 vs 2019 Sem'!FZ17*$KH$4</f>
        <v>5636.1374999999998</v>
      </c>
      <c r="KG18" s="735">
        <v>6164.22</v>
      </c>
      <c r="KH18" s="700">
        <f t="shared" si="679"/>
        <v>0.82027186171380673</v>
      </c>
      <c r="KI18" s="593">
        <f>'Proy 2021 vs 2019 Sem'!FY17*$KL$4</f>
        <v>7514.8499999999995</v>
      </c>
      <c r="KJ18" s="593">
        <f>'Proy 2021 vs 2019 Sem'!FZ17*$KL$4</f>
        <v>5636.1374999999998</v>
      </c>
      <c r="KK18" s="735">
        <v>8124.84</v>
      </c>
      <c r="KL18" s="700">
        <f t="shared" si="680"/>
        <v>1.0811712808638896</v>
      </c>
      <c r="KM18" s="593">
        <f>'Proy 2021 vs 2019 Sem'!FY17*$KP$4</f>
        <v>7514.8499999999995</v>
      </c>
      <c r="KN18" s="593">
        <f>'Proy 2021 vs 2019 Sem'!FZ17*$KP$4</f>
        <v>5636.1374999999998</v>
      </c>
      <c r="KO18" s="735">
        <v>5906.06</v>
      </c>
      <c r="KP18" s="700">
        <f t="shared" si="681"/>
        <v>0.7859185479417421</v>
      </c>
      <c r="KQ18" s="593">
        <f>'Proy 2021 vs 2019 Sem'!FY17*$KT$4</f>
        <v>7514.8499999999995</v>
      </c>
      <c r="KR18" s="593">
        <f>'Proy 2021 vs 2019 Sem'!FZ17*$KT$4</f>
        <v>5636.1374999999998</v>
      </c>
      <c r="KS18" s="735">
        <v>5442.52</v>
      </c>
      <c r="KT18" s="700">
        <f t="shared" si="682"/>
        <v>0.72423534734558914</v>
      </c>
      <c r="KU18" s="593">
        <f>'Proy 2021 vs 2019 Sem'!FY17*$KX$4</f>
        <v>8767.3250000000007</v>
      </c>
      <c r="KV18" s="593">
        <f>'Proy 2021 vs 2019 Sem'!FZ17*$KX$4</f>
        <v>6575.4937500000005</v>
      </c>
      <c r="KW18" s="735">
        <v>7606.7</v>
      </c>
      <c r="KX18" s="700">
        <f t="shared" si="683"/>
        <v>0.86761925672881968</v>
      </c>
      <c r="KY18" s="593">
        <f>'Proy 2021 vs 2019 Sem'!FY17*$LB$4</f>
        <v>10019.800000000001</v>
      </c>
      <c r="KZ18" s="593">
        <f>'Proy 2021 vs 2019 Sem'!FZ17*$LB$4</f>
        <v>7514.85</v>
      </c>
      <c r="LA18" s="735">
        <v>11077.33</v>
      </c>
      <c r="LB18" s="700">
        <f t="shared" si="684"/>
        <v>1.105544022834787</v>
      </c>
      <c r="LC18" s="593">
        <f>'Proy 2021 vs 2019 Sem'!FY17*$LF$4</f>
        <v>13777.225</v>
      </c>
      <c r="LD18" s="593">
        <f>'Proy 2021 vs 2019 Sem'!FZ17*$LF$4</f>
        <v>10332.918750000001</v>
      </c>
      <c r="LE18" s="735">
        <v>8619.25</v>
      </c>
      <c r="LF18" s="700">
        <f t="shared" si="685"/>
        <v>0.62561582611883015</v>
      </c>
      <c r="LG18" s="579">
        <f t="shared" si="686"/>
        <v>62623.75</v>
      </c>
      <c r="LH18" s="574">
        <f t="shared" si="687"/>
        <v>46967.8125</v>
      </c>
      <c r="LI18" s="793">
        <f t="shared" si="688"/>
        <v>52940.920000000006</v>
      </c>
      <c r="LJ18" s="786">
        <f t="shared" si="689"/>
        <v>0.84538086588554673</v>
      </c>
      <c r="LK18" s="593">
        <f>'Proy 2021 vs 2019 Sem'!GD17*$LN$4</f>
        <v>6180.0695999999998</v>
      </c>
      <c r="LL18" s="593">
        <f>'Proy 2021 vs 2019 Sem'!GE17*$LN$4</f>
        <v>5005.8563760000006</v>
      </c>
      <c r="LM18" s="735">
        <v>4870.7299999999996</v>
      </c>
      <c r="LN18" s="700">
        <f t="shared" si="690"/>
        <v>0.78813513685994729</v>
      </c>
      <c r="LO18" s="593">
        <f>'Proy 2021 vs 2019 Sem'!GD17*$LR$4</f>
        <v>6180.0695999999998</v>
      </c>
      <c r="LP18" s="593">
        <f>'Proy 2021 vs 2019 Sem'!GE17*$LR$4</f>
        <v>5005.8563760000006</v>
      </c>
      <c r="LQ18" s="735">
        <v>8147.99</v>
      </c>
      <c r="LR18" s="700">
        <f t="shared" si="691"/>
        <v>1.3184301354793804</v>
      </c>
      <c r="LS18" s="593">
        <f>'Proy 2021 vs 2019 Sem'!GD17*$LV$4</f>
        <v>6180.0695999999998</v>
      </c>
      <c r="LT18" s="593">
        <f>'Proy 2021 vs 2019 Sem'!GE17*$LV$4</f>
        <v>5005.8563760000006</v>
      </c>
      <c r="LU18" s="735">
        <v>6840.63</v>
      </c>
      <c r="LV18" s="700">
        <f t="shared" si="692"/>
        <v>1.1068855923564356</v>
      </c>
      <c r="LW18" s="593">
        <f>'Proy 2021 vs 2019 Sem'!GD17*$LZ$4</f>
        <v>6180.0695999999998</v>
      </c>
      <c r="LX18" s="593">
        <f>'Proy 2021 vs 2019 Sem'!GE17*$LZ$4</f>
        <v>5005.8563760000006</v>
      </c>
      <c r="LY18" s="735">
        <v>6782.19</v>
      </c>
      <c r="LZ18" s="700">
        <f t="shared" si="693"/>
        <v>1.0974293881738808</v>
      </c>
      <c r="MA18" s="593">
        <f>'Proy 2021 vs 2019 Sem'!GD17*$MD$4</f>
        <v>7210.0812000000005</v>
      </c>
      <c r="MB18" s="593">
        <f>'Proy 2021 vs 2019 Sem'!GE17*$MD$4</f>
        <v>5840.1657720000012</v>
      </c>
      <c r="MC18" s="735">
        <v>10832.05</v>
      </c>
      <c r="MD18" s="700">
        <f t="shared" si="694"/>
        <v>1.5023478515054725</v>
      </c>
      <c r="ME18" s="593">
        <f>'Proy 2021 vs 2019 Sem'!GD17*$MH$4</f>
        <v>8240.0928000000004</v>
      </c>
      <c r="MF18" s="593">
        <f>'Proy 2021 vs 2019 Sem'!GE17*$MH$4</f>
        <v>6674.4751680000008</v>
      </c>
      <c r="MG18" s="735">
        <v>9585.94</v>
      </c>
      <c r="MH18" s="700">
        <f t="shared" si="695"/>
        <v>1.163329131438908</v>
      </c>
      <c r="MI18" s="593">
        <f>'Proy 2021 vs 2019 Sem'!GD17*$ML$4</f>
        <v>11330.1276</v>
      </c>
      <c r="MJ18" s="593">
        <f>'Proy 2021 vs 2019 Sem'!GE17*$ML$4</f>
        <v>9177.4033560000007</v>
      </c>
      <c r="MK18" s="735">
        <v>12647.47</v>
      </c>
      <c r="ML18" s="700">
        <f t="shared" si="696"/>
        <v>1.1162689818250591</v>
      </c>
      <c r="MM18" s="579">
        <f t="shared" si="697"/>
        <v>51500.58</v>
      </c>
      <c r="MN18" s="574">
        <f t="shared" si="698"/>
        <v>41715.469800000006</v>
      </c>
      <c r="MO18" s="794">
        <f t="shared" si="699"/>
        <v>59707</v>
      </c>
      <c r="MP18" s="786">
        <f t="shared" si="700"/>
        <v>1.1593461665868616</v>
      </c>
      <c r="MQ18" s="593">
        <f>'Proy 2021 vs 2019 Sem'!GI17*$MT$4</f>
        <v>7123.4855999999991</v>
      </c>
      <c r="MR18" s="593">
        <f>'Proy 2021 vs 2019 Sem'!GJ17*$MT$4</f>
        <v>5698.7884800000002</v>
      </c>
      <c r="MS18" s="735">
        <v>4362.62</v>
      </c>
      <c r="MT18" s="700">
        <f t="shared" si="701"/>
        <v>0.61242771375855665</v>
      </c>
      <c r="MU18" s="593">
        <f>'Proy 2021 vs 2019 Sem'!GI17*$MX$4</f>
        <v>7123.4855999999991</v>
      </c>
      <c r="MV18" s="593">
        <f>'Proy 2021 vs 2019 Sem'!GJ17*$MX$4</f>
        <v>5698.7884800000002</v>
      </c>
      <c r="MW18" s="735">
        <v>8771.35</v>
      </c>
      <c r="MX18" s="700">
        <f t="shared" si="702"/>
        <v>1.2313283822739813</v>
      </c>
      <c r="MY18" s="593">
        <f>'Proy 2021 vs 2019 Sem'!GI17*$NB$4</f>
        <v>7123.4855999999991</v>
      </c>
      <c r="MZ18" s="593">
        <f>'Proy 2021 vs 2019 Sem'!GJ17*$NB$4</f>
        <v>5698.7884800000002</v>
      </c>
      <c r="NA18" s="735">
        <v>5745.25</v>
      </c>
      <c r="NB18" s="700">
        <f t="shared" si="703"/>
        <v>0.80652230138571501</v>
      </c>
      <c r="NC18" s="593">
        <f>'Proy 2021 vs 2019 Sem'!GI17*$NF$4</f>
        <v>7123.4855999999991</v>
      </c>
      <c r="ND18" s="593">
        <f>'Proy 2021 vs 2019 Sem'!GJ17*$NF$4</f>
        <v>5698.7884800000002</v>
      </c>
      <c r="NE18" s="735">
        <v>6899.81</v>
      </c>
      <c r="NF18" s="700">
        <f t="shared" si="704"/>
        <v>0.96860025940110006</v>
      </c>
      <c r="NG18" s="593">
        <f>'Proy 2021 vs 2019 Sem'!GI17*$NJ$4</f>
        <v>8310.7332000000006</v>
      </c>
      <c r="NH18" s="593">
        <f>'Proy 2021 vs 2019 Sem'!GJ17*$NJ$4</f>
        <v>6648.5865600000006</v>
      </c>
      <c r="NI18" s="735">
        <v>6289.56</v>
      </c>
      <c r="NJ18" s="700">
        <f t="shared" si="705"/>
        <v>0.75679965276709882</v>
      </c>
      <c r="NK18" s="593">
        <f>'Proy 2021 vs 2019 Sem'!GI17*$NN$4</f>
        <v>9497.9807999999994</v>
      </c>
      <c r="NL18" s="593">
        <f>'Proy 2021 vs 2019 Sem'!GJ17*$NN$4</f>
        <v>7598.3846400000002</v>
      </c>
      <c r="NM18" s="735">
        <v>8375.1200000000008</v>
      </c>
      <c r="NN18" s="700">
        <f t="shared" si="706"/>
        <v>0.88177899875308252</v>
      </c>
      <c r="NO18" s="593">
        <f>'Proy 2021 vs 2019 Sem'!GI17*$NR$4</f>
        <v>13059.723599999999</v>
      </c>
      <c r="NP18" s="593">
        <f>'Proy 2021 vs 2019 Sem'!GJ17*$NR$4</f>
        <v>10447.77888</v>
      </c>
      <c r="NQ18" s="735">
        <v>12318.88</v>
      </c>
      <c r="NR18" s="700">
        <f t="shared" si="707"/>
        <v>0.94327264322806947</v>
      </c>
      <c r="NS18" s="579">
        <f t="shared" si="708"/>
        <v>59362.37999999999</v>
      </c>
      <c r="NT18" s="574">
        <f t="shared" si="709"/>
        <v>47489.903999999995</v>
      </c>
      <c r="NU18" s="794">
        <f t="shared" si="710"/>
        <v>52762.590000000004</v>
      </c>
      <c r="NV18" s="786">
        <f t="shared" si="711"/>
        <v>0.88882201151638485</v>
      </c>
      <c r="NW18" s="593">
        <f>'Proy 2021 vs 2019 Sem'!GN17*$NZ$4</f>
        <v>6425.3219999999992</v>
      </c>
      <c r="NX18" s="593">
        <f>'Proy 2021 vs 2019 Sem'!GO17*$NZ$4</f>
        <v>7657.7596800000001</v>
      </c>
      <c r="NY18" s="735">
        <v>3648.13</v>
      </c>
      <c r="NZ18" s="700">
        <f t="shared" si="712"/>
        <v>0.56777387965926074</v>
      </c>
      <c r="OA18" s="593">
        <f>'Proy 2021 vs 2019 Sem'!GN17*$OD$4</f>
        <v>6425.3219999999992</v>
      </c>
      <c r="OB18" s="593">
        <f>'Proy 2021 vs 2019 Sem'!GO17*$OD$4</f>
        <v>7657.7596800000001</v>
      </c>
      <c r="OC18" s="735">
        <v>8129.13</v>
      </c>
      <c r="OD18" s="700">
        <f t="shared" si="713"/>
        <v>1.2651708350180739</v>
      </c>
      <c r="OE18" s="593">
        <f>'Proy 2021 vs 2019 Sem'!GN17*$OH$4</f>
        <v>6425.3219999999992</v>
      </c>
      <c r="OF18" s="593">
        <f>'Proy 2021 vs 2019 Sem'!GO17*$OH$4</f>
        <v>7657.7596800000001</v>
      </c>
      <c r="OG18" s="735">
        <v>6602.11</v>
      </c>
      <c r="OH18" s="700">
        <f t="shared" si="714"/>
        <v>1.0275142630984098</v>
      </c>
      <c r="OI18" s="593">
        <f>'Proy 2021 vs 2019 Sem'!GN17*$OL$4</f>
        <v>6425.3219999999992</v>
      </c>
      <c r="OJ18" s="593">
        <f>'Proy 2021 vs 2019 Sem'!GO17*$OL$4</f>
        <v>7657.7596800000001</v>
      </c>
      <c r="OK18" s="735">
        <v>5000.84</v>
      </c>
      <c r="OL18" s="700">
        <f t="shared" si="715"/>
        <v>0.77830185008626818</v>
      </c>
      <c r="OM18" s="593">
        <f>'Proy 2021 vs 2019 Sem'!GN17*$OP$4</f>
        <v>7496.2090000000007</v>
      </c>
      <c r="ON18" s="593">
        <f>'Proy 2021 vs 2019 Sem'!GO17*$OP$4</f>
        <v>8934.0529600000009</v>
      </c>
      <c r="OO18" s="735">
        <v>9947.3700000000008</v>
      </c>
      <c r="OP18" s="700">
        <f t="shared" si="716"/>
        <v>1.3269867475680039</v>
      </c>
      <c r="OQ18" s="593">
        <f>'Proy 2021 vs 2019 Sem'!GN17*$JV$4</f>
        <v>8567.0959999999995</v>
      </c>
      <c r="OR18" s="593">
        <f>'Proy 2021 vs 2019 Sem'!GO17*$JV$4</f>
        <v>10210.346240000001</v>
      </c>
      <c r="OS18" s="735">
        <v>11854.49</v>
      </c>
      <c r="OT18" s="700">
        <f t="shared" si="717"/>
        <v>1.3837232593168094</v>
      </c>
      <c r="OU18" s="593">
        <f>'Proy 2021 vs 2019 Sem'!GN17*$OX$4</f>
        <v>11779.757</v>
      </c>
      <c r="OV18" s="593">
        <f>'Proy 2021 vs 2019 Sem'!GO17*$OX$4</f>
        <v>14039.22608</v>
      </c>
      <c r="OW18" s="735">
        <v>19692.72</v>
      </c>
      <c r="OX18" s="700">
        <f t="shared" si="718"/>
        <v>1.6717424646365797</v>
      </c>
      <c r="OY18" s="579">
        <f t="shared" si="719"/>
        <v>53544.349999999991</v>
      </c>
      <c r="OZ18" s="574">
        <f t="shared" si="720"/>
        <v>63814.663999999997</v>
      </c>
      <c r="PA18" s="785">
        <f t="shared" si="721"/>
        <v>64874.79</v>
      </c>
      <c r="PB18" s="786">
        <f t="shared" si="722"/>
        <v>1.2116085077136993</v>
      </c>
      <c r="PC18" s="593">
        <f>'Proy 2021 vs 2019 Sem'!GW17*$PF$4</f>
        <v>5908.92</v>
      </c>
      <c r="PD18" s="593">
        <f>'Proy 2021 vs 2019 Sem'!GX17*$PF$4</f>
        <v>7909.8335999999999</v>
      </c>
      <c r="PE18" s="735">
        <v>9216.07</v>
      </c>
      <c r="PF18" s="700">
        <f t="shared" si="723"/>
        <v>1.5596877263527007</v>
      </c>
      <c r="PG18" s="593">
        <f>'Proy 2021 vs 2019 Sem'!GW17*$PJ$4</f>
        <v>5908.92</v>
      </c>
      <c r="PH18" s="593">
        <f>'Proy 2021 vs 2019 Sem'!GX17*$PJ$4</f>
        <v>7909.8335999999999</v>
      </c>
      <c r="PI18" s="735">
        <v>11149.24</v>
      </c>
      <c r="PJ18" s="700">
        <f t="shared" si="724"/>
        <v>1.8868490350182436</v>
      </c>
      <c r="PK18" s="593">
        <f>'Proy 2021 vs 2019 Sem'!GW17*'Vtas Diarias 2021'!$PN$4</f>
        <v>5908.92</v>
      </c>
      <c r="PL18" s="593">
        <f>'Proy 2021 vs 2019 Sem'!GX17*'Vtas Diarias 2021'!$PN$4</f>
        <v>7909.8335999999999</v>
      </c>
      <c r="PM18" s="735">
        <v>8653.5300000000007</v>
      </c>
      <c r="PN18" s="700">
        <f t="shared" si="725"/>
        <v>1.4644858958997584</v>
      </c>
      <c r="PO18" s="593">
        <f>'Proy 2021 vs 2019 Sem'!GW17*$PR$4</f>
        <v>5908.92</v>
      </c>
      <c r="PP18" s="593">
        <f>'Proy 2021 vs 2019 Sem'!GX17*$PR$4</f>
        <v>7909.8335999999999</v>
      </c>
      <c r="PQ18" s="735">
        <v>7505.67</v>
      </c>
      <c r="PR18" s="700">
        <f t="shared" si="726"/>
        <v>1.2702270465668852</v>
      </c>
      <c r="PS18" s="593">
        <f>'Proy 2021 vs 2019 Sem'!GW17*$PV$4</f>
        <v>6893.7400000000007</v>
      </c>
      <c r="PT18" s="593">
        <f>'Proy 2021 vs 2019 Sem'!GX17*$PV$4</f>
        <v>9228.1392000000014</v>
      </c>
      <c r="PU18" s="735">
        <v>6601.08</v>
      </c>
      <c r="PV18" s="700">
        <f t="shared" si="727"/>
        <v>0.95754699190860104</v>
      </c>
      <c r="PW18" s="593">
        <f>'Proy 2021 vs 2019 Sem'!GW17*PZ$4</f>
        <v>7878.56</v>
      </c>
      <c r="PX18" s="593">
        <f>'Proy 2021 vs 2019 Sem'!GX17*$PZ$4</f>
        <v>10546.444799999999</v>
      </c>
      <c r="PY18" s="735">
        <v>6573.72</v>
      </c>
      <c r="PZ18" s="700">
        <f t="shared" si="728"/>
        <v>0.83438090209378357</v>
      </c>
      <c r="QA18" s="593">
        <f>'Proy 2021 vs 2019 Sem'!GW17*$QD$4</f>
        <v>10833.02</v>
      </c>
      <c r="QB18" s="593">
        <f>'Proy 2021 vs 2019 Sem'!GX17*$QD$4</f>
        <v>14501.3616</v>
      </c>
      <c r="QC18" s="735">
        <v>12694.37</v>
      </c>
      <c r="QD18" s="700">
        <f t="shared" si="729"/>
        <v>1.1718218926947426</v>
      </c>
      <c r="QE18" s="579">
        <f t="shared" si="730"/>
        <v>49241</v>
      </c>
      <c r="QF18" s="574">
        <f t="shared" si="731"/>
        <v>65915.28</v>
      </c>
      <c r="QG18" s="729">
        <f t="shared" si="732"/>
        <v>62393.68</v>
      </c>
      <c r="QH18" s="711">
        <f t="shared" si="733"/>
        <v>1.2671083040555635</v>
      </c>
      <c r="QI18" s="578">
        <f>'Proy 2021 vs 2019 Sem'!HB17*$QL$4</f>
        <v>6225.4703999999992</v>
      </c>
      <c r="QJ18" s="611">
        <f>'Proy 2021 vs 2019 Sem'!UG17*$AL$4</f>
        <v>0</v>
      </c>
      <c r="QK18" s="735">
        <v>6523.92</v>
      </c>
      <c r="QL18" s="700">
        <f t="shared" si="734"/>
        <v>1.0479400881899625</v>
      </c>
      <c r="QM18" s="593">
        <f>'Proy 2021 vs 2019 Sem'!HB17*$QP$4</f>
        <v>6225.4703999999992</v>
      </c>
      <c r="QN18" s="593">
        <f>'Proy 2021 vs 2019 Sem'!UG17*$AP$4</f>
        <v>0</v>
      </c>
      <c r="QO18" s="735">
        <v>8123.15</v>
      </c>
      <c r="QP18" s="700">
        <f t="shared" si="735"/>
        <v>1.3048250940202046</v>
      </c>
      <c r="QQ18" s="593">
        <f>'Proy 2021 vs 2019 Sem'!HB17*$QT$4</f>
        <v>6225.4703999999992</v>
      </c>
      <c r="QR18" s="593">
        <f>'Proy 2021 vs 2019 Sem'!HC17*$QT$4</f>
        <v>7240.12626</v>
      </c>
      <c r="QS18" s="735">
        <v>6110.62</v>
      </c>
      <c r="QT18" s="700">
        <f t="shared" si="736"/>
        <v>0.9815515306281114</v>
      </c>
      <c r="QU18" s="593">
        <f>'Proy 2021 vs 2019 Sem'!HB17*$QX$4</f>
        <v>6225.4703999999992</v>
      </c>
      <c r="QV18" s="593">
        <f>'Proy 2021 vs 2019 Sem'!HC17*$QX$4</f>
        <v>7240.12626</v>
      </c>
      <c r="QW18" s="735">
        <v>5951.29</v>
      </c>
      <c r="QX18" s="700">
        <f t="shared" si="737"/>
        <v>0.95595828389128645</v>
      </c>
      <c r="QY18" s="593">
        <f>'Proy 2021 vs 2019 Sem'!HB17*$RB$4</f>
        <v>7263.0488000000005</v>
      </c>
      <c r="QZ18" s="593">
        <f>'Proy 2021 vs 2019 Sem'!HC17*$RB$4</f>
        <v>8446.8139700000011</v>
      </c>
      <c r="RA18" s="735">
        <v>6820.59</v>
      </c>
      <c r="RB18" s="700">
        <f t="shared" si="738"/>
        <v>0.93908084439691497</v>
      </c>
      <c r="RC18" s="593">
        <f>'Proy 2021 vs 2019 Sem'!HB17*$RF$4</f>
        <v>8300.627199999999</v>
      </c>
      <c r="RD18" s="593">
        <f>'Proy 2021 vs 2019 Sem'!HC17*$RF$4</f>
        <v>9653.5016800000012</v>
      </c>
      <c r="RE18" s="735">
        <v>5273.46</v>
      </c>
      <c r="RF18" s="700">
        <f t="shared" si="739"/>
        <v>0.63530861860655552</v>
      </c>
      <c r="RG18" s="593">
        <f>'Proy 2021 vs 2019 Sem'!HB17*$RJ$4</f>
        <v>11413.3624</v>
      </c>
      <c r="RH18" s="593">
        <f>'Proy 2021 vs 2019 Sem'!HC17*$RJ$4</f>
        <v>13273.564810000002</v>
      </c>
      <c r="RI18" s="735">
        <v>13176.94</v>
      </c>
      <c r="RJ18" s="700">
        <f t="shared" si="740"/>
        <v>1.1545186719033824</v>
      </c>
      <c r="RK18" s="579">
        <f t="shared" si="741"/>
        <v>51878.92</v>
      </c>
      <c r="RL18" s="574">
        <f t="shared" si="742"/>
        <v>45854.132980000002</v>
      </c>
      <c r="RM18" s="730">
        <f t="shared" si="743"/>
        <v>51979.97</v>
      </c>
      <c r="RN18" s="711">
        <f t="shared" si="744"/>
        <v>1.0019478046189088</v>
      </c>
      <c r="RO18" s="593">
        <f>'Proy 2021 vs 2019 Sem'!HG17*$RR$4</f>
        <v>5839.9236000000001</v>
      </c>
      <c r="RP18" s="593">
        <f>'Proy 2021 vs 2019 Sem'!HH17*$RR$4</f>
        <v>6704.0744400000003</v>
      </c>
      <c r="RQ18" s="735">
        <v>4170.82</v>
      </c>
      <c r="RR18" s="700">
        <f t="shared" si="745"/>
        <v>0.71419085003098326</v>
      </c>
      <c r="RS18" s="593">
        <f>'Proy 2021 vs 2019 Sem'!HG17*$RV$4</f>
        <v>5839.9236000000001</v>
      </c>
      <c r="RT18" s="593">
        <f>'Proy 2021 vs 2019 Sem'!HH17*$RV$4</f>
        <v>6704.0744400000003</v>
      </c>
      <c r="RU18" s="735">
        <v>6319.3</v>
      </c>
      <c r="RV18" s="700">
        <f t="shared" si="746"/>
        <v>1.0820860738657609</v>
      </c>
      <c r="RW18" s="593">
        <f>'Proy 2021 vs 2019 Sem'!HG17*$RZ$4</f>
        <v>5839.9236000000001</v>
      </c>
      <c r="RX18" s="593">
        <f>'Proy 2021 vs 2019 Sem'!HH17*$RZ$4</f>
        <v>6704.0744400000003</v>
      </c>
      <c r="RY18" s="735">
        <v>6728.51</v>
      </c>
      <c r="RZ18" s="700">
        <f t="shared" si="747"/>
        <v>1.1521571960290713</v>
      </c>
      <c r="SA18" s="593">
        <f>'Proy 2021 vs 2019 Sem'!HG17*$SD$4</f>
        <v>5839.9236000000001</v>
      </c>
      <c r="SB18" s="593">
        <f>'Proy 2021 vs 2019 Sem'!HH17*$SD$4</f>
        <v>6704.0744400000003</v>
      </c>
      <c r="SC18" s="735">
        <v>7178.18</v>
      </c>
      <c r="SD18" s="700">
        <f t="shared" si="748"/>
        <v>1.2291564910198483</v>
      </c>
      <c r="SE18" s="593">
        <f>'Proy 2021 vs 2019 Sem'!HG17*$SH$4</f>
        <v>6813.2442000000001</v>
      </c>
      <c r="SF18" s="593">
        <f>'Proy 2021 vs 2019 Sem'!HH17*$SH$4</f>
        <v>7821.420180000001</v>
      </c>
      <c r="SG18" s="735">
        <v>7275.67</v>
      </c>
      <c r="SH18" s="700">
        <f t="shared" si="749"/>
        <v>1.0678716021950307</v>
      </c>
      <c r="SI18" s="593">
        <f>'Proy 2021 vs 2019 Sem'!HG17*$SL$4</f>
        <v>7786.5648000000001</v>
      </c>
      <c r="SJ18" s="593">
        <f>'Proy 2021 vs 2019 Sem'!HH17*$SL$4</f>
        <v>8938.7659200000016</v>
      </c>
      <c r="SK18" s="735">
        <v>9392.4599999999991</v>
      </c>
      <c r="SL18" s="700">
        <f t="shared" si="750"/>
        <v>1.2062392391571697</v>
      </c>
      <c r="SM18" s="593">
        <f>'Proy 2021 vs 2019 Sem'!HG17*$SP$4</f>
        <v>10706.526599999999</v>
      </c>
      <c r="SN18" s="593">
        <f>'Proy 2021 vs 2019 Sem'!HH17*$SP$4</f>
        <v>12290.803140000002</v>
      </c>
      <c r="SO18" s="735">
        <v>6659.54</v>
      </c>
      <c r="SP18" s="700">
        <f t="shared" si="751"/>
        <v>0.62200751455658831</v>
      </c>
      <c r="SQ18" s="579">
        <f t="shared" si="752"/>
        <v>48666.03</v>
      </c>
      <c r="SR18" s="574">
        <f t="shared" si="753"/>
        <v>55867.287000000011</v>
      </c>
      <c r="SS18" s="730">
        <f t="shared" si="754"/>
        <v>47724.479999999996</v>
      </c>
      <c r="ST18" s="711">
        <f t="shared" si="755"/>
        <v>0.98065282908838047</v>
      </c>
      <c r="SU18" s="593">
        <f>'Proy 2021 vs 2019 Sem'!HL17*$SX$4</f>
        <v>4639.8180000000002</v>
      </c>
      <c r="SV18" s="593">
        <f>'Proy 2021 vs 2019 Sem'!HM17*$SX$4</f>
        <v>6640.9012139999986</v>
      </c>
      <c r="SW18" s="735">
        <v>5453.55</v>
      </c>
      <c r="SX18" s="700">
        <f t="shared" si="756"/>
        <v>1.175380154997459</v>
      </c>
      <c r="SY18" s="593">
        <f>'Proy 2021 vs 2019 Sem'!HL17*$TB$4</f>
        <v>4639.8180000000002</v>
      </c>
      <c r="SZ18" s="593">
        <f>'Proy 2021 vs 2019 Sem'!HM17*$TB$4</f>
        <v>6640.9012139999986</v>
      </c>
      <c r="TA18" s="735">
        <v>6272.09</v>
      </c>
      <c r="TB18" s="700">
        <f t="shared" si="757"/>
        <v>1.351796557537386</v>
      </c>
      <c r="TC18" s="593">
        <f>'Proy 2021 vs 2019 Sem'!HL17*$TF$4</f>
        <v>4639.8180000000002</v>
      </c>
      <c r="TD18" s="593">
        <f>'Proy 2021 vs 2019 Sem'!HM17*$TF$4</f>
        <v>6640.9012139999986</v>
      </c>
      <c r="TE18" s="735">
        <v>5758.94</v>
      </c>
      <c r="TF18" s="700">
        <f t="shared" si="758"/>
        <v>1.2411995470511989</v>
      </c>
      <c r="TG18" s="593">
        <f>'Proy 2021 vs 2019 Sem'!HL17*$TJ$4</f>
        <v>4639.8180000000002</v>
      </c>
      <c r="TH18" s="593">
        <f>'Proy 2021 vs 2019 Sem'!HM17*$TJ$4</f>
        <v>6640.9012139999986</v>
      </c>
      <c r="TI18" s="735">
        <v>3072.33</v>
      </c>
      <c r="TJ18" s="700">
        <f t="shared" si="759"/>
        <v>0.66216605909973192</v>
      </c>
      <c r="TK18" s="593">
        <f>'Proy 2021 vs 2019 Sem'!HL17*$TN$4</f>
        <v>5413.121000000001</v>
      </c>
      <c r="TL18" s="593">
        <f>'Proy 2021 vs 2019 Sem'!HM17*$TN$4</f>
        <v>7747.7180829999998</v>
      </c>
      <c r="TM18" s="735">
        <v>4394.21</v>
      </c>
      <c r="TN18" s="700">
        <f t="shared" si="760"/>
        <v>0.81177014147660831</v>
      </c>
      <c r="TO18" s="593">
        <f>'Proy 2021 vs 2019 Sem'!HL17*$TR$4</f>
        <v>6186.424</v>
      </c>
      <c r="TP18" s="611">
        <f>'Proy 2021 vs 2019 Sem'!HM17*$TR$4</f>
        <v>8854.534952</v>
      </c>
      <c r="TQ18" s="735">
        <v>5338.56</v>
      </c>
      <c r="TR18" s="700">
        <f t="shared" si="761"/>
        <v>0.86294764148076508</v>
      </c>
      <c r="TS18" s="593">
        <f>'Proy 2021 vs 2019 Sem'!HL17*$TV$4</f>
        <v>8506.3330000000005</v>
      </c>
      <c r="TT18" s="593">
        <f>'Proy 2021 vs 2019 Sem'!HM17*$TV$4</f>
        <v>12174.985558999999</v>
      </c>
      <c r="TU18" s="735">
        <v>10390.65</v>
      </c>
      <c r="TV18" s="700">
        <f t="shared" si="762"/>
        <v>1.2215193080261493</v>
      </c>
      <c r="TW18" s="579">
        <f t="shared" si="763"/>
        <v>38665.15</v>
      </c>
      <c r="TX18" s="574">
        <f t="shared" si="764"/>
        <v>55340.843449999993</v>
      </c>
      <c r="TY18" s="710">
        <f t="shared" si="765"/>
        <v>40680.329999999994</v>
      </c>
      <c r="TZ18" s="711">
        <f t="shared" si="766"/>
        <v>1.0521187684516935</v>
      </c>
      <c r="UA18" s="593">
        <v>9846.7999999999993</v>
      </c>
      <c r="UB18" s="593">
        <f>'Proy 2021 vs 2019 Sem'!HR17*$UD$4</f>
        <v>7432.8641399999988</v>
      </c>
      <c r="UC18" s="735">
        <v>5233.67</v>
      </c>
      <c r="UD18" s="700">
        <f t="shared" si="767"/>
        <v>0.53150972904903115</v>
      </c>
      <c r="UE18" s="593">
        <v>6553.35</v>
      </c>
      <c r="UF18" s="593">
        <f>'Proy 2021 vs 2019 Sem'!HR17*$UH$4</f>
        <v>7432.8641399999988</v>
      </c>
      <c r="UG18" s="735">
        <v>4035.17</v>
      </c>
      <c r="UH18" s="700">
        <f t="shared" si="768"/>
        <v>0.61574156729001195</v>
      </c>
      <c r="UI18" s="593">
        <v>4113.71</v>
      </c>
      <c r="UJ18" s="593">
        <f>'Proy 2021 vs 2019 Sem'!HR17*$UL$4</f>
        <v>7432.8641399999988</v>
      </c>
      <c r="UK18" s="735">
        <v>5522.99</v>
      </c>
      <c r="UL18" s="700">
        <f t="shared" si="769"/>
        <v>1.3425812709208962</v>
      </c>
      <c r="UM18" s="593">
        <v>4879.8599999999997</v>
      </c>
      <c r="UN18" s="593">
        <f>'Proy 2021 vs 2019 Sem'!HR17*$UP$4</f>
        <v>7432.8641399999988</v>
      </c>
      <c r="UO18" s="735">
        <v>7360.46</v>
      </c>
      <c r="UP18" s="700">
        <f t="shared" si="770"/>
        <v>1.5083342554909362</v>
      </c>
      <c r="UQ18" s="593">
        <v>5157.6499999999996</v>
      </c>
      <c r="UR18" s="593">
        <f>'Proy 2021 vs 2019 Sem'!HR17*$UT$4</f>
        <v>8671.6748299999999</v>
      </c>
      <c r="US18" s="735">
        <v>6224.18</v>
      </c>
      <c r="UT18" s="700">
        <f t="shared" si="771"/>
        <v>1.2067860362762113</v>
      </c>
      <c r="UU18" s="593">
        <v>7989.8</v>
      </c>
      <c r="UV18" s="593">
        <f>'Proy 2021 vs 2019 Sem'!HR17*$UX$4</f>
        <v>9910.4855200000002</v>
      </c>
      <c r="UW18" s="735">
        <v>8375.4500000000007</v>
      </c>
      <c r="UX18" s="700">
        <f t="shared" si="772"/>
        <v>1.0482677914340786</v>
      </c>
      <c r="UY18" s="593">
        <v>8827.9699999999993</v>
      </c>
      <c r="UZ18" s="593">
        <f>'Proy 2021 vs 2019 Sem'!HR17*$VB$4</f>
        <v>13626.917589999999</v>
      </c>
      <c r="VA18" s="735">
        <v>8924.02</v>
      </c>
      <c r="VB18" s="700">
        <f t="shared" si="773"/>
        <v>1.0108801910291949</v>
      </c>
      <c r="VC18" s="577">
        <f>UA18+UE18+UI18+UM18+UQ18+UU18+UY18</f>
        <v>47369.140000000007</v>
      </c>
      <c r="VD18" s="574">
        <f t="shared" si="774"/>
        <v>61940.534499999994</v>
      </c>
      <c r="VE18" s="710">
        <f t="shared" si="775"/>
        <v>45675.94</v>
      </c>
      <c r="VF18" s="1532">
        <f t="shared" si="776"/>
        <v>0.96425520919315821</v>
      </c>
      <c r="VG18" s="593">
        <v>4883.43</v>
      </c>
      <c r="VH18" s="593">
        <f>'Proy 2021 vs 2019 Sem'!IA17*$VJ$4</f>
        <v>6675.7285679999995</v>
      </c>
      <c r="VI18" s="735">
        <v>4345.41</v>
      </c>
      <c r="VJ18" s="700">
        <f t="shared" si="777"/>
        <v>0.88982743686302446</v>
      </c>
      <c r="VK18" s="593">
        <v>5418.36</v>
      </c>
      <c r="VL18" s="593">
        <f>'Proy 2021 vs 2019 Sem'!IA17*$VN$4</f>
        <v>6675.7285679999995</v>
      </c>
      <c r="VM18" s="735">
        <v>7882.79</v>
      </c>
      <c r="VN18" s="700">
        <f t="shared" si="778"/>
        <v>1.4548295056068627</v>
      </c>
      <c r="VO18" s="593">
        <v>5566.91</v>
      </c>
      <c r="VP18" s="593">
        <f>'Proy 2021 vs 2019 Sem'!IA17*$VR$4</f>
        <v>6675.7285679999995</v>
      </c>
      <c r="VQ18" s="735">
        <v>5555.15</v>
      </c>
      <c r="VR18" s="700">
        <f t="shared" si="779"/>
        <v>0.99788751749175031</v>
      </c>
      <c r="VS18" s="593">
        <v>7174.19</v>
      </c>
      <c r="VT18" s="593">
        <f>'Proy 2021 vs 2019 Sem'!IA17*$VV$4</f>
        <v>6675.7285679999995</v>
      </c>
      <c r="VU18" s="735">
        <v>6742.05</v>
      </c>
      <c r="VV18" s="700">
        <f t="shared" si="780"/>
        <v>0.93976462848070663</v>
      </c>
      <c r="VW18" s="593">
        <v>3483.62</v>
      </c>
      <c r="VX18" s="593">
        <f>'Proy 2021 vs 2019 Sem'!IA17*$VZ$4</f>
        <v>7788.3499960000008</v>
      </c>
      <c r="VY18" s="735">
        <v>12549.18</v>
      </c>
      <c r="VZ18" s="700">
        <f t="shared" si="781"/>
        <v>3.6023389462685369</v>
      </c>
      <c r="WA18" s="593">
        <v>483.98</v>
      </c>
      <c r="WB18" s="593">
        <f>'Proy 2021 vs 2019 Sem'!IA17*$WD$4</f>
        <v>8900.9714240000012</v>
      </c>
      <c r="WC18" s="735">
        <v>7760.95</v>
      </c>
      <c r="WD18" s="700">
        <f t="shared" si="782"/>
        <v>16.035683292698046</v>
      </c>
      <c r="WE18" s="593">
        <v>0</v>
      </c>
      <c r="WF18" s="593">
        <f>'Proy 2021 vs 2019 Sem'!IA17*$WH$4</f>
        <v>12238.835708000001</v>
      </c>
      <c r="WG18" s="735">
        <v>9656.5499999999993</v>
      </c>
      <c r="WH18" s="1538" t="e">
        <f t="shared" si="783"/>
        <v>#DIV/0!</v>
      </c>
      <c r="WI18" s="574">
        <f t="shared" si="784"/>
        <v>23042.89</v>
      </c>
      <c r="WJ18" s="575">
        <f t="shared" si="785"/>
        <v>55631.071400000001</v>
      </c>
      <c r="WK18" s="793">
        <f t="shared" si="786"/>
        <v>54492.08</v>
      </c>
      <c r="WL18" s="786">
        <f t="shared" si="787"/>
        <v>2.3648110111188312</v>
      </c>
      <c r="WM18" s="593">
        <v>0</v>
      </c>
      <c r="WN18" s="593">
        <f>'Proy 2021 vs 2019 Sem'!IF17*$WP$4</f>
        <v>7971.9539759999998</v>
      </c>
      <c r="WO18" s="735">
        <v>5737.38</v>
      </c>
      <c r="WP18" s="700" t="e">
        <f t="shared" si="788"/>
        <v>#DIV/0!</v>
      </c>
      <c r="WQ18" s="593">
        <v>0</v>
      </c>
      <c r="WR18" s="593">
        <f>'Proy 2021 vs 2019 Sem'!IF17*$WT$4</f>
        <v>7971.9539759999998</v>
      </c>
      <c r="WS18" s="735">
        <v>6202.51</v>
      </c>
      <c r="WT18" s="700" t="e">
        <f t="shared" si="789"/>
        <v>#DIV/0!</v>
      </c>
      <c r="WU18" s="593">
        <v>0</v>
      </c>
      <c r="WV18" s="593">
        <f>'Proy 2021 vs 2019 Sem'!IF17*$WX$4</f>
        <v>7971.9539759999998</v>
      </c>
      <c r="WW18" s="735">
        <v>8035.06</v>
      </c>
      <c r="WX18" s="700" t="e">
        <f t="shared" si="790"/>
        <v>#DIV/0!</v>
      </c>
      <c r="WY18" s="593">
        <v>0</v>
      </c>
      <c r="WZ18" s="593">
        <f>'Proy 2021 vs 2019 Sem'!IF17*$XB$4</f>
        <v>7971.9539759999998</v>
      </c>
      <c r="XA18" s="735">
        <v>8625.6299999999992</v>
      </c>
      <c r="XB18" s="700" t="e">
        <f t="shared" si="791"/>
        <v>#DIV/0!</v>
      </c>
      <c r="XC18" s="593">
        <v>0</v>
      </c>
      <c r="XD18" s="1547">
        <f>'Proy 2021 vs 2019 Sem'!IF17*$XF$4</f>
        <v>9300.6129720000008</v>
      </c>
      <c r="XE18" s="735">
        <v>7059.36</v>
      </c>
      <c r="XF18" s="700" t="e">
        <f t="shared" si="792"/>
        <v>#DIV/0!</v>
      </c>
      <c r="XG18" s="593">
        <v>0</v>
      </c>
      <c r="XH18" s="593">
        <f>'Proy 2021 vs 2019 Sem'!IF17*$XJ$4</f>
        <v>10629.271968000001</v>
      </c>
      <c r="XI18" s="735">
        <v>9473.77</v>
      </c>
      <c r="XJ18" s="700" t="e">
        <f t="shared" si="793"/>
        <v>#DIV/0!</v>
      </c>
      <c r="XK18" s="593">
        <v>13152.24</v>
      </c>
      <c r="XL18" s="593">
        <f>'Proy 2021 vs 2019 Sem'!IF17*$XN$4</f>
        <v>14615.248956000001</v>
      </c>
      <c r="XM18" s="735">
        <v>14357.63</v>
      </c>
      <c r="XN18" s="700">
        <f t="shared" si="794"/>
        <v>1.0916490270858803</v>
      </c>
      <c r="XO18" s="579">
        <f t="shared" si="795"/>
        <v>13152.24</v>
      </c>
      <c r="XP18" s="574">
        <f t="shared" si="796"/>
        <v>66432.949800000002</v>
      </c>
      <c r="XQ18" s="794">
        <f t="shared" si="797"/>
        <v>59491.340000000004</v>
      </c>
      <c r="XR18" s="786">
        <f t="shared" si="798"/>
        <v>4.5232857672913518</v>
      </c>
      <c r="XS18" s="593">
        <v>11458.15</v>
      </c>
      <c r="XT18" s="593">
        <f>'Proy 2021 vs 2019 Sem'!IK17*$XV$4</f>
        <v>8254.2774239999999</v>
      </c>
      <c r="XU18" s="735">
        <v>5461.79</v>
      </c>
      <c r="XV18" s="700">
        <f t="shared" si="799"/>
        <v>0.47667293585788284</v>
      </c>
      <c r="XW18" s="593">
        <v>13563.73</v>
      </c>
      <c r="XX18" s="593">
        <f>'Proy 2021 vs 2019 Sem'!IK17*$XZ$4</f>
        <v>8254.2774239999999</v>
      </c>
      <c r="XY18" s="735">
        <v>8957.8700000000008</v>
      </c>
      <c r="XZ18" s="700">
        <f t="shared" si="800"/>
        <v>0.66042821554247988</v>
      </c>
      <c r="YA18" s="593">
        <v>13048.94</v>
      </c>
      <c r="YB18" s="593">
        <f>'Proy 2021 vs 2019 Sem'!IK17*$YD$4</f>
        <v>8254.2774239999999</v>
      </c>
      <c r="YC18" s="735">
        <v>7669.19</v>
      </c>
      <c r="YD18" s="700">
        <f t="shared" si="801"/>
        <v>0.58772513322921238</v>
      </c>
      <c r="YE18" s="593">
        <v>9753.5400000000009</v>
      </c>
      <c r="YF18" s="593">
        <f>'Proy 2021 vs 2019 Sem'!IK17*$YH$4</f>
        <v>8254.2774239999999</v>
      </c>
      <c r="YG18" s="735">
        <v>7110.03</v>
      </c>
      <c r="YH18" s="700">
        <f t="shared" si="802"/>
        <v>0.72896917426903451</v>
      </c>
      <c r="YI18" s="593">
        <v>13989.07</v>
      </c>
      <c r="YJ18" s="593">
        <f>'Proy 2021 vs 2019 Sem'!IK17*$YL$4</f>
        <v>9629.9903280000017</v>
      </c>
      <c r="YK18" s="735">
        <v>10031.48</v>
      </c>
      <c r="YL18" s="700">
        <f t="shared" si="803"/>
        <v>0.71709413134683009</v>
      </c>
      <c r="YM18" s="593">
        <v>16488.689999999999</v>
      </c>
      <c r="YN18" s="593">
        <f>'Proy 2021 vs 2019 Sem'!IK17*$YP$4</f>
        <v>11005.703232</v>
      </c>
      <c r="YO18" s="735">
        <v>12314.9</v>
      </c>
      <c r="YP18" s="700">
        <f t="shared" si="804"/>
        <v>0.7468695208655145</v>
      </c>
      <c r="YQ18" s="593">
        <v>29321.13</v>
      </c>
      <c r="YR18" s="593">
        <f>'Proy 2021 vs 2019 Sem'!IK17*$YT$4</f>
        <v>15132.841944</v>
      </c>
      <c r="YS18" s="735">
        <v>18150.39</v>
      </c>
      <c r="YT18" s="700">
        <f t="shared" si="805"/>
        <v>0.61902082218522947</v>
      </c>
      <c r="YU18" s="579">
        <f t="shared" si="806"/>
        <v>107623.25</v>
      </c>
      <c r="YV18" s="574">
        <f t="shared" si="807"/>
        <v>68785.645199999999</v>
      </c>
      <c r="YW18" s="794">
        <f t="shared" si="808"/>
        <v>69695.649999999994</v>
      </c>
      <c r="YX18" s="786">
        <f t="shared" si="809"/>
        <v>0.64758915940561168</v>
      </c>
      <c r="YY18" s="593">
        <v>15699.64</v>
      </c>
      <c r="YZ18" s="593">
        <f>'Proy 2021 vs 2019 Sem'!IP17*$ZB$4</f>
        <v>10995.30126</v>
      </c>
      <c r="ZA18" s="735">
        <v>6443.73</v>
      </c>
      <c r="ZB18" s="700">
        <f t="shared" si="810"/>
        <v>0.41043807373927044</v>
      </c>
      <c r="ZC18" s="593">
        <v>12698.43</v>
      </c>
      <c r="ZD18" s="593">
        <f>'Proy 2021 vs 2019 Sem'!IP17*$ZF$4</f>
        <v>10995.30126</v>
      </c>
      <c r="ZE18" s="735">
        <v>5611.7</v>
      </c>
      <c r="ZF18" s="700">
        <f t="shared" si="811"/>
        <v>0.4419207728829469</v>
      </c>
      <c r="ZG18" s="593">
        <v>16900.900000000001</v>
      </c>
      <c r="ZH18" s="593">
        <f>'Proy 2021 vs 2019 Sem'!IP17*$ZJ$4</f>
        <v>10995.30126</v>
      </c>
      <c r="ZI18" s="735">
        <v>10170.780000000001</v>
      </c>
      <c r="ZJ18" s="700">
        <f t="shared" si="812"/>
        <v>0.60178925382671933</v>
      </c>
      <c r="ZK18" s="593">
        <v>19473.21</v>
      </c>
      <c r="ZL18" s="593">
        <f>'Proy 2021 vs 2019 Sem'!IP17*$ZN$4</f>
        <v>10995.30126</v>
      </c>
      <c r="ZM18" s="735">
        <v>12155.54</v>
      </c>
      <c r="ZN18" s="700">
        <f t="shared" si="813"/>
        <v>0.62421860597199952</v>
      </c>
      <c r="ZO18" s="593">
        <v>19603.16</v>
      </c>
      <c r="ZP18" s="593">
        <f>'Proy 2021 vs 2019 Sem'!IP17*$ZR$4</f>
        <v>12827.851470000001</v>
      </c>
      <c r="ZQ18" s="735">
        <v>14180.17</v>
      </c>
      <c r="ZR18" s="700">
        <f t="shared" si="814"/>
        <v>0.72336143764576732</v>
      </c>
      <c r="ZS18" s="593">
        <v>22045.29</v>
      </c>
      <c r="ZT18" s="593">
        <f>'Proy 2021 vs 2019 Sem'!IP17*$ZV$4</f>
        <v>14660.401680000001</v>
      </c>
      <c r="ZU18" s="735">
        <v>19286.8</v>
      </c>
      <c r="ZV18" s="700">
        <f t="shared" si="815"/>
        <v>0.87487168460927478</v>
      </c>
      <c r="ZW18" s="593">
        <v>17496.86</v>
      </c>
      <c r="ZX18" s="593">
        <f>'Proy 2021 vs 2019 Sem'!IP17*$ZZ$4</f>
        <v>20158.052310000003</v>
      </c>
      <c r="ZY18" s="735">
        <v>22024.6</v>
      </c>
      <c r="ZZ18" s="700">
        <f t="shared" si="816"/>
        <v>1.258774431526571</v>
      </c>
      <c r="AAA18" s="579">
        <f t="shared" si="817"/>
        <v>123917.49</v>
      </c>
      <c r="AAB18" s="574">
        <f t="shared" si="818"/>
        <v>91627.510500000004</v>
      </c>
      <c r="AAC18" s="785">
        <f t="shared" si="819"/>
        <v>89873.32</v>
      </c>
      <c r="AAD18" s="786">
        <f t="shared" si="820"/>
        <v>0.72526743399983329</v>
      </c>
      <c r="AAE18" s="593">
        <v>13615.45</v>
      </c>
      <c r="AAF18" s="593">
        <f>'Proy 2021 vs 2019 Sem'!IY17*$AAH$4</f>
        <v>12134.34936</v>
      </c>
      <c r="AAG18" s="735">
        <v>10984.34</v>
      </c>
      <c r="AAH18" s="700">
        <f t="shared" si="821"/>
        <v>0.8067555607783804</v>
      </c>
      <c r="AAI18" s="593">
        <v>15434.58</v>
      </c>
      <c r="AAJ18" s="593">
        <f>'Proy 2021 vs 2019 Sem'!IY17*$AAL$4</f>
        <v>12134.34936</v>
      </c>
      <c r="AAK18" s="735">
        <v>13778.87</v>
      </c>
      <c r="AAL18" s="700">
        <f t="shared" si="822"/>
        <v>0.89272723974348511</v>
      </c>
      <c r="AAM18" s="593">
        <v>10639.91</v>
      </c>
      <c r="AAN18" s="593">
        <f>'Proy 2021 vs 2019 Sem'!IY17*$AAP$4</f>
        <v>12134.34936</v>
      </c>
      <c r="AAO18" s="735">
        <v>4912.68</v>
      </c>
      <c r="AAP18" s="700">
        <f t="shared" si="823"/>
        <v>0.46172195065559768</v>
      </c>
      <c r="AAQ18" s="593">
        <v>9111.75</v>
      </c>
      <c r="AAR18" s="593">
        <f>'Proy 2021 vs 2019 Sem'!IY17*$AAT$4</f>
        <v>12134.34936</v>
      </c>
      <c r="AAS18" s="735">
        <v>5685.85</v>
      </c>
      <c r="AAT18" s="700">
        <f t="shared" si="824"/>
        <v>0.62401295031141113</v>
      </c>
      <c r="AAU18" s="593">
        <v>12029.28</v>
      </c>
      <c r="AAV18" s="593">
        <f>'Proy 2021 vs 2019 Sem'!IY17*$AAX$4</f>
        <v>14156.740920000002</v>
      </c>
      <c r="AAW18" s="735">
        <v>4450.78</v>
      </c>
      <c r="AAX18" s="700">
        <f t="shared" si="825"/>
        <v>0.36999554420547193</v>
      </c>
      <c r="AAY18" s="593">
        <v>14285.24</v>
      </c>
      <c r="AAZ18" s="593">
        <f>'Proy 2021 vs 2019 Sem'!IY17*$ABB$4</f>
        <v>16179.132480000002</v>
      </c>
      <c r="ABA18" s="735">
        <v>16012.99</v>
      </c>
      <c r="ABB18" s="700">
        <f t="shared" si="826"/>
        <v>1.1209465154243121</v>
      </c>
      <c r="ABC18" s="593">
        <v>21188.15</v>
      </c>
      <c r="ABD18" s="593">
        <f>'Proy 2021 vs 2019 Sem'!IY17*$ABF$4</f>
        <v>22246.30716</v>
      </c>
      <c r="ABE18" s="735">
        <v>9978.7900000000009</v>
      </c>
      <c r="ABF18" s="700">
        <f t="shared" si="827"/>
        <v>0.47096089087532417</v>
      </c>
      <c r="ABG18" s="579">
        <f t="shared" si="828"/>
        <v>96304.360000000015</v>
      </c>
      <c r="ABH18" s="574">
        <f t="shared" si="829"/>
        <v>101119.57800000001</v>
      </c>
      <c r="ABI18" s="759">
        <f t="shared" si="830"/>
        <v>65804.299999999988</v>
      </c>
      <c r="ABJ18" s="761">
        <f t="shared" si="831"/>
        <v>0.68329512807104453</v>
      </c>
      <c r="ABK18" s="593">
        <v>11329.99</v>
      </c>
      <c r="ABL18" s="593">
        <f>'Proy 2021 vs 2019 Sem'!JD17*$ABN$4</f>
        <v>13435.910460000001</v>
      </c>
      <c r="ABM18" s="735">
        <v>9694.57</v>
      </c>
      <c r="ABN18" s="700">
        <f t="shared" si="832"/>
        <v>0.85565565371196262</v>
      </c>
      <c r="ABO18" s="593">
        <v>6600.08</v>
      </c>
      <c r="ABP18" s="593">
        <f>'Proy 2021 vs 2019 Sem'!JD17*$ABR$4</f>
        <v>13435.910460000001</v>
      </c>
      <c r="ABQ18" s="735">
        <v>7742.66</v>
      </c>
      <c r="ABR18" s="700">
        <f t="shared" si="833"/>
        <v>1.1731160834414127</v>
      </c>
      <c r="ABS18" s="593">
        <v>4224.01</v>
      </c>
      <c r="ABT18" s="593">
        <f>'Proy 2021 vs 2019 Sem'!JD17*$ABV$4</f>
        <v>13435.910460000001</v>
      </c>
      <c r="ABU18" s="735">
        <v>6494.38</v>
      </c>
      <c r="ABV18" s="700">
        <f t="shared" si="834"/>
        <v>1.5374916252565689</v>
      </c>
      <c r="ABW18" s="593">
        <v>13321.13</v>
      </c>
      <c r="ABX18" s="593">
        <f>'Proy 2021 vs 2019 Sem'!JD17*$ABZ$4</f>
        <v>13435.910460000001</v>
      </c>
      <c r="ABY18" s="735">
        <v>6726.85</v>
      </c>
      <c r="ABZ18" s="700">
        <f t="shared" si="835"/>
        <v>0.50497592921921797</v>
      </c>
      <c r="ACA18" s="593">
        <v>11218.27</v>
      </c>
      <c r="ACB18" s="593">
        <f>'Proy 2021 vs 2019 Sem'!JD17*$ACD$4</f>
        <v>15675.228870000003</v>
      </c>
      <c r="ACC18" s="735">
        <v>9296.31</v>
      </c>
      <c r="ACD18" s="700">
        <f t="shared" si="836"/>
        <v>0.82867590100790933</v>
      </c>
      <c r="ACE18" s="593">
        <v>24296.77</v>
      </c>
      <c r="ACF18" s="593">
        <f>'Proy 2021 vs 2019 Sem'!JD17*$ACH$4</f>
        <v>17914.547280000003</v>
      </c>
      <c r="ACG18" s="735">
        <v>10441.879999999999</v>
      </c>
      <c r="ACH18" s="700">
        <f t="shared" si="837"/>
        <v>0.42976412090989868</v>
      </c>
      <c r="ACI18" s="593">
        <v>35643.96</v>
      </c>
      <c r="ACJ18" s="593">
        <f>'Proy 2021 vs 2019 Sem'!JD17*$ACL$4</f>
        <v>24632.502510000002</v>
      </c>
      <c r="ACK18" s="735">
        <v>22870.31</v>
      </c>
      <c r="ACL18" s="700">
        <f t="shared" si="838"/>
        <v>0.64163213066112745</v>
      </c>
      <c r="ACM18" s="579">
        <f t="shared" si="839"/>
        <v>106634.20999999999</v>
      </c>
      <c r="ACN18" s="574">
        <f t="shared" si="840"/>
        <v>111965.92050000001</v>
      </c>
      <c r="ACO18" s="765">
        <f t="shared" si="841"/>
        <v>73266.959999999992</v>
      </c>
      <c r="ACP18" s="761">
        <f t="shared" si="842"/>
        <v>0.68708681763572865</v>
      </c>
      <c r="ACQ18" s="593">
        <v>15874.01</v>
      </c>
      <c r="ACR18" s="593">
        <f>'Proy 2021 vs 2019 Sem'!JI17*$ACT$4</f>
        <v>15272.422199999999</v>
      </c>
      <c r="ACS18" s="735">
        <v>16255.39</v>
      </c>
      <c r="ACT18" s="700">
        <f t="shared" si="843"/>
        <v>1.024025435286988</v>
      </c>
      <c r="ACU18" s="593">
        <v>25691.08</v>
      </c>
      <c r="ACV18" s="593">
        <f>'Proy 2021 vs 2019 Sem'!JI17*$ACX$4</f>
        <v>15272.422199999999</v>
      </c>
      <c r="ACW18" s="735">
        <v>16789.830000000002</v>
      </c>
      <c r="ACX18" s="700">
        <f t="shared" si="844"/>
        <v>0.65352760569037971</v>
      </c>
      <c r="ACY18" s="593">
        <v>12415.48</v>
      </c>
      <c r="ACZ18" s="593">
        <f>'Proy 2021 vs 2019 Sem'!JI17*$ADB$4</f>
        <v>15272.422199999999</v>
      </c>
      <c r="ADA18" s="735">
        <v>8687.85</v>
      </c>
      <c r="ADB18" s="700">
        <f t="shared" si="845"/>
        <v>0.69975949379323232</v>
      </c>
      <c r="ADC18" s="593">
        <v>12309.81</v>
      </c>
      <c r="ADD18" s="593">
        <f>'Proy 2021 vs 2019 Sem'!JI17*$ADF$4</f>
        <v>15272.422199999999</v>
      </c>
      <c r="ADE18" s="735">
        <v>9071.91</v>
      </c>
      <c r="ADF18" s="700">
        <f t="shared" si="846"/>
        <v>0.73696588330770341</v>
      </c>
      <c r="ADG18" s="593">
        <v>13012.9</v>
      </c>
      <c r="ADH18" s="593">
        <f>'Proy 2021 vs 2019 Sem'!JI17*$ADJ$4</f>
        <v>17817.8259</v>
      </c>
      <c r="ADI18" s="735">
        <v>10260.68</v>
      </c>
      <c r="ADJ18" s="700">
        <f t="shared" si="847"/>
        <v>0.78850064167095735</v>
      </c>
      <c r="ADK18" s="593">
        <v>15585.26</v>
      </c>
      <c r="ADL18" s="593">
        <f>'Proy 2021 vs 2019 Sem'!JI17*$ADN$4</f>
        <v>20363.229599999999</v>
      </c>
      <c r="ADM18" s="735">
        <v>13040.52</v>
      </c>
      <c r="ADN18" s="700">
        <f t="shared" si="848"/>
        <v>0.83672136364744643</v>
      </c>
      <c r="ADO18" s="593">
        <v>26321.16</v>
      </c>
      <c r="ADP18" s="593">
        <f>'Proy 2021 vs 2019 Sem'!JI17*$ADR$4</f>
        <v>27999.440699999999</v>
      </c>
      <c r="ADQ18" s="735">
        <v>14882.88</v>
      </c>
      <c r="ADR18" s="700">
        <f t="shared" si="849"/>
        <v>0.56543404621984739</v>
      </c>
      <c r="ADS18" s="579">
        <f t="shared" si="850"/>
        <v>121209.7</v>
      </c>
      <c r="ADT18" s="574">
        <f t="shared" si="851"/>
        <v>127270.185</v>
      </c>
      <c r="ADU18" s="765">
        <f t="shared" si="852"/>
        <v>88989.06</v>
      </c>
      <c r="ADV18" s="761">
        <f t="shared" si="853"/>
        <v>0.73417441013384244</v>
      </c>
      <c r="ADW18" s="593">
        <v>8488.5300000000007</v>
      </c>
      <c r="ADX18" s="593">
        <f>'Proy 2021 vs 2019 Sem'!JN17*$ADZ$4</f>
        <v>13013.842499999999</v>
      </c>
      <c r="ADY18" s="735">
        <v>6333.35</v>
      </c>
      <c r="ADZ18" s="700">
        <f t="shared" si="854"/>
        <v>0.74610680530079998</v>
      </c>
      <c r="AEA18" s="593">
        <v>25959.42</v>
      </c>
      <c r="AEB18" s="593">
        <f>'Proy 2021 vs 2019 Sem'!JN17*$AED$4</f>
        <v>13013.842499999999</v>
      </c>
      <c r="AEC18" s="735">
        <v>9030</v>
      </c>
      <c r="AED18" s="700">
        <f t="shared" si="855"/>
        <v>0.34785060683173974</v>
      </c>
      <c r="AEE18" s="593">
        <v>14927.29</v>
      </c>
      <c r="AEF18" s="593">
        <f>'Proy 2021 vs 2019 Sem'!JN17*$AEH$4</f>
        <v>13013.842499999999</v>
      </c>
      <c r="AEG18" s="735">
        <v>11371</v>
      </c>
      <c r="AEH18" s="700">
        <f t="shared" si="856"/>
        <v>0.76175916727014747</v>
      </c>
      <c r="AEI18" s="593">
        <v>18251.849999999999</v>
      </c>
      <c r="AEJ18" s="593">
        <f>'Proy 2021 vs 2019 Sem'!JN17*$AEL$4</f>
        <v>13013.842499999999</v>
      </c>
      <c r="AEK18" s="735">
        <v>10302</v>
      </c>
      <c r="AEL18" s="700">
        <f t="shared" si="857"/>
        <v>0.56443593389163293</v>
      </c>
      <c r="AEM18" s="593">
        <v>12335.18</v>
      </c>
      <c r="AEN18" s="593">
        <f>'Proy 2021 vs 2019 Sem'!JN17*$AEP$4</f>
        <v>15182.816250000002</v>
      </c>
      <c r="AEO18" s="735">
        <v>16024</v>
      </c>
      <c r="AEP18" s="700">
        <f t="shared" si="858"/>
        <v>1.2990487370269423</v>
      </c>
      <c r="AEQ18" s="593">
        <v>23316.76</v>
      </c>
      <c r="AER18" s="593">
        <f>'Proy 2021 vs 2019 Sem'!JN17*$AET$4</f>
        <v>17351.79</v>
      </c>
      <c r="AES18" s="735">
        <v>6363</v>
      </c>
      <c r="AET18" s="700">
        <f t="shared" si="859"/>
        <v>0.27289383259080596</v>
      </c>
      <c r="AEU18" s="593">
        <v>41319.22</v>
      </c>
      <c r="AEV18" s="593">
        <f>'Proy 2021 vs 2019 Sem'!JN17*$AEX$4</f>
        <v>23858.71125</v>
      </c>
      <c r="AEW18" s="735">
        <v>21866</v>
      </c>
      <c r="AEX18" s="700">
        <f t="shared" si="860"/>
        <v>0.52919682414140434</v>
      </c>
      <c r="AEY18" s="579">
        <f t="shared" si="861"/>
        <v>144598.25</v>
      </c>
      <c r="AEZ18" s="574">
        <f t="shared" si="862"/>
        <v>108448.6875</v>
      </c>
      <c r="AFA18" s="770">
        <f t="shared" si="863"/>
        <v>81289.350000000006</v>
      </c>
      <c r="AFB18" s="761">
        <f t="shared" si="864"/>
        <v>0.56217381607315442</v>
      </c>
      <c r="AFC18" s="593">
        <v>14610.64</v>
      </c>
      <c r="AFD18" s="593">
        <f>'Proy 2021 vs 2019 Sem'!JX17*$AFF$4</f>
        <v>15306.399420000002</v>
      </c>
      <c r="AFE18" s="735">
        <v>10967</v>
      </c>
      <c r="AFF18" s="700">
        <f t="shared" si="865"/>
        <v>0.75061735830873944</v>
      </c>
      <c r="AFG18" s="593">
        <v>28124.35</v>
      </c>
      <c r="AFH18" s="593">
        <f>'Proy 2021 vs 2019 Sem'!JX17*$AFJ$4</f>
        <v>15306.399420000002</v>
      </c>
      <c r="AFI18" s="735">
        <v>15119.65</v>
      </c>
      <c r="AFJ18" s="700">
        <f t="shared" si="866"/>
        <v>0.53759998008842869</v>
      </c>
      <c r="AFK18" s="593">
        <v>23675.75</v>
      </c>
      <c r="AFL18" s="593">
        <f>'Proy 2021 vs 2019 Sem'!JX17*$AFN$4</f>
        <v>15306.399420000002</v>
      </c>
      <c r="AFM18" s="735">
        <v>17170.12</v>
      </c>
      <c r="AFN18" s="700">
        <f t="shared" si="867"/>
        <v>0.72521968681034388</v>
      </c>
      <c r="AFO18" s="593">
        <v>30326.080000000002</v>
      </c>
      <c r="AFP18" s="593">
        <f>'Proy 2021 vs 2019 Sem'!JX17*$AFR$4</f>
        <v>15306.399420000002</v>
      </c>
      <c r="AFQ18" s="735">
        <v>13486.1</v>
      </c>
      <c r="AFR18" s="700">
        <f t="shared" si="868"/>
        <v>0.44470304107883379</v>
      </c>
      <c r="AFS18" s="593">
        <v>22241.22</v>
      </c>
      <c r="AFT18" s="593">
        <f>'Proy 2021 vs 2019 Sem'!JX17*$AFV$4</f>
        <v>17857.465990000004</v>
      </c>
      <c r="AFU18" s="735">
        <v>16268.63</v>
      </c>
      <c r="AFV18" s="700">
        <f t="shared" si="869"/>
        <v>0.73146302226226789</v>
      </c>
      <c r="AFW18" s="593">
        <v>34722.93</v>
      </c>
      <c r="AFX18" s="593">
        <f>'Proy 2021 vs 2019 Sem'!JX17*$AFZ$4</f>
        <v>20408.532560000003</v>
      </c>
      <c r="AFY18" s="735">
        <v>26647.29</v>
      </c>
      <c r="AFZ18" s="700">
        <f t="shared" si="870"/>
        <v>0.76742630878212181</v>
      </c>
      <c r="AGA18" s="593">
        <v>44194.92</v>
      </c>
      <c r="AGB18" s="593">
        <f>'Proy 2021 vs 2019 Sem'!JX17*$AGD$4</f>
        <v>28061.732270000004</v>
      </c>
      <c r="AGC18" s="735">
        <v>33295.67</v>
      </c>
      <c r="AGD18" s="700">
        <f t="shared" si="871"/>
        <v>0.753382289186178</v>
      </c>
      <c r="AGE18" s="579">
        <f t="shared" si="872"/>
        <v>197895.89</v>
      </c>
      <c r="AGF18" s="574">
        <f t="shared" si="873"/>
        <v>127553.32850000002</v>
      </c>
      <c r="AGG18" s="729">
        <f t="shared" si="874"/>
        <v>132954.46000000002</v>
      </c>
      <c r="AGH18" s="711">
        <f t="shared" si="875"/>
        <v>0.67184043084472356</v>
      </c>
      <c r="AGI18" s="593">
        <v>30625.79</v>
      </c>
      <c r="AGJ18" s="593">
        <f>'Proy 2021 vs 2019 Sem'!KC17*$AGL$4</f>
        <v>22291.568520000001</v>
      </c>
      <c r="AGK18" s="735">
        <v>14642.88</v>
      </c>
      <c r="AGL18" s="700">
        <f t="shared" si="876"/>
        <v>0.47812252353327045</v>
      </c>
      <c r="AGM18" s="593">
        <v>36076.589999999997</v>
      </c>
      <c r="AGN18" s="593">
        <f>'Proy 2021 vs 2019 Sem'!KC17*$AGP$4</f>
        <v>22291.568520000001</v>
      </c>
      <c r="AGO18" s="735">
        <v>14508.56</v>
      </c>
      <c r="AGP18" s="700">
        <f t="shared" si="877"/>
        <v>0.40215996024014466</v>
      </c>
      <c r="AGQ18" s="593">
        <v>35215.43</v>
      </c>
      <c r="AGR18" s="593">
        <f>'Proy 2021 vs 2019 Sem'!KC17*$AGT$4</f>
        <v>22291.568520000001</v>
      </c>
      <c r="AGS18" s="735">
        <v>17216.84</v>
      </c>
      <c r="AGT18" s="700">
        <f t="shared" si="878"/>
        <v>0.48890046209857441</v>
      </c>
      <c r="AGU18" s="593">
        <v>26629.38</v>
      </c>
      <c r="AGV18" s="593">
        <f>'Proy 2021 vs 2019 Sem'!KC17*$AGX$4</f>
        <v>22291.568520000001</v>
      </c>
      <c r="AGW18" s="735">
        <v>27747.5</v>
      </c>
      <c r="AGX18" s="700">
        <f t="shared" si="879"/>
        <v>1.0419882100146529</v>
      </c>
      <c r="AGY18" s="593">
        <v>39196.839999999997</v>
      </c>
      <c r="AGZ18" s="593">
        <f>'Proy 2021 vs 2019 Sem'!KC17*$AHB$4</f>
        <v>26006.829940000007</v>
      </c>
      <c r="AHA18" s="735">
        <v>24997.59</v>
      </c>
      <c r="AHB18" s="700">
        <f t="shared" si="880"/>
        <v>0.63774503250772263</v>
      </c>
      <c r="AHC18" s="593">
        <v>41874.58</v>
      </c>
      <c r="AHD18" s="593">
        <f>'Proy 2021 vs 2019 Sem'!KC17*$AHF$4</f>
        <v>29722.091360000006</v>
      </c>
      <c r="AHE18" s="735">
        <v>28415.57</v>
      </c>
      <c r="AHF18" s="700">
        <f t="shared" si="881"/>
        <v>0.67858758225157123</v>
      </c>
      <c r="AHG18" s="593">
        <v>77685.88</v>
      </c>
      <c r="AHH18" s="593">
        <f>'Proy 2021 vs 2019 Sem'!KC17*$AHJ$4</f>
        <v>40867.875620000006</v>
      </c>
      <c r="AHI18" s="735">
        <v>38181.67</v>
      </c>
      <c r="AHJ18" s="700">
        <f t="shared" si="882"/>
        <v>0.49148789973158569</v>
      </c>
      <c r="AHK18" s="579">
        <f t="shared" si="883"/>
        <v>287304.49</v>
      </c>
      <c r="AHL18" s="574">
        <f t="shared" si="884"/>
        <v>185763.07100000003</v>
      </c>
      <c r="AHM18" s="730">
        <f t="shared" si="885"/>
        <v>165710.60999999999</v>
      </c>
      <c r="AHN18" s="711">
        <f t="shared" si="886"/>
        <v>0.57677695882859326</v>
      </c>
      <c r="AHO18" s="593">
        <v>33847.69</v>
      </c>
      <c r="AHP18" s="593">
        <f>'Proy 2021 vs 2019 Sem'!KH17*$AHR$4</f>
        <v>30089.641919999998</v>
      </c>
      <c r="AHQ18" s="735">
        <v>23546.1</v>
      </c>
      <c r="AHR18" s="700">
        <f t="shared" si="887"/>
        <v>0.6956486543099395</v>
      </c>
      <c r="AHS18" s="593">
        <v>49459.53</v>
      </c>
      <c r="AHT18" s="593">
        <f>'Proy 2021 vs 2019 Sem'!KH17*$AHV$4</f>
        <v>30089.641919999998</v>
      </c>
      <c r="AHU18" s="735">
        <v>28073.66</v>
      </c>
      <c r="AHV18" s="700">
        <f t="shared" si="888"/>
        <v>0.56760870958539233</v>
      </c>
      <c r="AHW18" s="593">
        <v>44049.94</v>
      </c>
      <c r="AHX18" s="593">
        <f>'Proy 2021 vs 2019 Sem'!KH17*$AHZ$4</f>
        <v>30089.641919999998</v>
      </c>
      <c r="AHY18" s="735">
        <v>21529.91</v>
      </c>
      <c r="AHZ18" s="700">
        <f t="shared" si="889"/>
        <v>0.48876139218350806</v>
      </c>
      <c r="AIA18" s="593">
        <v>48226.38</v>
      </c>
      <c r="AIB18" s="593">
        <f>'Proy 2021 vs 2019 Sem'!KH17*$AID$4</f>
        <v>30089.641919999998</v>
      </c>
      <c r="AIC18" s="735">
        <v>20980.35</v>
      </c>
      <c r="AID18" s="700">
        <f t="shared" si="890"/>
        <v>0.43503887291561172</v>
      </c>
      <c r="AIE18" s="593">
        <v>51651.42</v>
      </c>
      <c r="AIF18" s="593">
        <f>'Proy 2021 vs 2019 Sem'!KH17*$AIH$4</f>
        <v>35104.582240000003</v>
      </c>
      <c r="AIG18" s="735">
        <v>33924.980000000003</v>
      </c>
      <c r="AIH18" s="700">
        <f t="shared" si="891"/>
        <v>0.65680633756051632</v>
      </c>
      <c r="AII18" s="593">
        <v>67838.2</v>
      </c>
      <c r="AIJ18" s="593">
        <f>'Proy 2021 vs 2019 Sem'!KH17*$AIL$4</f>
        <v>40119.522560000005</v>
      </c>
      <c r="AIK18" s="735">
        <v>29907.45</v>
      </c>
      <c r="AIL18" s="700">
        <f t="shared" si="892"/>
        <v>0.44086443920976681</v>
      </c>
      <c r="AIM18" s="593">
        <v>86480.48</v>
      </c>
      <c r="AIN18" s="593">
        <f>'Proy 2021 vs 2019 Sem'!KH17*$AIP$4</f>
        <v>55164.343520000002</v>
      </c>
      <c r="AIO18" s="735">
        <v>53270.33</v>
      </c>
      <c r="AIP18" s="700">
        <f t="shared" si="893"/>
        <v>0.6159809705034015</v>
      </c>
      <c r="AIQ18" s="579">
        <f t="shared" si="894"/>
        <v>381553.64</v>
      </c>
      <c r="AIR18" s="574">
        <f t="shared" si="895"/>
        <v>250747.016</v>
      </c>
      <c r="AIS18" s="730">
        <f t="shared" si="896"/>
        <v>211232.78000000003</v>
      </c>
      <c r="AIT18" s="711">
        <f t="shared" si="897"/>
        <v>0.55361227847282501</v>
      </c>
      <c r="AIU18" s="593">
        <f>'Proy 2021 vs 2019 Sem'!KL17*$AIX$4</f>
        <v>37958.908799999997</v>
      </c>
      <c r="AIV18" s="593">
        <f>'Proy 2021 vs 2019 Sem'!KM17*$AIX$4</f>
        <v>42513.977856000005</v>
      </c>
      <c r="AIW18" s="735">
        <v>24269.41</v>
      </c>
      <c r="AIX18" s="700">
        <f t="shared" si="898"/>
        <v>0.6393600545229583</v>
      </c>
      <c r="AIY18" s="593">
        <f>'Proy 2021 vs 2019 Sem'!KL17*$AJB$4</f>
        <v>37958.908799999997</v>
      </c>
      <c r="AIZ18" s="593">
        <f>'Proy 2021 vs 2019 Sem'!KM17*$AJB$4</f>
        <v>42513.977856000005</v>
      </c>
      <c r="AJA18" s="735">
        <v>60881.67</v>
      </c>
      <c r="AJB18" s="700">
        <f t="shared" si="899"/>
        <v>1.6038835657994468</v>
      </c>
      <c r="AJC18" s="593">
        <f>'Proy 2021 vs 2019 Sem'!KL17*$AJF$4</f>
        <v>37958.908799999997</v>
      </c>
      <c r="AJD18" s="593">
        <f>'Proy 2021 vs 2019 Sem'!KM17*$AJF$4</f>
        <v>42513.977856000005</v>
      </c>
      <c r="AJE18" s="735">
        <v>50921.83</v>
      </c>
      <c r="AJF18" s="700">
        <f t="shared" si="900"/>
        <v>1.3414987840746362</v>
      </c>
      <c r="AJG18" s="593">
        <f>'Proy 2021 vs 2019 Sem'!KL17*$AJJ$4</f>
        <v>37958.908799999997</v>
      </c>
      <c r="AJH18" s="593">
        <f>'Proy 2021 vs 2019 Sem'!KM17*$AJJ$4</f>
        <v>42513.977856000005</v>
      </c>
      <c r="AJI18" s="735">
        <v>67425.91</v>
      </c>
      <c r="AJJ18" s="700">
        <f t="shared" si="901"/>
        <v>1.7762868357269535</v>
      </c>
      <c r="AJK18" s="593">
        <f>'Proy 2021 vs 2019 Sem'!KL17*$AJN$4</f>
        <v>44285.393600000003</v>
      </c>
      <c r="AJL18" s="593">
        <f>'Proy 2021 vs 2019 Sem'!KM17*$AJN$4</f>
        <v>49599.640832000005</v>
      </c>
      <c r="AJM18" s="735">
        <v>64935.08</v>
      </c>
      <c r="AJN18" s="700">
        <f t="shared" si="902"/>
        <v>1.4662866178070957</v>
      </c>
      <c r="AJO18" s="593">
        <f>'Proy 2021 vs 2019 Sem'!KL17*$AJR$4</f>
        <v>50611.878400000001</v>
      </c>
      <c r="AJP18" s="593">
        <f>'Proy 2021 vs 2019 Sem'!KM17*$AJR$4</f>
        <v>56685.303808000004</v>
      </c>
      <c r="AJQ18" s="735">
        <v>48696.97</v>
      </c>
      <c r="AJR18" s="700">
        <f t="shared" si="903"/>
        <v>0.96216484231496135</v>
      </c>
      <c r="AJS18" s="593">
        <f>'Proy 2021 vs 2019 Sem'!KL17*$AJV$4</f>
        <v>69591.332800000004</v>
      </c>
      <c r="AJT18" s="593">
        <f>'Proy 2021 vs 2019 Sem'!KM17*$AJV$4</f>
        <v>77942.292736000003</v>
      </c>
      <c r="AJU18" s="699">
        <v>0</v>
      </c>
      <c r="AJV18" s="700">
        <f t="shared" si="904"/>
        <v>0</v>
      </c>
      <c r="AJW18" s="579">
        <f t="shared" si="905"/>
        <v>316324.24</v>
      </c>
      <c r="AJX18" s="574">
        <f t="shared" si="906"/>
        <v>354283.14880000008</v>
      </c>
      <c r="AJY18" s="710">
        <f t="shared" si="907"/>
        <v>317130.87</v>
      </c>
      <c r="AJZ18" s="711">
        <f t="shared" si="908"/>
        <v>1.0025500100782665</v>
      </c>
      <c r="AKA18" s="593">
        <f>'Proy 2021 vs 2019 Sem'!KQ17*$AKD$4</f>
        <v>12053.511599999998</v>
      </c>
      <c r="AKB18" s="593">
        <f>'Proy 2021 vs 2019 Sem'!KR17*$AKD$4</f>
        <v>7834.7825400000002</v>
      </c>
      <c r="AKC18" s="735">
        <v>5888.74</v>
      </c>
      <c r="AKD18" s="700">
        <f t="shared" si="909"/>
        <v>0.48854974346231189</v>
      </c>
      <c r="AKE18" s="593">
        <f>'Proy 2021 vs 2019 Sem'!KQ17*$AKH$4</f>
        <v>12053.511599999998</v>
      </c>
      <c r="AKF18" s="593">
        <f>'Proy 2021 vs 2019 Sem'!KR17*$AKH$4</f>
        <v>7834.7825400000002</v>
      </c>
      <c r="AKG18" s="735">
        <v>13849.93</v>
      </c>
      <c r="AKH18" s="700">
        <f t="shared" si="910"/>
        <v>1.1490369329382819</v>
      </c>
      <c r="AKI18" s="593">
        <f>'Proy 2021 vs 2019 Sem'!KQ17*$AKL$4</f>
        <v>12053.511599999998</v>
      </c>
      <c r="AKJ18" s="593">
        <f>'Proy 2021 vs 2019 Sem'!KR17*$AKL$4</f>
        <v>7834.7825400000002</v>
      </c>
      <c r="AKK18" s="735">
        <v>12753.79</v>
      </c>
      <c r="AKL18" s="700">
        <f t="shared" si="911"/>
        <v>1.0580974593329302</v>
      </c>
      <c r="AKM18" s="593">
        <f>'Proy 2021 vs 2019 Sem'!KQ17*$AKP$4</f>
        <v>12053.511599999998</v>
      </c>
      <c r="AKN18" s="593">
        <f>'Proy 2021 vs 2019 Sem'!KR17*$AKP$4</f>
        <v>7834.7825400000002</v>
      </c>
      <c r="AKO18" s="735">
        <v>9644.9500000000007</v>
      </c>
      <c r="AKP18" s="700">
        <f t="shared" si="912"/>
        <v>0.80017760135560845</v>
      </c>
      <c r="AKQ18" s="593">
        <f>'Proy 2021 vs 2019 Sem'!KQ17*$AKT$4</f>
        <v>14062.430200000001</v>
      </c>
      <c r="AKR18" s="593">
        <f>'Proy 2021 vs 2019 Sem'!KR17*$AKT$4</f>
        <v>9140.5796300000002</v>
      </c>
      <c r="AKS18" s="735">
        <v>12961.21</v>
      </c>
      <c r="AKT18" s="700">
        <f t="shared" si="913"/>
        <v>0.92169061930703833</v>
      </c>
      <c r="AKU18" s="593">
        <f>'Proy 2021 vs 2019 Sem'!KQ17*$AKX$4</f>
        <v>16071.3488</v>
      </c>
      <c r="AKV18" s="593">
        <f>'Proy 2021 vs 2019 Sem'!KR17*$AKX$4</f>
        <v>10446.37672</v>
      </c>
      <c r="AKW18" s="735">
        <v>9350.25</v>
      </c>
      <c r="AKX18" s="700">
        <f t="shared" si="914"/>
        <v>0.58179622111119889</v>
      </c>
      <c r="AKY18" s="593">
        <f>'Proy 2021 vs 2019 Sem'!KQ17*$ALB$4</f>
        <v>22098.104599999999</v>
      </c>
      <c r="AKZ18" s="593">
        <f>'Proy 2021 vs 2019 Sem'!KR17*$ALB$4</f>
        <v>14363.76799</v>
      </c>
      <c r="ALA18" s="699">
        <v>0</v>
      </c>
      <c r="ALB18" s="700">
        <f>ALA18/AKY18</f>
        <v>0</v>
      </c>
      <c r="ALC18" s="579">
        <f t="shared" si="915"/>
        <v>100445.93</v>
      </c>
      <c r="ALD18" s="574">
        <f t="shared" si="916"/>
        <v>65289.854500000001</v>
      </c>
      <c r="ALE18" s="710">
        <f t="shared" si="917"/>
        <v>64448.87</v>
      </c>
      <c r="ALF18" s="711">
        <f t="shared" si="918"/>
        <v>0.64162749053147305</v>
      </c>
    </row>
    <row r="19" spans="2:994" ht="15.75" customHeight="1">
      <c r="B19" s="570" t="s">
        <v>21</v>
      </c>
      <c r="C19" s="574">
        <f>'Proy 2021 vs 2019 Sem'!DX18*$F$4</f>
        <v>11121.256799999999</v>
      </c>
      <c r="D19" s="576">
        <f>'Proy 2021 vs 2019 Sem'!$DY$18*F4</f>
        <v>8788.3767104515791</v>
      </c>
      <c r="E19" s="735">
        <v>12601.83</v>
      </c>
      <c r="F19" s="700">
        <f t="shared" si="580"/>
        <v>1.1331300253762686</v>
      </c>
      <c r="G19" s="574">
        <f>'Proy 2021 vs 2019 Sem'!DX18*$J$4</f>
        <v>11121.256799999999</v>
      </c>
      <c r="H19" s="574">
        <f>'Proy 2021 vs 2019 Sem'!$DY$18*J4</f>
        <v>8788.3767104515791</v>
      </c>
      <c r="I19" s="735">
        <v>10378.629999999999</v>
      </c>
      <c r="J19" s="700">
        <f t="shared" si="581"/>
        <v>0.93322456145424137</v>
      </c>
      <c r="K19" s="574">
        <f>'Proy 2021 vs 2019 Sem'!DX18*'Vtas Diarias 2021'!$N$4</f>
        <v>11121.256799999999</v>
      </c>
      <c r="L19" s="574">
        <f>'Proy 2021 vs 2019 Sem'!$DY$18*N4</f>
        <v>8788.3767104515791</v>
      </c>
      <c r="M19" s="735">
        <v>12107.19</v>
      </c>
      <c r="N19" s="700">
        <f t="shared" si="582"/>
        <v>1.0886530378473054</v>
      </c>
      <c r="O19" s="574">
        <f>'Proy 2021 vs 2019 Sem'!DX18*$R$4</f>
        <v>11121.256799999999</v>
      </c>
      <c r="P19" s="574">
        <f>'Proy 2021 vs 2019 Sem'!$DY$18*R4</f>
        <v>8788.3767104515791</v>
      </c>
      <c r="Q19" s="735">
        <v>5783.98</v>
      </c>
      <c r="R19" s="700">
        <f t="shared" si="583"/>
        <v>0.52008330569257244</v>
      </c>
      <c r="S19" s="574">
        <f>'Proy 2021 vs 2019 Sem'!DX18*$V$4</f>
        <v>12974.7996</v>
      </c>
      <c r="T19" s="574">
        <f>'Proy 2021 vs 2019 Sem'!$DY$18*V4</f>
        <v>10253.10616219351</v>
      </c>
      <c r="U19" s="735">
        <v>7568.13</v>
      </c>
      <c r="V19" s="700">
        <f t="shared" si="584"/>
        <v>0.5832945581679736</v>
      </c>
      <c r="W19" s="574">
        <f>'Proy 2021 vs 2019 Sem'!DX18*$Z$4</f>
        <v>14828.3424</v>
      </c>
      <c r="X19" s="574">
        <f>'Proy 2021 vs 2019 Sem'!$DY$18*Z4</f>
        <v>11717.835613935438</v>
      </c>
      <c r="Y19" s="735">
        <v>10846.1</v>
      </c>
      <c r="Z19" s="700">
        <f t="shared" si="585"/>
        <v>0.73144385983425908</v>
      </c>
      <c r="AA19" s="574">
        <f>'Proy 2021 vs 2019 Sem'!DX18*$AD$4</f>
        <v>20388.970799999999</v>
      </c>
      <c r="AB19" s="574">
        <f>'Proy 2021 vs 2019 Sem'!$DY$18*AD4</f>
        <v>16112.023969161228</v>
      </c>
      <c r="AC19" s="735">
        <v>17210.64</v>
      </c>
      <c r="AD19" s="700">
        <f t="shared" si="586"/>
        <v>0.84411519192523443</v>
      </c>
      <c r="AE19" s="579">
        <f t="shared" si="587"/>
        <v>92677.139999999985</v>
      </c>
      <c r="AF19" s="574">
        <f t="shared" si="588"/>
        <v>73236.47258709649</v>
      </c>
      <c r="AG19" s="729">
        <f t="shared" si="589"/>
        <v>76496.5</v>
      </c>
      <c r="AH19" s="711">
        <f t="shared" si="590"/>
        <v>0.82540850958499601</v>
      </c>
      <c r="AI19" s="593">
        <f>'Proy 2021 vs 2019 Sem'!EC18*$AL$4</f>
        <v>12887.020799999998</v>
      </c>
      <c r="AJ19" s="611">
        <f>'Proy 2021 vs 2019 Sem'!ED18*$AL$4</f>
        <v>10051.876224</v>
      </c>
      <c r="AK19" s="735">
        <v>7028.08</v>
      </c>
      <c r="AL19" s="700">
        <f t="shared" si="591"/>
        <v>0.54536111247682639</v>
      </c>
      <c r="AM19" s="593">
        <f>'Proy 2021 vs 2019 Sem'!EC18*$AP$4</f>
        <v>12887.020799999998</v>
      </c>
      <c r="AN19" s="593">
        <f>'Proy 2021 vs 2019 Sem'!ED18*$AP$4</f>
        <v>10051.876224</v>
      </c>
      <c r="AO19" s="735">
        <v>8552.61</v>
      </c>
      <c r="AP19" s="700">
        <f t="shared" si="592"/>
        <v>0.66366075858277518</v>
      </c>
      <c r="AQ19" s="593">
        <f>'Proy 2021 vs 2019 Sem'!EC18*$AT$4</f>
        <v>12887.020799999998</v>
      </c>
      <c r="AR19" s="593">
        <f>'Proy 2021 vs 2019 Sem'!ED18*$AT$4</f>
        <v>10051.876224</v>
      </c>
      <c r="AS19" s="735">
        <v>9791.7800000000007</v>
      </c>
      <c r="AT19" s="700">
        <f t="shared" si="593"/>
        <v>0.75981719529776826</v>
      </c>
      <c r="AU19" s="593">
        <f>'Proy 2021 vs 2019 Sem'!EC18*$AX$4</f>
        <v>12887.020799999998</v>
      </c>
      <c r="AV19" s="593">
        <f>'Proy 2021 vs 2019 Sem'!ED18*$AX$4</f>
        <v>10051.876224</v>
      </c>
      <c r="AW19" s="735">
        <v>8054.75</v>
      </c>
      <c r="AX19" s="700">
        <f t="shared" si="594"/>
        <v>0.62502809027824346</v>
      </c>
      <c r="AY19" s="593">
        <f>'Proy 2021 vs 2019 Sem'!EC18*$BB$4</f>
        <v>15034.857600000001</v>
      </c>
      <c r="AZ19" s="593">
        <f>'Proy 2021 vs 2019 Sem'!ED18*$BB$4</f>
        <v>11727.188928000001</v>
      </c>
      <c r="BA19" s="735">
        <v>11088.38</v>
      </c>
      <c r="BB19" s="700">
        <f t="shared" si="595"/>
        <v>0.73751147466804068</v>
      </c>
      <c r="BC19" s="593">
        <f>'Proy 2021 vs 2019 Sem'!EC18*$BF$4</f>
        <v>17182.6944</v>
      </c>
      <c r="BD19" s="593">
        <f>'Proy 2021 vs 2019 Sem'!ED18*$BF$4</f>
        <v>13402.501632000001</v>
      </c>
      <c r="BE19" s="735">
        <v>13204</v>
      </c>
      <c r="BF19" s="700">
        <f t="shared" si="596"/>
        <v>0.76844758409949954</v>
      </c>
      <c r="BG19" s="593">
        <f>'Proy 2021 vs 2019 Sem'!EC18*$BJ$4</f>
        <v>23626.2048</v>
      </c>
      <c r="BH19" s="593">
        <f>'Proy 2021 vs 2019 Sem'!ED18*$BJ$4</f>
        <v>18428.439743999999</v>
      </c>
      <c r="BI19" s="735">
        <v>21011.02</v>
      </c>
      <c r="BJ19" s="700">
        <f t="shared" si="597"/>
        <v>0.88930999192896187</v>
      </c>
      <c r="BK19" s="579">
        <f t="shared" si="598"/>
        <v>107391.84</v>
      </c>
      <c r="BL19" s="574">
        <f t="shared" si="599"/>
        <v>83765.635200000004</v>
      </c>
      <c r="BM19" s="730">
        <f t="shared" si="600"/>
        <v>78730.62</v>
      </c>
      <c r="BN19" s="711">
        <f t="shared" si="601"/>
        <v>0.73311547693009071</v>
      </c>
      <c r="BO19" s="593">
        <f>'Proy 2021 vs 2019 Sem'!EH18*$BR$4</f>
        <v>12300.9756</v>
      </c>
      <c r="BP19" s="593">
        <f>'Proy 2021 vs 2019 Sem'!EI18*$BR$4</f>
        <v>8610.6829199999993</v>
      </c>
      <c r="BQ19" s="735">
        <v>10861.59</v>
      </c>
      <c r="BR19" s="700">
        <f t="shared" si="602"/>
        <v>0.88298606169091176</v>
      </c>
      <c r="BS19" s="593">
        <f>'Proy 2021 vs 2019 Sem'!EH18*$BV$4</f>
        <v>12300.9756</v>
      </c>
      <c r="BT19" s="593">
        <f>'Proy 2021 vs 2019 Sem'!EI18*$BV$4</f>
        <v>8610.6829199999993</v>
      </c>
      <c r="BU19" s="735">
        <v>8274.34</v>
      </c>
      <c r="BV19" s="700">
        <f t="shared" si="603"/>
        <v>0.67265721590407834</v>
      </c>
      <c r="BW19" s="593">
        <f>'Proy 2021 vs 2019 Sem'!EH18*$BZ$4</f>
        <v>12300.9756</v>
      </c>
      <c r="BX19" s="593">
        <f>'Proy 2021 vs 2019 Sem'!EI18*$BZ$4</f>
        <v>8610.6829199999993</v>
      </c>
      <c r="BY19" s="735">
        <v>10220.83</v>
      </c>
      <c r="BZ19" s="700">
        <f t="shared" si="604"/>
        <v>0.83089588438822692</v>
      </c>
      <c r="CA19" s="593">
        <f>'Proy 2021 vs 2019 Sem'!EH18*$CD$4</f>
        <v>12300.9756</v>
      </c>
      <c r="CB19" s="593">
        <f>'Proy 2021 vs 2019 Sem'!EI18*$CD$4</f>
        <v>8610.6829199999993</v>
      </c>
      <c r="CC19" s="735">
        <v>12359.05</v>
      </c>
      <c r="CD19" s="700">
        <f t="shared" si="605"/>
        <v>1.0047211214694223</v>
      </c>
      <c r="CE19" s="593">
        <f>'Proy 2021 vs 2019 Sem'!EH18*$CH$4</f>
        <v>14351.138200000001</v>
      </c>
      <c r="CF19" s="593">
        <f>'Proy 2021 vs 2019 Sem'!EI18*$CH$4</f>
        <v>10045.79674</v>
      </c>
      <c r="CG19" s="735">
        <v>9013.02</v>
      </c>
      <c r="CH19" s="700">
        <f t="shared" si="606"/>
        <v>0.62803520350741238</v>
      </c>
      <c r="CI19" s="593">
        <f>'Proy 2021 vs 2019 Sem'!EH18*$CL$4</f>
        <v>16401.300800000001</v>
      </c>
      <c r="CJ19" s="593">
        <f>'Proy 2021 vs 2019 Sem'!EI18*$CL$4</f>
        <v>11480.910559999998</v>
      </c>
      <c r="CK19" s="735">
        <v>13087.69</v>
      </c>
      <c r="CL19" s="700">
        <f t="shared" si="607"/>
        <v>0.79796658567471668</v>
      </c>
      <c r="CM19" s="593">
        <f>'Proy 2021 vs 2019 Sem'!EH18*$CP$4</f>
        <v>22551.7886</v>
      </c>
      <c r="CN19" s="593">
        <f>'Proy 2021 vs 2019 Sem'!EI18*$CP$4</f>
        <v>15786.252019999998</v>
      </c>
      <c r="CO19" s="735">
        <v>16556.09</v>
      </c>
      <c r="CP19" s="700">
        <f t="shared" si="608"/>
        <v>0.73413644893780183</v>
      </c>
      <c r="CQ19" s="579">
        <f t="shared" si="609"/>
        <v>102508.13</v>
      </c>
      <c r="CR19" s="574">
        <f t="shared" si="610"/>
        <v>71755.690999999992</v>
      </c>
      <c r="CS19" s="730">
        <f t="shared" si="611"/>
        <v>80372.61</v>
      </c>
      <c r="CT19" s="711">
        <f t="shared" si="612"/>
        <v>0.78406083497962553</v>
      </c>
      <c r="CU19" s="593">
        <f>'Proy 2021 vs 2019 Sem'!EM18*$CX$4</f>
        <v>9729.8004000000001</v>
      </c>
      <c r="CV19" s="593">
        <f>'Proy 2021 vs 2019 Sem'!EN18*$CX$4</f>
        <v>6810.860279999999</v>
      </c>
      <c r="CW19" s="735">
        <v>9143.34</v>
      </c>
      <c r="CX19" s="700">
        <f t="shared" si="613"/>
        <v>0.93972534112827233</v>
      </c>
      <c r="CY19" s="593">
        <f>'Proy 2021 vs 2019 Sem'!EM18*$DB$4</f>
        <v>9729.8004000000001</v>
      </c>
      <c r="CZ19" s="593">
        <f>'Proy 2021 vs 2019 Sem'!EN18*$DB$4</f>
        <v>6810.860279999999</v>
      </c>
      <c r="DA19" s="735">
        <v>13890.6</v>
      </c>
      <c r="DB19" s="700">
        <f t="shared" si="614"/>
        <v>1.4276346306137997</v>
      </c>
      <c r="DC19" s="593">
        <f>'Proy 2021 vs 2019 Sem'!EM18*$DF$4</f>
        <v>9729.8004000000001</v>
      </c>
      <c r="DD19" s="593">
        <f>'Proy 2021 vs 2019 Sem'!EN18*$DF$4</f>
        <v>6810.860279999999</v>
      </c>
      <c r="DE19" s="735">
        <v>7130.86</v>
      </c>
      <c r="DF19" s="700">
        <f t="shared" si="615"/>
        <v>0.73288862123009224</v>
      </c>
      <c r="DG19" s="593">
        <f>'Proy 2021 vs 2019 Sem'!EM18*$DJ$4</f>
        <v>9729.8004000000001</v>
      </c>
      <c r="DH19" s="593">
        <f>'Proy 2021 vs 2019 Sem'!EN18*$DJ$4</f>
        <v>6810.860279999999</v>
      </c>
      <c r="DI19" s="735">
        <v>7071.42</v>
      </c>
      <c r="DJ19" s="700">
        <f t="shared" si="616"/>
        <v>0.72677955449116927</v>
      </c>
      <c r="DK19" s="593">
        <f>'Proy 2021 vs 2019 Sem'!EM18*$DN$4</f>
        <v>11351.433800000001</v>
      </c>
      <c r="DL19" s="593">
        <f>'Proy 2021 vs 2019 Sem'!EN18*$DN$4</f>
        <v>7946.0036600000003</v>
      </c>
      <c r="DM19" s="735">
        <v>10666.89</v>
      </c>
      <c r="DN19" s="700">
        <f t="shared" si="617"/>
        <v>0.93969538896487237</v>
      </c>
      <c r="DO19" s="593">
        <f>'Proy 2021 vs 2019 Sem'!EM18*$DR$4</f>
        <v>12973.0672</v>
      </c>
      <c r="DP19" s="593">
        <f>'Proy 2021 vs 2019 Sem'!EN18*$DR$4</f>
        <v>9081.1470399999998</v>
      </c>
      <c r="DQ19" s="735">
        <v>11829.1</v>
      </c>
      <c r="DR19" s="700">
        <f t="shared" si="618"/>
        <v>0.91181983548192835</v>
      </c>
      <c r="DS19" s="593">
        <f>'Proy 2021 vs 2019 Sem'!EM18*$DV$4</f>
        <v>17837.967400000001</v>
      </c>
      <c r="DT19" s="593">
        <f>'Proy 2021 vs 2019 Sem'!EN18*$DV$4</f>
        <v>12486.577179999998</v>
      </c>
      <c r="DU19" s="735">
        <v>21200.22</v>
      </c>
      <c r="DV19" s="700">
        <f t="shared" si="619"/>
        <v>1.1884885494296844</v>
      </c>
      <c r="DW19" s="579">
        <f t="shared" si="620"/>
        <v>81081.67</v>
      </c>
      <c r="DX19" s="574">
        <f t="shared" si="621"/>
        <v>56757.169000000002</v>
      </c>
      <c r="DY19" s="710">
        <f t="shared" si="622"/>
        <v>80932.429999999993</v>
      </c>
      <c r="DZ19" s="711">
        <f t="shared" si="623"/>
        <v>0.99815938670232118</v>
      </c>
      <c r="EA19" s="593">
        <f>'Proy 2021 vs 2019 Sem'!ER18*$ED$4</f>
        <v>13592.613599999999</v>
      </c>
      <c r="EB19" s="593">
        <f>'Proy 2021 vs 2019 Sem'!ES18*$ED$4</f>
        <v>8835.1988400000009</v>
      </c>
      <c r="EC19" s="735">
        <v>7939.48</v>
      </c>
      <c r="ED19" s="700">
        <f t="shared" si="624"/>
        <v>0.58410253050965855</v>
      </c>
      <c r="EE19" s="593">
        <f>'Proy 2021 vs 2019 Sem'!ER18*$EH$4</f>
        <v>13592.613599999999</v>
      </c>
      <c r="EF19" s="593">
        <f>'Proy 2021 vs 2019 Sem'!ES18*$EH$4</f>
        <v>8835.1988400000009</v>
      </c>
      <c r="EG19" s="735">
        <v>9574.98</v>
      </c>
      <c r="EH19" s="700">
        <f t="shared" si="625"/>
        <v>0.70442523283380909</v>
      </c>
      <c r="EI19" s="593">
        <f>'Proy 2021 vs 2019 Sem'!ER18*$EL$4</f>
        <v>13592.613599999999</v>
      </c>
      <c r="EJ19" s="593">
        <f>'Proy 2021 vs 2019 Sem'!ES18*$EL$4</f>
        <v>8835.1988400000009</v>
      </c>
      <c r="EK19" s="735">
        <v>7045.46</v>
      </c>
      <c r="EL19" s="700">
        <f t="shared" si="626"/>
        <v>0.51833004360544765</v>
      </c>
      <c r="EM19" s="593">
        <f>'Proy 2021 vs 2019 Sem'!ER18*$EP$4</f>
        <v>13592.613599999999</v>
      </c>
      <c r="EN19" s="593">
        <f>'Proy 2021 vs 2019 Sem'!ES18*$EP$4</f>
        <v>8835.1988400000009</v>
      </c>
      <c r="EO19" s="735">
        <v>7761.84</v>
      </c>
      <c r="EP19" s="700">
        <f t="shared" si="627"/>
        <v>0.57103366787385179</v>
      </c>
      <c r="EQ19" s="593">
        <f>'Proy 2021 vs 2019 Sem'!ER18*$ET$4</f>
        <v>15858.049200000001</v>
      </c>
      <c r="ER19" s="593">
        <f>'Proy 2021 vs 2019 Sem'!ES18*$ET$4</f>
        <v>10307.731980000002</v>
      </c>
      <c r="ES19" s="735">
        <v>9001.24</v>
      </c>
      <c r="ET19" s="1370">
        <f t="shared" si="628"/>
        <v>0.5676133228291409</v>
      </c>
      <c r="EU19" s="593">
        <f>'Proy 2021 vs 2019 Sem'!ER18*$EX$4</f>
        <v>18123.484800000002</v>
      </c>
      <c r="EV19" s="593">
        <f>'Proy 2021 vs 2019 Sem'!ES18*$EX$4</f>
        <v>11780.265120000002</v>
      </c>
      <c r="EW19" s="735">
        <v>11284.11</v>
      </c>
      <c r="EX19" s="700">
        <f t="shared" si="629"/>
        <v>0.62262363582526903</v>
      </c>
      <c r="EY19" s="593">
        <f>'Proy 2021 vs 2019 Sem'!ER18*$FB$4</f>
        <v>24919.7916</v>
      </c>
      <c r="EZ19" s="593">
        <f>'Proy 2021 vs 2019 Sem'!ES18*$FB$4</f>
        <v>16197.864540000002</v>
      </c>
      <c r="FA19" s="699">
        <v>15660.5</v>
      </c>
      <c r="FB19" s="700">
        <f t="shared" si="630"/>
        <v>0.62843623459515607</v>
      </c>
      <c r="FC19" s="579">
        <f t="shared" si="631"/>
        <v>113271.78</v>
      </c>
      <c r="FD19" s="574">
        <f t="shared" si="632"/>
        <v>73626.657000000007</v>
      </c>
      <c r="FE19" s="710">
        <f t="shared" si="633"/>
        <v>68267.61</v>
      </c>
      <c r="FF19" s="711">
        <f t="shared" si="634"/>
        <v>0.60268859551778919</v>
      </c>
      <c r="FG19" s="593">
        <f>'Proy 2021 vs 2019 Sem'!FA18*$FJ$4</f>
        <v>10800.877199999999</v>
      </c>
      <c r="FH19" s="593">
        <f>'Proy 2021 vs 2019 Sem'!FB18*$FJ$4</f>
        <v>7560.6140399999986</v>
      </c>
      <c r="FI19" s="735">
        <v>7786.91</v>
      </c>
      <c r="FJ19" s="700">
        <f t="shared" si="635"/>
        <v>0.72095162789185319</v>
      </c>
      <c r="FK19" s="593">
        <f>'Proy 2021 vs 2019 Sem'!FA18*$FN$4</f>
        <v>10800.877199999999</v>
      </c>
      <c r="FL19" s="593">
        <f>'Proy 2021 vs 2019 Sem'!FB18*$FN$4</f>
        <v>7560.6140399999986</v>
      </c>
      <c r="FM19" s="735">
        <v>15207.8</v>
      </c>
      <c r="FN19" s="700">
        <f t="shared" si="636"/>
        <v>1.4080152675006805</v>
      </c>
      <c r="FO19" s="593">
        <f>'Proy 2021 vs 2019 Sem'!FA18*$FR$4</f>
        <v>10800.877199999999</v>
      </c>
      <c r="FP19" s="593">
        <f>'Proy 2021 vs 2019 Sem'!FB18*$FR$4</f>
        <v>7560.6140399999986</v>
      </c>
      <c r="FQ19" s="735">
        <v>6751.78</v>
      </c>
      <c r="FR19" s="700">
        <f t="shared" si="637"/>
        <v>0.62511404166320861</v>
      </c>
      <c r="FS19" s="593">
        <f>'Proy 2021 vs 2019 Sem'!FA18*$FV$4</f>
        <v>10800.877199999999</v>
      </c>
      <c r="FT19" s="593">
        <f>'Proy 2021 vs 2019 Sem'!FB18*$FV$4</f>
        <v>7560.6140399999986</v>
      </c>
      <c r="FU19" s="735">
        <v>10183.01</v>
      </c>
      <c r="FV19" s="700">
        <f t="shared" si="638"/>
        <v>0.94279472041400503</v>
      </c>
      <c r="FW19" s="593">
        <f>'Proy 2021 vs 2019 Sem'!FA18*$FZ$4</f>
        <v>12601.0234</v>
      </c>
      <c r="FX19" s="593">
        <f>'Proy 2021 vs 2019 Sem'!FB18*$FZ$4</f>
        <v>8820.7163799999998</v>
      </c>
      <c r="FY19" s="735">
        <v>8677.64</v>
      </c>
      <c r="FZ19" s="700">
        <f t="shared" si="639"/>
        <v>0.688645653971248</v>
      </c>
      <c r="GA19" s="593">
        <f>'Proy 2021 vs 2019 Sem'!FA18*$GD$4</f>
        <v>14401.169599999999</v>
      </c>
      <c r="GB19" s="593">
        <f>'Proy 2021 vs 2019 Sem'!FB18*$GD$4</f>
        <v>10080.818719999999</v>
      </c>
      <c r="GC19" s="735">
        <v>10565.05</v>
      </c>
      <c r="GD19" s="700">
        <f t="shared" si="640"/>
        <v>0.73362444117038939</v>
      </c>
      <c r="GE19" s="593">
        <f>'Proy 2021 vs 2019 Sem'!FA18*$GH$4</f>
        <v>19801.608199999999</v>
      </c>
      <c r="GF19" s="593">
        <f>'Proy 2021 vs 2019 Sem'!FB18*$GH$4</f>
        <v>13861.125739999998</v>
      </c>
      <c r="GG19" s="735">
        <v>17856.099999999999</v>
      </c>
      <c r="GH19" s="700">
        <f t="shared" si="641"/>
        <v>0.90174999018514057</v>
      </c>
      <c r="GI19" s="579">
        <f t="shared" si="642"/>
        <v>90007.31</v>
      </c>
      <c r="GJ19" s="574">
        <f t="shared" si="643"/>
        <v>63005.116999999991</v>
      </c>
      <c r="GK19" s="759">
        <f t="shared" si="644"/>
        <v>77028.290000000008</v>
      </c>
      <c r="GL19" s="761">
        <f t="shared" si="645"/>
        <v>0.85580037888033778</v>
      </c>
      <c r="GM19" s="593">
        <f>'Proy 2021 vs 2019 Sem'!FF18*$GP$4</f>
        <v>11298.882</v>
      </c>
      <c r="GN19" s="593">
        <f>'Proy 2021 vs 2019 Sem'!FG18*$GP$4</f>
        <v>8135.1950399999996</v>
      </c>
      <c r="GO19" s="735">
        <v>9689.1</v>
      </c>
      <c r="GP19" s="700">
        <f t="shared" si="646"/>
        <v>0.85752731995962084</v>
      </c>
      <c r="GQ19" s="593">
        <f>'Proy 2021 vs 2019 Sem'!FF18*$GT$4</f>
        <v>11298.882</v>
      </c>
      <c r="GR19" s="593">
        <f>'Proy 2021 vs 2019 Sem'!FG18*$GT$4</f>
        <v>8135.1950399999996</v>
      </c>
      <c r="GS19" s="735">
        <v>12691.86</v>
      </c>
      <c r="GT19" s="700">
        <f t="shared" si="647"/>
        <v>1.1232845869175376</v>
      </c>
      <c r="GU19" s="593">
        <f>'Proy 2021 vs 2019 Sem'!FF18*$GX$4</f>
        <v>11298.882</v>
      </c>
      <c r="GV19" s="593">
        <f>'Proy 2021 vs 2019 Sem'!FG18*$GX$4</f>
        <v>8135.1950399999996</v>
      </c>
      <c r="GW19" s="735">
        <v>9356.69</v>
      </c>
      <c r="GX19" s="700">
        <f t="shared" si="648"/>
        <v>0.82810759507002563</v>
      </c>
      <c r="GY19" s="593">
        <f>'Proy 2021 vs 2019 Sem'!FF18*$HB$4</f>
        <v>11298.882</v>
      </c>
      <c r="GZ19" s="593">
        <f>'Proy 2021 vs 2019 Sem'!FG18*$HB$4</f>
        <v>8135.1950399999996</v>
      </c>
      <c r="HA19" s="735">
        <v>9358.75</v>
      </c>
      <c r="HB19" s="700">
        <f t="shared" si="649"/>
        <v>0.82828991399326057</v>
      </c>
      <c r="HC19" s="593">
        <f>'Proy 2021 vs 2019 Sem'!FF18*$HF$4</f>
        <v>13182.029000000002</v>
      </c>
      <c r="HD19" s="593">
        <f>'Proy 2021 vs 2019 Sem'!FG18*$HF$4</f>
        <v>9491.0608800000009</v>
      </c>
      <c r="HE19" s="735">
        <v>9168.1</v>
      </c>
      <c r="HF19" s="700">
        <f t="shared" si="650"/>
        <v>0.69549991128072919</v>
      </c>
      <c r="HG19" s="593">
        <f>'Proy 2021 vs 2019 Sem'!FF18*$HJ$4</f>
        <v>15065.176000000001</v>
      </c>
      <c r="HH19" s="593">
        <f>'Proy 2021 vs 2019 Sem'!FG18*$HJ$4</f>
        <v>10846.926720000001</v>
      </c>
      <c r="HI19" s="735">
        <v>11714.21</v>
      </c>
      <c r="HJ19" s="700">
        <f t="shared" si="651"/>
        <v>0.77756874529710096</v>
      </c>
      <c r="HK19" s="593">
        <f>'Proy 2021 vs 2019 Sem'!FF18*$HN$4</f>
        <v>20714.617000000002</v>
      </c>
      <c r="HL19" s="593">
        <f>'Proy 2021 vs 2019 Sem'!FG18*$HN$4</f>
        <v>14914.524240000001</v>
      </c>
      <c r="HM19" s="735">
        <v>19555.29</v>
      </c>
      <c r="HN19" s="700">
        <f t="shared" si="652"/>
        <v>0.94403338473503995</v>
      </c>
      <c r="HO19" s="579">
        <f t="shared" si="653"/>
        <v>94157.35</v>
      </c>
      <c r="HP19" s="574">
        <f t="shared" si="654"/>
        <v>67793.292000000001</v>
      </c>
      <c r="HQ19" s="765">
        <f t="shared" si="655"/>
        <v>81534</v>
      </c>
      <c r="HR19" s="761">
        <f t="shared" si="656"/>
        <v>0.86593346138140037</v>
      </c>
      <c r="HS19" s="593">
        <f>'Proy 2021 vs 2019 Sem'!FK18*$CX$4</f>
        <v>10893.653999999999</v>
      </c>
      <c r="HT19" s="593">
        <f>'Proy 2021 vs 2019 Sem'!FL18*$CX$4</f>
        <v>8605.9866600000005</v>
      </c>
      <c r="HU19" s="735">
        <v>7289.31</v>
      </c>
      <c r="HV19" s="700">
        <f t="shared" si="657"/>
        <v>0.66913360751130901</v>
      </c>
      <c r="HW19" s="593">
        <f>'Proy 2021 vs 2019 Sem'!FK18*$DB$4</f>
        <v>10893.653999999999</v>
      </c>
      <c r="HX19" s="593">
        <f>'Proy 2021 vs 2019 Sem'!FL18*$DB$4</f>
        <v>8605.9866600000005</v>
      </c>
      <c r="HY19" s="735">
        <v>10771.33</v>
      </c>
      <c r="HZ19" s="700">
        <f t="shared" si="658"/>
        <v>0.98877107717942958</v>
      </c>
      <c r="IA19" s="593">
        <f>'Proy 2021 vs 2019 Sem'!FK18*$DF$4</f>
        <v>10893.653999999999</v>
      </c>
      <c r="IB19" s="593">
        <f>'Proy 2021 vs 2019 Sem'!FL18*$DF$4</f>
        <v>8605.9866600000005</v>
      </c>
      <c r="IC19" s="735">
        <v>5963.74</v>
      </c>
      <c r="ID19" s="700">
        <f t="shared" si="659"/>
        <v>0.54745083697352614</v>
      </c>
      <c r="IE19" s="593">
        <f>'Proy 2021 vs 2019 Sem'!FK18*$DJ$4</f>
        <v>10893.653999999999</v>
      </c>
      <c r="IF19" s="593">
        <f>'Proy 2021 vs 2019 Sem'!FL18*$DJ$4</f>
        <v>8605.9866600000005</v>
      </c>
      <c r="IG19" s="735">
        <v>6461.54</v>
      </c>
      <c r="IH19" s="700">
        <f t="shared" si="660"/>
        <v>0.59314716623090846</v>
      </c>
      <c r="II19" s="593">
        <f>'Proy 2021 vs 2019 Sem'!FK18*$DN$4</f>
        <v>12709.263000000001</v>
      </c>
      <c r="IJ19" s="593">
        <f>'Proy 2021 vs 2019 Sem'!FL18*$DN$4</f>
        <v>10040.317770000001</v>
      </c>
      <c r="IK19" s="735">
        <v>10409.73</v>
      </c>
      <c r="IL19" s="700">
        <f t="shared" si="661"/>
        <v>0.81906637701965868</v>
      </c>
      <c r="IM19" s="593">
        <f>'Proy 2021 vs 2019 Sem'!FK18*$DR$4</f>
        <v>14524.871999999999</v>
      </c>
      <c r="IN19" s="593">
        <f>'Proy 2021 vs 2019 Sem'!FL18*$DR$4</f>
        <v>11474.648880000001</v>
      </c>
      <c r="IO19" s="1410">
        <v>11555.27</v>
      </c>
      <c r="IP19" s="700">
        <f t="shared" si="662"/>
        <v>0.79555055631471316</v>
      </c>
      <c r="IQ19" s="593">
        <f>'Proy 2021 vs 2019 Sem'!FK18*$IT$4</f>
        <v>19971.699000000001</v>
      </c>
      <c r="IR19" s="593">
        <f>'Proy 2021 vs 2019 Sem'!FL18*$IT$4</f>
        <v>15777.64221</v>
      </c>
      <c r="IS19" s="735">
        <v>18311.59</v>
      </c>
      <c r="IT19" s="700">
        <f t="shared" si="663"/>
        <v>0.91687692669511989</v>
      </c>
      <c r="IU19" s="579">
        <f t="shared" si="664"/>
        <v>90780.449999999983</v>
      </c>
      <c r="IV19" s="574">
        <f t="shared" si="665"/>
        <v>71716.555500000002</v>
      </c>
      <c r="IW19" s="765">
        <f t="shared" si="666"/>
        <v>70762.509999999995</v>
      </c>
      <c r="IX19" s="761">
        <f t="shared" si="667"/>
        <v>0.7794906282134535</v>
      </c>
      <c r="IY19" s="593">
        <f>'Proy 2021 vs 2019 Sem'!FP18*$JB$4</f>
        <v>10499.286</v>
      </c>
      <c r="IZ19" s="593">
        <f>'Proy 2021 vs 2019 Sem'!FQ18*$JB$4</f>
        <v>7979.4573600000003</v>
      </c>
      <c r="JA19" s="735">
        <v>7649.37</v>
      </c>
      <c r="JB19" s="700">
        <f t="shared" si="668"/>
        <v>0.72856097071743731</v>
      </c>
      <c r="JC19" s="593">
        <f>'Proy 2021 vs 2019 Sem'!FP18*$JF$4</f>
        <v>10499.286</v>
      </c>
      <c r="JD19" s="593">
        <f>'Proy 2021 vs 2019 Sem'!FQ18*$JF$4</f>
        <v>7979.4573600000003</v>
      </c>
      <c r="JE19" s="735">
        <v>7962.44</v>
      </c>
      <c r="JF19" s="700">
        <f t="shared" si="669"/>
        <v>0.75837918883245958</v>
      </c>
      <c r="JG19" s="593">
        <f>'Proy 2021 vs 2019 Sem'!FP18*$JJ$4</f>
        <v>10499.286</v>
      </c>
      <c r="JH19" s="593">
        <f>'Proy 2021 vs 2019 Sem'!FQ18*$JJ$4</f>
        <v>7979.4573600000003</v>
      </c>
      <c r="JI19" s="735">
        <v>8462.1200000000008</v>
      </c>
      <c r="JJ19" s="700">
        <f t="shared" si="670"/>
        <v>0.80597099650395276</v>
      </c>
      <c r="JK19" s="593">
        <f>'Proy 2021 vs 2019 Sem'!FP18*$JN$4</f>
        <v>10499.286</v>
      </c>
      <c r="JL19" s="593">
        <f>'Proy 2021 vs 2019 Sem'!FQ18*$JN$4</f>
        <v>7979.4573600000003</v>
      </c>
      <c r="JM19" s="735">
        <v>10285.68</v>
      </c>
      <c r="JN19" s="700">
        <f t="shared" si="671"/>
        <v>0.9796551879813542</v>
      </c>
      <c r="JO19" s="593">
        <f>'Proy 2021 vs 2019 Sem'!FP18*$JR$4</f>
        <v>12249.167000000001</v>
      </c>
      <c r="JP19" s="593">
        <f>'Proy 2021 vs 2019 Sem'!FQ18*$JR$4</f>
        <v>9309.3669200000004</v>
      </c>
      <c r="JQ19" s="735">
        <v>9093.49</v>
      </c>
      <c r="JR19" s="700">
        <f t="shared" si="672"/>
        <v>0.74237619586703318</v>
      </c>
      <c r="JS19" s="593">
        <f>'Proy 2021 vs 2019 Sem'!FP18*$JV$4</f>
        <v>13999.048000000001</v>
      </c>
      <c r="JT19" s="593">
        <f>'Proy 2021 vs 2019 Sem'!FQ18*$JV$4</f>
        <v>10639.27648</v>
      </c>
      <c r="JU19" s="735">
        <v>10640.4</v>
      </c>
      <c r="JV19" s="700">
        <f t="shared" si="673"/>
        <v>0.76008025688603964</v>
      </c>
      <c r="JW19" s="593">
        <f>'Proy 2021 vs 2019 Sem'!FP18*$JZ$4</f>
        <v>19248.691000000003</v>
      </c>
      <c r="JX19" s="593">
        <f>'Proy 2021 vs 2019 Sem'!FQ18*$JZ$4</f>
        <v>14629.005160000001</v>
      </c>
      <c r="JY19" s="735">
        <v>20119.57</v>
      </c>
      <c r="JZ19" s="700">
        <f t="shared" si="674"/>
        <v>1.0452435440934658</v>
      </c>
      <c r="KA19" s="579">
        <f t="shared" si="675"/>
        <v>87494.05</v>
      </c>
      <c r="KB19" s="574">
        <f t="shared" si="676"/>
        <v>66495.478000000003</v>
      </c>
      <c r="KC19" s="770">
        <f t="shared" si="677"/>
        <v>74213.070000000007</v>
      </c>
      <c r="KD19" s="761">
        <f t="shared" si="678"/>
        <v>0.84820704950793802</v>
      </c>
      <c r="KE19" s="593">
        <f>'Proy 2021 vs 2019 Sem'!FY18*$KH$4</f>
        <v>8889.9743999999992</v>
      </c>
      <c r="KF19" s="593">
        <f>'Proy 2021 vs 2019 Sem'!FZ18*$KH$4</f>
        <v>6667.4807999999994</v>
      </c>
      <c r="KG19" s="735">
        <v>3969.5</v>
      </c>
      <c r="KH19" s="700">
        <f t="shared" si="679"/>
        <v>0.44651422168324806</v>
      </c>
      <c r="KI19" s="593">
        <f>'Proy 2021 vs 2019 Sem'!FY18*$KL$4</f>
        <v>8889.9743999999992</v>
      </c>
      <c r="KJ19" s="593">
        <f>'Proy 2021 vs 2019 Sem'!FZ18*$KL$4</f>
        <v>6667.4807999999994</v>
      </c>
      <c r="KK19" s="735">
        <v>11252.81</v>
      </c>
      <c r="KL19" s="700">
        <f t="shared" si="680"/>
        <v>1.2657865471468626</v>
      </c>
      <c r="KM19" s="593">
        <f>'Proy 2021 vs 2019 Sem'!FY18*$KP$4</f>
        <v>8889.9743999999992</v>
      </c>
      <c r="KN19" s="593">
        <f>'Proy 2021 vs 2019 Sem'!FZ18*$KP$4</f>
        <v>6667.4807999999994</v>
      </c>
      <c r="KO19" s="735">
        <v>9389.77</v>
      </c>
      <c r="KP19" s="700">
        <f t="shared" si="681"/>
        <v>1.0562201393965771</v>
      </c>
      <c r="KQ19" s="593">
        <f>'Proy 2021 vs 2019 Sem'!FY18*$KT$4</f>
        <v>8889.9743999999992</v>
      </c>
      <c r="KR19" s="593">
        <f>'Proy 2021 vs 2019 Sem'!FZ18*$KT$4</f>
        <v>6667.4807999999994</v>
      </c>
      <c r="KS19" s="735">
        <v>8567.9</v>
      </c>
      <c r="KT19" s="700">
        <f t="shared" si="682"/>
        <v>0.96377105427885157</v>
      </c>
      <c r="KU19" s="593">
        <f>'Proy 2021 vs 2019 Sem'!FY18*$KX$4</f>
        <v>10371.6368</v>
      </c>
      <c r="KV19" s="593">
        <f>'Proy 2021 vs 2019 Sem'!FZ18*$KX$4</f>
        <v>7778.7276000000002</v>
      </c>
      <c r="KW19" s="735">
        <v>8854.2800000000007</v>
      </c>
      <c r="KX19" s="700">
        <f t="shared" si="683"/>
        <v>0.85370131742368771</v>
      </c>
      <c r="KY19" s="593">
        <f>'Proy 2021 vs 2019 Sem'!FY18*$LB$4</f>
        <v>11853.299199999999</v>
      </c>
      <c r="KZ19" s="593">
        <f>'Proy 2021 vs 2019 Sem'!FZ18*$LB$4</f>
        <v>8889.9743999999992</v>
      </c>
      <c r="LA19" s="735">
        <v>10628.87</v>
      </c>
      <c r="LB19" s="700">
        <f t="shared" si="684"/>
        <v>0.89670140107490082</v>
      </c>
      <c r="LC19" s="593">
        <f>'Proy 2021 vs 2019 Sem'!FY18*$LF$4</f>
        <v>16298.286399999999</v>
      </c>
      <c r="LD19" s="593">
        <f>'Proy 2021 vs 2019 Sem'!FZ18*$LF$4</f>
        <v>12223.7148</v>
      </c>
      <c r="LE19" s="735">
        <v>18831.96</v>
      </c>
      <c r="LF19" s="700">
        <f t="shared" si="685"/>
        <v>1.1554564411139567</v>
      </c>
      <c r="LG19" s="579">
        <f t="shared" si="686"/>
        <v>74083.12</v>
      </c>
      <c r="LH19" s="574">
        <f t="shared" si="687"/>
        <v>55562.34</v>
      </c>
      <c r="LI19" s="793">
        <f t="shared" si="688"/>
        <v>71495.09</v>
      </c>
      <c r="LJ19" s="786">
        <f t="shared" si="689"/>
        <v>0.96506586115703552</v>
      </c>
      <c r="LK19" s="593">
        <f>'Proy 2021 vs 2019 Sem'!GD18*$LN$4</f>
        <v>9927.7439999999988</v>
      </c>
      <c r="LL19" s="593">
        <f>'Proy 2021 vs 2019 Sem'!GE18*$LN$4</f>
        <v>8041.472639999999</v>
      </c>
      <c r="LM19" s="735">
        <v>7175.66</v>
      </c>
      <c r="LN19" s="700">
        <f t="shared" si="690"/>
        <v>0.72278858117211731</v>
      </c>
      <c r="LO19" s="593">
        <f>'Proy 2021 vs 2019 Sem'!GD18*$LR$4</f>
        <v>9927.7439999999988</v>
      </c>
      <c r="LP19" s="593">
        <f>'Proy 2021 vs 2019 Sem'!GE18*$LR$4</f>
        <v>8041.472639999999</v>
      </c>
      <c r="LQ19" s="735">
        <v>7911.16</v>
      </c>
      <c r="LR19" s="700">
        <f t="shared" si="691"/>
        <v>0.79687389199399183</v>
      </c>
      <c r="LS19" s="593">
        <f>'Proy 2021 vs 2019 Sem'!GD18*$LV$4</f>
        <v>9927.7439999999988</v>
      </c>
      <c r="LT19" s="593">
        <f>'Proy 2021 vs 2019 Sem'!GE18*$LV$4</f>
        <v>8041.472639999999</v>
      </c>
      <c r="LU19" s="735">
        <v>6615.03</v>
      </c>
      <c r="LV19" s="700">
        <f t="shared" si="692"/>
        <v>0.66631754404626076</v>
      </c>
      <c r="LW19" s="593">
        <f>'Proy 2021 vs 2019 Sem'!GD18*$LZ$4</f>
        <v>9927.7439999999988</v>
      </c>
      <c r="LX19" s="593">
        <f>'Proy 2021 vs 2019 Sem'!GE18*$LZ$4</f>
        <v>8041.472639999999</v>
      </c>
      <c r="LY19" s="735">
        <v>5430.38</v>
      </c>
      <c r="LZ19" s="700">
        <f t="shared" si="693"/>
        <v>0.54699033335267311</v>
      </c>
      <c r="MA19" s="593">
        <f>'Proy 2021 vs 2019 Sem'!GD18*$MD$4</f>
        <v>11582.368</v>
      </c>
      <c r="MB19" s="593">
        <f>'Proy 2021 vs 2019 Sem'!GE18*$MD$4</f>
        <v>9381.7180800000006</v>
      </c>
      <c r="MC19" s="735">
        <v>5229.99</v>
      </c>
      <c r="MD19" s="700">
        <f t="shared" si="694"/>
        <v>0.45154755918651518</v>
      </c>
      <c r="ME19" s="593">
        <f>'Proy 2021 vs 2019 Sem'!GD18*$MH$4</f>
        <v>13236.992</v>
      </c>
      <c r="MF19" s="593">
        <f>'Proy 2021 vs 2019 Sem'!GE18*$MH$4</f>
        <v>10721.963519999999</v>
      </c>
      <c r="MG19" s="735">
        <v>8440.1299999999992</v>
      </c>
      <c r="MH19" s="700">
        <f t="shared" si="695"/>
        <v>0.63761691477943017</v>
      </c>
      <c r="MI19" s="593">
        <f>'Proy 2021 vs 2019 Sem'!GD18*$ML$4</f>
        <v>18200.863999999998</v>
      </c>
      <c r="MJ19" s="593">
        <f>'Proy 2021 vs 2019 Sem'!GE18*$ML$4</f>
        <v>14742.699839999999</v>
      </c>
      <c r="MK19" s="735">
        <v>18113.419999999998</v>
      </c>
      <c r="ML19" s="700">
        <f t="shared" si="696"/>
        <v>0.99519561269179313</v>
      </c>
      <c r="MM19" s="579">
        <f t="shared" si="697"/>
        <v>82731.199999999997</v>
      </c>
      <c r="MN19" s="574">
        <f t="shared" si="698"/>
        <v>67012.271999999997</v>
      </c>
      <c r="MO19" s="794">
        <f t="shared" si="699"/>
        <v>58915.77</v>
      </c>
      <c r="MP19" s="786">
        <f t="shared" si="700"/>
        <v>0.71213484151082063</v>
      </c>
      <c r="MQ19" s="593">
        <f>'Proy 2021 vs 2019 Sem'!GI18*$MT$4</f>
        <v>8063.6375999999991</v>
      </c>
      <c r="MR19" s="593">
        <f>'Proy 2021 vs 2019 Sem'!GJ18*$MT$4</f>
        <v>6450.9100799999997</v>
      </c>
      <c r="MS19" s="735">
        <v>5696.18</v>
      </c>
      <c r="MT19" s="700">
        <f t="shared" si="701"/>
        <v>0.70640327387728841</v>
      </c>
      <c r="MU19" s="593">
        <f>'Proy 2021 vs 2019 Sem'!GI18*$MX$4</f>
        <v>8063.6375999999991</v>
      </c>
      <c r="MV19" s="593">
        <f>'Proy 2021 vs 2019 Sem'!GJ18*$MX$4</f>
        <v>6450.9100799999997</v>
      </c>
      <c r="MW19" s="735">
        <v>8560.66</v>
      </c>
      <c r="MX19" s="700">
        <f t="shared" si="702"/>
        <v>1.0616374922404748</v>
      </c>
      <c r="MY19" s="593">
        <f>'Proy 2021 vs 2019 Sem'!GI18*$NB$4</f>
        <v>8063.6375999999991</v>
      </c>
      <c r="MZ19" s="593">
        <f>'Proy 2021 vs 2019 Sem'!GJ18*$NB$4</f>
        <v>6450.9100799999997</v>
      </c>
      <c r="NA19" s="735">
        <v>6623.26</v>
      </c>
      <c r="NB19" s="700">
        <f t="shared" si="703"/>
        <v>0.82137371848159457</v>
      </c>
      <c r="NC19" s="593">
        <f>'Proy 2021 vs 2019 Sem'!GI18*$NF$4</f>
        <v>8063.6375999999991</v>
      </c>
      <c r="ND19" s="593">
        <f>'Proy 2021 vs 2019 Sem'!GJ18*$NF$4</f>
        <v>6450.9100799999997</v>
      </c>
      <c r="NE19" s="735">
        <v>5832</v>
      </c>
      <c r="NF19" s="700">
        <f t="shared" si="704"/>
        <v>0.72324678876937631</v>
      </c>
      <c r="NG19" s="593">
        <f>'Proy 2021 vs 2019 Sem'!GI18*$NJ$4</f>
        <v>9407.5771999999997</v>
      </c>
      <c r="NH19" s="593">
        <f>'Proy 2021 vs 2019 Sem'!GJ18*$NJ$4</f>
        <v>7526.0617600000014</v>
      </c>
      <c r="NI19" s="735">
        <v>7834.82</v>
      </c>
      <c r="NJ19" s="700">
        <f t="shared" si="705"/>
        <v>0.83282016543005355</v>
      </c>
      <c r="NK19" s="593">
        <f>'Proy 2021 vs 2019 Sem'!GI18*$NN$4</f>
        <v>10751.516799999999</v>
      </c>
      <c r="NL19" s="593">
        <f>'Proy 2021 vs 2019 Sem'!GJ18*$NN$4</f>
        <v>8601.2134400000014</v>
      </c>
      <c r="NM19" s="735">
        <v>8618.75</v>
      </c>
      <c r="NN19" s="700">
        <f t="shared" si="706"/>
        <v>0.8016310777656972</v>
      </c>
      <c r="NO19" s="593">
        <f>'Proy 2021 vs 2019 Sem'!GI18*$NR$4</f>
        <v>14783.335599999999</v>
      </c>
      <c r="NP19" s="593">
        <f>'Proy 2021 vs 2019 Sem'!GJ18*$NR$4</f>
        <v>11826.66848</v>
      </c>
      <c r="NQ19" s="735">
        <v>16395.62</v>
      </c>
      <c r="NR19" s="700">
        <f t="shared" si="707"/>
        <v>1.1090609348001272</v>
      </c>
      <c r="NS19" s="579">
        <f t="shared" si="708"/>
        <v>67196.979999999981</v>
      </c>
      <c r="NT19" s="574">
        <f t="shared" si="709"/>
        <v>53757.584000000003</v>
      </c>
      <c r="NU19" s="794">
        <f t="shared" si="710"/>
        <v>59561.289999999994</v>
      </c>
      <c r="NV19" s="786">
        <f t="shared" si="711"/>
        <v>0.8863685540629952</v>
      </c>
      <c r="NW19" s="593">
        <f>'Proy 2021 vs 2019 Sem'!GN18*$NZ$4</f>
        <v>9207.27</v>
      </c>
      <c r="NX19" s="593">
        <f>'Proy 2021 vs 2019 Sem'!GO18*$NZ$4</f>
        <v>6721.3071</v>
      </c>
      <c r="NY19" s="735">
        <v>8464.91</v>
      </c>
      <c r="NZ19" s="700">
        <f t="shared" si="712"/>
        <v>0.91937240897681938</v>
      </c>
      <c r="OA19" s="593">
        <f>'Proy 2021 vs 2019 Sem'!GN18*$OD$4</f>
        <v>9207.27</v>
      </c>
      <c r="OB19" s="593">
        <f>'Proy 2021 vs 2019 Sem'!GO18*$OD$4</f>
        <v>6721.3071</v>
      </c>
      <c r="OC19" s="735">
        <v>8583.0400000000009</v>
      </c>
      <c r="OD19" s="700">
        <f t="shared" si="713"/>
        <v>0.93220248781669268</v>
      </c>
      <c r="OE19" s="593">
        <f>'Proy 2021 vs 2019 Sem'!GN18*$OH$4</f>
        <v>9207.27</v>
      </c>
      <c r="OF19" s="593">
        <f>'Proy 2021 vs 2019 Sem'!GO18*$OH$4</f>
        <v>6721.3071</v>
      </c>
      <c r="OG19" s="735">
        <v>7991.94</v>
      </c>
      <c r="OH19" s="700">
        <f t="shared" si="714"/>
        <v>0.86800321919526624</v>
      </c>
      <c r="OI19" s="593">
        <f>'Proy 2021 vs 2019 Sem'!GN18*$OL$4</f>
        <v>9207.27</v>
      </c>
      <c r="OJ19" s="593">
        <f>'Proy 2021 vs 2019 Sem'!GO18*$OL$4</f>
        <v>6721.3071</v>
      </c>
      <c r="OK19" s="735">
        <v>5981.56</v>
      </c>
      <c r="OL19" s="700">
        <f t="shared" si="715"/>
        <v>0.64965619559326493</v>
      </c>
      <c r="OM19" s="593">
        <f>'Proy 2021 vs 2019 Sem'!GN18*$OP$4</f>
        <v>10741.815000000001</v>
      </c>
      <c r="ON19" s="593">
        <f>'Proy 2021 vs 2019 Sem'!GO18*$OP$4</f>
        <v>7841.5249500000009</v>
      </c>
      <c r="OO19" s="735">
        <v>7801.21</v>
      </c>
      <c r="OP19" s="700">
        <f t="shared" si="716"/>
        <v>0.72624691451118828</v>
      </c>
      <c r="OQ19" s="593">
        <f>'Proy 2021 vs 2019 Sem'!GN18*$JV$4</f>
        <v>12276.36</v>
      </c>
      <c r="OR19" s="593">
        <f>'Proy 2021 vs 2019 Sem'!GO18*$JV$4</f>
        <v>8961.7428</v>
      </c>
      <c r="OS19" s="735">
        <v>7806.45</v>
      </c>
      <c r="OT19" s="700">
        <f t="shared" si="717"/>
        <v>0.63589288681661338</v>
      </c>
      <c r="OU19" s="593">
        <f>'Proy 2021 vs 2019 Sem'!GN18*$OX$4</f>
        <v>16879.994999999999</v>
      </c>
      <c r="OV19" s="593">
        <f>'Proy 2021 vs 2019 Sem'!GO18*$OX$4</f>
        <v>12322.396350000001</v>
      </c>
      <c r="OW19" s="735">
        <v>17751.830000000002</v>
      </c>
      <c r="OX19" s="700">
        <f t="shared" si="718"/>
        <v>1.0516490081898722</v>
      </c>
      <c r="OY19" s="579">
        <f t="shared" si="719"/>
        <v>76727.25</v>
      </c>
      <c r="OZ19" s="574">
        <f t="shared" si="720"/>
        <v>56010.892500000002</v>
      </c>
      <c r="PA19" s="785">
        <f t="shared" si="721"/>
        <v>64380.94</v>
      </c>
      <c r="PB19" s="786">
        <f t="shared" si="722"/>
        <v>0.83908832911384157</v>
      </c>
      <c r="PC19" s="593">
        <f>'Proy 2021 vs 2019 Sem'!GW18*$PF$4</f>
        <v>9574.56</v>
      </c>
      <c r="PD19" s="593">
        <f>'Proy 2021 vs 2019 Sem'!GX18*$PF$4</f>
        <v>7276.6655999999994</v>
      </c>
      <c r="PE19" s="735">
        <v>7568.91</v>
      </c>
      <c r="PF19" s="700">
        <f t="shared" si="723"/>
        <v>0.79052301097909461</v>
      </c>
      <c r="PG19" s="593">
        <f>'Proy 2021 vs 2019 Sem'!GW18*$PJ$4</f>
        <v>9574.56</v>
      </c>
      <c r="PH19" s="593">
        <f>'Proy 2021 vs 2019 Sem'!GX18*$PJ$4</f>
        <v>7276.6655999999994</v>
      </c>
      <c r="PI19" s="735">
        <v>11137.53</v>
      </c>
      <c r="PJ19" s="700">
        <f t="shared" si="724"/>
        <v>1.1632419662104578</v>
      </c>
      <c r="PK19" s="593">
        <f>'Proy 2021 vs 2019 Sem'!GW18*'Vtas Diarias 2021'!$PN$4</f>
        <v>9574.56</v>
      </c>
      <c r="PL19" s="593">
        <f>'Proy 2021 vs 2019 Sem'!GX18*'Vtas Diarias 2021'!$PN$4</f>
        <v>7276.6655999999994</v>
      </c>
      <c r="PM19" s="735">
        <v>8625.15</v>
      </c>
      <c r="PN19" s="700">
        <f t="shared" si="725"/>
        <v>0.90084035193262146</v>
      </c>
      <c r="PO19" s="593">
        <f>'Proy 2021 vs 2019 Sem'!GW18*$PR$4</f>
        <v>9574.56</v>
      </c>
      <c r="PP19" s="593">
        <f>'Proy 2021 vs 2019 Sem'!GX18*$PR$4</f>
        <v>7276.6655999999994</v>
      </c>
      <c r="PQ19" s="735">
        <v>7677.02</v>
      </c>
      <c r="PR19" s="700">
        <f t="shared" si="726"/>
        <v>0.80181439147073086</v>
      </c>
      <c r="PS19" s="593">
        <f>'Proy 2021 vs 2019 Sem'!GW18*$PV$4</f>
        <v>11170.320000000002</v>
      </c>
      <c r="PT19" s="593">
        <f>'Proy 2021 vs 2019 Sem'!GX18*$PV$4</f>
        <v>8489.4431999999997</v>
      </c>
      <c r="PU19" s="735">
        <v>7885.68</v>
      </c>
      <c r="PV19" s="700">
        <f t="shared" si="727"/>
        <v>0.70594933717207742</v>
      </c>
      <c r="PW19" s="593">
        <f>'Proy 2021 vs 2019 Sem'!GW18*PZ$4</f>
        <v>12766.08</v>
      </c>
      <c r="PX19" s="593">
        <f>'Proy 2021 vs 2019 Sem'!GX18*$PZ$4</f>
        <v>9702.2207999999991</v>
      </c>
      <c r="PY19" s="735">
        <v>8553.26</v>
      </c>
      <c r="PZ19" s="700">
        <f t="shared" si="728"/>
        <v>0.66999893467689375</v>
      </c>
      <c r="QA19" s="593">
        <f>'Proy 2021 vs 2019 Sem'!GW18*$QD$4</f>
        <v>17553.36</v>
      </c>
      <c r="QB19" s="593">
        <f>'Proy 2021 vs 2019 Sem'!GX18*$QD$4</f>
        <v>13340.553599999999</v>
      </c>
      <c r="QC19" s="735">
        <v>11342.81</v>
      </c>
      <c r="QD19" s="700">
        <f t="shared" si="729"/>
        <v>0.64619024505849587</v>
      </c>
      <c r="QE19" s="579">
        <f t="shared" si="730"/>
        <v>79788</v>
      </c>
      <c r="QF19" s="574">
        <f t="shared" si="731"/>
        <v>60638.87999999999</v>
      </c>
      <c r="QG19" s="729">
        <f t="shared" si="732"/>
        <v>62790.36</v>
      </c>
      <c r="QH19" s="711">
        <f t="shared" si="733"/>
        <v>0.78696495713641146</v>
      </c>
      <c r="QI19" s="578">
        <f>'Proy 2021 vs 2019 Sem'!HB18*$QL$4</f>
        <v>9431.3111999999983</v>
      </c>
      <c r="QJ19" s="611">
        <f>'Proy 2021 vs 2019 Sem'!UG18*$AL$4</f>
        <v>0</v>
      </c>
      <c r="QK19" s="735">
        <v>5004.7</v>
      </c>
      <c r="QL19" s="700">
        <f t="shared" si="734"/>
        <v>0.5306473186888373</v>
      </c>
      <c r="QM19" s="593">
        <f>'Proy 2021 vs 2019 Sem'!HB18*$QP$4</f>
        <v>9431.3111999999983</v>
      </c>
      <c r="QN19" s="593">
        <f>'Proy 2021 vs 2019 Sem'!UG18*$AP$4</f>
        <v>0</v>
      </c>
      <c r="QO19" s="735">
        <v>7701.35</v>
      </c>
      <c r="QP19" s="700">
        <f t="shared" si="735"/>
        <v>0.81657256734355255</v>
      </c>
      <c r="QQ19" s="593">
        <f>'Proy 2021 vs 2019 Sem'!HB18*$QT$4</f>
        <v>9431.3111999999983</v>
      </c>
      <c r="QR19" s="593">
        <f>'Proy 2021 vs 2019 Sem'!HC18*$QT$4</f>
        <v>7545.0489599999992</v>
      </c>
      <c r="QS19" s="735">
        <v>7222.53</v>
      </c>
      <c r="QT19" s="700">
        <f t="shared" si="736"/>
        <v>0.76580338055221853</v>
      </c>
      <c r="QU19" s="593">
        <f>'Proy 2021 vs 2019 Sem'!HB18*$QX$4</f>
        <v>9431.3111999999983</v>
      </c>
      <c r="QV19" s="593">
        <f>'Proy 2021 vs 2019 Sem'!HC18*$QX$4</f>
        <v>7545.0489599999992</v>
      </c>
      <c r="QW19" s="735">
        <v>7909.39</v>
      </c>
      <c r="QX19" s="700">
        <f t="shared" si="737"/>
        <v>0.83863100604717633</v>
      </c>
      <c r="QY19" s="593">
        <f>'Proy 2021 vs 2019 Sem'!HB18*$RB$4</f>
        <v>11003.196400000001</v>
      </c>
      <c r="QZ19" s="593">
        <f>'Proy 2021 vs 2019 Sem'!HC18*$RB$4</f>
        <v>8802.5571199999995</v>
      </c>
      <c r="RA19" s="735">
        <v>7816.77</v>
      </c>
      <c r="RB19" s="700">
        <f t="shared" si="738"/>
        <v>0.71040902260001471</v>
      </c>
      <c r="RC19" s="593">
        <f>'Proy 2021 vs 2019 Sem'!HB18*$RF$4</f>
        <v>12575.0816</v>
      </c>
      <c r="RD19" s="593">
        <f>'Proy 2021 vs 2019 Sem'!HC18*$RF$4</f>
        <v>10060.065279999999</v>
      </c>
      <c r="RE19" s="735">
        <v>9852.6299999999992</v>
      </c>
      <c r="RF19" s="700">
        <f t="shared" si="739"/>
        <v>0.78350425972583748</v>
      </c>
      <c r="RG19" s="593">
        <f>'Proy 2021 vs 2019 Sem'!HB18*$RJ$4</f>
        <v>17290.7372</v>
      </c>
      <c r="RH19" s="593">
        <f>'Proy 2021 vs 2019 Sem'!HC18*$RJ$4</f>
        <v>13832.589759999999</v>
      </c>
      <c r="RI19" s="735">
        <v>11548.02</v>
      </c>
      <c r="RJ19" s="700">
        <f t="shared" si="740"/>
        <v>0.66787320091823499</v>
      </c>
      <c r="RK19" s="579">
        <f t="shared" si="741"/>
        <v>78594.259999999995</v>
      </c>
      <c r="RL19" s="574">
        <f t="shared" si="742"/>
        <v>47785.310079999996</v>
      </c>
      <c r="RM19" s="730">
        <f t="shared" si="743"/>
        <v>57055.39</v>
      </c>
      <c r="RN19" s="711">
        <f t="shared" si="744"/>
        <v>0.72594856163796184</v>
      </c>
      <c r="RO19" s="593">
        <f>'Proy 2021 vs 2019 Sem'!HG18*$RR$4</f>
        <v>9172.9811999999984</v>
      </c>
      <c r="RP19" s="593">
        <f>'Proy 2021 vs 2019 Sem'!HH18*$RR$4</f>
        <v>7063.1955239999998</v>
      </c>
      <c r="RQ19" s="735">
        <v>7711.04</v>
      </c>
      <c r="RR19" s="700">
        <f t="shared" si="745"/>
        <v>0.84062529202610825</v>
      </c>
      <c r="RS19" s="593">
        <f>'Proy 2021 vs 2019 Sem'!HG18*$RV$4</f>
        <v>9172.9811999999984</v>
      </c>
      <c r="RT19" s="593">
        <f>'Proy 2021 vs 2019 Sem'!HH18*$RV$4</f>
        <v>7063.1955239999998</v>
      </c>
      <c r="RU19" s="735">
        <v>5954.38</v>
      </c>
      <c r="RV19" s="700">
        <f t="shared" si="746"/>
        <v>0.64912157456509356</v>
      </c>
      <c r="RW19" s="593">
        <f>'Proy 2021 vs 2019 Sem'!HG18*$RZ$4</f>
        <v>9172.9811999999984</v>
      </c>
      <c r="RX19" s="593">
        <f>'Proy 2021 vs 2019 Sem'!HH18*$RZ$4</f>
        <v>7063.1955239999998</v>
      </c>
      <c r="RY19" s="735">
        <v>4873.1899999999996</v>
      </c>
      <c r="RZ19" s="700">
        <f t="shared" si="747"/>
        <v>0.5312547680791061</v>
      </c>
      <c r="SA19" s="593">
        <f>'Proy 2021 vs 2019 Sem'!HG18*$SD$4</f>
        <v>9172.9811999999984</v>
      </c>
      <c r="SB19" s="593">
        <f>'Proy 2021 vs 2019 Sem'!HH18*$SD$4</f>
        <v>7063.1955239999998</v>
      </c>
      <c r="SC19" s="735">
        <v>9614.07</v>
      </c>
      <c r="SD19" s="700">
        <f t="shared" si="748"/>
        <v>1.0480856539856422</v>
      </c>
      <c r="SE19" s="593">
        <f>'Proy 2021 vs 2019 Sem'!HG18*$SH$4</f>
        <v>10701.811400000001</v>
      </c>
      <c r="SF19" s="593">
        <f>'Proy 2021 vs 2019 Sem'!HH18*$SH$4</f>
        <v>8240.3947779999999</v>
      </c>
      <c r="SG19" s="735">
        <v>7957.32</v>
      </c>
      <c r="SH19" s="700">
        <f t="shared" si="749"/>
        <v>0.74354889117182532</v>
      </c>
      <c r="SI19" s="593">
        <f>'Proy 2021 vs 2019 Sem'!HG18*$SL$4</f>
        <v>12230.641599999999</v>
      </c>
      <c r="SJ19" s="593">
        <f>'Proy 2021 vs 2019 Sem'!HH18*$SL$4</f>
        <v>9417.5940319999991</v>
      </c>
      <c r="SK19" s="735">
        <v>8378.15</v>
      </c>
      <c r="SL19" s="700">
        <f t="shared" si="750"/>
        <v>0.685013123105496</v>
      </c>
      <c r="SM19" s="593">
        <f>'Proy 2021 vs 2019 Sem'!HG18*$SP$4</f>
        <v>16817.1322</v>
      </c>
      <c r="SN19" s="593">
        <f>'Proy 2021 vs 2019 Sem'!HH18*$SP$4</f>
        <v>12949.191793999998</v>
      </c>
      <c r="SO19" s="735">
        <v>11965.64</v>
      </c>
      <c r="SP19" s="700">
        <f t="shared" si="751"/>
        <v>0.71151489193859097</v>
      </c>
      <c r="SQ19" s="579">
        <f t="shared" si="752"/>
        <v>76441.50999999998</v>
      </c>
      <c r="SR19" s="574">
        <f t="shared" si="753"/>
        <v>58859.962699999996</v>
      </c>
      <c r="SS19" s="730">
        <f t="shared" si="754"/>
        <v>56453.79</v>
      </c>
      <c r="ST19" s="711">
        <f t="shared" si="755"/>
        <v>0.73852269532613912</v>
      </c>
      <c r="SU19" s="593">
        <f>'Proy 2021 vs 2019 Sem'!HL18*$SX$4</f>
        <v>7430.3411999999998</v>
      </c>
      <c r="SV19" s="593">
        <f>'Proy 2021 vs 2019 Sem'!HM18*$SX$4</f>
        <v>5647.0593120000003</v>
      </c>
      <c r="SW19" s="735">
        <v>6728.42</v>
      </c>
      <c r="SX19" s="700">
        <f t="shared" si="756"/>
        <v>0.90553311333805242</v>
      </c>
      <c r="SY19" s="593">
        <f>'Proy 2021 vs 2019 Sem'!HL18*$TB$4</f>
        <v>7430.3411999999998</v>
      </c>
      <c r="SZ19" s="593">
        <f>'Proy 2021 vs 2019 Sem'!HM18*$TB$4</f>
        <v>5647.0593120000003</v>
      </c>
      <c r="TA19" s="735">
        <v>6988.86</v>
      </c>
      <c r="TB19" s="700">
        <f t="shared" si="757"/>
        <v>0.94058399363948453</v>
      </c>
      <c r="TC19" s="593">
        <f>'Proy 2021 vs 2019 Sem'!HL18*$TF$4</f>
        <v>7430.3411999999998</v>
      </c>
      <c r="TD19" s="593">
        <f>'Proy 2021 vs 2019 Sem'!HM18*$TF$4</f>
        <v>5647.0593120000003</v>
      </c>
      <c r="TE19" s="735">
        <v>4490.71</v>
      </c>
      <c r="TF19" s="700">
        <f t="shared" si="758"/>
        <v>0.6043746685549245</v>
      </c>
      <c r="TG19" s="593">
        <f>'Proy 2021 vs 2019 Sem'!HL18*$TJ$4</f>
        <v>7430.3411999999998</v>
      </c>
      <c r="TH19" s="593">
        <f>'Proy 2021 vs 2019 Sem'!HM18*$TJ$4</f>
        <v>5647.0593120000003</v>
      </c>
      <c r="TI19" s="735">
        <v>4608.05</v>
      </c>
      <c r="TJ19" s="700">
        <f t="shared" si="759"/>
        <v>0.62016667552224924</v>
      </c>
      <c r="TK19" s="593">
        <f>'Proy 2021 vs 2019 Sem'!HL18*$TN$4</f>
        <v>8668.7314000000006</v>
      </c>
      <c r="TL19" s="593">
        <f>'Proy 2021 vs 2019 Sem'!HM18*$TN$4</f>
        <v>6588.2358640000011</v>
      </c>
      <c r="TM19" s="735">
        <v>4241.01</v>
      </c>
      <c r="TN19" s="700">
        <f t="shared" si="760"/>
        <v>0.48923075411011119</v>
      </c>
      <c r="TO19" s="593">
        <f>'Proy 2021 vs 2019 Sem'!HL18*$TR$4</f>
        <v>9907.1216000000004</v>
      </c>
      <c r="TP19" s="611">
        <f>'Proy 2021 vs 2019 Sem'!HM18*$TR$4</f>
        <v>7529.412416000001</v>
      </c>
      <c r="TQ19" s="735">
        <v>5794.85</v>
      </c>
      <c r="TR19" s="700">
        <f t="shared" si="761"/>
        <v>0.58491762127962577</v>
      </c>
      <c r="TS19" s="593">
        <f>'Proy 2021 vs 2019 Sem'!HL18*$TV$4</f>
        <v>13622.2922</v>
      </c>
      <c r="TT19" s="593">
        <f>'Proy 2021 vs 2019 Sem'!HM18*$TV$4</f>
        <v>10352.942072000002</v>
      </c>
      <c r="TU19" s="735">
        <v>15661.28</v>
      </c>
      <c r="TV19" s="700">
        <f t="shared" si="762"/>
        <v>1.1496802278253877</v>
      </c>
      <c r="TW19" s="579">
        <f t="shared" si="763"/>
        <v>61919.509999999995</v>
      </c>
      <c r="TX19" s="574">
        <f t="shared" si="764"/>
        <v>47058.827600000004</v>
      </c>
      <c r="TY19" s="710">
        <f t="shared" si="765"/>
        <v>48513.179999999993</v>
      </c>
      <c r="TZ19" s="711">
        <f t="shared" si="766"/>
        <v>0.7834877892283062</v>
      </c>
      <c r="UA19" s="593">
        <v>8406.76</v>
      </c>
      <c r="UB19" s="593">
        <f>'Proy 2021 vs 2019 Sem'!HR18*$UD$4</f>
        <v>6597.9105119999995</v>
      </c>
      <c r="UC19" s="735">
        <v>6021.16</v>
      </c>
      <c r="UD19" s="700">
        <f t="shared" si="767"/>
        <v>0.71622836859860395</v>
      </c>
      <c r="UE19" s="593">
        <v>8602.83</v>
      </c>
      <c r="UF19" s="593">
        <f>'Proy 2021 vs 2019 Sem'!HR18*$UH$4</f>
        <v>6597.9105119999995</v>
      </c>
      <c r="UG19" s="735">
        <v>6684.42</v>
      </c>
      <c r="UH19" s="700">
        <f t="shared" si="768"/>
        <v>0.77700245151886072</v>
      </c>
      <c r="UI19" s="593">
        <v>7810.29</v>
      </c>
      <c r="UJ19" s="593">
        <f>'Proy 2021 vs 2019 Sem'!HR18*$UL$4</f>
        <v>6597.9105119999995</v>
      </c>
      <c r="UK19" s="735">
        <v>6213.24</v>
      </c>
      <c r="UL19" s="700">
        <f t="shared" si="769"/>
        <v>0.79551975662875507</v>
      </c>
      <c r="UM19" s="593">
        <v>7084.18</v>
      </c>
      <c r="UN19" s="593">
        <f>'Proy 2021 vs 2019 Sem'!HR18*$UP$4</f>
        <v>6597.9105119999995</v>
      </c>
      <c r="UO19" s="735">
        <v>6669.23</v>
      </c>
      <c r="UP19" s="700">
        <f t="shared" si="770"/>
        <v>0.94142582486611004</v>
      </c>
      <c r="UQ19" s="593">
        <v>7248.22</v>
      </c>
      <c r="UR19" s="593">
        <f>'Proy 2021 vs 2019 Sem'!HR18*$UT$4</f>
        <v>7697.5622640000001</v>
      </c>
      <c r="US19" s="735">
        <v>6603.08</v>
      </c>
      <c r="UT19" s="700">
        <f t="shared" si="771"/>
        <v>0.91099331973919107</v>
      </c>
      <c r="UU19" s="593">
        <v>14874.97</v>
      </c>
      <c r="UV19" s="593">
        <f>'Proy 2021 vs 2019 Sem'!HR18*$UX$4</f>
        <v>8797.2140159999999</v>
      </c>
      <c r="UW19" s="735">
        <v>9414.9699999999993</v>
      </c>
      <c r="UX19" s="700">
        <f t="shared" si="772"/>
        <v>0.63294043618239226</v>
      </c>
      <c r="UY19" s="593">
        <v>18318.259999999998</v>
      </c>
      <c r="UZ19" s="593">
        <f>'Proy 2021 vs 2019 Sem'!HR18*$VB$4</f>
        <v>12096.169271999999</v>
      </c>
      <c r="VA19" s="735">
        <v>12198.86</v>
      </c>
      <c r="VB19" s="700">
        <f t="shared" si="773"/>
        <v>0.6659398873037069</v>
      </c>
      <c r="VC19" s="577">
        <f>UA19+UE19+UI19+UM19+UQ19+UU19+UY19</f>
        <v>72345.509999999995</v>
      </c>
      <c r="VD19" s="574">
        <f t="shared" si="774"/>
        <v>54982.587599999999</v>
      </c>
      <c r="VE19" s="710">
        <f t="shared" si="775"/>
        <v>53804.959999999999</v>
      </c>
      <c r="VF19" s="1532">
        <f t="shared" si="776"/>
        <v>0.74372217432705923</v>
      </c>
      <c r="VG19" s="593">
        <v>8105.62</v>
      </c>
      <c r="VH19" s="593">
        <f>'Proy 2021 vs 2019 Sem'!IA18*$VJ$4</f>
        <v>6234.4082399999998</v>
      </c>
      <c r="VI19" s="735">
        <v>5023.84</v>
      </c>
      <c r="VJ19" s="700">
        <f t="shared" si="777"/>
        <v>0.61979712841213874</v>
      </c>
      <c r="VK19" s="593">
        <v>6955.39</v>
      </c>
      <c r="VL19" s="593">
        <f>'Proy 2021 vs 2019 Sem'!IA18*$VN$4</f>
        <v>6234.4082399999998</v>
      </c>
      <c r="VM19" s="735">
        <v>7096.27</v>
      </c>
      <c r="VN19" s="700">
        <f t="shared" si="778"/>
        <v>1.0202547952019945</v>
      </c>
      <c r="VO19" s="593">
        <v>7338.99</v>
      </c>
      <c r="VP19" s="593">
        <f>'Proy 2021 vs 2019 Sem'!IA18*$VR$4</f>
        <v>6234.4082399999998</v>
      </c>
      <c r="VQ19" s="735">
        <v>5142.92</v>
      </c>
      <c r="VR19" s="700">
        <f t="shared" si="779"/>
        <v>0.70076672675667906</v>
      </c>
      <c r="VS19" s="593">
        <v>8455.36</v>
      </c>
      <c r="VT19" s="593">
        <f>'Proy 2021 vs 2019 Sem'!IA18*$VV$4</f>
        <v>6234.4082399999998</v>
      </c>
      <c r="VU19" s="735">
        <v>3486.74</v>
      </c>
      <c r="VV19" s="700">
        <f t="shared" si="780"/>
        <v>0.41237037807970323</v>
      </c>
      <c r="VW19" s="593">
        <v>8895.73</v>
      </c>
      <c r="VX19" s="593">
        <f>'Proy 2021 vs 2019 Sem'!IA18*$VZ$4</f>
        <v>7273.4762800000008</v>
      </c>
      <c r="VY19" s="735">
        <v>6286.35</v>
      </c>
      <c r="VZ19" s="700">
        <f t="shared" si="781"/>
        <v>0.70667050371357953</v>
      </c>
      <c r="WA19" s="593">
        <v>12170.49</v>
      </c>
      <c r="WB19" s="593">
        <f>'Proy 2021 vs 2019 Sem'!IA18*$WD$4</f>
        <v>8312.5443200000009</v>
      </c>
      <c r="WC19" s="735">
        <v>10896.9</v>
      </c>
      <c r="WD19" s="700">
        <f t="shared" si="782"/>
        <v>0.89535425443018313</v>
      </c>
      <c r="WE19" s="593">
        <v>18285.72</v>
      </c>
      <c r="WF19" s="593">
        <f>'Proy 2021 vs 2019 Sem'!IA18*$WH$4</f>
        <v>11429.748440000001</v>
      </c>
      <c r="WG19" s="735">
        <v>15450.58</v>
      </c>
      <c r="WH19" s="1538">
        <f t="shared" si="783"/>
        <v>0.84495332970208437</v>
      </c>
      <c r="WI19" s="574">
        <f t="shared" si="784"/>
        <v>30855.360000000001</v>
      </c>
      <c r="WJ19" s="575">
        <f t="shared" si="785"/>
        <v>51953.402000000002</v>
      </c>
      <c r="WK19" s="793">
        <f t="shared" si="786"/>
        <v>53383.6</v>
      </c>
      <c r="WL19" s="786">
        <f t="shared" si="787"/>
        <v>1.7301240367962001</v>
      </c>
      <c r="WM19" s="593">
        <v>6737.63</v>
      </c>
      <c r="WN19" s="593">
        <f>'Proy 2021 vs 2019 Sem'!IF18*$WP$4</f>
        <v>5941.9007039999997</v>
      </c>
      <c r="WO19" s="735">
        <v>2892.62</v>
      </c>
      <c r="WP19" s="700">
        <f t="shared" si="788"/>
        <v>0.42932307057526159</v>
      </c>
      <c r="WQ19" s="593">
        <v>6600.51</v>
      </c>
      <c r="WR19" s="593">
        <f>'Proy 2021 vs 2019 Sem'!IF18*$WT$4</f>
        <v>5941.9007039999997</v>
      </c>
      <c r="WS19" s="735">
        <v>6497.17</v>
      </c>
      <c r="WT19" s="700">
        <f t="shared" si="789"/>
        <v>0.98434363405252012</v>
      </c>
      <c r="WU19" s="593">
        <v>6483.23</v>
      </c>
      <c r="WV19" s="593">
        <f>'Proy 2021 vs 2019 Sem'!IF18*$WX$4</f>
        <v>5941.9007039999997</v>
      </c>
      <c r="WW19" s="735">
        <v>4942.0200000000004</v>
      </c>
      <c r="WX19" s="700">
        <f t="shared" si="790"/>
        <v>0.76227744503896988</v>
      </c>
      <c r="WY19" s="593">
        <v>7503.87</v>
      </c>
      <c r="WZ19" s="593">
        <f>'Proy 2021 vs 2019 Sem'!IF18*$XB$4</f>
        <v>5941.9007039999997</v>
      </c>
      <c r="XA19" s="735">
        <v>7054.99</v>
      </c>
      <c r="XB19" s="700">
        <f t="shared" si="791"/>
        <v>0.94018020034995275</v>
      </c>
      <c r="XC19" s="593">
        <v>6765.67</v>
      </c>
      <c r="XD19" s="1547">
        <f>'Proy 2021 vs 2019 Sem'!IF18*$XF$4</f>
        <v>6932.2174880000011</v>
      </c>
      <c r="XE19" s="735">
        <v>8114.18</v>
      </c>
      <c r="XF19" s="700">
        <f t="shared" si="792"/>
        <v>1.1993165495804554</v>
      </c>
      <c r="XG19" s="593">
        <v>10471.209999999999</v>
      </c>
      <c r="XH19" s="593">
        <f>'Proy 2021 vs 2019 Sem'!IF18*$XJ$4</f>
        <v>7922.5342720000008</v>
      </c>
      <c r="XI19" s="735">
        <v>8954.1200000000008</v>
      </c>
      <c r="XJ19" s="700">
        <f t="shared" si="793"/>
        <v>0.85511798540951822</v>
      </c>
      <c r="XK19" s="593">
        <v>20478.13</v>
      </c>
      <c r="XL19" s="593">
        <f>'Proy 2021 vs 2019 Sem'!IF18*$XN$4</f>
        <v>10893.484624000001</v>
      </c>
      <c r="XM19" s="735">
        <v>17658.5</v>
      </c>
      <c r="XN19" s="700">
        <f t="shared" si="794"/>
        <v>0.86231018164256201</v>
      </c>
      <c r="XO19" s="579">
        <f t="shared" si="795"/>
        <v>65040.25</v>
      </c>
      <c r="XP19" s="574">
        <f t="shared" si="796"/>
        <v>49515.839200000002</v>
      </c>
      <c r="XQ19" s="794">
        <f t="shared" si="797"/>
        <v>56113.600000000006</v>
      </c>
      <c r="XR19" s="786">
        <f t="shared" si="798"/>
        <v>0.86275191131645412</v>
      </c>
      <c r="XS19" s="593">
        <v>9926.6</v>
      </c>
      <c r="XT19" s="593">
        <f>'Proy 2021 vs 2019 Sem'!IK18*$XV$4</f>
        <v>6962.6419319999995</v>
      </c>
      <c r="XU19" s="735">
        <v>6286.81</v>
      </c>
      <c r="XV19" s="700">
        <f t="shared" si="799"/>
        <v>0.63332963955432875</v>
      </c>
      <c r="XW19" s="593">
        <v>8469.23</v>
      </c>
      <c r="XX19" s="593">
        <f>'Proy 2021 vs 2019 Sem'!IK18*$XZ$4</f>
        <v>6962.6419319999995</v>
      </c>
      <c r="XY19" s="735">
        <v>6752.97</v>
      </c>
      <c r="XZ19" s="700">
        <f t="shared" si="800"/>
        <v>0.79735347841539317</v>
      </c>
      <c r="YA19" s="593">
        <v>8308.5300000000007</v>
      </c>
      <c r="YB19" s="593">
        <f>'Proy 2021 vs 2019 Sem'!IK18*$YD$4</f>
        <v>6962.6419319999995</v>
      </c>
      <c r="YC19" s="735">
        <v>5263</v>
      </c>
      <c r="YD19" s="700">
        <f t="shared" si="801"/>
        <v>0.63344538684941853</v>
      </c>
      <c r="YE19" s="593">
        <v>9125.4699999999993</v>
      </c>
      <c r="YF19" s="593">
        <f>'Proy 2021 vs 2019 Sem'!IK18*$YH$4</f>
        <v>6962.6419319999995</v>
      </c>
      <c r="YG19" s="735">
        <v>6174.11</v>
      </c>
      <c r="YH19" s="700">
        <f t="shared" si="802"/>
        <v>0.67657994601921878</v>
      </c>
      <c r="YI19" s="593">
        <v>9887.7800000000007</v>
      </c>
      <c r="YJ19" s="593">
        <f>'Proy 2021 vs 2019 Sem'!IK18*$YL$4</f>
        <v>8123.0822540000008</v>
      </c>
      <c r="YK19" s="735">
        <v>5093.58</v>
      </c>
      <c r="YL19" s="700">
        <f t="shared" si="803"/>
        <v>0.51513888860795842</v>
      </c>
      <c r="YM19" s="593">
        <v>3845.07</v>
      </c>
      <c r="YN19" s="593">
        <f>'Proy 2021 vs 2019 Sem'!IK18*$YP$4</f>
        <v>9283.5225760000012</v>
      </c>
      <c r="YO19" s="735">
        <v>8765.56</v>
      </c>
      <c r="YP19" s="700">
        <f t="shared" si="804"/>
        <v>2.279688016082932</v>
      </c>
      <c r="YQ19" s="593">
        <v>23882.91</v>
      </c>
      <c r="YR19" s="593">
        <f>'Proy 2021 vs 2019 Sem'!IK18*$YT$4</f>
        <v>12764.843542000001</v>
      </c>
      <c r="YS19" s="735">
        <v>13487.94</v>
      </c>
      <c r="YT19" s="700">
        <f t="shared" si="805"/>
        <v>0.56475278766281001</v>
      </c>
      <c r="YU19" s="579">
        <f t="shared" si="806"/>
        <v>73445.59</v>
      </c>
      <c r="YV19" s="574">
        <f t="shared" si="807"/>
        <v>58022.016100000008</v>
      </c>
      <c r="YW19" s="794">
        <f t="shared" si="808"/>
        <v>51823.97</v>
      </c>
      <c r="YX19" s="786">
        <f t="shared" si="809"/>
        <v>0.7056103708881637</v>
      </c>
      <c r="YY19" s="593">
        <v>6558.8</v>
      </c>
      <c r="YZ19" s="593">
        <f>'Proy 2021 vs 2019 Sem'!IP18*$ZB$4</f>
        <v>10611.910607999998</v>
      </c>
      <c r="ZA19" s="735">
        <v>7165.14</v>
      </c>
      <c r="ZB19" s="700">
        <f t="shared" si="810"/>
        <v>1.0924467890467768</v>
      </c>
      <c r="ZC19" s="593">
        <v>10711.52</v>
      </c>
      <c r="ZD19" s="593">
        <f>'Proy 2021 vs 2019 Sem'!IP18*$ZF$4</f>
        <v>10611.910607999998</v>
      </c>
      <c r="ZE19" s="735">
        <v>9947.14</v>
      </c>
      <c r="ZF19" s="700">
        <f t="shared" si="811"/>
        <v>0.92863944612902738</v>
      </c>
      <c r="ZG19" s="593">
        <v>13785.59</v>
      </c>
      <c r="ZH19" s="593">
        <f>'Proy 2021 vs 2019 Sem'!IP18*$ZJ$4</f>
        <v>10611.910607999998</v>
      </c>
      <c r="ZI19" s="735">
        <v>13295.85</v>
      </c>
      <c r="ZJ19" s="700">
        <f t="shared" si="812"/>
        <v>0.9644744983711252</v>
      </c>
      <c r="ZK19" s="593">
        <v>17593.28</v>
      </c>
      <c r="ZL19" s="593">
        <f>'Proy 2021 vs 2019 Sem'!IP18*$ZN$4</f>
        <v>10611.910607999998</v>
      </c>
      <c r="ZM19" s="735">
        <v>16539.71</v>
      </c>
      <c r="ZN19" s="700">
        <f t="shared" si="813"/>
        <v>0.94011520307753871</v>
      </c>
      <c r="ZO19" s="593">
        <v>25212.13</v>
      </c>
      <c r="ZP19" s="593">
        <f>'Proy 2021 vs 2019 Sem'!IP18*$ZR$4</f>
        <v>12380.562376</v>
      </c>
      <c r="ZQ19" s="735">
        <v>12628.3</v>
      </c>
      <c r="ZR19" s="700">
        <f t="shared" si="814"/>
        <v>0.50088191675990879</v>
      </c>
      <c r="ZS19" s="593">
        <v>17691.919999999998</v>
      </c>
      <c r="ZT19" s="593">
        <f>'Proy 2021 vs 2019 Sem'!IP18*$ZV$4</f>
        <v>14149.214144</v>
      </c>
      <c r="ZU19" s="735">
        <v>13752.04</v>
      </c>
      <c r="ZV19" s="700">
        <f t="shared" si="815"/>
        <v>0.77730625053696845</v>
      </c>
      <c r="ZW19" s="593">
        <v>16291.38</v>
      </c>
      <c r="ZX19" s="593">
        <f>'Proy 2021 vs 2019 Sem'!IP18*$ZZ$4</f>
        <v>19455.169447999997</v>
      </c>
      <c r="ZY19" s="735">
        <v>31172.61</v>
      </c>
      <c r="ZZ19" s="700">
        <f t="shared" si="816"/>
        <v>1.9134419551934829</v>
      </c>
      <c r="AAA19" s="579">
        <f t="shared" si="817"/>
        <v>107844.62000000001</v>
      </c>
      <c r="AAB19" s="574">
        <f t="shared" si="818"/>
        <v>88432.588399999993</v>
      </c>
      <c r="AAC19" s="785">
        <f t="shared" si="819"/>
        <v>104500.79</v>
      </c>
      <c r="AAD19" s="786">
        <f t="shared" si="820"/>
        <v>0.96899400266791225</v>
      </c>
      <c r="AAE19" s="593">
        <v>10371.84</v>
      </c>
      <c r="AAF19" s="593">
        <f>'Proy 2021 vs 2019 Sem'!IY18*$AAH$4</f>
        <v>7901.4658799999997</v>
      </c>
      <c r="AAG19" s="735">
        <v>9502.9500000000007</v>
      </c>
      <c r="AAH19" s="700">
        <f t="shared" si="821"/>
        <v>0.91622605053683825</v>
      </c>
      <c r="AAI19" s="593">
        <v>10708.38</v>
      </c>
      <c r="AAJ19" s="593">
        <f>'Proy 2021 vs 2019 Sem'!IY18*$AAL$4</f>
        <v>7901.4658799999997</v>
      </c>
      <c r="AAK19" s="735">
        <v>7459.74</v>
      </c>
      <c r="AAL19" s="700">
        <f t="shared" si="822"/>
        <v>0.69662638046091008</v>
      </c>
      <c r="AAM19" s="593">
        <v>7966.54</v>
      </c>
      <c r="AAN19" s="593">
        <f>'Proy 2021 vs 2019 Sem'!IY18*$AAP$4</f>
        <v>7901.4658799999997</v>
      </c>
      <c r="AAO19" s="735">
        <v>6325.78</v>
      </c>
      <c r="AAP19" s="700">
        <f t="shared" si="823"/>
        <v>0.79404358730389857</v>
      </c>
      <c r="AAQ19" s="593">
        <v>7332.11</v>
      </c>
      <c r="AAR19" s="593">
        <f>'Proy 2021 vs 2019 Sem'!IY18*$AAT$4</f>
        <v>7901.4658799999997</v>
      </c>
      <c r="AAS19" s="735">
        <v>5058.7299999999996</v>
      </c>
      <c r="AAT19" s="700">
        <f t="shared" si="824"/>
        <v>0.68994191303731123</v>
      </c>
      <c r="AAU19" s="593">
        <v>9325.65</v>
      </c>
      <c r="AAV19" s="593">
        <f>'Proy 2021 vs 2019 Sem'!IY18*$AAX$4</f>
        <v>9218.3768600000003</v>
      </c>
      <c r="AAW19" s="735">
        <v>6349.45</v>
      </c>
      <c r="AAX19" s="700">
        <f t="shared" si="825"/>
        <v>0.68085870689978711</v>
      </c>
      <c r="AAY19" s="593">
        <v>13240.62</v>
      </c>
      <c r="AAZ19" s="593">
        <f>'Proy 2021 vs 2019 Sem'!IY18*$ABB$4</f>
        <v>10535.287840000001</v>
      </c>
      <c r="ABA19" s="735">
        <v>7630</v>
      </c>
      <c r="ABB19" s="700">
        <f t="shared" si="826"/>
        <v>0.57625700307085315</v>
      </c>
      <c r="ABC19" s="593">
        <v>21354.31</v>
      </c>
      <c r="ABD19" s="593">
        <f>'Proy 2021 vs 2019 Sem'!IY18*$ABF$4</f>
        <v>14486.020780000001</v>
      </c>
      <c r="ABE19" s="735">
        <v>13930.15</v>
      </c>
      <c r="ABF19" s="700">
        <f t="shared" si="827"/>
        <v>0.65233435311185417</v>
      </c>
      <c r="ABG19" s="579">
        <f t="shared" si="828"/>
        <v>80299.450000000012</v>
      </c>
      <c r="ABH19" s="574">
        <f t="shared" si="829"/>
        <v>65845.549000000014</v>
      </c>
      <c r="ABI19" s="759">
        <f t="shared" si="830"/>
        <v>56256.800000000003</v>
      </c>
      <c r="ABJ19" s="761">
        <f t="shared" si="831"/>
        <v>0.70058761299112249</v>
      </c>
      <c r="ABK19" s="593">
        <v>10056.31</v>
      </c>
      <c r="ABL19" s="593">
        <f>'Proy 2021 vs 2019 Sem'!JD18*$ABN$4</f>
        <v>9767.8851599999998</v>
      </c>
      <c r="ABM19" s="735">
        <v>7242.38</v>
      </c>
      <c r="ABN19" s="700">
        <f t="shared" si="832"/>
        <v>0.72018265148946292</v>
      </c>
      <c r="ABO19" s="593">
        <v>9895.77</v>
      </c>
      <c r="ABP19" s="593">
        <f>'Proy 2021 vs 2019 Sem'!JD18*$ABR$4</f>
        <v>9767.8851599999998</v>
      </c>
      <c r="ABQ19" s="735">
        <v>9098.43</v>
      </c>
      <c r="ABR19" s="700">
        <f t="shared" si="833"/>
        <v>0.91942617906438806</v>
      </c>
      <c r="ABS19" s="593">
        <v>6999.72</v>
      </c>
      <c r="ABT19" s="593">
        <f>'Proy 2021 vs 2019 Sem'!JD18*$ABV$4</f>
        <v>9767.8851599999998</v>
      </c>
      <c r="ABU19" s="735">
        <v>6898.75</v>
      </c>
      <c r="ABV19" s="700">
        <f t="shared" si="834"/>
        <v>0.98557513729120594</v>
      </c>
      <c r="ABW19" s="593">
        <v>6545.67</v>
      </c>
      <c r="ABX19" s="593">
        <f>'Proy 2021 vs 2019 Sem'!JD18*$ABZ$4</f>
        <v>9767.8851599999998</v>
      </c>
      <c r="ABY19" s="735">
        <v>7588.48</v>
      </c>
      <c r="ABZ19" s="700">
        <f t="shared" si="835"/>
        <v>1.1593129503931605</v>
      </c>
      <c r="ACA19" s="593">
        <v>12403.47</v>
      </c>
      <c r="ACB19" s="593">
        <f>'Proy 2021 vs 2019 Sem'!JD18*$ACD$4</f>
        <v>11395.866020000001</v>
      </c>
      <c r="ACC19" s="735">
        <v>8175.72</v>
      </c>
      <c r="ACD19" s="700">
        <f t="shared" si="836"/>
        <v>0.65914780299383968</v>
      </c>
      <c r="ACE19" s="593">
        <v>18459.41</v>
      </c>
      <c r="ACF19" s="593">
        <f>'Proy 2021 vs 2019 Sem'!JD18*$ACH$4</f>
        <v>13023.846880000001</v>
      </c>
      <c r="ACG19" s="735">
        <v>11532.89</v>
      </c>
      <c r="ACH19" s="700">
        <f t="shared" si="837"/>
        <v>0.62477023913548702</v>
      </c>
      <c r="ACI19" s="593">
        <v>31403.23</v>
      </c>
      <c r="ACJ19" s="593">
        <f>'Proy 2021 vs 2019 Sem'!JD18*$ACL$4</f>
        <v>17907.78946</v>
      </c>
      <c r="ACK19" s="735">
        <v>18333.47</v>
      </c>
      <c r="ACL19" s="700">
        <f t="shared" si="838"/>
        <v>0.58380841715963616</v>
      </c>
      <c r="ACM19" s="579">
        <f t="shared" si="839"/>
        <v>95763.58</v>
      </c>
      <c r="ACN19" s="574">
        <f t="shared" si="840"/>
        <v>81399.043000000005</v>
      </c>
      <c r="ACO19" s="765">
        <f t="shared" si="841"/>
        <v>68870.12</v>
      </c>
      <c r="ACP19" s="761">
        <f t="shared" si="842"/>
        <v>0.71916818481514577</v>
      </c>
      <c r="ACQ19" s="593">
        <v>13468.62</v>
      </c>
      <c r="ACR19" s="593">
        <f>'Proy 2021 vs 2019 Sem'!JI18*$ACT$4</f>
        <v>11229.830759999999</v>
      </c>
      <c r="ACS19" s="735">
        <v>8416.06</v>
      </c>
      <c r="ACT19" s="700">
        <f t="shared" si="843"/>
        <v>0.62486431423560829</v>
      </c>
      <c r="ACU19" s="593">
        <v>19027.16</v>
      </c>
      <c r="ACV19" s="593">
        <f>'Proy 2021 vs 2019 Sem'!JI18*$ACX$4</f>
        <v>11229.830759999999</v>
      </c>
      <c r="ACW19" s="735">
        <v>14729.26</v>
      </c>
      <c r="ACX19" s="700">
        <f t="shared" si="844"/>
        <v>0.77411762974611031</v>
      </c>
      <c r="ACY19" s="593">
        <v>14097.43</v>
      </c>
      <c r="ACZ19" s="593">
        <f>'Proy 2021 vs 2019 Sem'!JI18*$ADB$4</f>
        <v>11229.830759999999</v>
      </c>
      <c r="ADA19" s="735">
        <v>6704.01</v>
      </c>
      <c r="ADB19" s="700">
        <f t="shared" si="845"/>
        <v>0.4755483800948116</v>
      </c>
      <c r="ADC19" s="593">
        <v>8998.01</v>
      </c>
      <c r="ADD19" s="593">
        <f>'Proy 2021 vs 2019 Sem'!JI18*$ADF$4</f>
        <v>11229.830759999999</v>
      </c>
      <c r="ADE19" s="735">
        <v>7242.69</v>
      </c>
      <c r="ADF19" s="700">
        <f t="shared" si="846"/>
        <v>0.80492131037862813</v>
      </c>
      <c r="ADG19" s="593">
        <v>12629.92</v>
      </c>
      <c r="ADH19" s="593">
        <f>'Proy 2021 vs 2019 Sem'!JI18*$ADJ$4</f>
        <v>13101.469220000001</v>
      </c>
      <c r="ADI19" s="735">
        <v>6021.6</v>
      </c>
      <c r="ADJ19" s="700">
        <f t="shared" si="847"/>
        <v>0.47677261613691935</v>
      </c>
      <c r="ADK19" s="593">
        <v>16646.39</v>
      </c>
      <c r="ADL19" s="593">
        <f>'Proy 2021 vs 2019 Sem'!JI18*$ADN$4</f>
        <v>14973.107679999999</v>
      </c>
      <c r="ADM19" s="735">
        <v>7639.82</v>
      </c>
      <c r="ADN19" s="700">
        <f t="shared" si="848"/>
        <v>0.45894755559613826</v>
      </c>
      <c r="ADO19" s="593">
        <v>25055.8</v>
      </c>
      <c r="ADP19" s="593">
        <f>'Proy 2021 vs 2019 Sem'!JI18*$ADR$4</f>
        <v>20588.02306</v>
      </c>
      <c r="ADQ19" s="735">
        <v>19317.59</v>
      </c>
      <c r="ADR19" s="700">
        <f t="shared" si="849"/>
        <v>0.77098276646524955</v>
      </c>
      <c r="ADS19" s="579">
        <f t="shared" si="850"/>
        <v>109923.33</v>
      </c>
      <c r="ADT19" s="574">
        <f t="shared" si="851"/>
        <v>93581.922999999981</v>
      </c>
      <c r="ADU19" s="765">
        <f t="shared" si="852"/>
        <v>70071.03</v>
      </c>
      <c r="ADV19" s="761">
        <f t="shared" si="853"/>
        <v>0.63745366884354759</v>
      </c>
      <c r="ADW19" s="593">
        <v>13160.79</v>
      </c>
      <c r="ADX19" s="593">
        <f>'Proy 2021 vs 2019 Sem'!JN18*$ADZ$4</f>
        <v>11031.239519999999</v>
      </c>
      <c r="ADY19" s="735">
        <v>11671.68</v>
      </c>
      <c r="ADZ19" s="700">
        <f t="shared" si="854"/>
        <v>0.88685253696776556</v>
      </c>
      <c r="AEA19" s="593">
        <v>12889.57</v>
      </c>
      <c r="AEB19" s="593">
        <f>'Proy 2021 vs 2019 Sem'!JN18*$AED$4</f>
        <v>11031.239519999999</v>
      </c>
      <c r="AEC19" s="735">
        <v>9470</v>
      </c>
      <c r="AED19" s="700">
        <f t="shared" si="855"/>
        <v>0.7347025540805473</v>
      </c>
      <c r="AEE19" s="593">
        <v>14345.52</v>
      </c>
      <c r="AEF19" s="593">
        <f>'Proy 2021 vs 2019 Sem'!JN18*$AEH$4</f>
        <v>11031.239519999999</v>
      </c>
      <c r="AEG19" s="735">
        <v>13050</v>
      </c>
      <c r="AEH19" s="700">
        <f t="shared" si="856"/>
        <v>0.90969166680608293</v>
      </c>
      <c r="AEI19" s="593">
        <v>12432.39</v>
      </c>
      <c r="AEJ19" s="593">
        <f>'Proy 2021 vs 2019 Sem'!JN18*$AEL$4</f>
        <v>11031.239519999999</v>
      </c>
      <c r="AEK19" s="735">
        <v>11963</v>
      </c>
      <c r="AEL19" s="700">
        <f t="shared" si="857"/>
        <v>0.96224458853044348</v>
      </c>
      <c r="AEM19" s="593">
        <v>17039.3</v>
      </c>
      <c r="AEN19" s="593">
        <f>'Proy 2021 vs 2019 Sem'!JN18*$AEP$4</f>
        <v>12869.77944</v>
      </c>
      <c r="AEO19" s="735">
        <v>14870</v>
      </c>
      <c r="AEP19" s="700">
        <f t="shared" si="858"/>
        <v>0.87268843203652735</v>
      </c>
      <c r="AEQ19" s="593">
        <v>25730.43</v>
      </c>
      <c r="AER19" s="593">
        <f>'Proy 2021 vs 2019 Sem'!JN18*$AET$4</f>
        <v>14708.31936</v>
      </c>
      <c r="AES19" s="735">
        <v>14153</v>
      </c>
      <c r="AET19" s="700">
        <f t="shared" si="859"/>
        <v>0.55004910528117879</v>
      </c>
      <c r="AEU19" s="593">
        <v>35458.47</v>
      </c>
      <c r="AEV19" s="593">
        <f>'Proy 2021 vs 2019 Sem'!JN18*$AEX$4</f>
        <v>20223.939119999999</v>
      </c>
      <c r="AEW19" s="735">
        <v>21718</v>
      </c>
      <c r="AEX19" s="700">
        <f t="shared" si="860"/>
        <v>0.61249117629722882</v>
      </c>
      <c r="AEY19" s="579">
        <f t="shared" si="861"/>
        <v>131056.47</v>
      </c>
      <c r="AEZ19" s="574">
        <f t="shared" si="862"/>
        <v>91926.995999999985</v>
      </c>
      <c r="AFA19" s="770">
        <f t="shared" si="863"/>
        <v>96895.679999999993</v>
      </c>
      <c r="AFB19" s="761">
        <f t="shared" si="864"/>
        <v>0.73934297177392305</v>
      </c>
      <c r="AFC19" s="593">
        <v>16856.82</v>
      </c>
      <c r="AFD19" s="593">
        <f>'Proy 2021 vs 2019 Sem'!JX18*$AFF$4</f>
        <v>13111.682639999997</v>
      </c>
      <c r="AFE19" s="735">
        <v>12046</v>
      </c>
      <c r="AFF19" s="700">
        <f t="shared" si="865"/>
        <v>0.71460690687804695</v>
      </c>
      <c r="AFG19" s="593">
        <v>22689.86</v>
      </c>
      <c r="AFH19" s="593">
        <f>'Proy 2021 vs 2019 Sem'!JX18*$AFJ$4</f>
        <v>13111.682639999997</v>
      </c>
      <c r="AFI19" s="735">
        <v>12417.84</v>
      </c>
      <c r="AFJ19" s="700">
        <f t="shared" si="866"/>
        <v>0.54728588012442558</v>
      </c>
      <c r="AFK19" s="593">
        <v>19121.37</v>
      </c>
      <c r="AFL19" s="593">
        <f>'Proy 2021 vs 2019 Sem'!JX18*$AFN$4</f>
        <v>13111.682639999997</v>
      </c>
      <c r="AFM19" s="735">
        <v>16018.11</v>
      </c>
      <c r="AFN19" s="700">
        <f t="shared" si="867"/>
        <v>0.83770723541252545</v>
      </c>
      <c r="AFO19" s="593">
        <v>18107.580000000002</v>
      </c>
      <c r="AFP19" s="593">
        <f>'Proy 2021 vs 2019 Sem'!JX18*$AFR$4</f>
        <v>13111.682639999997</v>
      </c>
      <c r="AFQ19" s="735">
        <v>18889.03</v>
      </c>
      <c r="AFR19" s="700">
        <f t="shared" si="868"/>
        <v>1.043155960100687</v>
      </c>
      <c r="AFS19" s="593">
        <v>18570.669999999998</v>
      </c>
      <c r="AFT19" s="593">
        <f>'Proy 2021 vs 2019 Sem'!JX18*$AFV$4</f>
        <v>15296.96308</v>
      </c>
      <c r="AFU19" s="735">
        <v>14862.32</v>
      </c>
      <c r="AFV19" s="700">
        <f t="shared" si="869"/>
        <v>0.8003114588757434</v>
      </c>
      <c r="AFW19" s="593">
        <v>31001.35</v>
      </c>
      <c r="AFX19" s="593">
        <f>'Proy 2021 vs 2019 Sem'!JX18*$AFZ$4</f>
        <v>17482.243519999996</v>
      </c>
      <c r="AFY19" s="735">
        <v>14164.11</v>
      </c>
      <c r="AFZ19" s="700">
        <f t="shared" si="870"/>
        <v>0.45688687750694734</v>
      </c>
      <c r="AGA19" s="593">
        <v>31605.22</v>
      </c>
      <c r="AGB19" s="593">
        <f>'Proy 2021 vs 2019 Sem'!JX18*$AGD$4</f>
        <v>24038.084839999996</v>
      </c>
      <c r="AGC19" s="735">
        <v>24895.46</v>
      </c>
      <c r="AGD19" s="700">
        <f t="shared" si="871"/>
        <v>0.7877008924475134</v>
      </c>
      <c r="AGE19" s="579">
        <f t="shared" si="872"/>
        <v>157952.87</v>
      </c>
      <c r="AGF19" s="574">
        <f t="shared" si="873"/>
        <v>109264.02199999997</v>
      </c>
      <c r="AGG19" s="729">
        <f t="shared" si="874"/>
        <v>113292.87</v>
      </c>
      <c r="AGH19" s="711">
        <f t="shared" si="875"/>
        <v>0.71725743254934204</v>
      </c>
      <c r="AGI19" s="593">
        <v>25713.8</v>
      </c>
      <c r="AGJ19" s="593">
        <f>'Proy 2021 vs 2019 Sem'!KC18*$AGL$4</f>
        <v>14229.321959999997</v>
      </c>
      <c r="AGK19" s="735">
        <v>11673.34</v>
      </c>
      <c r="AGL19" s="700">
        <f t="shared" si="876"/>
        <v>0.45397179724505909</v>
      </c>
      <c r="AGM19" s="593">
        <v>19825.810000000001</v>
      </c>
      <c r="AGN19" s="593">
        <f>'Proy 2021 vs 2019 Sem'!KC18*$AGP$4</f>
        <v>14229.321959999997</v>
      </c>
      <c r="AGO19" s="735">
        <v>19855.04</v>
      </c>
      <c r="AGP19" s="700">
        <f t="shared" si="877"/>
        <v>1.0014743407709445</v>
      </c>
      <c r="AGQ19" s="593">
        <v>17230.310000000001</v>
      </c>
      <c r="AGR19" s="593">
        <f>'Proy 2021 vs 2019 Sem'!KC18*$AGT$4</f>
        <v>14229.321959999997</v>
      </c>
      <c r="AGS19" s="735">
        <v>19414.61</v>
      </c>
      <c r="AGT19" s="700">
        <f t="shared" si="878"/>
        <v>1.1267707893821992</v>
      </c>
      <c r="AGU19" s="593">
        <v>25885.31</v>
      </c>
      <c r="AGV19" s="593">
        <f>'Proy 2021 vs 2019 Sem'!KC18*$AGX$4</f>
        <v>14229.321959999997</v>
      </c>
      <c r="AGW19" s="735">
        <v>15988.8</v>
      </c>
      <c r="AGX19" s="700">
        <f t="shared" si="879"/>
        <v>0.61767852113805077</v>
      </c>
      <c r="AGY19" s="593">
        <v>18542.54</v>
      </c>
      <c r="AGZ19" s="593">
        <f>'Proy 2021 vs 2019 Sem'!KC18*$AHB$4</f>
        <v>16600.875619999999</v>
      </c>
      <c r="AHA19" s="735">
        <v>13833.84</v>
      </c>
      <c r="AHB19" s="700">
        <f t="shared" si="880"/>
        <v>0.7460596013275419</v>
      </c>
      <c r="AHC19" s="593">
        <v>30483.31</v>
      </c>
      <c r="AHD19" s="593">
        <f>'Proy 2021 vs 2019 Sem'!KC18*$AHF$4</f>
        <v>18972.42928</v>
      </c>
      <c r="AHE19" s="735">
        <v>22447.88</v>
      </c>
      <c r="AHF19" s="700">
        <f t="shared" si="881"/>
        <v>0.7363990327822012</v>
      </c>
      <c r="AHG19" s="593">
        <v>31823.18</v>
      </c>
      <c r="AHH19" s="593">
        <f>'Proy 2021 vs 2019 Sem'!KC18*$AHJ$4</f>
        <v>26087.090259999997</v>
      </c>
      <c r="AHI19" s="735">
        <v>26457.18</v>
      </c>
      <c r="AHJ19" s="700">
        <f t="shared" si="882"/>
        <v>0.83138077338594074</v>
      </c>
      <c r="AHK19" s="579">
        <f t="shared" si="883"/>
        <v>169504.25999999998</v>
      </c>
      <c r="AHL19" s="574">
        <f t="shared" si="884"/>
        <v>118577.68299999998</v>
      </c>
      <c r="AHM19" s="730">
        <f t="shared" si="885"/>
        <v>129670.69</v>
      </c>
      <c r="AHN19" s="711">
        <f t="shared" si="886"/>
        <v>0.76499959352054048</v>
      </c>
      <c r="AHO19" s="593">
        <v>30524.2</v>
      </c>
      <c r="AHP19" s="593">
        <f>'Proy 2021 vs 2019 Sem'!KH18*$AHR$4</f>
        <v>18767.883119999999</v>
      </c>
      <c r="AHQ19" s="735">
        <v>9444.2999999999993</v>
      </c>
      <c r="AHR19" s="700">
        <f t="shared" si="887"/>
        <v>0.30940368625549564</v>
      </c>
      <c r="AHS19" s="593">
        <v>25604.14</v>
      </c>
      <c r="AHT19" s="593">
        <f>'Proy 2021 vs 2019 Sem'!KH18*$AHV$4</f>
        <v>18767.883119999999</v>
      </c>
      <c r="AHU19" s="735">
        <v>17028.5</v>
      </c>
      <c r="AHV19" s="700">
        <f t="shared" si="888"/>
        <v>0.66506822724762482</v>
      </c>
      <c r="AHW19" s="593">
        <v>30726.61</v>
      </c>
      <c r="AHX19" s="593">
        <f>'Proy 2021 vs 2019 Sem'!KH18*$AHZ$4</f>
        <v>18767.883119999999</v>
      </c>
      <c r="AHY19" s="735">
        <v>16917.71</v>
      </c>
      <c r="AHZ19" s="700">
        <f t="shared" si="889"/>
        <v>0.55058823605988416</v>
      </c>
      <c r="AIA19" s="593">
        <v>24699.61</v>
      </c>
      <c r="AIB19" s="593">
        <f>'Proy 2021 vs 2019 Sem'!KH18*$AID$4</f>
        <v>18767.883119999999</v>
      </c>
      <c r="AIC19" s="735">
        <v>16021.67</v>
      </c>
      <c r="AID19" s="700">
        <f t="shared" si="890"/>
        <v>0.64866084930085943</v>
      </c>
      <c r="AIE19" s="593">
        <v>30916.28</v>
      </c>
      <c r="AIF19" s="593">
        <f>'Proy 2021 vs 2019 Sem'!KH18*$AIH$4</f>
        <v>21895.86364</v>
      </c>
      <c r="AIG19" s="735">
        <v>25035.85</v>
      </c>
      <c r="AIH19" s="700">
        <f t="shared" si="891"/>
        <v>0.8097950335551366</v>
      </c>
      <c r="AII19" s="593">
        <v>34856.81</v>
      </c>
      <c r="AIJ19" s="593">
        <f>'Proy 2021 vs 2019 Sem'!KH18*$AIL$4</f>
        <v>25023.844159999997</v>
      </c>
      <c r="AIK19" s="735">
        <v>21572.75</v>
      </c>
      <c r="AIL19" s="700">
        <f t="shared" si="892"/>
        <v>0.61889627880462961</v>
      </c>
      <c r="AIM19" s="593">
        <v>41464.67</v>
      </c>
      <c r="AIN19" s="593">
        <f>'Proy 2021 vs 2019 Sem'!KH18*$AIP$4</f>
        <v>34407.78572</v>
      </c>
      <c r="AIO19" s="735">
        <v>32926.080000000002</v>
      </c>
      <c r="AIP19" s="700">
        <f t="shared" si="893"/>
        <v>0.79407553466601821</v>
      </c>
      <c r="AIQ19" s="579">
        <f t="shared" si="894"/>
        <v>218792.32000000001</v>
      </c>
      <c r="AIR19" s="574">
        <f t="shared" si="895"/>
        <v>156399.02599999998</v>
      </c>
      <c r="AIS19" s="730">
        <f t="shared" si="896"/>
        <v>138946.85999999999</v>
      </c>
      <c r="AIT19" s="711">
        <f t="shared" si="897"/>
        <v>0.63506278465350141</v>
      </c>
      <c r="AIU19" s="593">
        <f>'Proy 2021 vs 2019 Sem'!KL18*$AIX$4</f>
        <v>28945.054800000002</v>
      </c>
      <c r="AIV19" s="593">
        <f>'Proy 2021 vs 2019 Sem'!KM18*$AIX$4</f>
        <v>35023.516307999998</v>
      </c>
      <c r="AIW19" s="735">
        <v>30576.05</v>
      </c>
      <c r="AIX19" s="700">
        <f t="shared" si="898"/>
        <v>1.056347974162412</v>
      </c>
      <c r="AIY19" s="593">
        <f>'Proy 2021 vs 2019 Sem'!KL18*$AJB$4</f>
        <v>28945.054800000002</v>
      </c>
      <c r="AIZ19" s="593">
        <f>'Proy 2021 vs 2019 Sem'!KM18*$AJB$4</f>
        <v>35023.516307999998</v>
      </c>
      <c r="AJA19" s="735">
        <v>30889.45</v>
      </c>
      <c r="AJB19" s="700">
        <f t="shared" si="899"/>
        <v>1.0671753849987529</v>
      </c>
      <c r="AJC19" s="593">
        <f>'Proy 2021 vs 2019 Sem'!KL18*$AJF$4</f>
        <v>28945.054800000002</v>
      </c>
      <c r="AJD19" s="593">
        <f>'Proy 2021 vs 2019 Sem'!KM18*$AJF$4</f>
        <v>35023.516307999998</v>
      </c>
      <c r="AJE19" s="735">
        <v>29951.200000000001</v>
      </c>
      <c r="AJF19" s="700">
        <f t="shared" si="900"/>
        <v>1.0347605215105691</v>
      </c>
      <c r="AJG19" s="593">
        <f>'Proy 2021 vs 2019 Sem'!KL18*$AJJ$4</f>
        <v>28945.054800000002</v>
      </c>
      <c r="AJH19" s="593">
        <f>'Proy 2021 vs 2019 Sem'!KM18*$AJJ$4</f>
        <v>35023.516307999998</v>
      </c>
      <c r="AJI19" s="735">
        <v>36725.339999999997</v>
      </c>
      <c r="AJJ19" s="700">
        <f t="shared" si="901"/>
        <v>1.2687949721898608</v>
      </c>
      <c r="AJK19" s="593">
        <f>'Proy 2021 vs 2019 Sem'!KL18*$AJN$4</f>
        <v>33769.230600000003</v>
      </c>
      <c r="AJL19" s="593">
        <f>'Proy 2021 vs 2019 Sem'!KM18*$AJN$4</f>
        <v>40860.769026000002</v>
      </c>
      <c r="AJM19" s="735">
        <v>57776.57</v>
      </c>
      <c r="AJN19" s="700">
        <f t="shared" si="902"/>
        <v>1.7109234937677258</v>
      </c>
      <c r="AJO19" s="593">
        <f>'Proy 2021 vs 2019 Sem'!KL18*$AJR$4</f>
        <v>38593.4064</v>
      </c>
      <c r="AJP19" s="593">
        <f>'Proy 2021 vs 2019 Sem'!KM18*$AJR$4</f>
        <v>46698.021743999998</v>
      </c>
      <c r="AJQ19" s="735">
        <v>69357.05</v>
      </c>
      <c r="AJR19" s="700">
        <f t="shared" si="903"/>
        <v>1.7971217487555078</v>
      </c>
      <c r="AJS19" s="593">
        <f>'Proy 2021 vs 2019 Sem'!KL18*$AJV$4</f>
        <v>53065.933799999999</v>
      </c>
      <c r="AJT19" s="593">
        <f>'Proy 2021 vs 2019 Sem'!KM18*$AJV$4</f>
        <v>64209.779898000001</v>
      </c>
      <c r="AJU19" s="699">
        <v>0</v>
      </c>
      <c r="AJV19" s="700">
        <f t="shared" si="904"/>
        <v>0</v>
      </c>
      <c r="AJW19" s="579">
        <f t="shared" si="905"/>
        <v>241208.79</v>
      </c>
      <c r="AJX19" s="574">
        <f t="shared" si="906"/>
        <v>291862.63589999999</v>
      </c>
      <c r="AJY19" s="710">
        <f t="shared" si="907"/>
        <v>255275.65999999997</v>
      </c>
      <c r="AJZ19" s="711">
        <f t="shared" si="908"/>
        <v>1.0583182312717541</v>
      </c>
      <c r="AKA19" s="593">
        <f>'Proy 2021 vs 2019 Sem'!KQ18*$AKD$4</f>
        <v>8970.9143999999997</v>
      </c>
      <c r="AKB19" s="593">
        <f>'Proy 2021 vs 2019 Sem'!KR18*$AKD$4</f>
        <v>7894.4046719999997</v>
      </c>
      <c r="AKC19" s="735">
        <v>11902.5</v>
      </c>
      <c r="AKD19" s="700">
        <f t="shared" si="909"/>
        <v>1.3267878244384987</v>
      </c>
      <c r="AKE19" s="593">
        <f>'Proy 2021 vs 2019 Sem'!KQ18*$AKH$4</f>
        <v>8970.9143999999997</v>
      </c>
      <c r="AKF19" s="593">
        <f>'Proy 2021 vs 2019 Sem'!KR18*$AKH$4</f>
        <v>7894.4046719999997</v>
      </c>
      <c r="AKG19" s="735">
        <v>10772.22</v>
      </c>
      <c r="AKH19" s="700">
        <f t="shared" si="910"/>
        <v>1.2007939792625821</v>
      </c>
      <c r="AKI19" s="593">
        <f>'Proy 2021 vs 2019 Sem'!KQ18*$AKL$4</f>
        <v>8970.9143999999997</v>
      </c>
      <c r="AKJ19" s="593">
        <f>'Proy 2021 vs 2019 Sem'!KR18*$AKL$4</f>
        <v>7894.4046719999997</v>
      </c>
      <c r="AKK19" s="735">
        <v>9479.17</v>
      </c>
      <c r="AKL19" s="700">
        <f t="shared" si="911"/>
        <v>1.0566559413385999</v>
      </c>
      <c r="AKM19" s="593">
        <f>'Proy 2021 vs 2019 Sem'!KQ18*$AKP$4</f>
        <v>8970.9143999999997</v>
      </c>
      <c r="AKN19" s="593">
        <f>'Proy 2021 vs 2019 Sem'!KR18*$AKP$4</f>
        <v>7894.4046719999997</v>
      </c>
      <c r="AKO19" s="735">
        <v>11681.34</v>
      </c>
      <c r="AKP19" s="700">
        <f t="shared" si="912"/>
        <v>1.3021348191662603</v>
      </c>
      <c r="AKQ19" s="593">
        <f>'Proy 2021 vs 2019 Sem'!KQ18*$AKT$4</f>
        <v>10466.066800000001</v>
      </c>
      <c r="AKR19" s="593">
        <f>'Proy 2021 vs 2019 Sem'!KR18*$AKT$4</f>
        <v>9210.1387840000007</v>
      </c>
      <c r="AKS19" s="735">
        <v>16769.759999999998</v>
      </c>
      <c r="AKT19" s="700">
        <f t="shared" si="913"/>
        <v>1.6022982005045101</v>
      </c>
      <c r="AKU19" s="593">
        <f>'Proy 2021 vs 2019 Sem'!KQ18*$AKX$4</f>
        <v>11961.2192</v>
      </c>
      <c r="AKV19" s="593">
        <f>'Proy 2021 vs 2019 Sem'!KR18*$AKX$4</f>
        <v>10525.872896000001</v>
      </c>
      <c r="AKW19" s="735">
        <v>17390.11</v>
      </c>
      <c r="AKX19" s="700">
        <f t="shared" si="914"/>
        <v>1.4538743675895516</v>
      </c>
      <c r="AKY19" s="593">
        <f>'Proy 2021 vs 2019 Sem'!KQ18*$ALB$4</f>
        <v>16446.6764</v>
      </c>
      <c r="AKZ19" s="593">
        <f>'Proy 2021 vs 2019 Sem'!KR18*$ALB$4</f>
        <v>14473.075232000001</v>
      </c>
      <c r="ALA19" s="699">
        <v>0</v>
      </c>
      <c r="ALB19" s="700">
        <f>ALA19/AKY19</f>
        <v>0</v>
      </c>
      <c r="ALC19" s="579">
        <f t="shared" si="915"/>
        <v>74757.62</v>
      </c>
      <c r="ALD19" s="574">
        <f t="shared" si="916"/>
        <v>65786.705600000001</v>
      </c>
      <c r="ALE19" s="710">
        <f t="shared" si="917"/>
        <v>77995.099999999991</v>
      </c>
      <c r="ALF19" s="711">
        <f t="shared" si="918"/>
        <v>1.0433063545896726</v>
      </c>
    </row>
    <row r="20" spans="2:994" ht="15.75" customHeight="1">
      <c r="B20" s="570" t="s">
        <v>22</v>
      </c>
      <c r="C20" s="574">
        <f>'Proy 2021 vs 2019 Sem'!DX19*$F$4</f>
        <v>11073.812400000001</v>
      </c>
      <c r="D20" s="576">
        <f>'Proy 2021 vs 2019 Sem'!$DY$19*F4</f>
        <v>7397.0939685680842</v>
      </c>
      <c r="E20" s="735">
        <v>8237.2199999999993</v>
      </c>
      <c r="F20" s="700">
        <f t="shared" si="580"/>
        <v>0.74384680744636766</v>
      </c>
      <c r="G20" s="574">
        <f>'Proy 2021 vs 2019 Sem'!DX19*$J$4</f>
        <v>11073.812400000001</v>
      </c>
      <c r="H20" s="574">
        <f>'Proy 2021 vs 2019 Sem'!$DY$19*J4</f>
        <v>7397.0939685680842</v>
      </c>
      <c r="I20" s="735">
        <v>12193.13</v>
      </c>
      <c r="J20" s="700">
        <f t="shared" si="581"/>
        <v>1.1010778907542265</v>
      </c>
      <c r="K20" s="574">
        <f>'Proy 2021 vs 2019 Sem'!DX19*'Vtas Diarias 2021'!$N$4</f>
        <v>11073.812400000001</v>
      </c>
      <c r="L20" s="574">
        <f>'Proy 2021 vs 2019 Sem'!$DY$19*N4</f>
        <v>7397.0939685680842</v>
      </c>
      <c r="M20" s="735">
        <v>12722.39</v>
      </c>
      <c r="N20" s="700">
        <f t="shared" si="582"/>
        <v>1.1488717291255537</v>
      </c>
      <c r="O20" s="574">
        <f>'Proy 2021 vs 2019 Sem'!DX19*$R$4</f>
        <v>11073.812400000001</v>
      </c>
      <c r="P20" s="574">
        <f>'Proy 2021 vs 2019 Sem'!$DY$19*R4</f>
        <v>7397.0939685680842</v>
      </c>
      <c r="Q20" s="735">
        <v>8564.1</v>
      </c>
      <c r="R20" s="700">
        <f t="shared" si="583"/>
        <v>0.77336509692000921</v>
      </c>
      <c r="S20" s="574">
        <f>'Proy 2021 vs 2019 Sem'!DX19*$V$4</f>
        <v>12919.447800000002</v>
      </c>
      <c r="T20" s="574">
        <f>'Proy 2021 vs 2019 Sem'!$DY$19*V4</f>
        <v>8629.942963329433</v>
      </c>
      <c r="U20" s="735">
        <v>8176.02</v>
      </c>
      <c r="V20" s="700">
        <f t="shared" si="584"/>
        <v>0.63284593324491778</v>
      </c>
      <c r="W20" s="574">
        <f>'Proy 2021 vs 2019 Sem'!DX19*$Z$4</f>
        <v>14765.083200000001</v>
      </c>
      <c r="X20" s="574">
        <f>'Proy 2021 vs 2019 Sem'!$DY$19*Z4</f>
        <v>9862.7919580907801</v>
      </c>
      <c r="Y20" s="735">
        <v>11977.19</v>
      </c>
      <c r="Z20" s="700">
        <f t="shared" si="585"/>
        <v>0.81118337348752634</v>
      </c>
      <c r="AA20" s="574">
        <f>'Proy 2021 vs 2019 Sem'!DX19*$AD$4</f>
        <v>20301.989400000002</v>
      </c>
      <c r="AB20" s="574">
        <f>'Proy 2021 vs 2019 Sem'!$DY$19*AD4</f>
        <v>13561.338942374821</v>
      </c>
      <c r="AC20" s="735">
        <v>19887.89</v>
      </c>
      <c r="AD20" s="700">
        <f t="shared" si="586"/>
        <v>0.97960301368298408</v>
      </c>
      <c r="AE20" s="579">
        <f t="shared" si="587"/>
        <v>92281.77</v>
      </c>
      <c r="AF20" s="574">
        <f t="shared" si="588"/>
        <v>61642.449738067378</v>
      </c>
      <c r="AG20" s="729">
        <f t="shared" si="589"/>
        <v>81757.94</v>
      </c>
      <c r="AH20" s="711">
        <f t="shared" si="590"/>
        <v>0.88595981633208809</v>
      </c>
      <c r="AI20" s="593">
        <f>'Proy 2021 vs 2019 Sem'!EC19*$AL$4</f>
        <v>14959.027199999999</v>
      </c>
      <c r="AJ20" s="611">
        <f>'Proy 2021 vs 2019 Sem'!ED19*$AL$4</f>
        <v>13253.096990618709</v>
      </c>
      <c r="AK20" s="735">
        <v>4669.8100000000004</v>
      </c>
      <c r="AL20" s="700">
        <f t="shared" si="591"/>
        <v>0.31217337448253324</v>
      </c>
      <c r="AM20" s="593">
        <f>'Proy 2021 vs 2019 Sem'!EC19*$AP$4</f>
        <v>14959.027199999999</v>
      </c>
      <c r="AN20" s="593">
        <f>'Proy 2021 vs 2019 Sem'!ED19*$AP$4</f>
        <v>13253.096990618709</v>
      </c>
      <c r="AO20" s="735">
        <v>16093.63</v>
      </c>
      <c r="AP20" s="700">
        <f t="shared" si="592"/>
        <v>1.0758473652618268</v>
      </c>
      <c r="AQ20" s="593">
        <f>'Proy 2021 vs 2019 Sem'!EC19*$AT$4</f>
        <v>14959.027199999999</v>
      </c>
      <c r="AR20" s="593">
        <f>'Proy 2021 vs 2019 Sem'!ED19*$AT$4</f>
        <v>13253.096990618709</v>
      </c>
      <c r="AS20" s="735">
        <v>10435.14</v>
      </c>
      <c r="AT20" s="700">
        <f t="shared" si="593"/>
        <v>0.6975814577033459</v>
      </c>
      <c r="AU20" s="593">
        <f>'Proy 2021 vs 2019 Sem'!EC19*$AX$4</f>
        <v>14959.027199999999</v>
      </c>
      <c r="AV20" s="593">
        <f>'Proy 2021 vs 2019 Sem'!ED19*$AX$4</f>
        <v>13253.096990618709</v>
      </c>
      <c r="AW20" s="735">
        <v>8354.51</v>
      </c>
      <c r="AX20" s="700">
        <f t="shared" si="594"/>
        <v>0.55849286777150864</v>
      </c>
      <c r="AY20" s="593">
        <f>'Proy 2021 vs 2019 Sem'!EC19*$BB$4</f>
        <v>17452.198400000001</v>
      </c>
      <c r="AZ20" s="593">
        <f>'Proy 2021 vs 2019 Sem'!ED19*$BB$4</f>
        <v>15461.946489055163</v>
      </c>
      <c r="BA20" s="735">
        <v>10816.41</v>
      </c>
      <c r="BB20" s="700">
        <f t="shared" si="595"/>
        <v>0.6197734951259779</v>
      </c>
      <c r="BC20" s="593">
        <f>'Proy 2021 vs 2019 Sem'!EC19*$BF$4</f>
        <v>19945.369600000002</v>
      </c>
      <c r="BD20" s="593">
        <f>'Proy 2021 vs 2019 Sem'!ED19*$BF$4</f>
        <v>17670.795987491612</v>
      </c>
      <c r="BE20" s="735">
        <v>16427.64</v>
      </c>
      <c r="BF20" s="700">
        <f t="shared" si="596"/>
        <v>0.82363176664322124</v>
      </c>
      <c r="BG20" s="593">
        <f>'Proy 2021 vs 2019 Sem'!EC19*$BJ$4</f>
        <v>27424.8832</v>
      </c>
      <c r="BH20" s="593">
        <f>'Proy 2021 vs 2019 Sem'!ED19*$BJ$4</f>
        <v>24297.344482800967</v>
      </c>
      <c r="BI20" s="735">
        <v>16515.8</v>
      </c>
      <c r="BJ20" s="700">
        <f t="shared" si="597"/>
        <v>0.60221952011813851</v>
      </c>
      <c r="BK20" s="579">
        <f t="shared" si="598"/>
        <v>124658.56</v>
      </c>
      <c r="BL20" s="574">
        <f t="shared" si="599"/>
        <v>110442.47492182258</v>
      </c>
      <c r="BM20" s="730">
        <f t="shared" si="600"/>
        <v>83312.94</v>
      </c>
      <c r="BN20" s="711">
        <f t="shared" si="601"/>
        <v>0.6683290742328486</v>
      </c>
      <c r="BO20" s="593">
        <f>'Proy 2021 vs 2019 Sem'!EH19*$BR$4</f>
        <v>12913.0656</v>
      </c>
      <c r="BP20" s="593">
        <f>'Proy 2021 vs 2019 Sem'!EI19*$BR$4</f>
        <v>9039.145919999999</v>
      </c>
      <c r="BQ20" s="735">
        <v>7299.21</v>
      </c>
      <c r="BR20" s="700">
        <f t="shared" si="602"/>
        <v>0.56525771850798934</v>
      </c>
      <c r="BS20" s="593">
        <f>'Proy 2021 vs 2019 Sem'!EH19*$BV$4</f>
        <v>12913.0656</v>
      </c>
      <c r="BT20" s="593">
        <f>'Proy 2021 vs 2019 Sem'!EI19*$BV$4</f>
        <v>9039.145919999999</v>
      </c>
      <c r="BU20" s="735">
        <v>8927.19</v>
      </c>
      <c r="BV20" s="700">
        <f t="shared" si="603"/>
        <v>0.69133002778209385</v>
      </c>
      <c r="BW20" s="593">
        <f>'Proy 2021 vs 2019 Sem'!EH19*$BZ$4</f>
        <v>12913.0656</v>
      </c>
      <c r="BX20" s="593">
        <f>'Proy 2021 vs 2019 Sem'!EI19*$BZ$4</f>
        <v>9039.145919999999</v>
      </c>
      <c r="BY20" s="735">
        <v>9996.31</v>
      </c>
      <c r="BZ20" s="700">
        <f t="shared" si="604"/>
        <v>0.77412369065948206</v>
      </c>
      <c r="CA20" s="593">
        <f>'Proy 2021 vs 2019 Sem'!EH19*$CD$4</f>
        <v>12913.0656</v>
      </c>
      <c r="CB20" s="593">
        <f>'Proy 2021 vs 2019 Sem'!EI19*$CD$4</f>
        <v>9039.145919999999</v>
      </c>
      <c r="CC20" s="735">
        <v>12711.34</v>
      </c>
      <c r="CD20" s="700">
        <f t="shared" si="605"/>
        <v>0.98437817895078306</v>
      </c>
      <c r="CE20" s="593">
        <f>'Proy 2021 vs 2019 Sem'!EH19*$CH$4</f>
        <v>15065.243200000003</v>
      </c>
      <c r="CF20" s="593">
        <f>'Proy 2021 vs 2019 Sem'!EI19*$CH$4</f>
        <v>10545.670240000001</v>
      </c>
      <c r="CG20" s="735">
        <v>11455.41</v>
      </c>
      <c r="CH20" s="700">
        <f t="shared" si="606"/>
        <v>0.76038666272576327</v>
      </c>
      <c r="CI20" s="593">
        <f>'Proy 2021 vs 2019 Sem'!EH19*$CL$4</f>
        <v>17217.4208</v>
      </c>
      <c r="CJ20" s="593">
        <f>'Proy 2021 vs 2019 Sem'!EI19*$CL$4</f>
        <v>12052.19456</v>
      </c>
      <c r="CK20" s="735">
        <v>10943.17</v>
      </c>
      <c r="CL20" s="700">
        <f t="shared" si="607"/>
        <v>0.6355870677215486</v>
      </c>
      <c r="CM20" s="593">
        <f>'Proy 2021 vs 2019 Sem'!EH19*$CP$4</f>
        <v>23673.953600000001</v>
      </c>
      <c r="CN20" s="593">
        <f>'Proy 2021 vs 2019 Sem'!EI19*$CP$4</f>
        <v>16571.767520000001</v>
      </c>
      <c r="CO20" s="735">
        <v>17573.59</v>
      </c>
      <c r="CP20" s="700">
        <f t="shared" si="608"/>
        <v>0.74231749782596512</v>
      </c>
      <c r="CQ20" s="579">
        <f t="shared" si="609"/>
        <v>107608.88</v>
      </c>
      <c r="CR20" s="574">
        <f t="shared" si="610"/>
        <v>75326.215999999986</v>
      </c>
      <c r="CS20" s="730">
        <f t="shared" si="611"/>
        <v>78906.22</v>
      </c>
      <c r="CT20" s="711">
        <f t="shared" si="612"/>
        <v>0.73326866704680871</v>
      </c>
      <c r="CU20" s="593">
        <f>'Proy 2021 vs 2019 Sem'!EM19*$CX$4</f>
        <v>11031.0852</v>
      </c>
      <c r="CV20" s="593">
        <f>'Proy 2021 vs 2019 Sem'!EN19*$CX$4</f>
        <v>7721.7596400000002</v>
      </c>
      <c r="CW20" s="735">
        <v>7866.84</v>
      </c>
      <c r="CX20" s="700">
        <f t="shared" si="613"/>
        <v>0.71315195716193003</v>
      </c>
      <c r="CY20" s="593">
        <f>'Proy 2021 vs 2019 Sem'!EM19*$DB$4</f>
        <v>11031.0852</v>
      </c>
      <c r="CZ20" s="593">
        <f>'Proy 2021 vs 2019 Sem'!EN19*$DB$4</f>
        <v>7721.7596400000002</v>
      </c>
      <c r="DA20" s="735">
        <v>7755.2</v>
      </c>
      <c r="DB20" s="700">
        <f t="shared" si="614"/>
        <v>0.70303146602475708</v>
      </c>
      <c r="DC20" s="593">
        <f>'Proy 2021 vs 2019 Sem'!EM19*$DF$4</f>
        <v>11031.0852</v>
      </c>
      <c r="DD20" s="593">
        <f>'Proy 2021 vs 2019 Sem'!EN19*$DF$4</f>
        <v>7721.7596400000002</v>
      </c>
      <c r="DE20" s="735">
        <v>10921.1</v>
      </c>
      <c r="DF20" s="700">
        <f t="shared" si="615"/>
        <v>0.99002952130221977</v>
      </c>
      <c r="DG20" s="593">
        <f>'Proy 2021 vs 2019 Sem'!EM19*$DJ$4</f>
        <v>11031.0852</v>
      </c>
      <c r="DH20" s="593">
        <f>'Proy 2021 vs 2019 Sem'!EN19*$DJ$4</f>
        <v>7721.7596400000002</v>
      </c>
      <c r="DI20" s="735">
        <v>14497.74</v>
      </c>
      <c r="DJ20" s="700">
        <f t="shared" si="616"/>
        <v>1.3142623538072211</v>
      </c>
      <c r="DK20" s="593">
        <f>'Proy 2021 vs 2019 Sem'!EM19*$DN$4</f>
        <v>12869.599400000003</v>
      </c>
      <c r="DL20" s="593">
        <f>'Proy 2021 vs 2019 Sem'!EN19*$DN$4</f>
        <v>9008.7195800000009</v>
      </c>
      <c r="DM20" s="735">
        <v>7666.34</v>
      </c>
      <c r="DN20" s="700">
        <f t="shared" si="617"/>
        <v>0.59569375562692328</v>
      </c>
      <c r="DO20" s="593">
        <f>'Proy 2021 vs 2019 Sem'!EM19*$DR$4</f>
        <v>14708.113600000001</v>
      </c>
      <c r="DP20" s="593">
        <f>'Proy 2021 vs 2019 Sem'!EN19*$DR$4</f>
        <v>10295.679520000002</v>
      </c>
      <c r="DQ20" s="735">
        <v>10250.94</v>
      </c>
      <c r="DR20" s="700">
        <f t="shared" si="618"/>
        <v>0.69695817416041717</v>
      </c>
      <c r="DS20" s="593">
        <f>'Proy 2021 vs 2019 Sem'!EM19*$DV$4</f>
        <v>20223.656200000001</v>
      </c>
      <c r="DT20" s="593">
        <f>'Proy 2021 vs 2019 Sem'!EN19*$DV$4</f>
        <v>14156.559340000002</v>
      </c>
      <c r="DU20" s="735">
        <v>16257.8</v>
      </c>
      <c r="DV20" s="700">
        <f t="shared" si="619"/>
        <v>0.80390013750332634</v>
      </c>
      <c r="DW20" s="579">
        <f t="shared" si="620"/>
        <v>91925.709999999992</v>
      </c>
      <c r="DX20" s="574">
        <f t="shared" si="621"/>
        <v>64347.99700000001</v>
      </c>
      <c r="DY20" s="710">
        <f t="shared" si="622"/>
        <v>75215.960000000006</v>
      </c>
      <c r="DZ20" s="711">
        <f t="shared" si="623"/>
        <v>0.81822549969970326</v>
      </c>
      <c r="EA20" s="593">
        <f>'Proy 2021 vs 2019 Sem'!ER19*$ED$4</f>
        <v>12072.4764</v>
      </c>
      <c r="EB20" s="593">
        <f>'Proy 2021 vs 2019 Sem'!ES19*$ED$4</f>
        <v>7847.1096600000001</v>
      </c>
      <c r="EC20" s="735">
        <v>1864.17</v>
      </c>
      <c r="ED20" s="700">
        <f t="shared" si="624"/>
        <v>0.15441488044656687</v>
      </c>
      <c r="EE20" s="593">
        <f>'Proy 2021 vs 2019 Sem'!ER19*$EH$4</f>
        <v>12072.4764</v>
      </c>
      <c r="EF20" s="593">
        <f>'Proy 2021 vs 2019 Sem'!ES19*$EH$4</f>
        <v>7847.1096600000001</v>
      </c>
      <c r="EG20" s="735">
        <v>9760.86</v>
      </c>
      <c r="EH20" s="700">
        <f t="shared" si="625"/>
        <v>0.80852177105933298</v>
      </c>
      <c r="EI20" s="593">
        <f>'Proy 2021 vs 2019 Sem'!ER19*$EL$4</f>
        <v>12072.4764</v>
      </c>
      <c r="EJ20" s="593">
        <f>'Proy 2021 vs 2019 Sem'!ES19*$EL$4</f>
        <v>7847.1096600000001</v>
      </c>
      <c r="EK20" s="735">
        <v>9329.56</v>
      </c>
      <c r="EL20" s="700">
        <f t="shared" si="626"/>
        <v>0.77279587806856265</v>
      </c>
      <c r="EM20" s="593">
        <f>'Proy 2021 vs 2019 Sem'!ER19*$EP$4</f>
        <v>12072.4764</v>
      </c>
      <c r="EN20" s="593">
        <f>'Proy 2021 vs 2019 Sem'!ES19*$EP$4</f>
        <v>7847.1096600000001</v>
      </c>
      <c r="EO20" s="735">
        <v>11723.14</v>
      </c>
      <c r="EP20" s="700">
        <f t="shared" si="627"/>
        <v>0.97106340170604932</v>
      </c>
      <c r="EQ20" s="593">
        <f>'Proy 2021 vs 2019 Sem'!ER19*$ET$4</f>
        <v>14084.555800000002</v>
      </c>
      <c r="ER20" s="593">
        <f>'Proy 2021 vs 2019 Sem'!ES19*$ET$4</f>
        <v>9154.9612700000016</v>
      </c>
      <c r="ES20" s="735">
        <v>11276.48</v>
      </c>
      <c r="ET20" s="700">
        <f t="shared" si="628"/>
        <v>0.8006273083883837</v>
      </c>
      <c r="EU20" s="593">
        <f>'Proy 2021 vs 2019 Sem'!ER19*$EX$4</f>
        <v>16096.635200000001</v>
      </c>
      <c r="EV20" s="593">
        <f>'Proy 2021 vs 2019 Sem'!ES19*$EX$4</f>
        <v>10462.812880000001</v>
      </c>
      <c r="EW20" s="735">
        <v>12493.34</v>
      </c>
      <c r="EX20" s="700">
        <f t="shared" si="629"/>
        <v>0.7761460606375673</v>
      </c>
      <c r="EY20" s="593">
        <f>'Proy 2021 vs 2019 Sem'!ER19*$FB$4</f>
        <v>22132.8734</v>
      </c>
      <c r="EZ20" s="593">
        <f>'Proy 2021 vs 2019 Sem'!ES19*$FB$4</f>
        <v>14386.36771</v>
      </c>
      <c r="FA20" s="699">
        <v>19362</v>
      </c>
      <c r="FB20" s="700">
        <f t="shared" si="630"/>
        <v>0.87480733522833054</v>
      </c>
      <c r="FC20" s="579">
        <f t="shared" si="631"/>
        <v>100603.97</v>
      </c>
      <c r="FD20" s="574">
        <f t="shared" si="632"/>
        <v>65392.580500000004</v>
      </c>
      <c r="FE20" s="710">
        <f t="shared" si="633"/>
        <v>75809.55</v>
      </c>
      <c r="FF20" s="711">
        <f t="shared" si="634"/>
        <v>0.75354431838027869</v>
      </c>
      <c r="FG20" s="593">
        <f>'Proy 2021 vs 2019 Sem'!FA19*$FJ$4</f>
        <v>11020.501199999999</v>
      </c>
      <c r="FH20" s="593">
        <f>'Proy 2021 vs 2019 Sem'!FB19*$FJ$4</f>
        <v>7714.3508399999982</v>
      </c>
      <c r="FI20" s="735">
        <v>6407.63</v>
      </c>
      <c r="FJ20" s="700">
        <f t="shared" si="635"/>
        <v>0.58142818404665664</v>
      </c>
      <c r="FK20" s="593">
        <f>'Proy 2021 vs 2019 Sem'!FA19*$FN$4</f>
        <v>11020.501199999999</v>
      </c>
      <c r="FL20" s="593">
        <f>'Proy 2021 vs 2019 Sem'!FB19*$FN$4</f>
        <v>7714.3508399999982</v>
      </c>
      <c r="FM20" s="735">
        <v>13311.22</v>
      </c>
      <c r="FN20" s="700">
        <f t="shared" si="636"/>
        <v>1.2078597659424057</v>
      </c>
      <c r="FO20" s="593">
        <f>'Proy 2021 vs 2019 Sem'!FA19*$FR$4</f>
        <v>11020.501199999999</v>
      </c>
      <c r="FP20" s="593">
        <f>'Proy 2021 vs 2019 Sem'!FB19*$FR$4</f>
        <v>7714.3508399999982</v>
      </c>
      <c r="FQ20" s="735">
        <v>13280.22</v>
      </c>
      <c r="FR20" s="700">
        <f t="shared" si="637"/>
        <v>1.2050468267269006</v>
      </c>
      <c r="FS20" s="593">
        <f>'Proy 2021 vs 2019 Sem'!FA19*$FV$4</f>
        <v>11020.501199999999</v>
      </c>
      <c r="FT20" s="593">
        <f>'Proy 2021 vs 2019 Sem'!FB19*$FV$4</f>
        <v>7714.3508399999982</v>
      </c>
      <c r="FU20" s="735">
        <v>17147.45</v>
      </c>
      <c r="FV20" s="700">
        <f t="shared" si="638"/>
        <v>1.5559591790616567</v>
      </c>
      <c r="FW20" s="593">
        <f>'Proy 2021 vs 2019 Sem'!FA19*$FZ$4</f>
        <v>12857.251400000001</v>
      </c>
      <c r="FX20" s="593">
        <f>'Proy 2021 vs 2019 Sem'!FB19*$FZ$4</f>
        <v>9000.0759799999996</v>
      </c>
      <c r="FY20" s="735">
        <v>9129.7800000000007</v>
      </c>
      <c r="FZ20" s="700">
        <f t="shared" si="639"/>
        <v>0.71008800527926208</v>
      </c>
      <c r="GA20" s="593">
        <f>'Proy 2021 vs 2019 Sem'!FA19*$GD$4</f>
        <v>14694.0016</v>
      </c>
      <c r="GB20" s="593">
        <f>'Proy 2021 vs 2019 Sem'!FB19*$GD$4</f>
        <v>10285.801119999998</v>
      </c>
      <c r="GC20" s="735">
        <v>14056.07</v>
      </c>
      <c r="GD20" s="700">
        <f t="shared" si="640"/>
        <v>0.95658557706976155</v>
      </c>
      <c r="GE20" s="593">
        <f>'Proy 2021 vs 2019 Sem'!FA19*$GH$4</f>
        <v>20204.252199999999</v>
      </c>
      <c r="GF20" s="593">
        <f>'Proy 2021 vs 2019 Sem'!FB19*$GH$4</f>
        <v>14142.976539999998</v>
      </c>
      <c r="GG20" s="735">
        <v>16239.37</v>
      </c>
      <c r="GH20" s="700">
        <f t="shared" si="641"/>
        <v>0.80376001245915951</v>
      </c>
      <c r="GI20" s="579">
        <f t="shared" si="642"/>
        <v>91837.51</v>
      </c>
      <c r="GJ20" s="574">
        <f t="shared" si="643"/>
        <v>64286.256999999983</v>
      </c>
      <c r="GK20" s="759">
        <f t="shared" si="644"/>
        <v>89571.739999999991</v>
      </c>
      <c r="GL20" s="761">
        <f t="shared" si="645"/>
        <v>0.97532849050458792</v>
      </c>
      <c r="GM20" s="593">
        <f>'Proy 2021 vs 2019 Sem'!FF19*$GP$4</f>
        <v>11715.5844</v>
      </c>
      <c r="GN20" s="593">
        <f>'Proy 2021 vs 2019 Sem'!FG19*$GP$4</f>
        <v>8435.2207679999992</v>
      </c>
      <c r="GO20" s="735">
        <v>6323.42</v>
      </c>
      <c r="GP20" s="700">
        <f t="shared" si="646"/>
        <v>0.53974430844439991</v>
      </c>
      <c r="GQ20" s="593">
        <f>'Proy 2021 vs 2019 Sem'!FF19*$GT$4</f>
        <v>11715.5844</v>
      </c>
      <c r="GR20" s="593">
        <f>'Proy 2021 vs 2019 Sem'!FG19*$GT$4</f>
        <v>8435.2207679999992</v>
      </c>
      <c r="GS20" s="735">
        <v>11580.35</v>
      </c>
      <c r="GT20" s="700">
        <f t="shared" si="647"/>
        <v>0.98845687970973095</v>
      </c>
      <c r="GU20" s="593">
        <f>'Proy 2021 vs 2019 Sem'!FF19*$GX$4</f>
        <v>11715.5844</v>
      </c>
      <c r="GV20" s="593">
        <f>'Proy 2021 vs 2019 Sem'!FG19*$GX$4</f>
        <v>8435.2207679999992</v>
      </c>
      <c r="GW20" s="735">
        <v>13989.98</v>
      </c>
      <c r="GX20" s="700">
        <f t="shared" si="648"/>
        <v>1.1941341995709578</v>
      </c>
      <c r="GY20" s="593">
        <f>'Proy 2021 vs 2019 Sem'!FF19*$HB$4</f>
        <v>11715.5844</v>
      </c>
      <c r="GZ20" s="593">
        <f>'Proy 2021 vs 2019 Sem'!FG19*$HB$4</f>
        <v>8435.2207679999992</v>
      </c>
      <c r="HA20" s="735">
        <v>8851.3700000000008</v>
      </c>
      <c r="HB20" s="700">
        <f t="shared" si="649"/>
        <v>0.75552099646006565</v>
      </c>
      <c r="HC20" s="593">
        <f>'Proy 2021 vs 2019 Sem'!FF19*$HF$4</f>
        <v>13668.1818</v>
      </c>
      <c r="HD20" s="593">
        <f>'Proy 2021 vs 2019 Sem'!FG19*$HF$4</f>
        <v>9841.0908960000015</v>
      </c>
      <c r="HE20" s="735">
        <v>12039.93</v>
      </c>
      <c r="HF20" s="700">
        <f t="shared" si="650"/>
        <v>0.88087283123494886</v>
      </c>
      <c r="HG20" s="593">
        <f>'Proy 2021 vs 2019 Sem'!FF19*$HJ$4</f>
        <v>15620.779199999999</v>
      </c>
      <c r="HH20" s="593">
        <f>'Proy 2021 vs 2019 Sem'!FG19*$HJ$4</f>
        <v>11246.961024</v>
      </c>
      <c r="HI20" s="735">
        <v>15554.68</v>
      </c>
      <c r="HJ20" s="700">
        <f t="shared" si="651"/>
        <v>0.99576850814202666</v>
      </c>
      <c r="HK20" s="593">
        <f>'Proy 2021 vs 2019 Sem'!FF19*$HN$4</f>
        <v>21478.571400000001</v>
      </c>
      <c r="HL20" s="593">
        <f>'Proy 2021 vs 2019 Sem'!FG19*$HN$4</f>
        <v>15464.571408</v>
      </c>
      <c r="HM20" s="735">
        <v>20825.05</v>
      </c>
      <c r="HN20" s="700">
        <f t="shared" si="652"/>
        <v>0.96957333018899006</v>
      </c>
      <c r="HO20" s="579">
        <f t="shared" si="653"/>
        <v>97629.87</v>
      </c>
      <c r="HP20" s="574">
        <f t="shared" si="654"/>
        <v>70293.506399999998</v>
      </c>
      <c r="HQ20" s="765">
        <f t="shared" si="655"/>
        <v>89164.780000000013</v>
      </c>
      <c r="HR20" s="761">
        <f t="shared" si="656"/>
        <v>0.91329405641941364</v>
      </c>
      <c r="HS20" s="593">
        <f>'Proy 2021 vs 2019 Sem'!FK19*$CX$4</f>
        <v>12000.614399999999</v>
      </c>
      <c r="HT20" s="593">
        <f>'Proy 2021 vs 2019 Sem'!FL19*$CX$4</f>
        <v>9480.4853760000005</v>
      </c>
      <c r="HU20" s="735">
        <v>4152.24</v>
      </c>
      <c r="HV20" s="700">
        <f t="shared" si="657"/>
        <v>0.34600228468302424</v>
      </c>
      <c r="HW20" s="593">
        <f>'Proy 2021 vs 2019 Sem'!FK19*$DB$4</f>
        <v>12000.614399999999</v>
      </c>
      <c r="HX20" s="593">
        <f>'Proy 2021 vs 2019 Sem'!FL19*$DB$4</f>
        <v>9480.4853760000005</v>
      </c>
      <c r="HY20" s="735">
        <v>10358.75</v>
      </c>
      <c r="HZ20" s="700">
        <f t="shared" si="658"/>
        <v>0.86318497159612106</v>
      </c>
      <c r="IA20" s="593">
        <f>'Proy 2021 vs 2019 Sem'!FK19*$DF$4</f>
        <v>12000.614399999999</v>
      </c>
      <c r="IB20" s="593">
        <f>'Proy 2021 vs 2019 Sem'!FL19*$DF$4</f>
        <v>9480.4853760000005</v>
      </c>
      <c r="IC20" s="735">
        <v>10177.42</v>
      </c>
      <c r="ID20" s="700">
        <f t="shared" si="659"/>
        <v>0.84807491189784423</v>
      </c>
      <c r="IE20" s="593">
        <f>'Proy 2021 vs 2019 Sem'!FK19*$DJ$4</f>
        <v>12000.614399999999</v>
      </c>
      <c r="IF20" s="593">
        <f>'Proy 2021 vs 2019 Sem'!FL19*$DJ$4</f>
        <v>9480.4853760000005</v>
      </c>
      <c r="IG20" s="735">
        <v>11893.85</v>
      </c>
      <c r="IH20" s="700">
        <f t="shared" si="660"/>
        <v>0.99110342217145164</v>
      </c>
      <c r="II20" s="593">
        <f>'Proy 2021 vs 2019 Sem'!FK19*$DN$4</f>
        <v>14000.7168</v>
      </c>
      <c r="IJ20" s="593">
        <f>'Proy 2021 vs 2019 Sem'!FL19*$DN$4</f>
        <v>11060.566272000002</v>
      </c>
      <c r="IK20" s="735">
        <v>9296.91</v>
      </c>
      <c r="IL20" s="700">
        <f t="shared" si="661"/>
        <v>0.66403100161271744</v>
      </c>
      <c r="IM20" s="593">
        <f>'Proy 2021 vs 2019 Sem'!FK19*$DR$4</f>
        <v>16000.8192</v>
      </c>
      <c r="IN20" s="593">
        <f>'Proy 2021 vs 2019 Sem'!FL19*$DR$4</f>
        <v>12640.647168000001</v>
      </c>
      <c r="IO20" s="1410">
        <v>10305.5</v>
      </c>
      <c r="IP20" s="700">
        <f t="shared" si="662"/>
        <v>0.64406077408836671</v>
      </c>
      <c r="IQ20" s="593">
        <f>'Proy 2021 vs 2019 Sem'!FK19*$IT$4</f>
        <v>22001.126399999997</v>
      </c>
      <c r="IR20" s="593">
        <f>'Proy 2021 vs 2019 Sem'!FL19*$IT$4</f>
        <v>17380.889856000002</v>
      </c>
      <c r="IS20" s="735">
        <v>17362.240000000002</v>
      </c>
      <c r="IT20" s="700">
        <f t="shared" si="663"/>
        <v>0.78915232267380653</v>
      </c>
      <c r="IU20" s="579">
        <f t="shared" si="664"/>
        <v>100005.12</v>
      </c>
      <c r="IV20" s="574">
        <f t="shared" si="665"/>
        <v>79004.044800000003</v>
      </c>
      <c r="IW20" s="765">
        <f t="shared" si="666"/>
        <v>73546.91</v>
      </c>
      <c r="IX20" s="761">
        <f t="shared" si="667"/>
        <v>0.73543144590996945</v>
      </c>
      <c r="IY20" s="593">
        <f>'Proy 2021 vs 2019 Sem'!FP19*$JB$4</f>
        <v>11361.752399999999</v>
      </c>
      <c r="IZ20" s="593">
        <f>'Proy 2021 vs 2019 Sem'!FQ19*$JB$4</f>
        <v>8634.9318240000011</v>
      </c>
      <c r="JA20" s="735">
        <v>4871.05</v>
      </c>
      <c r="JB20" s="700">
        <f t="shared" si="668"/>
        <v>0.42872347755087503</v>
      </c>
      <c r="JC20" s="593">
        <f>'Proy 2021 vs 2019 Sem'!FP19*$JF$4</f>
        <v>11361.752399999999</v>
      </c>
      <c r="JD20" s="593">
        <f>'Proy 2021 vs 2019 Sem'!FQ19*$JF$4</f>
        <v>8634.9318240000011</v>
      </c>
      <c r="JE20" s="735">
        <v>11190.26</v>
      </c>
      <c r="JF20" s="700">
        <f t="shared" si="669"/>
        <v>0.98490616641144202</v>
      </c>
      <c r="JG20" s="593">
        <f>'Proy 2021 vs 2019 Sem'!FP19*$JJ$4</f>
        <v>11361.752399999999</v>
      </c>
      <c r="JH20" s="593">
        <f>'Proy 2021 vs 2019 Sem'!FQ19*$JJ$4</f>
        <v>8634.9318240000011</v>
      </c>
      <c r="JI20" s="735">
        <v>7812.44</v>
      </c>
      <c r="JJ20" s="700">
        <f t="shared" si="670"/>
        <v>0.68760871782419763</v>
      </c>
      <c r="JK20" s="593">
        <f>'Proy 2021 vs 2019 Sem'!FP19*$JN$4</f>
        <v>11361.752399999999</v>
      </c>
      <c r="JL20" s="593">
        <f>'Proy 2021 vs 2019 Sem'!FQ19*$JN$4</f>
        <v>8634.9318240000011</v>
      </c>
      <c r="JM20" s="735">
        <v>7699.34</v>
      </c>
      <c r="JN20" s="700">
        <f t="shared" si="671"/>
        <v>0.67765426748782176</v>
      </c>
      <c r="JO20" s="593">
        <f>'Proy 2021 vs 2019 Sem'!FP19*$JR$4</f>
        <v>13255.377800000002</v>
      </c>
      <c r="JP20" s="593">
        <f>'Proy 2021 vs 2019 Sem'!FQ19*$JR$4</f>
        <v>10074.087128000003</v>
      </c>
      <c r="JQ20" s="735">
        <v>11310.29</v>
      </c>
      <c r="JR20" s="700">
        <f t="shared" si="672"/>
        <v>0.85326047817362094</v>
      </c>
      <c r="JS20" s="593">
        <f>'Proy 2021 vs 2019 Sem'!FP19*$JV$4</f>
        <v>15149.003200000001</v>
      </c>
      <c r="JT20" s="593">
        <f>'Proy 2021 vs 2019 Sem'!FQ19*$JV$4</f>
        <v>11513.242432000001</v>
      </c>
      <c r="JU20" s="735">
        <v>16604.97</v>
      </c>
      <c r="JV20" s="700">
        <f t="shared" si="673"/>
        <v>1.0961097427189137</v>
      </c>
      <c r="JW20" s="593">
        <f>'Proy 2021 vs 2019 Sem'!FP19*$JZ$4</f>
        <v>20829.879400000002</v>
      </c>
      <c r="JX20" s="593">
        <f>'Proy 2021 vs 2019 Sem'!FQ19*$JZ$4</f>
        <v>15830.708344000002</v>
      </c>
      <c r="JY20" s="735">
        <v>17959.169999999998</v>
      </c>
      <c r="JZ20" s="700">
        <f t="shared" si="674"/>
        <v>0.86218310030157908</v>
      </c>
      <c r="KA20" s="579">
        <f t="shared" si="675"/>
        <v>94681.27</v>
      </c>
      <c r="KB20" s="574">
        <f t="shared" si="676"/>
        <v>71957.765200000009</v>
      </c>
      <c r="KC20" s="770">
        <f t="shared" si="677"/>
        <v>77447.520000000004</v>
      </c>
      <c r="KD20" s="761">
        <f t="shared" si="678"/>
        <v>0.81798142335860091</v>
      </c>
      <c r="KE20" s="593">
        <f>'Proy 2021 vs 2019 Sem'!FY19*$KH$4</f>
        <v>11675.25</v>
      </c>
      <c r="KF20" s="593">
        <f>'Proy 2021 vs 2019 Sem'!FZ19*$KH$4</f>
        <v>8756.4375</v>
      </c>
      <c r="KG20" s="735">
        <v>5466.37</v>
      </c>
      <c r="KH20" s="700">
        <f t="shared" si="679"/>
        <v>0.46820153744031179</v>
      </c>
      <c r="KI20" s="593">
        <f>'Proy 2021 vs 2019 Sem'!FY19*$KL$4</f>
        <v>11675.25</v>
      </c>
      <c r="KJ20" s="593">
        <f>'Proy 2021 vs 2019 Sem'!FZ19*$KL$4</f>
        <v>8756.4375</v>
      </c>
      <c r="KK20" s="735">
        <v>9724.2900000000009</v>
      </c>
      <c r="KL20" s="700">
        <f t="shared" si="680"/>
        <v>0.83289779662105745</v>
      </c>
      <c r="KM20" s="593">
        <f>'Proy 2021 vs 2019 Sem'!FY19*$KP$4</f>
        <v>11675.25</v>
      </c>
      <c r="KN20" s="593">
        <f>'Proy 2021 vs 2019 Sem'!FZ19*$KP$4</f>
        <v>8756.4375</v>
      </c>
      <c r="KO20" s="735">
        <v>9878.34</v>
      </c>
      <c r="KP20" s="700">
        <f t="shared" si="681"/>
        <v>0.84609237489561251</v>
      </c>
      <c r="KQ20" s="593">
        <f>'Proy 2021 vs 2019 Sem'!FY19*$KT$4</f>
        <v>11675.25</v>
      </c>
      <c r="KR20" s="593">
        <f>'Proy 2021 vs 2019 Sem'!FZ19*$KT$4</f>
        <v>8756.4375</v>
      </c>
      <c r="KS20" s="735">
        <v>12178.76</v>
      </c>
      <c r="KT20" s="700">
        <f t="shared" si="682"/>
        <v>1.0431262713860516</v>
      </c>
      <c r="KU20" s="593">
        <f>'Proy 2021 vs 2019 Sem'!FY19*$KX$4</f>
        <v>13621.125000000002</v>
      </c>
      <c r="KV20" s="593">
        <f>'Proy 2021 vs 2019 Sem'!FZ19*$KX$4</f>
        <v>10215.843750000002</v>
      </c>
      <c r="KW20" s="735">
        <v>9633.5</v>
      </c>
      <c r="KX20" s="700">
        <f t="shared" si="683"/>
        <v>0.7072470152061594</v>
      </c>
      <c r="KY20" s="593">
        <f>'Proy 2021 vs 2019 Sem'!FY19*$LB$4</f>
        <v>15567</v>
      </c>
      <c r="KZ20" s="593">
        <f>'Proy 2021 vs 2019 Sem'!FZ19*$LB$4</f>
        <v>11675.25</v>
      </c>
      <c r="LA20" s="735">
        <v>10795.35</v>
      </c>
      <c r="LB20" s="700">
        <f t="shared" si="684"/>
        <v>0.69347658508383125</v>
      </c>
      <c r="LC20" s="593">
        <f>'Proy 2021 vs 2019 Sem'!FY19*$LF$4</f>
        <v>21404.625</v>
      </c>
      <c r="LD20" s="593">
        <f>'Proy 2021 vs 2019 Sem'!FZ19*$LF$4</f>
        <v>16053.46875</v>
      </c>
      <c r="LE20" s="735">
        <v>15924.06</v>
      </c>
      <c r="LF20" s="700">
        <f t="shared" si="685"/>
        <v>0.74395416878361564</v>
      </c>
      <c r="LG20" s="579">
        <f t="shared" si="686"/>
        <v>97293.75</v>
      </c>
      <c r="LH20" s="574">
        <f t="shared" si="687"/>
        <v>72970.3125</v>
      </c>
      <c r="LI20" s="793">
        <f t="shared" si="688"/>
        <v>73600.67</v>
      </c>
      <c r="LJ20" s="786">
        <f t="shared" si="689"/>
        <v>0.75647891051583471</v>
      </c>
      <c r="LK20" s="593">
        <f>'Proy 2021 vs 2019 Sem'!GD19*$LN$4</f>
        <v>10734.529200000001</v>
      </c>
      <c r="LL20" s="593">
        <f>'Proy 2021 vs 2019 Sem'!GE19*$LN$4</f>
        <v>8694.9686519999996</v>
      </c>
      <c r="LM20" s="735">
        <v>7491.15</v>
      </c>
      <c r="LN20" s="700">
        <f t="shared" si="690"/>
        <v>0.69785547744376153</v>
      </c>
      <c r="LO20" s="593">
        <f>'Proy 2021 vs 2019 Sem'!GD19*$LR$4</f>
        <v>10734.529200000001</v>
      </c>
      <c r="LP20" s="593">
        <f>'Proy 2021 vs 2019 Sem'!GE19*$LR$4</f>
        <v>8694.9686519999996</v>
      </c>
      <c r="LQ20" s="735">
        <v>8740.65</v>
      </c>
      <c r="LR20" s="700">
        <f t="shared" si="691"/>
        <v>0.81425555207395584</v>
      </c>
      <c r="LS20" s="593">
        <f>'Proy 2021 vs 2019 Sem'!GD19*$LV$4</f>
        <v>10734.529200000001</v>
      </c>
      <c r="LT20" s="593">
        <f>'Proy 2021 vs 2019 Sem'!GE19*$LV$4</f>
        <v>8694.9686519999996</v>
      </c>
      <c r="LU20" s="735">
        <v>8953.48</v>
      </c>
      <c r="LV20" s="700">
        <f t="shared" si="692"/>
        <v>0.83408222504998164</v>
      </c>
      <c r="LW20" s="593">
        <f>'Proy 2021 vs 2019 Sem'!GD19*$LZ$4</f>
        <v>10734.529200000001</v>
      </c>
      <c r="LX20" s="593">
        <f>'Proy 2021 vs 2019 Sem'!GE19*$LZ$4</f>
        <v>8694.9686519999996</v>
      </c>
      <c r="LY20" s="735">
        <v>8803.66</v>
      </c>
      <c r="LZ20" s="700">
        <f t="shared" si="693"/>
        <v>0.82012539497307424</v>
      </c>
      <c r="MA20" s="593">
        <f>'Proy 2021 vs 2019 Sem'!GD19*$MD$4</f>
        <v>12523.617400000001</v>
      </c>
      <c r="MB20" s="593">
        <f>'Proy 2021 vs 2019 Sem'!GE19*$MD$4</f>
        <v>10144.130094000002</v>
      </c>
      <c r="MC20" s="735">
        <v>7709.05</v>
      </c>
      <c r="MD20" s="700">
        <f t="shared" si="694"/>
        <v>0.61556096403903238</v>
      </c>
      <c r="ME20" s="593">
        <f>'Proy 2021 vs 2019 Sem'!GD19*$MH$4</f>
        <v>14312.705600000001</v>
      </c>
      <c r="MF20" s="593">
        <f>'Proy 2021 vs 2019 Sem'!GE19*$MH$4</f>
        <v>11593.291536000001</v>
      </c>
      <c r="MG20" s="735">
        <v>10506.54</v>
      </c>
      <c r="MH20" s="700">
        <f t="shared" si="695"/>
        <v>0.73407085240403469</v>
      </c>
      <c r="MI20" s="593">
        <f>'Proy 2021 vs 2019 Sem'!GD19*$ML$4</f>
        <v>19679.9702</v>
      </c>
      <c r="MJ20" s="593">
        <f>'Proy 2021 vs 2019 Sem'!GE19*$ML$4</f>
        <v>15940.775862</v>
      </c>
      <c r="MK20" s="735">
        <v>15287.32</v>
      </c>
      <c r="ML20" s="700">
        <f t="shared" si="696"/>
        <v>0.77679589169296603</v>
      </c>
      <c r="MM20" s="579">
        <f t="shared" si="697"/>
        <v>89454.41</v>
      </c>
      <c r="MN20" s="574">
        <f t="shared" si="698"/>
        <v>72458.07209999999</v>
      </c>
      <c r="MO20" s="794">
        <f t="shared" si="699"/>
        <v>67491.850000000006</v>
      </c>
      <c r="MP20" s="786">
        <f t="shared" si="700"/>
        <v>0.75448320546745551</v>
      </c>
      <c r="MQ20" s="593">
        <f>'Proy 2021 vs 2019 Sem'!GI19*$MT$4</f>
        <v>10064.0844</v>
      </c>
      <c r="MR20" s="593">
        <f>'Proy 2021 vs 2019 Sem'!GJ19*$MT$4</f>
        <v>8051.2675199999985</v>
      </c>
      <c r="MS20" s="735">
        <v>7492.03</v>
      </c>
      <c r="MT20" s="700">
        <f t="shared" si="701"/>
        <v>0.74443234995127827</v>
      </c>
      <c r="MU20" s="593">
        <f>'Proy 2021 vs 2019 Sem'!GI19*$MX$4</f>
        <v>10064.0844</v>
      </c>
      <c r="MV20" s="593">
        <f>'Proy 2021 vs 2019 Sem'!GJ19*$MX$4</f>
        <v>8051.2675199999985</v>
      </c>
      <c r="MW20" s="735">
        <v>10184.92</v>
      </c>
      <c r="MX20" s="700">
        <f t="shared" si="702"/>
        <v>1.0120066163197121</v>
      </c>
      <c r="MY20" s="593">
        <f>'Proy 2021 vs 2019 Sem'!GI19*$NB$4</f>
        <v>10064.0844</v>
      </c>
      <c r="MZ20" s="593">
        <f>'Proy 2021 vs 2019 Sem'!GJ19*$NB$4</f>
        <v>8051.2675199999985</v>
      </c>
      <c r="NA20" s="735">
        <v>10166.92</v>
      </c>
      <c r="NB20" s="700">
        <f t="shared" si="703"/>
        <v>1.0102180780598382</v>
      </c>
      <c r="NC20" s="593">
        <f>'Proy 2021 vs 2019 Sem'!GI19*$NF$4</f>
        <v>10064.0844</v>
      </c>
      <c r="ND20" s="593">
        <f>'Proy 2021 vs 2019 Sem'!GJ19*$NF$4</f>
        <v>8051.2675199999985</v>
      </c>
      <c r="NE20" s="735">
        <v>7655.42</v>
      </c>
      <c r="NF20" s="700">
        <f t="shared" si="704"/>
        <v>0.76066730918910019</v>
      </c>
      <c r="NG20" s="593">
        <f>'Proy 2021 vs 2019 Sem'!GI19*$NJ$4</f>
        <v>11741.4318</v>
      </c>
      <c r="NH20" s="593">
        <f>'Proy 2021 vs 2019 Sem'!GJ19*$NJ$4</f>
        <v>9393.1454400000002</v>
      </c>
      <c r="NI20" s="735">
        <v>9014.16</v>
      </c>
      <c r="NJ20" s="700">
        <f t="shared" si="705"/>
        <v>0.76772238288689798</v>
      </c>
      <c r="NK20" s="593">
        <f>'Proy 2021 vs 2019 Sem'!GI19*$NN$4</f>
        <v>13418.779199999999</v>
      </c>
      <c r="NL20" s="593">
        <f>'Proy 2021 vs 2019 Sem'!GJ19*$NN$4</f>
        <v>10735.023359999999</v>
      </c>
      <c r="NM20" s="735">
        <v>11903.78</v>
      </c>
      <c r="NN20" s="700">
        <f t="shared" si="706"/>
        <v>0.88709858196340252</v>
      </c>
      <c r="NO20" s="593">
        <f>'Proy 2021 vs 2019 Sem'!GI19*$NR$4</f>
        <v>18450.821400000001</v>
      </c>
      <c r="NP20" s="593">
        <f>'Proy 2021 vs 2019 Sem'!GJ19*$NR$4</f>
        <v>14760.657119999998</v>
      </c>
      <c r="NQ20" s="735">
        <v>18660.36</v>
      </c>
      <c r="NR20" s="700">
        <f t="shared" si="707"/>
        <v>1.0113566000915277</v>
      </c>
      <c r="NS20" s="579">
        <f t="shared" si="708"/>
        <v>83867.37</v>
      </c>
      <c r="NT20" s="574">
        <f t="shared" si="709"/>
        <v>67093.895999999993</v>
      </c>
      <c r="NU20" s="794">
        <f t="shared" si="710"/>
        <v>75077.59</v>
      </c>
      <c r="NV20" s="786">
        <f t="shared" si="711"/>
        <v>0.89519428116083766</v>
      </c>
      <c r="NW20" s="593">
        <f>'Proy 2021 vs 2019 Sem'!GN19*$NZ$4</f>
        <v>11854.6152</v>
      </c>
      <c r="NX20" s="593">
        <f>'Proy 2021 vs 2019 Sem'!GO19*$NZ$4</f>
        <v>8653.8690960000004</v>
      </c>
      <c r="NY20" s="735">
        <v>3813.59</v>
      </c>
      <c r="NZ20" s="700">
        <f t="shared" si="712"/>
        <v>0.32169665026326627</v>
      </c>
      <c r="OA20" s="593">
        <f>'Proy 2021 vs 2019 Sem'!GN19*$OD$4</f>
        <v>11854.6152</v>
      </c>
      <c r="OB20" s="593">
        <f>'Proy 2021 vs 2019 Sem'!GO19*$OD$4</f>
        <v>8653.8690960000004</v>
      </c>
      <c r="OC20" s="735">
        <v>7668.53</v>
      </c>
      <c r="OD20" s="700">
        <f t="shared" si="713"/>
        <v>0.64688139350149465</v>
      </c>
      <c r="OE20" s="593">
        <f>'Proy 2021 vs 2019 Sem'!GN19*$OH$4</f>
        <v>11854.6152</v>
      </c>
      <c r="OF20" s="593">
        <f>'Proy 2021 vs 2019 Sem'!GO19*$OH$4</f>
        <v>8653.8690960000004</v>
      </c>
      <c r="OG20" s="735">
        <v>10553.66</v>
      </c>
      <c r="OH20" s="700">
        <f t="shared" si="714"/>
        <v>0.89025749228874163</v>
      </c>
      <c r="OI20" s="593">
        <f>'Proy 2021 vs 2019 Sem'!GN19*$OL$4</f>
        <v>11854.6152</v>
      </c>
      <c r="OJ20" s="593">
        <f>'Proy 2021 vs 2019 Sem'!GO19*$OL$4</f>
        <v>8653.8690960000004</v>
      </c>
      <c r="OK20" s="735">
        <v>7071.11</v>
      </c>
      <c r="OL20" s="700">
        <f t="shared" si="715"/>
        <v>0.59648583110483411</v>
      </c>
      <c r="OM20" s="593">
        <f>'Proy 2021 vs 2019 Sem'!GN19*$OP$4</f>
        <v>13830.384400000003</v>
      </c>
      <c r="ON20" s="593">
        <f>'Proy 2021 vs 2019 Sem'!GO19*$OP$4</f>
        <v>10096.180612000002</v>
      </c>
      <c r="OO20" s="735">
        <v>8911.84</v>
      </c>
      <c r="OP20" s="700">
        <f t="shared" si="716"/>
        <v>0.64436676105690871</v>
      </c>
      <c r="OQ20" s="593">
        <f>'Proy 2021 vs 2019 Sem'!GN19*$JV$4</f>
        <v>15806.153600000001</v>
      </c>
      <c r="OR20" s="593">
        <f>'Proy 2021 vs 2019 Sem'!GO19*$JV$4</f>
        <v>11538.492128000002</v>
      </c>
      <c r="OS20" s="735">
        <v>18784.490000000002</v>
      </c>
      <c r="OT20" s="700">
        <f t="shared" si="717"/>
        <v>1.1884289166973552</v>
      </c>
      <c r="OU20" s="593">
        <f>'Proy 2021 vs 2019 Sem'!GN19*$OX$4</f>
        <v>21733.461200000002</v>
      </c>
      <c r="OV20" s="593">
        <f>'Proy 2021 vs 2019 Sem'!GO19*$OX$4</f>
        <v>15865.426676000001</v>
      </c>
      <c r="OW20" s="735">
        <v>25498.71</v>
      </c>
      <c r="OX20" s="700">
        <f t="shared" si="718"/>
        <v>1.1732466248864215</v>
      </c>
      <c r="OY20" s="579">
        <f t="shared" si="719"/>
        <v>98788.46</v>
      </c>
      <c r="OZ20" s="574">
        <f t="shared" si="720"/>
        <v>72115.575800000006</v>
      </c>
      <c r="PA20" s="785">
        <f t="shared" si="721"/>
        <v>82301.929999999993</v>
      </c>
      <c r="PB20" s="786">
        <f t="shared" si="722"/>
        <v>0.83311279475355715</v>
      </c>
      <c r="PC20" s="593">
        <f>'Proy 2021 vs 2019 Sem'!GW19*$PF$4</f>
        <v>11054.16</v>
      </c>
      <c r="PD20" s="593">
        <f>'Proy 2021 vs 2019 Sem'!GX19*$PF$4</f>
        <v>8401.1616000000013</v>
      </c>
      <c r="PE20" s="735">
        <v>10386.61</v>
      </c>
      <c r="PF20" s="700">
        <f t="shared" si="723"/>
        <v>0.93961096998776938</v>
      </c>
      <c r="PG20" s="593">
        <f>'Proy 2021 vs 2019 Sem'!GW19*$PJ$4</f>
        <v>11054.16</v>
      </c>
      <c r="PH20" s="593">
        <f>'Proy 2021 vs 2019 Sem'!GX19*$PJ$4</f>
        <v>8401.1616000000013</v>
      </c>
      <c r="PI20" s="735">
        <v>19675.37</v>
      </c>
      <c r="PJ20" s="700">
        <f t="shared" si="724"/>
        <v>1.7799063881832722</v>
      </c>
      <c r="PK20" s="593">
        <f>'Proy 2021 vs 2019 Sem'!GW19*'Vtas Diarias 2021'!$PN$4</f>
        <v>11054.16</v>
      </c>
      <c r="PL20" s="593">
        <f>'Proy 2021 vs 2019 Sem'!GX19*'Vtas Diarias 2021'!$PN$4</f>
        <v>8401.1616000000013</v>
      </c>
      <c r="PM20" s="735">
        <v>12855.55</v>
      </c>
      <c r="PN20" s="700">
        <f t="shared" si="725"/>
        <v>1.1629603696707844</v>
      </c>
      <c r="PO20" s="593">
        <f>'Proy 2021 vs 2019 Sem'!GW19*$PR$4</f>
        <v>11054.16</v>
      </c>
      <c r="PP20" s="593">
        <f>'Proy 2021 vs 2019 Sem'!GX19*$PR$4</f>
        <v>8401.1616000000013</v>
      </c>
      <c r="PQ20" s="735">
        <v>15772.66</v>
      </c>
      <c r="PR20" s="700">
        <f t="shared" si="726"/>
        <v>1.4268528771068991</v>
      </c>
      <c r="PS20" s="593">
        <f>'Proy 2021 vs 2019 Sem'!GW19*$PV$4</f>
        <v>12896.52</v>
      </c>
      <c r="PT20" s="593">
        <f>'Proy 2021 vs 2019 Sem'!GX19*$PV$4</f>
        <v>9801.3552000000018</v>
      </c>
      <c r="PU20" s="735">
        <v>9012.43</v>
      </c>
      <c r="PV20" s="700">
        <f t="shared" si="727"/>
        <v>0.69882650513471856</v>
      </c>
      <c r="PW20" s="593">
        <f>'Proy 2021 vs 2019 Sem'!GW19*PZ$4</f>
        <v>14738.880000000001</v>
      </c>
      <c r="PX20" s="593">
        <f>'Proy 2021 vs 2019 Sem'!GX19*$PZ$4</f>
        <v>11201.548800000002</v>
      </c>
      <c r="PY20" s="735">
        <v>11349.05</v>
      </c>
      <c r="PZ20" s="700">
        <f t="shared" si="728"/>
        <v>0.770007626088278</v>
      </c>
      <c r="QA20" s="593">
        <f>'Proy 2021 vs 2019 Sem'!GW19*$QD$4</f>
        <v>20265.96</v>
      </c>
      <c r="QB20" s="593">
        <f>'Proy 2021 vs 2019 Sem'!GX19*$QD$4</f>
        <v>15402.129600000002</v>
      </c>
      <c r="QC20" s="735">
        <v>13631.47</v>
      </c>
      <c r="QD20" s="700">
        <f t="shared" si="729"/>
        <v>0.67262888113861863</v>
      </c>
      <c r="QE20" s="579">
        <f t="shared" si="730"/>
        <v>92118</v>
      </c>
      <c r="QF20" s="574">
        <f t="shared" si="731"/>
        <v>70009.680000000008</v>
      </c>
      <c r="QG20" s="729">
        <f t="shared" si="732"/>
        <v>92683.14</v>
      </c>
      <c r="QH20" s="711">
        <f t="shared" si="733"/>
        <v>1.0061349573373282</v>
      </c>
      <c r="QI20" s="578">
        <f>'Proy 2021 vs 2019 Sem'!HB19*$QL$4</f>
        <v>10646.305200000001</v>
      </c>
      <c r="QJ20" s="611">
        <f>'Proy 2021 vs 2019 Sem'!UG19*$AL$4</f>
        <v>0</v>
      </c>
      <c r="QK20" s="735">
        <v>4724.18</v>
      </c>
      <c r="QL20" s="700">
        <f t="shared" si="734"/>
        <v>0.4437389226827726</v>
      </c>
      <c r="QM20" s="593">
        <f>'Proy 2021 vs 2019 Sem'!HB19*$QP$4</f>
        <v>10646.305200000001</v>
      </c>
      <c r="QN20" s="593">
        <f>'Proy 2021 vs 2019 Sem'!UG19*$AP$4</f>
        <v>0</v>
      </c>
      <c r="QO20" s="735">
        <v>8141.5</v>
      </c>
      <c r="QP20" s="700">
        <f t="shared" si="735"/>
        <v>0.76472539975652765</v>
      </c>
      <c r="QQ20" s="593">
        <f>'Proy 2021 vs 2019 Sem'!HB19*$QT$4</f>
        <v>10646.305200000001</v>
      </c>
      <c r="QR20" s="593">
        <f>'Proy 2021 vs 2019 Sem'!HC19*$QT$4</f>
        <v>8304.1180559999993</v>
      </c>
      <c r="QS20" s="735">
        <v>9414.81</v>
      </c>
      <c r="QT20" s="700">
        <f t="shared" si="736"/>
        <v>0.8843265173348589</v>
      </c>
      <c r="QU20" s="593">
        <f>'Proy 2021 vs 2019 Sem'!HB19*$QX$4</f>
        <v>10646.305200000001</v>
      </c>
      <c r="QV20" s="593">
        <f>'Proy 2021 vs 2019 Sem'!HC19*$QX$4</f>
        <v>8304.1180559999993</v>
      </c>
      <c r="QW20" s="735">
        <v>8914.35</v>
      </c>
      <c r="QX20" s="700">
        <f t="shared" si="737"/>
        <v>0.83731865962287089</v>
      </c>
      <c r="QY20" s="593">
        <f>'Proy 2021 vs 2019 Sem'!HB19*$RB$4</f>
        <v>12420.689400000003</v>
      </c>
      <c r="QZ20" s="593">
        <f>'Proy 2021 vs 2019 Sem'!HC19*$RB$4</f>
        <v>9688.1377320000011</v>
      </c>
      <c r="RA20" s="735">
        <v>12178.98</v>
      </c>
      <c r="RB20" s="700">
        <f t="shared" si="738"/>
        <v>0.9805397758356309</v>
      </c>
      <c r="RC20" s="593">
        <f>'Proy 2021 vs 2019 Sem'!HB19*$RF$4</f>
        <v>14195.073600000002</v>
      </c>
      <c r="RD20" s="593">
        <f>'Proy 2021 vs 2019 Sem'!HC19*$RF$4</f>
        <v>11072.157408000001</v>
      </c>
      <c r="RE20" s="735">
        <v>11340.15</v>
      </c>
      <c r="RF20" s="700">
        <f t="shared" si="739"/>
        <v>0.79887926752278327</v>
      </c>
      <c r="RG20" s="593">
        <f>'Proy 2021 vs 2019 Sem'!HB19*$RJ$4</f>
        <v>19518.226200000001</v>
      </c>
      <c r="RH20" s="593">
        <f>'Proy 2021 vs 2019 Sem'!HC19*$RJ$4</f>
        <v>15224.216436000001</v>
      </c>
      <c r="RI20" s="735">
        <v>15014.96</v>
      </c>
      <c r="RJ20" s="700">
        <f t="shared" si="740"/>
        <v>0.76927892146264798</v>
      </c>
      <c r="RK20" s="579">
        <f t="shared" si="741"/>
        <v>88719.21</v>
      </c>
      <c r="RL20" s="574">
        <f t="shared" si="742"/>
        <v>52592.747688000003</v>
      </c>
      <c r="RM20" s="730">
        <f t="shared" si="743"/>
        <v>69728.929999999993</v>
      </c>
      <c r="RN20" s="711">
        <f t="shared" si="744"/>
        <v>0.78595075407005976</v>
      </c>
      <c r="RO20" s="593">
        <f>'Proy 2021 vs 2019 Sem'!HG19*$RR$4</f>
        <v>11753.264399999998</v>
      </c>
      <c r="RP20" s="593">
        <f>'Proy 2021 vs 2019 Sem'!HH19*$RR$4</f>
        <v>9050.0135879999998</v>
      </c>
      <c r="RQ20" s="735">
        <v>11053.81</v>
      </c>
      <c r="RR20" s="700">
        <f t="shared" si="745"/>
        <v>0.94048849951848279</v>
      </c>
      <c r="RS20" s="593">
        <f>'Proy 2021 vs 2019 Sem'!HG19*$RV$4</f>
        <v>11753.264399999998</v>
      </c>
      <c r="RT20" s="593">
        <f>'Proy 2021 vs 2019 Sem'!HH19*$RV$4</f>
        <v>9050.0135879999998</v>
      </c>
      <c r="RU20" s="735">
        <v>7963.14</v>
      </c>
      <c r="RV20" s="700">
        <f t="shared" si="746"/>
        <v>0.67752581146732316</v>
      </c>
      <c r="RW20" s="593">
        <f>'Proy 2021 vs 2019 Sem'!HG19*$RZ$4</f>
        <v>11753.264399999998</v>
      </c>
      <c r="RX20" s="593">
        <f>'Proy 2021 vs 2019 Sem'!HH19*$RZ$4</f>
        <v>9050.0135879999998</v>
      </c>
      <c r="RY20" s="735">
        <v>9474.15</v>
      </c>
      <c r="RZ20" s="700">
        <f t="shared" si="747"/>
        <v>0.80608669026453628</v>
      </c>
      <c r="SA20" s="593">
        <f>'Proy 2021 vs 2019 Sem'!HG19*$SD$4</f>
        <v>11753.264399999998</v>
      </c>
      <c r="SB20" s="593">
        <f>'Proy 2021 vs 2019 Sem'!HH19*$SD$4</f>
        <v>9050.0135879999998</v>
      </c>
      <c r="SC20" s="735">
        <v>8352.11</v>
      </c>
      <c r="SD20" s="700">
        <f t="shared" si="748"/>
        <v>0.7106204468607038</v>
      </c>
      <c r="SE20" s="593">
        <f>'Proy 2021 vs 2019 Sem'!HG19*$SH$4</f>
        <v>13712.141800000001</v>
      </c>
      <c r="SF20" s="593">
        <f>'Proy 2021 vs 2019 Sem'!HH19*$SH$4</f>
        <v>10558.349185999999</v>
      </c>
      <c r="SG20" s="735">
        <v>8449.08</v>
      </c>
      <c r="SH20" s="700">
        <f t="shared" si="749"/>
        <v>0.6161750748522743</v>
      </c>
      <c r="SI20" s="593">
        <f>'Proy 2021 vs 2019 Sem'!HG19*$SL$4</f>
        <v>15671.019199999999</v>
      </c>
      <c r="SJ20" s="593">
        <f>'Proy 2021 vs 2019 Sem'!HH19*$SL$4</f>
        <v>12066.684783999999</v>
      </c>
      <c r="SK20" s="735">
        <v>11354.42</v>
      </c>
      <c r="SL20" s="700">
        <f t="shared" si="750"/>
        <v>0.72454891766069696</v>
      </c>
      <c r="SM20" s="593">
        <f>'Proy 2021 vs 2019 Sem'!HG19*$SP$4</f>
        <v>21547.651399999999</v>
      </c>
      <c r="SN20" s="593">
        <f>'Proy 2021 vs 2019 Sem'!HH19*$SP$4</f>
        <v>16591.691577999998</v>
      </c>
      <c r="SO20" s="735">
        <v>16836.09</v>
      </c>
      <c r="SP20" s="700">
        <f t="shared" si="751"/>
        <v>0.7813422301792019</v>
      </c>
      <c r="SQ20" s="579">
        <f t="shared" si="752"/>
        <v>97943.87</v>
      </c>
      <c r="SR20" s="574">
        <f t="shared" si="753"/>
        <v>75416.779899999994</v>
      </c>
      <c r="SS20" s="730">
        <f t="shared" si="754"/>
        <v>73482.8</v>
      </c>
      <c r="ST20" s="711">
        <f t="shared" si="755"/>
        <v>0.7502542017177799</v>
      </c>
      <c r="SU20" s="593">
        <f>'Proy 2021 vs 2019 Sem'!HL19*$SX$4</f>
        <v>9764.6603999999988</v>
      </c>
      <c r="SV20" s="593">
        <f>'Proy 2021 vs 2019 Sem'!HM19*$SX$4</f>
        <v>7421.1419039999992</v>
      </c>
      <c r="SW20" s="735">
        <v>4049.7</v>
      </c>
      <c r="SX20" s="700">
        <f t="shared" si="756"/>
        <v>0.41473024499653877</v>
      </c>
      <c r="SY20" s="593">
        <f>'Proy 2021 vs 2019 Sem'!HL19*$TB$4</f>
        <v>9764.6603999999988</v>
      </c>
      <c r="SZ20" s="593">
        <f>'Proy 2021 vs 2019 Sem'!HM19*$TB$4</f>
        <v>7421.1419039999992</v>
      </c>
      <c r="TA20" s="735">
        <v>6847.79</v>
      </c>
      <c r="TB20" s="700">
        <f t="shared" si="757"/>
        <v>0.70128296525294431</v>
      </c>
      <c r="TC20" s="593">
        <f>'Proy 2021 vs 2019 Sem'!HL19*$TF$4</f>
        <v>9764.6603999999988</v>
      </c>
      <c r="TD20" s="593">
        <f>'Proy 2021 vs 2019 Sem'!HM19*$TF$4</f>
        <v>7421.1419039999992</v>
      </c>
      <c r="TE20" s="735">
        <v>10125.790000000001</v>
      </c>
      <c r="TF20" s="700">
        <f t="shared" si="758"/>
        <v>1.0369833240693145</v>
      </c>
      <c r="TG20" s="593">
        <f>'Proy 2021 vs 2019 Sem'!HL19*$TJ$4</f>
        <v>9764.6603999999988</v>
      </c>
      <c r="TH20" s="593">
        <f>'Proy 2021 vs 2019 Sem'!HM19*$TJ$4</f>
        <v>7421.1419039999992</v>
      </c>
      <c r="TI20" s="735">
        <v>8495.25</v>
      </c>
      <c r="TJ20" s="700">
        <f t="shared" si="759"/>
        <v>0.8699995342387945</v>
      </c>
      <c r="TK20" s="593">
        <f>'Proy 2021 vs 2019 Sem'!HL19*$TN$4</f>
        <v>11392.103800000001</v>
      </c>
      <c r="TL20" s="593">
        <f>'Proy 2021 vs 2019 Sem'!HM19*$TN$4</f>
        <v>8657.9988880000001</v>
      </c>
      <c r="TM20" s="735">
        <v>10316.56</v>
      </c>
      <c r="TN20" s="700">
        <f t="shared" si="760"/>
        <v>0.90558865869884353</v>
      </c>
      <c r="TO20" s="593">
        <f>'Proy 2021 vs 2019 Sem'!HL19*$TR$4</f>
        <v>13019.547200000001</v>
      </c>
      <c r="TP20" s="611">
        <f>'Proy 2021 vs 2019 Sem'!HM19*$TR$4</f>
        <v>9894.8558720000001</v>
      </c>
      <c r="TQ20" s="735">
        <v>11119.26</v>
      </c>
      <c r="TR20" s="700">
        <f t="shared" si="761"/>
        <v>0.85404352618346047</v>
      </c>
      <c r="TS20" s="593">
        <f>'Proy 2021 vs 2019 Sem'!HL19*$TV$4</f>
        <v>17901.877400000001</v>
      </c>
      <c r="TT20" s="593">
        <f>'Proy 2021 vs 2019 Sem'!HM19*$TV$4</f>
        <v>13605.426824</v>
      </c>
      <c r="TU20" s="735">
        <v>15758.04</v>
      </c>
      <c r="TV20" s="700">
        <f t="shared" si="762"/>
        <v>0.88024510770026831</v>
      </c>
      <c r="TW20" s="579">
        <f t="shared" si="763"/>
        <v>81372.17</v>
      </c>
      <c r="TX20" s="574">
        <f t="shared" si="764"/>
        <v>61842.849199999997</v>
      </c>
      <c r="TY20" s="710">
        <f t="shared" si="765"/>
        <v>66712.39</v>
      </c>
      <c r="TZ20" s="711">
        <f t="shared" si="766"/>
        <v>0.8198428283281618</v>
      </c>
      <c r="UA20" s="593">
        <v>4539.88</v>
      </c>
      <c r="UB20" s="593">
        <f>'Proy 2021 vs 2019 Sem'!HR19*$UD$4</f>
        <v>8742.913536</v>
      </c>
      <c r="UC20" s="735">
        <v>3270.19</v>
      </c>
      <c r="UD20" s="700">
        <f t="shared" si="767"/>
        <v>0.72032520683366075</v>
      </c>
      <c r="UE20" s="593">
        <v>12954.29</v>
      </c>
      <c r="UF20" s="593">
        <f>'Proy 2021 vs 2019 Sem'!HR19*$UH$4</f>
        <v>8742.913536</v>
      </c>
      <c r="UG20" s="735">
        <v>12840.67</v>
      </c>
      <c r="UH20" s="700">
        <f t="shared" si="768"/>
        <v>0.99122916037853093</v>
      </c>
      <c r="UI20" s="593">
        <v>13026.69</v>
      </c>
      <c r="UJ20" s="593">
        <f>'Proy 2021 vs 2019 Sem'!HR19*$UL$4</f>
        <v>8742.913536</v>
      </c>
      <c r="UK20" s="735">
        <v>7670.71</v>
      </c>
      <c r="UL20" s="700">
        <f t="shared" si="769"/>
        <v>0.58884566992843157</v>
      </c>
      <c r="UM20" s="593">
        <v>8952.9699999999993</v>
      </c>
      <c r="UN20" s="593">
        <f>'Proy 2021 vs 2019 Sem'!HR19*$UP$4</f>
        <v>8742.913536</v>
      </c>
      <c r="UO20" s="735">
        <v>9817.89</v>
      </c>
      <c r="UP20" s="700">
        <f t="shared" si="770"/>
        <v>1.0966070477171264</v>
      </c>
      <c r="UQ20" s="593">
        <v>15463.91</v>
      </c>
      <c r="UR20" s="593">
        <f>'Proy 2021 vs 2019 Sem'!HR19*$UT$4</f>
        <v>10200.065792000001</v>
      </c>
      <c r="US20" s="735">
        <v>12554.5</v>
      </c>
      <c r="UT20" s="700">
        <f t="shared" si="771"/>
        <v>0.81185806177092346</v>
      </c>
      <c r="UU20" s="593">
        <v>15443.76</v>
      </c>
      <c r="UV20" s="593">
        <f>'Proy 2021 vs 2019 Sem'!HR19*$UX$4</f>
        <v>11657.218048000001</v>
      </c>
      <c r="UW20" s="735">
        <v>11738.26</v>
      </c>
      <c r="UX20" s="700">
        <f t="shared" si="772"/>
        <v>0.76006490647355307</v>
      </c>
      <c r="UY20" s="593">
        <v>25483.78</v>
      </c>
      <c r="UZ20" s="593">
        <f>'Proy 2021 vs 2019 Sem'!HR19*$VB$4</f>
        <v>16028.674816000001</v>
      </c>
      <c r="VA20" s="735">
        <v>16664.52</v>
      </c>
      <c r="VB20" s="700">
        <f t="shared" si="773"/>
        <v>0.6539265368010555</v>
      </c>
      <c r="VC20" s="577">
        <f>UA20+UE20+UI20+UM20+UQ20+UU20+UY20</f>
        <v>95865.279999999999</v>
      </c>
      <c r="VD20" s="574">
        <f t="shared" si="774"/>
        <v>72857.612800000003</v>
      </c>
      <c r="VE20" s="710">
        <f t="shared" si="775"/>
        <v>74556.740000000005</v>
      </c>
      <c r="VF20" s="1532">
        <f t="shared" si="776"/>
        <v>0.77772411450735868</v>
      </c>
      <c r="VG20" s="593">
        <v>9760.9699999999993</v>
      </c>
      <c r="VH20" s="593">
        <f>'Proy 2021 vs 2019 Sem'!IA19*$VJ$4</f>
        <v>8221.7846879999997</v>
      </c>
      <c r="VI20" s="735">
        <v>6471.71</v>
      </c>
      <c r="VJ20" s="700">
        <f t="shared" si="777"/>
        <v>0.66301914666267803</v>
      </c>
      <c r="VK20" s="593">
        <v>15306.99</v>
      </c>
      <c r="VL20" s="593">
        <f>'Proy 2021 vs 2019 Sem'!IA19*$VN$4</f>
        <v>8221.7846879999997</v>
      </c>
      <c r="VM20" s="735">
        <v>9816.0499999999993</v>
      </c>
      <c r="VN20" s="700">
        <f t="shared" si="778"/>
        <v>0.64127891897753897</v>
      </c>
      <c r="VO20" s="593">
        <v>8749.64</v>
      </c>
      <c r="VP20" s="593">
        <f>'Proy 2021 vs 2019 Sem'!IA19*$VR$4</f>
        <v>8221.7846879999997</v>
      </c>
      <c r="VQ20" s="735">
        <v>6219.76</v>
      </c>
      <c r="VR20" s="700">
        <f t="shared" si="779"/>
        <v>0.71085896105439772</v>
      </c>
      <c r="VS20" s="593">
        <v>8423.39</v>
      </c>
      <c r="VT20" s="593">
        <f>'Proy 2021 vs 2019 Sem'!IA19*$VV$4</f>
        <v>8221.7846879999997</v>
      </c>
      <c r="VU20" s="735">
        <v>9391.7900000000009</v>
      </c>
      <c r="VV20" s="700">
        <f t="shared" si="780"/>
        <v>1.1149655898634636</v>
      </c>
      <c r="VW20" s="593">
        <v>11191.97</v>
      </c>
      <c r="VX20" s="593">
        <f>'Proy 2021 vs 2019 Sem'!IA19*$VZ$4</f>
        <v>9592.0821360000027</v>
      </c>
      <c r="VY20" s="735">
        <v>8461.77</v>
      </c>
      <c r="VZ20" s="700">
        <f t="shared" si="781"/>
        <v>0.75605724461377233</v>
      </c>
      <c r="WA20" s="593">
        <v>13824.42</v>
      </c>
      <c r="WB20" s="593">
        <f>'Proy 2021 vs 2019 Sem'!IA19*$WD$4</f>
        <v>10962.379584000002</v>
      </c>
      <c r="WC20" s="735">
        <v>11502.91</v>
      </c>
      <c r="WD20" s="700">
        <f t="shared" si="782"/>
        <v>0.8320717975871682</v>
      </c>
      <c r="WE20" s="593">
        <v>20558.07</v>
      </c>
      <c r="WF20" s="593">
        <f>'Proy 2021 vs 2019 Sem'!IA19*$WH$4</f>
        <v>15073.271928000002</v>
      </c>
      <c r="WG20" s="735">
        <v>18692.3</v>
      </c>
      <c r="WH20" s="1538">
        <f t="shared" si="783"/>
        <v>0.90924391248789405</v>
      </c>
      <c r="WI20" s="574">
        <f t="shared" si="784"/>
        <v>42240.99</v>
      </c>
      <c r="WJ20" s="575">
        <f t="shared" si="785"/>
        <v>68514.872400000007</v>
      </c>
      <c r="WK20" s="793">
        <f t="shared" si="786"/>
        <v>70556.290000000008</v>
      </c>
      <c r="WL20" s="786">
        <f t="shared" si="787"/>
        <v>1.6703275657128305</v>
      </c>
      <c r="WM20" s="593">
        <v>7569.06</v>
      </c>
      <c r="WN20" s="593">
        <f>'Proy 2021 vs 2019 Sem'!IF19*$WP$4</f>
        <v>9645.7084800000011</v>
      </c>
      <c r="WO20" s="735">
        <v>5756.59</v>
      </c>
      <c r="WP20" s="700">
        <f t="shared" si="788"/>
        <v>0.76054226020139881</v>
      </c>
      <c r="WQ20" s="593">
        <v>11966</v>
      </c>
      <c r="WR20" s="593">
        <f>'Proy 2021 vs 2019 Sem'!IF19*$WT$4</f>
        <v>9645.7084800000011</v>
      </c>
      <c r="WS20" s="735">
        <v>9166.56</v>
      </c>
      <c r="WT20" s="700">
        <f t="shared" si="789"/>
        <v>0.76605047634965728</v>
      </c>
      <c r="WU20" s="593">
        <v>11346.76</v>
      </c>
      <c r="WV20" s="593">
        <f>'Proy 2021 vs 2019 Sem'!IF19*$WX$4</f>
        <v>9645.7084800000011</v>
      </c>
      <c r="WW20" s="735">
        <v>8544.18</v>
      </c>
      <c r="WX20" s="700">
        <f t="shared" si="790"/>
        <v>0.75300614448529801</v>
      </c>
      <c r="WY20" s="593">
        <v>13750.85</v>
      </c>
      <c r="WZ20" s="593">
        <f>'Proy 2021 vs 2019 Sem'!IF19*$XB$4</f>
        <v>9645.7084800000011</v>
      </c>
      <c r="XA20" s="735">
        <v>9636.85</v>
      </c>
      <c r="XB20" s="700">
        <f t="shared" si="791"/>
        <v>0.70081849485668157</v>
      </c>
      <c r="XC20" s="593">
        <v>12429.47</v>
      </c>
      <c r="XD20" s="1547">
        <f>'Proy 2021 vs 2019 Sem'!IF19*$XF$4</f>
        <v>11253.326560000003</v>
      </c>
      <c r="XE20" s="735">
        <v>9018.61</v>
      </c>
      <c r="XF20" s="700">
        <f t="shared" si="792"/>
        <v>0.72558282855182088</v>
      </c>
      <c r="XG20" s="593">
        <v>17793.39</v>
      </c>
      <c r="XH20" s="593">
        <f>'Proy 2021 vs 2019 Sem'!IF19*$XJ$4</f>
        <v>12860.944640000002</v>
      </c>
      <c r="XI20" s="735">
        <v>12171.43</v>
      </c>
      <c r="XJ20" s="700">
        <f t="shared" si="793"/>
        <v>0.68404222017277205</v>
      </c>
      <c r="XK20" s="593">
        <v>25620.6</v>
      </c>
      <c r="XL20" s="593">
        <f>'Proy 2021 vs 2019 Sem'!IF19*$XN$4</f>
        <v>17683.798880000002</v>
      </c>
      <c r="XM20" s="735">
        <v>15611.25</v>
      </c>
      <c r="XN20" s="700">
        <f t="shared" si="794"/>
        <v>0.60932413760801862</v>
      </c>
      <c r="XO20" s="579">
        <f t="shared" si="795"/>
        <v>100476.13</v>
      </c>
      <c r="XP20" s="574">
        <f t="shared" si="796"/>
        <v>80380.90400000001</v>
      </c>
      <c r="XQ20" s="794">
        <f t="shared" si="797"/>
        <v>69905.47</v>
      </c>
      <c r="XR20" s="786">
        <f t="shared" si="798"/>
        <v>0.69574206331394328</v>
      </c>
      <c r="XS20" s="593">
        <v>8926.0300000000007</v>
      </c>
      <c r="XT20" s="593">
        <f>'Proy 2021 vs 2019 Sem'!IK19*$XV$4</f>
        <v>11317.003187999999</v>
      </c>
      <c r="XU20" s="735">
        <v>5477.04</v>
      </c>
      <c r="XV20" s="700">
        <f t="shared" si="799"/>
        <v>0.61360313599663008</v>
      </c>
      <c r="XW20" s="593">
        <v>17312.2</v>
      </c>
      <c r="XX20" s="593">
        <f>'Proy 2021 vs 2019 Sem'!IK19*$XZ$4</f>
        <v>11317.003187999999</v>
      </c>
      <c r="XY20" s="735">
        <v>11301.55</v>
      </c>
      <c r="XZ20" s="700">
        <f t="shared" si="800"/>
        <v>0.6528084241170965</v>
      </c>
      <c r="YA20" s="593">
        <v>13821.98</v>
      </c>
      <c r="YB20" s="593">
        <f>'Proy 2021 vs 2019 Sem'!IK19*$YD$4</f>
        <v>11317.003187999999</v>
      </c>
      <c r="YC20" s="735">
        <v>8060.59</v>
      </c>
      <c r="YD20" s="700">
        <f t="shared" si="801"/>
        <v>0.58317187552000516</v>
      </c>
      <c r="YE20" s="593">
        <v>14955.56</v>
      </c>
      <c r="YF20" s="593">
        <f>'Proy 2021 vs 2019 Sem'!IK19*$YH$4</f>
        <v>11317.003187999999</v>
      </c>
      <c r="YG20" s="735">
        <v>8817.36</v>
      </c>
      <c r="YH20" s="700">
        <f t="shared" si="802"/>
        <v>0.58957070146487334</v>
      </c>
      <c r="YI20" s="593">
        <v>13952.08</v>
      </c>
      <c r="YJ20" s="593">
        <f>'Proy 2021 vs 2019 Sem'!IK19*$YL$4</f>
        <v>13203.170386</v>
      </c>
      <c r="YK20" s="735">
        <v>9469.86</v>
      </c>
      <c r="YL20" s="700">
        <f t="shared" si="803"/>
        <v>0.6787418076731212</v>
      </c>
      <c r="YM20" s="593">
        <v>16933.7</v>
      </c>
      <c r="YN20" s="593">
        <f>'Proy 2021 vs 2019 Sem'!IK19*$YP$4</f>
        <v>15089.337583999999</v>
      </c>
      <c r="YO20" s="735">
        <v>12950.61</v>
      </c>
      <c r="YP20" s="700">
        <f t="shared" si="804"/>
        <v>0.76478324288253596</v>
      </c>
      <c r="YQ20" s="593">
        <v>27510.959999999999</v>
      </c>
      <c r="YR20" s="593">
        <f>'Proy 2021 vs 2019 Sem'!IK19*$YT$4</f>
        <v>20747.839177999998</v>
      </c>
      <c r="YS20" s="735">
        <v>23743.8</v>
      </c>
      <c r="YT20" s="700">
        <f t="shared" si="805"/>
        <v>0.86306693768592591</v>
      </c>
      <c r="YU20" s="579">
        <f t="shared" si="806"/>
        <v>113412.51000000001</v>
      </c>
      <c r="YV20" s="574">
        <f t="shared" si="807"/>
        <v>94308.359899999981</v>
      </c>
      <c r="YW20" s="794">
        <f t="shared" si="808"/>
        <v>79820.81</v>
      </c>
      <c r="YX20" s="786">
        <f t="shared" si="809"/>
        <v>0.70380957091946905</v>
      </c>
      <c r="YY20" s="593">
        <v>8866.85</v>
      </c>
      <c r="YZ20" s="593">
        <f>'Proy 2021 vs 2019 Sem'!IP19*$ZB$4</f>
        <v>14348.866079999998</v>
      </c>
      <c r="ZA20" s="735">
        <v>5949.31</v>
      </c>
      <c r="ZB20" s="700">
        <f t="shared" si="810"/>
        <v>0.67096093877758167</v>
      </c>
      <c r="ZC20" s="593">
        <v>15232.76</v>
      </c>
      <c r="ZD20" s="593">
        <f>'Proy 2021 vs 2019 Sem'!IP19*$ZF$4</f>
        <v>14348.866079999998</v>
      </c>
      <c r="ZE20" s="735">
        <v>15681.44</v>
      </c>
      <c r="ZF20" s="700">
        <f t="shared" si="811"/>
        <v>1.0294549379101359</v>
      </c>
      <c r="ZG20" s="593">
        <v>15437.82</v>
      </c>
      <c r="ZH20" s="593">
        <f>'Proy 2021 vs 2019 Sem'!IP19*$ZJ$4</f>
        <v>14348.866079999998</v>
      </c>
      <c r="ZI20" s="735">
        <v>16430.18</v>
      </c>
      <c r="ZJ20" s="700">
        <f t="shared" si="812"/>
        <v>1.06428109668334</v>
      </c>
      <c r="ZK20" s="593">
        <v>28143.22</v>
      </c>
      <c r="ZL20" s="593">
        <f>'Proy 2021 vs 2019 Sem'!IP19*$ZN$4</f>
        <v>14348.866079999998</v>
      </c>
      <c r="ZM20" s="735">
        <v>19147.75</v>
      </c>
      <c r="ZN20" s="700">
        <f t="shared" si="813"/>
        <v>0.68036813129414475</v>
      </c>
      <c r="ZO20" s="593">
        <v>23647.5</v>
      </c>
      <c r="ZP20" s="593">
        <f>'Proy 2021 vs 2019 Sem'!IP19*$ZR$4</f>
        <v>16740.34376</v>
      </c>
      <c r="ZQ20" s="735">
        <v>18738.18</v>
      </c>
      <c r="ZR20" s="700">
        <f t="shared" si="814"/>
        <v>0.79239581351094202</v>
      </c>
      <c r="ZS20" s="593">
        <v>16989.810000000001</v>
      </c>
      <c r="ZT20" s="593">
        <f>'Proy 2021 vs 2019 Sem'!IP19*$ZV$4</f>
        <v>19131.82144</v>
      </c>
      <c r="ZU20" s="735">
        <v>20862.89</v>
      </c>
      <c r="ZV20" s="700">
        <f t="shared" si="815"/>
        <v>1.2279648801252043</v>
      </c>
      <c r="ZW20" s="593">
        <v>30721.439999999999</v>
      </c>
      <c r="ZX20" s="593">
        <f>'Proy 2021 vs 2019 Sem'!IP19*$ZZ$4</f>
        <v>26306.25448</v>
      </c>
      <c r="ZY20" s="735">
        <v>33429.82</v>
      </c>
      <c r="ZZ20" s="700">
        <f t="shared" si="816"/>
        <v>1.0881592789921306</v>
      </c>
      <c r="AAA20" s="579">
        <f t="shared" si="817"/>
        <v>139039.4</v>
      </c>
      <c r="AAB20" s="574">
        <f t="shared" si="818"/>
        <v>119573.88399999999</v>
      </c>
      <c r="AAC20" s="785">
        <f t="shared" si="819"/>
        <v>130239.57</v>
      </c>
      <c r="AAD20" s="786">
        <f t="shared" si="820"/>
        <v>0.93670981031276035</v>
      </c>
      <c r="AAE20" s="593">
        <v>8548.41</v>
      </c>
      <c r="AAF20" s="593">
        <f>'Proy 2021 vs 2019 Sem'!IY19*$AAH$4</f>
        <v>11220.699671999999</v>
      </c>
      <c r="AAG20" s="735">
        <v>11008</v>
      </c>
      <c r="AAH20" s="700">
        <f t="shared" si="821"/>
        <v>1.2877248517560576</v>
      </c>
      <c r="AAI20" s="593">
        <v>11765.23</v>
      </c>
      <c r="AAJ20" s="593">
        <f>'Proy 2021 vs 2019 Sem'!IY19*$AAL$4</f>
        <v>11220.699671999999</v>
      </c>
      <c r="AAK20" s="735">
        <v>11777.59</v>
      </c>
      <c r="AAL20" s="700">
        <f t="shared" si="822"/>
        <v>1.0010505531978551</v>
      </c>
      <c r="AAM20" s="593">
        <v>18941.12</v>
      </c>
      <c r="AAN20" s="593">
        <f>'Proy 2021 vs 2019 Sem'!IY19*$AAP$4</f>
        <v>11220.699671999999</v>
      </c>
      <c r="AAO20" s="735">
        <v>9676.44</v>
      </c>
      <c r="AAP20" s="700">
        <f t="shared" si="823"/>
        <v>0.51086947339967226</v>
      </c>
      <c r="AAQ20" s="593">
        <v>9754.6</v>
      </c>
      <c r="AAR20" s="593">
        <f>'Proy 2021 vs 2019 Sem'!IY19*$AAT$4</f>
        <v>11220.699671999999</v>
      </c>
      <c r="AAS20" s="735">
        <v>16864.45</v>
      </c>
      <c r="AAT20" s="700">
        <f t="shared" si="824"/>
        <v>1.7288715067762901</v>
      </c>
      <c r="AAU20" s="593">
        <v>13156.83</v>
      </c>
      <c r="AAV20" s="593">
        <f>'Proy 2021 vs 2019 Sem'!IY19*$AAX$4</f>
        <v>13090.816284000002</v>
      </c>
      <c r="AAW20" s="735">
        <v>9860.0300000000007</v>
      </c>
      <c r="AAX20" s="700">
        <f t="shared" si="825"/>
        <v>0.74942292330295368</v>
      </c>
      <c r="AAY20" s="593">
        <v>17773.79</v>
      </c>
      <c r="AAZ20" s="593">
        <f>'Proy 2021 vs 2019 Sem'!IY19*$ABB$4</f>
        <v>14960.932896</v>
      </c>
      <c r="ABA20" s="735">
        <v>13702.7</v>
      </c>
      <c r="ABB20" s="700">
        <f t="shared" si="826"/>
        <v>0.77094980867895935</v>
      </c>
      <c r="ABC20" s="593">
        <v>28787.73</v>
      </c>
      <c r="ABD20" s="593">
        <f>'Proy 2021 vs 2019 Sem'!IY19*$ABF$4</f>
        <v>20571.282732</v>
      </c>
      <c r="ABE20" s="735">
        <v>23649.62</v>
      </c>
      <c r="ABF20" s="700">
        <f t="shared" si="827"/>
        <v>0.82151736173710121</v>
      </c>
      <c r="ABG20" s="579">
        <f t="shared" si="828"/>
        <v>108727.70999999999</v>
      </c>
      <c r="ABH20" s="574">
        <f t="shared" si="829"/>
        <v>93505.830599999987</v>
      </c>
      <c r="ABI20" s="759">
        <f t="shared" si="830"/>
        <v>96538.829999999987</v>
      </c>
      <c r="ABJ20" s="761">
        <f t="shared" si="831"/>
        <v>0.88789536724354812</v>
      </c>
      <c r="ABK20" s="593">
        <v>8510.33</v>
      </c>
      <c r="ABL20" s="593">
        <f>'Proy 2021 vs 2019 Sem'!JD19*$ABN$4</f>
        <v>13524.020987999998</v>
      </c>
      <c r="ABM20" s="735">
        <v>9115.57</v>
      </c>
      <c r="ABN20" s="700">
        <f t="shared" si="832"/>
        <v>1.0711182762595575</v>
      </c>
      <c r="ABO20" s="593">
        <v>12805.65</v>
      </c>
      <c r="ABP20" s="593">
        <f>'Proy 2021 vs 2019 Sem'!JD19*$ABR$4</f>
        <v>13524.020987999998</v>
      </c>
      <c r="ABQ20" s="735">
        <v>9611.3799999999992</v>
      </c>
      <c r="ABR20" s="700">
        <f t="shared" si="833"/>
        <v>0.750557761613038</v>
      </c>
      <c r="ABS20" s="593">
        <v>12584.01</v>
      </c>
      <c r="ABT20" s="593">
        <f>'Proy 2021 vs 2019 Sem'!JD19*$ABV$4</f>
        <v>13524.020987999998</v>
      </c>
      <c r="ABU20" s="735">
        <v>7988.67</v>
      </c>
      <c r="ABV20" s="700">
        <f t="shared" si="834"/>
        <v>0.63482705433323716</v>
      </c>
      <c r="ABW20" s="593">
        <v>11284.97</v>
      </c>
      <c r="ABX20" s="593">
        <f>'Proy 2021 vs 2019 Sem'!JD19*$ABZ$4</f>
        <v>13524.020987999998</v>
      </c>
      <c r="ABY20" s="735">
        <v>13754.55</v>
      </c>
      <c r="ABZ20" s="700">
        <f t="shared" si="835"/>
        <v>1.2188379765298445</v>
      </c>
      <c r="ACA20" s="593">
        <v>17693.5</v>
      </c>
      <c r="ACB20" s="593">
        <f>'Proy 2021 vs 2019 Sem'!JD19*$ACD$4</f>
        <v>15778.024486000002</v>
      </c>
      <c r="ACC20" s="735">
        <v>12373.58</v>
      </c>
      <c r="ACD20" s="700">
        <f t="shared" si="836"/>
        <v>0.69932913216718007</v>
      </c>
      <c r="ACE20" s="593">
        <v>24730.9</v>
      </c>
      <c r="ACF20" s="593">
        <f>'Proy 2021 vs 2019 Sem'!JD19*$ACH$4</f>
        <v>18032.027984</v>
      </c>
      <c r="ACG20" s="735">
        <v>13472.45</v>
      </c>
      <c r="ACH20" s="700">
        <f t="shared" si="837"/>
        <v>0.5447618161894634</v>
      </c>
      <c r="ACI20" s="593">
        <v>39020.050000000003</v>
      </c>
      <c r="ACJ20" s="593">
        <f>'Proy 2021 vs 2019 Sem'!JD19*$ACL$4</f>
        <v>24794.038477999999</v>
      </c>
      <c r="ACK20" s="735">
        <v>23599.34</v>
      </c>
      <c r="ACL20" s="700">
        <f t="shared" si="838"/>
        <v>0.60480035263922005</v>
      </c>
      <c r="ACM20" s="579">
        <f t="shared" si="839"/>
        <v>126629.41</v>
      </c>
      <c r="ACN20" s="574">
        <f t="shared" si="840"/>
        <v>112700.1749</v>
      </c>
      <c r="ACO20" s="765">
        <f t="shared" si="841"/>
        <v>89915.54</v>
      </c>
      <c r="ACP20" s="761">
        <f t="shared" si="842"/>
        <v>0.7100683798495151</v>
      </c>
      <c r="ACQ20" s="593">
        <v>16082.78</v>
      </c>
      <c r="ACR20" s="593">
        <f>'Proy 2021 vs 2019 Sem'!JI19*$ACT$4</f>
        <v>14903.978447999998</v>
      </c>
      <c r="ACS20" s="735">
        <v>11485.69</v>
      </c>
      <c r="ACT20" s="700">
        <f t="shared" si="843"/>
        <v>0.71416073589267526</v>
      </c>
      <c r="ACU20" s="593">
        <v>30115.43</v>
      </c>
      <c r="ACV20" s="593">
        <f>'Proy 2021 vs 2019 Sem'!JI19*$ACX$4</f>
        <v>14903.978447999998</v>
      </c>
      <c r="ACW20" s="735">
        <v>13175.51</v>
      </c>
      <c r="ACX20" s="700">
        <f t="shared" si="844"/>
        <v>0.43750031130221284</v>
      </c>
      <c r="ACY20" s="593">
        <v>17426.990000000002</v>
      </c>
      <c r="ACZ20" s="593">
        <f>'Proy 2021 vs 2019 Sem'!JI19*$ADB$4</f>
        <v>14903.978447999998</v>
      </c>
      <c r="ADA20" s="735">
        <v>11935.07</v>
      </c>
      <c r="ADB20" s="700">
        <f t="shared" si="845"/>
        <v>0.68486124109786017</v>
      </c>
      <c r="ADC20" s="593">
        <v>14670.84</v>
      </c>
      <c r="ADD20" s="593">
        <f>'Proy 2021 vs 2019 Sem'!JI19*$ADF$4</f>
        <v>14903.978447999998</v>
      </c>
      <c r="ADE20" s="735">
        <v>12605.14</v>
      </c>
      <c r="ADF20" s="700">
        <f t="shared" si="846"/>
        <v>0.85919688306872677</v>
      </c>
      <c r="ADG20" s="593">
        <v>12150.86</v>
      </c>
      <c r="ADH20" s="593">
        <f>'Proy 2021 vs 2019 Sem'!JI19*$ADJ$4</f>
        <v>17387.974856000001</v>
      </c>
      <c r="ADI20" s="735">
        <v>14014.39</v>
      </c>
      <c r="ADJ20" s="700">
        <f t="shared" si="847"/>
        <v>1.1533660991896868</v>
      </c>
      <c r="ADK20" s="593">
        <v>18041.79</v>
      </c>
      <c r="ADL20" s="593">
        <f>'Proy 2021 vs 2019 Sem'!JI19*$ADN$4</f>
        <v>19871.971263999996</v>
      </c>
      <c r="ADM20" s="735">
        <v>9805.27</v>
      </c>
      <c r="ADN20" s="700">
        <f t="shared" si="848"/>
        <v>0.5434754533779631</v>
      </c>
      <c r="ADO20" s="593">
        <v>31061.67</v>
      </c>
      <c r="ADP20" s="593">
        <f>'Proy 2021 vs 2019 Sem'!JI19*$ADR$4</f>
        <v>27323.960487999997</v>
      </c>
      <c r="ADQ20" s="735">
        <v>22760.83</v>
      </c>
      <c r="ADR20" s="700">
        <f t="shared" si="849"/>
        <v>0.73276259776116359</v>
      </c>
      <c r="ADS20" s="579">
        <f t="shared" si="850"/>
        <v>139550.35999999999</v>
      </c>
      <c r="ADT20" s="574">
        <f t="shared" si="851"/>
        <v>124199.82039999998</v>
      </c>
      <c r="ADU20" s="765">
        <f t="shared" si="852"/>
        <v>95781.900000000009</v>
      </c>
      <c r="ADV20" s="761">
        <f t="shared" si="853"/>
        <v>0.6863608234332037</v>
      </c>
      <c r="ADW20" s="593">
        <v>13038.17</v>
      </c>
      <c r="ADX20" s="593">
        <f>'Proy 2021 vs 2019 Sem'!JN19*$ADZ$4</f>
        <v>16740.03456</v>
      </c>
      <c r="ADY20" s="735">
        <v>8184.94</v>
      </c>
      <c r="ADZ20" s="700">
        <f t="shared" si="854"/>
        <v>0.62776754713276472</v>
      </c>
      <c r="AEA20" s="593">
        <v>15681.87</v>
      </c>
      <c r="AEB20" s="593">
        <f>'Proy 2021 vs 2019 Sem'!JN19*$AED$4</f>
        <v>16740.03456</v>
      </c>
      <c r="AEC20" s="735">
        <v>14495</v>
      </c>
      <c r="AED20" s="700">
        <f t="shared" si="855"/>
        <v>0.92431578631885092</v>
      </c>
      <c r="AEE20" s="593">
        <v>15941.46</v>
      </c>
      <c r="AEF20" s="593">
        <f>'Proy 2021 vs 2019 Sem'!JN19*$AEH$4</f>
        <v>16740.03456</v>
      </c>
      <c r="AEG20" s="735">
        <v>18190</v>
      </c>
      <c r="AEH20" s="700">
        <f t="shared" si="856"/>
        <v>1.1410498160143425</v>
      </c>
      <c r="AEI20" s="593">
        <v>16659.23</v>
      </c>
      <c r="AEJ20" s="593">
        <f>'Proy 2021 vs 2019 Sem'!JN19*$AEL$4</f>
        <v>16740.03456</v>
      </c>
      <c r="AEK20" s="735">
        <v>19060</v>
      </c>
      <c r="AEL20" s="700">
        <f t="shared" si="857"/>
        <v>1.1441105021060398</v>
      </c>
      <c r="AEM20" s="593">
        <v>27109.5</v>
      </c>
      <c r="AEN20" s="593">
        <f>'Proy 2021 vs 2019 Sem'!JN19*$AEP$4</f>
        <v>19530.040320000004</v>
      </c>
      <c r="AEO20" s="735">
        <v>15666</v>
      </c>
      <c r="AEP20" s="700">
        <f t="shared" si="858"/>
        <v>0.57787860344159792</v>
      </c>
      <c r="AEQ20" s="593">
        <v>34302.15</v>
      </c>
      <c r="AER20" s="593">
        <f>'Proy 2021 vs 2019 Sem'!JN19*$AET$4</f>
        <v>22320.04608</v>
      </c>
      <c r="AES20" s="735">
        <v>24728</v>
      </c>
      <c r="AET20" s="700">
        <f t="shared" si="859"/>
        <v>0.72088775776445502</v>
      </c>
      <c r="AEU20" s="593">
        <v>51642.98</v>
      </c>
      <c r="AEV20" s="593">
        <f>'Proy 2021 vs 2019 Sem'!JN19*$AEX$4</f>
        <v>30690.06336</v>
      </c>
      <c r="AEW20" s="735">
        <v>28209</v>
      </c>
      <c r="AEX20" s="700">
        <f t="shared" si="860"/>
        <v>0.54623106567436652</v>
      </c>
      <c r="AEY20" s="579">
        <f t="shared" si="861"/>
        <v>174375.36000000002</v>
      </c>
      <c r="AEZ20" s="574">
        <f t="shared" si="862"/>
        <v>139500.288</v>
      </c>
      <c r="AFA20" s="770">
        <f t="shared" si="863"/>
        <v>128532.94</v>
      </c>
      <c r="AFB20" s="761">
        <f t="shared" si="864"/>
        <v>0.73710494418477468</v>
      </c>
      <c r="AFC20" s="593">
        <v>18271.04</v>
      </c>
      <c r="AFD20" s="593">
        <f>'Proy 2021 vs 2019 Sem'!JX19*$AFF$4</f>
        <v>18088.054319999999</v>
      </c>
      <c r="AFE20" s="735">
        <v>9478</v>
      </c>
      <c r="AFF20" s="700">
        <f t="shared" si="865"/>
        <v>0.51874441739495947</v>
      </c>
      <c r="AFG20" s="593">
        <v>35600.699999999997</v>
      </c>
      <c r="AFH20" s="593">
        <f>'Proy 2021 vs 2019 Sem'!JX19*$AFJ$4</f>
        <v>18088.054319999999</v>
      </c>
      <c r="AFI20" s="735">
        <v>20888.62</v>
      </c>
      <c r="AFJ20" s="700">
        <f t="shared" si="866"/>
        <v>0.58674745159505293</v>
      </c>
      <c r="AFK20" s="593">
        <v>27133.98</v>
      </c>
      <c r="AFL20" s="593">
        <f>'Proy 2021 vs 2019 Sem'!JX19*$AFN$4</f>
        <v>18088.054319999999</v>
      </c>
      <c r="AFM20" s="735">
        <v>24422.66</v>
      </c>
      <c r="AFN20" s="700">
        <f t="shared" si="867"/>
        <v>0.90007658294138937</v>
      </c>
      <c r="AFO20" s="593">
        <v>24522.18</v>
      </c>
      <c r="AFP20" s="593">
        <f>'Proy 2021 vs 2019 Sem'!JX19*$AFR$4</f>
        <v>18088.054319999999</v>
      </c>
      <c r="AFQ20" s="735">
        <v>19541.330000000002</v>
      </c>
      <c r="AFR20" s="700">
        <f t="shared" si="868"/>
        <v>0.79688388226495366</v>
      </c>
      <c r="AFS20" s="593">
        <v>31377.63</v>
      </c>
      <c r="AFT20" s="593">
        <f>'Proy 2021 vs 2019 Sem'!JX19*$AFV$4</f>
        <v>21102.730040000002</v>
      </c>
      <c r="AFU20" s="735">
        <v>19298.46</v>
      </c>
      <c r="AFV20" s="700">
        <f t="shared" si="869"/>
        <v>0.61503880312184189</v>
      </c>
      <c r="AFW20" s="593">
        <v>35403.97</v>
      </c>
      <c r="AFX20" s="593">
        <f>'Proy 2021 vs 2019 Sem'!JX19*$AFZ$4</f>
        <v>24117.405759999998</v>
      </c>
      <c r="AFY20" s="735">
        <v>32845.440000000002</v>
      </c>
      <c r="AFZ20" s="700">
        <f t="shared" si="870"/>
        <v>0.92773324573487104</v>
      </c>
      <c r="AGA20" s="593">
        <v>43846.22</v>
      </c>
      <c r="AGB20" s="593">
        <f>'Proy 2021 vs 2019 Sem'!JX19*$AGD$4</f>
        <v>33161.432919999999</v>
      </c>
      <c r="AGC20" s="735">
        <v>38526.699999999997</v>
      </c>
      <c r="AGD20" s="700">
        <f t="shared" si="871"/>
        <v>0.87867779708262184</v>
      </c>
      <c r="AGE20" s="579">
        <f t="shared" si="872"/>
        <v>216155.72</v>
      </c>
      <c r="AGF20" s="574">
        <f t="shared" si="873"/>
        <v>150733.78599999999</v>
      </c>
      <c r="AGG20" s="729">
        <f t="shared" si="874"/>
        <v>165001.21000000002</v>
      </c>
      <c r="AGH20" s="711">
        <f t="shared" si="875"/>
        <v>0.76334417613376149</v>
      </c>
      <c r="AGI20" s="593">
        <v>31818.89</v>
      </c>
      <c r="AGJ20" s="593">
        <f>'Proy 2021 vs 2019 Sem'!KC19*$AGL$4</f>
        <v>21277.421759999997</v>
      </c>
      <c r="AGK20" s="735">
        <v>12811.01</v>
      </c>
      <c r="AGL20" s="700">
        <f t="shared" si="876"/>
        <v>0.4026227816243747</v>
      </c>
      <c r="AGM20" s="593">
        <v>22888.31</v>
      </c>
      <c r="AGN20" s="593">
        <f>'Proy 2021 vs 2019 Sem'!KC19*$AGP$4</f>
        <v>21277.421759999997</v>
      </c>
      <c r="AGO20" s="735">
        <v>26838.26</v>
      </c>
      <c r="AGP20" s="700">
        <f t="shared" si="877"/>
        <v>1.1725749957074156</v>
      </c>
      <c r="AGQ20" s="593">
        <v>29524.02</v>
      </c>
      <c r="AGR20" s="593">
        <f>'Proy 2021 vs 2019 Sem'!KC19*$AGT$4</f>
        <v>21277.421759999997</v>
      </c>
      <c r="AGS20" s="735">
        <v>25817.77</v>
      </c>
      <c r="AGT20" s="700">
        <f t="shared" si="878"/>
        <v>0.87446662073796189</v>
      </c>
      <c r="AGU20" s="593">
        <v>34064.86</v>
      </c>
      <c r="AGV20" s="593">
        <f>'Proy 2021 vs 2019 Sem'!KC19*$AGX$4</f>
        <v>21277.421759999997</v>
      </c>
      <c r="AGW20" s="735">
        <v>23601.69</v>
      </c>
      <c r="AGX20" s="700">
        <f t="shared" si="879"/>
        <v>0.69284564797859138</v>
      </c>
      <c r="AGY20" s="593">
        <v>38104.94</v>
      </c>
      <c r="AGZ20" s="593">
        <f>'Proy 2021 vs 2019 Sem'!KC19*$AHB$4</f>
        <v>24823.658720000003</v>
      </c>
      <c r="AHA20" s="735">
        <v>24086.14</v>
      </c>
      <c r="AHB20" s="700">
        <f t="shared" si="880"/>
        <v>0.63210019488286817</v>
      </c>
      <c r="AHC20" s="593">
        <v>41518.26</v>
      </c>
      <c r="AHD20" s="593">
        <f>'Proy 2021 vs 2019 Sem'!KC19*$AHF$4</f>
        <v>28369.895680000001</v>
      </c>
      <c r="AHE20" s="735">
        <v>30893.759999999998</v>
      </c>
      <c r="AHF20" s="700">
        <f t="shared" si="881"/>
        <v>0.74410054756629962</v>
      </c>
      <c r="AHG20" s="593">
        <v>54776.76</v>
      </c>
      <c r="AHH20" s="593">
        <f>'Proy 2021 vs 2019 Sem'!KC19*$AHJ$4</f>
        <v>39008.60656</v>
      </c>
      <c r="AHI20" s="735">
        <v>29256.9</v>
      </c>
      <c r="AHJ20" s="700">
        <f t="shared" si="882"/>
        <v>0.53411154657559157</v>
      </c>
      <c r="AHK20" s="579">
        <f t="shared" si="883"/>
        <v>252696.04000000004</v>
      </c>
      <c r="AHL20" s="574">
        <f t="shared" si="884"/>
        <v>177311.848</v>
      </c>
      <c r="AHM20" s="730">
        <f t="shared" si="885"/>
        <v>173305.53</v>
      </c>
      <c r="AHN20" s="711">
        <f t="shared" si="886"/>
        <v>0.68582606201505958</v>
      </c>
      <c r="AHO20" s="593">
        <v>36458.39</v>
      </c>
      <c r="AHP20" s="593">
        <f>'Proy 2021 vs 2019 Sem'!KH19*$AHR$4</f>
        <v>30188.580239999996</v>
      </c>
      <c r="AHQ20" s="735">
        <v>17281.599999999999</v>
      </c>
      <c r="AHR20" s="700">
        <f t="shared" si="887"/>
        <v>0.47400886325479535</v>
      </c>
      <c r="AHS20" s="593">
        <v>55720.21</v>
      </c>
      <c r="AHT20" s="593">
        <f>'Proy 2021 vs 2019 Sem'!KH19*$AHV$4</f>
        <v>30188.580239999996</v>
      </c>
      <c r="AHU20" s="735">
        <v>25737.64</v>
      </c>
      <c r="AHV20" s="700">
        <f t="shared" si="888"/>
        <v>0.46190852475250899</v>
      </c>
      <c r="AHW20" s="593">
        <v>46474.09</v>
      </c>
      <c r="AHX20" s="593">
        <f>'Proy 2021 vs 2019 Sem'!KH19*$AHZ$4</f>
        <v>30188.580239999996</v>
      </c>
      <c r="AHY20" s="735">
        <v>27332.86</v>
      </c>
      <c r="AHZ20" s="700">
        <f t="shared" si="889"/>
        <v>0.58813115006662853</v>
      </c>
      <c r="AIA20" s="593">
        <v>48048.06</v>
      </c>
      <c r="AIB20" s="593">
        <f>'Proy 2021 vs 2019 Sem'!KH19*$AID$4</f>
        <v>30188.580239999996</v>
      </c>
      <c r="AIC20" s="735">
        <v>30000.01</v>
      </c>
      <c r="AID20" s="700">
        <f t="shared" si="890"/>
        <v>0.62437505281170558</v>
      </c>
      <c r="AIE20" s="593">
        <v>48602.62</v>
      </c>
      <c r="AIF20" s="593">
        <f>'Proy 2021 vs 2019 Sem'!KH19*$AIH$4</f>
        <v>35220.010280000002</v>
      </c>
      <c r="AIG20" s="735">
        <v>34463.01</v>
      </c>
      <c r="AIH20" s="700">
        <f t="shared" si="891"/>
        <v>0.70907720612592495</v>
      </c>
      <c r="AII20" s="593">
        <v>55118.83</v>
      </c>
      <c r="AIJ20" s="593">
        <f>'Proy 2021 vs 2019 Sem'!KH19*$AIL$4</f>
        <v>40251.440319999994</v>
      </c>
      <c r="AIK20" s="735">
        <v>35948.120000000003</v>
      </c>
      <c r="AIL20" s="700">
        <f t="shared" si="892"/>
        <v>0.65219308900424777</v>
      </c>
      <c r="AIM20" s="593">
        <v>68490.66</v>
      </c>
      <c r="AIN20" s="593">
        <f>'Proy 2021 vs 2019 Sem'!KH19*$AIP$4</f>
        <v>55345.730439999992</v>
      </c>
      <c r="AIO20" s="735">
        <v>67752.98</v>
      </c>
      <c r="AIP20" s="700">
        <f t="shared" si="893"/>
        <v>0.98922948034082303</v>
      </c>
      <c r="AIQ20" s="579">
        <f t="shared" si="894"/>
        <v>358912.86</v>
      </c>
      <c r="AIR20" s="574">
        <f t="shared" si="895"/>
        <v>251571.50199999995</v>
      </c>
      <c r="AIS20" s="730">
        <f t="shared" si="896"/>
        <v>238516.21999999997</v>
      </c>
      <c r="AIT20" s="711">
        <f t="shared" si="897"/>
        <v>0.66455189150926486</v>
      </c>
      <c r="AIU20" s="593">
        <f>'Proy 2021 vs 2019 Sem'!KL19*$AIX$4</f>
        <v>36856.424399999996</v>
      </c>
      <c r="AIV20" s="593">
        <f>'Proy 2021 vs 2019 Sem'!KM19*$AIX$4</f>
        <v>44596.273523999997</v>
      </c>
      <c r="AIW20" s="735">
        <v>35133.07</v>
      </c>
      <c r="AIX20" s="700">
        <f t="shared" si="898"/>
        <v>0.95324141101435778</v>
      </c>
      <c r="AIY20" s="593">
        <f>'Proy 2021 vs 2019 Sem'!KL19*$AJB$4</f>
        <v>36856.424399999996</v>
      </c>
      <c r="AIZ20" s="593">
        <f>'Proy 2021 vs 2019 Sem'!KM19*$AJB$4</f>
        <v>44596.273523999997</v>
      </c>
      <c r="AJA20" s="735">
        <v>61994.82</v>
      </c>
      <c r="AJB20" s="700">
        <f t="shared" si="899"/>
        <v>1.682062788489054</v>
      </c>
      <c r="AJC20" s="593">
        <f>'Proy 2021 vs 2019 Sem'!KL19*$AJF$4</f>
        <v>36856.424399999996</v>
      </c>
      <c r="AJD20" s="593">
        <f>'Proy 2021 vs 2019 Sem'!KM19*$AJF$4</f>
        <v>44596.273523999997</v>
      </c>
      <c r="AJE20" s="735">
        <v>58689.55</v>
      </c>
      <c r="AJF20" s="700">
        <f t="shared" si="900"/>
        <v>1.5923831721451527</v>
      </c>
      <c r="AJG20" s="593">
        <f>'Proy 2021 vs 2019 Sem'!KL19*$AJJ$4</f>
        <v>36856.424399999996</v>
      </c>
      <c r="AJH20" s="593">
        <f>'Proy 2021 vs 2019 Sem'!KM19*$AJJ$4</f>
        <v>44596.273523999997</v>
      </c>
      <c r="AJI20" s="735">
        <v>76748.75</v>
      </c>
      <c r="AJJ20" s="700">
        <f t="shared" si="901"/>
        <v>2.0823710180632715</v>
      </c>
      <c r="AJK20" s="593">
        <f>'Proy 2021 vs 2019 Sem'!KL19*$AJN$4</f>
        <v>42999.161800000002</v>
      </c>
      <c r="AJL20" s="593">
        <f>'Proy 2021 vs 2019 Sem'!KM19*$AJN$4</f>
        <v>52028.985778000002</v>
      </c>
      <c r="AJM20" s="735">
        <v>80051.34</v>
      </c>
      <c r="AJN20" s="700">
        <f t="shared" si="902"/>
        <v>1.8616953598383863</v>
      </c>
      <c r="AJO20" s="593">
        <f>'Proy 2021 vs 2019 Sem'!KL19*$AJR$4</f>
        <v>49141.8992</v>
      </c>
      <c r="AJP20" s="593">
        <f>'Proy 2021 vs 2019 Sem'!KM19*$AJR$4</f>
        <v>59461.698032</v>
      </c>
      <c r="AJQ20" s="735">
        <v>89426.4</v>
      </c>
      <c r="AJR20" s="700">
        <f t="shared" si="903"/>
        <v>1.8197587284131662</v>
      </c>
      <c r="AJS20" s="593">
        <f>'Proy 2021 vs 2019 Sem'!KL19*$AJV$4</f>
        <v>67570.111399999994</v>
      </c>
      <c r="AJT20" s="593">
        <f>'Proy 2021 vs 2019 Sem'!KM19*$AJV$4</f>
        <v>81759.834793999995</v>
      </c>
      <c r="AJU20" s="699">
        <v>0</v>
      </c>
      <c r="AJV20" s="700">
        <f t="shared" si="904"/>
        <v>0</v>
      </c>
      <c r="AJW20" s="579">
        <f t="shared" si="905"/>
        <v>307136.87</v>
      </c>
      <c r="AJX20" s="574">
        <f t="shared" si="906"/>
        <v>371635.61269999994</v>
      </c>
      <c r="AJY20" s="710">
        <f t="shared" si="907"/>
        <v>402043.93000000005</v>
      </c>
      <c r="AJZ20" s="711">
        <f t="shared" si="908"/>
        <v>1.3090057536889013</v>
      </c>
      <c r="AKA20" s="593">
        <f>'Proy 2021 vs 2019 Sem'!KQ19*$AKD$4</f>
        <v>12176.326799999999</v>
      </c>
      <c r="AKB20" s="593">
        <f>'Proy 2021 vs 2019 Sem'!KR19*$AKD$4</f>
        <v>10958.69412</v>
      </c>
      <c r="AKC20" s="735">
        <v>7305.2</v>
      </c>
      <c r="AKD20" s="700">
        <f t="shared" si="909"/>
        <v>0.59995104599196536</v>
      </c>
      <c r="AKE20" s="593">
        <f>'Proy 2021 vs 2019 Sem'!KQ19*$AKH$4</f>
        <v>12176.326799999999</v>
      </c>
      <c r="AKF20" s="593">
        <f>'Proy 2021 vs 2019 Sem'!KR19*$AKH$4</f>
        <v>10958.69412</v>
      </c>
      <c r="AKG20" s="735">
        <v>14742.62</v>
      </c>
      <c r="AKH20" s="700">
        <f t="shared" si="910"/>
        <v>1.210760867554902</v>
      </c>
      <c r="AKI20" s="593">
        <f>'Proy 2021 vs 2019 Sem'!KQ19*$AKL$4</f>
        <v>12176.326799999999</v>
      </c>
      <c r="AKJ20" s="593">
        <f>'Proy 2021 vs 2019 Sem'!KR19*$AKL$4</f>
        <v>10958.69412</v>
      </c>
      <c r="AKK20" s="735">
        <v>11350.63</v>
      </c>
      <c r="AKL20" s="700">
        <f t="shared" si="911"/>
        <v>0.93218835092369567</v>
      </c>
      <c r="AKM20" s="593">
        <f>'Proy 2021 vs 2019 Sem'!KQ19*$AKP$4</f>
        <v>12176.326799999999</v>
      </c>
      <c r="AKN20" s="593">
        <f>'Proy 2021 vs 2019 Sem'!KR19*$AKP$4</f>
        <v>10958.69412</v>
      </c>
      <c r="AKO20" s="735">
        <v>11922.88</v>
      </c>
      <c r="AKP20" s="700">
        <f t="shared" si="912"/>
        <v>0.97918528270775385</v>
      </c>
      <c r="AKQ20" s="593">
        <f>'Proy 2021 vs 2019 Sem'!KQ19*$AKT$4</f>
        <v>14205.714600000001</v>
      </c>
      <c r="AKR20" s="593">
        <f>'Proy 2021 vs 2019 Sem'!KR19*$AKT$4</f>
        <v>12785.143140000002</v>
      </c>
      <c r="AKS20" s="735">
        <v>19071.48</v>
      </c>
      <c r="AKT20" s="700">
        <f t="shared" si="913"/>
        <v>1.3425216919393832</v>
      </c>
      <c r="AKU20" s="593">
        <f>'Proy 2021 vs 2019 Sem'!KQ19*$AKX$4</f>
        <v>16235.1024</v>
      </c>
      <c r="AKV20" s="593">
        <f>'Proy 2021 vs 2019 Sem'!KR19*$AKX$4</f>
        <v>14611.59216</v>
      </c>
      <c r="AKW20" s="735">
        <v>14855.55</v>
      </c>
      <c r="AKX20" s="700">
        <f t="shared" si="914"/>
        <v>0.91502656613979838</v>
      </c>
      <c r="AKY20" s="593">
        <f>'Proy 2021 vs 2019 Sem'!KQ19*$ALB$4</f>
        <v>22323.265800000001</v>
      </c>
      <c r="AKZ20" s="593">
        <f>'Proy 2021 vs 2019 Sem'!KR19*$ALB$4</f>
        <v>20090.93922</v>
      </c>
      <c r="ALA20" s="699">
        <v>0</v>
      </c>
      <c r="ALB20" s="700">
        <f>ALA20/AKY20</f>
        <v>0</v>
      </c>
      <c r="ALC20" s="579">
        <f t="shared" si="915"/>
        <v>101469.38999999998</v>
      </c>
      <c r="ALD20" s="574">
        <f t="shared" si="916"/>
        <v>91322.451000000001</v>
      </c>
      <c r="ALE20" s="710">
        <f t="shared" si="917"/>
        <v>79248.36</v>
      </c>
      <c r="ALF20" s="711">
        <f t="shared" si="918"/>
        <v>0.78100755311527947</v>
      </c>
    </row>
    <row r="21" spans="2:994" ht="24" customHeight="1">
      <c r="B21" s="570" t="s">
        <v>23</v>
      </c>
      <c r="C21" s="574">
        <f>'Proy 2021 vs 2019 Sem'!DX20*$F$4</f>
        <v>11121.1644</v>
      </c>
      <c r="D21" s="576">
        <f>'Proy 2021 vs 2019 Sem'!$DY$20*F4</f>
        <v>7821.031778151224</v>
      </c>
      <c r="E21" s="735">
        <v>7124.38</v>
      </c>
      <c r="F21" s="700">
        <f t="shared" si="580"/>
        <v>0.64061457449545489</v>
      </c>
      <c r="G21" s="574">
        <f>'Proy 2021 vs 2019 Sem'!DX20*$J$4</f>
        <v>11121.1644</v>
      </c>
      <c r="H21" s="574">
        <f>'Proy 2021 vs 2019 Sem'!$DY$20*J4</f>
        <v>7821.031778151224</v>
      </c>
      <c r="I21" s="735">
        <v>8553.9500000000007</v>
      </c>
      <c r="J21" s="700">
        <f t="shared" si="581"/>
        <v>0.76915956749996439</v>
      </c>
      <c r="K21" s="574">
        <f>'Proy 2021 vs 2019 Sem'!DX20*'Vtas Diarias 2021'!$N$4</f>
        <v>11121.1644</v>
      </c>
      <c r="L21" s="574">
        <f>'Proy 2021 vs 2019 Sem'!$DY$20*N4</f>
        <v>7821.031778151224</v>
      </c>
      <c r="M21" s="735">
        <v>10214.36</v>
      </c>
      <c r="N21" s="700">
        <f t="shared" si="582"/>
        <v>0.91846137981738685</v>
      </c>
      <c r="O21" s="574">
        <f>'Proy 2021 vs 2019 Sem'!DX20*$R$4</f>
        <v>11121.1644</v>
      </c>
      <c r="P21" s="574">
        <f>'Proy 2021 vs 2019 Sem'!$DY$20*R4</f>
        <v>7821.031778151224</v>
      </c>
      <c r="Q21" s="735">
        <v>10106.700000000001</v>
      </c>
      <c r="R21" s="700">
        <f t="shared" si="583"/>
        <v>0.90878073882263632</v>
      </c>
      <c r="S21" s="574">
        <f>'Proy 2021 vs 2019 Sem'!DX20*$V$4</f>
        <v>12974.691800000001</v>
      </c>
      <c r="T21" s="574">
        <f>'Proy 2021 vs 2019 Sem'!$DY$20*V4</f>
        <v>9124.5370745097625</v>
      </c>
      <c r="U21" s="735">
        <v>8359.4699999999993</v>
      </c>
      <c r="V21" s="700">
        <f t="shared" si="584"/>
        <v>0.64429044857928719</v>
      </c>
      <c r="W21" s="574">
        <f>'Proy 2021 vs 2019 Sem'!DX20*$Z$4</f>
        <v>14828.2192</v>
      </c>
      <c r="X21" s="574">
        <f>'Proy 2021 vs 2019 Sem'!$DY$20*Z4</f>
        <v>10428.042370868299</v>
      </c>
      <c r="Y21" s="735">
        <v>9022.49</v>
      </c>
      <c r="Z21" s="700">
        <f t="shared" si="585"/>
        <v>0.60846753600729075</v>
      </c>
      <c r="AA21" s="574">
        <f>'Proy 2021 vs 2019 Sem'!DX20*$AD$4</f>
        <v>20388.8014</v>
      </c>
      <c r="AB21" s="574">
        <f>'Proy 2021 vs 2019 Sem'!$DY$20*AD4</f>
        <v>14338.558259943911</v>
      </c>
      <c r="AC21" s="735">
        <v>13825.23</v>
      </c>
      <c r="AD21" s="700">
        <f t="shared" si="586"/>
        <v>0.67807958539436253</v>
      </c>
      <c r="AE21" s="579">
        <f t="shared" si="587"/>
        <v>92676.37</v>
      </c>
      <c r="AF21" s="574">
        <f t="shared" si="588"/>
        <v>65175.264817926873</v>
      </c>
      <c r="AG21" s="729">
        <f t="shared" si="589"/>
        <v>67206.58</v>
      </c>
      <c r="AH21" s="711">
        <f t="shared" si="590"/>
        <v>0.72517492862527966</v>
      </c>
      <c r="AI21" s="593">
        <f>'Proy 2021 vs 2019 Sem'!EC20*$AL$4</f>
        <v>12174.945600000001</v>
      </c>
      <c r="AJ21" s="611">
        <f>'Proy 2021 vs 2019 Sem'!ED20*$AL$4</f>
        <v>8828.9653064966624</v>
      </c>
      <c r="AK21" s="735">
        <v>5316.06</v>
      </c>
      <c r="AL21" s="700">
        <f t="shared" si="591"/>
        <v>0.4366393226430515</v>
      </c>
      <c r="AM21" s="593">
        <f>'Proy 2021 vs 2019 Sem'!EC20*$AP$4</f>
        <v>12174.945600000001</v>
      </c>
      <c r="AN21" s="593">
        <f>'Proy 2021 vs 2019 Sem'!ED20*$AP$4</f>
        <v>8828.9653064966624</v>
      </c>
      <c r="AO21" s="735">
        <v>6443.45</v>
      </c>
      <c r="AP21" s="700">
        <f t="shared" si="592"/>
        <v>0.52923850435931308</v>
      </c>
      <c r="AQ21" s="593">
        <f>'Proy 2021 vs 2019 Sem'!EC20*$AT$4</f>
        <v>12174.945600000001</v>
      </c>
      <c r="AR21" s="593">
        <f>'Proy 2021 vs 2019 Sem'!ED20*$AT$4</f>
        <v>8828.9653064966624</v>
      </c>
      <c r="AS21" s="735">
        <v>8130.69</v>
      </c>
      <c r="AT21" s="700">
        <f t="shared" si="593"/>
        <v>0.66782146443430512</v>
      </c>
      <c r="AU21" s="593">
        <f>'Proy 2021 vs 2019 Sem'!EC20*$AX$4</f>
        <v>12174.945600000001</v>
      </c>
      <c r="AV21" s="593">
        <f>'Proy 2021 vs 2019 Sem'!ED20*$AX$4</f>
        <v>8828.9653064966624</v>
      </c>
      <c r="AW21" s="735">
        <v>6790.57</v>
      </c>
      <c r="AX21" s="700">
        <f t="shared" si="594"/>
        <v>0.55774951470830381</v>
      </c>
      <c r="AY21" s="593">
        <f>'Proy 2021 vs 2019 Sem'!EC20*$BB$4</f>
        <v>14204.103200000001</v>
      </c>
      <c r="AZ21" s="593">
        <f>'Proy 2021 vs 2019 Sem'!ED20*$BB$4</f>
        <v>10300.459524246107</v>
      </c>
      <c r="BA21" s="735">
        <v>8043.39</v>
      </c>
      <c r="BB21" s="700">
        <f t="shared" si="595"/>
        <v>0.56627228672909102</v>
      </c>
      <c r="BC21" s="593">
        <f>'Proy 2021 vs 2019 Sem'!EC20*$BF$4</f>
        <v>16233.260800000002</v>
      </c>
      <c r="BD21" s="593">
        <f>'Proy 2021 vs 2019 Sem'!ED20*$BF$4</f>
        <v>11771.95374199555</v>
      </c>
      <c r="BE21" s="735">
        <v>8561.48</v>
      </c>
      <c r="BF21" s="700">
        <f t="shared" si="596"/>
        <v>0.5274035885630568</v>
      </c>
      <c r="BG21" s="593">
        <f>'Proy 2021 vs 2019 Sem'!EC20*$BJ$4</f>
        <v>22320.7336</v>
      </c>
      <c r="BH21" s="593">
        <f>'Proy 2021 vs 2019 Sem'!ED20*$BJ$4</f>
        <v>16186.436395243882</v>
      </c>
      <c r="BI21" s="735">
        <v>15487.28</v>
      </c>
      <c r="BJ21" s="700">
        <f t="shared" si="597"/>
        <v>0.69385174687986062</v>
      </c>
      <c r="BK21" s="579">
        <f t="shared" si="598"/>
        <v>101457.88</v>
      </c>
      <c r="BL21" s="574">
        <f t="shared" si="599"/>
        <v>73574.710887472189</v>
      </c>
      <c r="BM21" s="730">
        <f t="shared" si="600"/>
        <v>58772.92</v>
      </c>
      <c r="BN21" s="711">
        <f t="shared" si="601"/>
        <v>0.57928393536312794</v>
      </c>
      <c r="BO21" s="593">
        <f>'Proy 2021 vs 2019 Sem'!EH20*$BR$4</f>
        <v>12310.042799999999</v>
      </c>
      <c r="BP21" s="593">
        <f>'Proy 2021 vs 2019 Sem'!EI20*$BR$4</f>
        <v>8617.0299599999998</v>
      </c>
      <c r="BQ21" s="735">
        <v>9245.2000000000007</v>
      </c>
      <c r="BR21" s="700">
        <f t="shared" si="602"/>
        <v>0.7510290703457182</v>
      </c>
      <c r="BS21" s="593">
        <f>'Proy 2021 vs 2019 Sem'!EH20*$BV$4</f>
        <v>12310.042799999999</v>
      </c>
      <c r="BT21" s="593">
        <f>'Proy 2021 vs 2019 Sem'!EI20*$BV$4</f>
        <v>8617.0299599999998</v>
      </c>
      <c r="BU21" s="735">
        <v>9663.1299999999992</v>
      </c>
      <c r="BV21" s="700">
        <f t="shared" si="603"/>
        <v>0.78497939909680892</v>
      </c>
      <c r="BW21" s="593">
        <f>'Proy 2021 vs 2019 Sem'!EH20*$BZ$4</f>
        <v>12310.042799999999</v>
      </c>
      <c r="BX21" s="593">
        <f>'Proy 2021 vs 2019 Sem'!EI20*$BZ$4</f>
        <v>8617.0299599999998</v>
      </c>
      <c r="BY21" s="735">
        <v>8977.09</v>
      </c>
      <c r="BZ21" s="700">
        <f t="shared" si="604"/>
        <v>0.72924929229328117</v>
      </c>
      <c r="CA21" s="593">
        <f>'Proy 2021 vs 2019 Sem'!EH20*$CD$4</f>
        <v>12310.042799999999</v>
      </c>
      <c r="CB21" s="593">
        <f>'Proy 2021 vs 2019 Sem'!EI20*$CD$4</f>
        <v>8617.0299599999998</v>
      </c>
      <c r="CC21" s="735">
        <v>10091.44</v>
      </c>
      <c r="CD21" s="700">
        <f t="shared" si="605"/>
        <v>0.81977294181300497</v>
      </c>
      <c r="CE21" s="593">
        <f>'Proy 2021 vs 2019 Sem'!EH20*$CH$4</f>
        <v>14361.716600000002</v>
      </c>
      <c r="CF21" s="593">
        <f>'Proy 2021 vs 2019 Sem'!EI20*$CH$4</f>
        <v>10053.201620000002</v>
      </c>
      <c r="CG21" s="735">
        <v>7029.26</v>
      </c>
      <c r="CH21" s="700">
        <f t="shared" si="606"/>
        <v>0.48944427715555949</v>
      </c>
      <c r="CI21" s="593">
        <f>'Proy 2021 vs 2019 Sem'!EH20*$CL$4</f>
        <v>16413.3904</v>
      </c>
      <c r="CJ21" s="593">
        <f>'Proy 2021 vs 2019 Sem'!EI20*$CL$4</f>
        <v>11489.37328</v>
      </c>
      <c r="CK21" s="735">
        <v>11545.59</v>
      </c>
      <c r="CL21" s="700">
        <f t="shared" si="607"/>
        <v>0.70342505226708063</v>
      </c>
      <c r="CM21" s="593">
        <f>'Proy 2021 vs 2019 Sem'!EH20*$CP$4</f>
        <v>22568.411800000002</v>
      </c>
      <c r="CN21" s="593">
        <f>'Proy 2021 vs 2019 Sem'!EI20*$CP$4</f>
        <v>15797.88826</v>
      </c>
      <c r="CO21" s="735">
        <v>22535.16</v>
      </c>
      <c r="CP21" s="700">
        <f t="shared" si="608"/>
        <v>0.9985266220638529</v>
      </c>
      <c r="CQ21" s="579">
        <f t="shared" si="609"/>
        <v>102583.69</v>
      </c>
      <c r="CR21" s="574">
        <f t="shared" si="610"/>
        <v>71808.582999999999</v>
      </c>
      <c r="CS21" s="730">
        <f t="shared" si="611"/>
        <v>79086.87000000001</v>
      </c>
      <c r="CT21" s="711">
        <f t="shared" si="612"/>
        <v>0.77094974844441655</v>
      </c>
      <c r="CU21" s="593">
        <f>'Proy 2021 vs 2019 Sem'!EM20*$CX$4</f>
        <v>12585.287999999999</v>
      </c>
      <c r="CV21" s="593">
        <f>'Proy 2021 vs 2019 Sem'!EN20*$CX$4</f>
        <v>9438.9659999999985</v>
      </c>
      <c r="CW21" s="735">
        <v>5579.5</v>
      </c>
      <c r="CX21" s="700">
        <f t="shared" si="613"/>
        <v>0.44333510683267641</v>
      </c>
      <c r="CY21" s="593">
        <f>'Proy 2021 vs 2019 Sem'!EM20*$DB$4</f>
        <v>12585.287999999999</v>
      </c>
      <c r="CZ21" s="593">
        <f>'Proy 2021 vs 2019 Sem'!EN20*$DB$4</f>
        <v>9438.9659999999985</v>
      </c>
      <c r="DA21" s="735">
        <v>7242.97</v>
      </c>
      <c r="DB21" s="700">
        <f t="shared" si="614"/>
        <v>0.57551086633853754</v>
      </c>
      <c r="DC21" s="593">
        <f>'Proy 2021 vs 2019 Sem'!EM20*$DF$4</f>
        <v>12585.287999999999</v>
      </c>
      <c r="DD21" s="593">
        <f>'Proy 2021 vs 2019 Sem'!EN20*$DF$4</f>
        <v>9438.9659999999985</v>
      </c>
      <c r="DE21" s="735">
        <v>6295.13</v>
      </c>
      <c r="DF21" s="700">
        <f t="shared" si="615"/>
        <v>0.50019753222969554</v>
      </c>
      <c r="DG21" s="593">
        <f>'Proy 2021 vs 2019 Sem'!EM20*$DJ$4</f>
        <v>12585.287999999999</v>
      </c>
      <c r="DH21" s="593">
        <f>'Proy 2021 vs 2019 Sem'!EN20*$DJ$4</f>
        <v>9438.9659999999985</v>
      </c>
      <c r="DI21" s="735">
        <v>9025.4699999999993</v>
      </c>
      <c r="DJ21" s="700">
        <f t="shared" si="616"/>
        <v>0.71714449442873296</v>
      </c>
      <c r="DK21" s="593">
        <f>'Proy 2021 vs 2019 Sem'!EM20*$DN$4</f>
        <v>14682.836000000001</v>
      </c>
      <c r="DL21" s="593">
        <f>'Proy 2021 vs 2019 Sem'!EN20*$DN$4</f>
        <v>11012.126999999999</v>
      </c>
      <c r="DM21" s="735">
        <v>10149.57</v>
      </c>
      <c r="DN21" s="700">
        <f t="shared" si="617"/>
        <v>0.69125406018292368</v>
      </c>
      <c r="DO21" s="593">
        <f>'Proy 2021 vs 2019 Sem'!EM20*$DR$4</f>
        <v>16780.383999999998</v>
      </c>
      <c r="DP21" s="593">
        <f>'Proy 2021 vs 2019 Sem'!EN20*$DR$4</f>
        <v>12585.287999999999</v>
      </c>
      <c r="DQ21" s="735">
        <v>14325.24</v>
      </c>
      <c r="DR21" s="700">
        <f t="shared" si="618"/>
        <v>0.85368964142894477</v>
      </c>
      <c r="DS21" s="593">
        <f>'Proy 2021 vs 2019 Sem'!EM20*$DV$4</f>
        <v>23073.027999999998</v>
      </c>
      <c r="DT21" s="593">
        <f>'Proy 2021 vs 2019 Sem'!EN20*$DV$4</f>
        <v>17304.770999999997</v>
      </c>
      <c r="DU21" s="735">
        <v>18576.150000000001</v>
      </c>
      <c r="DV21" s="700">
        <f t="shared" si="619"/>
        <v>0.80510239054882626</v>
      </c>
      <c r="DW21" s="579">
        <f t="shared" si="620"/>
        <v>104877.4</v>
      </c>
      <c r="DX21" s="574">
        <f t="shared" si="621"/>
        <v>78658.049999999988</v>
      </c>
      <c r="DY21" s="710">
        <f t="shared" si="622"/>
        <v>71194.03</v>
      </c>
      <c r="DZ21" s="711">
        <f t="shared" si="623"/>
        <v>0.6788309969545393</v>
      </c>
      <c r="EA21" s="593">
        <f>'Proy 2021 vs 2019 Sem'!ER20*$ED$4</f>
        <v>13406.699999999999</v>
      </c>
      <c r="EB21" s="593">
        <f>'Proy 2021 vs 2019 Sem'!ES20*$ED$4</f>
        <v>8714.3549999999996</v>
      </c>
      <c r="EC21" s="735">
        <v>6666.37</v>
      </c>
      <c r="ED21" s="700">
        <f t="shared" si="624"/>
        <v>0.49724167766862842</v>
      </c>
      <c r="EE21" s="593">
        <f>'Proy 2021 vs 2019 Sem'!ER20*$EH$4</f>
        <v>13406.699999999999</v>
      </c>
      <c r="EF21" s="593">
        <f>'Proy 2021 vs 2019 Sem'!ES20*$EH$4</f>
        <v>8714.3549999999996</v>
      </c>
      <c r="EG21" s="735">
        <v>7464.43</v>
      </c>
      <c r="EH21" s="700">
        <f t="shared" si="625"/>
        <v>0.5567686306100682</v>
      </c>
      <c r="EI21" s="593">
        <f>'Proy 2021 vs 2019 Sem'!ER20*$EL$4</f>
        <v>13406.699999999999</v>
      </c>
      <c r="EJ21" s="593">
        <f>'Proy 2021 vs 2019 Sem'!ES20*$EL$4</f>
        <v>8714.3549999999996</v>
      </c>
      <c r="EK21" s="735">
        <v>7312</v>
      </c>
      <c r="EL21" s="700">
        <f t="shared" si="626"/>
        <v>0.54539894231988484</v>
      </c>
      <c r="EM21" s="593">
        <f>'Proy 2021 vs 2019 Sem'!ER20*$EP$4</f>
        <v>13406.699999999999</v>
      </c>
      <c r="EN21" s="593">
        <f>'Proy 2021 vs 2019 Sem'!ES20*$EP$4</f>
        <v>8714.3549999999996</v>
      </c>
      <c r="EO21" s="735">
        <v>8150.77</v>
      </c>
      <c r="EP21" s="700">
        <f t="shared" si="627"/>
        <v>0.60796243669210182</v>
      </c>
      <c r="EQ21" s="593">
        <f>'Proy 2021 vs 2019 Sem'!ER20*$ET$4</f>
        <v>15641.150000000001</v>
      </c>
      <c r="ER21" s="593">
        <f>'Proy 2021 vs 2019 Sem'!ES20*$ET$4</f>
        <v>10166.747500000001</v>
      </c>
      <c r="ES21" s="735">
        <v>11651.79</v>
      </c>
      <c r="ET21" s="700">
        <f t="shared" si="628"/>
        <v>0.74494458527665808</v>
      </c>
      <c r="EU21" s="593">
        <f>'Proy 2021 vs 2019 Sem'!ER20*$EX$4</f>
        <v>17875.600000000002</v>
      </c>
      <c r="EV21" s="593">
        <f>'Proy 2021 vs 2019 Sem'!ES20*$EX$4</f>
        <v>11619.14</v>
      </c>
      <c r="EW21" s="735">
        <v>11402.2</v>
      </c>
      <c r="EX21" s="700">
        <f t="shared" si="629"/>
        <v>0.63786390386896097</v>
      </c>
      <c r="EY21" s="593">
        <f>'Proy 2021 vs 2019 Sem'!ER20*$FB$4</f>
        <v>24578.95</v>
      </c>
      <c r="EZ21" s="593">
        <f>'Proy 2021 vs 2019 Sem'!ES20*$FB$4</f>
        <v>15976.317499999999</v>
      </c>
      <c r="FA21" s="699">
        <v>14388.49</v>
      </c>
      <c r="FB21" s="700">
        <f t="shared" si="630"/>
        <v>0.58539888807292417</v>
      </c>
      <c r="FC21" s="579">
        <f t="shared" si="631"/>
        <v>111722.5</v>
      </c>
      <c r="FD21" s="574">
        <f t="shared" si="632"/>
        <v>72619.625</v>
      </c>
      <c r="FE21" s="710">
        <f t="shared" si="633"/>
        <v>67036.05</v>
      </c>
      <c r="FF21" s="711">
        <f t="shared" si="634"/>
        <v>0.60002282440869126</v>
      </c>
      <c r="FG21" s="593">
        <f>'Proy 2021 vs 2019 Sem'!FA20*$FJ$4</f>
        <v>11700.394799999998</v>
      </c>
      <c r="FH21" s="593">
        <f>'Proy 2021 vs 2019 Sem'!FB20*$FJ$4</f>
        <v>8190.276359999998</v>
      </c>
      <c r="FI21" s="735">
        <v>5520.02</v>
      </c>
      <c r="FJ21" s="700">
        <f t="shared" si="635"/>
        <v>0.47178066162348653</v>
      </c>
      <c r="FK21" s="593">
        <f>'Proy 2021 vs 2019 Sem'!FA20*$FN$4</f>
        <v>11700.394799999998</v>
      </c>
      <c r="FL21" s="593">
        <f>'Proy 2021 vs 2019 Sem'!FB20*$FN$4</f>
        <v>8190.276359999998</v>
      </c>
      <c r="FM21" s="735">
        <v>8577.27</v>
      </c>
      <c r="FN21" s="700">
        <f t="shared" si="636"/>
        <v>0.73307526340906048</v>
      </c>
      <c r="FO21" s="593">
        <f>'Proy 2021 vs 2019 Sem'!FA20*$FR$4</f>
        <v>11700.394799999998</v>
      </c>
      <c r="FP21" s="593">
        <f>'Proy 2021 vs 2019 Sem'!FB20*$FR$4</f>
        <v>8190.276359999998</v>
      </c>
      <c r="FQ21" s="735">
        <v>9851.43</v>
      </c>
      <c r="FR21" s="700">
        <f t="shared" si="637"/>
        <v>0.84197415287217503</v>
      </c>
      <c r="FS21" s="593">
        <f>'Proy 2021 vs 2019 Sem'!FA20*$FV$4</f>
        <v>11700.394799999998</v>
      </c>
      <c r="FT21" s="593">
        <f>'Proy 2021 vs 2019 Sem'!FB20*$FV$4</f>
        <v>8190.276359999998</v>
      </c>
      <c r="FU21" s="735">
        <v>8220.8700000000008</v>
      </c>
      <c r="FV21" s="700">
        <f t="shared" si="638"/>
        <v>0.70261475279449559</v>
      </c>
      <c r="FW21" s="593">
        <f>'Proy 2021 vs 2019 Sem'!FA20*$FZ$4</f>
        <v>13650.4606</v>
      </c>
      <c r="FX21" s="593">
        <f>'Proy 2021 vs 2019 Sem'!FB20*$FZ$4</f>
        <v>9555.3224199999986</v>
      </c>
      <c r="FY21" s="735">
        <v>10451.65</v>
      </c>
      <c r="FZ21" s="700">
        <f t="shared" si="639"/>
        <v>0.76566280847695345</v>
      </c>
      <c r="GA21" s="593">
        <f>'Proy 2021 vs 2019 Sem'!FA20*$GD$4</f>
        <v>15600.526399999999</v>
      </c>
      <c r="GB21" s="593">
        <f>'Proy 2021 vs 2019 Sem'!FB20*$GD$4</f>
        <v>10920.368479999997</v>
      </c>
      <c r="GC21" s="735">
        <v>8963.69</v>
      </c>
      <c r="GD21" s="700">
        <f t="shared" si="640"/>
        <v>0.57457612455948925</v>
      </c>
      <c r="GE21" s="593">
        <f>'Proy 2021 vs 2019 Sem'!FA20*$GH$4</f>
        <v>21450.7238</v>
      </c>
      <c r="GF21" s="593">
        <f>'Proy 2021 vs 2019 Sem'!FB20*$GH$4</f>
        <v>15015.506659999997</v>
      </c>
      <c r="GG21" s="735">
        <v>18178.91</v>
      </c>
      <c r="GH21" s="700">
        <f t="shared" si="641"/>
        <v>0.84747303491922266</v>
      </c>
      <c r="GI21" s="579">
        <f t="shared" si="642"/>
        <v>97503.289999999979</v>
      </c>
      <c r="GJ21" s="574">
        <f t="shared" si="643"/>
        <v>68252.302999999985</v>
      </c>
      <c r="GK21" s="759">
        <f t="shared" si="644"/>
        <v>69763.840000000011</v>
      </c>
      <c r="GL21" s="761">
        <f t="shared" si="645"/>
        <v>0.71550242048242707</v>
      </c>
      <c r="GM21" s="593">
        <f>'Proy 2021 vs 2019 Sem'!FF20*$GP$4</f>
        <v>13203.822</v>
      </c>
      <c r="GN21" s="593">
        <f>'Proy 2021 vs 2019 Sem'!FG20*$GP$4</f>
        <v>9506.751839999999</v>
      </c>
      <c r="GO21" s="735">
        <v>8643.59</v>
      </c>
      <c r="GP21" s="700">
        <f t="shared" si="646"/>
        <v>0.6546278797154339</v>
      </c>
      <c r="GQ21" s="593">
        <f>'Proy 2021 vs 2019 Sem'!FF20*$GT$4</f>
        <v>13203.822</v>
      </c>
      <c r="GR21" s="593">
        <f>'Proy 2021 vs 2019 Sem'!FG20*$GT$4</f>
        <v>9506.751839999999</v>
      </c>
      <c r="GS21" s="735">
        <v>8909.2099999999991</v>
      </c>
      <c r="GT21" s="700">
        <f t="shared" si="647"/>
        <v>0.67474478223047829</v>
      </c>
      <c r="GU21" s="593">
        <f>'Proy 2021 vs 2019 Sem'!FF20*$GX$4</f>
        <v>13203.822</v>
      </c>
      <c r="GV21" s="593">
        <f>'Proy 2021 vs 2019 Sem'!FG20*$GX$4</f>
        <v>9506.751839999999</v>
      </c>
      <c r="GW21" s="735">
        <v>8756.5499999999993</v>
      </c>
      <c r="GX21" s="700">
        <f t="shared" si="648"/>
        <v>0.66318297838307716</v>
      </c>
      <c r="GY21" s="593">
        <f>'Proy 2021 vs 2019 Sem'!FF20*$HB$4</f>
        <v>13203.822</v>
      </c>
      <c r="GZ21" s="593">
        <f>'Proy 2021 vs 2019 Sem'!FG20*$HB$4</f>
        <v>9506.751839999999</v>
      </c>
      <c r="HA21" s="735">
        <v>9047.9699999999993</v>
      </c>
      <c r="HB21" s="700">
        <f t="shared" si="649"/>
        <v>0.6852538605867301</v>
      </c>
      <c r="HC21" s="593">
        <f>'Proy 2021 vs 2019 Sem'!FF20*$HF$4</f>
        <v>15404.459000000003</v>
      </c>
      <c r="HD21" s="593">
        <f>'Proy 2021 vs 2019 Sem'!FG20*$HF$4</f>
        <v>11091.210480000002</v>
      </c>
      <c r="HE21" s="735">
        <v>8951.35</v>
      </c>
      <c r="HF21" s="700">
        <f t="shared" si="650"/>
        <v>0.58108824204731879</v>
      </c>
      <c r="HG21" s="593">
        <f>'Proy 2021 vs 2019 Sem'!FF20*$HJ$4</f>
        <v>17605.096000000001</v>
      </c>
      <c r="HH21" s="593">
        <f>'Proy 2021 vs 2019 Sem'!FG20*$HJ$4</f>
        <v>12675.66912</v>
      </c>
      <c r="HI21" s="735">
        <v>14045.2</v>
      </c>
      <c r="HJ21" s="700">
        <f t="shared" si="651"/>
        <v>0.79779173030354389</v>
      </c>
      <c r="HK21" s="593">
        <f>'Proy 2021 vs 2019 Sem'!FF20*$HN$4</f>
        <v>24207.007000000001</v>
      </c>
      <c r="HL21" s="593">
        <f>'Proy 2021 vs 2019 Sem'!FG20*$HN$4</f>
        <v>17429.045040000001</v>
      </c>
      <c r="HM21" s="735">
        <v>10569.67</v>
      </c>
      <c r="HN21" s="700">
        <f t="shared" si="652"/>
        <v>0.43663679694065438</v>
      </c>
      <c r="HO21" s="579">
        <f t="shared" si="653"/>
        <v>110031.85</v>
      </c>
      <c r="HP21" s="574">
        <f t="shared" si="654"/>
        <v>79222.932000000001</v>
      </c>
      <c r="HQ21" s="765">
        <f t="shared" si="655"/>
        <v>68923.539999999994</v>
      </c>
      <c r="HR21" s="761">
        <f t="shared" si="656"/>
        <v>0.62639626617202193</v>
      </c>
      <c r="HS21" s="593">
        <f>'Proy 2021 vs 2019 Sem'!FK20*$CX$4</f>
        <v>11987.690399999999</v>
      </c>
      <c r="HT21" s="593">
        <f>'Proy 2021 vs 2019 Sem'!FL20*$CX$4</f>
        <v>9470.2754160000004</v>
      </c>
      <c r="HU21" s="735">
        <v>9567.11</v>
      </c>
      <c r="HV21" s="700">
        <f t="shared" si="657"/>
        <v>0.79807783490971718</v>
      </c>
      <c r="HW21" s="593">
        <f>'Proy 2021 vs 2019 Sem'!FK20*$DB$4</f>
        <v>11987.690399999999</v>
      </c>
      <c r="HX21" s="593">
        <f>'Proy 2021 vs 2019 Sem'!FL20*$DB$4</f>
        <v>9470.2754160000004</v>
      </c>
      <c r="HY21" s="735">
        <v>9399.66</v>
      </c>
      <c r="HZ21" s="700">
        <f t="shared" si="658"/>
        <v>0.78410933936031579</v>
      </c>
      <c r="IA21" s="593">
        <f>'Proy 2021 vs 2019 Sem'!FK20*$DF$4</f>
        <v>11987.690399999999</v>
      </c>
      <c r="IB21" s="593">
        <f>'Proy 2021 vs 2019 Sem'!FL20*$DF$4</f>
        <v>9470.2754160000004</v>
      </c>
      <c r="IC21" s="735">
        <v>10051.36</v>
      </c>
      <c r="ID21" s="700">
        <f t="shared" si="659"/>
        <v>0.83847343938745711</v>
      </c>
      <c r="IE21" s="593">
        <f>'Proy 2021 vs 2019 Sem'!FK20*$DJ$4</f>
        <v>11987.690399999999</v>
      </c>
      <c r="IF21" s="593">
        <f>'Proy 2021 vs 2019 Sem'!FL20*$DJ$4</f>
        <v>9470.2754160000004</v>
      </c>
      <c r="IG21" s="735">
        <v>11964.22</v>
      </c>
      <c r="IH21" s="700">
        <f t="shared" si="660"/>
        <v>0.99804212494510203</v>
      </c>
      <c r="II21" s="593">
        <f>'Proy 2021 vs 2019 Sem'!FK20*$DN$4</f>
        <v>13985.638800000001</v>
      </c>
      <c r="IJ21" s="593">
        <f>'Proy 2021 vs 2019 Sem'!FL20*$DN$4</f>
        <v>11048.654652000001</v>
      </c>
      <c r="IK21" s="735">
        <v>8290.77</v>
      </c>
      <c r="IL21" s="700">
        <f t="shared" si="661"/>
        <v>0.59280595749405451</v>
      </c>
      <c r="IM21" s="593">
        <f>'Proy 2021 vs 2019 Sem'!FK20*$DR$4</f>
        <v>15983.5872</v>
      </c>
      <c r="IN21" s="593">
        <f>'Proy 2021 vs 2019 Sem'!FL20*$DR$4</f>
        <v>12627.033888000002</v>
      </c>
      <c r="IO21" s="1410">
        <v>12608.97</v>
      </c>
      <c r="IP21" s="700">
        <f t="shared" si="662"/>
        <v>0.7888698476897601</v>
      </c>
      <c r="IQ21" s="593">
        <f>'Proy 2021 vs 2019 Sem'!FK20*$IT$4</f>
        <v>21977.432400000002</v>
      </c>
      <c r="IR21" s="593">
        <f>'Proy 2021 vs 2019 Sem'!FL20*$IT$4</f>
        <v>17362.171596</v>
      </c>
      <c r="IS21" s="735">
        <v>16808.080000000002</v>
      </c>
      <c r="IT21" s="700">
        <f t="shared" si="663"/>
        <v>0.76478815605411665</v>
      </c>
      <c r="IU21" s="579">
        <f t="shared" si="664"/>
        <v>99897.42</v>
      </c>
      <c r="IV21" s="574">
        <f t="shared" si="665"/>
        <v>78918.961800000005</v>
      </c>
      <c r="IW21" s="765">
        <f t="shared" si="666"/>
        <v>78690.17</v>
      </c>
      <c r="IX21" s="761">
        <f t="shared" si="667"/>
        <v>0.787709732643746</v>
      </c>
      <c r="IY21" s="593">
        <f>'Proy 2021 vs 2019 Sem'!FP20*$JB$4</f>
        <v>11317.293599999999</v>
      </c>
      <c r="IZ21" s="593">
        <f>'Proy 2021 vs 2019 Sem'!FQ20*$JB$4</f>
        <v>8601.1431360000006</v>
      </c>
      <c r="JA21" s="735">
        <v>7902.5</v>
      </c>
      <c r="JB21" s="700">
        <f t="shared" si="668"/>
        <v>0.69826764943166275</v>
      </c>
      <c r="JC21" s="593">
        <f>'Proy 2021 vs 2019 Sem'!FP20*$JF$4</f>
        <v>11317.293599999999</v>
      </c>
      <c r="JD21" s="593">
        <f>'Proy 2021 vs 2019 Sem'!FQ20*$JF$4</f>
        <v>8601.1431360000006</v>
      </c>
      <c r="JE21" s="735">
        <v>6076.78</v>
      </c>
      <c r="JF21" s="700">
        <f t="shared" si="669"/>
        <v>0.53694639502857822</v>
      </c>
      <c r="JG21" s="593">
        <f>'Proy 2021 vs 2019 Sem'!FP20*$JJ$4</f>
        <v>11317.293599999999</v>
      </c>
      <c r="JH21" s="593">
        <f>'Proy 2021 vs 2019 Sem'!FQ20*$JJ$4</f>
        <v>8601.1431360000006</v>
      </c>
      <c r="JI21" s="735">
        <v>10384.700000000001</v>
      </c>
      <c r="JJ21" s="700">
        <f t="shared" si="670"/>
        <v>0.91759570503675913</v>
      </c>
      <c r="JK21" s="593">
        <f>'Proy 2021 vs 2019 Sem'!FP20*$JN$4</f>
        <v>11317.293599999999</v>
      </c>
      <c r="JL21" s="593">
        <f>'Proy 2021 vs 2019 Sem'!FQ20*$JN$4</f>
        <v>8601.1431360000006</v>
      </c>
      <c r="JM21" s="735">
        <v>7206.85</v>
      </c>
      <c r="JN21" s="700">
        <f t="shared" si="671"/>
        <v>0.63679977340165506</v>
      </c>
      <c r="JO21" s="593">
        <f>'Proy 2021 vs 2019 Sem'!FP20*$JR$4</f>
        <v>13203.5092</v>
      </c>
      <c r="JP21" s="593">
        <f>'Proy 2021 vs 2019 Sem'!FQ20*$JR$4</f>
        <v>10034.666992000002</v>
      </c>
      <c r="JQ21" s="735">
        <v>5174.45</v>
      </c>
      <c r="JR21" s="700">
        <f t="shared" si="672"/>
        <v>0.39189960196339318</v>
      </c>
      <c r="JS21" s="593">
        <f>'Proy 2021 vs 2019 Sem'!FP20*$JV$4</f>
        <v>15089.7248</v>
      </c>
      <c r="JT21" s="593">
        <f>'Proy 2021 vs 2019 Sem'!FQ20*$JV$4</f>
        <v>11468.190848</v>
      </c>
      <c r="JU21" s="735">
        <v>11872.13</v>
      </c>
      <c r="JV21" s="700">
        <f t="shared" si="673"/>
        <v>0.78676915300668704</v>
      </c>
      <c r="JW21" s="593">
        <f>'Proy 2021 vs 2019 Sem'!FP20*$JZ$4</f>
        <v>20748.371599999999</v>
      </c>
      <c r="JX21" s="593">
        <f>'Proy 2021 vs 2019 Sem'!FQ20*$JZ$4</f>
        <v>15768.762416000001</v>
      </c>
      <c r="JY21" s="735">
        <v>17176.48</v>
      </c>
      <c r="JZ21" s="700">
        <f t="shared" si="674"/>
        <v>0.8278471357241356</v>
      </c>
      <c r="KA21" s="579">
        <f t="shared" si="675"/>
        <v>94310.78</v>
      </c>
      <c r="KB21" s="574">
        <f t="shared" si="676"/>
        <v>71676.192800000004</v>
      </c>
      <c r="KC21" s="770">
        <f t="shared" si="677"/>
        <v>65793.89</v>
      </c>
      <c r="KD21" s="761">
        <f t="shared" si="678"/>
        <v>0.69762852136309339</v>
      </c>
      <c r="KE21" s="593">
        <f>'Proy 2021 vs 2019 Sem'!FY20*$KH$4</f>
        <v>11821.315200000001</v>
      </c>
      <c r="KF21" s="593">
        <f>'Proy 2021 vs 2019 Sem'!FZ20*$KH$4</f>
        <v>8865.9863999999998</v>
      </c>
      <c r="KG21" s="735">
        <v>4065.34</v>
      </c>
      <c r="KH21" s="700">
        <f t="shared" si="679"/>
        <v>0.34389912892264302</v>
      </c>
      <c r="KI21" s="593">
        <f>'Proy 2021 vs 2019 Sem'!FY20*$KL$4</f>
        <v>11821.315200000001</v>
      </c>
      <c r="KJ21" s="593">
        <f>'Proy 2021 vs 2019 Sem'!FZ20*$KL$4</f>
        <v>8865.9863999999998</v>
      </c>
      <c r="KK21" s="699"/>
      <c r="KL21" s="700">
        <f t="shared" si="680"/>
        <v>0</v>
      </c>
      <c r="KM21" s="593">
        <f>'Proy 2021 vs 2019 Sem'!FY20*$KP$4</f>
        <v>11821.315200000001</v>
      </c>
      <c r="KN21" s="593">
        <f>'Proy 2021 vs 2019 Sem'!FZ20*$KP$4</f>
        <v>8865.9863999999998</v>
      </c>
      <c r="KO21" s="735">
        <v>14147.78</v>
      </c>
      <c r="KP21" s="700">
        <f t="shared" si="681"/>
        <v>1.1968025351358536</v>
      </c>
      <c r="KQ21" s="593">
        <f>'Proy 2021 vs 2019 Sem'!FY20*$KT$4</f>
        <v>11821.315200000001</v>
      </c>
      <c r="KR21" s="593">
        <f>'Proy 2021 vs 2019 Sem'!FZ20*$KT$4</f>
        <v>8865.9863999999998</v>
      </c>
      <c r="KS21" s="735">
        <v>8644.26</v>
      </c>
      <c r="KT21" s="700">
        <f t="shared" si="682"/>
        <v>0.73124350833653429</v>
      </c>
      <c r="KU21" s="593">
        <f>'Proy 2021 vs 2019 Sem'!FY20*$KX$4</f>
        <v>13791.534400000002</v>
      </c>
      <c r="KV21" s="593">
        <f>'Proy 2021 vs 2019 Sem'!FZ20*$KX$4</f>
        <v>10343.650800000001</v>
      </c>
      <c r="KW21" s="735">
        <v>9968.7199999999993</v>
      </c>
      <c r="KX21" s="700">
        <f t="shared" si="683"/>
        <v>0.72281442447767075</v>
      </c>
      <c r="KY21" s="593">
        <f>'Proy 2021 vs 2019 Sem'!FY20*$LB$4</f>
        <v>15761.753600000002</v>
      </c>
      <c r="KZ21" s="593">
        <f>'Proy 2021 vs 2019 Sem'!FZ20*$LB$4</f>
        <v>11821.315200000001</v>
      </c>
      <c r="LA21" s="735">
        <v>10657.24</v>
      </c>
      <c r="LB21" s="700">
        <f t="shared" si="684"/>
        <v>0.67614557811638409</v>
      </c>
      <c r="LC21" s="593">
        <f>'Proy 2021 vs 2019 Sem'!FY20*$LF$4</f>
        <v>21672.411200000002</v>
      </c>
      <c r="LD21" s="593">
        <f>'Proy 2021 vs 2019 Sem'!FZ20*$LF$4</f>
        <v>16254.3084</v>
      </c>
      <c r="LE21" s="735">
        <v>19771.330000000002</v>
      </c>
      <c r="LF21" s="700">
        <f t="shared" si="685"/>
        <v>0.91228104789743003</v>
      </c>
      <c r="LG21" s="579">
        <f t="shared" si="686"/>
        <v>98510.96</v>
      </c>
      <c r="LH21" s="574">
        <f t="shared" si="687"/>
        <v>73883.22</v>
      </c>
      <c r="LI21" s="793">
        <f t="shared" si="688"/>
        <v>67254.670000000013</v>
      </c>
      <c r="LJ21" s="786">
        <f t="shared" si="689"/>
        <v>0.6827125631503338</v>
      </c>
      <c r="LK21" s="593">
        <f>'Proy 2021 vs 2019 Sem'!GD20*$LN$4</f>
        <v>11430.5028</v>
      </c>
      <c r="LL21" s="593">
        <f>'Proy 2021 vs 2019 Sem'!GE20*$LN$4</f>
        <v>9258.7072680000001</v>
      </c>
      <c r="LM21" s="735">
        <v>6760.57</v>
      </c>
      <c r="LN21" s="700">
        <f t="shared" si="690"/>
        <v>0.59144992292027609</v>
      </c>
      <c r="LO21" s="593">
        <f>'Proy 2021 vs 2019 Sem'!GD20*$LR$4</f>
        <v>11430.5028</v>
      </c>
      <c r="LP21" s="593">
        <f>'Proy 2021 vs 2019 Sem'!GE20*$LR$4</f>
        <v>9258.7072680000001</v>
      </c>
      <c r="LQ21" s="735">
        <v>6597.4</v>
      </c>
      <c r="LR21" s="700">
        <f t="shared" si="691"/>
        <v>0.57717496031758109</v>
      </c>
      <c r="LS21" s="593">
        <f>'Proy 2021 vs 2019 Sem'!GD20*$LV$4</f>
        <v>11430.5028</v>
      </c>
      <c r="LT21" s="593">
        <f>'Proy 2021 vs 2019 Sem'!GE20*$LV$4</f>
        <v>9258.7072680000001</v>
      </c>
      <c r="LU21" s="735">
        <v>7066.76</v>
      </c>
      <c r="LV21" s="700">
        <f t="shared" si="692"/>
        <v>0.6182370210346303</v>
      </c>
      <c r="LW21" s="593">
        <f>'Proy 2021 vs 2019 Sem'!GD20*$LZ$4</f>
        <v>11430.5028</v>
      </c>
      <c r="LX21" s="593">
        <f>'Proy 2021 vs 2019 Sem'!GE20*$LZ$4</f>
        <v>9258.7072680000001</v>
      </c>
      <c r="LY21" s="735">
        <v>7464.06</v>
      </c>
      <c r="LZ21" s="700">
        <f t="shared" si="693"/>
        <v>0.65299489712736003</v>
      </c>
      <c r="MA21" s="593">
        <f>'Proy 2021 vs 2019 Sem'!GD20*$MD$4</f>
        <v>13335.586600000002</v>
      </c>
      <c r="MB21" s="593">
        <f>'Proy 2021 vs 2019 Sem'!GE20*$MD$4</f>
        <v>10801.825146000003</v>
      </c>
      <c r="MC21" s="735">
        <v>7550.61</v>
      </c>
      <c r="MD21" s="700">
        <f t="shared" si="694"/>
        <v>0.56620006502001186</v>
      </c>
      <c r="ME21" s="593">
        <f>'Proy 2021 vs 2019 Sem'!GD20*$MH$4</f>
        <v>15240.670400000001</v>
      </c>
      <c r="MF21" s="593">
        <f>'Proy 2021 vs 2019 Sem'!GE20*$MH$4</f>
        <v>12344.943024000002</v>
      </c>
      <c r="MG21" s="735">
        <v>9470.74</v>
      </c>
      <c r="MH21" s="700">
        <f t="shared" si="695"/>
        <v>0.62141229692888045</v>
      </c>
      <c r="MI21" s="593">
        <f>'Proy 2021 vs 2019 Sem'!GD20*$ML$4</f>
        <v>20955.9218</v>
      </c>
      <c r="MJ21" s="593">
        <f>'Proy 2021 vs 2019 Sem'!GE20*$ML$4</f>
        <v>16974.296658000003</v>
      </c>
      <c r="MK21" s="735">
        <v>22397.599999999999</v>
      </c>
      <c r="ML21" s="700">
        <f t="shared" si="696"/>
        <v>1.0687957424998598</v>
      </c>
      <c r="MM21" s="579">
        <f t="shared" si="697"/>
        <v>95254.19</v>
      </c>
      <c r="MN21" s="574">
        <f t="shared" si="698"/>
        <v>77155.89390000001</v>
      </c>
      <c r="MO21" s="794">
        <f t="shared" si="699"/>
        <v>67307.739999999991</v>
      </c>
      <c r="MP21" s="786">
        <f t="shared" si="700"/>
        <v>0.70661185612937327</v>
      </c>
      <c r="MQ21" s="593">
        <f>'Proy 2021 vs 2019 Sem'!GI20*$MT$4</f>
        <v>10200.920399999999</v>
      </c>
      <c r="MR21" s="593">
        <f>'Proy 2021 vs 2019 Sem'!GJ20*$MT$4</f>
        <v>8160.73632</v>
      </c>
      <c r="MS21" s="735">
        <v>6264.49</v>
      </c>
      <c r="MT21" s="700">
        <f t="shared" si="701"/>
        <v>0.61411027185350842</v>
      </c>
      <c r="MU21" s="593">
        <f>'Proy 2021 vs 2019 Sem'!GI20*$MX$4</f>
        <v>10200.920399999999</v>
      </c>
      <c r="MV21" s="593">
        <f>'Proy 2021 vs 2019 Sem'!GJ20*$MX$4</f>
        <v>8160.73632</v>
      </c>
      <c r="MW21" s="735">
        <v>8873.9599999999991</v>
      </c>
      <c r="MX21" s="700">
        <f t="shared" si="702"/>
        <v>0.86991758116257822</v>
      </c>
      <c r="MY21" s="593">
        <f>'Proy 2021 vs 2019 Sem'!GI20*$NB$4</f>
        <v>10200.920399999999</v>
      </c>
      <c r="MZ21" s="593">
        <f>'Proy 2021 vs 2019 Sem'!GJ20*$NB$4</f>
        <v>8160.73632</v>
      </c>
      <c r="NA21" s="735">
        <v>8472.67</v>
      </c>
      <c r="NB21" s="700">
        <f t="shared" si="703"/>
        <v>0.83057897403061798</v>
      </c>
      <c r="NC21" s="593">
        <f>'Proy 2021 vs 2019 Sem'!GI20*$NF$4</f>
        <v>10200.920399999999</v>
      </c>
      <c r="ND21" s="593">
        <f>'Proy 2021 vs 2019 Sem'!GJ20*$NF$4</f>
        <v>8160.73632</v>
      </c>
      <c r="NE21" s="735">
        <v>5159.6099999999997</v>
      </c>
      <c r="NF21" s="700">
        <f t="shared" si="704"/>
        <v>0.50579847677274303</v>
      </c>
      <c r="NG21" s="593">
        <f>'Proy 2021 vs 2019 Sem'!GI20*$NJ$4</f>
        <v>11901.0738</v>
      </c>
      <c r="NH21" s="593">
        <f>'Proy 2021 vs 2019 Sem'!GJ20*$NJ$4</f>
        <v>9520.8590400000012</v>
      </c>
      <c r="NI21" s="735">
        <v>9535.34</v>
      </c>
      <c r="NJ21" s="700">
        <f t="shared" si="705"/>
        <v>0.80121677759867349</v>
      </c>
      <c r="NK21" s="593">
        <f>'Proy 2021 vs 2019 Sem'!GI20*$NN$4</f>
        <v>13601.227199999999</v>
      </c>
      <c r="NL21" s="593">
        <f>'Proy 2021 vs 2019 Sem'!GJ20*$NN$4</f>
        <v>10880.981760000001</v>
      </c>
      <c r="NM21" s="735">
        <v>10994.24</v>
      </c>
      <c r="NN21" s="700">
        <f t="shared" si="706"/>
        <v>0.80832706036996427</v>
      </c>
      <c r="NO21" s="593">
        <f>'Proy 2021 vs 2019 Sem'!GI20*$NR$4</f>
        <v>18701.687399999999</v>
      </c>
      <c r="NP21" s="593">
        <f>'Proy 2021 vs 2019 Sem'!GJ20*$NR$4</f>
        <v>14961.349920000001</v>
      </c>
      <c r="NQ21" s="735">
        <v>17856.099999999999</v>
      </c>
      <c r="NR21" s="700">
        <f t="shared" si="707"/>
        <v>0.954785502403382</v>
      </c>
      <c r="NS21" s="579">
        <f t="shared" si="708"/>
        <v>85007.669999999984</v>
      </c>
      <c r="NT21" s="574">
        <f t="shared" si="709"/>
        <v>68006.135999999999</v>
      </c>
      <c r="NU21" s="794">
        <f t="shared" si="710"/>
        <v>67156.41</v>
      </c>
      <c r="NV21" s="786">
        <f t="shared" si="711"/>
        <v>0.79000412551008647</v>
      </c>
      <c r="NW21" s="593">
        <f>'Proy 2021 vs 2019 Sem'!GN20*$NZ$4</f>
        <v>10541.611199999999</v>
      </c>
      <c r="NX21" s="593">
        <f>'Proy 2021 vs 2019 Sem'!GO20*$NZ$4</f>
        <v>7695.3761759999988</v>
      </c>
      <c r="NY21" s="735">
        <v>5442.86</v>
      </c>
      <c r="NZ21" s="700">
        <f t="shared" si="712"/>
        <v>0.516321451885837</v>
      </c>
      <c r="OA21" s="593">
        <f>'Proy 2021 vs 2019 Sem'!GN20*$OD$4</f>
        <v>10541.611199999999</v>
      </c>
      <c r="OB21" s="593">
        <f>'Proy 2021 vs 2019 Sem'!GO20*$OD$4</f>
        <v>7695.3761759999988</v>
      </c>
      <c r="OC21" s="735">
        <v>9127.48</v>
      </c>
      <c r="OD21" s="700">
        <f t="shared" si="713"/>
        <v>0.86585246095966806</v>
      </c>
      <c r="OE21" s="593">
        <f>'Proy 2021 vs 2019 Sem'!GN20*$OH$4</f>
        <v>10541.611199999999</v>
      </c>
      <c r="OF21" s="593">
        <f>'Proy 2021 vs 2019 Sem'!GO20*$OH$4</f>
        <v>7695.3761759999988</v>
      </c>
      <c r="OG21" s="735">
        <v>6087.78</v>
      </c>
      <c r="OH21" s="700">
        <f t="shared" si="714"/>
        <v>0.57749995560450951</v>
      </c>
      <c r="OI21" s="593">
        <f>'Proy 2021 vs 2019 Sem'!GN20*$OL$4</f>
        <v>10541.611199999999</v>
      </c>
      <c r="OJ21" s="593">
        <f>'Proy 2021 vs 2019 Sem'!GO20*$OL$4</f>
        <v>7695.3761759999988</v>
      </c>
      <c r="OK21" s="735">
        <v>9114.92</v>
      </c>
      <c r="OL21" s="700">
        <f t="shared" si="715"/>
        <v>0.86466099223997184</v>
      </c>
      <c r="OM21" s="593">
        <f>'Proy 2021 vs 2019 Sem'!GN20*$OP$4</f>
        <v>12298.546400000001</v>
      </c>
      <c r="ON21" s="593">
        <f>'Proy 2021 vs 2019 Sem'!GO20*$OP$4</f>
        <v>8977.9388720000006</v>
      </c>
      <c r="OO21" s="735">
        <v>6479.35</v>
      </c>
      <c r="OP21" s="700">
        <f t="shared" si="716"/>
        <v>0.52683868396024425</v>
      </c>
      <c r="OQ21" s="593">
        <f>'Proy 2021 vs 2019 Sem'!GN20*$JV$4</f>
        <v>14055.481599999999</v>
      </c>
      <c r="OR21" s="593">
        <f>'Proy 2021 vs 2019 Sem'!GO20*$JV$4</f>
        <v>10260.501568</v>
      </c>
      <c r="OS21" s="735">
        <v>12863.18</v>
      </c>
      <c r="OT21" s="700">
        <f t="shared" si="717"/>
        <v>0.91517177184451659</v>
      </c>
      <c r="OU21" s="593">
        <f>'Proy 2021 vs 2019 Sem'!GN20*$OX$4</f>
        <v>19326.287199999999</v>
      </c>
      <c r="OV21" s="593">
        <f>'Proy 2021 vs 2019 Sem'!GO20*$OX$4</f>
        <v>14108.189655999999</v>
      </c>
      <c r="OW21" s="735">
        <v>20929.75</v>
      </c>
      <c r="OX21" s="700">
        <f t="shared" si="718"/>
        <v>1.0829679691399805</v>
      </c>
      <c r="OY21" s="579">
        <f t="shared" si="719"/>
        <v>87846.75999999998</v>
      </c>
      <c r="OZ21" s="574">
        <f t="shared" si="720"/>
        <v>64128.1348</v>
      </c>
      <c r="PA21" s="785">
        <f t="shared" si="721"/>
        <v>70045.320000000007</v>
      </c>
      <c r="PB21" s="786">
        <f t="shared" si="722"/>
        <v>0.79735803574315123</v>
      </c>
      <c r="PC21" s="593">
        <f>'Proy 2021 vs 2019 Sem'!GW20*$PF$4</f>
        <v>10515.96</v>
      </c>
      <c r="PD21" s="593">
        <f>'Proy 2021 vs 2019 Sem'!GX20*$PF$4</f>
        <v>7992.1296000000002</v>
      </c>
      <c r="PE21" s="735">
        <v>8876.24</v>
      </c>
      <c r="PF21" s="700">
        <f t="shared" si="723"/>
        <v>0.84407319921338619</v>
      </c>
      <c r="PG21" s="593">
        <f>'Proy 2021 vs 2019 Sem'!GW20*$PJ$4</f>
        <v>10515.96</v>
      </c>
      <c r="PH21" s="593">
        <f>'Proy 2021 vs 2019 Sem'!GX20*$PJ$4</f>
        <v>7992.1296000000002</v>
      </c>
      <c r="PI21" s="735">
        <v>9947.6299999999992</v>
      </c>
      <c r="PJ21" s="700">
        <f t="shared" si="724"/>
        <v>0.94595548100220994</v>
      </c>
      <c r="PK21" s="593">
        <f>'Proy 2021 vs 2019 Sem'!GW20*'Vtas Diarias 2021'!$PN$4</f>
        <v>10515.96</v>
      </c>
      <c r="PL21" s="593">
        <f>'Proy 2021 vs 2019 Sem'!GX20*'Vtas Diarias 2021'!$PN$4</f>
        <v>7992.1296000000002</v>
      </c>
      <c r="PM21" s="735">
        <v>7475.13</v>
      </c>
      <c r="PN21" s="700">
        <f t="shared" si="725"/>
        <v>0.71083667111704507</v>
      </c>
      <c r="PO21" s="593">
        <f>'Proy 2021 vs 2019 Sem'!GW20*$PR$4</f>
        <v>10515.96</v>
      </c>
      <c r="PP21" s="593">
        <f>'Proy 2021 vs 2019 Sem'!GX20*$PR$4</f>
        <v>7992.1296000000002</v>
      </c>
      <c r="PQ21" s="735">
        <v>7853.18</v>
      </c>
      <c r="PR21" s="700">
        <f t="shared" si="726"/>
        <v>0.74678678884286365</v>
      </c>
      <c r="PS21" s="593">
        <f>'Proy 2021 vs 2019 Sem'!GW20*$PV$4</f>
        <v>12268.62</v>
      </c>
      <c r="PT21" s="593">
        <f>'Proy 2021 vs 2019 Sem'!GX20*$PV$4</f>
        <v>9324.1512000000002</v>
      </c>
      <c r="PU21" s="735">
        <v>13388.02</v>
      </c>
      <c r="PV21" s="700">
        <f t="shared" si="727"/>
        <v>1.0912409056601313</v>
      </c>
      <c r="PW21" s="593">
        <f>'Proy 2021 vs 2019 Sem'!GW20*PZ$4</f>
        <v>14021.28</v>
      </c>
      <c r="PX21" s="593">
        <f>'Proy 2021 vs 2019 Sem'!GX20*$PZ$4</f>
        <v>10656.1728</v>
      </c>
      <c r="PY21" s="735">
        <v>10848.15</v>
      </c>
      <c r="PZ21" s="700">
        <f t="shared" si="728"/>
        <v>0.77369184553763992</v>
      </c>
      <c r="QA21" s="593">
        <f>'Proy 2021 vs 2019 Sem'!GW20*$QD$4</f>
        <v>19279.259999999998</v>
      </c>
      <c r="QB21" s="593">
        <f>'Proy 2021 vs 2019 Sem'!GX20*$QD$4</f>
        <v>14652.2376</v>
      </c>
      <c r="QC21" s="735">
        <v>17431.45</v>
      </c>
      <c r="QD21" s="700">
        <f t="shared" si="729"/>
        <v>0.90415555368826406</v>
      </c>
      <c r="QE21" s="579">
        <f t="shared" si="730"/>
        <v>87633</v>
      </c>
      <c r="QF21" s="574">
        <f t="shared" si="731"/>
        <v>66601.08</v>
      </c>
      <c r="QG21" s="729">
        <f t="shared" si="732"/>
        <v>75819.8</v>
      </c>
      <c r="QH21" s="711">
        <f t="shared" si="733"/>
        <v>0.86519690071091948</v>
      </c>
      <c r="QI21" s="578">
        <f>'Proy 2021 vs 2019 Sem'!HB20*$QL$4</f>
        <v>11672.8824</v>
      </c>
      <c r="QJ21" s="611">
        <f>'Proy 2021 vs 2019 Sem'!UG20*$AL$4</f>
        <v>0</v>
      </c>
      <c r="QK21" s="735">
        <v>8534.26</v>
      </c>
      <c r="QL21" s="700">
        <f t="shared" si="734"/>
        <v>0.73111847678684738</v>
      </c>
      <c r="QM21" s="593">
        <f>'Proy 2021 vs 2019 Sem'!HB20*$QP$4</f>
        <v>11672.8824</v>
      </c>
      <c r="QN21" s="593">
        <f>'Proy 2021 vs 2019 Sem'!UG20*$AP$4</f>
        <v>0</v>
      </c>
      <c r="QO21" s="735">
        <v>8176.32</v>
      </c>
      <c r="QP21" s="700">
        <f t="shared" si="735"/>
        <v>0.70045424256137456</v>
      </c>
      <c r="QQ21" s="593">
        <f>'Proy 2021 vs 2019 Sem'!HB20*$QT$4</f>
        <v>11672.8824</v>
      </c>
      <c r="QR21" s="593">
        <f>'Proy 2021 vs 2019 Sem'!HC20*$QT$4</f>
        <v>9104.8482719999993</v>
      </c>
      <c r="QS21" s="735">
        <v>8128.12</v>
      </c>
      <c r="QT21" s="700">
        <f t="shared" si="736"/>
        <v>0.69632501394856849</v>
      </c>
      <c r="QU21" s="593">
        <f>'Proy 2021 vs 2019 Sem'!HB20*$QX$4</f>
        <v>11672.8824</v>
      </c>
      <c r="QV21" s="593">
        <f>'Proy 2021 vs 2019 Sem'!HC20*$QX$4</f>
        <v>9104.8482719999993</v>
      </c>
      <c r="QW21" s="735">
        <v>8331.4699999999993</v>
      </c>
      <c r="QX21" s="700">
        <f t="shared" si="737"/>
        <v>0.71374573258786522</v>
      </c>
      <c r="QY21" s="593">
        <f>'Proy 2021 vs 2019 Sem'!HB20*$RB$4</f>
        <v>13618.362800000003</v>
      </c>
      <c r="QZ21" s="593">
        <f>'Proy 2021 vs 2019 Sem'!HC20*$RB$4</f>
        <v>10622.322984</v>
      </c>
      <c r="RA21" s="735">
        <v>7139.9</v>
      </c>
      <c r="RB21" s="700">
        <f t="shared" si="738"/>
        <v>0.52428475469900082</v>
      </c>
      <c r="RC21" s="593">
        <f>'Proy 2021 vs 2019 Sem'!HB20*$RF$4</f>
        <v>15563.843200000001</v>
      </c>
      <c r="RD21" s="593">
        <f>'Proy 2021 vs 2019 Sem'!HC20*$RF$4</f>
        <v>12139.797696</v>
      </c>
      <c r="RE21" s="735">
        <v>9130.69</v>
      </c>
      <c r="RF21" s="700">
        <f t="shared" si="739"/>
        <v>0.58666036933602617</v>
      </c>
      <c r="RG21" s="593">
        <f>'Proy 2021 vs 2019 Sem'!HB20*$RJ$4</f>
        <v>21400.2844</v>
      </c>
      <c r="RH21" s="593">
        <f>'Proy 2021 vs 2019 Sem'!HC20*$RJ$4</f>
        <v>16692.221831999999</v>
      </c>
      <c r="RI21" s="735">
        <v>19240.78</v>
      </c>
      <c r="RJ21" s="700">
        <f t="shared" si="740"/>
        <v>0.89908992050591618</v>
      </c>
      <c r="RK21" s="579">
        <f t="shared" si="741"/>
        <v>97274.02</v>
      </c>
      <c r="RL21" s="574">
        <f t="shared" si="742"/>
        <v>57664.039055999994</v>
      </c>
      <c r="RM21" s="730">
        <f t="shared" si="743"/>
        <v>68681.540000000008</v>
      </c>
      <c r="RN21" s="711">
        <f t="shared" si="744"/>
        <v>0.70606252316908469</v>
      </c>
      <c r="RO21" s="593">
        <f>'Proy 2021 vs 2019 Sem'!HG20*$RR$4</f>
        <v>9451.3356000000003</v>
      </c>
      <c r="RP21" s="593">
        <f>'Proy 2021 vs 2019 Sem'!HH20*$RR$4</f>
        <v>7277.5284120000006</v>
      </c>
      <c r="RQ21" s="735">
        <v>8221.77</v>
      </c>
      <c r="RR21" s="700">
        <f t="shared" si="745"/>
        <v>0.86990562476693767</v>
      </c>
      <c r="RS21" s="593">
        <f>'Proy 2021 vs 2019 Sem'!HG20*$RV$4</f>
        <v>9451.3356000000003</v>
      </c>
      <c r="RT21" s="593">
        <f>'Proy 2021 vs 2019 Sem'!HH20*$RV$4</f>
        <v>7277.5284120000006</v>
      </c>
      <c r="RU21" s="735">
        <v>8787.7000000000007</v>
      </c>
      <c r="RV21" s="700">
        <f t="shared" si="746"/>
        <v>0.92978393445260799</v>
      </c>
      <c r="RW21" s="593">
        <f>'Proy 2021 vs 2019 Sem'!HG20*$RZ$4</f>
        <v>9451.3356000000003</v>
      </c>
      <c r="RX21" s="593">
        <f>'Proy 2021 vs 2019 Sem'!HH20*$RZ$4</f>
        <v>7277.5284120000006</v>
      </c>
      <c r="RY21" s="735">
        <v>8342.15</v>
      </c>
      <c r="RZ21" s="700">
        <f t="shared" si="747"/>
        <v>0.88264244896774158</v>
      </c>
      <c r="SA21" s="593">
        <f>'Proy 2021 vs 2019 Sem'!HG20*$SD$4</f>
        <v>9451.3356000000003</v>
      </c>
      <c r="SB21" s="593">
        <f>'Proy 2021 vs 2019 Sem'!HH20*$SD$4</f>
        <v>7277.5284120000006</v>
      </c>
      <c r="SC21" s="735">
        <v>9861.7099999999991</v>
      </c>
      <c r="SD21" s="700">
        <f t="shared" si="748"/>
        <v>1.0434197257792854</v>
      </c>
      <c r="SE21" s="593">
        <f>'Proy 2021 vs 2019 Sem'!HG20*$SH$4</f>
        <v>11026.558200000001</v>
      </c>
      <c r="SF21" s="593">
        <f>'Proy 2021 vs 2019 Sem'!HH20*$SH$4</f>
        <v>8490.4498140000014</v>
      </c>
      <c r="SG21" s="735">
        <v>8120.27</v>
      </c>
      <c r="SH21" s="700">
        <f t="shared" si="749"/>
        <v>0.73642834443117522</v>
      </c>
      <c r="SI21" s="593">
        <f>'Proy 2021 vs 2019 Sem'!HG20*$SL$4</f>
        <v>12601.7808</v>
      </c>
      <c r="SJ21" s="593">
        <f>'Proy 2021 vs 2019 Sem'!HH20*$SL$4</f>
        <v>9703.3712160000014</v>
      </c>
      <c r="SK21" s="735">
        <v>9143.08</v>
      </c>
      <c r="SL21" s="700">
        <f t="shared" si="750"/>
        <v>0.72553872703451561</v>
      </c>
      <c r="SM21" s="593">
        <f>'Proy 2021 vs 2019 Sem'!HG20*$SP$4</f>
        <v>17327.4486</v>
      </c>
      <c r="SN21" s="593">
        <f>'Proy 2021 vs 2019 Sem'!HH20*$SP$4</f>
        <v>13342.135422000001</v>
      </c>
      <c r="SO21" s="735">
        <v>13566.82</v>
      </c>
      <c r="SP21" s="700">
        <f t="shared" si="751"/>
        <v>0.7829669741452876</v>
      </c>
      <c r="SQ21" s="579">
        <f t="shared" si="752"/>
        <v>78761.13</v>
      </c>
      <c r="SR21" s="574">
        <f t="shared" si="753"/>
        <v>60646.070100000004</v>
      </c>
      <c r="SS21" s="730">
        <f t="shared" si="754"/>
        <v>66043.5</v>
      </c>
      <c r="ST21" s="711">
        <f t="shared" si="755"/>
        <v>0.83852910693383897</v>
      </c>
      <c r="SU21" s="593">
        <f>'Proy 2021 vs 2019 Sem'!HL20*$SX$4</f>
        <v>9289.3320000000003</v>
      </c>
      <c r="SV21" s="593">
        <f>'Proy 2021 vs 2019 Sem'!HM20*$SX$4</f>
        <v>7059.8923199999999</v>
      </c>
      <c r="SW21" s="735">
        <v>4860.12</v>
      </c>
      <c r="SX21" s="700">
        <f t="shared" si="756"/>
        <v>0.52319370219516315</v>
      </c>
      <c r="SY21" s="593">
        <f>'Proy 2021 vs 2019 Sem'!HL20*$TB$4</f>
        <v>9289.3320000000003</v>
      </c>
      <c r="SZ21" s="593">
        <f>'Proy 2021 vs 2019 Sem'!HM20*$TB$4</f>
        <v>7059.8923199999999</v>
      </c>
      <c r="TA21" s="735">
        <v>7126.96</v>
      </c>
      <c r="TB21" s="700">
        <f t="shared" si="757"/>
        <v>0.76721986037316781</v>
      </c>
      <c r="TC21" s="593">
        <f>'Proy 2021 vs 2019 Sem'!HL20*$TF$4</f>
        <v>9289.3320000000003</v>
      </c>
      <c r="TD21" s="593">
        <f>'Proy 2021 vs 2019 Sem'!HM20*$TF$4</f>
        <v>7059.8923199999999</v>
      </c>
      <c r="TE21" s="735">
        <v>8590.2000000000007</v>
      </c>
      <c r="TF21" s="700">
        <f t="shared" si="758"/>
        <v>0.92473818354215354</v>
      </c>
      <c r="TG21" s="593">
        <f>'Proy 2021 vs 2019 Sem'!HL20*$TJ$4</f>
        <v>9289.3320000000003</v>
      </c>
      <c r="TH21" s="593">
        <f>'Proy 2021 vs 2019 Sem'!HM20*$TJ$4</f>
        <v>7059.8923199999999</v>
      </c>
      <c r="TI21" s="735">
        <v>6375.84</v>
      </c>
      <c r="TJ21" s="700">
        <f t="shared" si="759"/>
        <v>0.68636151663004397</v>
      </c>
      <c r="TK21" s="593">
        <f>'Proy 2021 vs 2019 Sem'!HL20*$TN$4</f>
        <v>10837.554000000002</v>
      </c>
      <c r="TL21" s="593">
        <f>'Proy 2021 vs 2019 Sem'!HM20*$TN$4</f>
        <v>8236.5410400000019</v>
      </c>
      <c r="TM21" s="735">
        <v>5332.01</v>
      </c>
      <c r="TN21" s="700">
        <f t="shared" si="760"/>
        <v>0.49199385765459619</v>
      </c>
      <c r="TO21" s="593">
        <f>'Proy 2021 vs 2019 Sem'!HL20*$TR$4</f>
        <v>12385.776000000002</v>
      </c>
      <c r="TP21" s="611">
        <f>'Proy 2021 vs 2019 Sem'!HM20*$TR$4</f>
        <v>9413.1897600000011</v>
      </c>
      <c r="TQ21" s="735">
        <v>7962.19</v>
      </c>
      <c r="TR21" s="700">
        <f t="shared" si="761"/>
        <v>0.64284950737038993</v>
      </c>
      <c r="TS21" s="593">
        <f>'Proy 2021 vs 2019 Sem'!HL20*$TV$4</f>
        <v>17030.442000000003</v>
      </c>
      <c r="TT21" s="593">
        <f>'Proy 2021 vs 2019 Sem'!HM20*$TV$4</f>
        <v>12943.135920000001</v>
      </c>
      <c r="TU21" s="735">
        <v>13439.16</v>
      </c>
      <c r="TV21" s="700">
        <f t="shared" si="762"/>
        <v>0.78912573144020559</v>
      </c>
      <c r="TW21" s="579">
        <f t="shared" si="763"/>
        <v>77411.100000000006</v>
      </c>
      <c r="TX21" s="574">
        <f t="shared" si="764"/>
        <v>58832.436000000002</v>
      </c>
      <c r="TY21" s="710">
        <f t="shared" si="765"/>
        <v>53686.479999999996</v>
      </c>
      <c r="TZ21" s="711">
        <f t="shared" si="766"/>
        <v>0.69352431369661449</v>
      </c>
      <c r="UA21" s="593">
        <v>11281.62</v>
      </c>
      <c r="UB21" s="593">
        <f>'Proy 2021 vs 2019 Sem'!HR20*$UD$4</f>
        <v>7889.2815359999995</v>
      </c>
      <c r="UC21" s="735">
        <v>7629.65</v>
      </c>
      <c r="UD21" s="700">
        <f t="shared" si="767"/>
        <v>0.67629028455133211</v>
      </c>
      <c r="UE21" s="593">
        <v>11418.43</v>
      </c>
      <c r="UF21" s="593">
        <f>'Proy 2021 vs 2019 Sem'!HR20*$UH$4</f>
        <v>7889.2815359999995</v>
      </c>
      <c r="UG21" s="735">
        <v>4952.04</v>
      </c>
      <c r="UH21" s="700">
        <f t="shared" si="768"/>
        <v>0.43368834419442953</v>
      </c>
      <c r="UI21" s="593">
        <v>10545.21</v>
      </c>
      <c r="UJ21" s="593">
        <f>'Proy 2021 vs 2019 Sem'!HR20*$UL$4</f>
        <v>7889.2815359999995</v>
      </c>
      <c r="UK21" s="735">
        <v>4982.75</v>
      </c>
      <c r="UL21" s="700">
        <f t="shared" si="769"/>
        <v>0.47251311258855921</v>
      </c>
      <c r="UM21" s="593">
        <v>8280.8700000000008</v>
      </c>
      <c r="UN21" s="593">
        <f>'Proy 2021 vs 2019 Sem'!HR20*$UP$4</f>
        <v>7889.2815359999995</v>
      </c>
      <c r="UO21" s="735">
        <v>7093.6</v>
      </c>
      <c r="UP21" s="700">
        <f t="shared" si="770"/>
        <v>0.85662496814948186</v>
      </c>
      <c r="UQ21" s="593">
        <v>12808.19</v>
      </c>
      <c r="UR21" s="593">
        <f>'Proy 2021 vs 2019 Sem'!HR20*$UT$4</f>
        <v>9204.1617920000008</v>
      </c>
      <c r="US21" s="735">
        <v>7384.49</v>
      </c>
      <c r="UT21" s="700">
        <f t="shared" si="771"/>
        <v>0.57654438292998456</v>
      </c>
      <c r="UU21" s="593">
        <v>11712.98</v>
      </c>
      <c r="UV21" s="593">
        <f>'Proy 2021 vs 2019 Sem'!HR20*$UX$4</f>
        <v>10519.042047999999</v>
      </c>
      <c r="UW21" s="735">
        <v>11030.17</v>
      </c>
      <c r="UX21" s="700">
        <f t="shared" si="772"/>
        <v>0.9417048436862353</v>
      </c>
      <c r="UY21" s="593">
        <v>18936.599999999999</v>
      </c>
      <c r="UZ21" s="593">
        <f>'Proy 2021 vs 2019 Sem'!HR20*$VB$4</f>
        <v>14463.682815999999</v>
      </c>
      <c r="VA21" s="735">
        <v>18596.79</v>
      </c>
      <c r="VB21" s="700">
        <f t="shared" si="773"/>
        <v>0.98205538481036736</v>
      </c>
      <c r="VC21" s="577">
        <f>UA21+UE21+UI21+UM21+UQ21+UU21+UY21</f>
        <v>84983.9</v>
      </c>
      <c r="VD21" s="574">
        <f t="shared" si="774"/>
        <v>65744.012799999997</v>
      </c>
      <c r="VE21" s="710">
        <f t="shared" si="775"/>
        <v>61669.49</v>
      </c>
      <c r="VF21" s="1531">
        <f>VE21/VC21</f>
        <v>0.72566086046886535</v>
      </c>
      <c r="VG21" s="593">
        <v>13385.79</v>
      </c>
      <c r="VH21" s="593">
        <f>'Proy 2021 vs 2019 Sem'!IA20*$VJ$4</f>
        <v>6774.577464</v>
      </c>
      <c r="VI21" s="735">
        <v>4876.51</v>
      </c>
      <c r="VJ21" s="700">
        <f t="shared" si="777"/>
        <v>0.36430498312015952</v>
      </c>
      <c r="VK21" s="593">
        <v>6525.35</v>
      </c>
      <c r="VL21" s="593">
        <f>'Proy 2021 vs 2019 Sem'!IA20*$VN$4</f>
        <v>6774.577464</v>
      </c>
      <c r="VM21" s="735">
        <v>9859.19</v>
      </c>
      <c r="VN21" s="700">
        <f t="shared" si="778"/>
        <v>1.5109059284176327</v>
      </c>
      <c r="VO21" s="593">
        <v>8447.2199999999993</v>
      </c>
      <c r="VP21" s="593">
        <f>'Proy 2021 vs 2019 Sem'!IA20*$VR$4</f>
        <v>6774.577464</v>
      </c>
      <c r="VQ21" s="735">
        <v>8955</v>
      </c>
      <c r="VR21" s="700">
        <f t="shared" si="779"/>
        <v>1.0601120842123208</v>
      </c>
      <c r="VS21" s="593">
        <v>9680.4599999999991</v>
      </c>
      <c r="VT21" s="593">
        <f>'Proy 2021 vs 2019 Sem'!IA20*$VV$4</f>
        <v>6774.577464</v>
      </c>
      <c r="VU21" s="735">
        <v>8103.92</v>
      </c>
      <c r="VV21" s="700">
        <f t="shared" si="780"/>
        <v>0.83714203663875486</v>
      </c>
      <c r="VW21" s="593">
        <v>9184.0400000000009</v>
      </c>
      <c r="VX21" s="593">
        <f>'Proy 2021 vs 2019 Sem'!IA20*$VZ$4</f>
        <v>7903.6737080000012</v>
      </c>
      <c r="VY21" s="735">
        <v>8130.98</v>
      </c>
      <c r="VZ21" s="700">
        <f t="shared" si="781"/>
        <v>0.88533804295277452</v>
      </c>
      <c r="WA21" s="593">
        <v>10452.67</v>
      </c>
      <c r="WB21" s="593">
        <f>'Proy 2021 vs 2019 Sem'!IA20*$WD$4</f>
        <v>9032.7699520000006</v>
      </c>
      <c r="WC21" s="735">
        <v>10743.24</v>
      </c>
      <c r="WD21" s="700">
        <f t="shared" si="782"/>
        <v>1.0277986390080238</v>
      </c>
      <c r="WE21" s="593">
        <v>18328.919999999998</v>
      </c>
      <c r="WF21" s="593">
        <f>'Proy 2021 vs 2019 Sem'!IA20*$WH$4</f>
        <v>12420.058684</v>
      </c>
      <c r="WG21" s="735">
        <v>21371.03</v>
      </c>
      <c r="WH21" s="1538">
        <f t="shared" si="783"/>
        <v>1.1659732270095566</v>
      </c>
      <c r="WI21" s="574">
        <f t="shared" si="784"/>
        <v>38038.82</v>
      </c>
      <c r="WJ21" s="575">
        <f t="shared" si="785"/>
        <v>56454.8122</v>
      </c>
      <c r="WK21" s="793">
        <f t="shared" si="786"/>
        <v>72039.87</v>
      </c>
      <c r="WL21" s="786">
        <f t="shared" si="787"/>
        <v>1.8938513339793399</v>
      </c>
      <c r="WM21" s="593">
        <v>10710.08</v>
      </c>
      <c r="WN21" s="593">
        <f>'Proy 2021 vs 2019 Sem'!IF20*$WP$4</f>
        <v>7730.574732</v>
      </c>
      <c r="WO21" s="735">
        <v>10388.61</v>
      </c>
      <c r="WP21" s="700">
        <f t="shared" si="788"/>
        <v>0.96998435119065407</v>
      </c>
      <c r="WQ21" s="593">
        <v>10667.36</v>
      </c>
      <c r="WR21" s="593">
        <f>'Proy 2021 vs 2019 Sem'!IF20*$WT$4</f>
        <v>7730.574732</v>
      </c>
      <c r="WS21" s="735">
        <v>9435.0400000000009</v>
      </c>
      <c r="WT21" s="700">
        <f t="shared" si="789"/>
        <v>0.88447750896191746</v>
      </c>
      <c r="WU21" s="593">
        <v>10233.35</v>
      </c>
      <c r="WV21" s="593">
        <f>'Proy 2021 vs 2019 Sem'!IF20*$WX$4</f>
        <v>7730.574732</v>
      </c>
      <c r="WW21" s="735">
        <v>8658.39</v>
      </c>
      <c r="WX21" s="700">
        <f t="shared" si="790"/>
        <v>0.84609536466552981</v>
      </c>
      <c r="WY21" s="593">
        <v>9491.4</v>
      </c>
      <c r="WZ21" s="593">
        <f>'Proy 2021 vs 2019 Sem'!IF20*$XB$4</f>
        <v>7730.574732</v>
      </c>
      <c r="XA21" s="735">
        <v>7385.24</v>
      </c>
      <c r="XB21" s="700">
        <f t="shared" si="791"/>
        <v>0.77809806772446632</v>
      </c>
      <c r="XC21" s="593">
        <v>10561.98</v>
      </c>
      <c r="XD21" s="1547">
        <f>'Proy 2021 vs 2019 Sem'!IF20*$XF$4</f>
        <v>9019.0038540000005</v>
      </c>
      <c r="XE21" s="735">
        <v>7231.37</v>
      </c>
      <c r="XF21" s="700">
        <f t="shared" si="792"/>
        <v>0.6846604519228402</v>
      </c>
      <c r="XG21" s="593">
        <v>13288.15</v>
      </c>
      <c r="XH21" s="593">
        <f>'Proy 2021 vs 2019 Sem'!IF20*$XJ$4</f>
        <v>10307.432976</v>
      </c>
      <c r="XI21" s="735">
        <v>12661.46</v>
      </c>
      <c r="XJ21" s="700">
        <f t="shared" si="793"/>
        <v>0.9528384312338436</v>
      </c>
      <c r="XK21" s="593">
        <v>22605.98</v>
      </c>
      <c r="XL21" s="593">
        <f>'Proy 2021 vs 2019 Sem'!IF20*$XN$4</f>
        <v>14172.720342000001</v>
      </c>
      <c r="XM21" s="735">
        <v>23343.57</v>
      </c>
      <c r="XN21" s="700">
        <f t="shared" si="794"/>
        <v>1.0326280922127684</v>
      </c>
      <c r="XO21" s="579">
        <f t="shared" si="795"/>
        <v>87558.3</v>
      </c>
      <c r="XP21" s="574">
        <f t="shared" si="796"/>
        <v>64421.456099999996</v>
      </c>
      <c r="XQ21" s="794">
        <f t="shared" si="797"/>
        <v>79103.679999999993</v>
      </c>
      <c r="XR21" s="786">
        <f t="shared" si="798"/>
        <v>0.90344010790524698</v>
      </c>
      <c r="XS21" s="593">
        <v>15773.45</v>
      </c>
      <c r="XT21" s="593">
        <f>'Proy 2021 vs 2019 Sem'!IK20*$XV$4</f>
        <v>8408.6254079999999</v>
      </c>
      <c r="XU21" s="735">
        <v>6007.64</v>
      </c>
      <c r="XV21" s="700">
        <f t="shared" si="799"/>
        <v>0.38087038663069905</v>
      </c>
      <c r="XW21" s="593">
        <v>7419.82</v>
      </c>
      <c r="XX21" s="593">
        <f>'Proy 2021 vs 2019 Sem'!IK20*$XZ$4</f>
        <v>8408.6254079999999</v>
      </c>
      <c r="XY21" s="735">
        <v>8332.17</v>
      </c>
      <c r="XZ21" s="700">
        <f t="shared" si="800"/>
        <v>1.1229612039106069</v>
      </c>
      <c r="YA21" s="593">
        <v>10244.219999999999</v>
      </c>
      <c r="YB21" s="593">
        <f>'Proy 2021 vs 2019 Sem'!IK20*$YD$4</f>
        <v>8408.6254079999999</v>
      </c>
      <c r="YC21" s="735">
        <v>7617.83</v>
      </c>
      <c r="YD21" s="700">
        <f t="shared" si="801"/>
        <v>0.74362225723383535</v>
      </c>
      <c r="YE21" s="593">
        <v>11330.51</v>
      </c>
      <c r="YF21" s="593">
        <f>'Proy 2021 vs 2019 Sem'!IK20*$YH$4</f>
        <v>8408.6254079999999</v>
      </c>
      <c r="YG21" s="735">
        <v>8112.25</v>
      </c>
      <c r="YH21" s="700">
        <f t="shared" si="802"/>
        <v>0.7159651242530124</v>
      </c>
      <c r="YI21" s="593">
        <v>11498.22</v>
      </c>
      <c r="YJ21" s="593">
        <f>'Proy 2021 vs 2019 Sem'!IK20*$YL$4</f>
        <v>9810.0629760000011</v>
      </c>
      <c r="YK21" s="735">
        <v>7912.43</v>
      </c>
      <c r="YL21" s="700">
        <f t="shared" si="803"/>
        <v>0.68814390401296899</v>
      </c>
      <c r="YM21" s="593">
        <v>11124.99</v>
      </c>
      <c r="YN21" s="593">
        <f>'Proy 2021 vs 2019 Sem'!IK20*$YP$4</f>
        <v>11211.500544</v>
      </c>
      <c r="YO21" s="735">
        <v>14299.34</v>
      </c>
      <c r="YP21" s="700">
        <f t="shared" si="804"/>
        <v>1.2853350879416521</v>
      </c>
      <c r="YQ21" s="593">
        <v>23714.74</v>
      </c>
      <c r="YR21" s="593">
        <f>'Proy 2021 vs 2019 Sem'!IK20*$YT$4</f>
        <v>15415.813248</v>
      </c>
      <c r="YS21" s="735">
        <v>23398.93</v>
      </c>
      <c r="YT21" s="700">
        <f t="shared" si="805"/>
        <v>0.9866829659528209</v>
      </c>
      <c r="YU21" s="579">
        <f t="shared" si="806"/>
        <v>91105.950000000012</v>
      </c>
      <c r="YV21" s="574">
        <f t="shared" si="807"/>
        <v>70071.878400000001</v>
      </c>
      <c r="YW21" s="794">
        <f t="shared" si="808"/>
        <v>75680.59</v>
      </c>
      <c r="YX21" s="786">
        <f t="shared" si="809"/>
        <v>0.83068767736904103</v>
      </c>
      <c r="YY21" s="593">
        <v>16382.77</v>
      </c>
      <c r="YZ21" s="593">
        <f>'Proy 2021 vs 2019 Sem'!IP20*$ZB$4</f>
        <v>12310.745063999999</v>
      </c>
      <c r="ZA21" s="735">
        <v>7778.95</v>
      </c>
      <c r="ZB21" s="700">
        <f t="shared" si="810"/>
        <v>0.47482507536881735</v>
      </c>
      <c r="ZC21" s="593">
        <v>13053.11</v>
      </c>
      <c r="ZD21" s="593">
        <f>'Proy 2021 vs 2019 Sem'!IP20*$ZF$4</f>
        <v>12310.745063999999</v>
      </c>
      <c r="ZE21" s="735">
        <v>12017.94</v>
      </c>
      <c r="ZF21" s="700">
        <f t="shared" si="811"/>
        <v>0.92069552773247143</v>
      </c>
      <c r="ZG21" s="593">
        <v>13132.14</v>
      </c>
      <c r="ZH21" s="593">
        <f>'Proy 2021 vs 2019 Sem'!IP20*$ZJ$4</f>
        <v>12310.745063999999</v>
      </c>
      <c r="ZI21" s="735">
        <v>14851.77</v>
      </c>
      <c r="ZJ21" s="700">
        <f t="shared" si="812"/>
        <v>1.1309481927545701</v>
      </c>
      <c r="ZK21" s="593">
        <v>19618.46</v>
      </c>
      <c r="ZL21" s="593">
        <f>'Proy 2021 vs 2019 Sem'!IP20*$ZN$4</f>
        <v>12310.745063999999</v>
      </c>
      <c r="ZM21" s="735">
        <v>11864.54</v>
      </c>
      <c r="ZN21" s="700">
        <f t="shared" si="813"/>
        <v>0.60476408443883978</v>
      </c>
      <c r="ZO21" s="593">
        <v>28474.400000000001</v>
      </c>
      <c r="ZP21" s="593">
        <f>'Proy 2021 vs 2019 Sem'!IP20*$ZR$4</f>
        <v>14362.535908000002</v>
      </c>
      <c r="ZQ21" s="735">
        <v>14650.31</v>
      </c>
      <c r="ZR21" s="700">
        <f t="shared" si="814"/>
        <v>0.5145081195740735</v>
      </c>
      <c r="ZS21" s="593">
        <v>15022.63</v>
      </c>
      <c r="ZT21" s="593">
        <f>'Proy 2021 vs 2019 Sem'!IP20*$ZV$4</f>
        <v>16414.326752000001</v>
      </c>
      <c r="ZU21" s="735">
        <v>22105.51</v>
      </c>
      <c r="ZV21" s="700">
        <f t="shared" si="815"/>
        <v>1.4714806927948036</v>
      </c>
      <c r="ZW21" s="593">
        <v>22994.46</v>
      </c>
      <c r="ZX21" s="593">
        <f>'Proy 2021 vs 2019 Sem'!IP20*$ZZ$4</f>
        <v>22569.699283999998</v>
      </c>
      <c r="ZY21" s="735">
        <v>35070.449999999997</v>
      </c>
      <c r="ZZ21" s="700">
        <f t="shared" si="816"/>
        <v>1.5251695408372277</v>
      </c>
      <c r="AAA21" s="579">
        <f t="shared" si="817"/>
        <v>128677.97</v>
      </c>
      <c r="AAB21" s="574">
        <f t="shared" si="818"/>
        <v>102589.5422</v>
      </c>
      <c r="AAC21" s="785">
        <f t="shared" si="819"/>
        <v>118339.47</v>
      </c>
      <c r="AAD21" s="786">
        <f t="shared" si="820"/>
        <v>0.91965602192822904</v>
      </c>
      <c r="AAE21" s="593">
        <v>12663.91</v>
      </c>
      <c r="AAF21" s="593">
        <f>'Proy 2021 vs 2019 Sem'!IY20*$AAH$4</f>
        <v>7186.7299200000007</v>
      </c>
      <c r="AAG21" s="735">
        <v>16548.259999999998</v>
      </c>
      <c r="AAH21" s="700">
        <f t="shared" si="821"/>
        <v>1.3067259637821178</v>
      </c>
      <c r="AAI21" s="593">
        <v>7657.61</v>
      </c>
      <c r="AAJ21" s="593">
        <f>'Proy 2021 vs 2019 Sem'!IY20*$AAL$4</f>
        <v>7186.7299200000007</v>
      </c>
      <c r="AAK21" s="735">
        <v>12042.97</v>
      </c>
      <c r="AAL21" s="700">
        <f t="shared" si="822"/>
        <v>1.5726799876201583</v>
      </c>
      <c r="AAM21" s="593">
        <v>10626.37</v>
      </c>
      <c r="AAN21" s="593">
        <f>'Proy 2021 vs 2019 Sem'!IY20*$AAP$4</f>
        <v>7186.7299200000007</v>
      </c>
      <c r="AAO21" s="735">
        <v>9348.2900000000009</v>
      </c>
      <c r="AAP21" s="700">
        <f t="shared" si="823"/>
        <v>0.87972562596634596</v>
      </c>
      <c r="AAQ21" s="593">
        <v>5448.14</v>
      </c>
      <c r="AAR21" s="593">
        <f>'Proy 2021 vs 2019 Sem'!IY20*$AAT$4</f>
        <v>7186.7299200000007</v>
      </c>
      <c r="AAS21" s="735">
        <v>9963.44</v>
      </c>
      <c r="AAT21" s="700">
        <f t="shared" si="824"/>
        <v>1.828778261938937</v>
      </c>
      <c r="AAU21" s="593">
        <v>9842.14</v>
      </c>
      <c r="AAV21" s="593">
        <f>'Proy 2021 vs 2019 Sem'!IY20*$AAX$4</f>
        <v>8384.5182400000012</v>
      </c>
      <c r="AAW21" s="735">
        <v>9263.19</v>
      </c>
      <c r="AAX21" s="700">
        <f t="shared" si="825"/>
        <v>0.94117641082122394</v>
      </c>
      <c r="AAY21" s="593">
        <v>8833.58</v>
      </c>
      <c r="AAZ21" s="593">
        <f>'Proy 2021 vs 2019 Sem'!IY20*$ABB$4</f>
        <v>9582.3065600000009</v>
      </c>
      <c r="ABA21" s="735">
        <v>10945.47</v>
      </c>
      <c r="ABB21" s="700">
        <f t="shared" si="826"/>
        <v>1.2390752107299645</v>
      </c>
      <c r="ABC21" s="593">
        <v>19368.099999999999</v>
      </c>
      <c r="ABD21" s="593">
        <f>'Proy 2021 vs 2019 Sem'!IY20*$ABF$4</f>
        <v>13175.671520000002</v>
      </c>
      <c r="ABE21" s="735">
        <v>19370.439999999999</v>
      </c>
      <c r="ABF21" s="700">
        <f t="shared" si="827"/>
        <v>1.000120817220068</v>
      </c>
      <c r="ABG21" s="579">
        <f t="shared" si="828"/>
        <v>74439.850000000006</v>
      </c>
      <c r="ABH21" s="574">
        <f t="shared" si="829"/>
        <v>59889.416000000012</v>
      </c>
      <c r="ABI21" s="759">
        <f t="shared" si="830"/>
        <v>87482.06</v>
      </c>
      <c r="ABJ21" s="761">
        <f t="shared" si="831"/>
        <v>1.1752046786768107</v>
      </c>
      <c r="ABK21" s="593">
        <v>13941.24</v>
      </c>
      <c r="ABL21" s="593">
        <f>'Proy 2021 vs 2019 Sem'!JD20*$ABN$4</f>
        <v>11610.458064</v>
      </c>
      <c r="ABM21" s="735">
        <v>8810.76</v>
      </c>
      <c r="ABN21" s="700">
        <f t="shared" si="832"/>
        <v>0.63199256307186447</v>
      </c>
      <c r="ABO21" s="593">
        <v>12237.46</v>
      </c>
      <c r="ABP21" s="593">
        <f>'Proy 2021 vs 2019 Sem'!JD20*$ABR$4</f>
        <v>11610.458064</v>
      </c>
      <c r="ABQ21" s="735">
        <v>6269.75</v>
      </c>
      <c r="ABR21" s="700">
        <f t="shared" si="833"/>
        <v>0.5123407962109785</v>
      </c>
      <c r="ABS21" s="593">
        <v>10537.88</v>
      </c>
      <c r="ABT21" s="593">
        <f>'Proy 2021 vs 2019 Sem'!JD20*$ABV$4</f>
        <v>11610.458064</v>
      </c>
      <c r="ABU21" s="735">
        <v>6809.51</v>
      </c>
      <c r="ABV21" s="700">
        <f t="shared" si="834"/>
        <v>0.6461935417750061</v>
      </c>
      <c r="ABW21" s="593">
        <v>7824.88</v>
      </c>
      <c r="ABX21" s="593">
        <f>'Proy 2021 vs 2019 Sem'!JD20*$ABZ$4</f>
        <v>11610.458064</v>
      </c>
      <c r="ABY21" s="735">
        <v>6588.26</v>
      </c>
      <c r="ABZ21" s="700">
        <f t="shared" si="835"/>
        <v>0.84196307163815931</v>
      </c>
      <c r="ACA21" s="593">
        <v>13099.47</v>
      </c>
      <c r="ACB21" s="593">
        <f>'Proy 2021 vs 2019 Sem'!JD20*$ACD$4</f>
        <v>13545.534408000001</v>
      </c>
      <c r="ACC21" s="735">
        <v>10939.33</v>
      </c>
      <c r="ACD21" s="700">
        <f t="shared" si="836"/>
        <v>0.8350971451516741</v>
      </c>
      <c r="ACE21" s="593">
        <v>24219.45</v>
      </c>
      <c r="ACF21" s="593">
        <f>'Proy 2021 vs 2019 Sem'!JD20*$ACH$4</f>
        <v>15480.610752000001</v>
      </c>
      <c r="ACG21" s="735">
        <v>12658.64</v>
      </c>
      <c r="ACH21" s="700">
        <f t="shared" si="837"/>
        <v>0.52266422235021848</v>
      </c>
      <c r="ACI21" s="593">
        <v>33301.06</v>
      </c>
      <c r="ACJ21" s="593">
        <f>'Proy 2021 vs 2019 Sem'!JD20*$ACL$4</f>
        <v>21285.839784</v>
      </c>
      <c r="ACK21" s="735">
        <v>27489.040000000001</v>
      </c>
      <c r="ACL21" s="700">
        <f t="shared" si="838"/>
        <v>0.82547042046109054</v>
      </c>
      <c r="ACM21" s="579">
        <f t="shared" si="839"/>
        <v>115161.43999999999</v>
      </c>
      <c r="ACN21" s="574">
        <f t="shared" si="840"/>
        <v>96753.817200000005</v>
      </c>
      <c r="ACO21" s="765">
        <f t="shared" si="841"/>
        <v>79565.290000000008</v>
      </c>
      <c r="ACP21" s="761">
        <f t="shared" si="842"/>
        <v>0.69090218045206808</v>
      </c>
      <c r="ACQ21" s="593">
        <v>20851.78</v>
      </c>
      <c r="ACR21" s="593">
        <f>'Proy 2021 vs 2019 Sem'!JI20*$ACT$4</f>
        <v>12028.096199999998</v>
      </c>
      <c r="ACS21" s="735">
        <v>11448.27</v>
      </c>
      <c r="ACT21" s="700">
        <f t="shared" si="843"/>
        <v>0.54903082614529797</v>
      </c>
      <c r="ACU21" s="593">
        <v>18914.439999999999</v>
      </c>
      <c r="ACV21" s="593">
        <f>'Proy 2021 vs 2019 Sem'!JI20*$ACX$4</f>
        <v>12028.096199999998</v>
      </c>
      <c r="ACW21" s="735">
        <v>15082.2</v>
      </c>
      <c r="ACX21" s="700">
        <f t="shared" si="844"/>
        <v>0.79739077657070478</v>
      </c>
      <c r="ACY21" s="593">
        <v>12298.96</v>
      </c>
      <c r="ACZ21" s="593">
        <f>'Proy 2021 vs 2019 Sem'!JI20*$ADB$4</f>
        <v>12028.096199999998</v>
      </c>
      <c r="ADA21" s="735">
        <v>9999.74</v>
      </c>
      <c r="ADB21" s="700">
        <f t="shared" si="845"/>
        <v>0.81305573804614373</v>
      </c>
      <c r="ADC21" s="593">
        <v>11751.72</v>
      </c>
      <c r="ADD21" s="593">
        <f>'Proy 2021 vs 2019 Sem'!JI20*$ADF$4</f>
        <v>12028.096199999998</v>
      </c>
      <c r="ADE21" s="735">
        <v>11899.15</v>
      </c>
      <c r="ADF21" s="700">
        <f t="shared" si="846"/>
        <v>1.0125453976098817</v>
      </c>
      <c r="ADG21" s="593">
        <v>18406.93</v>
      </c>
      <c r="ADH21" s="593">
        <f>'Proy 2021 vs 2019 Sem'!JI20*$ADJ$4</f>
        <v>14032.778900000001</v>
      </c>
      <c r="ADI21" s="735">
        <v>11782.77</v>
      </c>
      <c r="ADJ21" s="700">
        <f t="shared" si="847"/>
        <v>0.64012684353121352</v>
      </c>
      <c r="ADK21" s="593">
        <v>16799.89</v>
      </c>
      <c r="ADL21" s="593">
        <f>'Proy 2021 vs 2019 Sem'!JI20*$ADN$4</f>
        <v>16037.461599999999</v>
      </c>
      <c r="ADM21" s="735">
        <v>14245.2</v>
      </c>
      <c r="ADN21" s="700">
        <f t="shared" si="848"/>
        <v>0.84793412337818885</v>
      </c>
      <c r="ADO21" s="593">
        <v>22531.14</v>
      </c>
      <c r="ADP21" s="593">
        <f>'Proy 2021 vs 2019 Sem'!JI20*$ADR$4</f>
        <v>22051.509699999999</v>
      </c>
      <c r="ADQ21" s="735">
        <v>23050.720000000001</v>
      </c>
      <c r="ADR21" s="700">
        <f t="shared" si="849"/>
        <v>1.0230605286727614</v>
      </c>
      <c r="ADS21" s="579">
        <f t="shared" si="850"/>
        <v>121554.86</v>
      </c>
      <c r="ADT21" s="574">
        <f t="shared" si="851"/>
        <v>100234.13499999998</v>
      </c>
      <c r="ADU21" s="765">
        <f t="shared" si="852"/>
        <v>97508.05</v>
      </c>
      <c r="ADV21" s="761">
        <f t="shared" si="853"/>
        <v>0.80217319159431388</v>
      </c>
      <c r="ADW21" s="593">
        <v>26094.880000000001</v>
      </c>
      <c r="ADX21" s="593">
        <f>'Proy 2021 vs 2019 Sem'!JN20*$ADZ$4</f>
        <v>16167.657263999999</v>
      </c>
      <c r="ADY21" s="735">
        <v>13451.26</v>
      </c>
      <c r="ADZ21" s="700">
        <f t="shared" si="854"/>
        <v>0.51547506637317353</v>
      </c>
      <c r="AEA21" s="593">
        <v>17521.5</v>
      </c>
      <c r="AEB21" s="593">
        <f>'Proy 2021 vs 2019 Sem'!JN20*$AED$4</f>
        <v>16167.657263999999</v>
      </c>
      <c r="AEC21" s="735">
        <v>12231</v>
      </c>
      <c r="AED21" s="700">
        <f t="shared" si="855"/>
        <v>0.69805667323003162</v>
      </c>
      <c r="AEE21" s="593">
        <v>15539.57</v>
      </c>
      <c r="AEF21" s="593">
        <f>'Proy 2021 vs 2019 Sem'!JN20*$AEH$4</f>
        <v>16167.657263999999</v>
      </c>
      <c r="AEG21" s="735">
        <v>11597</v>
      </c>
      <c r="AEH21" s="700">
        <f t="shared" si="856"/>
        <v>0.74628834646003717</v>
      </c>
      <c r="AEI21" s="593">
        <v>20508.71</v>
      </c>
      <c r="AEJ21" s="593">
        <f>'Proy 2021 vs 2019 Sem'!JN20*$AEL$4</f>
        <v>16167.657263999999</v>
      </c>
      <c r="AEK21" s="735">
        <v>11138</v>
      </c>
      <c r="AEL21" s="700">
        <f t="shared" si="857"/>
        <v>0.54308632771149434</v>
      </c>
      <c r="AEM21" s="593">
        <v>25122</v>
      </c>
      <c r="AEN21" s="593">
        <f>'Proy 2021 vs 2019 Sem'!JN20*$AEP$4</f>
        <v>18862.266808</v>
      </c>
      <c r="AEO21" s="735">
        <v>13116</v>
      </c>
      <c r="AEP21" s="700">
        <f t="shared" si="858"/>
        <v>0.52209219011225216</v>
      </c>
      <c r="AEQ21" s="593">
        <v>20947.23</v>
      </c>
      <c r="AER21" s="593">
        <f>'Proy 2021 vs 2019 Sem'!JN20*$AET$4</f>
        <v>21556.876351999999</v>
      </c>
      <c r="AES21" s="735">
        <v>11437</v>
      </c>
      <c r="AET21" s="700">
        <f t="shared" si="859"/>
        <v>0.54599104511670515</v>
      </c>
      <c r="AEU21" s="593">
        <v>33835.019999999997</v>
      </c>
      <c r="AEV21" s="593">
        <f>'Proy 2021 vs 2019 Sem'!JN20*$AEX$4</f>
        <v>29640.704984</v>
      </c>
      <c r="AEW21" s="735">
        <v>32272</v>
      </c>
      <c r="AEX21" s="700">
        <f t="shared" si="860"/>
        <v>0.95380466747174975</v>
      </c>
      <c r="AEY21" s="579">
        <f t="shared" si="861"/>
        <v>159568.91</v>
      </c>
      <c r="AEZ21" s="574">
        <f t="shared" si="862"/>
        <v>134730.47719999999</v>
      </c>
      <c r="AFA21" s="770">
        <f t="shared" si="863"/>
        <v>105242.26000000001</v>
      </c>
      <c r="AFB21" s="761">
        <f t="shared" si="864"/>
        <v>0.65954113492409017</v>
      </c>
      <c r="AFC21" s="593">
        <v>28494.36</v>
      </c>
      <c r="AFD21" s="593">
        <f>'Proy 2021 vs 2019 Sem'!JX20*$AFF$4</f>
        <v>15474.037499999999</v>
      </c>
      <c r="AFE21" s="735">
        <v>12928</v>
      </c>
      <c r="AFF21" s="700">
        <f t="shared" si="865"/>
        <v>0.45370382068591819</v>
      </c>
      <c r="AFG21" s="593">
        <v>14078.83</v>
      </c>
      <c r="AFH21" s="593">
        <f>'Proy 2021 vs 2019 Sem'!JX20*$AFJ$4</f>
        <v>15474.037499999999</v>
      </c>
      <c r="AFI21" s="735">
        <v>16461.97</v>
      </c>
      <c r="AFJ21" s="700">
        <f t="shared" si="866"/>
        <v>1.1692711681297381</v>
      </c>
      <c r="AFK21" s="593">
        <v>17967.91</v>
      </c>
      <c r="AFL21" s="593">
        <f>'Proy 2021 vs 2019 Sem'!JX20*$AFN$4</f>
        <v>15474.037499999999</v>
      </c>
      <c r="AFM21" s="735">
        <v>18090.53</v>
      </c>
      <c r="AFN21" s="700">
        <f t="shared" si="867"/>
        <v>1.0068243885905483</v>
      </c>
      <c r="AFO21" s="593">
        <v>18937.810000000001</v>
      </c>
      <c r="AFP21" s="593">
        <f>'Proy 2021 vs 2019 Sem'!JX20*$AFR$4</f>
        <v>15474.037499999999</v>
      </c>
      <c r="AFQ21" s="735">
        <v>15099.01</v>
      </c>
      <c r="AFR21" s="700">
        <f t="shared" si="868"/>
        <v>0.79729440732587342</v>
      </c>
      <c r="AFS21" s="593">
        <v>24595</v>
      </c>
      <c r="AFT21" s="593">
        <f>'Proy 2021 vs 2019 Sem'!JX20*$AFV$4</f>
        <v>18053.043750000001</v>
      </c>
      <c r="AFU21" s="735">
        <v>21290.32</v>
      </c>
      <c r="AFV21" s="700">
        <f t="shared" si="869"/>
        <v>0.86563610489936982</v>
      </c>
      <c r="AFW21" s="593">
        <v>28233.03</v>
      </c>
      <c r="AFX21" s="593">
        <f>'Proy 2021 vs 2019 Sem'!JX20*$AFZ$4</f>
        <v>20632.05</v>
      </c>
      <c r="AFY21" s="735">
        <v>22186.19</v>
      </c>
      <c r="AFZ21" s="700">
        <f t="shared" si="870"/>
        <v>0.78582390908804334</v>
      </c>
      <c r="AGA21" s="593">
        <v>40054.410000000003</v>
      </c>
      <c r="AGB21" s="593">
        <f>'Proy 2021 vs 2019 Sem'!JX20*$AGD$4</f>
        <v>28369.068749999999</v>
      </c>
      <c r="AGC21" s="735">
        <v>29674.87</v>
      </c>
      <c r="AGD21" s="700">
        <f t="shared" si="871"/>
        <v>0.74086398975793166</v>
      </c>
      <c r="AGE21" s="579">
        <f t="shared" si="872"/>
        <v>172361.35</v>
      </c>
      <c r="AGF21" s="574">
        <f t="shared" si="873"/>
        <v>128950.3125</v>
      </c>
      <c r="AGG21" s="729">
        <f t="shared" si="874"/>
        <v>135730.89000000001</v>
      </c>
      <c r="AGH21" s="711">
        <f t="shared" si="875"/>
        <v>0.78747868939295274</v>
      </c>
      <c r="AGI21" s="593">
        <v>26849.84</v>
      </c>
      <c r="AGJ21" s="593">
        <f>'Proy 2021 vs 2019 Sem'!KC20*$AGL$4</f>
        <v>19032.906599999998</v>
      </c>
      <c r="AGK21" s="735">
        <v>14757.54</v>
      </c>
      <c r="AGL21" s="700">
        <f t="shared" si="876"/>
        <v>0.54963232555575758</v>
      </c>
      <c r="AGM21" s="593">
        <v>17158.28</v>
      </c>
      <c r="AGN21" s="593">
        <f>'Proy 2021 vs 2019 Sem'!KC20*$AGP$4</f>
        <v>19032.906599999998</v>
      </c>
      <c r="AGO21" s="735">
        <v>16535.740000000002</v>
      </c>
      <c r="AGP21" s="700">
        <f t="shared" si="877"/>
        <v>0.96371780854491262</v>
      </c>
      <c r="AGQ21" s="593">
        <v>24228.29</v>
      </c>
      <c r="AGR21" s="593">
        <f>'Proy 2021 vs 2019 Sem'!KC20*$AGT$4</f>
        <v>19032.906599999998</v>
      </c>
      <c r="AGS21" s="735">
        <v>13344.93</v>
      </c>
      <c r="AGT21" s="700">
        <f t="shared" si="878"/>
        <v>0.55079949926305161</v>
      </c>
      <c r="AGU21" s="593">
        <v>24057.040000000001</v>
      </c>
      <c r="AGV21" s="593">
        <f>'Proy 2021 vs 2019 Sem'!KC20*$AGX$4</f>
        <v>19032.906599999998</v>
      </c>
      <c r="AGW21" s="735">
        <v>12481.66</v>
      </c>
      <c r="AGX21" s="700">
        <f t="shared" si="879"/>
        <v>0.51883606628246859</v>
      </c>
      <c r="AGY21" s="593">
        <v>31831.45</v>
      </c>
      <c r="AGZ21" s="593">
        <f>'Proy 2021 vs 2019 Sem'!KC20*$AHB$4</f>
        <v>22205.057700000001</v>
      </c>
      <c r="AHA21" s="735">
        <v>22137.86</v>
      </c>
      <c r="AHB21" s="700">
        <f t="shared" si="880"/>
        <v>0.69547130275246649</v>
      </c>
      <c r="AHC21" s="593">
        <v>35884.76</v>
      </c>
      <c r="AHD21" s="593">
        <f>'Proy 2021 vs 2019 Sem'!KC20*$AHF$4</f>
        <v>25377.2088</v>
      </c>
      <c r="AHE21" s="735">
        <v>22820.44</v>
      </c>
      <c r="AHF21" s="700">
        <f t="shared" si="881"/>
        <v>0.6359368155172278</v>
      </c>
      <c r="AHG21" s="593">
        <v>46799.97</v>
      </c>
      <c r="AHH21" s="593">
        <f>'Proy 2021 vs 2019 Sem'!KC20*$AHJ$4</f>
        <v>34893.662100000001</v>
      </c>
      <c r="AHI21" s="735">
        <v>37155.660000000003</v>
      </c>
      <c r="AHJ21" s="700">
        <f t="shared" si="882"/>
        <v>0.79392486790055639</v>
      </c>
      <c r="AHK21" s="579">
        <f t="shared" si="883"/>
        <v>206809.63</v>
      </c>
      <c r="AHL21" s="574">
        <f t="shared" si="884"/>
        <v>158607.55499999999</v>
      </c>
      <c r="AHM21" s="730">
        <f t="shared" si="885"/>
        <v>139233.83000000002</v>
      </c>
      <c r="AHN21" s="711">
        <f t="shared" si="886"/>
        <v>0.67324635704826707</v>
      </c>
      <c r="AHO21" s="593">
        <v>40867.82</v>
      </c>
      <c r="AHP21" s="593">
        <f>'Proy 2021 vs 2019 Sem'!KH20*$AHR$4</f>
        <v>23238.918000000001</v>
      </c>
      <c r="AHQ21" s="735">
        <v>17233.22</v>
      </c>
      <c r="AHR21" s="700">
        <f t="shared" si="887"/>
        <v>0.42168190033136099</v>
      </c>
      <c r="AHS21" s="593">
        <v>29604.49</v>
      </c>
      <c r="AHT21" s="593">
        <f>'Proy 2021 vs 2019 Sem'!KH20*$AHV$4</f>
        <v>23238.918000000001</v>
      </c>
      <c r="AHU21" s="735">
        <v>18779.62</v>
      </c>
      <c r="AHV21" s="700">
        <f t="shared" si="888"/>
        <v>0.63435039752415923</v>
      </c>
      <c r="AHW21" s="593">
        <v>35494.629999999997</v>
      </c>
      <c r="AHX21" s="593">
        <f>'Proy 2021 vs 2019 Sem'!KH20*$AHZ$4</f>
        <v>23238.918000000001</v>
      </c>
      <c r="AHY21" s="735">
        <v>18150.87</v>
      </c>
      <c r="AHZ21" s="700">
        <f t="shared" si="889"/>
        <v>0.51136946631081936</v>
      </c>
      <c r="AIA21" s="593">
        <v>32640.15</v>
      </c>
      <c r="AIB21" s="593">
        <f>'Proy 2021 vs 2019 Sem'!KH20*$AID$4</f>
        <v>23238.918000000001</v>
      </c>
      <c r="AIC21" s="735">
        <v>22991.97</v>
      </c>
      <c r="AID21" s="700">
        <f t="shared" si="890"/>
        <v>0.70440760842091721</v>
      </c>
      <c r="AIE21" s="593">
        <v>28339.02</v>
      </c>
      <c r="AIF21" s="593">
        <f>'Proy 2021 vs 2019 Sem'!KH20*$AIH$4</f>
        <v>27112.071000000007</v>
      </c>
      <c r="AIG21" s="735">
        <v>27168.82</v>
      </c>
      <c r="AIH21" s="700">
        <f t="shared" si="891"/>
        <v>0.95870711125508223</v>
      </c>
      <c r="AII21" s="593">
        <v>38631.5</v>
      </c>
      <c r="AIJ21" s="593">
        <f>'Proy 2021 vs 2019 Sem'!KH20*$AIL$4</f>
        <v>30985.224000000006</v>
      </c>
      <c r="AIK21" s="735">
        <v>26510.84</v>
      </c>
      <c r="AIL21" s="700">
        <f t="shared" si="892"/>
        <v>0.6862493043241914</v>
      </c>
      <c r="AIM21" s="593">
        <v>49426.52</v>
      </c>
      <c r="AIN21" s="593">
        <f>'Proy 2021 vs 2019 Sem'!KH20*$AIP$4</f>
        <v>42604.683000000005</v>
      </c>
      <c r="AIO21" s="735">
        <v>37587.050000000003</v>
      </c>
      <c r="AIP21" s="700">
        <f t="shared" si="893"/>
        <v>0.76046320881988061</v>
      </c>
      <c r="AIQ21" s="579">
        <f t="shared" si="894"/>
        <v>255004.12999999998</v>
      </c>
      <c r="AIR21" s="574">
        <f t="shared" si="895"/>
        <v>193657.65000000002</v>
      </c>
      <c r="AIS21" s="730">
        <f t="shared" si="896"/>
        <v>168422.39</v>
      </c>
      <c r="AIT21" s="711">
        <f t="shared" si="897"/>
        <v>0.6604692637723163</v>
      </c>
      <c r="AIU21" s="593">
        <f>'Proy 2021 vs 2019 Sem'!KL20*$AIX$4</f>
        <v>27129.4692</v>
      </c>
      <c r="AIV21" s="593">
        <f>'Proy 2021 vs 2019 Sem'!KM20*$AIX$4</f>
        <v>34997.015267999996</v>
      </c>
      <c r="AIW21" s="735">
        <v>29980.69</v>
      </c>
      <c r="AIX21" s="700">
        <f t="shared" si="898"/>
        <v>1.1050968147950346</v>
      </c>
      <c r="AIY21" s="593">
        <f>'Proy 2021 vs 2019 Sem'!KL20*$AJB$4</f>
        <v>27129.4692</v>
      </c>
      <c r="AIZ21" s="593">
        <f>'Proy 2021 vs 2019 Sem'!KM20*$AJB$4</f>
        <v>34997.015267999996</v>
      </c>
      <c r="AJA21" s="735">
        <v>36822.199999999997</v>
      </c>
      <c r="AJB21" s="700">
        <f t="shared" si="899"/>
        <v>1.3572768316454933</v>
      </c>
      <c r="AJC21" s="593">
        <f>'Proy 2021 vs 2019 Sem'!KL20*$AJF$4</f>
        <v>27129.4692</v>
      </c>
      <c r="AJD21" s="593">
        <f>'Proy 2021 vs 2019 Sem'!KM20*$AJF$4</f>
        <v>34997.015267999996</v>
      </c>
      <c r="AJE21" s="735">
        <v>43388.01</v>
      </c>
      <c r="AJF21" s="700">
        <f t="shared" si="900"/>
        <v>1.5992944675821377</v>
      </c>
      <c r="AJG21" s="593">
        <f>'Proy 2021 vs 2019 Sem'!KL20*$AJJ$4</f>
        <v>27129.4692</v>
      </c>
      <c r="AJH21" s="593">
        <f>'Proy 2021 vs 2019 Sem'!KM20*$AJJ$4</f>
        <v>34997.015267999996</v>
      </c>
      <c r="AJI21" s="735">
        <v>47176.12</v>
      </c>
      <c r="AJJ21" s="700">
        <f t="shared" si="901"/>
        <v>1.7389252864556599</v>
      </c>
      <c r="AJK21" s="593">
        <f>'Proy 2021 vs 2019 Sem'!KL20*$AJN$4</f>
        <v>31651.047400000003</v>
      </c>
      <c r="AJL21" s="593">
        <f>'Proy 2021 vs 2019 Sem'!KM20*$AJN$4</f>
        <v>40829.851146000001</v>
      </c>
      <c r="AJM21" s="735">
        <v>75911.41</v>
      </c>
      <c r="AJN21" s="700">
        <f t="shared" si="902"/>
        <v>2.3983854006676566</v>
      </c>
      <c r="AJO21" s="593">
        <f>'Proy 2021 vs 2019 Sem'!KL20*$AJR$4</f>
        <v>36172.625599999999</v>
      </c>
      <c r="AJP21" s="593">
        <f>'Proy 2021 vs 2019 Sem'!KM20*$AJR$4</f>
        <v>46662.687023999999</v>
      </c>
      <c r="AJQ21" s="735">
        <v>93584.33</v>
      </c>
      <c r="AJR21" s="700">
        <f t="shared" si="903"/>
        <v>2.5871588928839051</v>
      </c>
      <c r="AJS21" s="593">
        <f>'Proy 2021 vs 2019 Sem'!KL20*$AJV$4</f>
        <v>49737.360200000003</v>
      </c>
      <c r="AJT21" s="593">
        <f>'Proy 2021 vs 2019 Sem'!KM20*$AJV$4</f>
        <v>64161.194658</v>
      </c>
      <c r="AJU21" s="699">
        <v>0</v>
      </c>
      <c r="AJV21" s="700">
        <f t="shared" si="904"/>
        <v>0</v>
      </c>
      <c r="AJW21" s="579">
        <f t="shared" si="905"/>
        <v>226078.91</v>
      </c>
      <c r="AJX21" s="574">
        <f t="shared" si="906"/>
        <v>291641.79389999999</v>
      </c>
      <c r="AJY21" s="710">
        <f t="shared" si="907"/>
        <v>326862.76</v>
      </c>
      <c r="AJZ21" s="711">
        <f t="shared" si="908"/>
        <v>1.4457905870122958</v>
      </c>
      <c r="AKA21" s="593">
        <f>'Proy 2021 vs 2019 Sem'!KQ20*$AKD$4</f>
        <v>9515.652</v>
      </c>
      <c r="AKB21" s="593">
        <f>'Proy 2021 vs 2019 Sem'!KR20*$AKD$4</f>
        <v>8278.6172399999996</v>
      </c>
      <c r="AKC21" s="735">
        <v>7699.41</v>
      </c>
      <c r="AKD21" s="700">
        <f t="shared" si="909"/>
        <v>0.8091311031550964</v>
      </c>
      <c r="AKE21" s="593">
        <f>'Proy 2021 vs 2019 Sem'!KQ20*$AKH$4</f>
        <v>9515.652</v>
      </c>
      <c r="AKF21" s="593">
        <f>'Proy 2021 vs 2019 Sem'!KR20*$AKH$4</f>
        <v>8278.6172399999996</v>
      </c>
      <c r="AKG21" s="735">
        <v>10494.65</v>
      </c>
      <c r="AKH21" s="700">
        <f t="shared" si="910"/>
        <v>1.1028829133305842</v>
      </c>
      <c r="AKI21" s="593">
        <f>'Proy 2021 vs 2019 Sem'!KQ20*$AKL$4</f>
        <v>9515.652</v>
      </c>
      <c r="AKJ21" s="593">
        <f>'Proy 2021 vs 2019 Sem'!KR20*$AKL$4</f>
        <v>8278.6172399999996</v>
      </c>
      <c r="AKK21" s="735">
        <v>11811.99</v>
      </c>
      <c r="AKL21" s="700">
        <f t="shared" si="911"/>
        <v>1.2413221921104303</v>
      </c>
      <c r="AKM21" s="593">
        <f>'Proy 2021 vs 2019 Sem'!KQ20*$AKP$4</f>
        <v>9515.652</v>
      </c>
      <c r="AKN21" s="593">
        <f>'Proy 2021 vs 2019 Sem'!KR20*$AKP$4</f>
        <v>8278.6172399999996</v>
      </c>
      <c r="AKO21" s="735">
        <v>13134.98</v>
      </c>
      <c r="AKP21" s="700">
        <f t="shared" si="912"/>
        <v>1.3803552294682486</v>
      </c>
      <c r="AKQ21" s="593">
        <f>'Proy 2021 vs 2019 Sem'!KQ20*$AKT$4</f>
        <v>11101.594000000003</v>
      </c>
      <c r="AKR21" s="593">
        <f>'Proy 2021 vs 2019 Sem'!KR20*$AKT$4</f>
        <v>9658.3867800000007</v>
      </c>
      <c r="AKS21" s="735">
        <v>15011.64</v>
      </c>
      <c r="AKT21" s="700">
        <f t="shared" si="913"/>
        <v>1.3522058183716676</v>
      </c>
      <c r="AKU21" s="593">
        <f>'Proy 2021 vs 2019 Sem'!KQ20*$AKX$4</f>
        <v>12687.536000000002</v>
      </c>
      <c r="AKV21" s="593">
        <f>'Proy 2021 vs 2019 Sem'!KR20*$AKX$4</f>
        <v>11038.15632</v>
      </c>
      <c r="AKW21" s="735">
        <v>18498.330000000002</v>
      </c>
      <c r="AKX21" s="700">
        <f t="shared" si="914"/>
        <v>1.4579923162385509</v>
      </c>
      <c r="AKY21" s="593">
        <f>'Proy 2021 vs 2019 Sem'!KQ20*$ALB$4</f>
        <v>17445.362000000001</v>
      </c>
      <c r="AKZ21" s="593">
        <f>'Proy 2021 vs 2019 Sem'!KR20*$ALB$4</f>
        <v>15177.46494</v>
      </c>
      <c r="ALA21" s="699">
        <v>0</v>
      </c>
      <c r="ALB21" s="700">
        <f>ALA21/AKY21</f>
        <v>0</v>
      </c>
      <c r="ALC21" s="579">
        <f t="shared" si="915"/>
        <v>79297.100000000006</v>
      </c>
      <c r="ALD21" s="574">
        <f t="shared" si="916"/>
        <v>68988.476999999999</v>
      </c>
      <c r="ALE21" s="710">
        <f t="shared" si="917"/>
        <v>76651</v>
      </c>
      <c r="ALF21" s="711">
        <f t="shared" si="918"/>
        <v>0.96663055773792472</v>
      </c>
    </row>
    <row r="22" spans="2:994" ht="19.5" customHeight="1">
      <c r="B22" s="570" t="s">
        <v>24</v>
      </c>
      <c r="C22" s="574">
        <f>'Proy 2021 vs 2019 Sem'!DX21*$F$4</f>
        <v>15836.893199999999</v>
      </c>
      <c r="D22" s="576">
        <f>'Proy 2021 vs 2019 Sem'!$DY$21*F4</f>
        <v>10983.087629451293</v>
      </c>
      <c r="E22" s="735">
        <v>15747.54</v>
      </c>
      <c r="F22" s="700">
        <f t="shared" si="580"/>
        <v>0.99435790853221151</v>
      </c>
      <c r="G22" s="574">
        <f>'Proy 2021 vs 2019 Sem'!DX21*$J$4</f>
        <v>15836.893199999999</v>
      </c>
      <c r="H22" s="574">
        <f>'Proy 2021 vs 2019 Sem'!$DY$21*J4</f>
        <v>10983.087629451293</v>
      </c>
      <c r="I22" s="735">
        <v>11074.68</v>
      </c>
      <c r="J22" s="700">
        <f t="shared" si="581"/>
        <v>0.6992962483323435</v>
      </c>
      <c r="K22" s="574">
        <f>'Proy 2021 vs 2019 Sem'!DX21*'Vtas Diarias 2021'!$N$4</f>
        <v>15836.893199999999</v>
      </c>
      <c r="L22" s="574">
        <f>'Proy 2021 vs 2019 Sem'!$DY$21*N4</f>
        <v>10983.087629451293</v>
      </c>
      <c r="M22" s="735">
        <v>11548.1</v>
      </c>
      <c r="N22" s="700">
        <f t="shared" si="582"/>
        <v>0.72918973779528939</v>
      </c>
      <c r="O22" s="574">
        <f>'Proy 2021 vs 2019 Sem'!DX21*$R$4</f>
        <v>15836.893199999999</v>
      </c>
      <c r="P22" s="574">
        <f>'Proy 2021 vs 2019 Sem'!$DY$21*R4</f>
        <v>10983.087629451293</v>
      </c>
      <c r="Q22" s="735">
        <v>11642.17</v>
      </c>
      <c r="R22" s="700">
        <f t="shared" si="583"/>
        <v>0.73512966545736391</v>
      </c>
      <c r="S22" s="574">
        <f>'Proy 2021 vs 2019 Sem'!DX21*$V$4</f>
        <v>18476.375400000001</v>
      </c>
      <c r="T22" s="574">
        <f>'Proy 2021 vs 2019 Sem'!$DY$21*V4</f>
        <v>12813.602234359843</v>
      </c>
      <c r="U22" s="735">
        <v>13222.65</v>
      </c>
      <c r="V22" s="700">
        <f t="shared" si="584"/>
        <v>0.71565172896411267</v>
      </c>
      <c r="W22" s="574">
        <f>'Proy 2021 vs 2019 Sem'!DX21*$Z$4</f>
        <v>21115.857599999999</v>
      </c>
      <c r="X22" s="574">
        <f>'Proy 2021 vs 2019 Sem'!$DY$21*Z4</f>
        <v>14644.116839268392</v>
      </c>
      <c r="Y22" s="735">
        <v>14980.68</v>
      </c>
      <c r="Z22" s="700">
        <f t="shared" si="585"/>
        <v>0.70945164926666304</v>
      </c>
      <c r="AA22" s="574">
        <f>'Proy 2021 vs 2019 Sem'!DX21*$AD$4</f>
        <v>29034.304199999999</v>
      </c>
      <c r="AB22" s="574">
        <f>'Proy 2021 vs 2019 Sem'!$DY$21*AD4</f>
        <v>20135.660653994037</v>
      </c>
      <c r="AC22" s="735">
        <v>22483.58</v>
      </c>
      <c r="AD22" s="700">
        <f t="shared" si="586"/>
        <v>0.77437984547947258</v>
      </c>
      <c r="AE22" s="579">
        <f t="shared" si="587"/>
        <v>131974.10999999999</v>
      </c>
      <c r="AF22" s="574">
        <f t="shared" si="588"/>
        <v>91525.730245427447</v>
      </c>
      <c r="AG22" s="729">
        <f t="shared" si="589"/>
        <v>100699.40000000001</v>
      </c>
      <c r="AH22" s="711">
        <f t="shared" si="590"/>
        <v>0.76302389915719093</v>
      </c>
      <c r="AI22" s="593">
        <f>'Proy 2021 vs 2019 Sem'!EC21*$AL$4</f>
        <v>16803.249599999999</v>
      </c>
      <c r="AJ22" s="611">
        <f>'Proy 2021 vs 2019 Sem'!ED21*$AL$4</f>
        <v>12821.281028303507</v>
      </c>
      <c r="AK22" s="735">
        <v>9940.69</v>
      </c>
      <c r="AL22" s="700">
        <f t="shared" si="591"/>
        <v>0.59159330704698931</v>
      </c>
      <c r="AM22" s="593">
        <f>'Proy 2021 vs 2019 Sem'!EC21*$AP$4</f>
        <v>16803.249599999999</v>
      </c>
      <c r="AN22" s="593">
        <f>'Proy 2021 vs 2019 Sem'!ED21*$AP$4</f>
        <v>12821.281028303507</v>
      </c>
      <c r="AO22" s="735">
        <v>12886.55</v>
      </c>
      <c r="AP22" s="700">
        <f t="shared" si="592"/>
        <v>0.76690820566040985</v>
      </c>
      <c r="AQ22" s="593">
        <f>'Proy 2021 vs 2019 Sem'!EC21*$AT$4</f>
        <v>16803.249599999999</v>
      </c>
      <c r="AR22" s="593">
        <f>'Proy 2021 vs 2019 Sem'!ED21*$AT$4</f>
        <v>12821.281028303507</v>
      </c>
      <c r="AS22" s="735">
        <v>12379.5</v>
      </c>
      <c r="AT22" s="700">
        <f t="shared" si="593"/>
        <v>0.73673249488598924</v>
      </c>
      <c r="AU22" s="593">
        <f>'Proy 2021 vs 2019 Sem'!EC21*$AX$4</f>
        <v>16803.249599999999</v>
      </c>
      <c r="AV22" s="593">
        <f>'Proy 2021 vs 2019 Sem'!ED21*$AX$4</f>
        <v>12821.281028303507</v>
      </c>
      <c r="AW22" s="735">
        <v>7944.29</v>
      </c>
      <c r="AX22" s="700">
        <f t="shared" si="594"/>
        <v>0.47278295503031748</v>
      </c>
      <c r="AY22" s="593">
        <f>'Proy 2021 vs 2019 Sem'!EC21*$BB$4</f>
        <v>19603.7912</v>
      </c>
      <c r="AZ22" s="593">
        <f>'Proy 2021 vs 2019 Sem'!ED21*$BB$4</f>
        <v>14958.161199687427</v>
      </c>
      <c r="BA22" s="735">
        <v>13212.18</v>
      </c>
      <c r="BB22" s="700">
        <f t="shared" si="595"/>
        <v>0.67396045311888453</v>
      </c>
      <c r="BC22" s="593">
        <f>'Proy 2021 vs 2019 Sem'!EC21*$BF$4</f>
        <v>22404.3328</v>
      </c>
      <c r="BD22" s="593">
        <f>'Proy 2021 vs 2019 Sem'!ED21*$BF$4</f>
        <v>17095.041371071344</v>
      </c>
      <c r="BE22" s="735">
        <v>17264.66</v>
      </c>
      <c r="BF22" s="700">
        <f t="shared" si="596"/>
        <v>0.77059469496900168</v>
      </c>
      <c r="BG22" s="593">
        <f>'Proy 2021 vs 2019 Sem'!EC21*$BJ$4</f>
        <v>30805.957599999998</v>
      </c>
      <c r="BH22" s="593">
        <f>'Proy 2021 vs 2019 Sem'!ED21*$BJ$4</f>
        <v>23505.681885223097</v>
      </c>
      <c r="BI22" s="735">
        <v>26601.34</v>
      </c>
      <c r="BJ22" s="700">
        <f t="shared" si="597"/>
        <v>0.86351284207441747</v>
      </c>
      <c r="BK22" s="579">
        <f t="shared" si="598"/>
        <v>140027.07999999999</v>
      </c>
      <c r="BL22" s="574">
        <f t="shared" si="599"/>
        <v>106844.0085691959</v>
      </c>
      <c r="BM22" s="730">
        <f t="shared" si="600"/>
        <v>100229.20999999999</v>
      </c>
      <c r="BN22" s="711">
        <f t="shared" si="601"/>
        <v>0.71578447540290069</v>
      </c>
      <c r="BO22" s="593">
        <f>'Proy 2021 vs 2019 Sem'!EH21*$BR$4</f>
        <v>18917.859599999996</v>
      </c>
      <c r="BP22" s="593">
        <f>'Proy 2021 vs 2019 Sem'!EI21*$BR$4</f>
        <v>13242.501719999997</v>
      </c>
      <c r="BQ22" s="735">
        <v>13401.29</v>
      </c>
      <c r="BR22" s="700">
        <f t="shared" si="602"/>
        <v>0.70839356477727555</v>
      </c>
      <c r="BS22" s="593">
        <f>'Proy 2021 vs 2019 Sem'!EH21*$BV$4</f>
        <v>18917.859599999996</v>
      </c>
      <c r="BT22" s="593">
        <f>'Proy 2021 vs 2019 Sem'!EI21*$BV$4</f>
        <v>13242.501719999997</v>
      </c>
      <c r="BU22" s="735">
        <v>6999.74</v>
      </c>
      <c r="BV22" s="700">
        <f t="shared" si="603"/>
        <v>0.37000697478482192</v>
      </c>
      <c r="BW22" s="593">
        <f>'Proy 2021 vs 2019 Sem'!EH21*$BZ$4</f>
        <v>18917.859599999996</v>
      </c>
      <c r="BX22" s="593">
        <f>'Proy 2021 vs 2019 Sem'!EI21*$BZ$4</f>
        <v>13242.501719999997</v>
      </c>
      <c r="BY22" s="735">
        <v>14444.13</v>
      </c>
      <c r="BZ22" s="700">
        <f t="shared" si="604"/>
        <v>0.763518194204169</v>
      </c>
      <c r="CA22" s="593">
        <f>'Proy 2021 vs 2019 Sem'!EH21*$CD$4</f>
        <v>18917.859599999996</v>
      </c>
      <c r="CB22" s="593">
        <f>'Proy 2021 vs 2019 Sem'!EI21*$CD$4</f>
        <v>13242.501719999997</v>
      </c>
      <c r="CC22" s="735">
        <v>7597.8</v>
      </c>
      <c r="CD22" s="700">
        <f t="shared" si="605"/>
        <v>0.4016204877638484</v>
      </c>
      <c r="CE22" s="593">
        <f>'Proy 2021 vs 2019 Sem'!EH21*$CH$4</f>
        <v>22070.836200000002</v>
      </c>
      <c r="CF22" s="593">
        <f>'Proy 2021 vs 2019 Sem'!EI21*$CH$4</f>
        <v>15449.58534</v>
      </c>
      <c r="CG22" s="735">
        <v>12696.28</v>
      </c>
      <c r="CH22" s="700">
        <f t="shared" si="606"/>
        <v>0.57525142613309777</v>
      </c>
      <c r="CI22" s="593">
        <f>'Proy 2021 vs 2019 Sem'!EH21*$CL$4</f>
        <v>25223.8128</v>
      </c>
      <c r="CJ22" s="593">
        <f>'Proy 2021 vs 2019 Sem'!EI21*$CL$4</f>
        <v>17656.668959999999</v>
      </c>
      <c r="CK22" s="735">
        <v>16767.29</v>
      </c>
      <c r="CL22" s="700">
        <f t="shared" si="607"/>
        <v>0.66474050267293461</v>
      </c>
      <c r="CM22" s="593">
        <f>'Proy 2021 vs 2019 Sem'!EH21*$CP$4</f>
        <v>34682.742599999998</v>
      </c>
      <c r="CN22" s="593">
        <f>'Proy 2021 vs 2019 Sem'!EI21*$CP$4</f>
        <v>24277.919819999996</v>
      </c>
      <c r="CO22" s="735">
        <v>27188.48</v>
      </c>
      <c r="CP22" s="700">
        <f t="shared" si="608"/>
        <v>0.78391955081430043</v>
      </c>
      <c r="CQ22" s="579">
        <f t="shared" si="609"/>
        <v>157648.82999999999</v>
      </c>
      <c r="CR22" s="574">
        <f t="shared" si="610"/>
        <v>110354.18099999998</v>
      </c>
      <c r="CS22" s="730">
        <f t="shared" si="611"/>
        <v>99095.01</v>
      </c>
      <c r="CT22" s="711">
        <f t="shared" si="612"/>
        <v>0.62858068784906307</v>
      </c>
      <c r="CU22" s="593">
        <f>'Proy 2021 vs 2019 Sem'!EM21*$CX$4</f>
        <v>16622.052</v>
      </c>
      <c r="CV22" s="593">
        <f>'Proy 2021 vs 2019 Sem'!EN21*$CX$4</f>
        <v>13297.641600000001</v>
      </c>
      <c r="CW22" s="735">
        <v>15231.57</v>
      </c>
      <c r="CX22" s="700">
        <f t="shared" si="613"/>
        <v>0.9163471513625393</v>
      </c>
      <c r="CY22" s="593">
        <f>'Proy 2021 vs 2019 Sem'!EM21*$DB$4</f>
        <v>16622.052</v>
      </c>
      <c r="CZ22" s="593">
        <f>'Proy 2021 vs 2019 Sem'!EN21*$DB$4</f>
        <v>13297.641600000001</v>
      </c>
      <c r="DA22" s="735">
        <v>10171.67</v>
      </c>
      <c r="DB22" s="700">
        <f t="shared" si="614"/>
        <v>0.61193828535730732</v>
      </c>
      <c r="DC22" s="593">
        <f>'Proy 2021 vs 2019 Sem'!EM21*$DF$4</f>
        <v>16622.052</v>
      </c>
      <c r="DD22" s="593">
        <f>'Proy 2021 vs 2019 Sem'!EN21*$DF$4</f>
        <v>13297.641600000001</v>
      </c>
      <c r="DE22" s="735">
        <v>9693.2999999999993</v>
      </c>
      <c r="DF22" s="700">
        <f t="shared" si="615"/>
        <v>0.58315904678916897</v>
      </c>
      <c r="DG22" s="593">
        <f>'Proy 2021 vs 2019 Sem'!EM21*$DJ$4</f>
        <v>16622.052</v>
      </c>
      <c r="DH22" s="593">
        <f>'Proy 2021 vs 2019 Sem'!EN21*$DJ$4</f>
        <v>13297.641600000001</v>
      </c>
      <c r="DI22" s="735">
        <v>10124.73</v>
      </c>
      <c r="DJ22" s="700">
        <f t="shared" si="616"/>
        <v>0.60911432595686743</v>
      </c>
      <c r="DK22" s="593">
        <f>'Proy 2021 vs 2019 Sem'!EM21*$DN$4</f>
        <v>19392.394000000004</v>
      </c>
      <c r="DL22" s="593">
        <f>'Proy 2021 vs 2019 Sem'!EN21*$DN$4</f>
        <v>15513.915200000003</v>
      </c>
      <c r="DM22" s="735">
        <v>13955.18</v>
      </c>
      <c r="DN22" s="700">
        <f t="shared" si="617"/>
        <v>0.71962131132442941</v>
      </c>
      <c r="DO22" s="593">
        <f>'Proy 2021 vs 2019 Sem'!EM21*$DR$4</f>
        <v>22162.736000000001</v>
      </c>
      <c r="DP22" s="593">
        <f>'Proy 2021 vs 2019 Sem'!EN21*$DR$4</f>
        <v>17730.1888</v>
      </c>
      <c r="DQ22" s="735">
        <v>13671.63</v>
      </c>
      <c r="DR22" s="700">
        <f t="shared" si="618"/>
        <v>0.6168746494115166</v>
      </c>
      <c r="DS22" s="593">
        <f>'Proy 2021 vs 2019 Sem'!EM21*$DV$4</f>
        <v>30473.762000000002</v>
      </c>
      <c r="DT22" s="593">
        <f>'Proy 2021 vs 2019 Sem'!EN21*$DV$4</f>
        <v>24379.009600000001</v>
      </c>
      <c r="DU22" s="735">
        <v>28344.53</v>
      </c>
      <c r="DV22" s="700">
        <f t="shared" si="619"/>
        <v>0.93012900737362181</v>
      </c>
      <c r="DW22" s="579">
        <f t="shared" si="620"/>
        <v>138517.1</v>
      </c>
      <c r="DX22" s="574">
        <f t="shared" si="621"/>
        <v>110813.68000000001</v>
      </c>
      <c r="DY22" s="710">
        <f t="shared" si="622"/>
        <v>101192.60999999999</v>
      </c>
      <c r="DZ22" s="711">
        <f t="shared" si="623"/>
        <v>0.73054236624936542</v>
      </c>
      <c r="EA22" s="593">
        <f>'Proy 2021 vs 2019 Sem'!ER21*$ED$4</f>
        <v>16604.584800000001</v>
      </c>
      <c r="EB22" s="593">
        <f>'Proy 2021 vs 2019 Sem'!ES21*$ED$4</f>
        <v>10792.98012</v>
      </c>
      <c r="EC22" s="735">
        <v>9548.18</v>
      </c>
      <c r="ED22" s="700">
        <f t="shared" si="624"/>
        <v>0.575032746377374</v>
      </c>
      <c r="EE22" s="593">
        <f>'Proy 2021 vs 2019 Sem'!ER21*$EH$4</f>
        <v>16604.584800000001</v>
      </c>
      <c r="EF22" s="593">
        <f>'Proy 2021 vs 2019 Sem'!ES21*$EH$4</f>
        <v>10792.98012</v>
      </c>
      <c r="EG22" s="735">
        <v>8681.39</v>
      </c>
      <c r="EH22" s="700">
        <f t="shared" si="625"/>
        <v>0.52283089908999103</v>
      </c>
      <c r="EI22" s="593">
        <f>'Proy 2021 vs 2019 Sem'!ER21*$EL$4</f>
        <v>16604.584800000001</v>
      </c>
      <c r="EJ22" s="593">
        <f>'Proy 2021 vs 2019 Sem'!ES21*$EL$4</f>
        <v>10792.98012</v>
      </c>
      <c r="EK22" s="735">
        <v>8811.7000000000007</v>
      </c>
      <c r="EL22" s="700">
        <f t="shared" si="626"/>
        <v>0.53067873157539003</v>
      </c>
      <c r="EM22" s="593">
        <f>'Proy 2021 vs 2019 Sem'!ER21*$EP$4</f>
        <v>16604.584800000001</v>
      </c>
      <c r="EN22" s="593">
        <f>'Proy 2021 vs 2019 Sem'!ES21*$EP$4</f>
        <v>10792.98012</v>
      </c>
      <c r="EO22" s="735">
        <v>13812.73</v>
      </c>
      <c r="EP22" s="700">
        <f t="shared" si="627"/>
        <v>0.83186241428933527</v>
      </c>
      <c r="EQ22" s="593">
        <f>'Proy 2021 vs 2019 Sem'!ER21*$ET$4</f>
        <v>19372.015600000002</v>
      </c>
      <c r="ER22" s="593">
        <f>'Proy 2021 vs 2019 Sem'!ES21*$ET$4</f>
        <v>12591.810140000001</v>
      </c>
      <c r="ES22" s="735">
        <v>11582.73</v>
      </c>
      <c r="ET22" s="700">
        <f t="shared" si="628"/>
        <v>0.59791042084438539</v>
      </c>
      <c r="EU22" s="593">
        <f>'Proy 2021 vs 2019 Sem'!ER21*$EX$4</f>
        <v>22139.446400000001</v>
      </c>
      <c r="EV22" s="593">
        <f>'Proy 2021 vs 2019 Sem'!ES21*$EX$4</f>
        <v>14390.640160000001</v>
      </c>
      <c r="EW22" s="735">
        <v>17475.669999999998</v>
      </c>
      <c r="EX22" s="700">
        <f t="shared" si="629"/>
        <v>0.7893453921232646</v>
      </c>
      <c r="EY22" s="593">
        <f>'Proy 2021 vs 2019 Sem'!ER21*$FB$4</f>
        <v>30441.738800000003</v>
      </c>
      <c r="EZ22" s="593">
        <f>'Proy 2021 vs 2019 Sem'!ES21*$FB$4</f>
        <v>19787.130220000003</v>
      </c>
      <c r="FA22" s="699">
        <v>17359.2</v>
      </c>
      <c r="FB22" s="700">
        <f t="shared" si="630"/>
        <v>0.57024337913312628</v>
      </c>
      <c r="FC22" s="579">
        <f t="shared" si="631"/>
        <v>138371.54</v>
      </c>
      <c r="FD22" s="574">
        <f t="shared" si="632"/>
        <v>89941.501000000004</v>
      </c>
      <c r="FE22" s="710">
        <f t="shared" si="633"/>
        <v>87271.599999999991</v>
      </c>
      <c r="FF22" s="711">
        <f t="shared" si="634"/>
        <v>0.63070484002707483</v>
      </c>
      <c r="FG22" s="593">
        <f>'Proy 2021 vs 2019 Sem'!FA21*$FJ$4</f>
        <v>15281.162399999999</v>
      </c>
      <c r="FH22" s="593">
        <f>'Proy 2021 vs 2019 Sem'!FB21*$FJ$4</f>
        <v>10696.813679999999</v>
      </c>
      <c r="FI22" s="735">
        <v>10868.43</v>
      </c>
      <c r="FJ22" s="700">
        <f t="shared" si="635"/>
        <v>0.71123058020769425</v>
      </c>
      <c r="FK22" s="593">
        <f>'Proy 2021 vs 2019 Sem'!FA21*$FN$4</f>
        <v>15281.162399999999</v>
      </c>
      <c r="FL22" s="593">
        <f>'Proy 2021 vs 2019 Sem'!FB21*$FN$4</f>
        <v>10696.813679999999</v>
      </c>
      <c r="FM22" s="735">
        <v>9787.5499999999993</v>
      </c>
      <c r="FN22" s="700">
        <f t="shared" si="636"/>
        <v>0.64049774119277736</v>
      </c>
      <c r="FO22" s="593">
        <f>'Proy 2021 vs 2019 Sem'!FA21*$FR$4</f>
        <v>15281.162399999999</v>
      </c>
      <c r="FP22" s="593">
        <f>'Proy 2021 vs 2019 Sem'!FB21*$FR$4</f>
        <v>10696.813679999999</v>
      </c>
      <c r="FQ22" s="735">
        <v>11441.59</v>
      </c>
      <c r="FR22" s="700">
        <f t="shared" si="637"/>
        <v>0.74873819808367459</v>
      </c>
      <c r="FS22" s="593">
        <f>'Proy 2021 vs 2019 Sem'!FA21*$FV$4</f>
        <v>15281.162399999999</v>
      </c>
      <c r="FT22" s="593">
        <f>'Proy 2021 vs 2019 Sem'!FB21*$FV$4</f>
        <v>10696.813679999999</v>
      </c>
      <c r="FU22" s="735">
        <v>10574.75</v>
      </c>
      <c r="FV22" s="700">
        <f t="shared" si="638"/>
        <v>0.69201214692934621</v>
      </c>
      <c r="FW22" s="593">
        <f>'Proy 2021 vs 2019 Sem'!FA21*$FZ$4</f>
        <v>17828.022800000002</v>
      </c>
      <c r="FX22" s="593">
        <f>'Proy 2021 vs 2019 Sem'!FB21*$FZ$4</f>
        <v>12479.615960000001</v>
      </c>
      <c r="FY22" s="735">
        <v>13670.2</v>
      </c>
      <c r="FZ22" s="700">
        <f t="shared" si="639"/>
        <v>0.76678160855840949</v>
      </c>
      <c r="GA22" s="593">
        <f>'Proy 2021 vs 2019 Sem'!FA21*$GD$4</f>
        <v>20374.8832</v>
      </c>
      <c r="GB22" s="593">
        <f>'Proy 2021 vs 2019 Sem'!FB21*$GD$4</f>
        <v>14262.418240000001</v>
      </c>
      <c r="GC22" s="735">
        <v>14395.33</v>
      </c>
      <c r="GD22" s="700">
        <f t="shared" si="640"/>
        <v>0.70652331395941448</v>
      </c>
      <c r="GE22" s="593">
        <f>'Proy 2021 vs 2019 Sem'!FA21*$GH$4</f>
        <v>28015.464400000001</v>
      </c>
      <c r="GF22" s="593">
        <f>'Proy 2021 vs 2019 Sem'!FB21*$GH$4</f>
        <v>19610.825079999999</v>
      </c>
      <c r="GG22" s="735">
        <v>14222.27</v>
      </c>
      <c r="GH22" s="700">
        <f t="shared" si="641"/>
        <v>0.50765783486351912</v>
      </c>
      <c r="GI22" s="579">
        <f t="shared" si="642"/>
        <v>127343.01999999999</v>
      </c>
      <c r="GJ22" s="574">
        <f t="shared" si="643"/>
        <v>89140.114000000001</v>
      </c>
      <c r="GK22" s="759">
        <f t="shared" si="644"/>
        <v>84960.12000000001</v>
      </c>
      <c r="GL22" s="761">
        <f t="shared" si="645"/>
        <v>0.66717531907127703</v>
      </c>
      <c r="GM22" s="593">
        <f>'Proy 2021 vs 2019 Sem'!FF21*$GP$4</f>
        <v>15901.5504</v>
      </c>
      <c r="GN22" s="593">
        <f>'Proy 2021 vs 2019 Sem'!FG21*$GP$4</f>
        <v>11449.116287999999</v>
      </c>
      <c r="GO22" s="735">
        <v>7645.03</v>
      </c>
      <c r="GP22" s="700">
        <f t="shared" si="646"/>
        <v>0.48077261698959867</v>
      </c>
      <c r="GQ22" s="593">
        <f>'Proy 2021 vs 2019 Sem'!FF21*$GT$4</f>
        <v>15901.5504</v>
      </c>
      <c r="GR22" s="593">
        <f>'Proy 2021 vs 2019 Sem'!FG21*$GT$4</f>
        <v>11449.116287999999</v>
      </c>
      <c r="GS22" s="735">
        <v>7702.84</v>
      </c>
      <c r="GT22" s="700">
        <f t="shared" si="647"/>
        <v>0.48440811155118563</v>
      </c>
      <c r="GU22" s="593">
        <f>'Proy 2021 vs 2019 Sem'!FF21*$GX$4</f>
        <v>15901.5504</v>
      </c>
      <c r="GV22" s="593">
        <f>'Proy 2021 vs 2019 Sem'!FG21*$GX$4</f>
        <v>11449.116287999999</v>
      </c>
      <c r="GW22" s="735">
        <v>7544.64</v>
      </c>
      <c r="GX22" s="700">
        <f t="shared" si="648"/>
        <v>0.47445939611020571</v>
      </c>
      <c r="GY22" s="593">
        <f>'Proy 2021 vs 2019 Sem'!FF21*$HB$4</f>
        <v>15901.5504</v>
      </c>
      <c r="GZ22" s="593">
        <f>'Proy 2021 vs 2019 Sem'!FG21*$HB$4</f>
        <v>11449.116287999999</v>
      </c>
      <c r="HA22" s="735">
        <v>7032.11</v>
      </c>
      <c r="HB22" s="700">
        <f t="shared" si="649"/>
        <v>0.44222794778551905</v>
      </c>
      <c r="HC22" s="593">
        <f>'Proy 2021 vs 2019 Sem'!FF21*$HF$4</f>
        <v>18551.808800000003</v>
      </c>
      <c r="HD22" s="593">
        <f>'Proy 2021 vs 2019 Sem'!FG21*$HF$4</f>
        <v>13357.302336000001</v>
      </c>
      <c r="HE22" s="735">
        <v>11910.37</v>
      </c>
      <c r="HF22" s="700">
        <f t="shared" si="650"/>
        <v>0.64200586198365728</v>
      </c>
      <c r="HG22" s="593">
        <f>'Proy 2021 vs 2019 Sem'!FF21*$HJ$4</f>
        <v>21202.067200000001</v>
      </c>
      <c r="HH22" s="593">
        <f>'Proy 2021 vs 2019 Sem'!FG21*$HJ$4</f>
        <v>15265.488384</v>
      </c>
      <c r="HI22" s="735">
        <v>19829.73</v>
      </c>
      <c r="HJ22" s="700">
        <f t="shared" si="651"/>
        <v>0.93527342465927088</v>
      </c>
      <c r="HK22" s="593">
        <f>'Proy 2021 vs 2019 Sem'!FF21*$HN$4</f>
        <v>29152.842400000001</v>
      </c>
      <c r="HL22" s="593">
        <f>'Proy 2021 vs 2019 Sem'!FG21*$HN$4</f>
        <v>20990.046527999999</v>
      </c>
      <c r="HM22" s="735">
        <v>22135.17</v>
      </c>
      <c r="HN22" s="700">
        <f t="shared" si="652"/>
        <v>0.75927999391236023</v>
      </c>
      <c r="HO22" s="579">
        <f t="shared" si="653"/>
        <v>132512.92000000001</v>
      </c>
      <c r="HP22" s="574">
        <f t="shared" si="654"/>
        <v>95409.302399999986</v>
      </c>
      <c r="HQ22" s="765">
        <f t="shared" si="655"/>
        <v>83799.89</v>
      </c>
      <c r="HR22" s="761">
        <f t="shared" si="656"/>
        <v>0.63239033597629568</v>
      </c>
      <c r="HS22" s="593">
        <f>'Proy 2021 vs 2019 Sem'!FK21*$CX$4</f>
        <v>14060.8356</v>
      </c>
      <c r="HT22" s="593">
        <f>'Proy 2021 vs 2019 Sem'!FL21*$CX$4</f>
        <v>11108.060124</v>
      </c>
      <c r="HU22" s="735">
        <v>11105.55</v>
      </c>
      <c r="HV22" s="700">
        <f t="shared" si="657"/>
        <v>0.78982148116431994</v>
      </c>
      <c r="HW22" s="593">
        <f>'Proy 2021 vs 2019 Sem'!FK21*$DB$4</f>
        <v>14060.8356</v>
      </c>
      <c r="HX22" s="593">
        <f>'Proy 2021 vs 2019 Sem'!FL21*$DB$4</f>
        <v>11108.060124</v>
      </c>
      <c r="HY22" s="735">
        <v>8318.94</v>
      </c>
      <c r="HZ22" s="700">
        <f t="shared" si="658"/>
        <v>0.59163909149183147</v>
      </c>
      <c r="IA22" s="593">
        <f>'Proy 2021 vs 2019 Sem'!FK21*$DF$4</f>
        <v>14060.8356</v>
      </c>
      <c r="IB22" s="593">
        <f>'Proy 2021 vs 2019 Sem'!FL21*$DF$4</f>
        <v>11108.060124</v>
      </c>
      <c r="IC22" s="735">
        <v>7127.1</v>
      </c>
      <c r="ID22" s="700">
        <f t="shared" si="659"/>
        <v>0.50687599249080195</v>
      </c>
      <c r="IE22" s="593">
        <f>'Proy 2021 vs 2019 Sem'!FK21*$DJ$4</f>
        <v>14060.8356</v>
      </c>
      <c r="IF22" s="593">
        <f>'Proy 2021 vs 2019 Sem'!FL21*$DJ$4</f>
        <v>11108.060124</v>
      </c>
      <c r="IG22" s="735">
        <v>10312.17</v>
      </c>
      <c r="IH22" s="700">
        <f t="shared" si="660"/>
        <v>0.733396669540749</v>
      </c>
      <c r="II22" s="593">
        <f>'Proy 2021 vs 2019 Sem'!FK21*$DN$4</f>
        <v>16404.308200000003</v>
      </c>
      <c r="IJ22" s="593">
        <f>'Proy 2021 vs 2019 Sem'!FL21*$DN$4</f>
        <v>12959.403478000002</v>
      </c>
      <c r="IK22" s="735">
        <v>13415.62</v>
      </c>
      <c r="IL22" s="700">
        <f t="shared" si="661"/>
        <v>0.81781077485486398</v>
      </c>
      <c r="IM22" s="593">
        <f>'Proy 2021 vs 2019 Sem'!FK21*$DR$4</f>
        <v>18747.7808</v>
      </c>
      <c r="IN22" s="593">
        <f>'Proy 2021 vs 2019 Sem'!FL21*$DR$4</f>
        <v>14810.746832000001</v>
      </c>
      <c r="IO22" s="1410">
        <v>11916.15</v>
      </c>
      <c r="IP22" s="700">
        <f t="shared" si="662"/>
        <v>0.63560322830315996</v>
      </c>
      <c r="IQ22" s="593">
        <f>'Proy 2021 vs 2019 Sem'!FK21*$IT$4</f>
        <v>25778.1986</v>
      </c>
      <c r="IR22" s="593">
        <f>'Proy 2021 vs 2019 Sem'!FL21*$IT$4</f>
        <v>20364.776894000002</v>
      </c>
      <c r="IS22" s="735">
        <v>17373.07</v>
      </c>
      <c r="IT22" s="700">
        <f t="shared" si="663"/>
        <v>0.67394429958344726</v>
      </c>
      <c r="IU22" s="579">
        <f t="shared" si="664"/>
        <v>117173.63</v>
      </c>
      <c r="IV22" s="574">
        <f t="shared" si="665"/>
        <v>92567.167699999991</v>
      </c>
      <c r="IW22" s="765">
        <f t="shared" si="666"/>
        <v>79568.600000000006</v>
      </c>
      <c r="IX22" s="761">
        <f t="shared" si="667"/>
        <v>0.6790657590790693</v>
      </c>
      <c r="IY22" s="593">
        <f>'Proy 2021 vs 2019 Sem'!FP21*$JB$4</f>
        <v>14739.8364</v>
      </c>
      <c r="IZ22" s="593">
        <f>'Proy 2021 vs 2019 Sem'!FQ21*$JB$4</f>
        <v>11202.275663999999</v>
      </c>
      <c r="JA22" s="735">
        <v>9693.81</v>
      </c>
      <c r="JB22" s="700">
        <f t="shared" si="668"/>
        <v>0.65766062369593192</v>
      </c>
      <c r="JC22" s="593">
        <f>'Proy 2021 vs 2019 Sem'!FP21*$JF$4</f>
        <v>14739.8364</v>
      </c>
      <c r="JD22" s="593">
        <f>'Proy 2021 vs 2019 Sem'!FQ21*$JF$4</f>
        <v>11202.275663999999</v>
      </c>
      <c r="JE22" s="735">
        <v>7633.85</v>
      </c>
      <c r="JF22" s="700">
        <f t="shared" si="669"/>
        <v>0.51790601963533334</v>
      </c>
      <c r="JG22" s="593">
        <f>'Proy 2021 vs 2019 Sem'!FP21*$JJ$4</f>
        <v>14739.8364</v>
      </c>
      <c r="JH22" s="593">
        <f>'Proy 2021 vs 2019 Sem'!FQ21*$JJ$4</f>
        <v>11202.275663999999</v>
      </c>
      <c r="JI22" s="735">
        <v>7917</v>
      </c>
      <c r="JJ22" s="700">
        <f t="shared" si="670"/>
        <v>0.53711586649632015</v>
      </c>
      <c r="JK22" s="593">
        <f>'Proy 2021 vs 2019 Sem'!FP21*$JN$4</f>
        <v>14739.8364</v>
      </c>
      <c r="JL22" s="593">
        <f>'Proy 2021 vs 2019 Sem'!FQ21*$JN$4</f>
        <v>11202.275663999999</v>
      </c>
      <c r="JM22" s="735">
        <v>6273.04</v>
      </c>
      <c r="JN22" s="700">
        <f t="shared" si="671"/>
        <v>0.42558409942731795</v>
      </c>
      <c r="JO22" s="593">
        <f>'Proy 2021 vs 2019 Sem'!FP21*$JR$4</f>
        <v>17196.4758</v>
      </c>
      <c r="JP22" s="593">
        <f>'Proy 2021 vs 2019 Sem'!FQ21*$JR$4</f>
        <v>13069.321608000002</v>
      </c>
      <c r="JQ22" s="735">
        <v>7553.65</v>
      </c>
      <c r="JR22" s="700">
        <f t="shared" si="672"/>
        <v>0.43925569912411933</v>
      </c>
      <c r="JS22" s="593">
        <f>'Proy 2021 vs 2019 Sem'!FP21*$JV$4</f>
        <v>19653.1152</v>
      </c>
      <c r="JT22" s="593">
        <f>'Proy 2021 vs 2019 Sem'!FQ21*$JV$4</f>
        <v>14936.367552</v>
      </c>
      <c r="JU22" s="735">
        <v>12195.02</v>
      </c>
      <c r="JV22" s="700">
        <f t="shared" si="673"/>
        <v>0.62051333215611537</v>
      </c>
      <c r="JW22" s="593">
        <f>'Proy 2021 vs 2019 Sem'!FP21*$JZ$4</f>
        <v>27023.0334</v>
      </c>
      <c r="JX22" s="593">
        <f>'Proy 2021 vs 2019 Sem'!FQ21*$JZ$4</f>
        <v>20537.505384</v>
      </c>
      <c r="JY22" s="735">
        <v>22249.17</v>
      </c>
      <c r="JZ22" s="700">
        <f t="shared" si="674"/>
        <v>0.82334095031685073</v>
      </c>
      <c r="KA22" s="579">
        <f t="shared" si="675"/>
        <v>122831.97</v>
      </c>
      <c r="KB22" s="574">
        <f t="shared" si="676"/>
        <v>93352.297200000001</v>
      </c>
      <c r="KC22" s="770">
        <f t="shared" si="677"/>
        <v>73515.539999999994</v>
      </c>
      <c r="KD22" s="761">
        <f t="shared" si="678"/>
        <v>0.59850493320265064</v>
      </c>
      <c r="KE22" s="593">
        <f>'Proy 2021 vs 2019 Sem'!FY21*$KH$4</f>
        <v>14705.229600000001</v>
      </c>
      <c r="KF22" s="593">
        <f>'Proy 2021 vs 2019 Sem'!FZ21*$KH$4</f>
        <v>11028.922199999999</v>
      </c>
      <c r="KG22" s="735">
        <v>13632.59</v>
      </c>
      <c r="KH22" s="700">
        <f t="shared" si="679"/>
        <v>0.92705726947643163</v>
      </c>
      <c r="KI22" s="593">
        <f>'Proy 2021 vs 2019 Sem'!FY21*$KL$4</f>
        <v>14705.229600000001</v>
      </c>
      <c r="KJ22" s="593">
        <f>'Proy 2021 vs 2019 Sem'!FZ21*$KL$4</f>
        <v>11028.922199999999</v>
      </c>
      <c r="KK22" s="735">
        <v>9240.01</v>
      </c>
      <c r="KL22" s="700">
        <f t="shared" si="680"/>
        <v>0.62834857063367444</v>
      </c>
      <c r="KM22" s="593">
        <f>'Proy 2021 vs 2019 Sem'!FY21*$KP$4</f>
        <v>14705.229600000001</v>
      </c>
      <c r="KN22" s="593">
        <f>'Proy 2021 vs 2019 Sem'!FZ21*$KP$4</f>
        <v>11028.922199999999</v>
      </c>
      <c r="KO22" s="735">
        <v>7192.9</v>
      </c>
      <c r="KP22" s="700">
        <f t="shared" si="681"/>
        <v>0.48913891150669281</v>
      </c>
      <c r="KQ22" s="593">
        <f>'Proy 2021 vs 2019 Sem'!FY21*$KT$4</f>
        <v>14705.229600000001</v>
      </c>
      <c r="KR22" s="593">
        <f>'Proy 2021 vs 2019 Sem'!FZ21*$KT$4</f>
        <v>11028.922199999999</v>
      </c>
      <c r="KS22" s="735">
        <v>6524.17</v>
      </c>
      <c r="KT22" s="700">
        <f t="shared" si="682"/>
        <v>0.44366325296954218</v>
      </c>
      <c r="KU22" s="593">
        <f>'Proy 2021 vs 2019 Sem'!FY21*$KX$4</f>
        <v>17156.101200000001</v>
      </c>
      <c r="KV22" s="593">
        <f>'Proy 2021 vs 2019 Sem'!FZ21*$KX$4</f>
        <v>12867.075900000002</v>
      </c>
      <c r="KW22" s="735">
        <v>8683.7900000000009</v>
      </c>
      <c r="KX22" s="700">
        <f t="shared" si="683"/>
        <v>0.50616337003188117</v>
      </c>
      <c r="KY22" s="593">
        <f>'Proy 2021 vs 2019 Sem'!FY21*$LB$4</f>
        <v>19606.9728</v>
      </c>
      <c r="KZ22" s="593">
        <f>'Proy 2021 vs 2019 Sem'!FZ21*$LB$4</f>
        <v>14705.229600000001</v>
      </c>
      <c r="LA22" s="735">
        <v>14533.56</v>
      </c>
      <c r="LB22" s="700">
        <f t="shared" si="684"/>
        <v>0.74124446176617331</v>
      </c>
      <c r="LC22" s="593">
        <f>'Proy 2021 vs 2019 Sem'!FY21*$LF$4</f>
        <v>26959.587599999999</v>
      </c>
      <c r="LD22" s="593">
        <f>'Proy 2021 vs 2019 Sem'!FZ21*$LF$4</f>
        <v>20219.690699999999</v>
      </c>
      <c r="LE22" s="735">
        <v>18946.41</v>
      </c>
      <c r="LF22" s="700">
        <f t="shared" si="685"/>
        <v>0.70277076493558832</v>
      </c>
      <c r="LG22" s="579">
        <f t="shared" si="686"/>
        <v>122543.58</v>
      </c>
      <c r="LH22" s="574">
        <f t="shared" si="687"/>
        <v>91907.684999999998</v>
      </c>
      <c r="LI22" s="793">
        <f t="shared" si="688"/>
        <v>78753.429999999993</v>
      </c>
      <c r="LJ22" s="786">
        <f t="shared" si="689"/>
        <v>0.64265651452324135</v>
      </c>
      <c r="LK22" s="593">
        <f>'Proy 2021 vs 2019 Sem'!GD21*$LN$4</f>
        <v>13493.4684</v>
      </c>
      <c r="LL22" s="593">
        <f>'Proy 2021 vs 2019 Sem'!GE21*$LN$4</f>
        <v>10929.709404000001</v>
      </c>
      <c r="LM22" s="735">
        <v>7148.47</v>
      </c>
      <c r="LN22" s="700">
        <f t="shared" si="690"/>
        <v>0.52977261205873505</v>
      </c>
      <c r="LO22" s="593">
        <f>'Proy 2021 vs 2019 Sem'!GD21*$LR$4</f>
        <v>13493.4684</v>
      </c>
      <c r="LP22" s="593">
        <f>'Proy 2021 vs 2019 Sem'!GE21*$LR$4</f>
        <v>10929.709404000001</v>
      </c>
      <c r="LQ22" s="735">
        <v>7641.88</v>
      </c>
      <c r="LR22" s="700">
        <f t="shared" si="691"/>
        <v>0.56633919267191524</v>
      </c>
      <c r="LS22" s="593">
        <f>'Proy 2021 vs 2019 Sem'!GD21*$LV$4</f>
        <v>13493.4684</v>
      </c>
      <c r="LT22" s="593">
        <f>'Proy 2021 vs 2019 Sem'!GE21*$LV$4</f>
        <v>10929.709404000001</v>
      </c>
      <c r="LU22" s="735">
        <v>9235.2099999999991</v>
      </c>
      <c r="LV22" s="700">
        <f t="shared" si="692"/>
        <v>0.68442076760634796</v>
      </c>
      <c r="LW22" s="593">
        <f>'Proy 2021 vs 2019 Sem'!GD21*$LZ$4</f>
        <v>13493.4684</v>
      </c>
      <c r="LX22" s="593">
        <f>'Proy 2021 vs 2019 Sem'!GE21*$LZ$4</f>
        <v>10929.709404000001</v>
      </c>
      <c r="LY22" s="735">
        <v>7258.05</v>
      </c>
      <c r="LZ22" s="700">
        <f t="shared" si="693"/>
        <v>0.537893578199657</v>
      </c>
      <c r="MA22" s="593">
        <f>'Proy 2021 vs 2019 Sem'!GD21*$MD$4</f>
        <v>15742.379800000002</v>
      </c>
      <c r="MB22" s="593">
        <f>'Proy 2021 vs 2019 Sem'!GE21*$MD$4</f>
        <v>12751.327638000002</v>
      </c>
      <c r="MC22" s="735">
        <v>9366.4500000000007</v>
      </c>
      <c r="MD22" s="700">
        <f t="shared" si="694"/>
        <v>0.59498310414286915</v>
      </c>
      <c r="ME22" s="593">
        <f>'Proy 2021 vs 2019 Sem'!GD21*$MH$4</f>
        <v>17991.291200000003</v>
      </c>
      <c r="MF22" s="593">
        <f>'Proy 2021 vs 2019 Sem'!GE21*$MH$4</f>
        <v>14572.945872000002</v>
      </c>
      <c r="MG22" s="735">
        <v>14926.43</v>
      </c>
      <c r="MH22" s="700">
        <f t="shared" si="695"/>
        <v>0.82964751301451878</v>
      </c>
      <c r="MI22" s="593">
        <f>'Proy 2021 vs 2019 Sem'!GD21*$ML$4</f>
        <v>24738.025400000002</v>
      </c>
      <c r="MJ22" s="593">
        <f>'Proy 2021 vs 2019 Sem'!GE21*$ML$4</f>
        <v>20037.800574000004</v>
      </c>
      <c r="MK22" s="735">
        <v>19728.38</v>
      </c>
      <c r="ML22" s="700">
        <f t="shared" si="696"/>
        <v>0.79749210702969042</v>
      </c>
      <c r="MM22" s="579">
        <f t="shared" si="697"/>
        <v>112445.57</v>
      </c>
      <c r="MN22" s="574">
        <f t="shared" si="698"/>
        <v>91080.911700000011</v>
      </c>
      <c r="MO22" s="794">
        <f t="shared" si="699"/>
        <v>75304.87</v>
      </c>
      <c r="MP22" s="786">
        <f t="shared" si="700"/>
        <v>0.6697006382732551</v>
      </c>
      <c r="MQ22" s="593">
        <f>'Proy 2021 vs 2019 Sem'!GI21*$MT$4</f>
        <v>12314.5008</v>
      </c>
      <c r="MR22" s="593">
        <f>'Proy 2021 vs 2019 Sem'!GJ21*$MT$4</f>
        <v>9851.6006400000006</v>
      </c>
      <c r="MS22" s="735">
        <v>9923.25</v>
      </c>
      <c r="MT22" s="700">
        <f t="shared" si="701"/>
        <v>0.80581829187911536</v>
      </c>
      <c r="MU22" s="593">
        <f>'Proy 2021 vs 2019 Sem'!GI21*$MX$4</f>
        <v>12314.5008</v>
      </c>
      <c r="MV22" s="593">
        <f>'Proy 2021 vs 2019 Sem'!GJ21*$MX$4</f>
        <v>9851.6006400000006</v>
      </c>
      <c r="MW22" s="735">
        <v>9960.2900000000009</v>
      </c>
      <c r="MX22" s="700">
        <f t="shared" si="702"/>
        <v>0.80882612797426601</v>
      </c>
      <c r="MY22" s="593">
        <f>'Proy 2021 vs 2019 Sem'!GI21*$NB$4</f>
        <v>12314.5008</v>
      </c>
      <c r="MZ22" s="593">
        <f>'Proy 2021 vs 2019 Sem'!GJ21*$NB$4</f>
        <v>9851.6006400000006</v>
      </c>
      <c r="NA22" s="735">
        <v>8455.6299999999992</v>
      </c>
      <c r="NB22" s="700">
        <f t="shared" si="703"/>
        <v>0.68664009506581047</v>
      </c>
      <c r="NC22" s="593">
        <f>'Proy 2021 vs 2019 Sem'!GI21*$NF$4</f>
        <v>12314.5008</v>
      </c>
      <c r="ND22" s="593">
        <f>'Proy 2021 vs 2019 Sem'!GJ21*$NF$4</f>
        <v>9851.6006400000006</v>
      </c>
      <c r="NE22" s="735">
        <v>8888.75</v>
      </c>
      <c r="NF22" s="700">
        <f t="shared" si="704"/>
        <v>0.72181163851968733</v>
      </c>
      <c r="NG22" s="593">
        <f>'Proy 2021 vs 2019 Sem'!GI21*$NJ$4</f>
        <v>14366.917600000001</v>
      </c>
      <c r="NH22" s="593">
        <f>'Proy 2021 vs 2019 Sem'!GJ21*$NJ$4</f>
        <v>11493.534080000001</v>
      </c>
      <c r="NI22" s="735">
        <v>11722.7</v>
      </c>
      <c r="NJ22" s="700">
        <f t="shared" si="705"/>
        <v>0.81595094552501646</v>
      </c>
      <c r="NK22" s="593">
        <f>'Proy 2021 vs 2019 Sem'!GI21*$NN$4</f>
        <v>16419.3344</v>
      </c>
      <c r="NL22" s="593">
        <f>'Proy 2021 vs 2019 Sem'!GJ21*$NN$4</f>
        <v>13135.467520000002</v>
      </c>
      <c r="NM22" s="735">
        <v>10790.53</v>
      </c>
      <c r="NN22" s="700">
        <f t="shared" si="706"/>
        <v>0.65718437405111874</v>
      </c>
      <c r="NO22" s="593">
        <f>'Proy 2021 vs 2019 Sem'!GI21*$NR$4</f>
        <v>22576.584800000001</v>
      </c>
      <c r="NP22" s="593">
        <f>'Proy 2021 vs 2019 Sem'!GJ21*$NR$4</f>
        <v>18061.26784</v>
      </c>
      <c r="NQ22" s="735">
        <v>14907.63</v>
      </c>
      <c r="NR22" s="700">
        <f t="shared" si="707"/>
        <v>0.6603137778394188</v>
      </c>
      <c r="NS22" s="579">
        <f t="shared" si="708"/>
        <v>102620.84</v>
      </c>
      <c r="NT22" s="574">
        <f t="shared" si="709"/>
        <v>82096.672000000006</v>
      </c>
      <c r="NU22" s="794">
        <f t="shared" si="710"/>
        <v>74648.78</v>
      </c>
      <c r="NV22" s="786">
        <f t="shared" si="711"/>
        <v>0.72742320175901898</v>
      </c>
      <c r="NW22" s="593">
        <f>'Proy 2021 vs 2019 Sem'!GN21*$NZ$4</f>
        <v>13325.8284</v>
      </c>
      <c r="NX22" s="593">
        <f>'Proy 2021 vs 2019 Sem'!GO21*$NZ$4</f>
        <v>9727.8547320000016</v>
      </c>
      <c r="NY22" s="735">
        <v>8208.82</v>
      </c>
      <c r="NZ22" s="700">
        <f t="shared" si="712"/>
        <v>0.6160082325538575</v>
      </c>
      <c r="OA22" s="593">
        <f>'Proy 2021 vs 2019 Sem'!GN21*$OD$4</f>
        <v>13325.8284</v>
      </c>
      <c r="OB22" s="593">
        <f>'Proy 2021 vs 2019 Sem'!GO21*$OD$4</f>
        <v>9727.8547320000016</v>
      </c>
      <c r="OC22" s="735">
        <v>7983.73</v>
      </c>
      <c r="OD22" s="700">
        <f t="shared" si="713"/>
        <v>0.59911697497170224</v>
      </c>
      <c r="OE22" s="593">
        <f>'Proy 2021 vs 2019 Sem'!GN21*$OH$4</f>
        <v>13325.8284</v>
      </c>
      <c r="OF22" s="593">
        <f>'Proy 2021 vs 2019 Sem'!GO21*$OH$4</f>
        <v>9727.8547320000016</v>
      </c>
      <c r="OG22" s="735">
        <v>8115.63</v>
      </c>
      <c r="OH22" s="700">
        <f t="shared" si="714"/>
        <v>0.60901504629911041</v>
      </c>
      <c r="OI22" s="593">
        <f>'Proy 2021 vs 2019 Sem'!GN21*$OL$4</f>
        <v>13325.8284</v>
      </c>
      <c r="OJ22" s="593">
        <f>'Proy 2021 vs 2019 Sem'!GO21*$OL$4</f>
        <v>9727.8547320000016</v>
      </c>
      <c r="OK22" s="735">
        <v>6116.59</v>
      </c>
      <c r="OL22" s="700">
        <f t="shared" si="715"/>
        <v>0.45900260879841437</v>
      </c>
      <c r="OM22" s="593">
        <f>'Proy 2021 vs 2019 Sem'!GN21*$OP$4</f>
        <v>15546.799800000003</v>
      </c>
      <c r="ON22" s="593">
        <f>'Proy 2021 vs 2019 Sem'!GO21*$OP$4</f>
        <v>11349.163854000002</v>
      </c>
      <c r="OO22" s="735">
        <v>12362.95</v>
      </c>
      <c r="OP22" s="700">
        <f t="shared" si="716"/>
        <v>0.79520867053295419</v>
      </c>
      <c r="OQ22" s="593">
        <f>'Proy 2021 vs 2019 Sem'!GN21*$JV$4</f>
        <v>17767.771200000003</v>
      </c>
      <c r="OR22" s="593">
        <f>'Proy 2021 vs 2019 Sem'!GO21*$JV$4</f>
        <v>12970.472976000003</v>
      </c>
      <c r="OS22" s="735">
        <v>13077.85</v>
      </c>
      <c r="OT22" s="700">
        <f t="shared" si="717"/>
        <v>0.73604335922560726</v>
      </c>
      <c r="OU22" s="593">
        <f>'Proy 2021 vs 2019 Sem'!GN21*$OX$4</f>
        <v>24430.685400000002</v>
      </c>
      <c r="OV22" s="593">
        <f>'Proy 2021 vs 2019 Sem'!GO21*$OX$4</f>
        <v>17834.400342000001</v>
      </c>
      <c r="OW22" s="735">
        <v>20500</v>
      </c>
      <c r="OX22" s="700">
        <f t="shared" si="718"/>
        <v>0.83910867273498591</v>
      </c>
      <c r="OY22" s="579">
        <f t="shared" si="719"/>
        <v>111048.57</v>
      </c>
      <c r="OZ22" s="574">
        <f t="shared" si="720"/>
        <v>81065.45610000001</v>
      </c>
      <c r="PA22" s="785">
        <f t="shared" si="721"/>
        <v>76365.570000000007</v>
      </c>
      <c r="PB22" s="786">
        <f t="shared" si="722"/>
        <v>0.68767720286717782</v>
      </c>
      <c r="PC22" s="593">
        <f>'Proy 2021 vs 2019 Sem'!GW21*$PF$4</f>
        <v>12532.92</v>
      </c>
      <c r="PD22" s="593">
        <f>'Proy 2021 vs 2019 Sem'!GX21*$PF$4</f>
        <v>9525.0192000000006</v>
      </c>
      <c r="PE22" s="735">
        <v>12912.7</v>
      </c>
      <c r="PF22" s="700">
        <f t="shared" si="723"/>
        <v>1.0303025950855826</v>
      </c>
      <c r="PG22" s="593">
        <f>'Proy 2021 vs 2019 Sem'!GW21*$PJ$4</f>
        <v>12532.92</v>
      </c>
      <c r="PH22" s="593">
        <f>'Proy 2021 vs 2019 Sem'!GX21*$PJ$4</f>
        <v>9525.0192000000006</v>
      </c>
      <c r="PI22" s="735">
        <v>12472.1</v>
      </c>
      <c r="PJ22" s="700">
        <f t="shared" si="724"/>
        <v>0.99514718038573613</v>
      </c>
      <c r="PK22" s="593">
        <f>'Proy 2021 vs 2019 Sem'!GW21*'Vtas Diarias 2021'!$PN$4</f>
        <v>12532.92</v>
      </c>
      <c r="PL22" s="593">
        <f>'Proy 2021 vs 2019 Sem'!GX21*'Vtas Diarias 2021'!$PN$4</f>
        <v>9525.0192000000006</v>
      </c>
      <c r="PM22" s="735">
        <v>11607.58</v>
      </c>
      <c r="PN22" s="700">
        <f t="shared" si="725"/>
        <v>0.92616724594108957</v>
      </c>
      <c r="PO22" s="593">
        <f>'Proy 2021 vs 2019 Sem'!GW21*$PR$4</f>
        <v>12532.92</v>
      </c>
      <c r="PP22" s="593">
        <f>'Proy 2021 vs 2019 Sem'!GX21*$PR$4</f>
        <v>9525.0192000000006</v>
      </c>
      <c r="PQ22" s="735">
        <v>10330.14</v>
      </c>
      <c r="PR22" s="700">
        <f t="shared" si="726"/>
        <v>0.82424048027115782</v>
      </c>
      <c r="PS22" s="593">
        <f>'Proy 2021 vs 2019 Sem'!GW21*$PV$4</f>
        <v>14621.740000000002</v>
      </c>
      <c r="PT22" s="593">
        <f>'Proy 2021 vs 2019 Sem'!GX21*$PV$4</f>
        <v>11112.522400000002</v>
      </c>
      <c r="PU22" s="735">
        <v>13615.32</v>
      </c>
      <c r="PV22" s="700">
        <f t="shared" si="727"/>
        <v>0.93116961456023695</v>
      </c>
      <c r="PW22" s="593">
        <f>'Proy 2021 vs 2019 Sem'!GW21*PZ$4</f>
        <v>16710.560000000001</v>
      </c>
      <c r="PX22" s="593">
        <f>'Proy 2021 vs 2019 Sem'!GX21*$PZ$4</f>
        <v>12700.025600000001</v>
      </c>
      <c r="PY22" s="735">
        <v>13476.41</v>
      </c>
      <c r="PZ22" s="700">
        <f t="shared" si="728"/>
        <v>0.80646070508708256</v>
      </c>
      <c r="QA22" s="593">
        <f>'Proy 2021 vs 2019 Sem'!GW21*$QD$4</f>
        <v>22977.02</v>
      </c>
      <c r="QB22" s="593">
        <f>'Proy 2021 vs 2019 Sem'!GX21*$QD$4</f>
        <v>17462.535200000002</v>
      </c>
      <c r="QC22" s="735">
        <v>20190.650000000001</v>
      </c>
      <c r="QD22" s="700">
        <f t="shared" si="729"/>
        <v>0.87873231602705659</v>
      </c>
      <c r="QE22" s="579">
        <f t="shared" si="730"/>
        <v>104441</v>
      </c>
      <c r="QF22" s="574">
        <f t="shared" si="731"/>
        <v>79375.16</v>
      </c>
      <c r="QG22" s="729">
        <f t="shared" si="732"/>
        <v>94604.9</v>
      </c>
      <c r="QH22" s="711">
        <f t="shared" si="733"/>
        <v>0.90582146858034673</v>
      </c>
      <c r="QI22" s="578">
        <f>'Proy 2021 vs 2019 Sem'!HB21*$QL$4</f>
        <v>14140.946399999999</v>
      </c>
      <c r="QJ22" s="611">
        <f>'Proy 2021 vs 2019 Sem'!UG21*$AL$4</f>
        <v>0</v>
      </c>
      <c r="QK22" s="735">
        <v>6008.21</v>
      </c>
      <c r="QL22" s="700">
        <f t="shared" si="734"/>
        <v>0.42488033191328695</v>
      </c>
      <c r="QM22" s="593">
        <f>'Proy 2021 vs 2019 Sem'!HB21*$QP$4</f>
        <v>14140.946399999999</v>
      </c>
      <c r="QN22" s="593">
        <f>'Proy 2021 vs 2019 Sem'!UG21*$AP$4</f>
        <v>0</v>
      </c>
      <c r="QO22" s="735">
        <v>10137.209999999999</v>
      </c>
      <c r="QP22" s="700">
        <f t="shared" si="735"/>
        <v>0.71686927545386914</v>
      </c>
      <c r="QQ22" s="593">
        <f>'Proy 2021 vs 2019 Sem'!HB21*$QT$4</f>
        <v>14140.946399999999</v>
      </c>
      <c r="QR22" s="593">
        <f>'Proy 2021 vs 2019 Sem'!HC21*$QT$4</f>
        <v>11029.938192</v>
      </c>
      <c r="QS22" s="735">
        <v>10519.98</v>
      </c>
      <c r="QT22" s="700">
        <f t="shared" si="736"/>
        <v>0.74393747790459064</v>
      </c>
      <c r="QU22" s="593">
        <f>'Proy 2021 vs 2019 Sem'!HB21*$QX$4</f>
        <v>14140.946399999999</v>
      </c>
      <c r="QV22" s="593">
        <f>'Proy 2021 vs 2019 Sem'!HC21*$QX$4</f>
        <v>11029.938192</v>
      </c>
      <c r="QW22" s="735">
        <v>7864.01</v>
      </c>
      <c r="QX22" s="700">
        <f t="shared" si="737"/>
        <v>0.55611624410088989</v>
      </c>
      <c r="QY22" s="593">
        <f>'Proy 2021 vs 2019 Sem'!HB21*$RB$4</f>
        <v>16497.770800000002</v>
      </c>
      <c r="QZ22" s="593">
        <f>'Proy 2021 vs 2019 Sem'!HC21*$RB$4</f>
        <v>12868.261224000002</v>
      </c>
      <c r="RA22" s="735">
        <v>11827.42</v>
      </c>
      <c r="RB22" s="700">
        <f t="shared" si="738"/>
        <v>0.71691019007246715</v>
      </c>
      <c r="RC22" s="593">
        <f>'Proy 2021 vs 2019 Sem'!HB21*$RF$4</f>
        <v>18854.5952</v>
      </c>
      <c r="RD22" s="593">
        <f>'Proy 2021 vs 2019 Sem'!HC21*$RF$4</f>
        <v>14706.584256</v>
      </c>
      <c r="RE22" s="735">
        <v>11563.54</v>
      </c>
      <c r="RF22" s="700">
        <f t="shared" si="739"/>
        <v>0.61330088911163694</v>
      </c>
      <c r="RG22" s="593">
        <f>'Proy 2021 vs 2019 Sem'!HB21*$RJ$4</f>
        <v>25925.0684</v>
      </c>
      <c r="RH22" s="593">
        <f>'Proy 2021 vs 2019 Sem'!HC21*$RJ$4</f>
        <v>20221.553351999999</v>
      </c>
      <c r="RI22" s="735">
        <v>18902.5</v>
      </c>
      <c r="RJ22" s="700">
        <f t="shared" si="740"/>
        <v>0.72912054496257372</v>
      </c>
      <c r="RK22" s="579">
        <f t="shared" si="741"/>
        <v>117841.22</v>
      </c>
      <c r="RL22" s="574">
        <f t="shared" si="742"/>
        <v>69856.275216000009</v>
      </c>
      <c r="RM22" s="730">
        <f t="shared" si="743"/>
        <v>76822.87</v>
      </c>
      <c r="RN22" s="711">
        <f t="shared" si="744"/>
        <v>0.65191848828448984</v>
      </c>
      <c r="RO22" s="593">
        <f>'Proy 2021 vs 2019 Sem'!HG21*$RR$4</f>
        <v>13384.484399999999</v>
      </c>
      <c r="RP22" s="593">
        <f>'Proy 2021 vs 2019 Sem'!HH21*$RR$4</f>
        <v>10306.052987999999</v>
      </c>
      <c r="RQ22" s="735">
        <v>6522.16</v>
      </c>
      <c r="RR22" s="700">
        <f t="shared" si="745"/>
        <v>0.48729258483800841</v>
      </c>
      <c r="RS22" s="593">
        <f>'Proy 2021 vs 2019 Sem'!HG21*$RV$4</f>
        <v>13384.484399999999</v>
      </c>
      <c r="RT22" s="593">
        <f>'Proy 2021 vs 2019 Sem'!HH21*$RV$4</f>
        <v>10306.052987999999</v>
      </c>
      <c r="RU22" s="735">
        <v>8886.98</v>
      </c>
      <c r="RV22" s="700">
        <f t="shared" si="746"/>
        <v>0.66397626792407483</v>
      </c>
      <c r="RW22" s="593">
        <f>'Proy 2021 vs 2019 Sem'!HG21*$RZ$4</f>
        <v>13384.484399999999</v>
      </c>
      <c r="RX22" s="593">
        <f>'Proy 2021 vs 2019 Sem'!HH21*$RZ$4</f>
        <v>10306.052987999999</v>
      </c>
      <c r="RY22" s="735">
        <v>8066.67</v>
      </c>
      <c r="RZ22" s="700">
        <f t="shared" si="747"/>
        <v>0.60268813941013677</v>
      </c>
      <c r="SA22" s="593">
        <f>'Proy 2021 vs 2019 Sem'!HG21*$SD$4</f>
        <v>13384.484399999999</v>
      </c>
      <c r="SB22" s="593">
        <f>'Proy 2021 vs 2019 Sem'!HH21*$SD$4</f>
        <v>10306.052987999999</v>
      </c>
      <c r="SC22" s="735">
        <v>12811.83</v>
      </c>
      <c r="SD22" s="700">
        <f t="shared" si="748"/>
        <v>0.95721505715976629</v>
      </c>
      <c r="SE22" s="593">
        <f>'Proy 2021 vs 2019 Sem'!HG21*$SH$4</f>
        <v>15615.231800000001</v>
      </c>
      <c r="SF22" s="593">
        <f>'Proy 2021 vs 2019 Sem'!HH21*$SH$4</f>
        <v>12023.728486000002</v>
      </c>
      <c r="SG22" s="735">
        <v>11617.64</v>
      </c>
      <c r="SH22" s="700">
        <f t="shared" si="749"/>
        <v>0.74399407890954261</v>
      </c>
      <c r="SI22" s="593">
        <f>'Proy 2021 vs 2019 Sem'!HG21*$SL$4</f>
        <v>17845.979199999998</v>
      </c>
      <c r="SJ22" s="593">
        <f>'Proy 2021 vs 2019 Sem'!HH21*$SL$4</f>
        <v>13741.403984</v>
      </c>
      <c r="SK22" s="735">
        <v>10960.35</v>
      </c>
      <c r="SL22" s="700">
        <f t="shared" si="750"/>
        <v>0.61416355343505058</v>
      </c>
      <c r="SM22" s="593">
        <f>'Proy 2021 vs 2019 Sem'!HG21*$SP$4</f>
        <v>24538.221399999999</v>
      </c>
      <c r="SN22" s="593">
        <f>'Proy 2021 vs 2019 Sem'!HH21*$SP$4</f>
        <v>18894.430478000002</v>
      </c>
      <c r="SO22" s="735">
        <v>16519.689999999999</v>
      </c>
      <c r="SP22" s="700">
        <f t="shared" si="751"/>
        <v>0.67322279519411299</v>
      </c>
      <c r="SQ22" s="579">
        <f t="shared" si="752"/>
        <v>111537.37</v>
      </c>
      <c r="SR22" s="574">
        <f t="shared" si="753"/>
        <v>85883.774899999989</v>
      </c>
      <c r="SS22" s="730">
        <f t="shared" si="754"/>
        <v>75385.319999999992</v>
      </c>
      <c r="ST22" s="711">
        <f t="shared" si="755"/>
        <v>0.67587500045948723</v>
      </c>
      <c r="SU22" s="593">
        <f>'Proy 2021 vs 2019 Sem'!HL21*$SX$4</f>
        <v>11811.39</v>
      </c>
      <c r="SV22" s="593">
        <f>'Proy 2021 vs 2019 Sem'!HM21*$SX$4</f>
        <v>8976.6563999999998</v>
      </c>
      <c r="SW22" s="735">
        <v>7422.46</v>
      </c>
      <c r="SX22" s="700">
        <f t="shared" si="756"/>
        <v>0.62841545321930781</v>
      </c>
      <c r="SY22" s="593">
        <f>'Proy 2021 vs 2019 Sem'!HL21*$TB$4</f>
        <v>11811.39</v>
      </c>
      <c r="SZ22" s="593">
        <f>'Proy 2021 vs 2019 Sem'!HM21*$TB$4</f>
        <v>8976.6563999999998</v>
      </c>
      <c r="TA22" s="735">
        <v>8679.0499999999993</v>
      </c>
      <c r="TB22" s="700">
        <f t="shared" si="757"/>
        <v>0.73480343973063289</v>
      </c>
      <c r="TC22" s="593">
        <f>'Proy 2021 vs 2019 Sem'!HL21*$TF$4</f>
        <v>11811.39</v>
      </c>
      <c r="TD22" s="593">
        <f>'Proy 2021 vs 2019 Sem'!HM21*$TF$4</f>
        <v>8976.6563999999998</v>
      </c>
      <c r="TE22" s="735">
        <v>6238.29</v>
      </c>
      <c r="TF22" s="700">
        <f t="shared" si="758"/>
        <v>0.52815883651289142</v>
      </c>
      <c r="TG22" s="593">
        <f>'Proy 2021 vs 2019 Sem'!HL21*$TJ$4</f>
        <v>11811.39</v>
      </c>
      <c r="TH22" s="593">
        <f>'Proy 2021 vs 2019 Sem'!HM21*$TJ$4</f>
        <v>8976.6563999999998</v>
      </c>
      <c r="TI22" s="735">
        <v>5770.59</v>
      </c>
      <c r="TJ22" s="700">
        <f t="shared" si="759"/>
        <v>0.48856146482336121</v>
      </c>
      <c r="TK22" s="593">
        <f>'Proy 2021 vs 2019 Sem'!HL21*$TN$4</f>
        <v>13779.955000000002</v>
      </c>
      <c r="TL22" s="593">
        <f>'Proy 2021 vs 2019 Sem'!HM21*$TN$4</f>
        <v>10472.765800000001</v>
      </c>
      <c r="TM22" s="735">
        <v>10169.75</v>
      </c>
      <c r="TN22" s="700">
        <f t="shared" si="760"/>
        <v>0.73801039263190615</v>
      </c>
      <c r="TO22" s="593">
        <f>'Proy 2021 vs 2019 Sem'!HL21*$TR$4</f>
        <v>15748.52</v>
      </c>
      <c r="TP22" s="611">
        <f>'Proy 2021 vs 2019 Sem'!HM21*$TR$4</f>
        <v>11968.8752</v>
      </c>
      <c r="TQ22" s="735">
        <v>10864.09</v>
      </c>
      <c r="TR22" s="700">
        <f t="shared" si="761"/>
        <v>0.68984831590524065</v>
      </c>
      <c r="TS22" s="593">
        <f>'Proy 2021 vs 2019 Sem'!HL21*$TV$4</f>
        <v>21654.215</v>
      </c>
      <c r="TT22" s="593">
        <f>'Proy 2021 vs 2019 Sem'!HM21*$TV$4</f>
        <v>16457.203400000002</v>
      </c>
      <c r="TU22" s="735">
        <v>18124.240000000002</v>
      </c>
      <c r="TV22" s="700">
        <f t="shared" si="762"/>
        <v>0.83698439310776218</v>
      </c>
      <c r="TW22" s="579">
        <f t="shared" si="763"/>
        <v>98428.25</v>
      </c>
      <c r="TX22" s="574">
        <f t="shared" si="764"/>
        <v>74805.47</v>
      </c>
      <c r="TY22" s="710">
        <f t="shared" si="765"/>
        <v>67268.47</v>
      </c>
      <c r="TZ22" s="711">
        <f t="shared" si="766"/>
        <v>0.68342645531135626</v>
      </c>
      <c r="UA22" s="593">
        <v>15938.09</v>
      </c>
      <c r="UB22" s="593">
        <f>'Proy 2021 vs 2019 Sem'!HR21*$UD$4</f>
        <v>10257.178271999999</v>
      </c>
      <c r="UC22" s="735">
        <v>5966.02</v>
      </c>
      <c r="UD22" s="700">
        <f t="shared" si="767"/>
        <v>0.3743246524520818</v>
      </c>
      <c r="UE22" s="593">
        <v>13393.64</v>
      </c>
      <c r="UF22" s="593">
        <f>'Proy 2021 vs 2019 Sem'!HR21*$UH$4</f>
        <v>10257.178271999999</v>
      </c>
      <c r="UG22" s="735">
        <v>8113.51</v>
      </c>
      <c r="UH22" s="700">
        <f t="shared" si="768"/>
        <v>0.60577333719586313</v>
      </c>
      <c r="UI22" s="593">
        <v>12705.09</v>
      </c>
      <c r="UJ22" s="593">
        <f>'Proy 2021 vs 2019 Sem'!HR21*$UL$4</f>
        <v>10257.178271999999</v>
      </c>
      <c r="UK22" s="735">
        <v>7811.59</v>
      </c>
      <c r="UL22" s="700">
        <f t="shared" si="769"/>
        <v>0.61483940688338301</v>
      </c>
      <c r="UM22" s="593">
        <v>11155</v>
      </c>
      <c r="UN22" s="593">
        <f>'Proy 2021 vs 2019 Sem'!HR21*$UP$4</f>
        <v>10257.178271999999</v>
      </c>
      <c r="UO22" s="735">
        <v>6606.98</v>
      </c>
      <c r="UP22" s="700">
        <f t="shared" si="770"/>
        <v>0.5922886597938144</v>
      </c>
      <c r="UQ22" s="593">
        <v>16047.41</v>
      </c>
      <c r="UR22" s="593">
        <f>'Proy 2021 vs 2019 Sem'!HR21*$UT$4</f>
        <v>11966.707984000001</v>
      </c>
      <c r="US22" s="735">
        <v>10806.49</v>
      </c>
      <c r="UT22" s="700">
        <f t="shared" si="771"/>
        <v>0.6734102263231263</v>
      </c>
      <c r="UU22" s="593">
        <v>17574.95</v>
      </c>
      <c r="UV22" s="593">
        <f>'Proy 2021 vs 2019 Sem'!HR21*$UX$4</f>
        <v>13676.237696</v>
      </c>
      <c r="UW22" s="735">
        <v>16025.08</v>
      </c>
      <c r="UX22" s="700">
        <f t="shared" si="772"/>
        <v>0.91181368937038221</v>
      </c>
      <c r="UY22" s="593">
        <v>25654.880000000001</v>
      </c>
      <c r="UZ22" s="593">
        <f>'Proy 2021 vs 2019 Sem'!HR21*$VB$4</f>
        <v>18804.826831999999</v>
      </c>
      <c r="VA22" s="735">
        <v>18673.54</v>
      </c>
      <c r="VB22" s="700">
        <f t="shared" si="773"/>
        <v>0.72787477470173312</v>
      </c>
      <c r="VC22" s="577">
        <f>UA22+UE22+UI22+UM22+UQ22+UU22+UY22</f>
        <v>112469.06</v>
      </c>
      <c r="VD22" s="574">
        <f t="shared" si="774"/>
        <v>85476.485599999985</v>
      </c>
      <c r="VE22" s="710">
        <f t="shared" si="775"/>
        <v>74003.210000000006</v>
      </c>
      <c r="VF22" s="1531">
        <f t="shared" si="776"/>
        <v>0.65798727223291464</v>
      </c>
      <c r="VG22" s="593">
        <v>14710.35</v>
      </c>
      <c r="VH22" s="593">
        <f>'Proy 2021 vs 2019 Sem'!IA21*$VJ$4</f>
        <v>7329.0824640000001</v>
      </c>
      <c r="VI22" s="735">
        <v>6861.35</v>
      </c>
      <c r="VJ22" s="700">
        <f t="shared" si="777"/>
        <v>0.46643009853606476</v>
      </c>
      <c r="VK22" s="593">
        <v>10606.58</v>
      </c>
      <c r="VL22" s="593">
        <f>'Proy 2021 vs 2019 Sem'!IA21*$VN$4</f>
        <v>7329.0824640000001</v>
      </c>
      <c r="VM22" s="735">
        <v>5772.29</v>
      </c>
      <c r="VN22" s="700">
        <f t="shared" si="778"/>
        <v>0.54421783458947182</v>
      </c>
      <c r="VO22" s="593">
        <v>8726.7999999999993</v>
      </c>
      <c r="VP22" s="593">
        <f>'Proy 2021 vs 2019 Sem'!IA21*$VR$4</f>
        <v>7329.0824640000001</v>
      </c>
      <c r="VQ22" s="735">
        <v>7715.84</v>
      </c>
      <c r="VR22" s="700">
        <f t="shared" si="779"/>
        <v>0.88415455837191193</v>
      </c>
      <c r="VS22" s="593">
        <v>9326.7999999999993</v>
      </c>
      <c r="VT22" s="593">
        <f>'Proy 2021 vs 2019 Sem'!IA21*$VV$4</f>
        <v>7329.0824640000001</v>
      </c>
      <c r="VU22" s="735">
        <v>9004.67</v>
      </c>
      <c r="VV22" s="700">
        <f t="shared" si="780"/>
        <v>0.96546189475489996</v>
      </c>
      <c r="VW22" s="593">
        <v>11272.62</v>
      </c>
      <c r="VX22" s="593">
        <f>'Proy 2021 vs 2019 Sem'!IA21*$VZ$4</f>
        <v>8550.5962080000008</v>
      </c>
      <c r="VY22" s="735">
        <v>8469.51</v>
      </c>
      <c r="VZ22" s="700">
        <f t="shared" si="781"/>
        <v>0.75133464979747389</v>
      </c>
      <c r="WA22" s="593">
        <v>13202.02</v>
      </c>
      <c r="WB22" s="593">
        <f>'Proy 2021 vs 2019 Sem'!IA21*$WD$4</f>
        <v>9772.1099520000007</v>
      </c>
      <c r="WC22" s="735">
        <v>9337.2800000000007</v>
      </c>
      <c r="WD22" s="700">
        <f t="shared" si="782"/>
        <v>0.70726146453345784</v>
      </c>
      <c r="WE22" s="593">
        <v>24693.75</v>
      </c>
      <c r="WF22" s="593">
        <f>'Proy 2021 vs 2019 Sem'!IA21*$WH$4</f>
        <v>13436.651184</v>
      </c>
      <c r="WG22" s="735">
        <v>22928.240000000002</v>
      </c>
      <c r="WH22" s="1538">
        <f t="shared" si="783"/>
        <v>0.92850377119716532</v>
      </c>
      <c r="WI22" s="574">
        <f t="shared" si="784"/>
        <v>43370.53</v>
      </c>
      <c r="WJ22" s="575">
        <f t="shared" si="785"/>
        <v>61075.6872</v>
      </c>
      <c r="WK22" s="793">
        <f t="shared" si="786"/>
        <v>70089.180000000008</v>
      </c>
      <c r="WL22" s="786">
        <f t="shared" si="787"/>
        <v>1.6160554182759586</v>
      </c>
      <c r="WM22" s="593">
        <v>12697.88</v>
      </c>
      <c r="WN22" s="593">
        <f>'Proy 2021 vs 2019 Sem'!IF21*$WP$4</f>
        <v>8912.5763999999999</v>
      </c>
      <c r="WO22" s="735">
        <v>6150.64</v>
      </c>
      <c r="WP22" s="700">
        <f t="shared" si="788"/>
        <v>0.48438321987607386</v>
      </c>
      <c r="WQ22" s="593">
        <v>11224.28</v>
      </c>
      <c r="WR22" s="593">
        <f>'Proy 2021 vs 2019 Sem'!IF21*$WT$4</f>
        <v>8912.5763999999999</v>
      </c>
      <c r="WS22" s="735">
        <v>7285.52</v>
      </c>
      <c r="WT22" s="700">
        <f t="shared" si="789"/>
        <v>0.64908573200240904</v>
      </c>
      <c r="WU22" s="593">
        <v>11826.56</v>
      </c>
      <c r="WV22" s="593">
        <f>'Proy 2021 vs 2019 Sem'!IF21*$WX$4</f>
        <v>8912.5763999999999</v>
      </c>
      <c r="WW22" s="735">
        <v>9967.93</v>
      </c>
      <c r="WX22" s="700">
        <f t="shared" si="790"/>
        <v>0.84284272011472483</v>
      </c>
      <c r="WY22" s="593">
        <v>12836.35</v>
      </c>
      <c r="WZ22" s="593">
        <f>'Proy 2021 vs 2019 Sem'!IF21*$XB$4</f>
        <v>8912.5763999999999</v>
      </c>
      <c r="XA22" s="735">
        <v>7626.71</v>
      </c>
      <c r="XB22" s="700">
        <f t="shared" si="791"/>
        <v>0.59414942721256425</v>
      </c>
      <c r="XC22" s="593">
        <v>15242.3</v>
      </c>
      <c r="XD22" s="1547">
        <f>'Proy 2021 vs 2019 Sem'!IF21*$XF$4</f>
        <v>10398.005800000001</v>
      </c>
      <c r="XE22" s="735">
        <v>11911.37</v>
      </c>
      <c r="XF22" s="700">
        <f t="shared" si="792"/>
        <v>0.78146801991825388</v>
      </c>
      <c r="XG22" s="593">
        <v>18928.240000000002</v>
      </c>
      <c r="XH22" s="593">
        <f>'Proy 2021 vs 2019 Sem'!IF21*$XJ$4</f>
        <v>11883.4352</v>
      </c>
      <c r="XI22" s="735">
        <v>18880.73</v>
      </c>
      <c r="XJ22" s="700">
        <f t="shared" si="793"/>
        <v>0.99748999378706094</v>
      </c>
      <c r="XK22" s="593">
        <v>26467.14</v>
      </c>
      <c r="XL22" s="593">
        <f>'Proy 2021 vs 2019 Sem'!IF21*$XN$4</f>
        <v>16339.723400000001</v>
      </c>
      <c r="XM22" s="735">
        <v>26357.56</v>
      </c>
      <c r="XN22" s="700">
        <f t="shared" si="794"/>
        <v>0.99585977177738139</v>
      </c>
      <c r="XO22" s="579">
        <f t="shared" si="795"/>
        <v>109222.75</v>
      </c>
      <c r="XP22" s="574">
        <f t="shared" si="796"/>
        <v>74271.47</v>
      </c>
      <c r="XQ22" s="794">
        <f t="shared" si="797"/>
        <v>88180.459999999992</v>
      </c>
      <c r="XR22" s="786">
        <f t="shared" si="798"/>
        <v>0.80734517305231734</v>
      </c>
      <c r="XS22" s="593">
        <v>17793.93</v>
      </c>
      <c r="XT22" s="593">
        <f>'Proy 2021 vs 2019 Sem'!IK21*$XV$4</f>
        <v>10618.959935999997</v>
      </c>
      <c r="XU22" s="735">
        <v>7443.37</v>
      </c>
      <c r="XV22" s="700">
        <f t="shared" si="799"/>
        <v>0.418309502172932</v>
      </c>
      <c r="XW22" s="593">
        <v>13957.13</v>
      </c>
      <c r="XX22" s="593">
        <f>'Proy 2021 vs 2019 Sem'!IK21*$XZ$4</f>
        <v>10618.959935999997</v>
      </c>
      <c r="XY22" s="735">
        <v>9868.15</v>
      </c>
      <c r="XZ22" s="700">
        <f t="shared" si="800"/>
        <v>0.7070328928655103</v>
      </c>
      <c r="YA22" s="593">
        <v>13028.59</v>
      </c>
      <c r="YB22" s="593">
        <f>'Proy 2021 vs 2019 Sem'!IK21*$YD$4</f>
        <v>10618.959935999997</v>
      </c>
      <c r="YC22" s="735">
        <v>8253.1200000000008</v>
      </c>
      <c r="YD22" s="700">
        <f t="shared" si="801"/>
        <v>0.63346225493318931</v>
      </c>
      <c r="YE22" s="593">
        <v>13107.31</v>
      </c>
      <c r="YF22" s="593">
        <f>'Proy 2021 vs 2019 Sem'!IK21*$YH$4</f>
        <v>10618.959935999997</v>
      </c>
      <c r="YG22" s="735">
        <v>7887.49</v>
      </c>
      <c r="YH22" s="700">
        <f t="shared" si="802"/>
        <v>0.60176268051949633</v>
      </c>
      <c r="YI22" s="593">
        <v>13205.95</v>
      </c>
      <c r="YJ22" s="593">
        <f>'Proy 2021 vs 2019 Sem'!IK21*$YL$4</f>
        <v>12388.786592</v>
      </c>
      <c r="YK22" s="735">
        <v>10828.72</v>
      </c>
      <c r="YL22" s="700">
        <f t="shared" si="803"/>
        <v>0.819987959972588</v>
      </c>
      <c r="YM22" s="593">
        <v>18933.12</v>
      </c>
      <c r="YN22" s="593">
        <f>'Proy 2021 vs 2019 Sem'!IK21*$YP$4</f>
        <v>14158.613247999998</v>
      </c>
      <c r="YO22" s="735">
        <v>16096.28</v>
      </c>
      <c r="YP22" s="700">
        <f t="shared" si="804"/>
        <v>0.85016521312916205</v>
      </c>
      <c r="YQ22" s="593">
        <v>34609.65</v>
      </c>
      <c r="YR22" s="593">
        <f>'Proy 2021 vs 2019 Sem'!IK21*$YT$4</f>
        <v>19468.093215999997</v>
      </c>
      <c r="YS22" s="735">
        <v>26042.98</v>
      </c>
      <c r="YT22" s="700">
        <f t="shared" si="805"/>
        <v>0.75247741598080298</v>
      </c>
      <c r="YU22" s="579">
        <f t="shared" si="806"/>
        <v>124635.68</v>
      </c>
      <c r="YV22" s="574">
        <f t="shared" si="807"/>
        <v>88491.332799999975</v>
      </c>
      <c r="YW22" s="794">
        <f t="shared" si="808"/>
        <v>86420.11</v>
      </c>
      <c r="YX22" s="786">
        <f t="shared" si="809"/>
        <v>0.69338178280890361</v>
      </c>
      <c r="YY22" s="593">
        <v>18554.12</v>
      </c>
      <c r="YZ22" s="593">
        <f>'Proy 2021 vs 2019 Sem'!IP21*$ZB$4</f>
        <v>13860.573552</v>
      </c>
      <c r="ZA22" s="735">
        <v>8769.66</v>
      </c>
      <c r="ZB22" s="700">
        <f t="shared" si="810"/>
        <v>0.47265297411033241</v>
      </c>
      <c r="ZC22" s="593">
        <v>12434.53</v>
      </c>
      <c r="ZD22" s="593">
        <f>'Proy 2021 vs 2019 Sem'!IP21*$ZF$4</f>
        <v>13860.573552</v>
      </c>
      <c r="ZE22" s="735">
        <v>11023.8</v>
      </c>
      <c r="ZF22" s="700">
        <f t="shared" si="811"/>
        <v>0.88654738056042315</v>
      </c>
      <c r="ZG22" s="593">
        <v>19255.63</v>
      </c>
      <c r="ZH22" s="593">
        <f>'Proy 2021 vs 2019 Sem'!IP21*$ZJ$4</f>
        <v>13860.573552</v>
      </c>
      <c r="ZI22" s="735">
        <v>17832.25</v>
      </c>
      <c r="ZJ22" s="700">
        <f t="shared" si="812"/>
        <v>0.92607980107636045</v>
      </c>
      <c r="ZK22" s="593">
        <v>26794.78</v>
      </c>
      <c r="ZL22" s="593">
        <f>'Proy 2021 vs 2019 Sem'!IP21*$ZN$4</f>
        <v>13860.573552</v>
      </c>
      <c r="ZM22" s="735">
        <v>15907.54</v>
      </c>
      <c r="ZN22" s="700">
        <f t="shared" si="813"/>
        <v>0.5936805601688091</v>
      </c>
      <c r="ZO22" s="593">
        <v>34107.49</v>
      </c>
      <c r="ZP22" s="593">
        <f>'Proy 2021 vs 2019 Sem'!IP21*$ZR$4</f>
        <v>16170.669144000003</v>
      </c>
      <c r="ZQ22" s="735">
        <v>19276.43</v>
      </c>
      <c r="ZR22" s="700">
        <f t="shared" si="814"/>
        <v>0.56516706447762655</v>
      </c>
      <c r="ZS22" s="593">
        <v>21541.7</v>
      </c>
      <c r="ZT22" s="593">
        <f>'Proy 2021 vs 2019 Sem'!IP21*$ZV$4</f>
        <v>18480.764736000001</v>
      </c>
      <c r="ZU22" s="735">
        <v>27995.87</v>
      </c>
      <c r="ZV22" s="700">
        <f t="shared" si="815"/>
        <v>1.2996128439259667</v>
      </c>
      <c r="ZW22" s="593">
        <v>23399.29</v>
      </c>
      <c r="ZX22" s="593">
        <f>'Proy 2021 vs 2019 Sem'!IP21*$ZZ$4</f>
        <v>25411.051512000002</v>
      </c>
      <c r="ZY22" s="735">
        <v>41967.41</v>
      </c>
      <c r="ZZ22" s="700">
        <f t="shared" si="816"/>
        <v>1.793533479007269</v>
      </c>
      <c r="AAA22" s="579">
        <f t="shared" si="817"/>
        <v>156087.54</v>
      </c>
      <c r="AAB22" s="574">
        <f t="shared" si="818"/>
        <v>115504.77960000001</v>
      </c>
      <c r="AAC22" s="785">
        <f t="shared" si="819"/>
        <v>142772.96</v>
      </c>
      <c r="AAD22" s="786">
        <f t="shared" si="820"/>
        <v>0.91469799575289601</v>
      </c>
      <c r="AAE22" s="593">
        <v>16115.94</v>
      </c>
      <c r="AAF22" s="593">
        <f>'Proy 2021 vs 2019 Sem'!IY21*$AAH$4</f>
        <v>9506.1074879999996</v>
      </c>
      <c r="AAG22" s="735">
        <v>18082.330000000002</v>
      </c>
      <c r="AAH22" s="700">
        <f t="shared" si="821"/>
        <v>1.1220152221961612</v>
      </c>
      <c r="AAI22" s="593">
        <v>12490.66</v>
      </c>
      <c r="AAJ22" s="593">
        <f>'Proy 2021 vs 2019 Sem'!IY21*$AAL$4</f>
        <v>9506.1074879999996</v>
      </c>
      <c r="AAK22" s="735">
        <v>13267.21</v>
      </c>
      <c r="AAL22" s="700">
        <f t="shared" si="822"/>
        <v>1.0621704537630516</v>
      </c>
      <c r="AAM22" s="593">
        <v>13699.69</v>
      </c>
      <c r="AAN22" s="593">
        <f>'Proy 2021 vs 2019 Sem'!IY21*$AAP$4</f>
        <v>9506.1074879999996</v>
      </c>
      <c r="AAO22" s="735">
        <v>7603.95</v>
      </c>
      <c r="AAP22" s="700">
        <f t="shared" si="823"/>
        <v>0.5550454061369271</v>
      </c>
      <c r="AAQ22" s="593">
        <v>8855.2999999999993</v>
      </c>
      <c r="AAR22" s="593">
        <f>'Proy 2021 vs 2019 Sem'!IY21*$AAT$4</f>
        <v>9506.1074879999996</v>
      </c>
      <c r="AAS22" s="735">
        <v>6900.2</v>
      </c>
      <c r="AAT22" s="700">
        <f t="shared" si="824"/>
        <v>0.7792169661106908</v>
      </c>
      <c r="AAU22" s="593">
        <v>12276.73</v>
      </c>
      <c r="AAV22" s="593">
        <f>'Proy 2021 vs 2019 Sem'!IY21*$AAX$4</f>
        <v>11090.458736</v>
      </c>
      <c r="AAW22" s="735">
        <v>9964.3700000000008</v>
      </c>
      <c r="AAX22" s="700">
        <f t="shared" si="825"/>
        <v>0.81164691249217025</v>
      </c>
      <c r="AAY22" s="593">
        <v>16691.7</v>
      </c>
      <c r="AAZ22" s="593">
        <f>'Proy 2021 vs 2019 Sem'!IY21*$ABB$4</f>
        <v>12674.809984</v>
      </c>
      <c r="ABA22" s="735">
        <v>13521.54</v>
      </c>
      <c r="ABB22" s="700">
        <f t="shared" si="826"/>
        <v>0.81007566634914363</v>
      </c>
      <c r="ABC22" s="593">
        <v>26920.74</v>
      </c>
      <c r="ABD22" s="593">
        <f>'Proy 2021 vs 2019 Sem'!IY21*$ABF$4</f>
        <v>17427.863728</v>
      </c>
      <c r="ABE22" s="735">
        <v>19899.53</v>
      </c>
      <c r="ABF22" s="700">
        <f t="shared" si="827"/>
        <v>0.73918956165395144</v>
      </c>
      <c r="ABG22" s="579">
        <f t="shared" si="828"/>
        <v>107050.76</v>
      </c>
      <c r="ABH22" s="574">
        <f t="shared" si="829"/>
        <v>79217.562399999995</v>
      </c>
      <c r="ABI22" s="759">
        <f t="shared" si="830"/>
        <v>89239.13</v>
      </c>
      <c r="ABJ22" s="761">
        <f t="shared" si="831"/>
        <v>0.83361509997687089</v>
      </c>
      <c r="ABK22" s="593">
        <v>13126.2</v>
      </c>
      <c r="ABL22" s="593">
        <f>'Proy 2021 vs 2019 Sem'!JD21*$ABN$4</f>
        <v>12906.180672</v>
      </c>
      <c r="ABM22" s="735">
        <v>8015.89</v>
      </c>
      <c r="ABN22" s="700">
        <f t="shared" si="832"/>
        <v>0.61067864271457084</v>
      </c>
      <c r="ABO22" s="593">
        <v>11517.45</v>
      </c>
      <c r="ABP22" s="593">
        <f>'Proy 2021 vs 2019 Sem'!JD21*$ABR$4</f>
        <v>12906.180672</v>
      </c>
      <c r="ABQ22" s="735">
        <v>10019.08</v>
      </c>
      <c r="ABR22" s="700">
        <f t="shared" si="833"/>
        <v>0.86990436251079872</v>
      </c>
      <c r="ABS22" s="593">
        <v>12086.99</v>
      </c>
      <c r="ABT22" s="593">
        <f>'Proy 2021 vs 2019 Sem'!JD21*$ABV$4</f>
        <v>12906.180672</v>
      </c>
      <c r="ABU22" s="735">
        <v>9741.5400000000009</v>
      </c>
      <c r="ABV22" s="700">
        <f t="shared" si="834"/>
        <v>0.80595251588691652</v>
      </c>
      <c r="ABW22" s="593">
        <v>13324.72</v>
      </c>
      <c r="ABX22" s="593">
        <f>'Proy 2021 vs 2019 Sem'!JD21*$ABZ$4</f>
        <v>12906.180672</v>
      </c>
      <c r="ABY22" s="735">
        <v>8206.6</v>
      </c>
      <c r="ABZ22" s="700">
        <f t="shared" si="835"/>
        <v>0.61589286679194766</v>
      </c>
      <c r="ACA22" s="593">
        <v>21356.02</v>
      </c>
      <c r="ACB22" s="593">
        <f>'Proy 2021 vs 2019 Sem'!JD21*$ACD$4</f>
        <v>15057.210784000003</v>
      </c>
      <c r="ACC22" s="735">
        <v>10849.58</v>
      </c>
      <c r="ACD22" s="700">
        <f t="shared" si="836"/>
        <v>0.50803380030548762</v>
      </c>
      <c r="ACE22" s="593">
        <v>27402.16</v>
      </c>
      <c r="ACF22" s="593">
        <f>'Proy 2021 vs 2019 Sem'!JD21*$ACH$4</f>
        <v>17208.240895999999</v>
      </c>
      <c r="ACG22" s="735">
        <v>21447.19</v>
      </c>
      <c r="ACH22" s="700">
        <f t="shared" si="837"/>
        <v>0.78268246006884123</v>
      </c>
      <c r="ACI22" s="593">
        <v>37147.46</v>
      </c>
      <c r="ACJ22" s="593">
        <f>'Proy 2021 vs 2019 Sem'!JD21*$ACL$4</f>
        <v>23661.331232</v>
      </c>
      <c r="ACK22" s="735">
        <v>30428.02</v>
      </c>
      <c r="ACL22" s="700">
        <f t="shared" si="838"/>
        <v>0.81911441589815293</v>
      </c>
      <c r="ACM22" s="579">
        <f t="shared" si="839"/>
        <v>135961</v>
      </c>
      <c r="ACN22" s="574">
        <f t="shared" si="840"/>
        <v>107551.5056</v>
      </c>
      <c r="ACO22" s="765">
        <f t="shared" si="841"/>
        <v>98707.900000000009</v>
      </c>
      <c r="ACP22" s="761">
        <f t="shared" si="842"/>
        <v>0.72600157398077392</v>
      </c>
      <c r="ACQ22" s="593">
        <v>25549.74</v>
      </c>
      <c r="ACR22" s="593">
        <f>'Proy 2021 vs 2019 Sem'!JI21*$ACT$4</f>
        <v>14343.016320000001</v>
      </c>
      <c r="ACS22" s="735">
        <v>12962.09</v>
      </c>
      <c r="ACT22" s="700">
        <f t="shared" si="843"/>
        <v>0.50732766752225267</v>
      </c>
      <c r="ACU22" s="593">
        <v>22115.55</v>
      </c>
      <c r="ACV22" s="593">
        <f>'Proy 2021 vs 2019 Sem'!JI21*$ACX$4</f>
        <v>14343.016320000001</v>
      </c>
      <c r="ACW22" s="735">
        <v>21063.49</v>
      </c>
      <c r="ACX22" s="700">
        <f t="shared" si="844"/>
        <v>0.95242894705309167</v>
      </c>
      <c r="ACY22" s="593">
        <v>18874.759999999998</v>
      </c>
      <c r="ACZ22" s="593">
        <f>'Proy 2021 vs 2019 Sem'!JI21*$ADB$4</f>
        <v>14343.016320000001</v>
      </c>
      <c r="ADA22" s="735">
        <v>14986.94</v>
      </c>
      <c r="ADB22" s="700">
        <f t="shared" si="845"/>
        <v>0.79402016237557471</v>
      </c>
      <c r="ADC22" s="593">
        <v>15441.08</v>
      </c>
      <c r="ADD22" s="593">
        <f>'Proy 2021 vs 2019 Sem'!JI21*$ADF$4</f>
        <v>14343.016320000001</v>
      </c>
      <c r="ADE22" s="735">
        <v>13364.5</v>
      </c>
      <c r="ADF22" s="700">
        <f t="shared" si="846"/>
        <v>0.86551588360399656</v>
      </c>
      <c r="ADG22" s="593">
        <v>15284.97</v>
      </c>
      <c r="ADH22" s="593">
        <f>'Proy 2021 vs 2019 Sem'!JI21*$ADJ$4</f>
        <v>16733.519040000003</v>
      </c>
      <c r="ADI22" s="735">
        <v>15635.91</v>
      </c>
      <c r="ADJ22" s="700">
        <f t="shared" si="847"/>
        <v>1.0229598095383896</v>
      </c>
      <c r="ADK22" s="593">
        <v>16516.78</v>
      </c>
      <c r="ADL22" s="593">
        <f>'Proy 2021 vs 2019 Sem'!JI21*$ADN$4</f>
        <v>19124.021760000003</v>
      </c>
      <c r="ADM22" s="735">
        <v>17766.330000000002</v>
      </c>
      <c r="ADN22" s="700">
        <f t="shared" si="848"/>
        <v>1.0756533658497602</v>
      </c>
      <c r="ADO22" s="593">
        <v>33431.47</v>
      </c>
      <c r="ADP22" s="593">
        <f>'Proy 2021 vs 2019 Sem'!JI21*$ADR$4</f>
        <v>26295.529920000004</v>
      </c>
      <c r="ADQ22" s="735">
        <v>26519.97</v>
      </c>
      <c r="ADR22" s="700">
        <f t="shared" si="849"/>
        <v>0.7932636524807315</v>
      </c>
      <c r="ADS22" s="579">
        <f t="shared" si="850"/>
        <v>147214.35</v>
      </c>
      <c r="ADT22" s="574">
        <f t="shared" si="851"/>
        <v>119525.13600000001</v>
      </c>
      <c r="ADU22" s="765">
        <f t="shared" si="852"/>
        <v>122299.23000000001</v>
      </c>
      <c r="ADV22" s="761">
        <f t="shared" si="853"/>
        <v>0.83075617288667858</v>
      </c>
      <c r="ADW22" s="593">
        <v>22180</v>
      </c>
      <c r="ADX22" s="593">
        <f>'Proy 2021 vs 2019 Sem'!JN21*$ADZ$4</f>
        <v>15472.98912</v>
      </c>
      <c r="ADY22" s="735">
        <v>14073.07</v>
      </c>
      <c r="ADZ22" s="700">
        <f t="shared" si="854"/>
        <v>0.63449368800721373</v>
      </c>
      <c r="AEA22" s="593">
        <v>17546.599999999999</v>
      </c>
      <c r="AEB22" s="593">
        <f>'Proy 2021 vs 2019 Sem'!JN21*$AED$4</f>
        <v>15472.98912</v>
      </c>
      <c r="AEC22" s="735">
        <v>15781</v>
      </c>
      <c r="AED22" s="700">
        <f t="shared" si="855"/>
        <v>0.89937651738798408</v>
      </c>
      <c r="AEE22" s="593">
        <v>14710.18</v>
      </c>
      <c r="AEF22" s="593">
        <f>'Proy 2021 vs 2019 Sem'!JN21*$AEH$4</f>
        <v>15472.98912</v>
      </c>
      <c r="AEG22" s="735">
        <v>12630</v>
      </c>
      <c r="AEH22" s="700">
        <f t="shared" si="856"/>
        <v>0.85858908592552907</v>
      </c>
      <c r="AEI22" s="593">
        <v>14851.4</v>
      </c>
      <c r="AEJ22" s="593">
        <f>'Proy 2021 vs 2019 Sem'!JN21*$AEL$4</f>
        <v>15472.98912</v>
      </c>
      <c r="AEK22" s="735">
        <v>14652</v>
      </c>
      <c r="AEL22" s="700">
        <f t="shared" si="857"/>
        <v>0.98657365635562977</v>
      </c>
      <c r="AEM22" s="593">
        <v>22611.75</v>
      </c>
      <c r="AEN22" s="593">
        <f>'Proy 2021 vs 2019 Sem'!JN21*$AEP$4</f>
        <v>18051.820640000002</v>
      </c>
      <c r="AEO22" s="735">
        <v>20274</v>
      </c>
      <c r="AEP22" s="700">
        <f t="shared" si="858"/>
        <v>0.8966134863511227</v>
      </c>
      <c r="AEQ22" s="593">
        <v>28742.400000000001</v>
      </c>
      <c r="AER22" s="593">
        <f>'Proy 2021 vs 2019 Sem'!JN21*$AET$4</f>
        <v>20630.652160000001</v>
      </c>
      <c r="AES22" s="735">
        <v>13197</v>
      </c>
      <c r="AET22" s="700">
        <f t="shared" si="859"/>
        <v>0.45914746158984632</v>
      </c>
      <c r="AEU22" s="593">
        <v>38230.980000000003</v>
      </c>
      <c r="AEV22" s="593">
        <f>'Proy 2021 vs 2019 Sem'!JN21*$AEX$4</f>
        <v>28367.146720000001</v>
      </c>
      <c r="AEW22" s="735">
        <v>32040</v>
      </c>
      <c r="AEX22" s="700">
        <f t="shared" si="860"/>
        <v>0.83806379015133792</v>
      </c>
      <c r="AEY22" s="579">
        <f t="shared" si="861"/>
        <v>158873.31</v>
      </c>
      <c r="AEZ22" s="574">
        <f t="shared" si="862"/>
        <v>128941.576</v>
      </c>
      <c r="AFA22" s="770">
        <f t="shared" si="863"/>
        <v>122647.07</v>
      </c>
      <c r="AFB22" s="761">
        <f t="shared" si="864"/>
        <v>0.77198032822504936</v>
      </c>
      <c r="AFC22" s="593">
        <v>28448.28</v>
      </c>
      <c r="AFD22" s="593">
        <f>'Proy 2021 vs 2019 Sem'!JX21*$AFF$4</f>
        <v>21557.051567999999</v>
      </c>
      <c r="AFE22" s="735">
        <v>20510</v>
      </c>
      <c r="AFF22" s="700">
        <f t="shared" si="865"/>
        <v>0.72095747089103457</v>
      </c>
      <c r="AFG22" s="593">
        <v>24157.08</v>
      </c>
      <c r="AFH22" s="593">
        <f>'Proy 2021 vs 2019 Sem'!JX21*$AFJ$4</f>
        <v>21557.051567999999</v>
      </c>
      <c r="AFI22" s="735">
        <v>22222.69</v>
      </c>
      <c r="AFJ22" s="700">
        <f t="shared" si="866"/>
        <v>0.91992451074384807</v>
      </c>
      <c r="AFK22" s="593">
        <v>23331.55</v>
      </c>
      <c r="AFL22" s="593">
        <f>'Proy 2021 vs 2019 Sem'!JX21*$AFN$4</f>
        <v>21557.051567999999</v>
      </c>
      <c r="AFM22" s="735">
        <v>23569.32</v>
      </c>
      <c r="AFN22" s="700">
        <f t="shared" si="867"/>
        <v>1.0101909217347327</v>
      </c>
      <c r="AFO22" s="593">
        <v>28387.97</v>
      </c>
      <c r="AFP22" s="593">
        <f>'Proy 2021 vs 2019 Sem'!JX21*$AFR$4</f>
        <v>21557.051567999999</v>
      </c>
      <c r="AFQ22" s="735">
        <v>24070.62</v>
      </c>
      <c r="AFR22" s="700">
        <f t="shared" si="868"/>
        <v>0.84791621239560266</v>
      </c>
      <c r="AFS22" s="593">
        <v>32281.040000000001</v>
      </c>
      <c r="AFT22" s="593">
        <f>'Proy 2021 vs 2019 Sem'!JX21*$AFV$4</f>
        <v>25149.893496000004</v>
      </c>
      <c r="AFU22" s="735">
        <v>23547.52</v>
      </c>
      <c r="AFV22" s="700">
        <f t="shared" si="869"/>
        <v>0.72945357398646382</v>
      </c>
      <c r="AFW22" s="593">
        <v>40123.83</v>
      </c>
      <c r="AFX22" s="593">
        <f>'Proy 2021 vs 2019 Sem'!JX21*$AFZ$4</f>
        <v>28742.735424000002</v>
      </c>
      <c r="AFY22" s="735">
        <v>33222.18</v>
      </c>
      <c r="AFZ22" s="700">
        <f t="shared" si="870"/>
        <v>0.82799124609988628</v>
      </c>
      <c r="AGA22" s="593">
        <v>49358.41</v>
      </c>
      <c r="AGB22" s="593">
        <f>'Proy 2021 vs 2019 Sem'!JX21*$AGD$4</f>
        <v>39521.261208000004</v>
      </c>
      <c r="AGC22" s="735">
        <v>33893.54</v>
      </c>
      <c r="AGD22" s="700">
        <f t="shared" si="871"/>
        <v>0.68668216824650552</v>
      </c>
      <c r="AGE22" s="579">
        <f t="shared" si="872"/>
        <v>226088.16</v>
      </c>
      <c r="AGF22" s="574">
        <f t="shared" si="873"/>
        <v>179642.09640000001</v>
      </c>
      <c r="AGG22" s="729">
        <f t="shared" si="874"/>
        <v>181035.87000000002</v>
      </c>
      <c r="AGH22" s="711">
        <f t="shared" si="875"/>
        <v>0.80073131649176155</v>
      </c>
      <c r="AGI22" s="593">
        <v>32449.64</v>
      </c>
      <c r="AGJ22" s="593">
        <f>'Proy 2021 vs 2019 Sem'!KC21*$AGL$4</f>
        <v>23052.773015999999</v>
      </c>
      <c r="AGK22" s="735">
        <v>20664.5</v>
      </c>
      <c r="AGL22" s="700">
        <f t="shared" si="876"/>
        <v>0.63681754250586453</v>
      </c>
      <c r="AGM22" s="593">
        <v>18246.509999999998</v>
      </c>
      <c r="AGN22" s="593">
        <f>'Proy 2021 vs 2019 Sem'!KC21*$AGP$4</f>
        <v>23052.773015999999</v>
      </c>
      <c r="AGO22" s="735">
        <v>26618.12</v>
      </c>
      <c r="AGP22" s="700">
        <f t="shared" si="877"/>
        <v>1.4588060949737787</v>
      </c>
      <c r="AGQ22" s="593">
        <v>29147.53</v>
      </c>
      <c r="AGR22" s="593">
        <f>'Proy 2021 vs 2019 Sem'!KC21*$AGT$4</f>
        <v>23052.773015999999</v>
      </c>
      <c r="AGS22" s="735">
        <v>24363.77</v>
      </c>
      <c r="AGT22" s="700">
        <f t="shared" si="878"/>
        <v>0.83587768843534949</v>
      </c>
      <c r="AGU22" s="593">
        <v>30155.7</v>
      </c>
      <c r="AGV22" s="593">
        <f>'Proy 2021 vs 2019 Sem'!KC21*$AGX$4</f>
        <v>23052.773015999999</v>
      </c>
      <c r="AGW22" s="735">
        <v>27253.91</v>
      </c>
      <c r="AGX22" s="700">
        <f t="shared" si="879"/>
        <v>0.90377308435884429</v>
      </c>
      <c r="AGY22" s="593">
        <v>34835.61</v>
      </c>
      <c r="AGZ22" s="593">
        <f>'Proy 2021 vs 2019 Sem'!KC21*$AHB$4</f>
        <v>26894.901852000003</v>
      </c>
      <c r="AHA22" s="735">
        <v>31770.29</v>
      </c>
      <c r="AHB22" s="700">
        <f t="shared" si="880"/>
        <v>0.91200613395315888</v>
      </c>
      <c r="AHC22" s="593">
        <v>48238.32</v>
      </c>
      <c r="AHD22" s="593">
        <f>'Proy 2021 vs 2019 Sem'!KC21*$AHF$4</f>
        <v>30737.030687999999</v>
      </c>
      <c r="AHE22" s="735">
        <v>32287.919999999998</v>
      </c>
      <c r="AHF22" s="700">
        <f t="shared" si="881"/>
        <v>0.66934171836830136</v>
      </c>
      <c r="AHG22" s="593">
        <v>53556.75</v>
      </c>
      <c r="AHH22" s="593">
        <f>'Proy 2021 vs 2019 Sem'!KC21*$AHJ$4</f>
        <v>42263.417196000002</v>
      </c>
      <c r="AHI22" s="735">
        <v>51645.57</v>
      </c>
      <c r="AHJ22" s="700">
        <f t="shared" si="882"/>
        <v>0.9643148622722626</v>
      </c>
      <c r="AHK22" s="579">
        <f t="shared" si="883"/>
        <v>246630.06</v>
      </c>
      <c r="AHL22" s="574">
        <f t="shared" si="884"/>
        <v>192106.4418</v>
      </c>
      <c r="AHM22" s="730">
        <f t="shared" si="885"/>
        <v>214604.08000000002</v>
      </c>
      <c r="AHN22" s="711">
        <f t="shared" si="886"/>
        <v>0.87014567486218031</v>
      </c>
      <c r="AHO22" s="593">
        <v>34007.72</v>
      </c>
      <c r="AHP22" s="593">
        <f>'Proy 2021 vs 2019 Sem'!KH21*$AHR$4</f>
        <v>27998.0016</v>
      </c>
      <c r="AHQ22" s="735">
        <v>20810.7</v>
      </c>
      <c r="AHR22" s="700">
        <f t="shared" si="887"/>
        <v>0.61194046528258883</v>
      </c>
      <c r="AHS22" s="593">
        <v>33169.839999999997</v>
      </c>
      <c r="AHT22" s="593">
        <f>'Proy 2021 vs 2019 Sem'!KH21*$AHV$4</f>
        <v>27998.0016</v>
      </c>
      <c r="AHU22" s="735">
        <v>25975.87</v>
      </c>
      <c r="AHV22" s="700">
        <f t="shared" si="888"/>
        <v>0.78311713291351426</v>
      </c>
      <c r="AHW22" s="593">
        <v>30056.71</v>
      </c>
      <c r="AHX22" s="593">
        <f>'Proy 2021 vs 2019 Sem'!KH21*$AHZ$4</f>
        <v>27998.0016</v>
      </c>
      <c r="AHY22" s="735">
        <v>29347.19</v>
      </c>
      <c r="AHZ22" s="700">
        <f t="shared" si="889"/>
        <v>0.97639395662399509</v>
      </c>
      <c r="AIA22" s="593">
        <v>38921.660000000003</v>
      </c>
      <c r="AIB22" s="593">
        <f>'Proy 2021 vs 2019 Sem'!KH21*$AID$4</f>
        <v>27998.0016</v>
      </c>
      <c r="AIC22" s="735">
        <v>37590.6</v>
      </c>
      <c r="AID22" s="700">
        <f t="shared" si="890"/>
        <v>0.96580156139280793</v>
      </c>
      <c r="AIE22" s="593">
        <v>46385.42</v>
      </c>
      <c r="AIF22" s="593">
        <f>'Proy 2021 vs 2019 Sem'!KH21*$AIH$4</f>
        <v>32664.335200000001</v>
      </c>
      <c r="AIG22" s="735">
        <v>40191.120000000003</v>
      </c>
      <c r="AIH22" s="700">
        <f t="shared" si="891"/>
        <v>0.86646019374191297</v>
      </c>
      <c r="AII22" s="593">
        <v>43138.080000000002</v>
      </c>
      <c r="AIJ22" s="593">
        <f>'Proy 2021 vs 2019 Sem'!KH21*$AIL$4</f>
        <v>37330.668799999999</v>
      </c>
      <c r="AIK22" s="735">
        <v>43299.94</v>
      </c>
      <c r="AIL22" s="700">
        <f t="shared" si="892"/>
        <v>1.0037521373227551</v>
      </c>
      <c r="AIM22" s="593">
        <v>59573.84</v>
      </c>
      <c r="AIN22" s="593">
        <f>'Proy 2021 vs 2019 Sem'!KH21*$AIP$4</f>
        <v>51329.669600000001</v>
      </c>
      <c r="AIO22" s="735">
        <v>52679.86</v>
      </c>
      <c r="AIP22" s="700">
        <f t="shared" si="893"/>
        <v>0.88427840139228897</v>
      </c>
      <c r="AIQ22" s="579">
        <f t="shared" si="894"/>
        <v>285253.27</v>
      </c>
      <c r="AIR22" s="574">
        <f t="shared" si="895"/>
        <v>233316.67999999996</v>
      </c>
      <c r="AIS22" s="730">
        <f t="shared" si="896"/>
        <v>249895.27999999997</v>
      </c>
      <c r="AIT22" s="711">
        <f t="shared" si="897"/>
        <v>0.87604703006559737</v>
      </c>
      <c r="AIU22" s="593">
        <f>'Proy 2021 vs 2019 Sem'!KL21*$AIX$4</f>
        <v>34571.037599999996</v>
      </c>
      <c r="AIV22" s="593">
        <f>'Proy 2021 vs 2019 Sem'!KM21*$AIX$4</f>
        <v>46325.190383999994</v>
      </c>
      <c r="AIW22" s="735">
        <v>44369.75</v>
      </c>
      <c r="AIX22" s="700">
        <f t="shared" si="898"/>
        <v>1.2834370351672639</v>
      </c>
      <c r="AIY22" s="593">
        <f>'Proy 2021 vs 2019 Sem'!KL21*$AJB$4</f>
        <v>34571.037599999996</v>
      </c>
      <c r="AIZ22" s="593">
        <f>'Proy 2021 vs 2019 Sem'!KM21*$AJB$4</f>
        <v>46325.190383999994</v>
      </c>
      <c r="AJA22" s="735">
        <v>63795.4</v>
      </c>
      <c r="AJB22" s="700">
        <f t="shared" si="899"/>
        <v>1.8453423567477769</v>
      </c>
      <c r="AJC22" s="593">
        <f>'Proy 2021 vs 2019 Sem'!KL21*$AJF$4</f>
        <v>34571.037599999996</v>
      </c>
      <c r="AJD22" s="593">
        <f>'Proy 2021 vs 2019 Sem'!KM21*$AJF$4</f>
        <v>46325.190383999994</v>
      </c>
      <c r="AJE22" s="735">
        <v>60686.83</v>
      </c>
      <c r="AJF22" s="700">
        <f t="shared" si="900"/>
        <v>1.7554240258036111</v>
      </c>
      <c r="AJG22" s="593">
        <f>'Proy 2021 vs 2019 Sem'!KL21*$AJJ$4</f>
        <v>34571.037599999996</v>
      </c>
      <c r="AJH22" s="593">
        <f>'Proy 2021 vs 2019 Sem'!KM21*$AJJ$4</f>
        <v>46325.190383999994</v>
      </c>
      <c r="AJI22" s="735">
        <v>63224.63</v>
      </c>
      <c r="AJJ22" s="700">
        <f t="shared" si="901"/>
        <v>1.8288322940009185</v>
      </c>
      <c r="AJK22" s="593">
        <f>'Proy 2021 vs 2019 Sem'!KL21*$AJN$4</f>
        <v>40332.877200000003</v>
      </c>
      <c r="AJL22" s="593">
        <f>'Proy 2021 vs 2019 Sem'!KM21*$AJN$4</f>
        <v>54046.055447999999</v>
      </c>
      <c r="AJM22" s="735">
        <v>97043.12</v>
      </c>
      <c r="AJN22" s="700">
        <f t="shared" si="902"/>
        <v>2.4060549788895296</v>
      </c>
      <c r="AJO22" s="593">
        <f>'Proy 2021 vs 2019 Sem'!KL21*$AJR$4</f>
        <v>46094.716799999995</v>
      </c>
      <c r="AJP22" s="593">
        <f>'Proy 2021 vs 2019 Sem'!KM21*$AJR$4</f>
        <v>61766.920511999997</v>
      </c>
      <c r="AJQ22" s="735">
        <v>109680.88</v>
      </c>
      <c r="AJR22" s="700">
        <f t="shared" si="903"/>
        <v>2.3794674881265356</v>
      </c>
      <c r="AJS22" s="593">
        <f>'Proy 2021 vs 2019 Sem'!KL21*$AJV$4</f>
        <v>63380.235599999993</v>
      </c>
      <c r="AJT22" s="593">
        <f>'Proy 2021 vs 2019 Sem'!KM21*$AJV$4</f>
        <v>84929.51570399999</v>
      </c>
      <c r="AJU22" s="699">
        <v>0</v>
      </c>
      <c r="AJV22" s="700">
        <f t="shared" si="904"/>
        <v>0</v>
      </c>
      <c r="AJW22" s="579">
        <f t="shared" si="905"/>
        <v>288091.98</v>
      </c>
      <c r="AJX22" s="574">
        <f t="shared" si="906"/>
        <v>386043.25319999992</v>
      </c>
      <c r="AJY22" s="710">
        <f t="shared" si="907"/>
        <v>438800.61</v>
      </c>
      <c r="AJZ22" s="711">
        <f t="shared" si="908"/>
        <v>1.5231267805511282</v>
      </c>
      <c r="AKA22" s="593">
        <f>'Proy 2021 vs 2019 Sem'!KQ21*$AKD$4</f>
        <v>12691.937999999998</v>
      </c>
      <c r="AKB22" s="593">
        <f>'Proy 2021 vs 2019 Sem'!KR21*$AKD$4</f>
        <v>10407.389159999999</v>
      </c>
      <c r="AKC22" s="735">
        <v>10047.27</v>
      </c>
      <c r="AKD22" s="700">
        <f t="shared" si="909"/>
        <v>0.79162614881982574</v>
      </c>
      <c r="AKE22" s="593">
        <f>'Proy 2021 vs 2019 Sem'!KQ21*$AKH$4</f>
        <v>12691.937999999998</v>
      </c>
      <c r="AKF22" s="593">
        <f>'Proy 2021 vs 2019 Sem'!KR21*$AKH$4</f>
        <v>10407.389159999999</v>
      </c>
      <c r="AKG22" s="735">
        <v>12776.88</v>
      </c>
      <c r="AKH22" s="700">
        <f t="shared" si="910"/>
        <v>1.006692594937038</v>
      </c>
      <c r="AKI22" s="593">
        <f>'Proy 2021 vs 2019 Sem'!KQ21*$AKL$4</f>
        <v>12691.937999999998</v>
      </c>
      <c r="AKJ22" s="593">
        <f>'Proy 2021 vs 2019 Sem'!KR21*$AKL$4</f>
        <v>10407.389159999999</v>
      </c>
      <c r="AKK22" s="735">
        <v>12937.82</v>
      </c>
      <c r="AKL22" s="700">
        <f t="shared" si="911"/>
        <v>1.0193730854972662</v>
      </c>
      <c r="AKM22" s="593">
        <f>'Proy 2021 vs 2019 Sem'!KQ21*$AKP$4</f>
        <v>12691.937999999998</v>
      </c>
      <c r="AKN22" s="593">
        <f>'Proy 2021 vs 2019 Sem'!KR21*$AKP$4</f>
        <v>10407.389159999999</v>
      </c>
      <c r="AKO22" s="735">
        <v>16070.34</v>
      </c>
      <c r="AKP22" s="700">
        <f t="shared" si="912"/>
        <v>1.2661848805123379</v>
      </c>
      <c r="AKQ22" s="593">
        <f>'Proy 2021 vs 2019 Sem'!KQ21*$AKT$4</f>
        <v>14807.261</v>
      </c>
      <c r="AKR22" s="593">
        <f>'Proy 2021 vs 2019 Sem'!KR21*$AKT$4</f>
        <v>12141.954019999999</v>
      </c>
      <c r="AKS22" s="735">
        <v>23619.27</v>
      </c>
      <c r="AKT22" s="700">
        <f t="shared" si="913"/>
        <v>1.5951140457374258</v>
      </c>
      <c r="AKU22" s="593">
        <f>'Proy 2021 vs 2019 Sem'!KQ21*$AKX$4</f>
        <v>16922.583999999999</v>
      </c>
      <c r="AKV22" s="593">
        <f>'Proy 2021 vs 2019 Sem'!KR21*$AKX$4</f>
        <v>13876.518879999998</v>
      </c>
      <c r="AKW22" s="735">
        <v>28775.17</v>
      </c>
      <c r="AKX22" s="700">
        <f t="shared" si="914"/>
        <v>1.700400482574056</v>
      </c>
      <c r="AKY22" s="593">
        <f>'Proy 2021 vs 2019 Sem'!KQ21*$ALB$4</f>
        <v>23268.553</v>
      </c>
      <c r="AKZ22" s="593">
        <f>'Proy 2021 vs 2019 Sem'!KR21*$ALB$4</f>
        <v>19080.213459999999</v>
      </c>
      <c r="ALA22" s="699">
        <v>0</v>
      </c>
      <c r="ALB22" s="700">
        <f>ALA22/AKY22</f>
        <v>0</v>
      </c>
      <c r="ALC22" s="579">
        <f t="shared" si="915"/>
        <v>105766.15</v>
      </c>
      <c r="ALD22" s="574">
        <f t="shared" si="916"/>
        <v>86728.242999999988</v>
      </c>
      <c r="ALE22" s="710">
        <f t="shared" si="917"/>
        <v>104226.75</v>
      </c>
      <c r="ALF22" s="711">
        <f t="shared" si="918"/>
        <v>0.98544524878706474</v>
      </c>
    </row>
    <row r="23" spans="2:994" ht="15.75" customHeight="1">
      <c r="B23" s="570" t="s">
        <v>25</v>
      </c>
      <c r="C23" s="574">
        <f>'Proy 2021 vs 2019 Sem'!DX22*$F$4</f>
        <v>17390.1672</v>
      </c>
      <c r="D23" s="576">
        <f>'Proy 2021 vs 2019 Sem'!$DY$22*F4</f>
        <v>13800.706496614866</v>
      </c>
      <c r="E23" s="735">
        <v>9931.2000000000007</v>
      </c>
      <c r="F23" s="700">
        <f t="shared" si="580"/>
        <v>0.57108134072454464</v>
      </c>
      <c r="G23" s="574">
        <f>'Proy 2021 vs 2019 Sem'!DX22*$J$4</f>
        <v>17390.1672</v>
      </c>
      <c r="H23" s="574">
        <f>'Proy 2021 vs 2019 Sem'!$DY$22*J4</f>
        <v>13800.706496614866</v>
      </c>
      <c r="I23" s="735">
        <v>16633.490000000002</v>
      </c>
      <c r="J23" s="700">
        <f t="shared" si="581"/>
        <v>0.95648821593848743</v>
      </c>
      <c r="K23" s="574">
        <f>'Proy 2021 vs 2019 Sem'!DX22*'Vtas Diarias 2021'!$N$4</f>
        <v>17390.1672</v>
      </c>
      <c r="L23" s="574">
        <f>'Proy 2021 vs 2019 Sem'!$DY$22*N4</f>
        <v>13800.706496614866</v>
      </c>
      <c r="M23" s="735">
        <v>11528.22</v>
      </c>
      <c r="N23" s="700">
        <f t="shared" si="582"/>
        <v>0.66291599542527679</v>
      </c>
      <c r="O23" s="574">
        <f>'Proy 2021 vs 2019 Sem'!DX22*$R$4</f>
        <v>17390.1672</v>
      </c>
      <c r="P23" s="574">
        <f>'Proy 2021 vs 2019 Sem'!$DY$22*R4</f>
        <v>13800.706496614866</v>
      </c>
      <c r="Q23" s="735">
        <v>11265.43</v>
      </c>
      <c r="R23" s="700">
        <f t="shared" si="583"/>
        <v>0.6478045823504216</v>
      </c>
      <c r="S23" s="574">
        <f>'Proy 2021 vs 2019 Sem'!DX22*$V$4</f>
        <v>20288.528400000003</v>
      </c>
      <c r="T23" s="574">
        <f>'Proy 2021 vs 2019 Sem'!$DY$22*V4</f>
        <v>16100.824246050679</v>
      </c>
      <c r="U23" s="735">
        <v>9813.34</v>
      </c>
      <c r="V23" s="700">
        <f t="shared" si="584"/>
        <v>0.48368909792392822</v>
      </c>
      <c r="W23" s="574">
        <f>'Proy 2021 vs 2019 Sem'!DX22*$Z$4</f>
        <v>23186.889599999999</v>
      </c>
      <c r="X23" s="574">
        <f>'Proy 2021 vs 2019 Sem'!$DY$22*Z4</f>
        <v>18400.94199548649</v>
      </c>
      <c r="Y23" s="735">
        <v>13845.47</v>
      </c>
      <c r="Z23" s="700">
        <f t="shared" si="585"/>
        <v>0.59712493736115435</v>
      </c>
      <c r="AA23" s="574">
        <f>'Proy 2021 vs 2019 Sem'!DX22*$AD$4</f>
        <v>31881.9732</v>
      </c>
      <c r="AB23" s="574">
        <f>'Proy 2021 vs 2019 Sem'!$DY$22*AD4</f>
        <v>25301.295243793924</v>
      </c>
      <c r="AC23" s="735">
        <v>12315.04</v>
      </c>
      <c r="AD23" s="700">
        <f t="shared" si="586"/>
        <v>0.3862696929937825</v>
      </c>
      <c r="AE23" s="579">
        <f t="shared" si="587"/>
        <v>144918.06</v>
      </c>
      <c r="AF23" s="574">
        <f t="shared" si="588"/>
        <v>115005.88747179056</v>
      </c>
      <c r="AG23" s="729">
        <f t="shared" si="589"/>
        <v>85332.19</v>
      </c>
      <c r="AH23" s="711">
        <f t="shared" si="590"/>
        <v>0.58883061227841449</v>
      </c>
      <c r="AI23" s="593">
        <f>'Proy 2021 vs 2019 Sem'!EC22*$AL$4</f>
        <v>20997.076800000003</v>
      </c>
      <c r="AJ23" s="611">
        <f>'Proy 2021 vs 2019 Sem'!ED22*$AL$4</f>
        <v>12363.721588200893</v>
      </c>
      <c r="AK23" s="735">
        <v>6465.33</v>
      </c>
      <c r="AL23" s="700">
        <f t="shared" si="591"/>
        <v>0.30791571901094344</v>
      </c>
      <c r="AM23" s="593">
        <f>'Proy 2021 vs 2019 Sem'!EC22*$AP$4</f>
        <v>20997.076800000003</v>
      </c>
      <c r="AN23" s="593">
        <f>'Proy 2021 vs 2019 Sem'!ED22*$AP$4</f>
        <v>12363.721588200893</v>
      </c>
      <c r="AO23" s="735">
        <v>10187.870000000001</v>
      </c>
      <c r="AP23" s="700">
        <f t="shared" si="592"/>
        <v>0.48520420709229389</v>
      </c>
      <c r="AQ23" s="593">
        <f>'Proy 2021 vs 2019 Sem'!EC22*$AT$4</f>
        <v>20997.076800000003</v>
      </c>
      <c r="AR23" s="593">
        <f>'Proy 2021 vs 2019 Sem'!ED22*$AT$4</f>
        <v>12363.721588200893</v>
      </c>
      <c r="AS23" s="735">
        <v>11516.09</v>
      </c>
      <c r="AT23" s="700">
        <f t="shared" si="593"/>
        <v>0.5484615839477236</v>
      </c>
      <c r="AU23" s="593">
        <f>'Proy 2021 vs 2019 Sem'!EC22*$AX$4</f>
        <v>20997.076800000003</v>
      </c>
      <c r="AV23" s="593">
        <f>'Proy 2021 vs 2019 Sem'!ED22*$AX$4</f>
        <v>12363.721588200893</v>
      </c>
      <c r="AW23" s="735">
        <v>10182.780000000001</v>
      </c>
      <c r="AX23" s="700">
        <f t="shared" si="594"/>
        <v>0.48496179239578718</v>
      </c>
      <c r="AY23" s="593">
        <f>'Proy 2021 vs 2019 Sem'!EC22*$BB$4</f>
        <v>24496.589600000003</v>
      </c>
      <c r="AZ23" s="593">
        <f>'Proy 2021 vs 2019 Sem'!ED22*$BB$4</f>
        <v>14424.341852901043</v>
      </c>
      <c r="BA23" s="735">
        <v>9663.7000000000007</v>
      </c>
      <c r="BB23" s="700">
        <f t="shared" si="595"/>
        <v>0.39449164793126956</v>
      </c>
      <c r="BC23" s="593">
        <f>'Proy 2021 vs 2019 Sem'!EC22*$BF$4</f>
        <v>27996.102400000003</v>
      </c>
      <c r="BD23" s="593">
        <f>'Proy 2021 vs 2019 Sem'!ED22*$BF$4</f>
        <v>16484.96211760119</v>
      </c>
      <c r="BE23" s="735">
        <v>23040.28</v>
      </c>
      <c r="BF23" s="700">
        <f t="shared" si="596"/>
        <v>0.8229817019100486</v>
      </c>
      <c r="BG23" s="593">
        <f>'Proy 2021 vs 2019 Sem'!EC22*$BJ$4</f>
        <v>38494.640800000001</v>
      </c>
      <c r="BH23" s="593">
        <f>'Proy 2021 vs 2019 Sem'!ED22*$BJ$4</f>
        <v>22666.822911701638</v>
      </c>
      <c r="BI23" s="735">
        <v>30847.46</v>
      </c>
      <c r="BJ23" s="700">
        <f t="shared" si="597"/>
        <v>0.80134427439572309</v>
      </c>
      <c r="BK23" s="579">
        <f t="shared" si="598"/>
        <v>174975.64</v>
      </c>
      <c r="BL23" s="574">
        <f t="shared" si="599"/>
        <v>103031.01323500744</v>
      </c>
      <c r="BM23" s="730">
        <f t="shared" si="600"/>
        <v>101903.51000000001</v>
      </c>
      <c r="BN23" s="711">
        <f t="shared" si="601"/>
        <v>0.58238683967665439</v>
      </c>
      <c r="BO23" s="593">
        <f>'Proy 2021 vs 2019 Sem'!EH22*$BR$4</f>
        <v>18871.98</v>
      </c>
      <c r="BP23" s="593">
        <f>'Proy 2021 vs 2019 Sem'!EI22*$BR$4</f>
        <v>13210.385999999999</v>
      </c>
      <c r="BQ23" s="735">
        <v>14270.2</v>
      </c>
      <c r="BR23" s="700">
        <f t="shared" si="602"/>
        <v>0.75615807138413671</v>
      </c>
      <c r="BS23" s="593">
        <f>'Proy 2021 vs 2019 Sem'!EH22*$BV$4</f>
        <v>18871.98</v>
      </c>
      <c r="BT23" s="593">
        <f>'Proy 2021 vs 2019 Sem'!EI22*$BV$4</f>
        <v>13210.385999999999</v>
      </c>
      <c r="BU23" s="735">
        <v>11492.97</v>
      </c>
      <c r="BV23" s="700">
        <f t="shared" si="603"/>
        <v>0.60899651228964846</v>
      </c>
      <c r="BW23" s="593">
        <f>'Proy 2021 vs 2019 Sem'!EH22*$BZ$4</f>
        <v>18871.98</v>
      </c>
      <c r="BX23" s="593">
        <f>'Proy 2021 vs 2019 Sem'!EI22*$BZ$4</f>
        <v>13210.385999999999</v>
      </c>
      <c r="BY23" s="735">
        <v>19846.27</v>
      </c>
      <c r="BZ23" s="700">
        <f t="shared" si="604"/>
        <v>1.0516262734487849</v>
      </c>
      <c r="CA23" s="593">
        <f>'Proy 2021 vs 2019 Sem'!EH22*$CD$4</f>
        <v>18871.98</v>
      </c>
      <c r="CB23" s="593">
        <f>'Proy 2021 vs 2019 Sem'!EI22*$CD$4</f>
        <v>13210.385999999999</v>
      </c>
      <c r="CC23" s="735">
        <v>13722.7</v>
      </c>
      <c r="CD23" s="700">
        <f t="shared" si="605"/>
        <v>0.72714680706528945</v>
      </c>
      <c r="CE23" s="593">
        <f>'Proy 2021 vs 2019 Sem'!EH22*$CH$4</f>
        <v>22017.31</v>
      </c>
      <c r="CF23" s="593">
        <f>'Proy 2021 vs 2019 Sem'!EI22*$CH$4</f>
        <v>15412.117</v>
      </c>
      <c r="CG23" s="735">
        <v>13718.16</v>
      </c>
      <c r="CH23" s="700">
        <f t="shared" si="606"/>
        <v>0.62306249037688977</v>
      </c>
      <c r="CI23" s="593">
        <f>'Proy 2021 vs 2019 Sem'!EH22*$CL$4</f>
        <v>25162.639999999999</v>
      </c>
      <c r="CJ23" s="593">
        <f>'Proy 2021 vs 2019 Sem'!EI22*$CL$4</f>
        <v>17613.847999999998</v>
      </c>
      <c r="CK23" s="735">
        <v>18080.28</v>
      </c>
      <c r="CL23" s="700">
        <f t="shared" si="607"/>
        <v>0.71853668772434054</v>
      </c>
      <c r="CM23" s="593">
        <f>'Proy 2021 vs 2019 Sem'!EH22*$CP$4</f>
        <v>34598.629999999997</v>
      </c>
      <c r="CN23" s="593">
        <f>'Proy 2021 vs 2019 Sem'!EI22*$CP$4</f>
        <v>24219.040999999997</v>
      </c>
      <c r="CO23" s="735">
        <v>22398.14</v>
      </c>
      <c r="CP23" s="700">
        <f t="shared" si="608"/>
        <v>0.64737071959207637</v>
      </c>
      <c r="CQ23" s="579">
        <f t="shared" si="609"/>
        <v>157266.5</v>
      </c>
      <c r="CR23" s="574">
        <f t="shared" si="610"/>
        <v>110086.54999999999</v>
      </c>
      <c r="CS23" s="730">
        <f t="shared" si="611"/>
        <v>113528.72</v>
      </c>
      <c r="CT23" s="711">
        <f t="shared" si="612"/>
        <v>0.72188749670145902</v>
      </c>
      <c r="CU23" s="593">
        <f>'Proy 2021 vs 2019 Sem'!EM22*$CX$4</f>
        <v>19013.022000000001</v>
      </c>
      <c r="CV23" s="593">
        <f>'Proy 2021 vs 2019 Sem'!EN22*$CX$4</f>
        <v>15210.417600000001</v>
      </c>
      <c r="CW23" s="735">
        <v>8038.23</v>
      </c>
      <c r="CX23" s="700">
        <f t="shared" si="613"/>
        <v>0.42277498022145027</v>
      </c>
      <c r="CY23" s="593">
        <f>'Proy 2021 vs 2019 Sem'!EM22*$DB$4</f>
        <v>19013.022000000001</v>
      </c>
      <c r="CZ23" s="593">
        <f>'Proy 2021 vs 2019 Sem'!EN22*$DB$4</f>
        <v>15210.417600000001</v>
      </c>
      <c r="DA23" s="735">
        <v>13892.83</v>
      </c>
      <c r="DB23" s="700">
        <f t="shared" si="614"/>
        <v>0.73070077970771818</v>
      </c>
      <c r="DC23" s="593">
        <f>'Proy 2021 vs 2019 Sem'!EM22*$DF$4</f>
        <v>19013.022000000001</v>
      </c>
      <c r="DD23" s="593">
        <f>'Proy 2021 vs 2019 Sem'!EN22*$DF$4</f>
        <v>15210.417600000001</v>
      </c>
      <c r="DE23" s="735">
        <v>16956.95</v>
      </c>
      <c r="DF23" s="700">
        <f t="shared" si="615"/>
        <v>0.89185980008859189</v>
      </c>
      <c r="DG23" s="593">
        <f>'Proy 2021 vs 2019 Sem'!EM22*$DJ$4</f>
        <v>19013.022000000001</v>
      </c>
      <c r="DH23" s="593">
        <f>'Proy 2021 vs 2019 Sem'!EN22*$DJ$4</f>
        <v>15210.417600000001</v>
      </c>
      <c r="DI23" s="735">
        <v>13126.04</v>
      </c>
      <c r="DJ23" s="700">
        <f t="shared" si="616"/>
        <v>0.69037105200846027</v>
      </c>
      <c r="DK23" s="593">
        <f>'Proy 2021 vs 2019 Sem'!EM22*$DN$4</f>
        <v>22181.859000000004</v>
      </c>
      <c r="DL23" s="593">
        <f>'Proy 2021 vs 2019 Sem'!EN22*$DN$4</f>
        <v>17745.487200000003</v>
      </c>
      <c r="DM23" s="735">
        <v>19950.16</v>
      </c>
      <c r="DN23" s="700">
        <f t="shared" si="617"/>
        <v>0.89939080398987281</v>
      </c>
      <c r="DO23" s="593">
        <f>'Proy 2021 vs 2019 Sem'!EM22*$DR$4</f>
        <v>25350.696</v>
      </c>
      <c r="DP23" s="593">
        <f>'Proy 2021 vs 2019 Sem'!EN22*$DR$4</f>
        <v>20280.556800000002</v>
      </c>
      <c r="DQ23" s="735">
        <v>10856.37</v>
      </c>
      <c r="DR23" s="700">
        <f t="shared" si="618"/>
        <v>0.42824741379881642</v>
      </c>
      <c r="DS23" s="593">
        <f>'Proy 2021 vs 2019 Sem'!EM22*$DV$4</f>
        <v>34857.207000000002</v>
      </c>
      <c r="DT23" s="593">
        <f>'Proy 2021 vs 2019 Sem'!EN22*$DV$4</f>
        <v>27885.765600000002</v>
      </c>
      <c r="DU23" s="735">
        <v>16968.27</v>
      </c>
      <c r="DV23" s="700">
        <f t="shared" si="619"/>
        <v>0.48679373536726561</v>
      </c>
      <c r="DW23" s="579">
        <f t="shared" si="620"/>
        <v>158441.85</v>
      </c>
      <c r="DX23" s="574">
        <f t="shared" si="621"/>
        <v>126753.48000000001</v>
      </c>
      <c r="DY23" s="710">
        <f t="shared" si="622"/>
        <v>99788.849999999991</v>
      </c>
      <c r="DZ23" s="711">
        <f t="shared" si="623"/>
        <v>0.6298137139903377</v>
      </c>
      <c r="EA23" s="593">
        <f>'Proy 2021 vs 2019 Sem'!ER22*$ED$4</f>
        <v>17615.0088</v>
      </c>
      <c r="EB23" s="593">
        <f>'Proy 2021 vs 2019 Sem'!ES22*$ED$4</f>
        <v>11449.755719999999</v>
      </c>
      <c r="EC23" s="735">
        <v>7024.31</v>
      </c>
      <c r="ED23" s="700">
        <f t="shared" si="624"/>
        <v>0.39876846385679926</v>
      </c>
      <c r="EE23" s="593">
        <f>'Proy 2021 vs 2019 Sem'!ER22*$EH$4</f>
        <v>17615.0088</v>
      </c>
      <c r="EF23" s="593">
        <f>'Proy 2021 vs 2019 Sem'!ES22*$EH$4</f>
        <v>11449.755719999999</v>
      </c>
      <c r="EG23" s="735">
        <v>11595.94</v>
      </c>
      <c r="EH23" s="700">
        <f t="shared" si="625"/>
        <v>0.65829884796878446</v>
      </c>
      <c r="EI23" s="593">
        <f>'Proy 2021 vs 2019 Sem'!ER22*$EL$4</f>
        <v>17615.0088</v>
      </c>
      <c r="EJ23" s="593">
        <f>'Proy 2021 vs 2019 Sem'!ES22*$EL$4</f>
        <v>11449.755719999999</v>
      </c>
      <c r="EK23" s="735">
        <v>15374.09</v>
      </c>
      <c r="EL23" s="700">
        <f t="shared" si="626"/>
        <v>0.87278355489666293</v>
      </c>
      <c r="EM23" s="593">
        <f>'Proy 2021 vs 2019 Sem'!ER22*$EP$4</f>
        <v>17615.0088</v>
      </c>
      <c r="EN23" s="593">
        <f>'Proy 2021 vs 2019 Sem'!ES22*$EP$4</f>
        <v>11449.755719999999</v>
      </c>
      <c r="EO23" s="735">
        <v>12216.67</v>
      </c>
      <c r="EP23" s="700">
        <f t="shared" si="627"/>
        <v>0.69353754736699313</v>
      </c>
      <c r="EQ23" s="593">
        <f>'Proy 2021 vs 2019 Sem'!ER22*$ET$4</f>
        <v>20550.8436</v>
      </c>
      <c r="ER23" s="593">
        <f>'Proy 2021 vs 2019 Sem'!ES22*$ET$4</f>
        <v>13358.048340000001</v>
      </c>
      <c r="ES23" s="735">
        <v>13701.69</v>
      </c>
      <c r="ET23" s="700">
        <f t="shared" si="628"/>
        <v>0.6667215354604713</v>
      </c>
      <c r="EU23" s="593">
        <f>'Proy 2021 vs 2019 Sem'!ER22*$EX$4</f>
        <v>23486.678400000001</v>
      </c>
      <c r="EV23" s="593">
        <f>'Proy 2021 vs 2019 Sem'!ES22*$EX$4</f>
        <v>15266.34096</v>
      </c>
      <c r="EW23" s="735">
        <v>14534.88</v>
      </c>
      <c r="EX23" s="700">
        <f t="shared" si="629"/>
        <v>0.61885634709418935</v>
      </c>
      <c r="EY23" s="593">
        <f>'Proy 2021 vs 2019 Sem'!ER22*$FB$4</f>
        <v>32294.182799999999</v>
      </c>
      <c r="EZ23" s="593">
        <f>'Proy 2021 vs 2019 Sem'!ES22*$FB$4</f>
        <v>20991.218819999998</v>
      </c>
      <c r="FA23" s="699">
        <v>16157.54</v>
      </c>
      <c r="FB23" s="700">
        <f t="shared" si="630"/>
        <v>0.5003235443381463</v>
      </c>
      <c r="FC23" s="579">
        <f t="shared" si="631"/>
        <v>146791.74000000002</v>
      </c>
      <c r="FD23" s="574">
        <f t="shared" si="632"/>
        <v>95414.630999999994</v>
      </c>
      <c r="FE23" s="710">
        <f t="shared" si="633"/>
        <v>90605.119999999995</v>
      </c>
      <c r="FF23" s="711">
        <f t="shared" si="634"/>
        <v>0.61723581994463705</v>
      </c>
      <c r="FG23" s="593">
        <f>'Proy 2021 vs 2019 Sem'!FA22*$FJ$4</f>
        <v>19195.802399999997</v>
      </c>
      <c r="FH23" s="593">
        <f>'Proy 2021 vs 2019 Sem'!FB22*$FJ$4</f>
        <v>13437.061679999997</v>
      </c>
      <c r="FI23" s="735">
        <v>7815.3</v>
      </c>
      <c r="FJ23" s="700">
        <f t="shared" si="635"/>
        <v>0.40713588508287635</v>
      </c>
      <c r="FK23" s="593">
        <f>'Proy 2021 vs 2019 Sem'!FA22*$FN$4</f>
        <v>19195.802399999997</v>
      </c>
      <c r="FL23" s="593">
        <f>'Proy 2021 vs 2019 Sem'!FB22*$FN$4</f>
        <v>13437.061679999997</v>
      </c>
      <c r="FM23" s="735">
        <v>13879.52</v>
      </c>
      <c r="FN23" s="700">
        <f t="shared" si="636"/>
        <v>0.72304974341682127</v>
      </c>
      <c r="FO23" s="593">
        <f>'Proy 2021 vs 2019 Sem'!FA22*$FR$4</f>
        <v>19195.802399999997</v>
      </c>
      <c r="FP23" s="593">
        <f>'Proy 2021 vs 2019 Sem'!FB22*$FR$4</f>
        <v>13437.061679999997</v>
      </c>
      <c r="FQ23" s="735">
        <v>10301.15</v>
      </c>
      <c r="FR23" s="700">
        <f t="shared" si="637"/>
        <v>0.53663555111402905</v>
      </c>
      <c r="FS23" s="593">
        <f>'Proy 2021 vs 2019 Sem'!FA22*$FV$4</f>
        <v>19195.802399999997</v>
      </c>
      <c r="FT23" s="593">
        <f>'Proy 2021 vs 2019 Sem'!FB22*$FV$4</f>
        <v>13437.061679999997</v>
      </c>
      <c r="FU23" s="735">
        <v>10796.24</v>
      </c>
      <c r="FV23" s="700">
        <f t="shared" si="638"/>
        <v>0.5624271272973721</v>
      </c>
      <c r="FW23" s="593">
        <f>'Proy 2021 vs 2019 Sem'!FA22*$FZ$4</f>
        <v>22395.102800000001</v>
      </c>
      <c r="FX23" s="593">
        <f>'Proy 2021 vs 2019 Sem'!FB22*$FZ$4</f>
        <v>15676.571959999999</v>
      </c>
      <c r="FY23" s="735">
        <v>8128.54</v>
      </c>
      <c r="FZ23" s="700">
        <f t="shared" si="639"/>
        <v>0.36296060226166943</v>
      </c>
      <c r="GA23" s="593">
        <f>'Proy 2021 vs 2019 Sem'!FA22*$GD$4</f>
        <v>25594.403200000001</v>
      </c>
      <c r="GB23" s="593">
        <f>'Proy 2021 vs 2019 Sem'!FB22*$GD$4</f>
        <v>17916.082239999996</v>
      </c>
      <c r="GC23" s="735">
        <v>16192.15</v>
      </c>
      <c r="GD23" s="700">
        <f t="shared" si="640"/>
        <v>0.63264417120693006</v>
      </c>
      <c r="GE23" s="593">
        <f>'Proy 2021 vs 2019 Sem'!FA22*$GH$4</f>
        <v>35192.304400000001</v>
      </c>
      <c r="GF23" s="593">
        <f>'Proy 2021 vs 2019 Sem'!FB22*$GH$4</f>
        <v>24634.613079999996</v>
      </c>
      <c r="GG23" s="735">
        <v>21686.03</v>
      </c>
      <c r="GH23" s="700">
        <f t="shared" si="641"/>
        <v>0.61621511775739235</v>
      </c>
      <c r="GI23" s="579">
        <f t="shared" si="642"/>
        <v>159965.01999999999</v>
      </c>
      <c r="GJ23" s="574">
        <f t="shared" si="643"/>
        <v>111975.51399999998</v>
      </c>
      <c r="GK23" s="759">
        <f t="shared" si="644"/>
        <v>88798.93</v>
      </c>
      <c r="GL23" s="761">
        <f t="shared" si="645"/>
        <v>0.55511467444570073</v>
      </c>
      <c r="GM23" s="593">
        <f>'Proy 2021 vs 2019 Sem'!FF22*$GP$4</f>
        <v>19644.124800000001</v>
      </c>
      <c r="GN23" s="593">
        <f>'Proy 2021 vs 2019 Sem'!FG22*$GP$4</f>
        <v>14143.769855999999</v>
      </c>
      <c r="GO23" s="735">
        <v>7637.98</v>
      </c>
      <c r="GP23" s="700">
        <f t="shared" si="646"/>
        <v>0.38881752573675354</v>
      </c>
      <c r="GQ23" s="593">
        <f>'Proy 2021 vs 2019 Sem'!FF22*$GT$4</f>
        <v>19644.124800000001</v>
      </c>
      <c r="GR23" s="593">
        <f>'Proy 2021 vs 2019 Sem'!FG22*$GT$4</f>
        <v>14143.769855999999</v>
      </c>
      <c r="GS23" s="735">
        <v>13448.82</v>
      </c>
      <c r="GT23" s="700">
        <f t="shared" si="647"/>
        <v>0.68462301766683942</v>
      </c>
      <c r="GU23" s="593">
        <f>'Proy 2021 vs 2019 Sem'!FF22*$GX$4</f>
        <v>19644.124800000001</v>
      </c>
      <c r="GV23" s="593">
        <f>'Proy 2021 vs 2019 Sem'!FG22*$GX$4</f>
        <v>14143.769855999999</v>
      </c>
      <c r="GW23" s="735">
        <v>14269.23</v>
      </c>
      <c r="GX23" s="700">
        <f t="shared" si="648"/>
        <v>0.72638664971218259</v>
      </c>
      <c r="GY23" s="593">
        <f>'Proy 2021 vs 2019 Sem'!FF22*$HB$4</f>
        <v>19644.124800000001</v>
      </c>
      <c r="GZ23" s="593">
        <f>'Proy 2021 vs 2019 Sem'!FG22*$HB$4</f>
        <v>14143.769855999999</v>
      </c>
      <c r="HA23" s="735">
        <v>11218.61</v>
      </c>
      <c r="HB23" s="700">
        <f t="shared" si="649"/>
        <v>0.57109238076109148</v>
      </c>
      <c r="HC23" s="593">
        <f>'Proy 2021 vs 2019 Sem'!FF22*$HF$4</f>
        <v>22918.145600000003</v>
      </c>
      <c r="HD23" s="593">
        <f>'Proy 2021 vs 2019 Sem'!FG22*$HF$4</f>
        <v>16501.064832</v>
      </c>
      <c r="HE23" s="735">
        <v>15065.03</v>
      </c>
      <c r="HF23" s="700">
        <f t="shared" si="650"/>
        <v>0.65734070561101587</v>
      </c>
      <c r="HG23" s="593">
        <f>'Proy 2021 vs 2019 Sem'!FF22*$HJ$4</f>
        <v>26192.166400000002</v>
      </c>
      <c r="HH23" s="593">
        <f>'Proy 2021 vs 2019 Sem'!FG22*$HJ$4</f>
        <v>18858.359808000001</v>
      </c>
      <c r="HI23" s="735">
        <v>15777.33</v>
      </c>
      <c r="HJ23" s="700">
        <f t="shared" si="651"/>
        <v>0.60236827145386485</v>
      </c>
      <c r="HK23" s="593">
        <f>'Proy 2021 vs 2019 Sem'!FF22*$HN$4</f>
        <v>36014.228800000004</v>
      </c>
      <c r="HL23" s="593">
        <f>'Proy 2021 vs 2019 Sem'!FG22*$HN$4</f>
        <v>25930.244736000001</v>
      </c>
      <c r="HM23" s="735">
        <v>14420.35</v>
      </c>
      <c r="HN23" s="700">
        <f t="shared" si="652"/>
        <v>0.40040701912795085</v>
      </c>
      <c r="HO23" s="579">
        <f t="shared" si="653"/>
        <v>163701.04</v>
      </c>
      <c r="HP23" s="574">
        <f t="shared" si="654"/>
        <v>117864.7488</v>
      </c>
      <c r="HQ23" s="765">
        <f t="shared" si="655"/>
        <v>91837.35</v>
      </c>
      <c r="HR23" s="761">
        <f t="shared" si="656"/>
        <v>0.56100651529153389</v>
      </c>
      <c r="HS23" s="593">
        <f>'Proy 2021 vs 2019 Sem'!FK22*$CX$4</f>
        <v>17356.906800000001</v>
      </c>
      <c r="HT23" s="593">
        <f>'Proy 2021 vs 2019 Sem'!FL22*$CX$4</f>
        <v>13711.956372000002</v>
      </c>
      <c r="HU23" s="735">
        <v>8830.4500000000007</v>
      </c>
      <c r="HV23" s="700">
        <f t="shared" si="657"/>
        <v>0.508757124858215</v>
      </c>
      <c r="HW23" s="593">
        <f>'Proy 2021 vs 2019 Sem'!FK22*$DB$4</f>
        <v>17356.906800000001</v>
      </c>
      <c r="HX23" s="593">
        <f>'Proy 2021 vs 2019 Sem'!FL22*$DB$4</f>
        <v>13711.956372000002</v>
      </c>
      <c r="HY23" s="735">
        <v>10138.91</v>
      </c>
      <c r="HZ23" s="700">
        <f t="shared" si="658"/>
        <v>0.58414267685069321</v>
      </c>
      <c r="IA23" s="593">
        <f>'Proy 2021 vs 2019 Sem'!FK22*$DF$4</f>
        <v>17356.906800000001</v>
      </c>
      <c r="IB23" s="593">
        <f>'Proy 2021 vs 2019 Sem'!FL22*$DF$4</f>
        <v>13711.956372000002</v>
      </c>
      <c r="IC23" s="735">
        <v>13614.68</v>
      </c>
      <c r="ID23" s="700">
        <f t="shared" si="659"/>
        <v>0.78439552374620114</v>
      </c>
      <c r="IE23" s="593">
        <f>'Proy 2021 vs 2019 Sem'!FK22*$DJ$4</f>
        <v>17356.906800000001</v>
      </c>
      <c r="IF23" s="593">
        <f>'Proy 2021 vs 2019 Sem'!FL22*$DJ$4</f>
        <v>13711.956372000002</v>
      </c>
      <c r="IG23" s="735">
        <v>9587.5</v>
      </c>
      <c r="IH23" s="700">
        <f t="shared" si="660"/>
        <v>0.55237376742726996</v>
      </c>
      <c r="II23" s="593">
        <f>'Proy 2021 vs 2019 Sem'!FK22*$DN$4</f>
        <v>20249.724600000005</v>
      </c>
      <c r="IJ23" s="593">
        <f>'Proy 2021 vs 2019 Sem'!FL22*$DN$4</f>
        <v>15997.282434000004</v>
      </c>
      <c r="IK23" s="735">
        <v>12234.76</v>
      </c>
      <c r="IL23" s="700">
        <f t="shared" si="661"/>
        <v>0.60419389604933182</v>
      </c>
      <c r="IM23" s="593">
        <f>'Proy 2021 vs 2019 Sem'!FK22*$DR$4</f>
        <v>23142.542400000002</v>
      </c>
      <c r="IN23" s="593">
        <f>'Proy 2021 vs 2019 Sem'!FL22*$DR$4</f>
        <v>18282.608496000004</v>
      </c>
      <c r="IO23" s="1410">
        <v>14724.16</v>
      </c>
      <c r="IP23" s="700">
        <f t="shared" si="662"/>
        <v>0.63623778863639457</v>
      </c>
      <c r="IQ23" s="593">
        <f>'Proy 2021 vs 2019 Sem'!FK22*$IT$4</f>
        <v>31820.995800000004</v>
      </c>
      <c r="IR23" s="593">
        <f>'Proy 2021 vs 2019 Sem'!FL22*$IT$4</f>
        <v>25138.586682000005</v>
      </c>
      <c r="IS23" s="735">
        <v>17054.12</v>
      </c>
      <c r="IT23" s="700">
        <f t="shared" si="663"/>
        <v>0.53593923041214175</v>
      </c>
      <c r="IU23" s="579">
        <f t="shared" si="664"/>
        <v>144640.89000000001</v>
      </c>
      <c r="IV23" s="574">
        <f t="shared" si="665"/>
        <v>114266.30310000002</v>
      </c>
      <c r="IW23" s="765">
        <f t="shared" si="666"/>
        <v>86184.58</v>
      </c>
      <c r="IX23" s="761">
        <f t="shared" si="667"/>
        <v>0.59585211346528633</v>
      </c>
      <c r="IY23" s="593">
        <f>'Proy 2021 vs 2019 Sem'!FP22*$JB$4</f>
        <v>14503.981199999998</v>
      </c>
      <c r="IZ23" s="593">
        <f>'Proy 2021 vs 2019 Sem'!FQ22*$JB$4</f>
        <v>11023.025711999999</v>
      </c>
      <c r="JA23" s="735">
        <v>5629.45</v>
      </c>
      <c r="JB23" s="700">
        <f t="shared" si="668"/>
        <v>0.38813136354589323</v>
      </c>
      <c r="JC23" s="593">
        <f>'Proy 2021 vs 2019 Sem'!FP22*$JF$4</f>
        <v>14503.981199999998</v>
      </c>
      <c r="JD23" s="593">
        <f>'Proy 2021 vs 2019 Sem'!FQ22*$JF$4</f>
        <v>11023.025711999999</v>
      </c>
      <c r="JE23" s="735">
        <v>12789.72</v>
      </c>
      <c r="JF23" s="700">
        <f t="shared" si="669"/>
        <v>0.88180754122874905</v>
      </c>
      <c r="JG23" s="593">
        <f>'Proy 2021 vs 2019 Sem'!FP22*$JJ$4</f>
        <v>14503.981199999998</v>
      </c>
      <c r="JH23" s="593">
        <f>'Proy 2021 vs 2019 Sem'!FQ22*$JJ$4</f>
        <v>11023.025711999999</v>
      </c>
      <c r="JI23" s="735">
        <v>10789.02</v>
      </c>
      <c r="JJ23" s="700">
        <f t="shared" si="670"/>
        <v>0.743866104845751</v>
      </c>
      <c r="JK23" s="593">
        <f>'Proy 2021 vs 2019 Sem'!FP22*$JN$4</f>
        <v>14503.981199999998</v>
      </c>
      <c r="JL23" s="593">
        <f>'Proy 2021 vs 2019 Sem'!FQ22*$JN$4</f>
        <v>11023.025711999999</v>
      </c>
      <c r="JM23" s="735">
        <v>10980.65</v>
      </c>
      <c r="JN23" s="700">
        <f t="shared" si="671"/>
        <v>0.75707833929073221</v>
      </c>
      <c r="JO23" s="593">
        <f>'Proy 2021 vs 2019 Sem'!FP22*$JR$4</f>
        <v>16921.311400000002</v>
      </c>
      <c r="JP23" s="593">
        <f>'Proy 2021 vs 2019 Sem'!FQ22*$JR$4</f>
        <v>12860.196663999999</v>
      </c>
      <c r="JQ23" s="735">
        <v>14185.48</v>
      </c>
      <c r="JR23" s="700">
        <f t="shared" si="672"/>
        <v>0.83832036800646537</v>
      </c>
      <c r="JS23" s="593">
        <f>'Proy 2021 vs 2019 Sem'!FP22*$JV$4</f>
        <v>19338.641599999999</v>
      </c>
      <c r="JT23" s="593">
        <f>'Proy 2021 vs 2019 Sem'!FQ22*$JV$4</f>
        <v>14697.367616</v>
      </c>
      <c r="JU23" s="735">
        <v>12093.93</v>
      </c>
      <c r="JV23" s="700">
        <f t="shared" si="673"/>
        <v>0.62537639665445788</v>
      </c>
      <c r="JW23" s="593">
        <f>'Proy 2021 vs 2019 Sem'!FP22*$JZ$4</f>
        <v>26590.6322</v>
      </c>
      <c r="JX23" s="593">
        <f>'Proy 2021 vs 2019 Sem'!FQ22*$JZ$4</f>
        <v>20208.880471999997</v>
      </c>
      <c r="JY23" s="735">
        <v>16917.3</v>
      </c>
      <c r="JZ23" s="700">
        <f t="shared" si="674"/>
        <v>0.63621277872438098</v>
      </c>
      <c r="KA23" s="579">
        <f t="shared" si="675"/>
        <v>120866.51000000001</v>
      </c>
      <c r="KB23" s="574">
        <f t="shared" si="676"/>
        <v>91858.547599999991</v>
      </c>
      <c r="KC23" s="770">
        <f t="shared" si="677"/>
        <v>83385.55</v>
      </c>
      <c r="KD23" s="761">
        <f t="shared" si="678"/>
        <v>0.68989788817431719</v>
      </c>
      <c r="KE23" s="593">
        <f>'Proy 2021 vs 2019 Sem'!FY22*$KH$4</f>
        <v>15214.810799999999</v>
      </c>
      <c r="KF23" s="593">
        <f>'Proy 2021 vs 2019 Sem'!FZ22*$KH$4</f>
        <v>11411.108099999999</v>
      </c>
      <c r="KG23" s="735">
        <v>6872.26</v>
      </c>
      <c r="KH23" s="700">
        <f t="shared" si="679"/>
        <v>0.45168225161235659</v>
      </c>
      <c r="KI23" s="593">
        <f>'Proy 2021 vs 2019 Sem'!FY22*$KL$4</f>
        <v>15214.810799999999</v>
      </c>
      <c r="KJ23" s="593">
        <f>'Proy 2021 vs 2019 Sem'!FZ22*$KL$4</f>
        <v>11411.108099999999</v>
      </c>
      <c r="KK23" s="735">
        <v>11328.67</v>
      </c>
      <c r="KL23" s="700">
        <f t="shared" si="680"/>
        <v>0.74458172033266434</v>
      </c>
      <c r="KM23" s="593">
        <f>'Proy 2021 vs 2019 Sem'!FY22*$KP$4</f>
        <v>15214.810799999999</v>
      </c>
      <c r="KN23" s="593">
        <f>'Proy 2021 vs 2019 Sem'!FZ22*$KP$4</f>
        <v>11411.108099999999</v>
      </c>
      <c r="KO23" s="735">
        <v>10319.76</v>
      </c>
      <c r="KP23" s="700">
        <f t="shared" si="681"/>
        <v>0.67827067557093779</v>
      </c>
      <c r="KQ23" s="593">
        <f>'Proy 2021 vs 2019 Sem'!FY22*$KT$4</f>
        <v>15214.810799999999</v>
      </c>
      <c r="KR23" s="593">
        <f>'Proy 2021 vs 2019 Sem'!FZ22*$KT$4</f>
        <v>11411.108099999999</v>
      </c>
      <c r="KS23" s="735">
        <v>15166.41</v>
      </c>
      <c r="KT23" s="700">
        <f t="shared" si="682"/>
        <v>0.99681883655102699</v>
      </c>
      <c r="KU23" s="593">
        <f>'Proy 2021 vs 2019 Sem'!FY22*$KX$4</f>
        <v>17750.6126</v>
      </c>
      <c r="KV23" s="593">
        <f>'Proy 2021 vs 2019 Sem'!FZ22*$KX$4</f>
        <v>13312.959450000002</v>
      </c>
      <c r="KW23" s="735">
        <v>11202.16</v>
      </c>
      <c r="KX23" s="700">
        <f t="shared" si="683"/>
        <v>0.63108582517315481</v>
      </c>
      <c r="KY23" s="593">
        <f>'Proy 2021 vs 2019 Sem'!FY22*$LB$4</f>
        <v>20286.414400000001</v>
      </c>
      <c r="KZ23" s="593">
        <f>'Proy 2021 vs 2019 Sem'!FZ22*$LB$4</f>
        <v>15214.810800000001</v>
      </c>
      <c r="LA23" s="735">
        <v>14510.38</v>
      </c>
      <c r="LB23" s="700">
        <f t="shared" si="684"/>
        <v>0.71527573645542797</v>
      </c>
      <c r="LC23" s="593">
        <f>'Proy 2021 vs 2019 Sem'!FY22*$LF$4</f>
        <v>27893.819800000001</v>
      </c>
      <c r="LD23" s="593">
        <f>'Proy 2021 vs 2019 Sem'!FZ22*$LF$4</f>
        <v>20920.364850000002</v>
      </c>
      <c r="LE23" s="735">
        <v>19787.52</v>
      </c>
      <c r="LF23" s="700">
        <f t="shared" si="685"/>
        <v>0.70938724570092759</v>
      </c>
      <c r="LG23" s="579">
        <f t="shared" si="686"/>
        <v>126790.09</v>
      </c>
      <c r="LH23" s="574">
        <f t="shared" si="687"/>
        <v>95092.567500000005</v>
      </c>
      <c r="LI23" s="793">
        <f t="shared" si="688"/>
        <v>89187.160000000018</v>
      </c>
      <c r="LJ23" s="786">
        <f t="shared" si="689"/>
        <v>0.70342374549935271</v>
      </c>
      <c r="LK23" s="593">
        <f>'Proy 2021 vs 2019 Sem'!GD22*$LN$4</f>
        <v>16249.2336</v>
      </c>
      <c r="LL23" s="593">
        <f>'Proy 2021 vs 2019 Sem'!GE22*$LN$4</f>
        <v>13161.879216000001</v>
      </c>
      <c r="LM23" s="735">
        <v>5146.26</v>
      </c>
      <c r="LN23" s="700">
        <f t="shared" si="690"/>
        <v>0.31670785999408613</v>
      </c>
      <c r="LO23" s="593">
        <f>'Proy 2021 vs 2019 Sem'!GD22*$LR$4</f>
        <v>16249.2336</v>
      </c>
      <c r="LP23" s="593">
        <f>'Proy 2021 vs 2019 Sem'!GE22*$LR$4</f>
        <v>13161.879216000001</v>
      </c>
      <c r="LQ23" s="735">
        <v>15132.63</v>
      </c>
      <c r="LR23" s="700">
        <f t="shared" si="691"/>
        <v>0.93128269138798025</v>
      </c>
      <c r="LS23" s="593">
        <f>'Proy 2021 vs 2019 Sem'!GD22*$LV$4</f>
        <v>16249.2336</v>
      </c>
      <c r="LT23" s="593">
        <f>'Proy 2021 vs 2019 Sem'!GE22*$LV$4</f>
        <v>13161.879216000001</v>
      </c>
      <c r="LU23" s="735">
        <v>10238.06</v>
      </c>
      <c r="LV23" s="700">
        <f t="shared" si="692"/>
        <v>0.63006417730372222</v>
      </c>
      <c r="LW23" s="593">
        <f>'Proy 2021 vs 2019 Sem'!GD22*$LZ$4</f>
        <v>16249.2336</v>
      </c>
      <c r="LX23" s="593">
        <f>'Proy 2021 vs 2019 Sem'!GE22*$LZ$4</f>
        <v>13161.879216000001</v>
      </c>
      <c r="LY23" s="735">
        <v>11515.24</v>
      </c>
      <c r="LZ23" s="700">
        <f t="shared" si="693"/>
        <v>0.70866357660092971</v>
      </c>
      <c r="MA23" s="593">
        <f>'Proy 2021 vs 2019 Sem'!GD22*$MD$4</f>
        <v>18957.439200000001</v>
      </c>
      <c r="MB23" s="593">
        <f>'Proy 2021 vs 2019 Sem'!GE22*$MD$4</f>
        <v>15355.525752000003</v>
      </c>
      <c r="MC23" s="735">
        <v>11693.7</v>
      </c>
      <c r="MD23" s="700">
        <f t="shared" si="694"/>
        <v>0.616839641506011</v>
      </c>
      <c r="ME23" s="593">
        <f>'Proy 2021 vs 2019 Sem'!GD22*$MH$4</f>
        <v>21665.644800000002</v>
      </c>
      <c r="MF23" s="593">
        <f>'Proy 2021 vs 2019 Sem'!GE22*$MH$4</f>
        <v>17549.172288000002</v>
      </c>
      <c r="MG23" s="735">
        <v>17820.7</v>
      </c>
      <c r="MH23" s="700">
        <f t="shared" si="695"/>
        <v>0.82253263932398635</v>
      </c>
      <c r="MI23" s="593">
        <f>'Proy 2021 vs 2019 Sem'!GD22*$ML$4</f>
        <v>29790.261600000002</v>
      </c>
      <c r="MJ23" s="593">
        <f>'Proy 2021 vs 2019 Sem'!GE22*$ML$4</f>
        <v>24130.111896000002</v>
      </c>
      <c r="MK23" s="735">
        <v>21420.99</v>
      </c>
      <c r="ML23" s="700">
        <f t="shared" si="696"/>
        <v>0.7190601508514447</v>
      </c>
      <c r="MM23" s="579">
        <f t="shared" si="697"/>
        <v>135410.28</v>
      </c>
      <c r="MN23" s="574">
        <f t="shared" si="698"/>
        <v>109682.32680000001</v>
      </c>
      <c r="MO23" s="794">
        <f t="shared" si="699"/>
        <v>92967.58</v>
      </c>
      <c r="MP23" s="786">
        <f t="shared" si="700"/>
        <v>0.68656220192440343</v>
      </c>
      <c r="MQ23" s="593">
        <f>'Proy 2021 vs 2019 Sem'!GI22*$MT$4</f>
        <v>15288.434399999998</v>
      </c>
      <c r="MR23" s="593">
        <f>'Proy 2021 vs 2019 Sem'!GJ22*$MT$4</f>
        <v>12230.747520000001</v>
      </c>
      <c r="MS23" s="735">
        <v>9410.82</v>
      </c>
      <c r="MT23" s="700">
        <f t="shared" si="701"/>
        <v>0.61555158322816894</v>
      </c>
      <c r="MU23" s="593">
        <f>'Proy 2021 vs 2019 Sem'!GI22*$MX$4</f>
        <v>15288.434399999998</v>
      </c>
      <c r="MV23" s="593">
        <f>'Proy 2021 vs 2019 Sem'!GJ22*$MX$4</f>
        <v>12230.747520000001</v>
      </c>
      <c r="MW23" s="735">
        <v>11891.27</v>
      </c>
      <c r="MX23" s="700">
        <f t="shared" si="702"/>
        <v>0.7777951416660428</v>
      </c>
      <c r="MY23" s="593">
        <f>'Proy 2021 vs 2019 Sem'!GI22*$NB$4</f>
        <v>15288.434399999998</v>
      </c>
      <c r="MZ23" s="593">
        <f>'Proy 2021 vs 2019 Sem'!GJ22*$NB$4</f>
        <v>12230.747520000001</v>
      </c>
      <c r="NA23" s="735">
        <v>10882.41</v>
      </c>
      <c r="NB23" s="700">
        <f t="shared" si="703"/>
        <v>0.71180669748630387</v>
      </c>
      <c r="NC23" s="593">
        <f>'Proy 2021 vs 2019 Sem'!GI22*$NF$4</f>
        <v>15288.434399999998</v>
      </c>
      <c r="ND23" s="593">
        <f>'Proy 2021 vs 2019 Sem'!GJ22*$NF$4</f>
        <v>12230.747520000001</v>
      </c>
      <c r="NE23" s="735">
        <v>12446.47</v>
      </c>
      <c r="NF23" s="700">
        <f t="shared" si="704"/>
        <v>0.81411017468211133</v>
      </c>
      <c r="NG23" s="593">
        <f>'Proy 2021 vs 2019 Sem'!GI22*$NJ$4</f>
        <v>17836.506800000003</v>
      </c>
      <c r="NH23" s="593">
        <f>'Proy 2021 vs 2019 Sem'!GJ22*$NJ$4</f>
        <v>14269.205440000003</v>
      </c>
      <c r="NI23" s="735">
        <v>10194.129999999999</v>
      </c>
      <c r="NJ23" s="700">
        <f t="shared" si="705"/>
        <v>0.57153175306725401</v>
      </c>
      <c r="NK23" s="593">
        <f>'Proy 2021 vs 2019 Sem'!GI22*$NN$4</f>
        <v>20384.5792</v>
      </c>
      <c r="NL23" s="593">
        <f>'Proy 2021 vs 2019 Sem'!GJ22*$NN$4</f>
        <v>16307.663360000002</v>
      </c>
      <c r="NM23" s="735">
        <v>15009.62</v>
      </c>
      <c r="NN23" s="700">
        <f t="shared" si="706"/>
        <v>0.73632228817360135</v>
      </c>
      <c r="NO23" s="593">
        <f>'Proy 2021 vs 2019 Sem'!GI22*$NR$4</f>
        <v>28028.796399999999</v>
      </c>
      <c r="NP23" s="593">
        <f>'Proy 2021 vs 2019 Sem'!GJ22*$NR$4</f>
        <v>22423.037120000001</v>
      </c>
      <c r="NQ23" s="735">
        <v>22749.4</v>
      </c>
      <c r="NR23" s="700">
        <f t="shared" si="707"/>
        <v>0.81164384211660268</v>
      </c>
      <c r="NS23" s="579">
        <f t="shared" si="708"/>
        <v>127403.62</v>
      </c>
      <c r="NT23" s="574">
        <f t="shared" si="709"/>
        <v>101922.89600000001</v>
      </c>
      <c r="NU23" s="794">
        <f t="shared" si="710"/>
        <v>92584.12</v>
      </c>
      <c r="NV23" s="786">
        <f t="shared" si="711"/>
        <v>0.72669928845035958</v>
      </c>
      <c r="NW23" s="593">
        <f>'Proy 2021 vs 2019 Sem'!GN22*$NZ$4</f>
        <v>15361.832399999999</v>
      </c>
      <c r="NX23" s="593">
        <f>'Proy 2021 vs 2019 Sem'!GO22*$NZ$4</f>
        <v>11214.137651999999</v>
      </c>
      <c r="NY23" s="735">
        <v>8644.1</v>
      </c>
      <c r="NZ23" s="700">
        <f t="shared" si="712"/>
        <v>0.56269979875577869</v>
      </c>
      <c r="OA23" s="593">
        <f>'Proy 2021 vs 2019 Sem'!GN22*$OD$4</f>
        <v>15361.832399999999</v>
      </c>
      <c r="OB23" s="593">
        <f>'Proy 2021 vs 2019 Sem'!GO22*$OD$4</f>
        <v>11214.137651999999</v>
      </c>
      <c r="OC23" s="735">
        <v>11880.52</v>
      </c>
      <c r="OD23" s="700">
        <f t="shared" si="713"/>
        <v>0.77337909245774616</v>
      </c>
      <c r="OE23" s="593">
        <f>'Proy 2021 vs 2019 Sem'!GN22*$OH$4</f>
        <v>15361.832399999999</v>
      </c>
      <c r="OF23" s="593">
        <f>'Proy 2021 vs 2019 Sem'!GO22*$OH$4</f>
        <v>11214.137651999999</v>
      </c>
      <c r="OG23" s="735">
        <v>14861.07</v>
      </c>
      <c r="OH23" s="700">
        <f t="shared" si="714"/>
        <v>0.96740217006924256</v>
      </c>
      <c r="OI23" s="593">
        <f>'Proy 2021 vs 2019 Sem'!GN22*$OL$4</f>
        <v>15361.832399999999</v>
      </c>
      <c r="OJ23" s="593">
        <f>'Proy 2021 vs 2019 Sem'!GO22*$OL$4</f>
        <v>11214.137651999999</v>
      </c>
      <c r="OK23" s="735">
        <v>11577.72</v>
      </c>
      <c r="OL23" s="700">
        <f t="shared" si="715"/>
        <v>0.75366790227447089</v>
      </c>
      <c r="OM23" s="593">
        <f>'Proy 2021 vs 2019 Sem'!GN22*$OP$4</f>
        <v>17922.137800000004</v>
      </c>
      <c r="ON23" s="593">
        <f>'Proy 2021 vs 2019 Sem'!GO22*$OP$4</f>
        <v>13083.160594000001</v>
      </c>
      <c r="OO23" s="735">
        <v>17235.36</v>
      </c>
      <c r="OP23" s="700">
        <f t="shared" si="716"/>
        <v>0.96167991744824088</v>
      </c>
      <c r="OQ23" s="593">
        <f>'Proy 2021 vs 2019 Sem'!GN22*$JV$4</f>
        <v>20482.443200000002</v>
      </c>
      <c r="OR23" s="593">
        <f>'Proy 2021 vs 2019 Sem'!GO22*$JV$4</f>
        <v>14952.183536</v>
      </c>
      <c r="OS23" s="735">
        <v>19090.75</v>
      </c>
      <c r="OT23" s="700">
        <f t="shared" si="717"/>
        <v>0.93205433617411415</v>
      </c>
      <c r="OU23" s="593">
        <f>'Proy 2021 vs 2019 Sem'!GN22*$OX$4</f>
        <v>28163.359400000001</v>
      </c>
      <c r="OV23" s="593">
        <f>'Proy 2021 vs 2019 Sem'!GO22*$OX$4</f>
        <v>20559.252361999999</v>
      </c>
      <c r="OW23" s="735">
        <v>29559.62</v>
      </c>
      <c r="OX23" s="700">
        <f t="shared" si="718"/>
        <v>1.0495772034922792</v>
      </c>
      <c r="OY23" s="579">
        <f t="shared" si="719"/>
        <v>128015.27</v>
      </c>
      <c r="OZ23" s="574">
        <f t="shared" si="720"/>
        <v>93451.147100000002</v>
      </c>
      <c r="PA23" s="785">
        <f t="shared" si="721"/>
        <v>112849.14</v>
      </c>
      <c r="PB23" s="786">
        <f t="shared" si="722"/>
        <v>0.88152874262578207</v>
      </c>
      <c r="PC23" s="593">
        <f>'Proy 2021 vs 2019 Sem'!GW22*$PF$4</f>
        <v>15571.32</v>
      </c>
      <c r="PD23" s="593">
        <f>'Proy 2021 vs 2019 Sem'!GX22*$PF$4</f>
        <v>11834.2032</v>
      </c>
      <c r="PE23" s="735">
        <v>11944.75</v>
      </c>
      <c r="PF23" s="700">
        <f t="shared" si="723"/>
        <v>0.76709938528011756</v>
      </c>
      <c r="PG23" s="593">
        <f>'Proy 2021 vs 2019 Sem'!GW22*$PJ$4</f>
        <v>15571.32</v>
      </c>
      <c r="PH23" s="593">
        <f>'Proy 2021 vs 2019 Sem'!GX22*$PJ$4</f>
        <v>11834.2032</v>
      </c>
      <c r="PI23" s="735">
        <v>14487.8</v>
      </c>
      <c r="PJ23" s="700">
        <f t="shared" si="724"/>
        <v>0.93041566161378741</v>
      </c>
      <c r="PK23" s="593">
        <f>'Proy 2021 vs 2019 Sem'!GW22*'Vtas Diarias 2021'!$PN$4</f>
        <v>15571.32</v>
      </c>
      <c r="PL23" s="593">
        <f>'Proy 2021 vs 2019 Sem'!GX22*'Vtas Diarias 2021'!$PN$4</f>
        <v>11834.2032</v>
      </c>
      <c r="PM23" s="735">
        <v>10345</v>
      </c>
      <c r="PN23" s="700">
        <f t="shared" si="725"/>
        <v>0.66436243041694609</v>
      </c>
      <c r="PO23" s="593">
        <f>'Proy 2021 vs 2019 Sem'!GW22*$PR$4</f>
        <v>15571.32</v>
      </c>
      <c r="PP23" s="593">
        <f>'Proy 2021 vs 2019 Sem'!GX22*$PR$4</f>
        <v>11834.2032</v>
      </c>
      <c r="PQ23" s="735">
        <v>9144.36</v>
      </c>
      <c r="PR23" s="700">
        <f t="shared" si="726"/>
        <v>0.58725657169719725</v>
      </c>
      <c r="PS23" s="593">
        <f>'Proy 2021 vs 2019 Sem'!GW22*$PV$4</f>
        <v>18166.54</v>
      </c>
      <c r="PT23" s="593">
        <f>'Proy 2021 vs 2019 Sem'!GX22*$PV$4</f>
        <v>13806.570400000001</v>
      </c>
      <c r="PU23" s="735">
        <v>12389.18</v>
      </c>
      <c r="PV23" s="700">
        <f t="shared" si="727"/>
        <v>0.68197796608490113</v>
      </c>
      <c r="PW23" s="593">
        <f>'Proy 2021 vs 2019 Sem'!GW22*PZ$4</f>
        <v>20761.760000000002</v>
      </c>
      <c r="PX23" s="593">
        <f>'Proy 2021 vs 2019 Sem'!GX22*$PZ$4</f>
        <v>15778.937600000001</v>
      </c>
      <c r="PY23" s="735">
        <v>12262.68</v>
      </c>
      <c r="PZ23" s="700">
        <f t="shared" si="728"/>
        <v>0.59063778793320021</v>
      </c>
      <c r="QA23" s="593">
        <f>'Proy 2021 vs 2019 Sem'!GW22*$QD$4</f>
        <v>28547.420000000002</v>
      </c>
      <c r="QB23" s="593">
        <f>'Proy 2021 vs 2019 Sem'!GX22*$QD$4</f>
        <v>21696.039199999999</v>
      </c>
      <c r="QC23" s="735">
        <v>21458</v>
      </c>
      <c r="QD23" s="700">
        <f t="shared" si="729"/>
        <v>0.75166162126034497</v>
      </c>
      <c r="QE23" s="579">
        <f t="shared" si="730"/>
        <v>129761.00000000001</v>
      </c>
      <c r="QF23" s="574">
        <f t="shared" si="731"/>
        <v>98618.36</v>
      </c>
      <c r="QG23" s="729">
        <f t="shared" si="732"/>
        <v>92031.77</v>
      </c>
      <c r="QH23" s="711">
        <f t="shared" si="733"/>
        <v>0.70924060387943988</v>
      </c>
      <c r="QI23" s="578">
        <f>'Proy 2021 vs 2019 Sem'!HB22*$QL$4</f>
        <v>14317.673999999999</v>
      </c>
      <c r="QJ23" s="611">
        <f>'Proy 2021 vs 2019 Sem'!UG22*$AL$4</f>
        <v>0</v>
      </c>
      <c r="QK23" s="735">
        <v>7648.2</v>
      </c>
      <c r="QL23" s="700">
        <f t="shared" si="734"/>
        <v>0.53417894554660206</v>
      </c>
      <c r="QM23" s="593">
        <f>'Proy 2021 vs 2019 Sem'!HB22*$QP$4</f>
        <v>14317.673999999999</v>
      </c>
      <c r="QN23" s="593">
        <f>'Proy 2021 vs 2019 Sem'!UG22*$AP$4</f>
        <v>0</v>
      </c>
      <c r="QO23" s="735">
        <v>7593.01</v>
      </c>
      <c r="QP23" s="700">
        <f t="shared" si="735"/>
        <v>0.53032426915153963</v>
      </c>
      <c r="QQ23" s="593">
        <f>'Proy 2021 vs 2019 Sem'!HB22*$QT$4</f>
        <v>14317.673999999999</v>
      </c>
      <c r="QR23" s="593">
        <f>'Proy 2021 vs 2019 Sem'!HC22*$QT$4</f>
        <v>11454.1392</v>
      </c>
      <c r="QS23" s="735">
        <v>11022.43</v>
      </c>
      <c r="QT23" s="700">
        <f t="shared" si="736"/>
        <v>0.76984781187223572</v>
      </c>
      <c r="QU23" s="593">
        <f>'Proy 2021 vs 2019 Sem'!HB22*$QX$4</f>
        <v>14317.673999999999</v>
      </c>
      <c r="QV23" s="593">
        <f>'Proy 2021 vs 2019 Sem'!HC22*$QX$4</f>
        <v>11454.1392</v>
      </c>
      <c r="QW23" s="735">
        <v>10820.5</v>
      </c>
      <c r="QX23" s="700">
        <f t="shared" si="737"/>
        <v>0.75574426404735862</v>
      </c>
      <c r="QY23" s="593">
        <f>'Proy 2021 vs 2019 Sem'!HB22*$RB$4</f>
        <v>16703.953000000001</v>
      </c>
      <c r="QZ23" s="593">
        <f>'Proy 2021 vs 2019 Sem'!HC22*$RB$4</f>
        <v>13363.162400000001</v>
      </c>
      <c r="RA23" s="735">
        <v>9279.9</v>
      </c>
      <c r="RB23" s="700">
        <f t="shared" si="738"/>
        <v>0.55555113211824758</v>
      </c>
      <c r="RC23" s="593">
        <f>'Proy 2021 vs 2019 Sem'!HB22*$RF$4</f>
        <v>19090.232</v>
      </c>
      <c r="RD23" s="593">
        <f>'Proy 2021 vs 2019 Sem'!HC22*$RF$4</f>
        <v>15272.185600000001</v>
      </c>
      <c r="RE23" s="735">
        <v>13436.17</v>
      </c>
      <c r="RF23" s="700">
        <f t="shared" si="739"/>
        <v>0.70382434325575505</v>
      </c>
      <c r="RG23" s="593">
        <f>'Proy 2021 vs 2019 Sem'!HB22*$RJ$4</f>
        <v>26249.069</v>
      </c>
      <c r="RH23" s="593">
        <f>'Proy 2021 vs 2019 Sem'!HC22*$RJ$4</f>
        <v>20999.2552</v>
      </c>
      <c r="RI23" s="735">
        <v>16068.58</v>
      </c>
      <c r="RJ23" s="700">
        <f t="shared" si="740"/>
        <v>0.61215809215938288</v>
      </c>
      <c r="RK23" s="579">
        <f t="shared" si="741"/>
        <v>119313.95000000001</v>
      </c>
      <c r="RL23" s="574">
        <f t="shared" si="742"/>
        <v>72542.881599999993</v>
      </c>
      <c r="RM23" s="730">
        <f t="shared" si="743"/>
        <v>75868.789999999994</v>
      </c>
      <c r="RN23" s="711">
        <f t="shared" si="744"/>
        <v>0.63587526856666787</v>
      </c>
      <c r="RO23" s="593">
        <f>'Proy 2021 vs 2019 Sem'!HG22*$RR$4</f>
        <v>15250.7328</v>
      </c>
      <c r="RP23" s="593">
        <f>'Proy 2021 vs 2019 Sem'!HH22*$RR$4</f>
        <v>11895.571583999999</v>
      </c>
      <c r="RQ23" s="735">
        <v>9075.2099999999991</v>
      </c>
      <c r="RR23" s="700">
        <f t="shared" si="745"/>
        <v>0.59506714326540422</v>
      </c>
      <c r="RS23" s="593">
        <f>'Proy 2021 vs 2019 Sem'!HG22*$RV$4</f>
        <v>15250.7328</v>
      </c>
      <c r="RT23" s="593">
        <f>'Proy 2021 vs 2019 Sem'!HH22*$RV$4</f>
        <v>11895.571583999999</v>
      </c>
      <c r="RU23" s="735">
        <v>10737.28</v>
      </c>
      <c r="RV23" s="700">
        <f t="shared" si="746"/>
        <v>0.70405010308750549</v>
      </c>
      <c r="RW23" s="593">
        <f>'Proy 2021 vs 2019 Sem'!HG22*$RZ$4</f>
        <v>15250.7328</v>
      </c>
      <c r="RX23" s="593">
        <f>'Proy 2021 vs 2019 Sem'!HH22*$RZ$4</f>
        <v>11895.571583999999</v>
      </c>
      <c r="RY23" s="735">
        <v>10973.22</v>
      </c>
      <c r="RZ23" s="700">
        <f t="shared" si="747"/>
        <v>0.71952083509062592</v>
      </c>
      <c r="SA23" s="593">
        <f>'Proy 2021 vs 2019 Sem'!HG22*$SD$4</f>
        <v>15250.7328</v>
      </c>
      <c r="SB23" s="593">
        <f>'Proy 2021 vs 2019 Sem'!HH22*$SD$4</f>
        <v>11895.571583999999</v>
      </c>
      <c r="SC23" s="735">
        <v>12977.31</v>
      </c>
      <c r="SD23" s="700">
        <f t="shared" si="748"/>
        <v>0.85093025824962321</v>
      </c>
      <c r="SE23" s="593">
        <f>'Proy 2021 vs 2019 Sem'!HG22*$SH$4</f>
        <v>17792.521600000004</v>
      </c>
      <c r="SF23" s="593">
        <f>'Proy 2021 vs 2019 Sem'!HH22*$SH$4</f>
        <v>13878.166848000001</v>
      </c>
      <c r="SG23" s="735">
        <v>10810.62</v>
      </c>
      <c r="SH23" s="700">
        <f t="shared" si="749"/>
        <v>0.60759347342874648</v>
      </c>
      <c r="SI23" s="593">
        <f>'Proy 2021 vs 2019 Sem'!HG22*$SL$4</f>
        <v>20334.310400000002</v>
      </c>
      <c r="SJ23" s="593">
        <f>'Proy 2021 vs 2019 Sem'!HH22*$SL$4</f>
        <v>15860.762112</v>
      </c>
      <c r="SK23" s="735">
        <v>13397.79</v>
      </c>
      <c r="SL23" s="700">
        <f t="shared" si="750"/>
        <v>0.658876044303917</v>
      </c>
      <c r="SM23" s="593">
        <f>'Proy 2021 vs 2019 Sem'!HG22*$SP$4</f>
        <v>27959.676800000001</v>
      </c>
      <c r="SN23" s="593">
        <f>'Proy 2021 vs 2019 Sem'!HH22*$SP$4</f>
        <v>21808.547903999999</v>
      </c>
      <c r="SO23" s="735">
        <v>17076.099999999999</v>
      </c>
      <c r="SP23" s="700">
        <f t="shared" si="751"/>
        <v>0.61074025004466426</v>
      </c>
      <c r="SQ23" s="579">
        <f t="shared" si="752"/>
        <v>127089.44</v>
      </c>
      <c r="SR23" s="574">
        <f t="shared" si="753"/>
        <v>99129.763199999987</v>
      </c>
      <c r="SS23" s="730">
        <f t="shared" si="754"/>
        <v>85047.53</v>
      </c>
      <c r="ST23" s="711">
        <f t="shared" si="755"/>
        <v>0.66919430914165645</v>
      </c>
      <c r="SU23" s="593">
        <f>'Proy 2021 vs 2019 Sem'!HL22*$SX$4</f>
        <v>14913.312</v>
      </c>
      <c r="SV23" s="593">
        <f>'Proy 2021 vs 2019 Sem'!HM22*$SX$4</f>
        <v>11334.117120000001</v>
      </c>
      <c r="SW23" s="735">
        <v>6311.46</v>
      </c>
      <c r="SX23" s="700">
        <f t="shared" si="756"/>
        <v>0.42320981415798181</v>
      </c>
      <c r="SY23" s="593">
        <f>'Proy 2021 vs 2019 Sem'!HL22*$TB$4</f>
        <v>14913.312</v>
      </c>
      <c r="SZ23" s="593">
        <f>'Proy 2021 vs 2019 Sem'!HM22*$TB$4</f>
        <v>11334.117120000001</v>
      </c>
      <c r="TA23" s="735">
        <v>8123.21</v>
      </c>
      <c r="TB23" s="700">
        <f t="shared" si="757"/>
        <v>0.54469523604146419</v>
      </c>
      <c r="TC23" s="593">
        <f>'Proy 2021 vs 2019 Sem'!HL22*$TF$4</f>
        <v>14913.312</v>
      </c>
      <c r="TD23" s="593">
        <f>'Proy 2021 vs 2019 Sem'!HM22*$TF$4</f>
        <v>11334.117120000001</v>
      </c>
      <c r="TE23" s="735">
        <v>9788.31</v>
      </c>
      <c r="TF23" s="700">
        <f t="shared" si="758"/>
        <v>0.65634716151583228</v>
      </c>
      <c r="TG23" s="593">
        <f>'Proy 2021 vs 2019 Sem'!HL22*$TJ$4</f>
        <v>14913.312</v>
      </c>
      <c r="TH23" s="593">
        <f>'Proy 2021 vs 2019 Sem'!HM22*$TJ$4</f>
        <v>11334.117120000001</v>
      </c>
      <c r="TI23" s="735">
        <v>10855.43</v>
      </c>
      <c r="TJ23" s="700">
        <f t="shared" si="759"/>
        <v>0.72790202471456378</v>
      </c>
      <c r="TK23" s="593">
        <f>'Proy 2021 vs 2019 Sem'!HL22*$TN$4</f>
        <v>17398.864000000001</v>
      </c>
      <c r="TL23" s="593">
        <f>'Proy 2021 vs 2019 Sem'!HM22*$TN$4</f>
        <v>13223.136640000002</v>
      </c>
      <c r="TM23" s="735">
        <v>10158.19</v>
      </c>
      <c r="TN23" s="700">
        <f t="shared" si="760"/>
        <v>0.58384214049836813</v>
      </c>
      <c r="TO23" s="593">
        <f>'Proy 2021 vs 2019 Sem'!HL22*$TR$4</f>
        <v>19884.416000000001</v>
      </c>
      <c r="TP23" s="611">
        <f>'Proy 2021 vs 2019 Sem'!HM22*$TR$4</f>
        <v>15112.156160000002</v>
      </c>
      <c r="TQ23" s="735">
        <v>14141.95</v>
      </c>
      <c r="TR23" s="700">
        <f t="shared" si="761"/>
        <v>0.71120771160691876</v>
      </c>
      <c r="TS23" s="593">
        <f>'Proy 2021 vs 2019 Sem'!HL22*$TV$4</f>
        <v>27341.072</v>
      </c>
      <c r="TT23" s="593">
        <f>'Proy 2021 vs 2019 Sem'!HM22*$TV$4</f>
        <v>20779.214720000004</v>
      </c>
      <c r="TU23" s="735">
        <v>17859.47</v>
      </c>
      <c r="TV23" s="700">
        <f t="shared" si="762"/>
        <v>0.65321030572612515</v>
      </c>
      <c r="TW23" s="579">
        <f t="shared" si="763"/>
        <v>124277.59999999999</v>
      </c>
      <c r="TX23" s="574">
        <f t="shared" si="764"/>
        <v>94450.97600000001</v>
      </c>
      <c r="TY23" s="710">
        <f t="shared" si="765"/>
        <v>77238.02</v>
      </c>
      <c r="TZ23" s="711">
        <f t="shared" si="766"/>
        <v>0.62149590915820718</v>
      </c>
      <c r="UA23" s="593">
        <v>11457.99</v>
      </c>
      <c r="UB23" s="593">
        <f>'Proy 2021 vs 2019 Sem'!HR22*$UD$4</f>
        <v>10682.297952000001</v>
      </c>
      <c r="UC23" s="735">
        <v>6519.19</v>
      </c>
      <c r="UD23" s="700">
        <f t="shared" si="767"/>
        <v>0.56896453915564593</v>
      </c>
      <c r="UE23" s="593">
        <v>16446.310000000001</v>
      </c>
      <c r="UF23" s="593">
        <f>'Proy 2021 vs 2019 Sem'!HR22*$UH$4</f>
        <v>10682.297952000001</v>
      </c>
      <c r="UG23" s="735">
        <v>12897.33</v>
      </c>
      <c r="UH23" s="700">
        <f t="shared" si="768"/>
        <v>0.78420812936154061</v>
      </c>
      <c r="UI23" s="593">
        <v>13408.84</v>
      </c>
      <c r="UJ23" s="593">
        <f>'Proy 2021 vs 2019 Sem'!HR22*$UL$4</f>
        <v>10682.297952000001</v>
      </c>
      <c r="UK23" s="735">
        <v>6735.06</v>
      </c>
      <c r="UL23" s="700">
        <f t="shared" si="769"/>
        <v>0.50228505970687998</v>
      </c>
      <c r="UM23" s="593">
        <v>15889.48</v>
      </c>
      <c r="UN23" s="593">
        <f>'Proy 2021 vs 2019 Sem'!HR22*$UP$4</f>
        <v>10682.297952000001</v>
      </c>
      <c r="UO23" s="735">
        <v>8348.4500000000007</v>
      </c>
      <c r="UP23" s="700">
        <f t="shared" si="770"/>
        <v>0.52540737645284807</v>
      </c>
      <c r="UQ23" s="593">
        <v>19488.11</v>
      </c>
      <c r="UR23" s="593">
        <f>'Proy 2021 vs 2019 Sem'!HR22*$UT$4</f>
        <v>12462.680944000002</v>
      </c>
      <c r="US23" s="735">
        <v>7601.98</v>
      </c>
      <c r="UT23" s="700">
        <f t="shared" si="771"/>
        <v>0.39008297880092013</v>
      </c>
      <c r="UU23" s="593">
        <v>15401.24</v>
      </c>
      <c r="UV23" s="593">
        <f>'Proy 2021 vs 2019 Sem'!HR22*$UX$4</f>
        <v>14243.063936</v>
      </c>
      <c r="UW23" s="735">
        <v>15374.5</v>
      </c>
      <c r="UX23" s="700">
        <f t="shared" si="772"/>
        <v>0.99826377616347772</v>
      </c>
      <c r="UY23" s="593">
        <v>25038.49</v>
      </c>
      <c r="UZ23" s="593">
        <f>'Proy 2021 vs 2019 Sem'!HR22*$VB$4</f>
        <v>19584.212912000003</v>
      </c>
      <c r="VA23" s="735">
        <v>25774.47</v>
      </c>
      <c r="VB23" s="700">
        <f t="shared" si="773"/>
        <v>1.0293939450821514</v>
      </c>
      <c r="VC23" s="577">
        <f>UA23+UE23+UI23+UM23+UQ23+UU23+UY23</f>
        <v>117130.46</v>
      </c>
      <c r="VD23" s="574">
        <f t="shared" si="774"/>
        <v>89019.149600000004</v>
      </c>
      <c r="VE23" s="710">
        <f t="shared" si="775"/>
        <v>83250.98</v>
      </c>
      <c r="VF23" s="1532">
        <f t="shared" si="776"/>
        <v>0.71075431617019169</v>
      </c>
      <c r="VG23" s="593">
        <v>11073.81</v>
      </c>
      <c r="VH23" s="593">
        <f>'Proy 2021 vs 2019 Sem'!IA22*$VJ$4</f>
        <v>9037.0089359999984</v>
      </c>
      <c r="VI23" s="735">
        <v>6655.6</v>
      </c>
      <c r="VJ23" s="700">
        <f t="shared" si="777"/>
        <v>0.60102168991521443</v>
      </c>
      <c r="VK23" s="593">
        <v>14442.33</v>
      </c>
      <c r="VL23" s="593">
        <f>'Proy 2021 vs 2019 Sem'!IA22*$VN$4</f>
        <v>9037.0089359999984</v>
      </c>
      <c r="VM23" s="735">
        <v>7835.49</v>
      </c>
      <c r="VN23" s="700">
        <f t="shared" si="778"/>
        <v>0.54253641898502525</v>
      </c>
      <c r="VO23" s="593">
        <v>10717.36</v>
      </c>
      <c r="VP23" s="593">
        <f>'Proy 2021 vs 2019 Sem'!IA22*$VR$4</f>
        <v>9037.0089359999984</v>
      </c>
      <c r="VQ23" s="735">
        <v>9922.2199999999993</v>
      </c>
      <c r="VR23" s="700">
        <f t="shared" si="779"/>
        <v>0.92580822142766495</v>
      </c>
      <c r="VS23" s="593">
        <v>13280.74</v>
      </c>
      <c r="VT23" s="593">
        <f>'Proy 2021 vs 2019 Sem'!IA22*$VV$4</f>
        <v>9037.0089359999984</v>
      </c>
      <c r="VU23" s="735">
        <v>7888.67</v>
      </c>
      <c r="VV23" s="700">
        <f t="shared" si="780"/>
        <v>0.59399325639986933</v>
      </c>
      <c r="VW23" s="593">
        <v>16186.2</v>
      </c>
      <c r="VX23" s="593">
        <f>'Proy 2021 vs 2019 Sem'!IA22*$VZ$4</f>
        <v>10543.177092</v>
      </c>
      <c r="VY23" s="735">
        <v>6510.33</v>
      </c>
      <c r="VZ23" s="700">
        <f t="shared" si="781"/>
        <v>0.40221484968677018</v>
      </c>
      <c r="WA23" s="593">
        <v>15223.13</v>
      </c>
      <c r="WB23" s="593">
        <f>'Proy 2021 vs 2019 Sem'!IA22*$WD$4</f>
        <v>12049.345247999998</v>
      </c>
      <c r="WC23" s="735">
        <v>13554.17</v>
      </c>
      <c r="WD23" s="700">
        <f t="shared" si="782"/>
        <v>0.89036682994890015</v>
      </c>
      <c r="WE23" s="593">
        <v>25144.61</v>
      </c>
      <c r="WF23" s="593">
        <f>'Proy 2021 vs 2019 Sem'!IA22*$WH$4</f>
        <v>16567.849715999997</v>
      </c>
      <c r="WG23" s="735">
        <v>20525.22</v>
      </c>
      <c r="WH23" s="1538">
        <f t="shared" si="783"/>
        <v>0.81628706907762738</v>
      </c>
      <c r="WI23" s="574">
        <f t="shared" si="784"/>
        <v>49514.239999999998</v>
      </c>
      <c r="WJ23" s="575">
        <f t="shared" si="785"/>
        <v>75308.407799999986</v>
      </c>
      <c r="WK23" s="793">
        <f t="shared" si="786"/>
        <v>72891.7</v>
      </c>
      <c r="WL23" s="786">
        <f t="shared" si="787"/>
        <v>1.4721360966057442</v>
      </c>
      <c r="WM23" s="593">
        <v>7256.58</v>
      </c>
      <c r="WN23" s="593">
        <f>'Proy 2021 vs 2019 Sem'!IF22*$WP$4</f>
        <v>8970.0078599999997</v>
      </c>
      <c r="WO23" s="735">
        <v>7958.69</v>
      </c>
      <c r="WP23" s="700">
        <f t="shared" si="788"/>
        <v>1.0967549451670071</v>
      </c>
      <c r="WQ23" s="593">
        <v>13948.78</v>
      </c>
      <c r="WR23" s="593">
        <f>'Proy 2021 vs 2019 Sem'!IF22*$WT$4</f>
        <v>8970.0078599999997</v>
      </c>
      <c r="WS23" s="735">
        <v>9576.61</v>
      </c>
      <c r="WT23" s="700">
        <f t="shared" si="789"/>
        <v>0.68655538333818444</v>
      </c>
      <c r="WU23" s="593">
        <v>12230.06</v>
      </c>
      <c r="WV23" s="593">
        <f>'Proy 2021 vs 2019 Sem'!IF22*$WX$4</f>
        <v>8970.0078599999997</v>
      </c>
      <c r="WW23" s="735">
        <v>10100.6</v>
      </c>
      <c r="WX23" s="700">
        <f t="shared" si="790"/>
        <v>0.82588311095775502</v>
      </c>
      <c r="WY23" s="593">
        <v>9906</v>
      </c>
      <c r="WZ23" s="593">
        <f>'Proy 2021 vs 2019 Sem'!IF22*$XB$4</f>
        <v>8970.0078599999997</v>
      </c>
      <c r="XA23" s="735">
        <v>12875.05</v>
      </c>
      <c r="XB23" s="700">
        <f t="shared" si="791"/>
        <v>1.2997223904704218</v>
      </c>
      <c r="XC23" s="593">
        <v>9960.75</v>
      </c>
      <c r="XD23" s="1547">
        <f>'Proy 2021 vs 2019 Sem'!IF22*$XF$4</f>
        <v>10465.009170000001</v>
      </c>
      <c r="XE23" s="735">
        <v>9765.01</v>
      </c>
      <c r="XF23" s="700">
        <f t="shared" si="792"/>
        <v>0.98034886931204979</v>
      </c>
      <c r="XG23" s="593">
        <v>16106.95</v>
      </c>
      <c r="XH23" s="593">
        <f>'Proy 2021 vs 2019 Sem'!IF22*$XJ$4</f>
        <v>11960.010479999999</v>
      </c>
      <c r="XI23" s="735">
        <v>16289.92</v>
      </c>
      <c r="XJ23" s="700">
        <f t="shared" si="793"/>
        <v>1.0113596925550772</v>
      </c>
      <c r="XK23" s="593">
        <v>32988.230000000003</v>
      </c>
      <c r="XL23" s="593">
        <f>'Proy 2021 vs 2019 Sem'!IF22*$XN$4</f>
        <v>16445.01441</v>
      </c>
      <c r="XM23" s="735">
        <v>25505.31</v>
      </c>
      <c r="XN23" s="700">
        <f t="shared" si="794"/>
        <v>0.77316394362474128</v>
      </c>
      <c r="XO23" s="579">
        <f t="shared" si="795"/>
        <v>102397.35</v>
      </c>
      <c r="XP23" s="574">
        <f t="shared" si="796"/>
        <v>74750.065499999997</v>
      </c>
      <c r="XQ23" s="794">
        <f t="shared" si="797"/>
        <v>92071.19</v>
      </c>
      <c r="XR23" s="786">
        <f t="shared" si="798"/>
        <v>0.89915598401716446</v>
      </c>
      <c r="XS23" s="593">
        <v>12211.4</v>
      </c>
      <c r="XT23" s="593">
        <f>'Proy 2021 vs 2019 Sem'!IK22*$XV$4</f>
        <v>13948.586735999999</v>
      </c>
      <c r="XU23" s="735">
        <v>14286.17</v>
      </c>
      <c r="XV23" s="700">
        <f t="shared" si="799"/>
        <v>1.1699043516713892</v>
      </c>
      <c r="XW23" s="593">
        <v>14925.2</v>
      </c>
      <c r="XX23" s="593">
        <f>'Proy 2021 vs 2019 Sem'!IK22*$XZ$4</f>
        <v>13948.586735999999</v>
      </c>
      <c r="XY23" s="735">
        <v>13037.43</v>
      </c>
      <c r="XZ23" s="700">
        <f t="shared" si="800"/>
        <v>0.87351794280813655</v>
      </c>
      <c r="YA23" s="593">
        <v>16506.830000000002</v>
      </c>
      <c r="YB23" s="593">
        <f>'Proy 2021 vs 2019 Sem'!IK22*$YD$4</f>
        <v>13948.586735999999</v>
      </c>
      <c r="YC23" s="735">
        <v>11818.77</v>
      </c>
      <c r="YD23" s="700">
        <f t="shared" si="801"/>
        <v>0.7159927133192745</v>
      </c>
      <c r="YE23" s="593">
        <v>21095.759999999998</v>
      </c>
      <c r="YF23" s="593">
        <f>'Proy 2021 vs 2019 Sem'!IK22*$YH$4</f>
        <v>13948.586735999999</v>
      </c>
      <c r="YG23" s="735">
        <v>16409.66</v>
      </c>
      <c r="YH23" s="700">
        <f t="shared" si="802"/>
        <v>0.77786531511545454</v>
      </c>
      <c r="YI23" s="593">
        <v>19439.900000000001</v>
      </c>
      <c r="YJ23" s="593">
        <f>'Proy 2021 vs 2019 Sem'!IK22*$YL$4</f>
        <v>16273.351192000002</v>
      </c>
      <c r="YK23" s="735">
        <v>17015.38</v>
      </c>
      <c r="YL23" s="700">
        <f t="shared" si="803"/>
        <v>0.87528125144676672</v>
      </c>
      <c r="YM23" s="593">
        <v>23626.92</v>
      </c>
      <c r="YN23" s="593">
        <f>'Proy 2021 vs 2019 Sem'!IK22*$YP$4</f>
        <v>18598.115648000003</v>
      </c>
      <c r="YO23" s="735">
        <v>17218.54</v>
      </c>
      <c r="YP23" s="700">
        <f t="shared" si="804"/>
        <v>0.72876786309853347</v>
      </c>
      <c r="YQ23" s="593">
        <v>45139.02</v>
      </c>
      <c r="YR23" s="593">
        <f>'Proy 2021 vs 2019 Sem'!IK22*$YT$4</f>
        <v>25572.409016000001</v>
      </c>
      <c r="YS23" s="735">
        <v>25113.84</v>
      </c>
      <c r="YT23" s="700">
        <f t="shared" si="805"/>
        <v>0.55636653166152039</v>
      </c>
      <c r="YU23" s="579">
        <f t="shared" si="806"/>
        <v>152945.03</v>
      </c>
      <c r="YV23" s="574">
        <f t="shared" si="807"/>
        <v>116238.2228</v>
      </c>
      <c r="YW23" s="794">
        <f t="shared" si="808"/>
        <v>114899.79000000001</v>
      </c>
      <c r="YX23" s="786">
        <f t="shared" si="809"/>
        <v>0.75124892910871321</v>
      </c>
      <c r="YY23" s="593">
        <v>13032.06</v>
      </c>
      <c r="YZ23" s="593">
        <f>'Proy 2021 vs 2019 Sem'!IP22*$ZB$4</f>
        <v>14295.11952</v>
      </c>
      <c r="ZA23" s="735">
        <v>18868.29</v>
      </c>
      <c r="ZB23" s="700">
        <f t="shared" si="810"/>
        <v>1.4478363359284718</v>
      </c>
      <c r="ZC23" s="593">
        <v>21660.43</v>
      </c>
      <c r="ZD23" s="593">
        <f>'Proy 2021 vs 2019 Sem'!IP22*$ZF$4</f>
        <v>14295.11952</v>
      </c>
      <c r="ZE23" s="735">
        <v>15332.8</v>
      </c>
      <c r="ZF23" s="700">
        <f t="shared" si="811"/>
        <v>0.7078714503821022</v>
      </c>
      <c r="ZG23" s="593">
        <v>24415.26</v>
      </c>
      <c r="ZH23" s="593">
        <f>'Proy 2021 vs 2019 Sem'!IP22*$ZJ$4</f>
        <v>14295.11952</v>
      </c>
      <c r="ZI23" s="735">
        <v>16999.650000000001</v>
      </c>
      <c r="ZJ23" s="700">
        <f t="shared" si="812"/>
        <v>0.69627151216083727</v>
      </c>
      <c r="ZK23" s="593">
        <v>28637.22</v>
      </c>
      <c r="ZL23" s="593">
        <f>'Proy 2021 vs 2019 Sem'!IP22*$ZN$4</f>
        <v>14295.11952</v>
      </c>
      <c r="ZM23" s="735">
        <v>16304.55</v>
      </c>
      <c r="ZN23" s="700">
        <f t="shared" si="813"/>
        <v>0.56934821187252105</v>
      </c>
      <c r="ZO23" s="593">
        <v>25730.49</v>
      </c>
      <c r="ZP23" s="593">
        <f>'Proy 2021 vs 2019 Sem'!IP22*$ZR$4</f>
        <v>16677.639440000003</v>
      </c>
      <c r="ZQ23" s="735">
        <v>19147.86</v>
      </c>
      <c r="ZR23" s="700">
        <f t="shared" si="814"/>
        <v>0.74417004884088878</v>
      </c>
      <c r="ZS23" s="593">
        <v>17669.060000000001</v>
      </c>
      <c r="ZT23" s="593">
        <f>'Proy 2021 vs 2019 Sem'!IP22*$ZV$4</f>
        <v>19060.159360000001</v>
      </c>
      <c r="ZU23" s="735">
        <v>28643.5</v>
      </c>
      <c r="ZV23" s="700">
        <f t="shared" si="815"/>
        <v>1.6211105740769456</v>
      </c>
      <c r="ZW23" s="593">
        <v>19647.88</v>
      </c>
      <c r="ZX23" s="593">
        <f>'Proy 2021 vs 2019 Sem'!IP22*$ZZ$4</f>
        <v>26207.719120000002</v>
      </c>
      <c r="ZY23" s="735">
        <v>33942.629999999997</v>
      </c>
      <c r="ZZ23" s="700">
        <f t="shared" si="816"/>
        <v>1.7275466869708078</v>
      </c>
      <c r="AAA23" s="579">
        <f t="shared" si="817"/>
        <v>150792.40000000002</v>
      </c>
      <c r="AAB23" s="574">
        <f t="shared" si="818"/>
        <v>119125.99600000001</v>
      </c>
      <c r="AAC23" s="785">
        <f t="shared" si="819"/>
        <v>149239.28</v>
      </c>
      <c r="AAD23" s="786">
        <f t="shared" si="820"/>
        <v>0.98970027667176841</v>
      </c>
      <c r="AAE23" s="593">
        <v>9170.19</v>
      </c>
      <c r="AAF23" s="593">
        <f>'Proy 2021 vs 2019 Sem'!IY22*$AAH$4</f>
        <v>11859.268415999999</v>
      </c>
      <c r="AAG23" s="735">
        <v>12861.99</v>
      </c>
      <c r="AAH23" s="700">
        <f t="shared" si="821"/>
        <v>1.4025870783484311</v>
      </c>
      <c r="AAI23" s="593">
        <v>16158.28</v>
      </c>
      <c r="AAJ23" s="593">
        <f>'Proy 2021 vs 2019 Sem'!IY22*$AAL$4</f>
        <v>11859.268415999999</v>
      </c>
      <c r="AAK23" s="735">
        <v>10389.89</v>
      </c>
      <c r="AAL23" s="700">
        <f t="shared" si="822"/>
        <v>0.64300717650641026</v>
      </c>
      <c r="AAM23" s="593">
        <v>12961.78</v>
      </c>
      <c r="AAN23" s="593">
        <f>'Proy 2021 vs 2019 Sem'!IY22*$AAP$4</f>
        <v>11859.268415999999</v>
      </c>
      <c r="AAO23" s="735">
        <v>11011.59</v>
      </c>
      <c r="AAP23" s="700">
        <f t="shared" si="823"/>
        <v>0.84954304115638435</v>
      </c>
      <c r="AAQ23" s="593">
        <v>19783.23</v>
      </c>
      <c r="AAR23" s="593">
        <f>'Proy 2021 vs 2019 Sem'!IY22*$AAT$4</f>
        <v>11859.268415999999</v>
      </c>
      <c r="AAS23" s="735">
        <v>12317.75</v>
      </c>
      <c r="AAT23" s="700">
        <f t="shared" si="824"/>
        <v>0.62263593963169817</v>
      </c>
      <c r="AAU23" s="593">
        <v>16088.91</v>
      </c>
      <c r="AAV23" s="593">
        <f>'Proy 2021 vs 2019 Sem'!IY22*$AAX$4</f>
        <v>13835.813152000001</v>
      </c>
      <c r="AAW23" s="735">
        <v>13327.66</v>
      </c>
      <c r="AAX23" s="700">
        <f t="shared" si="825"/>
        <v>0.82837557050166855</v>
      </c>
      <c r="AAY23" s="593">
        <v>16917.38</v>
      </c>
      <c r="AAZ23" s="593">
        <f>'Proy 2021 vs 2019 Sem'!IY22*$ABB$4</f>
        <v>15812.357888</v>
      </c>
      <c r="ABA23" s="735">
        <v>22280.29</v>
      </c>
      <c r="ABB23" s="700">
        <f t="shared" si="826"/>
        <v>1.31700594300063</v>
      </c>
      <c r="ABC23" s="593">
        <v>27989.19</v>
      </c>
      <c r="ABD23" s="593">
        <f>'Proy 2021 vs 2019 Sem'!IY22*$ABF$4</f>
        <v>21741.992095999998</v>
      </c>
      <c r="ABE23" s="735">
        <v>24160.46</v>
      </c>
      <c r="ABF23" s="700">
        <f t="shared" si="827"/>
        <v>0.86320683092293848</v>
      </c>
      <c r="ABG23" s="579">
        <f t="shared" si="828"/>
        <v>119068.96</v>
      </c>
      <c r="ABH23" s="574">
        <f t="shared" si="829"/>
        <v>98827.236799999999</v>
      </c>
      <c r="ABI23" s="759">
        <f t="shared" si="830"/>
        <v>106349.63</v>
      </c>
      <c r="ABJ23" s="761">
        <f t="shared" si="831"/>
        <v>0.89317677755814784</v>
      </c>
      <c r="ABK23" s="593">
        <v>15265.92</v>
      </c>
      <c r="ABL23" s="593">
        <f>'Proy 2021 vs 2019 Sem'!JD22*$ABN$4</f>
        <v>16399.885008000001</v>
      </c>
      <c r="ABM23" s="735">
        <v>9058.0499999999993</v>
      </c>
      <c r="ABN23" s="700">
        <f t="shared" si="832"/>
        <v>0.59335107219217709</v>
      </c>
      <c r="ABO23" s="593">
        <v>11488.43</v>
      </c>
      <c r="ABP23" s="593">
        <f>'Proy 2021 vs 2019 Sem'!JD22*$ABR$4</f>
        <v>16399.885008000001</v>
      </c>
      <c r="ABQ23" s="735">
        <v>11657.89</v>
      </c>
      <c r="ABR23" s="700">
        <f t="shared" si="833"/>
        <v>1.0147504924519712</v>
      </c>
      <c r="ABS23" s="593">
        <v>13668.41</v>
      </c>
      <c r="ABT23" s="593">
        <f>'Proy 2021 vs 2019 Sem'!JD22*$ABV$4</f>
        <v>16399.885008000001</v>
      </c>
      <c r="ABU23" s="735">
        <v>12772.96</v>
      </c>
      <c r="ABV23" s="700">
        <f t="shared" si="834"/>
        <v>0.93448762511513772</v>
      </c>
      <c r="ABW23" s="593">
        <v>16903.060000000001</v>
      </c>
      <c r="ABX23" s="593">
        <f>'Proy 2021 vs 2019 Sem'!JD22*$ABZ$4</f>
        <v>16399.885008000001</v>
      </c>
      <c r="ABY23" s="735">
        <v>14928.2</v>
      </c>
      <c r="ABZ23" s="700">
        <f t="shared" si="835"/>
        <v>0.88316553334130032</v>
      </c>
      <c r="ACA23" s="593">
        <v>19653.36</v>
      </c>
      <c r="ACB23" s="593">
        <f>'Proy 2021 vs 2019 Sem'!JD22*$ACD$4</f>
        <v>19133.199176000002</v>
      </c>
      <c r="ACC23" s="735">
        <v>16676.330000000002</v>
      </c>
      <c r="ACD23" s="700">
        <f t="shared" si="836"/>
        <v>0.84852310241098727</v>
      </c>
      <c r="ACE23" s="593">
        <v>39255.769999999997</v>
      </c>
      <c r="ACF23" s="593">
        <f>'Proy 2021 vs 2019 Sem'!JD22*$ACH$4</f>
        <v>21866.513344000003</v>
      </c>
      <c r="ACG23" s="735">
        <v>16980.84</v>
      </c>
      <c r="ACH23" s="700">
        <f t="shared" si="837"/>
        <v>0.43256927580327686</v>
      </c>
      <c r="ACI23" s="593">
        <v>48422.53</v>
      </c>
      <c r="ACJ23" s="593">
        <f>'Proy 2021 vs 2019 Sem'!JD22*$ACL$4</f>
        <v>30066.455848000001</v>
      </c>
      <c r="ACK23" s="735">
        <v>35679.15</v>
      </c>
      <c r="ACL23" s="700">
        <f t="shared" si="838"/>
        <v>0.73682952955989711</v>
      </c>
      <c r="ACM23" s="579">
        <f t="shared" si="839"/>
        <v>164657.47999999998</v>
      </c>
      <c r="ACN23" s="574">
        <f t="shared" si="840"/>
        <v>136665.70840000003</v>
      </c>
      <c r="ACO23" s="765">
        <f t="shared" si="841"/>
        <v>117753.41999999998</v>
      </c>
      <c r="ACP23" s="761">
        <f t="shared" si="842"/>
        <v>0.71514163826629673</v>
      </c>
      <c r="ACQ23" s="593">
        <v>21823.040000000001</v>
      </c>
      <c r="ACR23" s="593">
        <f>'Proy 2021 vs 2019 Sem'!JI22*$ACT$4</f>
        <v>20289.562271999999</v>
      </c>
      <c r="ACS23" s="735">
        <v>16978.14</v>
      </c>
      <c r="ACT23" s="700">
        <f t="shared" si="843"/>
        <v>0.77799151722216509</v>
      </c>
      <c r="ACU23" s="593">
        <v>29599.439999999999</v>
      </c>
      <c r="ACV23" s="593">
        <f>'Proy 2021 vs 2019 Sem'!JI22*$ACX$4</f>
        <v>20289.562271999999</v>
      </c>
      <c r="ACW23" s="735">
        <v>23386.03</v>
      </c>
      <c r="ACX23" s="700">
        <f t="shared" si="844"/>
        <v>0.79008352860729802</v>
      </c>
      <c r="ACY23" s="593">
        <v>22338.42</v>
      </c>
      <c r="ACZ23" s="593">
        <f>'Proy 2021 vs 2019 Sem'!JI22*$ADB$4</f>
        <v>20289.562271999999</v>
      </c>
      <c r="ADA23" s="735">
        <v>17097.599999999999</v>
      </c>
      <c r="ADB23" s="700">
        <f t="shared" si="845"/>
        <v>0.76538985299766049</v>
      </c>
      <c r="ADC23" s="593">
        <v>12828.2</v>
      </c>
      <c r="ADD23" s="593">
        <f>'Proy 2021 vs 2019 Sem'!JI22*$ADF$4</f>
        <v>20289.562271999999</v>
      </c>
      <c r="ADE23" s="735">
        <v>18984.59</v>
      </c>
      <c r="ADF23" s="700">
        <f t="shared" si="846"/>
        <v>1.4799106655649272</v>
      </c>
      <c r="ADG23" s="593">
        <v>23537.68</v>
      </c>
      <c r="ADH23" s="593">
        <f>'Proy 2021 vs 2019 Sem'!JI22*$ADJ$4</f>
        <v>23671.155984000001</v>
      </c>
      <c r="ADI23" s="735">
        <v>14552.77</v>
      </c>
      <c r="ADJ23" s="700">
        <f t="shared" si="847"/>
        <v>0.61827546300230096</v>
      </c>
      <c r="ADK23" s="593">
        <v>58345</v>
      </c>
      <c r="ADL23" s="593">
        <f>'Proy 2021 vs 2019 Sem'!JI22*$ADN$4</f>
        <v>27052.749695999999</v>
      </c>
      <c r="ADM23" s="735">
        <v>18191.37</v>
      </c>
      <c r="ADN23" s="700">
        <f t="shared" si="848"/>
        <v>0.31178969920301652</v>
      </c>
      <c r="ADO23" s="593">
        <v>32813.56</v>
      </c>
      <c r="ADP23" s="593">
        <f>'Proy 2021 vs 2019 Sem'!JI22*$ADR$4</f>
        <v>37197.530831999997</v>
      </c>
      <c r="ADQ23" s="735">
        <v>30620.2</v>
      </c>
      <c r="ADR23" s="700">
        <f t="shared" si="849"/>
        <v>0.93315690220750214</v>
      </c>
      <c r="ADS23" s="579">
        <f t="shared" si="850"/>
        <v>201285.34</v>
      </c>
      <c r="ADT23" s="574">
        <f t="shared" si="851"/>
        <v>169079.6856</v>
      </c>
      <c r="ADU23" s="765">
        <f t="shared" si="852"/>
        <v>139810.70000000001</v>
      </c>
      <c r="ADV23" s="761">
        <f t="shared" si="853"/>
        <v>0.69458958113889468</v>
      </c>
      <c r="ADW23" s="593">
        <v>18797.21</v>
      </c>
      <c r="ADX23" s="593">
        <f>'Proy 2021 vs 2019 Sem'!JN22*$ADZ$4</f>
        <v>17420.716799999998</v>
      </c>
      <c r="ADY23" s="735">
        <v>11317.18</v>
      </c>
      <c r="ADZ23" s="700">
        <f t="shared" si="854"/>
        <v>0.6020670088805733</v>
      </c>
      <c r="AEA23" s="593">
        <v>21296.58</v>
      </c>
      <c r="AEB23" s="593">
        <f>'Proy 2021 vs 2019 Sem'!JN22*$AED$4</f>
        <v>17420.716799999998</v>
      </c>
      <c r="AEC23" s="735">
        <v>26310</v>
      </c>
      <c r="AED23" s="700">
        <f t="shared" si="855"/>
        <v>1.2354096291517229</v>
      </c>
      <c r="AEE23" s="593">
        <v>19197.77</v>
      </c>
      <c r="AEF23" s="593">
        <f>'Proy 2021 vs 2019 Sem'!JN22*$AEH$4</f>
        <v>17420.716799999998</v>
      </c>
      <c r="AEG23" s="735">
        <v>18330</v>
      </c>
      <c r="AEH23" s="700">
        <f t="shared" si="856"/>
        <v>0.95479839585535198</v>
      </c>
      <c r="AEI23" s="593">
        <v>18518.21</v>
      </c>
      <c r="AEJ23" s="593">
        <f>'Proy 2021 vs 2019 Sem'!JN22*$AEL$4</f>
        <v>17420.716799999998</v>
      </c>
      <c r="AEK23" s="735">
        <v>61843</v>
      </c>
      <c r="AEL23" s="700">
        <f t="shared" si="857"/>
        <v>3.3395776373634387</v>
      </c>
      <c r="AEM23" s="593">
        <v>3654.01</v>
      </c>
      <c r="AEN23" s="593">
        <f>'Proy 2021 vs 2019 Sem'!JN22*$AEP$4</f>
        <v>20324.169600000001</v>
      </c>
      <c r="AEO23" s="735">
        <v>26426</v>
      </c>
      <c r="AEP23" s="700">
        <f t="shared" si="858"/>
        <v>7.2320546468126796</v>
      </c>
      <c r="AEQ23" s="593">
        <v>50531.91</v>
      </c>
      <c r="AER23" s="593">
        <f>'Proy 2021 vs 2019 Sem'!JN22*$AET$4</f>
        <v>23227.622399999997</v>
      </c>
      <c r="AES23" s="735">
        <v>22761</v>
      </c>
      <c r="AET23" s="700">
        <f t="shared" si="859"/>
        <v>0.45042825414673615</v>
      </c>
      <c r="AEU23" s="593">
        <v>48056.36</v>
      </c>
      <c r="AEV23" s="593">
        <f>'Proy 2021 vs 2019 Sem'!JN22*$AEX$4</f>
        <v>31937.980799999998</v>
      </c>
      <c r="AEW23" s="735">
        <v>51719</v>
      </c>
      <c r="AEX23" s="700">
        <f t="shared" si="860"/>
        <v>1.0762155102883364</v>
      </c>
      <c r="AEY23" s="579">
        <f t="shared" si="861"/>
        <v>180052.05</v>
      </c>
      <c r="AEZ23" s="574">
        <f t="shared" si="862"/>
        <v>145172.63999999998</v>
      </c>
      <c r="AFA23" s="770">
        <f t="shared" si="863"/>
        <v>218706.18</v>
      </c>
      <c r="AFB23" s="761">
        <f t="shared" si="864"/>
        <v>1.2146830874738721</v>
      </c>
      <c r="AFC23" s="593">
        <v>25622.68</v>
      </c>
      <c r="AFD23" s="593">
        <f>'Proy 2021 vs 2019 Sem'!JX22*$AFF$4</f>
        <v>22747.880700000002</v>
      </c>
      <c r="AFE23" s="735">
        <v>19693</v>
      </c>
      <c r="AFF23" s="700">
        <f t="shared" si="865"/>
        <v>0.76857690140141466</v>
      </c>
      <c r="AFG23" s="593">
        <v>30077.38</v>
      </c>
      <c r="AFH23" s="593">
        <f>'Proy 2021 vs 2019 Sem'!JX22*$AFJ$4</f>
        <v>22747.880700000002</v>
      </c>
      <c r="AFI23" s="735">
        <v>25455.22</v>
      </c>
      <c r="AFJ23" s="700">
        <f t="shared" si="866"/>
        <v>0.84632438064751647</v>
      </c>
      <c r="AFK23" s="593">
        <v>3836.16</v>
      </c>
      <c r="AFL23" s="593">
        <f>'Proy 2021 vs 2019 Sem'!JX22*$AFN$4</f>
        <v>22747.880700000002</v>
      </c>
      <c r="AFM23" s="735">
        <v>36473.57</v>
      </c>
      <c r="AFN23" s="700">
        <f t="shared" si="867"/>
        <v>9.5078333541875217</v>
      </c>
      <c r="AFO23" s="593">
        <v>60031.98</v>
      </c>
      <c r="AFP23" s="593">
        <f>'Proy 2021 vs 2019 Sem'!JX22*$AFR$4</f>
        <v>22747.880700000002</v>
      </c>
      <c r="AFQ23" s="735">
        <v>30130.35</v>
      </c>
      <c r="AFR23" s="700">
        <f t="shared" si="868"/>
        <v>0.50190498464318511</v>
      </c>
      <c r="AFS23" s="593">
        <v>25936.63</v>
      </c>
      <c r="AFT23" s="593">
        <f>'Proy 2021 vs 2019 Sem'!JX22*$AFV$4</f>
        <v>26539.194150000003</v>
      </c>
      <c r="AFU23" s="735">
        <v>30361.35</v>
      </c>
      <c r="AFV23" s="700">
        <f t="shared" si="869"/>
        <v>1.1705973366624731</v>
      </c>
      <c r="AFW23" s="593">
        <v>40447.160000000003</v>
      </c>
      <c r="AFX23" s="593">
        <f>'Proy 2021 vs 2019 Sem'!JX22*$AFZ$4</f>
        <v>30330.507600000004</v>
      </c>
      <c r="AFY23" s="735">
        <v>45752.26</v>
      </c>
      <c r="AFZ23" s="700">
        <f t="shared" si="870"/>
        <v>1.1311612484040907</v>
      </c>
      <c r="AGA23" s="593">
        <v>69894.240000000005</v>
      </c>
      <c r="AGB23" s="593">
        <f>'Proy 2021 vs 2019 Sem'!JX22*$AGD$4</f>
        <v>41704.447950000002</v>
      </c>
      <c r="AGC23" s="735">
        <v>60179.92</v>
      </c>
      <c r="AGD23" s="700">
        <f t="shared" si="871"/>
        <v>0.86101401202731431</v>
      </c>
      <c r="AGE23" s="579">
        <f t="shared" si="872"/>
        <v>255846.23000000004</v>
      </c>
      <c r="AGF23" s="574">
        <f t="shared" si="873"/>
        <v>189565.67250000002</v>
      </c>
      <c r="AGG23" s="729">
        <f t="shared" si="874"/>
        <v>248045.67000000004</v>
      </c>
      <c r="AGH23" s="711">
        <f t="shared" si="875"/>
        <v>0.96951074870245302</v>
      </c>
      <c r="AGI23" s="593">
        <v>48171.75</v>
      </c>
      <c r="AGJ23" s="593">
        <f>'Proy 2021 vs 2019 Sem'!KC22*$AGL$4</f>
        <v>31116.148199999996</v>
      </c>
      <c r="AGK23" s="735">
        <v>30847.94</v>
      </c>
      <c r="AGL23" s="700">
        <f t="shared" si="876"/>
        <v>0.64037407816822101</v>
      </c>
      <c r="AGM23" s="593">
        <v>42707</v>
      </c>
      <c r="AGN23" s="593">
        <f>'Proy 2021 vs 2019 Sem'!KC22*$AGP$4</f>
        <v>31116.148199999996</v>
      </c>
      <c r="AGO23" s="735">
        <v>38280.79</v>
      </c>
      <c r="AGP23" s="700">
        <f t="shared" si="877"/>
        <v>0.89635867656356105</v>
      </c>
      <c r="AGQ23" s="593">
        <v>36917.360000000001</v>
      </c>
      <c r="AGR23" s="593">
        <f>'Proy 2021 vs 2019 Sem'!KC22*$AGT$4</f>
        <v>31116.148199999996</v>
      </c>
      <c r="AGS23" s="735">
        <v>33568.65</v>
      </c>
      <c r="AGT23" s="700">
        <f t="shared" si="878"/>
        <v>0.90929172616893517</v>
      </c>
      <c r="AGU23" s="593">
        <v>39226.870000000003</v>
      </c>
      <c r="AGV23" s="593">
        <f>'Proy 2021 vs 2019 Sem'!KC22*$AGX$4</f>
        <v>31116.148199999996</v>
      </c>
      <c r="AGW23" s="735">
        <v>25803.69</v>
      </c>
      <c r="AGX23" s="700">
        <f t="shared" si="879"/>
        <v>0.6578064984537384</v>
      </c>
      <c r="AGY23" s="593">
        <v>44320.31</v>
      </c>
      <c r="AGZ23" s="593">
        <f>'Proy 2021 vs 2019 Sem'!KC22*$AHB$4</f>
        <v>36302.172900000005</v>
      </c>
      <c r="AHA23" s="735">
        <v>35728.620000000003</v>
      </c>
      <c r="AHB23" s="700">
        <f t="shared" si="880"/>
        <v>0.80614553463186522</v>
      </c>
      <c r="AHC23" s="593">
        <v>50081.01</v>
      </c>
      <c r="AHD23" s="593">
        <f>'Proy 2021 vs 2019 Sem'!KC22*$AHF$4</f>
        <v>41488.1976</v>
      </c>
      <c r="AHE23" s="735">
        <v>64895.07</v>
      </c>
      <c r="AHF23" s="700">
        <f t="shared" si="881"/>
        <v>1.2958019416940671</v>
      </c>
      <c r="AHG23" s="593">
        <v>85955.46</v>
      </c>
      <c r="AHH23" s="593">
        <f>'Proy 2021 vs 2019 Sem'!KC22*$AHJ$4</f>
        <v>57046.271699999998</v>
      </c>
      <c r="AHI23" s="735">
        <v>79773.490000000005</v>
      </c>
      <c r="AHJ23" s="700">
        <f t="shared" si="882"/>
        <v>0.92807937971595988</v>
      </c>
      <c r="AHK23" s="579">
        <f t="shared" si="883"/>
        <v>347379.76</v>
      </c>
      <c r="AHL23" s="574">
        <f t="shared" si="884"/>
        <v>259301.23499999999</v>
      </c>
      <c r="AHM23" s="730">
        <f t="shared" si="885"/>
        <v>308898.25</v>
      </c>
      <c r="AHN23" s="711">
        <f t="shared" si="886"/>
        <v>0.88922351146768019</v>
      </c>
      <c r="AHO23" s="593">
        <v>0</v>
      </c>
      <c r="AHP23" s="593">
        <f>'Proy 2021 vs 2019 Sem'!KH22*$AHR$4</f>
        <v>36908.421395999998</v>
      </c>
      <c r="AHQ23" s="735">
        <v>38123.599999999999</v>
      </c>
      <c r="AHR23" s="700" t="e">
        <f t="shared" si="887"/>
        <v>#DIV/0!</v>
      </c>
      <c r="AHS23" s="593">
        <v>107520.19</v>
      </c>
      <c r="AHT23" s="593">
        <f>'Proy 2021 vs 2019 Sem'!KH22*$AHV$4</f>
        <v>36908.421395999998</v>
      </c>
      <c r="AHU23" s="735">
        <v>54213.43</v>
      </c>
      <c r="AHV23" s="700">
        <f t="shared" si="888"/>
        <v>0.50421627789162204</v>
      </c>
      <c r="AHW23" s="593">
        <v>45264.4</v>
      </c>
      <c r="AHX23" s="593">
        <f>'Proy 2021 vs 2019 Sem'!KH22*$AHZ$4</f>
        <v>36908.421395999998</v>
      </c>
      <c r="AHY23" s="735">
        <v>44748.13</v>
      </c>
      <c r="AHZ23" s="700">
        <f t="shared" si="889"/>
        <v>0.98859434787603495</v>
      </c>
      <c r="AIA23" s="593">
        <v>51447.32</v>
      </c>
      <c r="AIB23" s="593">
        <f>'Proy 2021 vs 2019 Sem'!KH22*$AID$4</f>
        <v>36908.421395999998</v>
      </c>
      <c r="AIC23" s="735">
        <v>47443.57</v>
      </c>
      <c r="AID23" s="700">
        <f t="shared" si="890"/>
        <v>0.92217767611607371</v>
      </c>
      <c r="AIE23" s="593">
        <v>45069.48</v>
      </c>
      <c r="AIF23" s="593">
        <f>'Proy 2021 vs 2019 Sem'!KH22*$AIH$4</f>
        <v>43059.824961999999</v>
      </c>
      <c r="AIG23" s="735">
        <v>55639.8</v>
      </c>
      <c r="AIH23" s="700">
        <f t="shared" si="891"/>
        <v>1.2345338796897589</v>
      </c>
      <c r="AII23" s="593">
        <v>60914.17</v>
      </c>
      <c r="AIJ23" s="593">
        <f>'Proy 2021 vs 2019 Sem'!KH22*$AIL$4</f>
        <v>49211.228528</v>
      </c>
      <c r="AIK23" s="735">
        <v>67731.7</v>
      </c>
      <c r="AIL23" s="700">
        <f t="shared" si="892"/>
        <v>1.1119202642012522</v>
      </c>
      <c r="AIM23" s="593">
        <v>82154.83</v>
      </c>
      <c r="AIN23" s="593">
        <f>'Proy 2021 vs 2019 Sem'!KH22*$AIP$4</f>
        <v>67665.439225999988</v>
      </c>
      <c r="AIO23" s="735">
        <v>82987.960000000006</v>
      </c>
      <c r="AIP23" s="700">
        <f t="shared" si="893"/>
        <v>1.0101409740608069</v>
      </c>
      <c r="AIQ23" s="579">
        <f t="shared" si="894"/>
        <v>392370.39</v>
      </c>
      <c r="AIR23" s="574">
        <f t="shared" si="895"/>
        <v>307570.17829999997</v>
      </c>
      <c r="AIS23" s="730">
        <f t="shared" si="896"/>
        <v>390888.19000000006</v>
      </c>
      <c r="AIT23" s="711">
        <f t="shared" si="897"/>
        <v>0.99622244685690997</v>
      </c>
      <c r="AIU23" s="593">
        <f>'Proy 2021 vs 2019 Sem'!KL22*$AIX$4</f>
        <v>35121.5628</v>
      </c>
      <c r="AIV23" s="593">
        <f>'Proy 2021 vs 2019 Sem'!KM22*$AIX$4</f>
        <v>45306.816011999996</v>
      </c>
      <c r="AIW23" s="735">
        <v>69159.149999999994</v>
      </c>
      <c r="AIX23" s="700">
        <f t="shared" si="898"/>
        <v>1.9691364645083502</v>
      </c>
      <c r="AIY23" s="593">
        <f>'Proy 2021 vs 2019 Sem'!KL22*$AJB$4</f>
        <v>35121.5628</v>
      </c>
      <c r="AIZ23" s="593">
        <f>'Proy 2021 vs 2019 Sem'!KM22*$AJB$4</f>
        <v>45306.816011999996</v>
      </c>
      <c r="AJA23" s="735">
        <v>83957.39</v>
      </c>
      <c r="AJB23" s="700">
        <f t="shared" si="899"/>
        <v>2.3904799019934271</v>
      </c>
      <c r="AJC23" s="593">
        <f>'Proy 2021 vs 2019 Sem'!KL22*$AJF$4</f>
        <v>35121.5628</v>
      </c>
      <c r="AJD23" s="593">
        <f>'Proy 2021 vs 2019 Sem'!KM22*$AJF$4</f>
        <v>45306.816011999996</v>
      </c>
      <c r="AJE23" s="735">
        <v>92248.19</v>
      </c>
      <c r="AJF23" s="700">
        <f t="shared" si="900"/>
        <v>2.6265400126215339</v>
      </c>
      <c r="AJG23" s="593">
        <f>'Proy 2021 vs 2019 Sem'!KL22*$AJJ$4</f>
        <v>35121.5628</v>
      </c>
      <c r="AJH23" s="593">
        <f>'Proy 2021 vs 2019 Sem'!KM22*$AJJ$4</f>
        <v>45306.816011999996</v>
      </c>
      <c r="AJI23" s="735">
        <v>83832.7</v>
      </c>
      <c r="AJJ23" s="700">
        <f t="shared" si="901"/>
        <v>2.3869296613418354</v>
      </c>
      <c r="AJK23" s="593">
        <f>'Proy 2021 vs 2019 Sem'!KL22*$AJN$4</f>
        <v>40975.156600000002</v>
      </c>
      <c r="AJL23" s="593">
        <f>'Proy 2021 vs 2019 Sem'!KM22*$AJN$4</f>
        <v>52857.952014000002</v>
      </c>
      <c r="AJM23" s="735">
        <v>122298.21</v>
      </c>
      <c r="AJN23" s="700">
        <f t="shared" si="902"/>
        <v>2.9846917046315817</v>
      </c>
      <c r="AJO23" s="593">
        <f>'Proy 2021 vs 2019 Sem'!KL22*$AJR$4</f>
        <v>46828.750400000004</v>
      </c>
      <c r="AJP23" s="593">
        <f>'Proy 2021 vs 2019 Sem'!KM22*$AJR$4</f>
        <v>60409.088016000002</v>
      </c>
      <c r="AJQ23" s="735">
        <v>76088.55</v>
      </c>
      <c r="AJR23" s="700">
        <f t="shared" si="903"/>
        <v>1.6248255473415323</v>
      </c>
      <c r="AJS23" s="593">
        <f>'Proy 2021 vs 2019 Sem'!KL22*$AJV$4</f>
        <v>64389.531800000004</v>
      </c>
      <c r="AJT23" s="593">
        <f>'Proy 2021 vs 2019 Sem'!KM22*$AJV$4</f>
        <v>83062.496021999992</v>
      </c>
      <c r="AJU23" s="699">
        <v>0</v>
      </c>
      <c r="AJV23" s="700">
        <f t="shared" si="904"/>
        <v>0</v>
      </c>
      <c r="AJW23" s="579">
        <f t="shared" si="905"/>
        <v>292679.69</v>
      </c>
      <c r="AJX23" s="574">
        <f t="shared" si="906"/>
        <v>377556.80009999999</v>
      </c>
      <c r="AJY23" s="710">
        <f t="shared" si="907"/>
        <v>527584.19000000006</v>
      </c>
      <c r="AJZ23" s="711">
        <f t="shared" si="908"/>
        <v>1.8025992510788844</v>
      </c>
      <c r="AKA23" s="593">
        <f>'Proy 2021 vs 2019 Sem'!KQ22*$AKD$4</f>
        <v>9610.9704000000002</v>
      </c>
      <c r="AKB23" s="593">
        <f>'Proy 2021 vs 2019 Sem'!KR22*$AKD$4</f>
        <v>8938.2024720000009</v>
      </c>
      <c r="AKC23" s="735">
        <v>9021.2199999999993</v>
      </c>
      <c r="AKD23" s="700">
        <f t="shared" si="909"/>
        <v>0.93863778833404787</v>
      </c>
      <c r="AKE23" s="593">
        <f>'Proy 2021 vs 2019 Sem'!KQ22*$AKH$4</f>
        <v>9610.9704000000002</v>
      </c>
      <c r="AKF23" s="593">
        <f>'Proy 2021 vs 2019 Sem'!KR22*$AKH$4</f>
        <v>8938.2024720000009</v>
      </c>
      <c r="AKG23" s="735">
        <v>16924.93</v>
      </c>
      <c r="AKH23" s="700">
        <f t="shared" si="910"/>
        <v>1.7610011575938262</v>
      </c>
      <c r="AKI23" s="593">
        <f>'Proy 2021 vs 2019 Sem'!KQ22*$AKL$4</f>
        <v>9610.9704000000002</v>
      </c>
      <c r="AKJ23" s="593">
        <f>'Proy 2021 vs 2019 Sem'!KR22*$AKL$4</f>
        <v>8938.2024720000009</v>
      </c>
      <c r="AKK23" s="735">
        <v>14849.35</v>
      </c>
      <c r="AKL23" s="700">
        <f t="shared" si="911"/>
        <v>1.5450416952693975</v>
      </c>
      <c r="AKM23" s="593">
        <f>'Proy 2021 vs 2019 Sem'!KQ22*$AKP$4</f>
        <v>9610.9704000000002</v>
      </c>
      <c r="AKN23" s="593">
        <f>'Proy 2021 vs 2019 Sem'!KR22*$AKP$4</f>
        <v>8938.2024720000009</v>
      </c>
      <c r="AKO23" s="735">
        <v>16658.560000000001</v>
      </c>
      <c r="AKP23" s="700">
        <f t="shared" si="912"/>
        <v>1.7332859541425703</v>
      </c>
      <c r="AKQ23" s="593">
        <f>'Proy 2021 vs 2019 Sem'!KQ22*$AKT$4</f>
        <v>11212.7988</v>
      </c>
      <c r="AKR23" s="593">
        <f>'Proy 2021 vs 2019 Sem'!KR22*$AKT$4</f>
        <v>10427.902884000001</v>
      </c>
      <c r="AKS23" s="735">
        <v>19581.080000000002</v>
      </c>
      <c r="AKT23" s="700">
        <f t="shared" si="913"/>
        <v>1.7463151126906871</v>
      </c>
      <c r="AKU23" s="593">
        <f>'Proy 2021 vs 2019 Sem'!KQ22*$AKX$4</f>
        <v>12814.627200000001</v>
      </c>
      <c r="AKV23" s="593">
        <f>'Proy 2021 vs 2019 Sem'!KR22*$AKX$4</f>
        <v>11917.603296000001</v>
      </c>
      <c r="AKW23" s="735">
        <v>10871.16</v>
      </c>
      <c r="AKX23" s="700">
        <f t="shared" si="914"/>
        <v>0.84833993453980461</v>
      </c>
      <c r="AKY23" s="593">
        <f>'Proy 2021 vs 2019 Sem'!KQ22*$ALB$4</f>
        <v>17620.112399999998</v>
      </c>
      <c r="AKZ23" s="593">
        <f>'Proy 2021 vs 2019 Sem'!KR22*$ALB$4</f>
        <v>16386.704532</v>
      </c>
      <c r="ALA23" s="699">
        <v>0</v>
      </c>
      <c r="ALB23" s="700">
        <f>ALA23/AKY23</f>
        <v>0</v>
      </c>
      <c r="ALC23" s="579">
        <f t="shared" si="915"/>
        <v>80091.42</v>
      </c>
      <c r="ALD23" s="574">
        <f t="shared" si="916"/>
        <v>74485.020600000003</v>
      </c>
      <c r="ALE23" s="710">
        <f t="shared" si="917"/>
        <v>87906.3</v>
      </c>
      <c r="ALF23" s="711">
        <f t="shared" si="918"/>
        <v>1.0975744967438461</v>
      </c>
    </row>
    <row r="24" spans="2:994" ht="15.75" customHeight="1">
      <c r="B24" s="570" t="s">
        <v>26</v>
      </c>
      <c r="C24" s="574">
        <f>'Proy 2021 vs 2019 Sem'!DX23*$F$4</f>
        <v>11486.7948</v>
      </c>
      <c r="D24" s="576">
        <f>'Proy 2021 vs 2019 Sem'!$DY$23*F4</f>
        <v>9427.3359736665407</v>
      </c>
      <c r="E24" s="736">
        <v>5792.21</v>
      </c>
      <c r="F24" s="700">
        <f t="shared" si="580"/>
        <v>0.50424945346808148</v>
      </c>
      <c r="G24" s="574">
        <f>'Proy 2021 vs 2019 Sem'!DX23*$J$4</f>
        <v>11486.7948</v>
      </c>
      <c r="H24" s="574">
        <f>'Proy 2021 vs 2019 Sem'!$DY$23*J4</f>
        <v>9427.3359736665407</v>
      </c>
      <c r="I24" s="736">
        <v>7434.28</v>
      </c>
      <c r="J24" s="700">
        <f t="shared" si="581"/>
        <v>0.64720229876483903</v>
      </c>
      <c r="K24" s="574">
        <f>'Proy 2021 vs 2019 Sem'!DX23*'Vtas Diarias 2021'!$N$4</f>
        <v>11486.7948</v>
      </c>
      <c r="L24" s="574">
        <f>'Proy 2021 vs 2019 Sem'!$DY$23*N4</f>
        <v>9427.3359736665407</v>
      </c>
      <c r="M24" s="736">
        <v>7319.32</v>
      </c>
      <c r="N24" s="700">
        <f t="shared" si="582"/>
        <v>0.63719428504111519</v>
      </c>
      <c r="O24" s="574">
        <f>'Proy 2021 vs 2019 Sem'!DX23*$R$4</f>
        <v>11486.7948</v>
      </c>
      <c r="P24" s="574">
        <f>'Proy 2021 vs 2019 Sem'!$DY$23*R4</f>
        <v>9427.3359736665407</v>
      </c>
      <c r="Q24" s="736">
        <v>9255.26</v>
      </c>
      <c r="R24" s="700">
        <f t="shared" si="583"/>
        <v>0.80573042011684581</v>
      </c>
      <c r="S24" s="574">
        <f>'Proy 2021 vs 2019 Sem'!DX23*$V$4</f>
        <v>13401.2606</v>
      </c>
      <c r="T24" s="574">
        <f>'Proy 2021 vs 2019 Sem'!$DY$23*V4</f>
        <v>10998.558635944299</v>
      </c>
      <c r="U24" s="736">
        <v>8779.2099999999991</v>
      </c>
      <c r="V24" s="700">
        <f t="shared" si="584"/>
        <v>0.65510329677493173</v>
      </c>
      <c r="W24" s="574">
        <f>'Proy 2021 vs 2019 Sem'!DX23*$Z$4</f>
        <v>15315.7264</v>
      </c>
      <c r="X24" s="574">
        <f>'Proy 2021 vs 2019 Sem'!$DY$23*Z4</f>
        <v>12569.781298222055</v>
      </c>
      <c r="Y24" s="736">
        <v>11776.15</v>
      </c>
      <c r="Z24" s="700">
        <f t="shared" si="585"/>
        <v>0.76889268536424105</v>
      </c>
      <c r="AA24" s="574">
        <f>'Proy 2021 vs 2019 Sem'!DX23*$AD$4</f>
        <v>21059.123799999998</v>
      </c>
      <c r="AB24" s="574">
        <f>'Proy 2021 vs 2019 Sem'!$DY$23*AD4</f>
        <v>17283.449285055325</v>
      </c>
      <c r="AC24" s="736">
        <v>16086.5</v>
      </c>
      <c r="AD24" s="700">
        <f t="shared" si="586"/>
        <v>0.76387318640483992</v>
      </c>
      <c r="AE24" s="579">
        <f t="shared" si="587"/>
        <v>95723.290000000008</v>
      </c>
      <c r="AF24" s="574">
        <f t="shared" si="588"/>
        <v>78561.133113887845</v>
      </c>
      <c r="AG24" s="729">
        <f t="shared" si="589"/>
        <v>66442.929999999993</v>
      </c>
      <c r="AH24" s="711">
        <f t="shared" si="590"/>
        <v>0.69411456710273944</v>
      </c>
      <c r="AI24" s="593">
        <f>'Proy 2021 vs 2019 Sem'!EC23*$AL$4</f>
        <v>9498.6396000000004</v>
      </c>
      <c r="AJ24" s="611">
        <f>'Proy 2021 vs 2019 Sem'!ED23*$AL$4</f>
        <v>6593.144114018939</v>
      </c>
      <c r="AK24" s="736">
        <v>5151.54</v>
      </c>
      <c r="AL24" s="700">
        <f t="shared" si="591"/>
        <v>0.5423450322296679</v>
      </c>
      <c r="AM24" s="593">
        <f>'Proy 2021 vs 2019 Sem'!EC23*$AP$4</f>
        <v>9498.6396000000004</v>
      </c>
      <c r="AN24" s="593">
        <f>'Proy 2021 vs 2019 Sem'!ED23*$AP$4</f>
        <v>6593.144114018939</v>
      </c>
      <c r="AO24" s="736">
        <v>7103.29</v>
      </c>
      <c r="AP24" s="700">
        <f t="shared" si="592"/>
        <v>0.74782182492743488</v>
      </c>
      <c r="AQ24" s="593">
        <f>'Proy 2021 vs 2019 Sem'!EC23*$AT$4</f>
        <v>9498.6396000000004</v>
      </c>
      <c r="AR24" s="593">
        <f>'Proy 2021 vs 2019 Sem'!ED23*$AT$4</f>
        <v>6593.144114018939</v>
      </c>
      <c r="AS24" s="736">
        <v>5636.38</v>
      </c>
      <c r="AT24" s="700">
        <f t="shared" si="593"/>
        <v>0.5933881310751068</v>
      </c>
      <c r="AU24" s="593">
        <f>'Proy 2021 vs 2019 Sem'!EC23*$AX$4</f>
        <v>9498.6396000000004</v>
      </c>
      <c r="AV24" s="593">
        <f>'Proy 2021 vs 2019 Sem'!ED23*$AX$4</f>
        <v>6593.144114018939</v>
      </c>
      <c r="AW24" s="736">
        <v>6300.29</v>
      </c>
      <c r="AX24" s="700">
        <f t="shared" si="594"/>
        <v>0.6632834032359749</v>
      </c>
      <c r="AY24" s="593">
        <f>'Proy 2021 vs 2019 Sem'!EC23*$BB$4</f>
        <v>11081.746200000001</v>
      </c>
      <c r="AZ24" s="593">
        <f>'Proy 2021 vs 2019 Sem'!ED23*$BB$4</f>
        <v>7692.0014663554293</v>
      </c>
      <c r="BA24" s="736">
        <v>9645.85</v>
      </c>
      <c r="BB24" s="700">
        <f t="shared" si="595"/>
        <v>0.87042690077128815</v>
      </c>
      <c r="BC24" s="593">
        <f>'Proy 2021 vs 2019 Sem'!EC23*$BF$4</f>
        <v>12664.852800000001</v>
      </c>
      <c r="BD24" s="593">
        <f>'Proy 2021 vs 2019 Sem'!ED23*$BF$4</f>
        <v>8790.8588186919187</v>
      </c>
      <c r="BE24" s="736">
        <v>10844.88</v>
      </c>
      <c r="BF24" s="700">
        <f t="shared" si="596"/>
        <v>0.85629735862386014</v>
      </c>
      <c r="BG24" s="593">
        <f>'Proy 2021 vs 2019 Sem'!EC23*$BJ$4</f>
        <v>17414.172600000002</v>
      </c>
      <c r="BH24" s="593">
        <f>'Proy 2021 vs 2019 Sem'!ED23*$BJ$4</f>
        <v>12087.430875701388</v>
      </c>
      <c r="BI24" s="736">
        <v>10256.82</v>
      </c>
      <c r="BJ24" s="700">
        <f t="shared" si="597"/>
        <v>0.588992669109068</v>
      </c>
      <c r="BK24" s="579">
        <f t="shared" si="598"/>
        <v>79155.33</v>
      </c>
      <c r="BL24" s="574">
        <f t="shared" si="599"/>
        <v>54942.867616824493</v>
      </c>
      <c r="BM24" s="730">
        <f t="shared" si="600"/>
        <v>54939.049999999996</v>
      </c>
      <c r="BN24" s="711">
        <f t="shared" si="601"/>
        <v>0.69406633766797499</v>
      </c>
      <c r="BO24" s="593">
        <f>'Proy 2021 vs 2019 Sem'!EH23*$BR$4</f>
        <v>9632.4539999999997</v>
      </c>
      <c r="BP24" s="593">
        <f>'Proy 2021 vs 2019 Sem'!EI23*$BR$4</f>
        <v>6742.7177999999994</v>
      </c>
      <c r="BQ24" s="736">
        <v>5637.34</v>
      </c>
      <c r="BR24" s="700">
        <f t="shared" si="602"/>
        <v>0.58524442473330263</v>
      </c>
      <c r="BS24" s="593">
        <f>'Proy 2021 vs 2019 Sem'!EH23*$BV$4</f>
        <v>9632.4539999999997</v>
      </c>
      <c r="BT24" s="593">
        <f>'Proy 2021 vs 2019 Sem'!EI23*$BV$4</f>
        <v>6742.7177999999994</v>
      </c>
      <c r="BU24" s="736">
        <v>6616.27</v>
      </c>
      <c r="BV24" s="700">
        <f t="shared" si="603"/>
        <v>0.68687273253523984</v>
      </c>
      <c r="BW24" s="593">
        <f>'Proy 2021 vs 2019 Sem'!EH23*$BZ$4</f>
        <v>9632.4539999999997</v>
      </c>
      <c r="BX24" s="593">
        <f>'Proy 2021 vs 2019 Sem'!EI23*$BZ$4</f>
        <v>6742.7177999999994</v>
      </c>
      <c r="BY24" s="736">
        <v>7464.43</v>
      </c>
      <c r="BZ24" s="700">
        <f t="shared" si="604"/>
        <v>0.77492506063356237</v>
      </c>
      <c r="CA24" s="593">
        <f>'Proy 2021 vs 2019 Sem'!EH23*$CD$4</f>
        <v>9632.4539999999997</v>
      </c>
      <c r="CB24" s="593">
        <f>'Proy 2021 vs 2019 Sem'!EI23*$CD$4</f>
        <v>6742.7177999999994</v>
      </c>
      <c r="CC24" s="736">
        <v>6697.09</v>
      </c>
      <c r="CD24" s="700">
        <f t="shared" si="605"/>
        <v>0.695263117789091</v>
      </c>
      <c r="CE24" s="593">
        <f>'Proy 2021 vs 2019 Sem'!EH23*$CH$4</f>
        <v>11237.863000000001</v>
      </c>
      <c r="CF24" s="593">
        <f>'Proy 2021 vs 2019 Sem'!EI23*$CH$4</f>
        <v>7866.5041000000001</v>
      </c>
      <c r="CG24" s="736">
        <v>12515.82</v>
      </c>
      <c r="CH24" s="700">
        <f t="shared" si="606"/>
        <v>1.1137188627410743</v>
      </c>
      <c r="CI24" s="593">
        <f>'Proy 2021 vs 2019 Sem'!EH23*$CL$4</f>
        <v>12843.271999999999</v>
      </c>
      <c r="CJ24" s="593">
        <f>'Proy 2021 vs 2019 Sem'!EI23*$CL$4</f>
        <v>8990.2903999999999</v>
      </c>
      <c r="CK24" s="736">
        <v>15808.94</v>
      </c>
      <c r="CL24" s="700">
        <f t="shared" si="607"/>
        <v>1.2309121849946028</v>
      </c>
      <c r="CM24" s="593">
        <f>'Proy 2021 vs 2019 Sem'!EH23*$CP$4</f>
        <v>17659.499</v>
      </c>
      <c r="CN24" s="593">
        <f>'Proy 2021 vs 2019 Sem'!EI23*$CP$4</f>
        <v>12361.649299999999</v>
      </c>
      <c r="CO24" s="736">
        <v>13728.07</v>
      </c>
      <c r="CP24" s="700">
        <f t="shared" si="608"/>
        <v>0.7773759606657018</v>
      </c>
      <c r="CQ24" s="579">
        <f t="shared" si="609"/>
        <v>80270.45</v>
      </c>
      <c r="CR24" s="574">
        <f t="shared" si="610"/>
        <v>56189.314999999995</v>
      </c>
      <c r="CS24" s="730">
        <f t="shared" si="611"/>
        <v>68467.959999999992</v>
      </c>
      <c r="CT24" s="711">
        <f t="shared" si="612"/>
        <v>0.85296594201228459</v>
      </c>
      <c r="CU24" s="593">
        <f>'Proy 2021 vs 2019 Sem'!EM23*$CX$4</f>
        <v>9560.16</v>
      </c>
      <c r="CV24" s="593">
        <f>'Proy 2021 vs 2019 Sem'!EN23*$CX$4</f>
        <v>6692.1119999999992</v>
      </c>
      <c r="CW24" s="736">
        <v>9807</v>
      </c>
      <c r="CX24" s="700">
        <f t="shared" si="613"/>
        <v>1.0258196515539488</v>
      </c>
      <c r="CY24" s="593">
        <f>'Proy 2021 vs 2019 Sem'!EM23*$DB$4</f>
        <v>9560.16</v>
      </c>
      <c r="CZ24" s="593">
        <f>'Proy 2021 vs 2019 Sem'!EN23*$DB$4</f>
        <v>6692.1119999999992</v>
      </c>
      <c r="DA24" s="736">
        <v>6259.51</v>
      </c>
      <c r="DB24" s="700">
        <f t="shared" si="614"/>
        <v>0.6547495021003833</v>
      </c>
      <c r="DC24" s="593">
        <f>'Proy 2021 vs 2019 Sem'!EM23*$DF$4</f>
        <v>9560.16</v>
      </c>
      <c r="DD24" s="593">
        <f>'Proy 2021 vs 2019 Sem'!EN23*$DF$4</f>
        <v>6692.1119999999992</v>
      </c>
      <c r="DE24" s="736">
        <v>10417.73</v>
      </c>
      <c r="DF24" s="700">
        <f t="shared" si="615"/>
        <v>1.0897024735987682</v>
      </c>
      <c r="DG24" s="593">
        <f>'Proy 2021 vs 2019 Sem'!EM23*$DJ$4</f>
        <v>9560.16</v>
      </c>
      <c r="DH24" s="593">
        <f>'Proy 2021 vs 2019 Sem'!EN23*$DJ$4</f>
        <v>6692.1119999999992</v>
      </c>
      <c r="DI24" s="736">
        <v>8311.64</v>
      </c>
      <c r="DJ24" s="700">
        <f t="shared" si="616"/>
        <v>0.86940385934963427</v>
      </c>
      <c r="DK24" s="593">
        <f>'Proy 2021 vs 2019 Sem'!EM23*$DN$4</f>
        <v>11153.52</v>
      </c>
      <c r="DL24" s="593">
        <f>'Proy 2021 vs 2019 Sem'!EN23*$DN$4</f>
        <v>7807.4640000000009</v>
      </c>
      <c r="DM24" s="736">
        <v>9546.14</v>
      </c>
      <c r="DN24" s="700">
        <f t="shared" si="617"/>
        <v>0.85588585486913538</v>
      </c>
      <c r="DO24" s="593">
        <f>'Proy 2021 vs 2019 Sem'!EM23*$DR$4</f>
        <v>12746.880000000001</v>
      </c>
      <c r="DP24" s="593">
        <f>'Proy 2021 vs 2019 Sem'!EN23*$DR$4</f>
        <v>8922.8160000000007</v>
      </c>
      <c r="DQ24" s="736">
        <v>12753.66</v>
      </c>
      <c r="DR24" s="700">
        <f t="shared" si="618"/>
        <v>1.0005318948636841</v>
      </c>
      <c r="DS24" s="593">
        <f>'Proy 2021 vs 2019 Sem'!EM23*$DV$4</f>
        <v>17526.96</v>
      </c>
      <c r="DT24" s="593">
        <f>'Proy 2021 vs 2019 Sem'!EN23*$DV$4</f>
        <v>12268.871999999999</v>
      </c>
      <c r="DU24" s="736">
        <v>12228.96</v>
      </c>
      <c r="DV24" s="700">
        <f t="shared" si="619"/>
        <v>0.6977228224404004</v>
      </c>
      <c r="DW24" s="579">
        <f t="shared" si="620"/>
        <v>79668</v>
      </c>
      <c r="DX24" s="574">
        <f t="shared" si="621"/>
        <v>55767.599999999991</v>
      </c>
      <c r="DY24" s="710">
        <f t="shared" si="622"/>
        <v>69324.639999999985</v>
      </c>
      <c r="DZ24" s="711">
        <f t="shared" si="623"/>
        <v>0.87016920218908456</v>
      </c>
      <c r="EA24" s="593">
        <f>'Proy 2021 vs 2019 Sem'!ER23*$ED$4</f>
        <v>8800.482</v>
      </c>
      <c r="EB24" s="593">
        <f>'Proy 2021 vs 2019 Sem'!ES23*$ED$4</f>
        <v>5720.3132999999998</v>
      </c>
      <c r="EC24" s="736">
        <v>4384.71</v>
      </c>
      <c r="ED24" s="700">
        <f t="shared" si="624"/>
        <v>0.49823521029870865</v>
      </c>
      <c r="EE24" s="593">
        <f>'Proy 2021 vs 2019 Sem'!ER23*$EH$4</f>
        <v>8800.482</v>
      </c>
      <c r="EF24" s="593">
        <f>'Proy 2021 vs 2019 Sem'!ES23*$EH$4</f>
        <v>5720.3132999999998</v>
      </c>
      <c r="EG24" s="736">
        <v>6030.61</v>
      </c>
      <c r="EH24" s="700">
        <f t="shared" si="625"/>
        <v>0.68525905740162862</v>
      </c>
      <c r="EI24" s="593">
        <f>'Proy 2021 vs 2019 Sem'!ER23*$EL$4</f>
        <v>8800.482</v>
      </c>
      <c r="EJ24" s="593">
        <f>'Proy 2021 vs 2019 Sem'!ES23*$EL$4</f>
        <v>5720.3132999999998</v>
      </c>
      <c r="EK24" s="736">
        <v>9383.25</v>
      </c>
      <c r="EL24" s="700">
        <f t="shared" si="626"/>
        <v>1.0662200093131262</v>
      </c>
      <c r="EM24" s="593">
        <f>'Proy 2021 vs 2019 Sem'!ER23*$EP$4</f>
        <v>8800.482</v>
      </c>
      <c r="EN24" s="593">
        <f>'Proy 2021 vs 2019 Sem'!ES23*$EP$4</f>
        <v>5720.3132999999998</v>
      </c>
      <c r="EO24" s="736">
        <v>10047.5</v>
      </c>
      <c r="EP24" s="700">
        <f t="shared" si="627"/>
        <v>1.1416988296777382</v>
      </c>
      <c r="EQ24" s="593">
        <f>'Proy 2021 vs 2019 Sem'!ER23*$ET$4</f>
        <v>10267.229000000001</v>
      </c>
      <c r="ER24" s="593">
        <f>'Proy 2021 vs 2019 Sem'!ES23*$ET$4</f>
        <v>6673.6988500000016</v>
      </c>
      <c r="ES24" s="736">
        <v>10850.17</v>
      </c>
      <c r="ET24" s="700">
        <f t="shared" si="628"/>
        <v>1.0567768577091248</v>
      </c>
      <c r="EU24" s="593">
        <f>'Proy 2021 vs 2019 Sem'!ER23*$EX$4</f>
        <v>11733.976000000001</v>
      </c>
      <c r="EV24" s="593">
        <f>'Proy 2021 vs 2019 Sem'!ES23*$EX$4</f>
        <v>7627.0844000000006</v>
      </c>
      <c r="EW24" s="736">
        <v>10733.69</v>
      </c>
      <c r="EX24" s="700">
        <f t="shared" si="629"/>
        <v>0.91475302148223248</v>
      </c>
      <c r="EY24" s="593">
        <f>'Proy 2021 vs 2019 Sem'!ER23*$FB$4</f>
        <v>16134.217000000001</v>
      </c>
      <c r="EZ24" s="593">
        <f>'Proy 2021 vs 2019 Sem'!ES23*$FB$4</f>
        <v>10487.241050000001</v>
      </c>
      <c r="FA24" s="701">
        <v>15686.82</v>
      </c>
      <c r="FB24" s="700">
        <f t="shared" si="630"/>
        <v>0.97227029982304058</v>
      </c>
      <c r="FC24" s="579">
        <f t="shared" si="631"/>
        <v>73337.350000000006</v>
      </c>
      <c r="FD24" s="574">
        <f t="shared" si="632"/>
        <v>47669.277499999997</v>
      </c>
      <c r="FE24" s="710">
        <f t="shared" si="633"/>
        <v>67116.75</v>
      </c>
      <c r="FF24" s="711">
        <f t="shared" si="634"/>
        <v>0.91517828228044773</v>
      </c>
      <c r="FG24" s="593">
        <f>'Proy 2021 vs 2019 Sem'!FA23*$FJ$4</f>
        <v>8320.4627999999993</v>
      </c>
      <c r="FH24" s="593">
        <f>'Proy 2021 vs 2019 Sem'!FB23*$FJ$4</f>
        <v>5824.3239599999997</v>
      </c>
      <c r="FI24" s="736">
        <v>7200.38</v>
      </c>
      <c r="FJ24" s="700">
        <f t="shared" si="635"/>
        <v>0.86538215157935694</v>
      </c>
      <c r="FK24" s="593">
        <f>'Proy 2021 vs 2019 Sem'!FA23*$FN$4</f>
        <v>8320.4627999999993</v>
      </c>
      <c r="FL24" s="593">
        <f>'Proy 2021 vs 2019 Sem'!FB23*$FN$4</f>
        <v>5824.3239599999997</v>
      </c>
      <c r="FM24" s="736">
        <v>8586.31</v>
      </c>
      <c r="FN24" s="700">
        <f t="shared" si="636"/>
        <v>1.0319510111865413</v>
      </c>
      <c r="FO24" s="593">
        <f>'Proy 2021 vs 2019 Sem'!FA23*$FR$4</f>
        <v>8320.4627999999993</v>
      </c>
      <c r="FP24" s="593">
        <f>'Proy 2021 vs 2019 Sem'!FB23*$FR$4</f>
        <v>5824.3239599999997</v>
      </c>
      <c r="FQ24" s="736">
        <v>7701.57</v>
      </c>
      <c r="FR24" s="700">
        <f t="shared" si="637"/>
        <v>0.92561798365350545</v>
      </c>
      <c r="FS24" s="593">
        <f>'Proy 2021 vs 2019 Sem'!FA23*$FV$4</f>
        <v>8320.4627999999993</v>
      </c>
      <c r="FT24" s="593">
        <f>'Proy 2021 vs 2019 Sem'!FB23*$FV$4</f>
        <v>5824.3239599999997</v>
      </c>
      <c r="FU24" s="736">
        <v>8261.74</v>
      </c>
      <c r="FV24" s="700">
        <f t="shared" si="638"/>
        <v>0.99294236373486344</v>
      </c>
      <c r="FW24" s="593">
        <f>'Proy 2021 vs 2019 Sem'!FA23*$FZ$4</f>
        <v>9707.2066000000013</v>
      </c>
      <c r="FX24" s="593">
        <f>'Proy 2021 vs 2019 Sem'!FB23*$FZ$4</f>
        <v>6795.0446199999997</v>
      </c>
      <c r="FY24" s="736">
        <v>8091.91</v>
      </c>
      <c r="FZ24" s="700">
        <f t="shared" si="639"/>
        <v>0.83359820527565553</v>
      </c>
      <c r="GA24" s="593">
        <f>'Proy 2021 vs 2019 Sem'!FA23*$GD$4</f>
        <v>11093.9504</v>
      </c>
      <c r="GB24" s="593">
        <f>'Proy 2021 vs 2019 Sem'!FB23*$GD$4</f>
        <v>7765.7652799999996</v>
      </c>
      <c r="GC24" s="736">
        <v>7482.87</v>
      </c>
      <c r="GD24" s="700">
        <f t="shared" si="640"/>
        <v>0.67450004103137151</v>
      </c>
      <c r="GE24" s="593">
        <f>'Proy 2021 vs 2019 Sem'!FA23*$GH$4</f>
        <v>15254.1818</v>
      </c>
      <c r="GF24" s="593">
        <f>'Proy 2021 vs 2019 Sem'!FB23*$GH$4</f>
        <v>10677.927259999999</v>
      </c>
      <c r="GG24" s="736">
        <v>11270.34</v>
      </c>
      <c r="GH24" s="700">
        <f t="shared" si="641"/>
        <v>0.73883608755731489</v>
      </c>
      <c r="GI24" s="579">
        <f t="shared" si="642"/>
        <v>69337.19</v>
      </c>
      <c r="GJ24" s="574">
        <f t="shared" si="643"/>
        <v>48536.032999999996</v>
      </c>
      <c r="GK24" s="759">
        <f t="shared" si="644"/>
        <v>58595.12000000001</v>
      </c>
      <c r="GL24" s="761">
        <f t="shared" si="645"/>
        <v>0.84507491578473271</v>
      </c>
      <c r="GM24" s="593">
        <f>'Proy 2021 vs 2019 Sem'!FF23*$GP$4</f>
        <v>8893.6620000000003</v>
      </c>
      <c r="GN24" s="593">
        <f>'Proy 2021 vs 2019 Sem'!FG23*$GP$4</f>
        <v>6403.4366399999999</v>
      </c>
      <c r="GO24" s="736">
        <v>6556.58</v>
      </c>
      <c r="GP24" s="700">
        <f t="shared" si="646"/>
        <v>0.73721938162255318</v>
      </c>
      <c r="GQ24" s="593">
        <f>'Proy 2021 vs 2019 Sem'!FF23*$GT$4</f>
        <v>8893.6620000000003</v>
      </c>
      <c r="GR24" s="593">
        <f>'Proy 2021 vs 2019 Sem'!FG23*$GT$4</f>
        <v>6403.4366399999999</v>
      </c>
      <c r="GS24" s="736">
        <v>6180.05</v>
      </c>
      <c r="GT24" s="700">
        <f t="shared" si="647"/>
        <v>0.69488249047467732</v>
      </c>
      <c r="GU24" s="593">
        <f>'Proy 2021 vs 2019 Sem'!FF23*$GX$4</f>
        <v>8893.6620000000003</v>
      </c>
      <c r="GV24" s="593">
        <f>'Proy 2021 vs 2019 Sem'!FG23*$GX$4</f>
        <v>6403.4366399999999</v>
      </c>
      <c r="GW24" s="736">
        <v>7625.34</v>
      </c>
      <c r="GX24" s="700">
        <f t="shared" si="648"/>
        <v>0.85739035281529696</v>
      </c>
      <c r="GY24" s="593">
        <f>'Proy 2021 vs 2019 Sem'!FF23*$HB$4</f>
        <v>8893.6620000000003</v>
      </c>
      <c r="GZ24" s="593">
        <f>'Proy 2021 vs 2019 Sem'!FG23*$HB$4</f>
        <v>6403.4366399999999</v>
      </c>
      <c r="HA24" s="736">
        <v>8388.51</v>
      </c>
      <c r="HB24" s="700">
        <f t="shared" si="649"/>
        <v>0.94320089969688525</v>
      </c>
      <c r="HC24" s="593">
        <f>'Proy 2021 vs 2019 Sem'!FF23*$HF$4</f>
        <v>10375.939000000002</v>
      </c>
      <c r="HD24" s="593">
        <f>'Proy 2021 vs 2019 Sem'!FG23*$HF$4</f>
        <v>7470.6760800000011</v>
      </c>
      <c r="HE24" s="736">
        <v>10425.629999999999</v>
      </c>
      <c r="HF24" s="700">
        <f t="shared" si="650"/>
        <v>1.0047890605370751</v>
      </c>
      <c r="HG24" s="593">
        <f>'Proy 2021 vs 2019 Sem'!FF23*$HJ$4</f>
        <v>11858.216</v>
      </c>
      <c r="HH24" s="593">
        <f>'Proy 2021 vs 2019 Sem'!FG23*$HJ$4</f>
        <v>8537.9155200000005</v>
      </c>
      <c r="HI24" s="736">
        <v>9091.49</v>
      </c>
      <c r="HJ24" s="700">
        <f t="shared" si="651"/>
        <v>0.76668277926460437</v>
      </c>
      <c r="HK24" s="593">
        <f>'Proy 2021 vs 2019 Sem'!FF23*$HN$4</f>
        <v>16305.047</v>
      </c>
      <c r="HL24" s="593">
        <f>'Proy 2021 vs 2019 Sem'!FG23*$HN$4</f>
        <v>11739.63384</v>
      </c>
      <c r="HM24" s="736">
        <v>10737.24</v>
      </c>
      <c r="HN24" s="700">
        <f t="shared" si="652"/>
        <v>0.65852248079996334</v>
      </c>
      <c r="HO24" s="579">
        <f t="shared" si="653"/>
        <v>74113.850000000006</v>
      </c>
      <c r="HP24" s="574">
        <f t="shared" si="654"/>
        <v>53361.972000000009</v>
      </c>
      <c r="HQ24" s="765">
        <f t="shared" si="655"/>
        <v>59004.84</v>
      </c>
      <c r="HR24" s="761">
        <f t="shared" si="656"/>
        <v>0.7961378338866486</v>
      </c>
      <c r="HS24" s="593">
        <f>'Proy 2021 vs 2019 Sem'!FK23*$CX$4</f>
        <v>7998.9947999999986</v>
      </c>
      <c r="HT24" s="593">
        <f>'Proy 2021 vs 2019 Sem'!FL23*$CX$4</f>
        <v>6319.205891999999</v>
      </c>
      <c r="HU24" s="736">
        <v>5941.76</v>
      </c>
      <c r="HV24" s="700">
        <f t="shared" si="657"/>
        <v>0.74281333449547948</v>
      </c>
      <c r="HW24" s="593">
        <f>'Proy 2021 vs 2019 Sem'!FK23*$DB$4</f>
        <v>7998.9947999999986</v>
      </c>
      <c r="HX24" s="593">
        <f>'Proy 2021 vs 2019 Sem'!FL23*$DB$4</f>
        <v>6319.205891999999</v>
      </c>
      <c r="HY24" s="736">
        <v>6252.72</v>
      </c>
      <c r="HZ24" s="700">
        <f t="shared" si="658"/>
        <v>0.78168821912473319</v>
      </c>
      <c r="IA24" s="593">
        <f>'Proy 2021 vs 2019 Sem'!FK23*$DF$4</f>
        <v>7998.9947999999986</v>
      </c>
      <c r="IB24" s="593">
        <f>'Proy 2021 vs 2019 Sem'!FL23*$DF$4</f>
        <v>6319.205891999999</v>
      </c>
      <c r="IC24" s="736">
        <v>8609.73</v>
      </c>
      <c r="ID24" s="700">
        <f t="shared" si="659"/>
        <v>1.0763514935651666</v>
      </c>
      <c r="IE24" s="593">
        <f>'Proy 2021 vs 2019 Sem'!FK23*$DJ$4</f>
        <v>7998.9947999999986</v>
      </c>
      <c r="IF24" s="593">
        <f>'Proy 2021 vs 2019 Sem'!FL23*$DJ$4</f>
        <v>6319.205891999999</v>
      </c>
      <c r="IG24" s="736">
        <v>8091.01</v>
      </c>
      <c r="IH24" s="700">
        <f t="shared" si="660"/>
        <v>1.011503345395349</v>
      </c>
      <c r="II24" s="593">
        <f>'Proy 2021 vs 2019 Sem'!FK23*$DN$4</f>
        <v>9332.1605999999992</v>
      </c>
      <c r="IJ24" s="593">
        <f>'Proy 2021 vs 2019 Sem'!FL23*$DN$4</f>
        <v>7372.4068740000002</v>
      </c>
      <c r="IK24" s="736">
        <v>8655.5300000000007</v>
      </c>
      <c r="IL24" s="700">
        <f t="shared" si="661"/>
        <v>0.92749475400155468</v>
      </c>
      <c r="IM24" s="593">
        <f>'Proy 2021 vs 2019 Sem'!FK23*$DR$4</f>
        <v>10665.3264</v>
      </c>
      <c r="IN24" s="593">
        <f>'Proy 2021 vs 2019 Sem'!FL23*$DR$4</f>
        <v>8425.6078559999987</v>
      </c>
      <c r="IO24" s="1411">
        <v>7091.47</v>
      </c>
      <c r="IP24" s="700">
        <f t="shared" si="662"/>
        <v>0.66490885829804514</v>
      </c>
      <c r="IQ24" s="593">
        <f>'Proy 2021 vs 2019 Sem'!FK23*$IT$4</f>
        <v>14664.823799999998</v>
      </c>
      <c r="IR24" s="593">
        <f>'Proy 2021 vs 2019 Sem'!FL23*$IT$4</f>
        <v>11585.210802</v>
      </c>
      <c r="IS24" s="736">
        <v>11491.87</v>
      </c>
      <c r="IT24" s="700">
        <f t="shared" si="663"/>
        <v>0.78363505465370831</v>
      </c>
      <c r="IU24" s="579">
        <f t="shared" si="664"/>
        <v>66658.289999999979</v>
      </c>
      <c r="IV24" s="574">
        <f t="shared" si="665"/>
        <v>52660.049099999997</v>
      </c>
      <c r="IW24" s="765">
        <f t="shared" si="666"/>
        <v>56134.090000000004</v>
      </c>
      <c r="IX24" s="761">
        <f t="shared" si="667"/>
        <v>0.84211716202140829</v>
      </c>
      <c r="IY24" s="593">
        <f>'Proy 2021 vs 2019 Sem'!FP23*$JB$4</f>
        <v>7578.7235999999994</v>
      </c>
      <c r="IZ24" s="593">
        <f>'Proy 2021 vs 2019 Sem'!FQ23*$JB$4</f>
        <v>5759.8299359999992</v>
      </c>
      <c r="JA24" s="736">
        <v>6812.02</v>
      </c>
      <c r="JB24" s="700">
        <f t="shared" si="668"/>
        <v>0.89883473253992285</v>
      </c>
      <c r="JC24" s="593">
        <f>'Proy 2021 vs 2019 Sem'!FP23*$JF$4</f>
        <v>7578.7235999999994</v>
      </c>
      <c r="JD24" s="593">
        <f>'Proy 2021 vs 2019 Sem'!FQ23*$JF$4</f>
        <v>5759.8299359999992</v>
      </c>
      <c r="JE24" s="736">
        <v>6980.84</v>
      </c>
      <c r="JF24" s="700">
        <f t="shared" si="669"/>
        <v>0.92111025133572633</v>
      </c>
      <c r="JG24" s="593">
        <f>'Proy 2021 vs 2019 Sem'!FP23*$JJ$4</f>
        <v>7578.7235999999994</v>
      </c>
      <c r="JH24" s="593">
        <f>'Proy 2021 vs 2019 Sem'!FQ23*$JJ$4</f>
        <v>5759.8299359999992</v>
      </c>
      <c r="JI24" s="736">
        <v>9467.16</v>
      </c>
      <c r="JJ24" s="700">
        <f t="shared" si="670"/>
        <v>1.2491760485895014</v>
      </c>
      <c r="JK24" s="593">
        <f>'Proy 2021 vs 2019 Sem'!FP23*$JN$4</f>
        <v>7578.7235999999994</v>
      </c>
      <c r="JL24" s="593">
        <f>'Proy 2021 vs 2019 Sem'!FQ23*$JN$4</f>
        <v>5759.8299359999992</v>
      </c>
      <c r="JM24" s="736">
        <v>8001.47</v>
      </c>
      <c r="JN24" s="700">
        <f t="shared" si="671"/>
        <v>1.0557806858136376</v>
      </c>
      <c r="JO24" s="593">
        <f>'Proy 2021 vs 2019 Sem'!FP23*$JR$4</f>
        <v>8841.8442000000014</v>
      </c>
      <c r="JP24" s="593">
        <f>'Proy 2021 vs 2019 Sem'!FQ23*$JR$4</f>
        <v>6719.8015919999998</v>
      </c>
      <c r="JQ24" s="736">
        <v>11111.46</v>
      </c>
      <c r="JR24" s="700">
        <f t="shared" si="672"/>
        <v>1.256690318067355</v>
      </c>
      <c r="JS24" s="593">
        <f>'Proy 2021 vs 2019 Sem'!FP23*$JV$4</f>
        <v>10104.9648</v>
      </c>
      <c r="JT24" s="593">
        <f>'Proy 2021 vs 2019 Sem'!FQ23*$JV$4</f>
        <v>7679.7732479999995</v>
      </c>
      <c r="JU24" s="736">
        <v>9296.64</v>
      </c>
      <c r="JV24" s="700">
        <f t="shared" si="673"/>
        <v>0.92000716321149378</v>
      </c>
      <c r="JW24" s="593">
        <f>'Proy 2021 vs 2019 Sem'!FP23*$JZ$4</f>
        <v>13894.3266</v>
      </c>
      <c r="JX24" s="593">
        <f>'Proy 2021 vs 2019 Sem'!FQ23*$JZ$4</f>
        <v>10559.688215999999</v>
      </c>
      <c r="JY24" s="736">
        <v>13773.42</v>
      </c>
      <c r="JZ24" s="700">
        <f t="shared" si="674"/>
        <v>0.99129813171370251</v>
      </c>
      <c r="KA24" s="579">
        <f t="shared" si="675"/>
        <v>63156.03</v>
      </c>
      <c r="KB24" s="574">
        <f t="shared" si="676"/>
        <v>47998.582799999989</v>
      </c>
      <c r="KC24" s="770">
        <f t="shared" si="677"/>
        <v>65443.009999999995</v>
      </c>
      <c r="KD24" s="761">
        <f t="shared" si="678"/>
        <v>1.0362115858137377</v>
      </c>
      <c r="KE24" s="593">
        <f>'Proy 2021 vs 2019 Sem'!FY23*$KH$4</f>
        <v>7453.1232</v>
      </c>
      <c r="KF24" s="593">
        <f>'Proy 2021 vs 2019 Sem'!FZ23*$KH$4</f>
        <v>5589.8424000000005</v>
      </c>
      <c r="KG24" s="736">
        <v>3541.15</v>
      </c>
      <c r="KH24" s="700">
        <f t="shared" si="679"/>
        <v>0.47512296589971842</v>
      </c>
      <c r="KI24" s="593">
        <f>'Proy 2021 vs 2019 Sem'!FY23*$KL$4</f>
        <v>7453.1232</v>
      </c>
      <c r="KJ24" s="593">
        <f>'Proy 2021 vs 2019 Sem'!FZ23*$KL$4</f>
        <v>5589.8424000000005</v>
      </c>
      <c r="KK24" s="736">
        <v>8025.11</v>
      </c>
      <c r="KL24" s="700">
        <f t="shared" si="680"/>
        <v>1.0767445787022547</v>
      </c>
      <c r="KM24" s="593">
        <f>'Proy 2021 vs 2019 Sem'!FY23*$KP$4</f>
        <v>7453.1232</v>
      </c>
      <c r="KN24" s="593">
        <f>'Proy 2021 vs 2019 Sem'!FZ23*$KP$4</f>
        <v>5589.8424000000005</v>
      </c>
      <c r="KO24" s="736">
        <v>6199.33</v>
      </c>
      <c r="KP24" s="700">
        <f t="shared" si="681"/>
        <v>0.83177613379582938</v>
      </c>
      <c r="KQ24" s="593">
        <f>'Proy 2021 vs 2019 Sem'!FY23*$KT$4</f>
        <v>7453.1232</v>
      </c>
      <c r="KR24" s="593">
        <f>'Proy 2021 vs 2019 Sem'!FZ23*$KT$4</f>
        <v>5589.8424000000005</v>
      </c>
      <c r="KS24" s="736">
        <v>8860.4599999999991</v>
      </c>
      <c r="KT24" s="700">
        <f t="shared" si="682"/>
        <v>1.188825108915414</v>
      </c>
      <c r="KU24" s="593">
        <f>'Proy 2021 vs 2019 Sem'!FY23*$KX$4</f>
        <v>8695.3104000000003</v>
      </c>
      <c r="KV24" s="593">
        <f>'Proy 2021 vs 2019 Sem'!FZ23*$KX$4</f>
        <v>6521.4828000000016</v>
      </c>
      <c r="KW24" s="736">
        <v>5351.61</v>
      </c>
      <c r="KX24" s="700">
        <f t="shared" si="683"/>
        <v>0.6154593400138999</v>
      </c>
      <c r="KY24" s="593">
        <f>'Proy 2021 vs 2019 Sem'!FY23*$LB$4</f>
        <v>9937.4976000000006</v>
      </c>
      <c r="KZ24" s="593">
        <f>'Proy 2021 vs 2019 Sem'!FZ23*$LB$4</f>
        <v>7453.1232000000009</v>
      </c>
      <c r="LA24" s="736">
        <v>9660.4</v>
      </c>
      <c r="LB24" s="700">
        <f t="shared" si="684"/>
        <v>0.9721159580456149</v>
      </c>
      <c r="LC24" s="593">
        <f>'Proy 2021 vs 2019 Sem'!FY23*$LF$4</f>
        <v>13664.0592</v>
      </c>
      <c r="LD24" s="593">
        <f>'Proy 2021 vs 2019 Sem'!FZ23*$LF$4</f>
        <v>10248.044400000001</v>
      </c>
      <c r="LE24" s="736">
        <v>14539.54</v>
      </c>
      <c r="LF24" s="700">
        <f t="shared" si="685"/>
        <v>1.0640717950051037</v>
      </c>
      <c r="LG24" s="579">
        <f t="shared" si="686"/>
        <v>62109.36</v>
      </c>
      <c r="LH24" s="574">
        <f t="shared" si="687"/>
        <v>46582.020000000004</v>
      </c>
      <c r="LI24" s="793">
        <f t="shared" si="688"/>
        <v>56177.599999999999</v>
      </c>
      <c r="LJ24" s="786">
        <f t="shared" si="689"/>
        <v>0.90449491026795314</v>
      </c>
      <c r="LK24" s="593">
        <f>'Proy 2021 vs 2019 Sem'!GD23*$LN$4</f>
        <v>7747.4183999999996</v>
      </c>
      <c r="LL24" s="593">
        <f>'Proy 2021 vs 2019 Sem'!GE23*$LN$4</f>
        <v>6275.4089039999999</v>
      </c>
      <c r="LM24" s="736">
        <v>5478.64</v>
      </c>
      <c r="LN24" s="700">
        <f t="shared" si="690"/>
        <v>0.70715685111313986</v>
      </c>
      <c r="LO24" s="593">
        <f>'Proy 2021 vs 2019 Sem'!GD23*$LR$4</f>
        <v>7747.4183999999996</v>
      </c>
      <c r="LP24" s="593">
        <f>'Proy 2021 vs 2019 Sem'!GE23*$LR$4</f>
        <v>6275.4089039999999</v>
      </c>
      <c r="LQ24" s="736">
        <v>5874.39</v>
      </c>
      <c r="LR24" s="700">
        <f t="shared" si="691"/>
        <v>0.7582383829947793</v>
      </c>
      <c r="LS24" s="593">
        <f>'Proy 2021 vs 2019 Sem'!GD23*$LV$4</f>
        <v>7747.4183999999996</v>
      </c>
      <c r="LT24" s="593">
        <f>'Proy 2021 vs 2019 Sem'!GE23*$LV$4</f>
        <v>6275.4089039999999</v>
      </c>
      <c r="LU24" s="736">
        <v>9368.44</v>
      </c>
      <c r="LV24" s="700">
        <f t="shared" si="692"/>
        <v>1.209233775214722</v>
      </c>
      <c r="LW24" s="593">
        <f>'Proy 2021 vs 2019 Sem'!GD23*$LZ$4</f>
        <v>7747.4183999999996</v>
      </c>
      <c r="LX24" s="593">
        <f>'Proy 2021 vs 2019 Sem'!GE23*$LZ$4</f>
        <v>6275.4089039999999</v>
      </c>
      <c r="LY24" s="736">
        <v>7452.75</v>
      </c>
      <c r="LZ24" s="700">
        <f t="shared" si="693"/>
        <v>0.96196560134147402</v>
      </c>
      <c r="MA24" s="593">
        <f>'Proy 2021 vs 2019 Sem'!GD23*$MD$4</f>
        <v>9038.6548000000003</v>
      </c>
      <c r="MB24" s="593">
        <f>'Proy 2021 vs 2019 Sem'!GE23*$MD$4</f>
        <v>7321.3103880000008</v>
      </c>
      <c r="MC24" s="736">
        <v>8556.14</v>
      </c>
      <c r="MD24" s="700">
        <f t="shared" si="694"/>
        <v>0.94661652528205842</v>
      </c>
      <c r="ME24" s="593">
        <f>'Proy 2021 vs 2019 Sem'!GD23*$MH$4</f>
        <v>10329.8912</v>
      </c>
      <c r="MF24" s="593">
        <f>'Proy 2021 vs 2019 Sem'!GE23*$MH$4</f>
        <v>8367.2118719999999</v>
      </c>
      <c r="MG24" s="736">
        <v>10634.59</v>
      </c>
      <c r="MH24" s="700">
        <f t="shared" si="695"/>
        <v>1.0294968063167984</v>
      </c>
      <c r="MI24" s="593">
        <f>'Proy 2021 vs 2019 Sem'!GD23*$ML$4</f>
        <v>14203.600399999999</v>
      </c>
      <c r="MJ24" s="593">
        <f>'Proy 2021 vs 2019 Sem'!GE23*$ML$4</f>
        <v>11504.916324</v>
      </c>
      <c r="MK24" s="736">
        <v>19228.98</v>
      </c>
      <c r="ML24" s="700">
        <f t="shared" si="696"/>
        <v>1.3538102634878408</v>
      </c>
      <c r="MM24" s="579">
        <f t="shared" si="697"/>
        <v>64561.819999999992</v>
      </c>
      <c r="MN24" s="574">
        <f t="shared" si="698"/>
        <v>52295.074199999995</v>
      </c>
      <c r="MO24" s="794">
        <f t="shared" si="699"/>
        <v>66593.929999999993</v>
      </c>
      <c r="MP24" s="786">
        <f t="shared" si="700"/>
        <v>1.0314754137971947</v>
      </c>
      <c r="MQ24" s="593">
        <f>'Proy 2021 vs 2019 Sem'!GI23*$MT$4</f>
        <v>6830.6987999999992</v>
      </c>
      <c r="MR24" s="593">
        <f>'Proy 2021 vs 2019 Sem'!GJ23*$MT$4</f>
        <v>5464.5590399999992</v>
      </c>
      <c r="MS24" s="736">
        <v>8711.24</v>
      </c>
      <c r="MT24" s="700">
        <f t="shared" si="701"/>
        <v>1.2753072935963741</v>
      </c>
      <c r="MU24" s="593">
        <f>'Proy 2021 vs 2019 Sem'!GI23*$MX$4</f>
        <v>6830.6987999999992</v>
      </c>
      <c r="MV24" s="593">
        <f>'Proy 2021 vs 2019 Sem'!GJ23*$MX$4</f>
        <v>5464.5590399999992</v>
      </c>
      <c r="MW24" s="736">
        <v>7157.3</v>
      </c>
      <c r="MX24" s="700">
        <f t="shared" si="702"/>
        <v>1.047813731737081</v>
      </c>
      <c r="MY24" s="593">
        <f>'Proy 2021 vs 2019 Sem'!GI23*$NB$4</f>
        <v>6830.6987999999992</v>
      </c>
      <c r="MZ24" s="593">
        <f>'Proy 2021 vs 2019 Sem'!GJ23*$NB$4</f>
        <v>5464.5590399999992</v>
      </c>
      <c r="NA24" s="736">
        <v>6622.18</v>
      </c>
      <c r="NB24" s="700">
        <f t="shared" si="703"/>
        <v>0.96947328434390945</v>
      </c>
      <c r="NC24" s="593">
        <f>'Proy 2021 vs 2019 Sem'!GI23*$NF$4</f>
        <v>6830.6987999999992</v>
      </c>
      <c r="ND24" s="593">
        <f>'Proy 2021 vs 2019 Sem'!GJ23*$NF$4</f>
        <v>5464.5590399999992</v>
      </c>
      <c r="NE24" s="736">
        <v>6555.45</v>
      </c>
      <c r="NF24" s="700">
        <f t="shared" si="704"/>
        <v>0.95970415208470339</v>
      </c>
      <c r="NG24" s="593">
        <f>'Proy 2021 vs 2019 Sem'!GI23*$NJ$4</f>
        <v>7969.1486000000004</v>
      </c>
      <c r="NH24" s="593">
        <f>'Proy 2021 vs 2019 Sem'!GJ23*$NJ$4</f>
        <v>6375.3188800000007</v>
      </c>
      <c r="NI24" s="736">
        <v>10956.03</v>
      </c>
      <c r="NJ24" s="700">
        <f t="shared" si="705"/>
        <v>1.374805584626694</v>
      </c>
      <c r="NK24" s="593">
        <f>'Proy 2021 vs 2019 Sem'!GI23*$NN$4</f>
        <v>9107.5984000000008</v>
      </c>
      <c r="NL24" s="593">
        <f>'Proy 2021 vs 2019 Sem'!GJ23*$NN$4</f>
        <v>7286.0787199999995</v>
      </c>
      <c r="NM24" s="736">
        <v>9825.84</v>
      </c>
      <c r="NN24" s="700">
        <f t="shared" si="706"/>
        <v>1.0788617996155825</v>
      </c>
      <c r="NO24" s="593">
        <f>'Proy 2021 vs 2019 Sem'!GI23*$NR$4</f>
        <v>12522.9478</v>
      </c>
      <c r="NP24" s="593">
        <f>'Proy 2021 vs 2019 Sem'!GJ23*$NR$4</f>
        <v>10018.35824</v>
      </c>
      <c r="NQ24" s="736">
        <v>8940.84</v>
      </c>
      <c r="NR24" s="700">
        <f t="shared" si="707"/>
        <v>0.71395650151955437</v>
      </c>
      <c r="NS24" s="579">
        <f t="shared" si="708"/>
        <v>56922.49</v>
      </c>
      <c r="NT24" s="574">
        <f t="shared" si="709"/>
        <v>45537.991999999998</v>
      </c>
      <c r="NU24" s="794">
        <f t="shared" si="710"/>
        <v>58768.880000000005</v>
      </c>
      <c r="NV24" s="786">
        <f t="shared" si="711"/>
        <v>1.0324369155319806</v>
      </c>
      <c r="NW24" s="593">
        <f>'Proy 2021 vs 2019 Sem'!GN23*$NZ$4</f>
        <v>7982.2631999999994</v>
      </c>
      <c r="NX24" s="593">
        <f>'Proy 2021 vs 2019 Sem'!GO23*$NZ$4</f>
        <v>5827.0521360000002</v>
      </c>
      <c r="NY24" s="736">
        <v>4302.78</v>
      </c>
      <c r="NZ24" s="700">
        <f t="shared" si="712"/>
        <v>0.53904261137367659</v>
      </c>
      <c r="OA24" s="593">
        <f>'Proy 2021 vs 2019 Sem'!GN23*$OD$4</f>
        <v>7982.2631999999994</v>
      </c>
      <c r="OB24" s="593">
        <f>'Proy 2021 vs 2019 Sem'!GO23*$OD$4</f>
        <v>5827.0521360000002</v>
      </c>
      <c r="OC24" s="736">
        <v>6033.02</v>
      </c>
      <c r="OD24" s="700">
        <f t="shared" si="713"/>
        <v>0.75580319125533235</v>
      </c>
      <c r="OE24" s="593">
        <f>'Proy 2021 vs 2019 Sem'!GN23*$OH$4</f>
        <v>7982.2631999999994</v>
      </c>
      <c r="OF24" s="593">
        <f>'Proy 2021 vs 2019 Sem'!GO23*$OH$4</f>
        <v>5827.0521360000002</v>
      </c>
      <c r="OG24" s="736">
        <v>5309.19</v>
      </c>
      <c r="OH24" s="700">
        <f t="shared" si="714"/>
        <v>0.66512339507923013</v>
      </c>
      <c r="OI24" s="593">
        <f>'Proy 2021 vs 2019 Sem'!GN23*$OL$4</f>
        <v>7982.2631999999994</v>
      </c>
      <c r="OJ24" s="593">
        <f>'Proy 2021 vs 2019 Sem'!GO23*$OL$4</f>
        <v>5827.0521360000002</v>
      </c>
      <c r="OK24" s="736">
        <v>6670.41</v>
      </c>
      <c r="OL24" s="700">
        <f t="shared" si="715"/>
        <v>0.83565397843558964</v>
      </c>
      <c r="OM24" s="593">
        <f>'Proy 2021 vs 2019 Sem'!GN23*$OP$4</f>
        <v>9312.6404000000002</v>
      </c>
      <c r="ON24" s="593">
        <f>'Proy 2021 vs 2019 Sem'!GO23*$OP$4</f>
        <v>6798.2274920000009</v>
      </c>
      <c r="OO24" s="736">
        <v>7021.87</v>
      </c>
      <c r="OP24" s="700">
        <f t="shared" si="716"/>
        <v>0.7540149408109863</v>
      </c>
      <c r="OQ24" s="593">
        <f>'Proy 2021 vs 2019 Sem'!GN23*$JV$4</f>
        <v>10643.017600000001</v>
      </c>
      <c r="OR24" s="593">
        <f>'Proy 2021 vs 2019 Sem'!GO23*$JV$4</f>
        <v>7769.4028480000006</v>
      </c>
      <c r="OS24" s="736">
        <v>10464.549999999999</v>
      </c>
      <c r="OT24" s="700">
        <f t="shared" si="717"/>
        <v>0.98323148502544977</v>
      </c>
      <c r="OU24" s="593">
        <f>'Proy 2021 vs 2019 Sem'!GN23*$OX$4</f>
        <v>14634.1492</v>
      </c>
      <c r="OV24" s="593">
        <f>'Proy 2021 vs 2019 Sem'!GO23*$OX$4</f>
        <v>10682.928916000001</v>
      </c>
      <c r="OW24" s="736">
        <v>13462.63</v>
      </c>
      <c r="OX24" s="700">
        <f t="shared" si="718"/>
        <v>0.91994620363717483</v>
      </c>
      <c r="OY24" s="579">
        <f t="shared" si="719"/>
        <v>66518.859999999986</v>
      </c>
      <c r="OZ24" s="574">
        <f t="shared" si="720"/>
        <v>48558.767800000001</v>
      </c>
      <c r="PA24" s="785">
        <f t="shared" si="721"/>
        <v>53264.44999999999</v>
      </c>
      <c r="PB24" s="786">
        <f t="shared" si="722"/>
        <v>0.80074207525504804</v>
      </c>
      <c r="PC24" s="593">
        <f>'Proy 2021 vs 2019 Sem'!GW23*$PF$4</f>
        <v>8486.8799999999992</v>
      </c>
      <c r="PD24" s="593">
        <f>'Proy 2021 vs 2019 Sem'!GX23*$PF$4</f>
        <v>6450.0287999999991</v>
      </c>
      <c r="PE24" s="736">
        <v>9286.41</v>
      </c>
      <c r="PF24" s="700">
        <f t="shared" si="723"/>
        <v>1.0942077653978848</v>
      </c>
      <c r="PG24" s="593">
        <f>'Proy 2021 vs 2019 Sem'!GW23*$PJ$4</f>
        <v>8486.8799999999992</v>
      </c>
      <c r="PH24" s="593">
        <f>'Proy 2021 vs 2019 Sem'!GX23*$PJ$4</f>
        <v>6450.0287999999991</v>
      </c>
      <c r="PI24" s="736">
        <v>7890.32</v>
      </c>
      <c r="PJ24" s="700">
        <f t="shared" si="724"/>
        <v>0.92970797277680373</v>
      </c>
      <c r="PK24" s="593">
        <f>'Proy 2021 vs 2019 Sem'!GW23*'Vtas Diarias 2021'!$PN$4</f>
        <v>8486.8799999999992</v>
      </c>
      <c r="PL24" s="593">
        <f>'Proy 2021 vs 2019 Sem'!GX23*'Vtas Diarias 2021'!$PN$4</f>
        <v>6450.0287999999991</v>
      </c>
      <c r="PM24" s="736">
        <v>10585.16</v>
      </c>
      <c r="PN24" s="700">
        <f t="shared" si="725"/>
        <v>1.24723808985163</v>
      </c>
      <c r="PO24" s="593">
        <f>'Proy 2021 vs 2019 Sem'!GW23*$PR$4</f>
        <v>8486.8799999999992</v>
      </c>
      <c r="PP24" s="593">
        <f>'Proy 2021 vs 2019 Sem'!GX23*$PR$4</f>
        <v>6450.0287999999991</v>
      </c>
      <c r="PQ24" s="736">
        <v>7143.01</v>
      </c>
      <c r="PR24" s="700">
        <f t="shared" si="726"/>
        <v>0.8416532341685049</v>
      </c>
      <c r="PS24" s="593">
        <f>'Proy 2021 vs 2019 Sem'!GW23*$PV$4</f>
        <v>9901.36</v>
      </c>
      <c r="PT24" s="593">
        <f>'Proy 2021 vs 2019 Sem'!GX23*$PV$4</f>
        <v>7525.0336000000007</v>
      </c>
      <c r="PU24" s="736">
        <v>8905.73</v>
      </c>
      <c r="PV24" s="700">
        <f t="shared" si="727"/>
        <v>0.89944512673006527</v>
      </c>
      <c r="PW24" s="593">
        <f>'Proy 2021 vs 2019 Sem'!GW23*PZ$4</f>
        <v>11315.84</v>
      </c>
      <c r="PX24" s="593">
        <f>'Proy 2021 vs 2019 Sem'!GX23*$PZ$4</f>
        <v>8600.0383999999995</v>
      </c>
      <c r="PY24" s="736">
        <v>9531.32</v>
      </c>
      <c r="PZ24" s="700">
        <f t="shared" si="728"/>
        <v>0.8422989367117244</v>
      </c>
      <c r="QA24" s="593">
        <f>'Proy 2021 vs 2019 Sem'!GW23*$QD$4</f>
        <v>15559.28</v>
      </c>
      <c r="QB24" s="593">
        <f>'Proy 2021 vs 2019 Sem'!GX23*$QD$4</f>
        <v>11825.052799999999</v>
      </c>
      <c r="QC24" s="736">
        <v>8718.1299999999992</v>
      </c>
      <c r="QD24" s="700">
        <f t="shared" si="729"/>
        <v>0.56031705837288093</v>
      </c>
      <c r="QE24" s="579">
        <f t="shared" si="730"/>
        <v>70724</v>
      </c>
      <c r="QF24" s="574">
        <f t="shared" si="731"/>
        <v>53750.239999999991</v>
      </c>
      <c r="QG24" s="729">
        <f t="shared" si="732"/>
        <v>62060.08</v>
      </c>
      <c r="QH24" s="711">
        <f t="shared" si="733"/>
        <v>0.87749674792149768</v>
      </c>
      <c r="QI24" s="578">
        <f>'Proy 2021 vs 2019 Sem'!HB23*$QL$4</f>
        <v>8490.6995999999999</v>
      </c>
      <c r="QJ24" s="611">
        <f>'Proy 2021 vs 2019 Sem'!UG23*$AL$4</f>
        <v>0</v>
      </c>
      <c r="QK24" s="736">
        <v>3487.7</v>
      </c>
      <c r="QL24" s="700">
        <f t="shared" si="734"/>
        <v>0.41076709391532351</v>
      </c>
      <c r="QM24" s="593">
        <f>'Proy 2021 vs 2019 Sem'!HB23*$QP$4</f>
        <v>8490.6995999999999</v>
      </c>
      <c r="QN24" s="593">
        <f>'Proy 2021 vs 2019 Sem'!UG23*$AP$4</f>
        <v>0</v>
      </c>
      <c r="QO24" s="736">
        <v>5565.4</v>
      </c>
      <c r="QP24" s="700">
        <f t="shared" si="735"/>
        <v>0.6554701334622649</v>
      </c>
      <c r="QQ24" s="593">
        <f>'Proy 2021 vs 2019 Sem'!HB23*$QT$4</f>
        <v>8490.6995999999999</v>
      </c>
      <c r="QR24" s="593">
        <f>'Proy 2021 vs 2019 Sem'!HC23*$QT$4</f>
        <v>6622.745688</v>
      </c>
      <c r="QS24" s="736">
        <v>7222.89</v>
      </c>
      <c r="QT24" s="700">
        <f t="shared" si="736"/>
        <v>0.85068255152967609</v>
      </c>
      <c r="QU24" s="593">
        <f>'Proy 2021 vs 2019 Sem'!HB23*$QX$4</f>
        <v>8490.6995999999999</v>
      </c>
      <c r="QV24" s="593">
        <f>'Proy 2021 vs 2019 Sem'!HC23*$QX$4</f>
        <v>6622.745688</v>
      </c>
      <c r="QW24" s="736">
        <v>6104.65</v>
      </c>
      <c r="QX24" s="700">
        <f t="shared" si="737"/>
        <v>0.71898080106378981</v>
      </c>
      <c r="QY24" s="593">
        <f>'Proy 2021 vs 2019 Sem'!HB23*$RB$4</f>
        <v>9905.8162000000011</v>
      </c>
      <c r="QZ24" s="593">
        <f>'Proy 2021 vs 2019 Sem'!HC23*$RB$4</f>
        <v>7726.5366360000007</v>
      </c>
      <c r="RA24" s="736">
        <v>7193.74</v>
      </c>
      <c r="RB24" s="700">
        <f t="shared" si="738"/>
        <v>0.7262137571258388</v>
      </c>
      <c r="RC24" s="593">
        <f>'Proy 2021 vs 2019 Sem'!HB23*$RF$4</f>
        <v>11320.9328</v>
      </c>
      <c r="RD24" s="593">
        <f>'Proy 2021 vs 2019 Sem'!HC23*$RF$4</f>
        <v>8830.3275840000006</v>
      </c>
      <c r="RE24" s="736">
        <v>7673.88</v>
      </c>
      <c r="RF24" s="700">
        <f t="shared" si="739"/>
        <v>0.67784873698746806</v>
      </c>
      <c r="RG24" s="593">
        <f>'Proy 2021 vs 2019 Sem'!HB23*$RJ$4</f>
        <v>15566.2826</v>
      </c>
      <c r="RH24" s="593">
        <f>'Proy 2021 vs 2019 Sem'!HC23*$RJ$4</f>
        <v>12141.700428</v>
      </c>
      <c r="RI24" s="736">
        <v>14154.73</v>
      </c>
      <c r="RJ24" s="700">
        <f t="shared" si="740"/>
        <v>0.90931986548927224</v>
      </c>
      <c r="RK24" s="579">
        <f t="shared" si="741"/>
        <v>70755.83</v>
      </c>
      <c r="RL24" s="574">
        <f t="shared" si="742"/>
        <v>41944.056024000005</v>
      </c>
      <c r="RM24" s="730">
        <f t="shared" si="743"/>
        <v>51402.989999999991</v>
      </c>
      <c r="RN24" s="711">
        <f t="shared" si="744"/>
        <v>0.72648416391977866</v>
      </c>
      <c r="RO24" s="593">
        <f>'Proy 2021 vs 2019 Sem'!HG23*$RR$4</f>
        <v>7386.4391999999998</v>
      </c>
      <c r="RP24" s="593">
        <f>'Proy 2021 vs 2019 Sem'!HH23*$RR$4</f>
        <v>5687.5581839999995</v>
      </c>
      <c r="RQ24" s="736">
        <v>5816.62</v>
      </c>
      <c r="RR24" s="700">
        <f t="shared" si="745"/>
        <v>0.78747280557051091</v>
      </c>
      <c r="RS24" s="593">
        <f>'Proy 2021 vs 2019 Sem'!HG23*$RV$4</f>
        <v>7386.4391999999998</v>
      </c>
      <c r="RT24" s="593">
        <f>'Proy 2021 vs 2019 Sem'!HH23*$RV$4</f>
        <v>5687.5581839999995</v>
      </c>
      <c r="RU24" s="736">
        <v>8837.82</v>
      </c>
      <c r="RV24" s="700">
        <f t="shared" si="746"/>
        <v>1.1964926212348705</v>
      </c>
      <c r="RW24" s="593">
        <f>'Proy 2021 vs 2019 Sem'!HG23*$RZ$4</f>
        <v>7386.4391999999998</v>
      </c>
      <c r="RX24" s="593">
        <f>'Proy 2021 vs 2019 Sem'!HH23*$RZ$4</f>
        <v>5687.5581839999995</v>
      </c>
      <c r="RY24" s="736">
        <v>12730.02</v>
      </c>
      <c r="RZ24" s="700">
        <f t="shared" si="747"/>
        <v>1.7234312305718296</v>
      </c>
      <c r="SA24" s="593">
        <f>'Proy 2021 vs 2019 Sem'!HG23*$SD$4</f>
        <v>7386.4391999999998</v>
      </c>
      <c r="SB24" s="593">
        <f>'Proy 2021 vs 2019 Sem'!HH23*$SD$4</f>
        <v>5687.5581839999995</v>
      </c>
      <c r="SC24" s="736">
        <v>10983.32</v>
      </c>
      <c r="SD24" s="700">
        <f t="shared" si="748"/>
        <v>1.486957342043782</v>
      </c>
      <c r="SE24" s="593">
        <f>'Proy 2021 vs 2019 Sem'!HG23*$SH$4</f>
        <v>8617.5124000000014</v>
      </c>
      <c r="SF24" s="593">
        <f>'Proy 2021 vs 2019 Sem'!HH23*$SH$4</f>
        <v>6635.4845480000013</v>
      </c>
      <c r="SG24" s="736">
        <v>11303.53</v>
      </c>
      <c r="SH24" s="700">
        <f t="shared" si="749"/>
        <v>1.3116929196411715</v>
      </c>
      <c r="SI24" s="593">
        <f>'Proy 2021 vs 2019 Sem'!HG23*$SL$4</f>
        <v>9848.5856000000003</v>
      </c>
      <c r="SJ24" s="593">
        <f>'Proy 2021 vs 2019 Sem'!HH23*$SL$4</f>
        <v>7583.4109120000003</v>
      </c>
      <c r="SK24" s="736">
        <v>7432.21</v>
      </c>
      <c r="SL24" s="700">
        <f t="shared" si="750"/>
        <v>0.75464744907126557</v>
      </c>
      <c r="SM24" s="593">
        <f>'Proy 2021 vs 2019 Sem'!HG23*$SP$4</f>
        <v>13541.805200000001</v>
      </c>
      <c r="SN24" s="593">
        <f>'Proy 2021 vs 2019 Sem'!HH23*$SP$4</f>
        <v>10427.190004</v>
      </c>
      <c r="SO24" s="736">
        <v>13959.27</v>
      </c>
      <c r="SP24" s="700">
        <f t="shared" si="751"/>
        <v>1.0308278544724598</v>
      </c>
      <c r="SQ24" s="579">
        <f t="shared" si="752"/>
        <v>61553.66</v>
      </c>
      <c r="SR24" s="574">
        <f t="shared" si="753"/>
        <v>47396.318199999994</v>
      </c>
      <c r="SS24" s="730">
        <f t="shared" si="754"/>
        <v>71062.789999999994</v>
      </c>
      <c r="ST24" s="711">
        <f t="shared" si="755"/>
        <v>1.1544852085156267</v>
      </c>
      <c r="SU24" s="593">
        <f>'Proy 2021 vs 2019 Sem'!HL23*$SX$4</f>
        <v>8688.2052000000003</v>
      </c>
      <c r="SV24" s="593">
        <f>'Proy 2021 vs 2019 Sem'!HM23*$SX$4</f>
        <v>6603.0359520000002</v>
      </c>
      <c r="SW24" s="736">
        <v>5517.28</v>
      </c>
      <c r="SX24" s="700">
        <f t="shared" si="756"/>
        <v>0.63503104185430603</v>
      </c>
      <c r="SY24" s="593">
        <f>'Proy 2021 vs 2019 Sem'!HL23*$TB$4</f>
        <v>8688.2052000000003</v>
      </c>
      <c r="SZ24" s="593">
        <f>'Proy 2021 vs 2019 Sem'!HM23*$TB$4</f>
        <v>6603.0359520000002</v>
      </c>
      <c r="TA24" s="736">
        <v>6316.42</v>
      </c>
      <c r="TB24" s="700">
        <f t="shared" si="757"/>
        <v>0.72701091360042924</v>
      </c>
      <c r="TC24" s="593">
        <f>'Proy 2021 vs 2019 Sem'!HL23*$TF$4</f>
        <v>8688.2052000000003</v>
      </c>
      <c r="TD24" s="593">
        <f>'Proy 2021 vs 2019 Sem'!HM23*$TF$4</f>
        <v>6603.0359520000002</v>
      </c>
      <c r="TE24" s="736">
        <v>6872.75</v>
      </c>
      <c r="TF24" s="700">
        <f t="shared" si="758"/>
        <v>0.7910437014079732</v>
      </c>
      <c r="TG24" s="593">
        <f>'Proy 2021 vs 2019 Sem'!HL23*$TJ$4</f>
        <v>8688.2052000000003</v>
      </c>
      <c r="TH24" s="593">
        <f>'Proy 2021 vs 2019 Sem'!HM23*$TJ$4</f>
        <v>6603.0359520000002</v>
      </c>
      <c r="TI24" s="736">
        <v>5338.55</v>
      </c>
      <c r="TJ24" s="700">
        <f t="shared" si="759"/>
        <v>0.61445947432272896</v>
      </c>
      <c r="TK24" s="593">
        <f>'Proy 2021 vs 2019 Sem'!HL23*$TN$4</f>
        <v>10136.239400000002</v>
      </c>
      <c r="TL24" s="593">
        <f>'Proy 2021 vs 2019 Sem'!HM23*$TN$4</f>
        <v>7703.5419440000014</v>
      </c>
      <c r="TM24" s="736">
        <v>8135.95</v>
      </c>
      <c r="TN24" s="700">
        <f t="shared" si="760"/>
        <v>0.80265961358410676</v>
      </c>
      <c r="TO24" s="593">
        <f>'Proy 2021 vs 2019 Sem'!HL23*$TR$4</f>
        <v>11584.2736</v>
      </c>
      <c r="TP24" s="611">
        <f>'Proy 2021 vs 2019 Sem'!HM23*$TR$4</f>
        <v>8804.0479360000008</v>
      </c>
      <c r="TQ24" s="736">
        <v>6487.74</v>
      </c>
      <c r="TR24" s="700">
        <f t="shared" si="761"/>
        <v>0.56004720054263912</v>
      </c>
      <c r="TS24" s="593">
        <f>'Proy 2021 vs 2019 Sem'!HL23*$TV$4</f>
        <v>15928.376200000001</v>
      </c>
      <c r="TT24" s="593">
        <f>'Proy 2021 vs 2019 Sem'!HM23*$TV$4</f>
        <v>12105.565912000002</v>
      </c>
      <c r="TU24" s="736">
        <v>13798.88</v>
      </c>
      <c r="TV24" s="700">
        <f t="shared" si="762"/>
        <v>0.86630801700929183</v>
      </c>
      <c r="TW24" s="579">
        <f t="shared" si="763"/>
        <v>72401.710000000006</v>
      </c>
      <c r="TX24" s="574">
        <f t="shared" si="764"/>
        <v>55025.299600000013</v>
      </c>
      <c r="TY24" s="710">
        <f t="shared" si="765"/>
        <v>52467.57</v>
      </c>
      <c r="TZ24" s="711">
        <f t="shared" si="766"/>
        <v>0.72467307747289389</v>
      </c>
      <c r="UA24" s="593">
        <v>13438.82</v>
      </c>
      <c r="UB24" s="593">
        <f>'Proy 2021 vs 2019 Sem'!HR23*$UD$4</f>
        <v>6034.0975200000012</v>
      </c>
      <c r="UC24" s="736">
        <v>5238.9799999999996</v>
      </c>
      <c r="UD24" s="700">
        <f t="shared" si="767"/>
        <v>0.38983928648497412</v>
      </c>
      <c r="UE24" s="593">
        <v>4607.32</v>
      </c>
      <c r="UF24" s="593">
        <f>'Proy 2021 vs 2019 Sem'!HR23*$UH$4</f>
        <v>6034.0975200000012</v>
      </c>
      <c r="UG24" s="736">
        <v>8003.57</v>
      </c>
      <c r="UH24" s="700">
        <f t="shared" si="768"/>
        <v>1.7371421998037906</v>
      </c>
      <c r="UI24" s="593">
        <v>8732.15</v>
      </c>
      <c r="UJ24" s="593">
        <f>'Proy 2021 vs 2019 Sem'!HR23*$UL$4</f>
        <v>6034.0975200000012</v>
      </c>
      <c r="UK24" s="736">
        <v>7360</v>
      </c>
      <c r="UL24" s="700">
        <f t="shared" si="769"/>
        <v>0.84286229622716058</v>
      </c>
      <c r="UM24" s="593">
        <v>7380.89</v>
      </c>
      <c r="UN24" s="593">
        <f>'Proy 2021 vs 2019 Sem'!HR23*$UP$4</f>
        <v>6034.0975200000012</v>
      </c>
      <c r="UO24" s="736">
        <v>5806.77</v>
      </c>
      <c r="UP24" s="700">
        <f t="shared" si="770"/>
        <v>0.78673032655953412</v>
      </c>
      <c r="UQ24" s="593">
        <v>9041.1200000000008</v>
      </c>
      <c r="UR24" s="593">
        <f>'Proy 2021 vs 2019 Sem'!HR23*$UT$4</f>
        <v>7039.7804400000014</v>
      </c>
      <c r="US24" s="736">
        <v>8905.56</v>
      </c>
      <c r="UT24" s="700">
        <f t="shared" si="771"/>
        <v>0.98500628240748922</v>
      </c>
      <c r="UU24" s="593">
        <v>10434.4</v>
      </c>
      <c r="UV24" s="593">
        <f>'Proy 2021 vs 2019 Sem'!HR23*$UX$4</f>
        <v>8045.4633600000016</v>
      </c>
      <c r="UW24" s="736">
        <v>11341.55</v>
      </c>
      <c r="UX24" s="700">
        <f t="shared" si="772"/>
        <v>1.0869383960745227</v>
      </c>
      <c r="UY24" s="593">
        <v>12528.65</v>
      </c>
      <c r="UZ24" s="593">
        <f>'Proy 2021 vs 2019 Sem'!HR23*$VB$4</f>
        <v>11062.512120000001</v>
      </c>
      <c r="VA24" s="736">
        <v>16117.23</v>
      </c>
      <c r="VB24" s="700">
        <f t="shared" si="773"/>
        <v>1.2864299026630961</v>
      </c>
      <c r="VC24" s="577">
        <f>UA24+UE24+UI24+UM24+UQ24+UU24+UY24</f>
        <v>66163.350000000006</v>
      </c>
      <c r="VD24" s="574">
        <f t="shared" si="774"/>
        <v>50284.146000000008</v>
      </c>
      <c r="VE24" s="710">
        <f t="shared" si="775"/>
        <v>62773.659999999989</v>
      </c>
      <c r="VF24" s="1532">
        <f t="shared" si="776"/>
        <v>0.94876786015218373</v>
      </c>
      <c r="VG24" s="593">
        <v>11658.7</v>
      </c>
      <c r="VH24" s="593">
        <f>'Proy 2021 vs 2019 Sem'!IA23*$VJ$4</f>
        <v>7566.9802799999998</v>
      </c>
      <c r="VI24" s="736">
        <v>4987.33</v>
      </c>
      <c r="VJ24" s="700">
        <f t="shared" si="777"/>
        <v>0.42777753951984354</v>
      </c>
      <c r="VK24" s="593">
        <v>6962.69</v>
      </c>
      <c r="VL24" s="593">
        <f>'Proy 2021 vs 2019 Sem'!IA23*$VN$4</f>
        <v>7566.9802799999998</v>
      </c>
      <c r="VM24" s="736">
        <v>8013.9</v>
      </c>
      <c r="VN24" s="700">
        <f t="shared" si="778"/>
        <v>1.1509775675780483</v>
      </c>
      <c r="VO24" s="593">
        <v>9181.7800000000007</v>
      </c>
      <c r="VP24" s="593">
        <f>'Proy 2021 vs 2019 Sem'!IA23*$VR$4</f>
        <v>7566.9802799999998</v>
      </c>
      <c r="VQ24" s="736">
        <v>6674.54</v>
      </c>
      <c r="VR24" s="700">
        <f t="shared" si="779"/>
        <v>0.72693312190011083</v>
      </c>
      <c r="VS24" s="593">
        <v>9012.5499999999993</v>
      </c>
      <c r="VT24" s="593">
        <f>'Proy 2021 vs 2019 Sem'!IA23*$VV$4</f>
        <v>7566.9802799999998</v>
      </c>
      <c r="VU24" s="736">
        <v>5875.46</v>
      </c>
      <c r="VV24" s="700">
        <f t="shared" si="780"/>
        <v>0.65191982291360384</v>
      </c>
      <c r="VW24" s="593">
        <v>8256.76</v>
      </c>
      <c r="VX24" s="593">
        <f>'Proy 2021 vs 2019 Sem'!IA23*$VZ$4</f>
        <v>8828.1436600000015</v>
      </c>
      <c r="VY24" s="736">
        <v>4875</v>
      </c>
      <c r="VZ24" s="700">
        <f t="shared" si="781"/>
        <v>0.59042529999660887</v>
      </c>
      <c r="WA24" s="593">
        <v>9091.7000000000007</v>
      </c>
      <c r="WB24" s="593">
        <f>'Proy 2021 vs 2019 Sem'!IA23*$WD$4</f>
        <v>10089.30704</v>
      </c>
      <c r="WC24" s="736">
        <v>10758.15</v>
      </c>
      <c r="WD24" s="700">
        <f t="shared" si="782"/>
        <v>1.1832935534608489</v>
      </c>
      <c r="WE24" s="593">
        <v>11178.37</v>
      </c>
      <c r="WF24" s="593">
        <f>'Proy 2021 vs 2019 Sem'!IA23*$WH$4</f>
        <v>13872.79718</v>
      </c>
      <c r="WG24" s="736">
        <v>17344.21</v>
      </c>
      <c r="WH24" s="1538">
        <f t="shared" si="783"/>
        <v>1.5515866803478502</v>
      </c>
      <c r="WI24" s="574">
        <f t="shared" si="784"/>
        <v>36815.72</v>
      </c>
      <c r="WJ24" s="575">
        <f t="shared" si="785"/>
        <v>63058.169000000002</v>
      </c>
      <c r="WK24" s="793">
        <f t="shared" si="786"/>
        <v>58528.59</v>
      </c>
      <c r="WL24" s="786">
        <f t="shared" si="787"/>
        <v>1.5897717062168006</v>
      </c>
      <c r="WM24" s="593">
        <v>10377.48</v>
      </c>
      <c r="WN24" s="593">
        <f>'Proy 2021 vs 2019 Sem'!IF23*$WP$4</f>
        <v>9174.0077999999994</v>
      </c>
      <c r="WO24" s="736">
        <v>7002.17</v>
      </c>
      <c r="WP24" s="700">
        <f t="shared" si="788"/>
        <v>0.67474666296634644</v>
      </c>
      <c r="WQ24" s="593">
        <v>8579.73</v>
      </c>
      <c r="WR24" s="593">
        <f>'Proy 2021 vs 2019 Sem'!IF23*$WT$4</f>
        <v>9174.0077999999994</v>
      </c>
      <c r="WS24" s="736">
        <v>6884.14</v>
      </c>
      <c r="WT24" s="700">
        <f t="shared" si="789"/>
        <v>0.8023725688337513</v>
      </c>
      <c r="WU24" s="593">
        <v>9780.58</v>
      </c>
      <c r="WV24" s="593">
        <f>'Proy 2021 vs 2019 Sem'!IF23*$WX$4</f>
        <v>9174.0077999999994</v>
      </c>
      <c r="WW24" s="736">
        <v>11447.89</v>
      </c>
      <c r="WX24" s="700">
        <f t="shared" si="790"/>
        <v>1.1704714853311358</v>
      </c>
      <c r="WY24" s="593">
        <v>10442.52</v>
      </c>
      <c r="WZ24" s="593">
        <f>'Proy 2021 vs 2019 Sem'!IF23*$XB$4</f>
        <v>9174.0077999999994</v>
      </c>
      <c r="XA24" s="736">
        <v>7084.45</v>
      </c>
      <c r="XB24" s="700">
        <f t="shared" si="791"/>
        <v>0.67842340737676343</v>
      </c>
      <c r="XC24" s="593">
        <v>10482.64</v>
      </c>
      <c r="XD24" s="1547">
        <f>'Proy 2021 vs 2019 Sem'!IF23*$XF$4</f>
        <v>10703.009100000001</v>
      </c>
      <c r="XE24" s="736">
        <v>10200.879999999999</v>
      </c>
      <c r="XF24" s="700">
        <f t="shared" si="792"/>
        <v>0.97312127479337263</v>
      </c>
      <c r="XG24" s="593">
        <v>10645.84</v>
      </c>
      <c r="XH24" s="593">
        <f>'Proy 2021 vs 2019 Sem'!IF23*$XJ$4</f>
        <v>12232.010400000001</v>
      </c>
      <c r="XI24" s="736">
        <v>10859.02</v>
      </c>
      <c r="XJ24" s="700">
        <f t="shared" si="793"/>
        <v>1.0200247232721891</v>
      </c>
      <c r="XK24" s="593">
        <v>18505.71</v>
      </c>
      <c r="XL24" s="593">
        <f>'Proy 2021 vs 2019 Sem'!IF23*$XN$4</f>
        <v>16819.014299999999</v>
      </c>
      <c r="XM24" s="736">
        <v>16319.24</v>
      </c>
      <c r="XN24" s="700">
        <f t="shared" si="794"/>
        <v>0.8818488996099042</v>
      </c>
      <c r="XO24" s="579">
        <f t="shared" si="795"/>
        <v>78814.5</v>
      </c>
      <c r="XP24" s="574">
        <f t="shared" si="796"/>
        <v>76450.065000000002</v>
      </c>
      <c r="XQ24" s="794">
        <f t="shared" si="797"/>
        <v>69797.790000000008</v>
      </c>
      <c r="XR24" s="786">
        <f t="shared" si="798"/>
        <v>0.88559579772757557</v>
      </c>
      <c r="XS24" s="593">
        <v>15823.4</v>
      </c>
      <c r="XT24" s="593">
        <f>'Proy 2021 vs 2019 Sem'!IK23*$XV$4</f>
        <v>9829.9524000000001</v>
      </c>
      <c r="XU24" s="736">
        <v>7618.36</v>
      </c>
      <c r="XV24" s="700">
        <f t="shared" si="799"/>
        <v>0.48146163277171783</v>
      </c>
      <c r="XW24" s="593">
        <v>7078.98</v>
      </c>
      <c r="XX24" s="593">
        <f>'Proy 2021 vs 2019 Sem'!IK23*$XZ$4</f>
        <v>9829.9524000000001</v>
      </c>
      <c r="XY24" s="736">
        <v>8503.5300000000007</v>
      </c>
      <c r="XZ24" s="700">
        <f t="shared" si="800"/>
        <v>1.2012366188349171</v>
      </c>
      <c r="YA24" s="593">
        <v>9239.75</v>
      </c>
      <c r="YB24" s="593">
        <f>'Proy 2021 vs 2019 Sem'!IK23*$YD$4</f>
        <v>9829.9524000000001</v>
      </c>
      <c r="YC24" s="736">
        <v>10004.879999999999</v>
      </c>
      <c r="YD24" s="700">
        <f t="shared" si="801"/>
        <v>1.0828085175464703</v>
      </c>
      <c r="YE24" s="593">
        <v>7783.48</v>
      </c>
      <c r="YF24" s="593">
        <f>'Proy 2021 vs 2019 Sem'!IK23*$YH$4</f>
        <v>9829.9524000000001</v>
      </c>
      <c r="YG24" s="736">
        <v>7151.91</v>
      </c>
      <c r="YH24" s="700">
        <f t="shared" si="802"/>
        <v>0.91885763180479685</v>
      </c>
      <c r="YI24" s="593">
        <v>11067.91</v>
      </c>
      <c r="YJ24" s="593">
        <f>'Proy 2021 vs 2019 Sem'!IK23*$YL$4</f>
        <v>11468.277800000002</v>
      </c>
      <c r="YK24" s="736">
        <v>14857.91</v>
      </c>
      <c r="YL24" s="700">
        <f t="shared" si="803"/>
        <v>1.3424314075557173</v>
      </c>
      <c r="YM24" s="593">
        <v>12180.88</v>
      </c>
      <c r="YN24" s="593">
        <f>'Proy 2021 vs 2019 Sem'!IK23*$YP$4</f>
        <v>13106.603200000001</v>
      </c>
      <c r="YO24" s="736">
        <v>11826.06</v>
      </c>
      <c r="YP24" s="700">
        <f t="shared" si="804"/>
        <v>0.97087074168697174</v>
      </c>
      <c r="YQ24" s="593">
        <v>18741.87</v>
      </c>
      <c r="YR24" s="593">
        <f>'Proy 2021 vs 2019 Sem'!IK23*$YT$4</f>
        <v>18021.579400000002</v>
      </c>
      <c r="YS24" s="736">
        <v>21221.86</v>
      </c>
      <c r="YT24" s="700">
        <f t="shared" si="805"/>
        <v>1.132323508806752</v>
      </c>
      <c r="YU24" s="579">
        <f t="shared" si="806"/>
        <v>81916.27</v>
      </c>
      <c r="YV24" s="574">
        <f t="shared" si="807"/>
        <v>81916.27</v>
      </c>
      <c r="YW24" s="794">
        <f t="shared" si="808"/>
        <v>81184.509999999995</v>
      </c>
      <c r="YX24" s="786">
        <f t="shared" si="809"/>
        <v>0.99106697607203054</v>
      </c>
      <c r="YY24" s="593">
        <v>14213.58</v>
      </c>
      <c r="YZ24" s="593">
        <f>'Proy 2021 vs 2019 Sem'!IP23*$ZB$4</f>
        <v>13558.090643999998</v>
      </c>
      <c r="ZA24" s="736">
        <v>8476.57</v>
      </c>
      <c r="ZB24" s="700">
        <f t="shared" si="810"/>
        <v>0.59637121682222216</v>
      </c>
      <c r="ZC24" s="593">
        <v>8661.48</v>
      </c>
      <c r="ZD24" s="593">
        <f>'Proy 2021 vs 2019 Sem'!IP23*$ZF$4</f>
        <v>13558.090643999998</v>
      </c>
      <c r="ZE24" s="736">
        <v>13597.53</v>
      </c>
      <c r="ZF24" s="700">
        <f t="shared" si="811"/>
        <v>1.5698852851937546</v>
      </c>
      <c r="ZG24" s="593">
        <v>12482.15</v>
      </c>
      <c r="ZH24" s="593">
        <f>'Proy 2021 vs 2019 Sem'!IP23*$ZJ$4</f>
        <v>13558.090643999998</v>
      </c>
      <c r="ZI24" s="736">
        <v>11188.53</v>
      </c>
      <c r="ZJ24" s="700">
        <f t="shared" si="812"/>
        <v>0.89636240551507562</v>
      </c>
      <c r="ZK24" s="593">
        <v>16127.89</v>
      </c>
      <c r="ZL24" s="593">
        <f>'Proy 2021 vs 2019 Sem'!IP23*$ZN$4</f>
        <v>13558.090643999998</v>
      </c>
      <c r="ZM24" s="736">
        <v>15446.25</v>
      </c>
      <c r="ZN24" s="700">
        <f t="shared" si="813"/>
        <v>0.95773532681584517</v>
      </c>
      <c r="ZO24" s="593">
        <v>23269.53</v>
      </c>
      <c r="ZP24" s="593">
        <f>'Proy 2021 vs 2019 Sem'!IP23*$ZR$4</f>
        <v>15817.772418</v>
      </c>
      <c r="ZQ24" s="736">
        <v>18697.830000000002</v>
      </c>
      <c r="ZR24" s="700">
        <f t="shared" si="814"/>
        <v>0.80353277440498383</v>
      </c>
      <c r="ZS24" s="593">
        <v>16915.47</v>
      </c>
      <c r="ZT24" s="593">
        <f>'Proy 2021 vs 2019 Sem'!IP23*$ZV$4</f>
        <v>18077.454192000001</v>
      </c>
      <c r="ZU24" s="736">
        <v>24084.82</v>
      </c>
      <c r="ZV24" s="700">
        <f t="shared" si="815"/>
        <v>1.4238339224390453</v>
      </c>
      <c r="ZW24" s="593">
        <v>18023.189999999999</v>
      </c>
      <c r="ZX24" s="593">
        <f>'Proy 2021 vs 2019 Sem'!IP23*$ZZ$4</f>
        <v>24856.499513999999</v>
      </c>
      <c r="ZY24" s="736">
        <v>27820.67</v>
      </c>
      <c r="ZZ24" s="700">
        <f t="shared" si="816"/>
        <v>1.5436041011607824</v>
      </c>
      <c r="AAA24" s="579">
        <f t="shared" si="817"/>
        <v>109693.29000000001</v>
      </c>
      <c r="AAB24" s="574">
        <f t="shared" si="818"/>
        <v>112984.08869999999</v>
      </c>
      <c r="AAC24" s="785">
        <f t="shared" si="819"/>
        <v>119312.2</v>
      </c>
      <c r="AAD24" s="786">
        <f t="shared" si="820"/>
        <v>1.0876891375944691</v>
      </c>
      <c r="AAE24" s="593">
        <v>11084.38</v>
      </c>
      <c r="AAF24" s="593">
        <f>'Proy 2021 vs 2019 Sem'!IY23*$AAH$4</f>
        <v>8357.8320000000003</v>
      </c>
      <c r="AAG24" s="736">
        <v>15578.31</v>
      </c>
      <c r="AAH24" s="700">
        <f t="shared" si="821"/>
        <v>1.4054290812837524</v>
      </c>
      <c r="AAI24" s="593">
        <v>6172.14</v>
      </c>
      <c r="AAJ24" s="593">
        <f>'Proy 2021 vs 2019 Sem'!IY23*$AAL$4</f>
        <v>8357.8320000000003</v>
      </c>
      <c r="AAK24" s="736">
        <v>7570.1</v>
      </c>
      <c r="AAL24" s="700">
        <f t="shared" si="822"/>
        <v>1.2264951864345268</v>
      </c>
      <c r="AAM24" s="593">
        <v>7516.89</v>
      </c>
      <c r="AAN24" s="593">
        <f>'Proy 2021 vs 2019 Sem'!IY23*$AAP$4</f>
        <v>8357.8320000000003</v>
      </c>
      <c r="AAO24" s="736">
        <v>10590.12</v>
      </c>
      <c r="AAP24" s="700">
        <f t="shared" si="823"/>
        <v>1.4088432849223549</v>
      </c>
      <c r="AAQ24" s="593">
        <v>10844.05</v>
      </c>
      <c r="AAR24" s="593">
        <f>'Proy 2021 vs 2019 Sem'!IY23*$AAT$4</f>
        <v>8357.8320000000003</v>
      </c>
      <c r="AAS24" s="736">
        <v>9185.75</v>
      </c>
      <c r="AAT24" s="700">
        <f t="shared" si="824"/>
        <v>0.8470774295581448</v>
      </c>
      <c r="AAU24" s="593">
        <v>8763.09</v>
      </c>
      <c r="AAV24" s="593">
        <f>'Proy 2021 vs 2019 Sem'!IY23*$AAX$4</f>
        <v>9750.8040000000019</v>
      </c>
      <c r="AAW24" s="736">
        <v>8419.75</v>
      </c>
      <c r="AAX24" s="700">
        <f t="shared" si="825"/>
        <v>0.96081975650141671</v>
      </c>
      <c r="AAY24" s="593">
        <v>10009.15</v>
      </c>
      <c r="AAZ24" s="593">
        <f>'Proy 2021 vs 2019 Sem'!IY23*$ABB$4</f>
        <v>11143.776000000002</v>
      </c>
      <c r="ABA24" s="736">
        <v>7942.21</v>
      </c>
      <c r="ABB24" s="700">
        <f t="shared" si="826"/>
        <v>0.79349495211881127</v>
      </c>
      <c r="ABC24" s="593">
        <v>13230.3</v>
      </c>
      <c r="ABD24" s="593">
        <f>'Proy 2021 vs 2019 Sem'!IY23*$ABF$4</f>
        <v>15322.692000000001</v>
      </c>
      <c r="ABE24" s="736">
        <v>17863.47</v>
      </c>
      <c r="ABF24" s="700">
        <f t="shared" si="827"/>
        <v>1.350193873154804</v>
      </c>
      <c r="ABG24" s="579">
        <f t="shared" si="828"/>
        <v>67620</v>
      </c>
      <c r="ABH24" s="574">
        <f t="shared" si="829"/>
        <v>69648.600000000006</v>
      </c>
      <c r="ABI24" s="759">
        <f t="shared" si="830"/>
        <v>77149.709999999992</v>
      </c>
      <c r="ABJ24" s="761">
        <f t="shared" si="831"/>
        <v>1.1409303460514639</v>
      </c>
      <c r="ABK24" s="593">
        <v>8826.4</v>
      </c>
      <c r="ABL24" s="593">
        <f>'Proy 2021 vs 2019 Sem'!JD23*$ABN$4</f>
        <v>9474.8621519999997</v>
      </c>
      <c r="ABM24" s="736">
        <v>4922.8500000000004</v>
      </c>
      <c r="ABN24" s="700">
        <f t="shared" si="832"/>
        <v>0.55774154808302367</v>
      </c>
      <c r="ABO24" s="593">
        <v>5675.52</v>
      </c>
      <c r="ABP24" s="593">
        <f>'Proy 2021 vs 2019 Sem'!JD23*$ABR$4</f>
        <v>9474.8621519999997</v>
      </c>
      <c r="ABQ24" s="736">
        <v>6715.45</v>
      </c>
      <c r="ABR24" s="700">
        <f t="shared" si="833"/>
        <v>1.1832307876635091</v>
      </c>
      <c r="ABS24" s="593">
        <v>6545.05</v>
      </c>
      <c r="ABT24" s="593">
        <f>'Proy 2021 vs 2019 Sem'!JD23*$ABV$4</f>
        <v>9474.8621519999997</v>
      </c>
      <c r="ABU24" s="736">
        <v>4546.8500000000004</v>
      </c>
      <c r="ABV24" s="700">
        <f t="shared" si="834"/>
        <v>0.69470057524388662</v>
      </c>
      <c r="ABW24" s="593">
        <v>9357.43</v>
      </c>
      <c r="ABX24" s="593">
        <f>'Proy 2021 vs 2019 Sem'!JD23*$ABZ$4</f>
        <v>9474.8621519999997</v>
      </c>
      <c r="ABY24" s="736">
        <v>5316.14</v>
      </c>
      <c r="ABZ24" s="700">
        <f t="shared" si="835"/>
        <v>0.56811966533546077</v>
      </c>
      <c r="ACA24" s="593">
        <v>9699.7800000000007</v>
      </c>
      <c r="ACB24" s="593">
        <f>'Proy 2021 vs 2019 Sem'!JD23*$ACD$4</f>
        <v>11054.005844000003</v>
      </c>
      <c r="ACC24" s="736">
        <v>8253.18</v>
      </c>
      <c r="ACD24" s="700">
        <f t="shared" si="836"/>
        <v>0.85086259688364063</v>
      </c>
      <c r="ACE24" s="593">
        <v>10301.879999999999</v>
      </c>
      <c r="ACF24" s="593">
        <f>'Proy 2021 vs 2019 Sem'!JD23*$ACH$4</f>
        <v>12633.149536000001</v>
      </c>
      <c r="ACG24" s="736">
        <v>12355.55</v>
      </c>
      <c r="ACH24" s="700">
        <f t="shared" si="837"/>
        <v>1.1993490508528541</v>
      </c>
      <c r="ACI24" s="593">
        <v>24081.85</v>
      </c>
      <c r="ACJ24" s="593">
        <f>'Proy 2021 vs 2019 Sem'!JD23*$ACL$4</f>
        <v>17370.580612000002</v>
      </c>
      <c r="ACK24" s="736">
        <v>18253.349999999999</v>
      </c>
      <c r="ACL24" s="700">
        <f t="shared" si="838"/>
        <v>0.7579712522086135</v>
      </c>
      <c r="ACM24" s="579">
        <f t="shared" si="839"/>
        <v>74487.91</v>
      </c>
      <c r="ACN24" s="574">
        <f t="shared" si="840"/>
        <v>78957.184600000008</v>
      </c>
      <c r="ACO24" s="765">
        <f t="shared" si="841"/>
        <v>60363.37</v>
      </c>
      <c r="ACP24" s="761">
        <f t="shared" si="842"/>
        <v>0.81037808686000179</v>
      </c>
      <c r="ACQ24" s="593">
        <v>18124.61</v>
      </c>
      <c r="ACR24" s="593">
        <f>'Proy 2021 vs 2019 Sem'!JI23*$ACT$4</f>
        <v>14699.187480000001</v>
      </c>
      <c r="ACS24" s="736">
        <v>8846.9</v>
      </c>
      <c r="ACT24" s="700">
        <f t="shared" si="843"/>
        <v>0.48811533048159378</v>
      </c>
      <c r="ACU24" s="593">
        <v>16447.849999999999</v>
      </c>
      <c r="ACV24" s="593">
        <f>'Proy 2021 vs 2019 Sem'!JI23*$ACX$4</f>
        <v>14699.187480000001</v>
      </c>
      <c r="ACW24" s="736">
        <v>10221.049999999999</v>
      </c>
      <c r="ACX24" s="700">
        <f t="shared" si="844"/>
        <v>0.621421644774241</v>
      </c>
      <c r="ACY24" s="593">
        <v>14200.78</v>
      </c>
      <c r="ACZ24" s="593">
        <f>'Proy 2021 vs 2019 Sem'!JI23*$ADB$4</f>
        <v>14699.187480000001</v>
      </c>
      <c r="ADA24" s="736">
        <v>8227.11</v>
      </c>
      <c r="ADB24" s="700">
        <f t="shared" si="845"/>
        <v>0.57934212064407731</v>
      </c>
      <c r="ADC24" s="593">
        <v>12422.22</v>
      </c>
      <c r="ADD24" s="593">
        <f>'Proy 2021 vs 2019 Sem'!JI23*$ADF$4</f>
        <v>14699.187480000001</v>
      </c>
      <c r="ADE24" s="736">
        <v>9479.1200000000008</v>
      </c>
      <c r="ADF24" s="700">
        <f t="shared" si="846"/>
        <v>0.76307777514808151</v>
      </c>
      <c r="ADG24" s="593">
        <v>9851</v>
      </c>
      <c r="ADH24" s="593">
        <f>'Proy 2021 vs 2019 Sem'!JI23*$ADJ$4</f>
        <v>17149.052060000002</v>
      </c>
      <c r="ADI24" s="736">
        <v>8802.9599999999991</v>
      </c>
      <c r="ADJ24" s="700">
        <f t="shared" si="847"/>
        <v>0.89361080093391521</v>
      </c>
      <c r="ADK24" s="593">
        <v>16049.89</v>
      </c>
      <c r="ADL24" s="593">
        <f>'Proy 2021 vs 2019 Sem'!JI23*$ADN$4</f>
        <v>19598.916640000003</v>
      </c>
      <c r="ADM24" s="736">
        <v>14678.32</v>
      </c>
      <c r="ADN24" s="700">
        <f t="shared" si="848"/>
        <v>0.91454333954936762</v>
      </c>
      <c r="ADO24" s="593">
        <v>28463.3</v>
      </c>
      <c r="ADP24" s="593">
        <f>'Proy 2021 vs 2019 Sem'!JI23*$ADR$4</f>
        <v>26948.510380000003</v>
      </c>
      <c r="ADQ24" s="736">
        <v>15544.23</v>
      </c>
      <c r="ADR24" s="700">
        <f t="shared" si="849"/>
        <v>0.54611482154212621</v>
      </c>
      <c r="ADS24" s="579">
        <f t="shared" si="850"/>
        <v>115559.65</v>
      </c>
      <c r="ADT24" s="574">
        <f t="shared" si="851"/>
        <v>122493.22900000001</v>
      </c>
      <c r="ADU24" s="765">
        <f t="shared" si="852"/>
        <v>75799.69</v>
      </c>
      <c r="ADV24" s="761">
        <f t="shared" si="853"/>
        <v>0.65593561420443902</v>
      </c>
      <c r="ADW24" s="593">
        <v>18286.39</v>
      </c>
      <c r="ADX24" s="593">
        <f>'Proy 2021 vs 2019 Sem'!JN23*$ADZ$4</f>
        <v>12411.334079999999</v>
      </c>
      <c r="ADY24" s="736">
        <v>10904.44</v>
      </c>
      <c r="ADZ24" s="700">
        <f t="shared" si="854"/>
        <v>0.59631452681475139</v>
      </c>
      <c r="AEA24" s="593">
        <v>12575.08</v>
      </c>
      <c r="AEB24" s="593">
        <f>'Proy 2021 vs 2019 Sem'!JN23*$AED$4</f>
        <v>12411.334079999999</v>
      </c>
      <c r="AEC24" s="736">
        <v>10842</v>
      </c>
      <c r="AED24" s="700">
        <f t="shared" si="855"/>
        <v>0.8621813936770184</v>
      </c>
      <c r="AEE24" s="593">
        <v>14297.32</v>
      </c>
      <c r="AEF24" s="593">
        <f>'Proy 2021 vs 2019 Sem'!JN23*$AEH$4</f>
        <v>12411.334079999999</v>
      </c>
      <c r="AEG24" s="736">
        <v>10351</v>
      </c>
      <c r="AEH24" s="700">
        <f t="shared" si="856"/>
        <v>0.72398183715549491</v>
      </c>
      <c r="AEI24" s="593">
        <v>16980.16</v>
      </c>
      <c r="AEJ24" s="593">
        <f>'Proy 2021 vs 2019 Sem'!JN23*$AEL$4</f>
        <v>12411.334079999999</v>
      </c>
      <c r="AEK24" s="736">
        <v>9958</v>
      </c>
      <c r="AEL24" s="700">
        <f t="shared" si="857"/>
        <v>0.58644912650999759</v>
      </c>
      <c r="AEM24" s="593">
        <v>13967.28</v>
      </c>
      <c r="AEN24" s="593">
        <f>'Proy 2021 vs 2019 Sem'!JN23*$AEP$4</f>
        <v>14479.889760000002</v>
      </c>
      <c r="AEO24" s="736">
        <v>10195</v>
      </c>
      <c r="AEP24" s="700">
        <f t="shared" si="858"/>
        <v>0.72992021352761594</v>
      </c>
      <c r="AEQ24" s="593">
        <v>18845.82</v>
      </c>
      <c r="AER24" s="593">
        <f>'Proy 2021 vs 2019 Sem'!JN23*$AET$4</f>
        <v>16548.44544</v>
      </c>
      <c r="AES24" s="736">
        <v>6194</v>
      </c>
      <c r="AET24" s="700">
        <f t="shared" si="859"/>
        <v>0.3286670465917641</v>
      </c>
      <c r="AEU24" s="593">
        <v>29703.31</v>
      </c>
      <c r="AEV24" s="593">
        <f>'Proy 2021 vs 2019 Sem'!JN23*$AEX$4</f>
        <v>22754.11248</v>
      </c>
      <c r="AEW24" s="736">
        <v>22288</v>
      </c>
      <c r="AEX24" s="700">
        <f t="shared" si="860"/>
        <v>0.75035408511711321</v>
      </c>
      <c r="AEY24" s="579">
        <f t="shared" si="861"/>
        <v>124655.35999999999</v>
      </c>
      <c r="AEZ24" s="574">
        <f t="shared" si="862"/>
        <v>103427.78399999999</v>
      </c>
      <c r="AFA24" s="770">
        <f t="shared" si="863"/>
        <v>80732.44</v>
      </c>
      <c r="AFB24" s="761">
        <f t="shared" si="864"/>
        <v>0.64764515541088652</v>
      </c>
      <c r="AFC24" s="593">
        <v>22831.26</v>
      </c>
      <c r="AFD24" s="593">
        <f>'Proy 2021 vs 2019 Sem'!JX23*$AFF$4</f>
        <v>13583.794499999998</v>
      </c>
      <c r="AFE24" s="736">
        <v>8495</v>
      </c>
      <c r="AFF24" s="700">
        <f t="shared" si="865"/>
        <v>0.37207758135118257</v>
      </c>
      <c r="AFG24" s="593">
        <v>16647.080000000002</v>
      </c>
      <c r="AFH24" s="593">
        <f>'Proy 2021 vs 2019 Sem'!JX23*$AFJ$4</f>
        <v>13583.794499999998</v>
      </c>
      <c r="AFI24" s="736">
        <v>14490.44</v>
      </c>
      <c r="AFJ24" s="700">
        <f t="shared" si="866"/>
        <v>0.87044935207856267</v>
      </c>
      <c r="AFK24" s="593">
        <v>15376.54</v>
      </c>
      <c r="AFL24" s="593">
        <f>'Proy 2021 vs 2019 Sem'!JX23*$AFN$4</f>
        <v>13583.794499999998</v>
      </c>
      <c r="AFM24" s="736">
        <v>12207.07</v>
      </c>
      <c r="AFN24" s="700">
        <f t="shared" si="867"/>
        <v>0.79387625564658881</v>
      </c>
      <c r="AFO24" s="593">
        <v>17951.09</v>
      </c>
      <c r="AFP24" s="593">
        <f>'Proy 2021 vs 2019 Sem'!JX23*$AFR$4</f>
        <v>13583.794499999998</v>
      </c>
      <c r="AFQ24" s="736">
        <v>15598.37</v>
      </c>
      <c r="AFR24" s="700">
        <f t="shared" si="868"/>
        <v>0.86893720659859652</v>
      </c>
      <c r="AFS24" s="593">
        <v>21500.5</v>
      </c>
      <c r="AFT24" s="593">
        <f>'Proy 2021 vs 2019 Sem'!JX23*$AFV$4</f>
        <v>15847.760250000001</v>
      </c>
      <c r="AFU24" s="736">
        <v>20514.419999999998</v>
      </c>
      <c r="AFV24" s="700">
        <f t="shared" si="869"/>
        <v>0.95413688053766188</v>
      </c>
      <c r="AFW24" s="593">
        <v>22354.59</v>
      </c>
      <c r="AFX24" s="593">
        <f>'Proy 2021 vs 2019 Sem'!JX23*$AFZ$4</f>
        <v>18111.725999999999</v>
      </c>
      <c r="AFY24" s="736">
        <v>27608.84</v>
      </c>
      <c r="AFZ24" s="700">
        <f t="shared" si="870"/>
        <v>1.2350412152493067</v>
      </c>
      <c r="AGA24" s="593">
        <v>34318.03</v>
      </c>
      <c r="AGB24" s="593">
        <f>'Proy 2021 vs 2019 Sem'!JX23*$AGD$4</f>
        <v>24903.623249999997</v>
      </c>
      <c r="AGC24" s="736">
        <v>32500.38</v>
      </c>
      <c r="AGD24" s="700">
        <f t="shared" si="871"/>
        <v>0.94703512993024375</v>
      </c>
      <c r="AGE24" s="579">
        <f t="shared" si="872"/>
        <v>150979.09</v>
      </c>
      <c r="AGF24" s="574">
        <f t="shared" si="873"/>
        <v>113198.28749999998</v>
      </c>
      <c r="AGG24" s="729">
        <f t="shared" si="874"/>
        <v>131414.51999999999</v>
      </c>
      <c r="AGH24" s="711">
        <f t="shared" si="875"/>
        <v>0.87041536679019582</v>
      </c>
      <c r="AGI24" s="593">
        <v>24586.44</v>
      </c>
      <c r="AGJ24" s="593">
        <f>'Proy 2021 vs 2019 Sem'!KC23*$AGL$4</f>
        <v>16203.406500000001</v>
      </c>
      <c r="AGK24" s="736">
        <v>16932.77</v>
      </c>
      <c r="AGL24" s="700">
        <f t="shared" si="876"/>
        <v>0.68870361060812391</v>
      </c>
      <c r="AGM24" s="593">
        <v>13527.6</v>
      </c>
      <c r="AGN24" s="593">
        <f>'Proy 2021 vs 2019 Sem'!KC23*$AGP$4</f>
        <v>16203.406500000001</v>
      </c>
      <c r="AGO24" s="736">
        <v>15320.58</v>
      </c>
      <c r="AGP24" s="700">
        <f t="shared" si="877"/>
        <v>1.1325423578461811</v>
      </c>
      <c r="AGQ24" s="593">
        <v>25643.66</v>
      </c>
      <c r="AGR24" s="593">
        <f>'Proy 2021 vs 2019 Sem'!KC23*$AGT$4</f>
        <v>16203.406500000001</v>
      </c>
      <c r="AGS24" s="736">
        <v>15528.92</v>
      </c>
      <c r="AGT24" s="700">
        <f t="shared" si="878"/>
        <v>0.60556566418366176</v>
      </c>
      <c r="AGU24" s="593">
        <v>24550.34</v>
      </c>
      <c r="AGV24" s="593">
        <f>'Proy 2021 vs 2019 Sem'!KC23*$AGX$4</f>
        <v>16203.406500000001</v>
      </c>
      <c r="AGW24" s="736">
        <v>30900.400000000001</v>
      </c>
      <c r="AGX24" s="700">
        <f t="shared" si="879"/>
        <v>1.258654666289754</v>
      </c>
      <c r="AGY24" s="593">
        <v>26570.09</v>
      </c>
      <c r="AGZ24" s="593">
        <f>'Proy 2021 vs 2019 Sem'!KC23*$AHB$4</f>
        <v>18903.974250000003</v>
      </c>
      <c r="AHA24" s="736">
        <v>18057.02</v>
      </c>
      <c r="AHB24" s="700">
        <f t="shared" si="880"/>
        <v>0.67959950455568652</v>
      </c>
      <c r="AHC24" s="593">
        <v>27511.47</v>
      </c>
      <c r="AHD24" s="593">
        <f>'Proy 2021 vs 2019 Sem'!KC23*$AHF$4</f>
        <v>21604.542000000001</v>
      </c>
      <c r="AHE24" s="736">
        <v>25295.7</v>
      </c>
      <c r="AHF24" s="700">
        <f t="shared" si="881"/>
        <v>0.91946013789884729</v>
      </c>
      <c r="AHG24" s="593">
        <v>36206.44</v>
      </c>
      <c r="AHH24" s="593">
        <f>'Proy 2021 vs 2019 Sem'!KC23*$AHJ$4</f>
        <v>29706.245250000004</v>
      </c>
      <c r="AHI24" s="736">
        <v>34944.29</v>
      </c>
      <c r="AHJ24" s="700">
        <f t="shared" si="882"/>
        <v>0.96514017948188224</v>
      </c>
      <c r="AHK24" s="579">
        <f t="shared" si="883"/>
        <v>178596.03999999998</v>
      </c>
      <c r="AHL24" s="574">
        <f t="shared" si="884"/>
        <v>135028.38750000001</v>
      </c>
      <c r="AHM24" s="730">
        <f t="shared" si="885"/>
        <v>156979.68</v>
      </c>
      <c r="AHN24" s="711">
        <f t="shared" si="886"/>
        <v>0.87896506551881004</v>
      </c>
      <c r="AHO24" s="593">
        <v>24997.77</v>
      </c>
      <c r="AHP24" s="593">
        <f>'Proy 2021 vs 2019 Sem'!KH23*$AHR$4</f>
        <v>18064.541699999998</v>
      </c>
      <c r="AHQ24" s="736">
        <v>14588.45</v>
      </c>
      <c r="AHR24" s="700">
        <f t="shared" si="887"/>
        <v>0.58359005623301596</v>
      </c>
      <c r="AHS24" s="593">
        <v>23092.38</v>
      </c>
      <c r="AHT24" s="593">
        <f>'Proy 2021 vs 2019 Sem'!KH23*$AHV$4</f>
        <v>18064.541699999998</v>
      </c>
      <c r="AHU24" s="736">
        <v>19668.78</v>
      </c>
      <c r="AHV24" s="700">
        <f t="shared" si="888"/>
        <v>0.85174330233609519</v>
      </c>
      <c r="AHW24" s="593">
        <v>23411.59</v>
      </c>
      <c r="AHX24" s="593">
        <f>'Proy 2021 vs 2019 Sem'!KH23*$AHZ$4</f>
        <v>18064.541699999998</v>
      </c>
      <c r="AHY24" s="736">
        <v>23198.720000000001</v>
      </c>
      <c r="AHZ24" s="700">
        <f t="shared" si="889"/>
        <v>0.99090749496296493</v>
      </c>
      <c r="AIA24" s="593">
        <v>28911.88</v>
      </c>
      <c r="AIB24" s="593">
        <f>'Proy 2021 vs 2019 Sem'!KH23*$AID$4</f>
        <v>18064.541699999998</v>
      </c>
      <c r="AIC24" s="736">
        <v>29824.95</v>
      </c>
      <c r="AID24" s="700">
        <f t="shared" si="890"/>
        <v>1.0315811355055431</v>
      </c>
      <c r="AIE24" s="593">
        <v>31871.29</v>
      </c>
      <c r="AIF24" s="593">
        <f>'Proy 2021 vs 2019 Sem'!KH23*$AIH$4</f>
        <v>21075.298650000004</v>
      </c>
      <c r="AIG24" s="736">
        <v>34857.26</v>
      </c>
      <c r="AIH24" s="700">
        <f t="shared" si="891"/>
        <v>1.0936883947904212</v>
      </c>
      <c r="AII24" s="593">
        <v>30139.98</v>
      </c>
      <c r="AIJ24" s="593">
        <f>'Proy 2021 vs 2019 Sem'!KH23*$AIL$4</f>
        <v>24086.0556</v>
      </c>
      <c r="AIK24" s="736">
        <v>26106.9</v>
      </c>
      <c r="AIL24" s="700">
        <f t="shared" si="892"/>
        <v>0.86618836508849717</v>
      </c>
      <c r="AIM24" s="593">
        <v>38385.56</v>
      </c>
      <c r="AIN24" s="593">
        <f>'Proy 2021 vs 2019 Sem'!KH23*$AIP$4</f>
        <v>33118.32645</v>
      </c>
      <c r="AIO24" s="736">
        <v>47150.12</v>
      </c>
      <c r="AIP24" s="700">
        <f t="shared" si="893"/>
        <v>1.2283296114476383</v>
      </c>
      <c r="AIQ24" s="579">
        <f t="shared" si="894"/>
        <v>200810.45</v>
      </c>
      <c r="AIR24" s="574">
        <f t="shared" si="895"/>
        <v>150537.84749999997</v>
      </c>
      <c r="AIS24" s="730">
        <f t="shared" si="896"/>
        <v>195395.18</v>
      </c>
      <c r="AIT24" s="711">
        <f t="shared" si="897"/>
        <v>0.97303292732026636</v>
      </c>
      <c r="AIU24" s="593">
        <f>'Proy 2021 vs 2019 Sem'!KL23*$AIX$4</f>
        <v>25287.7464</v>
      </c>
      <c r="AIV24" s="593">
        <f>'Proy 2021 vs 2019 Sem'!KM23*$AIX$4</f>
        <v>32621.192856000001</v>
      </c>
      <c r="AIW24" s="736">
        <v>31288.91</v>
      </c>
      <c r="AIX24" s="700">
        <f t="shared" si="898"/>
        <v>1.2373150815843361</v>
      </c>
      <c r="AIY24" s="593">
        <f>'Proy 2021 vs 2019 Sem'!KL23*$AJB$4</f>
        <v>25287.7464</v>
      </c>
      <c r="AIZ24" s="593">
        <f>'Proy 2021 vs 2019 Sem'!KM23*$AJB$4</f>
        <v>32621.192856000001</v>
      </c>
      <c r="AJA24" s="736">
        <v>31199.52</v>
      </c>
      <c r="AJB24" s="700">
        <f t="shared" si="899"/>
        <v>1.2337801679314531</v>
      </c>
      <c r="AJC24" s="593">
        <f>'Proy 2021 vs 2019 Sem'!KL23*$AJF$4</f>
        <v>25287.7464</v>
      </c>
      <c r="AJD24" s="593">
        <f>'Proy 2021 vs 2019 Sem'!KM23*$AJF$4</f>
        <v>32621.192856000001</v>
      </c>
      <c r="AJE24" s="736">
        <v>38949.32</v>
      </c>
      <c r="AJF24" s="700">
        <f t="shared" si="900"/>
        <v>1.54024480410006</v>
      </c>
      <c r="AJG24" s="593">
        <f>'Proy 2021 vs 2019 Sem'!KL23*$AJJ$4</f>
        <v>25287.7464</v>
      </c>
      <c r="AJH24" s="593">
        <f>'Proy 2021 vs 2019 Sem'!KM23*$AJJ$4</f>
        <v>32621.192856000001</v>
      </c>
      <c r="AJI24" s="736">
        <v>49941.31</v>
      </c>
      <c r="AJJ24" s="700">
        <f t="shared" si="901"/>
        <v>1.9749213397679437</v>
      </c>
      <c r="AJK24" s="593">
        <f>'Proy 2021 vs 2019 Sem'!KL23*$AJN$4</f>
        <v>29502.370800000004</v>
      </c>
      <c r="AJL24" s="593">
        <f>'Proy 2021 vs 2019 Sem'!KM23*$AJN$4</f>
        <v>38058.058332000008</v>
      </c>
      <c r="AJM24" s="736">
        <v>73582.25</v>
      </c>
      <c r="AJN24" s="700">
        <f t="shared" si="902"/>
        <v>2.4941131171736202</v>
      </c>
      <c r="AJO24" s="593">
        <f>'Proy 2021 vs 2019 Sem'!KL23*$AJR$4</f>
        <v>33716.995199999998</v>
      </c>
      <c r="AJP24" s="593">
        <f>'Proy 2021 vs 2019 Sem'!KM23*$AJR$4</f>
        <v>43494.923808000007</v>
      </c>
      <c r="AJQ24" s="736">
        <v>72497</v>
      </c>
      <c r="AJR24" s="700">
        <f t="shared" si="903"/>
        <v>2.150161945629129</v>
      </c>
      <c r="AJS24" s="593">
        <f>'Proy 2021 vs 2019 Sem'!KL23*$AJV$4</f>
        <v>46360.868399999999</v>
      </c>
      <c r="AJT24" s="593">
        <f>'Proy 2021 vs 2019 Sem'!KM23*$AJV$4</f>
        <v>59805.520236000004</v>
      </c>
      <c r="AJU24" s="701">
        <v>0</v>
      </c>
      <c r="AJV24" s="700">
        <f t="shared" si="904"/>
        <v>0</v>
      </c>
      <c r="AJW24" s="579">
        <f t="shared" si="905"/>
        <v>210731.22</v>
      </c>
      <c r="AJX24" s="574">
        <f t="shared" si="906"/>
        <v>271843.27380000002</v>
      </c>
      <c r="AJY24" s="710">
        <f t="shared" si="907"/>
        <v>297458.31</v>
      </c>
      <c r="AJZ24" s="711">
        <f t="shared" si="908"/>
        <v>1.4115531149110228</v>
      </c>
      <c r="AKA24" s="593">
        <f>'Proy 2021 vs 2019 Sem'!KQ23*$AKD$4</f>
        <v>6858.3396000000002</v>
      </c>
      <c r="AKB24" s="593">
        <f>'Proy 2021 vs 2019 Sem'!KR23*$AKD$4</f>
        <v>6652.5894119999994</v>
      </c>
      <c r="AKC24" s="736">
        <v>5836.65</v>
      </c>
      <c r="AKD24" s="700">
        <f t="shared" si="909"/>
        <v>0.85102959905922415</v>
      </c>
      <c r="AKE24" s="593">
        <f>'Proy 2021 vs 2019 Sem'!KQ23*$AKH$4</f>
        <v>6858.3396000000002</v>
      </c>
      <c r="AKF24" s="593">
        <f>'Proy 2021 vs 2019 Sem'!KR23*$AKH$4</f>
        <v>6652.5894119999994</v>
      </c>
      <c r="AKG24" s="736">
        <v>10240.32</v>
      </c>
      <c r="AKH24" s="700">
        <f t="shared" si="910"/>
        <v>1.4931194133343877</v>
      </c>
      <c r="AKI24" s="593">
        <f>'Proy 2021 vs 2019 Sem'!KQ23*$AKL$4</f>
        <v>6858.3396000000002</v>
      </c>
      <c r="AKJ24" s="593">
        <f>'Proy 2021 vs 2019 Sem'!KR23*$AKL$4</f>
        <v>6652.5894119999994</v>
      </c>
      <c r="AKK24" s="736">
        <v>6929.31</v>
      </c>
      <c r="AKL24" s="700">
        <f t="shared" si="911"/>
        <v>1.0103480440076196</v>
      </c>
      <c r="AKM24" s="593">
        <f>'Proy 2021 vs 2019 Sem'!KQ23*$AKP$4</f>
        <v>6858.3396000000002</v>
      </c>
      <c r="AKN24" s="593">
        <f>'Proy 2021 vs 2019 Sem'!KR23*$AKP$4</f>
        <v>6652.5894119999994</v>
      </c>
      <c r="AKO24" s="736">
        <v>7520.89</v>
      </c>
      <c r="AKP24" s="700">
        <f t="shared" si="912"/>
        <v>1.09660507333291</v>
      </c>
      <c r="AKQ24" s="593">
        <f>'Proy 2021 vs 2019 Sem'!KQ23*$AKT$4</f>
        <v>8001.396200000001</v>
      </c>
      <c r="AKR24" s="593">
        <f>'Proy 2021 vs 2019 Sem'!KR23*$AKT$4</f>
        <v>7761.3543140000011</v>
      </c>
      <c r="AKS24" s="736">
        <v>13596.34</v>
      </c>
      <c r="AKT24" s="700">
        <f t="shared" si="913"/>
        <v>1.6992459391024779</v>
      </c>
      <c r="AKU24" s="593">
        <f>'Proy 2021 vs 2019 Sem'!KQ23*$AKX$4</f>
        <v>9144.4528000000009</v>
      </c>
      <c r="AKV24" s="593">
        <f>'Proy 2021 vs 2019 Sem'!KR23*$AKX$4</f>
        <v>8870.119216000001</v>
      </c>
      <c r="AKW24" s="736">
        <v>13973.97</v>
      </c>
      <c r="AKX24" s="700">
        <f t="shared" si="914"/>
        <v>1.528136270767344</v>
      </c>
      <c r="AKY24" s="593">
        <f>'Proy 2021 vs 2019 Sem'!KQ23*$ALB$4</f>
        <v>12573.622600000001</v>
      </c>
      <c r="AKZ24" s="593">
        <f>'Proy 2021 vs 2019 Sem'!KR23*$ALB$4</f>
        <v>12196.413922</v>
      </c>
      <c r="ALA24" s="701">
        <v>0</v>
      </c>
      <c r="ALB24" s="700">
        <f>ALA24/AKY24</f>
        <v>0</v>
      </c>
      <c r="ALC24" s="579">
        <f t="shared" si="915"/>
        <v>57152.83</v>
      </c>
      <c r="ALD24" s="574">
        <f t="shared" si="916"/>
        <v>55438.2451</v>
      </c>
      <c r="ALE24" s="710">
        <f t="shared" si="917"/>
        <v>58097.479999999996</v>
      </c>
      <c r="ALF24" s="711">
        <f t="shared" si="918"/>
        <v>1.016528490365219</v>
      </c>
    </row>
    <row r="25" spans="2:994" ht="19.5" customHeight="1">
      <c r="B25" s="571" t="s">
        <v>27</v>
      </c>
      <c r="C25" s="582">
        <f>'Proy 2021 vs 2019 Sem'!DX24*$F$4</f>
        <v>7825.9643999999998</v>
      </c>
      <c r="D25" s="584">
        <f>'Proy 2021 vs 2019 Sem'!$DY$24*F4</f>
        <v>11177.644479101507</v>
      </c>
      <c r="E25" s="737">
        <v>16451.490000000002</v>
      </c>
      <c r="F25" s="703">
        <f t="shared" si="580"/>
        <v>2.1021677532803498</v>
      </c>
      <c r="G25" s="582">
        <f>'Proy 2021 vs 2019 Sem'!DX24*$J$4</f>
        <v>7825.9643999999998</v>
      </c>
      <c r="H25" s="582">
        <f>'Proy 2021 vs 2019 Sem'!$DY$24*J4</f>
        <v>11177.644479101507</v>
      </c>
      <c r="I25" s="737">
        <v>14126.59</v>
      </c>
      <c r="J25" s="703">
        <f t="shared" si="581"/>
        <v>1.8050925455270408</v>
      </c>
      <c r="K25" s="582">
        <f>'Proy 2021 vs 2019 Sem'!DX24*'Vtas Diarias 2021'!$N$4</f>
        <v>7825.9643999999998</v>
      </c>
      <c r="L25" s="582">
        <f>'Proy 2021 vs 2019 Sem'!$DY$24*N4</f>
        <v>11177.644479101507</v>
      </c>
      <c r="M25" s="737">
        <v>16883.45</v>
      </c>
      <c r="N25" s="703">
        <f t="shared" si="582"/>
        <v>2.1573635065347347</v>
      </c>
      <c r="O25" s="582">
        <f>'Proy 2021 vs 2019 Sem'!DX24*$R$4</f>
        <v>7825.9643999999998</v>
      </c>
      <c r="P25" s="582">
        <f>'Proy 2021 vs 2019 Sem'!$DY$24*R4</f>
        <v>11177.644479101507</v>
      </c>
      <c r="Q25" s="737">
        <v>10503.35</v>
      </c>
      <c r="R25" s="703">
        <f t="shared" si="583"/>
        <v>1.3421157397547068</v>
      </c>
      <c r="S25" s="582">
        <f>'Proy 2021 vs 2019 Sem'!DX24*$V$4</f>
        <v>9130.2918000000009</v>
      </c>
      <c r="T25" s="582">
        <f>'Proy 2021 vs 2019 Sem'!$DY$24*V4</f>
        <v>13040.585225618428</v>
      </c>
      <c r="U25" s="737">
        <v>11411.7</v>
      </c>
      <c r="V25" s="703">
        <f t="shared" si="584"/>
        <v>1.2498724301451132</v>
      </c>
      <c r="W25" s="582">
        <f>'Proy 2021 vs 2019 Sem'!DX24*$Z$4</f>
        <v>10434.619200000001</v>
      </c>
      <c r="X25" s="582">
        <f>'Proy 2021 vs 2019 Sem'!$DY$24*Z4</f>
        <v>14903.525972135345</v>
      </c>
      <c r="Y25" s="737">
        <v>11572.05</v>
      </c>
      <c r="Z25" s="703">
        <f t="shared" si="585"/>
        <v>1.1090054920260048</v>
      </c>
      <c r="AA25" s="582">
        <f>'Proy 2021 vs 2019 Sem'!DX24*$AD$4</f>
        <v>14347.601400000001</v>
      </c>
      <c r="AB25" s="582">
        <f>'Proy 2021 vs 2019 Sem'!$DY$24*AD4</f>
        <v>20492.348211686098</v>
      </c>
      <c r="AC25" s="737">
        <v>23899.14</v>
      </c>
      <c r="AD25" s="703">
        <f t="shared" si="586"/>
        <v>1.6657237215971163</v>
      </c>
      <c r="AE25" s="585">
        <f t="shared" si="587"/>
        <v>65216.37</v>
      </c>
      <c r="AF25" s="582">
        <f t="shared" si="588"/>
        <v>93147.0373258459</v>
      </c>
      <c r="AG25" s="988">
        <f t="shared" si="589"/>
        <v>104847.77</v>
      </c>
      <c r="AH25" s="717">
        <f t="shared" si="590"/>
        <v>1.6076909831074622</v>
      </c>
      <c r="AI25" s="586">
        <f>'Proy 2021 vs 2019 Sem'!EC24*$AL$4</f>
        <v>9933.4079999999994</v>
      </c>
      <c r="AJ25" s="989">
        <f>'Proy 2021 vs 2019 Sem'!ED24*$AL$4</f>
        <v>13527.341183999999</v>
      </c>
      <c r="AK25" s="737">
        <v>15338.08</v>
      </c>
      <c r="AL25" s="703">
        <f t="shared" si="591"/>
        <v>1.5440904068372103</v>
      </c>
      <c r="AM25" s="586">
        <f>'Proy 2021 vs 2019 Sem'!EC24*$AP$4</f>
        <v>9933.4079999999994</v>
      </c>
      <c r="AN25" s="586">
        <f>'Proy 2021 vs 2019 Sem'!ED24*$AP$4</f>
        <v>13527.341183999999</v>
      </c>
      <c r="AO25" s="737">
        <v>9949.1200000000008</v>
      </c>
      <c r="AP25" s="703">
        <f t="shared" si="592"/>
        <v>1.0015817330769059</v>
      </c>
      <c r="AQ25" s="586">
        <f>'Proy 2021 vs 2019 Sem'!EC24*$AT$4</f>
        <v>9933.4079999999994</v>
      </c>
      <c r="AR25" s="586">
        <f>'Proy 2021 vs 2019 Sem'!ED24*$AT$4</f>
        <v>13527.341183999999</v>
      </c>
      <c r="AS25" s="737">
        <v>10561.52</v>
      </c>
      <c r="AT25" s="703">
        <f t="shared" si="593"/>
        <v>1.0632322763748354</v>
      </c>
      <c r="AU25" s="586">
        <f>'Proy 2021 vs 2019 Sem'!EC24*$AX$4</f>
        <v>9933.4079999999994</v>
      </c>
      <c r="AV25" s="586">
        <f>'Proy 2021 vs 2019 Sem'!ED24*$AX$4</f>
        <v>13527.341183999999</v>
      </c>
      <c r="AW25" s="737">
        <v>14031.42</v>
      </c>
      <c r="AX25" s="703">
        <f t="shared" si="594"/>
        <v>1.4125484425888879</v>
      </c>
      <c r="AY25" s="586">
        <f>'Proy 2021 vs 2019 Sem'!EC24*$BB$4</f>
        <v>11588.976000000001</v>
      </c>
      <c r="AZ25" s="586">
        <f>'Proy 2021 vs 2019 Sem'!ED24*$BB$4</f>
        <v>15781.898047999999</v>
      </c>
      <c r="BA25" s="737">
        <v>10608.73</v>
      </c>
      <c r="BB25" s="703">
        <f t="shared" si="595"/>
        <v>0.91541565018341564</v>
      </c>
      <c r="BC25" s="586">
        <f>'Proy 2021 vs 2019 Sem'!EC24*$BF$4</f>
        <v>13244.544</v>
      </c>
      <c r="BD25" s="586">
        <f>'Proy 2021 vs 2019 Sem'!ED24*$BF$4</f>
        <v>18036.454911999997</v>
      </c>
      <c r="BE25" s="737">
        <v>14738.81</v>
      </c>
      <c r="BF25" s="703">
        <f t="shared" si="596"/>
        <v>1.1128212492630927</v>
      </c>
      <c r="BG25" s="586">
        <f>'Proy 2021 vs 2019 Sem'!EC24*$BJ$4</f>
        <v>18211.248</v>
      </c>
      <c r="BH25" s="586">
        <f>'Proy 2021 vs 2019 Sem'!ED24*$BJ$4</f>
        <v>24800.125503999996</v>
      </c>
      <c r="BI25" s="737">
        <v>19298.47</v>
      </c>
      <c r="BJ25" s="703">
        <f t="shared" si="597"/>
        <v>1.0597005762592437</v>
      </c>
      <c r="BK25" s="585">
        <f t="shared" si="598"/>
        <v>82778.399999999994</v>
      </c>
      <c r="BL25" s="582">
        <f t="shared" si="599"/>
        <v>112727.84319999999</v>
      </c>
      <c r="BM25" s="733">
        <f t="shared" si="600"/>
        <v>94526.15</v>
      </c>
      <c r="BN25" s="717">
        <f t="shared" si="601"/>
        <v>1.1419180607501473</v>
      </c>
      <c r="BO25" s="586">
        <f>'Proy 2021 vs 2019 Sem'!EH24*$BR$4</f>
        <v>10656.273599999999</v>
      </c>
      <c r="BP25" s="586">
        <f>'Proy 2021 vs 2019 Sem'!EI24*$BR$4</f>
        <v>14036.679509999996</v>
      </c>
      <c r="BQ25" s="737">
        <v>27497.17</v>
      </c>
      <c r="BR25" s="703">
        <f t="shared" si="602"/>
        <v>2.5803738747848968</v>
      </c>
      <c r="BS25" s="586">
        <f>'Proy 2021 vs 2019 Sem'!EH24*$BV$4</f>
        <v>10656.273599999999</v>
      </c>
      <c r="BT25" s="586">
        <f>'Proy 2021 vs 2019 Sem'!EI24*$BV$4</f>
        <v>14036.679509999996</v>
      </c>
      <c r="BU25" s="737">
        <v>10361.950000000001</v>
      </c>
      <c r="BV25" s="703">
        <f t="shared" si="603"/>
        <v>0.97238025119775473</v>
      </c>
      <c r="BW25" s="586">
        <f>'Proy 2021 vs 2019 Sem'!EH24*$BZ$4</f>
        <v>10656.273599999999</v>
      </c>
      <c r="BX25" s="586">
        <f>'Proy 2021 vs 2019 Sem'!EI24*$BZ$4</f>
        <v>14036.679509999996</v>
      </c>
      <c r="BY25" s="737">
        <v>9135.81</v>
      </c>
      <c r="BZ25" s="703">
        <f t="shared" si="604"/>
        <v>0.85731751482056551</v>
      </c>
      <c r="CA25" s="586">
        <f>'Proy 2021 vs 2019 Sem'!EH24*$CD$4</f>
        <v>10656.273599999999</v>
      </c>
      <c r="CB25" s="586">
        <f>'Proy 2021 vs 2019 Sem'!EI24*$CD$4</f>
        <v>14036.679509999996</v>
      </c>
      <c r="CC25" s="737">
        <v>10871.74</v>
      </c>
      <c r="CD25" s="703">
        <f t="shared" si="605"/>
        <v>1.0202196760413511</v>
      </c>
      <c r="CE25" s="586">
        <f>'Proy 2021 vs 2019 Sem'!EH24*$CH$4</f>
        <v>12432.319200000002</v>
      </c>
      <c r="CF25" s="586">
        <f>'Proy 2021 vs 2019 Sem'!EI24*$CH$4</f>
        <v>16376.126095</v>
      </c>
      <c r="CG25" s="737">
        <v>14870.39</v>
      </c>
      <c r="CH25" s="703">
        <f t="shared" si="606"/>
        <v>1.1961074808954388</v>
      </c>
      <c r="CI25" s="586">
        <f>'Proy 2021 vs 2019 Sem'!EH24*$CL$4</f>
        <v>14208.364799999999</v>
      </c>
      <c r="CJ25" s="586">
        <f>'Proy 2021 vs 2019 Sem'!EI24*$CL$4</f>
        <v>18715.572679999997</v>
      </c>
      <c r="CK25" s="737">
        <v>26976.34</v>
      </c>
      <c r="CL25" s="703">
        <f t="shared" si="607"/>
        <v>1.8986238303791301</v>
      </c>
      <c r="CM25" s="586">
        <f>'Proy 2021 vs 2019 Sem'!EH24*$CP$4</f>
        <v>19536.5016</v>
      </c>
      <c r="CN25" s="586">
        <f>'Proy 2021 vs 2019 Sem'!EI24*$CP$4</f>
        <v>25733.912434999995</v>
      </c>
      <c r="CO25" s="737">
        <v>28402.46</v>
      </c>
      <c r="CP25" s="703">
        <f t="shared" si="608"/>
        <v>1.4538150474187252</v>
      </c>
      <c r="CQ25" s="585">
        <f t="shared" si="609"/>
        <v>88802.28</v>
      </c>
      <c r="CR25" s="582">
        <f t="shared" si="610"/>
        <v>116972.32924999998</v>
      </c>
      <c r="CS25" s="733">
        <f t="shared" si="611"/>
        <v>128115.85999999999</v>
      </c>
      <c r="CT25" s="717">
        <f t="shared" si="612"/>
        <v>1.4427091286394897</v>
      </c>
      <c r="CU25" s="586">
        <f>'Proy 2021 vs 2019 Sem'!EM24*$CX$4</f>
        <v>14030.039999999999</v>
      </c>
      <c r="CV25" s="586">
        <f>'Proy 2021 vs 2019 Sem'!EN24*$CX$4</f>
        <v>13978.574903999997</v>
      </c>
      <c r="CW25" s="737">
        <v>10869.63</v>
      </c>
      <c r="CX25" s="703">
        <f t="shared" si="613"/>
        <v>0.77473977265923688</v>
      </c>
      <c r="CY25" s="586">
        <f>'Proy 2021 vs 2019 Sem'!EM24*$DB$4</f>
        <v>14030.039999999999</v>
      </c>
      <c r="CZ25" s="586">
        <f>'Proy 2021 vs 2019 Sem'!EN24*$DB$4</f>
        <v>13978.574903999997</v>
      </c>
      <c r="DA25" s="737">
        <v>10562.62</v>
      </c>
      <c r="DB25" s="703">
        <f t="shared" si="614"/>
        <v>0.7528574401783602</v>
      </c>
      <c r="DC25" s="586">
        <f>'Proy 2021 vs 2019 Sem'!EM24*$DF$4</f>
        <v>14030.039999999999</v>
      </c>
      <c r="DD25" s="586">
        <f>'Proy 2021 vs 2019 Sem'!EN24*$DF$4</f>
        <v>13978.574903999997</v>
      </c>
      <c r="DE25" s="737">
        <v>7277.43</v>
      </c>
      <c r="DF25" s="703">
        <f t="shared" si="615"/>
        <v>0.51870343919190542</v>
      </c>
      <c r="DG25" s="586">
        <f>'Proy 2021 vs 2019 Sem'!EM24*$DJ$4</f>
        <v>14030.039999999999</v>
      </c>
      <c r="DH25" s="586">
        <f>'Proy 2021 vs 2019 Sem'!EN24*$DJ$4</f>
        <v>13978.574903999997</v>
      </c>
      <c r="DI25" s="737">
        <v>8575.98</v>
      </c>
      <c r="DJ25" s="703">
        <f t="shared" si="616"/>
        <v>0.61125841408862702</v>
      </c>
      <c r="DK25" s="586">
        <f>'Proy 2021 vs 2019 Sem'!EM24*$DN$4</f>
        <v>16368.380000000001</v>
      </c>
      <c r="DL25" s="586">
        <f>'Proy 2021 vs 2019 Sem'!EN24*$DN$4</f>
        <v>16308.337387999998</v>
      </c>
      <c r="DM25" s="737">
        <v>13497.89</v>
      </c>
      <c r="DN25" s="703">
        <f t="shared" si="617"/>
        <v>0.82463200390020264</v>
      </c>
      <c r="DO25" s="586">
        <f>'Proy 2021 vs 2019 Sem'!EM24*$DR$4</f>
        <v>18706.72</v>
      </c>
      <c r="DP25" s="586">
        <f>'Proy 2021 vs 2019 Sem'!EN24*$DR$4</f>
        <v>18638.099871999995</v>
      </c>
      <c r="DQ25" s="737">
        <v>29035.35</v>
      </c>
      <c r="DR25" s="703">
        <f t="shared" si="618"/>
        <v>1.5521347408845589</v>
      </c>
      <c r="DS25" s="586">
        <f>'Proy 2021 vs 2019 Sem'!EM24*$DV$4</f>
        <v>25721.74</v>
      </c>
      <c r="DT25" s="586">
        <f>'Proy 2021 vs 2019 Sem'!EN24*$DV$4</f>
        <v>25627.387323999996</v>
      </c>
      <c r="DU25" s="737">
        <v>24355.1</v>
      </c>
      <c r="DV25" s="703">
        <f t="shared" si="619"/>
        <v>0.94686829118092308</v>
      </c>
      <c r="DW25" s="585">
        <f t="shared" si="620"/>
        <v>116917</v>
      </c>
      <c r="DX25" s="582">
        <f t="shared" si="621"/>
        <v>116488.12419999998</v>
      </c>
      <c r="DY25" s="716">
        <f t="shared" si="622"/>
        <v>104174</v>
      </c>
      <c r="DZ25" s="717">
        <f t="shared" si="623"/>
        <v>0.89100815108153653</v>
      </c>
      <c r="EA25" s="586">
        <f>'Proy 2021 vs 2019 Sem'!ER24*$ED$4</f>
        <v>9374.6711999999989</v>
      </c>
      <c r="EB25" s="586">
        <f>'Proy 2021 vs 2019 Sem'!ES24*$ED$4</f>
        <v>12877.048547999999</v>
      </c>
      <c r="EC25" s="737">
        <v>10023.74</v>
      </c>
      <c r="ED25" s="703">
        <f t="shared" si="624"/>
        <v>1.0692364335935325</v>
      </c>
      <c r="EE25" s="586">
        <f>'Proy 2021 vs 2019 Sem'!ER24*$EH$4</f>
        <v>9374.6711999999989</v>
      </c>
      <c r="EF25" s="586">
        <f>'Proy 2021 vs 2019 Sem'!ES24*$EH$4</f>
        <v>12877.048547999999</v>
      </c>
      <c r="EG25" s="737">
        <v>10678.23</v>
      </c>
      <c r="EH25" s="703">
        <f t="shared" si="625"/>
        <v>1.1390511488018908</v>
      </c>
      <c r="EI25" s="586">
        <f>'Proy 2021 vs 2019 Sem'!ER24*$EL$4</f>
        <v>9374.6711999999989</v>
      </c>
      <c r="EJ25" s="586">
        <f>'Proy 2021 vs 2019 Sem'!ES24*$EL$4</f>
        <v>12877.048547999999</v>
      </c>
      <c r="EK25" s="737">
        <v>16148.49</v>
      </c>
      <c r="EL25" s="703">
        <f t="shared" si="626"/>
        <v>1.7225660138352374</v>
      </c>
      <c r="EM25" s="586">
        <f>'Proy 2021 vs 2019 Sem'!ER24*$EP$4</f>
        <v>9374.6711999999989</v>
      </c>
      <c r="EN25" s="586">
        <f>'Proy 2021 vs 2019 Sem'!ES24*$EP$4</f>
        <v>12877.048547999999</v>
      </c>
      <c r="EO25" s="737">
        <v>16906.96</v>
      </c>
      <c r="EP25" s="703">
        <f t="shared" si="627"/>
        <v>1.8034723180478054</v>
      </c>
      <c r="EQ25" s="586">
        <f>'Proy 2021 vs 2019 Sem'!ER24*$ET$4</f>
        <v>10937.116400000001</v>
      </c>
      <c r="ER25" s="586">
        <f>'Proy 2021 vs 2019 Sem'!ES24*$ET$4</f>
        <v>15023.223306</v>
      </c>
      <c r="ES25" s="737">
        <v>13480.53</v>
      </c>
      <c r="ET25" s="703">
        <f t="shared" si="628"/>
        <v>1.2325488279524939</v>
      </c>
      <c r="EU25" s="586">
        <f>'Proy 2021 vs 2019 Sem'!ER24*$EX$4</f>
        <v>12499.561599999999</v>
      </c>
      <c r="EV25" s="586">
        <f>'Proy 2021 vs 2019 Sem'!ES24*$EX$4</f>
        <v>17169.398064000001</v>
      </c>
      <c r="EW25" s="737">
        <v>16761.96</v>
      </c>
      <c r="EX25" s="703">
        <f t="shared" si="629"/>
        <v>1.341003831686385</v>
      </c>
      <c r="EY25" s="586">
        <f>'Proy 2021 vs 2019 Sem'!ER24*$FB$4</f>
        <v>17186.897199999999</v>
      </c>
      <c r="EZ25" s="586">
        <f>'Proy 2021 vs 2019 Sem'!ES24*$FB$4</f>
        <v>23607.922338</v>
      </c>
      <c r="FA25" s="702">
        <v>18538.849999999999</v>
      </c>
      <c r="FB25" s="703">
        <f t="shared" si="630"/>
        <v>1.0786618308277307</v>
      </c>
      <c r="FC25" s="585">
        <f t="shared" si="631"/>
        <v>78122.259999999995</v>
      </c>
      <c r="FD25" s="582">
        <f t="shared" si="632"/>
        <v>107308.73790000001</v>
      </c>
      <c r="FE25" s="716">
        <f t="shared" si="633"/>
        <v>102538.76000000001</v>
      </c>
      <c r="FF25" s="717">
        <f t="shared" si="634"/>
        <v>1.3125421614786876</v>
      </c>
      <c r="FG25" s="586">
        <f>'Proy 2021 vs 2019 Sem'!FA24*$FJ$4</f>
        <v>8205.5352000000003</v>
      </c>
      <c r="FH25" s="586">
        <f>'Proy 2021 vs 2019 Sem'!FB24*$FJ$4</f>
        <v>14386.10346</v>
      </c>
      <c r="FI25" s="737">
        <v>10929.62</v>
      </c>
      <c r="FJ25" s="703">
        <f t="shared" si="635"/>
        <v>1.3319813678941992</v>
      </c>
      <c r="FK25" s="586">
        <f>'Proy 2021 vs 2019 Sem'!FA24*$FN$4</f>
        <v>8205.5352000000003</v>
      </c>
      <c r="FL25" s="586">
        <f>'Proy 2021 vs 2019 Sem'!FB24*$FN$4</f>
        <v>14386.10346</v>
      </c>
      <c r="FM25" s="737">
        <v>17084.849999999999</v>
      </c>
      <c r="FN25" s="703">
        <f t="shared" si="636"/>
        <v>2.0821128157490567</v>
      </c>
      <c r="FO25" s="586">
        <f>'Proy 2021 vs 2019 Sem'!FA24*$FR$4</f>
        <v>8205.5352000000003</v>
      </c>
      <c r="FP25" s="586">
        <f>'Proy 2021 vs 2019 Sem'!FB24*$FR$4</f>
        <v>14386.10346</v>
      </c>
      <c r="FQ25" s="737">
        <v>12128.59</v>
      </c>
      <c r="FR25" s="703">
        <f t="shared" si="637"/>
        <v>1.4780985888647458</v>
      </c>
      <c r="FS25" s="586">
        <f>'Proy 2021 vs 2019 Sem'!FA24*$FV$4</f>
        <v>8205.5352000000003</v>
      </c>
      <c r="FT25" s="586">
        <f>'Proy 2021 vs 2019 Sem'!FB24*$FV$4</f>
        <v>14386.10346</v>
      </c>
      <c r="FU25" s="737">
        <v>14794.88</v>
      </c>
      <c r="FV25" s="703">
        <f t="shared" si="638"/>
        <v>1.8030365648787905</v>
      </c>
      <c r="FW25" s="586">
        <f>'Proy 2021 vs 2019 Sem'!FA24*$FZ$4</f>
        <v>9573.1244000000024</v>
      </c>
      <c r="FX25" s="586">
        <f>'Proy 2021 vs 2019 Sem'!FB24*$FZ$4</f>
        <v>16783.787370000002</v>
      </c>
      <c r="FY25" s="737">
        <v>20744.87</v>
      </c>
      <c r="FZ25" s="703">
        <f t="shared" si="639"/>
        <v>2.166990538637521</v>
      </c>
      <c r="GA25" s="586">
        <f>'Proy 2021 vs 2019 Sem'!FA24*$GD$4</f>
        <v>10940.713600000001</v>
      </c>
      <c r="GB25" s="586">
        <f>'Proy 2021 vs 2019 Sem'!FB24*$GD$4</f>
        <v>19181.471280000002</v>
      </c>
      <c r="GC25" s="737">
        <v>16561.28</v>
      </c>
      <c r="GD25" s="703">
        <f t="shared" si="640"/>
        <v>1.5137294152366805</v>
      </c>
      <c r="GE25" s="586">
        <f>'Proy 2021 vs 2019 Sem'!FA24*$GH$4</f>
        <v>15043.481200000002</v>
      </c>
      <c r="GF25" s="586">
        <f>'Proy 2021 vs 2019 Sem'!FB24*$GH$4</f>
        <v>26374.523010000001</v>
      </c>
      <c r="GG25" s="737">
        <v>23105.47</v>
      </c>
      <c r="GH25" s="703">
        <f t="shared" si="641"/>
        <v>1.5359124455847359</v>
      </c>
      <c r="GI25" s="585">
        <f t="shared" si="642"/>
        <v>68379.460000000006</v>
      </c>
      <c r="GJ25" s="582">
        <f t="shared" si="643"/>
        <v>119884.1955</v>
      </c>
      <c r="GK25" s="990">
        <f t="shared" si="644"/>
        <v>115349.56</v>
      </c>
      <c r="GL25" s="764">
        <f t="shared" si="645"/>
        <v>1.6869036403621787</v>
      </c>
      <c r="GM25" s="586">
        <f>'Proy 2021 vs 2019 Sem'!FF24*$GP$4</f>
        <v>9296.5967999999993</v>
      </c>
      <c r="GN25" s="586">
        <f>'Proy 2021 vs 2019 Sem'!FG24*$GP$4</f>
        <v>13005.2691576</v>
      </c>
      <c r="GO25" s="737">
        <v>14173.74</v>
      </c>
      <c r="GP25" s="703">
        <f t="shared" si="646"/>
        <v>1.5246159756008781</v>
      </c>
      <c r="GQ25" s="586">
        <f>'Proy 2021 vs 2019 Sem'!FF24*$GT$4</f>
        <v>9296.5967999999993</v>
      </c>
      <c r="GR25" s="586">
        <f>'Proy 2021 vs 2019 Sem'!FG24*$GT$4</f>
        <v>13005.2691576</v>
      </c>
      <c r="GS25" s="737">
        <v>13478.93</v>
      </c>
      <c r="GT25" s="703">
        <f t="shared" si="647"/>
        <v>1.4498778735891829</v>
      </c>
      <c r="GU25" s="586">
        <f>'Proy 2021 vs 2019 Sem'!FF24*$GX$4</f>
        <v>9296.5967999999993</v>
      </c>
      <c r="GV25" s="586">
        <f>'Proy 2021 vs 2019 Sem'!FG24*$GX$4</f>
        <v>13005.2691576</v>
      </c>
      <c r="GW25" s="737">
        <v>13468.08</v>
      </c>
      <c r="GX25" s="703">
        <f t="shared" si="648"/>
        <v>1.4487107798415009</v>
      </c>
      <c r="GY25" s="586">
        <f>'Proy 2021 vs 2019 Sem'!FF24*$HB$4</f>
        <v>9296.5967999999993</v>
      </c>
      <c r="GZ25" s="586">
        <f>'Proy 2021 vs 2019 Sem'!FG24*$HB$4</f>
        <v>13005.2691576</v>
      </c>
      <c r="HA25" s="737">
        <v>11590.26</v>
      </c>
      <c r="HB25" s="703">
        <f t="shared" si="649"/>
        <v>1.2467207354846239</v>
      </c>
      <c r="HC25" s="586">
        <f>'Proy 2021 vs 2019 Sem'!FF24*$HF$4</f>
        <v>10846.029600000002</v>
      </c>
      <c r="HD25" s="586">
        <f>'Proy 2021 vs 2019 Sem'!FG24*$HF$4</f>
        <v>15172.8140172</v>
      </c>
      <c r="HE25" s="737">
        <v>15452.62</v>
      </c>
      <c r="HF25" s="703">
        <f t="shared" si="650"/>
        <v>1.4247259660807121</v>
      </c>
      <c r="HG25" s="586">
        <f>'Proy 2021 vs 2019 Sem'!FF24*$HJ$4</f>
        <v>12395.4624</v>
      </c>
      <c r="HH25" s="586">
        <f>'Proy 2021 vs 2019 Sem'!FG24*$HJ$4</f>
        <v>17340.358876800001</v>
      </c>
      <c r="HI25" s="737">
        <v>18270.38</v>
      </c>
      <c r="HJ25" s="703">
        <f t="shared" si="651"/>
        <v>1.4739571151456199</v>
      </c>
      <c r="HK25" s="586">
        <f>'Proy 2021 vs 2019 Sem'!FF24*$HN$4</f>
        <v>17043.7608</v>
      </c>
      <c r="HL25" s="586">
        <f>'Proy 2021 vs 2019 Sem'!FG24*$HN$4</f>
        <v>23842.993455600001</v>
      </c>
      <c r="HM25" s="737">
        <v>24219.46</v>
      </c>
      <c r="HN25" s="703">
        <f t="shared" si="652"/>
        <v>1.4210161879296028</v>
      </c>
      <c r="HO25" s="585">
        <f t="shared" si="653"/>
        <v>77471.64</v>
      </c>
      <c r="HP25" s="582">
        <f t="shared" si="654"/>
        <v>108377.24298000001</v>
      </c>
      <c r="HQ25" s="768">
        <f t="shared" si="655"/>
        <v>110653.47</v>
      </c>
      <c r="HR25" s="764">
        <f t="shared" si="656"/>
        <v>1.4283093787610537</v>
      </c>
      <c r="HS25" s="586">
        <f>'Proy 2021 vs 2019 Sem'!FK24*$CX$4</f>
        <v>8676.3684000000012</v>
      </c>
      <c r="HT25" s="586">
        <f>'Proy 2021 vs 2019 Sem'!FL24*$CX$4</f>
        <v>14342.063613599999</v>
      </c>
      <c r="HU25" s="737">
        <v>12334.84</v>
      </c>
      <c r="HV25" s="703">
        <f t="shared" si="657"/>
        <v>1.4216593200445475</v>
      </c>
      <c r="HW25" s="586">
        <f>'Proy 2021 vs 2019 Sem'!FK24*$DB$4</f>
        <v>8676.3684000000012</v>
      </c>
      <c r="HX25" s="586">
        <f>'Proy 2021 vs 2019 Sem'!FL24*$DB$4</f>
        <v>14342.063613599999</v>
      </c>
      <c r="HY25" s="737">
        <v>11914.82</v>
      </c>
      <c r="HZ25" s="703">
        <f t="shared" si="658"/>
        <v>1.3732496651479205</v>
      </c>
      <c r="IA25" s="586">
        <f>'Proy 2021 vs 2019 Sem'!FK24*$DF$4</f>
        <v>8676.3684000000012</v>
      </c>
      <c r="IB25" s="586">
        <f>'Proy 2021 vs 2019 Sem'!FL24*$DF$4</f>
        <v>14342.063613599999</v>
      </c>
      <c r="IC25" s="737">
        <v>10867.65</v>
      </c>
      <c r="ID25" s="703">
        <f t="shared" si="659"/>
        <v>1.2525574640191623</v>
      </c>
      <c r="IE25" s="586">
        <f>'Proy 2021 vs 2019 Sem'!FK24*$DJ$4</f>
        <v>8676.3684000000012</v>
      </c>
      <c r="IF25" s="586">
        <f>'Proy 2021 vs 2019 Sem'!FL24*$DJ$4</f>
        <v>14342.063613599999</v>
      </c>
      <c r="IG25" s="737">
        <v>11579.35</v>
      </c>
      <c r="IH25" s="703">
        <f t="shared" si="660"/>
        <v>1.3345848707853389</v>
      </c>
      <c r="II25" s="586">
        <f>'Proy 2021 vs 2019 Sem'!FK24*$DN$4</f>
        <v>10122.429800000002</v>
      </c>
      <c r="IJ25" s="586">
        <f>'Proy 2021 vs 2019 Sem'!FL24*$DN$4</f>
        <v>16732.407549200001</v>
      </c>
      <c r="IK25" s="737">
        <v>14995.03</v>
      </c>
      <c r="IL25" s="703">
        <f t="shared" si="661"/>
        <v>1.4813666576378726</v>
      </c>
      <c r="IM25" s="586">
        <f>'Proy 2021 vs 2019 Sem'!FK24*$DR$4</f>
        <v>11568.491200000002</v>
      </c>
      <c r="IN25" s="586">
        <f>'Proy 2021 vs 2019 Sem'!FL24*$DR$4</f>
        <v>19122.751484799999</v>
      </c>
      <c r="IO25" s="1412">
        <v>13763.99</v>
      </c>
      <c r="IP25" s="703">
        <f t="shared" si="662"/>
        <v>1.1897826399349292</v>
      </c>
      <c r="IQ25" s="586">
        <f>'Proy 2021 vs 2019 Sem'!FK24*$IT$4</f>
        <v>15906.675400000002</v>
      </c>
      <c r="IR25" s="586">
        <f>'Proy 2021 vs 2019 Sem'!FL24*$IT$4</f>
        <v>26293.783291600001</v>
      </c>
      <c r="IS25" s="737">
        <v>21580.19</v>
      </c>
      <c r="IT25" s="703">
        <f t="shared" si="663"/>
        <v>1.3566750724038787</v>
      </c>
      <c r="IU25" s="585">
        <f t="shared" si="664"/>
        <v>72303.070000000022</v>
      </c>
      <c r="IV25" s="582">
        <f t="shared" si="665"/>
        <v>119517.19678</v>
      </c>
      <c r="IW25" s="768">
        <f t="shared" si="666"/>
        <v>97035.87</v>
      </c>
      <c r="IX25" s="764">
        <f t="shared" si="667"/>
        <v>1.3420712287873802</v>
      </c>
      <c r="IY25" s="586">
        <f>'Proy 2021 vs 2019 Sem'!FP24*$JB$4</f>
        <v>8691.8988000000008</v>
      </c>
      <c r="IZ25" s="586">
        <f>'Proy 2021 vs 2019 Sem'!FQ24*$JB$4</f>
        <v>15288.108962399998</v>
      </c>
      <c r="JA25" s="737">
        <v>12534.92</v>
      </c>
      <c r="JB25" s="703">
        <f t="shared" si="668"/>
        <v>1.4421382816836292</v>
      </c>
      <c r="JC25" s="586">
        <f>'Proy 2021 vs 2019 Sem'!FP24*$JF$4</f>
        <v>8691.8988000000008</v>
      </c>
      <c r="JD25" s="586">
        <f>'Proy 2021 vs 2019 Sem'!FQ24*$JF$4</f>
        <v>15288.108962399998</v>
      </c>
      <c r="JE25" s="737">
        <v>15790.22</v>
      </c>
      <c r="JF25" s="703">
        <f t="shared" si="669"/>
        <v>1.8166594392470374</v>
      </c>
      <c r="JG25" s="586">
        <f>'Proy 2021 vs 2019 Sem'!FP24*$JJ$4</f>
        <v>8691.8988000000008</v>
      </c>
      <c r="JH25" s="586">
        <f>'Proy 2021 vs 2019 Sem'!FQ24*$JJ$4</f>
        <v>15288.108962399998</v>
      </c>
      <c r="JI25" s="737">
        <v>10055.09</v>
      </c>
      <c r="JJ25" s="703">
        <f t="shared" si="670"/>
        <v>1.15683468380925</v>
      </c>
      <c r="JK25" s="586">
        <f>'Proy 2021 vs 2019 Sem'!FP24*$JN$4</f>
        <v>8691.8988000000008</v>
      </c>
      <c r="JL25" s="586">
        <f>'Proy 2021 vs 2019 Sem'!FQ24*$JN$4</f>
        <v>15288.108962399998</v>
      </c>
      <c r="JM25" s="737">
        <v>14704.58</v>
      </c>
      <c r="JN25" s="703">
        <f t="shared" si="671"/>
        <v>1.6917569265762733</v>
      </c>
      <c r="JO25" s="586">
        <f>'Proy 2021 vs 2019 Sem'!FP24*$JR$4</f>
        <v>10140.548600000002</v>
      </c>
      <c r="JP25" s="586">
        <f>'Proy 2021 vs 2019 Sem'!FQ24*$JR$4</f>
        <v>17836.127122800001</v>
      </c>
      <c r="JQ25" s="737">
        <v>10425.74</v>
      </c>
      <c r="JR25" s="703">
        <f t="shared" si="672"/>
        <v>1.0281238630422813</v>
      </c>
      <c r="JS25" s="586">
        <f>'Proy 2021 vs 2019 Sem'!FP24*$JV$4</f>
        <v>11589.198400000001</v>
      </c>
      <c r="JT25" s="586">
        <f>'Proy 2021 vs 2019 Sem'!FQ24*$JV$4</f>
        <v>20384.1452832</v>
      </c>
      <c r="JU25" s="737">
        <v>19148.060000000001</v>
      </c>
      <c r="JV25" s="703">
        <f t="shared" si="673"/>
        <v>1.6522333416951425</v>
      </c>
      <c r="JW25" s="586">
        <f>'Proy 2021 vs 2019 Sem'!FP24*$JZ$4</f>
        <v>15935.147800000001</v>
      </c>
      <c r="JX25" s="586">
        <f>'Proy 2021 vs 2019 Sem'!FQ24*$JZ$4</f>
        <v>28028.199764399997</v>
      </c>
      <c r="JY25" s="737">
        <v>19834.189999999999</v>
      </c>
      <c r="JZ25" s="703">
        <f t="shared" si="674"/>
        <v>1.2446818974594009</v>
      </c>
      <c r="KA25" s="585">
        <f t="shared" si="675"/>
        <v>72432.490000000005</v>
      </c>
      <c r="KB25" s="582">
        <f t="shared" si="676"/>
        <v>127400.90801999997</v>
      </c>
      <c r="KC25" s="773">
        <f t="shared" si="677"/>
        <v>102492.8</v>
      </c>
      <c r="KD25" s="764">
        <f t="shared" si="678"/>
        <v>1.4150114126961533</v>
      </c>
      <c r="KE25" s="586">
        <f>'Proy 2021 vs 2019 Sem'!FY24*$KH$4</f>
        <v>9710.2067999999999</v>
      </c>
      <c r="KF25" s="586">
        <f>'Proy 2021 vs 2019 Sem'!FZ24*$KH$4</f>
        <v>12410.831905199997</v>
      </c>
      <c r="KG25" s="737">
        <v>7589.01</v>
      </c>
      <c r="KH25" s="703">
        <f t="shared" si="679"/>
        <v>0.78154978120548368</v>
      </c>
      <c r="KI25" s="586">
        <f>'Proy 2021 vs 2019 Sem'!FY24*$KL$4</f>
        <v>9710.2067999999999</v>
      </c>
      <c r="KJ25" s="586">
        <f>'Proy 2021 vs 2019 Sem'!FZ24*$KL$4</f>
        <v>12410.831905199997</v>
      </c>
      <c r="KK25" s="737">
        <v>11150.4</v>
      </c>
      <c r="KL25" s="703">
        <f t="shared" si="680"/>
        <v>1.1483174591091099</v>
      </c>
      <c r="KM25" s="586">
        <f>'Proy 2021 vs 2019 Sem'!FY24*$KP$4</f>
        <v>9710.2067999999999</v>
      </c>
      <c r="KN25" s="586">
        <f>'Proy 2021 vs 2019 Sem'!FZ24*$KP$4</f>
        <v>12410.831905199997</v>
      </c>
      <c r="KO25" s="737">
        <v>13785.51</v>
      </c>
      <c r="KP25" s="703">
        <f t="shared" si="681"/>
        <v>1.4196927299220858</v>
      </c>
      <c r="KQ25" s="586">
        <f>'Proy 2021 vs 2019 Sem'!FY24*$KT$4</f>
        <v>9710.2067999999999</v>
      </c>
      <c r="KR25" s="586">
        <f>'Proy 2021 vs 2019 Sem'!FZ24*$KT$4</f>
        <v>12410.831905199997</v>
      </c>
      <c r="KS25" s="737">
        <v>9901.32</v>
      </c>
      <c r="KT25" s="703">
        <f t="shared" si="682"/>
        <v>1.019681681753678</v>
      </c>
      <c r="KU25" s="586">
        <f>'Proy 2021 vs 2019 Sem'!FY24*$KX$4</f>
        <v>11328.574600000002</v>
      </c>
      <c r="KV25" s="586">
        <f>'Proy 2021 vs 2019 Sem'!FZ24*$KX$4</f>
        <v>14479.3038894</v>
      </c>
      <c r="KW25" s="737">
        <v>13190.53</v>
      </c>
      <c r="KX25" s="703">
        <f t="shared" si="683"/>
        <v>1.164359194845219</v>
      </c>
      <c r="KY25" s="586">
        <f>'Proy 2021 vs 2019 Sem'!FY24*$LB$4</f>
        <v>12946.9424</v>
      </c>
      <c r="KZ25" s="586">
        <f>'Proy 2021 vs 2019 Sem'!FZ24*$LB$4</f>
        <v>16547.7758736</v>
      </c>
      <c r="LA25" s="737">
        <v>15834.58</v>
      </c>
      <c r="LB25" s="703">
        <f t="shared" si="684"/>
        <v>1.2230362591247799</v>
      </c>
      <c r="LC25" s="586">
        <f>'Proy 2021 vs 2019 Sem'!FY24*$LF$4</f>
        <v>17802.0458</v>
      </c>
      <c r="LD25" s="586">
        <f>'Proy 2021 vs 2019 Sem'!FZ24*$LF$4</f>
        <v>22753.191826199996</v>
      </c>
      <c r="LE25" s="737">
        <v>17317.79</v>
      </c>
      <c r="LF25" s="703">
        <f t="shared" si="685"/>
        <v>0.97279774440306188</v>
      </c>
      <c r="LG25" s="585">
        <f t="shared" si="686"/>
        <v>80918.39</v>
      </c>
      <c r="LH25" s="582">
        <f t="shared" si="687"/>
        <v>103423.59920999999</v>
      </c>
      <c r="LI25" s="991">
        <f t="shared" si="688"/>
        <v>88769.139999999985</v>
      </c>
      <c r="LJ25" s="792">
        <f t="shared" si="689"/>
        <v>1.0970205907458117</v>
      </c>
      <c r="LK25" s="586">
        <f>'Proy 2021 vs 2019 Sem'!GD24*$LN$4</f>
        <v>6684.3912</v>
      </c>
      <c r="LL25" s="586">
        <f>'Proy 2021 vs 2019 Sem'!GE24*$LN$4</f>
        <v>15102.240859799998</v>
      </c>
      <c r="LM25" s="737">
        <v>14631.69</v>
      </c>
      <c r="LN25" s="703">
        <f t="shared" si="690"/>
        <v>2.1889338254170405</v>
      </c>
      <c r="LO25" s="586">
        <f>'Proy 2021 vs 2019 Sem'!GD24*$LR$4</f>
        <v>6684.3912</v>
      </c>
      <c r="LP25" s="586">
        <f>'Proy 2021 vs 2019 Sem'!GE24*$LR$4</f>
        <v>15102.240859799998</v>
      </c>
      <c r="LQ25" s="737">
        <v>10603.49</v>
      </c>
      <c r="LR25" s="703">
        <f t="shared" si="691"/>
        <v>1.5863060199109831</v>
      </c>
      <c r="LS25" s="586">
        <f>'Proy 2021 vs 2019 Sem'!GD24*$LV$4</f>
        <v>6684.3912</v>
      </c>
      <c r="LT25" s="586">
        <f>'Proy 2021 vs 2019 Sem'!GE24*$LV$4</f>
        <v>15102.240859799998</v>
      </c>
      <c r="LU25" s="737">
        <v>11054.28</v>
      </c>
      <c r="LV25" s="703">
        <f t="shared" si="692"/>
        <v>1.6537452206567445</v>
      </c>
      <c r="LW25" s="586">
        <f>'Proy 2021 vs 2019 Sem'!GD24*$LZ$4</f>
        <v>6684.3912</v>
      </c>
      <c r="LX25" s="586">
        <f>'Proy 2021 vs 2019 Sem'!GE24*$LZ$4</f>
        <v>15102.240859799998</v>
      </c>
      <c r="LY25" s="737">
        <v>13358.07</v>
      </c>
      <c r="LZ25" s="703">
        <f t="shared" si="693"/>
        <v>1.9983974007984451</v>
      </c>
      <c r="MA25" s="586">
        <f>'Proy 2021 vs 2019 Sem'!GD24*$MD$4</f>
        <v>7798.4564000000009</v>
      </c>
      <c r="MB25" s="586">
        <f>'Proy 2021 vs 2019 Sem'!GE24*$MD$4</f>
        <v>17619.281003100001</v>
      </c>
      <c r="MC25" s="737">
        <v>12316.12</v>
      </c>
      <c r="MD25" s="703">
        <f t="shared" si="694"/>
        <v>1.5793022834621475</v>
      </c>
      <c r="ME25" s="586">
        <f>'Proy 2021 vs 2019 Sem'!GD24*$MH$4</f>
        <v>8912.5216</v>
      </c>
      <c r="MF25" s="586">
        <f>'Proy 2021 vs 2019 Sem'!GE24*$MH$4</f>
        <v>20136.321146399998</v>
      </c>
      <c r="MG25" s="737">
        <v>20965.509999999998</v>
      </c>
      <c r="MH25" s="703">
        <f t="shared" si="695"/>
        <v>2.3523656873942387</v>
      </c>
      <c r="MI25" s="586">
        <f>'Proy 2021 vs 2019 Sem'!GD24*$ML$4</f>
        <v>12254.717200000001</v>
      </c>
      <c r="MJ25" s="586">
        <f>'Proy 2021 vs 2019 Sem'!GE24*$ML$4</f>
        <v>27687.441576299996</v>
      </c>
      <c r="MK25" s="737">
        <v>21209.84</v>
      </c>
      <c r="ML25" s="703">
        <f t="shared" si="696"/>
        <v>1.7307490376032504</v>
      </c>
      <c r="MM25" s="585">
        <f t="shared" si="697"/>
        <v>55703.26</v>
      </c>
      <c r="MN25" s="582">
        <f t="shared" si="698"/>
        <v>125852.007165</v>
      </c>
      <c r="MO25" s="797">
        <f t="shared" si="699"/>
        <v>104139</v>
      </c>
      <c r="MP25" s="792">
        <f t="shared" si="700"/>
        <v>1.8695315139544795</v>
      </c>
      <c r="MQ25" s="586">
        <f>'Proy 2021 vs 2019 Sem'!GI24*$MT$4</f>
        <v>7537.3692000000001</v>
      </c>
      <c r="MR25" s="586">
        <f>'Proy 2021 vs 2019 Sem'!GJ24*$MT$4</f>
        <v>14943.940592999999</v>
      </c>
      <c r="MS25" s="737">
        <v>12765.96</v>
      </c>
      <c r="MT25" s="703">
        <f t="shared" si="701"/>
        <v>1.6936890924753956</v>
      </c>
      <c r="MU25" s="586">
        <f>'Proy 2021 vs 2019 Sem'!GI24*$MX$4</f>
        <v>7537.3692000000001</v>
      </c>
      <c r="MV25" s="586">
        <f>'Proy 2021 vs 2019 Sem'!GJ24*$MX$4</f>
        <v>14943.940592999999</v>
      </c>
      <c r="MW25" s="737">
        <v>12366.42</v>
      </c>
      <c r="MX25" s="703">
        <f t="shared" si="702"/>
        <v>1.6406812074430426</v>
      </c>
      <c r="MY25" s="586">
        <f>'Proy 2021 vs 2019 Sem'!GI24*$NB$4</f>
        <v>7537.3692000000001</v>
      </c>
      <c r="MZ25" s="586">
        <f>'Proy 2021 vs 2019 Sem'!GJ24*$NB$4</f>
        <v>14943.940592999999</v>
      </c>
      <c r="NA25" s="737">
        <v>10461.52</v>
      </c>
      <c r="NB25" s="703">
        <f t="shared" si="703"/>
        <v>1.3879537703951135</v>
      </c>
      <c r="NC25" s="586">
        <f>'Proy 2021 vs 2019 Sem'!GI24*$NF$4</f>
        <v>7537.3692000000001</v>
      </c>
      <c r="ND25" s="586">
        <f>'Proy 2021 vs 2019 Sem'!GJ24*$NF$4</f>
        <v>14943.940592999999</v>
      </c>
      <c r="NE25" s="737">
        <v>18676.77</v>
      </c>
      <c r="NF25" s="703">
        <f t="shared" si="704"/>
        <v>2.4778897655696634</v>
      </c>
      <c r="NG25" s="586">
        <f>'Proy 2021 vs 2019 Sem'!GI24*$NJ$4</f>
        <v>8793.5974000000006</v>
      </c>
      <c r="NH25" s="586">
        <f>'Proy 2021 vs 2019 Sem'!GJ24*$NJ$4</f>
        <v>17434.597358500003</v>
      </c>
      <c r="NI25" s="737">
        <v>11586.3</v>
      </c>
      <c r="NJ25" s="703">
        <f t="shared" si="705"/>
        <v>1.3175836319274747</v>
      </c>
      <c r="NK25" s="586">
        <f>'Proy 2021 vs 2019 Sem'!GI24*$NN$4</f>
        <v>10049.8256</v>
      </c>
      <c r="NL25" s="586">
        <f>'Proy 2021 vs 2019 Sem'!GJ24*$NN$4</f>
        <v>19925.254123999999</v>
      </c>
      <c r="NM25" s="737">
        <v>11612.94</v>
      </c>
      <c r="NN25" s="703">
        <f t="shared" si="706"/>
        <v>1.1555364702050153</v>
      </c>
      <c r="NO25" s="586">
        <f>'Proy 2021 vs 2019 Sem'!GI24*$NR$4</f>
        <v>13818.510200000001</v>
      </c>
      <c r="NP25" s="586">
        <f>'Proy 2021 vs 2019 Sem'!GJ24*$NR$4</f>
        <v>27397.224420499999</v>
      </c>
      <c r="NQ25" s="737">
        <v>24430.82</v>
      </c>
      <c r="NR25" s="703">
        <f t="shared" si="707"/>
        <v>1.767977853357882</v>
      </c>
      <c r="NS25" s="585">
        <f t="shared" si="708"/>
        <v>62811.41</v>
      </c>
      <c r="NT25" s="582">
        <f t="shared" si="709"/>
        <v>124532.838275</v>
      </c>
      <c r="NU25" s="797">
        <f t="shared" si="710"/>
        <v>101900.73000000001</v>
      </c>
      <c r="NV25" s="792">
        <f t="shared" si="711"/>
        <v>1.6223283317473689</v>
      </c>
      <c r="NW25" s="586">
        <f>'Proy 2021 vs 2019 Sem'!GN24*$NZ$4</f>
        <v>5873.3039999999992</v>
      </c>
      <c r="NX25" s="586">
        <f>'Proy 2021 vs 2019 Sem'!GO24*$NZ$4</f>
        <v>13018.191456</v>
      </c>
      <c r="NY25" s="737">
        <v>11656.57</v>
      </c>
      <c r="NZ25" s="1483">
        <f t="shared" si="712"/>
        <v>1.9846699574890048</v>
      </c>
      <c r="OA25" s="586">
        <f>'Proy 2021 vs 2019 Sem'!GN24*$OD$4</f>
        <v>5873.3039999999992</v>
      </c>
      <c r="OB25" s="586">
        <f>'Proy 2021 vs 2019 Sem'!GO24*$OD$4</f>
        <v>13018.191456</v>
      </c>
      <c r="OC25" s="737">
        <v>10610.39</v>
      </c>
      <c r="OD25" s="703">
        <f t="shared" si="713"/>
        <v>1.8065453448348665</v>
      </c>
      <c r="OE25" s="586">
        <f>'Proy 2021 vs 2019 Sem'!GN24*$OH$4</f>
        <v>5873.3039999999992</v>
      </c>
      <c r="OF25" s="586">
        <f>'Proy 2021 vs 2019 Sem'!GO24*$OH$4</f>
        <v>13018.191456</v>
      </c>
      <c r="OG25" s="737">
        <v>10211.219999999999</v>
      </c>
      <c r="OH25" s="703">
        <f t="shared" si="714"/>
        <v>1.7385818953011798</v>
      </c>
      <c r="OI25" s="586">
        <f>'Proy 2021 vs 2019 Sem'!GN24*$OL$4</f>
        <v>5873.3039999999992</v>
      </c>
      <c r="OJ25" s="586">
        <f>'Proy 2021 vs 2019 Sem'!GO24*$OL$4</f>
        <v>13018.191456</v>
      </c>
      <c r="OK25" s="737">
        <v>14117.07</v>
      </c>
      <c r="OL25" s="703">
        <f t="shared" si="715"/>
        <v>2.4035994050367564</v>
      </c>
      <c r="OM25" s="586">
        <f>'Proy 2021 vs 2019 Sem'!GN24*$OP$4</f>
        <v>6852.1880000000001</v>
      </c>
      <c r="ON25" s="586">
        <f>'Proy 2021 vs 2019 Sem'!GO24*$OP$4</f>
        <v>15187.890032000003</v>
      </c>
      <c r="OO25" s="737">
        <v>12377.27</v>
      </c>
      <c r="OP25" s="703">
        <f t="shared" si="716"/>
        <v>1.8063237611110494</v>
      </c>
      <c r="OQ25" s="586">
        <f>'Proy 2021 vs 2019 Sem'!GN24*$JV$4</f>
        <v>7831.0720000000001</v>
      </c>
      <c r="OR25" s="586">
        <f>'Proy 2021 vs 2019 Sem'!GO24*$JV$4</f>
        <v>17357.588608000002</v>
      </c>
      <c r="OS25" s="737">
        <v>24611.06</v>
      </c>
      <c r="OT25" s="703">
        <f t="shared" si="717"/>
        <v>3.1427446970223234</v>
      </c>
      <c r="OU25" s="586">
        <f>'Proy 2021 vs 2019 Sem'!GN24*$OX$4</f>
        <v>10767.724</v>
      </c>
      <c r="OV25" s="586">
        <f>'Proy 2021 vs 2019 Sem'!GO24*$OX$4</f>
        <v>23866.684336000002</v>
      </c>
      <c r="OW25" s="737">
        <v>35006.519999999997</v>
      </c>
      <c r="OX25" s="703">
        <f t="shared" si="718"/>
        <v>3.2510602983508861</v>
      </c>
      <c r="OY25" s="585">
        <f t="shared" si="719"/>
        <v>48944.2</v>
      </c>
      <c r="OZ25" s="582">
        <f t="shared" si="720"/>
        <v>108484.92880000001</v>
      </c>
      <c r="PA25" s="791">
        <f t="shared" si="721"/>
        <v>118590.1</v>
      </c>
      <c r="PB25" s="792">
        <f t="shared" si="722"/>
        <v>2.4229653360357308</v>
      </c>
      <c r="PC25" s="586">
        <f>'Proy 2021 vs 2019 Sem'!GW24*$PF$4</f>
        <v>7006.08</v>
      </c>
      <c r="PD25" s="586">
        <f>'Proy 2021 vs 2019 Sem'!GX24*$PF$4</f>
        <v>13446.717119999999</v>
      </c>
      <c r="PE25" s="737">
        <v>38397.14</v>
      </c>
      <c r="PF25" s="703">
        <f t="shared" si="723"/>
        <v>5.4805454690782867</v>
      </c>
      <c r="PG25" s="586">
        <f>'Proy 2021 vs 2019 Sem'!GW24*$PJ$4</f>
        <v>7006.08</v>
      </c>
      <c r="PH25" s="586">
        <f>'Proy 2021 vs 2019 Sem'!GX24*$PJ$4</f>
        <v>13446.717119999999</v>
      </c>
      <c r="PI25" s="737">
        <v>20528.53</v>
      </c>
      <c r="PJ25" s="703">
        <f t="shared" si="724"/>
        <v>2.9301021398556681</v>
      </c>
      <c r="PK25" s="586">
        <f>'Proy 2021 vs 2019 Sem'!GW24*'Vtas Diarias 2021'!$PN$4</f>
        <v>7006.08</v>
      </c>
      <c r="PL25" s="586">
        <f>'Proy 2021 vs 2019 Sem'!GX24*'Vtas Diarias 2021'!$PN$4</f>
        <v>13446.717119999999</v>
      </c>
      <c r="PM25" s="737">
        <v>15395.6</v>
      </c>
      <c r="PN25" s="703">
        <f t="shared" si="725"/>
        <v>2.1974627751895497</v>
      </c>
      <c r="PO25" s="586">
        <f>'Proy 2021 vs 2019 Sem'!GW24*$PR$4</f>
        <v>7006.08</v>
      </c>
      <c r="PP25" s="586">
        <f>'Proy 2021 vs 2019 Sem'!GX24*$PR$4</f>
        <v>13446.717119999999</v>
      </c>
      <c r="PQ25" s="737">
        <v>11327.87</v>
      </c>
      <c r="PR25" s="703">
        <f t="shared" si="726"/>
        <v>1.616862782040742</v>
      </c>
      <c r="PS25" s="586">
        <f>'Proy 2021 vs 2019 Sem'!GW24*$PV$4</f>
        <v>8173.7600000000011</v>
      </c>
      <c r="PT25" s="586">
        <f>'Proy 2021 vs 2019 Sem'!GX24*$PV$4</f>
        <v>15687.836640000001</v>
      </c>
      <c r="PU25" s="737">
        <v>15581.41</v>
      </c>
      <c r="PV25" s="703">
        <f t="shared" si="727"/>
        <v>1.9062720216889164</v>
      </c>
      <c r="PW25" s="586">
        <f>'Proy 2021 vs 2019 Sem'!GW24*PZ$4</f>
        <v>9341.44</v>
      </c>
      <c r="PX25" s="586">
        <f>'Proy 2021 vs 2019 Sem'!GX24*$PZ$4</f>
        <v>17928.956159999998</v>
      </c>
      <c r="PY25" s="737">
        <v>17078.419999999998</v>
      </c>
      <c r="PZ25" s="703">
        <f t="shared" si="728"/>
        <v>1.8282427548643461</v>
      </c>
      <c r="QA25" s="586">
        <f>'Proy 2021 vs 2019 Sem'!GW24*$QD$4</f>
        <v>12844.48</v>
      </c>
      <c r="QB25" s="586">
        <f>'Proy 2021 vs 2019 Sem'!GX24*$QD$4</f>
        <v>24652.314719999998</v>
      </c>
      <c r="QC25" s="737">
        <v>26764.67</v>
      </c>
      <c r="QD25" s="703">
        <f t="shared" si="729"/>
        <v>2.0837488166122724</v>
      </c>
      <c r="QE25" s="585">
        <f t="shared" si="730"/>
        <v>58384</v>
      </c>
      <c r="QF25" s="582">
        <f t="shared" si="731"/>
        <v>112055.976</v>
      </c>
      <c r="QG25" s="988">
        <f t="shared" si="732"/>
        <v>145073.64000000001</v>
      </c>
      <c r="QH25" s="717">
        <f t="shared" si="733"/>
        <v>2.4848184434091536</v>
      </c>
      <c r="QI25" s="578">
        <f>'Proy 2021 vs 2019 Sem'!HB24*$QL$4</f>
        <v>6158.1623999999993</v>
      </c>
      <c r="QJ25" s="989">
        <f>'Proy 2021 vs 2019 Sem'!UG24*$AL$4</f>
        <v>0</v>
      </c>
      <c r="QK25" s="737">
        <v>13864.49</v>
      </c>
      <c r="QL25" s="703">
        <f t="shared" si="734"/>
        <v>2.2514005151926493</v>
      </c>
      <c r="QM25" s="586">
        <f>'Proy 2021 vs 2019 Sem'!HB24*$QP$4</f>
        <v>6158.1623999999993</v>
      </c>
      <c r="QN25" s="586">
        <f>'Proy 2021 vs 2019 Sem'!UG24*$AP$4</f>
        <v>0</v>
      </c>
      <c r="QO25" s="737">
        <v>9476.11</v>
      </c>
      <c r="QP25" s="703">
        <f t="shared" si="735"/>
        <v>1.538788584075016</v>
      </c>
      <c r="QQ25" s="586">
        <f>'Proy 2021 vs 2019 Sem'!HB24*$QT$4</f>
        <v>6158.1623999999993</v>
      </c>
      <c r="QR25" s="586">
        <f>'Proy 2021 vs 2019 Sem'!HC24*$QT$4</f>
        <v>12308.214642000001</v>
      </c>
      <c r="QS25" s="737">
        <v>7816.96</v>
      </c>
      <c r="QT25" s="703">
        <f t="shared" si="736"/>
        <v>1.2693656796059813</v>
      </c>
      <c r="QU25" s="586">
        <f>'Proy 2021 vs 2019 Sem'!HB24*$QX$4</f>
        <v>6158.1623999999993</v>
      </c>
      <c r="QV25" s="586">
        <f>'Proy 2021 vs 2019 Sem'!HC24*$QX$4</f>
        <v>12308.214642000001</v>
      </c>
      <c r="QW25" s="737">
        <v>10412.33</v>
      </c>
      <c r="QX25" s="703">
        <f t="shared" si="737"/>
        <v>1.6908177023717337</v>
      </c>
      <c r="QY25" s="586">
        <f>'Proy 2021 vs 2019 Sem'!HB24*$RB$4</f>
        <v>7184.5228000000006</v>
      </c>
      <c r="QZ25" s="586">
        <f>'Proy 2021 vs 2019 Sem'!HC24*$RB$4</f>
        <v>14359.583749000001</v>
      </c>
      <c r="RA25" s="737">
        <v>9494.66</v>
      </c>
      <c r="RB25" s="703">
        <f t="shared" si="738"/>
        <v>1.3215435825466375</v>
      </c>
      <c r="RC25" s="586">
        <f>'Proy 2021 vs 2019 Sem'!HB24*$RF$4</f>
        <v>8210.8832000000002</v>
      </c>
      <c r="RD25" s="586">
        <f>'Proy 2021 vs 2019 Sem'!HC24*$RF$4</f>
        <v>16410.952856</v>
      </c>
      <c r="RE25" s="737">
        <v>12452.05</v>
      </c>
      <c r="RF25" s="703">
        <f t="shared" si="739"/>
        <v>1.5165299148330351</v>
      </c>
      <c r="RG25" s="586">
        <f>'Proy 2021 vs 2019 Sem'!HB24*$RJ$4</f>
        <v>11289.964399999999</v>
      </c>
      <c r="RH25" s="586">
        <f>'Proy 2021 vs 2019 Sem'!HC24*$RJ$4</f>
        <v>22565.060176999999</v>
      </c>
      <c r="RI25" s="737">
        <v>19689.45</v>
      </c>
      <c r="RJ25" s="703">
        <f t="shared" si="740"/>
        <v>1.7439780412416537</v>
      </c>
      <c r="RK25" s="585">
        <f t="shared" si="741"/>
        <v>51318.01999999999</v>
      </c>
      <c r="RL25" s="582">
        <f t="shared" si="742"/>
        <v>77952.026065999991</v>
      </c>
      <c r="RM25" s="733">
        <f t="shared" si="743"/>
        <v>83206.05</v>
      </c>
      <c r="RN25" s="717">
        <f t="shared" si="744"/>
        <v>1.6213807547524246</v>
      </c>
      <c r="RO25" s="586">
        <f>'Proy 2021 vs 2019 Sem'!HG24*$RR$4</f>
        <v>6600</v>
      </c>
      <c r="RP25" s="586">
        <f>'Proy 2021 vs 2019 Sem'!HH24*$RR$4</f>
        <v>11396.926547999999</v>
      </c>
      <c r="RQ25" s="737">
        <v>10620.48</v>
      </c>
      <c r="RR25" s="703">
        <f t="shared" si="745"/>
        <v>1.6091636363636364</v>
      </c>
      <c r="RS25" s="586">
        <f>'Proy 2021 vs 2019 Sem'!HG24*$RV$4</f>
        <v>6600</v>
      </c>
      <c r="RT25" s="586">
        <f>'Proy 2021 vs 2019 Sem'!HH24*$RV$4</f>
        <v>11396.926547999999</v>
      </c>
      <c r="RU25" s="737">
        <v>9850.65</v>
      </c>
      <c r="RV25" s="703">
        <f t="shared" si="746"/>
        <v>1.4925227272727273</v>
      </c>
      <c r="RW25" s="586">
        <f>'Proy 2021 vs 2019 Sem'!HG24*$RZ$4</f>
        <v>6600</v>
      </c>
      <c r="RX25" s="586">
        <f>'Proy 2021 vs 2019 Sem'!HH24*$RZ$4</f>
        <v>11396.926547999999</v>
      </c>
      <c r="RY25" s="737">
        <v>10245.01</v>
      </c>
      <c r="RZ25" s="703">
        <f t="shared" si="747"/>
        <v>1.5522742424242424</v>
      </c>
      <c r="SA25" s="586">
        <f>'Proy 2021 vs 2019 Sem'!HG24*$SD$4</f>
        <v>6600</v>
      </c>
      <c r="SB25" s="586">
        <f>'Proy 2021 vs 2019 Sem'!HH24*$SD$4</f>
        <v>11396.926547999999</v>
      </c>
      <c r="SC25" s="737">
        <v>11152.93</v>
      </c>
      <c r="SD25" s="703">
        <f t="shared" si="748"/>
        <v>1.6898378787878787</v>
      </c>
      <c r="SE25" s="586">
        <f>'Proy 2021 vs 2019 Sem'!HG24*$SH$4</f>
        <v>7700.0000000000009</v>
      </c>
      <c r="SF25" s="586">
        <f>'Proy 2021 vs 2019 Sem'!HH24*$SH$4</f>
        <v>13296.414306000001</v>
      </c>
      <c r="SG25" s="737">
        <v>16880.46</v>
      </c>
      <c r="SH25" s="703">
        <f t="shared" si="749"/>
        <v>2.192267532467532</v>
      </c>
      <c r="SI25" s="586">
        <f>'Proy 2021 vs 2019 Sem'!HG24*$SL$4</f>
        <v>8800</v>
      </c>
      <c r="SJ25" s="586">
        <f>'Proy 2021 vs 2019 Sem'!HH24*$SL$4</f>
        <v>15195.902064</v>
      </c>
      <c r="SK25" s="737">
        <v>11995.01</v>
      </c>
      <c r="SL25" s="703">
        <f t="shared" si="750"/>
        <v>1.3630693181818183</v>
      </c>
      <c r="SM25" s="586">
        <f>'Proy 2021 vs 2019 Sem'!HG24*$SP$4</f>
        <v>12100</v>
      </c>
      <c r="SN25" s="586">
        <f>'Proy 2021 vs 2019 Sem'!HH24*$SP$4</f>
        <v>20894.365338</v>
      </c>
      <c r="SO25" s="737">
        <v>16035.28</v>
      </c>
      <c r="SP25" s="703">
        <f t="shared" si="751"/>
        <v>1.3252297520661158</v>
      </c>
      <c r="SQ25" s="585">
        <f t="shared" si="752"/>
        <v>55000</v>
      </c>
      <c r="SR25" s="582">
        <f t="shared" si="753"/>
        <v>94974.387900000002</v>
      </c>
      <c r="SS25" s="733">
        <f t="shared" si="754"/>
        <v>86779.819999999992</v>
      </c>
      <c r="ST25" s="717">
        <f t="shared" si="755"/>
        <v>1.577814909090909</v>
      </c>
      <c r="SU25" s="586">
        <f>'Proy 2021 vs 2019 Sem'!HL24*$SX$4</f>
        <v>5543.6435999999994</v>
      </c>
      <c r="SV25" s="586">
        <f>'Proy 2021 vs 2019 Sem'!HM24*$SX$4</f>
        <v>11289.532063799998</v>
      </c>
      <c r="SW25" s="737">
        <v>6613.84</v>
      </c>
      <c r="SX25" s="703">
        <f t="shared" si="756"/>
        <v>1.1930492789976614</v>
      </c>
      <c r="SY25" s="586">
        <f>'Proy 2021 vs 2019 Sem'!HL24*$TB$4</f>
        <v>5543.6435999999994</v>
      </c>
      <c r="SZ25" s="586">
        <f>'Proy 2021 vs 2019 Sem'!HM24*$TB$4</f>
        <v>11289.532063799998</v>
      </c>
      <c r="TA25" s="737">
        <v>9259.94</v>
      </c>
      <c r="TB25" s="703">
        <f t="shared" si="757"/>
        <v>1.670370728738767</v>
      </c>
      <c r="TC25" s="586">
        <f>'Proy 2021 vs 2019 Sem'!HL24*$TF$4</f>
        <v>5543.6435999999994</v>
      </c>
      <c r="TD25" s="586">
        <f>'Proy 2021 vs 2019 Sem'!HM24*$TF$4</f>
        <v>11289.532063799998</v>
      </c>
      <c r="TE25" s="737">
        <v>7041.22</v>
      </c>
      <c r="TF25" s="703">
        <f t="shared" si="758"/>
        <v>1.270142979610017</v>
      </c>
      <c r="TG25" s="586">
        <f>'Proy 2021 vs 2019 Sem'!HL24*$TJ$4</f>
        <v>5543.6435999999994</v>
      </c>
      <c r="TH25" s="586">
        <f>'Proy 2021 vs 2019 Sem'!HM24*$TJ$4</f>
        <v>11289.532063799998</v>
      </c>
      <c r="TI25" s="737">
        <v>9781.74</v>
      </c>
      <c r="TJ25" s="703">
        <f t="shared" si="759"/>
        <v>1.7644965488041116</v>
      </c>
      <c r="TK25" s="586">
        <f>'Proy 2021 vs 2019 Sem'!HL24*$TN$4</f>
        <v>6467.5842000000002</v>
      </c>
      <c r="TL25" s="586">
        <f>'Proy 2021 vs 2019 Sem'!HM24*$TN$4</f>
        <v>13171.1207411</v>
      </c>
      <c r="TM25" s="737">
        <v>9193.14</v>
      </c>
      <c r="TN25" s="703">
        <f t="shared" si="760"/>
        <v>1.4214179074777256</v>
      </c>
      <c r="TO25" s="586">
        <f>'Proy 2021 vs 2019 Sem'!HL24*$TR$4</f>
        <v>7391.5248000000001</v>
      </c>
      <c r="TP25" s="989">
        <f>'Proy 2021 vs 2019 Sem'!HM24*$TR$4</f>
        <v>15052.709418399998</v>
      </c>
      <c r="TQ25" s="737">
        <v>10498.08</v>
      </c>
      <c r="TR25" s="703">
        <f t="shared" si="761"/>
        <v>1.4202861093018317</v>
      </c>
      <c r="TS25" s="586">
        <f>'Proy 2021 vs 2019 Sem'!HL24*$TV$4</f>
        <v>10163.346599999999</v>
      </c>
      <c r="TT25" s="586">
        <f>'Proy 2021 vs 2019 Sem'!HM24*$TV$4</f>
        <v>20697.475450299997</v>
      </c>
      <c r="TU25" s="737">
        <v>19289.919999999998</v>
      </c>
      <c r="TV25" s="703">
        <f t="shared" si="762"/>
        <v>1.8979889950816005</v>
      </c>
      <c r="TW25" s="585">
        <f t="shared" si="763"/>
        <v>46197.03</v>
      </c>
      <c r="TX25" s="582">
        <f t="shared" si="764"/>
        <v>94079.433864999985</v>
      </c>
      <c r="TY25" s="716">
        <f t="shared" si="765"/>
        <v>71677.88</v>
      </c>
      <c r="TZ25" s="717">
        <f t="shared" si="766"/>
        <v>1.5515690077911937</v>
      </c>
      <c r="UA25" s="586">
        <v>5750.58</v>
      </c>
      <c r="UB25" s="586">
        <f>'Proy 2021 vs 2019 Sem'!HR24*$UD$4</f>
        <v>12635.869037999997</v>
      </c>
      <c r="UC25" s="737">
        <v>10861.76</v>
      </c>
      <c r="UD25" s="703">
        <f t="shared" si="767"/>
        <v>1.8888112155643431</v>
      </c>
      <c r="UE25" s="586">
        <v>6867.78</v>
      </c>
      <c r="UF25" s="586">
        <f>'Proy 2021 vs 2019 Sem'!HR24*$UH$4</f>
        <v>12635.869037999997</v>
      </c>
      <c r="UG25" s="737">
        <v>8237.4</v>
      </c>
      <c r="UH25" s="703">
        <f t="shared" si="768"/>
        <v>1.1994268890383792</v>
      </c>
      <c r="UI25" s="586">
        <v>7265.94</v>
      </c>
      <c r="UJ25" s="586">
        <f>'Proy 2021 vs 2019 Sem'!HR24*$UL$4</f>
        <v>12635.869037999997</v>
      </c>
      <c r="UK25" s="737">
        <v>7885.5</v>
      </c>
      <c r="UL25" s="703">
        <f t="shared" si="769"/>
        <v>1.0852690773664524</v>
      </c>
      <c r="UM25" s="586">
        <v>4913.34</v>
      </c>
      <c r="UN25" s="586">
        <f>'Proy 2021 vs 2019 Sem'!HR24*$UP$4</f>
        <v>12635.869037999997</v>
      </c>
      <c r="UO25" s="737">
        <v>8971.2999999999993</v>
      </c>
      <c r="UP25" s="703">
        <f t="shared" si="770"/>
        <v>1.8259066134238622</v>
      </c>
      <c r="UQ25" s="586">
        <v>5222.01</v>
      </c>
      <c r="UR25" s="586">
        <f>'Proy 2021 vs 2019 Sem'!HR24*$UT$4</f>
        <v>14741.847210999998</v>
      </c>
      <c r="US25" s="737">
        <v>11091.96</v>
      </c>
      <c r="UT25" s="703">
        <f t="shared" si="771"/>
        <v>2.1240786593667953</v>
      </c>
      <c r="UU25" s="586">
        <v>5149.7299999999996</v>
      </c>
      <c r="UV25" s="586">
        <f>'Proy 2021 vs 2019 Sem'!HR24*$UX$4</f>
        <v>16847.825383999996</v>
      </c>
      <c r="UW25" s="737">
        <v>10359.52</v>
      </c>
      <c r="UX25" s="703">
        <f t="shared" si="772"/>
        <v>2.0116627473673381</v>
      </c>
      <c r="UY25" s="586">
        <v>13378.84</v>
      </c>
      <c r="UZ25" s="586">
        <f>'Proy 2021 vs 2019 Sem'!HR24*$VB$4</f>
        <v>23165.759902999995</v>
      </c>
      <c r="VA25" s="737">
        <v>18045.7</v>
      </c>
      <c r="VB25" s="703">
        <f t="shared" si="773"/>
        <v>1.3488239638115114</v>
      </c>
      <c r="VC25" s="577">
        <f>UA25+UE25+UI25+UM25+UQ25+UU25+UY25</f>
        <v>48548.22</v>
      </c>
      <c r="VD25" s="582">
        <f t="shared" si="774"/>
        <v>105298.90864999998</v>
      </c>
      <c r="VE25" s="716">
        <f t="shared" si="775"/>
        <v>75453.14</v>
      </c>
      <c r="VF25" s="1533">
        <f t="shared" si="776"/>
        <v>1.5541896283736045</v>
      </c>
      <c r="VG25" s="586">
        <v>4469.58</v>
      </c>
      <c r="VH25" s="586">
        <f>'Proy 2021 vs 2019 Sem'!IA24*$VJ$4</f>
        <v>8592.8521799999999</v>
      </c>
      <c r="VI25" s="737">
        <v>14520.41</v>
      </c>
      <c r="VJ25" s="703">
        <f t="shared" si="777"/>
        <v>3.2487191190223692</v>
      </c>
      <c r="VK25" s="586">
        <v>5082.3999999999996</v>
      </c>
      <c r="VL25" s="586">
        <f>'Proy 2021 vs 2019 Sem'!IA24*$VN$4</f>
        <v>8592.8521799999999</v>
      </c>
      <c r="VM25" s="737">
        <v>10195.06</v>
      </c>
      <c r="VN25" s="703">
        <f t="shared" si="778"/>
        <v>2.0059538800566661</v>
      </c>
      <c r="VO25" s="586">
        <v>5203.1499999999996</v>
      </c>
      <c r="VP25" s="586">
        <f>'Proy 2021 vs 2019 Sem'!IA24*$VR$4</f>
        <v>8592.8521799999999</v>
      </c>
      <c r="VQ25" s="737">
        <v>6766.8</v>
      </c>
      <c r="VR25" s="703">
        <f t="shared" si="779"/>
        <v>1.3005198773819706</v>
      </c>
      <c r="VS25" s="586">
        <v>5391.43</v>
      </c>
      <c r="VT25" s="586">
        <f>'Proy 2021 vs 2019 Sem'!IA24*$VV$4</f>
        <v>8592.8521799999999</v>
      </c>
      <c r="VU25" s="737">
        <v>10622.69</v>
      </c>
      <c r="VV25" s="703">
        <f t="shared" si="780"/>
        <v>1.9702917407812028</v>
      </c>
      <c r="VW25" s="586">
        <v>7069.44</v>
      </c>
      <c r="VX25" s="586">
        <f>'Proy 2021 vs 2019 Sem'!IA24*$VZ$4</f>
        <v>10024.994210000001</v>
      </c>
      <c r="VY25" s="737">
        <v>10484.540000000001</v>
      </c>
      <c r="VZ25" s="703">
        <f t="shared" si="781"/>
        <v>1.4830792820930656</v>
      </c>
      <c r="WA25" s="586">
        <v>8532.01</v>
      </c>
      <c r="WB25" s="586">
        <f>'Proy 2021 vs 2019 Sem'!IA24*$WD$4</f>
        <v>11457.136240000002</v>
      </c>
      <c r="WC25" s="737">
        <v>15491.32</v>
      </c>
      <c r="WD25" s="703">
        <f t="shared" si="782"/>
        <v>1.8156706332974293</v>
      </c>
      <c r="WE25" s="586">
        <v>10450.120000000001</v>
      </c>
      <c r="WF25" s="586">
        <f>'Proy 2021 vs 2019 Sem'!IA24*$WH$4</f>
        <v>15753.562330000001</v>
      </c>
      <c r="WG25" s="737">
        <v>20865.12</v>
      </c>
      <c r="WH25" s="1539">
        <f t="shared" si="783"/>
        <v>1.9966392730418405</v>
      </c>
      <c r="WI25" s="574">
        <f t="shared" si="784"/>
        <v>20146.559999999998</v>
      </c>
      <c r="WJ25" s="583">
        <f t="shared" si="785"/>
        <v>71607.10149999999</v>
      </c>
      <c r="WK25" s="991">
        <f t="shared" si="786"/>
        <v>88945.94</v>
      </c>
      <c r="WL25" s="792">
        <f t="shared" si="787"/>
        <v>4.4149442882556631</v>
      </c>
      <c r="WM25" s="586">
        <v>4771.0200000000004</v>
      </c>
      <c r="WN25" s="586">
        <f>'Proy 2021 vs 2019 Sem'!IF24*$WP$4</f>
        <v>9599.9634480000004</v>
      </c>
      <c r="WO25" s="737">
        <v>12712.76</v>
      </c>
      <c r="WP25" s="703">
        <f t="shared" si="788"/>
        <v>2.6645790627580683</v>
      </c>
      <c r="WQ25" s="586">
        <v>6419.54</v>
      </c>
      <c r="WR25" s="586">
        <f>'Proy 2021 vs 2019 Sem'!IF24*$WT$4</f>
        <v>9599.9634480000004</v>
      </c>
      <c r="WS25" s="737">
        <v>9289.2800000000007</v>
      </c>
      <c r="WT25" s="703">
        <f t="shared" si="789"/>
        <v>1.4470320303323916</v>
      </c>
      <c r="WU25" s="586">
        <v>8231.4</v>
      </c>
      <c r="WV25" s="586">
        <f>'Proy 2021 vs 2019 Sem'!IF24*$WX$4</f>
        <v>9599.9634480000004</v>
      </c>
      <c r="WW25" s="737">
        <v>5985.72</v>
      </c>
      <c r="WX25" s="703">
        <f t="shared" si="790"/>
        <v>0.727181281434507</v>
      </c>
      <c r="WY25" s="586">
        <v>7000.89</v>
      </c>
      <c r="WZ25" s="586">
        <f>'Proy 2021 vs 2019 Sem'!IF24*$XB$4</f>
        <v>9599.9634480000004</v>
      </c>
      <c r="XA25" s="737">
        <v>8083.4</v>
      </c>
      <c r="XB25" s="703">
        <f t="shared" si="791"/>
        <v>1.1546246262975135</v>
      </c>
      <c r="XC25" s="586">
        <v>6923.34</v>
      </c>
      <c r="XD25" s="586">
        <f>'Proy 2021 vs 2019 Sem'!IF24*$XF$4</f>
        <v>11199.957356000003</v>
      </c>
      <c r="XE25" s="737">
        <v>13138.4</v>
      </c>
      <c r="XF25" s="703">
        <f t="shared" si="792"/>
        <v>1.8976967764113852</v>
      </c>
      <c r="XG25" s="586">
        <v>7618.11</v>
      </c>
      <c r="XH25" s="586">
        <f>'Proy 2021 vs 2019 Sem'!IF24*$XJ$4</f>
        <v>12799.951264000003</v>
      </c>
      <c r="XI25" s="737">
        <v>13178.58</v>
      </c>
      <c r="XJ25" s="703">
        <f t="shared" si="793"/>
        <v>1.729901511004698</v>
      </c>
      <c r="XK25" s="586">
        <v>0</v>
      </c>
      <c r="XL25" s="586">
        <f>'Proy 2021 vs 2019 Sem'!IF24*$XN$4</f>
        <v>17599.932988000004</v>
      </c>
      <c r="XM25" s="737">
        <v>25910.81</v>
      </c>
      <c r="XN25" s="703" t="e">
        <f t="shared" si="794"/>
        <v>#DIV/0!</v>
      </c>
      <c r="XO25" s="585">
        <f t="shared" si="795"/>
        <v>40964.300000000003</v>
      </c>
      <c r="XP25" s="582">
        <f t="shared" si="796"/>
        <v>79999.695400000011</v>
      </c>
      <c r="XQ25" s="797">
        <f t="shared" si="797"/>
        <v>88298.950000000012</v>
      </c>
      <c r="XR25" s="792">
        <f t="shared" si="798"/>
        <v>2.1555097975554327</v>
      </c>
      <c r="XS25" s="586">
        <v>15701.69</v>
      </c>
      <c r="XT25" s="586">
        <f>'Proy 2021 vs 2019 Sem'!IK24*$XV$4</f>
        <v>10987.10016</v>
      </c>
      <c r="XU25" s="737">
        <v>13531.34</v>
      </c>
      <c r="XV25" s="703">
        <f t="shared" si="799"/>
        <v>0.86177602538325493</v>
      </c>
      <c r="XW25" s="586">
        <v>6704.32</v>
      </c>
      <c r="XX25" s="586">
        <f>'Proy 2021 vs 2019 Sem'!IK24*$XZ$4</f>
        <v>10987.10016</v>
      </c>
      <c r="XY25" s="737">
        <v>8192.58</v>
      </c>
      <c r="XZ25" s="703">
        <f t="shared" si="800"/>
        <v>1.2219852274354446</v>
      </c>
      <c r="YA25" s="586">
        <v>8659.67</v>
      </c>
      <c r="YB25" s="586">
        <f>'Proy 2021 vs 2019 Sem'!IK24*$YD$4</f>
        <v>10987.10016</v>
      </c>
      <c r="YC25" s="737">
        <v>10998.19</v>
      </c>
      <c r="YD25" s="703">
        <f t="shared" si="801"/>
        <v>1.2700472419849718</v>
      </c>
      <c r="YE25" s="586">
        <v>6145.66</v>
      </c>
      <c r="YF25" s="586">
        <f>'Proy 2021 vs 2019 Sem'!IK24*$YH$4</f>
        <v>10987.10016</v>
      </c>
      <c r="YG25" s="737">
        <v>11955.16</v>
      </c>
      <c r="YH25" s="703">
        <f t="shared" si="802"/>
        <v>1.9453012369704801</v>
      </c>
      <c r="YI25" s="586">
        <v>5855.49</v>
      </c>
      <c r="YJ25" s="586">
        <f>'Proy 2021 vs 2019 Sem'!IK24*$YL$4</f>
        <v>12818.283520000003</v>
      </c>
      <c r="YK25" s="737">
        <v>11269.42</v>
      </c>
      <c r="YL25" s="703">
        <f t="shared" si="803"/>
        <v>1.9245904271034535</v>
      </c>
      <c r="YM25" s="586">
        <v>10773.54</v>
      </c>
      <c r="YN25" s="586">
        <f>'Proy 2021 vs 2019 Sem'!IK24*$YP$4</f>
        <v>14649.466880000002</v>
      </c>
      <c r="YO25" s="737">
        <v>18348.830000000002</v>
      </c>
      <c r="YP25" s="703">
        <f t="shared" si="804"/>
        <v>1.7031384298939811</v>
      </c>
      <c r="YQ25" s="586">
        <v>13375.03</v>
      </c>
      <c r="YR25" s="586">
        <f>'Proy 2021 vs 2019 Sem'!IK24*$YT$4</f>
        <v>20143.016960000001</v>
      </c>
      <c r="YS25" s="737">
        <v>37616.93</v>
      </c>
      <c r="YT25" s="703">
        <f t="shared" si="805"/>
        <v>2.8124744393096686</v>
      </c>
      <c r="YU25" s="585">
        <f t="shared" si="806"/>
        <v>67215.399999999994</v>
      </c>
      <c r="YV25" s="582">
        <f t="shared" si="807"/>
        <v>91559.168000000005</v>
      </c>
      <c r="YW25" s="797">
        <f t="shared" si="808"/>
        <v>111912.45000000001</v>
      </c>
      <c r="YX25" s="792">
        <f t="shared" si="809"/>
        <v>1.6649822808463539</v>
      </c>
      <c r="YY25" s="586">
        <v>6241.62</v>
      </c>
      <c r="YZ25" s="586">
        <f>'Proy 2021 vs 2019 Sem'!IP24*$ZB$4</f>
        <v>12547.385963999999</v>
      </c>
      <c r="ZA25" s="737">
        <v>21322.12</v>
      </c>
      <c r="ZB25" s="703">
        <f t="shared" si="810"/>
        <v>3.4161195330699399</v>
      </c>
      <c r="ZC25" s="586">
        <v>10862.96</v>
      </c>
      <c r="ZD25" s="586">
        <f>'Proy 2021 vs 2019 Sem'!IP24*$ZF$4</f>
        <v>12547.385963999999</v>
      </c>
      <c r="ZE25" s="737">
        <v>15355.27</v>
      </c>
      <c r="ZF25" s="703">
        <f t="shared" si="811"/>
        <v>1.4135438223099415</v>
      </c>
      <c r="ZG25" s="586">
        <v>8919.01</v>
      </c>
      <c r="ZH25" s="586">
        <f>'Proy 2021 vs 2019 Sem'!IP24*$ZJ$4</f>
        <v>12547.385963999999</v>
      </c>
      <c r="ZI25" s="737">
        <v>18848.32</v>
      </c>
      <c r="ZJ25" s="703">
        <f t="shared" si="812"/>
        <v>2.1132749038290122</v>
      </c>
      <c r="ZK25" s="586">
        <v>8976.2099999999991</v>
      </c>
      <c r="ZL25" s="586">
        <f>'Proy 2021 vs 2019 Sem'!IP24*$ZN$4</f>
        <v>12547.385963999999</v>
      </c>
      <c r="ZM25" s="737">
        <v>17914.189999999999</v>
      </c>
      <c r="ZN25" s="703">
        <f t="shared" si="813"/>
        <v>1.9957409641708472</v>
      </c>
      <c r="ZO25" s="586">
        <v>10941.31</v>
      </c>
      <c r="ZP25" s="586">
        <f>'Proy 2021 vs 2019 Sem'!IP24*$ZR$4</f>
        <v>14638.616958000002</v>
      </c>
      <c r="ZQ25" s="737">
        <v>21286.46</v>
      </c>
      <c r="ZR25" s="703">
        <f t="shared" si="814"/>
        <v>1.945512923041208</v>
      </c>
      <c r="ZS25" s="586">
        <v>8805.2099999999991</v>
      </c>
      <c r="ZT25" s="586">
        <f>'Proy 2021 vs 2019 Sem'!IP24*$ZV$4</f>
        <v>16729.847952</v>
      </c>
      <c r="ZU25" s="737">
        <v>27873.37</v>
      </c>
      <c r="ZV25" s="703">
        <f t="shared" si="815"/>
        <v>3.1655542570818871</v>
      </c>
      <c r="ZW25" s="586">
        <v>9401.8700000000008</v>
      </c>
      <c r="ZX25" s="586">
        <f>'Proy 2021 vs 2019 Sem'!IP24*$ZZ$4</f>
        <v>23003.540934000001</v>
      </c>
      <c r="ZY25" s="737">
        <v>37364.870000000003</v>
      </c>
      <c r="ZZ25" s="703">
        <f t="shared" si="816"/>
        <v>3.9741955589685882</v>
      </c>
      <c r="AAA25" s="585">
        <f t="shared" si="817"/>
        <v>64148.189999999995</v>
      </c>
      <c r="AAB25" s="582">
        <f t="shared" si="818"/>
        <v>104561.5497</v>
      </c>
      <c r="AAC25" s="791">
        <f t="shared" si="819"/>
        <v>159964.59999999998</v>
      </c>
      <c r="AAD25" s="792">
        <f t="shared" si="820"/>
        <v>2.4936728534351476</v>
      </c>
      <c r="AAE25" s="586">
        <v>3569.79</v>
      </c>
      <c r="AAF25" s="586">
        <f>'Proy 2021 vs 2019 Sem'!IY24*$AAH$4</f>
        <v>8416.789272</v>
      </c>
      <c r="AAG25" s="737">
        <v>14462.81</v>
      </c>
      <c r="AAH25" s="703">
        <f t="shared" si="821"/>
        <v>4.0514456032427679</v>
      </c>
      <c r="AAI25" s="586">
        <v>6852.77</v>
      </c>
      <c r="AAJ25" s="586">
        <f>'Proy 2021 vs 2019 Sem'!IY24*$AAL$4</f>
        <v>8416.789272</v>
      </c>
      <c r="AAK25" s="737">
        <v>14189.71</v>
      </c>
      <c r="AAL25" s="703">
        <f t="shared" si="822"/>
        <v>2.0706531811223781</v>
      </c>
      <c r="AAM25" s="586">
        <v>3522.58</v>
      </c>
      <c r="AAN25" s="586">
        <f>'Proy 2021 vs 2019 Sem'!IY24*$AAP$4</f>
        <v>8416.789272</v>
      </c>
      <c r="AAO25" s="737">
        <v>13376.76</v>
      </c>
      <c r="AAP25" s="703">
        <f t="shared" si="823"/>
        <v>3.7974325636323378</v>
      </c>
      <c r="AAQ25" s="586">
        <v>5428.04</v>
      </c>
      <c r="AAR25" s="586">
        <f>'Proy 2021 vs 2019 Sem'!IY24*$AAT$4</f>
        <v>8416.789272</v>
      </c>
      <c r="AAS25" s="737">
        <v>9226.74</v>
      </c>
      <c r="AAT25" s="703">
        <f t="shared" si="824"/>
        <v>1.6998290358950929</v>
      </c>
      <c r="AAU25" s="586">
        <v>5952.52</v>
      </c>
      <c r="AAV25" s="586">
        <f>'Proy 2021 vs 2019 Sem'!IY24*$AAX$4</f>
        <v>9819.5874840000015</v>
      </c>
      <c r="AAW25" s="737">
        <v>7638.92</v>
      </c>
      <c r="AAX25" s="703">
        <f t="shared" si="825"/>
        <v>1.2833085819115264</v>
      </c>
      <c r="AAY25" s="586">
        <v>6494.46</v>
      </c>
      <c r="AAZ25" s="586">
        <f>'Proy 2021 vs 2019 Sem'!IY24*$ABB$4</f>
        <v>11222.385696000001</v>
      </c>
      <c r="ABA25" s="737">
        <v>15549.35</v>
      </c>
      <c r="ABB25" s="703">
        <f t="shared" si="826"/>
        <v>2.3942483285754319</v>
      </c>
      <c r="ABC25" s="586">
        <v>11210.46</v>
      </c>
      <c r="ABD25" s="586">
        <f>'Proy 2021 vs 2019 Sem'!IY24*$ABF$4</f>
        <v>15430.780332</v>
      </c>
      <c r="ABE25" s="737">
        <v>22942.91</v>
      </c>
      <c r="ABF25" s="703">
        <f t="shared" si="827"/>
        <v>2.0465627637046118</v>
      </c>
      <c r="ABG25" s="585">
        <f t="shared" si="828"/>
        <v>43030.619999999995</v>
      </c>
      <c r="ABH25" s="582">
        <f t="shared" si="829"/>
        <v>70139.910600000003</v>
      </c>
      <c r="ABI25" s="990">
        <f t="shared" si="830"/>
        <v>97387.199999999997</v>
      </c>
      <c r="ABJ25" s="764">
        <f t="shared" si="831"/>
        <v>2.2632069907428711</v>
      </c>
      <c r="ABK25" s="586">
        <v>4060.72</v>
      </c>
      <c r="ABL25" s="586">
        <f>'Proy 2021 vs 2019 Sem'!JD24*$ABN$4</f>
        <v>9960</v>
      </c>
      <c r="ABM25" s="737">
        <v>15869.31</v>
      </c>
      <c r="ABN25" s="703">
        <f t="shared" si="832"/>
        <v>3.908003999290766</v>
      </c>
      <c r="ABO25" s="586">
        <v>7368.45</v>
      </c>
      <c r="ABP25" s="586">
        <f>'Proy 2021 vs 2019 Sem'!JD24*$ABR$4</f>
        <v>9960</v>
      </c>
      <c r="ABQ25" s="737">
        <v>5308.86</v>
      </c>
      <c r="ABR25" s="703">
        <f t="shared" si="833"/>
        <v>0.72048531237912994</v>
      </c>
      <c r="ABS25" s="586">
        <v>4919.95</v>
      </c>
      <c r="ABT25" s="586">
        <f>'Proy 2021 vs 2019 Sem'!JD24*$ABV$4</f>
        <v>9960</v>
      </c>
      <c r="ABU25" s="737">
        <v>8096.49</v>
      </c>
      <c r="ABV25" s="703">
        <f t="shared" si="834"/>
        <v>1.6456447728127319</v>
      </c>
      <c r="ABW25" s="586">
        <v>6515.44</v>
      </c>
      <c r="ABX25" s="586">
        <f>'Proy 2021 vs 2019 Sem'!JD24*$ABZ$4</f>
        <v>9960</v>
      </c>
      <c r="ABY25" s="737">
        <v>6799.96</v>
      </c>
      <c r="ABZ25" s="703">
        <f t="shared" si="835"/>
        <v>1.0436685780238941</v>
      </c>
      <c r="ACA25" s="586">
        <v>8043.31</v>
      </c>
      <c r="ACB25" s="586">
        <f>'Proy 2021 vs 2019 Sem'!JD24*$ACD$4</f>
        <v>11620.000000000002</v>
      </c>
      <c r="ACC25" s="737">
        <v>15510.53</v>
      </c>
      <c r="ACD25" s="703">
        <f t="shared" si="836"/>
        <v>1.9283765017138466</v>
      </c>
      <c r="ACE25" s="586">
        <v>15246.47</v>
      </c>
      <c r="ACF25" s="586">
        <f>'Proy 2021 vs 2019 Sem'!JD24*$ACH$4</f>
        <v>13280</v>
      </c>
      <c r="ACG25" s="737">
        <v>17021.91</v>
      </c>
      <c r="ACH25" s="703">
        <f t="shared" si="837"/>
        <v>1.1164492502198871</v>
      </c>
      <c r="ACI25" s="586">
        <v>17533.71</v>
      </c>
      <c r="ACJ25" s="586">
        <f>'Proy 2021 vs 2019 Sem'!JD24*$ACL$4</f>
        <v>18260</v>
      </c>
      <c r="ACK25" s="737">
        <v>29138.59</v>
      </c>
      <c r="ACL25" s="703">
        <f t="shared" si="838"/>
        <v>1.6618610664827924</v>
      </c>
      <c r="ACM25" s="585">
        <f t="shared" si="839"/>
        <v>63688.049999999996</v>
      </c>
      <c r="ACN25" s="582">
        <f t="shared" si="840"/>
        <v>83000</v>
      </c>
      <c r="ACO25" s="768">
        <f t="shared" si="841"/>
        <v>97745.65</v>
      </c>
      <c r="ACP25" s="764">
        <f t="shared" si="842"/>
        <v>1.5347565202577249</v>
      </c>
      <c r="ACQ25" s="586">
        <v>11742.08</v>
      </c>
      <c r="ACR25" s="586">
        <f>'Proy 2021 vs 2019 Sem'!JI24*$ACT$4</f>
        <v>8366.4</v>
      </c>
      <c r="ACS25" s="737">
        <v>21299.46</v>
      </c>
      <c r="ACT25" s="703">
        <f t="shared" si="843"/>
        <v>1.8139426745516978</v>
      </c>
      <c r="ACU25" s="586">
        <v>11365.07</v>
      </c>
      <c r="ACV25" s="586">
        <f>'Proy 2021 vs 2019 Sem'!JI24*$ACX$4</f>
        <v>8366.4</v>
      </c>
      <c r="ACW25" s="737">
        <v>22281.78</v>
      </c>
      <c r="ACX25" s="703">
        <f t="shared" si="844"/>
        <v>1.9605492971006777</v>
      </c>
      <c r="ACY25" s="586">
        <v>7549.01</v>
      </c>
      <c r="ACZ25" s="586">
        <f>'Proy 2021 vs 2019 Sem'!JI24*$ADB$4</f>
        <v>8366.4</v>
      </c>
      <c r="ADA25" s="737">
        <v>14972.66</v>
      </c>
      <c r="ADB25" s="703">
        <f t="shared" si="845"/>
        <v>1.9833938489947687</v>
      </c>
      <c r="ADC25" s="586">
        <v>7317.94</v>
      </c>
      <c r="ADD25" s="586">
        <f>'Proy 2021 vs 2019 Sem'!JI24*$ADF$4</f>
        <v>8366.4</v>
      </c>
      <c r="ADE25" s="737">
        <v>10763.4</v>
      </c>
      <c r="ADF25" s="703">
        <f t="shared" si="846"/>
        <v>1.4708237564123237</v>
      </c>
      <c r="ADG25" s="586">
        <v>6418.83</v>
      </c>
      <c r="ADH25" s="586">
        <f>'Proy 2021 vs 2019 Sem'!JI24*$ADJ$4</f>
        <v>9760.8000000000011</v>
      </c>
      <c r="ADI25" s="737">
        <v>18443.759999999998</v>
      </c>
      <c r="ADJ25" s="703">
        <f t="shared" si="847"/>
        <v>2.873383467080449</v>
      </c>
      <c r="ADK25" s="586">
        <v>8835.2099999999991</v>
      </c>
      <c r="ADL25" s="586">
        <f>'Proy 2021 vs 2019 Sem'!JI24*$ADN$4</f>
        <v>11155.2</v>
      </c>
      <c r="ADM25" s="737">
        <v>23276.99</v>
      </c>
      <c r="ADN25" s="703">
        <f t="shared" si="848"/>
        <v>2.6345712212839314</v>
      </c>
      <c r="ADO25" s="586">
        <v>13422.26</v>
      </c>
      <c r="ADP25" s="586">
        <f>'Proy 2021 vs 2019 Sem'!JI24*$ADR$4</f>
        <v>15338.4</v>
      </c>
      <c r="ADQ25" s="737">
        <v>26187.7</v>
      </c>
      <c r="ADR25" s="703">
        <f t="shared" si="849"/>
        <v>1.9510648728306559</v>
      </c>
      <c r="ADS25" s="585">
        <f t="shared" si="850"/>
        <v>66650.400000000009</v>
      </c>
      <c r="ADT25" s="582">
        <f t="shared" si="851"/>
        <v>69720</v>
      </c>
      <c r="ADU25" s="768">
        <f t="shared" si="852"/>
        <v>137225.75</v>
      </c>
      <c r="ADV25" s="764">
        <f t="shared" si="853"/>
        <v>2.0588886188229925</v>
      </c>
      <c r="ADW25" s="586">
        <v>6951.47</v>
      </c>
      <c r="ADX25" s="586">
        <f>'Proy 2021 vs 2019 Sem'!JN24*$ADZ$4</f>
        <v>13638.096527999998</v>
      </c>
      <c r="ADY25" s="737">
        <v>19149.740000000002</v>
      </c>
      <c r="ADZ25" s="703">
        <f t="shared" si="854"/>
        <v>2.7547756086122792</v>
      </c>
      <c r="AEA25" s="586">
        <v>8169.92</v>
      </c>
      <c r="AEB25" s="586">
        <f>'Proy 2021 vs 2019 Sem'!JN24*$AED$4</f>
        <v>13638.096527999998</v>
      </c>
      <c r="AEC25" s="737">
        <v>16442</v>
      </c>
      <c r="AED25" s="703">
        <f t="shared" si="855"/>
        <v>2.0125044064078961</v>
      </c>
      <c r="AEE25" s="586">
        <v>7926.15</v>
      </c>
      <c r="AEF25" s="586">
        <f>'Proy 2021 vs 2019 Sem'!JN24*$AEH$4</f>
        <v>13638.096527999998</v>
      </c>
      <c r="AEG25" s="737">
        <v>12951</v>
      </c>
      <c r="AEH25" s="703">
        <f t="shared" si="856"/>
        <v>1.6339584792112187</v>
      </c>
      <c r="AEI25" s="586">
        <v>6591.45</v>
      </c>
      <c r="AEJ25" s="586">
        <f>'Proy 2021 vs 2019 Sem'!JN24*$AEL$4</f>
        <v>13638.096527999998</v>
      </c>
      <c r="AEK25" s="737">
        <v>12919</v>
      </c>
      <c r="AEL25" s="703">
        <f t="shared" si="857"/>
        <v>1.9599632857717195</v>
      </c>
      <c r="AEM25" s="586">
        <v>8861.32</v>
      </c>
      <c r="AEN25" s="586">
        <f>'Proy 2021 vs 2019 Sem'!JN24*$AEP$4</f>
        <v>15911.112616</v>
      </c>
      <c r="AEO25" s="737">
        <v>21254</v>
      </c>
      <c r="AEP25" s="703">
        <f t="shared" si="858"/>
        <v>2.3985139911435316</v>
      </c>
      <c r="AEQ25" s="586">
        <v>11886.79</v>
      </c>
      <c r="AER25" s="586">
        <f>'Proy 2021 vs 2019 Sem'!JN24*$AET$4</f>
        <v>18184.128703999999</v>
      </c>
      <c r="AES25" s="737">
        <v>12405</v>
      </c>
      <c r="AET25" s="703">
        <f t="shared" si="859"/>
        <v>1.0435954534403316</v>
      </c>
      <c r="AEU25" s="586">
        <v>18077.240000000002</v>
      </c>
      <c r="AEV25" s="586">
        <f>'Proy 2021 vs 2019 Sem'!JN24*$AEX$4</f>
        <v>25003.176968</v>
      </c>
      <c r="AEW25" s="737">
        <v>40339</v>
      </c>
      <c r="AEX25" s="703">
        <f t="shared" si="860"/>
        <v>2.2314800268182529</v>
      </c>
      <c r="AEY25" s="585">
        <f t="shared" si="861"/>
        <v>68464.34</v>
      </c>
      <c r="AEZ25" s="582">
        <f t="shared" si="862"/>
        <v>113650.80439999999</v>
      </c>
      <c r="AFA25" s="773">
        <f t="shared" si="863"/>
        <v>135459.74</v>
      </c>
      <c r="AFB25" s="764">
        <f t="shared" si="864"/>
        <v>1.9785444510237007</v>
      </c>
      <c r="AFC25" s="586">
        <v>8781.64</v>
      </c>
      <c r="AFD25" s="586">
        <f>'Proy 2021 vs 2019 Sem'!JX24*$AFF$4</f>
        <v>23020.655760000001</v>
      </c>
      <c r="AFE25" s="737">
        <v>33305</v>
      </c>
      <c r="AFF25" s="703">
        <f t="shared" si="865"/>
        <v>3.7925717747482248</v>
      </c>
      <c r="AFG25" s="586">
        <v>11584.24</v>
      </c>
      <c r="AFH25" s="586">
        <f>'Proy 2021 vs 2019 Sem'!JX24*$AFJ$4</f>
        <v>23020.655760000001</v>
      </c>
      <c r="AFI25" s="737">
        <v>25288.23</v>
      </c>
      <c r="AFJ25" s="703">
        <f t="shared" si="866"/>
        <v>2.1829856770923253</v>
      </c>
      <c r="AFK25" s="586">
        <v>13240.7</v>
      </c>
      <c r="AFL25" s="586">
        <f>'Proy 2021 vs 2019 Sem'!JX24*$AFN$4</f>
        <v>23020.655760000001</v>
      </c>
      <c r="AFM25" s="737">
        <v>22249.27</v>
      </c>
      <c r="AFN25" s="703">
        <f t="shared" si="867"/>
        <v>1.6803696179205025</v>
      </c>
      <c r="AFO25" s="586">
        <v>12296.08</v>
      </c>
      <c r="AFP25" s="586">
        <f>'Proy 2021 vs 2019 Sem'!JX24*$AFR$4</f>
        <v>23020.655760000001</v>
      </c>
      <c r="AFQ25" s="737">
        <v>29680.99</v>
      </c>
      <c r="AFR25" s="703">
        <f t="shared" si="868"/>
        <v>2.4138579124403878</v>
      </c>
      <c r="AFS25" s="586">
        <v>19557.810000000001</v>
      </c>
      <c r="AFT25" s="586">
        <f>'Proy 2021 vs 2019 Sem'!JX24*$AFV$4</f>
        <v>26857.431720000004</v>
      </c>
      <c r="AFU25" s="737">
        <v>37999.589999999997</v>
      </c>
      <c r="AFV25" s="703">
        <f t="shared" si="869"/>
        <v>1.9429368625628327</v>
      </c>
      <c r="AFW25" s="586">
        <v>18005.41</v>
      </c>
      <c r="AFX25" s="586">
        <f>'Proy 2021 vs 2019 Sem'!JX24*$AFZ$4</f>
        <v>30694.207680000003</v>
      </c>
      <c r="AFY25" s="737">
        <v>42797.57</v>
      </c>
      <c r="AFZ25" s="703">
        <f t="shared" si="870"/>
        <v>2.3769283787483872</v>
      </c>
      <c r="AGA25" s="586">
        <v>25043.23</v>
      </c>
      <c r="AGB25" s="586">
        <f>'Proy 2021 vs 2019 Sem'!JX24*$AGD$4</f>
        <v>42204.535560000004</v>
      </c>
      <c r="AGC25" s="737">
        <v>53731.26</v>
      </c>
      <c r="AGD25" s="703">
        <f t="shared" si="871"/>
        <v>2.1455403316584962</v>
      </c>
      <c r="AGE25" s="585">
        <f t="shared" si="872"/>
        <v>108509.11</v>
      </c>
      <c r="AGF25" s="582">
        <f t="shared" si="873"/>
        <v>191838.79800000001</v>
      </c>
      <c r="AGG25" s="988">
        <f t="shared" si="874"/>
        <v>245051.91000000003</v>
      </c>
      <c r="AGH25" s="717">
        <f t="shared" si="875"/>
        <v>2.2583533308862274</v>
      </c>
      <c r="AGI25" s="586">
        <v>14383.23</v>
      </c>
      <c r="AGJ25" s="586">
        <f>'Proy 2021 vs 2019 Sem'!KC24*$AGL$4</f>
        <v>25343.74224</v>
      </c>
      <c r="AGK25" s="737">
        <v>41550.589999999997</v>
      </c>
      <c r="AGL25" s="703">
        <f t="shared" si="876"/>
        <v>2.8888219127414354</v>
      </c>
      <c r="AGM25" s="586">
        <v>12717.21</v>
      </c>
      <c r="AGN25" s="586">
        <f>'Proy 2021 vs 2019 Sem'!KC24*$AGP$4</f>
        <v>25343.74224</v>
      </c>
      <c r="AGO25" s="737">
        <v>32980.83</v>
      </c>
      <c r="AGP25" s="703">
        <f t="shared" si="877"/>
        <v>2.5934013828504838</v>
      </c>
      <c r="AGQ25" s="586">
        <v>11970.63</v>
      </c>
      <c r="AGR25" s="586">
        <f>'Proy 2021 vs 2019 Sem'!KC24*$AGT$4</f>
        <v>25343.74224</v>
      </c>
      <c r="AGS25" s="737">
        <v>27425.52</v>
      </c>
      <c r="AGT25" s="703">
        <f t="shared" si="878"/>
        <v>2.2910673874307368</v>
      </c>
      <c r="AGU25" s="586">
        <v>15367.13</v>
      </c>
      <c r="AGV25" s="586">
        <f>'Proy 2021 vs 2019 Sem'!KC24*$AGX$4</f>
        <v>25343.74224</v>
      </c>
      <c r="AGW25" s="737">
        <v>36393.949999999997</v>
      </c>
      <c r="AGX25" s="703">
        <f t="shared" si="879"/>
        <v>2.3682984395915176</v>
      </c>
      <c r="AGY25" s="586">
        <v>18204.36</v>
      </c>
      <c r="AGZ25" s="586">
        <f>'Proy 2021 vs 2019 Sem'!KC24*$AHB$4</f>
        <v>29567.699280000004</v>
      </c>
      <c r="AHA25" s="737">
        <v>31378.17</v>
      </c>
      <c r="AHB25" s="703">
        <f t="shared" si="880"/>
        <v>1.7236623534142368</v>
      </c>
      <c r="AHC25" s="586">
        <v>18229.93</v>
      </c>
      <c r="AHD25" s="586">
        <f>'Proy 2021 vs 2019 Sem'!KC24*$AHF$4</f>
        <v>33791.656320000002</v>
      </c>
      <c r="AHE25" s="737">
        <v>35480.620000000003</v>
      </c>
      <c r="AHF25" s="703">
        <f t="shared" si="881"/>
        <v>1.946283940750184</v>
      </c>
      <c r="AHG25" s="586">
        <v>26434.65</v>
      </c>
      <c r="AHH25" s="586">
        <f>'Proy 2021 vs 2019 Sem'!KC24*$AHJ$4</f>
        <v>46463.527440000005</v>
      </c>
      <c r="AHI25" s="737">
        <v>59000.87</v>
      </c>
      <c r="AHJ25" s="703">
        <f t="shared" si="882"/>
        <v>2.2319520023908015</v>
      </c>
      <c r="AHK25" s="585">
        <f t="shared" si="883"/>
        <v>117307.13999999998</v>
      </c>
      <c r="AHL25" s="582">
        <f t="shared" si="884"/>
        <v>211197.85200000001</v>
      </c>
      <c r="AHM25" s="733">
        <f t="shared" si="885"/>
        <v>264210.55</v>
      </c>
      <c r="AHN25" s="717">
        <f t="shared" si="886"/>
        <v>2.2522972599962801</v>
      </c>
      <c r="AHO25" s="586">
        <v>24385.53</v>
      </c>
      <c r="AHP25" s="586">
        <f>'Proy 2021 vs 2019 Sem'!KH24*$AHR$4</f>
        <v>43795.844640000003</v>
      </c>
      <c r="AHQ25" s="737">
        <v>62685.84</v>
      </c>
      <c r="AHR25" s="703">
        <f t="shared" si="887"/>
        <v>2.5706162630051508</v>
      </c>
      <c r="AHS25" s="586">
        <v>17237.28</v>
      </c>
      <c r="AHT25" s="586">
        <f>'Proy 2021 vs 2019 Sem'!KH24*$AHV$4</f>
        <v>43795.844640000003</v>
      </c>
      <c r="AHU25" s="737">
        <v>44705.1</v>
      </c>
      <c r="AHV25" s="703">
        <f t="shared" si="888"/>
        <v>2.5935124335161928</v>
      </c>
      <c r="AHW25" s="586">
        <v>26132.55</v>
      </c>
      <c r="AHX25" s="586">
        <f>'Proy 2021 vs 2019 Sem'!KH24*$AHZ$4</f>
        <v>43795.844640000003</v>
      </c>
      <c r="AHY25" s="737">
        <v>41189.47</v>
      </c>
      <c r="AHZ25" s="703">
        <f t="shared" si="889"/>
        <v>1.5761749236105931</v>
      </c>
      <c r="AIA25" s="586">
        <v>22984.49</v>
      </c>
      <c r="AIB25" s="586">
        <f>'Proy 2021 vs 2019 Sem'!KH24*$AID$4</f>
        <v>43795.844640000003</v>
      </c>
      <c r="AIC25" s="737">
        <v>35839.68</v>
      </c>
      <c r="AID25" s="703">
        <f t="shared" si="890"/>
        <v>1.5592984660525422</v>
      </c>
      <c r="AIE25" s="586">
        <v>26302.7</v>
      </c>
      <c r="AIF25" s="586">
        <f>'Proy 2021 vs 2019 Sem'!KH24*$AIH$4</f>
        <v>51095.152080000007</v>
      </c>
      <c r="AIG25" s="737">
        <v>41204.58</v>
      </c>
      <c r="AIH25" s="703">
        <f t="shared" si="891"/>
        <v>1.5665532435833585</v>
      </c>
      <c r="AII25" s="586">
        <v>35829.47</v>
      </c>
      <c r="AIJ25" s="586">
        <f>'Proy 2021 vs 2019 Sem'!KH24*$AIL$4</f>
        <v>58394.459520000004</v>
      </c>
      <c r="AIK25" s="737">
        <v>46435.43</v>
      </c>
      <c r="AIL25" s="703">
        <f t="shared" si="892"/>
        <v>1.2960121933146094</v>
      </c>
      <c r="AIM25" s="586">
        <v>46056.17</v>
      </c>
      <c r="AIN25" s="586">
        <f>'Proy 2021 vs 2019 Sem'!KH24*$AIP$4</f>
        <v>80292.381840000002</v>
      </c>
      <c r="AIO25" s="737">
        <v>72877.61</v>
      </c>
      <c r="AIP25" s="703">
        <f t="shared" si="893"/>
        <v>1.5823636659322737</v>
      </c>
      <c r="AIQ25" s="585">
        <f t="shared" si="894"/>
        <v>198928.19</v>
      </c>
      <c r="AIR25" s="582">
        <f t="shared" si="895"/>
        <v>364965.37200000003</v>
      </c>
      <c r="AIS25" s="733">
        <f t="shared" si="896"/>
        <v>344937.70999999996</v>
      </c>
      <c r="AIT25" s="717">
        <f t="shared" si="897"/>
        <v>1.7339810410982976</v>
      </c>
      <c r="AIU25" s="586">
        <f>'Proy 2021 vs 2019 Sem'!KL24*$AIX$4</f>
        <v>20104.105199999998</v>
      </c>
      <c r="AIV25" s="586">
        <f>'Proy 2021 vs 2019 Sem'!KM24*$AIX$4</f>
        <v>60714.397703999995</v>
      </c>
      <c r="AIW25" s="737">
        <v>64932.33</v>
      </c>
      <c r="AIX25" s="703">
        <f t="shared" si="898"/>
        <v>3.2298045276842267</v>
      </c>
      <c r="AIY25" s="586">
        <f>'Proy 2021 vs 2019 Sem'!KL24*$AJB$4</f>
        <v>20104.105199999998</v>
      </c>
      <c r="AIZ25" s="586">
        <f>'Proy 2021 vs 2019 Sem'!KM24*$AJB$4</f>
        <v>60714.397703999995</v>
      </c>
      <c r="AJA25" s="737">
        <v>75438.3</v>
      </c>
      <c r="AJB25" s="703">
        <f t="shared" si="899"/>
        <v>3.752382871534119</v>
      </c>
      <c r="AJC25" s="586">
        <f>'Proy 2021 vs 2019 Sem'!KL24*$AJF$4</f>
        <v>20104.105199999998</v>
      </c>
      <c r="AJD25" s="586">
        <f>'Proy 2021 vs 2019 Sem'!KM24*$AJF$4</f>
        <v>60714.397703999995</v>
      </c>
      <c r="AJE25" s="737">
        <v>73207.39</v>
      </c>
      <c r="AJF25" s="703">
        <f t="shared" si="900"/>
        <v>3.6414149882184264</v>
      </c>
      <c r="AJG25" s="586">
        <f>'Proy 2021 vs 2019 Sem'!KL24*$AJJ$4</f>
        <v>20104.105199999998</v>
      </c>
      <c r="AJH25" s="586">
        <f>'Proy 2021 vs 2019 Sem'!KM24*$AJJ$4</f>
        <v>60714.397703999995</v>
      </c>
      <c r="AJI25" s="737">
        <v>77722.009999999995</v>
      </c>
      <c r="AJJ25" s="703">
        <f t="shared" si="901"/>
        <v>3.8659770841230974</v>
      </c>
      <c r="AJK25" s="586">
        <f>'Proy 2021 vs 2019 Sem'!KL24*$AJN$4</f>
        <v>23454.789400000001</v>
      </c>
      <c r="AJL25" s="586">
        <f>'Proy 2021 vs 2019 Sem'!KM24*$AJN$4</f>
        <v>70833.463988000003</v>
      </c>
      <c r="AJM25" s="737">
        <v>111236.71</v>
      </c>
      <c r="AJN25" s="703">
        <f t="shared" si="902"/>
        <v>4.7426010996287182</v>
      </c>
      <c r="AJO25" s="586">
        <f>'Proy 2021 vs 2019 Sem'!KL24*$AJR$4</f>
        <v>26805.473599999998</v>
      </c>
      <c r="AJP25" s="586">
        <f>'Proy 2021 vs 2019 Sem'!KM24*$AJR$4</f>
        <v>80952.530271999989</v>
      </c>
      <c r="AJQ25" s="737">
        <v>68584.17</v>
      </c>
      <c r="AJR25" s="703">
        <f t="shared" si="903"/>
        <v>2.5585882578847627</v>
      </c>
      <c r="AJS25" s="586">
        <f>'Proy 2021 vs 2019 Sem'!KL24*$AJV$4</f>
        <v>36857.5262</v>
      </c>
      <c r="AJT25" s="586">
        <f>'Proy 2021 vs 2019 Sem'!KM24*$AJV$4</f>
        <v>111309.72912399999</v>
      </c>
      <c r="AJU25" s="702">
        <v>0</v>
      </c>
      <c r="AJV25" s="703">
        <f t="shared" si="904"/>
        <v>0</v>
      </c>
      <c r="AJW25" s="585">
        <f t="shared" si="905"/>
        <v>167534.21</v>
      </c>
      <c r="AJX25" s="582">
        <f t="shared" si="906"/>
        <v>505953.31419999996</v>
      </c>
      <c r="AJY25" s="716">
        <f t="shared" si="907"/>
        <v>471120.91000000003</v>
      </c>
      <c r="AJZ25" s="717">
        <f t="shared" si="908"/>
        <v>2.8120878117967671</v>
      </c>
      <c r="AKA25" s="586">
        <f>'Proy 2021 vs 2019 Sem'!KQ24*$AKD$4</f>
        <v>6120.0419999999995</v>
      </c>
      <c r="AKB25" s="586">
        <f>'Proy 2021 vs 2019 Sem'!KR24*$AKD$4</f>
        <v>11016.0756</v>
      </c>
      <c r="AKC25" s="737">
        <v>13875.02</v>
      </c>
      <c r="AKD25" s="703">
        <f t="shared" si="909"/>
        <v>2.2671445718836574</v>
      </c>
      <c r="AKE25" s="586">
        <f>'Proy 2021 vs 2019 Sem'!KQ24*$AKH$4</f>
        <v>6120.0419999999995</v>
      </c>
      <c r="AKF25" s="586">
        <f>'Proy 2021 vs 2019 Sem'!KR24*$AKH$4</f>
        <v>11016.0756</v>
      </c>
      <c r="AKG25" s="737">
        <v>19764.07</v>
      </c>
      <c r="AKH25" s="703">
        <f t="shared" si="910"/>
        <v>3.2294010400582223</v>
      </c>
      <c r="AKI25" s="586">
        <f>'Proy 2021 vs 2019 Sem'!KQ24*$AKL$4</f>
        <v>6120.0419999999995</v>
      </c>
      <c r="AKJ25" s="586">
        <f>'Proy 2021 vs 2019 Sem'!KR24*$AKL$4</f>
        <v>11016.0756</v>
      </c>
      <c r="AKK25" s="737">
        <v>11096.18</v>
      </c>
      <c r="AKL25" s="703">
        <f t="shared" si="911"/>
        <v>1.813088864422826</v>
      </c>
      <c r="AKM25" s="586">
        <f>'Proy 2021 vs 2019 Sem'!KQ24*$AKP$4</f>
        <v>6120.0419999999995</v>
      </c>
      <c r="AKN25" s="586">
        <f>'Proy 2021 vs 2019 Sem'!KR24*$AKP$4</f>
        <v>11016.0756</v>
      </c>
      <c r="AKO25" s="737">
        <v>18804.560000000001</v>
      </c>
      <c r="AKP25" s="703">
        <f t="shared" si="912"/>
        <v>3.0726194362718431</v>
      </c>
      <c r="AKQ25" s="586">
        <f>'Proy 2021 vs 2019 Sem'!KQ24*$AKT$4</f>
        <v>7140.0490000000009</v>
      </c>
      <c r="AKR25" s="586">
        <f>'Proy 2021 vs 2019 Sem'!KR24*$AKT$4</f>
        <v>12852.088200000002</v>
      </c>
      <c r="AKS25" s="737">
        <v>21482.84</v>
      </c>
      <c r="AKT25" s="703">
        <f t="shared" si="913"/>
        <v>3.008780471954744</v>
      </c>
      <c r="AKU25" s="586">
        <f>'Proy 2021 vs 2019 Sem'!KQ24*$AKX$4</f>
        <v>8160.0559999999996</v>
      </c>
      <c r="AKV25" s="586">
        <f>'Proy 2021 vs 2019 Sem'!KR24*$AKX$4</f>
        <v>14688.1008</v>
      </c>
      <c r="AKW25" s="737">
        <v>12013</v>
      </c>
      <c r="AKX25" s="703">
        <f t="shared" si="914"/>
        <v>1.472171269412857</v>
      </c>
      <c r="AKY25" s="586">
        <f>'Proy 2021 vs 2019 Sem'!KQ24*$ALB$4</f>
        <v>11220.076999999999</v>
      </c>
      <c r="AKZ25" s="586">
        <f>'Proy 2021 vs 2019 Sem'!KR24*$ALB$4</f>
        <v>20196.138600000002</v>
      </c>
      <c r="ALA25" s="702">
        <v>0</v>
      </c>
      <c r="ALB25" s="703">
        <f>ALA25/AKY25</f>
        <v>0</v>
      </c>
      <c r="ALC25" s="585">
        <f t="shared" si="915"/>
        <v>51000.349999999991</v>
      </c>
      <c r="ALD25" s="582">
        <f t="shared" si="916"/>
        <v>91800.63</v>
      </c>
      <c r="ALE25" s="716">
        <f t="shared" si="917"/>
        <v>97035.67</v>
      </c>
      <c r="ALF25" s="717">
        <f t="shared" si="918"/>
        <v>1.9026471386961072</v>
      </c>
    </row>
    <row r="26" spans="2:994" ht="19.5" customHeight="1">
      <c r="B26" s="572" t="s">
        <v>477</v>
      </c>
      <c r="C26" s="593">
        <f>'Proy 2021 vs 2019 Sem'!DX25*$F$4</f>
        <v>20934.6888</v>
      </c>
      <c r="D26" s="611">
        <f>'Proy 2021 vs 2019 Sem'!$DY$25*F4</f>
        <v>20219.964439953328</v>
      </c>
      <c r="E26" s="734">
        <v>8919.39</v>
      </c>
      <c r="F26" s="698">
        <f t="shared" si="580"/>
        <v>0.42605792162527867</v>
      </c>
      <c r="G26" s="593">
        <f>'Proy 2021 vs 2019 Sem'!DX25*$J$4</f>
        <v>20934.6888</v>
      </c>
      <c r="H26" s="593">
        <f>'Proy 2021 vs 2019 Sem'!$DY$25*J4</f>
        <v>20219.964439953328</v>
      </c>
      <c r="I26" s="734">
        <v>13747.73</v>
      </c>
      <c r="J26" s="698">
        <f t="shared" si="581"/>
        <v>0.65669617214467502</v>
      </c>
      <c r="K26" s="593">
        <f>'Proy 2021 vs 2019 Sem'!DX25*'Vtas Diarias 2021'!$N$4</f>
        <v>20934.6888</v>
      </c>
      <c r="L26" s="593">
        <f>'Proy 2021 vs 2019 Sem'!$DY$25*N4</f>
        <v>20219.964439953328</v>
      </c>
      <c r="M26" s="734">
        <v>18405.169999999998</v>
      </c>
      <c r="N26" s="698">
        <f t="shared" si="582"/>
        <v>0.879170938523815</v>
      </c>
      <c r="O26" s="593">
        <f>'Proy 2021 vs 2019 Sem'!DX25*$R$4</f>
        <v>20934.6888</v>
      </c>
      <c r="P26" s="593">
        <f>'Proy 2021 vs 2019 Sem'!$DY$25*R4</f>
        <v>20219.964439953328</v>
      </c>
      <c r="Q26" s="734">
        <v>14887.93</v>
      </c>
      <c r="R26" s="698">
        <f t="shared" si="583"/>
        <v>0.71116079833964385</v>
      </c>
      <c r="S26" s="593">
        <f>'Proy 2021 vs 2019 Sem'!DX25*$V$4</f>
        <v>24423.803599999999</v>
      </c>
      <c r="T26" s="593">
        <f>'Proy 2021 vs 2019 Sem'!$DY$25*V4</f>
        <v>23589.958513278889</v>
      </c>
      <c r="U26" s="734">
        <v>19360.009999999998</v>
      </c>
      <c r="V26" s="698">
        <f t="shared" si="584"/>
        <v>0.79266973797643869</v>
      </c>
      <c r="W26" s="593">
        <f>'Proy 2021 vs 2019 Sem'!DX25*$Z$4</f>
        <v>27912.918399999999</v>
      </c>
      <c r="X26" s="593">
        <f>'Proy 2021 vs 2019 Sem'!$DY$25*Z4</f>
        <v>26959.952586604442</v>
      </c>
      <c r="Y26" s="734">
        <v>21037.360000000001</v>
      </c>
      <c r="Z26" s="698">
        <f t="shared" si="585"/>
        <v>0.75367826819570405</v>
      </c>
      <c r="AA26" s="593">
        <f>'Proy 2021 vs 2019 Sem'!DX25*$AD$4</f>
        <v>38380.262799999997</v>
      </c>
      <c r="AB26" s="593">
        <f>'Proy 2021 vs 2019 Sem'!$DY$25*AD4</f>
        <v>37069.934806581106</v>
      </c>
      <c r="AC26" s="734">
        <v>31513.040000000001</v>
      </c>
      <c r="AD26" s="698">
        <f t="shared" si="586"/>
        <v>0.82107410687141003</v>
      </c>
      <c r="AE26" s="610">
        <f t="shared" si="587"/>
        <v>174455.74</v>
      </c>
      <c r="AF26" s="593">
        <f t="shared" si="588"/>
        <v>168499.70366627775</v>
      </c>
      <c r="AG26" s="729">
        <f t="shared" si="589"/>
        <v>127870.63</v>
      </c>
      <c r="AH26" s="709">
        <f t="shared" si="590"/>
        <v>0.73296888941573379</v>
      </c>
      <c r="AI26" s="593">
        <f>'Proy 2021 vs 2019 Sem'!EC25*$AL$4</f>
        <v>28017.880799999999</v>
      </c>
      <c r="AJ26" s="611">
        <f>'Proy 2021 vs 2019 Sem'!ED25*$AL$4</f>
        <v>20536.234973758412</v>
      </c>
      <c r="AK26" s="734">
        <v>8609.99</v>
      </c>
      <c r="AL26" s="698">
        <f t="shared" si="591"/>
        <v>0.30730339890660108</v>
      </c>
      <c r="AM26" s="593">
        <f>'Proy 2021 vs 2019 Sem'!EC25*$AP$4</f>
        <v>28017.880799999999</v>
      </c>
      <c r="AN26" s="593">
        <f>'Proy 2021 vs 2019 Sem'!ED25*$AP$4</f>
        <v>20536.234973758412</v>
      </c>
      <c r="AO26" s="734">
        <v>14884.41</v>
      </c>
      <c r="AP26" s="698">
        <f t="shared" si="592"/>
        <v>0.53124681721110045</v>
      </c>
      <c r="AQ26" s="593">
        <f>'Proy 2021 vs 2019 Sem'!EC25*$AT$4</f>
        <v>28017.880799999999</v>
      </c>
      <c r="AR26" s="593">
        <f>'Proy 2021 vs 2019 Sem'!ED25*$AT$4</f>
        <v>20536.234973758412</v>
      </c>
      <c r="AS26" s="734">
        <v>12751.01</v>
      </c>
      <c r="AT26" s="698">
        <f t="shared" si="593"/>
        <v>0.45510258577443874</v>
      </c>
      <c r="AU26" s="593">
        <f>'Proy 2021 vs 2019 Sem'!EC25*$AX$4</f>
        <v>28017.880799999999</v>
      </c>
      <c r="AV26" s="593">
        <f>'Proy 2021 vs 2019 Sem'!ED25*$AX$4</f>
        <v>20536.234973758412</v>
      </c>
      <c r="AW26" s="734">
        <v>13517.51</v>
      </c>
      <c r="AX26" s="698">
        <f t="shared" si="594"/>
        <v>0.48246011525611177</v>
      </c>
      <c r="AY26" s="593">
        <f>'Proy 2021 vs 2019 Sem'!EC25*$BB$4</f>
        <v>32687.527600000001</v>
      </c>
      <c r="AZ26" s="593">
        <f>'Proy 2021 vs 2019 Sem'!ED25*$BB$4</f>
        <v>23958.940802718149</v>
      </c>
      <c r="BA26" s="734">
        <v>17310.25</v>
      </c>
      <c r="BB26" s="698">
        <f t="shared" si="595"/>
        <v>0.52956743048379096</v>
      </c>
      <c r="BC26" s="593">
        <f>'Proy 2021 vs 2019 Sem'!EC25*$BF$4</f>
        <v>37357.174400000004</v>
      </c>
      <c r="BD26" s="593">
        <f>'Proy 2021 vs 2019 Sem'!ED25*$BF$4</f>
        <v>27381.646631677882</v>
      </c>
      <c r="BE26" s="734">
        <v>31675.89</v>
      </c>
      <c r="BF26" s="698">
        <f t="shared" si="596"/>
        <v>0.84791985766460953</v>
      </c>
      <c r="BG26" s="593">
        <f>'Proy 2021 vs 2019 Sem'!EC25*$BJ$4</f>
        <v>51366.114800000003</v>
      </c>
      <c r="BH26" s="593">
        <f>'Proy 2021 vs 2019 Sem'!ED25*$BJ$4</f>
        <v>37649.76411855709</v>
      </c>
      <c r="BI26" s="734">
        <v>36647.53</v>
      </c>
      <c r="BJ26" s="698">
        <f t="shared" si="597"/>
        <v>0.71345730824087938</v>
      </c>
      <c r="BK26" s="610">
        <f t="shared" si="598"/>
        <v>233482.34</v>
      </c>
      <c r="BL26" s="593">
        <f t="shared" si="599"/>
        <v>171135.29144798679</v>
      </c>
      <c r="BM26" s="729">
        <f t="shared" si="600"/>
        <v>135396.59000000003</v>
      </c>
      <c r="BN26" s="709">
        <f t="shared" si="601"/>
        <v>0.57990077536485207</v>
      </c>
      <c r="BO26" s="593">
        <f>'Proy 2021 vs 2019 Sem'!EH25*$BR$4</f>
        <v>27398.557199999999</v>
      </c>
      <c r="BP26" s="593">
        <f>'Proy 2021 vs 2019 Sem'!EI25*$BR$4</f>
        <v>19178.990039999997</v>
      </c>
      <c r="BQ26" s="734">
        <v>8482.99</v>
      </c>
      <c r="BR26" s="698">
        <f t="shared" si="602"/>
        <v>0.30961447853173818</v>
      </c>
      <c r="BS26" s="593">
        <f>'Proy 2021 vs 2019 Sem'!EH25*$BV$4</f>
        <v>27398.557199999999</v>
      </c>
      <c r="BT26" s="593">
        <f>'Proy 2021 vs 2019 Sem'!EI25*$BV$4</f>
        <v>19178.990039999997</v>
      </c>
      <c r="BU26" s="734">
        <v>14620.31</v>
      </c>
      <c r="BV26" s="698">
        <f t="shared" si="603"/>
        <v>0.53361605478992158</v>
      </c>
      <c r="BW26" s="593">
        <f>'Proy 2021 vs 2019 Sem'!EH25*$BZ$4</f>
        <v>27398.557199999999</v>
      </c>
      <c r="BX26" s="593">
        <f>'Proy 2021 vs 2019 Sem'!EI25*$BZ$4</f>
        <v>19178.990039999997</v>
      </c>
      <c r="BY26" s="734">
        <v>16631.939999999999</v>
      </c>
      <c r="BZ26" s="698">
        <f t="shared" si="604"/>
        <v>0.60703707420038888</v>
      </c>
      <c r="CA26" s="593">
        <f>'Proy 2021 vs 2019 Sem'!EH25*$CD$4</f>
        <v>27398.557199999999</v>
      </c>
      <c r="CB26" s="593">
        <f>'Proy 2021 vs 2019 Sem'!EI25*$CD$4</f>
        <v>19178.990039999997</v>
      </c>
      <c r="CC26" s="734">
        <v>16718.61</v>
      </c>
      <c r="CD26" s="698">
        <f t="shared" si="605"/>
        <v>0.61020037945647743</v>
      </c>
      <c r="CE26" s="593">
        <f>'Proy 2021 vs 2019 Sem'!EH25*$CH$4</f>
        <v>31964.983400000001</v>
      </c>
      <c r="CF26" s="593">
        <f>'Proy 2021 vs 2019 Sem'!EI25*$CH$4</f>
        <v>22375.488379999999</v>
      </c>
      <c r="CG26" s="734">
        <v>19865.55</v>
      </c>
      <c r="CH26" s="698">
        <f t="shared" si="606"/>
        <v>0.62147850200353927</v>
      </c>
      <c r="CI26" s="593">
        <f>'Proy 2021 vs 2019 Sem'!EH25*$CL$4</f>
        <v>36531.409599999999</v>
      </c>
      <c r="CJ26" s="593">
        <f>'Proy 2021 vs 2019 Sem'!EI25*$CL$4</f>
        <v>25571.986719999997</v>
      </c>
      <c r="CK26" s="734">
        <v>24825.48</v>
      </c>
      <c r="CL26" s="698">
        <f t="shared" si="607"/>
        <v>0.67956534587157025</v>
      </c>
      <c r="CM26" s="593">
        <f>'Proy 2021 vs 2019 Sem'!EH25*$CP$4</f>
        <v>50230.688199999997</v>
      </c>
      <c r="CN26" s="593">
        <f>'Proy 2021 vs 2019 Sem'!EI25*$CP$4</f>
        <v>35161.481739999996</v>
      </c>
      <c r="CO26" s="734">
        <v>37228.28</v>
      </c>
      <c r="CP26" s="698">
        <f t="shared" si="608"/>
        <v>0.74114612668197533</v>
      </c>
      <c r="CQ26" s="610">
        <f t="shared" si="609"/>
        <v>228321.31000000003</v>
      </c>
      <c r="CR26" s="593">
        <f t="shared" si="610"/>
        <v>159824.91699999999</v>
      </c>
      <c r="CS26" s="729">
        <f t="shared" si="611"/>
        <v>138373.15999999997</v>
      </c>
      <c r="CT26" s="709">
        <f t="shared" si="612"/>
        <v>0.60604575192740417</v>
      </c>
      <c r="CU26" s="593">
        <f>'Proy 2021 vs 2019 Sem'!EM25*$CX$4</f>
        <v>30759.261599999998</v>
      </c>
      <c r="CV26" s="593">
        <f>'Proy 2021 vs 2019 Sem'!EN25*$CX$4</f>
        <v>24607.40928</v>
      </c>
      <c r="CW26" s="734">
        <v>11422.68</v>
      </c>
      <c r="CX26" s="698">
        <f t="shared" si="613"/>
        <v>0.37135741906106096</v>
      </c>
      <c r="CY26" s="593">
        <f>'Proy 2021 vs 2019 Sem'!EM25*$DB$4</f>
        <v>30759.261599999998</v>
      </c>
      <c r="CZ26" s="593">
        <f>'Proy 2021 vs 2019 Sem'!EN25*$DB$4</f>
        <v>24607.40928</v>
      </c>
      <c r="DA26" s="734">
        <v>12811.18</v>
      </c>
      <c r="DB26" s="698">
        <f t="shared" si="614"/>
        <v>0.41649829461445853</v>
      </c>
      <c r="DC26" s="593">
        <f>'Proy 2021 vs 2019 Sem'!EM25*$DF$4</f>
        <v>30759.261599999998</v>
      </c>
      <c r="DD26" s="593">
        <f>'Proy 2021 vs 2019 Sem'!EN25*$DF$4</f>
        <v>24607.40928</v>
      </c>
      <c r="DE26" s="734">
        <v>16593.62</v>
      </c>
      <c r="DF26" s="698">
        <f t="shared" si="615"/>
        <v>0.53946743637044914</v>
      </c>
      <c r="DG26" s="593">
        <f>'Proy 2021 vs 2019 Sem'!EM25*$DJ$4</f>
        <v>30759.261599999998</v>
      </c>
      <c r="DH26" s="593">
        <f>'Proy 2021 vs 2019 Sem'!EN25*$DJ$4</f>
        <v>24607.40928</v>
      </c>
      <c r="DI26" s="734">
        <v>13397.92</v>
      </c>
      <c r="DJ26" s="698">
        <f t="shared" si="616"/>
        <v>0.4355735249509371</v>
      </c>
      <c r="DK26" s="593">
        <f>'Proy 2021 vs 2019 Sem'!EM25*$DN$4</f>
        <v>35885.805200000003</v>
      </c>
      <c r="DL26" s="593">
        <f>'Proy 2021 vs 2019 Sem'!EN25*$DN$4</f>
        <v>28708.644160000003</v>
      </c>
      <c r="DM26" s="734">
        <v>19850.88</v>
      </c>
      <c r="DN26" s="698">
        <f t="shared" si="617"/>
        <v>0.5531680253338721</v>
      </c>
      <c r="DO26" s="593">
        <f>'Proy 2021 vs 2019 Sem'!EM25*$DR$4</f>
        <v>41012.3488</v>
      </c>
      <c r="DP26" s="593">
        <f>'Proy 2021 vs 2019 Sem'!EN25*$DR$4</f>
        <v>32809.87904</v>
      </c>
      <c r="DQ26" s="734">
        <v>25960.28</v>
      </c>
      <c r="DR26" s="698">
        <f t="shared" si="618"/>
        <v>0.63298691149334996</v>
      </c>
      <c r="DS26" s="593">
        <f>'Proy 2021 vs 2019 Sem'!EM25*$DV$4</f>
        <v>56391.979599999999</v>
      </c>
      <c r="DT26" s="593">
        <f>'Proy 2021 vs 2019 Sem'!EN25*$DV$4</f>
        <v>45113.583680000003</v>
      </c>
      <c r="DU26" s="734">
        <v>37189.24</v>
      </c>
      <c r="DV26" s="698">
        <f t="shared" si="619"/>
        <v>0.6594774693811245</v>
      </c>
      <c r="DW26" s="610">
        <f t="shared" si="620"/>
        <v>256327.18</v>
      </c>
      <c r="DX26" s="593">
        <f t="shared" si="621"/>
        <v>205061.74400000001</v>
      </c>
      <c r="DY26" s="708">
        <f t="shared" si="622"/>
        <v>137225.79999999999</v>
      </c>
      <c r="DZ26" s="709">
        <f t="shared" si="623"/>
        <v>0.53535407364915411</v>
      </c>
      <c r="EA26" s="593">
        <f>'Proy 2021 vs 2019 Sem'!ER25*$ED$4</f>
        <v>28593.0072</v>
      </c>
      <c r="EB26" s="593">
        <f>'Proy 2021 vs 2019 Sem'!ES25*$ED$4</f>
        <v>17155.804319999999</v>
      </c>
      <c r="EC26" s="734">
        <v>13746.64</v>
      </c>
      <c r="ED26" s="698">
        <f t="shared" si="624"/>
        <v>0.48076929802612717</v>
      </c>
      <c r="EE26" s="593">
        <f>'Proy 2021 vs 2019 Sem'!ER25*$EH$4</f>
        <v>28593.0072</v>
      </c>
      <c r="EF26" s="593">
        <f>'Proy 2021 vs 2019 Sem'!ES25*$EH$4</f>
        <v>17155.804319999999</v>
      </c>
      <c r="EG26" s="734">
        <v>14838.92</v>
      </c>
      <c r="EH26" s="698">
        <f t="shared" si="625"/>
        <v>0.51897024668325198</v>
      </c>
      <c r="EI26" s="593">
        <f>'Proy 2021 vs 2019 Sem'!ER25*$EL$4</f>
        <v>28593.0072</v>
      </c>
      <c r="EJ26" s="593">
        <f>'Proy 2021 vs 2019 Sem'!ES25*$EL$4</f>
        <v>17155.804319999999</v>
      </c>
      <c r="EK26" s="734">
        <v>13335.44</v>
      </c>
      <c r="EL26" s="698">
        <f t="shared" si="626"/>
        <v>0.46638815940982942</v>
      </c>
      <c r="EM26" s="593">
        <f>'Proy 2021 vs 2019 Sem'!ER25*$EP$4</f>
        <v>28593.0072</v>
      </c>
      <c r="EN26" s="593">
        <f>'Proy 2021 vs 2019 Sem'!ES25*$EP$4</f>
        <v>17155.804319999999</v>
      </c>
      <c r="EO26" s="734">
        <v>22221.84</v>
      </c>
      <c r="EP26" s="698">
        <f t="shared" si="627"/>
        <v>0.77717743518771965</v>
      </c>
      <c r="EQ26" s="593">
        <f>'Proy 2021 vs 2019 Sem'!ER25*$ET$4</f>
        <v>33358.508400000006</v>
      </c>
      <c r="ER26" s="593">
        <f>'Proy 2021 vs 2019 Sem'!ES25*$ET$4</f>
        <v>20015.105040000002</v>
      </c>
      <c r="ES26" s="734">
        <v>28348.16</v>
      </c>
      <c r="ET26" s="698">
        <f t="shared" si="628"/>
        <v>0.84980298459627757</v>
      </c>
      <c r="EU26" s="593">
        <f>'Proy 2021 vs 2019 Sem'!ER25*$EX$4</f>
        <v>38124.009599999998</v>
      </c>
      <c r="EV26" s="593">
        <f>'Proy 2021 vs 2019 Sem'!ES25*$EX$4</f>
        <v>22874.405759999998</v>
      </c>
      <c r="EW26" s="734">
        <v>34476.370000000003</v>
      </c>
      <c r="EX26" s="698">
        <f t="shared" si="629"/>
        <v>0.90432172171103442</v>
      </c>
      <c r="EY26" s="593">
        <f>'Proy 2021 vs 2019 Sem'!ER25*$FB$4</f>
        <v>52420.513200000001</v>
      </c>
      <c r="EZ26" s="593">
        <f>'Proy 2021 vs 2019 Sem'!ES25*$FB$4</f>
        <v>31452.307919999999</v>
      </c>
      <c r="FA26" s="697">
        <v>40344.18</v>
      </c>
      <c r="FB26" s="698">
        <f t="shared" si="630"/>
        <v>0.76962581129404128</v>
      </c>
      <c r="FC26" s="610">
        <f t="shared" si="631"/>
        <v>238275.06</v>
      </c>
      <c r="FD26" s="593">
        <f t="shared" si="632"/>
        <v>142965.03599999999</v>
      </c>
      <c r="FE26" s="708">
        <f t="shared" si="633"/>
        <v>167311.54999999999</v>
      </c>
      <c r="FF26" s="709">
        <f t="shared" si="634"/>
        <v>0.70217818851876479</v>
      </c>
      <c r="FG26" s="593">
        <f>'Proy 2021 vs 2019 Sem'!FA25*$FJ$4</f>
        <v>24762.326399999998</v>
      </c>
      <c r="FH26" s="593">
        <f>'Proy 2021 vs 2019 Sem'!FB25*$FJ$4</f>
        <v>17333.628479999996</v>
      </c>
      <c r="FI26" s="734">
        <v>13133.32</v>
      </c>
      <c r="FJ26" s="698">
        <f t="shared" si="635"/>
        <v>0.5303750458599884</v>
      </c>
      <c r="FK26" s="593">
        <f>'Proy 2021 vs 2019 Sem'!FA25*$FN$4</f>
        <v>24762.326399999998</v>
      </c>
      <c r="FL26" s="593">
        <f>'Proy 2021 vs 2019 Sem'!FB25*$FN$4</f>
        <v>17333.628479999996</v>
      </c>
      <c r="FM26" s="734">
        <v>17059.05</v>
      </c>
      <c r="FN26" s="698">
        <f t="shared" si="636"/>
        <v>0.68891144250485292</v>
      </c>
      <c r="FO26" s="593">
        <f>'Proy 2021 vs 2019 Sem'!FA25*$FR$4</f>
        <v>24762.326399999998</v>
      </c>
      <c r="FP26" s="593">
        <f>'Proy 2021 vs 2019 Sem'!FB25*$FR$4</f>
        <v>17333.628479999996</v>
      </c>
      <c r="FQ26" s="734">
        <v>18148.52</v>
      </c>
      <c r="FR26" s="698">
        <f t="shared" si="637"/>
        <v>0.73290852025922737</v>
      </c>
      <c r="FS26" s="593">
        <f>'Proy 2021 vs 2019 Sem'!FA25*$FV$4</f>
        <v>24762.326399999998</v>
      </c>
      <c r="FT26" s="593">
        <f>'Proy 2021 vs 2019 Sem'!FB25*$FV$4</f>
        <v>17333.628479999996</v>
      </c>
      <c r="FU26" s="734">
        <v>18281.02</v>
      </c>
      <c r="FV26" s="698">
        <f t="shared" si="638"/>
        <v>0.7382593906847138</v>
      </c>
      <c r="FW26" s="593">
        <f>'Proy 2021 vs 2019 Sem'!FA25*$FZ$4</f>
        <v>28889.380800000003</v>
      </c>
      <c r="FX26" s="593">
        <f>'Proy 2021 vs 2019 Sem'!FB25*$FZ$4</f>
        <v>20222.566559999999</v>
      </c>
      <c r="FY26" s="734">
        <v>17607.830000000002</v>
      </c>
      <c r="FZ26" s="698">
        <f t="shared" si="639"/>
        <v>0.60949142945978263</v>
      </c>
      <c r="GA26" s="593">
        <f>'Proy 2021 vs 2019 Sem'!FA25*$GD$4</f>
        <v>33016.4352</v>
      </c>
      <c r="GB26" s="593">
        <f>'Proy 2021 vs 2019 Sem'!FB25*$GD$4</f>
        <v>23111.504639999996</v>
      </c>
      <c r="GC26" s="734">
        <v>38788.6</v>
      </c>
      <c r="GD26" s="698">
        <f t="shared" si="640"/>
        <v>1.1748270146378492</v>
      </c>
      <c r="GE26" s="593">
        <f>'Proy 2021 vs 2019 Sem'!FA25*$GH$4</f>
        <v>45397.598400000003</v>
      </c>
      <c r="GF26" s="593">
        <f>'Proy 2021 vs 2019 Sem'!FB25*$GH$4</f>
        <v>31778.318879999995</v>
      </c>
      <c r="GG26" s="734">
        <v>43781.34</v>
      </c>
      <c r="GH26" s="698">
        <f t="shared" si="641"/>
        <v>0.96439771139964081</v>
      </c>
      <c r="GI26" s="610">
        <f t="shared" si="642"/>
        <v>206352.71999999997</v>
      </c>
      <c r="GJ26" s="593">
        <f t="shared" si="643"/>
        <v>144446.90399999998</v>
      </c>
      <c r="GK26" s="759">
        <f t="shared" si="644"/>
        <v>166799.67999999999</v>
      </c>
      <c r="GL26" s="760">
        <f t="shared" si="645"/>
        <v>0.80832314689140039</v>
      </c>
      <c r="GM26" s="593">
        <f>'Proy 2021 vs 2019 Sem'!FF25*$GP$4</f>
        <v>24748.853999999999</v>
      </c>
      <c r="GN26" s="593">
        <f>'Proy 2021 vs 2019 Sem'!FG25*$GP$4</f>
        <v>18809.12904</v>
      </c>
      <c r="GO26" s="734">
        <v>12163.27</v>
      </c>
      <c r="GP26" s="698">
        <f t="shared" si="646"/>
        <v>0.49146800898336546</v>
      </c>
      <c r="GQ26" s="593">
        <f>'Proy 2021 vs 2019 Sem'!FF25*$GT$4</f>
        <v>24748.853999999999</v>
      </c>
      <c r="GR26" s="593">
        <f>'Proy 2021 vs 2019 Sem'!FG25*$GT$4</f>
        <v>18809.12904</v>
      </c>
      <c r="GS26" s="734">
        <v>13424.12</v>
      </c>
      <c r="GT26" s="698">
        <f t="shared" si="647"/>
        <v>0.54241380227141023</v>
      </c>
      <c r="GU26" s="593">
        <f>'Proy 2021 vs 2019 Sem'!FF25*$GX$4</f>
        <v>24748.853999999999</v>
      </c>
      <c r="GV26" s="593">
        <f>'Proy 2021 vs 2019 Sem'!FG25*$GX$4</f>
        <v>18809.12904</v>
      </c>
      <c r="GW26" s="734">
        <v>22346.98</v>
      </c>
      <c r="GX26" s="698">
        <f t="shared" si="648"/>
        <v>0.90295009215376199</v>
      </c>
      <c r="GY26" s="593">
        <f>'Proy 2021 vs 2019 Sem'!FF25*$HB$4</f>
        <v>24748.853999999999</v>
      </c>
      <c r="GZ26" s="593">
        <f>'Proy 2021 vs 2019 Sem'!FG25*$HB$4</f>
        <v>18809.12904</v>
      </c>
      <c r="HA26" s="734">
        <v>21244.85</v>
      </c>
      <c r="HB26" s="698">
        <f t="shared" si="649"/>
        <v>0.85841752511045555</v>
      </c>
      <c r="HC26" s="593">
        <f>'Proy 2021 vs 2019 Sem'!FF25*$HF$4</f>
        <v>28873.663000000004</v>
      </c>
      <c r="HD26" s="593">
        <f>'Proy 2021 vs 2019 Sem'!FG25*$HF$4</f>
        <v>21943.983880000003</v>
      </c>
      <c r="HE26" s="734">
        <v>27555.81</v>
      </c>
      <c r="HF26" s="698">
        <f t="shared" si="650"/>
        <v>0.95435795589911809</v>
      </c>
      <c r="HG26" s="593">
        <f>'Proy 2021 vs 2019 Sem'!FF25*$HJ$4</f>
        <v>32998.472000000002</v>
      </c>
      <c r="HH26" s="593">
        <f>'Proy 2021 vs 2019 Sem'!FG25*$HJ$4</f>
        <v>25078.83872</v>
      </c>
      <c r="HI26" s="734">
        <v>34991.94</v>
      </c>
      <c r="HJ26" s="698">
        <f t="shared" si="651"/>
        <v>1.0604109184207076</v>
      </c>
      <c r="HK26" s="593">
        <f>'Proy 2021 vs 2019 Sem'!FF25*$HN$4</f>
        <v>45372.899000000005</v>
      </c>
      <c r="HL26" s="593">
        <f>'Proy 2021 vs 2019 Sem'!FG25*$HN$4</f>
        <v>34483.40324</v>
      </c>
      <c r="HM26" s="734">
        <v>47697.51</v>
      </c>
      <c r="HN26" s="698">
        <f t="shared" si="652"/>
        <v>1.0512334686835858</v>
      </c>
      <c r="HO26" s="610">
        <f t="shared" si="653"/>
        <v>206240.45</v>
      </c>
      <c r="HP26" s="593">
        <f t="shared" si="654"/>
        <v>156742.742</v>
      </c>
      <c r="HQ26" s="759">
        <f t="shared" si="655"/>
        <v>179424.48</v>
      </c>
      <c r="HR26" s="760">
        <f t="shared" si="656"/>
        <v>0.86997715530585784</v>
      </c>
      <c r="HS26" s="593">
        <f>'Proy 2021 vs 2019 Sem'!FK25*$CX$4</f>
        <v>23437.286400000001</v>
      </c>
      <c r="HT26" s="593">
        <f>'Proy 2021 vs 2019 Sem'!FL25*$CX$4</f>
        <v>17812.337663999999</v>
      </c>
      <c r="HU26" s="734">
        <v>12728.59</v>
      </c>
      <c r="HV26" s="698">
        <f t="shared" si="657"/>
        <v>0.54309145618496169</v>
      </c>
      <c r="HW26" s="593">
        <f>'Proy 2021 vs 2019 Sem'!FK25*$DB$4</f>
        <v>23437.286400000001</v>
      </c>
      <c r="HX26" s="593">
        <f>'Proy 2021 vs 2019 Sem'!FL25*$DB$4</f>
        <v>17812.337663999999</v>
      </c>
      <c r="HY26" s="734">
        <v>22555.55</v>
      </c>
      <c r="HZ26" s="698">
        <f t="shared" si="658"/>
        <v>0.96237890406971338</v>
      </c>
      <c r="IA26" s="593">
        <f>'Proy 2021 vs 2019 Sem'!FK25*$DF$4</f>
        <v>23437.286400000001</v>
      </c>
      <c r="IB26" s="593">
        <f>'Proy 2021 vs 2019 Sem'!FL25*$DF$4</f>
        <v>17812.337663999999</v>
      </c>
      <c r="IC26" s="734">
        <v>20530.189999999999</v>
      </c>
      <c r="ID26" s="698">
        <f t="shared" si="659"/>
        <v>0.87596275650751099</v>
      </c>
      <c r="IE26" s="593">
        <f>'Proy 2021 vs 2019 Sem'!FK25*$DJ$4</f>
        <v>23437.286400000001</v>
      </c>
      <c r="IF26" s="593">
        <f>'Proy 2021 vs 2019 Sem'!FL25*$DJ$4</f>
        <v>17812.337663999999</v>
      </c>
      <c r="IG26" s="734">
        <v>20845.669999999998</v>
      </c>
      <c r="IH26" s="698">
        <f t="shared" si="660"/>
        <v>0.8894233591820595</v>
      </c>
      <c r="II26" s="593">
        <f>'Proy 2021 vs 2019 Sem'!FK25*$DN$4</f>
        <v>27343.500800000002</v>
      </c>
      <c r="IJ26" s="593">
        <f>'Proy 2021 vs 2019 Sem'!FL25*$DN$4</f>
        <v>20781.060608000003</v>
      </c>
      <c r="IK26" s="734">
        <v>23025.68</v>
      </c>
      <c r="IL26" s="698">
        <f t="shared" si="661"/>
        <v>0.84208968589713273</v>
      </c>
      <c r="IM26" s="593">
        <f>'Proy 2021 vs 2019 Sem'!FK25*$DR$4</f>
        <v>31249.715200000002</v>
      </c>
      <c r="IN26" s="593">
        <f>'Proy 2021 vs 2019 Sem'!FL25*$DR$4</f>
        <v>23749.783552000001</v>
      </c>
      <c r="IO26" s="1413">
        <v>34264.660000000003</v>
      </c>
      <c r="IP26" s="698">
        <f t="shared" si="662"/>
        <v>1.096479112872043</v>
      </c>
      <c r="IQ26" s="593">
        <f>'Proy 2021 vs 2019 Sem'!FK25*$IT$4</f>
        <v>42968.358399999997</v>
      </c>
      <c r="IR26" s="593">
        <f>'Proy 2021 vs 2019 Sem'!FL25*$IT$4</f>
        <v>32655.952384</v>
      </c>
      <c r="IS26" s="734">
        <v>53960.17</v>
      </c>
      <c r="IT26" s="698">
        <f t="shared" si="663"/>
        <v>1.2558117649661011</v>
      </c>
      <c r="IU26" s="610">
        <f t="shared" si="664"/>
        <v>195310.72</v>
      </c>
      <c r="IV26" s="593">
        <f t="shared" si="665"/>
        <v>148436.14720000001</v>
      </c>
      <c r="IW26" s="759">
        <f t="shared" si="666"/>
        <v>187910.51</v>
      </c>
      <c r="IX26" s="760">
        <f t="shared" si="667"/>
        <v>0.96211057949097734</v>
      </c>
      <c r="IY26" s="593">
        <f>'Proy 2021 vs 2019 Sem'!FP25*$JB$4</f>
        <v>21740.972399999999</v>
      </c>
      <c r="IZ26" s="593">
        <f>'Proy 2021 vs 2019 Sem'!FQ25*$JB$4</f>
        <v>16957.958471999998</v>
      </c>
      <c r="JA26" s="734">
        <v>12466.32</v>
      </c>
      <c r="JB26" s="698">
        <f t="shared" si="668"/>
        <v>0.57340213540770613</v>
      </c>
      <c r="JC26" s="593">
        <f>'Proy 2021 vs 2019 Sem'!FP25*$JF$4</f>
        <v>21740.972399999999</v>
      </c>
      <c r="JD26" s="593">
        <f>'Proy 2021 vs 2019 Sem'!FQ25*$JF$4</f>
        <v>16957.958471999998</v>
      </c>
      <c r="JE26" s="734">
        <v>13229.73</v>
      </c>
      <c r="JF26" s="698">
        <f t="shared" si="669"/>
        <v>0.60851602019420259</v>
      </c>
      <c r="JG26" s="593">
        <f>'Proy 2021 vs 2019 Sem'!FP25*$JJ$4</f>
        <v>21740.972399999999</v>
      </c>
      <c r="JH26" s="593">
        <f>'Proy 2021 vs 2019 Sem'!FQ25*$JJ$4</f>
        <v>16957.958471999998</v>
      </c>
      <c r="JI26" s="734">
        <v>15066.3</v>
      </c>
      <c r="JJ26" s="698">
        <f t="shared" si="670"/>
        <v>0.69299108258837583</v>
      </c>
      <c r="JK26" s="593">
        <f>'Proy 2021 vs 2019 Sem'!FP25*$JN$4</f>
        <v>21740.972399999999</v>
      </c>
      <c r="JL26" s="593">
        <f>'Proy 2021 vs 2019 Sem'!FQ25*$JN$4</f>
        <v>16957.958471999998</v>
      </c>
      <c r="JM26" s="734">
        <v>16213.18</v>
      </c>
      <c r="JN26" s="698">
        <f t="shared" si="671"/>
        <v>0.74574309288944229</v>
      </c>
      <c r="JO26" s="593">
        <f>'Proy 2021 vs 2019 Sem'!FP25*$JR$4</f>
        <v>25364.467800000002</v>
      </c>
      <c r="JP26" s="593">
        <f>'Proy 2021 vs 2019 Sem'!FQ25*$JR$4</f>
        <v>19784.284884000004</v>
      </c>
      <c r="JQ26" s="734">
        <v>31022.63</v>
      </c>
      <c r="JR26" s="698">
        <f t="shared" si="672"/>
        <v>1.2230743512781292</v>
      </c>
      <c r="JS26" s="593">
        <f>'Proy 2021 vs 2019 Sem'!FP25*$JV$4</f>
        <v>28987.963199999998</v>
      </c>
      <c r="JT26" s="593">
        <f>'Proy 2021 vs 2019 Sem'!FQ25*$JV$4</f>
        <v>22610.611296000003</v>
      </c>
      <c r="JU26" s="734">
        <v>32033.09</v>
      </c>
      <c r="JV26" s="698">
        <f t="shared" si="673"/>
        <v>1.1050479738431571</v>
      </c>
      <c r="JW26" s="593">
        <f>'Proy 2021 vs 2019 Sem'!FP25*$JZ$4</f>
        <v>39858.449399999998</v>
      </c>
      <c r="JX26" s="593">
        <f>'Proy 2021 vs 2019 Sem'!FQ25*$JZ$4</f>
        <v>31089.590532000002</v>
      </c>
      <c r="JY26" s="734">
        <v>46696.76</v>
      </c>
      <c r="JZ26" s="698">
        <f t="shared" si="674"/>
        <v>1.171564892838004</v>
      </c>
      <c r="KA26" s="610">
        <f t="shared" si="675"/>
        <v>181174.76999999996</v>
      </c>
      <c r="KB26" s="593">
        <f t="shared" si="676"/>
        <v>141316.32060000001</v>
      </c>
      <c r="KC26" s="769">
        <f t="shared" si="677"/>
        <v>166728.01</v>
      </c>
      <c r="KD26" s="760">
        <f t="shared" si="678"/>
        <v>0.92026064114777151</v>
      </c>
      <c r="KE26" s="593">
        <f>'Proy 2021 vs 2019 Sem'!FY25*$KH$4</f>
        <v>19189.783199999998</v>
      </c>
      <c r="KF26" s="593">
        <f>'Proy 2021 vs 2019 Sem'!FZ25*$KH$4</f>
        <v>15735.622223999997</v>
      </c>
      <c r="KG26" s="734">
        <v>13221.86</v>
      </c>
      <c r="KH26" s="698">
        <f t="shared" si="679"/>
        <v>0.68900517854730126</v>
      </c>
      <c r="KI26" s="593">
        <f>'Proy 2021 vs 2019 Sem'!FY25*$KL$4</f>
        <v>19189.783199999998</v>
      </c>
      <c r="KJ26" s="593">
        <f>'Proy 2021 vs 2019 Sem'!FZ25*$KL$4</f>
        <v>15735.622223999997</v>
      </c>
      <c r="KK26" s="734">
        <v>15141</v>
      </c>
      <c r="KL26" s="698">
        <f t="shared" si="680"/>
        <v>0.78901360386395614</v>
      </c>
      <c r="KM26" s="593">
        <f>'Proy 2021 vs 2019 Sem'!FY25*$KP$4</f>
        <v>19189.783199999998</v>
      </c>
      <c r="KN26" s="593">
        <f>'Proy 2021 vs 2019 Sem'!FZ25*$KP$4</f>
        <v>15735.622223999997</v>
      </c>
      <c r="KO26" s="734">
        <v>14599.67</v>
      </c>
      <c r="KP26" s="698">
        <f t="shared" si="681"/>
        <v>0.76080432216659966</v>
      </c>
      <c r="KQ26" s="593">
        <f>'Proy 2021 vs 2019 Sem'!FY25*$KT$4</f>
        <v>19189.783199999998</v>
      </c>
      <c r="KR26" s="593">
        <f>'Proy 2021 vs 2019 Sem'!FZ25*$KT$4</f>
        <v>15735.622223999997</v>
      </c>
      <c r="KS26" s="734">
        <v>19847.75</v>
      </c>
      <c r="KT26" s="698">
        <f t="shared" si="682"/>
        <v>1.0342873493224249</v>
      </c>
      <c r="KU26" s="593">
        <f>'Proy 2021 vs 2019 Sem'!FY25*$KX$4</f>
        <v>22388.080399999999</v>
      </c>
      <c r="KV26" s="593">
        <f>'Proy 2021 vs 2019 Sem'!FZ25*$KX$4</f>
        <v>18358.225928</v>
      </c>
      <c r="KW26" s="734">
        <v>28215.61</v>
      </c>
      <c r="KX26" s="698">
        <f t="shared" si="683"/>
        <v>1.2602960814809296</v>
      </c>
      <c r="KY26" s="593">
        <f>'Proy 2021 vs 2019 Sem'!FY25*$LB$4</f>
        <v>25586.3776</v>
      </c>
      <c r="KZ26" s="593">
        <f>'Proy 2021 vs 2019 Sem'!FZ25*$LB$4</f>
        <v>20980.829631999997</v>
      </c>
      <c r="LA26" s="734">
        <v>30798.52</v>
      </c>
      <c r="LB26" s="698">
        <f t="shared" si="684"/>
        <v>1.2037077104654315</v>
      </c>
      <c r="LC26" s="593">
        <f>'Proy 2021 vs 2019 Sem'!FY25*$LF$4</f>
        <v>35181.269199999995</v>
      </c>
      <c r="LD26" s="593">
        <f>'Proy 2021 vs 2019 Sem'!FZ25*$LF$4</f>
        <v>28848.640743999997</v>
      </c>
      <c r="LE26" s="734">
        <v>43013.48</v>
      </c>
      <c r="LF26" s="698">
        <f t="shared" si="685"/>
        <v>1.2226244526732426</v>
      </c>
      <c r="LG26" s="610">
        <f t="shared" si="686"/>
        <v>159914.85999999999</v>
      </c>
      <c r="LH26" s="593">
        <f t="shared" si="687"/>
        <v>131130.18519999998</v>
      </c>
      <c r="LI26" s="793">
        <f t="shared" si="688"/>
        <v>164837.89000000001</v>
      </c>
      <c r="LJ26" s="784">
        <f t="shared" si="689"/>
        <v>1.0307853191379464</v>
      </c>
      <c r="LK26" s="593">
        <f>'Proy 2021 vs 2019 Sem'!GD25*$LN$4</f>
        <v>19068.871200000001</v>
      </c>
      <c r="LL26" s="593">
        <f>'Proy 2021 vs 2019 Sem'!GE25*$LN$4</f>
        <v>15636.474383999999</v>
      </c>
      <c r="LM26" s="734">
        <v>12364.82</v>
      </c>
      <c r="LN26" s="698">
        <f t="shared" si="690"/>
        <v>0.64842957248565392</v>
      </c>
      <c r="LO26" s="593">
        <f>'Proy 2021 vs 2019 Sem'!GD25*$LR$4</f>
        <v>19068.871200000001</v>
      </c>
      <c r="LP26" s="593">
        <f>'Proy 2021 vs 2019 Sem'!GE25*$LR$4</f>
        <v>15636.474383999999</v>
      </c>
      <c r="LQ26" s="734">
        <v>10119.94</v>
      </c>
      <c r="LR26" s="698">
        <f t="shared" si="691"/>
        <v>0.53070472257424439</v>
      </c>
      <c r="LS26" s="593">
        <f>'Proy 2021 vs 2019 Sem'!GD25*$LV$4</f>
        <v>19068.871200000001</v>
      </c>
      <c r="LT26" s="593">
        <f>'Proy 2021 vs 2019 Sem'!GE25*$LV$4</f>
        <v>15636.474383999999</v>
      </c>
      <c r="LU26" s="734">
        <v>12840.65</v>
      </c>
      <c r="LV26" s="698">
        <f t="shared" si="692"/>
        <v>0.6733828062145597</v>
      </c>
      <c r="LW26" s="593">
        <f>'Proy 2021 vs 2019 Sem'!GD25*$LZ$4</f>
        <v>19068.871200000001</v>
      </c>
      <c r="LX26" s="593">
        <f>'Proy 2021 vs 2019 Sem'!GE25*$LZ$4</f>
        <v>15636.474383999999</v>
      </c>
      <c r="LY26" s="734">
        <v>13639.57</v>
      </c>
      <c r="LZ26" s="698">
        <f t="shared" si="693"/>
        <v>0.71527936063672182</v>
      </c>
      <c r="MA26" s="593">
        <f>'Proy 2021 vs 2019 Sem'!GD25*$MD$4</f>
        <v>22247.016400000004</v>
      </c>
      <c r="MB26" s="593">
        <f>'Proy 2021 vs 2019 Sem'!GE25*$MD$4</f>
        <v>18242.553448000002</v>
      </c>
      <c r="MC26" s="734">
        <v>19601.599999999999</v>
      </c>
      <c r="MD26" s="698">
        <f t="shared" si="694"/>
        <v>0.88108893559317891</v>
      </c>
      <c r="ME26" s="593">
        <f>'Proy 2021 vs 2019 Sem'!GD25*$MH$4</f>
        <v>25425.161600000003</v>
      </c>
      <c r="MF26" s="593">
        <f>'Proy 2021 vs 2019 Sem'!GE25*$MH$4</f>
        <v>20848.632512</v>
      </c>
      <c r="MG26" s="734">
        <v>26094.59</v>
      </c>
      <c r="MH26" s="698">
        <f t="shared" si="695"/>
        <v>1.026329366575196</v>
      </c>
      <c r="MI26" s="593">
        <f>'Proy 2021 vs 2019 Sem'!GD25*$ML$4</f>
        <v>34959.597200000004</v>
      </c>
      <c r="MJ26" s="593">
        <f>'Proy 2021 vs 2019 Sem'!GE25*$ML$4</f>
        <v>28666.869704000001</v>
      </c>
      <c r="MK26" s="734">
        <v>35546.18</v>
      </c>
      <c r="ML26" s="698">
        <f t="shared" si="696"/>
        <v>1.0167788775323761</v>
      </c>
      <c r="MM26" s="610">
        <f t="shared" si="697"/>
        <v>158907.26</v>
      </c>
      <c r="MN26" s="593">
        <f t="shared" si="698"/>
        <v>130303.95319999999</v>
      </c>
      <c r="MO26" s="793">
        <f t="shared" si="699"/>
        <v>130207.35</v>
      </c>
      <c r="MP26" s="784">
        <f t="shared" si="700"/>
        <v>0.8193920781215408</v>
      </c>
      <c r="MQ26" s="593">
        <f>'Proy 2021 vs 2019 Sem'!GI25*$MT$4</f>
        <v>19493.045999999998</v>
      </c>
      <c r="MR26" s="593">
        <f>'Proy 2021 vs 2019 Sem'!GJ25*$MT$4</f>
        <v>16569.089099999997</v>
      </c>
      <c r="MS26" s="734">
        <v>11115.24</v>
      </c>
      <c r="MT26" s="698">
        <f t="shared" si="701"/>
        <v>0.57021565536756036</v>
      </c>
      <c r="MU26" s="593">
        <f>'Proy 2021 vs 2019 Sem'!GI25*$MX$4</f>
        <v>19493.045999999998</v>
      </c>
      <c r="MV26" s="593">
        <f>'Proy 2021 vs 2019 Sem'!GJ25*$MX$4</f>
        <v>16569.089099999997</v>
      </c>
      <c r="MW26" s="734">
        <v>17051.830000000002</v>
      </c>
      <c r="MX26" s="698">
        <f t="shared" si="702"/>
        <v>0.87476477508953721</v>
      </c>
      <c r="MY26" s="593">
        <f>'Proy 2021 vs 2019 Sem'!GI25*$NB$4</f>
        <v>19493.045999999998</v>
      </c>
      <c r="MZ26" s="593">
        <f>'Proy 2021 vs 2019 Sem'!GJ25*$NB$4</f>
        <v>16569.089099999997</v>
      </c>
      <c r="NA26" s="734">
        <v>13375.09</v>
      </c>
      <c r="NB26" s="698">
        <f t="shared" si="703"/>
        <v>0.68614674176626889</v>
      </c>
      <c r="NC26" s="593">
        <f>'Proy 2021 vs 2019 Sem'!GI25*$NF$4</f>
        <v>19493.045999999998</v>
      </c>
      <c r="ND26" s="593">
        <f>'Proy 2021 vs 2019 Sem'!GJ25*$NF$4</f>
        <v>16569.089099999997</v>
      </c>
      <c r="NE26" s="734">
        <v>13197.47</v>
      </c>
      <c r="NF26" s="698">
        <f t="shared" si="704"/>
        <v>0.67703477434978609</v>
      </c>
      <c r="NG26" s="593">
        <f>'Proy 2021 vs 2019 Sem'!GI25*$NJ$4</f>
        <v>22741.886999999999</v>
      </c>
      <c r="NH26" s="593">
        <f>'Proy 2021 vs 2019 Sem'!GJ25*$NJ$4</f>
        <v>19330.603950000001</v>
      </c>
      <c r="NI26" s="734">
        <v>20503.04</v>
      </c>
      <c r="NJ26" s="698">
        <f t="shared" si="705"/>
        <v>0.90155403551165314</v>
      </c>
      <c r="NK26" s="593">
        <f>'Proy 2021 vs 2019 Sem'!GI25*$NN$4</f>
        <v>25990.727999999999</v>
      </c>
      <c r="NL26" s="593">
        <f>'Proy 2021 vs 2019 Sem'!GJ25*$NN$4</f>
        <v>22092.1188</v>
      </c>
      <c r="NM26" s="734">
        <v>23912.85</v>
      </c>
      <c r="NN26" s="698">
        <f t="shared" si="706"/>
        <v>0.92005310509193894</v>
      </c>
      <c r="NO26" s="593">
        <f>'Proy 2021 vs 2019 Sem'!GI25*$NR$4</f>
        <v>35737.250999999997</v>
      </c>
      <c r="NP26" s="593">
        <f>'Proy 2021 vs 2019 Sem'!GJ25*$NR$4</f>
        <v>30376.663349999999</v>
      </c>
      <c r="NQ26" s="734">
        <v>34852.18</v>
      </c>
      <c r="NR26" s="698">
        <f t="shared" si="707"/>
        <v>0.97523393727178409</v>
      </c>
      <c r="NS26" s="610">
        <f t="shared" si="708"/>
        <v>162442.04999999999</v>
      </c>
      <c r="NT26" s="593">
        <f t="shared" si="709"/>
        <v>138075.74249999999</v>
      </c>
      <c r="NU26" s="793">
        <f t="shared" si="710"/>
        <v>134007.70000000001</v>
      </c>
      <c r="NV26" s="784">
        <f t="shared" si="711"/>
        <v>0.8249569615749125</v>
      </c>
      <c r="NW26" s="593">
        <f>'Proy 2021 vs 2019 Sem'!GN25*$NZ$4</f>
        <v>18804.932399999998</v>
      </c>
      <c r="NX26" s="593">
        <f>'Proy 2021 vs 2019 Sem'!GO25*$NZ$4</f>
        <v>15043.94592</v>
      </c>
      <c r="NY26" s="734">
        <v>6712.83</v>
      </c>
      <c r="NZ26" s="698">
        <f t="shared" si="712"/>
        <v>0.35697176981077583</v>
      </c>
      <c r="OA26" s="593">
        <f>'Proy 2021 vs 2019 Sem'!GN25*$OD$4</f>
        <v>18804.932399999998</v>
      </c>
      <c r="OB26" s="593">
        <f>'Proy 2021 vs 2019 Sem'!GO25*$OD$4</f>
        <v>15043.94592</v>
      </c>
      <c r="OC26" s="734">
        <v>11091.74</v>
      </c>
      <c r="OD26" s="698">
        <f t="shared" si="713"/>
        <v>0.58983142103717434</v>
      </c>
      <c r="OE26" s="593">
        <f>'Proy 2021 vs 2019 Sem'!GN25*$OH$4</f>
        <v>18804.932399999998</v>
      </c>
      <c r="OF26" s="593">
        <f>'Proy 2021 vs 2019 Sem'!GO25*$OH$4</f>
        <v>15043.94592</v>
      </c>
      <c r="OG26" s="734">
        <v>13981.41</v>
      </c>
      <c r="OH26" s="698">
        <f t="shared" si="714"/>
        <v>0.74349695614965361</v>
      </c>
      <c r="OI26" s="593">
        <f>'Proy 2021 vs 2019 Sem'!GN25*$OL$4</f>
        <v>18804.932399999998</v>
      </c>
      <c r="OJ26" s="593">
        <f>'Proy 2021 vs 2019 Sem'!GO25*$OL$4</f>
        <v>15043.94592</v>
      </c>
      <c r="OK26" s="734">
        <v>13344.86</v>
      </c>
      <c r="OL26" s="698">
        <f t="shared" si="715"/>
        <v>0.70964679458246827</v>
      </c>
      <c r="OM26" s="593">
        <f>'Proy 2021 vs 2019 Sem'!GN25*$OP$4</f>
        <v>21939.087800000001</v>
      </c>
      <c r="ON26" s="593">
        <f>'Proy 2021 vs 2019 Sem'!GO25*$OP$4</f>
        <v>17551.270240000002</v>
      </c>
      <c r="OO26" s="734">
        <v>15386.27</v>
      </c>
      <c r="OP26" s="698">
        <f t="shared" si="716"/>
        <v>0.70131767283414581</v>
      </c>
      <c r="OQ26" s="593">
        <f>'Proy 2021 vs 2019 Sem'!GN25*$JV$4</f>
        <v>25073.243199999997</v>
      </c>
      <c r="OR26" s="593">
        <f>'Proy 2021 vs 2019 Sem'!GO25*$JV$4</f>
        <v>20058.594560000001</v>
      </c>
      <c r="OS26" s="734">
        <v>21017.37</v>
      </c>
      <c r="OT26" s="698">
        <f t="shared" si="717"/>
        <v>0.83823898776684791</v>
      </c>
      <c r="OU26" s="593">
        <f>'Proy 2021 vs 2019 Sem'!GN25*$OX$4</f>
        <v>34475.7094</v>
      </c>
      <c r="OV26" s="593">
        <f>'Proy 2021 vs 2019 Sem'!GO25*$OX$4</f>
        <v>27580.567520000001</v>
      </c>
      <c r="OW26" s="734">
        <v>39734.53</v>
      </c>
      <c r="OX26" s="698">
        <f t="shared" si="718"/>
        <v>1.1525369801382535</v>
      </c>
      <c r="OY26" s="610">
        <f t="shared" si="719"/>
        <v>156707.76999999999</v>
      </c>
      <c r="OZ26" s="593">
        <f t="shared" si="720"/>
        <v>125366.216</v>
      </c>
      <c r="PA26" s="783">
        <f t="shared" si="721"/>
        <v>121269.01</v>
      </c>
      <c r="PB26" s="784">
        <f t="shared" si="722"/>
        <v>0.77385448085950048</v>
      </c>
      <c r="PC26" s="593">
        <f>'Proy 2021 vs 2019 Sem'!GW25*$PF$4</f>
        <v>20052.239999999998</v>
      </c>
      <c r="PD26" s="593">
        <f>'Proy 2021 vs 2019 Sem'!GX25*$PF$4</f>
        <v>16843.881599999997</v>
      </c>
      <c r="PE26" s="734">
        <v>9360.32</v>
      </c>
      <c r="PF26" s="698">
        <f t="shared" si="723"/>
        <v>0.46679672694920871</v>
      </c>
      <c r="PG26" s="593">
        <f>'Proy 2021 vs 2019 Sem'!GW25*$PJ$4</f>
        <v>20052.239999999998</v>
      </c>
      <c r="PH26" s="593">
        <f>'Proy 2021 vs 2019 Sem'!GX25*$PJ$4</f>
        <v>16843.881599999997</v>
      </c>
      <c r="PI26" s="734">
        <v>12847.56</v>
      </c>
      <c r="PJ26" s="698">
        <f t="shared" si="724"/>
        <v>0.6407044798985051</v>
      </c>
      <c r="PK26" s="593">
        <f>'Proy 2021 vs 2019 Sem'!GW25*'Vtas Diarias 2021'!$PN$4</f>
        <v>20052.239999999998</v>
      </c>
      <c r="PL26" s="593">
        <f>'Proy 2021 vs 2019 Sem'!GX25*'Vtas Diarias 2021'!$PN$4</f>
        <v>16843.881599999997</v>
      </c>
      <c r="PM26" s="734">
        <v>14463.08</v>
      </c>
      <c r="PN26" s="698">
        <f t="shared" si="725"/>
        <v>0.72127004264860195</v>
      </c>
      <c r="PO26" s="593">
        <f>'Proy 2021 vs 2019 Sem'!GW25*$PR$4</f>
        <v>20052.239999999998</v>
      </c>
      <c r="PP26" s="593">
        <f>'Proy 2021 vs 2019 Sem'!GX25*$PR$4</f>
        <v>16843.881599999997</v>
      </c>
      <c r="PQ26" s="734">
        <v>12723.86</v>
      </c>
      <c r="PR26" s="698">
        <f t="shared" si="726"/>
        <v>0.63453559303100315</v>
      </c>
      <c r="PS26" s="593">
        <f>'Proy 2021 vs 2019 Sem'!GW25*$PV$4</f>
        <v>23394.280000000002</v>
      </c>
      <c r="PT26" s="593">
        <f>'Proy 2021 vs 2019 Sem'!GX25*$PV$4</f>
        <v>19651.195200000002</v>
      </c>
      <c r="PU26" s="734">
        <v>18516.53</v>
      </c>
      <c r="PV26" s="698">
        <f t="shared" si="727"/>
        <v>0.79149817818714652</v>
      </c>
      <c r="PW26" s="593">
        <f>'Proy 2021 vs 2019 Sem'!GW25*PZ$4</f>
        <v>26736.32</v>
      </c>
      <c r="PX26" s="593">
        <f>'Proy 2021 vs 2019 Sem'!GX25*$PZ$4</f>
        <v>22458.5088</v>
      </c>
      <c r="PY26" s="734">
        <v>26375.29</v>
      </c>
      <c r="PZ26" s="698">
        <f t="shared" si="728"/>
        <v>0.98649664576127161</v>
      </c>
      <c r="QA26" s="593">
        <f>'Proy 2021 vs 2019 Sem'!GW25*$QD$4</f>
        <v>36762.44</v>
      </c>
      <c r="QB26" s="593">
        <f>'Proy 2021 vs 2019 Sem'!GX25*$QD$4</f>
        <v>30880.4496</v>
      </c>
      <c r="QC26" s="734">
        <v>37452.74</v>
      </c>
      <c r="QD26" s="698">
        <f t="shared" si="729"/>
        <v>1.0187773172836188</v>
      </c>
      <c r="QE26" s="610">
        <f t="shared" si="730"/>
        <v>167102</v>
      </c>
      <c r="QF26" s="593">
        <f t="shared" si="731"/>
        <v>140365.68</v>
      </c>
      <c r="QG26" s="729">
        <f t="shared" si="732"/>
        <v>131739.38</v>
      </c>
      <c r="QH26" s="709">
        <f t="shared" si="733"/>
        <v>0.78837703917367841</v>
      </c>
      <c r="QI26" s="578">
        <f>'Proy 2021 vs 2019 Sem'!HB25*$QL$4</f>
        <v>17168.860799999999</v>
      </c>
      <c r="QJ26" s="611">
        <f>'Proy 2021 vs 2019 Sem'!UG25*$AL$4</f>
        <v>0</v>
      </c>
      <c r="QK26" s="734">
        <v>11518.18</v>
      </c>
      <c r="QL26" s="698">
        <f t="shared" si="734"/>
        <v>0.67087619465119086</v>
      </c>
      <c r="QM26" s="593">
        <f>'Proy 2021 vs 2019 Sem'!HB25*$QP$4</f>
        <v>17168.860799999999</v>
      </c>
      <c r="QN26" s="593">
        <f>'Proy 2021 vs 2019 Sem'!UG25*$AP$4</f>
        <v>0</v>
      </c>
      <c r="QO26" s="734">
        <v>10242.19</v>
      </c>
      <c r="QP26" s="698">
        <f t="shared" si="735"/>
        <v>0.59655617919623427</v>
      </c>
      <c r="QQ26" s="593">
        <f>'Proy 2021 vs 2019 Sem'!HB25*$QT$4</f>
        <v>17168.860799999999</v>
      </c>
      <c r="QR26" s="593">
        <f>'Proy 2021 vs 2019 Sem'!HC25*$QT$4</f>
        <v>14593.531679999998</v>
      </c>
      <c r="QS26" s="734">
        <v>11482.96</v>
      </c>
      <c r="QT26" s="698">
        <f t="shared" si="736"/>
        <v>0.66882480636106034</v>
      </c>
      <c r="QU26" s="593">
        <f>'Proy 2021 vs 2019 Sem'!HB25*$QX$4</f>
        <v>17168.860799999999</v>
      </c>
      <c r="QV26" s="593">
        <f>'Proy 2021 vs 2019 Sem'!HC25*$QX$4</f>
        <v>14593.531679999998</v>
      </c>
      <c r="QW26" s="734">
        <v>11609.04</v>
      </c>
      <c r="QX26" s="698">
        <f t="shared" si="737"/>
        <v>0.67616833377785912</v>
      </c>
      <c r="QY26" s="593">
        <f>'Proy 2021 vs 2019 Sem'!HB25*$RB$4</f>
        <v>20030.337600000003</v>
      </c>
      <c r="QZ26" s="593">
        <f>'Proy 2021 vs 2019 Sem'!HC25*$RB$4</f>
        <v>17025.786960000001</v>
      </c>
      <c r="RA26" s="734">
        <v>14004.56</v>
      </c>
      <c r="RB26" s="698">
        <f t="shared" si="738"/>
        <v>0.69916744688317178</v>
      </c>
      <c r="RC26" s="593">
        <f>'Proy 2021 vs 2019 Sem'!HB25*$RF$4</f>
        <v>22891.814399999999</v>
      </c>
      <c r="RD26" s="593">
        <f>'Proy 2021 vs 2019 Sem'!HC25*$RF$4</f>
        <v>19458.042239999999</v>
      </c>
      <c r="RE26" s="734">
        <v>22429.54</v>
      </c>
      <c r="RF26" s="698">
        <f t="shared" si="739"/>
        <v>0.97980612668255784</v>
      </c>
      <c r="RG26" s="593">
        <f>'Proy 2021 vs 2019 Sem'!HB25*$RJ$4</f>
        <v>31476.2448</v>
      </c>
      <c r="RH26" s="593">
        <f>'Proy 2021 vs 2019 Sem'!HC25*$RJ$4</f>
        <v>26754.808079999999</v>
      </c>
      <c r="RI26" s="734">
        <v>40234.839999999997</v>
      </c>
      <c r="RJ26" s="698">
        <f t="shared" si="740"/>
        <v>1.2782604867782701</v>
      </c>
      <c r="RK26" s="610">
        <f t="shared" si="741"/>
        <v>143073.84</v>
      </c>
      <c r="RL26" s="593">
        <f t="shared" si="742"/>
        <v>92425.700639999995</v>
      </c>
      <c r="RM26" s="729">
        <f t="shared" si="743"/>
        <v>121521.31</v>
      </c>
      <c r="RN26" s="709">
        <f t="shared" si="744"/>
        <v>0.84936079160243405</v>
      </c>
      <c r="RO26" s="593">
        <f>'Proy 2021 vs 2019 Sem'!HG25*$RR$4</f>
        <v>18244.559999999998</v>
      </c>
      <c r="RP26" s="593">
        <f>'Proy 2021 vs 2019 Sem'!HH25*$RR$4</f>
        <v>15325.430399999999</v>
      </c>
      <c r="RQ26" s="734">
        <v>9894.02</v>
      </c>
      <c r="RR26" s="698">
        <f t="shared" si="745"/>
        <v>0.54229973208452287</v>
      </c>
      <c r="RS26" s="593">
        <f>'Proy 2021 vs 2019 Sem'!HG25*$RV$4</f>
        <v>18244.559999999998</v>
      </c>
      <c r="RT26" s="593">
        <f>'Proy 2021 vs 2019 Sem'!HH25*$RV$4</f>
        <v>15325.430399999999</v>
      </c>
      <c r="RU26" s="734">
        <v>8509.0499999999993</v>
      </c>
      <c r="RV26" s="698">
        <f t="shared" si="746"/>
        <v>0.46638833712624478</v>
      </c>
      <c r="RW26" s="593">
        <f>'Proy 2021 vs 2019 Sem'!HG25*$RZ$4</f>
        <v>18244.559999999998</v>
      </c>
      <c r="RX26" s="593">
        <f>'Proy 2021 vs 2019 Sem'!HH25*$RZ$4</f>
        <v>15325.430399999999</v>
      </c>
      <c r="RY26" s="734">
        <v>14709.99</v>
      </c>
      <c r="RZ26" s="698">
        <f t="shared" si="747"/>
        <v>0.80626718320419899</v>
      </c>
      <c r="SA26" s="593">
        <f>'Proy 2021 vs 2019 Sem'!HG25*$SD$4</f>
        <v>18244.559999999998</v>
      </c>
      <c r="SB26" s="593">
        <f>'Proy 2021 vs 2019 Sem'!HH25*$SD$4</f>
        <v>15325.430399999999</v>
      </c>
      <c r="SC26" s="734">
        <v>22042.95</v>
      </c>
      <c r="SD26" s="698">
        <f t="shared" si="748"/>
        <v>1.2081930175350901</v>
      </c>
      <c r="SE26" s="593">
        <f>'Proy 2021 vs 2019 Sem'!HG25*$SH$4</f>
        <v>21285.320000000003</v>
      </c>
      <c r="SF26" s="593">
        <f>'Proy 2021 vs 2019 Sem'!HH25*$SH$4</f>
        <v>17879.668800000003</v>
      </c>
      <c r="SG26" s="734">
        <v>15481.08</v>
      </c>
      <c r="SH26" s="698">
        <f t="shared" si="749"/>
        <v>0.72731253276906327</v>
      </c>
      <c r="SI26" s="593">
        <f>'Proy 2021 vs 2019 Sem'!HG25*$SL$4</f>
        <v>24326.080000000002</v>
      </c>
      <c r="SJ26" s="593">
        <f>'Proy 2021 vs 2019 Sem'!HH25*$SL$4</f>
        <v>20433.907200000001</v>
      </c>
      <c r="SK26" s="734">
        <v>26443.89</v>
      </c>
      <c r="SL26" s="698">
        <f t="shared" si="750"/>
        <v>1.0870592384798536</v>
      </c>
      <c r="SM26" s="593">
        <f>'Proy 2021 vs 2019 Sem'!HG25*$SP$4</f>
        <v>33448.36</v>
      </c>
      <c r="SN26" s="593">
        <f>'Proy 2021 vs 2019 Sem'!HH25*$SP$4</f>
        <v>28096.6224</v>
      </c>
      <c r="SO26" s="734">
        <v>34726.1</v>
      </c>
      <c r="SP26" s="698">
        <f t="shared" si="751"/>
        <v>1.0382003781351312</v>
      </c>
      <c r="SQ26" s="610">
        <f t="shared" si="752"/>
        <v>152038</v>
      </c>
      <c r="SR26" s="593">
        <f t="shared" si="753"/>
        <v>127711.92000000001</v>
      </c>
      <c r="SS26" s="729">
        <f t="shared" si="754"/>
        <v>131807.07999999999</v>
      </c>
      <c r="ST26" s="709">
        <f t="shared" si="755"/>
        <v>0.86693510832818099</v>
      </c>
      <c r="SU26" s="593">
        <f>'Proy 2021 vs 2019 Sem'!HL25*$SX$4</f>
        <v>18784.856400000001</v>
      </c>
      <c r="SV26" s="593">
        <f>'Proy 2021 vs 2019 Sem'!HM25*$SX$4</f>
        <v>15779.279375999999</v>
      </c>
      <c r="SW26" s="734">
        <v>10857.06</v>
      </c>
      <c r="SX26" s="698">
        <f t="shared" si="756"/>
        <v>0.57796875146727233</v>
      </c>
      <c r="SY26" s="593">
        <f>'Proy 2021 vs 2019 Sem'!HL25*$TB$4</f>
        <v>18784.856400000001</v>
      </c>
      <c r="SZ26" s="593">
        <f>'Proy 2021 vs 2019 Sem'!HM25*$TB$4</f>
        <v>15779.279375999999</v>
      </c>
      <c r="TA26" s="734">
        <v>11006.46</v>
      </c>
      <c r="TB26" s="698">
        <f t="shared" si="757"/>
        <v>0.58592196637712912</v>
      </c>
      <c r="TC26" s="593">
        <f>'Proy 2021 vs 2019 Sem'!HL25*$TF$4</f>
        <v>18784.856400000001</v>
      </c>
      <c r="TD26" s="593">
        <f>'Proy 2021 vs 2019 Sem'!HM25*$TF$4</f>
        <v>15779.279375999999</v>
      </c>
      <c r="TE26" s="734">
        <v>13058.51</v>
      </c>
      <c r="TF26" s="698">
        <f t="shared" si="758"/>
        <v>0.69516155577319183</v>
      </c>
      <c r="TG26" s="593">
        <f>'Proy 2021 vs 2019 Sem'!HL25*$TJ$4</f>
        <v>18784.856400000001</v>
      </c>
      <c r="TH26" s="593">
        <f>'Proy 2021 vs 2019 Sem'!HM25*$TJ$4</f>
        <v>15779.279375999999</v>
      </c>
      <c r="TI26" s="734">
        <v>12414.21</v>
      </c>
      <c r="TJ26" s="698">
        <f t="shared" si="759"/>
        <v>0.66086265104480646</v>
      </c>
      <c r="TK26" s="593">
        <f>'Proy 2021 vs 2019 Sem'!HL25*$TN$4</f>
        <v>21915.665800000002</v>
      </c>
      <c r="TL26" s="593">
        <f>'Proy 2021 vs 2019 Sem'!HM25*$TN$4</f>
        <v>18409.159272000001</v>
      </c>
      <c r="TM26" s="734">
        <v>13982.97</v>
      </c>
      <c r="TN26" s="698">
        <f t="shared" si="760"/>
        <v>0.63803537285187095</v>
      </c>
      <c r="TO26" s="593">
        <f>'Proy 2021 vs 2019 Sem'!HL25*$TR$4</f>
        <v>25046.475200000001</v>
      </c>
      <c r="TP26" s="611">
        <f>'Proy 2021 vs 2019 Sem'!HM25*$TR$4</f>
        <v>21039.039167999999</v>
      </c>
      <c r="TQ26" s="734">
        <v>26516.45</v>
      </c>
      <c r="TR26" s="698">
        <f t="shared" si="761"/>
        <v>1.0586898870304913</v>
      </c>
      <c r="TS26" s="593">
        <f>'Proy 2021 vs 2019 Sem'!HL25*$TV$4</f>
        <v>34438.903400000003</v>
      </c>
      <c r="TT26" s="593">
        <f>'Proy 2021 vs 2019 Sem'!HM25*$TV$4</f>
        <v>28928.678855999999</v>
      </c>
      <c r="TU26" s="734">
        <v>37983.14</v>
      </c>
      <c r="TV26" s="698">
        <f t="shared" si="762"/>
        <v>1.102913747247829</v>
      </c>
      <c r="TW26" s="610">
        <f t="shared" si="763"/>
        <v>156540.47</v>
      </c>
      <c r="TX26" s="593">
        <f t="shared" si="764"/>
        <v>131493.99479999999</v>
      </c>
      <c r="TY26" s="708">
        <f t="shared" si="765"/>
        <v>125818.8</v>
      </c>
      <c r="TZ26" s="709">
        <f t="shared" si="766"/>
        <v>0.80374614947815093</v>
      </c>
      <c r="UA26" s="593">
        <v>8632.75</v>
      </c>
      <c r="UB26" s="593">
        <f>'Proy 2021 vs 2019 Sem'!HR25*$UD$4</f>
        <v>14675.300639999998</v>
      </c>
      <c r="UC26" s="734">
        <v>10906.51</v>
      </c>
      <c r="UD26" s="698">
        <f t="shared" si="767"/>
        <v>1.2633876806347919</v>
      </c>
      <c r="UE26" s="593">
        <v>13850.36</v>
      </c>
      <c r="UF26" s="593">
        <f>'Proy 2021 vs 2019 Sem'!HR25*$UH$4</f>
        <v>14675.300639999998</v>
      </c>
      <c r="UG26" s="734">
        <v>10045.07</v>
      </c>
      <c r="UH26" s="698">
        <f t="shared" si="768"/>
        <v>0.72525696082989899</v>
      </c>
      <c r="UI26" s="593">
        <v>14067.26</v>
      </c>
      <c r="UJ26" s="593">
        <f>'Proy 2021 vs 2019 Sem'!HR25*$UL$4</f>
        <v>14675.300639999998</v>
      </c>
      <c r="UK26" s="734">
        <v>9954.4599999999991</v>
      </c>
      <c r="UL26" s="698">
        <f t="shared" si="769"/>
        <v>0.70763318514053186</v>
      </c>
      <c r="UM26" s="593">
        <v>16488.71</v>
      </c>
      <c r="UN26" s="593">
        <f>'Proy 2021 vs 2019 Sem'!HR25*$UP$4</f>
        <v>14675.300639999998</v>
      </c>
      <c r="UO26" s="734">
        <v>14184.19</v>
      </c>
      <c r="UP26" s="698">
        <f t="shared" si="770"/>
        <v>0.86023648908859462</v>
      </c>
      <c r="UQ26" s="593">
        <v>19829.060000000001</v>
      </c>
      <c r="UR26" s="593">
        <f>'Proy 2021 vs 2019 Sem'!HR25*$UT$4</f>
        <v>17121.184079999999</v>
      </c>
      <c r="US26" s="734">
        <v>17271.86</v>
      </c>
      <c r="UT26" s="698">
        <f t="shared" si="771"/>
        <v>0.87103775973243303</v>
      </c>
      <c r="UU26" s="593">
        <v>26661.17</v>
      </c>
      <c r="UV26" s="593">
        <f>'Proy 2021 vs 2019 Sem'!HR25*$UX$4</f>
        <v>19567.067520000001</v>
      </c>
      <c r="UW26" s="734">
        <v>27167.41</v>
      </c>
      <c r="UX26" s="698">
        <f t="shared" si="772"/>
        <v>1.0189879138837494</v>
      </c>
      <c r="UY26" s="593">
        <v>40249.42</v>
      </c>
      <c r="UZ26" s="593">
        <f>'Proy 2021 vs 2019 Sem'!HR25*$VB$4</f>
        <v>26904.717839999998</v>
      </c>
      <c r="VA26" s="734">
        <v>31736.83</v>
      </c>
      <c r="VB26" s="698">
        <f t="shared" si="773"/>
        <v>0.78850403310159511</v>
      </c>
      <c r="VC26" s="577">
        <f>UA26+UE26+UI26+UM26+UQ26+UU26+UY26</f>
        <v>139778.72999999998</v>
      </c>
      <c r="VD26" s="593">
        <f t="shared" si="774"/>
        <v>122294.17199999998</v>
      </c>
      <c r="VE26" s="708">
        <f t="shared" si="775"/>
        <v>121266.33</v>
      </c>
      <c r="VF26" s="1532">
        <f t="shared" si="776"/>
        <v>0.86755924882133373</v>
      </c>
      <c r="VG26" s="593">
        <v>11511.25</v>
      </c>
      <c r="VH26" s="593">
        <f>'Proy 2021 vs 2019 Sem'!IA25*$VJ$4</f>
        <v>14409.926808</v>
      </c>
      <c r="VI26" s="734">
        <v>7525.97</v>
      </c>
      <c r="VJ26" s="698">
        <f t="shared" si="777"/>
        <v>0.65379259420132485</v>
      </c>
      <c r="VK26" s="593">
        <v>15349.69</v>
      </c>
      <c r="VL26" s="593">
        <f>'Proy 2021 vs 2019 Sem'!IA25*$VN$4</f>
        <v>14409.926808</v>
      </c>
      <c r="VM26" s="734">
        <v>13914.5</v>
      </c>
      <c r="VN26" s="698">
        <f t="shared" si="778"/>
        <v>0.90650039186459141</v>
      </c>
      <c r="VO26" s="593">
        <v>17116.5</v>
      </c>
      <c r="VP26" s="593">
        <f>'Proy 2021 vs 2019 Sem'!IA25*$VR$4</f>
        <v>14409.926808</v>
      </c>
      <c r="VQ26" s="734">
        <v>11790.42</v>
      </c>
      <c r="VR26" s="698">
        <f t="shared" si="779"/>
        <v>0.68883358163175878</v>
      </c>
      <c r="VS26" s="593">
        <v>13040.18</v>
      </c>
      <c r="VT26" s="593">
        <f>'Proy 2021 vs 2019 Sem'!IA25*$VV$4</f>
        <v>14409.926808</v>
      </c>
      <c r="VU26" s="734">
        <v>12102.65</v>
      </c>
      <c r="VV26" s="698">
        <f t="shared" si="780"/>
        <v>0.9281045200296314</v>
      </c>
      <c r="VW26" s="593">
        <v>17929.740000000002</v>
      </c>
      <c r="VX26" s="593">
        <f>'Proy 2021 vs 2019 Sem'!IA25*$VZ$4</f>
        <v>16811.581276000001</v>
      </c>
      <c r="VY26" s="734">
        <v>21873.5</v>
      </c>
      <c r="VZ26" s="698">
        <f t="shared" si="781"/>
        <v>1.2199563406942877</v>
      </c>
      <c r="WA26" s="593">
        <v>27879.3</v>
      </c>
      <c r="WB26" s="593">
        <f>'Proy 2021 vs 2019 Sem'!IA25*$WD$4</f>
        <v>19213.235744000001</v>
      </c>
      <c r="WC26" s="734">
        <v>34400.550000000003</v>
      </c>
      <c r="WD26" s="698">
        <f t="shared" si="782"/>
        <v>1.2339101053469781</v>
      </c>
      <c r="WE26" s="593">
        <v>36241.86</v>
      </c>
      <c r="WF26" s="593">
        <f>'Proy 2021 vs 2019 Sem'!IA25*$WH$4</f>
        <v>26418.199148</v>
      </c>
      <c r="WG26" s="734">
        <v>37851.26</v>
      </c>
      <c r="WH26" s="1540">
        <f t="shared" si="783"/>
        <v>1.044407213095575</v>
      </c>
      <c r="WI26" s="574">
        <f t="shared" si="784"/>
        <v>57017.62</v>
      </c>
      <c r="WJ26" s="931">
        <f t="shared" si="785"/>
        <v>120082.7234</v>
      </c>
      <c r="WK26" s="793">
        <f t="shared" si="786"/>
        <v>139458.85</v>
      </c>
      <c r="WL26" s="784">
        <f t="shared" si="787"/>
        <v>2.4458904107186514</v>
      </c>
      <c r="WM26" s="593">
        <v>16133.73</v>
      </c>
      <c r="WN26" s="593">
        <f>'Proy 2021 vs 2019 Sem'!IF25*$WP$4</f>
        <v>17097.68982</v>
      </c>
      <c r="WO26" s="734">
        <v>10052.89</v>
      </c>
      <c r="WP26" s="698">
        <f t="shared" si="788"/>
        <v>0.62309769656489844</v>
      </c>
      <c r="WQ26" s="593">
        <v>12962.91</v>
      </c>
      <c r="WR26" s="593">
        <f>'Proy 2021 vs 2019 Sem'!IF25*$WT$4</f>
        <v>17097.68982</v>
      </c>
      <c r="WS26" s="734">
        <v>17123.310000000001</v>
      </c>
      <c r="WT26" s="698">
        <f t="shared" si="789"/>
        <v>1.3209464541526557</v>
      </c>
      <c r="WU26" s="593">
        <v>19749.36</v>
      </c>
      <c r="WV26" s="593">
        <f>'Proy 2021 vs 2019 Sem'!IF25*$WX$4</f>
        <v>17097.68982</v>
      </c>
      <c r="WW26" s="734">
        <v>18091.349999999999</v>
      </c>
      <c r="WX26" s="698">
        <f t="shared" si="790"/>
        <v>0.91604740609315938</v>
      </c>
      <c r="WY26" s="593">
        <v>17981.59</v>
      </c>
      <c r="WZ26" s="593">
        <f>'Proy 2021 vs 2019 Sem'!IF25*$XB$4</f>
        <v>17097.68982</v>
      </c>
      <c r="XA26" s="734">
        <v>17626.36</v>
      </c>
      <c r="XB26" s="698">
        <f t="shared" si="791"/>
        <v>0.98024479481514148</v>
      </c>
      <c r="XC26" s="593">
        <v>20502.46</v>
      </c>
      <c r="XD26" s="593">
        <f>'Proy 2021 vs 2019 Sem'!IF25*$XF$4</f>
        <v>19947.304789999998</v>
      </c>
      <c r="XE26" s="734">
        <v>15094.54</v>
      </c>
      <c r="XF26" s="698">
        <f t="shared" si="792"/>
        <v>0.73623067670903886</v>
      </c>
      <c r="XG26" s="593">
        <v>26610.26</v>
      </c>
      <c r="XH26" s="593">
        <f>'Proy 2021 vs 2019 Sem'!IF25*$XJ$4</f>
        <v>22796.919759999997</v>
      </c>
      <c r="XI26" s="734">
        <v>32565.63</v>
      </c>
      <c r="XJ26" s="698">
        <f t="shared" si="793"/>
        <v>1.2237997674581158</v>
      </c>
      <c r="XK26" s="593">
        <v>48194.94</v>
      </c>
      <c r="XL26" s="593">
        <f>'Proy 2021 vs 2019 Sem'!IF25*$XN$4</f>
        <v>31345.764669999997</v>
      </c>
      <c r="XM26" s="734">
        <v>34773.61</v>
      </c>
      <c r="XN26" s="698">
        <f t="shared" si="794"/>
        <v>0.72151993549530302</v>
      </c>
      <c r="XO26" s="610">
        <f t="shared" si="795"/>
        <v>162135.25</v>
      </c>
      <c r="XP26" s="593">
        <f t="shared" si="796"/>
        <v>142480.74849999999</v>
      </c>
      <c r="XQ26" s="793">
        <f t="shared" si="797"/>
        <v>145327.69</v>
      </c>
      <c r="XR26" s="784">
        <f t="shared" si="798"/>
        <v>0.89633617612456273</v>
      </c>
      <c r="XS26" s="593">
        <v>14065.44</v>
      </c>
      <c r="XT26" s="593">
        <f>'Proy 2021 vs 2019 Sem'!IK25*$XV$4</f>
        <v>16005.895488000002</v>
      </c>
      <c r="XU26" s="734">
        <v>12190.54</v>
      </c>
      <c r="XV26" s="698">
        <f t="shared" si="799"/>
        <v>0.86670164602031652</v>
      </c>
      <c r="XW26" s="593">
        <v>11886.03</v>
      </c>
      <c r="XX26" s="593">
        <f>'Proy 2021 vs 2019 Sem'!IK25*$XZ$4</f>
        <v>16005.895488000002</v>
      </c>
      <c r="XY26" s="734">
        <v>17086.87</v>
      </c>
      <c r="XZ26" s="698">
        <f t="shared" si="800"/>
        <v>1.4375590504146463</v>
      </c>
      <c r="YA26" s="593">
        <v>13218.37</v>
      </c>
      <c r="YB26" s="593">
        <f>'Proy 2021 vs 2019 Sem'!IK25*$YD$4</f>
        <v>16005.895488000002</v>
      </c>
      <c r="YC26" s="734">
        <v>12793.64</v>
      </c>
      <c r="YD26" s="698">
        <f t="shared" si="801"/>
        <v>0.96786820160125631</v>
      </c>
      <c r="YE26" s="593">
        <v>16144.2</v>
      </c>
      <c r="YF26" s="593">
        <f>'Proy 2021 vs 2019 Sem'!IK25*$YH$4</f>
        <v>16005.895488000002</v>
      </c>
      <c r="YG26" s="734">
        <v>12500.96</v>
      </c>
      <c r="YH26" s="698">
        <f t="shared" si="802"/>
        <v>0.77433133880898397</v>
      </c>
      <c r="YI26" s="593">
        <v>19915.330000000002</v>
      </c>
      <c r="YJ26" s="593">
        <f>'Proy 2021 vs 2019 Sem'!IK25*$YL$4</f>
        <v>18673.544736000003</v>
      </c>
      <c r="YK26" s="734">
        <v>14652.17</v>
      </c>
      <c r="YL26" s="698">
        <f t="shared" si="803"/>
        <v>0.7357231840998868</v>
      </c>
      <c r="YM26" s="593">
        <v>25794.65</v>
      </c>
      <c r="YN26" s="593">
        <f>'Proy 2021 vs 2019 Sem'!IK25*$YP$4</f>
        <v>21341.193984000005</v>
      </c>
      <c r="YO26" s="734">
        <v>21349.23</v>
      </c>
      <c r="YP26" s="698">
        <f t="shared" si="804"/>
        <v>0.82766116229528208</v>
      </c>
      <c r="YQ26" s="593">
        <v>45946.44</v>
      </c>
      <c r="YR26" s="593">
        <f>'Proy 2021 vs 2019 Sem'!IK25*$YT$4</f>
        <v>29344.141728000006</v>
      </c>
      <c r="YS26" s="734">
        <v>39198.15</v>
      </c>
      <c r="YT26" s="698">
        <f t="shared" si="805"/>
        <v>0.85312703225755904</v>
      </c>
      <c r="YU26" s="610">
        <f t="shared" si="806"/>
        <v>146970.46000000002</v>
      </c>
      <c r="YV26" s="593">
        <f t="shared" si="807"/>
        <v>133382.46240000005</v>
      </c>
      <c r="YW26" s="793">
        <f t="shared" si="808"/>
        <v>129771.56</v>
      </c>
      <c r="YX26" s="784">
        <f t="shared" si="809"/>
        <v>0.8829771642546399</v>
      </c>
      <c r="YY26" s="593">
        <v>14397.38</v>
      </c>
      <c r="YZ26" s="593">
        <f>'Proy 2021 vs 2019 Sem'!IP25*$ZB$4</f>
        <v>17594.290895999999</v>
      </c>
      <c r="ZA26" s="734">
        <v>13691.92</v>
      </c>
      <c r="ZB26" s="698">
        <f t="shared" si="810"/>
        <v>0.95100080709129031</v>
      </c>
      <c r="ZC26" s="593">
        <v>17229.419999999998</v>
      </c>
      <c r="ZD26" s="593">
        <f>'Proy 2021 vs 2019 Sem'!IP25*$ZF$4</f>
        <v>17594.290895999999</v>
      </c>
      <c r="ZE26" s="734">
        <v>16182</v>
      </c>
      <c r="ZF26" s="698">
        <f t="shared" si="811"/>
        <v>0.93920747187078857</v>
      </c>
      <c r="ZG26" s="593">
        <v>16874.87</v>
      </c>
      <c r="ZH26" s="593">
        <f>'Proy 2021 vs 2019 Sem'!IP25*$ZJ$4</f>
        <v>17594.290895999999</v>
      </c>
      <c r="ZI26" s="734">
        <v>19573.55</v>
      </c>
      <c r="ZJ26" s="698">
        <f t="shared" si="812"/>
        <v>1.1599230097772606</v>
      </c>
      <c r="ZK26" s="593">
        <v>22635.59</v>
      </c>
      <c r="ZL26" s="593">
        <f>'Proy 2021 vs 2019 Sem'!IP25*$ZN$4</f>
        <v>17594.290895999999</v>
      </c>
      <c r="ZM26" s="734">
        <v>18418.28</v>
      </c>
      <c r="ZN26" s="698">
        <f t="shared" si="813"/>
        <v>0.8136867649573083</v>
      </c>
      <c r="ZO26" s="593">
        <v>22542.92</v>
      </c>
      <c r="ZP26" s="593">
        <f>'Proy 2021 vs 2019 Sem'!IP25*$ZR$4</f>
        <v>20526.672712000003</v>
      </c>
      <c r="ZQ26" s="734">
        <v>27083.47</v>
      </c>
      <c r="ZR26" s="698">
        <f t="shared" si="814"/>
        <v>1.2014180061855342</v>
      </c>
      <c r="ZS26" s="593">
        <v>34407.129999999997</v>
      </c>
      <c r="ZT26" s="593">
        <f>'Proy 2021 vs 2019 Sem'!IP25*$ZV$4</f>
        <v>23459.054528000001</v>
      </c>
      <c r="ZU26" s="734">
        <v>33481.25</v>
      </c>
      <c r="ZV26" s="698">
        <f t="shared" si="815"/>
        <v>0.97309046119220066</v>
      </c>
      <c r="ZW26" s="593">
        <v>30513.29</v>
      </c>
      <c r="ZX26" s="593">
        <f>'Proy 2021 vs 2019 Sem'!IP25*$ZZ$4</f>
        <v>32256.199976</v>
      </c>
      <c r="ZY26" s="734">
        <v>54883.68</v>
      </c>
      <c r="ZZ26" s="698">
        <f t="shared" si="816"/>
        <v>1.7986811648301444</v>
      </c>
      <c r="AAA26" s="610">
        <f t="shared" si="817"/>
        <v>158600.6</v>
      </c>
      <c r="AAB26" s="593">
        <f t="shared" si="818"/>
        <v>146619.09080000001</v>
      </c>
      <c r="AAC26" s="783">
        <f t="shared" si="819"/>
        <v>183314.15</v>
      </c>
      <c r="AAD26" s="784">
        <f t="shared" si="820"/>
        <v>1.1558225504821544</v>
      </c>
      <c r="AAE26" s="593">
        <v>17171.79</v>
      </c>
      <c r="AAF26" s="593">
        <f>'Proy 2021 vs 2019 Sem'!IY25*$AAH$4</f>
        <v>14853.318911999999</v>
      </c>
      <c r="AAG26" s="734">
        <v>13798.3</v>
      </c>
      <c r="AAH26" s="698">
        <f t="shared" si="821"/>
        <v>0.80354465084886306</v>
      </c>
      <c r="AAI26" s="593">
        <v>14641.71</v>
      </c>
      <c r="AAJ26" s="593">
        <f>'Proy 2021 vs 2019 Sem'!IY25*$AAL$4</f>
        <v>14853.318911999999</v>
      </c>
      <c r="AAK26" s="734">
        <v>14869.04</v>
      </c>
      <c r="AAL26" s="698">
        <f t="shared" si="822"/>
        <v>1.0155261919543552</v>
      </c>
      <c r="AAM26" s="593">
        <v>11772.87</v>
      </c>
      <c r="AAN26" s="593">
        <f>'Proy 2021 vs 2019 Sem'!IY25*$AAP$4</f>
        <v>14853.318911999999</v>
      </c>
      <c r="AAO26" s="734">
        <v>8649.6200000000008</v>
      </c>
      <c r="AAP26" s="698">
        <f t="shared" si="823"/>
        <v>0.73470784948784795</v>
      </c>
      <c r="AAQ26" s="593">
        <v>10992.2</v>
      </c>
      <c r="AAR26" s="593">
        <f>'Proy 2021 vs 2019 Sem'!IY25*$AAT$4</f>
        <v>14853.318911999999</v>
      </c>
      <c r="AAS26" s="734">
        <v>11470.11</v>
      </c>
      <c r="AAT26" s="698">
        <f t="shared" si="824"/>
        <v>1.0434771929186151</v>
      </c>
      <c r="AAU26" s="593">
        <v>12580</v>
      </c>
      <c r="AAV26" s="593">
        <f>'Proy 2021 vs 2019 Sem'!IY25*$AAX$4</f>
        <v>17328.872063999999</v>
      </c>
      <c r="AAW26" s="734">
        <v>15339.2</v>
      </c>
      <c r="AAX26" s="698">
        <f t="shared" si="825"/>
        <v>1.2193322734499206</v>
      </c>
      <c r="AAY26" s="593">
        <v>18561.830000000002</v>
      </c>
      <c r="AAZ26" s="593">
        <f>'Proy 2021 vs 2019 Sem'!IY25*$ABB$4</f>
        <v>19804.425216</v>
      </c>
      <c r="ABA26" s="734">
        <v>18991.060000000001</v>
      </c>
      <c r="ABB26" s="698">
        <f t="shared" si="826"/>
        <v>1.023124336339682</v>
      </c>
      <c r="ABC26" s="593">
        <v>42588.72</v>
      </c>
      <c r="ABD26" s="593">
        <f>'Proy 2021 vs 2019 Sem'!IY25*$ABF$4</f>
        <v>27231.084671999997</v>
      </c>
      <c r="ABE26" s="734">
        <v>35608.39</v>
      </c>
      <c r="ABF26" s="698">
        <f t="shared" si="827"/>
        <v>0.83609908914848807</v>
      </c>
      <c r="ABG26" s="610">
        <f t="shared" si="828"/>
        <v>128309.12000000001</v>
      </c>
      <c r="ABH26" s="593">
        <f t="shared" si="829"/>
        <v>123777.65759999999</v>
      </c>
      <c r="ABI26" s="759">
        <f t="shared" si="830"/>
        <v>118725.72</v>
      </c>
      <c r="ABJ26" s="760">
        <f t="shared" si="831"/>
        <v>0.92531006369617363</v>
      </c>
      <c r="ABK26" s="593">
        <v>11542.31</v>
      </c>
      <c r="ABL26" s="593">
        <f>'Proy 2021 vs 2019 Sem'!JD25*$ABN$4</f>
        <v>20698.543871999998</v>
      </c>
      <c r="ABM26" s="734">
        <v>10489.38</v>
      </c>
      <c r="ABN26" s="698">
        <f t="shared" si="832"/>
        <v>0.90877649274711902</v>
      </c>
      <c r="ABO26" s="593">
        <v>10011.219999999999</v>
      </c>
      <c r="ABP26" s="593">
        <f>'Proy 2021 vs 2019 Sem'!JD25*$ABR$4</f>
        <v>20698.543871999998</v>
      </c>
      <c r="ABQ26" s="734">
        <v>10932.04</v>
      </c>
      <c r="ABR26" s="698">
        <f t="shared" si="833"/>
        <v>1.0919787997866395</v>
      </c>
      <c r="ABS26" s="593">
        <v>5565.74</v>
      </c>
      <c r="ABT26" s="593">
        <f>'Proy 2021 vs 2019 Sem'!JD25*$ABV$4</f>
        <v>20698.543871999998</v>
      </c>
      <c r="ABU26" s="734">
        <v>13523.64</v>
      </c>
      <c r="ABV26" s="698">
        <f t="shared" si="834"/>
        <v>2.4298008890102665</v>
      </c>
      <c r="ABW26" s="593">
        <v>12641.42</v>
      </c>
      <c r="ABX26" s="593">
        <f>'Proy 2021 vs 2019 Sem'!JD25*$ABZ$4</f>
        <v>20698.543871999998</v>
      </c>
      <c r="ABY26" s="734">
        <v>13954.21</v>
      </c>
      <c r="ABZ26" s="698">
        <f t="shared" si="835"/>
        <v>1.1038483018521652</v>
      </c>
      <c r="ACA26" s="593">
        <v>16612.240000000002</v>
      </c>
      <c r="ACB26" s="593">
        <f>'Proy 2021 vs 2019 Sem'!JD25*$ACD$4</f>
        <v>24148.301184</v>
      </c>
      <c r="ACC26" s="734">
        <v>25485.7</v>
      </c>
      <c r="ACD26" s="698">
        <f t="shared" si="836"/>
        <v>1.5341519265312804</v>
      </c>
      <c r="ACE26" s="593">
        <v>36066.620000000003</v>
      </c>
      <c r="ACF26" s="593">
        <f>'Proy 2021 vs 2019 Sem'!JD25*$ACH$4</f>
        <v>27598.058495999998</v>
      </c>
      <c r="ACG26" s="734">
        <v>37345.56</v>
      </c>
      <c r="ACH26" s="698">
        <f t="shared" si="837"/>
        <v>1.0354604895052544</v>
      </c>
      <c r="ACI26" s="593">
        <v>82881.33</v>
      </c>
      <c r="ACJ26" s="593">
        <f>'Proy 2021 vs 2019 Sem'!JD25*$ACL$4</f>
        <v>37947.330431999995</v>
      </c>
      <c r="ACK26" s="734">
        <v>59577.95</v>
      </c>
      <c r="ACL26" s="698">
        <f t="shared" si="838"/>
        <v>0.71883438646556463</v>
      </c>
      <c r="ACM26" s="610">
        <f t="shared" si="839"/>
        <v>175320.88</v>
      </c>
      <c r="ACN26" s="593">
        <f t="shared" si="840"/>
        <v>172487.86559999996</v>
      </c>
      <c r="ACO26" s="759">
        <f t="shared" si="841"/>
        <v>171308.47999999998</v>
      </c>
      <c r="ACP26" s="760">
        <f t="shared" si="842"/>
        <v>0.97711396383591032</v>
      </c>
      <c r="ACQ26" s="593">
        <v>56587.46</v>
      </c>
      <c r="ACR26" s="593">
        <f>'Proy 2021 vs 2019 Sem'!JI25*$ACT$4</f>
        <v>26393.476031999999</v>
      </c>
      <c r="ACS26" s="734">
        <v>23125.439999999999</v>
      </c>
      <c r="ACT26" s="698">
        <f t="shared" si="843"/>
        <v>0.40866722061743005</v>
      </c>
      <c r="ACU26" s="593">
        <v>55545.57</v>
      </c>
      <c r="ACV26" s="593">
        <f>'Proy 2021 vs 2019 Sem'!JI25*$ACX$4</f>
        <v>26393.476031999999</v>
      </c>
      <c r="ACW26" s="734">
        <v>22525.24</v>
      </c>
      <c r="ACX26" s="698">
        <f t="shared" si="844"/>
        <v>0.40552720946062848</v>
      </c>
      <c r="ACY26" s="593">
        <v>17787.12</v>
      </c>
      <c r="ACZ26" s="593">
        <f>'Proy 2021 vs 2019 Sem'!JI25*$ADB$4</f>
        <v>26393.476031999999</v>
      </c>
      <c r="ADA26" s="734">
        <v>12726.16</v>
      </c>
      <c r="ADB26" s="698">
        <f t="shared" si="845"/>
        <v>0.71547052024161306</v>
      </c>
      <c r="ADC26" s="593">
        <v>10536.19</v>
      </c>
      <c r="ADD26" s="593">
        <f>'Proy 2021 vs 2019 Sem'!JI25*$ADF$4</f>
        <v>26393.476031999999</v>
      </c>
      <c r="ADE26" s="734">
        <v>12050.2</v>
      </c>
      <c r="ADF26" s="698">
        <f t="shared" si="846"/>
        <v>1.1436961558210321</v>
      </c>
      <c r="ADG26" s="593">
        <v>13027.52</v>
      </c>
      <c r="ADH26" s="593">
        <f>'Proy 2021 vs 2019 Sem'!JI25*$ADJ$4</f>
        <v>30792.388704000005</v>
      </c>
      <c r="ADI26" s="734">
        <v>16147.35</v>
      </c>
      <c r="ADJ26" s="698">
        <f t="shared" si="847"/>
        <v>1.2394799624180197</v>
      </c>
      <c r="ADK26" s="593">
        <v>21827</v>
      </c>
      <c r="ADL26" s="593">
        <f>'Proy 2021 vs 2019 Sem'!JI25*$ADN$4</f>
        <v>35191.301376000003</v>
      </c>
      <c r="ADM26" s="734">
        <v>24879.53</v>
      </c>
      <c r="ADN26" s="698">
        <f t="shared" si="848"/>
        <v>1.1398511018463371</v>
      </c>
      <c r="ADO26" s="593">
        <v>45998.87</v>
      </c>
      <c r="ADP26" s="593">
        <f>'Proy 2021 vs 2019 Sem'!JI25*$ADR$4</f>
        <v>48388.039391999999</v>
      </c>
      <c r="ADQ26" s="734">
        <v>40967.08</v>
      </c>
      <c r="ADR26" s="698">
        <f t="shared" si="849"/>
        <v>0.89061057369452767</v>
      </c>
      <c r="ADS26" s="610">
        <f t="shared" si="850"/>
        <v>221309.72999999998</v>
      </c>
      <c r="ADT26" s="593">
        <f t="shared" si="851"/>
        <v>219945.6336</v>
      </c>
      <c r="ADU26" s="759">
        <f t="shared" si="852"/>
        <v>152421</v>
      </c>
      <c r="ADV26" s="760">
        <f t="shared" si="853"/>
        <v>0.68872254283623235</v>
      </c>
      <c r="ADW26" s="593">
        <v>14549.74</v>
      </c>
      <c r="ADX26" s="593">
        <f>'Proy 2021 vs 2019 Sem'!JN25*$ADZ$4</f>
        <v>26406.128519999998</v>
      </c>
      <c r="ADY26" s="734">
        <v>15542.45</v>
      </c>
      <c r="ADZ26" s="698">
        <f t="shared" si="854"/>
        <v>1.0682287106161348</v>
      </c>
      <c r="AEA26" s="593">
        <v>15599.67</v>
      </c>
      <c r="AEB26" s="593">
        <f>'Proy 2021 vs 2019 Sem'!JN25*$AED$4</f>
        <v>26406.128519999998</v>
      </c>
      <c r="AEC26" s="734">
        <v>11099</v>
      </c>
      <c r="AED26" s="698">
        <f t="shared" si="855"/>
        <v>0.71148940971187213</v>
      </c>
      <c r="AEE26" s="593">
        <v>19400.259999999998</v>
      </c>
      <c r="AEF26" s="593">
        <f>'Proy 2021 vs 2019 Sem'!JN25*$AEH$4</f>
        <v>26406.128519999998</v>
      </c>
      <c r="AEG26" s="734">
        <v>14355</v>
      </c>
      <c r="AEH26" s="698">
        <f t="shared" si="856"/>
        <v>0.73993853690620648</v>
      </c>
      <c r="AEI26" s="593">
        <v>20426.900000000001</v>
      </c>
      <c r="AEJ26" s="593">
        <f>'Proy 2021 vs 2019 Sem'!JN25*$AEL$4</f>
        <v>26406.128519999998</v>
      </c>
      <c r="AEK26" s="734">
        <v>17513</v>
      </c>
      <c r="AEL26" s="698">
        <f t="shared" si="857"/>
        <v>0.85734986708702732</v>
      </c>
      <c r="AEM26" s="593">
        <v>40204.559999999998</v>
      </c>
      <c r="AEN26" s="593">
        <f>'Proy 2021 vs 2019 Sem'!JN25*$AEP$4</f>
        <v>30807.149940000003</v>
      </c>
      <c r="AEO26" s="734">
        <v>12982</v>
      </c>
      <c r="AEP26" s="698">
        <f t="shared" si="858"/>
        <v>0.32289869606830668</v>
      </c>
      <c r="AEQ26" s="593">
        <v>44476.87</v>
      </c>
      <c r="AER26" s="593">
        <f>'Proy 2021 vs 2019 Sem'!JN25*$AET$4</f>
        <v>35208.17136</v>
      </c>
      <c r="AES26" s="734">
        <v>17217</v>
      </c>
      <c r="AET26" s="698">
        <f t="shared" si="859"/>
        <v>0.38710008145807023</v>
      </c>
      <c r="AEU26" s="593">
        <v>82984.17</v>
      </c>
      <c r="AEV26" s="593">
        <f>'Proy 2021 vs 2019 Sem'!JN25*$AEX$4</f>
        <v>48411.235619999999</v>
      </c>
      <c r="AEW26" s="734">
        <v>38195</v>
      </c>
      <c r="AEX26" s="698">
        <f t="shared" si="860"/>
        <v>0.46026850663204805</v>
      </c>
      <c r="AEY26" s="610">
        <f t="shared" si="861"/>
        <v>237642.16999999998</v>
      </c>
      <c r="AEZ26" s="593">
        <f t="shared" si="862"/>
        <v>220051.071</v>
      </c>
      <c r="AFA26" s="769">
        <f t="shared" si="863"/>
        <v>126903.45</v>
      </c>
      <c r="AFB26" s="760">
        <f t="shared" si="864"/>
        <v>0.53401065139238546</v>
      </c>
      <c r="AFC26" s="593">
        <v>26531.84</v>
      </c>
      <c r="AFD26" s="593">
        <f>'Proy 2021 vs 2019 Sem'!JX25*$AFF$4</f>
        <v>30323.464199999999</v>
      </c>
      <c r="AFE26" s="734">
        <v>8087</v>
      </c>
      <c r="AFF26" s="698">
        <f t="shared" si="865"/>
        <v>0.3048035869355461</v>
      </c>
      <c r="AFG26" s="593">
        <v>26677.08</v>
      </c>
      <c r="AFH26" s="593">
        <f>'Proy 2021 vs 2019 Sem'!JX25*$AFJ$4</f>
        <v>30323.464199999999</v>
      </c>
      <c r="AFI26" s="734">
        <v>14094.88</v>
      </c>
      <c r="AFJ26" s="698">
        <f t="shared" si="866"/>
        <v>0.52835167866947952</v>
      </c>
      <c r="AFK26" s="593">
        <v>27565.71</v>
      </c>
      <c r="AFL26" s="593">
        <f>'Proy 2021 vs 2019 Sem'!JX25*$AFN$4</f>
        <v>30323.464199999999</v>
      </c>
      <c r="AFM26" s="734">
        <v>22046.3</v>
      </c>
      <c r="AFN26" s="698">
        <f t="shared" si="867"/>
        <v>0.79977261605088346</v>
      </c>
      <c r="AFO26" s="593">
        <v>29877.75</v>
      </c>
      <c r="AFP26" s="593">
        <f>'Proy 2021 vs 2019 Sem'!JX25*$AFR$4</f>
        <v>30323.464199999999</v>
      </c>
      <c r="AFQ26" s="734">
        <v>14680.63</v>
      </c>
      <c r="AFR26" s="698">
        <f t="shared" si="868"/>
        <v>0.49135661152529891</v>
      </c>
      <c r="AFS26" s="593">
        <v>27218.47</v>
      </c>
      <c r="AFT26" s="593">
        <f>'Proy 2021 vs 2019 Sem'!JX25*$AFV$4</f>
        <v>35377.374900000003</v>
      </c>
      <c r="AFU26" s="734">
        <v>21772.85</v>
      </c>
      <c r="AFV26" s="698">
        <f t="shared" si="869"/>
        <v>0.79992923922615777</v>
      </c>
      <c r="AFW26" s="593">
        <v>48226.53</v>
      </c>
      <c r="AFX26" s="593">
        <f>'Proy 2021 vs 2019 Sem'!JX25*$AFZ$4</f>
        <v>40431.285600000003</v>
      </c>
      <c r="AFY26" s="734">
        <v>37237.83</v>
      </c>
      <c r="AFZ26" s="698">
        <f t="shared" si="870"/>
        <v>0.77214408749706853</v>
      </c>
      <c r="AGA26" s="593">
        <v>141424.60999999999</v>
      </c>
      <c r="AGB26" s="593">
        <f>'Proy 2021 vs 2019 Sem'!JX25*$AGD$4</f>
        <v>55593.017700000004</v>
      </c>
      <c r="AGC26" s="734">
        <v>101131.53</v>
      </c>
      <c r="AGD26" s="698">
        <f t="shared" si="871"/>
        <v>0.71509145402628305</v>
      </c>
      <c r="AGE26" s="610">
        <f t="shared" si="872"/>
        <v>327521.99</v>
      </c>
      <c r="AGF26" s="593">
        <f t="shared" si="873"/>
        <v>252695.535</v>
      </c>
      <c r="AGG26" s="729">
        <f t="shared" si="874"/>
        <v>219051.02</v>
      </c>
      <c r="AGH26" s="709">
        <f t="shared" si="875"/>
        <v>0.6688131688501282</v>
      </c>
      <c r="AGI26" s="593">
        <v>31852.53</v>
      </c>
      <c r="AGJ26" s="593">
        <f>'Proy 2021 vs 2019 Sem'!KC25*$AGL$4</f>
        <v>29746.884600000001</v>
      </c>
      <c r="AGK26" s="734">
        <v>16286.86</v>
      </c>
      <c r="AGL26" s="698">
        <f t="shared" si="876"/>
        <v>0.51132076478697297</v>
      </c>
      <c r="AGM26" s="593">
        <v>30411.53</v>
      </c>
      <c r="AGN26" s="593">
        <f>'Proy 2021 vs 2019 Sem'!KC25*$AGP$4</f>
        <v>29746.884600000001</v>
      </c>
      <c r="AGO26" s="734">
        <v>20745.14</v>
      </c>
      <c r="AGP26" s="698">
        <f t="shared" si="877"/>
        <v>0.68214719877625363</v>
      </c>
      <c r="AGQ26" s="593">
        <v>34214.47</v>
      </c>
      <c r="AGR26" s="593">
        <f>'Proy 2021 vs 2019 Sem'!KC25*$AGT$4</f>
        <v>29746.884600000001</v>
      </c>
      <c r="AGS26" s="734">
        <v>23541.3</v>
      </c>
      <c r="AGT26" s="698">
        <f t="shared" si="878"/>
        <v>0.68805099129111158</v>
      </c>
      <c r="AGU26" s="593">
        <v>30329.78</v>
      </c>
      <c r="AGV26" s="593">
        <f>'Proy 2021 vs 2019 Sem'!KC25*$AGX$4</f>
        <v>29746.884600000001</v>
      </c>
      <c r="AGW26" s="734">
        <v>27901.05</v>
      </c>
      <c r="AGX26" s="698">
        <f t="shared" si="879"/>
        <v>0.91992259752625971</v>
      </c>
      <c r="AGY26" s="593">
        <v>43135.81</v>
      </c>
      <c r="AGZ26" s="593">
        <f>'Proy 2021 vs 2019 Sem'!KC25*$AHB$4</f>
        <v>34704.698700000008</v>
      </c>
      <c r="AHA26" s="734">
        <v>32909.519999999997</v>
      </c>
      <c r="AHB26" s="698">
        <f t="shared" si="880"/>
        <v>0.76292806371318866</v>
      </c>
      <c r="AHC26" s="593">
        <v>60616.74</v>
      </c>
      <c r="AHD26" s="593">
        <f>'Proy 2021 vs 2019 Sem'!KC25*$AHF$4</f>
        <v>39662.512800000004</v>
      </c>
      <c r="AHE26" s="734">
        <v>40405.050000000003</v>
      </c>
      <c r="AHF26" s="698">
        <f t="shared" si="881"/>
        <v>0.66656586942814811</v>
      </c>
      <c r="AHG26" s="593">
        <v>95567.31</v>
      </c>
      <c r="AHH26" s="593">
        <f>'Proy 2021 vs 2019 Sem'!KC25*$AHJ$4</f>
        <v>54535.955100000006</v>
      </c>
      <c r="AHI26" s="734">
        <v>62113.46</v>
      </c>
      <c r="AHJ26" s="698">
        <f t="shared" si="882"/>
        <v>0.64994463064828345</v>
      </c>
      <c r="AHK26" s="610">
        <f t="shared" si="883"/>
        <v>326128.17</v>
      </c>
      <c r="AHL26" s="593">
        <f t="shared" si="884"/>
        <v>247890.70500000002</v>
      </c>
      <c r="AHM26" s="729">
        <f t="shared" si="885"/>
        <v>223902.37999999998</v>
      </c>
      <c r="AHN26" s="709">
        <f t="shared" si="886"/>
        <v>0.68654719400657716</v>
      </c>
      <c r="AHO26" s="593">
        <v>43791.64</v>
      </c>
      <c r="AHP26" s="593">
        <f>'Proy 2021 vs 2019 Sem'!KH25*$AHR$4</f>
        <v>38558.810136</v>
      </c>
      <c r="AHQ26" s="734">
        <v>25989.05</v>
      </c>
      <c r="AHR26" s="698">
        <f t="shared" si="887"/>
        <v>0.59347058022946841</v>
      </c>
      <c r="AHS26" s="593">
        <v>44468.58</v>
      </c>
      <c r="AHT26" s="593">
        <f>'Proy 2021 vs 2019 Sem'!KH25*$AHV$4</f>
        <v>38558.810136</v>
      </c>
      <c r="AHU26" s="734">
        <v>27341.85</v>
      </c>
      <c r="AHV26" s="698">
        <f t="shared" si="888"/>
        <v>0.61485772651161785</v>
      </c>
      <c r="AHW26" s="593">
        <v>48657.3</v>
      </c>
      <c r="AHX26" s="593">
        <f>'Proy 2021 vs 2019 Sem'!KH25*$AHZ$4</f>
        <v>38558.810136</v>
      </c>
      <c r="AHY26" s="734">
        <v>39797.160000000003</v>
      </c>
      <c r="AHZ26" s="698">
        <f t="shared" si="889"/>
        <v>0.81790728215499009</v>
      </c>
      <c r="AIA26" s="593">
        <v>51796.52</v>
      </c>
      <c r="AIB26" s="593">
        <f>'Proy 2021 vs 2019 Sem'!KH25*$AID$4</f>
        <v>38558.810136</v>
      </c>
      <c r="AIC26" s="734">
        <v>46141.49</v>
      </c>
      <c r="AID26" s="698">
        <f t="shared" si="890"/>
        <v>0.89082220195488038</v>
      </c>
      <c r="AIE26" s="593">
        <v>53984.959999999999</v>
      </c>
      <c r="AIF26" s="593">
        <f>'Proy 2021 vs 2019 Sem'!KH25*$AIH$4</f>
        <v>44985.278492000005</v>
      </c>
      <c r="AIG26" s="734">
        <v>43372.77</v>
      </c>
      <c r="AIH26" s="698">
        <f t="shared" si="891"/>
        <v>0.80342321268738548</v>
      </c>
      <c r="AII26" s="593">
        <v>70286.37</v>
      </c>
      <c r="AIJ26" s="593">
        <f>'Proy 2021 vs 2019 Sem'!KH25*$AIL$4</f>
        <v>51411.746848000003</v>
      </c>
      <c r="AIK26" s="734">
        <v>57784.28</v>
      </c>
      <c r="AIL26" s="698">
        <f t="shared" si="892"/>
        <v>0.82212639520293906</v>
      </c>
      <c r="AIM26" s="593">
        <v>97710.1</v>
      </c>
      <c r="AIN26" s="593">
        <f>'Proy 2021 vs 2019 Sem'!KH25*$AIP$4</f>
        <v>70691.151916000003</v>
      </c>
      <c r="AIO26" s="734">
        <v>74321.539999999994</v>
      </c>
      <c r="AIP26" s="698">
        <f t="shared" si="893"/>
        <v>0.76063313823238321</v>
      </c>
      <c r="AIQ26" s="610">
        <f t="shared" si="894"/>
        <v>410695.47</v>
      </c>
      <c r="AIR26" s="593">
        <f t="shared" si="895"/>
        <v>321323.41780000005</v>
      </c>
      <c r="AIS26" s="729">
        <f t="shared" si="896"/>
        <v>314748.13999999996</v>
      </c>
      <c r="AIT26" s="709">
        <f t="shared" si="897"/>
        <v>0.76637840685216219</v>
      </c>
      <c r="AIU26" s="593">
        <f>'Proy 2021 vs 2019 Sem'!KL25*$AIX$4</f>
        <v>48681.464399999997</v>
      </c>
      <c r="AIV26" s="593">
        <f>'Proy 2021 vs 2019 Sem'!KM25*$AIX$4</f>
        <v>62799.089075999997</v>
      </c>
      <c r="AIW26" s="734">
        <v>42246.8</v>
      </c>
      <c r="AIX26" s="698">
        <f t="shared" si="898"/>
        <v>0.86782105922023178</v>
      </c>
      <c r="AIY26" s="593">
        <f>'Proy 2021 vs 2019 Sem'!KL25*$AJB$4</f>
        <v>48681.464399999997</v>
      </c>
      <c r="AIZ26" s="593">
        <f>'Proy 2021 vs 2019 Sem'!KM25*$AJB$4</f>
        <v>62799.089075999997</v>
      </c>
      <c r="AJA26" s="734">
        <v>57675.32</v>
      </c>
      <c r="AJB26" s="698">
        <f t="shared" si="899"/>
        <v>1.184749076693757</v>
      </c>
      <c r="AJC26" s="593">
        <f>'Proy 2021 vs 2019 Sem'!KL25*$AJF$4</f>
        <v>48681.464399999997</v>
      </c>
      <c r="AJD26" s="593">
        <f>'Proy 2021 vs 2019 Sem'!KM25*$AJF$4</f>
        <v>62799.089075999997</v>
      </c>
      <c r="AJE26" s="734">
        <v>82529.070000000007</v>
      </c>
      <c r="AJF26" s="698">
        <f t="shared" si="900"/>
        <v>1.6952873340433039</v>
      </c>
      <c r="AJG26" s="593">
        <f>'Proy 2021 vs 2019 Sem'!KL25*$AJJ$4</f>
        <v>48681.464399999997</v>
      </c>
      <c r="AJH26" s="593">
        <f>'Proy 2021 vs 2019 Sem'!KM25*$AJJ$4</f>
        <v>62799.089075999997</v>
      </c>
      <c r="AJI26" s="734">
        <v>73167.460000000006</v>
      </c>
      <c r="AJJ26" s="698">
        <f t="shared" si="901"/>
        <v>1.5029839570725816</v>
      </c>
      <c r="AJK26" s="593">
        <f>'Proy 2021 vs 2019 Sem'!KL25*$AJN$4</f>
        <v>56795.041800000006</v>
      </c>
      <c r="AJL26" s="593">
        <f>'Proy 2021 vs 2019 Sem'!KM25*$AJN$4</f>
        <v>73265.603922000009</v>
      </c>
      <c r="AJM26" s="734">
        <v>93385.61</v>
      </c>
      <c r="AJN26" s="698">
        <f t="shared" si="902"/>
        <v>1.6442563829577108</v>
      </c>
      <c r="AJO26" s="593">
        <f>'Proy 2021 vs 2019 Sem'!KL25*$AJR$4</f>
        <v>64908.619200000001</v>
      </c>
      <c r="AJP26" s="593">
        <f>'Proy 2021 vs 2019 Sem'!KM25*$AJR$4</f>
        <v>83732.118768</v>
      </c>
      <c r="AJQ26" s="734">
        <v>80726.53</v>
      </c>
      <c r="AJR26" s="698">
        <f t="shared" si="903"/>
        <v>1.243695074628856</v>
      </c>
      <c r="AJS26" s="593">
        <f>'Proy 2021 vs 2019 Sem'!KL25*$AJV$4</f>
        <v>89249.3514</v>
      </c>
      <c r="AJT26" s="593">
        <f>'Proy 2021 vs 2019 Sem'!KM25*$AJV$4</f>
        <v>115131.663306</v>
      </c>
      <c r="AJU26" s="697">
        <v>0</v>
      </c>
      <c r="AJV26" s="698">
        <f t="shared" si="904"/>
        <v>0</v>
      </c>
      <c r="AJW26" s="610">
        <f t="shared" si="905"/>
        <v>405678.87</v>
      </c>
      <c r="AJX26" s="593">
        <f t="shared" si="906"/>
        <v>523325.74229999998</v>
      </c>
      <c r="AJY26" s="708">
        <f t="shared" si="907"/>
        <v>429730.79000000004</v>
      </c>
      <c r="AJZ26" s="709">
        <f t="shared" si="908"/>
        <v>1.0592880767982815</v>
      </c>
      <c r="AKA26" s="593">
        <f>'Proy 2021 vs 2019 Sem'!KQ25*$AKD$4</f>
        <v>20311.025999999998</v>
      </c>
      <c r="AKB26" s="593">
        <f>'Proy 2021 vs 2019 Sem'!KR25*$AKD$4</f>
        <v>19295.474699999995</v>
      </c>
      <c r="AKC26" s="734">
        <v>19834.98</v>
      </c>
      <c r="AKD26" s="698">
        <f t="shared" si="909"/>
        <v>0.97656218843892972</v>
      </c>
      <c r="AKE26" s="593">
        <f>'Proy 2021 vs 2019 Sem'!KQ25*$AKH$4</f>
        <v>20311.025999999998</v>
      </c>
      <c r="AKF26" s="593">
        <f>'Proy 2021 vs 2019 Sem'!KR25*$AKH$4</f>
        <v>19295.474699999995</v>
      </c>
      <c r="AKG26" s="734">
        <v>31570.6</v>
      </c>
      <c r="AKH26" s="698">
        <f t="shared" si="910"/>
        <v>1.5543577168381353</v>
      </c>
      <c r="AKI26" s="593">
        <f>'Proy 2021 vs 2019 Sem'!KQ25*$AKL$4</f>
        <v>20311.025999999998</v>
      </c>
      <c r="AKJ26" s="593">
        <f>'Proy 2021 vs 2019 Sem'!KR25*$AKL$4</f>
        <v>19295.474699999995</v>
      </c>
      <c r="AKK26" s="734">
        <v>30415.24</v>
      </c>
      <c r="AKL26" s="698">
        <f t="shared" si="911"/>
        <v>1.497474327490891</v>
      </c>
      <c r="AKM26" s="593">
        <f>'Proy 2021 vs 2019 Sem'!KQ25*$AKP$4</f>
        <v>20311.025999999998</v>
      </c>
      <c r="AKN26" s="593">
        <f>'Proy 2021 vs 2019 Sem'!KR25*$AKP$4</f>
        <v>19295.474699999995</v>
      </c>
      <c r="AKO26" s="734">
        <v>33539.79</v>
      </c>
      <c r="AKP26" s="698">
        <f t="shared" si="912"/>
        <v>1.6513094907170127</v>
      </c>
      <c r="AKQ26" s="593">
        <f>'Proy 2021 vs 2019 Sem'!KQ25*$AKT$4</f>
        <v>23696.197</v>
      </c>
      <c r="AKR26" s="593">
        <f>'Proy 2021 vs 2019 Sem'!KR25*$AKT$4</f>
        <v>22511.387149999999</v>
      </c>
      <c r="AKS26" s="734">
        <v>45641.1</v>
      </c>
      <c r="AKT26" s="698">
        <f t="shared" si="913"/>
        <v>1.9260938791148638</v>
      </c>
      <c r="AKU26" s="593">
        <f>'Proy 2021 vs 2019 Sem'!KQ25*$AKX$4</f>
        <v>27081.367999999999</v>
      </c>
      <c r="AKV26" s="593">
        <f>'Proy 2021 vs 2019 Sem'!KR25*$AKX$4</f>
        <v>25727.299599999995</v>
      </c>
      <c r="AKW26" s="734">
        <v>33063.4</v>
      </c>
      <c r="AKX26" s="698">
        <f t="shared" si="914"/>
        <v>1.2208910569067266</v>
      </c>
      <c r="AKY26" s="593">
        <f>'Proy 2021 vs 2019 Sem'!KQ25*$ALB$4</f>
        <v>37236.881000000001</v>
      </c>
      <c r="AKZ26" s="593">
        <f>'Proy 2021 vs 2019 Sem'!KR25*$ALB$4</f>
        <v>35375.036949999994</v>
      </c>
      <c r="ALA26" s="697">
        <v>0</v>
      </c>
      <c r="ALB26" s="698">
        <f>ALA26/AKY26</f>
        <v>0</v>
      </c>
      <c r="ALC26" s="610">
        <f t="shared" si="915"/>
        <v>169258.55</v>
      </c>
      <c r="ALD26" s="593">
        <f t="shared" si="916"/>
        <v>160795.62249999997</v>
      </c>
      <c r="ALE26" s="708">
        <f t="shared" si="917"/>
        <v>194065.11000000002</v>
      </c>
      <c r="ALF26" s="709">
        <f t="shared" si="918"/>
        <v>1.1465601589993535</v>
      </c>
    </row>
    <row r="27" spans="2:994" ht="15.75" customHeight="1">
      <c r="B27" s="568" t="s">
        <v>478</v>
      </c>
      <c r="C27" s="574">
        <f>'Proy 2021 vs 2019 Sem'!DX26*$F$4</f>
        <v>17474.618399999999</v>
      </c>
      <c r="D27" s="576">
        <f>'Proy 2021 vs 2019 Sem'!$DY$26*F4</f>
        <v>21035.745930193429</v>
      </c>
      <c r="E27" s="735">
        <v>31927.49</v>
      </c>
      <c r="F27" s="700">
        <f t="shared" si="580"/>
        <v>1.8270779520999441</v>
      </c>
      <c r="G27" s="574">
        <f>'Proy 2021 vs 2019 Sem'!DX26*$J$4</f>
        <v>17474.618399999999</v>
      </c>
      <c r="H27" s="574">
        <f>'Proy 2021 vs 2019 Sem'!$DY$26*J4</f>
        <v>21035.745930193429</v>
      </c>
      <c r="I27" s="735">
        <v>16495.07</v>
      </c>
      <c r="J27" s="700">
        <f t="shared" si="581"/>
        <v>0.94394450410430708</v>
      </c>
      <c r="K27" s="574">
        <f>'Proy 2021 vs 2019 Sem'!DX26*'Vtas Diarias 2021'!$N$4</f>
        <v>17474.618399999999</v>
      </c>
      <c r="L27" s="574">
        <f>'Proy 2021 vs 2019 Sem'!$DY$26*N4</f>
        <v>21035.745930193429</v>
      </c>
      <c r="M27" s="735">
        <v>21711.279999999999</v>
      </c>
      <c r="N27" s="700">
        <f t="shared" si="582"/>
        <v>1.2424465875603898</v>
      </c>
      <c r="O27" s="574">
        <f>'Proy 2021 vs 2019 Sem'!DX26*$R$4</f>
        <v>17474.618399999999</v>
      </c>
      <c r="P27" s="574">
        <f>'Proy 2021 vs 2019 Sem'!$DY$26*R4</f>
        <v>21035.745930193429</v>
      </c>
      <c r="Q27" s="735">
        <v>19468.759999999998</v>
      </c>
      <c r="R27" s="700">
        <f t="shared" si="583"/>
        <v>1.1141164604773286</v>
      </c>
      <c r="S27" s="574">
        <f>'Proy 2021 vs 2019 Sem'!DX26*$V$4</f>
        <v>20387.054800000002</v>
      </c>
      <c r="T27" s="574">
        <f>'Proy 2021 vs 2019 Sem'!$DY$26*V4</f>
        <v>24541.70358522567</v>
      </c>
      <c r="U27" s="735">
        <v>26449.24</v>
      </c>
      <c r="V27" s="700">
        <f t="shared" si="584"/>
        <v>1.2973546330978616</v>
      </c>
      <c r="W27" s="574">
        <f>'Proy 2021 vs 2019 Sem'!DX26*$Z$4</f>
        <v>23299.4912</v>
      </c>
      <c r="X27" s="574">
        <f>'Proy 2021 vs 2019 Sem'!$DY$26*Z4</f>
        <v>28047.661240257905</v>
      </c>
      <c r="Y27" s="735">
        <v>27472.61</v>
      </c>
      <c r="Z27" s="700">
        <f t="shared" si="585"/>
        <v>1.1791077223179878</v>
      </c>
      <c r="AA27" s="574">
        <f>'Proy 2021 vs 2019 Sem'!DX26*$AD$4</f>
        <v>32036.8004</v>
      </c>
      <c r="AB27" s="574">
        <f>'Proy 2021 vs 2019 Sem'!$DY$26*AD4</f>
        <v>38565.534205354619</v>
      </c>
      <c r="AC27" s="735">
        <v>38070.1</v>
      </c>
      <c r="AD27" s="700">
        <f t="shared" si="586"/>
        <v>1.1883240375028212</v>
      </c>
      <c r="AE27" s="579">
        <f t="shared" si="587"/>
        <v>145621.82</v>
      </c>
      <c r="AF27" s="574">
        <f t="shared" si="588"/>
        <v>175297.88275161193</v>
      </c>
      <c r="AG27" s="729">
        <f t="shared" si="589"/>
        <v>181594.55000000002</v>
      </c>
      <c r="AH27" s="711">
        <f t="shared" si="590"/>
        <v>1.2470284329642358</v>
      </c>
      <c r="AI27" s="593">
        <f>'Proy 2021 vs 2019 Sem'!EC26*$AL$4</f>
        <v>18915.96</v>
      </c>
      <c r="AJ27" s="611">
        <f>'Proy 2021 vs 2019 Sem'!ED26*$AL$4</f>
        <v>26766.19008</v>
      </c>
      <c r="AK27" s="735">
        <v>33414.230000000003</v>
      </c>
      <c r="AL27" s="700">
        <f t="shared" si="591"/>
        <v>1.7664570024466115</v>
      </c>
      <c r="AM27" s="593">
        <f>'Proy 2021 vs 2019 Sem'!EC26*$AP$4</f>
        <v>18915.96</v>
      </c>
      <c r="AN27" s="593">
        <f>'Proy 2021 vs 2019 Sem'!ED26*$AP$4</f>
        <v>26766.19008</v>
      </c>
      <c r="AO27" s="735">
        <v>16406.36</v>
      </c>
      <c r="AP27" s="700">
        <f t="shared" si="592"/>
        <v>0.8673289645357678</v>
      </c>
      <c r="AQ27" s="593">
        <f>'Proy 2021 vs 2019 Sem'!EC26*$AT$4</f>
        <v>18915.96</v>
      </c>
      <c r="AR27" s="593">
        <f>'Proy 2021 vs 2019 Sem'!ED26*$AT$4</f>
        <v>26766.19008</v>
      </c>
      <c r="AS27" s="735">
        <v>24332.36</v>
      </c>
      <c r="AT27" s="700">
        <f t="shared" si="593"/>
        <v>1.2863402121806138</v>
      </c>
      <c r="AU27" s="593">
        <f>'Proy 2021 vs 2019 Sem'!EC26*$AX$4</f>
        <v>18915.96</v>
      </c>
      <c r="AV27" s="593">
        <f>'Proy 2021 vs 2019 Sem'!ED26*$AX$4</f>
        <v>26766.19008</v>
      </c>
      <c r="AW27" s="735">
        <v>21843.07</v>
      </c>
      <c r="AX27" s="700">
        <f t="shared" si="594"/>
        <v>1.1547428732139422</v>
      </c>
      <c r="AY27" s="593">
        <f>'Proy 2021 vs 2019 Sem'!EC26*$BB$4</f>
        <v>22068.620000000003</v>
      </c>
      <c r="AZ27" s="593">
        <f>'Proy 2021 vs 2019 Sem'!ED26*$BB$4</f>
        <v>31227.221760000004</v>
      </c>
      <c r="BA27" s="735">
        <v>24941.67</v>
      </c>
      <c r="BB27" s="700">
        <f t="shared" si="595"/>
        <v>1.1301871163670405</v>
      </c>
      <c r="BC27" s="593">
        <f>'Proy 2021 vs 2019 Sem'!EC26*$BF$4</f>
        <v>25221.279999999999</v>
      </c>
      <c r="BD27" s="593">
        <f>'Proy 2021 vs 2019 Sem'!ED26*$BF$4</f>
        <v>35688.25344</v>
      </c>
      <c r="BE27" s="735">
        <v>25622.22</v>
      </c>
      <c r="BF27" s="700">
        <f t="shared" si="596"/>
        <v>1.0158968934169876</v>
      </c>
      <c r="BG27" s="593">
        <f>'Proy 2021 vs 2019 Sem'!EC26*$BJ$4</f>
        <v>34679.26</v>
      </c>
      <c r="BH27" s="593">
        <f>'Proy 2021 vs 2019 Sem'!ED26*$BJ$4</f>
        <v>49071.348480000001</v>
      </c>
      <c r="BI27" s="735">
        <v>36386.339999999997</v>
      </c>
      <c r="BJ27" s="700">
        <f t="shared" si="597"/>
        <v>1.0492248104486657</v>
      </c>
      <c r="BK27" s="579">
        <f t="shared" si="598"/>
        <v>157633</v>
      </c>
      <c r="BL27" s="574">
        <f t="shared" si="599"/>
        <v>223051.58400000003</v>
      </c>
      <c r="BM27" s="730">
        <f t="shared" si="600"/>
        <v>182946.25000000003</v>
      </c>
      <c r="BN27" s="711">
        <f t="shared" si="601"/>
        <v>1.1605834438220426</v>
      </c>
      <c r="BO27" s="593">
        <f>'Proy 2021 vs 2019 Sem'!EH26*$BR$4</f>
        <v>18875.883599999997</v>
      </c>
      <c r="BP27" s="593">
        <f>'Proy 2021 vs 2019 Sem'!EI26*$BR$4</f>
        <v>23409.348480000001</v>
      </c>
      <c r="BQ27" s="735">
        <v>31050.97</v>
      </c>
      <c r="BR27" s="700">
        <f t="shared" si="602"/>
        <v>1.6450074951723057</v>
      </c>
      <c r="BS27" s="593">
        <f>'Proy 2021 vs 2019 Sem'!EH26*$BV$4</f>
        <v>18875.883599999997</v>
      </c>
      <c r="BT27" s="593">
        <f>'Proy 2021 vs 2019 Sem'!EI26*$BV$4</f>
        <v>23409.348480000001</v>
      </c>
      <c r="BU27" s="735">
        <v>14620.25</v>
      </c>
      <c r="BV27" s="700">
        <f t="shared" si="603"/>
        <v>0.77454652242081012</v>
      </c>
      <c r="BW27" s="593">
        <f>'Proy 2021 vs 2019 Sem'!EH26*$BZ$4</f>
        <v>18875.883599999997</v>
      </c>
      <c r="BX27" s="593">
        <f>'Proy 2021 vs 2019 Sem'!EI26*$BZ$4</f>
        <v>23409.348480000001</v>
      </c>
      <c r="BY27" s="735">
        <v>18980</v>
      </c>
      <c r="BZ27" s="700">
        <f t="shared" si="604"/>
        <v>1.0055158424477677</v>
      </c>
      <c r="CA27" s="593">
        <f>'Proy 2021 vs 2019 Sem'!EH26*$CD$4</f>
        <v>18875.883599999997</v>
      </c>
      <c r="CB27" s="593">
        <f>'Proy 2021 vs 2019 Sem'!EI26*$CD$4</f>
        <v>23409.348480000001</v>
      </c>
      <c r="CC27" s="735">
        <v>23245</v>
      </c>
      <c r="CD27" s="700">
        <f t="shared" si="605"/>
        <v>1.2314655299103456</v>
      </c>
      <c r="CE27" s="593">
        <f>'Proy 2021 vs 2019 Sem'!EH26*$CH$4</f>
        <v>22021.864200000004</v>
      </c>
      <c r="CF27" s="593">
        <f>'Proy 2021 vs 2019 Sem'!EI26*$CH$4</f>
        <v>27310.906560000003</v>
      </c>
      <c r="CG27" s="735">
        <v>24863.31</v>
      </c>
      <c r="CH27" s="700">
        <f t="shared" si="606"/>
        <v>1.1290283953344875</v>
      </c>
      <c r="CI27" s="593">
        <f>'Proy 2021 vs 2019 Sem'!EH26*$CL$4</f>
        <v>25167.844799999999</v>
      </c>
      <c r="CJ27" s="593">
        <f>'Proy 2021 vs 2019 Sem'!EI26*$CL$4</f>
        <v>31212.464640000002</v>
      </c>
      <c r="CK27" s="735">
        <v>30004.25</v>
      </c>
      <c r="CL27" s="700">
        <f t="shared" si="607"/>
        <v>1.1921660451434444</v>
      </c>
      <c r="CM27" s="593">
        <f>'Proy 2021 vs 2019 Sem'!EH26*$CP$4</f>
        <v>34605.786599999999</v>
      </c>
      <c r="CN27" s="593">
        <f>'Proy 2021 vs 2019 Sem'!EI26*$CP$4</f>
        <v>42917.138880000006</v>
      </c>
      <c r="CO27" s="735">
        <v>47295.67</v>
      </c>
      <c r="CP27" s="700">
        <f t="shared" si="608"/>
        <v>1.3666983081956587</v>
      </c>
      <c r="CQ27" s="579">
        <f t="shared" si="609"/>
        <v>157299.02999999997</v>
      </c>
      <c r="CR27" s="574">
        <f t="shared" si="610"/>
        <v>195077.90400000001</v>
      </c>
      <c r="CS27" s="730">
        <f t="shared" si="611"/>
        <v>190059.45</v>
      </c>
      <c r="CT27" s="711">
        <f t="shared" si="612"/>
        <v>1.208268417166972</v>
      </c>
      <c r="CU27" s="593">
        <f>'Proy 2021 vs 2019 Sem'!EM26*$CX$4</f>
        <v>20092.9764</v>
      </c>
      <c r="CV27" s="593">
        <f>'Proy 2021 vs 2019 Sem'!EN26*$CX$4</f>
        <v>23336.674199999998</v>
      </c>
      <c r="CW27" s="735">
        <v>29388.01</v>
      </c>
      <c r="CX27" s="700">
        <f t="shared" si="613"/>
        <v>1.4626011306119884</v>
      </c>
      <c r="CY27" s="593">
        <f>'Proy 2021 vs 2019 Sem'!EM26*$DB$4</f>
        <v>20092.9764</v>
      </c>
      <c r="CZ27" s="593">
        <f>'Proy 2021 vs 2019 Sem'!EN26*$DB$4</f>
        <v>23336.674199999998</v>
      </c>
      <c r="DA27" s="735">
        <v>15622.43</v>
      </c>
      <c r="DB27" s="700">
        <f t="shared" si="614"/>
        <v>0.7775070098624115</v>
      </c>
      <c r="DC27" s="593">
        <f>'Proy 2021 vs 2019 Sem'!EM26*$DF$4</f>
        <v>20092.9764</v>
      </c>
      <c r="DD27" s="593">
        <f>'Proy 2021 vs 2019 Sem'!EN26*$DF$4</f>
        <v>23336.674199999998</v>
      </c>
      <c r="DE27" s="735">
        <v>20081.13</v>
      </c>
      <c r="DF27" s="700">
        <f t="shared" si="615"/>
        <v>0.99941042084735643</v>
      </c>
      <c r="DG27" s="593">
        <f>'Proy 2021 vs 2019 Sem'!EM26*$DJ$4</f>
        <v>20092.9764</v>
      </c>
      <c r="DH27" s="593">
        <f>'Proy 2021 vs 2019 Sem'!EN26*$DJ$4</f>
        <v>23336.674199999998</v>
      </c>
      <c r="DI27" s="735">
        <v>23397.49</v>
      </c>
      <c r="DJ27" s="700">
        <f t="shared" si="616"/>
        <v>1.1644611298105143</v>
      </c>
      <c r="DK27" s="593">
        <f>'Proy 2021 vs 2019 Sem'!EM26*$DN$4</f>
        <v>23441.805800000002</v>
      </c>
      <c r="DL27" s="593">
        <f>'Proy 2021 vs 2019 Sem'!EN26*$DN$4</f>
        <v>27226.119899999998</v>
      </c>
      <c r="DM27" s="735">
        <v>21422.5</v>
      </c>
      <c r="DN27" s="700">
        <f t="shared" si="617"/>
        <v>0.91385877789329684</v>
      </c>
      <c r="DO27" s="593">
        <f>'Proy 2021 vs 2019 Sem'!EM26*$DR$4</f>
        <v>26790.635200000001</v>
      </c>
      <c r="DP27" s="593">
        <f>'Proy 2021 vs 2019 Sem'!EN26*$DR$4</f>
        <v>31115.565599999998</v>
      </c>
      <c r="DQ27" s="735">
        <v>22196.25</v>
      </c>
      <c r="DR27" s="700">
        <f t="shared" si="618"/>
        <v>0.82850779140914133</v>
      </c>
      <c r="DS27" s="593">
        <f>'Proy 2021 vs 2019 Sem'!EM26*$DV$4</f>
        <v>36837.123400000004</v>
      </c>
      <c r="DT27" s="593">
        <f>'Proy 2021 vs 2019 Sem'!EN26*$DV$4</f>
        <v>42783.902699999991</v>
      </c>
      <c r="DU27" s="735">
        <v>37727.620000000003</v>
      </c>
      <c r="DV27" s="700">
        <f t="shared" si="619"/>
        <v>1.0241738908418674</v>
      </c>
      <c r="DW27" s="579">
        <f t="shared" si="620"/>
        <v>167441.47</v>
      </c>
      <c r="DX27" s="574">
        <f t="shared" si="621"/>
        <v>194472.28499999997</v>
      </c>
      <c r="DY27" s="710">
        <f t="shared" si="622"/>
        <v>169835.43</v>
      </c>
      <c r="DZ27" s="711">
        <f t="shared" si="623"/>
        <v>1.0142972944516073</v>
      </c>
      <c r="EA27" s="593">
        <f>'Proy 2021 vs 2019 Sem'!ER26*$ED$4</f>
        <v>19794.730799999998</v>
      </c>
      <c r="EB27" s="593">
        <f>'Proy 2021 vs 2019 Sem'!ES26*$ED$4</f>
        <v>17884.164239999998</v>
      </c>
      <c r="EC27" s="735">
        <v>30026.22</v>
      </c>
      <c r="ED27" s="700">
        <f t="shared" si="624"/>
        <v>1.5168794313686753</v>
      </c>
      <c r="EE27" s="593">
        <f>'Proy 2021 vs 2019 Sem'!ER26*$EH$4</f>
        <v>19794.730799999998</v>
      </c>
      <c r="EF27" s="593">
        <f>'Proy 2021 vs 2019 Sem'!ES26*$EH$4</f>
        <v>17884.164239999998</v>
      </c>
      <c r="EG27" s="735">
        <v>15628.12</v>
      </c>
      <c r="EH27" s="700">
        <f t="shared" si="625"/>
        <v>0.78950909501633648</v>
      </c>
      <c r="EI27" s="593">
        <f>'Proy 2021 vs 2019 Sem'!ER26*$EL$4</f>
        <v>19794.730799999998</v>
      </c>
      <c r="EJ27" s="593">
        <f>'Proy 2021 vs 2019 Sem'!ES26*$EL$4</f>
        <v>17884.164239999998</v>
      </c>
      <c r="EK27" s="735">
        <v>16027.14</v>
      </c>
      <c r="EL27" s="700">
        <f t="shared" si="626"/>
        <v>0.80966698471090104</v>
      </c>
      <c r="EM27" s="593">
        <f>'Proy 2021 vs 2019 Sem'!ER26*$EP$4</f>
        <v>19794.730799999998</v>
      </c>
      <c r="EN27" s="593">
        <f>'Proy 2021 vs 2019 Sem'!ES26*$EP$4</f>
        <v>17884.164239999998</v>
      </c>
      <c r="EO27" s="735">
        <v>20133.34</v>
      </c>
      <c r="EP27" s="700">
        <f t="shared" si="627"/>
        <v>1.0171060270241212</v>
      </c>
      <c r="EQ27" s="593">
        <f>'Proy 2021 vs 2019 Sem'!ER26*$ET$4</f>
        <v>23093.852600000002</v>
      </c>
      <c r="ER27" s="593">
        <f>'Proy 2021 vs 2019 Sem'!ES26*$ET$4</f>
        <v>20864.85828</v>
      </c>
      <c r="ES27" s="735">
        <v>27554.12</v>
      </c>
      <c r="ET27" s="700">
        <f t="shared" si="628"/>
        <v>1.1931365665683689</v>
      </c>
      <c r="EU27" s="593">
        <f>'Proy 2021 vs 2019 Sem'!ER26*$EX$4</f>
        <v>26392.974399999999</v>
      </c>
      <c r="EV27" s="593">
        <f>'Proy 2021 vs 2019 Sem'!ES26*$EX$4</f>
        <v>23845.552319999999</v>
      </c>
      <c r="EW27" s="735">
        <v>33945.4</v>
      </c>
      <c r="EX27" s="700">
        <f t="shared" si="629"/>
        <v>1.2861528786236387</v>
      </c>
      <c r="EY27" s="593">
        <f>'Proy 2021 vs 2019 Sem'!ER26*$FB$4</f>
        <v>36290.339800000002</v>
      </c>
      <c r="EZ27" s="593">
        <f>'Proy 2021 vs 2019 Sem'!ES26*$FB$4</f>
        <v>32787.634440000002</v>
      </c>
      <c r="FA27" s="699">
        <v>46604.39</v>
      </c>
      <c r="FB27" s="700">
        <f t="shared" si="630"/>
        <v>1.2842092484347583</v>
      </c>
      <c r="FC27" s="579">
        <f t="shared" si="631"/>
        <v>164956.08999999997</v>
      </c>
      <c r="FD27" s="574">
        <f t="shared" si="632"/>
        <v>149034.70199999999</v>
      </c>
      <c r="FE27" s="710">
        <f t="shared" si="633"/>
        <v>189918.72999999998</v>
      </c>
      <c r="FF27" s="711">
        <f t="shared" si="634"/>
        <v>1.1513289991294049</v>
      </c>
      <c r="FG27" s="593">
        <f>'Proy 2021 vs 2019 Sem'!FA26*$FJ$4</f>
        <v>19487.293199999996</v>
      </c>
      <c r="FH27" s="593">
        <f>'Proy 2021 vs 2019 Sem'!FB26*$FJ$4</f>
        <v>21445.542719999994</v>
      </c>
      <c r="FI27" s="735">
        <v>39773.74</v>
      </c>
      <c r="FJ27" s="700">
        <f t="shared" si="635"/>
        <v>2.041008958596672</v>
      </c>
      <c r="FK27" s="593">
        <f>'Proy 2021 vs 2019 Sem'!FA26*$FN$4</f>
        <v>19487.293199999996</v>
      </c>
      <c r="FL27" s="593">
        <f>'Proy 2021 vs 2019 Sem'!FB26*$FN$4</f>
        <v>21445.542719999994</v>
      </c>
      <c r="FM27" s="735">
        <v>21818.55</v>
      </c>
      <c r="FN27" s="700">
        <f t="shared" si="636"/>
        <v>1.1196295850877844</v>
      </c>
      <c r="FO27" s="593">
        <f>'Proy 2021 vs 2019 Sem'!FA26*$FR$4</f>
        <v>19487.293199999996</v>
      </c>
      <c r="FP27" s="593">
        <f>'Proy 2021 vs 2019 Sem'!FB26*$FR$4</f>
        <v>21445.542719999994</v>
      </c>
      <c r="FQ27" s="735">
        <v>21647.78</v>
      </c>
      <c r="FR27" s="700">
        <f t="shared" si="637"/>
        <v>1.1108664388546277</v>
      </c>
      <c r="FS27" s="593">
        <f>'Proy 2021 vs 2019 Sem'!FA26*$FV$4</f>
        <v>19487.293199999996</v>
      </c>
      <c r="FT27" s="593">
        <f>'Proy 2021 vs 2019 Sem'!FB26*$FV$4</f>
        <v>21445.542719999994</v>
      </c>
      <c r="FU27" s="735">
        <v>23729.360000000001</v>
      </c>
      <c r="FV27" s="700">
        <f t="shared" si="638"/>
        <v>1.2176837366002173</v>
      </c>
      <c r="FW27" s="593">
        <f>'Proy 2021 vs 2019 Sem'!FA26*$FZ$4</f>
        <v>22735.1754</v>
      </c>
      <c r="FX27" s="593">
        <f>'Proy 2021 vs 2019 Sem'!FB26*$FZ$4</f>
        <v>25019.79984</v>
      </c>
      <c r="FY27" s="735">
        <v>26566.799999999999</v>
      </c>
      <c r="FZ27" s="700">
        <f t="shared" si="639"/>
        <v>1.1685328805512536</v>
      </c>
      <c r="GA27" s="593">
        <f>'Proy 2021 vs 2019 Sem'!FA26*$GD$4</f>
        <v>25983.0576</v>
      </c>
      <c r="GB27" s="593">
        <f>'Proy 2021 vs 2019 Sem'!FB26*$GD$4</f>
        <v>28594.056959999994</v>
      </c>
      <c r="GC27" s="735">
        <v>34275.629999999997</v>
      </c>
      <c r="GD27" s="700">
        <f t="shared" si="640"/>
        <v>1.3191530622631571</v>
      </c>
      <c r="GE27" s="593">
        <f>'Proy 2021 vs 2019 Sem'!FA26*$GH$4</f>
        <v>35726.7042</v>
      </c>
      <c r="GF27" s="593">
        <f>'Proy 2021 vs 2019 Sem'!FB26*$GH$4</f>
        <v>39316.828319999993</v>
      </c>
      <c r="GG27" s="735">
        <v>42442.74</v>
      </c>
      <c r="GH27" s="700">
        <f t="shared" si="641"/>
        <v>1.1879836371808401</v>
      </c>
      <c r="GI27" s="579">
        <f t="shared" si="642"/>
        <v>162394.10999999999</v>
      </c>
      <c r="GJ27" s="574">
        <f t="shared" si="643"/>
        <v>178712.85599999997</v>
      </c>
      <c r="GK27" s="759">
        <f t="shared" si="644"/>
        <v>210254.59999999998</v>
      </c>
      <c r="GL27" s="761">
        <f t="shared" si="645"/>
        <v>1.2947181397157814</v>
      </c>
      <c r="GM27" s="593">
        <f>'Proy 2021 vs 2019 Sem'!FF26*$GP$4</f>
        <v>18337.212</v>
      </c>
      <c r="GN27" s="593">
        <f>'Proy 2021 vs 2019 Sem'!FG26*$GP$4</f>
        <v>25033.388591999999</v>
      </c>
      <c r="GO27" s="735">
        <v>36605.75</v>
      </c>
      <c r="GP27" s="700">
        <f t="shared" si="646"/>
        <v>1.9962549377735286</v>
      </c>
      <c r="GQ27" s="593">
        <f>'Proy 2021 vs 2019 Sem'!FF26*$GT$4</f>
        <v>18337.212</v>
      </c>
      <c r="GR27" s="593">
        <f>'Proy 2021 vs 2019 Sem'!FG26*$GT$4</f>
        <v>25033.388591999999</v>
      </c>
      <c r="GS27" s="735">
        <v>21848.2</v>
      </c>
      <c r="GT27" s="700">
        <f t="shared" si="647"/>
        <v>1.191467928712391</v>
      </c>
      <c r="GU27" s="593">
        <f>'Proy 2021 vs 2019 Sem'!FF26*$GX$4</f>
        <v>18337.212</v>
      </c>
      <c r="GV27" s="593">
        <f>'Proy 2021 vs 2019 Sem'!FG26*$GX$4</f>
        <v>25033.388591999999</v>
      </c>
      <c r="GW27" s="735">
        <v>23857.49</v>
      </c>
      <c r="GX27" s="700">
        <f t="shared" si="648"/>
        <v>1.3010423831060034</v>
      </c>
      <c r="GY27" s="593">
        <f>'Proy 2021 vs 2019 Sem'!FF26*$HB$4</f>
        <v>18337.212</v>
      </c>
      <c r="GZ27" s="593">
        <f>'Proy 2021 vs 2019 Sem'!FG26*$HB$4</f>
        <v>25033.388591999999</v>
      </c>
      <c r="HA27" s="735">
        <v>30112.6</v>
      </c>
      <c r="HB27" s="700">
        <f t="shared" si="649"/>
        <v>1.642158033620378</v>
      </c>
      <c r="HC27" s="593">
        <f>'Proy 2021 vs 2019 Sem'!FF26*$HF$4</f>
        <v>21393.414000000004</v>
      </c>
      <c r="HD27" s="593">
        <f>'Proy 2021 vs 2019 Sem'!FG26*$HF$4</f>
        <v>29205.620024000003</v>
      </c>
      <c r="HE27" s="735">
        <v>33116.49</v>
      </c>
      <c r="HF27" s="700">
        <f t="shared" si="650"/>
        <v>1.5479759331540066</v>
      </c>
      <c r="HG27" s="593">
        <f>'Proy 2021 vs 2019 Sem'!FF26*$HJ$4</f>
        <v>24449.616000000002</v>
      </c>
      <c r="HH27" s="593">
        <f>'Proy 2021 vs 2019 Sem'!FG26*$HJ$4</f>
        <v>33377.851455999997</v>
      </c>
      <c r="HI27" s="735">
        <v>40399.42</v>
      </c>
      <c r="HJ27" s="700">
        <f t="shared" si="651"/>
        <v>1.6523539674406336</v>
      </c>
      <c r="HK27" s="593">
        <f>'Proy 2021 vs 2019 Sem'!FF26*$HN$4</f>
        <v>33618.222000000002</v>
      </c>
      <c r="HL27" s="593">
        <f>'Proy 2021 vs 2019 Sem'!FG26*$HN$4</f>
        <v>45894.545751999998</v>
      </c>
      <c r="HM27" s="735">
        <v>46627.29</v>
      </c>
      <c r="HN27" s="700">
        <f t="shared" si="652"/>
        <v>1.3869647835629142</v>
      </c>
      <c r="HO27" s="579">
        <f t="shared" si="653"/>
        <v>152810.1</v>
      </c>
      <c r="HP27" s="574">
        <f t="shared" si="654"/>
        <v>208611.5716</v>
      </c>
      <c r="HQ27" s="765">
        <f t="shared" si="655"/>
        <v>232567.24000000002</v>
      </c>
      <c r="HR27" s="761">
        <f t="shared" si="656"/>
        <v>1.5219363118013798</v>
      </c>
      <c r="HS27" s="593">
        <f>'Proy 2021 vs 2019 Sem'!FK26*$CX$4</f>
        <v>20881.552800000001</v>
      </c>
      <c r="HT27" s="593">
        <f>'Proy 2021 vs 2019 Sem'!FL26*$CX$4</f>
        <v>21420.776016</v>
      </c>
      <c r="HU27" s="735">
        <v>32406.86</v>
      </c>
      <c r="HV27" s="700">
        <f t="shared" si="657"/>
        <v>1.5519372678070187</v>
      </c>
      <c r="HW27" s="593">
        <f>'Proy 2021 vs 2019 Sem'!FK26*$DB$4</f>
        <v>20881.552800000001</v>
      </c>
      <c r="HX27" s="593">
        <f>'Proy 2021 vs 2019 Sem'!FL26*$DB$4</f>
        <v>21420.776016</v>
      </c>
      <c r="HY27" s="735">
        <v>19875.310000000001</v>
      </c>
      <c r="HZ27" s="700">
        <f t="shared" si="658"/>
        <v>0.95181187866450234</v>
      </c>
      <c r="IA27" s="593">
        <f>'Proy 2021 vs 2019 Sem'!FK26*$DF$4</f>
        <v>20881.552800000001</v>
      </c>
      <c r="IB27" s="593">
        <f>'Proy 2021 vs 2019 Sem'!FL26*$DF$4</f>
        <v>21420.776016</v>
      </c>
      <c r="IC27" s="735">
        <v>18719.57</v>
      </c>
      <c r="ID27" s="700">
        <f t="shared" si="659"/>
        <v>0.89646446216394393</v>
      </c>
      <c r="IE27" s="593">
        <f>'Proy 2021 vs 2019 Sem'!FK26*$DJ$4</f>
        <v>20881.552800000001</v>
      </c>
      <c r="IF27" s="593">
        <f>'Proy 2021 vs 2019 Sem'!FL26*$DJ$4</f>
        <v>21420.776016</v>
      </c>
      <c r="IG27" s="735">
        <v>27753.5</v>
      </c>
      <c r="IH27" s="700">
        <f t="shared" si="660"/>
        <v>1.329091771374397</v>
      </c>
      <c r="II27" s="593">
        <f>'Proy 2021 vs 2019 Sem'!FK26*$DN$4</f>
        <v>24361.811600000001</v>
      </c>
      <c r="IJ27" s="593">
        <f>'Proy 2021 vs 2019 Sem'!FL26*$DN$4</f>
        <v>24990.905352000002</v>
      </c>
      <c r="IK27" s="735">
        <v>24240.15</v>
      </c>
      <c r="IL27" s="700">
        <f t="shared" si="661"/>
        <v>0.99500605283393628</v>
      </c>
      <c r="IM27" s="593">
        <f>'Proy 2021 vs 2019 Sem'!FK26*$DR$4</f>
        <v>27842.070400000001</v>
      </c>
      <c r="IN27" s="593">
        <f>'Proy 2021 vs 2019 Sem'!FL26*$DR$4</f>
        <v>28561.034688</v>
      </c>
      <c r="IO27" s="1410">
        <v>29322.799999999999</v>
      </c>
      <c r="IP27" s="700">
        <f t="shared" si="662"/>
        <v>1.0531831713204776</v>
      </c>
      <c r="IQ27" s="593">
        <f>'Proy 2021 vs 2019 Sem'!FK26*$IT$4</f>
        <v>38282.846799999999</v>
      </c>
      <c r="IR27" s="593">
        <f>'Proy 2021 vs 2019 Sem'!FL26*$IT$4</f>
        <v>39271.422696000001</v>
      </c>
      <c r="IS27" s="735">
        <v>40018.449999999997</v>
      </c>
      <c r="IT27" s="700">
        <f t="shared" si="663"/>
        <v>1.0453363149576431</v>
      </c>
      <c r="IU27" s="579">
        <f t="shared" si="664"/>
        <v>174012.94</v>
      </c>
      <c r="IV27" s="574">
        <f t="shared" si="665"/>
        <v>178506.46679999999</v>
      </c>
      <c r="IW27" s="765">
        <f t="shared" si="666"/>
        <v>192336.63999999996</v>
      </c>
      <c r="IX27" s="761">
        <f t="shared" si="667"/>
        <v>1.1053007896998921</v>
      </c>
      <c r="IY27" s="593">
        <f>'Proy 2021 vs 2019 Sem'!FP26*$JB$4</f>
        <v>18305.0844</v>
      </c>
      <c r="IZ27" s="593">
        <f>'Proy 2021 vs 2019 Sem'!FQ26*$JB$4</f>
        <v>23451.529331999998</v>
      </c>
      <c r="JA27" s="735">
        <v>41448.18</v>
      </c>
      <c r="JB27" s="700">
        <f t="shared" si="668"/>
        <v>2.2642987649923101</v>
      </c>
      <c r="JC27" s="593">
        <f>'Proy 2021 vs 2019 Sem'!FP26*$JF$4</f>
        <v>18305.0844</v>
      </c>
      <c r="JD27" s="593">
        <f>'Proy 2021 vs 2019 Sem'!FQ26*$JF$4</f>
        <v>23451.529331999998</v>
      </c>
      <c r="JE27" s="735">
        <v>19038.060000000001</v>
      </c>
      <c r="JF27" s="700">
        <f t="shared" si="669"/>
        <v>1.040042186311908</v>
      </c>
      <c r="JG27" s="593">
        <f>'Proy 2021 vs 2019 Sem'!FP26*$JJ$4</f>
        <v>18305.0844</v>
      </c>
      <c r="JH27" s="593">
        <f>'Proy 2021 vs 2019 Sem'!FQ26*$JJ$4</f>
        <v>23451.529331999998</v>
      </c>
      <c r="JI27" s="735">
        <v>22532.18</v>
      </c>
      <c r="JJ27" s="700">
        <f t="shared" si="670"/>
        <v>1.2309246713989475</v>
      </c>
      <c r="JK27" s="593">
        <f>'Proy 2021 vs 2019 Sem'!FP26*$JN$4</f>
        <v>18305.0844</v>
      </c>
      <c r="JL27" s="593">
        <f>'Proy 2021 vs 2019 Sem'!FQ26*$JN$4</f>
        <v>23451.529331999998</v>
      </c>
      <c r="JM27" s="735">
        <v>19548.77</v>
      </c>
      <c r="JN27" s="700">
        <f t="shared" si="671"/>
        <v>1.0679420849870542</v>
      </c>
      <c r="JO27" s="593">
        <f>'Proy 2021 vs 2019 Sem'!FP26*$JR$4</f>
        <v>21355.931800000002</v>
      </c>
      <c r="JP27" s="593">
        <f>'Proy 2021 vs 2019 Sem'!FQ26*$JR$4</f>
        <v>27360.117554000004</v>
      </c>
      <c r="JQ27" s="735">
        <v>27305.279999999999</v>
      </c>
      <c r="JR27" s="700">
        <f t="shared" si="672"/>
        <v>1.278580595579538</v>
      </c>
      <c r="JS27" s="593">
        <f>'Proy 2021 vs 2019 Sem'!FP26*$JV$4</f>
        <v>24406.779200000001</v>
      </c>
      <c r="JT27" s="593">
        <f>'Proy 2021 vs 2019 Sem'!FQ26*$JV$4</f>
        <v>31268.705775999999</v>
      </c>
      <c r="JU27" s="735">
        <v>33503.99</v>
      </c>
      <c r="JV27" s="700">
        <f t="shared" si="673"/>
        <v>1.3727329495405112</v>
      </c>
      <c r="JW27" s="593">
        <f>'Proy 2021 vs 2019 Sem'!FP26*$JZ$4</f>
        <v>33559.321400000001</v>
      </c>
      <c r="JX27" s="593">
        <f>'Proy 2021 vs 2019 Sem'!FQ26*$JZ$4</f>
        <v>42994.470441999998</v>
      </c>
      <c r="JY27" s="735">
        <v>45219.3</v>
      </c>
      <c r="JZ27" s="700">
        <f t="shared" si="674"/>
        <v>1.3474438133305044</v>
      </c>
      <c r="KA27" s="579">
        <f t="shared" si="675"/>
        <v>152542.37</v>
      </c>
      <c r="KB27" s="574">
        <f t="shared" si="676"/>
        <v>195429.41109999997</v>
      </c>
      <c r="KC27" s="770">
        <f t="shared" si="677"/>
        <v>208595.76</v>
      </c>
      <c r="KD27" s="761">
        <f t="shared" si="678"/>
        <v>1.3674611191631545</v>
      </c>
      <c r="KE27" s="593">
        <f>'Proy 2021 vs 2019 Sem'!FY26*$KH$4</f>
        <v>18314.9604</v>
      </c>
      <c r="KF27" s="593">
        <f>'Proy 2021 vs 2019 Sem'!FZ26*$KH$4</f>
        <v>24479.983679999998</v>
      </c>
      <c r="KG27" s="735">
        <v>30395.72</v>
      </c>
      <c r="KH27" s="700">
        <f t="shared" si="679"/>
        <v>1.6596115599572905</v>
      </c>
      <c r="KI27" s="593">
        <f>'Proy 2021 vs 2019 Sem'!FY26*$KL$4</f>
        <v>18314.9604</v>
      </c>
      <c r="KJ27" s="593">
        <f>'Proy 2021 vs 2019 Sem'!FZ26*$KL$4</f>
        <v>24479.983679999998</v>
      </c>
      <c r="KK27" s="735">
        <v>22934.51</v>
      </c>
      <c r="KL27" s="700">
        <f t="shared" si="680"/>
        <v>1.2522282057459431</v>
      </c>
      <c r="KM27" s="593">
        <f>'Proy 2021 vs 2019 Sem'!FY26*$KP$4</f>
        <v>18314.9604</v>
      </c>
      <c r="KN27" s="593">
        <f>'Proy 2021 vs 2019 Sem'!FZ26*$KP$4</f>
        <v>24479.983679999998</v>
      </c>
      <c r="KO27" s="735">
        <v>23183.27</v>
      </c>
      <c r="KP27" s="700">
        <f t="shared" si="681"/>
        <v>1.2658105446954719</v>
      </c>
      <c r="KQ27" s="593">
        <f>'Proy 2021 vs 2019 Sem'!FY26*$KT$4</f>
        <v>18314.9604</v>
      </c>
      <c r="KR27" s="593">
        <f>'Proy 2021 vs 2019 Sem'!FZ26*$KT$4</f>
        <v>24479.983679999998</v>
      </c>
      <c r="KS27" s="735">
        <v>19760.689999999999</v>
      </c>
      <c r="KT27" s="700">
        <f t="shared" si="682"/>
        <v>1.0789370857716951</v>
      </c>
      <c r="KU27" s="593">
        <f>'Proy 2021 vs 2019 Sem'!FY26*$KX$4</f>
        <v>21367.453800000003</v>
      </c>
      <c r="KV27" s="593">
        <f>'Proy 2021 vs 2019 Sem'!FZ26*$KX$4</f>
        <v>28559.980960000004</v>
      </c>
      <c r="KW27" s="735">
        <v>26190.54</v>
      </c>
      <c r="KX27" s="700">
        <f t="shared" si="683"/>
        <v>1.225721147926385</v>
      </c>
      <c r="KY27" s="593">
        <f>'Proy 2021 vs 2019 Sem'!FY26*$LB$4</f>
        <v>24419.947200000002</v>
      </c>
      <c r="KZ27" s="593">
        <f>'Proy 2021 vs 2019 Sem'!FZ26*$LB$4</f>
        <v>32639.97824</v>
      </c>
      <c r="LA27" s="735">
        <v>27129.53</v>
      </c>
      <c r="LB27" s="700">
        <f t="shared" si="684"/>
        <v>1.1109577665262109</v>
      </c>
      <c r="LC27" s="593">
        <f>'Proy 2021 vs 2019 Sem'!FY26*$LF$4</f>
        <v>33577.4274</v>
      </c>
      <c r="LD27" s="593">
        <f>'Proy 2021 vs 2019 Sem'!FZ26*$LF$4</f>
        <v>44879.970079999999</v>
      </c>
      <c r="LE27" s="735">
        <v>41914.83</v>
      </c>
      <c r="LF27" s="700">
        <f t="shared" si="685"/>
        <v>1.248303793518142</v>
      </c>
      <c r="LG27" s="579">
        <f t="shared" si="686"/>
        <v>152624.66999999998</v>
      </c>
      <c r="LH27" s="574">
        <f t="shared" si="687"/>
        <v>203999.864</v>
      </c>
      <c r="LI27" s="793">
        <f t="shared" si="688"/>
        <v>191509.09000000003</v>
      </c>
      <c r="LJ27" s="786">
        <f t="shared" si="689"/>
        <v>1.2547715254683274</v>
      </c>
      <c r="LK27" s="593">
        <f>'Proy 2021 vs 2019 Sem'!GD26*$LN$4</f>
        <v>19730.25</v>
      </c>
      <c r="LL27" s="593">
        <f>'Proy 2021 vs 2019 Sem'!GE26*$LN$4</f>
        <v>25240.453440000001</v>
      </c>
      <c r="LM27" s="735">
        <v>35423.699999999997</v>
      </c>
      <c r="LN27" s="700">
        <f t="shared" si="690"/>
        <v>1.7954004637548939</v>
      </c>
      <c r="LO27" s="593">
        <f>'Proy 2021 vs 2019 Sem'!GD26*$LR$4</f>
        <v>19730.25</v>
      </c>
      <c r="LP27" s="593">
        <f>'Proy 2021 vs 2019 Sem'!GE26*$LR$4</f>
        <v>25240.453440000001</v>
      </c>
      <c r="LQ27" s="735">
        <v>20012.84</v>
      </c>
      <c r="LR27" s="700">
        <f t="shared" si="691"/>
        <v>1.0143226771074871</v>
      </c>
      <c r="LS27" s="593">
        <f>'Proy 2021 vs 2019 Sem'!GD26*$LV$4</f>
        <v>19730.25</v>
      </c>
      <c r="LT27" s="593">
        <f>'Proy 2021 vs 2019 Sem'!GE26*$LV$4</f>
        <v>25240.453440000001</v>
      </c>
      <c r="LU27" s="735">
        <v>22373.43</v>
      </c>
      <c r="LV27" s="700">
        <f t="shared" si="692"/>
        <v>1.133965864598776</v>
      </c>
      <c r="LW27" s="593">
        <f>'Proy 2021 vs 2019 Sem'!GD26*$LZ$4</f>
        <v>19730.25</v>
      </c>
      <c r="LX27" s="593">
        <f>'Proy 2021 vs 2019 Sem'!GE26*$LZ$4</f>
        <v>25240.453440000001</v>
      </c>
      <c r="LY27" s="735">
        <v>26482.080000000002</v>
      </c>
      <c r="LZ27" s="700">
        <f t="shared" si="693"/>
        <v>1.3422070171437261</v>
      </c>
      <c r="MA27" s="593">
        <f>'Proy 2021 vs 2019 Sem'!GD26*$MD$4</f>
        <v>23018.625000000004</v>
      </c>
      <c r="MB27" s="593">
        <f>'Proy 2021 vs 2019 Sem'!GE26*$MD$4</f>
        <v>29447.195680000004</v>
      </c>
      <c r="MC27" s="735">
        <v>25664.44</v>
      </c>
      <c r="MD27" s="700">
        <f t="shared" si="694"/>
        <v>1.1149423564613437</v>
      </c>
      <c r="ME27" s="593">
        <f>'Proy 2021 vs 2019 Sem'!GD26*$MH$4</f>
        <v>26307</v>
      </c>
      <c r="MF27" s="593">
        <f>'Proy 2021 vs 2019 Sem'!GE26*$MH$4</f>
        <v>33653.937920000004</v>
      </c>
      <c r="MG27" s="735">
        <v>37111.82</v>
      </c>
      <c r="MH27" s="700">
        <f t="shared" si="695"/>
        <v>1.4107203405937583</v>
      </c>
      <c r="MI27" s="593">
        <f>'Proy 2021 vs 2019 Sem'!GD26*$ML$4</f>
        <v>36172.125</v>
      </c>
      <c r="MJ27" s="593">
        <f>'Proy 2021 vs 2019 Sem'!GE26*$ML$4</f>
        <v>46274.164640000003</v>
      </c>
      <c r="MK27" s="735">
        <v>50792.88</v>
      </c>
      <c r="ML27" s="700">
        <f t="shared" si="696"/>
        <v>1.4041995044526689</v>
      </c>
      <c r="MM27" s="579">
        <f t="shared" si="697"/>
        <v>164418.75</v>
      </c>
      <c r="MN27" s="574">
        <f t="shared" si="698"/>
        <v>210337.11200000002</v>
      </c>
      <c r="MO27" s="794">
        <f t="shared" si="699"/>
        <v>217861.19</v>
      </c>
      <c r="MP27" s="786">
        <f t="shared" si="700"/>
        <v>1.3250385980917627</v>
      </c>
      <c r="MQ27" s="593">
        <f>'Proy 2021 vs 2019 Sem'!GI26*$MT$4</f>
        <v>17768.793600000001</v>
      </c>
      <c r="MR27" s="593">
        <f>'Proy 2021 vs 2019 Sem'!GJ26*$MT$4</f>
        <v>22304.76384</v>
      </c>
      <c r="MS27" s="735">
        <v>31783.94</v>
      </c>
      <c r="MT27" s="700">
        <f t="shared" si="701"/>
        <v>1.7887505879971501</v>
      </c>
      <c r="MU27" s="593">
        <f>'Proy 2021 vs 2019 Sem'!GI26*$MX$4</f>
        <v>17768.793600000001</v>
      </c>
      <c r="MV27" s="593">
        <f>'Proy 2021 vs 2019 Sem'!GJ26*$MX$4</f>
        <v>22304.76384</v>
      </c>
      <c r="MW27" s="735">
        <v>15261.74</v>
      </c>
      <c r="MX27" s="700">
        <f t="shared" si="702"/>
        <v>0.85890693220726022</v>
      </c>
      <c r="MY27" s="593">
        <f>'Proy 2021 vs 2019 Sem'!GI26*$NB$4</f>
        <v>17768.793600000001</v>
      </c>
      <c r="MZ27" s="593">
        <f>'Proy 2021 vs 2019 Sem'!GJ26*$NB$4</f>
        <v>22304.76384</v>
      </c>
      <c r="NA27" s="735">
        <v>22484.49</v>
      </c>
      <c r="NB27" s="700">
        <f t="shared" si="703"/>
        <v>1.2653920410218509</v>
      </c>
      <c r="NC27" s="593">
        <f>'Proy 2021 vs 2019 Sem'!GI26*$NF$4</f>
        <v>17768.793600000001</v>
      </c>
      <c r="ND27" s="593">
        <f>'Proy 2021 vs 2019 Sem'!GJ26*$NF$4</f>
        <v>22304.76384</v>
      </c>
      <c r="NE27" s="735">
        <v>20546.97</v>
      </c>
      <c r="NF27" s="700">
        <f t="shared" si="704"/>
        <v>1.1563514362618292</v>
      </c>
      <c r="NG27" s="593">
        <f>'Proy 2021 vs 2019 Sem'!GI26*$NJ$4</f>
        <v>20730.2592</v>
      </c>
      <c r="NH27" s="593">
        <f>'Proy 2021 vs 2019 Sem'!GJ26*$NJ$4</f>
        <v>26022.224480000004</v>
      </c>
      <c r="NI27" s="735">
        <v>21154.29</v>
      </c>
      <c r="NJ27" s="700">
        <f t="shared" si="705"/>
        <v>1.0204546791194971</v>
      </c>
      <c r="NK27" s="593">
        <f>'Proy 2021 vs 2019 Sem'!GI26*$NN$4</f>
        <v>23691.7248</v>
      </c>
      <c r="NL27" s="593">
        <f>'Proy 2021 vs 2019 Sem'!GJ26*$NN$4</f>
        <v>29739.685120000002</v>
      </c>
      <c r="NM27" s="735">
        <v>24610.2</v>
      </c>
      <c r="NN27" s="700">
        <f t="shared" si="706"/>
        <v>1.0387677641773048</v>
      </c>
      <c r="NO27" s="593">
        <f>'Proy 2021 vs 2019 Sem'!GI26*$NR$4</f>
        <v>32576.121599999999</v>
      </c>
      <c r="NP27" s="593">
        <f>'Proy 2021 vs 2019 Sem'!GJ26*$NR$4</f>
        <v>40892.067040000002</v>
      </c>
      <c r="NQ27" s="735">
        <v>44581.45</v>
      </c>
      <c r="NR27" s="700">
        <f t="shared" si="707"/>
        <v>1.368531544283037</v>
      </c>
      <c r="NS27" s="579">
        <f t="shared" si="708"/>
        <v>148073.28</v>
      </c>
      <c r="NT27" s="574">
        <f t="shared" si="709"/>
        <v>185873.03200000001</v>
      </c>
      <c r="NU27" s="794">
        <f t="shared" si="710"/>
        <v>180423.08000000002</v>
      </c>
      <c r="NV27" s="786">
        <f t="shared" si="711"/>
        <v>1.2184715567859374</v>
      </c>
      <c r="NW27" s="593">
        <f>'Proy 2021 vs 2019 Sem'!GN26*$NZ$4</f>
        <v>18161.083199999997</v>
      </c>
      <c r="NX27" s="593">
        <f>'Proy 2021 vs 2019 Sem'!GO26*$NZ$4</f>
        <v>19028.042688000001</v>
      </c>
      <c r="NY27" s="735">
        <v>33760.04</v>
      </c>
      <c r="NZ27" s="1482">
        <f t="shared" si="712"/>
        <v>1.8589221594447629</v>
      </c>
      <c r="OA27" s="593">
        <f>'Proy 2021 vs 2019 Sem'!GN26*$OD$4</f>
        <v>18161.083199999997</v>
      </c>
      <c r="OB27" s="593">
        <f>'Proy 2021 vs 2019 Sem'!GO26*$OD$4</f>
        <v>19028.042688000001</v>
      </c>
      <c r="OC27" s="735">
        <v>15240.01</v>
      </c>
      <c r="OD27" s="700">
        <f t="shared" si="713"/>
        <v>0.83915754540456056</v>
      </c>
      <c r="OE27" s="593">
        <f>'Proy 2021 vs 2019 Sem'!GN26*$OH$4</f>
        <v>18161.083199999997</v>
      </c>
      <c r="OF27" s="593">
        <f>'Proy 2021 vs 2019 Sem'!GO26*$OH$4</f>
        <v>19028.042688000001</v>
      </c>
      <c r="OG27" s="735">
        <v>16717.2</v>
      </c>
      <c r="OH27" s="700">
        <f t="shared" si="714"/>
        <v>0.92049575545141515</v>
      </c>
      <c r="OI27" s="593">
        <f>'Proy 2021 vs 2019 Sem'!GN26*$OL$4</f>
        <v>18161.083199999997</v>
      </c>
      <c r="OJ27" s="593">
        <f>'Proy 2021 vs 2019 Sem'!GO26*$OL$4</f>
        <v>19028.042688000001</v>
      </c>
      <c r="OK27" s="735">
        <v>21050.66</v>
      </c>
      <c r="OL27" s="700">
        <f t="shared" si="715"/>
        <v>1.1591081747811167</v>
      </c>
      <c r="OM27" s="593">
        <f>'Proy 2021 vs 2019 Sem'!GN26*$OP$4</f>
        <v>21187.930400000001</v>
      </c>
      <c r="ON27" s="593">
        <f>'Proy 2021 vs 2019 Sem'!GO26*$OP$4</f>
        <v>22199.383136000004</v>
      </c>
      <c r="OO27" s="735">
        <v>21851.07</v>
      </c>
      <c r="OP27" s="700">
        <f t="shared" si="716"/>
        <v>1.031297988405701</v>
      </c>
      <c r="OQ27" s="593">
        <f>'Proy 2021 vs 2019 Sem'!GN26*$JV$4</f>
        <v>24214.777599999998</v>
      </c>
      <c r="OR27" s="593">
        <f>'Proy 2021 vs 2019 Sem'!GO26*$JV$4</f>
        <v>25370.723584000003</v>
      </c>
      <c r="OS27" s="735">
        <v>31454.63</v>
      </c>
      <c r="OT27" s="700">
        <f t="shared" si="717"/>
        <v>1.2989848810339684</v>
      </c>
      <c r="OU27" s="593">
        <f>'Proy 2021 vs 2019 Sem'!GN26*$OX$4</f>
        <v>33295.319199999998</v>
      </c>
      <c r="OV27" s="593">
        <f>'Proy 2021 vs 2019 Sem'!GO26*$OX$4</f>
        <v>34884.744928000007</v>
      </c>
      <c r="OW27" s="735">
        <v>43233.440000000002</v>
      </c>
      <c r="OX27" s="700">
        <f t="shared" si="718"/>
        <v>1.2984840223426963</v>
      </c>
      <c r="OY27" s="579">
        <f t="shared" si="719"/>
        <v>151342.35999999999</v>
      </c>
      <c r="OZ27" s="574">
        <f t="shared" si="720"/>
        <v>158567.02240000002</v>
      </c>
      <c r="PA27" s="785">
        <f t="shared" si="721"/>
        <v>183307.05000000002</v>
      </c>
      <c r="PB27" s="786">
        <f t="shared" si="722"/>
        <v>1.211207820467449</v>
      </c>
      <c r="PC27" s="593">
        <f>'Proy 2021 vs 2019 Sem'!GW26*$PF$4</f>
        <v>19543.2</v>
      </c>
      <c r="PD27" s="593">
        <f>'Proy 2021 vs 2019 Sem'!GX26*$PF$4</f>
        <v>20449.98</v>
      </c>
      <c r="PE27" s="735">
        <v>32987.58</v>
      </c>
      <c r="PF27" s="700">
        <f t="shared" si="723"/>
        <v>1.6879313520815424</v>
      </c>
      <c r="PG27" s="593">
        <f>'Proy 2021 vs 2019 Sem'!GW26*$PJ$4</f>
        <v>19543.2</v>
      </c>
      <c r="PH27" s="593">
        <f>'Proy 2021 vs 2019 Sem'!GX26*$PJ$4</f>
        <v>20449.98</v>
      </c>
      <c r="PI27" s="735">
        <v>17101.53</v>
      </c>
      <c r="PJ27" s="700">
        <f t="shared" si="724"/>
        <v>0.87506293749232456</v>
      </c>
      <c r="PK27" s="593">
        <f>'Proy 2021 vs 2019 Sem'!GW26*'Vtas Diarias 2021'!$PN$4</f>
        <v>19543.2</v>
      </c>
      <c r="PL27" s="593">
        <f>'Proy 2021 vs 2019 Sem'!GX26*'Vtas Diarias 2021'!$PN$4</f>
        <v>20449.98</v>
      </c>
      <c r="PM27" s="735">
        <v>13513.02</v>
      </c>
      <c r="PN27" s="700">
        <f t="shared" si="725"/>
        <v>0.6914435711654181</v>
      </c>
      <c r="PO27" s="593">
        <f>'Proy 2021 vs 2019 Sem'!GW26*$PR$4</f>
        <v>19543.2</v>
      </c>
      <c r="PP27" s="593">
        <f>'Proy 2021 vs 2019 Sem'!GX26*$PR$4</f>
        <v>20449.98</v>
      </c>
      <c r="PQ27" s="735">
        <v>18797.03</v>
      </c>
      <c r="PR27" s="700">
        <f t="shared" si="726"/>
        <v>0.96181945638380606</v>
      </c>
      <c r="PS27" s="593">
        <f>'Proy 2021 vs 2019 Sem'!GW26*$PV$4</f>
        <v>22800.400000000001</v>
      </c>
      <c r="PT27" s="593">
        <f>'Proy 2021 vs 2019 Sem'!GX26*$PV$4</f>
        <v>23858.31</v>
      </c>
      <c r="PU27" s="735">
        <v>19349.669999999998</v>
      </c>
      <c r="PV27" s="700">
        <f t="shared" si="727"/>
        <v>0.84865484816055847</v>
      </c>
      <c r="PW27" s="593">
        <f>'Proy 2021 vs 2019 Sem'!GW26*PZ$4</f>
        <v>26057.600000000002</v>
      </c>
      <c r="PX27" s="593">
        <f>'Proy 2021 vs 2019 Sem'!GX26*$PZ$4</f>
        <v>27266.639999999999</v>
      </c>
      <c r="PY27" s="735">
        <v>31061.99</v>
      </c>
      <c r="PZ27" s="700">
        <f t="shared" si="728"/>
        <v>1.1920510714724302</v>
      </c>
      <c r="QA27" s="593">
        <f>'Proy 2021 vs 2019 Sem'!GW26*$QD$4</f>
        <v>35829.199999999997</v>
      </c>
      <c r="QB27" s="593">
        <f>'Proy 2021 vs 2019 Sem'!GX26*$QD$4</f>
        <v>37491.629999999997</v>
      </c>
      <c r="QC27" s="735">
        <v>41399.08</v>
      </c>
      <c r="QD27" s="700">
        <f t="shared" si="729"/>
        <v>1.155456443347884</v>
      </c>
      <c r="QE27" s="579">
        <f t="shared" si="730"/>
        <v>162860</v>
      </c>
      <c r="QF27" s="574">
        <f t="shared" si="731"/>
        <v>170416.5</v>
      </c>
      <c r="QG27" s="729">
        <f t="shared" si="732"/>
        <v>174209.90000000002</v>
      </c>
      <c r="QH27" s="711">
        <f t="shared" si="733"/>
        <v>1.0696911457693725</v>
      </c>
      <c r="QI27" s="578">
        <f>'Proy 2021 vs 2019 Sem'!HB26*$QL$4</f>
        <v>18380.034</v>
      </c>
      <c r="QJ27" s="611">
        <f>'Proy 2021 vs 2019 Sem'!UG26*$AL$4</f>
        <v>0</v>
      </c>
      <c r="QK27" s="735">
        <v>39297.339999999997</v>
      </c>
      <c r="QL27" s="700">
        <f t="shared" si="734"/>
        <v>2.1380450112333849</v>
      </c>
      <c r="QM27" s="593">
        <f>'Proy 2021 vs 2019 Sem'!HB26*$QP$4</f>
        <v>18380.034</v>
      </c>
      <c r="QN27" s="593">
        <f>'Proy 2021 vs 2019 Sem'!UG26*$AP$4</f>
        <v>0</v>
      </c>
      <c r="QO27" s="735">
        <v>13747.63</v>
      </c>
      <c r="QP27" s="700">
        <f t="shared" si="735"/>
        <v>0.74796542813794575</v>
      </c>
      <c r="QQ27" s="593">
        <f>'Proy 2021 vs 2019 Sem'!HB26*$QT$4</f>
        <v>18380.034</v>
      </c>
      <c r="QR27" s="593">
        <f>'Proy 2021 vs 2019 Sem'!HC26*$QT$4</f>
        <v>21195.284375999996</v>
      </c>
      <c r="QS27" s="735">
        <v>16281.07</v>
      </c>
      <c r="QT27" s="700">
        <f t="shared" si="736"/>
        <v>0.88580195227059977</v>
      </c>
      <c r="QU27" s="593">
        <f>'Proy 2021 vs 2019 Sem'!HB26*$QX$4</f>
        <v>18380.034</v>
      </c>
      <c r="QV27" s="593">
        <f>'Proy 2021 vs 2019 Sem'!HC26*$QX$4</f>
        <v>21195.284375999996</v>
      </c>
      <c r="QW27" s="735">
        <v>16486.900000000001</v>
      </c>
      <c r="QX27" s="700">
        <f t="shared" si="737"/>
        <v>0.89700051697401662</v>
      </c>
      <c r="QY27" s="593">
        <f>'Proy 2021 vs 2019 Sem'!HB26*$RB$4</f>
        <v>21443.373000000003</v>
      </c>
      <c r="QZ27" s="593">
        <f>'Proy 2021 vs 2019 Sem'!HC26*$RB$4</f>
        <v>24727.831772000001</v>
      </c>
      <c r="RA27" s="735">
        <v>16393.59</v>
      </c>
      <c r="RB27" s="700">
        <f t="shared" si="738"/>
        <v>0.76450612503919035</v>
      </c>
      <c r="RC27" s="593">
        <f>'Proy 2021 vs 2019 Sem'!HB26*$RF$4</f>
        <v>24506.712000000003</v>
      </c>
      <c r="RD27" s="593">
        <f>'Proy 2021 vs 2019 Sem'!HC26*$RF$4</f>
        <v>28260.379167999999</v>
      </c>
      <c r="RE27" s="735">
        <v>28966.32</v>
      </c>
      <c r="RF27" s="700">
        <f t="shared" si="739"/>
        <v>1.1819749626143237</v>
      </c>
      <c r="RG27" s="593">
        <f>'Proy 2021 vs 2019 Sem'!HB26*$RJ$4</f>
        <v>33696.728999999999</v>
      </c>
      <c r="RH27" s="593">
        <f>'Proy 2021 vs 2019 Sem'!HC26*$RJ$4</f>
        <v>38858.021355999997</v>
      </c>
      <c r="RI27" s="735">
        <v>36436.68</v>
      </c>
      <c r="RJ27" s="700">
        <f t="shared" si="740"/>
        <v>1.0813120763145883</v>
      </c>
      <c r="RK27" s="579">
        <f t="shared" si="741"/>
        <v>153166.95000000001</v>
      </c>
      <c r="RL27" s="574">
        <f t="shared" si="742"/>
        <v>134236.80104799999</v>
      </c>
      <c r="RM27" s="730">
        <f t="shared" si="743"/>
        <v>167609.53</v>
      </c>
      <c r="RN27" s="711">
        <f t="shared" si="744"/>
        <v>1.0942930573469014</v>
      </c>
      <c r="RO27" s="593">
        <f>'Proy 2021 vs 2019 Sem'!HG26*$RR$4</f>
        <v>17830.241999999998</v>
      </c>
      <c r="RP27" s="593">
        <f>'Proy 2021 vs 2019 Sem'!HH26*$RR$4</f>
        <v>20699.786111999998</v>
      </c>
      <c r="RQ27" s="735">
        <v>39184.86</v>
      </c>
      <c r="RR27" s="700">
        <f t="shared" si="745"/>
        <v>2.1976628247670451</v>
      </c>
      <c r="RS27" s="593">
        <f>'Proy 2021 vs 2019 Sem'!HG26*$RV$4</f>
        <v>17830.241999999998</v>
      </c>
      <c r="RT27" s="593">
        <f>'Proy 2021 vs 2019 Sem'!HH26*$RV$4</f>
        <v>20699.786111999998</v>
      </c>
      <c r="RU27" s="735">
        <v>14194.68</v>
      </c>
      <c r="RV27" s="700">
        <f t="shared" si="746"/>
        <v>0.79610136530956799</v>
      </c>
      <c r="RW27" s="593">
        <f>'Proy 2021 vs 2019 Sem'!HG26*$RZ$4</f>
        <v>17830.241999999998</v>
      </c>
      <c r="RX27" s="593">
        <f>'Proy 2021 vs 2019 Sem'!HH26*$RZ$4</f>
        <v>20699.786111999998</v>
      </c>
      <c r="RY27" s="735">
        <v>21037.51</v>
      </c>
      <c r="RZ27" s="700">
        <f t="shared" si="747"/>
        <v>1.1798779848304919</v>
      </c>
      <c r="SA27" s="593">
        <f>'Proy 2021 vs 2019 Sem'!HG26*$SD$4</f>
        <v>17830.241999999998</v>
      </c>
      <c r="SB27" s="593">
        <f>'Proy 2021 vs 2019 Sem'!HH26*$SD$4</f>
        <v>20699.786111999998</v>
      </c>
      <c r="SC27" s="735">
        <v>21471.41</v>
      </c>
      <c r="SD27" s="700">
        <f t="shared" si="748"/>
        <v>1.2042130443322083</v>
      </c>
      <c r="SE27" s="593">
        <f>'Proy 2021 vs 2019 Sem'!HG26*$SH$4</f>
        <v>20801.949000000004</v>
      </c>
      <c r="SF27" s="593">
        <f>'Proy 2021 vs 2019 Sem'!HH26*$SH$4</f>
        <v>24149.750463999997</v>
      </c>
      <c r="SG27" s="735">
        <v>38922.14</v>
      </c>
      <c r="SH27" s="700">
        <f t="shared" si="749"/>
        <v>1.8710814068431756</v>
      </c>
      <c r="SI27" s="593">
        <f>'Proy 2021 vs 2019 Sem'!HG26*$SL$4</f>
        <v>23773.656000000003</v>
      </c>
      <c r="SJ27" s="593">
        <f>'Proy 2021 vs 2019 Sem'!HH26*$SL$4</f>
        <v>27599.714815999996</v>
      </c>
      <c r="SK27" s="735">
        <v>30048.14</v>
      </c>
      <c r="SL27" s="700">
        <f t="shared" si="750"/>
        <v>1.2639259186723319</v>
      </c>
      <c r="SM27" s="593">
        <f>'Proy 2021 vs 2019 Sem'!HG26*$SP$4</f>
        <v>32688.777000000002</v>
      </c>
      <c r="SN27" s="593">
        <f>'Proy 2021 vs 2019 Sem'!HH26*$SP$4</f>
        <v>37949.607871999993</v>
      </c>
      <c r="SO27" s="735">
        <v>42219.76</v>
      </c>
      <c r="SP27" s="700">
        <f t="shared" si="751"/>
        <v>1.2915674391856262</v>
      </c>
      <c r="SQ27" s="579">
        <f t="shared" si="752"/>
        <v>148585.35</v>
      </c>
      <c r="SR27" s="574">
        <f t="shared" si="753"/>
        <v>172498.21759999997</v>
      </c>
      <c r="SS27" s="730">
        <f t="shared" si="754"/>
        <v>207078.5</v>
      </c>
      <c r="ST27" s="711">
        <f t="shared" si="755"/>
        <v>1.3936670068751731</v>
      </c>
      <c r="SU27" s="593">
        <f>'Proy 2021 vs 2019 Sem'!HL26*$SX$4</f>
        <v>17182.810799999999</v>
      </c>
      <c r="SV27" s="593">
        <f>'Proy 2021 vs 2019 Sem'!HM26*$SX$4</f>
        <v>22416.362303999998</v>
      </c>
      <c r="SW27" s="735">
        <v>34062.14</v>
      </c>
      <c r="SX27" s="700">
        <f t="shared" si="756"/>
        <v>1.9823380700903719</v>
      </c>
      <c r="SY27" s="593">
        <f>'Proy 2021 vs 2019 Sem'!HL26*$TB$4</f>
        <v>17182.810799999999</v>
      </c>
      <c r="SZ27" s="593">
        <f>'Proy 2021 vs 2019 Sem'!HM26*$TB$4</f>
        <v>22416.362303999998</v>
      </c>
      <c r="TA27" s="735">
        <v>14656.36</v>
      </c>
      <c r="TB27" s="700">
        <f t="shared" si="757"/>
        <v>0.85296638428911764</v>
      </c>
      <c r="TC27" s="593">
        <f>'Proy 2021 vs 2019 Sem'!HL26*$TF$4</f>
        <v>17182.810799999999</v>
      </c>
      <c r="TD27" s="593">
        <f>'Proy 2021 vs 2019 Sem'!HM26*$TF$4</f>
        <v>22416.362303999998</v>
      </c>
      <c r="TE27" s="735">
        <v>12631.58</v>
      </c>
      <c r="TF27" s="700">
        <f t="shared" si="758"/>
        <v>0.73512885330728317</v>
      </c>
      <c r="TG27" s="593">
        <f>'Proy 2021 vs 2019 Sem'!HL26*$TJ$4</f>
        <v>17182.810799999999</v>
      </c>
      <c r="TH27" s="593">
        <f>'Proy 2021 vs 2019 Sem'!HM26*$TJ$4</f>
        <v>22416.362303999998</v>
      </c>
      <c r="TI27" s="735">
        <v>20181.759999999998</v>
      </c>
      <c r="TJ27" s="700">
        <f t="shared" si="759"/>
        <v>1.1745319339720599</v>
      </c>
      <c r="TK27" s="593">
        <f>'Proy 2021 vs 2019 Sem'!HL26*$TN$4</f>
        <v>20046.6126</v>
      </c>
      <c r="TL27" s="593">
        <f>'Proy 2021 vs 2019 Sem'!HM26*$TN$4</f>
        <v>26152.422687999999</v>
      </c>
      <c r="TM27" s="735">
        <v>18641.97</v>
      </c>
      <c r="TN27" s="700">
        <f t="shared" si="760"/>
        <v>0.92993117450675933</v>
      </c>
      <c r="TO27" s="593">
        <f>'Proy 2021 vs 2019 Sem'!HL26*$TR$4</f>
        <v>22910.414400000001</v>
      </c>
      <c r="TP27" s="611">
        <f>'Proy 2021 vs 2019 Sem'!HM26*$TR$4</f>
        <v>29888.483071999999</v>
      </c>
      <c r="TQ27" s="735">
        <v>22550.240000000002</v>
      </c>
      <c r="TR27" s="700">
        <f t="shared" si="761"/>
        <v>0.9842790098113634</v>
      </c>
      <c r="TS27" s="593">
        <f>'Proy 2021 vs 2019 Sem'!HL26*$TV$4</f>
        <v>31501.819800000001</v>
      </c>
      <c r="TT27" s="593">
        <f>'Proy 2021 vs 2019 Sem'!HM26*$TV$4</f>
        <v>41096.664223999993</v>
      </c>
      <c r="TU27" s="735">
        <v>34578.33</v>
      </c>
      <c r="TV27" s="700">
        <f t="shared" si="762"/>
        <v>1.0976613484405748</v>
      </c>
      <c r="TW27" s="579">
        <f t="shared" si="763"/>
        <v>143190.09</v>
      </c>
      <c r="TX27" s="574">
        <f t="shared" si="764"/>
        <v>186803.01919999998</v>
      </c>
      <c r="TY27" s="710">
        <f t="shared" si="765"/>
        <v>157302.38</v>
      </c>
      <c r="TZ27" s="711">
        <f t="shared" si="766"/>
        <v>1.0985563316567508</v>
      </c>
      <c r="UA27" s="593">
        <v>35130.53</v>
      </c>
      <c r="UB27" s="593">
        <f>'Proy 2021 vs 2019 Sem'!HR26*$UD$4</f>
        <v>22609.827528000002</v>
      </c>
      <c r="UC27" s="735">
        <v>28699.759999999998</v>
      </c>
      <c r="UD27" s="700">
        <f t="shared" si="767"/>
        <v>0.8169463996131</v>
      </c>
      <c r="UE27" s="593">
        <v>10645.16</v>
      </c>
      <c r="UF27" s="593">
        <f>'Proy 2021 vs 2019 Sem'!HR26*$UH$4</f>
        <v>22609.827528000002</v>
      </c>
      <c r="UG27" s="735">
        <v>13847.26</v>
      </c>
      <c r="UH27" s="700">
        <f t="shared" si="768"/>
        <v>1.300803369794348</v>
      </c>
      <c r="UI27" s="593">
        <v>15416.24</v>
      </c>
      <c r="UJ27" s="593">
        <f>'Proy 2021 vs 2019 Sem'!HR26*$UL$4</f>
        <v>22609.827528000002</v>
      </c>
      <c r="UK27" s="735">
        <v>12393.78</v>
      </c>
      <c r="UL27" s="700">
        <f t="shared" si="769"/>
        <v>0.80394311453376444</v>
      </c>
      <c r="UM27" s="593">
        <v>13694.85</v>
      </c>
      <c r="UN27" s="593">
        <f>'Proy 2021 vs 2019 Sem'!HR26*$UP$4</f>
        <v>22609.827528000002</v>
      </c>
      <c r="UO27" s="735">
        <v>20631.310000000001</v>
      </c>
      <c r="UP27" s="700">
        <f t="shared" si="770"/>
        <v>1.5065013490472696</v>
      </c>
      <c r="UQ27" s="593">
        <v>15136.18</v>
      </c>
      <c r="UR27" s="593">
        <f>'Proy 2021 vs 2019 Sem'!HR26*$UT$4</f>
        <v>26378.132116000004</v>
      </c>
      <c r="US27" s="735">
        <v>20315.34</v>
      </c>
      <c r="UT27" s="700">
        <f t="shared" si="771"/>
        <v>1.3421708779890302</v>
      </c>
      <c r="UU27" s="593">
        <v>27989.37</v>
      </c>
      <c r="UV27" s="593">
        <f>'Proy 2021 vs 2019 Sem'!HR26*$UX$4</f>
        <v>30146.436704000003</v>
      </c>
      <c r="UW27" s="735">
        <v>30610.639999999999</v>
      </c>
      <c r="UX27" s="700">
        <f t="shared" si="772"/>
        <v>1.0936523401562808</v>
      </c>
      <c r="UY27" s="593">
        <v>40265.4</v>
      </c>
      <c r="UZ27" s="593">
        <f>'Proy 2021 vs 2019 Sem'!HR26*$VB$4</f>
        <v>41451.350468000004</v>
      </c>
      <c r="VA27" s="735">
        <v>47164.12</v>
      </c>
      <c r="VB27" s="700">
        <f t="shared" si="773"/>
        <v>1.1713312173727319</v>
      </c>
      <c r="VC27" s="577">
        <f>UA27+UE27+UI27+UM27+UQ27+UU27+UY27</f>
        <v>158277.72999999998</v>
      </c>
      <c r="VD27" s="574">
        <f t="shared" si="774"/>
        <v>188415.22940000001</v>
      </c>
      <c r="VE27" s="710">
        <f t="shared" si="775"/>
        <v>173662.21</v>
      </c>
      <c r="VF27" s="1532">
        <f t="shared" si="776"/>
        <v>1.0971992711798433</v>
      </c>
      <c r="VG27" s="593">
        <v>35456.92</v>
      </c>
      <c r="VH27" s="593">
        <f>'Proy 2021 vs 2019 Sem'!IA26*$VJ$4</f>
        <v>18980.703720000001</v>
      </c>
      <c r="VI27" s="735">
        <v>37999.230000000003</v>
      </c>
      <c r="VJ27" s="700">
        <f t="shared" si="777"/>
        <v>1.0717013773333952</v>
      </c>
      <c r="VK27" s="593">
        <v>9772.35</v>
      </c>
      <c r="VL27" s="593">
        <f>'Proy 2021 vs 2019 Sem'!IA26*$VN$4</f>
        <v>18980.703720000001</v>
      </c>
      <c r="VM27" s="735">
        <v>14557.4</v>
      </c>
      <c r="VN27" s="700">
        <f t="shared" si="778"/>
        <v>1.489651926097612</v>
      </c>
      <c r="VO27" s="593">
        <v>14007.54</v>
      </c>
      <c r="VP27" s="593">
        <f>'Proy 2021 vs 2019 Sem'!IA26*$VR$4</f>
        <v>18980.703720000001</v>
      </c>
      <c r="VQ27" s="735">
        <v>17117.62</v>
      </c>
      <c r="VR27" s="700">
        <f t="shared" si="779"/>
        <v>1.2220289929566504</v>
      </c>
      <c r="VS27" s="593">
        <v>19537</v>
      </c>
      <c r="VT27" s="593">
        <f>'Proy 2021 vs 2019 Sem'!IA26*$VV$4</f>
        <v>18980.703720000001</v>
      </c>
      <c r="VU27" s="735">
        <v>21274.36</v>
      </c>
      <c r="VV27" s="700">
        <f t="shared" si="780"/>
        <v>1.0889266519936531</v>
      </c>
      <c r="VW27" s="593">
        <v>12806.95</v>
      </c>
      <c r="VX27" s="593">
        <f>'Proy 2021 vs 2019 Sem'!IA26*$VZ$4</f>
        <v>22144.154340000005</v>
      </c>
      <c r="VY27" s="735">
        <v>21026.51</v>
      </c>
      <c r="VZ27" s="700">
        <f t="shared" si="781"/>
        <v>1.6418046451340871</v>
      </c>
      <c r="WA27" s="593">
        <v>20306.91</v>
      </c>
      <c r="WB27" s="593">
        <f>'Proy 2021 vs 2019 Sem'!IA26*$WD$4</f>
        <v>25307.604960000004</v>
      </c>
      <c r="WC27" s="735">
        <v>22867.84</v>
      </c>
      <c r="WD27" s="700">
        <f t="shared" si="782"/>
        <v>1.1261112596648135</v>
      </c>
      <c r="WE27" s="593">
        <v>31905.54</v>
      </c>
      <c r="WF27" s="593">
        <f>'Proy 2021 vs 2019 Sem'!IA26*$WH$4</f>
        <v>34797.956820000007</v>
      </c>
      <c r="WG27" s="735">
        <v>48592.29</v>
      </c>
      <c r="WH27" s="1538">
        <f t="shared" si="783"/>
        <v>1.5230047822415793</v>
      </c>
      <c r="WI27" s="574">
        <f t="shared" si="784"/>
        <v>78773.81</v>
      </c>
      <c r="WJ27" s="575">
        <f t="shared" si="785"/>
        <v>158172.53100000002</v>
      </c>
      <c r="WK27" s="793">
        <f t="shared" si="786"/>
        <v>183435.25</v>
      </c>
      <c r="WL27" s="786">
        <f t="shared" si="787"/>
        <v>2.3286324477640474</v>
      </c>
      <c r="WM27" s="593">
        <v>25703.58</v>
      </c>
      <c r="WN27" s="593">
        <f>'Proy 2021 vs 2019 Sem'!IF26*$WP$4</f>
        <v>17448.822720000004</v>
      </c>
      <c r="WO27" s="735">
        <v>35865.980000000003</v>
      </c>
      <c r="WP27" s="700">
        <f t="shared" si="788"/>
        <v>1.3953690497588274</v>
      </c>
      <c r="WQ27" s="593">
        <v>9570.6200000000008</v>
      </c>
      <c r="WR27" s="593">
        <f>'Proy 2021 vs 2019 Sem'!IF26*$WT$4</f>
        <v>17448.822720000004</v>
      </c>
      <c r="WS27" s="735">
        <v>11799.48</v>
      </c>
      <c r="WT27" s="700">
        <f t="shared" si="789"/>
        <v>1.2328856437722946</v>
      </c>
      <c r="WU27" s="593">
        <v>12172.28</v>
      </c>
      <c r="WV27" s="593">
        <f>'Proy 2021 vs 2019 Sem'!IF26*$WX$4</f>
        <v>17448.822720000004</v>
      </c>
      <c r="WW27" s="735">
        <v>19428.740000000002</v>
      </c>
      <c r="WX27" s="700">
        <f t="shared" si="790"/>
        <v>1.5961463259142905</v>
      </c>
      <c r="WY27" s="593">
        <v>12619.79</v>
      </c>
      <c r="WZ27" s="593">
        <f>'Proy 2021 vs 2019 Sem'!IF26*$XB$4</f>
        <v>17448.822720000004</v>
      </c>
      <c r="XA27" s="735">
        <v>18443.2</v>
      </c>
      <c r="XB27" s="700">
        <f t="shared" si="791"/>
        <v>1.4614506263574909</v>
      </c>
      <c r="XC27" s="593">
        <v>15223.44</v>
      </c>
      <c r="XD27" s="593">
        <f>'Proy 2021 vs 2019 Sem'!IF26*$XF$4</f>
        <v>20356.959840000007</v>
      </c>
      <c r="XE27" s="735">
        <v>20864.849999999999</v>
      </c>
      <c r="XF27" s="700">
        <f t="shared" si="792"/>
        <v>1.3705739307278775</v>
      </c>
      <c r="XG27" s="593">
        <v>18535.88</v>
      </c>
      <c r="XH27" s="593">
        <f>'Proy 2021 vs 2019 Sem'!IF26*$XJ$4</f>
        <v>23265.096960000006</v>
      </c>
      <c r="XI27" s="735">
        <v>28373.9</v>
      </c>
      <c r="XJ27" s="700">
        <f t="shared" si="793"/>
        <v>1.5307554861166559</v>
      </c>
      <c r="XK27" s="593">
        <v>36001.96</v>
      </c>
      <c r="XL27" s="593">
        <f>'Proy 2021 vs 2019 Sem'!IF26*$XN$4</f>
        <v>31989.508320000008</v>
      </c>
      <c r="XM27" s="735">
        <v>43332.14</v>
      </c>
      <c r="XN27" s="700">
        <f t="shared" si="794"/>
        <v>1.2036050259485873</v>
      </c>
      <c r="XO27" s="579">
        <f t="shared" si="795"/>
        <v>129827.55000000002</v>
      </c>
      <c r="XP27" s="574">
        <f t="shared" si="796"/>
        <v>145406.85600000003</v>
      </c>
      <c r="XQ27" s="794">
        <f t="shared" si="797"/>
        <v>178108.28999999998</v>
      </c>
      <c r="XR27" s="786">
        <f t="shared" si="798"/>
        <v>1.3718836256249152</v>
      </c>
      <c r="XS27" s="593">
        <v>35693.64</v>
      </c>
      <c r="XT27" s="593">
        <f>'Proy 2021 vs 2019 Sem'!IK26*$XV$4</f>
        <v>20672.762940000001</v>
      </c>
      <c r="XU27" s="735">
        <v>39107.599999999999</v>
      </c>
      <c r="XV27" s="700">
        <f t="shared" si="799"/>
        <v>1.0956461711386118</v>
      </c>
      <c r="XW27" s="593">
        <v>10332.629999999999</v>
      </c>
      <c r="XX27" s="593">
        <f>'Proy 2021 vs 2019 Sem'!IK26*$XZ$4</f>
        <v>20672.762940000001</v>
      </c>
      <c r="XY27" s="735">
        <v>11693.04</v>
      </c>
      <c r="XZ27" s="700">
        <f t="shared" si="800"/>
        <v>1.131661542124319</v>
      </c>
      <c r="YA27" s="593">
        <v>14662.55</v>
      </c>
      <c r="YB27" s="593">
        <f>'Proy 2021 vs 2019 Sem'!IK26*$YD$4</f>
        <v>20672.762940000001</v>
      </c>
      <c r="YC27" s="735">
        <v>15107.55</v>
      </c>
      <c r="YD27" s="700">
        <f t="shared" si="801"/>
        <v>1.0303494276234353</v>
      </c>
      <c r="YE27" s="593">
        <v>15000.21</v>
      </c>
      <c r="YF27" s="593">
        <f>'Proy 2021 vs 2019 Sem'!IK26*$YH$4</f>
        <v>20672.762940000001</v>
      </c>
      <c r="YG27" s="735">
        <v>19572.55</v>
      </c>
      <c r="YH27" s="700">
        <f t="shared" si="802"/>
        <v>1.3048183992090778</v>
      </c>
      <c r="YI27" s="593">
        <v>15061.5</v>
      </c>
      <c r="YJ27" s="593">
        <f>'Proy 2021 vs 2019 Sem'!IK26*$YL$4</f>
        <v>24118.223430000002</v>
      </c>
      <c r="YK27" s="735">
        <v>19819.689999999999</v>
      </c>
      <c r="YL27" s="700">
        <f t="shared" si="803"/>
        <v>1.3159174053049165</v>
      </c>
      <c r="YM27" s="593">
        <v>24000.06</v>
      </c>
      <c r="YN27" s="593">
        <f>'Proy 2021 vs 2019 Sem'!IK26*$YP$4</f>
        <v>27563.683919999999</v>
      </c>
      <c r="YO27" s="735">
        <v>26582.84</v>
      </c>
      <c r="YP27" s="700">
        <f t="shared" si="804"/>
        <v>1.1076155642944225</v>
      </c>
      <c r="YQ27" s="593">
        <v>35052.04</v>
      </c>
      <c r="YR27" s="593">
        <f>'Proy 2021 vs 2019 Sem'!IK26*$YT$4</f>
        <v>37900.065390000003</v>
      </c>
      <c r="YS27" s="735">
        <v>44540.71</v>
      </c>
      <c r="YT27" s="700">
        <f t="shared" si="805"/>
        <v>1.2707023614032165</v>
      </c>
      <c r="YU27" s="579">
        <f t="shared" si="806"/>
        <v>149802.63</v>
      </c>
      <c r="YV27" s="574">
        <f t="shared" si="807"/>
        <v>172273.0245</v>
      </c>
      <c r="YW27" s="794">
        <f t="shared" si="808"/>
        <v>176423.98</v>
      </c>
      <c r="YX27" s="786">
        <f t="shared" si="809"/>
        <v>1.1777094968225859</v>
      </c>
      <c r="YY27" s="593">
        <v>33313.949999999997</v>
      </c>
      <c r="YZ27" s="593">
        <f>'Proy 2021 vs 2019 Sem'!IP26*$ZB$4</f>
        <v>20603.213471999999</v>
      </c>
      <c r="ZA27" s="735">
        <v>36164.199999999997</v>
      </c>
      <c r="ZB27" s="700">
        <f t="shared" si="810"/>
        <v>1.0855572515417715</v>
      </c>
      <c r="ZC27" s="593">
        <v>9872.36</v>
      </c>
      <c r="ZD27" s="593">
        <f>'Proy 2021 vs 2019 Sem'!IP26*$ZF$4</f>
        <v>20603.213471999999</v>
      </c>
      <c r="ZE27" s="735">
        <v>15061.61</v>
      </c>
      <c r="ZF27" s="700">
        <f t="shared" si="811"/>
        <v>1.5256341948632344</v>
      </c>
      <c r="ZG27" s="593">
        <v>10723.27</v>
      </c>
      <c r="ZH27" s="593">
        <f>'Proy 2021 vs 2019 Sem'!IP26*$ZJ$4</f>
        <v>20603.213471999999</v>
      </c>
      <c r="ZI27" s="735">
        <v>16618.43</v>
      </c>
      <c r="ZJ27" s="700">
        <f t="shared" si="812"/>
        <v>1.5497539463242089</v>
      </c>
      <c r="ZK27" s="593">
        <v>18096.29</v>
      </c>
      <c r="ZL27" s="593">
        <f>'Proy 2021 vs 2019 Sem'!IP26*$ZN$4</f>
        <v>20603.213471999999</v>
      </c>
      <c r="ZM27" s="735">
        <v>21101.7</v>
      </c>
      <c r="ZN27" s="700">
        <f t="shared" si="813"/>
        <v>1.1660787929459575</v>
      </c>
      <c r="ZO27" s="593">
        <v>19186.89</v>
      </c>
      <c r="ZP27" s="593">
        <f>'Proy 2021 vs 2019 Sem'!IP26*$ZR$4</f>
        <v>24037.082384000005</v>
      </c>
      <c r="ZQ27" s="735">
        <v>31858.97</v>
      </c>
      <c r="ZR27" s="700">
        <f t="shared" si="814"/>
        <v>1.6604551336876379</v>
      </c>
      <c r="ZS27" s="593">
        <v>22870.77</v>
      </c>
      <c r="ZT27" s="593">
        <f>'Proy 2021 vs 2019 Sem'!IP26*$ZV$4</f>
        <v>27470.951296000003</v>
      </c>
      <c r="ZU27" s="735">
        <v>39618.480000000003</v>
      </c>
      <c r="ZV27" s="700">
        <f t="shared" si="815"/>
        <v>1.7322757388579397</v>
      </c>
      <c r="ZW27" s="593">
        <v>31439.39</v>
      </c>
      <c r="ZX27" s="593">
        <f>'Proy 2021 vs 2019 Sem'!IP26*$ZZ$4</f>
        <v>37772.558032000001</v>
      </c>
      <c r="ZY27" s="735">
        <v>50748.55</v>
      </c>
      <c r="ZZ27" s="700">
        <f t="shared" si="816"/>
        <v>1.6141709492455167</v>
      </c>
      <c r="AAA27" s="579">
        <f t="shared" si="817"/>
        <v>145502.91999999998</v>
      </c>
      <c r="AAB27" s="574">
        <f t="shared" si="818"/>
        <v>171693.44560000001</v>
      </c>
      <c r="AAC27" s="785">
        <f t="shared" si="819"/>
        <v>211171.94</v>
      </c>
      <c r="AAD27" s="786">
        <f t="shared" si="820"/>
        <v>1.4513244132832526</v>
      </c>
      <c r="AAE27" s="593">
        <v>30310.34</v>
      </c>
      <c r="AAF27" s="593">
        <f>'Proy 2021 vs 2019 Sem'!IY26*$AAH$4</f>
        <v>16588.006703999999</v>
      </c>
      <c r="AAG27" s="735">
        <v>36361.35</v>
      </c>
      <c r="AAH27" s="700">
        <f t="shared" si="821"/>
        <v>1.1996351740033269</v>
      </c>
      <c r="AAI27" s="593">
        <v>8948.49</v>
      </c>
      <c r="AAJ27" s="593">
        <f>'Proy 2021 vs 2019 Sem'!IY26*$AAL$4</f>
        <v>16588.006703999999</v>
      </c>
      <c r="AAK27" s="735">
        <v>21201.77</v>
      </c>
      <c r="AAL27" s="700">
        <f t="shared" si="822"/>
        <v>2.3693125879338304</v>
      </c>
      <c r="AAM27" s="593">
        <v>8986.7099999999991</v>
      </c>
      <c r="AAN27" s="593">
        <f>'Proy 2021 vs 2019 Sem'!IY26*$AAP$4</f>
        <v>16588.006703999999</v>
      </c>
      <c r="AAO27" s="735">
        <v>23277.119999999999</v>
      </c>
      <c r="AAP27" s="700">
        <f t="shared" si="823"/>
        <v>2.5901714865618231</v>
      </c>
      <c r="AAQ27" s="593">
        <v>12994.61</v>
      </c>
      <c r="AAR27" s="593">
        <f>'Proy 2021 vs 2019 Sem'!IY26*$AAT$4</f>
        <v>16588.006703999999</v>
      </c>
      <c r="AAS27" s="735">
        <v>13416.69</v>
      </c>
      <c r="AAT27" s="700">
        <f t="shared" si="824"/>
        <v>1.0324811594961296</v>
      </c>
      <c r="AAU27" s="593">
        <v>10060.99</v>
      </c>
      <c r="AAV27" s="593">
        <f>'Proy 2021 vs 2019 Sem'!IY26*$AAX$4</f>
        <v>19352.674488000004</v>
      </c>
      <c r="AAW27" s="735">
        <v>15239.33</v>
      </c>
      <c r="AAX27" s="700">
        <f t="shared" si="825"/>
        <v>1.5146948759515715</v>
      </c>
      <c r="AAY27" s="593">
        <v>16549.25</v>
      </c>
      <c r="AAZ27" s="593">
        <f>'Proy 2021 vs 2019 Sem'!IY26*$ABB$4</f>
        <v>22117.342272000002</v>
      </c>
      <c r="ABA27" s="735">
        <v>18638.96</v>
      </c>
      <c r="ABB27" s="700">
        <f t="shared" si="826"/>
        <v>1.1262721875613697</v>
      </c>
      <c r="ABC27" s="593">
        <v>29296.55</v>
      </c>
      <c r="ABD27" s="593">
        <f>'Proy 2021 vs 2019 Sem'!IY26*$ABF$4</f>
        <v>30411.345624000001</v>
      </c>
      <c r="ABE27" s="735">
        <v>41475.410000000003</v>
      </c>
      <c r="ABF27" s="700">
        <f t="shared" si="827"/>
        <v>1.4157096996062677</v>
      </c>
      <c r="ABG27" s="579">
        <f t="shared" si="828"/>
        <v>117146.94</v>
      </c>
      <c r="ABH27" s="574">
        <f t="shared" si="829"/>
        <v>138233.38920000001</v>
      </c>
      <c r="ABI27" s="759">
        <f t="shared" si="830"/>
        <v>169610.63</v>
      </c>
      <c r="ABJ27" s="761">
        <f t="shared" si="831"/>
        <v>1.4478451592504251</v>
      </c>
      <c r="ABK27" s="593">
        <v>27127.81</v>
      </c>
      <c r="ABL27" s="593">
        <f>'Proy 2021 vs 2019 Sem'!JD26*$ABN$4</f>
        <v>24734.047535999998</v>
      </c>
      <c r="ABM27" s="735">
        <v>31087.79</v>
      </c>
      <c r="ABN27" s="700">
        <f t="shared" si="832"/>
        <v>1.145974923888069</v>
      </c>
      <c r="ABO27" s="593">
        <v>11866.39</v>
      </c>
      <c r="ABP27" s="593">
        <f>'Proy 2021 vs 2019 Sem'!JD26*$ABR$4</f>
        <v>24734.047535999998</v>
      </c>
      <c r="ABQ27" s="735">
        <v>13407.63</v>
      </c>
      <c r="ABR27" s="700">
        <f t="shared" si="833"/>
        <v>1.1298828034473838</v>
      </c>
      <c r="ABS27" s="593">
        <v>10248.11</v>
      </c>
      <c r="ABT27" s="593">
        <f>'Proy 2021 vs 2019 Sem'!JD26*$ABV$4</f>
        <v>24734.047535999998</v>
      </c>
      <c r="ABU27" s="735">
        <v>10018.299999999999</v>
      </c>
      <c r="ABV27" s="700">
        <f t="shared" si="834"/>
        <v>0.97757537731347521</v>
      </c>
      <c r="ABW27" s="593">
        <v>13016.83</v>
      </c>
      <c r="ABX27" s="593">
        <f>'Proy 2021 vs 2019 Sem'!JD26*$ABZ$4</f>
        <v>24734.047535999998</v>
      </c>
      <c r="ABY27" s="735">
        <v>19458.29</v>
      </c>
      <c r="ABZ27" s="700">
        <f t="shared" si="835"/>
        <v>1.4948562745307421</v>
      </c>
      <c r="ACA27" s="593">
        <v>17377.22</v>
      </c>
      <c r="ACB27" s="593">
        <f>'Proy 2021 vs 2019 Sem'!JD26*$ACD$4</f>
        <v>28856.388792000002</v>
      </c>
      <c r="ACC27" s="735">
        <v>21632.86</v>
      </c>
      <c r="ACD27" s="700">
        <f t="shared" si="836"/>
        <v>1.2448976303459356</v>
      </c>
      <c r="ACE27" s="593">
        <v>34042.06</v>
      </c>
      <c r="ACF27" s="593">
        <f>'Proy 2021 vs 2019 Sem'!JD26*$ACH$4</f>
        <v>32978.730047999998</v>
      </c>
      <c r="ACG27" s="735">
        <v>27767.46</v>
      </c>
      <c r="ACH27" s="700">
        <f t="shared" si="837"/>
        <v>0.81568095467783097</v>
      </c>
      <c r="ACI27" s="593">
        <v>56666.26</v>
      </c>
      <c r="ACJ27" s="593">
        <f>'Proy 2021 vs 2019 Sem'!JD26*$ACL$4</f>
        <v>45345.753815999997</v>
      </c>
      <c r="ACK27" s="735">
        <v>49706.34</v>
      </c>
      <c r="ACL27" s="700">
        <f t="shared" si="838"/>
        <v>0.87717700091730055</v>
      </c>
      <c r="ACM27" s="579">
        <f t="shared" si="839"/>
        <v>170344.68</v>
      </c>
      <c r="ACN27" s="574">
        <f t="shared" si="840"/>
        <v>206117.06280000001</v>
      </c>
      <c r="ACO27" s="765">
        <f t="shared" si="841"/>
        <v>173078.67</v>
      </c>
      <c r="ACP27" s="761">
        <f t="shared" si="842"/>
        <v>1.0160497527718506</v>
      </c>
      <c r="ACQ27" s="593">
        <v>57924.800000000003</v>
      </c>
      <c r="ACR27" s="593">
        <f>'Proy 2021 vs 2019 Sem'!JI26*$ACT$4</f>
        <v>26086.177523999995</v>
      </c>
      <c r="ACS27" s="735">
        <v>55705.46</v>
      </c>
      <c r="ACT27" s="700">
        <f t="shared" si="843"/>
        <v>0.96168584095240717</v>
      </c>
      <c r="ACU27" s="593">
        <v>38445.800000000003</v>
      </c>
      <c r="ACV27" s="593">
        <f>'Proy 2021 vs 2019 Sem'!JI26*$ACX$4</f>
        <v>26086.177523999995</v>
      </c>
      <c r="ACW27" s="735">
        <v>51856.79</v>
      </c>
      <c r="ACX27" s="700">
        <f t="shared" si="844"/>
        <v>1.3488284806142672</v>
      </c>
      <c r="ACY27" s="593">
        <v>8552.06</v>
      </c>
      <c r="ACZ27" s="593">
        <f>'Proy 2021 vs 2019 Sem'!JI26*$ADB$4</f>
        <v>26086.177523999995</v>
      </c>
      <c r="ADA27" s="735">
        <v>20217.54</v>
      </c>
      <c r="ADB27" s="700">
        <f t="shared" si="845"/>
        <v>2.3640549762279499</v>
      </c>
      <c r="ADC27" s="593">
        <v>11547.2</v>
      </c>
      <c r="ADD27" s="593">
        <f>'Proy 2021 vs 2019 Sem'!JI26*$ADF$4</f>
        <v>26086.177523999995</v>
      </c>
      <c r="ADE27" s="735">
        <v>18497.900000000001</v>
      </c>
      <c r="ADF27" s="700">
        <f t="shared" si="846"/>
        <v>1.6019381321878898</v>
      </c>
      <c r="ADG27" s="593">
        <v>15264.62</v>
      </c>
      <c r="ADH27" s="593">
        <f>'Proy 2021 vs 2019 Sem'!JI26*$ADJ$4</f>
        <v>30433.873778000001</v>
      </c>
      <c r="ADI27" s="735">
        <v>18522.810000000001</v>
      </c>
      <c r="ADJ27" s="700">
        <f t="shared" si="847"/>
        <v>1.2134471739224428</v>
      </c>
      <c r="ADK27" s="593">
        <v>15402.69</v>
      </c>
      <c r="ADL27" s="593">
        <f>'Proy 2021 vs 2019 Sem'!JI26*$ADN$4</f>
        <v>34781.570031999996</v>
      </c>
      <c r="ADM27" s="735">
        <v>24506.21</v>
      </c>
      <c r="ADN27" s="700">
        <f t="shared" si="848"/>
        <v>1.5910344232078941</v>
      </c>
      <c r="ADO27" s="593">
        <v>32269.279999999999</v>
      </c>
      <c r="ADP27" s="593">
        <f>'Proy 2021 vs 2019 Sem'!JI26*$ADR$4</f>
        <v>47824.658793999995</v>
      </c>
      <c r="ADQ27" s="735">
        <v>38662.089999999997</v>
      </c>
      <c r="ADR27" s="700">
        <f t="shared" si="849"/>
        <v>1.198108231729992</v>
      </c>
      <c r="ADS27" s="579">
        <f t="shared" si="850"/>
        <v>179406.45</v>
      </c>
      <c r="ADT27" s="574">
        <f t="shared" si="851"/>
        <v>217384.81269999995</v>
      </c>
      <c r="ADU27" s="765">
        <f t="shared" si="852"/>
        <v>227968.8</v>
      </c>
      <c r="ADV27" s="761">
        <f t="shared" si="853"/>
        <v>1.2706834118840207</v>
      </c>
      <c r="ADW27" s="593">
        <v>32664.7</v>
      </c>
      <c r="ADX27" s="593">
        <f>'Proy 2021 vs 2019 Sem'!JN26*$ADZ$4</f>
        <v>24269.166503999997</v>
      </c>
      <c r="ADY27" s="735">
        <v>41956.57</v>
      </c>
      <c r="ADZ27" s="700">
        <f t="shared" si="854"/>
        <v>1.2844621257810418</v>
      </c>
      <c r="AEA27" s="593">
        <v>13219.33</v>
      </c>
      <c r="AEB27" s="593">
        <f>'Proy 2021 vs 2019 Sem'!JN26*$AED$4</f>
        <v>24269.166503999997</v>
      </c>
      <c r="AEC27" s="735">
        <v>15772</v>
      </c>
      <c r="AED27" s="700">
        <f t="shared" si="855"/>
        <v>1.1931013145144269</v>
      </c>
      <c r="AEE27" s="593">
        <v>14621.81</v>
      </c>
      <c r="AEF27" s="593">
        <f>'Proy 2021 vs 2019 Sem'!JN26*$AEH$4</f>
        <v>24269.166503999997</v>
      </c>
      <c r="AEG27" s="735">
        <v>18056</v>
      </c>
      <c r="AEH27" s="700">
        <f t="shared" si="856"/>
        <v>1.2348676395056426</v>
      </c>
      <c r="AEI27" s="593">
        <v>12457.15</v>
      </c>
      <c r="AEJ27" s="593">
        <f>'Proy 2021 vs 2019 Sem'!JN26*$AEL$4</f>
        <v>24269.166503999997</v>
      </c>
      <c r="AEK27" s="735">
        <v>14249</v>
      </c>
      <c r="AEL27" s="700">
        <f t="shared" si="857"/>
        <v>1.143841087247083</v>
      </c>
      <c r="AEM27" s="593">
        <v>13732.4</v>
      </c>
      <c r="AEN27" s="593">
        <f>'Proy 2021 vs 2019 Sem'!JN26*$AEP$4</f>
        <v>28314.027588000001</v>
      </c>
      <c r="AEO27" s="735">
        <v>23161</v>
      </c>
      <c r="AEP27" s="700">
        <f t="shared" si="858"/>
        <v>1.6865952054994029</v>
      </c>
      <c r="AEQ27" s="593">
        <v>26425.55</v>
      </c>
      <c r="AER27" s="593">
        <f>'Proy 2021 vs 2019 Sem'!JN26*$AET$4</f>
        <v>32358.888671999997</v>
      </c>
      <c r="AES27" s="735">
        <v>27749</v>
      </c>
      <c r="AET27" s="700">
        <f t="shared" si="859"/>
        <v>1.0500822121015456</v>
      </c>
      <c r="AEU27" s="593">
        <v>54022.080000000002</v>
      </c>
      <c r="AEV27" s="593">
        <f>'Proy 2021 vs 2019 Sem'!JN26*$AEX$4</f>
        <v>44493.471923999998</v>
      </c>
      <c r="AEW27" s="735">
        <v>41234</v>
      </c>
      <c r="AEX27" s="700">
        <f t="shared" si="860"/>
        <v>0.76328049567880385</v>
      </c>
      <c r="AEY27" s="579">
        <f t="shared" si="861"/>
        <v>167143.01999999999</v>
      </c>
      <c r="AEZ27" s="574">
        <f t="shared" si="862"/>
        <v>202243.05419999996</v>
      </c>
      <c r="AFA27" s="770">
        <f t="shared" si="863"/>
        <v>182177.57</v>
      </c>
      <c r="AFB27" s="761">
        <f t="shared" si="864"/>
        <v>1.0899502115015034</v>
      </c>
      <c r="AFC27" s="593">
        <v>44898.12</v>
      </c>
      <c r="AFD27" s="593">
        <f>'Proy 2021 vs 2019 Sem'!JX26*$AFF$4</f>
        <v>28683.349679999996</v>
      </c>
      <c r="AFE27" s="735">
        <v>42047</v>
      </c>
      <c r="AFF27" s="700">
        <f t="shared" si="865"/>
        <v>0.93649800927076676</v>
      </c>
      <c r="AFG27" s="593">
        <v>15975.31</v>
      </c>
      <c r="AFH27" s="593">
        <f>'Proy 2021 vs 2019 Sem'!JX26*$AFJ$4</f>
        <v>28683.349679999996</v>
      </c>
      <c r="AFI27" s="735">
        <v>20746.830000000002</v>
      </c>
      <c r="AFJ27" s="700">
        <f t="shared" si="866"/>
        <v>1.2986809019668477</v>
      </c>
      <c r="AFK27" s="593">
        <v>17223.78</v>
      </c>
      <c r="AFL27" s="593">
        <f>'Proy 2021 vs 2019 Sem'!JX26*$AFN$4</f>
        <v>28683.349679999996</v>
      </c>
      <c r="AFM27" s="735">
        <v>25090.21</v>
      </c>
      <c r="AFN27" s="700">
        <f t="shared" si="867"/>
        <v>1.4567191406299895</v>
      </c>
      <c r="AFO27" s="593">
        <v>18005.330000000002</v>
      </c>
      <c r="AFP27" s="593">
        <f>'Proy 2021 vs 2019 Sem'!JX26*$AFR$4</f>
        <v>28683.349679999996</v>
      </c>
      <c r="AFQ27" s="735">
        <v>24714.46</v>
      </c>
      <c r="AFR27" s="700">
        <f t="shared" si="868"/>
        <v>1.3726191077864165</v>
      </c>
      <c r="AFS27" s="593">
        <v>26114.400000000001</v>
      </c>
      <c r="AFT27" s="593">
        <f>'Proy 2021 vs 2019 Sem'!JX26*$AFV$4</f>
        <v>33463.907959999997</v>
      </c>
      <c r="AFU27" s="735">
        <v>32527.45</v>
      </c>
      <c r="AFV27" s="700">
        <f t="shared" si="869"/>
        <v>1.2455752381827649</v>
      </c>
      <c r="AFW27" s="593">
        <v>32486.34</v>
      </c>
      <c r="AFX27" s="593">
        <f>'Proy 2021 vs 2019 Sem'!JX26*$AFZ$4</f>
        <v>38244.466239999994</v>
      </c>
      <c r="AFY27" s="735">
        <v>37090.269999999997</v>
      </c>
      <c r="AFZ27" s="700">
        <f t="shared" si="870"/>
        <v>1.1417189501802911</v>
      </c>
      <c r="AGA27" s="593">
        <v>52972.160000000003</v>
      </c>
      <c r="AGB27" s="593">
        <f>'Proy 2021 vs 2019 Sem'!JX26*$AGD$4</f>
        <v>52586.141079999994</v>
      </c>
      <c r="AGC27" s="735">
        <v>60226.13</v>
      </c>
      <c r="AGD27" s="700">
        <f t="shared" si="871"/>
        <v>1.1369392903744153</v>
      </c>
      <c r="AGE27" s="579">
        <f t="shared" si="872"/>
        <v>207675.44</v>
      </c>
      <c r="AGF27" s="574">
        <f t="shared" si="873"/>
        <v>239027.91399999996</v>
      </c>
      <c r="AGG27" s="729">
        <f t="shared" si="874"/>
        <v>242442.35</v>
      </c>
      <c r="AGH27" s="711">
        <f t="shared" si="875"/>
        <v>1.1674098294916337</v>
      </c>
      <c r="AGI27" s="593">
        <v>55810.91</v>
      </c>
      <c r="AGJ27" s="593">
        <f>'Proy 2021 vs 2019 Sem'!KC26*$AGL$4</f>
        <v>40652.102100000004</v>
      </c>
      <c r="AGK27" s="735">
        <v>57685.8</v>
      </c>
      <c r="AGL27" s="700">
        <f t="shared" si="876"/>
        <v>1.0335936109982797</v>
      </c>
      <c r="AGM27" s="593">
        <v>24528.48</v>
      </c>
      <c r="AGN27" s="593">
        <f>'Proy 2021 vs 2019 Sem'!KC26*$AGP$4</f>
        <v>40652.102100000004</v>
      </c>
      <c r="AGO27" s="735">
        <v>28855.38</v>
      </c>
      <c r="AGP27" s="700">
        <f t="shared" si="877"/>
        <v>1.1764031036574627</v>
      </c>
      <c r="AGQ27" s="593">
        <v>28689.5</v>
      </c>
      <c r="AGR27" s="593">
        <f>'Proy 2021 vs 2019 Sem'!KC26*$AGT$4</f>
        <v>40652.102100000004</v>
      </c>
      <c r="AGS27" s="735">
        <v>27310.880000000001</v>
      </c>
      <c r="AGT27" s="700">
        <f t="shared" si="878"/>
        <v>0.95194687952038204</v>
      </c>
      <c r="AGU27" s="593">
        <v>40492.99</v>
      </c>
      <c r="AGV27" s="593">
        <f>'Proy 2021 vs 2019 Sem'!KC26*$AGX$4</f>
        <v>40652.102100000004</v>
      </c>
      <c r="AGW27" s="735">
        <v>29808.91</v>
      </c>
      <c r="AGX27" s="700">
        <f t="shared" si="879"/>
        <v>0.73614988668409032</v>
      </c>
      <c r="AGY27" s="593">
        <v>36217.519999999997</v>
      </c>
      <c r="AGZ27" s="593">
        <f>'Proy 2021 vs 2019 Sem'!KC26*$AHB$4</f>
        <v>47427.452450000004</v>
      </c>
      <c r="AHA27" s="735">
        <v>36148.42</v>
      </c>
      <c r="AHB27" s="700">
        <f t="shared" si="880"/>
        <v>0.99809208361036317</v>
      </c>
      <c r="AHC27" s="593">
        <v>44930.82</v>
      </c>
      <c r="AHD27" s="593">
        <f>'Proy 2021 vs 2019 Sem'!KC26*$AHF$4</f>
        <v>54202.802800000005</v>
      </c>
      <c r="AHE27" s="735">
        <v>51836.37</v>
      </c>
      <c r="AHF27" s="700">
        <f t="shared" si="881"/>
        <v>1.153692943952503</v>
      </c>
      <c r="AHG27" s="593">
        <v>63780.26</v>
      </c>
      <c r="AHH27" s="593">
        <f>'Proy 2021 vs 2019 Sem'!KC26*$AHJ$4</f>
        <v>74528.85385</v>
      </c>
      <c r="AHI27" s="735">
        <v>74910.13</v>
      </c>
      <c r="AHJ27" s="700">
        <f t="shared" si="882"/>
        <v>1.1745033651477745</v>
      </c>
      <c r="AHK27" s="579">
        <f t="shared" si="883"/>
        <v>294450.48</v>
      </c>
      <c r="AHL27" s="574">
        <f t="shared" si="884"/>
        <v>338767.51750000002</v>
      </c>
      <c r="AHM27" s="730">
        <f t="shared" si="885"/>
        <v>306555.89</v>
      </c>
      <c r="AHN27" s="711">
        <f t="shared" si="886"/>
        <v>1.0411118704917717</v>
      </c>
      <c r="AHO27" s="593">
        <v>74837.399999999994</v>
      </c>
      <c r="AHP27" s="593">
        <f>'Proy 2021 vs 2019 Sem'!KH26*$AHR$4</f>
        <v>55026.143639999987</v>
      </c>
      <c r="AHQ27" s="735">
        <v>72254.11</v>
      </c>
      <c r="AHR27" s="700">
        <f t="shared" si="887"/>
        <v>0.9654812967847628</v>
      </c>
      <c r="AHS27" s="593">
        <v>36060.089999999997</v>
      </c>
      <c r="AHT27" s="593">
        <f>'Proy 2021 vs 2019 Sem'!KH26*$AHV$4</f>
        <v>55026.143639999987</v>
      </c>
      <c r="AHU27" s="735">
        <v>46719.56</v>
      </c>
      <c r="AHV27" s="700">
        <f t="shared" si="888"/>
        <v>1.295602978251025</v>
      </c>
      <c r="AHW27" s="593">
        <v>41780.870000000003</v>
      </c>
      <c r="AHX27" s="593">
        <f>'Proy 2021 vs 2019 Sem'!KH26*$AHZ$4</f>
        <v>55026.143639999987</v>
      </c>
      <c r="AHY27" s="735">
        <v>51394.7</v>
      </c>
      <c r="AHZ27" s="700">
        <f t="shared" si="889"/>
        <v>1.2301012401129989</v>
      </c>
      <c r="AIA27" s="593">
        <v>49822.51</v>
      </c>
      <c r="AIB27" s="593">
        <f>'Proy 2021 vs 2019 Sem'!KH26*$AID$4</f>
        <v>55026.143639999987</v>
      </c>
      <c r="AIC27" s="735">
        <v>53015.34</v>
      </c>
      <c r="AID27" s="700">
        <f t="shared" si="890"/>
        <v>1.064084085687373</v>
      </c>
      <c r="AIE27" s="593">
        <v>57683.19</v>
      </c>
      <c r="AIF27" s="593">
        <f>'Proy 2021 vs 2019 Sem'!KH26*$AIH$4</f>
        <v>64197.167579999994</v>
      </c>
      <c r="AIG27" s="735">
        <v>70047.490000000005</v>
      </c>
      <c r="AIH27" s="700">
        <f t="shared" si="891"/>
        <v>1.2143484089558847</v>
      </c>
      <c r="AII27" s="593">
        <v>50102.7</v>
      </c>
      <c r="AIJ27" s="593">
        <f>'Proy 2021 vs 2019 Sem'!KH26*$AIL$4</f>
        <v>73368.191519999993</v>
      </c>
      <c r="AIK27" s="735">
        <v>54734.2</v>
      </c>
      <c r="AIL27" s="700">
        <f t="shared" si="892"/>
        <v>1.092440127977135</v>
      </c>
      <c r="AIM27" s="593">
        <v>81078.44</v>
      </c>
      <c r="AIN27" s="593">
        <f>'Proy 2021 vs 2019 Sem'!KH26*$AIP$4</f>
        <v>100881.26333999999</v>
      </c>
      <c r="AIO27" s="735">
        <v>84326.87</v>
      </c>
      <c r="AIP27" s="700">
        <f t="shared" si="893"/>
        <v>1.0400652750595596</v>
      </c>
      <c r="AIQ27" s="579">
        <f t="shared" si="894"/>
        <v>391365.2</v>
      </c>
      <c r="AIR27" s="574">
        <f t="shared" si="895"/>
        <v>458551.19699999993</v>
      </c>
      <c r="AIS27" s="730">
        <f t="shared" si="896"/>
        <v>432492.27</v>
      </c>
      <c r="AIT27" s="711">
        <f t="shared" si="897"/>
        <v>1.1050861701551391</v>
      </c>
      <c r="AIU27" s="593">
        <f>'Proy 2021 vs 2019 Sem'!KL26*$AIX$4</f>
        <v>41987.0772</v>
      </c>
      <c r="AIV27" s="593">
        <f>'Proy 2021 vs 2019 Sem'!KM26*$AIX$4</f>
        <v>81874.800539999982</v>
      </c>
      <c r="AIW27" s="735">
        <v>86846.1</v>
      </c>
      <c r="AIX27" s="700">
        <f t="shared" si="898"/>
        <v>2.0684007030620366</v>
      </c>
      <c r="AIY27" s="593">
        <f>'Proy 2021 vs 2019 Sem'!KL26*$AJB$4</f>
        <v>41987.0772</v>
      </c>
      <c r="AIZ27" s="593">
        <f>'Proy 2021 vs 2019 Sem'!KM26*$AJB$4</f>
        <v>81874.800539999982</v>
      </c>
      <c r="AJA27" s="735">
        <v>80238.59</v>
      </c>
      <c r="AJB27" s="700">
        <f t="shared" si="899"/>
        <v>1.9110306158676842</v>
      </c>
      <c r="AJC27" s="593">
        <f>'Proy 2021 vs 2019 Sem'!KL26*$AJF$4</f>
        <v>41987.0772</v>
      </c>
      <c r="AJD27" s="593">
        <f>'Proy 2021 vs 2019 Sem'!KM26*$AJF$4</f>
        <v>81874.800539999982</v>
      </c>
      <c r="AJE27" s="735">
        <v>87520</v>
      </c>
      <c r="AJF27" s="700">
        <f t="shared" si="900"/>
        <v>2.0844508795672971</v>
      </c>
      <c r="AJG27" s="593">
        <f>'Proy 2021 vs 2019 Sem'!KL26*$AJJ$4</f>
        <v>41987.0772</v>
      </c>
      <c r="AJH27" s="593">
        <f>'Proy 2021 vs 2019 Sem'!KM26*$AJJ$4</f>
        <v>81874.800539999982</v>
      </c>
      <c r="AJI27" s="735">
        <v>93722.68</v>
      </c>
      <c r="AJJ27" s="700">
        <f t="shared" si="901"/>
        <v>2.2321791906010544</v>
      </c>
      <c r="AJK27" s="593">
        <f>'Proy 2021 vs 2019 Sem'!KL26*$AJN$4</f>
        <v>48984.923400000007</v>
      </c>
      <c r="AJL27" s="593">
        <f>'Proy 2021 vs 2019 Sem'!KM26*$AJN$4</f>
        <v>95520.600630000001</v>
      </c>
      <c r="AJM27" s="735">
        <v>106678.96</v>
      </c>
      <c r="AJN27" s="700">
        <f t="shared" si="902"/>
        <v>2.177791708050318</v>
      </c>
      <c r="AJO27" s="593">
        <f>'Proy 2021 vs 2019 Sem'!KL26*$AJR$4</f>
        <v>55982.7696</v>
      </c>
      <c r="AJP27" s="593">
        <f>'Proy 2021 vs 2019 Sem'!KM26*$AJR$4</f>
        <v>109166.40071999999</v>
      </c>
      <c r="AJQ27" s="735">
        <v>81622.94</v>
      </c>
      <c r="AJR27" s="700">
        <f t="shared" si="903"/>
        <v>1.4580011061117635</v>
      </c>
      <c r="AJS27" s="593">
        <f>'Proy 2021 vs 2019 Sem'!KL26*$AJV$4</f>
        <v>76976.308199999999</v>
      </c>
      <c r="AJT27" s="593">
        <f>'Proy 2021 vs 2019 Sem'!KM26*$AJV$4</f>
        <v>150103.80098999999</v>
      </c>
      <c r="AJU27" s="699">
        <v>0</v>
      </c>
      <c r="AJV27" s="700">
        <f t="shared" si="904"/>
        <v>0</v>
      </c>
      <c r="AJW27" s="579">
        <f t="shared" si="905"/>
        <v>349892.30999999994</v>
      </c>
      <c r="AJX27" s="574">
        <f t="shared" si="906"/>
        <v>682290.00449999992</v>
      </c>
      <c r="AJY27" s="710">
        <f t="shared" si="907"/>
        <v>536629.27</v>
      </c>
      <c r="AJZ27" s="711">
        <f t="shared" si="908"/>
        <v>1.5336983827966957</v>
      </c>
      <c r="AKA27" s="593">
        <f>'Proy 2021 vs 2019 Sem'!KQ26*$AKD$4</f>
        <v>19909.858799999998</v>
      </c>
      <c r="AKB27" s="593">
        <f>'Proy 2021 vs 2019 Sem'!KR26*$AKD$4</f>
        <v>25086.422087999996</v>
      </c>
      <c r="AKC27" s="735">
        <v>52647.11</v>
      </c>
      <c r="AKD27" s="700">
        <f t="shared" si="909"/>
        <v>2.6442733988650891</v>
      </c>
      <c r="AKE27" s="593">
        <f>'Proy 2021 vs 2019 Sem'!KQ26*$AKH$4</f>
        <v>19909.858799999998</v>
      </c>
      <c r="AKF27" s="593">
        <f>'Proy 2021 vs 2019 Sem'!KR26*$AKH$4</f>
        <v>25086.422087999996</v>
      </c>
      <c r="AKG27" s="735">
        <v>37608.36</v>
      </c>
      <c r="AKH27" s="700">
        <f t="shared" si="910"/>
        <v>1.8889315277313772</v>
      </c>
      <c r="AKI27" s="593">
        <f>'Proy 2021 vs 2019 Sem'!KQ26*$AKL$4</f>
        <v>19909.858799999998</v>
      </c>
      <c r="AKJ27" s="593">
        <f>'Proy 2021 vs 2019 Sem'!KR26*$AKL$4</f>
        <v>25086.422087999996</v>
      </c>
      <c r="AKK27" s="735">
        <v>38636</v>
      </c>
      <c r="AKL27" s="700">
        <f t="shared" si="911"/>
        <v>1.9405461579667256</v>
      </c>
      <c r="AKM27" s="593">
        <f>'Proy 2021 vs 2019 Sem'!KQ26*$AKP$4</f>
        <v>19909.858799999998</v>
      </c>
      <c r="AKN27" s="593">
        <f>'Proy 2021 vs 2019 Sem'!KR26*$AKP$4</f>
        <v>25086.422087999996</v>
      </c>
      <c r="AKO27" s="735">
        <v>41937.919999999998</v>
      </c>
      <c r="AKP27" s="700">
        <f t="shared" si="912"/>
        <v>2.1063896244206415</v>
      </c>
      <c r="AKQ27" s="593">
        <f>'Proy 2021 vs 2019 Sem'!KQ26*$AKT$4</f>
        <v>23228.168600000001</v>
      </c>
      <c r="AKR27" s="593">
        <f>'Proy 2021 vs 2019 Sem'!KR26*$AKT$4</f>
        <v>29267.492436</v>
      </c>
      <c r="AKS27" s="735">
        <v>49560.47</v>
      </c>
      <c r="AKT27" s="700">
        <f t="shared" si="913"/>
        <v>2.1336365709003853</v>
      </c>
      <c r="AKU27" s="593">
        <f>'Proy 2021 vs 2019 Sem'!KQ26*$AKX$4</f>
        <v>26546.4784</v>
      </c>
      <c r="AKV27" s="593">
        <f>'Proy 2021 vs 2019 Sem'!KR26*$AKX$4</f>
        <v>33448.562783999994</v>
      </c>
      <c r="AKW27" s="735">
        <v>28889.51</v>
      </c>
      <c r="AKX27" s="700">
        <f t="shared" si="914"/>
        <v>1.0882614848077174</v>
      </c>
      <c r="AKY27" s="593">
        <f>'Proy 2021 vs 2019 Sem'!KQ26*$ALB$4</f>
        <v>36501.407800000001</v>
      </c>
      <c r="AKZ27" s="593">
        <f>'Proy 2021 vs 2019 Sem'!KR26*$ALB$4</f>
        <v>45991.773827999998</v>
      </c>
      <c r="ALA27" s="699">
        <v>0</v>
      </c>
      <c r="ALB27" s="700">
        <f>ALA27/AKY27</f>
        <v>0</v>
      </c>
      <c r="ALC27" s="579">
        <f t="shared" si="915"/>
        <v>165915.49</v>
      </c>
      <c r="ALD27" s="574">
        <f t="shared" si="916"/>
        <v>209053.51739999998</v>
      </c>
      <c r="ALE27" s="710">
        <f t="shared" si="917"/>
        <v>249279.37000000002</v>
      </c>
      <c r="ALF27" s="711">
        <f t="shared" si="918"/>
        <v>1.502447842573349</v>
      </c>
    </row>
    <row r="28" spans="2:994" ht="15.75" customHeight="1">
      <c r="B28" s="568" t="s">
        <v>479</v>
      </c>
      <c r="C28" s="574">
        <f>'Proy 2021 vs 2019 Sem'!DX27*$F$4</f>
        <v>16578.676800000001</v>
      </c>
      <c r="D28" s="576">
        <f>'Proy 2021 vs 2019 Sem'!$DY$27*F4</f>
        <v>13890.563268313115</v>
      </c>
      <c r="E28" s="735">
        <v>8008.46</v>
      </c>
      <c r="F28" s="700">
        <f t="shared" si="580"/>
        <v>0.48305785175810889</v>
      </c>
      <c r="G28" s="574">
        <f>'Proy 2021 vs 2019 Sem'!DX27*$J$4</f>
        <v>16578.676800000001</v>
      </c>
      <c r="H28" s="574">
        <f>'Proy 2021 vs 2019 Sem'!$DY$27*J4</f>
        <v>13890.563268313115</v>
      </c>
      <c r="I28" s="735">
        <v>10213.870000000001</v>
      </c>
      <c r="J28" s="700">
        <f t="shared" si="581"/>
        <v>0.61608475291586595</v>
      </c>
      <c r="K28" s="574">
        <f>'Proy 2021 vs 2019 Sem'!DX27*'Vtas Diarias 2021'!$N$4</f>
        <v>16578.676800000001</v>
      </c>
      <c r="L28" s="574">
        <f>'Proy 2021 vs 2019 Sem'!$DY$27*N4</f>
        <v>13890.563268313115</v>
      </c>
      <c r="M28" s="735">
        <v>14097.9</v>
      </c>
      <c r="N28" s="700">
        <f t="shared" si="582"/>
        <v>0.85036340174024017</v>
      </c>
      <c r="O28" s="574">
        <f>'Proy 2021 vs 2019 Sem'!DX27*$R$4</f>
        <v>16578.676800000001</v>
      </c>
      <c r="P28" s="574">
        <f>'Proy 2021 vs 2019 Sem'!$DY$27*R4</f>
        <v>13890.563268313115</v>
      </c>
      <c r="Q28" s="735">
        <v>13270.63</v>
      </c>
      <c r="R28" s="700">
        <f t="shared" si="583"/>
        <v>0.80046376198129388</v>
      </c>
      <c r="S28" s="574">
        <f>'Proy 2021 vs 2019 Sem'!DX27*$V$4</f>
        <v>19341.789600000004</v>
      </c>
      <c r="T28" s="574">
        <f>'Proy 2021 vs 2019 Sem'!$DY$27*V4</f>
        <v>16205.657146365304</v>
      </c>
      <c r="U28" s="735">
        <v>17924.03</v>
      </c>
      <c r="V28" s="700">
        <f t="shared" si="584"/>
        <v>0.9266996679562679</v>
      </c>
      <c r="W28" s="574">
        <f>'Proy 2021 vs 2019 Sem'!DX27*$Z$4</f>
        <v>22104.902400000003</v>
      </c>
      <c r="X28" s="574">
        <f>'Proy 2021 vs 2019 Sem'!$DY$27*Z4</f>
        <v>18520.751024417488</v>
      </c>
      <c r="Y28" s="735">
        <v>19893.849999999999</v>
      </c>
      <c r="Z28" s="700">
        <f t="shared" si="585"/>
        <v>0.89997456853733926</v>
      </c>
      <c r="AA28" s="574">
        <f>'Proy 2021 vs 2019 Sem'!DX27*$AD$4</f>
        <v>30394.240800000003</v>
      </c>
      <c r="AB28" s="574">
        <f>'Proy 2021 vs 2019 Sem'!$DY$27*AD4</f>
        <v>25466.032658574048</v>
      </c>
      <c r="AC28" s="735">
        <v>24185.93</v>
      </c>
      <c r="AD28" s="700">
        <f t="shared" si="586"/>
        <v>0.79574055358540152</v>
      </c>
      <c r="AE28" s="579">
        <f t="shared" si="587"/>
        <v>138155.64000000001</v>
      </c>
      <c r="AF28" s="574">
        <f t="shared" si="588"/>
        <v>115754.69390260932</v>
      </c>
      <c r="AG28" s="729">
        <f t="shared" si="589"/>
        <v>107594.66999999998</v>
      </c>
      <c r="AH28" s="711">
        <f t="shared" si="590"/>
        <v>0.77879317847610108</v>
      </c>
      <c r="AI28" s="593">
        <f>'Proy 2021 vs 2019 Sem'!EC27*$AL$4</f>
        <v>20690.572799999998</v>
      </c>
      <c r="AJ28" s="611">
        <f>'Proy 2021 vs 2019 Sem'!ED27*$AL$4</f>
        <v>16113.676955403162</v>
      </c>
      <c r="AK28" s="735">
        <v>7352.14</v>
      </c>
      <c r="AL28" s="700">
        <f t="shared" si="591"/>
        <v>0.35533767339684291</v>
      </c>
      <c r="AM28" s="593">
        <f>'Proy 2021 vs 2019 Sem'!EC27*$AP$4</f>
        <v>20690.572799999998</v>
      </c>
      <c r="AN28" s="593">
        <f>'Proy 2021 vs 2019 Sem'!ED27*$AP$4</f>
        <v>16113.676955403162</v>
      </c>
      <c r="AO28" s="735">
        <v>13088.12</v>
      </c>
      <c r="AP28" s="700">
        <f t="shared" si="592"/>
        <v>0.63256441116990259</v>
      </c>
      <c r="AQ28" s="593">
        <f>'Proy 2021 vs 2019 Sem'!EC27*$AT$4</f>
        <v>20690.572799999998</v>
      </c>
      <c r="AR28" s="593">
        <f>'Proy 2021 vs 2019 Sem'!ED27*$AT$4</f>
        <v>16113.676955403162</v>
      </c>
      <c r="AS28" s="735">
        <v>12661.07</v>
      </c>
      <c r="AT28" s="700">
        <f t="shared" si="593"/>
        <v>0.61192457658784594</v>
      </c>
      <c r="AU28" s="593">
        <f>'Proy 2021 vs 2019 Sem'!EC27*$AX$4</f>
        <v>20690.572799999998</v>
      </c>
      <c r="AV28" s="593">
        <f>'Proy 2021 vs 2019 Sem'!ED27*$AX$4</f>
        <v>16113.676955403162</v>
      </c>
      <c r="AW28" s="735">
        <v>12869.1</v>
      </c>
      <c r="AX28" s="700">
        <f t="shared" si="594"/>
        <v>0.62197891399120675</v>
      </c>
      <c r="AY28" s="593">
        <f>'Proy 2021 vs 2019 Sem'!EC27*$BB$4</f>
        <v>24139.001600000003</v>
      </c>
      <c r="AZ28" s="593">
        <f>'Proy 2021 vs 2019 Sem'!ED27*$BB$4</f>
        <v>18799.289781303691</v>
      </c>
      <c r="BA28" s="735">
        <v>15804.74</v>
      </c>
      <c r="BB28" s="700">
        <f t="shared" si="595"/>
        <v>0.65473876102647088</v>
      </c>
      <c r="BC28" s="593">
        <f>'Proy 2021 vs 2019 Sem'!EC27*$BF$4</f>
        <v>27587.430400000001</v>
      </c>
      <c r="BD28" s="593">
        <f>'Proy 2021 vs 2019 Sem'!ED27*$BF$4</f>
        <v>21484.902607204214</v>
      </c>
      <c r="BE28" s="735">
        <v>17449.150000000001</v>
      </c>
      <c r="BF28" s="700">
        <f t="shared" si="596"/>
        <v>0.63250363469879389</v>
      </c>
      <c r="BG28" s="593">
        <f>'Proy 2021 vs 2019 Sem'!EC27*$BJ$4</f>
        <v>37932.716800000002</v>
      </c>
      <c r="BH28" s="593">
        <f>'Proy 2021 vs 2019 Sem'!ED27*$BJ$4</f>
        <v>29541.741084905796</v>
      </c>
      <c r="BI28" s="735">
        <v>24603.89</v>
      </c>
      <c r="BJ28" s="700">
        <f t="shared" si="597"/>
        <v>0.6486192415303087</v>
      </c>
      <c r="BK28" s="579">
        <f t="shared" si="598"/>
        <v>172421.44</v>
      </c>
      <c r="BL28" s="574">
        <f t="shared" si="599"/>
        <v>134280.64129502635</v>
      </c>
      <c r="BM28" s="730">
        <f t="shared" si="600"/>
        <v>103828.21</v>
      </c>
      <c r="BN28" s="711">
        <f t="shared" si="601"/>
        <v>0.60217691024967668</v>
      </c>
      <c r="BO28" s="593">
        <f>'Proy 2021 vs 2019 Sem'!EH27*$BR$4</f>
        <v>17564.603999999999</v>
      </c>
      <c r="BP28" s="593">
        <f>'Proy 2021 vs 2019 Sem'!EI27*$BR$4</f>
        <v>14051.683200000001</v>
      </c>
      <c r="BQ28" s="735">
        <v>10423.11</v>
      </c>
      <c r="BR28" s="700">
        <f t="shared" si="602"/>
        <v>0.59341559878036543</v>
      </c>
      <c r="BS28" s="593">
        <f>'Proy 2021 vs 2019 Sem'!EH27*$BV$4</f>
        <v>17564.603999999999</v>
      </c>
      <c r="BT28" s="593">
        <f>'Proy 2021 vs 2019 Sem'!EI27*$BV$4</f>
        <v>14051.683200000001</v>
      </c>
      <c r="BU28" s="735">
        <v>11186.86</v>
      </c>
      <c r="BV28" s="700">
        <f t="shared" si="603"/>
        <v>0.63689793404963757</v>
      </c>
      <c r="BW28" s="593">
        <f>'Proy 2021 vs 2019 Sem'!EH27*$BZ$4</f>
        <v>17564.603999999999</v>
      </c>
      <c r="BX28" s="593">
        <f>'Proy 2021 vs 2019 Sem'!EI27*$BZ$4</f>
        <v>14051.683200000001</v>
      </c>
      <c r="BY28" s="735">
        <v>18827.84</v>
      </c>
      <c r="BZ28" s="700">
        <f t="shared" si="604"/>
        <v>1.0719194124729485</v>
      </c>
      <c r="CA28" s="593">
        <f>'Proy 2021 vs 2019 Sem'!EH27*$CD$4</f>
        <v>17564.603999999999</v>
      </c>
      <c r="CB28" s="593">
        <f>'Proy 2021 vs 2019 Sem'!EI27*$CD$4</f>
        <v>14051.683200000001</v>
      </c>
      <c r="CC28" s="735">
        <v>14739.63</v>
      </c>
      <c r="CD28" s="700">
        <f t="shared" si="605"/>
        <v>0.83916665584945727</v>
      </c>
      <c r="CE28" s="593">
        <f>'Proy 2021 vs 2019 Sem'!EH27*$CH$4</f>
        <v>20492.038000000004</v>
      </c>
      <c r="CF28" s="593">
        <f>'Proy 2021 vs 2019 Sem'!EI27*$CH$4</f>
        <v>16393.630400000005</v>
      </c>
      <c r="CG28" s="735">
        <v>14628.93</v>
      </c>
      <c r="CH28" s="700">
        <f t="shared" si="606"/>
        <v>0.71388360689161312</v>
      </c>
      <c r="CI28" s="593">
        <f>'Proy 2021 vs 2019 Sem'!EH27*$CL$4</f>
        <v>23419.472000000002</v>
      </c>
      <c r="CJ28" s="593">
        <f>'Proy 2021 vs 2019 Sem'!EI27*$CL$4</f>
        <v>18735.577600000004</v>
      </c>
      <c r="CK28" s="735">
        <v>22667.599999999999</v>
      </c>
      <c r="CL28" s="700">
        <f t="shared" si="607"/>
        <v>0.96789543333854822</v>
      </c>
      <c r="CM28" s="593">
        <f>'Proy 2021 vs 2019 Sem'!EH27*$CP$4</f>
        <v>32201.774000000001</v>
      </c>
      <c r="CN28" s="593">
        <f>'Proy 2021 vs 2019 Sem'!EI27*$CP$4</f>
        <v>25761.419200000004</v>
      </c>
      <c r="CO28" s="735">
        <v>23068.97</v>
      </c>
      <c r="CP28" s="700">
        <f t="shared" si="608"/>
        <v>0.71638817165787205</v>
      </c>
      <c r="CQ28" s="579">
        <f t="shared" si="609"/>
        <v>146371.70000000001</v>
      </c>
      <c r="CR28" s="574">
        <f t="shared" si="610"/>
        <v>117097.36000000002</v>
      </c>
      <c r="CS28" s="730">
        <f t="shared" si="611"/>
        <v>115542.94</v>
      </c>
      <c r="CT28" s="711">
        <f t="shared" si="612"/>
        <v>0.78938032420201443</v>
      </c>
      <c r="CU28" s="593">
        <f>'Proy 2021 vs 2019 Sem'!EM27*$CX$4</f>
        <v>20292.201599999997</v>
      </c>
      <c r="CV28" s="593">
        <f>'Proy 2021 vs 2019 Sem'!EN27*$CX$4</f>
        <v>16233.761280000001</v>
      </c>
      <c r="CW28" s="735">
        <v>7332.62</v>
      </c>
      <c r="CX28" s="700">
        <f t="shared" si="613"/>
        <v>0.36135162386717079</v>
      </c>
      <c r="CY28" s="593">
        <f>'Proy 2021 vs 2019 Sem'!EM27*$DB$4</f>
        <v>20292.201599999997</v>
      </c>
      <c r="CZ28" s="593">
        <f>'Proy 2021 vs 2019 Sem'!EN27*$DB$4</f>
        <v>16233.761280000001</v>
      </c>
      <c r="DA28" s="735">
        <v>11425.41</v>
      </c>
      <c r="DB28" s="700">
        <f t="shared" si="614"/>
        <v>0.56304437661411766</v>
      </c>
      <c r="DC28" s="593">
        <f>'Proy 2021 vs 2019 Sem'!EM27*$DF$4</f>
        <v>20292.201599999997</v>
      </c>
      <c r="DD28" s="593">
        <f>'Proy 2021 vs 2019 Sem'!EN27*$DF$4</f>
        <v>16233.761280000001</v>
      </c>
      <c r="DE28" s="735">
        <v>11934.28</v>
      </c>
      <c r="DF28" s="700">
        <f t="shared" si="615"/>
        <v>0.5881214978664514</v>
      </c>
      <c r="DG28" s="593">
        <f>'Proy 2021 vs 2019 Sem'!EM27*$DJ$4</f>
        <v>20292.201599999997</v>
      </c>
      <c r="DH28" s="593">
        <f>'Proy 2021 vs 2019 Sem'!EN27*$DJ$4</f>
        <v>16233.761280000001</v>
      </c>
      <c r="DI28" s="735">
        <v>10437.98</v>
      </c>
      <c r="DJ28" s="700">
        <f t="shared" si="616"/>
        <v>0.51438381136524891</v>
      </c>
      <c r="DK28" s="593">
        <f>'Proy 2021 vs 2019 Sem'!EM27*$DN$4</f>
        <v>23674.235200000003</v>
      </c>
      <c r="DL28" s="593">
        <f>'Proy 2021 vs 2019 Sem'!EN27*$DN$4</f>
        <v>18939.388160000002</v>
      </c>
      <c r="DM28" s="735">
        <v>15119.2</v>
      </c>
      <c r="DN28" s="700">
        <f t="shared" si="617"/>
        <v>0.63863520288080944</v>
      </c>
      <c r="DO28" s="593">
        <f>'Proy 2021 vs 2019 Sem'!EM27*$DR$4</f>
        <v>27056.268799999998</v>
      </c>
      <c r="DP28" s="593">
        <f>'Proy 2021 vs 2019 Sem'!EN27*$DR$4</f>
        <v>21645.015040000002</v>
      </c>
      <c r="DQ28" s="735">
        <v>14773.09</v>
      </c>
      <c r="DR28" s="700">
        <f t="shared" si="618"/>
        <v>0.54601357301713382</v>
      </c>
      <c r="DS28" s="593">
        <f>'Proy 2021 vs 2019 Sem'!EM27*$DV$4</f>
        <v>37202.369599999998</v>
      </c>
      <c r="DT28" s="593">
        <f>'Proy 2021 vs 2019 Sem'!EN27*$DV$4</f>
        <v>29761.895680000001</v>
      </c>
      <c r="DU28" s="735">
        <v>25989.96</v>
      </c>
      <c r="DV28" s="700">
        <f t="shared" si="619"/>
        <v>0.69861033798234184</v>
      </c>
      <c r="DW28" s="579">
        <f t="shared" si="620"/>
        <v>169101.68</v>
      </c>
      <c r="DX28" s="574">
        <f t="shared" si="621"/>
        <v>135281.34399999998</v>
      </c>
      <c r="DY28" s="710">
        <f t="shared" si="622"/>
        <v>97012.539999999979</v>
      </c>
      <c r="DZ28" s="711">
        <f t="shared" si="623"/>
        <v>0.5736935316077284</v>
      </c>
      <c r="EA28" s="593">
        <f>'Proy 2021 vs 2019 Sem'!ER27*$ED$4</f>
        <v>17202.789599999996</v>
      </c>
      <c r="EB28" s="593">
        <f>'Proy 2021 vs 2019 Sem'!ES27*$ED$4</f>
        <v>10321.673759999998</v>
      </c>
      <c r="EC28" s="735">
        <v>7516.12</v>
      </c>
      <c r="ED28" s="700">
        <f t="shared" si="624"/>
        <v>0.43691285976083793</v>
      </c>
      <c r="EE28" s="593">
        <f>'Proy 2021 vs 2019 Sem'!ER27*$EH$4</f>
        <v>17202.789599999996</v>
      </c>
      <c r="EF28" s="593">
        <f>'Proy 2021 vs 2019 Sem'!ES27*$EH$4</f>
        <v>10321.673759999998</v>
      </c>
      <c r="EG28" s="735">
        <v>13651.73</v>
      </c>
      <c r="EH28" s="700">
        <f t="shared" si="625"/>
        <v>0.79357652551886138</v>
      </c>
      <c r="EI28" s="593">
        <f>'Proy 2021 vs 2019 Sem'!ER27*$EL$4</f>
        <v>17202.789599999996</v>
      </c>
      <c r="EJ28" s="593">
        <f>'Proy 2021 vs 2019 Sem'!ES27*$EL$4</f>
        <v>10321.673759999998</v>
      </c>
      <c r="EK28" s="735">
        <v>13197.9</v>
      </c>
      <c r="EL28" s="700">
        <f t="shared" si="626"/>
        <v>0.76719533906291582</v>
      </c>
      <c r="EM28" s="593">
        <f>'Proy 2021 vs 2019 Sem'!ER27*$EP$4</f>
        <v>17202.789599999996</v>
      </c>
      <c r="EN28" s="593">
        <f>'Proy 2021 vs 2019 Sem'!ES27*$EP$4</f>
        <v>10321.673759999998</v>
      </c>
      <c r="EO28" s="735">
        <v>14139.31</v>
      </c>
      <c r="EP28" s="700">
        <f t="shared" si="627"/>
        <v>0.82191960308576939</v>
      </c>
      <c r="EQ28" s="593">
        <f>'Proy 2021 vs 2019 Sem'!ER27*$ET$4</f>
        <v>20069.921200000001</v>
      </c>
      <c r="ER28" s="593">
        <f>'Proy 2021 vs 2019 Sem'!ES27*$ET$4</f>
        <v>12041.952719999999</v>
      </c>
      <c r="ES28" s="735">
        <v>16208.23</v>
      </c>
      <c r="ET28" s="700">
        <f t="shared" si="628"/>
        <v>0.80758812346507858</v>
      </c>
      <c r="EU28" s="593">
        <f>'Proy 2021 vs 2019 Sem'!ER27*$EX$4</f>
        <v>22937.052799999998</v>
      </c>
      <c r="EV28" s="593">
        <f>'Proy 2021 vs 2019 Sem'!ES27*$EX$4</f>
        <v>13762.231679999999</v>
      </c>
      <c r="EW28" s="735">
        <v>22566.47</v>
      </c>
      <c r="EX28" s="700">
        <f t="shared" si="629"/>
        <v>0.98384348664009713</v>
      </c>
      <c r="EY28" s="593">
        <f>'Proy 2021 vs 2019 Sem'!ER27*$FB$4</f>
        <v>31538.447599999996</v>
      </c>
      <c r="EZ28" s="593">
        <f>'Proy 2021 vs 2019 Sem'!ES27*$FB$4</f>
        <v>18923.068559999996</v>
      </c>
      <c r="FA28" s="699">
        <v>28229.66</v>
      </c>
      <c r="FB28" s="700">
        <f t="shared" si="630"/>
        <v>0.89508717607267407</v>
      </c>
      <c r="FC28" s="579">
        <f t="shared" si="631"/>
        <v>143356.57999999996</v>
      </c>
      <c r="FD28" s="574">
        <f t="shared" si="632"/>
        <v>86013.947999999989</v>
      </c>
      <c r="FE28" s="710">
        <f t="shared" si="633"/>
        <v>115509.42</v>
      </c>
      <c r="FF28" s="711">
        <f t="shared" si="634"/>
        <v>0.8057489931749211</v>
      </c>
      <c r="FG28" s="593">
        <f>'Proy 2021 vs 2019 Sem'!FA27*$FJ$4</f>
        <v>19626.6672</v>
      </c>
      <c r="FH28" s="593">
        <f>'Proy 2021 vs 2019 Sem'!FB27*$FJ$4</f>
        <v>13738.667039999998</v>
      </c>
      <c r="FI28" s="735">
        <v>9158.26</v>
      </c>
      <c r="FJ28" s="700">
        <f t="shared" si="635"/>
        <v>0.46662328895045413</v>
      </c>
      <c r="FK28" s="593">
        <f>'Proy 2021 vs 2019 Sem'!FA27*$FN$4</f>
        <v>19626.6672</v>
      </c>
      <c r="FL28" s="593">
        <f>'Proy 2021 vs 2019 Sem'!FB27*$FN$4</f>
        <v>13738.667039999998</v>
      </c>
      <c r="FM28" s="735">
        <v>20917.349999999999</v>
      </c>
      <c r="FN28" s="700">
        <f t="shared" si="636"/>
        <v>1.0657616897890845</v>
      </c>
      <c r="FO28" s="593">
        <f>'Proy 2021 vs 2019 Sem'!FA27*$FR$4</f>
        <v>19626.6672</v>
      </c>
      <c r="FP28" s="593">
        <f>'Proy 2021 vs 2019 Sem'!FB27*$FR$4</f>
        <v>13738.667039999998</v>
      </c>
      <c r="FQ28" s="735">
        <v>18308.45</v>
      </c>
      <c r="FR28" s="700">
        <f t="shared" si="637"/>
        <v>0.93283540264034237</v>
      </c>
      <c r="FS28" s="593">
        <f>'Proy 2021 vs 2019 Sem'!FA27*$FV$4</f>
        <v>19626.6672</v>
      </c>
      <c r="FT28" s="593">
        <f>'Proy 2021 vs 2019 Sem'!FB27*$FV$4</f>
        <v>13738.667039999998</v>
      </c>
      <c r="FU28" s="735">
        <v>18281.900000000001</v>
      </c>
      <c r="FV28" s="700">
        <f t="shared" si="638"/>
        <v>0.93148265131840624</v>
      </c>
      <c r="FW28" s="593">
        <f>'Proy 2021 vs 2019 Sem'!FA27*$FZ$4</f>
        <v>22897.778400000003</v>
      </c>
      <c r="FX28" s="593">
        <f>'Proy 2021 vs 2019 Sem'!FB27*$FZ$4</f>
        <v>16028.444880000001</v>
      </c>
      <c r="FY28" s="735">
        <v>21073.85</v>
      </c>
      <c r="FZ28" s="700">
        <f t="shared" si="639"/>
        <v>0.92034474401237087</v>
      </c>
      <c r="GA28" s="593">
        <f>'Proy 2021 vs 2019 Sem'!FA27*$GD$4</f>
        <v>26168.889599999999</v>
      </c>
      <c r="GB28" s="593">
        <f>'Proy 2021 vs 2019 Sem'!FB27*$GD$4</f>
        <v>18318.222719999998</v>
      </c>
      <c r="GC28" s="735">
        <v>21910.65</v>
      </c>
      <c r="GD28" s="700">
        <f t="shared" si="640"/>
        <v>0.83727855231580028</v>
      </c>
      <c r="GE28" s="593">
        <f>'Proy 2021 vs 2019 Sem'!FA27*$GH$4</f>
        <v>35982.2232</v>
      </c>
      <c r="GF28" s="593">
        <f>'Proy 2021 vs 2019 Sem'!FB27*$GH$4</f>
        <v>25187.556239999998</v>
      </c>
      <c r="GG28" s="735">
        <v>26058.87</v>
      </c>
      <c r="GH28" s="700">
        <f t="shared" si="641"/>
        <v>0.72421511742498446</v>
      </c>
      <c r="GI28" s="579">
        <f t="shared" si="642"/>
        <v>163555.56</v>
      </c>
      <c r="GJ28" s="574">
        <f t="shared" si="643"/>
        <v>114488.89199999999</v>
      </c>
      <c r="GK28" s="759">
        <f t="shared" si="644"/>
        <v>135709.32999999999</v>
      </c>
      <c r="GL28" s="761">
        <f t="shared" si="645"/>
        <v>0.82974452228955098</v>
      </c>
      <c r="GM28" s="593">
        <f>'Proy 2021 vs 2019 Sem'!FF27*$GP$4</f>
        <v>21120.034800000001</v>
      </c>
      <c r="GN28" s="593">
        <f>'Proy 2021 vs 2019 Sem'!FG27*$GP$4</f>
        <v>16051.226448000001</v>
      </c>
      <c r="GO28" s="735">
        <v>6482.05</v>
      </c>
      <c r="GP28" s="700">
        <f t="shared" si="646"/>
        <v>0.30691474050033291</v>
      </c>
      <c r="GQ28" s="593">
        <f>'Proy 2021 vs 2019 Sem'!FF27*$GT$4</f>
        <v>21120.034800000001</v>
      </c>
      <c r="GR28" s="593">
        <f>'Proy 2021 vs 2019 Sem'!FG27*$GT$4</f>
        <v>16051.226448000001</v>
      </c>
      <c r="GS28" s="735">
        <v>16081.98</v>
      </c>
      <c r="GT28" s="700">
        <f t="shared" si="647"/>
        <v>0.76145613169160109</v>
      </c>
      <c r="GU28" s="593">
        <f>'Proy 2021 vs 2019 Sem'!FF27*$GX$4</f>
        <v>21120.034800000001</v>
      </c>
      <c r="GV28" s="593">
        <f>'Proy 2021 vs 2019 Sem'!FG27*$GX$4</f>
        <v>16051.226448000001</v>
      </c>
      <c r="GW28" s="735">
        <v>14914.54</v>
      </c>
      <c r="GX28" s="700">
        <f t="shared" si="648"/>
        <v>0.70617970762055748</v>
      </c>
      <c r="GY28" s="593">
        <f>'Proy 2021 vs 2019 Sem'!FF27*$HB$4</f>
        <v>21120.034800000001</v>
      </c>
      <c r="GZ28" s="593">
        <f>'Proy 2021 vs 2019 Sem'!FG27*$HB$4</f>
        <v>16051.226448000001</v>
      </c>
      <c r="HA28" s="735">
        <v>24032.71</v>
      </c>
      <c r="HB28" s="700">
        <f t="shared" si="649"/>
        <v>1.1379105303368153</v>
      </c>
      <c r="HC28" s="593">
        <f>'Proy 2021 vs 2019 Sem'!FF27*$HF$4</f>
        <v>24640.040600000004</v>
      </c>
      <c r="HD28" s="593">
        <f>'Proy 2021 vs 2019 Sem'!FG27*$HF$4</f>
        <v>18726.430856000006</v>
      </c>
      <c r="HE28" s="735">
        <v>22439.4</v>
      </c>
      <c r="HF28" s="700">
        <f t="shared" si="650"/>
        <v>0.91068843449876447</v>
      </c>
      <c r="HG28" s="593">
        <f>'Proy 2021 vs 2019 Sem'!FF27*$HJ$4</f>
        <v>28160.046400000003</v>
      </c>
      <c r="HH28" s="593">
        <f>'Proy 2021 vs 2019 Sem'!FG27*$HJ$4</f>
        <v>21401.635264000004</v>
      </c>
      <c r="HI28" s="735">
        <v>23692.639999999999</v>
      </c>
      <c r="HJ28" s="700">
        <f t="shared" si="651"/>
        <v>0.84135656821929095</v>
      </c>
      <c r="HK28" s="593">
        <f>'Proy 2021 vs 2019 Sem'!FF27*$HN$4</f>
        <v>38720.063800000004</v>
      </c>
      <c r="HL28" s="593">
        <f>'Proy 2021 vs 2019 Sem'!FG27*$HN$4</f>
        <v>29427.248488000005</v>
      </c>
      <c r="HM28" s="735">
        <v>30810.81</v>
      </c>
      <c r="HN28" s="700">
        <f t="shared" si="652"/>
        <v>0.79573241818883567</v>
      </c>
      <c r="HO28" s="579">
        <f t="shared" si="653"/>
        <v>176000.29</v>
      </c>
      <c r="HP28" s="574">
        <f t="shared" si="654"/>
        <v>133760.22040000002</v>
      </c>
      <c r="HQ28" s="765">
        <f t="shared" si="655"/>
        <v>138454.13</v>
      </c>
      <c r="HR28" s="761">
        <f t="shared" si="656"/>
        <v>0.78666989696437428</v>
      </c>
      <c r="HS28" s="593">
        <f>'Proy 2021 vs 2019 Sem'!FK27*$CX$4</f>
        <v>20836.075199999999</v>
      </c>
      <c r="HT28" s="593">
        <f>'Proy 2021 vs 2019 Sem'!FL27*$CX$4</f>
        <v>15835.417152</v>
      </c>
      <c r="HU28" s="735">
        <v>9024.34</v>
      </c>
      <c r="HV28" s="700">
        <f t="shared" si="657"/>
        <v>0.4331113183926309</v>
      </c>
      <c r="HW28" s="593">
        <f>'Proy 2021 vs 2019 Sem'!FK27*$DB$4</f>
        <v>20836.075199999999</v>
      </c>
      <c r="HX28" s="593">
        <f>'Proy 2021 vs 2019 Sem'!FL27*$DB$4</f>
        <v>15835.417152</v>
      </c>
      <c r="HY28" s="735">
        <v>19393.2</v>
      </c>
      <c r="HZ28" s="700">
        <f t="shared" si="658"/>
        <v>0.93075110421947416</v>
      </c>
      <c r="IA28" s="593">
        <f>'Proy 2021 vs 2019 Sem'!FK27*$DF$4</f>
        <v>20836.075199999999</v>
      </c>
      <c r="IB28" s="593">
        <f>'Proy 2021 vs 2019 Sem'!FL27*$DF$4</f>
        <v>15835.417152</v>
      </c>
      <c r="IC28" s="735">
        <v>19886.77</v>
      </c>
      <c r="ID28" s="700">
        <f t="shared" si="659"/>
        <v>0.95443934661936725</v>
      </c>
      <c r="IE28" s="593">
        <f>'Proy 2021 vs 2019 Sem'!FK27*$DJ$4</f>
        <v>20836.075199999999</v>
      </c>
      <c r="IF28" s="593">
        <f>'Proy 2021 vs 2019 Sem'!FL27*$DJ$4</f>
        <v>15835.417152</v>
      </c>
      <c r="IG28" s="735">
        <v>17379.84</v>
      </c>
      <c r="IH28" s="700">
        <f t="shared" si="660"/>
        <v>0.83412254146596676</v>
      </c>
      <c r="II28" s="593">
        <f>'Proy 2021 vs 2019 Sem'!FK27*$DN$4</f>
        <v>24308.754400000002</v>
      </c>
      <c r="IJ28" s="593">
        <f>'Proy 2021 vs 2019 Sem'!FL27*$DN$4</f>
        <v>18474.653344000002</v>
      </c>
      <c r="IK28" s="735">
        <v>26418.22</v>
      </c>
      <c r="IL28" s="700">
        <f t="shared" si="661"/>
        <v>1.0867780210079379</v>
      </c>
      <c r="IM28" s="593">
        <f>'Proy 2021 vs 2019 Sem'!FK27*$DR$4</f>
        <v>27781.4336</v>
      </c>
      <c r="IN28" s="593">
        <f>'Proy 2021 vs 2019 Sem'!FL27*$DR$4</f>
        <v>21113.889536000002</v>
      </c>
      <c r="IO28" s="1410">
        <v>28231.19</v>
      </c>
      <c r="IP28" s="700">
        <f t="shared" si="662"/>
        <v>1.0161890997590564</v>
      </c>
      <c r="IQ28" s="593">
        <f>'Proy 2021 vs 2019 Sem'!FK27*$IT$4</f>
        <v>38199.4712</v>
      </c>
      <c r="IR28" s="593">
        <f>'Proy 2021 vs 2019 Sem'!FL27*$IT$4</f>
        <v>29031.598112000003</v>
      </c>
      <c r="IS28" s="735">
        <v>28895.89</v>
      </c>
      <c r="IT28" s="700">
        <f t="shared" si="663"/>
        <v>0.75644738244439358</v>
      </c>
      <c r="IU28" s="579">
        <f t="shared" si="664"/>
        <v>173633.96</v>
      </c>
      <c r="IV28" s="574">
        <f t="shared" si="665"/>
        <v>131961.80960000001</v>
      </c>
      <c r="IW28" s="765">
        <f t="shared" si="666"/>
        <v>149229.45000000001</v>
      </c>
      <c r="IX28" s="761">
        <f t="shared" si="667"/>
        <v>0.85944852032401964</v>
      </c>
      <c r="IY28" s="593">
        <f>'Proy 2021 vs 2019 Sem'!FP27*$JB$4</f>
        <v>19166.854800000001</v>
      </c>
      <c r="IZ28" s="593">
        <f>'Proy 2021 vs 2019 Sem'!FQ27*$JB$4</f>
        <v>14758.478196000002</v>
      </c>
      <c r="JA28" s="735">
        <v>7139.71</v>
      </c>
      <c r="JB28" s="700">
        <f t="shared" si="668"/>
        <v>0.37250295233623826</v>
      </c>
      <c r="JC28" s="593">
        <f>'Proy 2021 vs 2019 Sem'!FP27*$JF$4</f>
        <v>19166.854800000001</v>
      </c>
      <c r="JD28" s="593">
        <f>'Proy 2021 vs 2019 Sem'!FQ27*$JF$4</f>
        <v>14758.478196000002</v>
      </c>
      <c r="JE28" s="735">
        <v>17047.63</v>
      </c>
      <c r="JF28" s="700">
        <f t="shared" si="669"/>
        <v>0.88943283485405233</v>
      </c>
      <c r="JG28" s="593">
        <f>'Proy 2021 vs 2019 Sem'!FP27*$JJ$4</f>
        <v>19166.854800000001</v>
      </c>
      <c r="JH28" s="593">
        <f>'Proy 2021 vs 2019 Sem'!FQ27*$JJ$4</f>
        <v>14758.478196000002</v>
      </c>
      <c r="JI28" s="735">
        <v>19692.23</v>
      </c>
      <c r="JJ28" s="700">
        <f t="shared" si="670"/>
        <v>1.0274106109469769</v>
      </c>
      <c r="JK28" s="593">
        <f>'Proy 2021 vs 2019 Sem'!FP27*$JN$4</f>
        <v>19166.854800000001</v>
      </c>
      <c r="JL28" s="593">
        <f>'Proy 2021 vs 2019 Sem'!FQ27*$JN$4</f>
        <v>14758.478196000002</v>
      </c>
      <c r="JM28" s="735">
        <v>17342.11</v>
      </c>
      <c r="JN28" s="700">
        <f t="shared" si="671"/>
        <v>0.90479685795918896</v>
      </c>
      <c r="JO28" s="593">
        <f>'Proy 2021 vs 2019 Sem'!FP27*$JR$4</f>
        <v>22361.330600000005</v>
      </c>
      <c r="JP28" s="593">
        <f>'Proy 2021 vs 2019 Sem'!FQ27*$JR$4</f>
        <v>17218.224562000003</v>
      </c>
      <c r="JQ28" s="735">
        <v>20439.68</v>
      </c>
      <c r="JR28" s="700">
        <f t="shared" si="672"/>
        <v>0.91406367383164555</v>
      </c>
      <c r="JS28" s="593">
        <f>'Proy 2021 vs 2019 Sem'!FP27*$JV$4</f>
        <v>25555.806400000001</v>
      </c>
      <c r="JT28" s="593">
        <f>'Proy 2021 vs 2019 Sem'!FQ27*$JV$4</f>
        <v>19677.970928000002</v>
      </c>
      <c r="JU28" s="735">
        <v>23897.96</v>
      </c>
      <c r="JV28" s="700">
        <f t="shared" si="673"/>
        <v>0.93512838632241313</v>
      </c>
      <c r="JW28" s="593">
        <f>'Proy 2021 vs 2019 Sem'!FP27*$JZ$4</f>
        <v>35139.233800000002</v>
      </c>
      <c r="JX28" s="593">
        <f>'Proy 2021 vs 2019 Sem'!FQ27*$JZ$4</f>
        <v>27057.210026000004</v>
      </c>
      <c r="JY28" s="735">
        <v>29683.62</v>
      </c>
      <c r="JZ28" s="700">
        <f t="shared" si="674"/>
        <v>0.84474294940375161</v>
      </c>
      <c r="KA28" s="579">
        <f t="shared" si="675"/>
        <v>159723.79</v>
      </c>
      <c r="KB28" s="574">
        <f t="shared" si="676"/>
        <v>122987.3183</v>
      </c>
      <c r="KC28" s="770">
        <f t="shared" si="677"/>
        <v>135242.94</v>
      </c>
      <c r="KD28" s="761">
        <f t="shared" si="678"/>
        <v>0.84673009574841662</v>
      </c>
      <c r="KE28" s="593">
        <f>'Proy 2021 vs 2019 Sem'!FY27*$KH$4</f>
        <v>15615.736799999999</v>
      </c>
      <c r="KF28" s="593">
        <f>'Proy 2021 vs 2019 Sem'!FZ27*$KH$4</f>
        <v>12336.432072</v>
      </c>
      <c r="KG28" s="735">
        <v>7029.1</v>
      </c>
      <c r="KH28" s="700">
        <f t="shared" si="679"/>
        <v>0.45012925678921539</v>
      </c>
      <c r="KI28" s="593">
        <f>'Proy 2021 vs 2019 Sem'!FY27*$KL$4</f>
        <v>15615.736799999999</v>
      </c>
      <c r="KJ28" s="593">
        <f>'Proy 2021 vs 2019 Sem'!FZ27*$KL$4</f>
        <v>12336.432072</v>
      </c>
      <c r="KK28" s="735">
        <v>15723.31</v>
      </c>
      <c r="KL28" s="700">
        <f t="shared" si="680"/>
        <v>1.0068887687707442</v>
      </c>
      <c r="KM28" s="593">
        <f>'Proy 2021 vs 2019 Sem'!FY27*$KP$4</f>
        <v>15615.736799999999</v>
      </c>
      <c r="KN28" s="593">
        <f>'Proy 2021 vs 2019 Sem'!FZ27*$KP$4</f>
        <v>12336.432072</v>
      </c>
      <c r="KO28" s="735">
        <v>14593.93</v>
      </c>
      <c r="KP28" s="700">
        <f t="shared" si="681"/>
        <v>0.93456557233982074</v>
      </c>
      <c r="KQ28" s="593">
        <f>'Proy 2021 vs 2019 Sem'!FY27*$KT$4</f>
        <v>15615.736799999999</v>
      </c>
      <c r="KR28" s="593">
        <f>'Proy 2021 vs 2019 Sem'!FZ27*$KT$4</f>
        <v>12336.432072</v>
      </c>
      <c r="KS28" s="735">
        <v>15321.21</v>
      </c>
      <c r="KT28" s="700">
        <f t="shared" si="682"/>
        <v>0.98113910321541797</v>
      </c>
      <c r="KU28" s="593">
        <f>'Proy 2021 vs 2019 Sem'!FY27*$KX$4</f>
        <v>18218.359600000003</v>
      </c>
      <c r="KV28" s="593">
        <f>'Proy 2021 vs 2019 Sem'!FZ27*$KX$4</f>
        <v>14392.504084000002</v>
      </c>
      <c r="KW28" s="735">
        <v>23411.5</v>
      </c>
      <c r="KX28" s="700">
        <f t="shared" si="683"/>
        <v>1.285049835112487</v>
      </c>
      <c r="KY28" s="593">
        <f>'Proy 2021 vs 2019 Sem'!FY27*$LB$4</f>
        <v>20820.982400000001</v>
      </c>
      <c r="KZ28" s="593">
        <f>'Proy 2021 vs 2019 Sem'!FZ27*$LB$4</f>
        <v>16448.576096000001</v>
      </c>
      <c r="LA28" s="735">
        <v>24332.49</v>
      </c>
      <c r="LB28" s="700">
        <f t="shared" si="684"/>
        <v>1.1686523494683903</v>
      </c>
      <c r="LC28" s="593">
        <f>'Proy 2021 vs 2019 Sem'!FY27*$LF$4</f>
        <v>28628.8508</v>
      </c>
      <c r="LD28" s="593">
        <f>'Proy 2021 vs 2019 Sem'!FZ27*$LF$4</f>
        <v>22616.792132000002</v>
      </c>
      <c r="LE28" s="735">
        <v>20605.36</v>
      </c>
      <c r="LF28" s="700">
        <f t="shared" si="685"/>
        <v>0.71974108021129513</v>
      </c>
      <c r="LG28" s="579">
        <f t="shared" si="686"/>
        <v>130131.14</v>
      </c>
      <c r="LH28" s="574">
        <f t="shared" si="687"/>
        <v>102803.60060000001</v>
      </c>
      <c r="LI28" s="793">
        <f t="shared" si="688"/>
        <v>121016.9</v>
      </c>
      <c r="LJ28" s="786">
        <f t="shared" si="689"/>
        <v>0.92996111461099928</v>
      </c>
      <c r="LK28" s="593">
        <f>'Proy 2021 vs 2019 Sem'!GD27*$LN$4</f>
        <v>14896.461599999999</v>
      </c>
      <c r="LL28" s="593">
        <f>'Proy 2021 vs 2019 Sem'!GE27*$LN$4</f>
        <v>11917.16928</v>
      </c>
      <c r="LM28" s="735">
        <v>8248.0300000000007</v>
      </c>
      <c r="LN28" s="700">
        <f t="shared" si="690"/>
        <v>0.55369054890189506</v>
      </c>
      <c r="LO28" s="593">
        <f>'Proy 2021 vs 2019 Sem'!GD27*$LR$4</f>
        <v>14896.461599999999</v>
      </c>
      <c r="LP28" s="593">
        <f>'Proy 2021 vs 2019 Sem'!GE27*$LR$4</f>
        <v>11917.16928</v>
      </c>
      <c r="LQ28" s="735">
        <v>14918.09</v>
      </c>
      <c r="LR28" s="700">
        <f t="shared" si="691"/>
        <v>1.001451915265569</v>
      </c>
      <c r="LS28" s="593">
        <f>'Proy 2021 vs 2019 Sem'!GD27*$LV$4</f>
        <v>14896.461599999999</v>
      </c>
      <c r="LT28" s="593">
        <f>'Proy 2021 vs 2019 Sem'!GE27*$LV$4</f>
        <v>11917.16928</v>
      </c>
      <c r="LU28" s="735">
        <v>16393.14</v>
      </c>
      <c r="LV28" s="700">
        <f t="shared" si="692"/>
        <v>1.1004720745227177</v>
      </c>
      <c r="LW28" s="593">
        <f>'Proy 2021 vs 2019 Sem'!GD27*$LZ$4</f>
        <v>14896.461599999999</v>
      </c>
      <c r="LX28" s="593">
        <f>'Proy 2021 vs 2019 Sem'!GE27*$LZ$4</f>
        <v>11917.16928</v>
      </c>
      <c r="LY28" s="735">
        <v>11186.72</v>
      </c>
      <c r="LZ28" s="700">
        <f t="shared" si="693"/>
        <v>0.75096491370809837</v>
      </c>
      <c r="MA28" s="593">
        <f>'Proy 2021 vs 2019 Sem'!GD27*$MD$4</f>
        <v>17379.2052</v>
      </c>
      <c r="MB28" s="593">
        <f>'Proy 2021 vs 2019 Sem'!GE27*$MD$4</f>
        <v>13903.364160000003</v>
      </c>
      <c r="MC28" s="735">
        <v>12150.32</v>
      </c>
      <c r="MD28" s="700">
        <f t="shared" si="694"/>
        <v>0.69912978529075653</v>
      </c>
      <c r="ME28" s="593">
        <f>'Proy 2021 vs 2019 Sem'!GD27*$MH$4</f>
        <v>19861.948799999998</v>
      </c>
      <c r="MF28" s="593">
        <f>'Proy 2021 vs 2019 Sem'!GE27*$MH$4</f>
        <v>15889.559040000002</v>
      </c>
      <c r="MG28" s="735">
        <v>20576.53</v>
      </c>
      <c r="MH28" s="700">
        <f t="shared" si="695"/>
        <v>1.0359773961354688</v>
      </c>
      <c r="MI28" s="593">
        <f>'Proy 2021 vs 2019 Sem'!GD27*$ML$4</f>
        <v>27310.179599999999</v>
      </c>
      <c r="MJ28" s="593">
        <f>'Proy 2021 vs 2019 Sem'!GE27*$ML$4</f>
        <v>21848.143680000001</v>
      </c>
      <c r="MK28" s="735">
        <v>22801.75</v>
      </c>
      <c r="ML28" s="700">
        <f t="shared" si="696"/>
        <v>0.83491761438288015</v>
      </c>
      <c r="MM28" s="579">
        <f t="shared" si="697"/>
        <v>124137.18</v>
      </c>
      <c r="MN28" s="574">
        <f t="shared" si="698"/>
        <v>99309.744000000006</v>
      </c>
      <c r="MO28" s="794">
        <f t="shared" si="699"/>
        <v>106274.58</v>
      </c>
      <c r="MP28" s="786">
        <f t="shared" si="700"/>
        <v>0.8561059627744082</v>
      </c>
      <c r="MQ28" s="593">
        <f>'Proy 2021 vs 2019 Sem'!GI27*$MT$4</f>
        <v>15562.0128</v>
      </c>
      <c r="MR28" s="593">
        <f>'Proy 2021 vs 2019 Sem'!GJ27*$MT$4</f>
        <v>12449.61024</v>
      </c>
      <c r="MS28" s="735">
        <v>4816.29</v>
      </c>
      <c r="MT28" s="700">
        <f t="shared" si="701"/>
        <v>0.30949017083445657</v>
      </c>
      <c r="MU28" s="593">
        <f>'Proy 2021 vs 2019 Sem'!GI27*$MX$4</f>
        <v>15562.0128</v>
      </c>
      <c r="MV28" s="593">
        <f>'Proy 2021 vs 2019 Sem'!GJ27*$MX$4</f>
        <v>12449.61024</v>
      </c>
      <c r="MW28" s="735">
        <v>15377.16</v>
      </c>
      <c r="MX28" s="700">
        <f t="shared" si="702"/>
        <v>0.98812153656627244</v>
      </c>
      <c r="MY28" s="593">
        <f>'Proy 2021 vs 2019 Sem'!GI27*$NB$4</f>
        <v>15562.0128</v>
      </c>
      <c r="MZ28" s="593">
        <f>'Proy 2021 vs 2019 Sem'!GJ27*$NB$4</f>
        <v>12449.61024</v>
      </c>
      <c r="NA28" s="735">
        <v>12473.72</v>
      </c>
      <c r="NB28" s="700">
        <f t="shared" si="703"/>
        <v>0.80154927002758913</v>
      </c>
      <c r="NC28" s="593">
        <f>'Proy 2021 vs 2019 Sem'!GI27*$NF$4</f>
        <v>15562.0128</v>
      </c>
      <c r="ND28" s="593">
        <f>'Proy 2021 vs 2019 Sem'!GJ27*$NF$4</f>
        <v>12449.61024</v>
      </c>
      <c r="NE28" s="735">
        <v>11272.97</v>
      </c>
      <c r="NF28" s="700">
        <f t="shared" si="704"/>
        <v>0.72439022797873542</v>
      </c>
      <c r="NG28" s="593">
        <f>'Proy 2021 vs 2019 Sem'!GI27*$NJ$4</f>
        <v>18155.681600000004</v>
      </c>
      <c r="NH28" s="593">
        <f>'Proy 2021 vs 2019 Sem'!GJ27*$NJ$4</f>
        <v>14524.545280000002</v>
      </c>
      <c r="NI28" s="735">
        <v>13852.98</v>
      </c>
      <c r="NJ28" s="700">
        <f t="shared" si="705"/>
        <v>0.76301073709069656</v>
      </c>
      <c r="NK28" s="593">
        <f>'Proy 2021 vs 2019 Sem'!GI27*$NN$4</f>
        <v>20749.350399999999</v>
      </c>
      <c r="NL28" s="593">
        <f>'Proy 2021 vs 2019 Sem'!GJ27*$NN$4</f>
        <v>16599.480320000002</v>
      </c>
      <c r="NM28" s="735">
        <v>19665.009999999998</v>
      </c>
      <c r="NN28" s="700">
        <f t="shared" si="706"/>
        <v>0.94774099530364087</v>
      </c>
      <c r="NO28" s="593">
        <f>'Proy 2021 vs 2019 Sem'!GI27*$NR$4</f>
        <v>28530.356800000001</v>
      </c>
      <c r="NP28" s="593">
        <f>'Proy 2021 vs 2019 Sem'!GJ27*$NR$4</f>
        <v>22824.285440000003</v>
      </c>
      <c r="NQ28" s="735">
        <v>18401.52</v>
      </c>
      <c r="NR28" s="700">
        <f t="shared" si="707"/>
        <v>0.64498036701735184</v>
      </c>
      <c r="NS28" s="579">
        <f t="shared" si="708"/>
        <v>129683.44</v>
      </c>
      <c r="NT28" s="574">
        <f t="shared" si="709"/>
        <v>103746.75200000001</v>
      </c>
      <c r="NU28" s="794">
        <f t="shared" si="710"/>
        <v>95859.65</v>
      </c>
      <c r="NV28" s="786">
        <f>NU28/NS28</f>
        <v>0.7391818878339439</v>
      </c>
      <c r="NW28" s="593">
        <f>'Proy 2021 vs 2019 Sem'!GN27*$NZ$4</f>
        <v>12464.987999999999</v>
      </c>
      <c r="NX28" s="593">
        <f>'Proy 2021 vs 2019 Sem'!GO27*$NZ$4</f>
        <v>9224.0911199999991</v>
      </c>
      <c r="NY28" s="735">
        <v>8134.84</v>
      </c>
      <c r="NZ28" s="700">
        <f t="shared" si="712"/>
        <v>0.65261514892754013</v>
      </c>
      <c r="OA28" s="593">
        <f>'Proy 2021 vs 2019 Sem'!GN27*$OD$4</f>
        <v>12464.987999999999</v>
      </c>
      <c r="OB28" s="593">
        <f>'Proy 2021 vs 2019 Sem'!GO27*$OD$4</f>
        <v>9224.0911199999991</v>
      </c>
      <c r="OC28" s="735">
        <v>12815.89</v>
      </c>
      <c r="OD28" s="700">
        <f t="shared" si="713"/>
        <v>1.0281510098525566</v>
      </c>
      <c r="OE28" s="593">
        <f>'Proy 2021 vs 2019 Sem'!GN27*$OH$4</f>
        <v>12464.987999999999</v>
      </c>
      <c r="OF28" s="593">
        <f>'Proy 2021 vs 2019 Sem'!GO27*$OH$4</f>
        <v>9224.0911199999991</v>
      </c>
      <c r="OG28" s="735">
        <v>13013.57</v>
      </c>
      <c r="OH28" s="700">
        <f t="shared" si="714"/>
        <v>1.0440098297728004</v>
      </c>
      <c r="OI28" s="593">
        <f>'Proy 2021 vs 2019 Sem'!GN27*$OL$4</f>
        <v>12464.987999999999</v>
      </c>
      <c r="OJ28" s="593">
        <f>'Proy 2021 vs 2019 Sem'!GO27*$OL$4</f>
        <v>9224.0911199999991</v>
      </c>
      <c r="OK28" s="735">
        <v>10519.96</v>
      </c>
      <c r="OL28" s="700">
        <f t="shared" si="715"/>
        <v>0.84396070016272773</v>
      </c>
      <c r="OM28" s="593">
        <f>'Proy 2021 vs 2019 Sem'!GN27*$OP$4</f>
        <v>14542.486000000001</v>
      </c>
      <c r="ON28" s="593">
        <f>'Proy 2021 vs 2019 Sem'!GO27*$OP$4</f>
        <v>10761.439640000001</v>
      </c>
      <c r="OO28" s="735">
        <v>17201.14</v>
      </c>
      <c r="OP28" s="700">
        <f t="shared" si="716"/>
        <v>1.1828197737305712</v>
      </c>
      <c r="OQ28" s="593">
        <f>'Proy 2021 vs 2019 Sem'!GN27*$JV$4</f>
        <v>16619.984</v>
      </c>
      <c r="OR28" s="593">
        <f>'Proy 2021 vs 2019 Sem'!GO27*$JV$4</f>
        <v>12298.788159999998</v>
      </c>
      <c r="OS28" s="735">
        <v>18542.43</v>
      </c>
      <c r="OT28" s="700">
        <f t="shared" si="717"/>
        <v>1.1156707491415154</v>
      </c>
      <c r="OU28" s="593">
        <f>'Proy 2021 vs 2019 Sem'!GN27*$OX$4</f>
        <v>22852.477999999999</v>
      </c>
      <c r="OV28" s="593">
        <f>'Proy 2021 vs 2019 Sem'!GO27*$OX$4</f>
        <v>16910.833719999999</v>
      </c>
      <c r="OW28" s="735">
        <v>19135.86</v>
      </c>
      <c r="OX28" s="700">
        <f t="shared" si="718"/>
        <v>0.83736477068263671</v>
      </c>
      <c r="OY28" s="579">
        <f t="shared" si="719"/>
        <v>103874.9</v>
      </c>
      <c r="OZ28" s="574">
        <f t="shared" si="720"/>
        <v>76867.425999999992</v>
      </c>
      <c r="PA28" s="785">
        <f t="shared" si="721"/>
        <v>99363.69</v>
      </c>
      <c r="PB28" s="786">
        <f t="shared" si="722"/>
        <v>0.95657074038097756</v>
      </c>
      <c r="PC28" s="593">
        <f>'Proy 2021 vs 2019 Sem'!GW27*$PF$4</f>
        <v>13815.119999999999</v>
      </c>
      <c r="PD28" s="593">
        <f>'Proy 2021 vs 2019 Sem'!GX27*$PF$4</f>
        <v>10913.944800000001</v>
      </c>
      <c r="PE28" s="735">
        <v>6575.9</v>
      </c>
      <c r="PF28" s="700">
        <f t="shared" si="723"/>
        <v>0.47599297002125207</v>
      </c>
      <c r="PG28" s="593">
        <f>'Proy 2021 vs 2019 Sem'!GW27*$PJ$4</f>
        <v>13815.119999999999</v>
      </c>
      <c r="PH28" s="593">
        <f>'Proy 2021 vs 2019 Sem'!GX27*$PJ$4</f>
        <v>10913.944800000001</v>
      </c>
      <c r="PI28" s="735">
        <v>15011.66</v>
      </c>
      <c r="PJ28" s="700">
        <f t="shared" si="724"/>
        <v>1.0866109016787404</v>
      </c>
      <c r="PK28" s="593">
        <f>'Proy 2021 vs 2019 Sem'!GW27*'Vtas Diarias 2021'!$PN$4</f>
        <v>13815.119999999999</v>
      </c>
      <c r="PL28" s="593">
        <f>'Proy 2021 vs 2019 Sem'!GX27*'Vtas Diarias 2021'!$PN$4</f>
        <v>10913.944800000001</v>
      </c>
      <c r="PM28" s="735">
        <v>11986.71</v>
      </c>
      <c r="PN28" s="700">
        <f t="shared" si="725"/>
        <v>0.86765152962840719</v>
      </c>
      <c r="PO28" s="593">
        <f>'Proy 2021 vs 2019 Sem'!GW27*$PR$4</f>
        <v>13815.119999999999</v>
      </c>
      <c r="PP28" s="593">
        <f>'Proy 2021 vs 2019 Sem'!GX27*$PR$4</f>
        <v>10913.944800000001</v>
      </c>
      <c r="PQ28" s="735">
        <v>9529.2099999999991</v>
      </c>
      <c r="PR28" s="700">
        <f t="shared" si="726"/>
        <v>0.68976671936255352</v>
      </c>
      <c r="PS28" s="593">
        <f>'Proy 2021 vs 2019 Sem'!GW27*$PV$4</f>
        <v>16117.640000000001</v>
      </c>
      <c r="PT28" s="593">
        <f>'Proy 2021 vs 2019 Sem'!GX27*$PV$4</f>
        <v>12732.935600000003</v>
      </c>
      <c r="PU28" s="735">
        <v>14903.86</v>
      </c>
      <c r="PV28" s="700">
        <f t="shared" si="727"/>
        <v>0.92469244877041545</v>
      </c>
      <c r="PW28" s="593">
        <f>'Proy 2021 vs 2019 Sem'!GW27*PZ$4</f>
        <v>18420.16</v>
      </c>
      <c r="PX28" s="593">
        <f>'Proy 2021 vs 2019 Sem'!GX27*$PZ$4</f>
        <v>14551.926400000002</v>
      </c>
      <c r="PY28" s="735">
        <v>18237.98</v>
      </c>
      <c r="PZ28" s="700">
        <f t="shared" si="728"/>
        <v>0.99010974931813833</v>
      </c>
      <c r="QA28" s="593">
        <f>'Proy 2021 vs 2019 Sem'!GW27*$QD$4</f>
        <v>25327.72</v>
      </c>
      <c r="QB28" s="593">
        <f>'Proy 2021 vs 2019 Sem'!GX27*$QD$4</f>
        <v>20008.898800000003</v>
      </c>
      <c r="QC28" s="735">
        <v>21845.42</v>
      </c>
      <c r="QD28" s="700">
        <f t="shared" si="729"/>
        <v>0.86251032465614741</v>
      </c>
      <c r="QE28" s="579">
        <f t="shared" si="730"/>
        <v>115126</v>
      </c>
      <c r="QF28" s="574">
        <f t="shared" si="731"/>
        <v>90949.540000000008</v>
      </c>
      <c r="QG28" s="729">
        <f t="shared" si="732"/>
        <v>98090.739999999991</v>
      </c>
      <c r="QH28" s="711">
        <f t="shared" si="733"/>
        <v>0.85202942862602704</v>
      </c>
      <c r="QI28" s="578">
        <f>'Proy 2021 vs 2019 Sem'!HB27*$QL$4</f>
        <v>12284.9028</v>
      </c>
      <c r="QJ28" s="611">
        <f>'Proy 2021 vs 2019 Sem'!UG27*$AL$4</f>
        <v>0</v>
      </c>
      <c r="QK28" s="735">
        <v>7418.6</v>
      </c>
      <c r="QL28" s="700">
        <f t="shared" si="734"/>
        <v>0.60387942182171772</v>
      </c>
      <c r="QM28" s="593">
        <f>'Proy 2021 vs 2019 Sem'!HB27*$QP$4</f>
        <v>12284.9028</v>
      </c>
      <c r="QN28" s="593">
        <f>'Proy 2021 vs 2019 Sem'!UG27*$AP$4</f>
        <v>0</v>
      </c>
      <c r="QO28" s="735">
        <v>11783.77</v>
      </c>
      <c r="QP28" s="700">
        <f t="shared" si="735"/>
        <v>0.95920742653332192</v>
      </c>
      <c r="QQ28" s="593">
        <f>'Proy 2021 vs 2019 Sem'!HB27*$QT$4</f>
        <v>12284.9028</v>
      </c>
      <c r="QR28" s="593">
        <f>'Proy 2021 vs 2019 Sem'!HC27*$QT$4</f>
        <v>9827.9222400000017</v>
      </c>
      <c r="QS28" s="735">
        <v>13777.92</v>
      </c>
      <c r="QT28" s="700">
        <f t="shared" si="736"/>
        <v>1.1215326831889951</v>
      </c>
      <c r="QU28" s="593">
        <f>'Proy 2021 vs 2019 Sem'!HB27*$QX$4</f>
        <v>12284.9028</v>
      </c>
      <c r="QV28" s="593">
        <f>'Proy 2021 vs 2019 Sem'!HC27*$QX$4</f>
        <v>9827.9222400000017</v>
      </c>
      <c r="QW28" s="735">
        <v>9955.2199999999993</v>
      </c>
      <c r="QX28" s="700">
        <f t="shared" si="737"/>
        <v>0.81036213001213164</v>
      </c>
      <c r="QY28" s="593">
        <f>'Proy 2021 vs 2019 Sem'!HB27*$RB$4</f>
        <v>14332.386600000002</v>
      </c>
      <c r="QZ28" s="593">
        <f>'Proy 2021 vs 2019 Sem'!HC27*$RB$4</f>
        <v>11465.909280000003</v>
      </c>
      <c r="RA28" s="735">
        <v>9510.1200000000008</v>
      </c>
      <c r="RB28" s="700">
        <f t="shared" si="738"/>
        <v>0.66354057181237347</v>
      </c>
      <c r="RC28" s="593">
        <f>'Proy 2021 vs 2019 Sem'!HB27*$RF$4</f>
        <v>16379.870400000002</v>
      </c>
      <c r="RD28" s="593">
        <f>'Proy 2021 vs 2019 Sem'!HC27*$RF$4</f>
        <v>13103.896320000002</v>
      </c>
      <c r="RE28" s="735">
        <v>16597.13</v>
      </c>
      <c r="RF28" s="700">
        <f t="shared" si="739"/>
        <v>1.0132638167881962</v>
      </c>
      <c r="RG28" s="593">
        <f>'Proy 2021 vs 2019 Sem'!HB27*$RJ$4</f>
        <v>22522.321800000002</v>
      </c>
      <c r="RH28" s="593">
        <f>'Proy 2021 vs 2019 Sem'!HC27*$RJ$4</f>
        <v>18017.857440000003</v>
      </c>
      <c r="RI28" s="735">
        <v>25575.47</v>
      </c>
      <c r="RJ28" s="700">
        <f t="shared" si="740"/>
        <v>1.1355609882103719</v>
      </c>
      <c r="RK28" s="579">
        <f t="shared" si="741"/>
        <v>102374.19</v>
      </c>
      <c r="RL28" s="574">
        <f t="shared" si="742"/>
        <v>62243.507520000014</v>
      </c>
      <c r="RM28" s="730">
        <f t="shared" si="743"/>
        <v>94618.23000000001</v>
      </c>
      <c r="RN28" s="711">
        <f t="shared" si="744"/>
        <v>0.92423910753286553</v>
      </c>
      <c r="RO28" s="593">
        <f>'Proy 2021 vs 2019 Sem'!HG27*$RR$4</f>
        <v>14616.252</v>
      </c>
      <c r="RP28" s="593">
        <f>'Proy 2021 vs 2019 Sem'!HH27*$RR$4</f>
        <v>11693.0016</v>
      </c>
      <c r="RQ28" s="735">
        <v>11068.17</v>
      </c>
      <c r="RR28" s="700">
        <f t="shared" si="745"/>
        <v>0.75725090125703909</v>
      </c>
      <c r="RS28" s="593">
        <f>'Proy 2021 vs 2019 Sem'!HG27*$RV$4</f>
        <v>14616.252</v>
      </c>
      <c r="RT28" s="593">
        <f>'Proy 2021 vs 2019 Sem'!HH27*$RV$4</f>
        <v>11693.0016</v>
      </c>
      <c r="RU28" s="735">
        <v>9878.74</v>
      </c>
      <c r="RV28" s="700">
        <f t="shared" si="746"/>
        <v>0.67587367814950094</v>
      </c>
      <c r="RW28" s="593">
        <f>'Proy 2021 vs 2019 Sem'!HG27*$RZ$4</f>
        <v>14616.252</v>
      </c>
      <c r="RX28" s="593">
        <f>'Proy 2021 vs 2019 Sem'!HH27*$RZ$4</f>
        <v>11693.0016</v>
      </c>
      <c r="RY28" s="735">
        <v>14739.86</v>
      </c>
      <c r="RZ28" s="700">
        <f t="shared" si="747"/>
        <v>1.0084568875796613</v>
      </c>
      <c r="SA28" s="593">
        <f>'Proy 2021 vs 2019 Sem'!HG27*$SD$4</f>
        <v>14616.252</v>
      </c>
      <c r="SB28" s="593">
        <f>'Proy 2021 vs 2019 Sem'!HH27*$SD$4</f>
        <v>11693.0016</v>
      </c>
      <c r="SC28" s="735">
        <v>14042.23</v>
      </c>
      <c r="SD28" s="700">
        <f t="shared" si="748"/>
        <v>0.96072714126713188</v>
      </c>
      <c r="SE28" s="593">
        <f>'Proy 2021 vs 2019 Sem'!HG27*$SH$4</f>
        <v>17052.294000000002</v>
      </c>
      <c r="SF28" s="593">
        <f>'Proy 2021 vs 2019 Sem'!HH27*$SH$4</f>
        <v>13641.835200000003</v>
      </c>
      <c r="SG28" s="735">
        <v>11442.47</v>
      </c>
      <c r="SH28" s="700">
        <f t="shared" si="749"/>
        <v>0.67102232696668251</v>
      </c>
      <c r="SI28" s="593">
        <f>'Proy 2021 vs 2019 Sem'!HG27*$SL$4</f>
        <v>19488.336000000003</v>
      </c>
      <c r="SJ28" s="593">
        <f>'Proy 2021 vs 2019 Sem'!HH27*$SL$4</f>
        <v>15590.668800000001</v>
      </c>
      <c r="SK28" s="735">
        <v>20158.310000000001</v>
      </c>
      <c r="SL28" s="700">
        <f t="shared" si="750"/>
        <v>1.0343782044808751</v>
      </c>
      <c r="SM28" s="593">
        <f>'Proy 2021 vs 2019 Sem'!HG27*$SP$4</f>
        <v>26796.462000000003</v>
      </c>
      <c r="SN28" s="593">
        <f>'Proy 2021 vs 2019 Sem'!HH27*$SP$4</f>
        <v>21437.169600000001</v>
      </c>
      <c r="SO28" s="735">
        <v>18396.810000000001</v>
      </c>
      <c r="SP28" s="700">
        <f t="shared" si="751"/>
        <v>0.68653876769254085</v>
      </c>
      <c r="SQ28" s="579">
        <f t="shared" si="752"/>
        <v>121802.1</v>
      </c>
      <c r="SR28" s="574">
        <f t="shared" si="753"/>
        <v>97441.68</v>
      </c>
      <c r="SS28" s="730">
        <f t="shared" si="754"/>
        <v>99726.59</v>
      </c>
      <c r="ST28" s="711">
        <f t="shared" si="755"/>
        <v>0.81875920037503447</v>
      </c>
      <c r="SU28" s="593">
        <f>'Proy 2021 vs 2019 Sem'!HL27*$SX$4</f>
        <v>13612.2168</v>
      </c>
      <c r="SV28" s="593">
        <f>'Proy 2021 vs 2019 Sem'!HM27*$SX$4</f>
        <v>10753.651272000001</v>
      </c>
      <c r="SW28" s="735">
        <v>5458.3</v>
      </c>
      <c r="SX28" s="700">
        <f t="shared" si="756"/>
        <v>0.40098538542230683</v>
      </c>
      <c r="SY28" s="593">
        <f>'Proy 2021 vs 2019 Sem'!HL27*$TB$4</f>
        <v>13612.2168</v>
      </c>
      <c r="SZ28" s="593">
        <f>'Proy 2021 vs 2019 Sem'!HM27*$TB$4</f>
        <v>10753.651272000001</v>
      </c>
      <c r="TA28" s="735">
        <v>9715.26</v>
      </c>
      <c r="TB28" s="700">
        <f t="shared" si="757"/>
        <v>0.71371622585382277</v>
      </c>
      <c r="TC28" s="593">
        <f>'Proy 2021 vs 2019 Sem'!HL27*$TF$4</f>
        <v>13612.2168</v>
      </c>
      <c r="TD28" s="593">
        <f>'Proy 2021 vs 2019 Sem'!HM27*$TF$4</f>
        <v>10753.651272000001</v>
      </c>
      <c r="TE28" s="735">
        <v>10278.700000000001</v>
      </c>
      <c r="TF28" s="700">
        <f t="shared" si="758"/>
        <v>0.75510845522237058</v>
      </c>
      <c r="TG28" s="593">
        <f>'Proy 2021 vs 2019 Sem'!HL27*$TJ$4</f>
        <v>13612.2168</v>
      </c>
      <c r="TH28" s="593">
        <f>'Proy 2021 vs 2019 Sem'!HM27*$TJ$4</f>
        <v>10753.651272000001</v>
      </c>
      <c r="TI28" s="735">
        <v>10626.49</v>
      </c>
      <c r="TJ28" s="700">
        <f t="shared" si="759"/>
        <v>0.7806582980664839</v>
      </c>
      <c r="TK28" s="593">
        <f>'Proy 2021 vs 2019 Sem'!HL27*$TN$4</f>
        <v>15880.919600000001</v>
      </c>
      <c r="TL28" s="593">
        <f>'Proy 2021 vs 2019 Sem'!HM27*$TN$4</f>
        <v>12545.926484000003</v>
      </c>
      <c r="TM28" s="735">
        <v>12711.94</v>
      </c>
      <c r="TN28" s="700">
        <f t="shared" si="760"/>
        <v>0.80045364627373339</v>
      </c>
      <c r="TO28" s="593">
        <f>'Proy 2021 vs 2019 Sem'!HL27*$TR$4</f>
        <v>18149.6224</v>
      </c>
      <c r="TP28" s="611">
        <f>'Proy 2021 vs 2019 Sem'!HM27*$TR$4</f>
        <v>14338.201696000002</v>
      </c>
      <c r="TQ28" s="735">
        <v>15555.87</v>
      </c>
      <c r="TR28" s="700">
        <f t="shared" si="761"/>
        <v>0.85709055853415439</v>
      </c>
      <c r="TS28" s="593">
        <f>'Proy 2021 vs 2019 Sem'!HL27*$TV$4</f>
        <v>24955.730800000001</v>
      </c>
      <c r="TT28" s="593">
        <f>'Proy 2021 vs 2019 Sem'!HM27*$TV$4</f>
        <v>19715.027332000001</v>
      </c>
      <c r="TU28" s="735">
        <v>25355.77</v>
      </c>
      <c r="TV28" s="700">
        <f t="shared" si="762"/>
        <v>1.0160299533283954</v>
      </c>
      <c r="TW28" s="579">
        <f t="shared" si="763"/>
        <v>113435.14</v>
      </c>
      <c r="TX28" s="574">
        <f t="shared" si="764"/>
        <v>89613.760600000009</v>
      </c>
      <c r="TY28" s="710">
        <f t="shared" si="765"/>
        <v>89702.33</v>
      </c>
      <c r="TZ28" s="711">
        <f t="shared" si="766"/>
        <v>0.79078079332383244</v>
      </c>
      <c r="UA28" s="593">
        <v>11161.8</v>
      </c>
      <c r="UB28" s="593">
        <f>'Proy 2021 vs 2019 Sem'!HR27*$UD$4</f>
        <v>12229.516632000001</v>
      </c>
      <c r="UC28" s="735">
        <v>6652.68</v>
      </c>
      <c r="UD28" s="700">
        <f t="shared" si="767"/>
        <v>0.59602214696554323</v>
      </c>
      <c r="UE28" s="593">
        <v>14132.11</v>
      </c>
      <c r="UF28" s="593">
        <f>'Proy 2021 vs 2019 Sem'!HR27*$UH$4</f>
        <v>12229.516632000001</v>
      </c>
      <c r="UG28" s="735">
        <v>10685.09</v>
      </c>
      <c r="UH28" s="700">
        <f t="shared" si="768"/>
        <v>0.75608596310105136</v>
      </c>
      <c r="UI28" s="593">
        <v>15873.32</v>
      </c>
      <c r="UJ28" s="593">
        <f>'Proy 2021 vs 2019 Sem'!HR27*$UL$4</f>
        <v>12229.516632000001</v>
      </c>
      <c r="UK28" s="735">
        <v>14930.45</v>
      </c>
      <c r="UL28" s="700">
        <f t="shared" si="769"/>
        <v>0.94060032809771366</v>
      </c>
      <c r="UM28" s="593">
        <v>14894.69</v>
      </c>
      <c r="UN28" s="593">
        <f>'Proy 2021 vs 2019 Sem'!HR27*$UP$4</f>
        <v>12229.516632000001</v>
      </c>
      <c r="UO28" s="735">
        <v>11737.73</v>
      </c>
      <c r="UP28" s="700">
        <f t="shared" si="770"/>
        <v>0.78804795534515981</v>
      </c>
      <c r="UQ28" s="593">
        <v>20831.53</v>
      </c>
      <c r="UR28" s="593">
        <f>'Proy 2021 vs 2019 Sem'!HR27*$UT$4</f>
        <v>14267.769404000002</v>
      </c>
      <c r="US28" s="735">
        <v>13333.72</v>
      </c>
      <c r="UT28" s="700">
        <f t="shared" si="771"/>
        <v>0.64007396480239331</v>
      </c>
      <c r="UU28" s="593">
        <v>25854.19</v>
      </c>
      <c r="UV28" s="593">
        <f>'Proy 2021 vs 2019 Sem'!HR27*$UX$4</f>
        <v>16306.022176</v>
      </c>
      <c r="UW28" s="735">
        <v>21730.29</v>
      </c>
      <c r="UX28" s="700">
        <f t="shared" si="772"/>
        <v>0.84049393928024829</v>
      </c>
      <c r="UY28" s="593">
        <v>26255.7</v>
      </c>
      <c r="UZ28" s="593">
        <f>'Proy 2021 vs 2019 Sem'!HR27*$VB$4</f>
        <v>22420.780492000002</v>
      </c>
      <c r="VA28" s="735">
        <v>20783.11</v>
      </c>
      <c r="VB28" s="700">
        <f t="shared" si="773"/>
        <v>0.79156564098462434</v>
      </c>
      <c r="VC28" s="577">
        <f>UA28+UE28+UI28+UM28+UQ28+UU28+UY28</f>
        <v>129003.34</v>
      </c>
      <c r="VD28" s="574">
        <f t="shared" si="774"/>
        <v>101912.63860000001</v>
      </c>
      <c r="VE28" s="710">
        <f t="shared" si="775"/>
        <v>99853.069999999992</v>
      </c>
      <c r="VF28" s="1531">
        <f t="shared" si="776"/>
        <v>0.77403476530142545</v>
      </c>
      <c r="VG28" s="593">
        <v>11481.41</v>
      </c>
      <c r="VH28" s="593">
        <f>'Proy 2021 vs 2019 Sem'!IA27*$VJ$4</f>
        <v>10149.093108000001</v>
      </c>
      <c r="VI28" s="735">
        <v>5405.13</v>
      </c>
      <c r="VJ28" s="700">
        <f t="shared" si="777"/>
        <v>0.47077231803410907</v>
      </c>
      <c r="VK28" s="593">
        <v>12822.21</v>
      </c>
      <c r="VL28" s="593">
        <f>'Proy 2021 vs 2019 Sem'!IA27*$VN$4</f>
        <v>10149.093108000001</v>
      </c>
      <c r="VM28" s="735">
        <v>11412.9</v>
      </c>
      <c r="VN28" s="700">
        <f t="shared" si="778"/>
        <v>0.89008837010156594</v>
      </c>
      <c r="VO28" s="593">
        <v>10303.34</v>
      </c>
      <c r="VP28" s="593">
        <f>'Proy 2021 vs 2019 Sem'!IA27*$VR$4</f>
        <v>10149.093108000001</v>
      </c>
      <c r="VQ28" s="735">
        <v>10173.34</v>
      </c>
      <c r="VR28" s="700">
        <f t="shared" si="779"/>
        <v>0.9873827322014026</v>
      </c>
      <c r="VS28" s="593">
        <v>13449.32</v>
      </c>
      <c r="VT28" s="593">
        <f>'Proy 2021 vs 2019 Sem'!IA27*$VV$4</f>
        <v>10149.093108000001</v>
      </c>
      <c r="VU28" s="735">
        <v>11803.74</v>
      </c>
      <c r="VV28" s="700">
        <f t="shared" si="780"/>
        <v>0.87764585867538281</v>
      </c>
      <c r="VW28" s="593">
        <v>12854.9</v>
      </c>
      <c r="VX28" s="593">
        <f>'Proy 2021 vs 2019 Sem'!IA27*$VZ$4</f>
        <v>11840.608626000003</v>
      </c>
      <c r="VY28" s="735">
        <v>11504.65</v>
      </c>
      <c r="VZ28" s="700">
        <f t="shared" si="781"/>
        <v>0.89496223230052352</v>
      </c>
      <c r="WA28" s="593">
        <v>18071.95</v>
      </c>
      <c r="WB28" s="593">
        <f>'Proy 2021 vs 2019 Sem'!IA27*$WD$4</f>
        <v>13532.124144000001</v>
      </c>
      <c r="WC28" s="735">
        <v>17325.61</v>
      </c>
      <c r="WD28" s="700">
        <f t="shared" si="782"/>
        <v>0.95870174496941396</v>
      </c>
      <c r="WE28" s="593">
        <v>30855.54</v>
      </c>
      <c r="WF28" s="593">
        <f>'Proy 2021 vs 2019 Sem'!IA27*$WH$4</f>
        <v>18606.670698000002</v>
      </c>
      <c r="WG28" s="735">
        <v>25430.59</v>
      </c>
      <c r="WH28" s="1538">
        <f t="shared" si="783"/>
        <v>0.82418230243256152</v>
      </c>
      <c r="WI28" s="574">
        <f t="shared" si="784"/>
        <v>48056.28</v>
      </c>
      <c r="WJ28" s="575">
        <f t="shared" si="785"/>
        <v>84575.775900000008</v>
      </c>
      <c r="WK28" s="793">
        <f t="shared" si="786"/>
        <v>93055.959999999992</v>
      </c>
      <c r="WL28" s="786">
        <f t="shared" si="787"/>
        <v>1.9363954097154419</v>
      </c>
      <c r="WM28" s="593">
        <v>9637.2099999999991</v>
      </c>
      <c r="WN28" s="593">
        <f>'Proy 2021 vs 2019 Sem'!IF27*$WP$4</f>
        <v>11692.253747999999</v>
      </c>
      <c r="WO28" s="735">
        <v>7425.68</v>
      </c>
      <c r="WP28" s="700">
        <f t="shared" si="788"/>
        <v>0.77052175889079944</v>
      </c>
      <c r="WQ28" s="593">
        <v>17641.900000000001</v>
      </c>
      <c r="WR28" s="593">
        <f>'Proy 2021 vs 2019 Sem'!IF27*$WT$4</f>
        <v>11692.253747999999</v>
      </c>
      <c r="WS28" s="735">
        <v>13817.62</v>
      </c>
      <c r="WT28" s="700">
        <f t="shared" si="789"/>
        <v>0.78322743015208107</v>
      </c>
      <c r="WU28" s="593">
        <v>18434.169999999998</v>
      </c>
      <c r="WV28" s="593">
        <f>'Proy 2021 vs 2019 Sem'!IF27*$WX$4</f>
        <v>11692.253747999999</v>
      </c>
      <c r="WW28" s="735">
        <v>13294.6</v>
      </c>
      <c r="WX28" s="700">
        <f t="shared" si="790"/>
        <v>0.72119330569263507</v>
      </c>
      <c r="WY28" s="593">
        <v>16788.21</v>
      </c>
      <c r="WZ28" s="593">
        <f>'Proy 2021 vs 2019 Sem'!IF27*$XB$4</f>
        <v>11692.253747999999</v>
      </c>
      <c r="XA28" s="735">
        <v>14704.21</v>
      </c>
      <c r="XB28" s="700">
        <f t="shared" si="791"/>
        <v>0.87586526496868933</v>
      </c>
      <c r="XC28" s="593">
        <v>14076.64</v>
      </c>
      <c r="XD28" s="593">
        <f>'Proy 2021 vs 2019 Sem'!IF27*$XF$4</f>
        <v>13640.962706000002</v>
      </c>
      <c r="XE28" s="735">
        <v>18808.78</v>
      </c>
      <c r="XF28" s="700">
        <f t="shared" si="792"/>
        <v>1.3361697109537503</v>
      </c>
      <c r="XG28" s="593">
        <v>20522.12</v>
      </c>
      <c r="XH28" s="593">
        <f>'Proy 2021 vs 2019 Sem'!IF27*$XJ$4</f>
        <v>15589.671664</v>
      </c>
      <c r="XI28" s="735">
        <v>19854.66</v>
      </c>
      <c r="XJ28" s="700">
        <f t="shared" si="793"/>
        <v>0.96747606972379074</v>
      </c>
      <c r="XK28" s="593">
        <v>26235.759999999998</v>
      </c>
      <c r="XL28" s="593">
        <f>'Proy 2021 vs 2019 Sem'!IF27*$XN$4</f>
        <v>21435.798537999999</v>
      </c>
      <c r="XM28" s="735">
        <v>30887.26</v>
      </c>
      <c r="XN28" s="700">
        <f t="shared" si="794"/>
        <v>1.1772961789557459</v>
      </c>
      <c r="XO28" s="579">
        <f t="shared" si="795"/>
        <v>123336.01</v>
      </c>
      <c r="XP28" s="574">
        <f t="shared" si="796"/>
        <v>97435.447899999999</v>
      </c>
      <c r="XQ28" s="794">
        <f t="shared" si="797"/>
        <v>118792.81</v>
      </c>
      <c r="XR28" s="786">
        <f t="shared" si="798"/>
        <v>0.96316404268307365</v>
      </c>
      <c r="XS28" s="593">
        <v>8724.9699999999993</v>
      </c>
      <c r="XT28" s="593">
        <f>'Proy 2021 vs 2019 Sem'!IK27*$XV$4</f>
        <v>11605.935599999999</v>
      </c>
      <c r="XU28" s="735">
        <v>8875.1299999999992</v>
      </c>
      <c r="XV28" s="700">
        <f t="shared" si="799"/>
        <v>1.0172103743623186</v>
      </c>
      <c r="XW28" s="593">
        <v>13789.42</v>
      </c>
      <c r="XX28" s="593">
        <f>'Proy 2021 vs 2019 Sem'!IK27*$XZ$4</f>
        <v>11605.935599999999</v>
      </c>
      <c r="XY28" s="735">
        <v>13885.42</v>
      </c>
      <c r="XZ28" s="700">
        <f t="shared" si="800"/>
        <v>1.0069618591644898</v>
      </c>
      <c r="YA28" s="593">
        <v>13574.17</v>
      </c>
      <c r="YB28" s="593">
        <f>'Proy 2021 vs 2019 Sem'!IK27*$YD$4</f>
        <v>11605.935599999999</v>
      </c>
      <c r="YC28" s="735">
        <v>13583.97</v>
      </c>
      <c r="YD28" s="700">
        <f t="shared" si="801"/>
        <v>1.0007219594273535</v>
      </c>
      <c r="YE28" s="593">
        <v>12446.38</v>
      </c>
      <c r="YF28" s="593">
        <f>'Proy 2021 vs 2019 Sem'!IK27*$YH$4</f>
        <v>11605.935599999999</v>
      </c>
      <c r="YG28" s="735">
        <v>10419.469999999999</v>
      </c>
      <c r="YH28" s="700">
        <f t="shared" si="802"/>
        <v>0.83714863277515228</v>
      </c>
      <c r="YI28" s="593">
        <v>14850.54</v>
      </c>
      <c r="YJ28" s="593">
        <f>'Proy 2021 vs 2019 Sem'!IK27*$YL$4</f>
        <v>13540.2582</v>
      </c>
      <c r="YK28" s="735">
        <v>13254.54</v>
      </c>
      <c r="YL28" s="700">
        <f t="shared" si="803"/>
        <v>0.8925291605557778</v>
      </c>
      <c r="YM28" s="593">
        <v>22889.58</v>
      </c>
      <c r="YN28" s="593">
        <f>'Proy 2021 vs 2019 Sem'!IK27*$YP$4</f>
        <v>15474.580799999998</v>
      </c>
      <c r="YO28" s="735">
        <v>18634.05</v>
      </c>
      <c r="YP28" s="700">
        <f t="shared" si="804"/>
        <v>0.81408439997588411</v>
      </c>
      <c r="YQ28" s="593">
        <v>31671.439999999999</v>
      </c>
      <c r="YR28" s="593">
        <f>'Proy 2021 vs 2019 Sem'!IK27*$YT$4</f>
        <v>21277.548599999998</v>
      </c>
      <c r="YS28" s="735">
        <v>21874.41</v>
      </c>
      <c r="YT28" s="700">
        <f t="shared" si="805"/>
        <v>0.69066673318295602</v>
      </c>
      <c r="YU28" s="579">
        <f t="shared" si="806"/>
        <v>117946.5</v>
      </c>
      <c r="YV28" s="574">
        <f t="shared" si="807"/>
        <v>96716.12999999999</v>
      </c>
      <c r="YW28" s="794">
        <f t="shared" si="808"/>
        <v>100526.99</v>
      </c>
      <c r="YX28" s="786">
        <f t="shared" si="809"/>
        <v>0.85231007278723836</v>
      </c>
      <c r="YY28" s="593">
        <v>9447.24</v>
      </c>
      <c r="YZ28" s="593">
        <f>'Proy 2021 vs 2019 Sem'!IP27*$ZB$4</f>
        <v>13837.217999999999</v>
      </c>
      <c r="ZA28" s="735">
        <v>9463.7099999999991</v>
      </c>
      <c r="ZB28" s="700">
        <f t="shared" si="810"/>
        <v>1.0017433663165114</v>
      </c>
      <c r="ZC28" s="593">
        <v>18032.330000000002</v>
      </c>
      <c r="ZD28" s="593">
        <f>'Proy 2021 vs 2019 Sem'!IP27*$ZF$4</f>
        <v>13837.217999999999</v>
      </c>
      <c r="ZE28" s="735">
        <v>13627.69</v>
      </c>
      <c r="ZF28" s="700">
        <f t="shared" si="811"/>
        <v>0.75573650216028654</v>
      </c>
      <c r="ZG28" s="593">
        <v>17505.12</v>
      </c>
      <c r="ZH28" s="593">
        <f>'Proy 2021 vs 2019 Sem'!IP27*$ZJ$4</f>
        <v>13837.217999999999</v>
      </c>
      <c r="ZI28" s="735">
        <v>11732.63</v>
      </c>
      <c r="ZJ28" s="700">
        <f t="shared" si="812"/>
        <v>0.67023990695293723</v>
      </c>
      <c r="ZK28" s="593">
        <v>20435.72</v>
      </c>
      <c r="ZL28" s="593">
        <f>'Proy 2021 vs 2019 Sem'!IP27*$ZN$4</f>
        <v>13837.217999999999</v>
      </c>
      <c r="ZM28" s="735">
        <v>15794.05</v>
      </c>
      <c r="ZN28" s="700">
        <f t="shared" si="813"/>
        <v>0.77286486602869864</v>
      </c>
      <c r="ZO28" s="593">
        <v>24104.240000000002</v>
      </c>
      <c r="ZP28" s="593">
        <f>'Proy 2021 vs 2019 Sem'!IP27*$ZR$4</f>
        <v>16143.421</v>
      </c>
      <c r="ZQ28" s="735">
        <v>14834.77</v>
      </c>
      <c r="ZR28" s="700">
        <f t="shared" si="814"/>
        <v>0.61544234541308918</v>
      </c>
      <c r="ZS28" s="593">
        <v>25484.98</v>
      </c>
      <c r="ZT28" s="593">
        <f>'Proy 2021 vs 2019 Sem'!IP27*$ZV$4</f>
        <v>18449.624</v>
      </c>
      <c r="ZU28" s="735">
        <v>30443.33</v>
      </c>
      <c r="ZV28" s="700">
        <f t="shared" si="815"/>
        <v>1.1945596975159487</v>
      </c>
      <c r="ZW28" s="593">
        <v>20649.37</v>
      </c>
      <c r="ZX28" s="593">
        <f>'Proy 2021 vs 2019 Sem'!IP27*$ZZ$4</f>
        <v>25368.233</v>
      </c>
      <c r="ZY28" s="735">
        <v>34098.69</v>
      </c>
      <c r="ZZ28" s="700">
        <f t="shared" si="816"/>
        <v>1.6513186600850294</v>
      </c>
      <c r="AAA28" s="579">
        <f t="shared" si="817"/>
        <v>135659</v>
      </c>
      <c r="AAB28" s="574">
        <f t="shared" si="818"/>
        <v>115310.15</v>
      </c>
      <c r="AAC28" s="785">
        <f t="shared" si="819"/>
        <v>129994.87000000001</v>
      </c>
      <c r="AAD28" s="786">
        <f t="shared" si="820"/>
        <v>0.95824729653027085</v>
      </c>
      <c r="AAE28" s="593">
        <v>10953.57</v>
      </c>
      <c r="AAF28" s="593">
        <f>'Proy 2021 vs 2019 Sem'!IY27*$AAH$4</f>
        <v>11692.1988</v>
      </c>
      <c r="AAG28" s="735">
        <v>12659.92</v>
      </c>
      <c r="AAH28" s="700">
        <f t="shared" si="821"/>
        <v>1.1557802615950781</v>
      </c>
      <c r="AAI28" s="593">
        <v>13770.3</v>
      </c>
      <c r="AAJ28" s="593">
        <f>'Proy 2021 vs 2019 Sem'!IY27*$AAL$4</f>
        <v>11692.1988</v>
      </c>
      <c r="AAK28" s="735">
        <v>18630.77</v>
      </c>
      <c r="AAL28" s="700">
        <f t="shared" si="822"/>
        <v>1.3529676187156416</v>
      </c>
      <c r="AAM28" s="593">
        <v>14769.84</v>
      </c>
      <c r="AAN28" s="593">
        <f>'Proy 2021 vs 2019 Sem'!IY27*$AAP$4</f>
        <v>11692.1988</v>
      </c>
      <c r="AAO28" s="735">
        <v>7626.91</v>
      </c>
      <c r="AAP28" s="700">
        <f t="shared" si="823"/>
        <v>0.516384063740704</v>
      </c>
      <c r="AAQ28" s="593">
        <v>8690.42</v>
      </c>
      <c r="AAR28" s="593">
        <f>'Proy 2021 vs 2019 Sem'!IY27*$AAT$4</f>
        <v>11692.1988</v>
      </c>
      <c r="AAS28" s="735">
        <v>14376.57</v>
      </c>
      <c r="AAT28" s="700">
        <f t="shared" si="824"/>
        <v>1.6543009428773292</v>
      </c>
      <c r="AAU28" s="593">
        <v>16085.75</v>
      </c>
      <c r="AAV28" s="593">
        <f>'Proy 2021 vs 2019 Sem'!IY27*$AAX$4</f>
        <v>13640.898600000002</v>
      </c>
      <c r="AAW28" s="735">
        <v>10745.15</v>
      </c>
      <c r="AAX28" s="700">
        <f t="shared" si="825"/>
        <v>0.66799185614596768</v>
      </c>
      <c r="AAY28" s="593">
        <v>17634.88</v>
      </c>
      <c r="AAZ28" s="593">
        <f>'Proy 2021 vs 2019 Sem'!IY27*$ABB$4</f>
        <v>15589.598400000001</v>
      </c>
      <c r="ABA28" s="735">
        <v>13460.74</v>
      </c>
      <c r="ABB28" s="700">
        <f t="shared" si="826"/>
        <v>0.76330204685260117</v>
      </c>
      <c r="ABC28" s="593">
        <v>26356.34</v>
      </c>
      <c r="ABD28" s="593">
        <f>'Proy 2021 vs 2019 Sem'!IY27*$ABF$4</f>
        <v>21435.697800000002</v>
      </c>
      <c r="ABE28" s="735">
        <v>20449.27</v>
      </c>
      <c r="ABF28" s="700">
        <f t="shared" si="827"/>
        <v>0.77587669608147414</v>
      </c>
      <c r="ABG28" s="579">
        <f t="shared" si="828"/>
        <v>108261.09999999999</v>
      </c>
      <c r="ABH28" s="574">
        <f t="shared" si="829"/>
        <v>97434.989999999991</v>
      </c>
      <c r="ABI28" s="759">
        <f t="shared" si="830"/>
        <v>97949.330000000016</v>
      </c>
      <c r="ABJ28" s="761">
        <f t="shared" si="831"/>
        <v>0.90475092161450443</v>
      </c>
      <c r="ABK28" s="593">
        <v>8124.18</v>
      </c>
      <c r="ABL28" s="593">
        <f>'Proy 2021 vs 2019 Sem'!JD27*$ABN$4</f>
        <v>14428.455312</v>
      </c>
      <c r="ABM28" s="735">
        <v>9308.31</v>
      </c>
      <c r="ABN28" s="700">
        <f t="shared" si="832"/>
        <v>1.1457537868437182</v>
      </c>
      <c r="ABO28" s="593">
        <v>10376.9</v>
      </c>
      <c r="ABP28" s="593">
        <f>'Proy 2021 vs 2019 Sem'!JD27*$ABR$4</f>
        <v>14428.455312</v>
      </c>
      <c r="ABQ28" s="735">
        <v>10609.34</v>
      </c>
      <c r="ABR28" s="700">
        <f t="shared" si="833"/>
        <v>1.0223997532981912</v>
      </c>
      <c r="ABS28" s="593">
        <v>5355.51</v>
      </c>
      <c r="ABT28" s="593">
        <f>'Proy 2021 vs 2019 Sem'!JD27*$ABV$4</f>
        <v>14428.455312</v>
      </c>
      <c r="ABU28" s="735">
        <v>11882.7</v>
      </c>
      <c r="ABV28" s="700">
        <f t="shared" si="834"/>
        <v>2.2187802842306334</v>
      </c>
      <c r="ABW28" s="593">
        <v>10549.72</v>
      </c>
      <c r="ABX28" s="593">
        <f>'Proy 2021 vs 2019 Sem'!JD27*$ABZ$4</f>
        <v>14428.455312</v>
      </c>
      <c r="ABY28" s="735">
        <v>10556.82</v>
      </c>
      <c r="ABZ28" s="700">
        <f t="shared" si="835"/>
        <v>1.0006730036436986</v>
      </c>
      <c r="ACA28" s="593">
        <v>15837.19</v>
      </c>
      <c r="ACB28" s="593">
        <f>'Proy 2021 vs 2019 Sem'!JD27*$ACD$4</f>
        <v>16833.197864000002</v>
      </c>
      <c r="ACC28" s="735">
        <v>11355.06</v>
      </c>
      <c r="ACD28" s="700">
        <f t="shared" si="836"/>
        <v>0.71698704126173896</v>
      </c>
      <c r="ACE28" s="593">
        <v>30919.54</v>
      </c>
      <c r="ACF28" s="593">
        <f>'Proy 2021 vs 2019 Sem'!JD27*$ACH$4</f>
        <v>19237.940416000001</v>
      </c>
      <c r="ACG28" s="735">
        <v>17568.71</v>
      </c>
      <c r="ACH28" s="700">
        <f t="shared" si="837"/>
        <v>0.56820735366696917</v>
      </c>
      <c r="ACI28" s="593">
        <v>49529.49</v>
      </c>
      <c r="ACJ28" s="593">
        <f>'Proy 2021 vs 2019 Sem'!JD27*$ACL$4</f>
        <v>26452.168072</v>
      </c>
      <c r="ACK28" s="735">
        <v>31601.5</v>
      </c>
      <c r="ACL28" s="700">
        <f t="shared" si="838"/>
        <v>0.63803402780848339</v>
      </c>
      <c r="ACM28" s="579">
        <f t="shared" si="839"/>
        <v>130692.53</v>
      </c>
      <c r="ACN28" s="574">
        <f t="shared" si="840"/>
        <v>120237.12760000001</v>
      </c>
      <c r="ACO28" s="765">
        <f t="shared" si="841"/>
        <v>102882.44</v>
      </c>
      <c r="ACP28" s="761">
        <f t="shared" si="842"/>
        <v>0.78720979691800286</v>
      </c>
      <c r="ACQ28" s="593">
        <v>26308.639999999999</v>
      </c>
      <c r="ACR28" s="593">
        <f>'Proy 2021 vs 2019 Sem'!JI27*$ACT$4</f>
        <v>15879.390624000001</v>
      </c>
      <c r="ACS28" s="735">
        <v>9514.07</v>
      </c>
      <c r="ACT28" s="700">
        <f t="shared" si="843"/>
        <v>0.36163290842856188</v>
      </c>
      <c r="ACU28" s="593">
        <v>30895.58</v>
      </c>
      <c r="ACV28" s="593">
        <f>'Proy 2021 vs 2019 Sem'!JI27*$ACX$4</f>
        <v>15879.390624000001</v>
      </c>
      <c r="ACW28" s="735">
        <v>22250.35</v>
      </c>
      <c r="ACX28" s="700">
        <f t="shared" si="844"/>
        <v>0.72017906768540996</v>
      </c>
      <c r="ACY28" s="593">
        <v>15836.39</v>
      </c>
      <c r="ACZ28" s="593">
        <f>'Proy 2021 vs 2019 Sem'!JI27*$ADB$4</f>
        <v>15879.390624000001</v>
      </c>
      <c r="ADA28" s="735">
        <v>10471.780000000001</v>
      </c>
      <c r="ADB28" s="700">
        <f t="shared" si="845"/>
        <v>0.66124792329565019</v>
      </c>
      <c r="ADC28" s="593">
        <v>12486.44</v>
      </c>
      <c r="ADD28" s="593">
        <f>'Proy 2021 vs 2019 Sem'!JI27*$ADF$4</f>
        <v>15879.390624000001</v>
      </c>
      <c r="ADE28" s="735">
        <v>11691.07</v>
      </c>
      <c r="ADF28" s="700">
        <f t="shared" si="846"/>
        <v>0.93630129964986009</v>
      </c>
      <c r="ADG28" s="593">
        <v>11602.1</v>
      </c>
      <c r="ADH28" s="593">
        <f>'Proy 2021 vs 2019 Sem'!JI27*$ADJ$4</f>
        <v>18525.955728000004</v>
      </c>
      <c r="ADI28" s="735">
        <v>14963.34</v>
      </c>
      <c r="ADJ28" s="700">
        <f t="shared" si="847"/>
        <v>1.2897096215340327</v>
      </c>
      <c r="ADK28" s="593">
        <v>17684.599999999999</v>
      </c>
      <c r="ADL28" s="593">
        <f>'Proy 2021 vs 2019 Sem'!JI27*$ADN$4</f>
        <v>21172.520832000002</v>
      </c>
      <c r="ADM28" s="735">
        <v>19359.68</v>
      </c>
      <c r="ADN28" s="700">
        <f t="shared" si="848"/>
        <v>1.0947196996256632</v>
      </c>
      <c r="ADO28" s="593">
        <v>29021.31</v>
      </c>
      <c r="ADP28" s="593">
        <f>'Proy 2021 vs 2019 Sem'!JI27*$ADR$4</f>
        <v>29112.216144000002</v>
      </c>
      <c r="ADQ28" s="735">
        <v>23019.61</v>
      </c>
      <c r="ADR28" s="700">
        <f t="shared" si="849"/>
        <v>0.79319679228814965</v>
      </c>
      <c r="ADS28" s="579">
        <f t="shared" si="850"/>
        <v>143835.06</v>
      </c>
      <c r="ADT28" s="574">
        <f t="shared" si="851"/>
        <v>132328.25520000001</v>
      </c>
      <c r="ADU28" s="765">
        <f t="shared" si="852"/>
        <v>111269.90000000001</v>
      </c>
      <c r="ADV28" s="761">
        <f t="shared" si="853"/>
        <v>0.77359372603591925</v>
      </c>
      <c r="ADW28" s="593">
        <v>6814.18</v>
      </c>
      <c r="ADX28" s="593">
        <f>'Proy 2021 vs 2019 Sem'!JN27*$ADZ$4</f>
        <v>15250.76424</v>
      </c>
      <c r="ADY28" s="735">
        <v>7233.88</v>
      </c>
      <c r="ADZ28" s="700">
        <f t="shared" si="854"/>
        <v>1.061592150486192</v>
      </c>
      <c r="AEA28" s="593">
        <v>14411.63</v>
      </c>
      <c r="AEB28" s="593">
        <f>'Proy 2021 vs 2019 Sem'!JN27*$AED$4</f>
        <v>15250.76424</v>
      </c>
      <c r="AEC28" s="735">
        <v>11370</v>
      </c>
      <c r="AED28" s="700">
        <f t="shared" si="855"/>
        <v>0.78894614974156296</v>
      </c>
      <c r="AEE28" s="593">
        <v>13190.38</v>
      </c>
      <c r="AEF28" s="593">
        <f>'Proy 2021 vs 2019 Sem'!JN27*$AEH$4</f>
        <v>15250.76424</v>
      </c>
      <c r="AEG28" s="735">
        <v>10432</v>
      </c>
      <c r="AEH28" s="700">
        <f t="shared" si="856"/>
        <v>0.79087941363326919</v>
      </c>
      <c r="AEI28" s="593">
        <v>17333.150000000001</v>
      </c>
      <c r="AEJ28" s="593">
        <f>'Proy 2021 vs 2019 Sem'!JN27*$AEL$4</f>
        <v>15250.76424</v>
      </c>
      <c r="AEK28" s="735">
        <v>14353</v>
      </c>
      <c r="AEL28" s="700">
        <f t="shared" si="857"/>
        <v>0.8280664507028439</v>
      </c>
      <c r="AEM28" s="593">
        <v>20448.759999999998</v>
      </c>
      <c r="AEN28" s="593">
        <f>'Proy 2021 vs 2019 Sem'!JN27*$AEP$4</f>
        <v>17792.558280000001</v>
      </c>
      <c r="AEO28" s="735">
        <v>12089</v>
      </c>
      <c r="AEP28" s="700">
        <f t="shared" si="858"/>
        <v>0.59118499116816869</v>
      </c>
      <c r="AEQ28" s="593">
        <v>27474.75</v>
      </c>
      <c r="AER28" s="593">
        <f>'Proy 2021 vs 2019 Sem'!JN27*$AET$4</f>
        <v>20334.352320000002</v>
      </c>
      <c r="AES28" s="735">
        <v>12526</v>
      </c>
      <c r="AET28" s="700">
        <f t="shared" si="859"/>
        <v>0.45590951692008119</v>
      </c>
      <c r="AEU28" s="593">
        <v>41537.93</v>
      </c>
      <c r="AEV28" s="593">
        <f>'Proy 2021 vs 2019 Sem'!JN27*$AEX$4</f>
        <v>27959.73444</v>
      </c>
      <c r="AEW28" s="735">
        <v>21927</v>
      </c>
      <c r="AEX28" s="700">
        <f t="shared" si="860"/>
        <v>0.52787897711802201</v>
      </c>
      <c r="AEY28" s="579">
        <f t="shared" si="861"/>
        <v>141210.78</v>
      </c>
      <c r="AEZ28" s="574">
        <f t="shared" si="862"/>
        <v>127089.702</v>
      </c>
      <c r="AFA28" s="770">
        <f t="shared" si="863"/>
        <v>89930.880000000005</v>
      </c>
      <c r="AFB28" s="761">
        <f t="shared" si="864"/>
        <v>0.63685562816096619</v>
      </c>
      <c r="AFC28" s="593">
        <v>18386.91</v>
      </c>
      <c r="AFD28" s="593">
        <f>'Proy 2021 vs 2019 Sem'!JX27*$AFF$4</f>
        <v>17370.254699999998</v>
      </c>
      <c r="AFE28" s="735">
        <v>10728</v>
      </c>
      <c r="AFF28" s="700">
        <f t="shared" si="865"/>
        <v>0.58345855828956583</v>
      </c>
      <c r="AFG28" s="593">
        <v>18446.47</v>
      </c>
      <c r="AFH28" s="593">
        <f>'Proy 2021 vs 2019 Sem'!JX27*$AFJ$4</f>
        <v>17370.254699999998</v>
      </c>
      <c r="AFI28" s="735">
        <v>13162</v>
      </c>
      <c r="AFJ28" s="700">
        <f t="shared" si="866"/>
        <v>0.71352405094308013</v>
      </c>
      <c r="AFK28" s="593">
        <v>20878.46</v>
      </c>
      <c r="AFL28" s="593">
        <f>'Proy 2021 vs 2019 Sem'!JX27*$AFN$4</f>
        <v>17370.254699999998</v>
      </c>
      <c r="AFM28" s="735">
        <v>24037.759999999998</v>
      </c>
      <c r="AFN28" s="700">
        <f t="shared" si="867"/>
        <v>1.1513186317381645</v>
      </c>
      <c r="AFO28" s="593">
        <v>22456.82</v>
      </c>
      <c r="AFP28" s="593">
        <f>'Proy 2021 vs 2019 Sem'!JX27*$AFR$4</f>
        <v>17370.254699999998</v>
      </c>
      <c r="AFQ28" s="735">
        <v>12183.22</v>
      </c>
      <c r="AFR28" s="700">
        <f t="shared" si="868"/>
        <v>0.54251759599088378</v>
      </c>
      <c r="AFS28" s="593">
        <v>32000.46</v>
      </c>
      <c r="AFT28" s="593">
        <f>'Proy 2021 vs 2019 Sem'!JX27*$AFV$4</f>
        <v>20265.297150000002</v>
      </c>
      <c r="AFU28" s="735">
        <v>19289.939999999999</v>
      </c>
      <c r="AFV28" s="700">
        <f t="shared" si="869"/>
        <v>0.60280195972182893</v>
      </c>
      <c r="AFW28" s="593">
        <v>35440.410000000003</v>
      </c>
      <c r="AFX28" s="593">
        <f>'Proy 2021 vs 2019 Sem'!JX27*$AFZ$4</f>
        <v>23160.339599999999</v>
      </c>
      <c r="AFY28" s="735">
        <v>18689.080000000002</v>
      </c>
      <c r="AFZ28" s="700">
        <f t="shared" si="870"/>
        <v>0.52733814309710303</v>
      </c>
      <c r="AGA28" s="593">
        <v>44871.38</v>
      </c>
      <c r="AGB28" s="593">
        <f>'Proy 2021 vs 2019 Sem'!JX27*$AGD$4</f>
        <v>31845.466949999998</v>
      </c>
      <c r="AGC28" s="735">
        <v>34418.19</v>
      </c>
      <c r="AGD28" s="700">
        <f t="shared" si="871"/>
        <v>0.76704104041373378</v>
      </c>
      <c r="AGE28" s="579">
        <f t="shared" si="872"/>
        <v>192480.91</v>
      </c>
      <c r="AGF28" s="574">
        <f t="shared" si="873"/>
        <v>144752.1225</v>
      </c>
      <c r="AGG28" s="729">
        <f t="shared" si="874"/>
        <v>132508.19</v>
      </c>
      <c r="AGH28" s="711">
        <f t="shared" si="875"/>
        <v>0.688422503821288</v>
      </c>
      <c r="AGI28" s="593">
        <v>19188.77</v>
      </c>
      <c r="AGJ28" s="593">
        <f>'Proy 2021 vs 2019 Sem'!KC27*$AGL$4</f>
        <v>20496.424499999997</v>
      </c>
      <c r="AGK28" s="735">
        <v>15749.8</v>
      </c>
      <c r="AGL28" s="700">
        <f t="shared" si="876"/>
        <v>0.82078215539609878</v>
      </c>
      <c r="AGM28" s="593">
        <v>22018.27</v>
      </c>
      <c r="AGN28" s="593">
        <f>'Proy 2021 vs 2019 Sem'!KC27*$AGP$4</f>
        <v>20496.424499999997</v>
      </c>
      <c r="AGO28" s="735">
        <v>17041.46</v>
      </c>
      <c r="AGP28" s="700">
        <f t="shared" si="877"/>
        <v>0.77396907204789467</v>
      </c>
      <c r="AGQ28" s="593">
        <v>20791.98</v>
      </c>
      <c r="AGR28" s="593">
        <f>'Proy 2021 vs 2019 Sem'!KC27*$AGT$4</f>
        <v>20496.424499999997</v>
      </c>
      <c r="AGS28" s="735">
        <v>20571.02</v>
      </c>
      <c r="AGT28" s="700">
        <f t="shared" si="878"/>
        <v>0.98937282548367211</v>
      </c>
      <c r="AGU28" s="593">
        <v>24866.28</v>
      </c>
      <c r="AGV28" s="593">
        <f>'Proy 2021 vs 2019 Sem'!KC27*$AGX$4</f>
        <v>20496.424499999997</v>
      </c>
      <c r="AGW28" s="735">
        <v>19353.57</v>
      </c>
      <c r="AGX28" s="700">
        <f t="shared" si="879"/>
        <v>0.77830580207413413</v>
      </c>
      <c r="AGY28" s="593">
        <v>32938.480000000003</v>
      </c>
      <c r="AGZ28" s="593">
        <f>'Proy 2021 vs 2019 Sem'!KC27*$AHB$4</f>
        <v>23912.49525</v>
      </c>
      <c r="AHA28" s="735">
        <v>21737.9</v>
      </c>
      <c r="AHB28" s="700">
        <f t="shared" si="880"/>
        <v>0.6599545577087953</v>
      </c>
      <c r="AHC28" s="593">
        <v>49492.53</v>
      </c>
      <c r="AHD28" s="593">
        <f>'Proy 2021 vs 2019 Sem'!KC27*$AHF$4</f>
        <v>27328.565999999995</v>
      </c>
      <c r="AHE28" s="735">
        <v>29543.08</v>
      </c>
      <c r="AHF28" s="700">
        <f t="shared" si="881"/>
        <v>0.59691997964137222</v>
      </c>
      <c r="AHG28" s="593">
        <v>57742.16</v>
      </c>
      <c r="AHH28" s="593">
        <f>'Proy 2021 vs 2019 Sem'!KC27*$AHJ$4</f>
        <v>37576.778249999996</v>
      </c>
      <c r="AHI28" s="735">
        <v>47549.27</v>
      </c>
      <c r="AHJ28" s="700">
        <f t="shared" si="882"/>
        <v>0.82347577575899467</v>
      </c>
      <c r="AHK28" s="579">
        <f t="shared" si="883"/>
        <v>227038.47</v>
      </c>
      <c r="AHL28" s="574">
        <f t="shared" si="884"/>
        <v>170803.53749999998</v>
      </c>
      <c r="AHM28" s="730">
        <f t="shared" si="885"/>
        <v>171546.1</v>
      </c>
      <c r="AHN28" s="711">
        <f t="shared" si="886"/>
        <v>0.75558164217720458</v>
      </c>
      <c r="AHO28" s="593">
        <v>28756.560000000001</v>
      </c>
      <c r="AHP28" s="593">
        <f>'Proy 2021 vs 2019 Sem'!KH27*$AHR$4</f>
        <v>25128.943199999998</v>
      </c>
      <c r="AHQ28" s="735">
        <v>17152.189999999999</v>
      </c>
      <c r="AHR28" s="700">
        <f t="shared" si="887"/>
        <v>0.5964618160169366</v>
      </c>
      <c r="AHS28" s="593">
        <v>34393.81</v>
      </c>
      <c r="AHT28" s="593">
        <f>'Proy 2021 vs 2019 Sem'!KH27*$AHV$4</f>
        <v>25128.943199999998</v>
      </c>
      <c r="AHU28" s="735">
        <v>27693.47</v>
      </c>
      <c r="AHV28" s="700">
        <f t="shared" si="888"/>
        <v>0.80518761951641893</v>
      </c>
      <c r="AHW28" s="593">
        <v>36024.589999999997</v>
      </c>
      <c r="AHX28" s="593">
        <f>'Proy 2021 vs 2019 Sem'!KH27*$AHZ$4</f>
        <v>25128.943199999998</v>
      </c>
      <c r="AHY28" s="735">
        <v>23788.34</v>
      </c>
      <c r="AHZ28" s="700">
        <f t="shared" si="889"/>
        <v>0.66033617592871985</v>
      </c>
      <c r="AIA28" s="593">
        <v>37056.300000000003</v>
      </c>
      <c r="AIB28" s="593">
        <f>'Proy 2021 vs 2019 Sem'!KH27*$AID$4</f>
        <v>25128.943199999998</v>
      </c>
      <c r="AIC28" s="735">
        <v>38563.620000000003</v>
      </c>
      <c r="AID28" s="700">
        <f t="shared" si="890"/>
        <v>1.040676484160588</v>
      </c>
      <c r="AIE28" s="593">
        <v>34528.699999999997</v>
      </c>
      <c r="AIF28" s="593">
        <f>'Proy 2021 vs 2019 Sem'!KH27*$AIH$4</f>
        <v>29317.100399999999</v>
      </c>
      <c r="AIG28" s="735">
        <v>43410.98</v>
      </c>
      <c r="AIH28" s="700">
        <f t="shared" si="891"/>
        <v>1.257243394625341</v>
      </c>
      <c r="AII28" s="593">
        <v>44429.11</v>
      </c>
      <c r="AIJ28" s="593">
        <f>'Proy 2021 vs 2019 Sem'!KH27*$AIL$4</f>
        <v>33505.257599999997</v>
      </c>
      <c r="AIK28" s="735">
        <v>47395.61</v>
      </c>
      <c r="AIL28" s="700">
        <f t="shared" si="892"/>
        <v>1.0667692870732726</v>
      </c>
      <c r="AIM28" s="593">
        <v>63976.45</v>
      </c>
      <c r="AIN28" s="593">
        <f>'Proy 2021 vs 2019 Sem'!KH27*$AIP$4</f>
        <v>46069.729199999994</v>
      </c>
      <c r="AIO28" s="735">
        <v>43597.05</v>
      </c>
      <c r="AIP28" s="700">
        <f t="shared" si="893"/>
        <v>0.68145466026952117</v>
      </c>
      <c r="AIQ28" s="579">
        <f t="shared" si="894"/>
        <v>279165.52</v>
      </c>
      <c r="AIR28" s="574">
        <f t="shared" si="895"/>
        <v>209407.86</v>
      </c>
      <c r="AIS28" s="730">
        <f t="shared" si="896"/>
        <v>241601.26</v>
      </c>
      <c r="AIT28" s="711">
        <f t="shared" si="897"/>
        <v>0.865440904019952</v>
      </c>
      <c r="AIU28" s="593">
        <f>'Proy 2021 vs 2019 Sem'!KL27*$AIX$4</f>
        <v>33037.7232</v>
      </c>
      <c r="AIV28" s="593">
        <f>'Proy 2021 vs 2019 Sem'!KM27*$AIX$4</f>
        <v>42618.662927999998</v>
      </c>
      <c r="AIW28" s="735">
        <v>19174.96</v>
      </c>
      <c r="AIX28" s="700">
        <f t="shared" si="898"/>
        <v>0.58039592752565949</v>
      </c>
      <c r="AIY28" s="593">
        <f>'Proy 2021 vs 2019 Sem'!KL27*$AJB$4</f>
        <v>33037.7232</v>
      </c>
      <c r="AIZ28" s="593">
        <f>'Proy 2021 vs 2019 Sem'!KM27*$AJB$4</f>
        <v>42618.662927999998</v>
      </c>
      <c r="AJA28" s="735">
        <v>50461.78</v>
      </c>
      <c r="AJB28" s="700">
        <f t="shared" si="899"/>
        <v>1.527398837217693</v>
      </c>
      <c r="AJC28" s="593">
        <f>'Proy 2021 vs 2019 Sem'!KL27*$AJF$4</f>
        <v>33037.7232</v>
      </c>
      <c r="AJD28" s="593">
        <f>'Proy 2021 vs 2019 Sem'!KM27*$AJF$4</f>
        <v>42618.662927999998</v>
      </c>
      <c r="AJE28" s="735">
        <v>57030.49</v>
      </c>
      <c r="AJF28" s="700">
        <f t="shared" si="900"/>
        <v>1.7262233736494286</v>
      </c>
      <c r="AJG28" s="593">
        <f>'Proy 2021 vs 2019 Sem'!KL27*$AJJ$4</f>
        <v>33037.7232</v>
      </c>
      <c r="AJH28" s="593">
        <f>'Proy 2021 vs 2019 Sem'!KM27*$AJJ$4</f>
        <v>42618.662927999998</v>
      </c>
      <c r="AJI28" s="735">
        <v>58248.18</v>
      </c>
      <c r="AJJ28" s="700">
        <f t="shared" si="901"/>
        <v>1.7630809377324161</v>
      </c>
      <c r="AJK28" s="593">
        <f>'Proy 2021 vs 2019 Sem'!KL27*$AJN$4</f>
        <v>38544.010399999999</v>
      </c>
      <c r="AJL28" s="593">
        <f>'Proy 2021 vs 2019 Sem'!KM27*$AJN$4</f>
        <v>49721.773416000004</v>
      </c>
      <c r="AJM28" s="735">
        <v>68822.05</v>
      </c>
      <c r="AJN28" s="700">
        <f t="shared" si="902"/>
        <v>1.7855446095458714</v>
      </c>
      <c r="AJO28" s="593">
        <f>'Proy 2021 vs 2019 Sem'!KL27*$AJR$4</f>
        <v>44050.297599999998</v>
      </c>
      <c r="AJP28" s="593">
        <f>'Proy 2021 vs 2019 Sem'!KM27*$AJR$4</f>
        <v>56824.883904000002</v>
      </c>
      <c r="AJQ28" s="735">
        <v>41458.589999999997</v>
      </c>
      <c r="AJR28" s="700">
        <f t="shared" si="903"/>
        <v>0.94116481065499091</v>
      </c>
      <c r="AJS28" s="593">
        <f>'Proy 2021 vs 2019 Sem'!KL27*$AJV$4</f>
        <v>60569.159199999995</v>
      </c>
      <c r="AJT28" s="593">
        <f>'Proy 2021 vs 2019 Sem'!KM27*$AJV$4</f>
        <v>78134.215368000005</v>
      </c>
      <c r="AJU28" s="699">
        <v>0</v>
      </c>
      <c r="AJV28" s="700">
        <f t="shared" si="904"/>
        <v>0</v>
      </c>
      <c r="AJW28" s="579">
        <f t="shared" si="905"/>
        <v>275314.36</v>
      </c>
      <c r="AJX28" s="574">
        <f t="shared" si="906"/>
        <v>355155.52439999999</v>
      </c>
      <c r="AJY28" s="710">
        <f t="shared" si="907"/>
        <v>295196.04999999993</v>
      </c>
      <c r="AJZ28" s="711">
        <f t="shared" si="908"/>
        <v>1.0722145041762441</v>
      </c>
      <c r="AKA28" s="593">
        <f>'Proy 2021 vs 2019 Sem'!KQ27*$AKD$4</f>
        <v>18146.986800000002</v>
      </c>
      <c r="AKB28" s="593">
        <f>'Proy 2021 vs 2019 Sem'!KR27*$AKD$4</f>
        <v>16150.818252000001</v>
      </c>
      <c r="AKC28" s="735">
        <v>10919.56</v>
      </c>
      <c r="AKD28" s="700">
        <f t="shared" si="909"/>
        <v>0.60172854702247303</v>
      </c>
      <c r="AKE28" s="593">
        <f>'Proy 2021 vs 2019 Sem'!KQ27*$AKH$4</f>
        <v>18146.986800000002</v>
      </c>
      <c r="AKF28" s="593">
        <f>'Proy 2021 vs 2019 Sem'!KR27*$AKH$4</f>
        <v>16150.818252000001</v>
      </c>
      <c r="AKG28" s="735">
        <v>35078.730000000003</v>
      </c>
      <c r="AKH28" s="700">
        <f t="shared" si="910"/>
        <v>1.9330333121749996</v>
      </c>
      <c r="AKI28" s="593">
        <f>'Proy 2021 vs 2019 Sem'!KQ27*$AKL$4</f>
        <v>18146.986800000002</v>
      </c>
      <c r="AKJ28" s="593">
        <f>'Proy 2021 vs 2019 Sem'!KR27*$AKL$4</f>
        <v>16150.818252000001</v>
      </c>
      <c r="AKK28" s="735">
        <v>26813.21</v>
      </c>
      <c r="AKL28" s="700">
        <f t="shared" si="911"/>
        <v>1.4775571446384694</v>
      </c>
      <c r="AKM28" s="593">
        <f>'Proy 2021 vs 2019 Sem'!KQ27*$AKP$4</f>
        <v>18146.986800000002</v>
      </c>
      <c r="AKN28" s="593">
        <f>'Proy 2021 vs 2019 Sem'!KR27*$AKP$4</f>
        <v>16150.818252000001</v>
      </c>
      <c r="AKO28" s="735">
        <v>38115.480000000003</v>
      </c>
      <c r="AKP28" s="700">
        <f t="shared" si="912"/>
        <v>2.100375143271719</v>
      </c>
      <c r="AKQ28" s="593">
        <f>'Proy 2021 vs 2019 Sem'!KQ27*$AKT$4</f>
        <v>21171.484600000003</v>
      </c>
      <c r="AKR28" s="593">
        <f>'Proy 2021 vs 2019 Sem'!KR27*$AKT$4</f>
        <v>18842.621294000004</v>
      </c>
      <c r="AKS28" s="735">
        <v>33355.4</v>
      </c>
      <c r="AKT28" s="700">
        <f t="shared" si="913"/>
        <v>1.5754870586638028</v>
      </c>
      <c r="AKU28" s="593">
        <f>'Proy 2021 vs 2019 Sem'!KQ27*$AKX$4</f>
        <v>24195.982400000004</v>
      </c>
      <c r="AKV28" s="593">
        <f>'Proy 2021 vs 2019 Sem'!KR27*$AKX$4</f>
        <v>21534.424336</v>
      </c>
      <c r="AKW28" s="735">
        <v>19651.5</v>
      </c>
      <c r="AKX28" s="700">
        <f t="shared" si="914"/>
        <v>0.81218028989804503</v>
      </c>
      <c r="AKY28" s="593">
        <f>'Proy 2021 vs 2019 Sem'!KQ27*$ALB$4</f>
        <v>33269.4758</v>
      </c>
      <c r="AKZ28" s="593">
        <f>'Proy 2021 vs 2019 Sem'!KR27*$ALB$4</f>
        <v>29609.833462000002</v>
      </c>
      <c r="ALA28" s="699">
        <v>0</v>
      </c>
      <c r="ALB28" s="700">
        <f>ALA28/AKY28</f>
        <v>0</v>
      </c>
      <c r="ALC28" s="579">
        <f t="shared" si="915"/>
        <v>151224.89000000001</v>
      </c>
      <c r="ALD28" s="574">
        <f t="shared" si="916"/>
        <v>134590.15210000001</v>
      </c>
      <c r="ALE28" s="710">
        <f t="shared" si="917"/>
        <v>163933.88</v>
      </c>
      <c r="ALF28" s="711">
        <f t="shared" si="918"/>
        <v>1.0840403322495391</v>
      </c>
    </row>
    <row r="29" spans="2:994" ht="19.5" customHeight="1">
      <c r="B29" s="568" t="s">
        <v>228</v>
      </c>
      <c r="C29" s="574">
        <f>'Proy 2021 vs 2019 Sem'!DX28*$F$4</f>
        <v>20939.023199999996</v>
      </c>
      <c r="D29" s="576">
        <f>'Proy 2021 vs 2019 Sem'!$DY$28*F4</f>
        <v>18138.08520237877</v>
      </c>
      <c r="E29" s="735">
        <v>28312.93</v>
      </c>
      <c r="F29" s="700">
        <f t="shared" si="580"/>
        <v>1.3521609737745552</v>
      </c>
      <c r="G29" s="574">
        <f>'Proy 2021 vs 2019 Sem'!DX28*$J$4</f>
        <v>20939.023199999996</v>
      </c>
      <c r="H29" s="574">
        <f>'Proy 2021 vs 2019 Sem'!$DY$28*J4</f>
        <v>18138.08520237877</v>
      </c>
      <c r="I29" s="735">
        <v>14032.74</v>
      </c>
      <c r="J29" s="700">
        <f t="shared" si="581"/>
        <v>0.67017166302198861</v>
      </c>
      <c r="K29" s="574">
        <f>'Proy 2021 vs 2019 Sem'!DX28*'Vtas Diarias 2021'!$N$4</f>
        <v>20939.023199999996</v>
      </c>
      <c r="L29" s="574">
        <f>'Proy 2021 vs 2019 Sem'!$DY$28*N4</f>
        <v>18138.08520237877</v>
      </c>
      <c r="M29" s="735">
        <v>15664.69</v>
      </c>
      <c r="N29" s="700">
        <f t="shared" si="582"/>
        <v>0.74810987362581471</v>
      </c>
      <c r="O29" s="574">
        <f>'Proy 2021 vs 2019 Sem'!DX28*$R$4</f>
        <v>20939.023199999996</v>
      </c>
      <c r="P29" s="574">
        <f>'Proy 2021 vs 2019 Sem'!$DY$28*R4</f>
        <v>18138.08520237877</v>
      </c>
      <c r="Q29" s="735">
        <v>17116.939999999999</v>
      </c>
      <c r="R29" s="700">
        <f t="shared" si="583"/>
        <v>0.81746602200622243</v>
      </c>
      <c r="S29" s="574">
        <f>'Proy 2021 vs 2019 Sem'!DX28*$V$4</f>
        <v>24428.860400000001</v>
      </c>
      <c r="T29" s="574">
        <f>'Proy 2021 vs 2019 Sem'!$DY$28*V4</f>
        <v>21161.099402775231</v>
      </c>
      <c r="U29" s="735">
        <v>23643.45</v>
      </c>
      <c r="V29" s="700">
        <f t="shared" si="584"/>
        <v>0.96784907739699555</v>
      </c>
      <c r="W29" s="574">
        <f>'Proy 2021 vs 2019 Sem'!DX28*$Z$4</f>
        <v>27918.6976</v>
      </c>
      <c r="X29" s="574">
        <f>'Proy 2021 vs 2019 Sem'!$DY$28*Z4</f>
        <v>24184.113603171692</v>
      </c>
      <c r="Y29" s="735">
        <v>29472.22</v>
      </c>
      <c r="Z29" s="700">
        <f t="shared" si="585"/>
        <v>1.0556445154518956</v>
      </c>
      <c r="AA29" s="574">
        <f>'Proy 2021 vs 2019 Sem'!DX28*$AD$4</f>
        <v>38388.209199999998</v>
      </c>
      <c r="AB29" s="574">
        <f>'Proy 2021 vs 2019 Sem'!$DY$28*AD4</f>
        <v>33253.156204361076</v>
      </c>
      <c r="AC29" s="735">
        <v>34476.559999999998</v>
      </c>
      <c r="AD29" s="700">
        <f t="shared" si="586"/>
        <v>0.89810284768376225</v>
      </c>
      <c r="AE29" s="579">
        <f t="shared" si="587"/>
        <v>174491.86</v>
      </c>
      <c r="AF29" s="574">
        <f t="shared" si="588"/>
        <v>151150.71001982308</v>
      </c>
      <c r="AG29" s="729">
        <f t="shared" si="589"/>
        <v>162719.53</v>
      </c>
      <c r="AH29" s="711">
        <f t="shared" si="590"/>
        <v>0.93253364368974012</v>
      </c>
      <c r="AI29" s="593">
        <f>'Proy 2021 vs 2019 Sem'!EC28*$AL$4</f>
        <v>23545.288799999998</v>
      </c>
      <c r="AJ29" s="611">
        <f>'Proy 2021 vs 2019 Sem'!ED28*$AL$4</f>
        <v>21956.773956391226</v>
      </c>
      <c r="AK29" s="735">
        <v>34290.6</v>
      </c>
      <c r="AL29" s="700">
        <f t="shared" si="591"/>
        <v>1.4563677808870197</v>
      </c>
      <c r="AM29" s="593">
        <f>'Proy 2021 vs 2019 Sem'!EC28*$AP$4</f>
        <v>23545.288799999998</v>
      </c>
      <c r="AN29" s="593">
        <f>'Proy 2021 vs 2019 Sem'!ED28*$AP$4</f>
        <v>21956.773956391226</v>
      </c>
      <c r="AO29" s="735">
        <v>15659.77</v>
      </c>
      <c r="AP29" s="700">
        <f t="shared" si="592"/>
        <v>0.66509143858961717</v>
      </c>
      <c r="AQ29" s="593">
        <f>'Proy 2021 vs 2019 Sem'!EC28*$AT$4</f>
        <v>23545.288799999998</v>
      </c>
      <c r="AR29" s="593">
        <f>'Proy 2021 vs 2019 Sem'!ED28*$AT$4</f>
        <v>21956.773956391226</v>
      </c>
      <c r="AS29" s="735">
        <v>14910.59</v>
      </c>
      <c r="AT29" s="700">
        <f t="shared" si="593"/>
        <v>0.63327275900731361</v>
      </c>
      <c r="AU29" s="593">
        <f>'Proy 2021 vs 2019 Sem'!EC28*$AX$4</f>
        <v>23545.288799999998</v>
      </c>
      <c r="AV29" s="593">
        <f>'Proy 2021 vs 2019 Sem'!ED28*$AX$4</f>
        <v>21956.773956391226</v>
      </c>
      <c r="AW29" s="735">
        <v>18318.830000000002</v>
      </c>
      <c r="AX29" s="700">
        <f t="shared" si="594"/>
        <v>0.77802528376717139</v>
      </c>
      <c r="AY29" s="593">
        <f>'Proy 2021 vs 2019 Sem'!EC28*$BB$4</f>
        <v>27469.5036</v>
      </c>
      <c r="AZ29" s="593">
        <f>'Proy 2021 vs 2019 Sem'!ED28*$BB$4</f>
        <v>25616.236282456437</v>
      </c>
      <c r="BA29" s="735">
        <v>25028.94</v>
      </c>
      <c r="BB29" s="700">
        <f t="shared" si="595"/>
        <v>0.91115370574079102</v>
      </c>
      <c r="BC29" s="593">
        <f>'Proy 2021 vs 2019 Sem'!EC28*$BF$4</f>
        <v>31393.718399999998</v>
      </c>
      <c r="BD29" s="593">
        <f>'Proy 2021 vs 2019 Sem'!ED28*$BF$4</f>
        <v>29275.698608521638</v>
      </c>
      <c r="BE29" s="735">
        <v>32607.71</v>
      </c>
      <c r="BF29" s="700">
        <f t="shared" si="596"/>
        <v>1.0386698888144452</v>
      </c>
      <c r="BG29" s="593">
        <f>'Proy 2021 vs 2019 Sem'!EC28*$BJ$4</f>
        <v>43166.362799999995</v>
      </c>
      <c r="BH29" s="593">
        <f>'Proy 2021 vs 2019 Sem'!ED28*$BJ$4</f>
        <v>40254.08558671725</v>
      </c>
      <c r="BI29" s="735">
        <v>31227</v>
      </c>
      <c r="BJ29" s="700">
        <f t="shared" si="597"/>
        <v>0.72341049776841526</v>
      </c>
      <c r="BK29" s="579">
        <f t="shared" si="598"/>
        <v>196210.74</v>
      </c>
      <c r="BL29" s="574">
        <f t="shared" si="599"/>
        <v>182973.11630326021</v>
      </c>
      <c r="BM29" s="730">
        <f t="shared" si="600"/>
        <v>172043.44</v>
      </c>
      <c r="BN29" s="711">
        <f t="shared" si="601"/>
        <v>0.87682988199320799</v>
      </c>
      <c r="BO29" s="593">
        <f>'Proy 2021 vs 2019 Sem'!EH28*$BR$4</f>
        <v>23484.499199999998</v>
      </c>
      <c r="BP29" s="593">
        <f>'Proy 2021 vs 2019 Sem'!EI28*$BR$4</f>
        <v>18787.59936</v>
      </c>
      <c r="BQ29" s="735">
        <v>23065.21</v>
      </c>
      <c r="BR29" s="700">
        <f t="shared" si="602"/>
        <v>0.98214612981825899</v>
      </c>
      <c r="BS29" s="593">
        <f>'Proy 2021 vs 2019 Sem'!EH28*$BV$4</f>
        <v>23484.499199999998</v>
      </c>
      <c r="BT29" s="593">
        <f>'Proy 2021 vs 2019 Sem'!EI28*$BV$4</f>
        <v>18787.59936</v>
      </c>
      <c r="BU29" s="735">
        <v>16096.19</v>
      </c>
      <c r="BV29" s="700">
        <f t="shared" si="603"/>
        <v>0.68539634858383536</v>
      </c>
      <c r="BW29" s="593">
        <f>'Proy 2021 vs 2019 Sem'!EH28*$BZ$4</f>
        <v>23484.499199999998</v>
      </c>
      <c r="BX29" s="593">
        <f>'Proy 2021 vs 2019 Sem'!EI28*$BZ$4</f>
        <v>18787.59936</v>
      </c>
      <c r="BY29" s="735">
        <v>18386.61</v>
      </c>
      <c r="BZ29" s="700">
        <f t="shared" si="604"/>
        <v>0.78292536040112803</v>
      </c>
      <c r="CA29" s="593">
        <f>'Proy 2021 vs 2019 Sem'!EH28*$CD$4</f>
        <v>23484.499199999998</v>
      </c>
      <c r="CB29" s="593">
        <f>'Proy 2021 vs 2019 Sem'!EI28*$CD$4</f>
        <v>18787.59936</v>
      </c>
      <c r="CC29" s="735">
        <v>22706.21</v>
      </c>
      <c r="CD29" s="700">
        <f t="shared" si="605"/>
        <v>0.96685945085003133</v>
      </c>
      <c r="CE29" s="593">
        <f>'Proy 2021 vs 2019 Sem'!EH28*$CH$4</f>
        <v>27398.582400000003</v>
      </c>
      <c r="CF29" s="593">
        <f>'Proy 2021 vs 2019 Sem'!EI28*$CH$4</f>
        <v>21918.865920000004</v>
      </c>
      <c r="CG29" s="735">
        <v>28073.040000000001</v>
      </c>
      <c r="CH29" s="700">
        <f t="shared" si="606"/>
        <v>1.0246165144660915</v>
      </c>
      <c r="CI29" s="593">
        <f>'Proy 2021 vs 2019 Sem'!EH28*$CL$4</f>
        <v>31312.6656</v>
      </c>
      <c r="CJ29" s="593">
        <f>'Proy 2021 vs 2019 Sem'!EI28*$CL$4</f>
        <v>25050.13248</v>
      </c>
      <c r="CK29" s="735">
        <v>29011.03</v>
      </c>
      <c r="CL29" s="700">
        <f t="shared" si="607"/>
        <v>0.92649506019698302</v>
      </c>
      <c r="CM29" s="593">
        <f>'Proy 2021 vs 2019 Sem'!EH28*$CP$4</f>
        <v>43054.915200000003</v>
      </c>
      <c r="CN29" s="593">
        <f>'Proy 2021 vs 2019 Sem'!EI28*$CP$4</f>
        <v>34443.932160000004</v>
      </c>
      <c r="CO29" s="735">
        <v>37081.93</v>
      </c>
      <c r="CP29" s="700">
        <f t="shared" si="608"/>
        <v>0.86127053851449686</v>
      </c>
      <c r="CQ29" s="579">
        <f t="shared" si="609"/>
        <v>195704.15999999997</v>
      </c>
      <c r="CR29" s="574">
        <f t="shared" si="610"/>
        <v>156563.32800000001</v>
      </c>
      <c r="CS29" s="730">
        <f t="shared" si="611"/>
        <v>174420.22</v>
      </c>
      <c r="CT29" s="711">
        <f t="shared" si="612"/>
        <v>0.89124431488834999</v>
      </c>
      <c r="CU29" s="593">
        <f>'Proy 2021 vs 2019 Sem'!EM28*$CX$4</f>
        <v>27572.202000000001</v>
      </c>
      <c r="CV29" s="593">
        <f>'Proy 2021 vs 2019 Sem'!EN28*$CX$4</f>
        <v>19300.541399999998</v>
      </c>
      <c r="CW29" s="735">
        <v>18072.099999999999</v>
      </c>
      <c r="CX29" s="700">
        <f t="shared" si="613"/>
        <v>0.65544638037977521</v>
      </c>
      <c r="CY29" s="593">
        <f>'Proy 2021 vs 2019 Sem'!EM28*$DB$4</f>
        <v>27572.202000000001</v>
      </c>
      <c r="CZ29" s="593">
        <f>'Proy 2021 vs 2019 Sem'!EN28*$DB$4</f>
        <v>19300.541399999998</v>
      </c>
      <c r="DA29" s="735">
        <v>17022.939999999999</v>
      </c>
      <c r="DB29" s="700">
        <f t="shared" si="614"/>
        <v>0.6173950125564871</v>
      </c>
      <c r="DC29" s="593">
        <f>'Proy 2021 vs 2019 Sem'!EM28*$DF$4</f>
        <v>27572.202000000001</v>
      </c>
      <c r="DD29" s="593">
        <f>'Proy 2021 vs 2019 Sem'!EN28*$DF$4</f>
        <v>19300.541399999998</v>
      </c>
      <c r="DE29" s="735">
        <v>11480.49</v>
      </c>
      <c r="DF29" s="700">
        <f t="shared" si="615"/>
        <v>0.41637914882532773</v>
      </c>
      <c r="DG29" s="593">
        <f>'Proy 2021 vs 2019 Sem'!EM28*$DJ$4</f>
        <v>27572.202000000001</v>
      </c>
      <c r="DH29" s="593">
        <f>'Proy 2021 vs 2019 Sem'!EN28*$DJ$4</f>
        <v>19300.541399999998</v>
      </c>
      <c r="DI29" s="735">
        <v>17725.060000000001</v>
      </c>
      <c r="DJ29" s="700">
        <f t="shared" si="616"/>
        <v>0.64285979045126684</v>
      </c>
      <c r="DK29" s="593">
        <f>'Proy 2021 vs 2019 Sem'!EM28*$DN$4</f>
        <v>32167.569000000003</v>
      </c>
      <c r="DL29" s="593">
        <f>'Proy 2021 vs 2019 Sem'!EN28*$DN$4</f>
        <v>22517.298300000002</v>
      </c>
      <c r="DM29" s="735">
        <v>24956.71</v>
      </c>
      <c r="DN29" s="700">
        <f t="shared" si="617"/>
        <v>0.77583450586520841</v>
      </c>
      <c r="DO29" s="593">
        <f>'Proy 2021 vs 2019 Sem'!EM28*$DR$4</f>
        <v>36762.936000000002</v>
      </c>
      <c r="DP29" s="593">
        <f>'Proy 2021 vs 2019 Sem'!EN28*$DR$4</f>
        <v>25734.055200000003</v>
      </c>
      <c r="DQ29" s="735">
        <v>34854.42</v>
      </c>
      <c r="DR29" s="700">
        <f t="shared" si="618"/>
        <v>0.94808586561203922</v>
      </c>
      <c r="DS29" s="593">
        <f>'Proy 2021 vs 2019 Sem'!EM28*$DV$4</f>
        <v>50549.037000000004</v>
      </c>
      <c r="DT29" s="593">
        <f>'Proy 2021 vs 2019 Sem'!EN28*$DV$4</f>
        <v>35384.325900000003</v>
      </c>
      <c r="DU29" s="735">
        <v>44695.77</v>
      </c>
      <c r="DV29" s="700">
        <f t="shared" si="619"/>
        <v>0.88420616202836844</v>
      </c>
      <c r="DW29" s="579">
        <f t="shared" si="620"/>
        <v>229768.35000000003</v>
      </c>
      <c r="DX29" s="574">
        <f t="shared" si="621"/>
        <v>160837.845</v>
      </c>
      <c r="DY29" s="710">
        <f t="shared" si="622"/>
        <v>168807.49</v>
      </c>
      <c r="DZ29" s="711">
        <f t="shared" si="623"/>
        <v>0.73468556483083924</v>
      </c>
      <c r="EA29" s="593">
        <f>'Proy 2021 vs 2019 Sem'!ER28*$ED$4</f>
        <v>24631.977600000002</v>
      </c>
      <c r="EB29" s="593">
        <f>'Proy 2021 vs 2019 Sem'!ES28*$ED$4</f>
        <v>14779.18656</v>
      </c>
      <c r="EC29" s="735">
        <v>21381.48</v>
      </c>
      <c r="ED29" s="700">
        <f t="shared" si="624"/>
        <v>0.86803748960862959</v>
      </c>
      <c r="EE29" s="593">
        <f>'Proy 2021 vs 2019 Sem'!ER28*$EH$4</f>
        <v>24631.977600000002</v>
      </c>
      <c r="EF29" s="593">
        <f>'Proy 2021 vs 2019 Sem'!ES28*$EH$4</f>
        <v>14779.18656</v>
      </c>
      <c r="EG29" s="735"/>
      <c r="EH29" s="700">
        <f t="shared" si="625"/>
        <v>0</v>
      </c>
      <c r="EI29" s="593">
        <f>'Proy 2021 vs 2019 Sem'!ER28*$EL$4</f>
        <v>24631.977600000002</v>
      </c>
      <c r="EJ29" s="593">
        <f>'Proy 2021 vs 2019 Sem'!ES28*$EL$4</f>
        <v>14779.18656</v>
      </c>
      <c r="EK29" s="735">
        <v>33896.92</v>
      </c>
      <c r="EL29" s="700">
        <f t="shared" si="626"/>
        <v>1.3761347363355834</v>
      </c>
      <c r="EM29" s="593">
        <f>'Proy 2021 vs 2019 Sem'!ER28*$EP$4</f>
        <v>24631.977600000002</v>
      </c>
      <c r="EN29" s="593">
        <f>'Proy 2021 vs 2019 Sem'!ES28*$EP$4</f>
        <v>14779.18656</v>
      </c>
      <c r="EO29" s="735">
        <v>24684.45</v>
      </c>
      <c r="EP29" s="700">
        <f t="shared" si="627"/>
        <v>1.0021302552662275</v>
      </c>
      <c r="EQ29" s="593">
        <f>'Proy 2021 vs 2019 Sem'!ER28*$ET$4</f>
        <v>28737.307200000003</v>
      </c>
      <c r="ER29" s="593">
        <f>'Proy 2021 vs 2019 Sem'!ES28*$ET$4</f>
        <v>17242.384320000001</v>
      </c>
      <c r="ES29" s="735">
        <v>30809.61</v>
      </c>
      <c r="ET29" s="700">
        <f t="shared" si="628"/>
        <v>1.0721119339949847</v>
      </c>
      <c r="EU29" s="593">
        <f>'Proy 2021 vs 2019 Sem'!ER28*$EX$4</f>
        <v>32842.6368</v>
      </c>
      <c r="EV29" s="593">
        <f>'Proy 2021 vs 2019 Sem'!ES28*$EX$4</f>
        <v>19705.58208</v>
      </c>
      <c r="EW29" s="735">
        <v>31428.82</v>
      </c>
      <c r="EX29" s="700">
        <f t="shared" si="629"/>
        <v>0.95695178774439937</v>
      </c>
      <c r="EY29" s="593">
        <f>'Proy 2021 vs 2019 Sem'!ER28*$FB$4</f>
        <v>45158.625599999999</v>
      </c>
      <c r="EZ29" s="593">
        <f>'Proy 2021 vs 2019 Sem'!ES28*$FB$4</f>
        <v>27095.175360000001</v>
      </c>
      <c r="FA29" s="699">
        <v>41974.41</v>
      </c>
      <c r="FB29" s="700">
        <f t="shared" si="630"/>
        <v>0.92948820833909529</v>
      </c>
      <c r="FC29" s="579">
        <f t="shared" si="631"/>
        <v>205266.48</v>
      </c>
      <c r="FD29" s="574">
        <f t="shared" si="632"/>
        <v>123159.88800000001</v>
      </c>
      <c r="FE29" s="710">
        <f t="shared" si="633"/>
        <v>184175.69</v>
      </c>
      <c r="FF29" s="711">
        <f t="shared" si="634"/>
        <v>0.89725166037825554</v>
      </c>
      <c r="FG29" s="593">
        <f>'Proy 2021 vs 2019 Sem'!FA28*$FJ$4</f>
        <v>22924.6692</v>
      </c>
      <c r="FH29" s="593">
        <f>'Proy 2021 vs 2019 Sem'!FB28*$FJ$4</f>
        <v>16047.268439999998</v>
      </c>
      <c r="FI29" s="735">
        <v>30475.47</v>
      </c>
      <c r="FJ29" s="700">
        <f t="shared" si="635"/>
        <v>1.3293744714100391</v>
      </c>
      <c r="FK29" s="593">
        <f>'Proy 2021 vs 2019 Sem'!FA28*$FN$4</f>
        <v>22924.6692</v>
      </c>
      <c r="FL29" s="593">
        <f>'Proy 2021 vs 2019 Sem'!FB28*$FN$4</f>
        <v>16047.268439999998</v>
      </c>
      <c r="FM29" s="735">
        <v>22490.16</v>
      </c>
      <c r="FN29" s="700">
        <f t="shared" si="636"/>
        <v>0.98104621723396557</v>
      </c>
      <c r="FO29" s="593">
        <f>'Proy 2021 vs 2019 Sem'!FA28*$FR$4</f>
        <v>22924.6692</v>
      </c>
      <c r="FP29" s="593">
        <f>'Proy 2021 vs 2019 Sem'!FB28*$FR$4</f>
        <v>16047.268439999998</v>
      </c>
      <c r="FQ29" s="735">
        <v>21029.57</v>
      </c>
      <c r="FR29" s="700">
        <f t="shared" si="637"/>
        <v>0.91733362939867413</v>
      </c>
      <c r="FS29" s="593">
        <f>'Proy 2021 vs 2019 Sem'!FA28*$FV$4</f>
        <v>22924.6692</v>
      </c>
      <c r="FT29" s="593">
        <f>'Proy 2021 vs 2019 Sem'!FB28*$FV$4</f>
        <v>16047.268439999998</v>
      </c>
      <c r="FU29" s="735">
        <v>21999.77</v>
      </c>
      <c r="FV29" s="700">
        <f t="shared" si="638"/>
        <v>0.95965485076661439</v>
      </c>
      <c r="FW29" s="593">
        <f>'Proy 2021 vs 2019 Sem'!FA28*$FZ$4</f>
        <v>26745.447400000005</v>
      </c>
      <c r="FX29" s="593">
        <f>'Proy 2021 vs 2019 Sem'!FB28*$FZ$4</f>
        <v>18721.813180000001</v>
      </c>
      <c r="FY29" s="735">
        <v>24858.12</v>
      </c>
      <c r="FZ29" s="700">
        <f t="shared" si="639"/>
        <v>0.92943369494727524</v>
      </c>
      <c r="GA29" s="593">
        <f>'Proy 2021 vs 2019 Sem'!FA28*$GD$4</f>
        <v>30566.225600000002</v>
      </c>
      <c r="GB29" s="593">
        <f>'Proy 2021 vs 2019 Sem'!FB28*$GD$4</f>
        <v>21396.357919999999</v>
      </c>
      <c r="GC29" s="735">
        <v>36025.14</v>
      </c>
      <c r="GD29" s="700">
        <f t="shared" si="640"/>
        <v>1.178593015422879</v>
      </c>
      <c r="GE29" s="593">
        <f>'Proy 2021 vs 2019 Sem'!FA28*$GH$4</f>
        <v>42028.5602</v>
      </c>
      <c r="GF29" s="593">
        <f>'Proy 2021 vs 2019 Sem'!FB28*$GH$4</f>
        <v>29419.992139999998</v>
      </c>
      <c r="GG29" s="735">
        <v>44481.55</v>
      </c>
      <c r="GH29" s="700">
        <f t="shared" si="641"/>
        <v>1.0583648306848257</v>
      </c>
      <c r="GI29" s="579">
        <f t="shared" si="642"/>
        <v>191038.91</v>
      </c>
      <c r="GJ29" s="574">
        <f t="shared" si="643"/>
        <v>133727.23699999999</v>
      </c>
      <c r="GK29" s="759">
        <f t="shared" si="644"/>
        <v>201359.78000000003</v>
      </c>
      <c r="GL29" s="761">
        <f t="shared" si="645"/>
        <v>1.054024962768056</v>
      </c>
      <c r="GM29" s="593">
        <f>'Proy 2021 vs 2019 Sem'!FF28*$GP$4</f>
        <v>25059.607199999999</v>
      </c>
      <c r="GN29" s="593">
        <f>'Proy 2021 vs 2019 Sem'!FG28*$GP$4</f>
        <v>19045.301471999999</v>
      </c>
      <c r="GO29" s="735">
        <v>27236.81</v>
      </c>
      <c r="GP29" s="700">
        <f t="shared" si="646"/>
        <v>1.0868809627630558</v>
      </c>
      <c r="GQ29" s="593">
        <f>'Proy 2021 vs 2019 Sem'!FF28*$GT$4</f>
        <v>25059.607199999999</v>
      </c>
      <c r="GR29" s="593">
        <f>'Proy 2021 vs 2019 Sem'!FG28*$GT$4</f>
        <v>19045.301471999999</v>
      </c>
      <c r="GS29" s="735">
        <v>19446.080000000002</v>
      </c>
      <c r="GT29" s="700">
        <f t="shared" si="647"/>
        <v>0.77599300918012803</v>
      </c>
      <c r="GU29" s="593">
        <f>'Proy 2021 vs 2019 Sem'!FF28*$GX$4</f>
        <v>25059.607199999999</v>
      </c>
      <c r="GV29" s="593">
        <f>'Proy 2021 vs 2019 Sem'!FG28*$GX$4</f>
        <v>19045.301471999999</v>
      </c>
      <c r="GW29" s="735">
        <v>17820.98</v>
      </c>
      <c r="GX29" s="700">
        <f t="shared" si="648"/>
        <v>0.71114362877962434</v>
      </c>
      <c r="GY29" s="593">
        <f>'Proy 2021 vs 2019 Sem'!FF28*$HB$4</f>
        <v>25059.607199999999</v>
      </c>
      <c r="GZ29" s="593">
        <f>'Proy 2021 vs 2019 Sem'!FG28*$HB$4</f>
        <v>19045.301471999999</v>
      </c>
      <c r="HA29" s="735">
        <v>25352.58</v>
      </c>
      <c r="HB29" s="700">
        <f t="shared" si="649"/>
        <v>1.0116910372002959</v>
      </c>
      <c r="HC29" s="593">
        <f>'Proy 2021 vs 2019 Sem'!FF28*$HF$4</f>
        <v>29236.208400000003</v>
      </c>
      <c r="HD29" s="593">
        <f>'Proy 2021 vs 2019 Sem'!FG28*$HF$4</f>
        <v>22219.518384000003</v>
      </c>
      <c r="HE29" s="735">
        <v>31834.33</v>
      </c>
      <c r="HF29" s="700">
        <f t="shared" si="650"/>
        <v>1.0888665713574541</v>
      </c>
      <c r="HG29" s="593">
        <f>'Proy 2021 vs 2019 Sem'!FF28*$HJ$4</f>
        <v>33412.809600000001</v>
      </c>
      <c r="HH29" s="593">
        <f>'Proy 2021 vs 2019 Sem'!FG28*$HJ$4</f>
        <v>25393.735295999999</v>
      </c>
      <c r="HI29" s="735">
        <v>44452.68</v>
      </c>
      <c r="HJ29" s="700">
        <f t="shared" si="651"/>
        <v>1.3304083233994186</v>
      </c>
      <c r="HK29" s="593">
        <f>'Proy 2021 vs 2019 Sem'!FF28*$HN$4</f>
        <v>45942.6132</v>
      </c>
      <c r="HL29" s="593">
        <f>'Proy 2021 vs 2019 Sem'!FG28*$HN$4</f>
        <v>34916.386032000002</v>
      </c>
      <c r="HM29" s="735">
        <v>42678.55</v>
      </c>
      <c r="HN29" s="700">
        <f t="shared" si="652"/>
        <v>0.92895347102284553</v>
      </c>
      <c r="HO29" s="579">
        <f t="shared" si="653"/>
        <v>208830.06</v>
      </c>
      <c r="HP29" s="574">
        <f t="shared" si="654"/>
        <v>158710.8456</v>
      </c>
      <c r="HQ29" s="765">
        <f t="shared" si="655"/>
        <v>208822.01</v>
      </c>
      <c r="HR29" s="761">
        <f t="shared" si="656"/>
        <v>0.99996145190974906</v>
      </c>
      <c r="HS29" s="593">
        <f>'Proy 2021 vs 2019 Sem'!FK28*$CX$4</f>
        <v>21988.3992</v>
      </c>
      <c r="HT29" s="593">
        <f>'Proy 2021 vs 2019 Sem'!FL28*$CX$4</f>
        <v>16711.183391999999</v>
      </c>
      <c r="HU29" s="735">
        <v>29618.23</v>
      </c>
      <c r="HV29" s="700">
        <f t="shared" si="657"/>
        <v>1.3469934637169949</v>
      </c>
      <c r="HW29" s="593">
        <f>'Proy 2021 vs 2019 Sem'!FK28*$DB$4</f>
        <v>21988.3992</v>
      </c>
      <c r="HX29" s="593">
        <f>'Proy 2021 vs 2019 Sem'!FL28*$DB$4</f>
        <v>16711.183391999999</v>
      </c>
      <c r="HY29" s="735">
        <v>19831.27</v>
      </c>
      <c r="HZ29" s="700">
        <f t="shared" si="658"/>
        <v>0.90189694209299243</v>
      </c>
      <c r="IA29" s="593">
        <f>'Proy 2021 vs 2019 Sem'!FK28*$DF$4</f>
        <v>21988.3992</v>
      </c>
      <c r="IB29" s="593">
        <f>'Proy 2021 vs 2019 Sem'!FL28*$DF$4</f>
        <v>16711.183391999999</v>
      </c>
      <c r="IC29" s="735">
        <v>18506.099999999999</v>
      </c>
      <c r="ID29" s="700">
        <f t="shared" si="659"/>
        <v>0.84163016287242953</v>
      </c>
      <c r="IE29" s="593">
        <f>'Proy 2021 vs 2019 Sem'!FK28*$DJ$4</f>
        <v>21988.3992</v>
      </c>
      <c r="IF29" s="593">
        <f>'Proy 2021 vs 2019 Sem'!FL28*$DJ$4</f>
        <v>16711.183391999999</v>
      </c>
      <c r="IG29" s="735">
        <v>24163.3</v>
      </c>
      <c r="IH29" s="700">
        <f t="shared" si="660"/>
        <v>1.0989112840920225</v>
      </c>
      <c r="II29" s="593">
        <f>'Proy 2021 vs 2019 Sem'!FK28*$DN$4</f>
        <v>25653.132400000002</v>
      </c>
      <c r="IJ29" s="593">
        <f>'Proy 2021 vs 2019 Sem'!FL28*$DN$4</f>
        <v>19496.380624000001</v>
      </c>
      <c r="IK29" s="735">
        <v>22708.73</v>
      </c>
      <c r="IL29" s="700">
        <f t="shared" si="661"/>
        <v>0.88522250015752457</v>
      </c>
      <c r="IM29" s="593">
        <f>'Proy 2021 vs 2019 Sem'!FK28*$DR$4</f>
        <v>29317.865600000001</v>
      </c>
      <c r="IN29" s="593">
        <f>'Proy 2021 vs 2019 Sem'!FL28*$DR$4</f>
        <v>22281.577856</v>
      </c>
      <c r="IO29" s="1410">
        <v>32871.54</v>
      </c>
      <c r="IP29" s="700">
        <f t="shared" si="662"/>
        <v>1.1212119070496045</v>
      </c>
      <c r="IQ29" s="593">
        <f>'Proy 2021 vs 2019 Sem'!FK28*$IT$4</f>
        <v>40312.065200000005</v>
      </c>
      <c r="IR29" s="593">
        <f>'Proy 2021 vs 2019 Sem'!FL28*$IT$4</f>
        <v>30637.169551999999</v>
      </c>
      <c r="IS29" s="735">
        <v>40399.78</v>
      </c>
      <c r="IT29" s="700">
        <f t="shared" si="663"/>
        <v>1.0021758944763761</v>
      </c>
      <c r="IU29" s="579">
        <f t="shared" si="664"/>
        <v>183236.66</v>
      </c>
      <c r="IV29" s="574">
        <f t="shared" si="665"/>
        <v>139259.8616</v>
      </c>
      <c r="IW29" s="765">
        <f t="shared" si="666"/>
        <v>188098.95</v>
      </c>
      <c r="IX29" s="761">
        <f t="shared" si="667"/>
        <v>1.0265355742677258</v>
      </c>
      <c r="IY29" s="593">
        <f>'Proy 2021 vs 2019 Sem'!FP28*$JB$4</f>
        <v>22240.5144</v>
      </c>
      <c r="IZ29" s="593">
        <f>'Proy 2021 vs 2019 Sem'!FQ28*$JB$4</f>
        <v>17125.196087999997</v>
      </c>
      <c r="JA29" s="735">
        <v>29721.09</v>
      </c>
      <c r="JB29" s="700">
        <f t="shared" si="668"/>
        <v>1.3363490369629221</v>
      </c>
      <c r="JC29" s="593">
        <f>'Proy 2021 vs 2019 Sem'!FP28*$JF$4</f>
        <v>22240.5144</v>
      </c>
      <c r="JD29" s="593">
        <f>'Proy 2021 vs 2019 Sem'!FQ28*$JF$4</f>
        <v>17125.196087999997</v>
      </c>
      <c r="JE29" s="735">
        <v>20428.099999999999</v>
      </c>
      <c r="JF29" s="700">
        <f t="shared" si="669"/>
        <v>0.91850843162152751</v>
      </c>
      <c r="JG29" s="593">
        <f>'Proy 2021 vs 2019 Sem'!FP28*$JJ$4</f>
        <v>22240.5144</v>
      </c>
      <c r="JH29" s="593">
        <f>'Proy 2021 vs 2019 Sem'!FQ28*$JJ$4</f>
        <v>17125.196087999997</v>
      </c>
      <c r="JI29" s="735">
        <v>12511.86</v>
      </c>
      <c r="JJ29" s="700">
        <f t="shared" si="670"/>
        <v>0.56257062111836764</v>
      </c>
      <c r="JK29" s="593">
        <f>'Proy 2021 vs 2019 Sem'!FP28*$JN$4</f>
        <v>22240.5144</v>
      </c>
      <c r="JL29" s="593">
        <f>'Proy 2021 vs 2019 Sem'!FQ28*$JN$4</f>
        <v>17125.196087999997</v>
      </c>
      <c r="JM29" s="735">
        <v>21540.92</v>
      </c>
      <c r="JN29" s="700">
        <f t="shared" si="671"/>
        <v>0.96854414482427609</v>
      </c>
      <c r="JO29" s="593">
        <f>'Proy 2021 vs 2019 Sem'!FP28*$JR$4</f>
        <v>25947.266800000001</v>
      </c>
      <c r="JP29" s="593">
        <f>'Proy 2021 vs 2019 Sem'!FQ28*$JR$4</f>
        <v>19979.395436000003</v>
      </c>
      <c r="JQ29" s="735">
        <v>22172.12</v>
      </c>
      <c r="JR29" s="700">
        <f t="shared" si="672"/>
        <v>0.85450695716436686</v>
      </c>
      <c r="JS29" s="593">
        <f>'Proy 2021 vs 2019 Sem'!FP28*$JV$4</f>
        <v>29654.019199999999</v>
      </c>
      <c r="JT29" s="593">
        <f>'Proy 2021 vs 2019 Sem'!FQ28*$JV$4</f>
        <v>22833.594784000001</v>
      </c>
      <c r="JU29" s="735">
        <v>36766.85</v>
      </c>
      <c r="JV29" s="700">
        <f t="shared" si="673"/>
        <v>1.2398605987278783</v>
      </c>
      <c r="JW29" s="593">
        <f>'Proy 2021 vs 2019 Sem'!FP28*$JZ$4</f>
        <v>40774.276400000002</v>
      </c>
      <c r="JX29" s="593">
        <f>'Proy 2021 vs 2019 Sem'!FQ28*$JZ$4</f>
        <v>31396.192827999999</v>
      </c>
      <c r="JY29" s="735">
        <v>41644.480000000003</v>
      </c>
      <c r="JZ29" s="700">
        <f t="shared" si="674"/>
        <v>1.0213419753048028</v>
      </c>
      <c r="KA29" s="579">
        <f t="shared" si="675"/>
        <v>185337.62</v>
      </c>
      <c r="KB29" s="574">
        <f t="shared" si="676"/>
        <v>142709.96739999999</v>
      </c>
      <c r="KC29" s="770">
        <f t="shared" si="677"/>
        <v>184785.42</v>
      </c>
      <c r="KD29" s="761">
        <f t="shared" si="678"/>
        <v>0.99702057250977982</v>
      </c>
      <c r="KE29" s="593">
        <f>'Proy 2021 vs 2019 Sem'!FY28*$KH$4</f>
        <v>21328.948799999998</v>
      </c>
      <c r="KF29" s="593">
        <f>'Proy 2021 vs 2019 Sem'!FZ28*$KH$4</f>
        <v>16849.869552</v>
      </c>
      <c r="KG29" s="735">
        <v>26772.959999999999</v>
      </c>
      <c r="KH29" s="700">
        <f t="shared" si="679"/>
        <v>1.2552404833003303</v>
      </c>
      <c r="KI29" s="593">
        <f>'Proy 2021 vs 2019 Sem'!FY28*$KL$4</f>
        <v>21328.948799999998</v>
      </c>
      <c r="KJ29" s="593">
        <f>'Proy 2021 vs 2019 Sem'!FZ28*$KL$4</f>
        <v>16849.869552</v>
      </c>
      <c r="KK29" s="735">
        <v>20103.53</v>
      </c>
      <c r="KL29" s="700">
        <f t="shared" si="680"/>
        <v>0.94254668565756983</v>
      </c>
      <c r="KM29" s="593">
        <f>'Proy 2021 vs 2019 Sem'!FY28*$KP$4</f>
        <v>21328.948799999998</v>
      </c>
      <c r="KN29" s="593">
        <f>'Proy 2021 vs 2019 Sem'!FZ28*$KP$4</f>
        <v>16849.869552</v>
      </c>
      <c r="KO29" s="735">
        <v>22186.53</v>
      </c>
      <c r="KP29" s="700">
        <f t="shared" si="681"/>
        <v>1.0402073823722622</v>
      </c>
      <c r="KQ29" s="593">
        <f>'Proy 2021 vs 2019 Sem'!FY28*$KT$4</f>
        <v>21328.948799999998</v>
      </c>
      <c r="KR29" s="593">
        <f>'Proy 2021 vs 2019 Sem'!FZ28*$KT$4</f>
        <v>16849.869552</v>
      </c>
      <c r="KS29" s="735">
        <v>25180.6</v>
      </c>
      <c r="KT29" s="700">
        <f t="shared" si="682"/>
        <v>1.1805832643754108</v>
      </c>
      <c r="KU29" s="593">
        <f>'Proy 2021 vs 2019 Sem'!FY28*$KX$4</f>
        <v>24883.7736</v>
      </c>
      <c r="KV29" s="593">
        <f>'Proy 2021 vs 2019 Sem'!FZ28*$KX$4</f>
        <v>19658.181144000002</v>
      </c>
      <c r="KW29" s="735">
        <v>24701.08</v>
      </c>
      <c r="KX29" s="700">
        <f t="shared" si="683"/>
        <v>0.99265812320362867</v>
      </c>
      <c r="KY29" s="593">
        <f>'Proy 2021 vs 2019 Sem'!FY28*$LB$4</f>
        <v>28438.598399999999</v>
      </c>
      <c r="KZ29" s="593">
        <f>'Proy 2021 vs 2019 Sem'!FZ28*$LB$4</f>
        <v>22466.492736</v>
      </c>
      <c r="LA29" s="735">
        <v>34224.44</v>
      </c>
      <c r="LB29" s="700">
        <f t="shared" si="684"/>
        <v>1.203450307874526</v>
      </c>
      <c r="LC29" s="593">
        <f>'Proy 2021 vs 2019 Sem'!FY28*$LF$4</f>
        <v>39103.072800000002</v>
      </c>
      <c r="LD29" s="593">
        <f>'Proy 2021 vs 2019 Sem'!FZ28*$LF$4</f>
        <v>30891.427511999998</v>
      </c>
      <c r="LE29" s="735">
        <v>36741.75</v>
      </c>
      <c r="LF29" s="700">
        <f t="shared" si="685"/>
        <v>0.93961285825087382</v>
      </c>
      <c r="LG29" s="579">
        <f t="shared" si="686"/>
        <v>177741.24</v>
      </c>
      <c r="LH29" s="574">
        <f t="shared" si="687"/>
        <v>140415.5796</v>
      </c>
      <c r="LI29" s="793">
        <f t="shared" si="688"/>
        <v>189910.89</v>
      </c>
      <c r="LJ29" s="786">
        <f t="shared" si="689"/>
        <v>1.0684683532082933</v>
      </c>
      <c r="LK29" s="593">
        <f>'Proy 2021 vs 2019 Sem'!GD28*$LN$4</f>
        <v>21878.587199999998</v>
      </c>
      <c r="LL29" s="593">
        <f>'Proy 2021 vs 2019 Sem'!GE28*$LN$4</f>
        <v>17502.869759999998</v>
      </c>
      <c r="LM29" s="735">
        <v>33452.78</v>
      </c>
      <c r="LN29" s="700">
        <f t="shared" si="690"/>
        <v>1.5290192046769822</v>
      </c>
      <c r="LO29" s="593">
        <f>'Proy 2021 vs 2019 Sem'!GD28*$LR$4</f>
        <v>21878.587199999998</v>
      </c>
      <c r="LP29" s="593">
        <f>'Proy 2021 vs 2019 Sem'!GE28*$LR$4</f>
        <v>17502.869759999998</v>
      </c>
      <c r="LQ29" s="735">
        <v>18900.53</v>
      </c>
      <c r="LR29" s="700">
        <f t="shared" si="691"/>
        <v>0.86388256367851757</v>
      </c>
      <c r="LS29" s="593">
        <f>'Proy 2021 vs 2019 Sem'!GD28*$LV$4</f>
        <v>21878.587199999998</v>
      </c>
      <c r="LT29" s="593">
        <f>'Proy 2021 vs 2019 Sem'!GE28*$LV$4</f>
        <v>17502.869759999998</v>
      </c>
      <c r="LU29" s="735">
        <v>18758.97</v>
      </c>
      <c r="LV29" s="700">
        <f t="shared" si="692"/>
        <v>0.85741231042560206</v>
      </c>
      <c r="LW29" s="593">
        <f>'Proy 2021 vs 2019 Sem'!GD28*$LZ$4</f>
        <v>21878.587199999998</v>
      </c>
      <c r="LX29" s="593">
        <f>'Proy 2021 vs 2019 Sem'!GE28*$LZ$4</f>
        <v>17502.869759999998</v>
      </c>
      <c r="LY29" s="735">
        <v>17991.8</v>
      </c>
      <c r="LZ29" s="700">
        <f t="shared" si="693"/>
        <v>0.82234743201334315</v>
      </c>
      <c r="MA29" s="593">
        <f>'Proy 2021 vs 2019 Sem'!GD28*$MD$4</f>
        <v>25525.018400000001</v>
      </c>
      <c r="MB29" s="593">
        <f>'Proy 2021 vs 2019 Sem'!GE28*$MD$4</f>
        <v>20420.014719999999</v>
      </c>
      <c r="MC29" s="735">
        <v>28074.47</v>
      </c>
      <c r="MD29" s="700">
        <f t="shared" si="694"/>
        <v>1.0998804999881999</v>
      </c>
      <c r="ME29" s="593">
        <f>'Proy 2021 vs 2019 Sem'!GD28*$MH$4</f>
        <v>29171.4496</v>
      </c>
      <c r="MF29" s="593">
        <f>'Proy 2021 vs 2019 Sem'!GE28*$MH$4</f>
        <v>23337.159680000001</v>
      </c>
      <c r="MG29" s="735">
        <v>33569.06</v>
      </c>
      <c r="MH29" s="700">
        <f t="shared" si="695"/>
        <v>1.150750492700918</v>
      </c>
      <c r="MI29" s="593">
        <f>'Proy 2021 vs 2019 Sem'!GD28*$ML$4</f>
        <v>40110.743199999997</v>
      </c>
      <c r="MJ29" s="593">
        <f>'Proy 2021 vs 2019 Sem'!GE28*$ML$4</f>
        <v>32088.594559999998</v>
      </c>
      <c r="MK29" s="735">
        <v>45519.65</v>
      </c>
      <c r="ML29" s="700">
        <f t="shared" si="696"/>
        <v>1.134849328845146</v>
      </c>
      <c r="MM29" s="579">
        <f t="shared" si="697"/>
        <v>182321.56</v>
      </c>
      <c r="MN29" s="574">
        <f t="shared" si="698"/>
        <v>145857.24799999996</v>
      </c>
      <c r="MO29" s="794">
        <f t="shared" si="699"/>
        <v>196267.25999999998</v>
      </c>
      <c r="MP29" s="786">
        <f t="shared" si="700"/>
        <v>1.0764895824717602</v>
      </c>
      <c r="MQ29" s="593">
        <f>'Proy 2021 vs 2019 Sem'!GI28*$MT$4</f>
        <v>19566.189599999998</v>
      </c>
      <c r="MR29" s="593">
        <f>'Proy 2021 vs 2019 Sem'!GJ28*$MT$4</f>
        <v>15652.951679999998</v>
      </c>
      <c r="MS29" s="735">
        <v>28605.58</v>
      </c>
      <c r="MT29" s="700">
        <f t="shared" si="701"/>
        <v>1.4619903305035951</v>
      </c>
      <c r="MU29" s="593">
        <f>'Proy 2021 vs 2019 Sem'!GI28*$MX$4</f>
        <v>19566.189599999998</v>
      </c>
      <c r="MV29" s="593">
        <f>'Proy 2021 vs 2019 Sem'!GJ28*$MX$4</f>
        <v>15652.951679999998</v>
      </c>
      <c r="MW29" s="735">
        <v>17382.650000000001</v>
      </c>
      <c r="MX29" s="700">
        <f t="shared" si="702"/>
        <v>0.8884024102475222</v>
      </c>
      <c r="MY29" s="593">
        <f>'Proy 2021 vs 2019 Sem'!GI28*$NB$4</f>
        <v>19566.189599999998</v>
      </c>
      <c r="MZ29" s="593">
        <f>'Proy 2021 vs 2019 Sem'!GJ28*$NB$4</f>
        <v>15652.951679999998</v>
      </c>
      <c r="NA29" s="735">
        <v>15725.67</v>
      </c>
      <c r="NB29" s="700">
        <f t="shared" si="703"/>
        <v>0.80371652945650707</v>
      </c>
      <c r="NC29" s="593">
        <f>'Proy 2021 vs 2019 Sem'!GI28*$NF$4</f>
        <v>19566.189599999998</v>
      </c>
      <c r="ND29" s="593">
        <f>'Proy 2021 vs 2019 Sem'!GJ28*$NF$4</f>
        <v>15652.951679999998</v>
      </c>
      <c r="NE29" s="735">
        <v>15843.44</v>
      </c>
      <c r="NF29" s="700">
        <f t="shared" si="704"/>
        <v>0.80973558592113415</v>
      </c>
      <c r="NG29" s="593">
        <f>'Proy 2021 vs 2019 Sem'!GI28*$NJ$4</f>
        <v>22827.2212</v>
      </c>
      <c r="NH29" s="593">
        <f>'Proy 2021 vs 2019 Sem'!GJ28*$NJ$4</f>
        <v>18261.776960000003</v>
      </c>
      <c r="NI29" s="735">
        <v>28405.83</v>
      </c>
      <c r="NJ29" s="700">
        <f t="shared" si="705"/>
        <v>1.2443840514411804</v>
      </c>
      <c r="NK29" s="593">
        <f>'Proy 2021 vs 2019 Sem'!GI28*$NN$4</f>
        <v>26088.252799999998</v>
      </c>
      <c r="NL29" s="593">
        <f>'Proy 2021 vs 2019 Sem'!GJ28*$NN$4</f>
        <v>20870.60224</v>
      </c>
      <c r="NM29" s="735">
        <v>25150.11</v>
      </c>
      <c r="NN29" s="700">
        <f t="shared" si="706"/>
        <v>0.964039646227286</v>
      </c>
      <c r="NO29" s="593">
        <f>'Proy 2021 vs 2019 Sem'!GI28*$NR$4</f>
        <v>35871.347600000001</v>
      </c>
      <c r="NP29" s="593">
        <f>'Proy 2021 vs 2019 Sem'!GJ28*$NR$4</f>
        <v>28697.078079999999</v>
      </c>
      <c r="NQ29" s="735">
        <v>36223.760000000002</v>
      </c>
      <c r="NR29" s="700">
        <f t="shared" si="707"/>
        <v>1.0098243423673328</v>
      </c>
      <c r="NS29" s="579">
        <f t="shared" si="708"/>
        <v>163051.57999999999</v>
      </c>
      <c r="NT29" s="574">
        <f t="shared" si="709"/>
        <v>130441.264</v>
      </c>
      <c r="NU29" s="794">
        <f t="shared" si="710"/>
        <v>167337.04</v>
      </c>
      <c r="NV29" s="786">
        <f t="shared" si="711"/>
        <v>1.0262828486543953</v>
      </c>
      <c r="NW29" s="593">
        <f>'Proy 2021 vs 2019 Sem'!GN28*$NZ$4</f>
        <v>20587.297199999997</v>
      </c>
      <c r="NX29" s="593">
        <f>'Proy 2021 vs 2019 Sem'!GO28*$NZ$4</f>
        <v>15234.599928</v>
      </c>
      <c r="NY29" s="735">
        <v>32501.85</v>
      </c>
      <c r="NZ29" s="1482">
        <f t="shared" si="712"/>
        <v>1.578733220016856</v>
      </c>
      <c r="OA29" s="593">
        <f>'Proy 2021 vs 2019 Sem'!GN28*$OD$4</f>
        <v>20587.297199999997</v>
      </c>
      <c r="OB29" s="593">
        <f>'Proy 2021 vs 2019 Sem'!GO28*$OD$4</f>
        <v>15234.599928</v>
      </c>
      <c r="OC29" s="735">
        <v>14160.21</v>
      </c>
      <c r="OD29" s="700">
        <f t="shared" si="713"/>
        <v>0.68781296847456019</v>
      </c>
      <c r="OE29" s="593">
        <f>'Proy 2021 vs 2019 Sem'!GN28*$OH$4</f>
        <v>20587.297199999997</v>
      </c>
      <c r="OF29" s="593">
        <f>'Proy 2021 vs 2019 Sem'!GO28*$OH$4</f>
        <v>15234.599928</v>
      </c>
      <c r="OG29" s="735">
        <v>14582.83</v>
      </c>
      <c r="OH29" s="700">
        <f t="shared" si="714"/>
        <v>0.70834116097571087</v>
      </c>
      <c r="OI29" s="593">
        <f>'Proy 2021 vs 2019 Sem'!GN28*$OL$4</f>
        <v>20587.297199999997</v>
      </c>
      <c r="OJ29" s="593">
        <f>'Proy 2021 vs 2019 Sem'!GO28*$OL$4</f>
        <v>15234.599928</v>
      </c>
      <c r="OK29" s="735">
        <v>17743.98</v>
      </c>
      <c r="OL29" s="700">
        <f t="shared" si="715"/>
        <v>0.86188972877896775</v>
      </c>
      <c r="OM29" s="593">
        <f>'Proy 2021 vs 2019 Sem'!GN28*$OP$4</f>
        <v>24018.513400000003</v>
      </c>
      <c r="ON29" s="593">
        <f>'Proy 2021 vs 2019 Sem'!GO28*$OP$4</f>
        <v>17773.699916000001</v>
      </c>
      <c r="OO29" s="735">
        <v>28934.41</v>
      </c>
      <c r="OP29" s="700">
        <f t="shared" si="716"/>
        <v>1.204671143385585</v>
      </c>
      <c r="OQ29" s="593">
        <f>'Proy 2021 vs 2019 Sem'!GN28*$JV$4</f>
        <v>27449.729599999999</v>
      </c>
      <c r="OR29" s="593">
        <f>'Proy 2021 vs 2019 Sem'!GO28*$JV$4</f>
        <v>20312.799904</v>
      </c>
      <c r="OS29" s="735">
        <v>30927.119999999999</v>
      </c>
      <c r="OT29" s="700">
        <f t="shared" si="717"/>
        <v>1.126682136788699</v>
      </c>
      <c r="OU29" s="593">
        <f>'Proy 2021 vs 2019 Sem'!GN28*$OX$4</f>
        <v>37743.378199999999</v>
      </c>
      <c r="OV29" s="593">
        <f>'Proy 2021 vs 2019 Sem'!GO28*$OX$4</f>
        <v>27930.099868000001</v>
      </c>
      <c r="OW29" s="735">
        <v>36662.9</v>
      </c>
      <c r="OX29" s="700">
        <f t="shared" si="718"/>
        <v>0.97137303941701758</v>
      </c>
      <c r="OY29" s="579">
        <f t="shared" si="719"/>
        <v>171560.81</v>
      </c>
      <c r="OZ29" s="574">
        <f t="shared" si="720"/>
        <v>126954.9994</v>
      </c>
      <c r="PA29" s="785">
        <f t="shared" si="721"/>
        <v>175513.3</v>
      </c>
      <c r="PB29" s="786">
        <f t="shared" si="722"/>
        <v>1.0230384200214488</v>
      </c>
      <c r="PC29" s="593">
        <f>'Proy 2021 vs 2019 Sem'!GW28*$PF$4</f>
        <v>20421.719999999998</v>
      </c>
      <c r="PD29" s="593">
        <f>'Proy 2021 vs 2019 Sem'!GX28*$PF$4</f>
        <v>16133.158800000001</v>
      </c>
      <c r="PE29" s="735">
        <v>28528.53</v>
      </c>
      <c r="PF29" s="700">
        <f t="shared" si="723"/>
        <v>1.3969699907745283</v>
      </c>
      <c r="PG29" s="593">
        <f>'Proy 2021 vs 2019 Sem'!GW28*$PJ$4</f>
        <v>20421.719999999998</v>
      </c>
      <c r="PH29" s="593">
        <f>'Proy 2021 vs 2019 Sem'!GX28*$PJ$4</f>
        <v>16133.158800000001</v>
      </c>
      <c r="PI29" s="735">
        <v>15799.11</v>
      </c>
      <c r="PJ29" s="700">
        <f t="shared" si="724"/>
        <v>0.77364247477685533</v>
      </c>
      <c r="PK29" s="593">
        <f>'Proy 2021 vs 2019 Sem'!GW28*'Vtas Diarias 2021'!$PN$4</f>
        <v>20421.719999999998</v>
      </c>
      <c r="PL29" s="593">
        <f>'Proy 2021 vs 2019 Sem'!GX28*'Vtas Diarias 2021'!$PN$4</f>
        <v>16133.158800000001</v>
      </c>
      <c r="PM29" s="735">
        <v>20230.63</v>
      </c>
      <c r="PN29" s="700">
        <f t="shared" si="725"/>
        <v>0.9906428057969654</v>
      </c>
      <c r="PO29" s="593">
        <f>'Proy 2021 vs 2019 Sem'!GW28*$PR$4</f>
        <v>20421.719999999998</v>
      </c>
      <c r="PP29" s="593">
        <f>'Proy 2021 vs 2019 Sem'!GX28*$PR$4</f>
        <v>16133.158800000001</v>
      </c>
      <c r="PQ29" s="735">
        <v>17922.900000000001</v>
      </c>
      <c r="PR29" s="700">
        <f t="shared" si="726"/>
        <v>0.8776391018973918</v>
      </c>
      <c r="PS29" s="593">
        <f>'Proy 2021 vs 2019 Sem'!GW28*$PV$4</f>
        <v>23825.340000000004</v>
      </c>
      <c r="PT29" s="593">
        <f>'Proy 2021 vs 2019 Sem'!GX28*$PV$4</f>
        <v>18822.018600000003</v>
      </c>
      <c r="PU29" s="735">
        <v>21335.16</v>
      </c>
      <c r="PV29" s="700">
        <f t="shared" si="727"/>
        <v>0.89548186930385865</v>
      </c>
      <c r="PW29" s="593">
        <f>'Proy 2021 vs 2019 Sem'!GW28*PZ$4</f>
        <v>27228.959999999999</v>
      </c>
      <c r="PX29" s="593">
        <f>'Proy 2021 vs 2019 Sem'!GX28*$PZ$4</f>
        <v>21510.878400000005</v>
      </c>
      <c r="PY29" s="735">
        <v>29505.19</v>
      </c>
      <c r="PZ29" s="700">
        <f t="shared" si="728"/>
        <v>1.0835959214013315</v>
      </c>
      <c r="QA29" s="593">
        <f>'Proy 2021 vs 2019 Sem'!GW28*$QD$4</f>
        <v>37439.82</v>
      </c>
      <c r="QB29" s="593">
        <f>'Proy 2021 vs 2019 Sem'!GX28*$QD$4</f>
        <v>29577.457800000004</v>
      </c>
      <c r="QC29" s="735">
        <v>41084.82</v>
      </c>
      <c r="QD29" s="700">
        <f t="shared" si="729"/>
        <v>1.0973562372896024</v>
      </c>
      <c r="QE29" s="579">
        <f t="shared" si="730"/>
        <v>170181</v>
      </c>
      <c r="QF29" s="574">
        <f t="shared" si="731"/>
        <v>134442.99</v>
      </c>
      <c r="QG29" s="729">
        <f t="shared" si="732"/>
        <v>174406.34000000003</v>
      </c>
      <c r="QH29" s="711">
        <f t="shared" si="733"/>
        <v>1.0248285061199547</v>
      </c>
      <c r="QI29" s="578">
        <f>'Proy 2021 vs 2019 Sem'!HB28*$QL$4</f>
        <v>19859.274000000001</v>
      </c>
      <c r="QJ29" s="611">
        <f>'Proy 2021 vs 2019 Sem'!UG28*$AL$4</f>
        <v>0</v>
      </c>
      <c r="QK29" s="735">
        <v>32074.93</v>
      </c>
      <c r="QL29" s="700">
        <f t="shared" si="734"/>
        <v>1.6151109048598653</v>
      </c>
      <c r="QM29" s="593">
        <f>'Proy 2021 vs 2019 Sem'!HB28*$QP$4</f>
        <v>19859.274000000001</v>
      </c>
      <c r="QN29" s="593">
        <f>'Proy 2021 vs 2019 Sem'!UG28*$AP$4</f>
        <v>0</v>
      </c>
      <c r="QO29" s="735">
        <v>14759.87</v>
      </c>
      <c r="QP29" s="700">
        <f t="shared" si="735"/>
        <v>0.74322304027831032</v>
      </c>
      <c r="QQ29" s="593">
        <f>'Proy 2021 vs 2019 Sem'!HB28*$QT$4</f>
        <v>19859.274000000001</v>
      </c>
      <c r="QR29" s="593">
        <f>'Proy 2021 vs 2019 Sem'!HC28*$QT$4</f>
        <v>15887.4192</v>
      </c>
      <c r="QS29" s="735">
        <v>13056.32</v>
      </c>
      <c r="QT29" s="700">
        <f t="shared" si="736"/>
        <v>0.65744195885509205</v>
      </c>
      <c r="QU29" s="593">
        <f>'Proy 2021 vs 2019 Sem'!HB28*$QX$4</f>
        <v>19859.274000000001</v>
      </c>
      <c r="QV29" s="593">
        <f>'Proy 2021 vs 2019 Sem'!HC28*$QX$4</f>
        <v>15887.4192</v>
      </c>
      <c r="QW29" s="735">
        <v>14101.5</v>
      </c>
      <c r="QX29" s="700">
        <f t="shared" si="737"/>
        <v>0.71007127450882646</v>
      </c>
      <c r="QY29" s="593">
        <f>'Proy 2021 vs 2019 Sem'!HB28*$RB$4</f>
        <v>23169.153000000002</v>
      </c>
      <c r="QZ29" s="593">
        <f>'Proy 2021 vs 2019 Sem'!HC28*$RB$4</f>
        <v>18535.322400000001</v>
      </c>
      <c r="RA29" s="735">
        <v>18601.84</v>
      </c>
      <c r="RB29" s="700">
        <f t="shared" si="738"/>
        <v>0.80287095518770146</v>
      </c>
      <c r="RC29" s="593">
        <f>'Proy 2021 vs 2019 Sem'!HB28*$RF$4</f>
        <v>26479.032000000003</v>
      </c>
      <c r="RD29" s="593">
        <f>'Proy 2021 vs 2019 Sem'!HC28*$RF$4</f>
        <v>21183.225600000002</v>
      </c>
      <c r="RE29" s="735">
        <v>31068.080000000002</v>
      </c>
      <c r="RF29" s="700">
        <f t="shared" si="739"/>
        <v>1.1733087523743315</v>
      </c>
      <c r="RG29" s="593">
        <f>'Proy 2021 vs 2019 Sem'!HB28*$RJ$4</f>
        <v>36408.669000000002</v>
      </c>
      <c r="RH29" s="593">
        <f>'Proy 2021 vs 2019 Sem'!HC28*$RJ$4</f>
        <v>29126.9352</v>
      </c>
      <c r="RI29" s="735">
        <v>37731.050000000003</v>
      </c>
      <c r="RJ29" s="700">
        <f t="shared" si="740"/>
        <v>1.0363204982857241</v>
      </c>
      <c r="RK29" s="579">
        <f t="shared" si="741"/>
        <v>165493.95000000001</v>
      </c>
      <c r="RL29" s="574">
        <f t="shared" si="742"/>
        <v>100620.3216</v>
      </c>
      <c r="RM29" s="730">
        <f t="shared" si="743"/>
        <v>161393.59</v>
      </c>
      <c r="RN29" s="711">
        <f t="shared" si="744"/>
        <v>0.9752235051492818</v>
      </c>
      <c r="RO29" s="593">
        <f>'Proy 2021 vs 2019 Sem'!HG28*$RR$4</f>
        <v>18858.763199999998</v>
      </c>
      <c r="RP29" s="593">
        <f>'Proy 2021 vs 2019 Sem'!HH28*$RR$4</f>
        <v>15087.010559999999</v>
      </c>
      <c r="RQ29" s="735">
        <v>24024.83</v>
      </c>
      <c r="RR29" s="700">
        <f t="shared" si="745"/>
        <v>1.2739345494300498</v>
      </c>
      <c r="RS29" s="593">
        <f>'Proy 2021 vs 2019 Sem'!HG28*$RV$4</f>
        <v>18858.763199999998</v>
      </c>
      <c r="RT29" s="593">
        <f>'Proy 2021 vs 2019 Sem'!HH28*$RV$4</f>
        <v>15087.010559999999</v>
      </c>
      <c r="RU29" s="735">
        <v>12934.07</v>
      </c>
      <c r="RV29" s="700">
        <f t="shared" si="746"/>
        <v>0.68583871926447437</v>
      </c>
      <c r="RW29" s="593">
        <f>'Proy 2021 vs 2019 Sem'!HG28*$RZ$4</f>
        <v>18858.763199999998</v>
      </c>
      <c r="RX29" s="593">
        <f>'Proy 2021 vs 2019 Sem'!HH28*$RZ$4</f>
        <v>15087.010559999999</v>
      </c>
      <c r="RY29" s="735">
        <v>21058.82</v>
      </c>
      <c r="RZ29" s="700">
        <f t="shared" si="747"/>
        <v>1.1166596545419267</v>
      </c>
      <c r="SA29" s="593">
        <f>'Proy 2021 vs 2019 Sem'!HG28*$SD$4</f>
        <v>18858.763199999998</v>
      </c>
      <c r="SB29" s="593">
        <f>'Proy 2021 vs 2019 Sem'!HH28*$SD$4</f>
        <v>15087.010559999999</v>
      </c>
      <c r="SC29" s="735">
        <v>18567.07</v>
      </c>
      <c r="SD29" s="700">
        <f t="shared" si="748"/>
        <v>0.98453275027070719</v>
      </c>
      <c r="SE29" s="593">
        <f>'Proy 2021 vs 2019 Sem'!HG28*$SH$4</f>
        <v>22001.8904</v>
      </c>
      <c r="SF29" s="593">
        <f>'Proy 2021 vs 2019 Sem'!HH28*$SH$4</f>
        <v>17601.512320000002</v>
      </c>
      <c r="SG29" s="735">
        <v>30185.32</v>
      </c>
      <c r="SH29" s="700">
        <f t="shared" si="749"/>
        <v>1.3719421127559113</v>
      </c>
      <c r="SI29" s="593">
        <f>'Proy 2021 vs 2019 Sem'!HG28*$SL$4</f>
        <v>25145.017599999999</v>
      </c>
      <c r="SJ29" s="593">
        <f>'Proy 2021 vs 2019 Sem'!HH28*$SL$4</f>
        <v>20116.014079999997</v>
      </c>
      <c r="SK29" s="735">
        <v>31449.98</v>
      </c>
      <c r="SL29" s="700">
        <f t="shared" si="750"/>
        <v>1.2507440042515621</v>
      </c>
      <c r="SM29" s="593">
        <f>'Proy 2021 vs 2019 Sem'!HG28*$SP$4</f>
        <v>34574.3992</v>
      </c>
      <c r="SN29" s="593">
        <f>'Proy 2021 vs 2019 Sem'!HH28*$SP$4</f>
        <v>27659.519359999998</v>
      </c>
      <c r="SO29" s="735">
        <v>38703.03</v>
      </c>
      <c r="SP29" s="700">
        <f t="shared" si="751"/>
        <v>1.1194129441300602</v>
      </c>
      <c r="SQ29" s="579">
        <f t="shared" si="752"/>
        <v>157156.35999999999</v>
      </c>
      <c r="SR29" s="574">
        <f t="shared" si="753"/>
        <v>125725.08799999999</v>
      </c>
      <c r="SS29" s="730">
        <f t="shared" si="754"/>
        <v>176923.12000000002</v>
      </c>
      <c r="ST29" s="711">
        <f t="shared" si="755"/>
        <v>1.12577766499555</v>
      </c>
      <c r="SU29" s="593">
        <f>'Proy 2021 vs 2019 Sem'!HL28*$SX$4</f>
        <v>18295.087199999998</v>
      </c>
      <c r="SV29" s="593">
        <f>'Proy 2021 vs 2019 Sem'!HM28*$SX$4</f>
        <v>14453.118887999999</v>
      </c>
      <c r="SW29" s="735">
        <v>25857.88</v>
      </c>
      <c r="SX29" s="700">
        <f t="shared" si="756"/>
        <v>1.4133783412631127</v>
      </c>
      <c r="SY29" s="593">
        <f>'Proy 2021 vs 2019 Sem'!HL28*$TB$4</f>
        <v>18295.087199999998</v>
      </c>
      <c r="SZ29" s="593">
        <f>'Proy 2021 vs 2019 Sem'!HM28*$TB$4</f>
        <v>14453.118887999999</v>
      </c>
      <c r="TA29" s="735">
        <v>15121.97</v>
      </c>
      <c r="TB29" s="700">
        <f t="shared" si="757"/>
        <v>0.82655905570102994</v>
      </c>
      <c r="TC29" s="593">
        <f>'Proy 2021 vs 2019 Sem'!HL28*$TF$4</f>
        <v>18295.087199999998</v>
      </c>
      <c r="TD29" s="593">
        <f>'Proy 2021 vs 2019 Sem'!HM28*$TF$4</f>
        <v>14453.118887999999</v>
      </c>
      <c r="TE29" s="735">
        <v>14420.44</v>
      </c>
      <c r="TF29" s="700">
        <f t="shared" si="758"/>
        <v>0.78821378889082316</v>
      </c>
      <c r="TG29" s="593">
        <f>'Proy 2021 vs 2019 Sem'!HL28*$TJ$4</f>
        <v>18295.087199999998</v>
      </c>
      <c r="TH29" s="593">
        <f>'Proy 2021 vs 2019 Sem'!HM28*$TJ$4</f>
        <v>14453.118887999999</v>
      </c>
      <c r="TI29" s="735">
        <v>15591.43</v>
      </c>
      <c r="TJ29" s="700">
        <f t="shared" si="759"/>
        <v>0.85221949639026606</v>
      </c>
      <c r="TK29" s="593">
        <f>'Proy 2021 vs 2019 Sem'!HL28*$TN$4</f>
        <v>21344.268400000001</v>
      </c>
      <c r="TL29" s="593">
        <f>'Proy 2021 vs 2019 Sem'!HM28*$TN$4</f>
        <v>16861.972036000003</v>
      </c>
      <c r="TM29" s="735">
        <v>21991.71</v>
      </c>
      <c r="TN29" s="700">
        <f t="shared" si="760"/>
        <v>1.0303332767310964</v>
      </c>
      <c r="TO29" s="593">
        <f>'Proy 2021 vs 2019 Sem'!HL28*$TR$4</f>
        <v>24393.4496</v>
      </c>
      <c r="TP29" s="611">
        <f>'Proy 2021 vs 2019 Sem'!HM28*$TR$4</f>
        <v>19270.825184000001</v>
      </c>
      <c r="TQ29" s="735">
        <v>35093.21</v>
      </c>
      <c r="TR29" s="700">
        <f t="shared" si="761"/>
        <v>1.4386325253481165</v>
      </c>
      <c r="TS29" s="593">
        <f>'Proy 2021 vs 2019 Sem'!HL28*$TV$4</f>
        <v>33540.993199999997</v>
      </c>
      <c r="TT29" s="593">
        <f>'Proy 2021 vs 2019 Sem'!HM28*$TV$4</f>
        <v>26497.384628</v>
      </c>
      <c r="TU29" s="735">
        <v>42608.639999999999</v>
      </c>
      <c r="TV29" s="700">
        <f t="shared" si="762"/>
        <v>1.2703452085014586</v>
      </c>
      <c r="TW29" s="579">
        <f t="shared" si="763"/>
        <v>152459.06</v>
      </c>
      <c r="TX29" s="574">
        <f t="shared" si="764"/>
        <v>120442.6574</v>
      </c>
      <c r="TY29" s="710">
        <f t="shared" si="765"/>
        <v>170685.27999999997</v>
      </c>
      <c r="TZ29" s="711">
        <f t="shared" si="766"/>
        <v>1.1195482905378007</v>
      </c>
      <c r="UA29" s="593">
        <v>33875.43</v>
      </c>
      <c r="UB29" s="593">
        <f>'Proy 2021 vs 2019 Sem'!HR28*$UD$4</f>
        <v>15040.137551999998</v>
      </c>
      <c r="UC29" s="735">
        <v>26362.91</v>
      </c>
      <c r="UD29" s="700">
        <f t="shared" si="767"/>
        <v>0.77823100695695968</v>
      </c>
      <c r="UE29" s="593">
        <v>12051.42</v>
      </c>
      <c r="UF29" s="593">
        <f>'Proy 2021 vs 2019 Sem'!HR28*$UH$4</f>
        <v>15040.137551999998</v>
      </c>
      <c r="UG29" s="735">
        <v>15964.37</v>
      </c>
      <c r="UH29" s="700">
        <f t="shared" si="768"/>
        <v>1.324687879104703</v>
      </c>
      <c r="UI29" s="593">
        <v>14702.1</v>
      </c>
      <c r="UJ29" s="593">
        <f>'Proy 2021 vs 2019 Sem'!HR28*$UL$4</f>
        <v>15040.137551999998</v>
      </c>
      <c r="UK29" s="735">
        <v>19642.39</v>
      </c>
      <c r="UL29" s="700">
        <f t="shared" si="769"/>
        <v>1.3360261459247318</v>
      </c>
      <c r="UM29" s="593">
        <v>16451.669999999998</v>
      </c>
      <c r="UN29" s="593">
        <f>'Proy 2021 vs 2019 Sem'!HR28*$UP$4</f>
        <v>15040.137551999998</v>
      </c>
      <c r="UO29" s="735">
        <v>16885.93</v>
      </c>
      <c r="UP29" s="700">
        <f t="shared" si="770"/>
        <v>1.0263961044684218</v>
      </c>
      <c r="UQ29" s="593">
        <v>16064.14</v>
      </c>
      <c r="UR29" s="593">
        <f>'Proy 2021 vs 2019 Sem'!HR28*$UT$4</f>
        <v>17546.827143999999</v>
      </c>
      <c r="US29" s="735">
        <v>22871.39</v>
      </c>
      <c r="UT29" s="700">
        <f t="shared" si="771"/>
        <v>1.4237543995508009</v>
      </c>
      <c r="UU29" s="593">
        <v>28784.78</v>
      </c>
      <c r="UV29" s="593">
        <f>'Proy 2021 vs 2019 Sem'!HR28*$UX$4</f>
        <v>20053.516735999998</v>
      </c>
      <c r="UW29" s="735">
        <v>36924.050000000003</v>
      </c>
      <c r="UX29" s="700">
        <f t="shared" si="772"/>
        <v>1.2827629740439219</v>
      </c>
      <c r="UY29" s="593">
        <v>36721.699999999997</v>
      </c>
      <c r="UZ29" s="593">
        <f>'Proy 2021 vs 2019 Sem'!HR28*$VB$4</f>
        <v>27573.585511999998</v>
      </c>
      <c r="VA29" s="735">
        <v>49971.12</v>
      </c>
      <c r="VB29" s="700">
        <f t="shared" si="773"/>
        <v>1.3608062807549761</v>
      </c>
      <c r="VC29" s="577">
        <f>UA29+UE29+UI29+UM29+UQ29+UU29+UY29</f>
        <v>158651.24</v>
      </c>
      <c r="VD29" s="574">
        <f t="shared" si="774"/>
        <v>125334.47959999999</v>
      </c>
      <c r="VE29" s="710">
        <f t="shared" si="775"/>
        <v>188622.16</v>
      </c>
      <c r="VF29" s="1534">
        <f t="shared" si="776"/>
        <v>1.1889107201431266</v>
      </c>
      <c r="VG29" s="593">
        <v>28209.69</v>
      </c>
      <c r="VH29" s="593">
        <f>'Proy 2021 vs 2019 Sem'!IA28*$VJ$4</f>
        <v>21287.758631999997</v>
      </c>
      <c r="VI29" s="735">
        <v>29977.16</v>
      </c>
      <c r="VJ29" s="700">
        <f t="shared" si="777"/>
        <v>1.0626547119092766</v>
      </c>
      <c r="VK29" s="593">
        <v>13797.55</v>
      </c>
      <c r="VL29" s="593">
        <f>'Proy 2021 vs 2019 Sem'!IA28*$VN$4</f>
        <v>21287.758631999997</v>
      </c>
      <c r="VM29" s="735">
        <v>13888.74</v>
      </c>
      <c r="VN29" s="700">
        <f t="shared" si="778"/>
        <v>1.0066091443770815</v>
      </c>
      <c r="VO29" s="593">
        <v>10954.95</v>
      </c>
      <c r="VP29" s="593">
        <f>'Proy 2021 vs 2019 Sem'!IA28*$VR$4</f>
        <v>21287.758631999997</v>
      </c>
      <c r="VQ29" s="735">
        <v>12995.01</v>
      </c>
      <c r="VR29" s="700">
        <f t="shared" si="779"/>
        <v>1.1862226664658442</v>
      </c>
      <c r="VS29" s="593">
        <v>15368.68</v>
      </c>
      <c r="VT29" s="593">
        <f>'Proy 2021 vs 2019 Sem'!IA28*$VV$4</f>
        <v>21287.758631999997</v>
      </c>
      <c r="VU29" s="735">
        <v>17370.54</v>
      </c>
      <c r="VV29" s="700">
        <f t="shared" si="780"/>
        <v>1.1302558189772967</v>
      </c>
      <c r="VW29" s="593">
        <v>20840.650000000001</v>
      </c>
      <c r="VX29" s="593">
        <f>'Proy 2021 vs 2019 Sem'!IA28*$VZ$4</f>
        <v>24835.718403999999</v>
      </c>
      <c r="VY29" s="735">
        <v>15885.22</v>
      </c>
      <c r="VZ29" s="700">
        <f t="shared" si="781"/>
        <v>0.76222286732899402</v>
      </c>
      <c r="WA29" s="593">
        <v>25215.4</v>
      </c>
      <c r="WB29" s="593">
        <f>'Proy 2021 vs 2019 Sem'!IA28*$WD$4</f>
        <v>28383.678175999998</v>
      </c>
      <c r="WC29" s="735">
        <v>31361.23</v>
      </c>
      <c r="WD29" s="700">
        <f t="shared" si="782"/>
        <v>1.2437331947936578</v>
      </c>
      <c r="WE29" s="593">
        <v>33545.21</v>
      </c>
      <c r="WF29" s="593">
        <f>'Proy 2021 vs 2019 Sem'!IA28*$WH$4</f>
        <v>39027.557492</v>
      </c>
      <c r="WG29" s="735">
        <v>42111.72</v>
      </c>
      <c r="WH29" s="1538">
        <f t="shared" si="783"/>
        <v>1.2553720784576994</v>
      </c>
      <c r="WI29" s="574">
        <f t="shared" si="784"/>
        <v>68330.87</v>
      </c>
      <c r="WJ29" s="575">
        <f t="shared" si="785"/>
        <v>177397.98859999998</v>
      </c>
      <c r="WK29" s="793">
        <f t="shared" si="786"/>
        <v>163589.62</v>
      </c>
      <c r="WL29" s="786">
        <f t="shared" si="787"/>
        <v>2.3940807427155546</v>
      </c>
      <c r="WM29" s="593">
        <v>28066.35</v>
      </c>
      <c r="WN29" s="593">
        <f>'Proy 2021 vs 2019 Sem'!IF28*$WP$4</f>
        <v>23313.390407999999</v>
      </c>
      <c r="WO29" s="735">
        <v>31283.439999999999</v>
      </c>
      <c r="WP29" s="700">
        <f t="shared" si="788"/>
        <v>1.1146244524136555</v>
      </c>
      <c r="WQ29" s="593">
        <v>17712.48</v>
      </c>
      <c r="WR29" s="593">
        <f>'Proy 2021 vs 2019 Sem'!IF28*$WT$4</f>
        <v>23313.390407999999</v>
      </c>
      <c r="WS29" s="735">
        <v>15791.23</v>
      </c>
      <c r="WT29" s="700">
        <f t="shared" si="789"/>
        <v>0.89153128189841291</v>
      </c>
      <c r="WU29" s="593">
        <v>16836.57</v>
      </c>
      <c r="WV29" s="593">
        <f>'Proy 2021 vs 2019 Sem'!IF28*$WX$4</f>
        <v>23313.390407999999</v>
      </c>
      <c r="WW29" s="735">
        <v>14806.37</v>
      </c>
      <c r="WX29" s="700">
        <f t="shared" si="790"/>
        <v>0.87941724472383631</v>
      </c>
      <c r="WY29" s="593">
        <v>13540.42</v>
      </c>
      <c r="WZ29" s="593">
        <f>'Proy 2021 vs 2019 Sem'!IF28*$XB$4</f>
        <v>23313.390407999999</v>
      </c>
      <c r="XA29" s="735">
        <v>14643.61</v>
      </c>
      <c r="XB29" s="700">
        <f t="shared" si="791"/>
        <v>1.0814738390685075</v>
      </c>
      <c r="XC29" s="593">
        <v>21427.34</v>
      </c>
      <c r="XD29" s="593">
        <f>'Proy 2021 vs 2019 Sem'!IF28*$XF$4</f>
        <v>27198.955476000006</v>
      </c>
      <c r="XE29" s="735">
        <v>23785.15</v>
      </c>
      <c r="XF29" s="700">
        <f t="shared" si="792"/>
        <v>1.1100374568191853</v>
      </c>
      <c r="XG29" s="593">
        <v>22817.87</v>
      </c>
      <c r="XH29" s="593">
        <f>'Proy 2021 vs 2019 Sem'!IF28*$XJ$4</f>
        <v>31084.520544000003</v>
      </c>
      <c r="XI29" s="735">
        <v>35213.93</v>
      </c>
      <c r="XJ29" s="700">
        <f t="shared" si="793"/>
        <v>1.5432610493442203</v>
      </c>
      <c r="XK29" s="593">
        <v>39095.58</v>
      </c>
      <c r="XL29" s="593">
        <f>'Proy 2021 vs 2019 Sem'!IF28*$XN$4</f>
        <v>42741.215748000002</v>
      </c>
      <c r="XM29" s="735">
        <v>50083.03</v>
      </c>
      <c r="XN29" s="700">
        <f t="shared" si="794"/>
        <v>1.2810407212273101</v>
      </c>
      <c r="XO29" s="579">
        <f t="shared" si="795"/>
        <v>159496.60999999999</v>
      </c>
      <c r="XP29" s="574">
        <f t="shared" si="796"/>
        <v>194278.25339999999</v>
      </c>
      <c r="XQ29" s="794">
        <f t="shared" si="797"/>
        <v>185606.75999999998</v>
      </c>
      <c r="XR29" s="786">
        <f t="shared" si="798"/>
        <v>1.1637034793404073</v>
      </c>
      <c r="XS29" s="593">
        <v>33125.32</v>
      </c>
      <c r="XT29" s="593">
        <f>'Proy 2021 vs 2019 Sem'!IK28*$XV$4</f>
        <v>23712.205536000001</v>
      </c>
      <c r="XU29" s="735">
        <v>26869.21</v>
      </c>
      <c r="XV29" s="700">
        <f t="shared" si="799"/>
        <v>0.81113812636376037</v>
      </c>
      <c r="XW29" s="593">
        <v>9751.39</v>
      </c>
      <c r="XX29" s="593">
        <f>'Proy 2021 vs 2019 Sem'!IK28*$XZ$4</f>
        <v>23712.205536000001</v>
      </c>
      <c r="XY29" s="735">
        <v>14841.53</v>
      </c>
      <c r="XZ29" s="700">
        <f t="shared" si="800"/>
        <v>1.5219912238152715</v>
      </c>
      <c r="YA29" s="593">
        <v>13486.79</v>
      </c>
      <c r="YB29" s="593">
        <f>'Proy 2021 vs 2019 Sem'!IK28*$YD$4</f>
        <v>23712.205536000001</v>
      </c>
      <c r="YC29" s="735">
        <v>16983.48</v>
      </c>
      <c r="YD29" s="700">
        <f t="shared" si="801"/>
        <v>1.2592677723906132</v>
      </c>
      <c r="YE29" s="593">
        <v>12330.45</v>
      </c>
      <c r="YF29" s="593">
        <f>'Proy 2021 vs 2019 Sem'!IK28*$YH$4</f>
        <v>23712.205536000001</v>
      </c>
      <c r="YG29" s="735">
        <v>16390.330000000002</v>
      </c>
      <c r="YH29" s="700">
        <f t="shared" si="802"/>
        <v>1.3292564342744995</v>
      </c>
      <c r="YI29" s="593">
        <v>20680.099999999999</v>
      </c>
      <c r="YJ29" s="593">
        <f>'Proy 2021 vs 2019 Sem'!IK28*$YL$4</f>
        <v>27664.239792000004</v>
      </c>
      <c r="YK29" s="735">
        <v>17259.36</v>
      </c>
      <c r="YL29" s="700">
        <f t="shared" si="803"/>
        <v>0.83458784048433043</v>
      </c>
      <c r="YM29" s="593">
        <v>24542.16</v>
      </c>
      <c r="YN29" s="593">
        <f>'Proy 2021 vs 2019 Sem'!IK28*$YP$4</f>
        <v>31616.274048000003</v>
      </c>
      <c r="YO29" s="735">
        <v>27883.55</v>
      </c>
      <c r="YP29" s="700">
        <f t="shared" si="804"/>
        <v>1.1361489779220737</v>
      </c>
      <c r="YQ29" s="593">
        <v>44867.1</v>
      </c>
      <c r="YR29" s="593">
        <f>'Proy 2021 vs 2019 Sem'!IK28*$YT$4</f>
        <v>43472.376816000004</v>
      </c>
      <c r="YS29" s="735">
        <v>38873.449999999997</v>
      </c>
      <c r="YT29" s="700">
        <f t="shared" si="805"/>
        <v>0.86641325158077964</v>
      </c>
      <c r="YU29" s="579">
        <f t="shared" si="806"/>
        <v>158783.31</v>
      </c>
      <c r="YV29" s="574">
        <f t="shared" si="807"/>
        <v>197601.71280000001</v>
      </c>
      <c r="YW29" s="794">
        <f t="shared" si="808"/>
        <v>159100.91</v>
      </c>
      <c r="YX29" s="786">
        <f t="shared" si="809"/>
        <v>1.0020002102236061</v>
      </c>
      <c r="YY29" s="593">
        <v>28729.5</v>
      </c>
      <c r="YZ29" s="593">
        <f>'Proy 2021 vs 2019 Sem'!IP28*$ZB$4</f>
        <v>25343.769480000003</v>
      </c>
      <c r="ZA29" s="735">
        <v>32414.39</v>
      </c>
      <c r="ZB29" s="700">
        <f t="shared" si="810"/>
        <v>1.128261543013279</v>
      </c>
      <c r="ZC29" s="593">
        <v>10279.049999999999</v>
      </c>
      <c r="ZD29" s="593">
        <f>'Proy 2021 vs 2019 Sem'!IP28*$ZF$4</f>
        <v>25343.769480000003</v>
      </c>
      <c r="ZE29" s="735">
        <v>12997.16</v>
      </c>
      <c r="ZF29" s="700">
        <f t="shared" si="811"/>
        <v>1.2644320243602278</v>
      </c>
      <c r="ZG29" s="593">
        <v>11582.26</v>
      </c>
      <c r="ZH29" s="593">
        <f>'Proy 2021 vs 2019 Sem'!IP28*$ZJ$4</f>
        <v>25343.769480000003</v>
      </c>
      <c r="ZI29" s="735">
        <v>15904.61</v>
      </c>
      <c r="ZJ29" s="700">
        <f t="shared" si="812"/>
        <v>1.3731870982001786</v>
      </c>
      <c r="ZK29" s="593">
        <v>23037.45</v>
      </c>
      <c r="ZL29" s="593">
        <f>'Proy 2021 vs 2019 Sem'!IP28*$ZN$4</f>
        <v>25343.769480000003</v>
      </c>
      <c r="ZM29" s="735">
        <v>22438.79</v>
      </c>
      <c r="ZN29" s="700">
        <f t="shared" si="813"/>
        <v>0.9740136169584741</v>
      </c>
      <c r="ZO29" s="593">
        <v>27675.14</v>
      </c>
      <c r="ZP29" s="593">
        <f>'Proy 2021 vs 2019 Sem'!IP28*$ZR$4</f>
        <v>29567.731060000006</v>
      </c>
      <c r="ZQ29" s="735">
        <v>24133.63</v>
      </c>
      <c r="ZR29" s="700">
        <f t="shared" si="814"/>
        <v>0.87203280633810709</v>
      </c>
      <c r="ZS29" s="593">
        <v>27668.44</v>
      </c>
      <c r="ZT29" s="593">
        <f>'Proy 2021 vs 2019 Sem'!IP28*$ZV$4</f>
        <v>33791.692640000008</v>
      </c>
      <c r="ZU29" s="735">
        <v>43554.82</v>
      </c>
      <c r="ZV29" s="700">
        <f t="shared" si="815"/>
        <v>1.5741697038213938</v>
      </c>
      <c r="ZW29" s="593">
        <v>36529.08</v>
      </c>
      <c r="ZX29" s="593">
        <f>'Proy 2021 vs 2019 Sem'!IP28*$ZZ$4</f>
        <v>46463.57738000001</v>
      </c>
      <c r="ZY29" s="735">
        <v>50132.67</v>
      </c>
      <c r="ZZ29" s="700">
        <f t="shared" si="816"/>
        <v>1.37240439671626</v>
      </c>
      <c r="AAA29" s="579">
        <f t="shared" si="817"/>
        <v>165500.92000000001</v>
      </c>
      <c r="AAB29" s="574">
        <f t="shared" si="818"/>
        <v>211198.07900000003</v>
      </c>
      <c r="AAC29" s="785">
        <f t="shared" si="819"/>
        <v>201576.07</v>
      </c>
      <c r="AAD29" s="786">
        <f t="shared" si="820"/>
        <v>1.2179755254532723</v>
      </c>
      <c r="AAE29" s="593">
        <v>26652.95</v>
      </c>
      <c r="AAF29" s="593">
        <f>'Proy 2021 vs 2019 Sem'!IY28*$AAH$4</f>
        <v>18703.816199999997</v>
      </c>
      <c r="AAG29" s="735">
        <v>32911.56</v>
      </c>
      <c r="AAH29" s="700">
        <f t="shared" si="821"/>
        <v>1.2348186598481592</v>
      </c>
      <c r="AAI29" s="593">
        <v>10442.89</v>
      </c>
      <c r="AAJ29" s="593">
        <f>'Proy 2021 vs 2019 Sem'!IY28*$AAL$4</f>
        <v>18703.816199999997</v>
      </c>
      <c r="AAK29" s="735">
        <v>21347.59</v>
      </c>
      <c r="AAL29" s="700">
        <f t="shared" si="822"/>
        <v>2.0442224326790766</v>
      </c>
      <c r="AAM29" s="593">
        <v>12817.46</v>
      </c>
      <c r="AAN29" s="593">
        <f>'Proy 2021 vs 2019 Sem'!IY28*$AAP$4</f>
        <v>18703.816199999997</v>
      </c>
      <c r="AAO29" s="735">
        <v>20420.439999999999</v>
      </c>
      <c r="AAP29" s="700">
        <f t="shared" si="823"/>
        <v>1.5931736865182338</v>
      </c>
      <c r="AAQ29" s="593">
        <v>12744.48</v>
      </c>
      <c r="AAR29" s="593">
        <f>'Proy 2021 vs 2019 Sem'!IY28*$AAT$4</f>
        <v>18703.816199999997</v>
      </c>
      <c r="AAS29" s="735">
        <v>11487.97</v>
      </c>
      <c r="AAT29" s="700">
        <f t="shared" si="824"/>
        <v>0.90140751133039554</v>
      </c>
      <c r="AAU29" s="593">
        <v>18766.259999999998</v>
      </c>
      <c r="AAV29" s="593">
        <f>'Proy 2021 vs 2019 Sem'!IY28*$AAX$4</f>
        <v>21821.118899999998</v>
      </c>
      <c r="AAW29" s="735">
        <v>15446</v>
      </c>
      <c r="AAX29" s="700">
        <f t="shared" si="825"/>
        <v>0.82307289784965154</v>
      </c>
      <c r="AAY29" s="593">
        <v>19672.12</v>
      </c>
      <c r="AAZ29" s="593">
        <f>'Proy 2021 vs 2019 Sem'!IY28*$ABB$4</f>
        <v>24938.421599999998</v>
      </c>
      <c r="ABA29" s="735">
        <v>37616.69</v>
      </c>
      <c r="ABB29" s="700">
        <f t="shared" si="826"/>
        <v>1.9121828252369346</v>
      </c>
      <c r="ABC29" s="593">
        <v>30649.51</v>
      </c>
      <c r="ABD29" s="593">
        <f>'Proy 2021 vs 2019 Sem'!IY28*$ABF$4</f>
        <v>34290.329699999995</v>
      </c>
      <c r="ABE29" s="735">
        <v>45472.14</v>
      </c>
      <c r="ABF29" s="700">
        <f t="shared" si="827"/>
        <v>1.483617193227559</v>
      </c>
      <c r="ABG29" s="579">
        <f t="shared" si="828"/>
        <v>131745.66999999998</v>
      </c>
      <c r="ABH29" s="574">
        <f t="shared" si="829"/>
        <v>155865.13499999998</v>
      </c>
      <c r="ABI29" s="759">
        <f t="shared" si="830"/>
        <v>184702.39</v>
      </c>
      <c r="ABJ29" s="761">
        <f t="shared" si="831"/>
        <v>1.4019617494829244</v>
      </c>
      <c r="ABK29" s="593">
        <v>34373.99</v>
      </c>
      <c r="ABL29" s="593">
        <f>'Proy 2021 vs 2019 Sem'!JD28*$ABN$4</f>
        <v>30211.486367999998</v>
      </c>
      <c r="ABM29" s="735">
        <v>36367.29</v>
      </c>
      <c r="ABN29" s="700">
        <f t="shared" si="832"/>
        <v>1.0579886129017901</v>
      </c>
      <c r="ABO29" s="593">
        <v>13167.2</v>
      </c>
      <c r="ABP29" s="593">
        <f>'Proy 2021 vs 2019 Sem'!JD28*$ABR$4</f>
        <v>30211.486367999998</v>
      </c>
      <c r="ABQ29" s="735">
        <v>15507.85</v>
      </c>
      <c r="ABR29" s="700">
        <f t="shared" si="833"/>
        <v>1.1777636855215992</v>
      </c>
      <c r="ABS29" s="593">
        <v>10290.719999999999</v>
      </c>
      <c r="ABT29" s="593">
        <f>'Proy 2021 vs 2019 Sem'!JD28*$ABV$4</f>
        <v>30211.486367999998</v>
      </c>
      <c r="ABU29" s="735">
        <v>16128.51</v>
      </c>
      <c r="ABV29" s="700">
        <f t="shared" si="834"/>
        <v>1.5672868370726247</v>
      </c>
      <c r="ABW29" s="593">
        <v>12875.67</v>
      </c>
      <c r="ABX29" s="593">
        <f>'Proy 2021 vs 2019 Sem'!JD28*$ABZ$4</f>
        <v>30211.486367999998</v>
      </c>
      <c r="ABY29" s="735">
        <v>23779.27</v>
      </c>
      <c r="ABZ29" s="700">
        <f t="shared" si="835"/>
        <v>1.8468374849619476</v>
      </c>
      <c r="ACA29" s="593">
        <v>37031.96</v>
      </c>
      <c r="ACB29" s="593">
        <f>'Proy 2021 vs 2019 Sem'!JD28*$ACD$4</f>
        <v>35246.734096</v>
      </c>
      <c r="ACC29" s="735">
        <v>27520.71</v>
      </c>
      <c r="ACD29" s="700">
        <f t="shared" si="836"/>
        <v>0.74316104251570803</v>
      </c>
      <c r="ACE29" s="593">
        <v>44155.3</v>
      </c>
      <c r="ACF29" s="593">
        <f>'Proy 2021 vs 2019 Sem'!JD28*$ACH$4</f>
        <v>40281.981824000002</v>
      </c>
      <c r="ACG29" s="735">
        <v>43399.39</v>
      </c>
      <c r="ACH29" s="700">
        <f t="shared" si="837"/>
        <v>0.9828806507939023</v>
      </c>
      <c r="ACI29" s="593">
        <v>65141.7</v>
      </c>
      <c r="ACJ29" s="593">
        <f>'Proy 2021 vs 2019 Sem'!JD28*$ACL$4</f>
        <v>55387.725008000001</v>
      </c>
      <c r="ACK29" s="735">
        <v>60800.75</v>
      </c>
      <c r="ACL29" s="700">
        <f t="shared" si="838"/>
        <v>0.93336142593760985</v>
      </c>
      <c r="ACM29" s="579">
        <f t="shared" si="839"/>
        <v>217036.54000000004</v>
      </c>
      <c r="ACN29" s="574">
        <f t="shared" si="840"/>
        <v>251762.38639999999</v>
      </c>
      <c r="ACO29" s="765">
        <f t="shared" si="841"/>
        <v>223503.77000000002</v>
      </c>
      <c r="ACP29" s="761">
        <f t="shared" si="842"/>
        <v>1.0297978856463523</v>
      </c>
      <c r="ACQ29" s="593">
        <v>62952.160000000003</v>
      </c>
      <c r="ACR29" s="593">
        <f>'Proy 2021 vs 2019 Sem'!JI28*$ACT$4</f>
        <v>29809.142687999996</v>
      </c>
      <c r="ACS29" s="735">
        <v>52534.52</v>
      </c>
      <c r="ACT29" s="700">
        <f t="shared" si="843"/>
        <v>0.83451497136873454</v>
      </c>
      <c r="ACU29" s="593">
        <v>47178.94</v>
      </c>
      <c r="ACV29" s="593">
        <f>'Proy 2021 vs 2019 Sem'!JI28*$ACX$4</f>
        <v>29809.142687999996</v>
      </c>
      <c r="ACW29" s="735">
        <v>40758.44</v>
      </c>
      <c r="ACX29" s="700">
        <f t="shared" si="844"/>
        <v>0.86391173688938327</v>
      </c>
      <c r="ACY29" s="593">
        <v>10731.62</v>
      </c>
      <c r="ACZ29" s="593">
        <f>'Proy 2021 vs 2019 Sem'!JI28*$ADB$4</f>
        <v>29809.142687999996</v>
      </c>
      <c r="ADA29" s="735">
        <v>20715.509999999998</v>
      </c>
      <c r="ADB29" s="700">
        <f t="shared" si="845"/>
        <v>1.9303245921864542</v>
      </c>
      <c r="ADC29" s="593">
        <v>15671.37</v>
      </c>
      <c r="ADD29" s="593">
        <f>'Proy 2021 vs 2019 Sem'!JI28*$ADF$4</f>
        <v>29809.142687999996</v>
      </c>
      <c r="ADE29" s="735">
        <v>18566.75</v>
      </c>
      <c r="ADF29" s="700">
        <f t="shared" si="846"/>
        <v>1.1847560232449363</v>
      </c>
      <c r="ADG29" s="593">
        <v>14838.3</v>
      </c>
      <c r="ADH29" s="593">
        <f>'Proy 2021 vs 2019 Sem'!JI28*$ADJ$4</f>
        <v>34777.333136000001</v>
      </c>
      <c r="ADI29" s="735">
        <v>21141.39</v>
      </c>
      <c r="ADJ29" s="700">
        <f t="shared" si="847"/>
        <v>1.4247851842866097</v>
      </c>
      <c r="ADK29" s="593">
        <v>20418.78</v>
      </c>
      <c r="ADL29" s="593">
        <f>'Proy 2021 vs 2019 Sem'!JI28*$ADN$4</f>
        <v>39745.523584000002</v>
      </c>
      <c r="ADM29" s="735">
        <v>35408.81</v>
      </c>
      <c r="ADN29" s="700">
        <f t="shared" si="848"/>
        <v>1.7341295611197143</v>
      </c>
      <c r="ADO29" s="593">
        <v>39491</v>
      </c>
      <c r="ADP29" s="593">
        <f>'Proy 2021 vs 2019 Sem'!JI28*$ADR$4</f>
        <v>54650.094927999999</v>
      </c>
      <c r="ADQ29" s="735">
        <v>41097.07</v>
      </c>
      <c r="ADR29" s="700">
        <f t="shared" si="849"/>
        <v>1.0406692664151325</v>
      </c>
      <c r="ADS29" s="579">
        <f t="shared" si="850"/>
        <v>211282.16999999998</v>
      </c>
      <c r="ADT29" s="574">
        <f t="shared" si="851"/>
        <v>248409.52240000002</v>
      </c>
      <c r="ADU29" s="765">
        <f t="shared" si="852"/>
        <v>230222.49</v>
      </c>
      <c r="ADV29" s="761">
        <f t="shared" si="853"/>
        <v>1.0896446680758722</v>
      </c>
      <c r="ADW29" s="593">
        <v>31392.66</v>
      </c>
      <c r="ADX29" s="593">
        <f>'Proy 2021 vs 2019 Sem'!JN28*$ADZ$4</f>
        <v>30888.24048</v>
      </c>
      <c r="ADY29" s="735">
        <v>37744.31</v>
      </c>
      <c r="ADZ29" s="700">
        <f t="shared" si="854"/>
        <v>1.2023291431818774</v>
      </c>
      <c r="AEA29" s="593">
        <v>16518.79</v>
      </c>
      <c r="AEB29" s="593">
        <f>'Proy 2021 vs 2019 Sem'!JN28*$AED$4</f>
        <v>30888.24048</v>
      </c>
      <c r="AEC29" s="735">
        <v>19095</v>
      </c>
      <c r="AED29" s="700">
        <f t="shared" si="855"/>
        <v>1.1559563382063698</v>
      </c>
      <c r="AEE29" s="593">
        <v>16899.560000000001</v>
      </c>
      <c r="AEF29" s="593">
        <f>'Proy 2021 vs 2019 Sem'!JN28*$AEH$4</f>
        <v>30888.24048</v>
      </c>
      <c r="AEG29" s="735">
        <v>16197</v>
      </c>
      <c r="AEH29" s="700">
        <f t="shared" si="856"/>
        <v>0.95842732000123076</v>
      </c>
      <c r="AEI29" s="593">
        <v>15654.8</v>
      </c>
      <c r="AEJ29" s="593">
        <f>'Proy 2021 vs 2019 Sem'!JN28*$AEL$4</f>
        <v>30888.24048</v>
      </c>
      <c r="AEK29" s="735">
        <v>19439</v>
      </c>
      <c r="AEL29" s="700">
        <f t="shared" si="857"/>
        <v>1.2417277767841175</v>
      </c>
      <c r="AEM29" s="593">
        <v>25971.01</v>
      </c>
      <c r="AEN29" s="593">
        <f>'Proy 2021 vs 2019 Sem'!JN28*$AEP$4</f>
        <v>36036.280560000007</v>
      </c>
      <c r="AEO29" s="735">
        <v>27307</v>
      </c>
      <c r="AEP29" s="700">
        <f t="shared" si="858"/>
        <v>1.051441588140007</v>
      </c>
      <c r="AEQ29" s="593">
        <v>37679.19</v>
      </c>
      <c r="AER29" s="593">
        <f>'Proy 2021 vs 2019 Sem'!JN28*$AET$4</f>
        <v>41184.320640000005</v>
      </c>
      <c r="AES29" s="735">
        <v>24743</v>
      </c>
      <c r="AET29" s="700">
        <f t="shared" si="859"/>
        <v>0.65667547524243486</v>
      </c>
      <c r="AEU29" s="593">
        <v>64826.9</v>
      </c>
      <c r="AEV29" s="593">
        <f>'Proy 2021 vs 2019 Sem'!JN28*$AEX$4</f>
        <v>56628.440880000002</v>
      </c>
      <c r="AEW29" s="735">
        <v>53773</v>
      </c>
      <c r="AEX29" s="700">
        <f t="shared" si="860"/>
        <v>0.82948590785615228</v>
      </c>
      <c r="AEY29" s="579">
        <f t="shared" si="861"/>
        <v>208942.91</v>
      </c>
      <c r="AEZ29" s="574">
        <f t="shared" si="862"/>
        <v>257402.00400000002</v>
      </c>
      <c r="AFA29" s="770">
        <f t="shared" si="863"/>
        <v>198298.31</v>
      </c>
      <c r="AFB29" s="761">
        <f t="shared" si="864"/>
        <v>0.94905498348807338</v>
      </c>
      <c r="AFC29" s="593">
        <v>47930.19</v>
      </c>
      <c r="AFD29" s="593">
        <f>'Proy 2021 vs 2019 Sem'!JX28*$AFF$4</f>
        <v>33063.425003999997</v>
      </c>
      <c r="AFE29" s="735">
        <v>46195</v>
      </c>
      <c r="AFF29" s="700">
        <f t="shared" si="865"/>
        <v>0.96379755640442899</v>
      </c>
      <c r="AFG29" s="593">
        <v>15107.6</v>
      </c>
      <c r="AFH29" s="593">
        <f>'Proy 2021 vs 2019 Sem'!JX28*$AFJ$4</f>
        <v>33063.425003999997</v>
      </c>
      <c r="AFI29" s="735">
        <v>15491.74</v>
      </c>
      <c r="AFJ29" s="700">
        <f t="shared" si="866"/>
        <v>1.025426937435463</v>
      </c>
      <c r="AFK29" s="593">
        <v>22998.080000000002</v>
      </c>
      <c r="AFL29" s="593">
        <f>'Proy 2021 vs 2019 Sem'!JX28*$AFN$4</f>
        <v>33063.425003999997</v>
      </c>
      <c r="AFM29" s="735">
        <v>22256.5</v>
      </c>
      <c r="AFN29" s="700">
        <f t="shared" si="867"/>
        <v>0.96775469952274273</v>
      </c>
      <c r="AFO29" s="593">
        <v>26937.06</v>
      </c>
      <c r="AFP29" s="593">
        <f>'Proy 2021 vs 2019 Sem'!JX28*$AFR$4</f>
        <v>33063.425003999997</v>
      </c>
      <c r="AFQ29" s="735">
        <v>24858.23</v>
      </c>
      <c r="AFR29" s="700">
        <f t="shared" si="868"/>
        <v>0.92282639605064543</v>
      </c>
      <c r="AFS29" s="593">
        <v>35442.730000000003</v>
      </c>
      <c r="AFT29" s="593">
        <f>'Proy 2021 vs 2019 Sem'!JX28*$AFV$4</f>
        <v>38573.995838000003</v>
      </c>
      <c r="AFU29" s="735">
        <v>32332.91</v>
      </c>
      <c r="AFV29" s="700">
        <f t="shared" si="869"/>
        <v>0.91225788758371595</v>
      </c>
      <c r="AFW29" s="593">
        <v>43291.29</v>
      </c>
      <c r="AFX29" s="593">
        <f>'Proy 2021 vs 2019 Sem'!JX28*$AFZ$4</f>
        <v>44084.566672000001</v>
      </c>
      <c r="AFY29" s="735">
        <v>31559.37</v>
      </c>
      <c r="AFZ29" s="700">
        <f t="shared" si="870"/>
        <v>0.7290004525159679</v>
      </c>
      <c r="AGA29" s="593">
        <v>63745.17</v>
      </c>
      <c r="AGB29" s="593">
        <f>'Proy 2021 vs 2019 Sem'!JX28*$AGD$4</f>
        <v>60616.279174000003</v>
      </c>
      <c r="AGC29" s="735">
        <v>52054.13</v>
      </c>
      <c r="AGD29" s="700">
        <f t="shared" si="871"/>
        <v>0.81659724179886883</v>
      </c>
      <c r="AGE29" s="579">
        <f t="shared" si="872"/>
        <v>255452.12</v>
      </c>
      <c r="AGF29" s="574">
        <f t="shared" si="873"/>
        <v>275528.5417</v>
      </c>
      <c r="AGG29" s="729">
        <f t="shared" si="874"/>
        <v>224747.87999999998</v>
      </c>
      <c r="AGH29" s="711">
        <f t="shared" si="875"/>
        <v>0.87980432497487193</v>
      </c>
      <c r="AGI29" s="593">
        <v>45986.46</v>
      </c>
      <c r="AGJ29" s="593">
        <f>'Proy 2021 vs 2019 Sem'!KC28*$AGL$4</f>
        <v>45897.712488000005</v>
      </c>
      <c r="AGK29" s="735">
        <v>47027.06</v>
      </c>
      <c r="AGL29" s="700">
        <f t="shared" si="876"/>
        <v>1.0226283997507093</v>
      </c>
      <c r="AGM29" s="593">
        <v>20694.61</v>
      </c>
      <c r="AGN29" s="593">
        <f>'Proy 2021 vs 2019 Sem'!KC28*$AGP$4</f>
        <v>45897.712488000005</v>
      </c>
      <c r="AGO29" s="735">
        <v>23336.07</v>
      </c>
      <c r="AGP29" s="700">
        <f t="shared" si="877"/>
        <v>1.1276399990142361</v>
      </c>
      <c r="AGQ29" s="593">
        <v>35626.68</v>
      </c>
      <c r="AGR29" s="593">
        <f>'Proy 2021 vs 2019 Sem'!KC28*$AGT$4</f>
        <v>45897.712488000005</v>
      </c>
      <c r="AGS29" s="735">
        <v>26298.55</v>
      </c>
      <c r="AGT29" s="700">
        <f t="shared" si="878"/>
        <v>0.73817010173274633</v>
      </c>
      <c r="AGU29" s="593">
        <v>40880.160000000003</v>
      </c>
      <c r="AGV29" s="593">
        <f>'Proy 2021 vs 2019 Sem'!KC28*$AGX$4</f>
        <v>45897.712488000005</v>
      </c>
      <c r="AGW29" s="735">
        <v>27903.4</v>
      </c>
      <c r="AGX29" s="700">
        <f t="shared" si="879"/>
        <v>0.6825658216601892</v>
      </c>
      <c r="AGY29" s="593">
        <v>61705.81</v>
      </c>
      <c r="AGZ29" s="593">
        <f>'Proy 2021 vs 2019 Sem'!KC28*$AHB$4</f>
        <v>53547.331236000013</v>
      </c>
      <c r="AHA29" s="735">
        <v>26507.78</v>
      </c>
      <c r="AHB29" s="700">
        <f t="shared" si="880"/>
        <v>0.4295832110460911</v>
      </c>
      <c r="AHC29" s="593">
        <v>65313.32</v>
      </c>
      <c r="AHD29" s="593">
        <f>'Proy 2021 vs 2019 Sem'!KC28*$AHF$4</f>
        <v>61196.949984000006</v>
      </c>
      <c r="AHE29" s="735">
        <v>36932.17</v>
      </c>
      <c r="AHF29" s="700">
        <f t="shared" si="881"/>
        <v>0.5654615321958828</v>
      </c>
      <c r="AHG29" s="593">
        <v>83969.62</v>
      </c>
      <c r="AHH29" s="593">
        <f>'Proy 2021 vs 2019 Sem'!KC28*$AHJ$4</f>
        <v>84145.806228000016</v>
      </c>
      <c r="AHI29" s="735">
        <v>53697.08</v>
      </c>
      <c r="AHJ29" s="700">
        <f t="shared" si="882"/>
        <v>0.63948223178811581</v>
      </c>
      <c r="AHK29" s="579">
        <f t="shared" si="883"/>
        <v>354176.66</v>
      </c>
      <c r="AHL29" s="574">
        <f t="shared" si="884"/>
        <v>382480.93740000005</v>
      </c>
      <c r="AHM29" s="730">
        <f t="shared" si="885"/>
        <v>241702.11000000004</v>
      </c>
      <c r="AHN29" s="711">
        <f t="shared" si="886"/>
        <v>0.68243376059845406</v>
      </c>
      <c r="AHO29" s="593">
        <v>72833.45</v>
      </c>
      <c r="AHP29" s="593">
        <f>'Proy 2021 vs 2019 Sem'!KH28*$AHR$4</f>
        <v>55319.526720000002</v>
      </c>
      <c r="AHQ29" s="735">
        <v>50073.86</v>
      </c>
      <c r="AHR29" s="700">
        <f t="shared" si="887"/>
        <v>0.68751185066751608</v>
      </c>
      <c r="AHS29" s="593">
        <v>37364.01</v>
      </c>
      <c r="AHT29" s="593">
        <f>'Proy 2021 vs 2019 Sem'!KH28*$AHV$4</f>
        <v>55319.526720000002</v>
      </c>
      <c r="AHU29" s="735">
        <v>42942.19</v>
      </c>
      <c r="AHV29" s="700">
        <f t="shared" si="888"/>
        <v>1.1492928623025205</v>
      </c>
      <c r="AHW29" s="593">
        <v>47143.519999999997</v>
      </c>
      <c r="AHX29" s="593">
        <f>'Proy 2021 vs 2019 Sem'!KH28*$AHZ$4</f>
        <v>55319.526720000002</v>
      </c>
      <c r="AHY29" s="735">
        <v>44864.72</v>
      </c>
      <c r="AHZ29" s="700">
        <f t="shared" si="889"/>
        <v>0.95166249783639412</v>
      </c>
      <c r="AIA29" s="593">
        <v>49129.919999999998</v>
      </c>
      <c r="AIB29" s="593">
        <f>'Proy 2021 vs 2019 Sem'!KH28*$AID$4</f>
        <v>55319.526720000002</v>
      </c>
      <c r="AIC29" s="735">
        <v>50341.69</v>
      </c>
      <c r="AID29" s="700">
        <f t="shared" si="890"/>
        <v>1.0246646035654039</v>
      </c>
      <c r="AIE29" s="593">
        <v>57682.84</v>
      </c>
      <c r="AIF29" s="593">
        <f>'Proy 2021 vs 2019 Sem'!KH28*$AIH$4</f>
        <v>64539.447840000015</v>
      </c>
      <c r="AIG29" s="735">
        <v>56085.84</v>
      </c>
      <c r="AIH29" s="700">
        <f t="shared" si="891"/>
        <v>0.97231412322971611</v>
      </c>
      <c r="AII29" s="593">
        <v>71995.3</v>
      </c>
      <c r="AIJ29" s="593">
        <f>'Proy 2021 vs 2019 Sem'!KH28*$AIL$4</f>
        <v>73759.368960000007</v>
      </c>
      <c r="AIK29" s="735">
        <v>69319.61</v>
      </c>
      <c r="AIL29" s="700">
        <f t="shared" si="892"/>
        <v>0.9628352128541724</v>
      </c>
      <c r="AIM29" s="593">
        <v>89577.279999999999</v>
      </c>
      <c r="AIN29" s="593">
        <f>'Proy 2021 vs 2019 Sem'!KH28*$AIP$4</f>
        <v>101419.13232</v>
      </c>
      <c r="AIO29" s="735">
        <v>96751.25</v>
      </c>
      <c r="AIP29" s="700">
        <f t="shared" si="893"/>
        <v>1.0800869372233675</v>
      </c>
      <c r="AIQ29" s="579">
        <f t="shared" si="894"/>
        <v>425726.31999999995</v>
      </c>
      <c r="AIR29" s="574">
        <f t="shared" si="895"/>
        <v>460996.05599999998</v>
      </c>
      <c r="AIS29" s="730">
        <f t="shared" si="896"/>
        <v>410379.16000000003</v>
      </c>
      <c r="AIT29" s="711">
        <f t="shared" si="897"/>
        <v>0.96395064322074353</v>
      </c>
      <c r="AIU29" s="593">
        <f>'Proy 2021 vs 2019 Sem'!KL28*$AIX$4</f>
        <v>56103.356399999997</v>
      </c>
      <c r="AIV29" s="593">
        <f>'Proy 2021 vs 2019 Sem'!KM28*$AIX$4</f>
        <v>102108.10864799999</v>
      </c>
      <c r="AIW29" s="735">
        <v>96209.1</v>
      </c>
      <c r="AIX29" s="700">
        <f t="shared" si="898"/>
        <v>1.7148546214251097</v>
      </c>
      <c r="AIY29" s="593">
        <f>'Proy 2021 vs 2019 Sem'!KL28*$AJB$4</f>
        <v>56103.356399999997</v>
      </c>
      <c r="AIZ29" s="593">
        <f>'Proy 2021 vs 2019 Sem'!KM28*$AJB$4</f>
        <v>102108.10864799999</v>
      </c>
      <c r="AJA29" s="735">
        <v>81391.509999999995</v>
      </c>
      <c r="AJB29" s="700">
        <f t="shared" si="899"/>
        <v>1.4507422589782881</v>
      </c>
      <c r="AJC29" s="593">
        <f>'Proy 2021 vs 2019 Sem'!KL28*$AJF$4</f>
        <v>56103.356399999997</v>
      </c>
      <c r="AJD29" s="593">
        <f>'Proy 2021 vs 2019 Sem'!KM28*$AJF$4</f>
        <v>102108.10864799999</v>
      </c>
      <c r="AJE29" s="735">
        <v>85918.88</v>
      </c>
      <c r="AJF29" s="700">
        <f t="shared" si="900"/>
        <v>1.5314392135013157</v>
      </c>
      <c r="AJG29" s="593">
        <f>'Proy 2021 vs 2019 Sem'!KL28*$AJJ$4</f>
        <v>56103.356399999997</v>
      </c>
      <c r="AJH29" s="593">
        <f>'Proy 2021 vs 2019 Sem'!KM28*$AJJ$4</f>
        <v>102108.10864799999</v>
      </c>
      <c r="AJI29" s="735">
        <v>109530.57</v>
      </c>
      <c r="AJJ29" s="700">
        <f t="shared" si="901"/>
        <v>1.9522997736370726</v>
      </c>
      <c r="AJK29" s="593">
        <f>'Proy 2021 vs 2019 Sem'!KL28*$AJN$4</f>
        <v>65453.915800000002</v>
      </c>
      <c r="AJL29" s="593">
        <f>'Proy 2021 vs 2019 Sem'!KM28*$AJN$4</f>
        <v>119126.126756</v>
      </c>
      <c r="AJM29" s="735">
        <v>134213.41</v>
      </c>
      <c r="AJN29" s="700">
        <f t="shared" si="902"/>
        <v>2.0505023780410707</v>
      </c>
      <c r="AJO29" s="593">
        <f>'Proy 2021 vs 2019 Sem'!KL28*$AJR$4</f>
        <v>74804.475200000001</v>
      </c>
      <c r="AJP29" s="593">
        <f>'Proy 2021 vs 2019 Sem'!KM28*$AJR$4</f>
        <v>136144.144864</v>
      </c>
      <c r="AJQ29" s="735">
        <v>111434.65</v>
      </c>
      <c r="AJR29" s="700">
        <f t="shared" si="903"/>
        <v>1.4896789223113218</v>
      </c>
      <c r="AJS29" s="593">
        <f>'Proy 2021 vs 2019 Sem'!KL28*$AJV$4</f>
        <v>102856.1534</v>
      </c>
      <c r="AJT29" s="593">
        <f>'Proy 2021 vs 2019 Sem'!KM28*$AJV$4</f>
        <v>187198.199188</v>
      </c>
      <c r="AJU29" s="699">
        <v>0</v>
      </c>
      <c r="AJV29" s="700">
        <f t="shared" si="904"/>
        <v>0</v>
      </c>
      <c r="AJW29" s="579">
        <f t="shared" si="905"/>
        <v>467527.97</v>
      </c>
      <c r="AJX29" s="574">
        <f t="shared" si="906"/>
        <v>850900.90540000005</v>
      </c>
      <c r="AJY29" s="710">
        <f t="shared" si="907"/>
        <v>618698.12</v>
      </c>
      <c r="AJZ29" s="711">
        <f t="shared" si="908"/>
        <v>1.3233392646005757</v>
      </c>
      <c r="AKA29" s="593">
        <f>'Proy 2021 vs 2019 Sem'!KQ28*$AKD$4</f>
        <v>24027.153599999998</v>
      </c>
      <c r="AKB29" s="593">
        <f>'Proy 2021 vs 2019 Sem'!KR28*$AKD$4</f>
        <v>30033.941999999999</v>
      </c>
      <c r="AKC29" s="735">
        <v>39482.620000000003</v>
      </c>
      <c r="AKD29" s="700">
        <f t="shared" si="909"/>
        <v>1.6432499936238809</v>
      </c>
      <c r="AKE29" s="593">
        <f>'Proy 2021 vs 2019 Sem'!KQ28*$AKH$4</f>
        <v>24027.153599999998</v>
      </c>
      <c r="AKF29" s="593">
        <f>'Proy 2021 vs 2019 Sem'!KR28*$AKH$4</f>
        <v>30033.941999999999</v>
      </c>
      <c r="AKG29" s="735">
        <v>36312.79</v>
      </c>
      <c r="AKH29" s="700">
        <f t="shared" si="910"/>
        <v>1.5113230058178846</v>
      </c>
      <c r="AKI29" s="593">
        <f>'Proy 2021 vs 2019 Sem'!KQ28*$AKL$4</f>
        <v>24027.153599999998</v>
      </c>
      <c r="AKJ29" s="593">
        <f>'Proy 2021 vs 2019 Sem'!KR28*$AKL$4</f>
        <v>30033.941999999999</v>
      </c>
      <c r="AKK29" s="735">
        <v>34170.720000000001</v>
      </c>
      <c r="AKL29" s="700">
        <f t="shared" si="911"/>
        <v>1.4221709557806299</v>
      </c>
      <c r="AKM29" s="593">
        <f>'Proy 2021 vs 2019 Sem'!KQ28*$AKP$4</f>
        <v>24027.153599999998</v>
      </c>
      <c r="AKN29" s="593">
        <f>'Proy 2021 vs 2019 Sem'!KR28*$AKP$4</f>
        <v>30033.941999999999</v>
      </c>
      <c r="AKO29" s="735">
        <v>40891.51</v>
      </c>
      <c r="AKP29" s="700">
        <f t="shared" si="912"/>
        <v>1.7018874012608805</v>
      </c>
      <c r="AKQ29" s="593">
        <f>'Proy 2021 vs 2019 Sem'!KQ28*$AKT$4</f>
        <v>28031.679200000002</v>
      </c>
      <c r="AKR29" s="593">
        <f>'Proy 2021 vs 2019 Sem'!KR28*$AKT$4</f>
        <v>35039.599000000002</v>
      </c>
      <c r="AKS29" s="735">
        <v>47931.35</v>
      </c>
      <c r="AKT29" s="700">
        <f t="shared" si="913"/>
        <v>1.7098993484485936</v>
      </c>
      <c r="AKU29" s="593">
        <f>'Proy 2021 vs 2019 Sem'!KQ28*$AKX$4</f>
        <v>32036.2048</v>
      </c>
      <c r="AKV29" s="593">
        <f>'Proy 2021 vs 2019 Sem'!KR28*$AKX$4</f>
        <v>40045.256000000001</v>
      </c>
      <c r="AKW29" s="735">
        <v>41391.269999999997</v>
      </c>
      <c r="AKX29" s="700">
        <f t="shared" si="914"/>
        <v>1.2920154012749974</v>
      </c>
      <c r="AKY29" s="593">
        <f>'Proy 2021 vs 2019 Sem'!KQ28*$ALB$4</f>
        <v>44049.781600000002</v>
      </c>
      <c r="AKZ29" s="593">
        <f>'Proy 2021 vs 2019 Sem'!KR28*$ALB$4</f>
        <v>55062.226999999999</v>
      </c>
      <c r="ALA29" s="699">
        <v>0</v>
      </c>
      <c r="ALB29" s="700">
        <f>ALA29/AKY29</f>
        <v>0</v>
      </c>
      <c r="ALC29" s="579">
        <f t="shared" si="915"/>
        <v>200226.27999999997</v>
      </c>
      <c r="ALD29" s="574">
        <f t="shared" si="916"/>
        <v>250282.84999999998</v>
      </c>
      <c r="ALE29" s="710">
        <f t="shared" si="917"/>
        <v>240180.26</v>
      </c>
      <c r="ALF29" s="711">
        <f t="shared" si="918"/>
        <v>1.199544135764796</v>
      </c>
    </row>
    <row r="30" spans="2:994" ht="19.5" customHeight="1">
      <c r="B30" s="568" t="s">
        <v>229</v>
      </c>
      <c r="C30" s="574">
        <f>'Proy 2021 vs 2019 Sem'!DX29*$F$4</f>
        <v>25859.55</v>
      </c>
      <c r="D30" s="576">
        <f>'Proy 2021 vs 2019 Sem'!$DY$29*F4</f>
        <v>20016.828454705177</v>
      </c>
      <c r="E30" s="735">
        <v>22245.91</v>
      </c>
      <c r="F30" s="700">
        <f t="shared" si="580"/>
        <v>0.86025897589091849</v>
      </c>
      <c r="G30" s="574">
        <f>'Proy 2021 vs 2019 Sem'!DX29*$J$4</f>
        <v>25859.55</v>
      </c>
      <c r="H30" s="574">
        <f>'Proy 2021 vs 2019 Sem'!$DY$29*J4</f>
        <v>20016.828454705177</v>
      </c>
      <c r="I30" s="735">
        <v>20039.63</v>
      </c>
      <c r="J30" s="700">
        <f t="shared" si="581"/>
        <v>0.774941172603545</v>
      </c>
      <c r="K30" s="574">
        <f>'Proy 2021 vs 2019 Sem'!DX29*'Vtas Diarias 2021'!$N$4</f>
        <v>25859.55</v>
      </c>
      <c r="L30" s="574">
        <f>'Proy 2021 vs 2019 Sem'!$DY$29*N4</f>
        <v>20016.828454705177</v>
      </c>
      <c r="M30" s="735">
        <v>23977.7</v>
      </c>
      <c r="N30" s="700">
        <f t="shared" si="582"/>
        <v>0.92722804534494996</v>
      </c>
      <c r="O30" s="574">
        <f>'Proy 2021 vs 2019 Sem'!DX29*$R$4</f>
        <v>25859.55</v>
      </c>
      <c r="P30" s="574">
        <f>'Proy 2021 vs 2019 Sem'!$DY$29*R4</f>
        <v>20016.828454705177</v>
      </c>
      <c r="Q30" s="735">
        <v>25872.65</v>
      </c>
      <c r="R30" s="700">
        <f t="shared" si="583"/>
        <v>1.0005065826744859</v>
      </c>
      <c r="S30" s="574">
        <f>'Proy 2021 vs 2019 Sem'!DX29*$V$4</f>
        <v>30169.475000000002</v>
      </c>
      <c r="T30" s="574">
        <f>'Proy 2021 vs 2019 Sem'!$DY$29*V4</f>
        <v>23352.966530489375</v>
      </c>
      <c r="U30" s="735">
        <v>28998.57</v>
      </c>
      <c r="V30" s="700">
        <f t="shared" si="584"/>
        <v>0.96118908267379521</v>
      </c>
      <c r="W30" s="574">
        <f>'Proy 2021 vs 2019 Sem'!DX29*$Z$4</f>
        <v>34479.4</v>
      </c>
      <c r="X30" s="574">
        <f>'Proy 2021 vs 2019 Sem'!$DY$29*Z4</f>
        <v>26689.10460627357</v>
      </c>
      <c r="Y30" s="735">
        <v>33868.68</v>
      </c>
      <c r="Z30" s="700">
        <f t="shared" si="585"/>
        <v>0.98228739479225269</v>
      </c>
      <c r="AA30" s="574">
        <f>'Proy 2021 vs 2019 Sem'!DX29*$AD$4</f>
        <v>47409.175000000003</v>
      </c>
      <c r="AB30" s="574">
        <f>'Proy 2021 vs 2019 Sem'!$DY$29*AD4</f>
        <v>36697.518833626156</v>
      </c>
      <c r="AC30" s="735">
        <v>37644.959999999999</v>
      </c>
      <c r="AD30" s="700">
        <f t="shared" si="586"/>
        <v>0.79404376895400519</v>
      </c>
      <c r="AE30" s="579">
        <f t="shared" si="587"/>
        <v>215496.25</v>
      </c>
      <c r="AF30" s="574">
        <f t="shared" si="588"/>
        <v>166806.90378920981</v>
      </c>
      <c r="AG30" s="729">
        <f t="shared" si="589"/>
        <v>192648.1</v>
      </c>
      <c r="AH30" s="711">
        <f t="shared" si="590"/>
        <v>0.89397425709264089</v>
      </c>
      <c r="AI30" s="593">
        <f>'Proy 2021 vs 2019 Sem'!EC29*$AL$4</f>
        <v>33457.737599999993</v>
      </c>
      <c r="AJ30" s="611">
        <f>'Proy 2021 vs 2019 Sem'!ED29*$AL$4</f>
        <v>26766.19008</v>
      </c>
      <c r="AK30" s="735">
        <v>13325.02</v>
      </c>
      <c r="AL30" s="700">
        <f t="shared" si="591"/>
        <v>0.39826422692728641</v>
      </c>
      <c r="AM30" s="593">
        <f>'Proy 2021 vs 2019 Sem'!EC29*$AP$4</f>
        <v>33457.737599999993</v>
      </c>
      <c r="AN30" s="593">
        <f>'Proy 2021 vs 2019 Sem'!ED29*$AP$4</f>
        <v>26766.19008</v>
      </c>
      <c r="AO30" s="735">
        <v>14276.75</v>
      </c>
      <c r="AP30" s="700">
        <f t="shared" si="592"/>
        <v>0.42670996379623716</v>
      </c>
      <c r="AQ30" s="593">
        <f>'Proy 2021 vs 2019 Sem'!EC29*$AT$4</f>
        <v>33457.737599999993</v>
      </c>
      <c r="AR30" s="593">
        <f>'Proy 2021 vs 2019 Sem'!ED29*$AT$4</f>
        <v>26766.19008</v>
      </c>
      <c r="AS30" s="735">
        <v>17682.310000000001</v>
      </c>
      <c r="AT30" s="700">
        <f t="shared" si="593"/>
        <v>0.52849688198881695</v>
      </c>
      <c r="AU30" s="593">
        <f>'Proy 2021 vs 2019 Sem'!EC29*$AX$4</f>
        <v>33457.737599999993</v>
      </c>
      <c r="AV30" s="593">
        <f>'Proy 2021 vs 2019 Sem'!ED29*$AX$4</f>
        <v>26766.19008</v>
      </c>
      <c r="AW30" s="735">
        <v>22686.27</v>
      </c>
      <c r="AX30" s="700">
        <f t="shared" si="594"/>
        <v>0.67805750260890341</v>
      </c>
      <c r="AY30" s="593">
        <f>'Proy 2021 vs 2019 Sem'!EC29*$BB$4</f>
        <v>39034.027200000004</v>
      </c>
      <c r="AZ30" s="593">
        <f>'Proy 2021 vs 2019 Sem'!ED29*$BB$4</f>
        <v>31227.221760000004</v>
      </c>
      <c r="BA30" s="735">
        <v>27856.67</v>
      </c>
      <c r="BB30" s="700">
        <f t="shared" si="595"/>
        <v>0.71365093479260566</v>
      </c>
      <c r="BC30" s="593">
        <f>'Proy 2021 vs 2019 Sem'!EC29*$BF$4</f>
        <v>44610.316800000001</v>
      </c>
      <c r="BD30" s="593">
        <f>'Proy 2021 vs 2019 Sem'!ED29*$BF$4</f>
        <v>35688.25344</v>
      </c>
      <c r="BE30" s="735">
        <v>27251.55</v>
      </c>
      <c r="BF30" s="700">
        <f t="shared" si="596"/>
        <v>0.61087999267469895</v>
      </c>
      <c r="BG30" s="593">
        <f>'Proy 2021 vs 2019 Sem'!EC29*$BJ$4</f>
        <v>61339.185599999997</v>
      </c>
      <c r="BH30" s="593">
        <f>'Proy 2021 vs 2019 Sem'!ED29*$BJ$4</f>
        <v>49071.348480000001</v>
      </c>
      <c r="BI30" s="735">
        <v>34191.17</v>
      </c>
      <c r="BJ30" s="700">
        <f t="shared" si="597"/>
        <v>0.55741154150569616</v>
      </c>
      <c r="BK30" s="579">
        <f t="shared" si="598"/>
        <v>278814.48</v>
      </c>
      <c r="BL30" s="574">
        <f t="shared" si="599"/>
        <v>223051.58400000003</v>
      </c>
      <c r="BM30" s="730">
        <f t="shared" si="600"/>
        <v>157269.74</v>
      </c>
      <c r="BN30" s="711">
        <f t="shared" si="601"/>
        <v>0.56406589786871897</v>
      </c>
      <c r="BO30" s="593">
        <f>'Proy 2021 vs 2019 Sem'!EH29*$BR$4</f>
        <v>29261.685600000001</v>
      </c>
      <c r="BP30" s="593">
        <f>'Proy 2021 vs 2019 Sem'!EI29*$BR$4</f>
        <v>23409.348480000001</v>
      </c>
      <c r="BQ30" s="735">
        <v>15823.35</v>
      </c>
      <c r="BR30" s="700">
        <f t="shared" si="602"/>
        <v>0.54075319570790548</v>
      </c>
      <c r="BS30" s="593">
        <f>'Proy 2021 vs 2019 Sem'!EH29*$BV$4</f>
        <v>29261.685600000001</v>
      </c>
      <c r="BT30" s="593">
        <f>'Proy 2021 vs 2019 Sem'!EI29*$BV$4</f>
        <v>23409.348480000001</v>
      </c>
      <c r="BU30" s="735">
        <v>16481.53</v>
      </c>
      <c r="BV30" s="700">
        <f t="shared" si="603"/>
        <v>0.56324608996550762</v>
      </c>
      <c r="BW30" s="593">
        <f>'Proy 2021 vs 2019 Sem'!EH29*$BZ$4</f>
        <v>29261.685600000001</v>
      </c>
      <c r="BX30" s="593">
        <f>'Proy 2021 vs 2019 Sem'!EI29*$BZ$4</f>
        <v>23409.348480000001</v>
      </c>
      <c r="BY30" s="735">
        <v>18799.82</v>
      </c>
      <c r="BZ30" s="700">
        <f t="shared" si="604"/>
        <v>0.64247221629638451</v>
      </c>
      <c r="CA30" s="593">
        <f>'Proy 2021 vs 2019 Sem'!EH29*$CD$4</f>
        <v>29261.685600000001</v>
      </c>
      <c r="CB30" s="593">
        <f>'Proy 2021 vs 2019 Sem'!EI29*$CD$4</f>
        <v>23409.348480000001</v>
      </c>
      <c r="CC30" s="735">
        <v>24446.06</v>
      </c>
      <c r="CD30" s="700">
        <f t="shared" si="605"/>
        <v>0.83542897474094935</v>
      </c>
      <c r="CE30" s="593">
        <f>'Proy 2021 vs 2019 Sem'!EH29*$CH$4</f>
        <v>34138.633200000004</v>
      </c>
      <c r="CF30" s="593">
        <f>'Proy 2021 vs 2019 Sem'!EI29*$CH$4</f>
        <v>27310.906560000003</v>
      </c>
      <c r="CG30" s="735">
        <v>27696.29</v>
      </c>
      <c r="CH30" s="700">
        <f t="shared" si="606"/>
        <v>0.81128877766553342</v>
      </c>
      <c r="CI30" s="593">
        <f>'Proy 2021 vs 2019 Sem'!EH29*$CL$4</f>
        <v>39015.580800000003</v>
      </c>
      <c r="CJ30" s="593">
        <f>'Proy 2021 vs 2019 Sem'!EI29*$CL$4</f>
        <v>31212.464640000002</v>
      </c>
      <c r="CK30" s="735">
        <v>32881.71</v>
      </c>
      <c r="CL30" s="700">
        <f t="shared" si="607"/>
        <v>0.84278407051164539</v>
      </c>
      <c r="CM30" s="593">
        <f>'Proy 2021 vs 2019 Sem'!EH29*$CP$4</f>
        <v>53646.423600000002</v>
      </c>
      <c r="CN30" s="593">
        <f>'Proy 2021 vs 2019 Sem'!EI29*$CP$4</f>
        <v>42917.138880000006</v>
      </c>
      <c r="CO30" s="735">
        <v>37605.56</v>
      </c>
      <c r="CP30" s="700">
        <f t="shared" si="608"/>
        <v>0.70098913359808757</v>
      </c>
      <c r="CQ30" s="579">
        <f t="shared" si="609"/>
        <v>243847.38</v>
      </c>
      <c r="CR30" s="574">
        <f t="shared" si="610"/>
        <v>195077.90400000001</v>
      </c>
      <c r="CS30" s="730">
        <f t="shared" si="611"/>
        <v>173734.31999999998</v>
      </c>
      <c r="CT30" s="711">
        <f t="shared" si="612"/>
        <v>0.71247154675190671</v>
      </c>
      <c r="CU30" s="593">
        <f>'Proy 2021 vs 2019 Sem'!EM29*$CX$4</f>
        <v>33338.106</v>
      </c>
      <c r="CV30" s="593">
        <f>'Proy 2021 vs 2019 Sem'!EN29*$CX$4</f>
        <v>23336.674199999998</v>
      </c>
      <c r="CW30" s="735">
        <v>17499.599999999999</v>
      </c>
      <c r="CX30" s="700">
        <f t="shared" si="613"/>
        <v>0.5249128429791422</v>
      </c>
      <c r="CY30" s="593">
        <f>'Proy 2021 vs 2019 Sem'!EM29*$DB$4</f>
        <v>33338.106</v>
      </c>
      <c r="CZ30" s="593">
        <f>'Proy 2021 vs 2019 Sem'!EN29*$DB$4</f>
        <v>23336.674199999998</v>
      </c>
      <c r="DA30" s="735">
        <v>20231.75</v>
      </c>
      <c r="DB30" s="700">
        <f t="shared" si="614"/>
        <v>0.60686560898210595</v>
      </c>
      <c r="DC30" s="593">
        <f>'Proy 2021 vs 2019 Sem'!EM29*$DF$4</f>
        <v>33338.106</v>
      </c>
      <c r="DD30" s="593">
        <f>'Proy 2021 vs 2019 Sem'!EN29*$DF$4</f>
        <v>23336.674199999998</v>
      </c>
      <c r="DE30" s="735">
        <v>13425.37</v>
      </c>
      <c r="DF30" s="700">
        <f t="shared" si="615"/>
        <v>0.40270344092132893</v>
      </c>
      <c r="DG30" s="593">
        <f>'Proy 2021 vs 2019 Sem'!EM29*$DJ$4</f>
        <v>33338.106</v>
      </c>
      <c r="DH30" s="593">
        <f>'Proy 2021 vs 2019 Sem'!EN29*$DJ$4</f>
        <v>23336.674199999998</v>
      </c>
      <c r="DI30" s="735">
        <v>21084.73</v>
      </c>
      <c r="DJ30" s="700">
        <f t="shared" si="616"/>
        <v>0.63245134561633465</v>
      </c>
      <c r="DK30" s="593">
        <f>'Proy 2021 vs 2019 Sem'!EM29*$DN$4</f>
        <v>38894.457000000002</v>
      </c>
      <c r="DL30" s="593">
        <f>'Proy 2021 vs 2019 Sem'!EN29*$DN$4</f>
        <v>27226.119899999998</v>
      </c>
      <c r="DM30" s="735">
        <v>29522.43</v>
      </c>
      <c r="DN30" s="700">
        <f t="shared" si="617"/>
        <v>0.75903952072142311</v>
      </c>
      <c r="DO30" s="593">
        <f>'Proy 2021 vs 2019 Sem'!EM29*$DR$4</f>
        <v>44450.807999999997</v>
      </c>
      <c r="DP30" s="593">
        <f>'Proy 2021 vs 2019 Sem'!EN29*$DR$4</f>
        <v>31115.565599999998</v>
      </c>
      <c r="DQ30" s="735">
        <v>30764.3</v>
      </c>
      <c r="DR30" s="700">
        <f t="shared" si="618"/>
        <v>0.69209765545769164</v>
      </c>
      <c r="DS30" s="593">
        <f>'Proy 2021 vs 2019 Sem'!EM29*$DV$4</f>
        <v>61119.860999999997</v>
      </c>
      <c r="DT30" s="593">
        <f>'Proy 2021 vs 2019 Sem'!EN29*$DV$4</f>
        <v>42783.902699999991</v>
      </c>
      <c r="DU30" s="735">
        <v>40341.9</v>
      </c>
      <c r="DV30" s="700">
        <f t="shared" si="619"/>
        <v>0.66004567647822376</v>
      </c>
      <c r="DW30" s="579">
        <f t="shared" si="620"/>
        <v>277817.55</v>
      </c>
      <c r="DX30" s="574">
        <f t="shared" si="621"/>
        <v>194472.28499999997</v>
      </c>
      <c r="DY30" s="710">
        <f t="shared" si="622"/>
        <v>172870.08</v>
      </c>
      <c r="DZ30" s="711">
        <f t="shared" si="623"/>
        <v>0.62224319521930849</v>
      </c>
      <c r="EA30" s="593">
        <f>'Proy 2021 vs 2019 Sem'!ER29*$ED$4</f>
        <v>29806.940399999999</v>
      </c>
      <c r="EB30" s="593">
        <f>'Proy 2021 vs 2019 Sem'!ES29*$ED$4</f>
        <v>17884.164239999998</v>
      </c>
      <c r="EC30" s="735">
        <v>17624.02</v>
      </c>
      <c r="ED30" s="700">
        <f t="shared" si="624"/>
        <v>0.59127236017823559</v>
      </c>
      <c r="EE30" s="593">
        <f>'Proy 2021 vs 2019 Sem'!ER29*$EH$4</f>
        <v>29806.940399999999</v>
      </c>
      <c r="EF30" s="593">
        <f>'Proy 2021 vs 2019 Sem'!ES29*$EH$4</f>
        <v>17884.164239999998</v>
      </c>
      <c r="EG30" s="735">
        <v>16598.580000000002</v>
      </c>
      <c r="EH30" s="700">
        <f t="shared" si="625"/>
        <v>0.55686963429497116</v>
      </c>
      <c r="EI30" s="593">
        <f>'Proy 2021 vs 2019 Sem'!ER29*$EL$4</f>
        <v>29806.940399999999</v>
      </c>
      <c r="EJ30" s="593">
        <f>'Proy 2021 vs 2019 Sem'!ES29*$EL$4</f>
        <v>17884.164239999998</v>
      </c>
      <c r="EK30" s="735">
        <v>23293.200000000001</v>
      </c>
      <c r="EL30" s="700">
        <f t="shared" si="626"/>
        <v>0.78146900310506207</v>
      </c>
      <c r="EM30" s="593">
        <f>'Proy 2021 vs 2019 Sem'!ER29*$EP$4</f>
        <v>29806.940399999999</v>
      </c>
      <c r="EN30" s="593">
        <f>'Proy 2021 vs 2019 Sem'!ES29*$EP$4</f>
        <v>17884.164239999998</v>
      </c>
      <c r="EO30" s="735">
        <v>21223.21</v>
      </c>
      <c r="EP30" s="700">
        <f t="shared" si="627"/>
        <v>0.71202242548852812</v>
      </c>
      <c r="EQ30" s="593">
        <f>'Proy 2021 vs 2019 Sem'!ER29*$ET$4</f>
        <v>34774.763800000008</v>
      </c>
      <c r="ER30" s="593">
        <f>'Proy 2021 vs 2019 Sem'!ES29*$ET$4</f>
        <v>20864.85828</v>
      </c>
      <c r="ES30" s="735">
        <v>32017.23</v>
      </c>
      <c r="ET30" s="700">
        <f t="shared" si="628"/>
        <v>0.92070301854933068</v>
      </c>
      <c r="EU30" s="593">
        <f>'Proy 2021 vs 2019 Sem'!ER29*$EX$4</f>
        <v>39742.587200000002</v>
      </c>
      <c r="EV30" s="593">
        <f>'Proy 2021 vs 2019 Sem'!ES29*$EX$4</f>
        <v>23845.552319999999</v>
      </c>
      <c r="EW30" s="735">
        <v>43088.18</v>
      </c>
      <c r="EX30" s="700">
        <f t="shared" si="629"/>
        <v>1.0841815552461063</v>
      </c>
      <c r="EY30" s="593">
        <f>'Proy 2021 vs 2019 Sem'!ER29*$FB$4</f>
        <v>54646.057400000005</v>
      </c>
      <c r="EZ30" s="593">
        <f>'Proy 2021 vs 2019 Sem'!ES29*$FB$4</f>
        <v>32787.634440000002</v>
      </c>
      <c r="FA30" s="699">
        <v>51064.160000000003</v>
      </c>
      <c r="FB30" s="700">
        <f t="shared" si="630"/>
        <v>0.93445277536161275</v>
      </c>
      <c r="FC30" s="579">
        <f t="shared" si="631"/>
        <v>248391.17000000004</v>
      </c>
      <c r="FD30" s="574">
        <f t="shared" si="632"/>
        <v>149034.70199999999</v>
      </c>
      <c r="FE30" s="710">
        <f t="shared" si="633"/>
        <v>204908.58000000002</v>
      </c>
      <c r="FF30" s="711">
        <f t="shared" si="634"/>
        <v>0.82494309278385369</v>
      </c>
      <c r="FG30" s="593">
        <f>'Proy 2021 vs 2019 Sem'!FA29*$FJ$4</f>
        <v>30636.489599999997</v>
      </c>
      <c r="FH30" s="593">
        <f>'Proy 2021 vs 2019 Sem'!FB29*$FJ$4</f>
        <v>21445.542719999994</v>
      </c>
      <c r="FI30" s="735">
        <v>19245.77</v>
      </c>
      <c r="FJ30" s="700">
        <f t="shared" si="635"/>
        <v>0.62819762483492891</v>
      </c>
      <c r="FK30" s="593">
        <f>'Proy 2021 vs 2019 Sem'!FA29*$FN$4</f>
        <v>30636.489599999997</v>
      </c>
      <c r="FL30" s="593">
        <f>'Proy 2021 vs 2019 Sem'!FB29*$FN$4</f>
        <v>21445.542719999994</v>
      </c>
      <c r="FM30" s="735">
        <v>24316.98</v>
      </c>
      <c r="FN30" s="700">
        <f t="shared" si="636"/>
        <v>0.79372605404504315</v>
      </c>
      <c r="FO30" s="593">
        <f>'Proy 2021 vs 2019 Sem'!FA29*$FR$4</f>
        <v>30636.489599999997</v>
      </c>
      <c r="FP30" s="593">
        <f>'Proy 2021 vs 2019 Sem'!FB29*$FR$4</f>
        <v>21445.542719999994</v>
      </c>
      <c r="FQ30" s="735">
        <v>29123.16</v>
      </c>
      <c r="FR30" s="700">
        <f t="shared" si="637"/>
        <v>0.95060368796299699</v>
      </c>
      <c r="FS30" s="593">
        <f>'Proy 2021 vs 2019 Sem'!FA29*$FV$4</f>
        <v>30636.489599999997</v>
      </c>
      <c r="FT30" s="593">
        <f>'Proy 2021 vs 2019 Sem'!FB29*$FV$4</f>
        <v>21445.542719999994</v>
      </c>
      <c r="FU30" s="735">
        <v>25698.01</v>
      </c>
      <c r="FV30" s="700">
        <f t="shared" si="638"/>
        <v>0.8388039992675923</v>
      </c>
      <c r="FW30" s="593">
        <f>'Proy 2021 vs 2019 Sem'!FA29*$FZ$4</f>
        <v>35742.571199999998</v>
      </c>
      <c r="FX30" s="593">
        <f>'Proy 2021 vs 2019 Sem'!FB29*$FZ$4</f>
        <v>25019.79984</v>
      </c>
      <c r="FY30" s="735">
        <v>29149.59</v>
      </c>
      <c r="FZ30" s="700">
        <f t="shared" si="639"/>
        <v>0.81554261546802209</v>
      </c>
      <c r="GA30" s="593">
        <f>'Proy 2021 vs 2019 Sem'!FA29*$GD$4</f>
        <v>40848.652799999996</v>
      </c>
      <c r="GB30" s="593">
        <f>'Proy 2021 vs 2019 Sem'!FB29*$GD$4</f>
        <v>28594.056959999994</v>
      </c>
      <c r="GC30" s="735">
        <v>36216.74</v>
      </c>
      <c r="GD30" s="700">
        <f t="shared" si="640"/>
        <v>0.88660794218408112</v>
      </c>
      <c r="GE30" s="593">
        <f>'Proy 2021 vs 2019 Sem'!FA29*$GH$4</f>
        <v>56166.897599999997</v>
      </c>
      <c r="GF30" s="593">
        <f>'Proy 2021 vs 2019 Sem'!FB29*$GH$4</f>
        <v>39316.828319999993</v>
      </c>
      <c r="GG30" s="735">
        <v>47327.25</v>
      </c>
      <c r="GH30" s="700">
        <f t="shared" si="641"/>
        <v>0.84261819723509179</v>
      </c>
      <c r="GI30" s="579">
        <f t="shared" si="642"/>
        <v>255304.08</v>
      </c>
      <c r="GJ30" s="574">
        <f t="shared" si="643"/>
        <v>178712.85599999997</v>
      </c>
      <c r="GK30" s="759">
        <f t="shared" si="644"/>
        <v>211077.5</v>
      </c>
      <c r="GL30" s="761">
        <f t="shared" si="645"/>
        <v>0.82676900423996358</v>
      </c>
      <c r="GM30" s="593">
        <f>'Proy 2021 vs 2019 Sem'!FF29*$GP$4</f>
        <v>32938.669199999997</v>
      </c>
      <c r="GN30" s="593">
        <f>'Proy 2021 vs 2019 Sem'!FG29*$GP$4</f>
        <v>25033.388591999999</v>
      </c>
      <c r="GO30" s="735">
        <v>23332.03</v>
      </c>
      <c r="GP30" s="700">
        <f t="shared" si="646"/>
        <v>0.70834768272908855</v>
      </c>
      <c r="GQ30" s="593">
        <f>'Proy 2021 vs 2019 Sem'!FF29*$GT$4</f>
        <v>32938.669199999997</v>
      </c>
      <c r="GR30" s="593">
        <f>'Proy 2021 vs 2019 Sem'!FG29*$GT$4</f>
        <v>25033.388591999999</v>
      </c>
      <c r="GS30" s="735">
        <v>22910.18</v>
      </c>
      <c r="GT30" s="700">
        <f t="shared" si="647"/>
        <v>0.69554054721797942</v>
      </c>
      <c r="GU30" s="593">
        <f>'Proy 2021 vs 2019 Sem'!FF29*$GX$4</f>
        <v>32938.669199999997</v>
      </c>
      <c r="GV30" s="593">
        <f>'Proy 2021 vs 2019 Sem'!FG29*$GX$4</f>
        <v>25033.388591999999</v>
      </c>
      <c r="GW30" s="735">
        <v>26538.69</v>
      </c>
      <c r="GX30" s="700">
        <f t="shared" si="648"/>
        <v>0.80570012828569293</v>
      </c>
      <c r="GY30" s="593">
        <f>'Proy 2021 vs 2019 Sem'!FF29*$HB$4</f>
        <v>32938.669199999997</v>
      </c>
      <c r="GZ30" s="593">
        <f>'Proy 2021 vs 2019 Sem'!FG29*$HB$4</f>
        <v>25033.388591999999</v>
      </c>
      <c r="HA30" s="735">
        <v>30647.040000000001</v>
      </c>
      <c r="HB30" s="700">
        <f t="shared" si="649"/>
        <v>0.93042738958014748</v>
      </c>
      <c r="HC30" s="593">
        <f>'Proy 2021 vs 2019 Sem'!FF29*$HF$4</f>
        <v>38428.447399999997</v>
      </c>
      <c r="HD30" s="593">
        <f>'Proy 2021 vs 2019 Sem'!FG29*$HF$4</f>
        <v>29205.620024000003</v>
      </c>
      <c r="HE30" s="735">
        <v>49359.15</v>
      </c>
      <c r="HF30" s="700">
        <f t="shared" si="650"/>
        <v>1.2844429931353407</v>
      </c>
      <c r="HG30" s="593">
        <f>'Proy 2021 vs 2019 Sem'!FF29*$HJ$4</f>
        <v>43918.225599999998</v>
      </c>
      <c r="HH30" s="593">
        <f>'Proy 2021 vs 2019 Sem'!FG29*$HJ$4</f>
        <v>33377.851455999997</v>
      </c>
      <c r="HI30" s="735">
        <v>46748.95</v>
      </c>
      <c r="HJ30" s="700">
        <f t="shared" si="651"/>
        <v>1.0644544346072125</v>
      </c>
      <c r="HK30" s="593">
        <f>'Proy 2021 vs 2019 Sem'!FF29*$HN$4</f>
        <v>60387.560199999993</v>
      </c>
      <c r="HL30" s="593">
        <f>'Proy 2021 vs 2019 Sem'!FG29*$HN$4</f>
        <v>45894.545751999998</v>
      </c>
      <c r="HM30" s="735">
        <v>51452.42</v>
      </c>
      <c r="HN30" s="700">
        <f t="shared" si="652"/>
        <v>0.85203674116974848</v>
      </c>
      <c r="HO30" s="579">
        <f t="shared" si="653"/>
        <v>274488.90999999997</v>
      </c>
      <c r="HP30" s="574">
        <f t="shared" si="654"/>
        <v>208611.5716</v>
      </c>
      <c r="HQ30" s="765">
        <f t="shared" si="655"/>
        <v>250988.45999999996</v>
      </c>
      <c r="HR30" s="761">
        <f t="shared" si="656"/>
        <v>0.91438470137099526</v>
      </c>
      <c r="HS30" s="593">
        <f>'Proy 2021 vs 2019 Sem'!FK29*$CX$4</f>
        <v>28185.231599999999</v>
      </c>
      <c r="HT30" s="593">
        <f>'Proy 2021 vs 2019 Sem'!FL29*$CX$4</f>
        <v>21420.776016</v>
      </c>
      <c r="HU30" s="735">
        <v>18385.009999999998</v>
      </c>
      <c r="HV30" s="700">
        <f t="shared" si="657"/>
        <v>0.65229231609365235</v>
      </c>
      <c r="HW30" s="593">
        <f>'Proy 2021 vs 2019 Sem'!FK29*$DB$4</f>
        <v>28185.231599999999</v>
      </c>
      <c r="HX30" s="593">
        <f>'Proy 2021 vs 2019 Sem'!FL29*$DB$4</f>
        <v>21420.776016</v>
      </c>
      <c r="HY30" s="735">
        <v>22494.29</v>
      </c>
      <c r="HZ30" s="700">
        <f t="shared" si="658"/>
        <v>0.79808781844460708</v>
      </c>
      <c r="IA30" s="593">
        <f>'Proy 2021 vs 2019 Sem'!FK29*$DF$4</f>
        <v>28185.231599999999</v>
      </c>
      <c r="IB30" s="593">
        <f>'Proy 2021 vs 2019 Sem'!FL29*$DF$4</f>
        <v>21420.776016</v>
      </c>
      <c r="IC30" s="735">
        <v>26110.18</v>
      </c>
      <c r="ID30" s="700">
        <f t="shared" si="659"/>
        <v>0.92637805395929407</v>
      </c>
      <c r="IE30" s="593">
        <f>'Proy 2021 vs 2019 Sem'!FK29*$DJ$4</f>
        <v>28185.231599999999</v>
      </c>
      <c r="IF30" s="593">
        <f>'Proy 2021 vs 2019 Sem'!FL29*$DJ$4</f>
        <v>21420.776016</v>
      </c>
      <c r="IG30" s="735">
        <v>25168</v>
      </c>
      <c r="IH30" s="700">
        <f t="shared" si="660"/>
        <v>0.89294990927092477</v>
      </c>
      <c r="II30" s="593">
        <f>'Proy 2021 vs 2019 Sem'!FK29*$DN$4</f>
        <v>32882.770199999999</v>
      </c>
      <c r="IJ30" s="593">
        <f>'Proy 2021 vs 2019 Sem'!FL29*$DN$4</f>
        <v>24990.905352000002</v>
      </c>
      <c r="IK30" s="735">
        <v>33095.519999999997</v>
      </c>
      <c r="IL30" s="700">
        <f t="shared" si="661"/>
        <v>1.0064699475958385</v>
      </c>
      <c r="IM30" s="593">
        <f>'Proy 2021 vs 2019 Sem'!FK29*$DR$4</f>
        <v>37580.308799999999</v>
      </c>
      <c r="IN30" s="593">
        <f>'Proy 2021 vs 2019 Sem'!FL29*$DR$4</f>
        <v>28561.034688</v>
      </c>
      <c r="IO30" s="1410">
        <v>35334.620000000003</v>
      </c>
      <c r="IP30" s="700">
        <f t="shared" si="662"/>
        <v>0.94024293914263957</v>
      </c>
      <c r="IQ30" s="593">
        <f>'Proy 2021 vs 2019 Sem'!FK29*$IT$4</f>
        <v>51672.924599999998</v>
      </c>
      <c r="IR30" s="593">
        <f>'Proy 2021 vs 2019 Sem'!FL29*$IT$4</f>
        <v>39271.422696000001</v>
      </c>
      <c r="IS30" s="735">
        <v>44348.42</v>
      </c>
      <c r="IT30" s="700">
        <f t="shared" si="663"/>
        <v>0.858252563471122</v>
      </c>
      <c r="IU30" s="579">
        <f t="shared" si="664"/>
        <v>234876.93</v>
      </c>
      <c r="IV30" s="574">
        <f t="shared" si="665"/>
        <v>178506.46679999999</v>
      </c>
      <c r="IW30" s="765">
        <f t="shared" si="666"/>
        <v>204936.03999999998</v>
      </c>
      <c r="IX30" s="761">
        <f t="shared" si="667"/>
        <v>0.87252519862210387</v>
      </c>
      <c r="IY30" s="593">
        <f>'Proy 2021 vs 2019 Sem'!FP29*$JB$4</f>
        <v>30456.531599999998</v>
      </c>
      <c r="IZ30" s="593">
        <f>'Proy 2021 vs 2019 Sem'!FQ29*$JB$4</f>
        <v>23451.529331999998</v>
      </c>
      <c r="JA30" s="735">
        <v>22649.16</v>
      </c>
      <c r="JB30" s="700">
        <f t="shared" si="668"/>
        <v>0.74365526243966662</v>
      </c>
      <c r="JC30" s="593">
        <f>'Proy 2021 vs 2019 Sem'!FP29*$JF$4</f>
        <v>30456.531599999998</v>
      </c>
      <c r="JD30" s="593">
        <f>'Proy 2021 vs 2019 Sem'!FQ29*$JF$4</f>
        <v>23451.529331999998</v>
      </c>
      <c r="JE30" s="735">
        <v>19128.98</v>
      </c>
      <c r="JF30" s="700">
        <f t="shared" si="669"/>
        <v>0.62807480021789486</v>
      </c>
      <c r="JG30" s="593">
        <f>'Proy 2021 vs 2019 Sem'!FP29*$JJ$4</f>
        <v>30456.531599999998</v>
      </c>
      <c r="JH30" s="593">
        <f>'Proy 2021 vs 2019 Sem'!FQ29*$JJ$4</f>
        <v>23451.529331999998</v>
      </c>
      <c r="JI30" s="735">
        <v>23275.05</v>
      </c>
      <c r="JJ30" s="700">
        <f t="shared" si="670"/>
        <v>0.76420553415872217</v>
      </c>
      <c r="JK30" s="593">
        <f>'Proy 2021 vs 2019 Sem'!FP29*$JN$4</f>
        <v>30456.531599999998</v>
      </c>
      <c r="JL30" s="593">
        <f>'Proy 2021 vs 2019 Sem'!FQ29*$JN$4</f>
        <v>23451.529331999998</v>
      </c>
      <c r="JM30" s="735">
        <v>26574.73</v>
      </c>
      <c r="JN30" s="700">
        <f t="shared" si="671"/>
        <v>0.87254617003073331</v>
      </c>
      <c r="JO30" s="593">
        <f>'Proy 2021 vs 2019 Sem'!FP29*$JR$4</f>
        <v>35532.620200000005</v>
      </c>
      <c r="JP30" s="593">
        <f>'Proy 2021 vs 2019 Sem'!FQ29*$JR$4</f>
        <v>27360.117554000004</v>
      </c>
      <c r="JQ30" s="735">
        <v>25766.77</v>
      </c>
      <c r="JR30" s="700">
        <f t="shared" si="672"/>
        <v>0.7251581745159339</v>
      </c>
      <c r="JS30" s="593">
        <f>'Proy 2021 vs 2019 Sem'!FP29*$JV$4</f>
        <v>40608.7088</v>
      </c>
      <c r="JT30" s="593">
        <f>'Proy 2021 vs 2019 Sem'!FQ29*$JV$4</f>
        <v>31268.705775999999</v>
      </c>
      <c r="JU30" s="735">
        <v>47435.199999999997</v>
      </c>
      <c r="JV30" s="700">
        <f t="shared" si="673"/>
        <v>1.1681041185924137</v>
      </c>
      <c r="JW30" s="593">
        <f>'Proy 2021 vs 2019 Sem'!FP29*$JZ$4</f>
        <v>55836.974600000001</v>
      </c>
      <c r="JX30" s="593">
        <f>'Proy 2021 vs 2019 Sem'!FQ29*$JZ$4</f>
        <v>42994.470441999998</v>
      </c>
      <c r="JY30" s="735">
        <v>56283.96</v>
      </c>
      <c r="JZ30" s="700">
        <f t="shared" si="674"/>
        <v>1.008005186584733</v>
      </c>
      <c r="KA30" s="579">
        <f t="shared" si="675"/>
        <v>253804.43</v>
      </c>
      <c r="KB30" s="574">
        <f t="shared" si="676"/>
        <v>195429.41109999997</v>
      </c>
      <c r="KC30" s="770">
        <f t="shared" si="677"/>
        <v>221113.85</v>
      </c>
      <c r="KD30" s="761">
        <f t="shared" si="678"/>
        <v>0.87119775647730036</v>
      </c>
      <c r="KE30" s="593">
        <f>'Proy 2021 vs 2019 Sem'!FY29*$KH$4</f>
        <v>30599.979599999999</v>
      </c>
      <c r="KF30" s="593">
        <f>'Proy 2021 vs 2019 Sem'!FZ29*$KH$4</f>
        <v>24479.983679999998</v>
      </c>
      <c r="KG30" s="735">
        <v>17874.900000000001</v>
      </c>
      <c r="KH30" s="700">
        <f t="shared" si="679"/>
        <v>0.58414744825516163</v>
      </c>
      <c r="KI30" s="593">
        <f>'Proy 2021 vs 2019 Sem'!FY29*$KL$4</f>
        <v>30599.979599999999</v>
      </c>
      <c r="KJ30" s="593">
        <f>'Proy 2021 vs 2019 Sem'!FZ29*$KL$4</f>
        <v>24479.983679999998</v>
      </c>
      <c r="KK30" s="735">
        <v>28706.5</v>
      </c>
      <c r="KL30" s="700">
        <f t="shared" si="680"/>
        <v>0.9381215404470401</v>
      </c>
      <c r="KM30" s="593">
        <f>'Proy 2021 vs 2019 Sem'!FY29*$KP$4</f>
        <v>30599.979599999999</v>
      </c>
      <c r="KN30" s="593">
        <f>'Proy 2021 vs 2019 Sem'!FZ29*$KP$4</f>
        <v>24479.983679999998</v>
      </c>
      <c r="KO30" s="735">
        <v>27597.8</v>
      </c>
      <c r="KP30" s="700">
        <f t="shared" si="681"/>
        <v>0.90188949014854902</v>
      </c>
      <c r="KQ30" s="593">
        <f>'Proy 2021 vs 2019 Sem'!FY29*$KT$4</f>
        <v>30599.979599999999</v>
      </c>
      <c r="KR30" s="593">
        <f>'Proy 2021 vs 2019 Sem'!FZ29*$KT$4</f>
        <v>24479.983679999998</v>
      </c>
      <c r="KS30" s="735">
        <v>25199.98</v>
      </c>
      <c r="KT30" s="700">
        <f t="shared" si="682"/>
        <v>0.82352930718947281</v>
      </c>
      <c r="KU30" s="593">
        <f>'Proy 2021 vs 2019 Sem'!FY29*$KX$4</f>
        <v>35699.976200000005</v>
      </c>
      <c r="KV30" s="593">
        <f>'Proy 2021 vs 2019 Sem'!FZ29*$KX$4</f>
        <v>28559.980960000004</v>
      </c>
      <c r="KW30" s="735">
        <v>32583.7</v>
      </c>
      <c r="KX30" s="700">
        <f t="shared" si="683"/>
        <v>0.9127092919462505</v>
      </c>
      <c r="KY30" s="593">
        <f>'Proy 2021 vs 2019 Sem'!FY29*$LB$4</f>
        <v>40799.972799999996</v>
      </c>
      <c r="KZ30" s="593">
        <f>'Proy 2021 vs 2019 Sem'!FZ29*$LB$4</f>
        <v>32639.97824</v>
      </c>
      <c r="LA30" s="735">
        <v>39669.370000000003</v>
      </c>
      <c r="LB30" s="700">
        <f t="shared" si="684"/>
        <v>0.97228912858490946</v>
      </c>
      <c r="LC30" s="593">
        <f>'Proy 2021 vs 2019 Sem'!FY29*$LF$4</f>
        <v>56099.962599999999</v>
      </c>
      <c r="LD30" s="593">
        <f>'Proy 2021 vs 2019 Sem'!FZ29*$LF$4</f>
        <v>44879.970079999999</v>
      </c>
      <c r="LE30" s="735">
        <v>42595.45</v>
      </c>
      <c r="LF30" s="700">
        <f t="shared" si="685"/>
        <v>0.75927768978583954</v>
      </c>
      <c r="LG30" s="579">
        <f t="shared" si="686"/>
        <v>254999.83</v>
      </c>
      <c r="LH30" s="574">
        <f t="shared" si="687"/>
        <v>203999.864</v>
      </c>
      <c r="LI30" s="793">
        <f t="shared" si="688"/>
        <v>214227.7</v>
      </c>
      <c r="LJ30" s="786">
        <f t="shared" si="689"/>
        <v>0.84010918752377217</v>
      </c>
      <c r="LK30" s="593">
        <f>'Proy 2021 vs 2019 Sem'!GD29*$LN$4</f>
        <v>31550.566800000001</v>
      </c>
      <c r="LL30" s="593">
        <f>'Proy 2021 vs 2019 Sem'!GE29*$LN$4</f>
        <v>25240.453440000001</v>
      </c>
      <c r="LM30" s="735">
        <v>19198.05</v>
      </c>
      <c r="LN30" s="700">
        <f t="shared" si="690"/>
        <v>0.60848510651795962</v>
      </c>
      <c r="LO30" s="593">
        <f>'Proy 2021 vs 2019 Sem'!GD29*$LR$4</f>
        <v>31550.566800000001</v>
      </c>
      <c r="LP30" s="593">
        <f>'Proy 2021 vs 2019 Sem'!GE29*$LR$4</f>
        <v>25240.453440000001</v>
      </c>
      <c r="LQ30" s="735">
        <v>19940.68</v>
      </c>
      <c r="LR30" s="700">
        <f t="shared" si="691"/>
        <v>0.6320228770026407</v>
      </c>
      <c r="LS30" s="593">
        <f>'Proy 2021 vs 2019 Sem'!GD29*$LV$4</f>
        <v>31550.566800000001</v>
      </c>
      <c r="LT30" s="593">
        <f>'Proy 2021 vs 2019 Sem'!GE29*$LV$4</f>
        <v>25240.453440000001</v>
      </c>
      <c r="LU30" s="735">
        <v>21129.62</v>
      </c>
      <c r="LV30" s="700">
        <f t="shared" si="692"/>
        <v>0.66970651062915287</v>
      </c>
      <c r="LW30" s="593">
        <f>'Proy 2021 vs 2019 Sem'!GD29*$LZ$4</f>
        <v>31550.566800000001</v>
      </c>
      <c r="LX30" s="593">
        <f>'Proy 2021 vs 2019 Sem'!GE29*$LZ$4</f>
        <v>25240.453440000001</v>
      </c>
      <c r="LY30" s="735">
        <v>23080.76</v>
      </c>
      <c r="LZ30" s="700">
        <f t="shared" si="693"/>
        <v>0.73154818885852779</v>
      </c>
      <c r="MA30" s="593">
        <f>'Proy 2021 vs 2019 Sem'!GD29*$MD$4</f>
        <v>36808.994600000005</v>
      </c>
      <c r="MB30" s="593">
        <f>'Proy 2021 vs 2019 Sem'!GE29*$MD$4</f>
        <v>29447.195680000004</v>
      </c>
      <c r="MC30" s="735">
        <v>30116.66</v>
      </c>
      <c r="MD30" s="700">
        <f t="shared" si="694"/>
        <v>0.81818751985146576</v>
      </c>
      <c r="ME30" s="593">
        <f>'Proy 2021 vs 2019 Sem'!GD29*$MH$4</f>
        <v>42067.422400000003</v>
      </c>
      <c r="MF30" s="593">
        <f>'Proy 2021 vs 2019 Sem'!GE29*$MH$4</f>
        <v>33653.937920000004</v>
      </c>
      <c r="MG30" s="735">
        <v>42520.57</v>
      </c>
      <c r="MH30" s="700">
        <f t="shared" si="695"/>
        <v>1.0107719364331673</v>
      </c>
      <c r="MI30" s="593">
        <f>'Proy 2021 vs 2019 Sem'!GD29*$ML$4</f>
        <v>57842.705800000003</v>
      </c>
      <c r="MJ30" s="593">
        <f>'Proy 2021 vs 2019 Sem'!GE29*$ML$4</f>
        <v>46274.164640000003</v>
      </c>
      <c r="MK30" s="735">
        <v>63142.98</v>
      </c>
      <c r="ML30" s="700">
        <f t="shared" si="696"/>
        <v>1.0916325425426416</v>
      </c>
      <c r="MM30" s="579">
        <f t="shared" si="697"/>
        <v>262921.39</v>
      </c>
      <c r="MN30" s="574">
        <f t="shared" si="698"/>
        <v>210337.11200000002</v>
      </c>
      <c r="MO30" s="794">
        <f t="shared" si="699"/>
        <v>219129.32</v>
      </c>
      <c r="MP30" s="786">
        <f t="shared" si="700"/>
        <v>0.83344044392888683</v>
      </c>
      <c r="MQ30" s="593">
        <f>'Proy 2021 vs 2019 Sem'!GI29*$MT$4</f>
        <v>27880.9548</v>
      </c>
      <c r="MR30" s="593">
        <f>'Proy 2021 vs 2019 Sem'!GJ29*$MT$4</f>
        <v>22304.76384</v>
      </c>
      <c r="MS30" s="735">
        <v>19130.47</v>
      </c>
      <c r="MT30" s="700">
        <f t="shared" si="701"/>
        <v>0.68614830938286242</v>
      </c>
      <c r="MU30" s="593">
        <f>'Proy 2021 vs 2019 Sem'!GI29*$MX$4</f>
        <v>27880.9548</v>
      </c>
      <c r="MV30" s="593">
        <f>'Proy 2021 vs 2019 Sem'!GJ29*$MX$4</f>
        <v>22304.76384</v>
      </c>
      <c r="MW30" s="735">
        <v>20377.27</v>
      </c>
      <c r="MX30" s="700">
        <f t="shared" si="702"/>
        <v>0.73086700746704703</v>
      </c>
      <c r="MY30" s="593">
        <f>'Proy 2021 vs 2019 Sem'!GI29*$NB$4</f>
        <v>27880.9548</v>
      </c>
      <c r="MZ30" s="593">
        <f>'Proy 2021 vs 2019 Sem'!GJ29*$NB$4</f>
        <v>22304.76384</v>
      </c>
      <c r="NA30" s="735">
        <v>19999.38</v>
      </c>
      <c r="NB30" s="700">
        <f t="shared" si="703"/>
        <v>0.71731331094873418</v>
      </c>
      <c r="NC30" s="593">
        <f>'Proy 2021 vs 2019 Sem'!GI29*$NF$4</f>
        <v>27880.9548</v>
      </c>
      <c r="ND30" s="593">
        <f>'Proy 2021 vs 2019 Sem'!GJ29*$NF$4</f>
        <v>22304.76384</v>
      </c>
      <c r="NE30" s="735">
        <v>22663.06</v>
      </c>
      <c r="NF30" s="700">
        <f t="shared" si="704"/>
        <v>0.81285092862027819</v>
      </c>
      <c r="NG30" s="593">
        <f>'Proy 2021 vs 2019 Sem'!GI29*$NJ$4</f>
        <v>32527.780600000006</v>
      </c>
      <c r="NH30" s="593">
        <f>'Proy 2021 vs 2019 Sem'!GJ29*$NJ$4</f>
        <v>26022.224480000004</v>
      </c>
      <c r="NI30" s="735">
        <v>26502.7</v>
      </c>
      <c r="NJ30" s="700">
        <f t="shared" si="705"/>
        <v>0.81477123588321287</v>
      </c>
      <c r="NK30" s="593">
        <f>'Proy 2021 vs 2019 Sem'!GI29*$NN$4</f>
        <v>37174.606400000004</v>
      </c>
      <c r="NL30" s="593">
        <f>'Proy 2021 vs 2019 Sem'!GJ29*$NN$4</f>
        <v>29739.685120000002</v>
      </c>
      <c r="NM30" s="735">
        <v>32394.03</v>
      </c>
      <c r="NN30" s="700">
        <f t="shared" si="706"/>
        <v>0.87140209775025335</v>
      </c>
      <c r="NO30" s="593">
        <f>'Proy 2021 vs 2019 Sem'!GI29*$NR$4</f>
        <v>51115.0838</v>
      </c>
      <c r="NP30" s="593">
        <f>'Proy 2021 vs 2019 Sem'!GJ29*$NR$4</f>
        <v>40892.067040000002</v>
      </c>
      <c r="NQ30" s="735">
        <v>42530.44</v>
      </c>
      <c r="NR30" s="700">
        <f t="shared" si="707"/>
        <v>0.83205263179085309</v>
      </c>
      <c r="NS30" s="579">
        <f t="shared" si="708"/>
        <v>232341.29</v>
      </c>
      <c r="NT30" s="574">
        <f t="shared" si="709"/>
        <v>185873.03200000001</v>
      </c>
      <c r="NU30" s="794">
        <f t="shared" si="710"/>
        <v>183597.35</v>
      </c>
      <c r="NV30" s="786">
        <f t="shared" si="711"/>
        <v>0.79020543442794866</v>
      </c>
      <c r="NW30" s="593">
        <f>'Proy 2021 vs 2019 Sem'!GN29*$NZ$4</f>
        <v>25713.571199999998</v>
      </c>
      <c r="NX30" s="593">
        <f>'Proy 2021 vs 2019 Sem'!GO29*$NZ$4</f>
        <v>19028.042688000001</v>
      </c>
      <c r="NY30" s="735">
        <v>21905.71</v>
      </c>
      <c r="NZ30" s="700">
        <f t="shared" si="712"/>
        <v>0.85191239402794428</v>
      </c>
      <c r="OA30" s="593">
        <f>'Proy 2021 vs 2019 Sem'!GN29*$OD$4</f>
        <v>25713.571199999998</v>
      </c>
      <c r="OB30" s="593">
        <f>'Proy 2021 vs 2019 Sem'!GO29*$OD$4</f>
        <v>19028.042688000001</v>
      </c>
      <c r="OC30" s="735">
        <v>21345.84</v>
      </c>
      <c r="OD30" s="700">
        <f t="shared" si="713"/>
        <v>0.83013906679753613</v>
      </c>
      <c r="OE30" s="593">
        <f>'Proy 2021 vs 2019 Sem'!GN29*$OH$4</f>
        <v>25713.571199999998</v>
      </c>
      <c r="OF30" s="593">
        <f>'Proy 2021 vs 2019 Sem'!GO29*$OH$4</f>
        <v>19028.042688000001</v>
      </c>
      <c r="OG30" s="735">
        <v>21318.98</v>
      </c>
      <c r="OH30" s="700">
        <f t="shared" si="714"/>
        <v>0.82909448221645698</v>
      </c>
      <c r="OI30" s="593">
        <f>'Proy 2021 vs 2019 Sem'!GN29*$OL$4</f>
        <v>25713.571199999998</v>
      </c>
      <c r="OJ30" s="593">
        <f>'Proy 2021 vs 2019 Sem'!GO29*$OL$4</f>
        <v>19028.042688000001</v>
      </c>
      <c r="OK30" s="735">
        <v>19223.7</v>
      </c>
      <c r="OL30" s="700">
        <f t="shared" si="715"/>
        <v>0.74760910689838378</v>
      </c>
      <c r="OM30" s="593">
        <f>'Proy 2021 vs 2019 Sem'!GN29*$OP$4</f>
        <v>29999.166400000006</v>
      </c>
      <c r="ON30" s="593">
        <f>'Proy 2021 vs 2019 Sem'!GO29*$OP$4</f>
        <v>22199.383136000004</v>
      </c>
      <c r="OO30" s="735">
        <v>27871.47</v>
      </c>
      <c r="OP30" s="700">
        <f t="shared" si="716"/>
        <v>0.92907481589221741</v>
      </c>
      <c r="OQ30" s="593">
        <f>'Proy 2021 vs 2019 Sem'!GN29*$JV$4</f>
        <v>34284.761600000005</v>
      </c>
      <c r="OR30" s="593">
        <f>'Proy 2021 vs 2019 Sem'!GO29*$JV$4</f>
        <v>25370.723584000003</v>
      </c>
      <c r="OS30" s="735">
        <v>36930.83</v>
      </c>
      <c r="OT30" s="700">
        <f t="shared" si="717"/>
        <v>1.0771791395510242</v>
      </c>
      <c r="OU30" s="593">
        <f>'Proy 2021 vs 2019 Sem'!GN29*$OX$4</f>
        <v>47141.547200000001</v>
      </c>
      <c r="OV30" s="593">
        <f>'Proy 2021 vs 2019 Sem'!GO29*$OX$4</f>
        <v>34884.744928000007</v>
      </c>
      <c r="OW30" s="735">
        <v>52146.37</v>
      </c>
      <c r="OX30" s="700">
        <f t="shared" si="718"/>
        <v>1.1061658578740921</v>
      </c>
      <c r="OY30" s="579">
        <f t="shared" si="719"/>
        <v>214279.76</v>
      </c>
      <c r="OZ30" s="574">
        <f t="shared" si="720"/>
        <v>158567.02240000002</v>
      </c>
      <c r="PA30" s="785">
        <f t="shared" si="721"/>
        <v>200742.9</v>
      </c>
      <c r="PB30" s="786">
        <f t="shared" si="722"/>
        <v>0.93682623127821307</v>
      </c>
      <c r="PC30" s="593">
        <f>'Proy 2021 vs 2019 Sem'!GW29*$PF$4</f>
        <v>24939</v>
      </c>
      <c r="PD30" s="593">
        <f>'Proy 2021 vs 2019 Sem'!GX29*$PF$4</f>
        <v>20449.98</v>
      </c>
      <c r="PE30" s="735">
        <v>24122.89</v>
      </c>
      <c r="PF30" s="700">
        <f t="shared" si="723"/>
        <v>0.96727575283692202</v>
      </c>
      <c r="PG30" s="593">
        <f>'Proy 2021 vs 2019 Sem'!GW29*$PJ$4</f>
        <v>24939</v>
      </c>
      <c r="PH30" s="593">
        <f>'Proy 2021 vs 2019 Sem'!GX29*$PJ$4</f>
        <v>20449.98</v>
      </c>
      <c r="PI30" s="735">
        <v>21544.45</v>
      </c>
      <c r="PJ30" s="700">
        <f t="shared" si="724"/>
        <v>0.86388588155098445</v>
      </c>
      <c r="PK30" s="593">
        <f>'Proy 2021 vs 2019 Sem'!GW29*'Vtas Diarias 2021'!$PN$4</f>
        <v>24939</v>
      </c>
      <c r="PL30" s="593">
        <f>'Proy 2021 vs 2019 Sem'!GX29*'Vtas Diarias 2021'!$PN$4</f>
        <v>20449.98</v>
      </c>
      <c r="PM30" s="735">
        <v>19346.7</v>
      </c>
      <c r="PN30" s="700">
        <f t="shared" si="725"/>
        <v>0.77576085648983528</v>
      </c>
      <c r="PO30" s="593">
        <f>'Proy 2021 vs 2019 Sem'!GW29*$PR$4</f>
        <v>24939</v>
      </c>
      <c r="PP30" s="593">
        <f>'Proy 2021 vs 2019 Sem'!GX29*$PR$4</f>
        <v>20449.98</v>
      </c>
      <c r="PQ30" s="735">
        <v>25441.08</v>
      </c>
      <c r="PR30" s="700">
        <f t="shared" si="726"/>
        <v>1.0201323228677974</v>
      </c>
      <c r="PS30" s="593">
        <f>'Proy 2021 vs 2019 Sem'!GW29*$PV$4</f>
        <v>29095.500000000004</v>
      </c>
      <c r="PT30" s="593">
        <f>'Proy 2021 vs 2019 Sem'!GX29*$PV$4</f>
        <v>23858.31</v>
      </c>
      <c r="PU30" s="735">
        <v>27670.17</v>
      </c>
      <c r="PV30" s="700">
        <f t="shared" si="727"/>
        <v>0.95101201216682973</v>
      </c>
      <c r="PW30" s="593">
        <f>'Proy 2021 vs 2019 Sem'!GW29*PZ$4</f>
        <v>33252</v>
      </c>
      <c r="PX30" s="593">
        <f>'Proy 2021 vs 2019 Sem'!GX29*$PZ$4</f>
        <v>27266.639999999999</v>
      </c>
      <c r="PY30" s="735">
        <v>38018.910000000003</v>
      </c>
      <c r="PZ30" s="700">
        <f t="shared" si="728"/>
        <v>1.1433570913027788</v>
      </c>
      <c r="QA30" s="593">
        <f>'Proy 2021 vs 2019 Sem'!GW29*$QD$4</f>
        <v>45721.5</v>
      </c>
      <c r="QB30" s="593">
        <f>'Proy 2021 vs 2019 Sem'!GX29*$QD$4</f>
        <v>37491.629999999997</v>
      </c>
      <c r="QC30" s="735">
        <v>44900.63</v>
      </c>
      <c r="QD30" s="700">
        <f t="shared" si="729"/>
        <v>0.98204630206795485</v>
      </c>
      <c r="QE30" s="579">
        <f t="shared" si="730"/>
        <v>207825</v>
      </c>
      <c r="QF30" s="574">
        <f t="shared" si="731"/>
        <v>170416.5</v>
      </c>
      <c r="QG30" s="729">
        <f t="shared" si="732"/>
        <v>201044.83000000002</v>
      </c>
      <c r="QH30" s="711">
        <f t="shared" si="733"/>
        <v>0.96737558041621563</v>
      </c>
      <c r="QI30" s="578">
        <f>'Proy 2021 vs 2019 Sem'!HB29*$QL$4</f>
        <v>25536.4872</v>
      </c>
      <c r="QJ30" s="611">
        <f>'Proy 2021 vs 2019 Sem'!UG29*$AL$4</f>
        <v>0</v>
      </c>
      <c r="QK30" s="735">
        <v>23361.23</v>
      </c>
      <c r="QL30" s="700">
        <f t="shared" si="734"/>
        <v>0.91481768095339289</v>
      </c>
      <c r="QM30" s="593">
        <f>'Proy 2021 vs 2019 Sem'!HB29*$QP$4</f>
        <v>25536.4872</v>
      </c>
      <c r="QN30" s="593">
        <f>'Proy 2021 vs 2019 Sem'!UG29*$AP$4</f>
        <v>0</v>
      </c>
      <c r="QO30" s="735">
        <v>18625.18</v>
      </c>
      <c r="QP30" s="700">
        <f t="shared" si="735"/>
        <v>0.72935560220671236</v>
      </c>
      <c r="QQ30" s="593">
        <f>'Proy 2021 vs 2019 Sem'!HB29*$QT$4</f>
        <v>25536.4872</v>
      </c>
      <c r="QR30" s="593">
        <f>'Proy 2021 vs 2019 Sem'!HC29*$QT$4</f>
        <v>21195.284375999996</v>
      </c>
      <c r="QS30" s="735">
        <v>19582.990000000002</v>
      </c>
      <c r="QT30" s="700">
        <f t="shared" si="736"/>
        <v>0.76686311028715026</v>
      </c>
      <c r="QU30" s="593">
        <f>'Proy 2021 vs 2019 Sem'!HB29*$QX$4</f>
        <v>25536.4872</v>
      </c>
      <c r="QV30" s="593">
        <f>'Proy 2021 vs 2019 Sem'!HC29*$QX$4</f>
        <v>21195.284375999996</v>
      </c>
      <c r="QW30" s="735">
        <v>19506.04</v>
      </c>
      <c r="QX30" s="700">
        <f t="shared" si="737"/>
        <v>0.76384977492127426</v>
      </c>
      <c r="QY30" s="593">
        <f>'Proy 2021 vs 2019 Sem'!HB29*$RB$4</f>
        <v>29792.568400000004</v>
      </c>
      <c r="QZ30" s="593">
        <f>'Proy 2021 vs 2019 Sem'!HC29*$RB$4</f>
        <v>24727.831772000001</v>
      </c>
      <c r="RA30" s="735">
        <v>25425.75</v>
      </c>
      <c r="RB30" s="700">
        <f t="shared" si="738"/>
        <v>0.85342591677997115</v>
      </c>
      <c r="RC30" s="593">
        <f>'Proy 2021 vs 2019 Sem'!HB29*$RF$4</f>
        <v>34048.649599999997</v>
      </c>
      <c r="RD30" s="593">
        <f>'Proy 2021 vs 2019 Sem'!HC29*$RF$4</f>
        <v>28260.379167999999</v>
      </c>
      <c r="RE30" s="735">
        <v>34276.79</v>
      </c>
      <c r="RF30" s="700">
        <f t="shared" si="739"/>
        <v>1.0067004243246112</v>
      </c>
      <c r="RG30" s="593">
        <f>'Proy 2021 vs 2019 Sem'!HB29*$RJ$4</f>
        <v>46816.893199999999</v>
      </c>
      <c r="RH30" s="593">
        <f>'Proy 2021 vs 2019 Sem'!HC29*$RJ$4</f>
        <v>38858.021355999997</v>
      </c>
      <c r="RI30" s="735">
        <v>49960.59</v>
      </c>
      <c r="RJ30" s="700">
        <f t="shared" si="740"/>
        <v>1.0671487701366735</v>
      </c>
      <c r="RK30" s="579">
        <f t="shared" si="741"/>
        <v>212804.06</v>
      </c>
      <c r="RL30" s="574">
        <f t="shared" si="742"/>
        <v>134236.80104799999</v>
      </c>
      <c r="RM30" s="730">
        <f t="shared" si="743"/>
        <v>190738.57</v>
      </c>
      <c r="RN30" s="711">
        <f t="shared" si="744"/>
        <v>0.89631076587542557</v>
      </c>
      <c r="RO30" s="593">
        <f>'Proy 2021 vs 2019 Sem'!HG29*$RR$4</f>
        <v>25243.641599999999</v>
      </c>
      <c r="RP30" s="593">
        <f>'Proy 2021 vs 2019 Sem'!HH29*$RR$4</f>
        <v>20699.786111999998</v>
      </c>
      <c r="RQ30" s="735">
        <v>23478.75</v>
      </c>
      <c r="RR30" s="700">
        <f t="shared" si="745"/>
        <v>0.93008569730288049</v>
      </c>
      <c r="RS30" s="593">
        <f>'Proy 2021 vs 2019 Sem'!HG29*$RV$4</f>
        <v>25243.641599999999</v>
      </c>
      <c r="RT30" s="593">
        <f>'Proy 2021 vs 2019 Sem'!HH29*$RV$4</f>
        <v>20699.786111999998</v>
      </c>
      <c r="RU30" s="735">
        <v>21084.95</v>
      </c>
      <c r="RV30" s="700">
        <f t="shared" si="746"/>
        <v>0.83525785756679427</v>
      </c>
      <c r="RW30" s="593">
        <f>'Proy 2021 vs 2019 Sem'!HG29*$RZ$4</f>
        <v>25243.641599999999</v>
      </c>
      <c r="RX30" s="593">
        <f>'Proy 2021 vs 2019 Sem'!HH29*$RZ$4</f>
        <v>20699.786111999998</v>
      </c>
      <c r="RY30" s="735">
        <v>21674.87</v>
      </c>
      <c r="RZ30" s="700">
        <f t="shared" si="747"/>
        <v>0.85862691062766472</v>
      </c>
      <c r="SA30" s="593">
        <f>'Proy 2021 vs 2019 Sem'!HG29*$SD$4</f>
        <v>25243.641599999999</v>
      </c>
      <c r="SB30" s="593">
        <f>'Proy 2021 vs 2019 Sem'!HH29*$SD$4</f>
        <v>20699.786111999998</v>
      </c>
      <c r="SC30" s="735">
        <v>25856.52</v>
      </c>
      <c r="SD30" s="700">
        <f t="shared" si="748"/>
        <v>1.0242785256466327</v>
      </c>
      <c r="SE30" s="593">
        <f>'Proy 2021 vs 2019 Sem'!HG29*$SH$4</f>
        <v>29450.915200000003</v>
      </c>
      <c r="SF30" s="593">
        <f>'Proy 2021 vs 2019 Sem'!HH29*$SH$4</f>
        <v>24149.750463999997</v>
      </c>
      <c r="SG30" s="735">
        <v>28054.73</v>
      </c>
      <c r="SH30" s="700">
        <f t="shared" si="749"/>
        <v>0.9525928077100978</v>
      </c>
      <c r="SI30" s="593">
        <f>'Proy 2021 vs 2019 Sem'!HG29*$SL$4</f>
        <v>33658.188799999996</v>
      </c>
      <c r="SJ30" s="593">
        <f>'Proy 2021 vs 2019 Sem'!HH29*$SL$4</f>
        <v>27599.714815999996</v>
      </c>
      <c r="SK30" s="735">
        <v>40824.93</v>
      </c>
      <c r="SL30" s="700">
        <f t="shared" si="750"/>
        <v>1.212927119833614</v>
      </c>
      <c r="SM30" s="593">
        <f>'Proy 2021 vs 2019 Sem'!HG29*$SP$4</f>
        <v>46280.009599999998</v>
      </c>
      <c r="SN30" s="593">
        <f>'Proy 2021 vs 2019 Sem'!HH29*$SP$4</f>
        <v>37949.607871999993</v>
      </c>
      <c r="SO30" s="735">
        <v>45341.72</v>
      </c>
      <c r="SP30" s="700">
        <f t="shared" si="751"/>
        <v>0.97972581232999578</v>
      </c>
      <c r="SQ30" s="579">
        <f t="shared" si="752"/>
        <v>210363.68</v>
      </c>
      <c r="SR30" s="574">
        <f t="shared" si="753"/>
        <v>172498.21759999997</v>
      </c>
      <c r="SS30" s="730">
        <f t="shared" si="754"/>
        <v>206316.47</v>
      </c>
      <c r="ST30" s="711">
        <f t="shared" si="755"/>
        <v>0.98076088990266763</v>
      </c>
      <c r="SU30" s="593">
        <f>'Proy 2021 vs 2019 Sem'!HL29*$SX$4</f>
        <v>27337.0272</v>
      </c>
      <c r="SV30" s="593">
        <f>'Proy 2021 vs 2019 Sem'!HM29*$SX$4</f>
        <v>22416.362303999998</v>
      </c>
      <c r="SW30" s="735">
        <v>15328.95</v>
      </c>
      <c r="SX30" s="700">
        <f t="shared" si="756"/>
        <v>0.56073946475057834</v>
      </c>
      <c r="SY30" s="593">
        <f>'Proy 2021 vs 2019 Sem'!HL29*$TB$4</f>
        <v>27337.0272</v>
      </c>
      <c r="SZ30" s="593">
        <f>'Proy 2021 vs 2019 Sem'!HM29*$TB$4</f>
        <v>22416.362303999998</v>
      </c>
      <c r="TA30" s="735">
        <v>13293.99</v>
      </c>
      <c r="TB30" s="700">
        <f t="shared" si="757"/>
        <v>0.48629976854249901</v>
      </c>
      <c r="TC30" s="593">
        <f>'Proy 2021 vs 2019 Sem'!HL29*$TF$4</f>
        <v>27337.0272</v>
      </c>
      <c r="TD30" s="593">
        <f>'Proy 2021 vs 2019 Sem'!HM29*$TF$4</f>
        <v>22416.362303999998</v>
      </c>
      <c r="TE30" s="735">
        <v>18720.8</v>
      </c>
      <c r="TF30" s="700">
        <f t="shared" si="758"/>
        <v>0.68481477020295756</v>
      </c>
      <c r="TG30" s="593">
        <f>'Proy 2021 vs 2019 Sem'!HL29*$TJ$4</f>
        <v>27337.0272</v>
      </c>
      <c r="TH30" s="593">
        <f>'Proy 2021 vs 2019 Sem'!HM29*$TJ$4</f>
        <v>22416.362303999998</v>
      </c>
      <c r="TI30" s="735">
        <v>20506.37</v>
      </c>
      <c r="TJ30" s="700">
        <f t="shared" si="759"/>
        <v>0.75013167488818966</v>
      </c>
      <c r="TK30" s="593">
        <f>'Proy 2021 vs 2019 Sem'!HL29*$TN$4</f>
        <v>31893.198400000001</v>
      </c>
      <c r="TL30" s="593">
        <f>'Proy 2021 vs 2019 Sem'!HM29*$TN$4</f>
        <v>26152.422687999999</v>
      </c>
      <c r="TM30" s="735">
        <v>23270.240000000002</v>
      </c>
      <c r="TN30" s="700">
        <f t="shared" si="760"/>
        <v>0.7296301771979069</v>
      </c>
      <c r="TO30" s="593">
        <f>'Proy 2021 vs 2019 Sem'!HL29*$TR$4</f>
        <v>36449.369599999998</v>
      </c>
      <c r="TP30" s="611">
        <f>'Proy 2021 vs 2019 Sem'!HM29*$TR$4</f>
        <v>29888.483071999999</v>
      </c>
      <c r="TQ30" s="735">
        <v>33570.83</v>
      </c>
      <c r="TR30" s="700">
        <f t="shared" si="761"/>
        <v>0.92102635432136537</v>
      </c>
      <c r="TS30" s="593">
        <f>'Proy 2021 vs 2019 Sem'!HL29*$TV$4</f>
        <v>50117.883199999997</v>
      </c>
      <c r="TT30" s="593">
        <f>'Proy 2021 vs 2019 Sem'!HM29*$TV$4</f>
        <v>41096.664223999993</v>
      </c>
      <c r="TU30" s="735">
        <v>41818.199999999997</v>
      </c>
      <c r="TV30" s="700">
        <f t="shared" si="762"/>
        <v>0.83439677276713076</v>
      </c>
      <c r="TW30" s="579">
        <f t="shared" si="763"/>
        <v>227808.56</v>
      </c>
      <c r="TX30" s="574">
        <f t="shared" si="764"/>
        <v>186803.01919999998</v>
      </c>
      <c r="TY30" s="710">
        <f t="shared" si="765"/>
        <v>166509.38</v>
      </c>
      <c r="TZ30" s="711">
        <f t="shared" si="766"/>
        <v>0.73091801291400116</v>
      </c>
      <c r="UA30" s="593">
        <v>32221.94</v>
      </c>
      <c r="UB30" s="593">
        <f>'Proy 2021 vs 2019 Sem'!HR29*$UD$4</f>
        <v>22609.827528000002</v>
      </c>
      <c r="UC30" s="735">
        <v>20307.16</v>
      </c>
      <c r="UD30" s="700">
        <f t="shared" si="767"/>
        <v>0.63022772682215911</v>
      </c>
      <c r="UE30" s="593">
        <v>19374.169999999998</v>
      </c>
      <c r="UF30" s="593">
        <f>'Proy 2021 vs 2019 Sem'!HR29*$UH$4</f>
        <v>22609.827528000002</v>
      </c>
      <c r="UG30" s="735">
        <v>24003.29</v>
      </c>
      <c r="UH30" s="700">
        <f t="shared" si="768"/>
        <v>1.2389325581431361</v>
      </c>
      <c r="UI30" s="593">
        <v>25310.6</v>
      </c>
      <c r="UJ30" s="593">
        <f>'Proy 2021 vs 2019 Sem'!HR29*$UL$4</f>
        <v>22609.827528000002</v>
      </c>
      <c r="UK30" s="735">
        <v>18484.71</v>
      </c>
      <c r="UL30" s="700">
        <f t="shared" si="769"/>
        <v>0.73031496685183284</v>
      </c>
      <c r="UM30" s="593">
        <v>23735.47</v>
      </c>
      <c r="UN30" s="593">
        <f>'Proy 2021 vs 2019 Sem'!HR29*$UP$4</f>
        <v>22609.827528000002</v>
      </c>
      <c r="UO30" s="735">
        <v>23700.29</v>
      </c>
      <c r="UP30" s="700">
        <f t="shared" si="770"/>
        <v>0.99851783006614148</v>
      </c>
      <c r="UQ30" s="593">
        <v>29441.65</v>
      </c>
      <c r="UR30" s="593">
        <f>'Proy 2021 vs 2019 Sem'!HR29*$UT$4</f>
        <v>26378.132116000004</v>
      </c>
      <c r="US30" s="735">
        <v>26679.45</v>
      </c>
      <c r="UT30" s="700">
        <f t="shared" si="771"/>
        <v>0.90618052996350407</v>
      </c>
      <c r="UU30" s="593">
        <v>39901.18</v>
      </c>
      <c r="UV30" s="593">
        <f>'Proy 2021 vs 2019 Sem'!HR29*$UX$4</f>
        <v>30146.436704000003</v>
      </c>
      <c r="UW30" s="735">
        <v>40939.69</v>
      </c>
      <c r="UX30" s="700">
        <f t="shared" si="772"/>
        <v>1.0260270498265966</v>
      </c>
      <c r="UY30" s="593">
        <v>52550.48</v>
      </c>
      <c r="UZ30" s="593">
        <f>'Proy 2021 vs 2019 Sem'!HR29*$VB$4</f>
        <v>41451.350468000004</v>
      </c>
      <c r="VA30" s="735">
        <v>46772.53</v>
      </c>
      <c r="VB30" s="700">
        <f t="shared" si="773"/>
        <v>0.89004952951904526</v>
      </c>
      <c r="VC30" s="577">
        <f>UA30+UE30+UI30+UM30+UQ30+UU30+UY30</f>
        <v>222535.49</v>
      </c>
      <c r="VD30" s="574">
        <f t="shared" si="774"/>
        <v>188415.22940000001</v>
      </c>
      <c r="VE30" s="710">
        <f t="shared" si="775"/>
        <v>200887.12</v>
      </c>
      <c r="VF30" s="1532">
        <f t="shared" si="776"/>
        <v>0.90271947184694001</v>
      </c>
      <c r="VG30" s="593">
        <v>31887.63</v>
      </c>
      <c r="VH30" s="593">
        <f>'Proy 2021 vs 2019 Sem'!IA29*$VJ$4</f>
        <v>22253.275512</v>
      </c>
      <c r="VI30" s="735">
        <v>23954.43</v>
      </c>
      <c r="VJ30" s="700">
        <f t="shared" si="777"/>
        <v>0.75121387196226241</v>
      </c>
      <c r="VK30" s="593">
        <v>20465.169999999998</v>
      </c>
      <c r="VL30" s="593">
        <f>'Proy 2021 vs 2019 Sem'!IA29*$VN$4</f>
        <v>22253.275512</v>
      </c>
      <c r="VM30" s="735">
        <v>15761.32</v>
      </c>
      <c r="VN30" s="700">
        <f t="shared" si="778"/>
        <v>0.77015338743826711</v>
      </c>
      <c r="VO30" s="593">
        <v>16661.52</v>
      </c>
      <c r="VP30" s="593">
        <f>'Proy 2021 vs 2019 Sem'!IA29*$VR$4</f>
        <v>22253.275512</v>
      </c>
      <c r="VQ30" s="735">
        <v>17261.830000000002</v>
      </c>
      <c r="VR30" s="700">
        <f t="shared" si="779"/>
        <v>1.0360297259793825</v>
      </c>
      <c r="VS30" s="593">
        <v>22228.71</v>
      </c>
      <c r="VT30" s="593">
        <f>'Proy 2021 vs 2019 Sem'!IA29*$VV$4</f>
        <v>22253.275512</v>
      </c>
      <c r="VU30" s="735">
        <v>19302.29</v>
      </c>
      <c r="VV30" s="700">
        <f t="shared" si="780"/>
        <v>0.86834953535315373</v>
      </c>
      <c r="VW30" s="593">
        <v>25763.200000000001</v>
      </c>
      <c r="VX30" s="593">
        <f>'Proy 2021 vs 2019 Sem'!IA29*$VZ$4</f>
        <v>25962.154764000003</v>
      </c>
      <c r="VY30" s="735">
        <v>27163.88</v>
      </c>
      <c r="VZ30" s="700">
        <f t="shared" si="781"/>
        <v>1.054367469879518</v>
      </c>
      <c r="WA30" s="593">
        <v>34017.74</v>
      </c>
      <c r="WB30" s="593">
        <f>'Proy 2021 vs 2019 Sem'!IA29*$WD$4</f>
        <v>29671.034016000001</v>
      </c>
      <c r="WC30" s="735">
        <v>26025.71</v>
      </c>
      <c r="WD30" s="700">
        <f t="shared" si="782"/>
        <v>0.76506287601704293</v>
      </c>
      <c r="WE30" s="593">
        <v>54952.66</v>
      </c>
      <c r="WF30" s="593">
        <f>'Proy 2021 vs 2019 Sem'!IA29*$WH$4</f>
        <v>40797.671772000002</v>
      </c>
      <c r="WG30" s="735">
        <v>45041.2</v>
      </c>
      <c r="WH30" s="1538">
        <f t="shared" si="783"/>
        <v>0.81963639248764286</v>
      </c>
      <c r="WI30" s="574">
        <f t="shared" si="784"/>
        <v>91243.03</v>
      </c>
      <c r="WJ30" s="575">
        <f t="shared" si="785"/>
        <v>185443.9626</v>
      </c>
      <c r="WK30" s="793">
        <f t="shared" si="786"/>
        <v>174510.65999999997</v>
      </c>
      <c r="WL30" s="786">
        <f t="shared" si="787"/>
        <v>1.9125916796055542</v>
      </c>
      <c r="WM30" s="593">
        <v>20404.509999999998</v>
      </c>
      <c r="WN30" s="593">
        <f>'Proy 2021 vs 2019 Sem'!IF29*$WP$4</f>
        <v>23953.415856</v>
      </c>
      <c r="WO30" s="735">
        <v>21235.81</v>
      </c>
      <c r="WP30" s="700">
        <f t="shared" si="788"/>
        <v>1.0407409930451652</v>
      </c>
      <c r="WQ30" s="593">
        <v>27161.73</v>
      </c>
      <c r="WR30" s="593">
        <f>'Proy 2021 vs 2019 Sem'!IF29*$WT$4</f>
        <v>23953.415856</v>
      </c>
      <c r="WS30" s="735">
        <v>16687.93</v>
      </c>
      <c r="WT30" s="700">
        <f t="shared" si="789"/>
        <v>0.61439127772789148</v>
      </c>
      <c r="WU30" s="593">
        <v>30735.24</v>
      </c>
      <c r="WV30" s="593">
        <f>'Proy 2021 vs 2019 Sem'!IF29*$WX$4</f>
        <v>23953.415856</v>
      </c>
      <c r="WW30" s="735">
        <v>15584.59</v>
      </c>
      <c r="WX30" s="700">
        <f t="shared" si="790"/>
        <v>0.50705932343459814</v>
      </c>
      <c r="WY30" s="593">
        <v>24952.52</v>
      </c>
      <c r="WZ30" s="593">
        <f>'Proy 2021 vs 2019 Sem'!IF29*$XB$4</f>
        <v>23953.415856</v>
      </c>
      <c r="XA30" s="735">
        <v>23467.65</v>
      </c>
      <c r="XB30" s="700">
        <f t="shared" si="791"/>
        <v>0.94049218275348545</v>
      </c>
      <c r="XC30" s="593">
        <v>34596.78</v>
      </c>
      <c r="XD30" s="593">
        <f>'Proy 2021 vs 2019 Sem'!IF29*$XF$4</f>
        <v>27945.651832000007</v>
      </c>
      <c r="XE30" s="735">
        <v>25079.51</v>
      </c>
      <c r="XF30" s="700">
        <f t="shared" si="792"/>
        <v>0.72490879208989967</v>
      </c>
      <c r="XG30" s="593">
        <v>31588.26</v>
      </c>
      <c r="XH30" s="593">
        <f>'Proy 2021 vs 2019 Sem'!IF29*$XJ$4</f>
        <v>31937.887808000003</v>
      </c>
      <c r="XI30" s="735">
        <v>37271.440000000002</v>
      </c>
      <c r="XJ30" s="700">
        <f t="shared" si="793"/>
        <v>1.1799143099366665</v>
      </c>
      <c r="XK30" s="593">
        <v>54262.97</v>
      </c>
      <c r="XL30" s="593">
        <f>'Proy 2021 vs 2019 Sem'!IF29*$XN$4</f>
        <v>43914.595736000003</v>
      </c>
      <c r="XM30" s="735">
        <v>59630.16</v>
      </c>
      <c r="XN30" s="700">
        <f t="shared" si="794"/>
        <v>1.098910730466836</v>
      </c>
      <c r="XO30" s="579">
        <f t="shared" si="795"/>
        <v>223702.01</v>
      </c>
      <c r="XP30" s="574">
        <f t="shared" si="796"/>
        <v>199611.79879999999</v>
      </c>
      <c r="XQ30" s="794">
        <f t="shared" si="797"/>
        <v>198957.09</v>
      </c>
      <c r="XR30" s="786">
        <f t="shared" si="798"/>
        <v>0.88938445389918486</v>
      </c>
      <c r="XS30" s="593">
        <v>32045.25</v>
      </c>
      <c r="XT30" s="593">
        <f>'Proy 2021 vs 2019 Sem'!IK29*$XV$4</f>
        <v>21866.709407999999</v>
      </c>
      <c r="XU30" s="735">
        <v>23040.98</v>
      </c>
      <c r="XV30" s="700">
        <f t="shared" si="799"/>
        <v>0.71901389441492891</v>
      </c>
      <c r="XW30" s="593">
        <v>20020.650000000001</v>
      </c>
      <c r="XX30" s="593">
        <f>'Proy 2021 vs 2019 Sem'!IK29*$XZ$4</f>
        <v>21866.709407999999</v>
      </c>
      <c r="XY30" s="735">
        <v>16768.96</v>
      </c>
      <c r="XZ30" s="700">
        <f t="shared" si="800"/>
        <v>0.83758319535080017</v>
      </c>
      <c r="YA30" s="593">
        <v>20973.83</v>
      </c>
      <c r="YB30" s="593">
        <f>'Proy 2021 vs 2019 Sem'!IK29*$YD$4</f>
        <v>21866.709407999999</v>
      </c>
      <c r="YC30" s="735">
        <v>16487.16</v>
      </c>
      <c r="YD30" s="700">
        <f t="shared" si="801"/>
        <v>0.78608246562501927</v>
      </c>
      <c r="YE30" s="593">
        <v>19950.89</v>
      </c>
      <c r="YF30" s="593">
        <f>'Proy 2021 vs 2019 Sem'!IK29*$YH$4</f>
        <v>21866.709407999999</v>
      </c>
      <c r="YG30" s="735">
        <v>19508.349999999999</v>
      </c>
      <c r="YH30" s="700">
        <f t="shared" si="802"/>
        <v>0.97781853340878522</v>
      </c>
      <c r="YI30" s="593">
        <v>22221.53</v>
      </c>
      <c r="YJ30" s="593">
        <f>'Proy 2021 vs 2019 Sem'!IK29*$YL$4</f>
        <v>25511.160976000003</v>
      </c>
      <c r="YK30" s="735">
        <v>25683.33</v>
      </c>
      <c r="YL30" s="700">
        <f t="shared" si="803"/>
        <v>1.1557858527293126</v>
      </c>
      <c r="YM30" s="593">
        <v>34967.910000000003</v>
      </c>
      <c r="YN30" s="593">
        <f>'Proy 2021 vs 2019 Sem'!IK29*$YP$4</f>
        <v>29155.612544</v>
      </c>
      <c r="YO30" s="735">
        <v>28595.94</v>
      </c>
      <c r="YP30" s="700">
        <f t="shared" si="804"/>
        <v>0.8177766414978761</v>
      </c>
      <c r="YQ30" s="593">
        <v>47180.09</v>
      </c>
      <c r="YR30" s="593">
        <f>'Proy 2021 vs 2019 Sem'!IK29*$YT$4</f>
        <v>40088.967248000001</v>
      </c>
      <c r="YS30" s="735">
        <v>55196.89</v>
      </c>
      <c r="YT30" s="700">
        <f t="shared" si="805"/>
        <v>1.1699191332615093</v>
      </c>
      <c r="YU30" s="579">
        <f t="shared" si="806"/>
        <v>197360.15</v>
      </c>
      <c r="YV30" s="574">
        <f t="shared" si="807"/>
        <v>182222.5784</v>
      </c>
      <c r="YW30" s="794">
        <f t="shared" si="808"/>
        <v>185281.61000000002</v>
      </c>
      <c r="YX30" s="786">
        <f t="shared" si="809"/>
        <v>0.93879949929101703</v>
      </c>
      <c r="YY30" s="593">
        <v>31949.59</v>
      </c>
      <c r="YZ30" s="593">
        <f>'Proy 2021 vs 2019 Sem'!IP29*$ZB$4</f>
        <v>24730.992419999999</v>
      </c>
      <c r="ZA30" s="735">
        <v>24967.78</v>
      </c>
      <c r="ZB30" s="700">
        <f t="shared" si="810"/>
        <v>0.78147419106160665</v>
      </c>
      <c r="ZC30" s="593">
        <v>21451.89</v>
      </c>
      <c r="ZD30" s="593">
        <f>'Proy 2021 vs 2019 Sem'!IP29*$ZF$4</f>
        <v>24730.992419999999</v>
      </c>
      <c r="ZE30" s="735">
        <v>23942.53</v>
      </c>
      <c r="ZF30" s="700">
        <f t="shared" si="811"/>
        <v>1.1161035228131413</v>
      </c>
      <c r="ZG30" s="593">
        <v>24680.720000000001</v>
      </c>
      <c r="ZH30" s="593">
        <f>'Proy 2021 vs 2019 Sem'!IP29*$ZJ$4</f>
        <v>24730.992419999999</v>
      </c>
      <c r="ZI30" s="735">
        <v>25358.61</v>
      </c>
      <c r="ZJ30" s="700">
        <f t="shared" si="812"/>
        <v>1.0274663786145624</v>
      </c>
      <c r="ZK30" s="593">
        <v>25457.99</v>
      </c>
      <c r="ZL30" s="593">
        <f>'Proy 2021 vs 2019 Sem'!IP29*$ZN$4</f>
        <v>24730.992419999999</v>
      </c>
      <c r="ZM30" s="735">
        <v>24527.79</v>
      </c>
      <c r="ZN30" s="700">
        <f t="shared" si="813"/>
        <v>0.96346137303062807</v>
      </c>
      <c r="ZO30" s="593">
        <v>32897.08</v>
      </c>
      <c r="ZP30" s="593">
        <f>'Proy 2021 vs 2019 Sem'!IP29*$ZR$4</f>
        <v>28852.824490000003</v>
      </c>
      <c r="ZQ30" s="735">
        <v>34177.75</v>
      </c>
      <c r="ZR30" s="700">
        <f t="shared" si="814"/>
        <v>1.0389295949670911</v>
      </c>
      <c r="ZS30" s="593">
        <v>35257.660000000003</v>
      </c>
      <c r="ZT30" s="593">
        <f>'Proy 2021 vs 2019 Sem'!IP29*$ZV$4</f>
        <v>32974.656560000003</v>
      </c>
      <c r="ZU30" s="735">
        <v>48230.58</v>
      </c>
      <c r="ZV30" s="700">
        <f t="shared" si="815"/>
        <v>1.3679461427672737</v>
      </c>
      <c r="ZW30" s="593">
        <v>41906.31</v>
      </c>
      <c r="ZX30" s="593">
        <f>'Proy 2021 vs 2019 Sem'!IP29*$ZZ$4</f>
        <v>45340.152770000001</v>
      </c>
      <c r="ZY30" s="735">
        <v>62145.91</v>
      </c>
      <c r="ZZ30" s="700">
        <f t="shared" si="816"/>
        <v>1.4829726120004363</v>
      </c>
      <c r="AAA30" s="579">
        <f t="shared" si="817"/>
        <v>213601.24000000002</v>
      </c>
      <c r="AAB30" s="574">
        <f t="shared" si="818"/>
        <v>206091.60349999997</v>
      </c>
      <c r="AAC30" s="785">
        <f t="shared" si="819"/>
        <v>243350.94999999998</v>
      </c>
      <c r="AAD30" s="786">
        <f t="shared" si="820"/>
        <v>1.139276860003247</v>
      </c>
      <c r="AAE30" s="593">
        <v>28835.83</v>
      </c>
      <c r="AAF30" s="593">
        <f>'Proy 2021 vs 2019 Sem'!IY29*$AAH$4</f>
        <v>20833.8249</v>
      </c>
      <c r="AAG30" s="735">
        <v>30807.9</v>
      </c>
      <c r="AAH30" s="700">
        <f t="shared" si="821"/>
        <v>1.0683895695043284</v>
      </c>
      <c r="AAI30" s="593">
        <v>22041.57</v>
      </c>
      <c r="AAJ30" s="593">
        <f>'Proy 2021 vs 2019 Sem'!IY29*$AAL$4</f>
        <v>20833.8249</v>
      </c>
      <c r="AAK30" s="735">
        <v>26826.63</v>
      </c>
      <c r="AAL30" s="700">
        <f t="shared" si="822"/>
        <v>1.2170925210862928</v>
      </c>
      <c r="AAM30" s="593">
        <v>22428.16</v>
      </c>
      <c r="AAN30" s="593">
        <f>'Proy 2021 vs 2019 Sem'!IY29*$AAP$4</f>
        <v>20833.8249</v>
      </c>
      <c r="AAO30" s="735">
        <v>17455.57</v>
      </c>
      <c r="AAP30" s="700">
        <f t="shared" si="823"/>
        <v>0.77828809853327241</v>
      </c>
      <c r="AAQ30" s="593">
        <v>16337.99</v>
      </c>
      <c r="AAR30" s="593">
        <f>'Proy 2021 vs 2019 Sem'!IY29*$AAT$4</f>
        <v>20833.8249</v>
      </c>
      <c r="AAS30" s="735">
        <v>17289.38</v>
      </c>
      <c r="AAT30" s="700">
        <f t="shared" si="824"/>
        <v>1.0582317653517967</v>
      </c>
      <c r="AAU30" s="593">
        <v>16267.96</v>
      </c>
      <c r="AAV30" s="593">
        <f>'Proy 2021 vs 2019 Sem'!IY29*$AAX$4</f>
        <v>24306.12905</v>
      </c>
      <c r="AAW30" s="735">
        <v>23611.919999999998</v>
      </c>
      <c r="AAX30" s="700">
        <f t="shared" si="825"/>
        <v>1.4514370578732674</v>
      </c>
      <c r="AAY30" s="593">
        <v>28733.06</v>
      </c>
      <c r="AAZ30" s="593">
        <f>'Proy 2021 vs 2019 Sem'!IY29*$ABB$4</f>
        <v>27778.433199999999</v>
      </c>
      <c r="ABA30" s="735">
        <v>32410.49</v>
      </c>
      <c r="ABB30" s="700">
        <f t="shared" si="826"/>
        <v>1.1279860202846477</v>
      </c>
      <c r="ABC30" s="593">
        <v>48108.28</v>
      </c>
      <c r="ABD30" s="593">
        <f>'Proy 2021 vs 2019 Sem'!IY29*$ABF$4</f>
        <v>38195.345649999996</v>
      </c>
      <c r="ABE30" s="735">
        <v>47873.56</v>
      </c>
      <c r="ABF30" s="700">
        <f t="shared" si="827"/>
        <v>0.99512100619685429</v>
      </c>
      <c r="ABG30" s="579">
        <f t="shared" si="828"/>
        <v>182752.85</v>
      </c>
      <c r="ABH30" s="574">
        <f t="shared" si="829"/>
        <v>173615.20749999999</v>
      </c>
      <c r="ABI30" s="759">
        <f t="shared" si="830"/>
        <v>196275.45</v>
      </c>
      <c r="ABJ30" s="761">
        <f t="shared" si="831"/>
        <v>1.0739939212986283</v>
      </c>
      <c r="ABK30" s="593">
        <v>30725.16</v>
      </c>
      <c r="ABL30" s="593">
        <f>'Proy 2021 vs 2019 Sem'!JD29*$ABN$4</f>
        <v>29564.180183999997</v>
      </c>
      <c r="ABM30" s="735">
        <v>25316.44</v>
      </c>
      <c r="ABN30" s="700">
        <f t="shared" si="832"/>
        <v>0.82396446430222003</v>
      </c>
      <c r="ABO30" s="593">
        <v>19369.990000000002</v>
      </c>
      <c r="ABP30" s="593">
        <f>'Proy 2021 vs 2019 Sem'!JD29*$ABR$4</f>
        <v>29564.180183999997</v>
      </c>
      <c r="ABQ30" s="735">
        <v>18435.61</v>
      </c>
      <c r="ABR30" s="700">
        <f t="shared" si="833"/>
        <v>0.95176146193157551</v>
      </c>
      <c r="ABS30" s="593">
        <v>7310.3</v>
      </c>
      <c r="ABT30" s="593">
        <f>'Proy 2021 vs 2019 Sem'!JD29*$ABV$4</f>
        <v>29564.180183999997</v>
      </c>
      <c r="ABU30" s="735">
        <v>15083.44</v>
      </c>
      <c r="ABV30" s="700">
        <f t="shared" si="834"/>
        <v>2.0633134071105155</v>
      </c>
      <c r="ABW30" s="593">
        <v>12224.04</v>
      </c>
      <c r="ABX30" s="593">
        <f>'Proy 2021 vs 2019 Sem'!JD29*$ABZ$4</f>
        <v>29564.180183999997</v>
      </c>
      <c r="ABY30" s="735">
        <v>20212.990000000002</v>
      </c>
      <c r="ABZ30" s="700">
        <f t="shared" si="835"/>
        <v>1.6535441637952755</v>
      </c>
      <c r="ACA30" s="593">
        <v>23905.01</v>
      </c>
      <c r="ACB30" s="593">
        <f>'Proy 2021 vs 2019 Sem'!JD29*$ACD$4</f>
        <v>34491.543548000001</v>
      </c>
      <c r="ACC30" s="735">
        <v>28705.34</v>
      </c>
      <c r="ACD30" s="700">
        <f t="shared" si="836"/>
        <v>1.2008085334413163</v>
      </c>
      <c r="ACE30" s="593">
        <v>55783.360000000001</v>
      </c>
      <c r="ACF30" s="593">
        <f>'Proy 2021 vs 2019 Sem'!JD29*$ACH$4</f>
        <v>39418.906911999999</v>
      </c>
      <c r="ACG30" s="735">
        <v>47549.52</v>
      </c>
      <c r="ACH30" s="700">
        <f t="shared" si="837"/>
        <v>0.85239612673026499</v>
      </c>
      <c r="ACI30" s="593">
        <v>99549.03</v>
      </c>
      <c r="ACJ30" s="593">
        <f>'Proy 2021 vs 2019 Sem'!JD29*$ACL$4</f>
        <v>54200.997003999997</v>
      </c>
      <c r="ACK30" s="735">
        <v>78974.12</v>
      </c>
      <c r="ACL30" s="700">
        <f t="shared" si="838"/>
        <v>0.79331882992732317</v>
      </c>
      <c r="ACM30" s="579">
        <f t="shared" si="839"/>
        <v>248866.88999999998</v>
      </c>
      <c r="ACN30" s="574">
        <f t="shared" si="840"/>
        <v>246368.16819999999</v>
      </c>
      <c r="ACO30" s="765">
        <f t="shared" si="841"/>
        <v>234277.46</v>
      </c>
      <c r="ACP30" s="761">
        <f t="shared" si="842"/>
        <v>0.94137657283377474</v>
      </c>
      <c r="ACQ30" s="593">
        <v>77870.5</v>
      </c>
      <c r="ACR30" s="593">
        <f>'Proy 2021 vs 2019 Sem'!JI29*$ACT$4</f>
        <v>35253.932783999997</v>
      </c>
      <c r="ACS30" s="735">
        <v>50878.68</v>
      </c>
      <c r="ACT30" s="700">
        <f t="shared" si="843"/>
        <v>0.65337554015962396</v>
      </c>
      <c r="ACU30" s="593">
        <v>63088.1</v>
      </c>
      <c r="ACV30" s="593">
        <f>'Proy 2021 vs 2019 Sem'!JI29*$ACX$4</f>
        <v>35253.932783999997</v>
      </c>
      <c r="ACW30" s="735">
        <v>43625.48</v>
      </c>
      <c r="ACX30" s="700">
        <f t="shared" si="844"/>
        <v>0.69150093282251335</v>
      </c>
      <c r="ACY30" s="593">
        <v>17666.580000000002</v>
      </c>
      <c r="ACZ30" s="593">
        <f>'Proy 2021 vs 2019 Sem'!JI29*$ADB$4</f>
        <v>35253.932783999997</v>
      </c>
      <c r="ADA30" s="735">
        <v>28434</v>
      </c>
      <c r="ADB30" s="700">
        <f t="shared" si="845"/>
        <v>1.6094795936734783</v>
      </c>
      <c r="ADC30" s="593">
        <v>17669.55</v>
      </c>
      <c r="ADD30" s="593">
        <f>'Proy 2021 vs 2019 Sem'!JI29*$ADF$4</f>
        <v>35253.932783999997</v>
      </c>
      <c r="ADE30" s="735">
        <v>18630.080000000002</v>
      </c>
      <c r="ADF30" s="700">
        <f t="shared" si="846"/>
        <v>1.0543607505567489</v>
      </c>
      <c r="ADG30" s="593">
        <v>30621.56</v>
      </c>
      <c r="ADH30" s="593">
        <f>'Proy 2021 vs 2019 Sem'!JI29*$ADJ$4</f>
        <v>41129.588248</v>
      </c>
      <c r="ADI30" s="735">
        <v>22775.360000000001</v>
      </c>
      <c r="ADJ30" s="700">
        <f t="shared" si="847"/>
        <v>0.7437687694552465</v>
      </c>
      <c r="ADK30" s="593">
        <v>38793.74</v>
      </c>
      <c r="ADL30" s="593">
        <f>'Proy 2021 vs 2019 Sem'!JI29*$ADN$4</f>
        <v>47005.243712000003</v>
      </c>
      <c r="ADM30" s="735">
        <v>36538.04</v>
      </c>
      <c r="ADN30" s="700">
        <f t="shared" si="848"/>
        <v>0.94185402077757918</v>
      </c>
      <c r="ADO30" s="593">
        <v>51301.68</v>
      </c>
      <c r="ADP30" s="593">
        <f>'Proy 2021 vs 2019 Sem'!JI29*$ADR$4</f>
        <v>64632.210103999998</v>
      </c>
      <c r="ADQ30" s="735">
        <v>60777.88</v>
      </c>
      <c r="ADR30" s="700">
        <f t="shared" si="849"/>
        <v>1.1847151984106563</v>
      </c>
      <c r="ADS30" s="579">
        <f t="shared" si="850"/>
        <v>297011.70999999996</v>
      </c>
      <c r="ADT30" s="574">
        <f t="shared" si="851"/>
        <v>293782.77319999994</v>
      </c>
      <c r="ADU30" s="765">
        <f t="shared" si="852"/>
        <v>261659.51999999999</v>
      </c>
      <c r="ADV30" s="761">
        <f t="shared" si="853"/>
        <v>0.88097375015954771</v>
      </c>
      <c r="ADW30" s="593">
        <v>37378</v>
      </c>
      <c r="ADX30" s="593">
        <f>'Proy 2021 vs 2019 Sem'!JN29*$ADZ$4</f>
        <v>28812</v>
      </c>
      <c r="ADY30" s="735">
        <v>32744.9</v>
      </c>
      <c r="ADZ30" s="700">
        <f t="shared" si="854"/>
        <v>0.8760474075659479</v>
      </c>
      <c r="AEA30" s="593">
        <v>21562.92</v>
      </c>
      <c r="AEB30" s="593">
        <f>'Proy 2021 vs 2019 Sem'!JN29*$AED$4</f>
        <v>28812</v>
      </c>
      <c r="AEC30" s="735">
        <v>31240</v>
      </c>
      <c r="AED30" s="700">
        <f t="shared" si="855"/>
        <v>1.4487833744223881</v>
      </c>
      <c r="AEE30" s="593">
        <v>22791.5</v>
      </c>
      <c r="AEF30" s="593">
        <f>'Proy 2021 vs 2019 Sem'!JN29*$AEH$4</f>
        <v>28812</v>
      </c>
      <c r="AEG30" s="735">
        <v>19763</v>
      </c>
      <c r="AEH30" s="700">
        <f t="shared" si="856"/>
        <v>0.86712151459974118</v>
      </c>
      <c r="AEI30" s="593">
        <v>15841.2</v>
      </c>
      <c r="AEJ30" s="593">
        <f>'Proy 2021 vs 2019 Sem'!JN29*$AEL$4</f>
        <v>28812</v>
      </c>
      <c r="AEK30" s="735">
        <v>23278</v>
      </c>
      <c r="AEL30" s="700">
        <f t="shared" si="857"/>
        <v>1.4694593843900714</v>
      </c>
      <c r="AEM30" s="593">
        <v>32394.68</v>
      </c>
      <c r="AEN30" s="593">
        <f>'Proy 2021 vs 2019 Sem'!JN29*$AEP$4</f>
        <v>33614</v>
      </c>
      <c r="AEO30" s="735">
        <v>29419</v>
      </c>
      <c r="AEP30" s="700">
        <f t="shared" si="858"/>
        <v>0.90814294198924017</v>
      </c>
      <c r="AEQ30" s="593">
        <v>50633.5</v>
      </c>
      <c r="AER30" s="593">
        <f>'Proy 2021 vs 2019 Sem'!JN29*$AET$4</f>
        <v>38416</v>
      </c>
      <c r="AES30" s="735">
        <v>13964</v>
      </c>
      <c r="AET30" s="700">
        <f t="shared" si="859"/>
        <v>0.27578579399014486</v>
      </c>
      <c r="AEU30" s="593">
        <v>78424.460000000006</v>
      </c>
      <c r="AEV30" s="593">
        <f>'Proy 2021 vs 2019 Sem'!JN29*$AEX$4</f>
        <v>52822</v>
      </c>
      <c r="AEW30" s="735">
        <v>59723</v>
      </c>
      <c r="AEX30" s="700">
        <f t="shared" si="860"/>
        <v>0.76153536791965148</v>
      </c>
      <c r="AEY30" s="579">
        <f t="shared" si="861"/>
        <v>259026.26</v>
      </c>
      <c r="AEZ30" s="574">
        <f t="shared" si="862"/>
        <v>240100</v>
      </c>
      <c r="AFA30" s="770">
        <f t="shared" si="863"/>
        <v>210131.9</v>
      </c>
      <c r="AFB30" s="761">
        <f t="shared" si="864"/>
        <v>0.81123782584823634</v>
      </c>
      <c r="AFC30" s="593">
        <v>44764.13</v>
      </c>
      <c r="AFD30" s="593">
        <f>'Proy 2021 vs 2019 Sem'!JX29*$AFF$4</f>
        <v>42017.061959999999</v>
      </c>
      <c r="AFE30" s="735">
        <v>36054</v>
      </c>
      <c r="AFF30" s="700">
        <f t="shared" si="865"/>
        <v>0.80542166238906021</v>
      </c>
      <c r="AFG30" s="593">
        <v>42128.86</v>
      </c>
      <c r="AFH30" s="593">
        <f>'Proy 2021 vs 2019 Sem'!JX29*$AFJ$4</f>
        <v>42017.061959999999</v>
      </c>
      <c r="AFI30" s="735">
        <v>21173.78</v>
      </c>
      <c r="AFJ30" s="700">
        <f t="shared" si="866"/>
        <v>0.50259560785646695</v>
      </c>
      <c r="AFK30" s="593">
        <v>36450.93</v>
      </c>
      <c r="AFL30" s="593">
        <f>'Proy 2021 vs 2019 Sem'!JX29*$AFN$4</f>
        <v>42017.061959999999</v>
      </c>
      <c r="AFM30" s="735">
        <v>26685.23</v>
      </c>
      <c r="AFN30" s="700">
        <f t="shared" si="867"/>
        <v>0.73208639669824604</v>
      </c>
      <c r="AFO30" s="593">
        <v>40672.449999999997</v>
      </c>
      <c r="AFP30" s="593">
        <f>'Proy 2021 vs 2019 Sem'!JX29*$AFR$4</f>
        <v>42017.061959999999</v>
      </c>
      <c r="AFQ30" s="735">
        <v>38614.519999999997</v>
      </c>
      <c r="AFR30" s="700">
        <f t="shared" si="868"/>
        <v>0.94940235958246921</v>
      </c>
      <c r="AFS30" s="593">
        <v>53200.78</v>
      </c>
      <c r="AFT30" s="593">
        <f>'Proy 2021 vs 2019 Sem'!JX29*$AFV$4</f>
        <v>49019.905620000005</v>
      </c>
      <c r="AFU30" s="735">
        <v>43282.65</v>
      </c>
      <c r="AFV30" s="700">
        <f t="shared" si="869"/>
        <v>0.81357171830939323</v>
      </c>
      <c r="AFW30" s="593">
        <v>66444.100000000006</v>
      </c>
      <c r="AFX30" s="593">
        <f>'Proy 2021 vs 2019 Sem'!JX29*$AFZ$4</f>
        <v>56022.749280000004</v>
      </c>
      <c r="AFY30" s="735">
        <v>50290.61</v>
      </c>
      <c r="AFZ30" s="700">
        <f t="shared" si="870"/>
        <v>0.75688601395759736</v>
      </c>
      <c r="AGA30" s="593">
        <v>101679.07</v>
      </c>
      <c r="AGB30" s="593">
        <f>'Proy 2021 vs 2019 Sem'!JX29*$AGD$4</f>
        <v>77031.28026</v>
      </c>
      <c r="AGC30" s="735">
        <v>90003.78</v>
      </c>
      <c r="AGD30" s="700">
        <f t="shared" si="871"/>
        <v>0.88517509060615907</v>
      </c>
      <c r="AGE30" s="579">
        <f t="shared" si="872"/>
        <v>385340.32</v>
      </c>
      <c r="AGF30" s="574">
        <f t="shared" si="873"/>
        <v>350142.18299999996</v>
      </c>
      <c r="AGG30" s="729">
        <f t="shared" si="874"/>
        <v>306104.56999999995</v>
      </c>
      <c r="AGH30" s="711">
        <f t="shared" si="875"/>
        <v>0.79437461929756004</v>
      </c>
      <c r="AGI30" s="593">
        <v>75016.02</v>
      </c>
      <c r="AGJ30" s="593">
        <f>'Proy 2021 vs 2019 Sem'!KC29*$AGL$4</f>
        <v>57289.862519999995</v>
      </c>
      <c r="AGK30" s="735">
        <v>47722.11</v>
      </c>
      <c r="AGL30" s="700">
        <f t="shared" si="876"/>
        <v>0.63615891645544509</v>
      </c>
      <c r="AGM30" s="593">
        <v>28564.69</v>
      </c>
      <c r="AGN30" s="593">
        <f>'Proy 2021 vs 2019 Sem'!KC29*$AGP$4</f>
        <v>57289.862519999995</v>
      </c>
      <c r="AGO30" s="735">
        <v>42712.9</v>
      </c>
      <c r="AGP30" s="700">
        <f t="shared" si="877"/>
        <v>1.4953041674879022</v>
      </c>
      <c r="AGQ30" s="593">
        <v>58525.9</v>
      </c>
      <c r="AGR30" s="593">
        <f>'Proy 2021 vs 2019 Sem'!KC29*$AGT$4</f>
        <v>57289.862519999995</v>
      </c>
      <c r="AGS30" s="735">
        <v>37272.58</v>
      </c>
      <c r="AGT30" s="700">
        <f t="shared" si="878"/>
        <v>0.63685616111841081</v>
      </c>
      <c r="AGU30" s="593">
        <v>65838.460000000006</v>
      </c>
      <c r="AGV30" s="593">
        <f>'Proy 2021 vs 2019 Sem'!KC29*$AGX$4</f>
        <v>57289.862519999995</v>
      </c>
      <c r="AGW30" s="735">
        <v>41726.92</v>
      </c>
      <c r="AGX30" s="700">
        <f t="shared" si="879"/>
        <v>0.63377727850864063</v>
      </c>
      <c r="AGY30" s="593">
        <v>74346.850000000006</v>
      </c>
      <c r="AGZ30" s="593">
        <f>'Proy 2021 vs 2019 Sem'!KC29*$AHB$4</f>
        <v>66838.172940000004</v>
      </c>
      <c r="AHA30" s="735">
        <v>53706.46</v>
      </c>
      <c r="AHB30" s="700">
        <f t="shared" si="880"/>
        <v>0.72237707448264443</v>
      </c>
      <c r="AHC30" s="593">
        <v>91769.49</v>
      </c>
      <c r="AHD30" s="593">
        <f>'Proy 2021 vs 2019 Sem'!KC29*$AHF$4</f>
        <v>76386.483359999998</v>
      </c>
      <c r="AHE30" s="735">
        <v>47709.71</v>
      </c>
      <c r="AHF30" s="700">
        <f t="shared" si="881"/>
        <v>0.51988640233262706</v>
      </c>
      <c r="AHG30" s="593">
        <v>128608.42</v>
      </c>
      <c r="AHH30" s="593">
        <f>'Proy 2021 vs 2019 Sem'!KC29*$AHJ$4</f>
        <v>105031.41462</v>
      </c>
      <c r="AHI30" s="735">
        <v>100326.94</v>
      </c>
      <c r="AHJ30" s="700">
        <f t="shared" si="882"/>
        <v>0.78009620209936492</v>
      </c>
      <c r="AHK30" s="579">
        <f t="shared" si="883"/>
        <v>522669.83</v>
      </c>
      <c r="AHL30" s="574">
        <f t="shared" si="884"/>
        <v>477415.52100000001</v>
      </c>
      <c r="AHM30" s="730">
        <f t="shared" si="885"/>
        <v>371177.62</v>
      </c>
      <c r="AHN30" s="711">
        <f t="shared" si="886"/>
        <v>0.71015696467500333</v>
      </c>
      <c r="AHO30" s="593">
        <v>99528.68</v>
      </c>
      <c r="AHP30" s="593">
        <f>'Proy 2021 vs 2019 Sem'!KH29*$AHR$4</f>
        <v>71109.852192000006</v>
      </c>
      <c r="AHQ30" s="735">
        <v>71812.62</v>
      </c>
      <c r="AHR30" s="700">
        <f t="shared" si="887"/>
        <v>0.72152690058785063</v>
      </c>
      <c r="AHS30" s="593">
        <v>76530.350000000006</v>
      </c>
      <c r="AHT30" s="593">
        <f>'Proy 2021 vs 2019 Sem'!KH29*$AHV$4</f>
        <v>71109.852192000006</v>
      </c>
      <c r="AHU30" s="735">
        <v>53714.92</v>
      </c>
      <c r="AHV30" s="700">
        <f t="shared" si="888"/>
        <v>0.70187735976641941</v>
      </c>
      <c r="AHW30" s="593">
        <v>69152.91</v>
      </c>
      <c r="AHX30" s="593">
        <f>'Proy 2021 vs 2019 Sem'!KH29*$AHZ$4</f>
        <v>71109.852192000006</v>
      </c>
      <c r="AHY30" s="735">
        <v>52089.69</v>
      </c>
      <c r="AHZ30" s="700">
        <f t="shared" si="889"/>
        <v>0.75325376762886764</v>
      </c>
      <c r="AIA30" s="593">
        <v>77965.27</v>
      </c>
      <c r="AIB30" s="593">
        <f>'Proy 2021 vs 2019 Sem'!KH29*$AID$4</f>
        <v>71109.852192000006</v>
      </c>
      <c r="AIC30" s="735">
        <v>71784.789999999994</v>
      </c>
      <c r="AID30" s="700">
        <f t="shared" si="890"/>
        <v>0.92072778045917103</v>
      </c>
      <c r="AIE30" s="593">
        <v>92980.31</v>
      </c>
      <c r="AIF30" s="593">
        <f>'Proy 2021 vs 2019 Sem'!KH29*$AIH$4</f>
        <v>82961.494224000009</v>
      </c>
      <c r="AIG30" s="735">
        <v>76615.509999999995</v>
      </c>
      <c r="AIH30" s="700">
        <f t="shared" si="891"/>
        <v>0.82399714520203249</v>
      </c>
      <c r="AII30" s="593">
        <v>90728.69</v>
      </c>
      <c r="AIJ30" s="593">
        <f>'Proy 2021 vs 2019 Sem'!KH29*$AIL$4</f>
        <v>94813.136256000013</v>
      </c>
      <c r="AIK30" s="735">
        <v>73848.240000000005</v>
      </c>
      <c r="AIL30" s="700">
        <f t="shared" si="892"/>
        <v>0.8139458422688568</v>
      </c>
      <c r="AIM30" s="593">
        <v>125643.17</v>
      </c>
      <c r="AIN30" s="593">
        <f>'Proy 2021 vs 2019 Sem'!KH29*$AIP$4</f>
        <v>130368.06235200001</v>
      </c>
      <c r="AIO30" s="735">
        <v>89549.73</v>
      </c>
      <c r="AIP30" s="700">
        <f t="shared" si="893"/>
        <v>0.71273058455943128</v>
      </c>
      <c r="AIQ30" s="579">
        <f t="shared" si="894"/>
        <v>632529.38</v>
      </c>
      <c r="AIR30" s="574">
        <f t="shared" si="895"/>
        <v>592582.10160000005</v>
      </c>
      <c r="AIS30" s="730">
        <f t="shared" si="896"/>
        <v>489415.49999999994</v>
      </c>
      <c r="AIT30" s="711">
        <f t="shared" si="897"/>
        <v>0.7737435057957307</v>
      </c>
      <c r="AIU30" s="593">
        <f>'Proy 2021 vs 2019 Sem'!KL29*$AIX$4</f>
        <v>68156.55720000001</v>
      </c>
      <c r="AIV30" s="593">
        <f>'Proy 2021 vs 2019 Sem'!KM29*$AIX$4</f>
        <v>104961.098088</v>
      </c>
      <c r="AIW30" s="735">
        <v>92869.06</v>
      </c>
      <c r="AIX30" s="700">
        <f t="shared" si="898"/>
        <v>1.3625843765477048</v>
      </c>
      <c r="AIY30" s="593">
        <f>'Proy 2021 vs 2019 Sem'!KL29*$AJB$4</f>
        <v>68156.55720000001</v>
      </c>
      <c r="AIZ30" s="593">
        <f>'Proy 2021 vs 2019 Sem'!KM29*$AJB$4</f>
        <v>104961.098088</v>
      </c>
      <c r="AJA30" s="735">
        <v>83293.570000000007</v>
      </c>
      <c r="AJB30" s="700">
        <f t="shared" si="899"/>
        <v>1.2220918048366445</v>
      </c>
      <c r="AJC30" s="593">
        <f>'Proy 2021 vs 2019 Sem'!KL29*$AJF$4</f>
        <v>68156.55720000001</v>
      </c>
      <c r="AJD30" s="593">
        <f>'Proy 2021 vs 2019 Sem'!KM29*$AJF$4</f>
        <v>104961.098088</v>
      </c>
      <c r="AJE30" s="735">
        <v>101467.79</v>
      </c>
      <c r="AJF30" s="700">
        <f t="shared" si="900"/>
        <v>1.4887458253246393</v>
      </c>
      <c r="AJG30" s="593">
        <f>'Proy 2021 vs 2019 Sem'!KL29*$AJJ$4</f>
        <v>68156.55720000001</v>
      </c>
      <c r="AJH30" s="593">
        <f>'Proy 2021 vs 2019 Sem'!KM29*$AJJ$4</f>
        <v>104961.098088</v>
      </c>
      <c r="AJI30" s="735">
        <v>102949.31</v>
      </c>
      <c r="AJJ30" s="700">
        <f t="shared" si="901"/>
        <v>1.5104828387663922</v>
      </c>
      <c r="AJK30" s="593">
        <f>'Proy 2021 vs 2019 Sem'!KL29*$AJN$4</f>
        <v>79515.983400000012</v>
      </c>
      <c r="AJL30" s="593">
        <f>'Proy 2021 vs 2019 Sem'!KM29*$AJN$4</f>
        <v>122454.61443600002</v>
      </c>
      <c r="AJM30" s="735">
        <v>129613.16</v>
      </c>
      <c r="AJN30" s="700">
        <f t="shared" si="902"/>
        <v>1.6300264985467059</v>
      </c>
      <c r="AJO30" s="593">
        <f>'Proy 2021 vs 2019 Sem'!KL29*$AJR$4</f>
        <v>90875.409600000014</v>
      </c>
      <c r="AJP30" s="593">
        <f>'Proy 2021 vs 2019 Sem'!KM29*$AJR$4</f>
        <v>139948.13078400001</v>
      </c>
      <c r="AJQ30" s="735">
        <v>97499.27</v>
      </c>
      <c r="AJR30" s="700">
        <f t="shared" si="903"/>
        <v>1.0728894695402835</v>
      </c>
      <c r="AJS30" s="593">
        <f>'Proy 2021 vs 2019 Sem'!KL29*$AJV$4</f>
        <v>124953.68820000002</v>
      </c>
      <c r="AJT30" s="593">
        <f>'Proy 2021 vs 2019 Sem'!KM29*$AJV$4</f>
        <v>192428.67982800002</v>
      </c>
      <c r="AJU30" s="699">
        <v>0</v>
      </c>
      <c r="AJV30" s="700">
        <f t="shared" si="904"/>
        <v>0</v>
      </c>
      <c r="AJW30" s="579">
        <f t="shared" si="905"/>
        <v>567971.31000000006</v>
      </c>
      <c r="AJX30" s="574">
        <f t="shared" si="906"/>
        <v>874675.81740000006</v>
      </c>
      <c r="AJY30" s="710">
        <f t="shared" si="907"/>
        <v>607692.16</v>
      </c>
      <c r="AJZ30" s="711">
        <f t="shared" si="908"/>
        <v>1.0699346063800299</v>
      </c>
      <c r="AKA30" s="593">
        <f>'Proy 2021 vs 2019 Sem'!KQ29*$AKD$4</f>
        <v>30835.252799999998</v>
      </c>
      <c r="AKB30" s="593">
        <f>'Proy 2021 vs 2019 Sem'!KR29*$AKD$4</f>
        <v>30835.252799999998</v>
      </c>
      <c r="AKC30" s="735">
        <v>46654.83</v>
      </c>
      <c r="AKD30" s="700">
        <f t="shared" si="909"/>
        <v>1.5130354306678493</v>
      </c>
      <c r="AKE30" s="593">
        <f>'Proy 2021 vs 2019 Sem'!KQ29*$AKH$4</f>
        <v>30835.252799999998</v>
      </c>
      <c r="AKF30" s="593">
        <f>'Proy 2021 vs 2019 Sem'!KR29*$AKH$4</f>
        <v>30835.252799999998</v>
      </c>
      <c r="AKG30" s="735">
        <v>47045.04</v>
      </c>
      <c r="AKH30" s="700">
        <f t="shared" si="910"/>
        <v>1.5256901023363754</v>
      </c>
      <c r="AKI30" s="593">
        <f>'Proy 2021 vs 2019 Sem'!KQ29*$AKL$4</f>
        <v>30835.252799999998</v>
      </c>
      <c r="AKJ30" s="593">
        <f>'Proy 2021 vs 2019 Sem'!KR29*$AKL$4</f>
        <v>30835.252799999998</v>
      </c>
      <c r="AKK30" s="735">
        <v>31605.16</v>
      </c>
      <c r="AKL30" s="700">
        <f t="shared" si="911"/>
        <v>1.0249684088855597</v>
      </c>
      <c r="AKM30" s="593">
        <f>'Proy 2021 vs 2019 Sem'!KQ29*$AKP$4</f>
        <v>30835.252799999998</v>
      </c>
      <c r="AKN30" s="593">
        <f>'Proy 2021 vs 2019 Sem'!KR29*$AKP$4</f>
        <v>30835.252799999998</v>
      </c>
      <c r="AKO30" s="735">
        <v>51649.22</v>
      </c>
      <c r="AKP30" s="700">
        <f t="shared" si="912"/>
        <v>1.6750055637617476</v>
      </c>
      <c r="AKQ30" s="593">
        <f>'Proy 2021 vs 2019 Sem'!KQ29*$AKT$4</f>
        <v>35974.461600000002</v>
      </c>
      <c r="AKR30" s="593">
        <f>'Proy 2021 vs 2019 Sem'!KR29*$AKT$4</f>
        <v>35974.461600000002</v>
      </c>
      <c r="AKS30" s="735">
        <v>65717.34</v>
      </c>
      <c r="AKT30" s="700">
        <f t="shared" si="913"/>
        <v>1.8267775826838224</v>
      </c>
      <c r="AKU30" s="593">
        <f>'Proy 2021 vs 2019 Sem'!KQ29*$AKX$4</f>
        <v>41113.670400000003</v>
      </c>
      <c r="AKV30" s="593">
        <f>'Proy 2021 vs 2019 Sem'!KR29*$AKX$4</f>
        <v>41113.670400000003</v>
      </c>
      <c r="AKW30" s="735">
        <v>34507.85</v>
      </c>
      <c r="AKX30" s="700">
        <f t="shared" si="914"/>
        <v>0.83932788447902706</v>
      </c>
      <c r="AKY30" s="593">
        <f>'Proy 2021 vs 2019 Sem'!KQ29*$ALB$4</f>
        <v>56531.296800000004</v>
      </c>
      <c r="AKZ30" s="593">
        <f>'Proy 2021 vs 2019 Sem'!KR29*$ALB$4</f>
        <v>56531.296800000004</v>
      </c>
      <c r="ALA30" s="699">
        <v>0</v>
      </c>
      <c r="ALB30" s="700">
        <f>ALA30/AKY30</f>
        <v>0</v>
      </c>
      <c r="ALC30" s="579">
        <f t="shared" si="915"/>
        <v>256960.44</v>
      </c>
      <c r="ALD30" s="574">
        <f t="shared" si="916"/>
        <v>256960.44</v>
      </c>
      <c r="ALE30" s="710">
        <f t="shared" si="917"/>
        <v>277179.44</v>
      </c>
      <c r="ALF30" s="711">
        <f t="shared" si="918"/>
        <v>1.0786852637705633</v>
      </c>
    </row>
    <row r="31" spans="2:994" ht="19.5" customHeight="1">
      <c r="B31" s="568" t="s">
        <v>230</v>
      </c>
      <c r="C31" s="574">
        <f>'Proy 2021 vs 2019 Sem'!DX30*$F$4</f>
        <v>12514.6536</v>
      </c>
      <c r="D31" s="576">
        <f>'Proy 2021 vs 2019 Sem'!$DY$30*F4</f>
        <v>9066.6745917567387</v>
      </c>
      <c r="E31" s="735">
        <v>8944.9699999999993</v>
      </c>
      <c r="F31" s="700">
        <f t="shared" si="580"/>
        <v>0.71475969578574672</v>
      </c>
      <c r="G31" s="574">
        <f>'Proy 2021 vs 2019 Sem'!DX30*$J$4</f>
        <v>12514.6536</v>
      </c>
      <c r="H31" s="574">
        <f>'Proy 2021 vs 2019 Sem'!$DY$30*J4</f>
        <v>9066.6745917567387</v>
      </c>
      <c r="I31" s="735">
        <v>9841.99</v>
      </c>
      <c r="J31" s="700">
        <f t="shared" si="581"/>
        <v>0.78643726902676714</v>
      </c>
      <c r="K31" s="574">
        <f>'Proy 2021 vs 2019 Sem'!DX30*'Vtas Diarias 2021'!$N$4</f>
        <v>12514.6536</v>
      </c>
      <c r="L31" s="574">
        <f>'Proy 2021 vs 2019 Sem'!$DY$30*N4</f>
        <v>9066.6745917567387</v>
      </c>
      <c r="M31" s="735">
        <v>8061.62</v>
      </c>
      <c r="N31" s="700">
        <f t="shared" si="582"/>
        <v>0.6441744420316996</v>
      </c>
      <c r="O31" s="574">
        <f>'Proy 2021 vs 2019 Sem'!DX30*$R$4</f>
        <v>12514.6536</v>
      </c>
      <c r="P31" s="574">
        <f>'Proy 2021 vs 2019 Sem'!$DY$30*R4</f>
        <v>9066.6745917567387</v>
      </c>
      <c r="Q31" s="735">
        <v>5777.55</v>
      </c>
      <c r="R31" s="700">
        <f t="shared" si="583"/>
        <v>0.46166279824157502</v>
      </c>
      <c r="S31" s="574">
        <f>'Proy 2021 vs 2019 Sem'!DX30*$V$4</f>
        <v>14600.4292</v>
      </c>
      <c r="T31" s="574">
        <f>'Proy 2021 vs 2019 Sem'!$DY$30*V4</f>
        <v>10577.787023716197</v>
      </c>
      <c r="U31" s="735">
        <v>8430.0400000000009</v>
      </c>
      <c r="V31" s="700">
        <f t="shared" si="584"/>
        <v>0.57738302652089168</v>
      </c>
      <c r="W31" s="574">
        <f>'Proy 2021 vs 2019 Sem'!DX30*$Z$4</f>
        <v>16686.2048</v>
      </c>
      <c r="X31" s="574">
        <f>'Proy 2021 vs 2019 Sem'!$DY$30*Z4</f>
        <v>12088.899455675653</v>
      </c>
      <c r="Y31" s="735">
        <v>15036.66</v>
      </c>
      <c r="Z31" s="700">
        <f t="shared" si="585"/>
        <v>0.90114320063960862</v>
      </c>
      <c r="AA31" s="574">
        <f>'Proy 2021 vs 2019 Sem'!DX30*$AD$4</f>
        <v>22943.531599999998</v>
      </c>
      <c r="AB31" s="574">
        <f>'Proy 2021 vs 2019 Sem'!$DY$30*AD4</f>
        <v>16622.236751554021</v>
      </c>
      <c r="AC31" s="735">
        <v>17923.18</v>
      </c>
      <c r="AD31" s="700">
        <f t="shared" si="586"/>
        <v>0.78118662429457897</v>
      </c>
      <c r="AE31" s="579">
        <f t="shared" si="587"/>
        <v>104288.78</v>
      </c>
      <c r="AF31" s="574">
        <f t="shared" si="588"/>
        <v>75555.621597972829</v>
      </c>
      <c r="AG31" s="729">
        <f t="shared" si="589"/>
        <v>74016.010000000009</v>
      </c>
      <c r="AH31" s="711">
        <f t="shared" si="590"/>
        <v>0.70972169777036431</v>
      </c>
      <c r="AI31" s="593">
        <f>'Proy 2021 vs 2019 Sem'!EC30*$AL$4</f>
        <v>15134.346</v>
      </c>
      <c r="AJ31" s="611">
        <f>'Proy 2021 vs 2019 Sem'!ED30*$AL$4</f>
        <v>10741.173737764122</v>
      </c>
      <c r="AK31" s="735">
        <v>10865.04</v>
      </c>
      <c r="AL31" s="700">
        <f t="shared" si="591"/>
        <v>0.71790614539934539</v>
      </c>
      <c r="AM31" s="593">
        <f>'Proy 2021 vs 2019 Sem'!EC30*$AP$4</f>
        <v>15134.346</v>
      </c>
      <c r="AN31" s="593">
        <f>'Proy 2021 vs 2019 Sem'!ED30*$AP$4</f>
        <v>10741.173737764122</v>
      </c>
      <c r="AO31" s="735">
        <v>9085.64</v>
      </c>
      <c r="AP31" s="700">
        <f t="shared" si="592"/>
        <v>0.60033251519424757</v>
      </c>
      <c r="AQ31" s="593">
        <f>'Proy 2021 vs 2019 Sem'!EC30*$AT$4</f>
        <v>15134.346</v>
      </c>
      <c r="AR31" s="593">
        <f>'Proy 2021 vs 2019 Sem'!ED30*$AT$4</f>
        <v>10741.173737764122</v>
      </c>
      <c r="AS31" s="735">
        <v>10188.959999999999</v>
      </c>
      <c r="AT31" s="700">
        <f t="shared" si="593"/>
        <v>0.67323424480978555</v>
      </c>
      <c r="AU31" s="593">
        <f>'Proy 2021 vs 2019 Sem'!EC30*$AX$4</f>
        <v>15134.346</v>
      </c>
      <c r="AV31" s="593">
        <f>'Proy 2021 vs 2019 Sem'!ED30*$AX$4</f>
        <v>10741.173737764122</v>
      </c>
      <c r="AW31" s="735">
        <v>8027.53</v>
      </c>
      <c r="AX31" s="700">
        <f t="shared" si="594"/>
        <v>0.53041803061724635</v>
      </c>
      <c r="AY31" s="593">
        <f>'Proy 2021 vs 2019 Sem'!EC30*$BB$4</f>
        <v>17656.737000000001</v>
      </c>
      <c r="AZ31" s="593">
        <f>'Proy 2021 vs 2019 Sem'!ED30*$BB$4</f>
        <v>12531.36936072481</v>
      </c>
      <c r="BA31" s="735">
        <v>7869.07</v>
      </c>
      <c r="BB31" s="700">
        <f t="shared" si="595"/>
        <v>0.44566954811639314</v>
      </c>
      <c r="BC31" s="593">
        <f>'Proy 2021 vs 2019 Sem'!EC30*$BF$4</f>
        <v>20179.128000000001</v>
      </c>
      <c r="BD31" s="593">
        <f>'Proy 2021 vs 2019 Sem'!ED30*$BF$4</f>
        <v>14321.564983685497</v>
      </c>
      <c r="BE31" s="735">
        <v>10335.129999999999</v>
      </c>
      <c r="BF31" s="700">
        <f t="shared" si="596"/>
        <v>0.51216930682039374</v>
      </c>
      <c r="BG31" s="593">
        <f>'Proy 2021 vs 2019 Sem'!EC30*$BJ$4</f>
        <v>27746.300999999999</v>
      </c>
      <c r="BH31" s="593">
        <f>'Proy 2021 vs 2019 Sem'!ED30*$BJ$4</f>
        <v>19692.151852567556</v>
      </c>
      <c r="BI31" s="735">
        <v>14532.34</v>
      </c>
      <c r="BJ31" s="700">
        <f t="shared" si="597"/>
        <v>0.52375774341956427</v>
      </c>
      <c r="BK31" s="579">
        <f t="shared" si="598"/>
        <v>126119.54999999999</v>
      </c>
      <c r="BL31" s="574">
        <f t="shared" si="599"/>
        <v>89509.781148034352</v>
      </c>
      <c r="BM31" s="730">
        <f t="shared" si="600"/>
        <v>70903.709999999992</v>
      </c>
      <c r="BN31" s="711">
        <f t="shared" si="601"/>
        <v>0.56219444170233712</v>
      </c>
      <c r="BO31" s="593">
        <f>'Proy 2021 vs 2019 Sem'!EH30*$BR$4</f>
        <v>14359.520399999999</v>
      </c>
      <c r="BP31" s="593">
        <f>'Proy 2021 vs 2019 Sem'!EI30*$BR$4</f>
        <v>11487.616319999999</v>
      </c>
      <c r="BQ31" s="735">
        <v>12209.83</v>
      </c>
      <c r="BR31" s="700">
        <f t="shared" si="602"/>
        <v>0.850295111527541</v>
      </c>
      <c r="BS31" s="593">
        <f>'Proy 2021 vs 2019 Sem'!EH30*$BV$4</f>
        <v>14359.520399999999</v>
      </c>
      <c r="BT31" s="593">
        <f>'Proy 2021 vs 2019 Sem'!EI30*$BV$4</f>
        <v>11487.616319999999</v>
      </c>
      <c r="BU31" s="735">
        <v>8204.25</v>
      </c>
      <c r="BV31" s="700">
        <f t="shared" si="603"/>
        <v>0.57134568366224825</v>
      </c>
      <c r="BW31" s="593">
        <f>'Proy 2021 vs 2019 Sem'!EH30*$BZ$4</f>
        <v>14359.520399999999</v>
      </c>
      <c r="BX31" s="593">
        <f>'Proy 2021 vs 2019 Sem'!EI30*$BZ$4</f>
        <v>11487.616319999999</v>
      </c>
      <c r="BY31" s="735">
        <v>9266.9</v>
      </c>
      <c r="BZ31" s="700">
        <f t="shared" si="604"/>
        <v>0.64534885162320599</v>
      </c>
      <c r="CA31" s="593">
        <f>'Proy 2021 vs 2019 Sem'!EH30*$CD$4</f>
        <v>14359.520399999999</v>
      </c>
      <c r="CB31" s="593">
        <f>'Proy 2021 vs 2019 Sem'!EI30*$CD$4</f>
        <v>11487.616319999999</v>
      </c>
      <c r="CC31" s="735">
        <v>12186.14</v>
      </c>
      <c r="CD31" s="700">
        <f t="shared" si="605"/>
        <v>0.84864533497929362</v>
      </c>
      <c r="CE31" s="593">
        <f>'Proy 2021 vs 2019 Sem'!EH30*$CH$4</f>
        <v>16752.773800000003</v>
      </c>
      <c r="CF31" s="593">
        <f>'Proy 2021 vs 2019 Sem'!EI30*$CH$4</f>
        <v>13402.219040000002</v>
      </c>
      <c r="CG31" s="735">
        <v>10361.129999999999</v>
      </c>
      <c r="CH31" s="700">
        <f t="shared" si="606"/>
        <v>0.61847250632608664</v>
      </c>
      <c r="CI31" s="593">
        <f>'Proy 2021 vs 2019 Sem'!EH30*$CL$4</f>
        <v>19146.0272</v>
      </c>
      <c r="CJ31" s="593">
        <f>'Proy 2021 vs 2019 Sem'!EI30*$CL$4</f>
        <v>15316.821760000001</v>
      </c>
      <c r="CK31" s="735">
        <v>12358.6</v>
      </c>
      <c r="CL31" s="700">
        <f t="shared" si="607"/>
        <v>0.64549161405139965</v>
      </c>
      <c r="CM31" s="593">
        <f>'Proy 2021 vs 2019 Sem'!EH30*$CP$4</f>
        <v>26325.787400000001</v>
      </c>
      <c r="CN31" s="593">
        <f>'Proy 2021 vs 2019 Sem'!EI30*$CP$4</f>
        <v>21060.629919999999</v>
      </c>
      <c r="CO31" s="735">
        <v>14931.36</v>
      </c>
      <c r="CP31" s="700">
        <f t="shared" si="608"/>
        <v>0.56717619773834382</v>
      </c>
      <c r="CQ31" s="579">
        <f t="shared" si="609"/>
        <v>119662.67</v>
      </c>
      <c r="CR31" s="574">
        <f t="shared" si="610"/>
        <v>95730.135999999999</v>
      </c>
      <c r="CS31" s="730">
        <f t="shared" si="611"/>
        <v>79518.209999999992</v>
      </c>
      <c r="CT31" s="711">
        <f t="shared" si="612"/>
        <v>0.66451977045138633</v>
      </c>
      <c r="CU31" s="593">
        <f>'Proy 2021 vs 2019 Sem'!EM30*$CX$4</f>
        <v>14562.2232</v>
      </c>
      <c r="CV31" s="593">
        <f>'Proy 2021 vs 2019 Sem'!EN30*$CX$4</f>
        <v>11649.778560000001</v>
      </c>
      <c r="CW31" s="735">
        <v>11491.69</v>
      </c>
      <c r="CX31" s="700">
        <f t="shared" si="613"/>
        <v>0.78914392686962798</v>
      </c>
      <c r="CY31" s="593">
        <f>'Proy 2021 vs 2019 Sem'!EM30*$DB$4</f>
        <v>14562.2232</v>
      </c>
      <c r="CZ31" s="593">
        <f>'Proy 2021 vs 2019 Sem'!EN30*$DB$4</f>
        <v>11649.778560000001</v>
      </c>
      <c r="DA31" s="735">
        <v>9686.82</v>
      </c>
      <c r="DB31" s="700">
        <f t="shared" si="614"/>
        <v>0.66520200020007936</v>
      </c>
      <c r="DC31" s="593">
        <f>'Proy 2021 vs 2019 Sem'!EM30*$DF$4</f>
        <v>14562.2232</v>
      </c>
      <c r="DD31" s="593">
        <f>'Proy 2021 vs 2019 Sem'!EN30*$DF$4</f>
        <v>11649.778560000001</v>
      </c>
      <c r="DE31" s="735">
        <v>9820.76</v>
      </c>
      <c r="DF31" s="700">
        <f t="shared" si="615"/>
        <v>0.67439977159531517</v>
      </c>
      <c r="DG31" s="593">
        <f>'Proy 2021 vs 2019 Sem'!EM30*$DJ$4</f>
        <v>14562.2232</v>
      </c>
      <c r="DH31" s="593">
        <f>'Proy 2021 vs 2019 Sem'!EN30*$DJ$4</f>
        <v>11649.778560000001</v>
      </c>
      <c r="DI31" s="735">
        <v>9608.84</v>
      </c>
      <c r="DJ31" s="700">
        <f t="shared" si="616"/>
        <v>0.65984704862922305</v>
      </c>
      <c r="DK31" s="593">
        <f>'Proy 2021 vs 2019 Sem'!EM30*$DN$4</f>
        <v>16989.260400000003</v>
      </c>
      <c r="DL31" s="593">
        <f>'Proy 2021 vs 2019 Sem'!EN30*$DN$4</f>
        <v>13591.408320000002</v>
      </c>
      <c r="DM31" s="735">
        <v>14152.93</v>
      </c>
      <c r="DN31" s="700">
        <f t="shared" si="617"/>
        <v>0.83305156709470396</v>
      </c>
      <c r="DO31" s="593">
        <f>'Proy 2021 vs 2019 Sem'!EM30*$DR$4</f>
        <v>19416.297600000002</v>
      </c>
      <c r="DP31" s="593">
        <f>'Proy 2021 vs 2019 Sem'!EN30*$DR$4</f>
        <v>15533.038080000002</v>
      </c>
      <c r="DQ31" s="735">
        <v>11893.83</v>
      </c>
      <c r="DR31" s="700">
        <f t="shared" si="618"/>
        <v>0.61256941179146318</v>
      </c>
      <c r="DS31" s="593">
        <f>'Proy 2021 vs 2019 Sem'!EM30*$DV$4</f>
        <v>26697.409200000002</v>
      </c>
      <c r="DT31" s="593">
        <f>'Proy 2021 vs 2019 Sem'!EN30*$DV$4</f>
        <v>21357.927360000001</v>
      </c>
      <c r="DU31" s="735">
        <v>8494.7800000000007</v>
      </c>
      <c r="DV31" s="700">
        <f t="shared" si="619"/>
        <v>0.31818742921316873</v>
      </c>
      <c r="DW31" s="579">
        <f t="shared" si="620"/>
        <v>121351.86000000002</v>
      </c>
      <c r="DX31" s="574">
        <f t="shared" si="621"/>
        <v>97081.488000000012</v>
      </c>
      <c r="DY31" s="710">
        <f t="shared" si="622"/>
        <v>75149.649999999994</v>
      </c>
      <c r="DZ31" s="711">
        <f t="shared" si="623"/>
        <v>0.61927068938209917</v>
      </c>
      <c r="EA31" s="593">
        <f>'Proy 2021 vs 2019 Sem'!ER30*$ED$4</f>
        <v>14534.766</v>
      </c>
      <c r="EB31" s="593">
        <f>'Proy 2021 vs 2019 Sem'!ES30*$ED$4</f>
        <v>8720.8595999999998</v>
      </c>
      <c r="EC31" s="735">
        <v>8956.16</v>
      </c>
      <c r="ED31" s="700">
        <f t="shared" si="624"/>
        <v>0.61618879863631792</v>
      </c>
      <c r="EE31" s="593">
        <f>'Proy 2021 vs 2019 Sem'!ER30*$EH$4</f>
        <v>14534.766</v>
      </c>
      <c r="EF31" s="593">
        <f>'Proy 2021 vs 2019 Sem'!ES30*$EH$4</f>
        <v>8720.8595999999998</v>
      </c>
      <c r="EG31" s="735">
        <v>8863.86</v>
      </c>
      <c r="EH31" s="700">
        <f t="shared" si="625"/>
        <v>0.60983850720403765</v>
      </c>
      <c r="EI31" s="593">
        <f>'Proy 2021 vs 2019 Sem'!ER30*$EL$4</f>
        <v>14534.766</v>
      </c>
      <c r="EJ31" s="593">
        <f>'Proy 2021 vs 2019 Sem'!ES30*$EL$4</f>
        <v>8720.8595999999998</v>
      </c>
      <c r="EK31" s="735">
        <v>6768.14</v>
      </c>
      <c r="EL31" s="700">
        <f t="shared" si="626"/>
        <v>0.46565180340708617</v>
      </c>
      <c r="EM31" s="593">
        <f>'Proy 2021 vs 2019 Sem'!ER30*$EP$4</f>
        <v>14534.766</v>
      </c>
      <c r="EN31" s="593">
        <f>'Proy 2021 vs 2019 Sem'!ES30*$EP$4</f>
        <v>8720.8595999999998</v>
      </c>
      <c r="EO31" s="735">
        <v>14601.9</v>
      </c>
      <c r="EP31" s="700">
        <f t="shared" si="627"/>
        <v>1.0046188566090435</v>
      </c>
      <c r="EQ31" s="593">
        <f>'Proy 2021 vs 2019 Sem'!ER30*$ET$4</f>
        <v>16957.227000000003</v>
      </c>
      <c r="ER31" s="593">
        <f>'Proy 2021 vs 2019 Sem'!ES30*$ET$4</f>
        <v>10174.336200000002</v>
      </c>
      <c r="ES31" s="735">
        <v>13543.05</v>
      </c>
      <c r="ET31" s="700">
        <f t="shared" si="628"/>
        <v>0.79865947421709915</v>
      </c>
      <c r="EU31" s="593">
        <f>'Proy 2021 vs 2019 Sem'!ER30*$EX$4</f>
        <v>19379.688000000002</v>
      </c>
      <c r="EV31" s="593">
        <f>'Proy 2021 vs 2019 Sem'!ES30*$EX$4</f>
        <v>11627.8128</v>
      </c>
      <c r="EW31" s="735">
        <v>17295.04</v>
      </c>
      <c r="EX31" s="700">
        <f t="shared" si="629"/>
        <v>0.89243129197951998</v>
      </c>
      <c r="EY31" s="593">
        <f>'Proy 2021 vs 2019 Sem'!ER30*$FB$4</f>
        <v>26647.071</v>
      </c>
      <c r="EZ31" s="593">
        <f>'Proy 2021 vs 2019 Sem'!ES30*$FB$4</f>
        <v>15988.2426</v>
      </c>
      <c r="FA31" s="699">
        <v>15416.36</v>
      </c>
      <c r="FB31" s="700">
        <f t="shared" si="630"/>
        <v>0.57853863188190557</v>
      </c>
      <c r="FC31" s="579">
        <f t="shared" si="631"/>
        <v>121123.04999999999</v>
      </c>
      <c r="FD31" s="574">
        <f t="shared" si="632"/>
        <v>72673.83</v>
      </c>
      <c r="FE31" s="710">
        <f t="shared" si="633"/>
        <v>85444.51</v>
      </c>
      <c r="FF31" s="711">
        <f t="shared" si="634"/>
        <v>0.70543558802391459</v>
      </c>
      <c r="FG31" s="593">
        <f>'Proy 2021 vs 2019 Sem'!FA30*$FJ$4</f>
        <v>13925.174399999998</v>
      </c>
      <c r="FH31" s="593">
        <f>'Proy 2021 vs 2019 Sem'!FB30*$FJ$4</f>
        <v>9747.6220799999992</v>
      </c>
      <c r="FI31" s="735">
        <v>12804.76</v>
      </c>
      <c r="FJ31" s="700">
        <f t="shared" si="635"/>
        <v>0.91954036855725141</v>
      </c>
      <c r="FK31" s="593">
        <f>'Proy 2021 vs 2019 Sem'!FA30*$FN$4</f>
        <v>13925.174399999998</v>
      </c>
      <c r="FL31" s="593">
        <f>'Proy 2021 vs 2019 Sem'!FB30*$FN$4</f>
        <v>9747.6220799999992</v>
      </c>
      <c r="FM31" s="735">
        <v>11995.03</v>
      </c>
      <c r="FN31" s="700">
        <f t="shared" si="636"/>
        <v>0.86139172519088902</v>
      </c>
      <c r="FO31" s="593">
        <f>'Proy 2021 vs 2019 Sem'!FA30*$FR$4</f>
        <v>13925.174399999998</v>
      </c>
      <c r="FP31" s="593">
        <f>'Proy 2021 vs 2019 Sem'!FB30*$FR$4</f>
        <v>9747.6220799999992</v>
      </c>
      <c r="FQ31" s="735">
        <v>7711.85</v>
      </c>
      <c r="FR31" s="700">
        <f t="shared" si="637"/>
        <v>0.55380634945584606</v>
      </c>
      <c r="FS31" s="593">
        <f>'Proy 2021 vs 2019 Sem'!FA30*$FV$4</f>
        <v>13925.174399999998</v>
      </c>
      <c r="FT31" s="593">
        <f>'Proy 2021 vs 2019 Sem'!FB30*$FV$4</f>
        <v>9747.6220799999992</v>
      </c>
      <c r="FU31" s="735">
        <v>13889.2</v>
      </c>
      <c r="FV31" s="700">
        <f t="shared" si="638"/>
        <v>0.99741659249883452</v>
      </c>
      <c r="FW31" s="593">
        <f>'Proy 2021 vs 2019 Sem'!FA30*$FZ$4</f>
        <v>16246.036800000002</v>
      </c>
      <c r="FX31" s="593">
        <f>'Proy 2021 vs 2019 Sem'!FB30*$FZ$4</f>
        <v>11372.225759999999</v>
      </c>
      <c r="FY31" s="735">
        <v>9449.57</v>
      </c>
      <c r="FZ31" s="700">
        <f t="shared" si="639"/>
        <v>0.58165385911227274</v>
      </c>
      <c r="GA31" s="593">
        <f>'Proy 2021 vs 2019 Sem'!FA30*$GD$4</f>
        <v>18566.8992</v>
      </c>
      <c r="GB31" s="593">
        <f>'Proy 2021 vs 2019 Sem'!FB30*$GD$4</f>
        <v>12996.82944</v>
      </c>
      <c r="GC31" s="735">
        <v>16607.11</v>
      </c>
      <c r="GD31" s="700">
        <f t="shared" si="640"/>
        <v>0.89444714602640818</v>
      </c>
      <c r="GE31" s="593">
        <f>'Proy 2021 vs 2019 Sem'!FA30*$GH$4</f>
        <v>25529.486399999998</v>
      </c>
      <c r="GF31" s="593">
        <f>'Proy 2021 vs 2019 Sem'!FB30*$GH$4</f>
        <v>17870.640479999998</v>
      </c>
      <c r="GG31" s="735">
        <v>16001.29</v>
      </c>
      <c r="GH31" s="700">
        <f t="shared" si="641"/>
        <v>0.62677680816955261</v>
      </c>
      <c r="GI31" s="579">
        <f t="shared" si="642"/>
        <v>116043.11999999998</v>
      </c>
      <c r="GJ31" s="574">
        <f t="shared" si="643"/>
        <v>81230.183999999994</v>
      </c>
      <c r="GK31" s="759">
        <f t="shared" si="644"/>
        <v>88458.81</v>
      </c>
      <c r="GL31" s="761">
        <f t="shared" si="645"/>
        <v>0.76229258572158365</v>
      </c>
      <c r="GM31" s="593">
        <f>'Proy 2021 vs 2019 Sem'!FF30*$GP$4</f>
        <v>14284.131599999999</v>
      </c>
      <c r="GN31" s="593">
        <f>'Proy 2021 vs 2019 Sem'!FG30*$GP$4</f>
        <v>10855.940015999999</v>
      </c>
      <c r="GO31" s="735">
        <v>10772.56</v>
      </c>
      <c r="GP31" s="700">
        <f t="shared" si="646"/>
        <v>0.75416275218298889</v>
      </c>
      <c r="GQ31" s="593">
        <f>'Proy 2021 vs 2019 Sem'!FF30*$GT$4</f>
        <v>14284.131599999999</v>
      </c>
      <c r="GR31" s="593">
        <f>'Proy 2021 vs 2019 Sem'!FG30*$GT$4</f>
        <v>10855.940015999999</v>
      </c>
      <c r="GS31" s="735">
        <v>5122.82</v>
      </c>
      <c r="GT31" s="700">
        <f t="shared" si="647"/>
        <v>0.35863713269065656</v>
      </c>
      <c r="GU31" s="593">
        <f>'Proy 2021 vs 2019 Sem'!FF30*$GX$4</f>
        <v>14284.131599999999</v>
      </c>
      <c r="GV31" s="593">
        <f>'Proy 2021 vs 2019 Sem'!FG30*$GX$4</f>
        <v>10855.940015999999</v>
      </c>
      <c r="GW31" s="735">
        <v>8327.56</v>
      </c>
      <c r="GX31" s="700">
        <f t="shared" si="648"/>
        <v>0.58299378871586427</v>
      </c>
      <c r="GY31" s="593">
        <f>'Proy 2021 vs 2019 Sem'!FF30*$HB$4</f>
        <v>14284.131599999999</v>
      </c>
      <c r="GZ31" s="593">
        <f>'Proy 2021 vs 2019 Sem'!FG30*$HB$4</f>
        <v>10855.940015999999</v>
      </c>
      <c r="HA31" s="735">
        <v>15710.29</v>
      </c>
      <c r="HB31" s="700">
        <f t="shared" si="649"/>
        <v>1.0998421493120381</v>
      </c>
      <c r="HC31" s="593">
        <f>'Proy 2021 vs 2019 Sem'!FF30*$HF$4</f>
        <v>16664.820200000002</v>
      </c>
      <c r="HD31" s="593">
        <f>'Proy 2021 vs 2019 Sem'!FG30*$HF$4</f>
        <v>12665.263352</v>
      </c>
      <c r="HE31" s="735">
        <v>20949.73</v>
      </c>
      <c r="HF31" s="700">
        <f t="shared" si="650"/>
        <v>1.2571230741511388</v>
      </c>
      <c r="HG31" s="593">
        <f>'Proy 2021 vs 2019 Sem'!FF30*$HJ$4</f>
        <v>19045.5088</v>
      </c>
      <c r="HH31" s="593">
        <f>'Proy 2021 vs 2019 Sem'!FG30*$HJ$4</f>
        <v>14474.586687999999</v>
      </c>
      <c r="HI31" s="735">
        <v>18890.439999999999</v>
      </c>
      <c r="HJ31" s="700">
        <f t="shared" si="651"/>
        <v>0.99185798596254882</v>
      </c>
      <c r="HK31" s="593">
        <f>'Proy 2021 vs 2019 Sem'!FF30*$HN$4</f>
        <v>26187.5746</v>
      </c>
      <c r="HL31" s="593">
        <f>'Proy 2021 vs 2019 Sem'!FG30*$HN$4</f>
        <v>19902.556696</v>
      </c>
      <c r="HM31" s="735">
        <v>16528.77</v>
      </c>
      <c r="HN31" s="700">
        <f t="shared" si="652"/>
        <v>0.63116841679565083</v>
      </c>
      <c r="HO31" s="579">
        <f t="shared" si="653"/>
        <v>119034.43</v>
      </c>
      <c r="HP31" s="574">
        <f t="shared" si="654"/>
        <v>90466.166799999992</v>
      </c>
      <c r="HQ31" s="765">
        <f t="shared" si="655"/>
        <v>96302.17</v>
      </c>
      <c r="HR31" s="761">
        <f t="shared" si="656"/>
        <v>0.80902785857839621</v>
      </c>
      <c r="HS31" s="593">
        <f>'Proy 2021 vs 2019 Sem'!FK30*$CX$4</f>
        <v>11592.24</v>
      </c>
      <c r="HT31" s="593">
        <f>'Proy 2021 vs 2019 Sem'!FL30*$CX$4</f>
        <v>8810.1023999999998</v>
      </c>
      <c r="HU31" s="735">
        <v>11721.33</v>
      </c>
      <c r="HV31" s="700">
        <f t="shared" si="657"/>
        <v>1.0111358978074989</v>
      </c>
      <c r="HW31" s="593">
        <f>'Proy 2021 vs 2019 Sem'!FK30*$DB$4</f>
        <v>11592.24</v>
      </c>
      <c r="HX31" s="593">
        <f>'Proy 2021 vs 2019 Sem'!FL30*$DB$4</f>
        <v>8810.1023999999998</v>
      </c>
      <c r="HY31" s="735">
        <v>14298.15</v>
      </c>
      <c r="HZ31" s="700">
        <f t="shared" si="658"/>
        <v>1.2334242562265791</v>
      </c>
      <c r="IA31" s="593">
        <f>'Proy 2021 vs 2019 Sem'!FK30*$DF$4</f>
        <v>11592.24</v>
      </c>
      <c r="IB31" s="593">
        <f>'Proy 2021 vs 2019 Sem'!FL30*$DF$4</f>
        <v>8810.1023999999998</v>
      </c>
      <c r="IC31" s="735">
        <v>8844.91</v>
      </c>
      <c r="ID31" s="700">
        <f t="shared" si="659"/>
        <v>0.76300266385099003</v>
      </c>
      <c r="IE31" s="593">
        <f>'Proy 2021 vs 2019 Sem'!FK30*$DJ$4</f>
        <v>11592.24</v>
      </c>
      <c r="IF31" s="593">
        <f>'Proy 2021 vs 2019 Sem'!FL30*$DJ$4</f>
        <v>8810.1023999999998</v>
      </c>
      <c r="IG31" s="735">
        <v>9926.6299999999992</v>
      </c>
      <c r="IH31" s="700">
        <f t="shared" si="660"/>
        <v>0.85631681193626075</v>
      </c>
      <c r="II31" s="593">
        <f>'Proy 2021 vs 2019 Sem'!FK30*$DN$4</f>
        <v>13524.28</v>
      </c>
      <c r="IJ31" s="593">
        <f>'Proy 2021 vs 2019 Sem'!FL30*$DN$4</f>
        <v>10278.452800000001</v>
      </c>
      <c r="IK31" s="735">
        <v>15715.84</v>
      </c>
      <c r="IL31" s="700">
        <f t="shared" si="661"/>
        <v>1.1620463344444214</v>
      </c>
      <c r="IM31" s="593">
        <f>'Proy 2021 vs 2019 Sem'!FK30*$DR$4</f>
        <v>15456.32</v>
      </c>
      <c r="IN31" s="593">
        <f>'Proy 2021 vs 2019 Sem'!FL30*$DR$4</f>
        <v>11746.8032</v>
      </c>
      <c r="IO31" s="1410">
        <v>17277.03</v>
      </c>
      <c r="IP31" s="700">
        <f t="shared" si="662"/>
        <v>1.1177971211776154</v>
      </c>
      <c r="IQ31" s="593">
        <f>'Proy 2021 vs 2019 Sem'!FK30*$IT$4</f>
        <v>21252.44</v>
      </c>
      <c r="IR31" s="593">
        <f>'Proy 2021 vs 2019 Sem'!FL30*$IT$4</f>
        <v>16151.8544</v>
      </c>
      <c r="IS31" s="735">
        <v>8862.7999999999993</v>
      </c>
      <c r="IT31" s="700">
        <f t="shared" si="663"/>
        <v>0.41702505688758562</v>
      </c>
      <c r="IU31" s="579">
        <f t="shared" si="664"/>
        <v>96602</v>
      </c>
      <c r="IV31" s="574">
        <f t="shared" si="665"/>
        <v>73417.52</v>
      </c>
      <c r="IW31" s="765">
        <f t="shared" si="666"/>
        <v>86646.69</v>
      </c>
      <c r="IX31" s="761">
        <f t="shared" si="667"/>
        <v>0.89694509430446578</v>
      </c>
      <c r="IY31" s="593">
        <f>'Proy 2021 vs 2019 Sem'!FP30*$JB$4</f>
        <v>12288.415199999999</v>
      </c>
      <c r="IZ31" s="593">
        <f>'Proy 2021 vs 2019 Sem'!FQ30*$JB$4</f>
        <v>9462.0797040000016</v>
      </c>
      <c r="JA31" s="735">
        <v>9600.85</v>
      </c>
      <c r="JB31" s="700">
        <f t="shared" si="668"/>
        <v>0.78129277402671105</v>
      </c>
      <c r="JC31" s="593">
        <f>'Proy 2021 vs 2019 Sem'!FP30*$JF$4</f>
        <v>12288.415199999999</v>
      </c>
      <c r="JD31" s="593">
        <f>'Proy 2021 vs 2019 Sem'!FQ30*$JF$4</f>
        <v>9462.0797040000016</v>
      </c>
      <c r="JE31" s="735">
        <v>10406.41</v>
      </c>
      <c r="JF31" s="700">
        <f t="shared" si="669"/>
        <v>0.84684719962912713</v>
      </c>
      <c r="JG31" s="593">
        <f>'Proy 2021 vs 2019 Sem'!FP30*$JJ$4</f>
        <v>12288.415199999999</v>
      </c>
      <c r="JH31" s="593">
        <f>'Proy 2021 vs 2019 Sem'!FQ30*$JJ$4</f>
        <v>9462.0797040000016</v>
      </c>
      <c r="JI31" s="735">
        <v>9302.4</v>
      </c>
      <c r="JJ31" s="700">
        <f t="shared" si="670"/>
        <v>0.7570056714880532</v>
      </c>
      <c r="JK31" s="593">
        <f>'Proy 2021 vs 2019 Sem'!FP30*$JN$4</f>
        <v>12288.415199999999</v>
      </c>
      <c r="JL31" s="593">
        <f>'Proy 2021 vs 2019 Sem'!FQ30*$JN$4</f>
        <v>9462.0797040000016</v>
      </c>
      <c r="JM31" s="735">
        <v>7392.54</v>
      </c>
      <c r="JN31" s="700">
        <f t="shared" si="671"/>
        <v>0.60158611828155029</v>
      </c>
      <c r="JO31" s="593">
        <f>'Proy 2021 vs 2019 Sem'!FP30*$JR$4</f>
        <v>14336.484400000003</v>
      </c>
      <c r="JP31" s="593">
        <f>'Proy 2021 vs 2019 Sem'!FQ30*$JR$4</f>
        <v>11039.092988000002</v>
      </c>
      <c r="JQ31" s="735">
        <v>10951.5</v>
      </c>
      <c r="JR31" s="700">
        <f t="shared" si="672"/>
        <v>0.7638902044911372</v>
      </c>
      <c r="JS31" s="593">
        <f>'Proy 2021 vs 2019 Sem'!FP30*$JV$4</f>
        <v>16384.553600000003</v>
      </c>
      <c r="JT31" s="593">
        <f>'Proy 2021 vs 2019 Sem'!FQ30*$JV$4</f>
        <v>12616.106272000003</v>
      </c>
      <c r="JU31" s="735">
        <v>17808.57</v>
      </c>
      <c r="JV31" s="700">
        <f t="shared" si="673"/>
        <v>1.0869121267972779</v>
      </c>
      <c r="JW31" s="593">
        <f>'Proy 2021 vs 2019 Sem'!FP30*$JZ$4</f>
        <v>22528.761200000001</v>
      </c>
      <c r="JX31" s="593">
        <f>'Proy 2021 vs 2019 Sem'!FQ30*$JZ$4</f>
        <v>17347.146124000003</v>
      </c>
      <c r="JY31" s="735">
        <v>17724.939999999999</v>
      </c>
      <c r="JZ31" s="700">
        <f t="shared" si="674"/>
        <v>0.78676940301537746</v>
      </c>
      <c r="KA31" s="579">
        <f t="shared" si="675"/>
        <v>102403.45999999999</v>
      </c>
      <c r="KB31" s="574">
        <f t="shared" si="676"/>
        <v>78850.664200000014</v>
      </c>
      <c r="KC31" s="770">
        <f t="shared" si="677"/>
        <v>83187.210000000006</v>
      </c>
      <c r="KD31" s="761">
        <f t="shared" si="678"/>
        <v>0.81234764919075986</v>
      </c>
      <c r="KE31" s="593">
        <f>'Proy 2021 vs 2019 Sem'!FY30*$KH$4</f>
        <v>10912.097999999998</v>
      </c>
      <c r="KF31" s="593">
        <f>'Proy 2021 vs 2019 Sem'!FZ30*$KH$4</f>
        <v>8620.5574199999992</v>
      </c>
      <c r="KG31" s="735">
        <v>10398.49</v>
      </c>
      <c r="KH31" s="700">
        <f t="shared" si="679"/>
        <v>0.95293224089446427</v>
      </c>
      <c r="KI31" s="593">
        <f>'Proy 2021 vs 2019 Sem'!FY30*$KL$4</f>
        <v>10912.097999999998</v>
      </c>
      <c r="KJ31" s="593">
        <f>'Proy 2021 vs 2019 Sem'!FZ30*$KL$4</f>
        <v>8620.5574199999992</v>
      </c>
      <c r="KK31" s="735">
        <v>11046.73</v>
      </c>
      <c r="KL31" s="700">
        <f t="shared" si="680"/>
        <v>1.0123378657339772</v>
      </c>
      <c r="KM31" s="593">
        <f>'Proy 2021 vs 2019 Sem'!FY30*$KP$4</f>
        <v>10912.097999999998</v>
      </c>
      <c r="KN31" s="593">
        <f>'Proy 2021 vs 2019 Sem'!FZ30*$KP$4</f>
        <v>8620.5574199999992</v>
      </c>
      <c r="KO31" s="735">
        <v>10149.49</v>
      </c>
      <c r="KP31" s="700">
        <f t="shared" si="681"/>
        <v>0.93011353087188198</v>
      </c>
      <c r="KQ31" s="593">
        <f>'Proy 2021 vs 2019 Sem'!FY30*$KT$4</f>
        <v>10912.097999999998</v>
      </c>
      <c r="KR31" s="593">
        <f>'Proy 2021 vs 2019 Sem'!FZ30*$KT$4</f>
        <v>8620.5574199999992</v>
      </c>
      <c r="KS31" s="735">
        <v>10296.42</v>
      </c>
      <c r="KT31" s="700">
        <f t="shared" si="682"/>
        <v>0.94357840261331982</v>
      </c>
      <c r="KU31" s="593">
        <f>'Proy 2021 vs 2019 Sem'!FY30*$KX$4</f>
        <v>12730.781000000001</v>
      </c>
      <c r="KV31" s="593">
        <f>'Proy 2021 vs 2019 Sem'!FZ30*$KX$4</f>
        <v>10057.316990000001</v>
      </c>
      <c r="KW31" s="735">
        <v>7190.38</v>
      </c>
      <c r="KX31" s="700">
        <f t="shared" si="683"/>
        <v>0.56480274069595571</v>
      </c>
      <c r="KY31" s="593">
        <f>'Proy 2021 vs 2019 Sem'!FY30*$LB$4</f>
        <v>14549.464</v>
      </c>
      <c r="KZ31" s="593">
        <f>'Proy 2021 vs 2019 Sem'!FZ30*$LB$4</f>
        <v>11494.07656</v>
      </c>
      <c r="LA31" s="735">
        <v>11321.68</v>
      </c>
      <c r="LB31" s="700">
        <f t="shared" si="684"/>
        <v>0.77815100267611237</v>
      </c>
      <c r="LC31" s="593">
        <f>'Proy 2021 vs 2019 Sem'!FY30*$LF$4</f>
        <v>20005.512999999999</v>
      </c>
      <c r="LD31" s="593">
        <f>'Proy 2021 vs 2019 Sem'!FZ30*$LF$4</f>
        <v>15804.35527</v>
      </c>
      <c r="LE31" s="735">
        <v>11876.72</v>
      </c>
      <c r="LF31" s="700">
        <f t="shared" si="685"/>
        <v>0.59367235421556053</v>
      </c>
      <c r="LG31" s="579">
        <f t="shared" si="686"/>
        <v>90934.15</v>
      </c>
      <c r="LH31" s="574">
        <f t="shared" si="687"/>
        <v>71837.978499999997</v>
      </c>
      <c r="LI31" s="793">
        <f t="shared" si="688"/>
        <v>72279.909999999989</v>
      </c>
      <c r="LJ31" s="786">
        <f t="shared" si="689"/>
        <v>0.79485990686667218</v>
      </c>
      <c r="LK31" s="593">
        <f>'Proy 2021 vs 2019 Sem'!GD30*$LN$4</f>
        <v>13158.141599999999</v>
      </c>
      <c r="LL31" s="593">
        <f>'Proy 2021 vs 2019 Sem'!GE30*$LN$4</f>
        <v>10526.513279999999</v>
      </c>
      <c r="LM31" s="735">
        <v>6361.93</v>
      </c>
      <c r="LN31" s="700">
        <f t="shared" si="690"/>
        <v>0.48349760881126258</v>
      </c>
      <c r="LO31" s="593">
        <f>'Proy 2021 vs 2019 Sem'!GD30*$LR$4</f>
        <v>13158.141599999999</v>
      </c>
      <c r="LP31" s="593">
        <f>'Proy 2021 vs 2019 Sem'!GE30*$LR$4</f>
        <v>10526.513279999999</v>
      </c>
      <c r="LQ31" s="735">
        <v>11480.36</v>
      </c>
      <c r="LR31" s="700">
        <f t="shared" si="691"/>
        <v>0.87249099067302949</v>
      </c>
      <c r="LS31" s="593">
        <f>'Proy 2021 vs 2019 Sem'!GD30*$LV$4</f>
        <v>13158.141599999999</v>
      </c>
      <c r="LT31" s="593">
        <f>'Proy 2021 vs 2019 Sem'!GE30*$LV$4</f>
        <v>10526.513279999999</v>
      </c>
      <c r="LU31" s="735">
        <v>9955.66</v>
      </c>
      <c r="LV31" s="700">
        <f t="shared" si="692"/>
        <v>0.75661596467391723</v>
      </c>
      <c r="LW31" s="593">
        <f>'Proy 2021 vs 2019 Sem'!GD30*$LZ$4</f>
        <v>13158.141599999999</v>
      </c>
      <c r="LX31" s="593">
        <f>'Proy 2021 vs 2019 Sem'!GE30*$LZ$4</f>
        <v>10526.513279999999</v>
      </c>
      <c r="LY31" s="735">
        <v>9616.68</v>
      </c>
      <c r="LZ31" s="700">
        <f t="shared" si="693"/>
        <v>0.73085396801019387</v>
      </c>
      <c r="MA31" s="593">
        <f>'Proy 2021 vs 2019 Sem'!GD30*$MD$4</f>
        <v>15351.165200000001</v>
      </c>
      <c r="MB31" s="593">
        <f>'Proy 2021 vs 2019 Sem'!GE30*$MD$4</f>
        <v>12280.932160000002</v>
      </c>
      <c r="MC31" s="735">
        <v>7204</v>
      </c>
      <c r="MD31" s="700">
        <f t="shared" si="694"/>
        <v>0.46928033840714578</v>
      </c>
      <c r="ME31" s="593">
        <f>'Proy 2021 vs 2019 Sem'!GD30*$MH$4</f>
        <v>17544.1888</v>
      </c>
      <c r="MF31" s="593">
        <f>'Proy 2021 vs 2019 Sem'!GE30*$MH$4</f>
        <v>14035.351040000001</v>
      </c>
      <c r="MG31" s="735">
        <v>14851.3</v>
      </c>
      <c r="MH31" s="700">
        <f t="shared" si="695"/>
        <v>0.8465082181514143</v>
      </c>
      <c r="MI31" s="593">
        <f>'Proy 2021 vs 2019 Sem'!GD30*$ML$4</f>
        <v>24123.259599999998</v>
      </c>
      <c r="MJ31" s="593">
        <f>'Proy 2021 vs 2019 Sem'!GE30*$ML$4</f>
        <v>19298.607680000001</v>
      </c>
      <c r="MK31" s="735">
        <v>8795.06</v>
      </c>
      <c r="ML31" s="700">
        <f t="shared" si="696"/>
        <v>0.36458837428421159</v>
      </c>
      <c r="MM31" s="579">
        <f t="shared" si="697"/>
        <v>109651.18</v>
      </c>
      <c r="MN31" s="574">
        <f t="shared" si="698"/>
        <v>87720.944000000003</v>
      </c>
      <c r="MO31" s="794">
        <f t="shared" si="699"/>
        <v>68264.990000000005</v>
      </c>
      <c r="MP31" s="786">
        <f t="shared" si="700"/>
        <v>0.62256502848396167</v>
      </c>
      <c r="MQ31" s="593">
        <f>'Proy 2021 vs 2019 Sem'!GI30*$MT$4</f>
        <v>11792.923199999999</v>
      </c>
      <c r="MR31" s="593">
        <f>'Proy 2021 vs 2019 Sem'!GJ30*$MT$4</f>
        <v>9434.338560000002</v>
      </c>
      <c r="MS31" s="735">
        <v>12388.05</v>
      </c>
      <c r="MT31" s="700">
        <f t="shared" si="701"/>
        <v>1.0504647397347588</v>
      </c>
      <c r="MU31" s="593">
        <f>'Proy 2021 vs 2019 Sem'!GI30*$MX$4</f>
        <v>11792.923199999999</v>
      </c>
      <c r="MV31" s="593">
        <f>'Proy 2021 vs 2019 Sem'!GJ30*$MX$4</f>
        <v>9434.338560000002</v>
      </c>
      <c r="MW31" s="735">
        <v>7577.36</v>
      </c>
      <c r="MX31" s="700">
        <f t="shared" si="702"/>
        <v>0.64253449899512616</v>
      </c>
      <c r="MY31" s="593">
        <f>'Proy 2021 vs 2019 Sem'!GI30*$NB$4</f>
        <v>11792.923199999999</v>
      </c>
      <c r="MZ31" s="593">
        <f>'Proy 2021 vs 2019 Sem'!GJ30*$NB$4</f>
        <v>9434.338560000002</v>
      </c>
      <c r="NA31" s="735">
        <v>7882.56</v>
      </c>
      <c r="NB31" s="700">
        <f t="shared" si="703"/>
        <v>0.66841442671313256</v>
      </c>
      <c r="NC31" s="593">
        <f>'Proy 2021 vs 2019 Sem'!GI30*$NF$4</f>
        <v>11792.923199999999</v>
      </c>
      <c r="ND31" s="593">
        <f>'Proy 2021 vs 2019 Sem'!GJ30*$NF$4</f>
        <v>9434.338560000002</v>
      </c>
      <c r="NE31" s="735">
        <v>4542.99</v>
      </c>
      <c r="NF31" s="700">
        <f t="shared" si="704"/>
        <v>0.38523018618488081</v>
      </c>
      <c r="NG31" s="593">
        <f>'Proy 2021 vs 2019 Sem'!GI30*$NJ$4</f>
        <v>13758.410400000001</v>
      </c>
      <c r="NH31" s="593">
        <f>'Proy 2021 vs 2019 Sem'!GJ30*$NJ$4</f>
        <v>11006.728320000002</v>
      </c>
      <c r="NI31" s="735">
        <v>8833.91</v>
      </c>
      <c r="NJ31" s="700">
        <f t="shared" si="705"/>
        <v>0.64207344767096053</v>
      </c>
      <c r="NK31" s="593">
        <f>'Proy 2021 vs 2019 Sem'!GI30*$NN$4</f>
        <v>15723.8976</v>
      </c>
      <c r="NL31" s="593">
        <f>'Proy 2021 vs 2019 Sem'!GJ30*$NN$4</f>
        <v>12579.118080000002</v>
      </c>
      <c r="NM31" s="735">
        <v>9733.08</v>
      </c>
      <c r="NN31" s="700">
        <f t="shared" si="706"/>
        <v>0.61899919775615941</v>
      </c>
      <c r="NO31" s="593">
        <f>'Proy 2021 vs 2019 Sem'!GI30*$NR$4</f>
        <v>21620.359199999999</v>
      </c>
      <c r="NP31" s="593">
        <f>'Proy 2021 vs 2019 Sem'!GJ30*$NR$4</f>
        <v>17296.287360000002</v>
      </c>
      <c r="NQ31" s="735">
        <v>11297.66</v>
      </c>
      <c r="NR31" s="700">
        <f t="shared" si="707"/>
        <v>0.52254728496832747</v>
      </c>
      <c r="NS31" s="579">
        <f t="shared" si="708"/>
        <v>98274.359999999986</v>
      </c>
      <c r="NT31" s="574">
        <f t="shared" si="709"/>
        <v>78619.488000000012</v>
      </c>
      <c r="NU31" s="794">
        <f t="shared" si="710"/>
        <v>62255.61</v>
      </c>
      <c r="NV31" s="786">
        <f t="shared" si="711"/>
        <v>0.63348781920329988</v>
      </c>
      <c r="NW31" s="593">
        <f>'Proy 2021 vs 2019 Sem'!GN30*$NZ$4</f>
        <v>10434.7896</v>
      </c>
      <c r="NX31" s="593">
        <f>'Proy 2021 vs 2019 Sem'!GO30*$NZ$4</f>
        <v>7408.7006159999992</v>
      </c>
      <c r="NY31" s="735">
        <v>11658.73</v>
      </c>
      <c r="NZ31" s="1482">
        <f t="shared" si="712"/>
        <v>1.1172942097462129</v>
      </c>
      <c r="OA31" s="593">
        <f>'Proy 2021 vs 2019 Sem'!GN30*$OD$4</f>
        <v>10434.7896</v>
      </c>
      <c r="OB31" s="593">
        <f>'Proy 2021 vs 2019 Sem'!GO30*$OD$4</f>
        <v>7408.7006159999992</v>
      </c>
      <c r="OC31" s="735">
        <v>4097.17</v>
      </c>
      <c r="OD31" s="700">
        <f t="shared" si="713"/>
        <v>0.39264519526105252</v>
      </c>
      <c r="OE31" s="593">
        <f>'Proy 2021 vs 2019 Sem'!GN30*$OH$4</f>
        <v>10434.7896</v>
      </c>
      <c r="OF31" s="593">
        <f>'Proy 2021 vs 2019 Sem'!GO30*$OH$4</f>
        <v>7408.7006159999992</v>
      </c>
      <c r="OG31" s="735">
        <v>6103.18</v>
      </c>
      <c r="OH31" s="700">
        <f t="shared" si="714"/>
        <v>0.58488769145858011</v>
      </c>
      <c r="OI31" s="593">
        <f>'Proy 2021 vs 2019 Sem'!GN30*$OL$4</f>
        <v>10434.7896</v>
      </c>
      <c r="OJ31" s="593">
        <f>'Proy 2021 vs 2019 Sem'!GO30*$OL$4</f>
        <v>7408.7006159999992</v>
      </c>
      <c r="OK31" s="735">
        <v>7903.4</v>
      </c>
      <c r="OL31" s="700">
        <f t="shared" si="715"/>
        <v>0.75740865920286493</v>
      </c>
      <c r="OM31" s="593">
        <f>'Proy 2021 vs 2019 Sem'!GN30*$OP$4</f>
        <v>12173.921200000001</v>
      </c>
      <c r="ON31" s="593">
        <f>'Proy 2021 vs 2019 Sem'!GO30*$OP$4</f>
        <v>8643.4840519999998</v>
      </c>
      <c r="OO31" s="735">
        <v>6239.12</v>
      </c>
      <c r="OP31" s="700">
        <f t="shared" si="716"/>
        <v>0.51249879948294719</v>
      </c>
      <c r="OQ31" s="593">
        <f>'Proy 2021 vs 2019 Sem'!GN30*$JV$4</f>
        <v>13913.052800000001</v>
      </c>
      <c r="OR31" s="593">
        <f>'Proy 2021 vs 2019 Sem'!GO30*$JV$4</f>
        <v>9878.2674879999995</v>
      </c>
      <c r="OS31" s="735">
        <v>8569.44</v>
      </c>
      <c r="OT31" s="700">
        <f t="shared" si="717"/>
        <v>0.61592808732818149</v>
      </c>
      <c r="OU31" s="593">
        <f>'Proy 2021 vs 2019 Sem'!GN30*$OX$4</f>
        <v>19130.4476</v>
      </c>
      <c r="OV31" s="593">
        <f>'Proy 2021 vs 2019 Sem'!GO30*$OX$4</f>
        <v>13582.617795999999</v>
      </c>
      <c r="OW31" s="735">
        <v>15792.6</v>
      </c>
      <c r="OX31" s="700">
        <f t="shared" si="718"/>
        <v>0.82552171962772058</v>
      </c>
      <c r="OY31" s="579">
        <f t="shared" si="719"/>
        <v>86956.58</v>
      </c>
      <c r="OZ31" s="574">
        <f t="shared" si="720"/>
        <v>61739.171799999989</v>
      </c>
      <c r="PA31" s="785">
        <f t="shared" si="721"/>
        <v>60363.640000000007</v>
      </c>
      <c r="PB31" s="786">
        <f t="shared" si="722"/>
        <v>0.69418139489846553</v>
      </c>
      <c r="PC31" s="593">
        <f>'Proy 2021 vs 2019 Sem'!GW30*$PF$4</f>
        <v>11647.32</v>
      </c>
      <c r="PD31" s="593">
        <f>'Proy 2021 vs 2019 Sem'!GX30*$PF$4</f>
        <v>9201.3827999999994</v>
      </c>
      <c r="PE31" s="735">
        <v>4138.99</v>
      </c>
      <c r="PF31" s="700">
        <f t="shared" si="723"/>
        <v>0.35535985960718858</v>
      </c>
      <c r="PG31" s="593">
        <f>'Proy 2021 vs 2019 Sem'!GW30*$PJ$4</f>
        <v>11647.32</v>
      </c>
      <c r="PH31" s="593">
        <f>'Proy 2021 vs 2019 Sem'!GX30*$PJ$4</f>
        <v>9201.3827999999994</v>
      </c>
      <c r="PI31" s="735">
        <v>5594.57</v>
      </c>
      <c r="PJ31" s="700">
        <f t="shared" si="724"/>
        <v>0.4803310976258916</v>
      </c>
      <c r="PK31" s="593">
        <f>'Proy 2021 vs 2019 Sem'!GW30*'Vtas Diarias 2021'!$PN$4</f>
        <v>11647.32</v>
      </c>
      <c r="PL31" s="593">
        <f>'Proy 2021 vs 2019 Sem'!GX30*'Vtas Diarias 2021'!$PN$4</f>
        <v>9201.3827999999994</v>
      </c>
      <c r="PM31" s="735">
        <v>8103.01</v>
      </c>
      <c r="PN31" s="700">
        <f t="shared" si="725"/>
        <v>0.69569737931129227</v>
      </c>
      <c r="PO31" s="593">
        <f>'Proy 2021 vs 2019 Sem'!GW30*$PR$4</f>
        <v>11647.32</v>
      </c>
      <c r="PP31" s="593">
        <f>'Proy 2021 vs 2019 Sem'!GX30*$PR$4</f>
        <v>9201.3827999999994</v>
      </c>
      <c r="PQ31" s="735">
        <v>7773.36</v>
      </c>
      <c r="PR31" s="700">
        <f t="shared" si="726"/>
        <v>0.66739473114845305</v>
      </c>
      <c r="PS31" s="593">
        <f>'Proy 2021 vs 2019 Sem'!GW30*$PV$4</f>
        <v>13588.54</v>
      </c>
      <c r="PT31" s="593">
        <f>'Proy 2021 vs 2019 Sem'!GX30*$PV$4</f>
        <v>10734.946600000001</v>
      </c>
      <c r="PU31" s="735">
        <v>6173</v>
      </c>
      <c r="PV31" s="700">
        <f t="shared" si="727"/>
        <v>0.45427985640841473</v>
      </c>
      <c r="PW31" s="593">
        <f>'Proy 2021 vs 2019 Sem'!GW30*PZ$4</f>
        <v>15529.76</v>
      </c>
      <c r="PX31" s="593">
        <f>'Proy 2021 vs 2019 Sem'!GX30*$PZ$4</f>
        <v>12268.510400000001</v>
      </c>
      <c r="PY31" s="735">
        <v>10890.03</v>
      </c>
      <c r="PZ31" s="700">
        <f t="shared" si="728"/>
        <v>0.70123620712747659</v>
      </c>
      <c r="QA31" s="593">
        <f>'Proy 2021 vs 2019 Sem'!GW30*$QD$4</f>
        <v>21353.420000000002</v>
      </c>
      <c r="QB31" s="593">
        <f>'Proy 2021 vs 2019 Sem'!GX30*$QD$4</f>
        <v>16869.201799999999</v>
      </c>
      <c r="QC31" s="735">
        <v>13693.47</v>
      </c>
      <c r="QD31" s="700">
        <f t="shared" si="729"/>
        <v>0.64127760330663652</v>
      </c>
      <c r="QE31" s="579">
        <f t="shared" si="730"/>
        <v>97061</v>
      </c>
      <c r="QF31" s="574">
        <f t="shared" si="731"/>
        <v>76678.19</v>
      </c>
      <c r="QG31" s="729">
        <f t="shared" si="732"/>
        <v>56366.43</v>
      </c>
      <c r="QH31" s="711">
        <f t="shared" si="733"/>
        <v>0.58073201388817342</v>
      </c>
      <c r="QI31" s="578">
        <f>'Proy 2021 vs 2019 Sem'!HB30*$QL$4</f>
        <v>12208.9596</v>
      </c>
      <c r="QJ31" s="611">
        <f>'Proy 2021 vs 2019 Sem'!UG30*$AL$4</f>
        <v>0</v>
      </c>
      <c r="QK31" s="735">
        <v>9644.94</v>
      </c>
      <c r="QL31" s="700">
        <f t="shared" si="734"/>
        <v>0.7899886899453743</v>
      </c>
      <c r="QM31" s="593">
        <f>'Proy 2021 vs 2019 Sem'!HB30*$QP$4</f>
        <v>12208.9596</v>
      </c>
      <c r="QN31" s="593">
        <f>'Proy 2021 vs 2019 Sem'!UG30*$AP$4</f>
        <v>0</v>
      </c>
      <c r="QO31" s="735">
        <v>4173.78</v>
      </c>
      <c r="QP31" s="700">
        <f t="shared" si="735"/>
        <v>0.34186205350372356</v>
      </c>
      <c r="QQ31" s="593">
        <f>'Proy 2021 vs 2019 Sem'!HB30*$QT$4</f>
        <v>12208.9596</v>
      </c>
      <c r="QR31" s="593">
        <f>'Proy 2021 vs 2019 Sem'!HC30*$QT$4</f>
        <v>9767.1676800000005</v>
      </c>
      <c r="QS31" s="735">
        <v>6377.77</v>
      </c>
      <c r="QT31" s="700">
        <f t="shared" si="736"/>
        <v>0.52238439711111828</v>
      </c>
      <c r="QU31" s="593">
        <f>'Proy 2021 vs 2019 Sem'!HB30*$QX$4</f>
        <v>12208.9596</v>
      </c>
      <c r="QV31" s="593">
        <f>'Proy 2021 vs 2019 Sem'!HC30*$QX$4</f>
        <v>9767.1676800000005</v>
      </c>
      <c r="QW31" s="735">
        <v>6331.53</v>
      </c>
      <c r="QX31" s="700">
        <f t="shared" si="737"/>
        <v>0.51859701460556884</v>
      </c>
      <c r="QY31" s="593">
        <f>'Proy 2021 vs 2019 Sem'!HB30*$RB$4</f>
        <v>14243.786200000002</v>
      </c>
      <c r="QZ31" s="593">
        <f>'Proy 2021 vs 2019 Sem'!HC30*$RB$4</f>
        <v>11395.028960000003</v>
      </c>
      <c r="RA31" s="735">
        <v>8683.67</v>
      </c>
      <c r="RB31" s="700">
        <f t="shared" si="738"/>
        <v>0.6096461908421511</v>
      </c>
      <c r="RC31" s="593">
        <f>'Proy 2021 vs 2019 Sem'!HB30*$RF$4</f>
        <v>16278.612800000001</v>
      </c>
      <c r="RD31" s="593">
        <f>'Proy 2021 vs 2019 Sem'!HC30*$RF$4</f>
        <v>13022.890240000002</v>
      </c>
      <c r="RE31" s="735">
        <v>12143.45</v>
      </c>
      <c r="RF31" s="700">
        <f t="shared" si="739"/>
        <v>0.74597572589231931</v>
      </c>
      <c r="RG31" s="593">
        <f>'Proy 2021 vs 2019 Sem'!HB30*$RJ$4</f>
        <v>22383.0926</v>
      </c>
      <c r="RH31" s="593">
        <f>'Proy 2021 vs 2019 Sem'!HC30*$RJ$4</f>
        <v>17906.474080000004</v>
      </c>
      <c r="RI31" s="735">
        <v>16637.310000000001</v>
      </c>
      <c r="RJ31" s="700">
        <f t="shared" si="740"/>
        <v>0.74329809098855271</v>
      </c>
      <c r="RK31" s="579">
        <f t="shared" si="741"/>
        <v>101741.33</v>
      </c>
      <c r="RL31" s="574">
        <f t="shared" si="742"/>
        <v>61858.728640000016</v>
      </c>
      <c r="RM31" s="730">
        <f t="shared" si="743"/>
        <v>63992.45</v>
      </c>
      <c r="RN31" s="711">
        <f t="shared" si="744"/>
        <v>0.62897202149804798</v>
      </c>
      <c r="RO31" s="593">
        <f>'Proy 2021 vs 2019 Sem'!HG30*$RR$4</f>
        <v>11864.6556</v>
      </c>
      <c r="RP31" s="593">
        <f>'Proy 2021 vs 2019 Sem'!HH30*$RR$4</f>
        <v>9491.7244800000008</v>
      </c>
      <c r="RQ31" s="735">
        <v>10721.08</v>
      </c>
      <c r="RR31" s="700">
        <f t="shared" si="745"/>
        <v>0.90361493510186675</v>
      </c>
      <c r="RS31" s="593">
        <f>'Proy 2021 vs 2019 Sem'!HG30*$RV$4</f>
        <v>11864.6556</v>
      </c>
      <c r="RT31" s="593">
        <f>'Proy 2021 vs 2019 Sem'!HH30*$RV$4</f>
        <v>9491.7244800000008</v>
      </c>
      <c r="RU31" s="735">
        <v>9252.1200000000008</v>
      </c>
      <c r="RV31" s="700">
        <f t="shared" si="746"/>
        <v>0.77980518878272376</v>
      </c>
      <c r="RW31" s="593">
        <f>'Proy 2021 vs 2019 Sem'!HG30*$RZ$4</f>
        <v>11864.6556</v>
      </c>
      <c r="RX31" s="593">
        <f>'Proy 2021 vs 2019 Sem'!HH30*$RZ$4</f>
        <v>9491.7244800000008</v>
      </c>
      <c r="RY31" s="735">
        <v>7659.28</v>
      </c>
      <c r="RZ31" s="700">
        <f t="shared" si="747"/>
        <v>0.64555434714851734</v>
      </c>
      <c r="SA31" s="593">
        <f>'Proy 2021 vs 2019 Sem'!HG30*$SD$4</f>
        <v>11864.6556</v>
      </c>
      <c r="SB31" s="593">
        <f>'Proy 2021 vs 2019 Sem'!HH30*$SD$4</f>
        <v>9491.7244800000008</v>
      </c>
      <c r="SC31" s="735">
        <v>8248.65</v>
      </c>
      <c r="SD31" s="700">
        <f t="shared" si="748"/>
        <v>0.69522877680494999</v>
      </c>
      <c r="SE31" s="593">
        <f>'Proy 2021 vs 2019 Sem'!HG30*$SH$4</f>
        <v>13842.098200000002</v>
      </c>
      <c r="SF31" s="593">
        <f>'Proy 2021 vs 2019 Sem'!HH30*$SH$4</f>
        <v>11073.678560000002</v>
      </c>
      <c r="SG31" s="735">
        <v>9044.67</v>
      </c>
      <c r="SH31" s="700">
        <f t="shared" si="749"/>
        <v>0.65341755775146848</v>
      </c>
      <c r="SI31" s="593">
        <f>'Proy 2021 vs 2019 Sem'!HG30*$SL$4</f>
        <v>15819.540800000001</v>
      </c>
      <c r="SJ31" s="593">
        <f>'Proy 2021 vs 2019 Sem'!HH30*$SL$4</f>
        <v>12655.632640000002</v>
      </c>
      <c r="SK31" s="735">
        <v>14154.96</v>
      </c>
      <c r="SL31" s="700">
        <f t="shared" si="750"/>
        <v>0.89477692045270985</v>
      </c>
      <c r="SM31" s="593">
        <f>'Proy 2021 vs 2019 Sem'!HG30*$SP$4</f>
        <v>21751.868600000002</v>
      </c>
      <c r="SN31" s="593">
        <f>'Proy 2021 vs 2019 Sem'!HH30*$SP$4</f>
        <v>17401.494880000002</v>
      </c>
      <c r="SO31" s="735">
        <v>22539.47</v>
      </c>
      <c r="SP31" s="700">
        <f t="shared" si="751"/>
        <v>1.0362084478572107</v>
      </c>
      <c r="SQ31" s="579">
        <f t="shared" si="752"/>
        <v>98872.13</v>
      </c>
      <c r="SR31" s="574">
        <f t="shared" si="753"/>
        <v>79097.704000000012</v>
      </c>
      <c r="SS31" s="730">
        <f t="shared" si="754"/>
        <v>81620.23</v>
      </c>
      <c r="ST31" s="711">
        <f t="shared" si="755"/>
        <v>0.82551301362679241</v>
      </c>
      <c r="SU31" s="593">
        <f>'Proy 2021 vs 2019 Sem'!HL30*$SX$4</f>
        <v>9886.8552</v>
      </c>
      <c r="SV31" s="593">
        <f>'Proy 2021 vs 2019 Sem'!HM30*$SX$4</f>
        <v>7810.615608000001</v>
      </c>
      <c r="SW31" s="735">
        <v>12044.3</v>
      </c>
      <c r="SX31" s="700">
        <f t="shared" si="756"/>
        <v>1.2182134517353911</v>
      </c>
      <c r="SY31" s="593">
        <f>'Proy 2021 vs 2019 Sem'!HL30*$TB$4</f>
        <v>9886.8552</v>
      </c>
      <c r="SZ31" s="593">
        <f>'Proy 2021 vs 2019 Sem'!HM30*$TB$4</f>
        <v>7810.615608000001</v>
      </c>
      <c r="TA31" s="735">
        <v>8089.78</v>
      </c>
      <c r="TB31" s="700">
        <f t="shared" si="757"/>
        <v>0.81823591388290984</v>
      </c>
      <c r="TC31" s="593">
        <f>'Proy 2021 vs 2019 Sem'!HL30*$TF$4</f>
        <v>9886.8552</v>
      </c>
      <c r="TD31" s="593">
        <f>'Proy 2021 vs 2019 Sem'!HM30*$TF$4</f>
        <v>7810.615608000001</v>
      </c>
      <c r="TE31" s="735">
        <v>9614.4</v>
      </c>
      <c r="TF31" s="700">
        <f t="shared" si="758"/>
        <v>0.97244268329124506</v>
      </c>
      <c r="TG31" s="593">
        <f>'Proy 2021 vs 2019 Sem'!HL30*$TJ$4</f>
        <v>9886.8552</v>
      </c>
      <c r="TH31" s="593">
        <f>'Proy 2021 vs 2019 Sem'!HM30*$TJ$4</f>
        <v>7810.615608000001</v>
      </c>
      <c r="TI31" s="735">
        <v>12639.79</v>
      </c>
      <c r="TJ31" s="700">
        <f t="shared" si="759"/>
        <v>1.2784439282573898</v>
      </c>
      <c r="TK31" s="593">
        <f>'Proy 2021 vs 2019 Sem'!HL30*$TN$4</f>
        <v>11534.664400000001</v>
      </c>
      <c r="TL31" s="593">
        <f>'Proy 2021 vs 2019 Sem'!HM30*$TN$4</f>
        <v>9112.3848760000019</v>
      </c>
      <c r="TM31" s="735">
        <v>7389.39</v>
      </c>
      <c r="TN31" s="700">
        <f t="shared" si="760"/>
        <v>0.64062462016666899</v>
      </c>
      <c r="TO31" s="593">
        <f>'Proy 2021 vs 2019 Sem'!HL30*$TR$4</f>
        <v>13182.473600000001</v>
      </c>
      <c r="TP31" s="611">
        <f>'Proy 2021 vs 2019 Sem'!HM30*$TR$4</f>
        <v>10414.154144000002</v>
      </c>
      <c r="TQ31" s="735">
        <v>13959.39</v>
      </c>
      <c r="TR31" s="700">
        <f t="shared" si="761"/>
        <v>1.0589355551601483</v>
      </c>
      <c r="TS31" s="593">
        <f>'Proy 2021 vs 2019 Sem'!HL30*$TV$4</f>
        <v>18125.9012</v>
      </c>
      <c r="TT31" s="593">
        <f>'Proy 2021 vs 2019 Sem'!HM30*$TV$4</f>
        <v>14319.461948000002</v>
      </c>
      <c r="TU31" s="735">
        <v>13316.2</v>
      </c>
      <c r="TV31" s="700">
        <f t="shared" si="762"/>
        <v>0.73465036872208045</v>
      </c>
      <c r="TW31" s="579">
        <f t="shared" si="763"/>
        <v>82390.459999999992</v>
      </c>
      <c r="TX31" s="574">
        <f t="shared" si="764"/>
        <v>65088.463400000008</v>
      </c>
      <c r="TY31" s="710">
        <f t="shared" si="765"/>
        <v>77053.25</v>
      </c>
      <c r="TZ31" s="711">
        <f t="shared" si="766"/>
        <v>0.93522053402784744</v>
      </c>
      <c r="UA31" s="593">
        <v>11746.75</v>
      </c>
      <c r="UB31" s="593">
        <f>'Proy 2021 vs 2019 Sem'!HR30*$UD$4</f>
        <v>8834.457504</v>
      </c>
      <c r="UC31" s="735">
        <v>12694.83</v>
      </c>
      <c r="UD31" s="700">
        <f t="shared" si="767"/>
        <v>1.0807099836124885</v>
      </c>
      <c r="UE31" s="593">
        <v>9336.57</v>
      </c>
      <c r="UF31" s="593">
        <f>'Proy 2021 vs 2019 Sem'!HR30*$UH$4</f>
        <v>8834.457504</v>
      </c>
      <c r="UG31" s="735">
        <v>6106.69</v>
      </c>
      <c r="UH31" s="700">
        <f t="shared" si="768"/>
        <v>0.65406139513761474</v>
      </c>
      <c r="UI31" s="593">
        <v>11730.36</v>
      </c>
      <c r="UJ31" s="593">
        <f>'Proy 2021 vs 2019 Sem'!HR30*$UL$4</f>
        <v>8834.457504</v>
      </c>
      <c r="UK31" s="735">
        <v>8347.1299999999992</v>
      </c>
      <c r="UL31" s="700">
        <f t="shared" si="769"/>
        <v>0.71158344671433771</v>
      </c>
      <c r="UM31" s="593">
        <v>9202.51</v>
      </c>
      <c r="UN31" s="593">
        <f>'Proy 2021 vs 2019 Sem'!HR30*$UP$4</f>
        <v>8834.457504</v>
      </c>
      <c r="UO31" s="735">
        <v>7986.65</v>
      </c>
      <c r="UP31" s="700">
        <f t="shared" si="770"/>
        <v>0.86787735085319107</v>
      </c>
      <c r="UQ31" s="593">
        <v>13156.33</v>
      </c>
      <c r="UR31" s="593">
        <f>'Proy 2021 vs 2019 Sem'!HR30*$UT$4</f>
        <v>10306.867088000001</v>
      </c>
      <c r="US31" s="735">
        <v>15209.91</v>
      </c>
      <c r="UT31" s="700">
        <f t="shared" si="771"/>
        <v>1.1560906422991821</v>
      </c>
      <c r="UU31" s="593">
        <v>17500.57</v>
      </c>
      <c r="UV31" s="593">
        <f>'Proy 2021 vs 2019 Sem'!HR30*$UX$4</f>
        <v>11779.276672</v>
      </c>
      <c r="UW31" s="735">
        <v>16770.55</v>
      </c>
      <c r="UX31" s="700">
        <f t="shared" si="772"/>
        <v>0.95828593011541907</v>
      </c>
      <c r="UY31" s="593">
        <v>20517.39</v>
      </c>
      <c r="UZ31" s="593">
        <f>'Proy 2021 vs 2019 Sem'!HR30*$VB$4</f>
        <v>16196.505424000001</v>
      </c>
      <c r="VA31" s="735">
        <v>16629.810000000001</v>
      </c>
      <c r="VB31" s="700">
        <f t="shared" si="773"/>
        <v>0.81052268344073009</v>
      </c>
      <c r="VC31" s="577">
        <f>UA31+UE31+UI31+UM31+UQ31+UU31+UY31</f>
        <v>93190.48</v>
      </c>
      <c r="VD31" s="574">
        <f t="shared" si="774"/>
        <v>73620.479200000002</v>
      </c>
      <c r="VE31" s="710">
        <f t="shared" si="775"/>
        <v>83745.570000000007</v>
      </c>
      <c r="VF31" s="1532">
        <f t="shared" si="776"/>
        <v>0.89864941139910437</v>
      </c>
      <c r="VG31" s="593">
        <v>15353.1</v>
      </c>
      <c r="VH31" s="593">
        <f>'Proy 2021 vs 2019 Sem'!IA30*$VJ$4</f>
        <v>8653.48812</v>
      </c>
      <c r="VI31" s="735">
        <v>14571.12</v>
      </c>
      <c r="VJ31" s="700">
        <f t="shared" si="777"/>
        <v>0.94906696367508847</v>
      </c>
      <c r="VK31" s="593">
        <v>7802.82</v>
      </c>
      <c r="VL31" s="593">
        <f>'Proy 2021 vs 2019 Sem'!IA30*$VN$4</f>
        <v>8653.48812</v>
      </c>
      <c r="VM31" s="735">
        <v>8397.52</v>
      </c>
      <c r="VN31" s="700">
        <f t="shared" si="778"/>
        <v>1.0762160347156542</v>
      </c>
      <c r="VO31" s="593">
        <v>8224.85</v>
      </c>
      <c r="VP31" s="593">
        <f>'Proy 2021 vs 2019 Sem'!IA30*$VR$4</f>
        <v>8653.48812</v>
      </c>
      <c r="VQ31" s="735">
        <v>9154.1200000000008</v>
      </c>
      <c r="VR31" s="700">
        <f t="shared" si="779"/>
        <v>1.1129832154993708</v>
      </c>
      <c r="VS31" s="593">
        <v>7844.79</v>
      </c>
      <c r="VT31" s="593">
        <f>'Proy 2021 vs 2019 Sem'!IA30*$VV$4</f>
        <v>8653.48812</v>
      </c>
      <c r="VU31" s="735">
        <v>10074.120000000001</v>
      </c>
      <c r="VV31" s="700">
        <f t="shared" si="780"/>
        <v>1.2841796912345647</v>
      </c>
      <c r="VW31" s="593">
        <v>8036.3</v>
      </c>
      <c r="VX31" s="593">
        <f>'Proy 2021 vs 2019 Sem'!IA30*$VZ$4</f>
        <v>10095.736140000001</v>
      </c>
      <c r="VY31" s="735">
        <v>11186.56</v>
      </c>
      <c r="VZ31" s="700">
        <f t="shared" si="781"/>
        <v>1.3920037828353844</v>
      </c>
      <c r="WA31" s="593">
        <v>14221.11</v>
      </c>
      <c r="WB31" s="593">
        <f>'Proy 2021 vs 2019 Sem'!IA30*$WD$4</f>
        <v>11537.98416</v>
      </c>
      <c r="WC31" s="735">
        <v>16416.080000000002</v>
      </c>
      <c r="WD31" s="700">
        <f t="shared" si="782"/>
        <v>1.1543458984565904</v>
      </c>
      <c r="WE31" s="593">
        <v>18641.919999999998</v>
      </c>
      <c r="WF31" s="593">
        <f>'Proy 2021 vs 2019 Sem'!IA30*$WH$4</f>
        <v>15864.728219999999</v>
      </c>
      <c r="WG31" s="735">
        <v>21241.93</v>
      </c>
      <c r="WH31" s="1538">
        <f t="shared" si="783"/>
        <v>1.1394711488945346</v>
      </c>
      <c r="WI31" s="574">
        <f t="shared" si="784"/>
        <v>39225.56</v>
      </c>
      <c r="WJ31" s="575">
        <f t="shared" si="785"/>
        <v>72112.400999999998</v>
      </c>
      <c r="WK31" s="793">
        <f t="shared" si="786"/>
        <v>91041.450000000012</v>
      </c>
      <c r="WL31" s="786">
        <f t="shared" si="787"/>
        <v>2.3209726005186417</v>
      </c>
      <c r="WM31" s="593">
        <v>14411</v>
      </c>
      <c r="WN31" s="593">
        <f>'Proy 2021 vs 2019 Sem'!IF30*$WP$4</f>
        <v>10373.775744</v>
      </c>
      <c r="WO31" s="735">
        <v>14901.1</v>
      </c>
      <c r="WP31" s="700">
        <f t="shared" si="788"/>
        <v>1.0340087433210743</v>
      </c>
      <c r="WQ31" s="593">
        <v>9956.73</v>
      </c>
      <c r="WR31" s="593">
        <f>'Proy 2021 vs 2019 Sem'!IF30*$WT$4</f>
        <v>10373.775744</v>
      </c>
      <c r="WS31" s="735">
        <v>6874.77</v>
      </c>
      <c r="WT31" s="700">
        <f t="shared" si="789"/>
        <v>0.69046464049944112</v>
      </c>
      <c r="WU31" s="593">
        <v>12158.53</v>
      </c>
      <c r="WV31" s="593">
        <f>'Proy 2021 vs 2019 Sem'!IF30*$WX$4</f>
        <v>10373.775744</v>
      </c>
      <c r="WW31" s="735">
        <v>9041.85</v>
      </c>
      <c r="WX31" s="700">
        <f t="shared" si="790"/>
        <v>0.74366309085062088</v>
      </c>
      <c r="WY31" s="593">
        <v>12811.68</v>
      </c>
      <c r="WZ31" s="593">
        <f>'Proy 2021 vs 2019 Sem'!IF30*$XB$4</f>
        <v>10373.775744</v>
      </c>
      <c r="XA31" s="735">
        <v>8041.53</v>
      </c>
      <c r="XB31" s="700">
        <f t="shared" si="791"/>
        <v>0.62767178075006558</v>
      </c>
      <c r="XC31" s="593">
        <v>9922.17</v>
      </c>
      <c r="XD31" s="593">
        <f>'Proy 2021 vs 2019 Sem'!IF30*$XF$4</f>
        <v>12102.738368000002</v>
      </c>
      <c r="XE31" s="735">
        <v>11895.53</v>
      </c>
      <c r="XF31" s="700">
        <f t="shared" si="792"/>
        <v>1.198883913498761</v>
      </c>
      <c r="XG31" s="593">
        <v>18073.330000000002</v>
      </c>
      <c r="XH31" s="593">
        <f>'Proy 2021 vs 2019 Sem'!IF30*$XJ$4</f>
        <v>13831.700992</v>
      </c>
      <c r="XI31" s="735">
        <v>15106.9</v>
      </c>
      <c r="XJ31" s="700">
        <f t="shared" si="793"/>
        <v>0.83586699296698497</v>
      </c>
      <c r="XK31" s="593">
        <v>16631.919999999998</v>
      </c>
      <c r="XL31" s="593">
        <f>'Proy 2021 vs 2019 Sem'!IF30*$XN$4</f>
        <v>19018.588864000001</v>
      </c>
      <c r="XM31" s="735">
        <v>16520</v>
      </c>
      <c r="XN31" s="700">
        <f t="shared" si="794"/>
        <v>0.99327077090317906</v>
      </c>
      <c r="XO31" s="579">
        <f t="shared" si="795"/>
        <v>93965.36</v>
      </c>
      <c r="XP31" s="574">
        <f t="shared" si="796"/>
        <v>86448.131200000003</v>
      </c>
      <c r="XQ31" s="794">
        <f t="shared" si="797"/>
        <v>82381.679999999993</v>
      </c>
      <c r="XR31" s="786">
        <f t="shared" si="798"/>
        <v>0.87672393316004948</v>
      </c>
      <c r="XS31" s="593">
        <v>16230.71</v>
      </c>
      <c r="XT31" s="593">
        <f>'Proy 2021 vs 2019 Sem'!IK30*$XV$4</f>
        <v>9976.4101799999989</v>
      </c>
      <c r="XU31" s="735">
        <v>14029.1</v>
      </c>
      <c r="XV31" s="700">
        <f t="shared" si="799"/>
        <v>0.86435528698374875</v>
      </c>
      <c r="XW31" s="593">
        <v>7930.81</v>
      </c>
      <c r="XX31" s="593">
        <f>'Proy 2021 vs 2019 Sem'!IK30*$XZ$4</f>
        <v>9976.4101799999989</v>
      </c>
      <c r="XY31" s="735">
        <v>9986.7900000000009</v>
      </c>
      <c r="XZ31" s="700">
        <f t="shared" si="800"/>
        <v>1.2592395984773308</v>
      </c>
      <c r="YA31" s="593">
        <v>10212.06</v>
      </c>
      <c r="YB31" s="593">
        <f>'Proy 2021 vs 2019 Sem'!IK30*$YD$4</f>
        <v>9976.4101799999989</v>
      </c>
      <c r="YC31" s="735">
        <v>9252.2999999999993</v>
      </c>
      <c r="YD31" s="700">
        <f t="shared" si="801"/>
        <v>0.90601700342536173</v>
      </c>
      <c r="YE31" s="593">
        <v>8390.75</v>
      </c>
      <c r="YF31" s="593">
        <f>'Proy 2021 vs 2019 Sem'!IK30*$YH$4</f>
        <v>9976.4101799999989</v>
      </c>
      <c r="YG31" s="735">
        <v>9943.48</v>
      </c>
      <c r="YH31" s="700">
        <f t="shared" si="802"/>
        <v>1.1850525876709472</v>
      </c>
      <c r="YI31" s="593">
        <v>10671.91</v>
      </c>
      <c r="YJ31" s="593">
        <f>'Proy 2021 vs 2019 Sem'!IK30*$YL$4</f>
        <v>11639.145210000001</v>
      </c>
      <c r="YK31" s="735">
        <v>9549.39</v>
      </c>
      <c r="YL31" s="700">
        <f t="shared" si="803"/>
        <v>0.89481545477801061</v>
      </c>
      <c r="YM31" s="593">
        <v>16113.34</v>
      </c>
      <c r="YN31" s="593">
        <f>'Proy 2021 vs 2019 Sem'!IK30*$YP$4</f>
        <v>13301.88024</v>
      </c>
      <c r="YO31" s="735">
        <v>17473.3</v>
      </c>
      <c r="YP31" s="700">
        <f t="shared" si="804"/>
        <v>1.0843996340920008</v>
      </c>
      <c r="YQ31" s="593">
        <v>17962.79</v>
      </c>
      <c r="YR31" s="593">
        <f>'Proy 2021 vs 2019 Sem'!IK30*$YT$4</f>
        <v>18290.085329999998</v>
      </c>
      <c r="YS31" s="735">
        <v>15521.25</v>
      </c>
      <c r="YT31" s="700">
        <f t="shared" si="805"/>
        <v>0.86407790771923509</v>
      </c>
      <c r="YU31" s="579">
        <f t="shared" si="806"/>
        <v>87512.37</v>
      </c>
      <c r="YV31" s="574">
        <f t="shared" si="807"/>
        <v>83136.751499999998</v>
      </c>
      <c r="YW31" s="794">
        <f t="shared" si="808"/>
        <v>85755.61</v>
      </c>
      <c r="YX31" s="786">
        <f t="shared" si="809"/>
        <v>0.97992558080646208</v>
      </c>
      <c r="YY31" s="593">
        <v>13235.2</v>
      </c>
      <c r="YZ31" s="593">
        <f>'Proy 2021 vs 2019 Sem'!IP30*$ZB$4</f>
        <v>10284.819719999998</v>
      </c>
      <c r="ZA31" s="735">
        <v>12339.29</v>
      </c>
      <c r="ZB31" s="700">
        <f t="shared" si="810"/>
        <v>0.932308540860735</v>
      </c>
      <c r="ZC31" s="593">
        <v>7979.96</v>
      </c>
      <c r="ZD31" s="593">
        <f>'Proy 2021 vs 2019 Sem'!IP30*$ZF$4</f>
        <v>10284.819719999998</v>
      </c>
      <c r="ZE31" s="735">
        <v>8298.35</v>
      </c>
      <c r="ZF31" s="700">
        <f t="shared" si="811"/>
        <v>1.0398986962340664</v>
      </c>
      <c r="ZG31" s="593">
        <v>11450.15</v>
      </c>
      <c r="ZH31" s="593">
        <f>'Proy 2021 vs 2019 Sem'!IP30*$ZJ$4</f>
        <v>10284.819719999998</v>
      </c>
      <c r="ZI31" s="735">
        <v>9772.69</v>
      </c>
      <c r="ZJ31" s="700">
        <f t="shared" si="812"/>
        <v>0.85349886246031714</v>
      </c>
      <c r="ZK31" s="593">
        <v>10825.74</v>
      </c>
      <c r="ZL31" s="593">
        <f>'Proy 2021 vs 2019 Sem'!IP30*$ZN$4</f>
        <v>10284.819719999998</v>
      </c>
      <c r="ZM31" s="735">
        <v>11734.39</v>
      </c>
      <c r="ZN31" s="700">
        <f t="shared" si="813"/>
        <v>1.0839342160443535</v>
      </c>
      <c r="ZO31" s="593">
        <v>17843.25</v>
      </c>
      <c r="ZP31" s="593">
        <f>'Proy 2021 vs 2019 Sem'!IP30*$ZR$4</f>
        <v>11998.956340000001</v>
      </c>
      <c r="ZQ31" s="735">
        <v>14318.02</v>
      </c>
      <c r="ZR31" s="700">
        <f t="shared" si="814"/>
        <v>0.80243341319546613</v>
      </c>
      <c r="ZS31" s="593">
        <v>11074.74</v>
      </c>
      <c r="ZT31" s="593">
        <f>'Proy 2021 vs 2019 Sem'!IP30*$ZV$4</f>
        <v>13713.092959999998</v>
      </c>
      <c r="ZU31" s="735">
        <v>19062.61</v>
      </c>
      <c r="ZV31" s="700">
        <f t="shared" si="815"/>
        <v>1.7212693029362316</v>
      </c>
      <c r="ZW31" s="593">
        <v>15046.91</v>
      </c>
      <c r="ZX31" s="593">
        <f>'Proy 2021 vs 2019 Sem'!IP30*$ZZ$4</f>
        <v>18855.502819999998</v>
      </c>
      <c r="ZY31" s="735">
        <v>25282.43</v>
      </c>
      <c r="ZZ31" s="700">
        <f t="shared" si="816"/>
        <v>1.6802406607070821</v>
      </c>
      <c r="AAA31" s="579">
        <f t="shared" si="817"/>
        <v>87455.95</v>
      </c>
      <c r="AAB31" s="574">
        <f t="shared" si="818"/>
        <v>85706.830999999976</v>
      </c>
      <c r="AAC31" s="785">
        <f t="shared" si="819"/>
        <v>100807.78</v>
      </c>
      <c r="AAD31" s="786">
        <f t="shared" si="820"/>
        <v>1.1526692008948505</v>
      </c>
      <c r="AAE31" s="593">
        <v>11822.8</v>
      </c>
      <c r="AAF31" s="593">
        <f>'Proy 2021 vs 2019 Sem'!IY30*$AAH$4</f>
        <v>9030.9379439999993</v>
      </c>
      <c r="AAG31" s="735">
        <v>13121.46</v>
      </c>
      <c r="AAH31" s="700">
        <f t="shared" si="821"/>
        <v>1.1098436918496464</v>
      </c>
      <c r="AAI31" s="593">
        <v>7873.82</v>
      </c>
      <c r="AAJ31" s="593">
        <f>'Proy 2021 vs 2019 Sem'!IY30*$AAL$4</f>
        <v>9030.9379439999993</v>
      </c>
      <c r="AAK31" s="735">
        <v>13067.65</v>
      </c>
      <c r="AAL31" s="700">
        <f t="shared" si="822"/>
        <v>1.6596328084716185</v>
      </c>
      <c r="AAM31" s="593">
        <v>11175.73</v>
      </c>
      <c r="AAN31" s="593">
        <f>'Proy 2021 vs 2019 Sem'!IY30*$AAP$4</f>
        <v>9030.9379439999993</v>
      </c>
      <c r="AAO31" s="735">
        <v>6745.44</v>
      </c>
      <c r="AAP31" s="700">
        <f t="shared" si="823"/>
        <v>0.60357936349571795</v>
      </c>
      <c r="AAQ31" s="593">
        <v>8872.69</v>
      </c>
      <c r="AAR31" s="593">
        <f>'Proy 2021 vs 2019 Sem'!IY30*$AAT$4</f>
        <v>9030.9379439999993</v>
      </c>
      <c r="AAS31" s="735">
        <v>8920.5</v>
      </c>
      <c r="AAT31" s="700">
        <f t="shared" si="824"/>
        <v>1.0053884447670323</v>
      </c>
      <c r="AAU31" s="593">
        <v>10185.89</v>
      </c>
      <c r="AAV31" s="593">
        <f>'Proy 2021 vs 2019 Sem'!IY30*$AAX$4</f>
        <v>10536.094268000001</v>
      </c>
      <c r="AAW31" s="735">
        <v>11686.46</v>
      </c>
      <c r="AAX31" s="700">
        <f t="shared" si="825"/>
        <v>1.1473184964691352</v>
      </c>
      <c r="AAY31" s="593">
        <v>12052.72</v>
      </c>
      <c r="AAZ31" s="593">
        <f>'Proy 2021 vs 2019 Sem'!IY30*$ABB$4</f>
        <v>12041.250592</v>
      </c>
      <c r="ABA31" s="735">
        <v>14370.69</v>
      </c>
      <c r="ABB31" s="700">
        <f t="shared" si="826"/>
        <v>1.1923192441208292</v>
      </c>
      <c r="ABC31" s="593">
        <v>14810.04</v>
      </c>
      <c r="ABD31" s="593">
        <f>'Proy 2021 vs 2019 Sem'!IY30*$ABF$4</f>
        <v>16556.719563999999</v>
      </c>
      <c r="ABE31" s="735">
        <v>18528.27</v>
      </c>
      <c r="ABF31" s="700">
        <f t="shared" si="827"/>
        <v>1.2510614421027897</v>
      </c>
      <c r="ABG31" s="579">
        <f t="shared" si="828"/>
        <v>76793.69</v>
      </c>
      <c r="ABH31" s="574">
        <f t="shared" si="829"/>
        <v>75257.816200000001</v>
      </c>
      <c r="ABI31" s="759">
        <f t="shared" si="830"/>
        <v>86440.47</v>
      </c>
      <c r="ABJ31" s="761">
        <f t="shared" si="831"/>
        <v>1.1256194356593621</v>
      </c>
      <c r="ABK31" s="593">
        <v>13020.31</v>
      </c>
      <c r="ABL31" s="593">
        <f>'Proy 2021 vs 2019 Sem'!JD30*$ABN$4</f>
        <v>12202.643856000001</v>
      </c>
      <c r="ABM31" s="735">
        <v>15346.84</v>
      </c>
      <c r="ABN31" s="700">
        <f t="shared" si="832"/>
        <v>1.1786846856948876</v>
      </c>
      <c r="ABO31" s="593">
        <v>7277.22</v>
      </c>
      <c r="ABP31" s="593">
        <f>'Proy 2021 vs 2019 Sem'!JD30*$ABR$4</f>
        <v>12202.643856000001</v>
      </c>
      <c r="ABQ31" s="735">
        <v>14723.27</v>
      </c>
      <c r="ABR31" s="700">
        <f t="shared" si="833"/>
        <v>2.023199793327672</v>
      </c>
      <c r="ABS31" s="593">
        <v>8433.64</v>
      </c>
      <c r="ABT31" s="593">
        <f>'Proy 2021 vs 2019 Sem'!JD30*$ABV$4</f>
        <v>12202.643856000001</v>
      </c>
      <c r="ABU31" s="735">
        <v>10093.299999999999</v>
      </c>
      <c r="ABV31" s="700">
        <f t="shared" si="834"/>
        <v>1.1967904724413183</v>
      </c>
      <c r="ABW31" s="593">
        <v>7961.98</v>
      </c>
      <c r="ABX31" s="593">
        <f>'Proy 2021 vs 2019 Sem'!JD30*$ABZ$4</f>
        <v>12202.643856000001</v>
      </c>
      <c r="ABY31" s="735">
        <v>13900.28</v>
      </c>
      <c r="ABZ31" s="700">
        <f t="shared" si="835"/>
        <v>1.7458320668979326</v>
      </c>
      <c r="ACA31" s="593">
        <v>10606.32</v>
      </c>
      <c r="ACB31" s="593">
        <f>'Proy 2021 vs 2019 Sem'!JD30*$ACD$4</f>
        <v>14236.417832000003</v>
      </c>
      <c r="ACC31" s="735">
        <v>9184.4500000000007</v>
      </c>
      <c r="ACD31" s="700">
        <f t="shared" si="836"/>
        <v>0.86594125012256851</v>
      </c>
      <c r="ACE31" s="593">
        <v>18449.57</v>
      </c>
      <c r="ACF31" s="593">
        <f>'Proy 2021 vs 2019 Sem'!JD30*$ACH$4</f>
        <v>16270.191808000003</v>
      </c>
      <c r="ACG31" s="735">
        <v>18256.349999999999</v>
      </c>
      <c r="ACH31" s="700">
        <f t="shared" si="837"/>
        <v>0.98952712719049818</v>
      </c>
      <c r="ACI31" s="593">
        <v>34932.839999999997</v>
      </c>
      <c r="ACJ31" s="593">
        <f>'Proy 2021 vs 2019 Sem'!JD30*$ACL$4</f>
        <v>22371.513736000004</v>
      </c>
      <c r="ACK31" s="735">
        <v>27051.56</v>
      </c>
      <c r="ACL31" s="700">
        <f t="shared" si="838"/>
        <v>0.77438765356610006</v>
      </c>
      <c r="ACM31" s="579">
        <f t="shared" si="839"/>
        <v>100681.87999999999</v>
      </c>
      <c r="ACN31" s="574">
        <f t="shared" si="840"/>
        <v>101688.69880000001</v>
      </c>
      <c r="ACO31" s="765">
        <f t="shared" si="841"/>
        <v>108556.04999999999</v>
      </c>
      <c r="ACP31" s="761">
        <f t="shared" si="842"/>
        <v>1.0782084124770017</v>
      </c>
      <c r="ACQ31" s="593">
        <v>25634.38</v>
      </c>
      <c r="ACR31" s="593">
        <f>'Proy 2021 vs 2019 Sem'!JI30*$ACT$4</f>
        <v>12806.596788000001</v>
      </c>
      <c r="ACS31" s="735">
        <v>27368.62</v>
      </c>
      <c r="ACT31" s="700">
        <f t="shared" si="843"/>
        <v>1.0676528942771386</v>
      </c>
      <c r="ACU31" s="593">
        <v>19774.61</v>
      </c>
      <c r="ACV31" s="593">
        <f>'Proy 2021 vs 2019 Sem'!JI30*$ACX$4</f>
        <v>12806.596788000001</v>
      </c>
      <c r="ACW31" s="735">
        <v>11572.77</v>
      </c>
      <c r="ACX31" s="700">
        <f t="shared" si="844"/>
        <v>0.58523379222143956</v>
      </c>
      <c r="ACY31" s="593">
        <v>7244.81</v>
      </c>
      <c r="ACZ31" s="593">
        <f>'Proy 2021 vs 2019 Sem'!JI30*$ADB$4</f>
        <v>12806.596788000001</v>
      </c>
      <c r="ADA31" s="735">
        <v>12052.22</v>
      </c>
      <c r="ADB31" s="700">
        <f t="shared" si="845"/>
        <v>1.6635660562526828</v>
      </c>
      <c r="ADC31" s="593">
        <v>7394.01</v>
      </c>
      <c r="ADD31" s="593">
        <f>'Proy 2021 vs 2019 Sem'!JI30*$ADF$4</f>
        <v>12806.596788000001</v>
      </c>
      <c r="ADE31" s="735">
        <v>10147.6</v>
      </c>
      <c r="ADF31" s="700">
        <f t="shared" si="846"/>
        <v>1.3724082061019662</v>
      </c>
      <c r="ADG31" s="593">
        <v>10584.26</v>
      </c>
      <c r="ADH31" s="593">
        <f>'Proy 2021 vs 2019 Sem'!JI30*$ADJ$4</f>
        <v>14941.029586000002</v>
      </c>
      <c r="ADI31" s="735">
        <v>8742.42</v>
      </c>
      <c r="ADJ31" s="700">
        <f t="shared" si="847"/>
        <v>0.82598311077014364</v>
      </c>
      <c r="ADK31" s="593">
        <v>15732.17</v>
      </c>
      <c r="ADL31" s="593">
        <f>'Proy 2021 vs 2019 Sem'!JI30*$ADN$4</f>
        <v>17075.462384000002</v>
      </c>
      <c r="ADM31" s="735">
        <v>17419.46</v>
      </c>
      <c r="ADN31" s="700">
        <f t="shared" si="848"/>
        <v>1.1072509386816949</v>
      </c>
      <c r="ADO31" s="593">
        <v>19300.75</v>
      </c>
      <c r="ADP31" s="593">
        <f>'Proy 2021 vs 2019 Sem'!JI30*$ADR$4</f>
        <v>23478.760778000003</v>
      </c>
      <c r="ADQ31" s="735">
        <v>17033.14</v>
      </c>
      <c r="ADR31" s="700">
        <f t="shared" si="849"/>
        <v>0.88251181948887991</v>
      </c>
      <c r="ADS31" s="579">
        <f t="shared" si="850"/>
        <v>105664.99</v>
      </c>
      <c r="ADT31" s="574">
        <f t="shared" si="851"/>
        <v>106721.63990000001</v>
      </c>
      <c r="ADU31" s="765">
        <f t="shared" si="852"/>
        <v>104336.23</v>
      </c>
      <c r="ADV31" s="761">
        <f t="shared" si="853"/>
        <v>0.9874247846898011</v>
      </c>
      <c r="ADW31" s="593">
        <v>14512.34</v>
      </c>
      <c r="ADX31" s="593">
        <f>'Proy 2021 vs 2019 Sem'!JN30*$ADZ$4</f>
        <v>14386.420607999999</v>
      </c>
      <c r="ADY31" s="735">
        <v>12116.71</v>
      </c>
      <c r="ADZ31" s="700">
        <f t="shared" si="854"/>
        <v>0.83492462276931212</v>
      </c>
      <c r="AEA31" s="593">
        <v>11006.91</v>
      </c>
      <c r="AEB31" s="593">
        <f>'Proy 2021 vs 2019 Sem'!JN30*$AED$4</f>
        <v>14386.420607999999</v>
      </c>
      <c r="AEC31" s="735">
        <v>8431</v>
      </c>
      <c r="AED31" s="700">
        <f t="shared" si="855"/>
        <v>0.7659733749072174</v>
      </c>
      <c r="AEE31" s="593">
        <v>13312.53</v>
      </c>
      <c r="AEF31" s="593">
        <f>'Proy 2021 vs 2019 Sem'!JN30*$AEH$4</f>
        <v>14386.420607999999</v>
      </c>
      <c r="AEG31" s="735">
        <v>8415</v>
      </c>
      <c r="AEH31" s="700">
        <f t="shared" si="856"/>
        <v>0.63211125158027814</v>
      </c>
      <c r="AEI31" s="593">
        <v>14002.1</v>
      </c>
      <c r="AEJ31" s="593">
        <f>'Proy 2021 vs 2019 Sem'!JN30*$AEL$4</f>
        <v>14386.420607999999</v>
      </c>
      <c r="AEK31" s="735">
        <v>12522</v>
      </c>
      <c r="AEL31" s="700">
        <f t="shared" si="857"/>
        <v>0.89429442726448172</v>
      </c>
      <c r="AEM31" s="593">
        <v>16803.29</v>
      </c>
      <c r="AEN31" s="593">
        <f>'Proy 2021 vs 2019 Sem'!JN30*$AEP$4</f>
        <v>16784.157375999999</v>
      </c>
      <c r="AEO31" s="735">
        <v>10611</v>
      </c>
      <c r="AEP31" s="700">
        <f t="shared" si="858"/>
        <v>0.63148347734282984</v>
      </c>
      <c r="AEQ31" s="593">
        <v>20742.849999999999</v>
      </c>
      <c r="AER31" s="593">
        <f>'Proy 2021 vs 2019 Sem'!JN30*$AET$4</f>
        <v>19181.894143999998</v>
      </c>
      <c r="AES31" s="735">
        <v>15453</v>
      </c>
      <c r="AET31" s="700">
        <f t="shared" si="859"/>
        <v>0.74497959537864855</v>
      </c>
      <c r="AEU31" s="593">
        <v>28319.82</v>
      </c>
      <c r="AEV31" s="593">
        <f>'Proy 2021 vs 2019 Sem'!JN30*$AEX$4</f>
        <v>26375.104447999998</v>
      </c>
      <c r="AEW31" s="735">
        <v>24450</v>
      </c>
      <c r="AEX31" s="700">
        <f t="shared" si="860"/>
        <v>0.8633529450399049</v>
      </c>
      <c r="AEY31" s="579">
        <f t="shared" si="861"/>
        <v>118699.84</v>
      </c>
      <c r="AEZ31" s="574">
        <f t="shared" si="862"/>
        <v>119886.83839999998</v>
      </c>
      <c r="AFA31" s="770">
        <f t="shared" si="863"/>
        <v>91998.709999999992</v>
      </c>
      <c r="AFB31" s="761">
        <f t="shared" si="864"/>
        <v>0.77505336148726056</v>
      </c>
      <c r="AFC31" s="593">
        <v>21184.29</v>
      </c>
      <c r="AFD31" s="593">
        <f>'Proy 2021 vs 2019 Sem'!JX30*$AFF$4</f>
        <v>14644.932479999999</v>
      </c>
      <c r="AFE31" s="735">
        <v>13128</v>
      </c>
      <c r="AFF31" s="700">
        <f t="shared" si="865"/>
        <v>0.61970450744395966</v>
      </c>
      <c r="AFG31" s="593">
        <v>15296.5</v>
      </c>
      <c r="AFH31" s="593">
        <f>'Proy 2021 vs 2019 Sem'!JX30*$AFJ$4</f>
        <v>14644.932479999999</v>
      </c>
      <c r="AFI31" s="735">
        <v>11554.76</v>
      </c>
      <c r="AFJ31" s="700">
        <f t="shared" si="866"/>
        <v>0.75538587258523193</v>
      </c>
      <c r="AFK31" s="593">
        <v>12404.86</v>
      </c>
      <c r="AFL31" s="593">
        <f>'Proy 2021 vs 2019 Sem'!JX30*$AFN$4</f>
        <v>14644.932479999999</v>
      </c>
      <c r="AFM31" s="735">
        <v>12594.43</v>
      </c>
      <c r="AFN31" s="700">
        <f t="shared" si="867"/>
        <v>1.0152819137015654</v>
      </c>
      <c r="AFO31" s="593">
        <v>14210.86</v>
      </c>
      <c r="AFP31" s="593">
        <f>'Proy 2021 vs 2019 Sem'!JX30*$AFR$4</f>
        <v>14644.932479999999</v>
      </c>
      <c r="AFQ31" s="735">
        <v>14516.41</v>
      </c>
      <c r="AFR31" s="700">
        <f t="shared" si="868"/>
        <v>1.0215011617875343</v>
      </c>
      <c r="AFS31" s="593">
        <v>18616.27</v>
      </c>
      <c r="AFT31" s="593">
        <f>'Proy 2021 vs 2019 Sem'!JX30*$AFV$4</f>
        <v>17085.754560000001</v>
      </c>
      <c r="AFU31" s="735">
        <v>17573.61</v>
      </c>
      <c r="AFV31" s="700">
        <f t="shared" si="869"/>
        <v>0.9439920026944173</v>
      </c>
      <c r="AFW31" s="593">
        <v>20326.099999999999</v>
      </c>
      <c r="AFX31" s="593">
        <f>'Proy 2021 vs 2019 Sem'!JX30*$AFZ$4</f>
        <v>19526.576640000003</v>
      </c>
      <c r="AFY31" s="735">
        <v>25490.99</v>
      </c>
      <c r="AFZ31" s="700">
        <f t="shared" si="870"/>
        <v>1.2541013770472449</v>
      </c>
      <c r="AGA31" s="593">
        <v>26326.45</v>
      </c>
      <c r="AGB31" s="593">
        <f>'Proy 2021 vs 2019 Sem'!JX30*$AGD$4</f>
        <v>26849.042880000001</v>
      </c>
      <c r="AGC31" s="735">
        <v>36618.03</v>
      </c>
      <c r="AGD31" s="700">
        <f t="shared" si="871"/>
        <v>1.3909216776283926</v>
      </c>
      <c r="AGE31" s="579">
        <f t="shared" si="872"/>
        <v>128365.33</v>
      </c>
      <c r="AGF31" s="574">
        <f t="shared" si="873"/>
        <v>122041.10399999999</v>
      </c>
      <c r="AGG31" s="729">
        <f t="shared" si="874"/>
        <v>131476.23000000001</v>
      </c>
      <c r="AGH31" s="711">
        <f t="shared" si="875"/>
        <v>1.0242347369028695</v>
      </c>
      <c r="AGI31" s="593">
        <v>19194.23</v>
      </c>
      <c r="AGJ31" s="593">
        <f>'Proy 2021 vs 2019 Sem'!KC30*$AGL$4</f>
        <v>18238.175999999999</v>
      </c>
      <c r="AGK31" s="735">
        <v>20320.16</v>
      </c>
      <c r="AGL31" s="700">
        <f t="shared" si="876"/>
        <v>1.0586598159967866</v>
      </c>
      <c r="AGM31" s="593">
        <v>13108.67</v>
      </c>
      <c r="AGN31" s="593">
        <f>'Proy 2021 vs 2019 Sem'!KC30*$AGP$4</f>
        <v>18238.175999999999</v>
      </c>
      <c r="AGO31" s="735">
        <v>13663.6</v>
      </c>
      <c r="AGP31" s="700">
        <f t="shared" si="877"/>
        <v>1.042333051331676</v>
      </c>
      <c r="AGQ31" s="593">
        <v>16478.86</v>
      </c>
      <c r="AGR31" s="593">
        <f>'Proy 2021 vs 2019 Sem'!KC30*$AGT$4</f>
        <v>18238.175999999999</v>
      </c>
      <c r="AGS31" s="735">
        <v>13380.47</v>
      </c>
      <c r="AGT31" s="700">
        <f t="shared" si="878"/>
        <v>0.81197789167454537</v>
      </c>
      <c r="AGU31" s="593">
        <v>15184.64</v>
      </c>
      <c r="AGV31" s="593">
        <f>'Proy 2021 vs 2019 Sem'!KC30*$AGX$4</f>
        <v>18238.175999999999</v>
      </c>
      <c r="AGW31" s="735">
        <v>17940.54</v>
      </c>
      <c r="AGX31" s="700">
        <f t="shared" si="879"/>
        <v>1.1814926135884685</v>
      </c>
      <c r="AGY31" s="593">
        <v>23949.78</v>
      </c>
      <c r="AGZ31" s="593">
        <f>'Proy 2021 vs 2019 Sem'!KC30*$AHB$4</f>
        <v>21277.871999999999</v>
      </c>
      <c r="AHA31" s="735">
        <v>22455.89</v>
      </c>
      <c r="AHB31" s="700">
        <f t="shared" si="880"/>
        <v>0.93762406168240375</v>
      </c>
      <c r="AHC31" s="593">
        <v>29618.240000000002</v>
      </c>
      <c r="AHD31" s="593">
        <f>'Proy 2021 vs 2019 Sem'!KC30*$AHF$4</f>
        <v>24317.567999999999</v>
      </c>
      <c r="AHE31" s="735">
        <v>23731.39</v>
      </c>
      <c r="AHF31" s="700">
        <f t="shared" si="881"/>
        <v>0.80124241008243557</v>
      </c>
      <c r="AHG31" s="593">
        <v>42050.6</v>
      </c>
      <c r="AHH31" s="593">
        <f>'Proy 2021 vs 2019 Sem'!KC30*$AHJ$4</f>
        <v>33436.655999999995</v>
      </c>
      <c r="AHI31" s="735">
        <v>32228.89</v>
      </c>
      <c r="AHJ31" s="700">
        <f t="shared" si="882"/>
        <v>0.76643115674924978</v>
      </c>
      <c r="AHK31" s="579">
        <f t="shared" si="883"/>
        <v>159585.01999999999</v>
      </c>
      <c r="AHL31" s="574">
        <f t="shared" si="884"/>
        <v>151984.79999999999</v>
      </c>
      <c r="AHM31" s="730">
        <f t="shared" si="885"/>
        <v>143720.94</v>
      </c>
      <c r="AHN31" s="711">
        <f t="shared" si="886"/>
        <v>0.90059167207548685</v>
      </c>
      <c r="AHO31" s="593">
        <v>31377.67</v>
      </c>
      <c r="AHP31" s="593">
        <f>'Proy 2021 vs 2019 Sem'!KH30*$AHR$4</f>
        <v>27113.239296</v>
      </c>
      <c r="AHQ31" s="735">
        <v>21980.84</v>
      </c>
      <c r="AHR31" s="700">
        <f t="shared" si="887"/>
        <v>0.70052492744043782</v>
      </c>
      <c r="AHS31" s="593">
        <v>25321.53</v>
      </c>
      <c r="AHT31" s="593">
        <f>'Proy 2021 vs 2019 Sem'!KH30*$AHV$4</f>
        <v>27113.239296</v>
      </c>
      <c r="AHU31" s="735">
        <v>19563.099999999999</v>
      </c>
      <c r="AHV31" s="700">
        <f t="shared" si="888"/>
        <v>0.77258759640511454</v>
      </c>
      <c r="AHW31" s="593">
        <v>39146.94</v>
      </c>
      <c r="AHX31" s="593">
        <f>'Proy 2021 vs 2019 Sem'!KH30*$AHZ$4</f>
        <v>27113.239296</v>
      </c>
      <c r="AHY31" s="735">
        <v>19615.91</v>
      </c>
      <c r="AHZ31" s="700">
        <f t="shared" si="889"/>
        <v>0.50108412049575268</v>
      </c>
      <c r="AIA31" s="593">
        <v>32272.07</v>
      </c>
      <c r="AIB31" s="593">
        <f>'Proy 2021 vs 2019 Sem'!KH30*$AID$4</f>
        <v>27113.239296</v>
      </c>
      <c r="AIC31" s="735">
        <v>31925.26</v>
      </c>
      <c r="AID31" s="700">
        <f t="shared" si="890"/>
        <v>0.98925355578368535</v>
      </c>
      <c r="AIE31" s="593">
        <v>34308.449999999997</v>
      </c>
      <c r="AIF31" s="593">
        <f>'Proy 2021 vs 2019 Sem'!KH30*$AIH$4</f>
        <v>31632.112512000003</v>
      </c>
      <c r="AIG31" s="735">
        <v>30286.87</v>
      </c>
      <c r="AIH31" s="700">
        <f t="shared" si="891"/>
        <v>0.88278164708694218</v>
      </c>
      <c r="AII31" s="593">
        <v>37849.97</v>
      </c>
      <c r="AIJ31" s="593">
        <f>'Proy 2021 vs 2019 Sem'!KH30*$AIL$4</f>
        <v>36150.985728</v>
      </c>
      <c r="AIK31" s="735">
        <v>41221.35</v>
      </c>
      <c r="AIL31" s="700">
        <f t="shared" si="892"/>
        <v>1.0890721974152158</v>
      </c>
      <c r="AIM31" s="593">
        <v>34662.410000000003</v>
      </c>
      <c r="AIN31" s="593">
        <f>'Proy 2021 vs 2019 Sem'!KH30*$AIP$4</f>
        <v>49707.605376</v>
      </c>
      <c r="AIO31" s="735">
        <v>34935.870000000003</v>
      </c>
      <c r="AIP31" s="700">
        <f t="shared" si="893"/>
        <v>1.0078892379381583</v>
      </c>
      <c r="AIQ31" s="579">
        <f t="shared" si="894"/>
        <v>234939.03999999998</v>
      </c>
      <c r="AIR31" s="574">
        <f t="shared" si="895"/>
        <v>225943.66079999998</v>
      </c>
      <c r="AIS31" s="730">
        <f t="shared" si="896"/>
        <v>199529.19999999998</v>
      </c>
      <c r="AIT31" s="711">
        <f t="shared" si="897"/>
        <v>0.8492807325679036</v>
      </c>
      <c r="AIU31" s="593">
        <f>'Proy 2021 vs 2019 Sem'!KL30*$AIX$4</f>
        <v>23887.285199999998</v>
      </c>
      <c r="AIV31" s="593">
        <f>'Proy 2021 vs 2019 Sem'!KM30*$AIX$4</f>
        <v>38697.402023999995</v>
      </c>
      <c r="AIW31" s="735">
        <v>28488.01</v>
      </c>
      <c r="AIX31" s="700">
        <f t="shared" si="898"/>
        <v>1.1926014095565787</v>
      </c>
      <c r="AIY31" s="593">
        <f>'Proy 2021 vs 2019 Sem'!KL30*$AJB$4</f>
        <v>23887.285199999998</v>
      </c>
      <c r="AIZ31" s="593">
        <f>'Proy 2021 vs 2019 Sem'!KM30*$AJB$4</f>
        <v>38697.402023999995</v>
      </c>
      <c r="AJA31" s="735">
        <v>33617.730000000003</v>
      </c>
      <c r="AJB31" s="700">
        <f t="shared" si="899"/>
        <v>1.4073482908807069</v>
      </c>
      <c r="AJC31" s="593">
        <f>'Proy 2021 vs 2019 Sem'!KL30*$AJF$4</f>
        <v>23887.285199999998</v>
      </c>
      <c r="AJD31" s="593">
        <f>'Proy 2021 vs 2019 Sem'!KM30*$AJF$4</f>
        <v>38697.402023999995</v>
      </c>
      <c r="AJE31" s="735">
        <v>47790.81</v>
      </c>
      <c r="AJF31" s="700">
        <f t="shared" si="900"/>
        <v>2.0006798428479433</v>
      </c>
      <c r="AJG31" s="593">
        <f>'Proy 2021 vs 2019 Sem'!KL30*$AJJ$4</f>
        <v>23887.285199999998</v>
      </c>
      <c r="AJH31" s="593">
        <f>'Proy 2021 vs 2019 Sem'!KM30*$AJJ$4</f>
        <v>38697.402023999995</v>
      </c>
      <c r="AJI31" s="735">
        <v>45686.33</v>
      </c>
      <c r="AJJ31" s="700">
        <f t="shared" si="901"/>
        <v>1.9125794169360026</v>
      </c>
      <c r="AJK31" s="593">
        <f>'Proy 2021 vs 2019 Sem'!KL30*$AJN$4</f>
        <v>27868.499400000001</v>
      </c>
      <c r="AJL31" s="593">
        <f>'Proy 2021 vs 2019 Sem'!KM30*$AJN$4</f>
        <v>45146.969028</v>
      </c>
      <c r="AJM31" s="735">
        <v>52347.27</v>
      </c>
      <c r="AJN31" s="700">
        <f t="shared" si="902"/>
        <v>1.8783670139053126</v>
      </c>
      <c r="AJO31" s="593">
        <f>'Proy 2021 vs 2019 Sem'!KL30*$AJR$4</f>
        <v>31849.713599999999</v>
      </c>
      <c r="AJP31" s="593">
        <f>'Proy 2021 vs 2019 Sem'!KM30*$AJR$4</f>
        <v>51596.536031999996</v>
      </c>
      <c r="AJQ31" s="735">
        <v>37172.410000000003</v>
      </c>
      <c r="AJR31" s="700">
        <f t="shared" si="903"/>
        <v>1.1671191291340217</v>
      </c>
      <c r="AJS31" s="593">
        <f>'Proy 2021 vs 2019 Sem'!KL30*$AJV$4</f>
        <v>43793.356200000002</v>
      </c>
      <c r="AJT31" s="593">
        <f>'Proy 2021 vs 2019 Sem'!KM30*$AJV$4</f>
        <v>70945.237043999994</v>
      </c>
      <c r="AJU31" s="699">
        <v>0</v>
      </c>
      <c r="AJV31" s="700">
        <f t="shared" si="904"/>
        <v>0</v>
      </c>
      <c r="AJW31" s="579">
        <f t="shared" si="905"/>
        <v>199060.71</v>
      </c>
      <c r="AJX31" s="574">
        <f t="shared" si="906"/>
        <v>322478.35019999999</v>
      </c>
      <c r="AJY31" s="710">
        <f t="shared" si="907"/>
        <v>245102.56</v>
      </c>
      <c r="AJZ31" s="711">
        <f t="shared" si="908"/>
        <v>1.2312955178347349</v>
      </c>
      <c r="AKA31" s="593">
        <f>'Proy 2021 vs 2019 Sem'!KQ30*$AKD$4</f>
        <v>11654.427599999999</v>
      </c>
      <c r="AKB31" s="593">
        <f>'Proy 2021 vs 2019 Sem'!KR30*$AKD$4</f>
        <v>12353.693255999999</v>
      </c>
      <c r="AKC31" s="735">
        <v>17555.3</v>
      </c>
      <c r="AKD31" s="700">
        <f t="shared" si="909"/>
        <v>1.5063202245985896</v>
      </c>
      <c r="AKE31" s="593">
        <f>'Proy 2021 vs 2019 Sem'!KQ30*$AKH$4</f>
        <v>11654.427599999999</v>
      </c>
      <c r="AKF31" s="593">
        <f>'Proy 2021 vs 2019 Sem'!KR30*$AKH$4</f>
        <v>12353.693255999999</v>
      </c>
      <c r="AKG31" s="735">
        <v>24052.39</v>
      </c>
      <c r="AKH31" s="700">
        <f t="shared" si="910"/>
        <v>2.0637984829044718</v>
      </c>
      <c r="AKI31" s="593">
        <f>'Proy 2021 vs 2019 Sem'!KQ30*$AKL$4</f>
        <v>11654.427599999999</v>
      </c>
      <c r="AKJ31" s="593">
        <f>'Proy 2021 vs 2019 Sem'!KR30*$AKL$4</f>
        <v>12353.693255999999</v>
      </c>
      <c r="AKK31" s="735">
        <v>24986.19</v>
      </c>
      <c r="AKL31" s="700">
        <f t="shared" si="911"/>
        <v>2.1439225380747144</v>
      </c>
      <c r="AKM31" s="593">
        <f>'Proy 2021 vs 2019 Sem'!KQ30*$AKP$4</f>
        <v>11654.427599999999</v>
      </c>
      <c r="AKN31" s="593">
        <f>'Proy 2021 vs 2019 Sem'!KR30*$AKP$4</f>
        <v>12353.693255999999</v>
      </c>
      <c r="AKO31" s="735">
        <v>24042.29</v>
      </c>
      <c r="AKP31" s="700">
        <f t="shared" si="912"/>
        <v>2.0629318594763077</v>
      </c>
      <c r="AKQ31" s="593">
        <f>'Proy 2021 vs 2019 Sem'!KQ30*$AKT$4</f>
        <v>13596.832200000001</v>
      </c>
      <c r="AKR31" s="593">
        <f>'Proy 2021 vs 2019 Sem'!KR30*$AKT$4</f>
        <v>14412.642132000001</v>
      </c>
      <c r="AKS31" s="735">
        <v>22767.34</v>
      </c>
      <c r="AKT31" s="700">
        <f t="shared" si="913"/>
        <v>1.6744591435054996</v>
      </c>
      <c r="AKU31" s="593">
        <f>'Proy 2021 vs 2019 Sem'!KQ30*$AKX$4</f>
        <v>15539.236799999999</v>
      </c>
      <c r="AKV31" s="593">
        <f>'Proy 2021 vs 2019 Sem'!KR30*$AKX$4</f>
        <v>16471.591007999999</v>
      </c>
      <c r="AKW31" s="735">
        <v>10230.709999999999</v>
      </c>
      <c r="AKX31" s="700">
        <f t="shared" si="914"/>
        <v>0.65837918114485516</v>
      </c>
      <c r="AKY31" s="593">
        <f>'Proy 2021 vs 2019 Sem'!KQ30*$ALB$4</f>
        <v>21366.4506</v>
      </c>
      <c r="AKZ31" s="593">
        <f>'Proy 2021 vs 2019 Sem'!KR30*$ALB$4</f>
        <v>22648.437635999999</v>
      </c>
      <c r="ALA31" s="699">
        <v>0</v>
      </c>
      <c r="ALB31" s="700">
        <f>ALA31/AKY31</f>
        <v>0</v>
      </c>
      <c r="ALC31" s="579">
        <f t="shared" si="915"/>
        <v>97120.23</v>
      </c>
      <c r="ALD31" s="574">
        <f t="shared" si="916"/>
        <v>102947.44379999999</v>
      </c>
      <c r="ALE31" s="710">
        <f t="shared" si="917"/>
        <v>123634.22</v>
      </c>
      <c r="ALF31" s="711">
        <f t="shared" si="918"/>
        <v>1.2730017216804368</v>
      </c>
    </row>
    <row r="32" spans="2:994" ht="19.5" customHeight="1">
      <c r="B32" s="568" t="s">
        <v>231</v>
      </c>
      <c r="C32" s="574">
        <f>'Proy 2021 vs 2019 Sem'!DX31*$F$4</f>
        <v>4644.2748000000001</v>
      </c>
      <c r="D32" s="576">
        <f>'Proy 2021 vs 2019 Sem'!$DY$31*F4</f>
        <v>2436.7355193137691</v>
      </c>
      <c r="E32" s="735">
        <v>4334.32</v>
      </c>
      <c r="F32" s="700">
        <f t="shared" si="580"/>
        <v>0.93326088284009368</v>
      </c>
      <c r="G32" s="574">
        <f>'Proy 2021 vs 2019 Sem'!DX31*$J$4</f>
        <v>4644.2748000000001</v>
      </c>
      <c r="H32" s="574">
        <f>'Proy 2021 vs 2019 Sem'!$DY$31*J4</f>
        <v>2436.7355193137691</v>
      </c>
      <c r="I32" s="735">
        <v>1573.64</v>
      </c>
      <c r="J32" s="700">
        <f t="shared" si="581"/>
        <v>0.33883438594115922</v>
      </c>
      <c r="K32" s="574">
        <f>'Proy 2021 vs 2019 Sem'!DX31*'Vtas Diarias 2021'!$N$4</f>
        <v>4644.2748000000001</v>
      </c>
      <c r="L32" s="574">
        <f>'Proy 2021 vs 2019 Sem'!$DY$31*N4</f>
        <v>2436.7355193137691</v>
      </c>
      <c r="M32" s="735">
        <v>908.32</v>
      </c>
      <c r="N32" s="700">
        <f t="shared" si="582"/>
        <v>0.19557843562572999</v>
      </c>
      <c r="O32" s="574">
        <f>'Proy 2021 vs 2019 Sem'!DX31*$R$4</f>
        <v>4644.2748000000001</v>
      </c>
      <c r="P32" s="574">
        <f>'Proy 2021 vs 2019 Sem'!$DY$31*R4</f>
        <v>2436.7355193137691</v>
      </c>
      <c r="Q32" s="735">
        <v>2850.47</v>
      </c>
      <c r="R32" s="700">
        <f t="shared" si="583"/>
        <v>0.61375997819939498</v>
      </c>
      <c r="S32" s="574">
        <f>'Proy 2021 vs 2019 Sem'!DX31*$V$4</f>
        <v>5418.3206000000009</v>
      </c>
      <c r="T32" s="574">
        <f>'Proy 2021 vs 2019 Sem'!$DY$31*V4</f>
        <v>2842.8581058660643</v>
      </c>
      <c r="U32" s="735">
        <v>2591.3000000000002</v>
      </c>
      <c r="V32" s="700">
        <f t="shared" si="584"/>
        <v>0.47824781722956738</v>
      </c>
      <c r="W32" s="574">
        <f>'Proy 2021 vs 2019 Sem'!DX31*$Z$4</f>
        <v>6192.3663999999999</v>
      </c>
      <c r="X32" s="574">
        <f>'Proy 2021 vs 2019 Sem'!$DY$31*Z4</f>
        <v>3248.980692418359</v>
      </c>
      <c r="Y32" s="735">
        <v>2257.36</v>
      </c>
      <c r="Z32" s="700">
        <f t="shared" si="585"/>
        <v>0.36453915259277941</v>
      </c>
      <c r="AA32" s="574">
        <f>'Proy 2021 vs 2019 Sem'!DX31*$AD$4</f>
        <v>8514.5038000000004</v>
      </c>
      <c r="AB32" s="574">
        <f>'Proy 2021 vs 2019 Sem'!$DY$31*AD4</f>
        <v>4467.3484520752436</v>
      </c>
      <c r="AC32" s="735">
        <v>3304.28</v>
      </c>
      <c r="AD32" s="700">
        <f t="shared" si="586"/>
        <v>0.38807663694976563</v>
      </c>
      <c r="AE32" s="579">
        <f t="shared" si="587"/>
        <v>38702.29</v>
      </c>
      <c r="AF32" s="574">
        <f t="shared" si="588"/>
        <v>20306.129327614744</v>
      </c>
      <c r="AG32" s="729">
        <f t="shared" si="589"/>
        <v>17819.689999999999</v>
      </c>
      <c r="AH32" s="711">
        <f t="shared" si="590"/>
        <v>0.46042986086869792</v>
      </c>
      <c r="AI32" s="593">
        <f>'Proy 2021 vs 2019 Sem'!EC31*$AL$4</f>
        <v>4144.2695999999996</v>
      </c>
      <c r="AJ32" s="611">
        <f>'Proy 2021 vs 2019 Sem'!ED31*$AL$4</f>
        <v>1782.035928</v>
      </c>
      <c r="AK32" s="735">
        <v>4743.59</v>
      </c>
      <c r="AL32" s="700">
        <f t="shared" si="591"/>
        <v>1.144614240347684</v>
      </c>
      <c r="AM32" s="593">
        <f>'Proy 2021 vs 2019 Sem'!EC31*$AP$4</f>
        <v>4144.2695999999996</v>
      </c>
      <c r="AN32" s="593">
        <f>'Proy 2021 vs 2019 Sem'!ED31*$AP$4</f>
        <v>1782.035928</v>
      </c>
      <c r="AO32" s="735">
        <v>2046.59</v>
      </c>
      <c r="AP32" s="700">
        <f t="shared" si="592"/>
        <v>0.49383611529520188</v>
      </c>
      <c r="AQ32" s="593">
        <f>'Proy 2021 vs 2019 Sem'!EC31*$AT$4</f>
        <v>4144.2695999999996</v>
      </c>
      <c r="AR32" s="593">
        <f>'Proy 2021 vs 2019 Sem'!ED31*$AT$4</f>
        <v>1782.035928</v>
      </c>
      <c r="AS32" s="735">
        <v>775.91</v>
      </c>
      <c r="AT32" s="700">
        <f t="shared" si="593"/>
        <v>0.18722478865757189</v>
      </c>
      <c r="AU32" s="593">
        <f>'Proy 2021 vs 2019 Sem'!EC31*$AX$4</f>
        <v>4144.2695999999996</v>
      </c>
      <c r="AV32" s="593">
        <f>'Proy 2021 vs 2019 Sem'!ED31*$AX$4</f>
        <v>1782.035928</v>
      </c>
      <c r="AW32" s="735">
        <v>2178.21</v>
      </c>
      <c r="AX32" s="700">
        <f t="shared" si="594"/>
        <v>0.52559563209883842</v>
      </c>
      <c r="AY32" s="593">
        <f>'Proy 2021 vs 2019 Sem'!EC31*$BB$4</f>
        <v>4834.9812000000011</v>
      </c>
      <c r="AZ32" s="593">
        <f>'Proy 2021 vs 2019 Sem'!ED31*$BB$4</f>
        <v>2079.0419160000001</v>
      </c>
      <c r="BA32" s="735">
        <v>2899.67</v>
      </c>
      <c r="BB32" s="700">
        <f t="shared" si="595"/>
        <v>0.59972725436864149</v>
      </c>
      <c r="BC32" s="593">
        <f>'Proy 2021 vs 2019 Sem'!EC31*$BF$4</f>
        <v>5525.6928000000007</v>
      </c>
      <c r="BD32" s="593">
        <f>'Proy 2021 vs 2019 Sem'!ED31*$BF$4</f>
        <v>2376.047904</v>
      </c>
      <c r="BE32" s="735">
        <v>2350.4499999999998</v>
      </c>
      <c r="BF32" s="700">
        <f t="shared" si="596"/>
        <v>0.42536747609277148</v>
      </c>
      <c r="BG32" s="593">
        <f>'Proy 2021 vs 2019 Sem'!EC31*$BJ$4</f>
        <v>7597.8276000000005</v>
      </c>
      <c r="BH32" s="593">
        <f>'Proy 2021 vs 2019 Sem'!ED31*$BJ$4</f>
        <v>3267.0658680000001</v>
      </c>
      <c r="BI32" s="735">
        <v>3996.3</v>
      </c>
      <c r="BJ32" s="700">
        <f t="shared" si="597"/>
        <v>0.52597929439725644</v>
      </c>
      <c r="BK32" s="579">
        <f t="shared" si="598"/>
        <v>34535.58</v>
      </c>
      <c r="BL32" s="574">
        <f t="shared" si="599"/>
        <v>14850.299399999998</v>
      </c>
      <c r="BM32" s="730">
        <f t="shared" si="600"/>
        <v>18990.719999999998</v>
      </c>
      <c r="BN32" s="711">
        <f t="shared" si="601"/>
        <v>0.54988854972176515</v>
      </c>
      <c r="BO32" s="593">
        <f>'Proy 2021 vs 2019 Sem'!EH31*$BR$4</f>
        <v>4232.1467999999995</v>
      </c>
      <c r="BP32" s="593">
        <f>'Proy 2021 vs 2019 Sem'!EI31*$BR$4</f>
        <v>2116.0733999999998</v>
      </c>
      <c r="BQ32" s="735">
        <v>2297.4499999999998</v>
      </c>
      <c r="BR32" s="700">
        <f t="shared" si="602"/>
        <v>0.54285687821603923</v>
      </c>
      <c r="BS32" s="593">
        <f>'Proy 2021 vs 2019 Sem'!EH31*$BV$4</f>
        <v>4232.1467999999995</v>
      </c>
      <c r="BT32" s="593">
        <f>'Proy 2021 vs 2019 Sem'!EI31*$BV$4</f>
        <v>2116.0733999999998</v>
      </c>
      <c r="BU32" s="735">
        <v>1749.72</v>
      </c>
      <c r="BV32" s="700">
        <f t="shared" si="603"/>
        <v>0.41343556419167693</v>
      </c>
      <c r="BW32" s="593">
        <f>'Proy 2021 vs 2019 Sem'!EH31*$BZ$4</f>
        <v>4232.1467999999995</v>
      </c>
      <c r="BX32" s="593">
        <f>'Proy 2021 vs 2019 Sem'!EI31*$BZ$4</f>
        <v>2116.0733999999998</v>
      </c>
      <c r="BY32" s="735">
        <v>1471.81</v>
      </c>
      <c r="BZ32" s="700">
        <f t="shared" si="604"/>
        <v>0.34776912747922639</v>
      </c>
      <c r="CA32" s="593">
        <f>'Proy 2021 vs 2019 Sem'!EH31*$CD$4</f>
        <v>4232.1467999999995</v>
      </c>
      <c r="CB32" s="593">
        <f>'Proy 2021 vs 2019 Sem'!EI31*$CD$4</f>
        <v>2116.0733999999998</v>
      </c>
      <c r="CC32" s="735">
        <v>3830.88</v>
      </c>
      <c r="CD32" s="700">
        <f t="shared" si="605"/>
        <v>0.90518599213051887</v>
      </c>
      <c r="CE32" s="593">
        <f>'Proy 2021 vs 2019 Sem'!EH31*$CH$4</f>
        <v>4937.5046000000002</v>
      </c>
      <c r="CF32" s="593">
        <f>'Proy 2021 vs 2019 Sem'!EI31*$CH$4</f>
        <v>2468.7523000000001</v>
      </c>
      <c r="CG32" s="735">
        <v>4334.22</v>
      </c>
      <c r="CH32" s="700">
        <f t="shared" si="606"/>
        <v>0.87781589104747371</v>
      </c>
      <c r="CI32" s="593">
        <f>'Proy 2021 vs 2019 Sem'!EH31*$CL$4</f>
        <v>5642.8624</v>
      </c>
      <c r="CJ32" s="593">
        <f>'Proy 2021 vs 2019 Sem'!EI31*$CL$4</f>
        <v>2821.4312</v>
      </c>
      <c r="CK32" s="735">
        <v>3617.6</v>
      </c>
      <c r="CL32" s="700">
        <f t="shared" si="607"/>
        <v>0.64109307361455414</v>
      </c>
      <c r="CM32" s="593">
        <f>'Proy 2021 vs 2019 Sem'!EH31*$CP$4</f>
        <v>7758.9358000000002</v>
      </c>
      <c r="CN32" s="593">
        <f>'Proy 2021 vs 2019 Sem'!EI31*$CP$4</f>
        <v>3879.4679000000001</v>
      </c>
      <c r="CO32" s="735">
        <v>3850.11</v>
      </c>
      <c r="CP32" s="700">
        <f t="shared" si="608"/>
        <v>0.49621624656309182</v>
      </c>
      <c r="CQ32" s="579">
        <f t="shared" si="609"/>
        <v>35267.89</v>
      </c>
      <c r="CR32" s="574">
        <f t="shared" si="610"/>
        <v>17633.945</v>
      </c>
      <c r="CS32" s="730">
        <f t="shared" si="611"/>
        <v>21151.79</v>
      </c>
      <c r="CT32" s="711">
        <f t="shared" si="612"/>
        <v>0.59974639821095055</v>
      </c>
      <c r="CU32" s="593">
        <f>'Proy 2021 vs 2019 Sem'!EM31*$CX$4</f>
        <v>4080.6455999999994</v>
      </c>
      <c r="CV32" s="593">
        <f>'Proy 2021 vs 2019 Sem'!EN31*$CX$4</f>
        <v>2040.3227999999997</v>
      </c>
      <c r="CW32" s="735">
        <v>2808.85</v>
      </c>
      <c r="CX32" s="700">
        <f t="shared" si="613"/>
        <v>0.68833470860591284</v>
      </c>
      <c r="CY32" s="593">
        <f>'Proy 2021 vs 2019 Sem'!EM31*$DB$4</f>
        <v>4080.6455999999994</v>
      </c>
      <c r="CZ32" s="593">
        <f>'Proy 2021 vs 2019 Sem'!EN31*$DB$4</f>
        <v>2040.3227999999997</v>
      </c>
      <c r="DA32" s="735">
        <v>920.83</v>
      </c>
      <c r="DB32" s="700">
        <f t="shared" si="614"/>
        <v>0.22565792040357541</v>
      </c>
      <c r="DC32" s="593">
        <f>'Proy 2021 vs 2019 Sem'!EM31*$DF$4</f>
        <v>4080.6455999999994</v>
      </c>
      <c r="DD32" s="593">
        <f>'Proy 2021 vs 2019 Sem'!EN31*$DF$4</f>
        <v>2040.3227999999997</v>
      </c>
      <c r="DE32" s="735">
        <v>1697.2</v>
      </c>
      <c r="DF32" s="700">
        <f t="shared" si="615"/>
        <v>0.41591457979100177</v>
      </c>
      <c r="DG32" s="593">
        <f>'Proy 2021 vs 2019 Sem'!EM31*$DJ$4</f>
        <v>4080.6455999999994</v>
      </c>
      <c r="DH32" s="593">
        <f>'Proy 2021 vs 2019 Sem'!EN31*$DJ$4</f>
        <v>2040.3227999999997</v>
      </c>
      <c r="DI32" s="735">
        <v>2747.51</v>
      </c>
      <c r="DJ32" s="700">
        <f t="shared" si="616"/>
        <v>0.67330277346310119</v>
      </c>
      <c r="DK32" s="593">
        <f>'Proy 2021 vs 2019 Sem'!EM31*$DN$4</f>
        <v>4760.7532000000001</v>
      </c>
      <c r="DL32" s="593">
        <f>'Proy 2021 vs 2019 Sem'!EN31*$DN$4</f>
        <v>2380.3766000000001</v>
      </c>
      <c r="DM32" s="735">
        <v>2221</v>
      </c>
      <c r="DN32" s="700">
        <f t="shared" si="617"/>
        <v>0.46652281828009901</v>
      </c>
      <c r="DO32" s="593">
        <f>'Proy 2021 vs 2019 Sem'!EM31*$DR$4</f>
        <v>5440.8607999999995</v>
      </c>
      <c r="DP32" s="593">
        <f>'Proy 2021 vs 2019 Sem'!EN31*$DR$4</f>
        <v>2720.4303999999997</v>
      </c>
      <c r="DQ32" s="735">
        <v>1646.2</v>
      </c>
      <c r="DR32" s="700">
        <f t="shared" si="618"/>
        <v>0.30256241806443573</v>
      </c>
      <c r="DS32" s="593">
        <f>'Proy 2021 vs 2019 Sem'!EM31*$DV$4</f>
        <v>7481.1835999999994</v>
      </c>
      <c r="DT32" s="593">
        <f>'Proy 2021 vs 2019 Sem'!EN31*$DV$4</f>
        <v>3740.5917999999997</v>
      </c>
      <c r="DU32" s="735">
        <v>4758.6400000000003</v>
      </c>
      <c r="DV32" s="700">
        <f t="shared" si="619"/>
        <v>0.63608116769116596</v>
      </c>
      <c r="DW32" s="579">
        <f t="shared" si="620"/>
        <v>34005.379999999997</v>
      </c>
      <c r="DX32" s="574">
        <f t="shared" si="621"/>
        <v>17002.689999999999</v>
      </c>
      <c r="DY32" s="710">
        <f t="shared" si="622"/>
        <v>16800.23</v>
      </c>
      <c r="DZ32" s="711">
        <f t="shared" si="623"/>
        <v>0.49404623621321098</v>
      </c>
      <c r="EA32" s="593">
        <f>'Proy 2021 vs 2019 Sem'!ER31*$ED$4</f>
        <v>4659.7260000000006</v>
      </c>
      <c r="EB32" s="593">
        <f>'Proy 2021 vs 2019 Sem'!ES31*$ED$4</f>
        <v>2795.8355999999999</v>
      </c>
      <c r="EC32" s="735">
        <v>4575.5200000000004</v>
      </c>
      <c r="ED32" s="700">
        <f t="shared" si="624"/>
        <v>0.98192898037352405</v>
      </c>
      <c r="EE32" s="593">
        <f>'Proy 2021 vs 2019 Sem'!ER31*$EH$4</f>
        <v>4659.7260000000006</v>
      </c>
      <c r="EF32" s="593">
        <f>'Proy 2021 vs 2019 Sem'!ES31*$EH$4</f>
        <v>2795.8355999999999</v>
      </c>
      <c r="EG32" s="735">
        <v>2600.38</v>
      </c>
      <c r="EH32" s="700">
        <f t="shared" si="625"/>
        <v>0.55805427186062007</v>
      </c>
      <c r="EI32" s="593">
        <f>'Proy 2021 vs 2019 Sem'!ER31*$EL$4</f>
        <v>4659.7260000000006</v>
      </c>
      <c r="EJ32" s="593">
        <f>'Proy 2021 vs 2019 Sem'!ES31*$EL$4</f>
        <v>2795.8355999999999</v>
      </c>
      <c r="EK32" s="735">
        <v>1812.67</v>
      </c>
      <c r="EL32" s="700">
        <f t="shared" si="626"/>
        <v>0.38900785153461809</v>
      </c>
      <c r="EM32" s="593">
        <f>'Proy 2021 vs 2019 Sem'!ER31*$EP$4</f>
        <v>4659.7260000000006</v>
      </c>
      <c r="EN32" s="593">
        <f>'Proy 2021 vs 2019 Sem'!ES31*$EP$4</f>
        <v>2795.8355999999999</v>
      </c>
      <c r="EO32" s="735">
        <v>2483.34</v>
      </c>
      <c r="EP32" s="700">
        <f t="shared" si="627"/>
        <v>0.53293691517484076</v>
      </c>
      <c r="EQ32" s="593">
        <f>'Proy 2021 vs 2019 Sem'!ER31*$ET$4</f>
        <v>5436.3470000000007</v>
      </c>
      <c r="ER32" s="593">
        <f>'Proy 2021 vs 2019 Sem'!ES31*$ET$4</f>
        <v>3261.8082000000004</v>
      </c>
      <c r="ES32" s="735">
        <v>2948.96</v>
      </c>
      <c r="ET32" s="700">
        <f t="shared" si="628"/>
        <v>0.54245249613389279</v>
      </c>
      <c r="EU32" s="593">
        <f>'Proy 2021 vs 2019 Sem'!ER31*$EX$4</f>
        <v>6212.9680000000008</v>
      </c>
      <c r="EV32" s="593">
        <f>'Proy 2021 vs 2019 Sem'!ES31*$EX$4</f>
        <v>3727.7808000000005</v>
      </c>
      <c r="EW32" s="735">
        <v>4922.03</v>
      </c>
      <c r="EX32" s="700">
        <f t="shared" si="629"/>
        <v>0.79221879140533147</v>
      </c>
      <c r="EY32" s="593">
        <f>'Proy 2021 vs 2019 Sem'!ER31*$FB$4</f>
        <v>8542.8310000000001</v>
      </c>
      <c r="EZ32" s="593">
        <f>'Proy 2021 vs 2019 Sem'!ES31*$FB$4</f>
        <v>5125.6986000000006</v>
      </c>
      <c r="FA32" s="699">
        <v>5196.54</v>
      </c>
      <c r="FB32" s="700">
        <f t="shared" si="630"/>
        <v>0.60829249694861109</v>
      </c>
      <c r="FC32" s="579">
        <f t="shared" si="631"/>
        <v>38831.050000000003</v>
      </c>
      <c r="FD32" s="574">
        <f t="shared" si="632"/>
        <v>23298.63</v>
      </c>
      <c r="FE32" s="710">
        <f t="shared" si="633"/>
        <v>24539.439999999999</v>
      </c>
      <c r="FF32" s="711">
        <f t="shared" si="634"/>
        <v>0.63195406768552476</v>
      </c>
      <c r="FG32" s="593">
        <f>'Proy 2021 vs 2019 Sem'!FA31*$FJ$4</f>
        <v>4311.5028000000002</v>
      </c>
      <c r="FH32" s="593">
        <f>'Proy 2021 vs 2019 Sem'!FB31*$FJ$4</f>
        <v>3018.0519599999998</v>
      </c>
      <c r="FI32" s="735">
        <v>6307.19</v>
      </c>
      <c r="FJ32" s="700">
        <f t="shared" si="635"/>
        <v>1.4628750791951242</v>
      </c>
      <c r="FK32" s="593">
        <f>'Proy 2021 vs 2019 Sem'!FA31*$FN$4</f>
        <v>4311.5028000000002</v>
      </c>
      <c r="FL32" s="593">
        <f>'Proy 2021 vs 2019 Sem'!FB31*$FN$4</f>
        <v>3018.0519599999998</v>
      </c>
      <c r="FM32" s="735">
        <v>3669.82</v>
      </c>
      <c r="FN32" s="700">
        <f t="shared" si="636"/>
        <v>0.85116957363451096</v>
      </c>
      <c r="FO32" s="593">
        <f>'Proy 2021 vs 2019 Sem'!FA31*$FR$4</f>
        <v>4311.5028000000002</v>
      </c>
      <c r="FP32" s="593">
        <f>'Proy 2021 vs 2019 Sem'!FB31*$FR$4</f>
        <v>3018.0519599999998</v>
      </c>
      <c r="FQ32" s="735">
        <v>2707.4</v>
      </c>
      <c r="FR32" s="700">
        <f t="shared" si="637"/>
        <v>0.62794810199357864</v>
      </c>
      <c r="FS32" s="593">
        <f>'Proy 2021 vs 2019 Sem'!FA31*$FV$4</f>
        <v>4311.5028000000002</v>
      </c>
      <c r="FT32" s="593">
        <f>'Proy 2021 vs 2019 Sem'!FB31*$FV$4</f>
        <v>3018.0519599999998</v>
      </c>
      <c r="FU32" s="735">
        <v>1220.73</v>
      </c>
      <c r="FV32" s="700">
        <f t="shared" si="638"/>
        <v>0.28313329635318801</v>
      </c>
      <c r="FW32" s="593">
        <f>'Proy 2021 vs 2019 Sem'!FA31*$FZ$4</f>
        <v>5030.0866000000005</v>
      </c>
      <c r="FX32" s="593">
        <f>'Proy 2021 vs 2019 Sem'!FB31*$FZ$4</f>
        <v>3521.0606200000007</v>
      </c>
      <c r="FY32" s="735">
        <v>2103.1</v>
      </c>
      <c r="FZ32" s="700">
        <f t="shared" si="639"/>
        <v>0.41810413363459781</v>
      </c>
      <c r="GA32" s="593">
        <f>'Proy 2021 vs 2019 Sem'!FA31*$GD$4</f>
        <v>5748.6704000000009</v>
      </c>
      <c r="GB32" s="593">
        <f>'Proy 2021 vs 2019 Sem'!FB31*$GD$4</f>
        <v>4024.0692800000002</v>
      </c>
      <c r="GC32" s="735">
        <v>1393.87</v>
      </c>
      <c r="GD32" s="700">
        <f t="shared" si="640"/>
        <v>0.24246824100404152</v>
      </c>
      <c r="GE32" s="593">
        <f>'Proy 2021 vs 2019 Sem'!FA31*$GH$4</f>
        <v>7904.421800000001</v>
      </c>
      <c r="GF32" s="593">
        <f>'Proy 2021 vs 2019 Sem'!FB31*$GH$4</f>
        <v>5533.0952600000001</v>
      </c>
      <c r="GG32" s="735">
        <v>2837.85</v>
      </c>
      <c r="GH32" s="700">
        <f t="shared" si="641"/>
        <v>0.3590205674499809</v>
      </c>
      <c r="GI32" s="579">
        <f t="shared" si="642"/>
        <v>35929.19000000001</v>
      </c>
      <c r="GJ32" s="574">
        <f t="shared" si="643"/>
        <v>25150.432999999997</v>
      </c>
      <c r="GK32" s="759">
        <f t="shared" si="644"/>
        <v>20239.96</v>
      </c>
      <c r="GL32" s="761">
        <f t="shared" si="645"/>
        <v>0.56332914824965419</v>
      </c>
      <c r="GM32" s="593">
        <f>'Proy 2021 vs 2019 Sem'!FF31*$GP$4</f>
        <v>4774.6355999999996</v>
      </c>
      <c r="GN32" s="593">
        <f>'Proy 2021 vs 2019 Sem'!FG31*$GP$4</f>
        <v>3628.7230559999998</v>
      </c>
      <c r="GO32" s="735">
        <v>2831.55</v>
      </c>
      <c r="GP32" s="700">
        <f t="shared" si="646"/>
        <v>0.59304002173485248</v>
      </c>
      <c r="GQ32" s="593">
        <f>'Proy 2021 vs 2019 Sem'!FF31*$GT$4</f>
        <v>4774.6355999999996</v>
      </c>
      <c r="GR32" s="593">
        <f>'Proy 2021 vs 2019 Sem'!FG31*$GT$4</f>
        <v>3628.7230559999998</v>
      </c>
      <c r="GS32" s="735">
        <v>2242.12</v>
      </c>
      <c r="GT32" s="700">
        <f t="shared" si="647"/>
        <v>0.46958976303867045</v>
      </c>
      <c r="GU32" s="593">
        <f>'Proy 2021 vs 2019 Sem'!FF31*$GX$4</f>
        <v>4774.6355999999996</v>
      </c>
      <c r="GV32" s="593">
        <f>'Proy 2021 vs 2019 Sem'!FG31*$GX$4</f>
        <v>3628.7230559999998</v>
      </c>
      <c r="GW32" s="735">
        <v>2109.77</v>
      </c>
      <c r="GX32" s="700">
        <f t="shared" si="648"/>
        <v>0.44187037017023878</v>
      </c>
      <c r="GY32" s="593">
        <f>'Proy 2021 vs 2019 Sem'!FF31*$HB$4</f>
        <v>4774.6355999999996</v>
      </c>
      <c r="GZ32" s="593">
        <f>'Proy 2021 vs 2019 Sem'!FG31*$HB$4</f>
        <v>3628.7230559999998</v>
      </c>
      <c r="HA32" s="735">
        <v>1644.07</v>
      </c>
      <c r="HB32" s="700">
        <f t="shared" si="649"/>
        <v>0.34433413096488452</v>
      </c>
      <c r="HC32" s="593">
        <f>'Proy 2021 vs 2019 Sem'!FF31*$HF$4</f>
        <v>5570.4081999999999</v>
      </c>
      <c r="HD32" s="593">
        <f>'Proy 2021 vs 2019 Sem'!FG31*$HF$4</f>
        <v>4233.5102320000005</v>
      </c>
      <c r="HE32" s="735">
        <v>4594.3900000000003</v>
      </c>
      <c r="HF32" s="700">
        <f t="shared" si="650"/>
        <v>0.82478515667846397</v>
      </c>
      <c r="HG32" s="593">
        <f>'Proy 2021 vs 2019 Sem'!FF31*$HJ$4</f>
        <v>6366.1808000000001</v>
      </c>
      <c r="HH32" s="593">
        <f>'Proy 2021 vs 2019 Sem'!FG31*$HJ$4</f>
        <v>4838.2974079999995</v>
      </c>
      <c r="HI32" s="735">
        <v>1744.77</v>
      </c>
      <c r="HJ32" s="700">
        <f t="shared" si="651"/>
        <v>0.27406855928439855</v>
      </c>
      <c r="HK32" s="593">
        <f>'Proy 2021 vs 2019 Sem'!FF31*$HN$4</f>
        <v>8753.498599999999</v>
      </c>
      <c r="HL32" s="593">
        <f>'Proy 2021 vs 2019 Sem'!FG31*$HN$4</f>
        <v>6652.6589359999998</v>
      </c>
      <c r="HM32" s="735">
        <v>3447.59</v>
      </c>
      <c r="HN32" s="700">
        <f t="shared" si="652"/>
        <v>0.39385280760769192</v>
      </c>
      <c r="HO32" s="579">
        <f t="shared" si="653"/>
        <v>39788.629999999997</v>
      </c>
      <c r="HP32" s="574">
        <f t="shared" si="654"/>
        <v>30239.358799999998</v>
      </c>
      <c r="HQ32" s="765">
        <f t="shared" si="655"/>
        <v>18614.260000000002</v>
      </c>
      <c r="HR32" s="761">
        <f t="shared" si="656"/>
        <v>0.46782862340321851</v>
      </c>
      <c r="HS32" s="593">
        <f>'Proy 2021 vs 2019 Sem'!FK31*$CX$4</f>
        <v>3484.7988</v>
      </c>
      <c r="HT32" s="593">
        <f>'Proy 2021 vs 2019 Sem'!FL31*$CX$4</f>
        <v>2648.4470879999999</v>
      </c>
      <c r="HU32" s="735">
        <v>1516.92</v>
      </c>
      <c r="HV32" s="700">
        <f t="shared" si="657"/>
        <v>0.43529629314610646</v>
      </c>
      <c r="HW32" s="593">
        <f>'Proy 2021 vs 2019 Sem'!FK31*$DB$4</f>
        <v>3484.7988</v>
      </c>
      <c r="HX32" s="593">
        <f>'Proy 2021 vs 2019 Sem'!FL31*$DB$4</f>
        <v>2648.4470879999999</v>
      </c>
      <c r="HY32" s="735">
        <v>2879.79</v>
      </c>
      <c r="HZ32" s="700">
        <f t="shared" si="658"/>
        <v>0.82638630385203304</v>
      </c>
      <c r="IA32" s="593">
        <f>'Proy 2021 vs 2019 Sem'!FK31*$DF$4</f>
        <v>3484.7988</v>
      </c>
      <c r="IB32" s="593">
        <f>'Proy 2021 vs 2019 Sem'!FL31*$DF$4</f>
        <v>2648.4470879999999</v>
      </c>
      <c r="IC32" s="735">
        <v>2115.0100000000002</v>
      </c>
      <c r="ID32" s="700">
        <f t="shared" si="659"/>
        <v>0.60692456620451096</v>
      </c>
      <c r="IE32" s="593">
        <f>'Proy 2021 vs 2019 Sem'!FK31*$DJ$4</f>
        <v>3484.7988</v>
      </c>
      <c r="IF32" s="593">
        <f>'Proy 2021 vs 2019 Sem'!FL31*$DJ$4</f>
        <v>2648.4470879999999</v>
      </c>
      <c r="IG32" s="735">
        <v>1827.07</v>
      </c>
      <c r="IH32" s="700">
        <f t="shared" si="660"/>
        <v>0.52429712728321642</v>
      </c>
      <c r="II32" s="593">
        <f>'Proy 2021 vs 2019 Sem'!FK31*$DN$4</f>
        <v>4065.5986000000007</v>
      </c>
      <c r="IJ32" s="593">
        <f>'Proy 2021 vs 2019 Sem'!FL31*$DN$4</f>
        <v>3089.8549360000002</v>
      </c>
      <c r="IK32" s="735">
        <v>664.93</v>
      </c>
      <c r="IL32" s="700">
        <f t="shared" si="661"/>
        <v>0.16355033180107839</v>
      </c>
      <c r="IM32" s="593">
        <f>'Proy 2021 vs 2019 Sem'!FK31*$DR$4</f>
        <v>4646.3984</v>
      </c>
      <c r="IN32" s="593">
        <f>'Proy 2021 vs 2019 Sem'!FL31*$DR$4</f>
        <v>3531.262784</v>
      </c>
      <c r="IO32" s="1410">
        <v>2078.65</v>
      </c>
      <c r="IP32" s="700">
        <f t="shared" si="662"/>
        <v>0.44736800873554022</v>
      </c>
      <c r="IQ32" s="593">
        <f>'Proy 2021 vs 2019 Sem'!FK31*$IT$4</f>
        <v>6388.7978000000003</v>
      </c>
      <c r="IR32" s="593">
        <f>'Proy 2021 vs 2019 Sem'!FL31*$IT$4</f>
        <v>4855.486328</v>
      </c>
      <c r="IS32" s="735">
        <v>2644.16</v>
      </c>
      <c r="IT32" s="700">
        <f t="shared" si="663"/>
        <v>0.41387442250872297</v>
      </c>
      <c r="IU32" s="579">
        <f t="shared" si="664"/>
        <v>29039.989999999998</v>
      </c>
      <c r="IV32" s="574">
        <f t="shared" si="665"/>
        <v>22070.392399999997</v>
      </c>
      <c r="IW32" s="765">
        <f t="shared" si="666"/>
        <v>13726.53</v>
      </c>
      <c r="IX32" s="761">
        <f t="shared" si="667"/>
        <v>0.47267681566006053</v>
      </c>
      <c r="IY32" s="593">
        <f>'Proy 2021 vs 2019 Sem'!FP31*$JB$4</f>
        <v>3965.0183999999999</v>
      </c>
      <c r="IZ32" s="593">
        <f>'Proy 2021 vs 2019 Sem'!FQ31*$JB$4</f>
        <v>2775.5128799999998</v>
      </c>
      <c r="JA32" s="735">
        <v>3863.73</v>
      </c>
      <c r="JB32" s="700">
        <f t="shared" si="668"/>
        <v>0.97445449433475517</v>
      </c>
      <c r="JC32" s="593">
        <f>'Proy 2021 vs 2019 Sem'!FP31*$JF$4</f>
        <v>3965.0183999999999</v>
      </c>
      <c r="JD32" s="593">
        <f>'Proy 2021 vs 2019 Sem'!FQ31*$JF$4</f>
        <v>2775.5128799999998</v>
      </c>
      <c r="JE32" s="735">
        <v>1351.56</v>
      </c>
      <c r="JF32" s="700">
        <f t="shared" si="669"/>
        <v>0.34087105371314291</v>
      </c>
      <c r="JG32" s="593">
        <f>'Proy 2021 vs 2019 Sem'!FP31*$JJ$4</f>
        <v>3965.0183999999999</v>
      </c>
      <c r="JH32" s="593">
        <f>'Proy 2021 vs 2019 Sem'!FQ31*$JJ$4</f>
        <v>2775.5128799999998</v>
      </c>
      <c r="JI32" s="735">
        <v>1862.97</v>
      </c>
      <c r="JJ32" s="700">
        <f t="shared" si="670"/>
        <v>0.46985153965489795</v>
      </c>
      <c r="JK32" s="593">
        <f>'Proy 2021 vs 2019 Sem'!FP31*$JN$4</f>
        <v>3965.0183999999999</v>
      </c>
      <c r="JL32" s="593">
        <f>'Proy 2021 vs 2019 Sem'!FQ31*$JN$4</f>
        <v>2775.5128799999998</v>
      </c>
      <c r="JM32" s="735">
        <v>1071.27</v>
      </c>
      <c r="JN32" s="700">
        <f t="shared" si="671"/>
        <v>0.27018033510260631</v>
      </c>
      <c r="JO32" s="593">
        <f>'Proy 2021 vs 2019 Sem'!FP31*$JR$4</f>
        <v>4625.8548000000001</v>
      </c>
      <c r="JP32" s="593">
        <f>'Proy 2021 vs 2019 Sem'!FQ31*$JR$4</f>
        <v>3238.09836</v>
      </c>
      <c r="JQ32" s="735">
        <v>1545.69</v>
      </c>
      <c r="JR32" s="700">
        <f t="shared" si="672"/>
        <v>0.33414148667182553</v>
      </c>
      <c r="JS32" s="593">
        <f>'Proy 2021 vs 2019 Sem'!FP31*$JV$4</f>
        <v>5286.6912000000002</v>
      </c>
      <c r="JT32" s="593">
        <f>'Proy 2021 vs 2019 Sem'!FQ31*$JV$4</f>
        <v>3700.6838399999997</v>
      </c>
      <c r="JU32" s="735">
        <v>1651.53</v>
      </c>
      <c r="JV32" s="700">
        <f t="shared" si="673"/>
        <v>0.31239388447730781</v>
      </c>
      <c r="JW32" s="593">
        <f>'Proy 2021 vs 2019 Sem'!FP31*$JZ$4</f>
        <v>7269.2003999999997</v>
      </c>
      <c r="JX32" s="593">
        <f>'Proy 2021 vs 2019 Sem'!FQ31*$JZ$4</f>
        <v>5088.4402799999998</v>
      </c>
      <c r="JY32" s="735">
        <v>1401.23</v>
      </c>
      <c r="JZ32" s="700">
        <f t="shared" si="674"/>
        <v>0.19276260426112343</v>
      </c>
      <c r="KA32" s="579">
        <f t="shared" si="675"/>
        <v>33041.82</v>
      </c>
      <c r="KB32" s="574">
        <f t="shared" si="676"/>
        <v>23129.273999999998</v>
      </c>
      <c r="KC32" s="770">
        <f t="shared" si="677"/>
        <v>12747.980000000001</v>
      </c>
      <c r="KD32" s="761">
        <f t="shared" si="678"/>
        <v>0.38581349332452031</v>
      </c>
      <c r="KE32" s="593">
        <f>'Proy 2021 vs 2019 Sem'!FY31*$KH$4</f>
        <v>4329.6167999999998</v>
      </c>
      <c r="KF32" s="593">
        <f>'Proy 2021 vs 2019 Sem'!FZ31*$KH$4</f>
        <v>3333.804936</v>
      </c>
      <c r="KG32" s="735">
        <v>5435.87</v>
      </c>
      <c r="KH32" s="700">
        <f t="shared" si="679"/>
        <v>1.2555083396756961</v>
      </c>
      <c r="KI32" s="593">
        <f>'Proy 2021 vs 2019 Sem'!FY31*$KL$4</f>
        <v>4329.6167999999998</v>
      </c>
      <c r="KJ32" s="593">
        <f>'Proy 2021 vs 2019 Sem'!FZ31*$KL$4</f>
        <v>3333.804936</v>
      </c>
      <c r="KK32" s="735">
        <v>1243.3599999999999</v>
      </c>
      <c r="KL32" s="700">
        <f t="shared" si="680"/>
        <v>0.28717553017625025</v>
      </c>
      <c r="KM32" s="593">
        <f>'Proy 2021 vs 2019 Sem'!FY31*$KP$4</f>
        <v>4329.6167999999998</v>
      </c>
      <c r="KN32" s="593">
        <f>'Proy 2021 vs 2019 Sem'!FZ31*$KP$4</f>
        <v>3333.804936</v>
      </c>
      <c r="KO32" s="735">
        <v>2563.0700000000002</v>
      </c>
      <c r="KP32" s="700">
        <f t="shared" si="681"/>
        <v>0.59198541542983674</v>
      </c>
      <c r="KQ32" s="593">
        <f>'Proy 2021 vs 2019 Sem'!FY31*$KT$4</f>
        <v>4329.6167999999998</v>
      </c>
      <c r="KR32" s="593">
        <f>'Proy 2021 vs 2019 Sem'!FZ31*$KT$4</f>
        <v>3333.804936</v>
      </c>
      <c r="KS32" s="735">
        <v>3006.47</v>
      </c>
      <c r="KT32" s="700">
        <f t="shared" si="682"/>
        <v>0.69439632625224479</v>
      </c>
      <c r="KU32" s="593">
        <f>'Proy 2021 vs 2019 Sem'!FY31*$KX$4</f>
        <v>5051.2196000000004</v>
      </c>
      <c r="KV32" s="593">
        <f>'Proy 2021 vs 2019 Sem'!FZ31*$KX$4</f>
        <v>3889.4390920000005</v>
      </c>
      <c r="KW32" s="735">
        <v>1409.74</v>
      </c>
      <c r="KX32" s="700">
        <f t="shared" si="683"/>
        <v>0.27908903426016163</v>
      </c>
      <c r="KY32" s="593">
        <f>'Proy 2021 vs 2019 Sem'!FY31*$LB$4</f>
        <v>5772.8224</v>
      </c>
      <c r="KZ32" s="593">
        <f>'Proy 2021 vs 2019 Sem'!FZ31*$LB$4</f>
        <v>4445.0732479999997</v>
      </c>
      <c r="LA32" s="735">
        <v>1844.72</v>
      </c>
      <c r="LB32" s="700">
        <f t="shared" si="684"/>
        <v>0.31955252945249102</v>
      </c>
      <c r="LC32" s="593">
        <f>'Proy 2021 vs 2019 Sem'!FY31*$LF$4</f>
        <v>7937.6307999999999</v>
      </c>
      <c r="LD32" s="593">
        <f>'Proy 2021 vs 2019 Sem'!FZ31*$LF$4</f>
        <v>6111.9757159999999</v>
      </c>
      <c r="LE32" s="735">
        <v>2616.9699999999998</v>
      </c>
      <c r="LF32" s="700">
        <f t="shared" si="685"/>
        <v>0.32969157497221963</v>
      </c>
      <c r="LG32" s="579">
        <f t="shared" si="686"/>
        <v>36080.14</v>
      </c>
      <c r="LH32" s="574">
        <f t="shared" si="687"/>
        <v>27781.707800000004</v>
      </c>
      <c r="LI32" s="793">
        <f t="shared" si="688"/>
        <v>18120.199999999997</v>
      </c>
      <c r="LJ32" s="786">
        <f t="shared" si="689"/>
        <v>0.50222088938679277</v>
      </c>
      <c r="LK32" s="593">
        <f>'Proy 2021 vs 2019 Sem'!GD31*$LN$4</f>
        <v>3963.9444000000003</v>
      </c>
      <c r="LL32" s="593">
        <f>'Proy 2021 vs 2019 Sem'!GE31*$LN$4</f>
        <v>2972.9583000000002</v>
      </c>
      <c r="LM32" s="735">
        <v>3709.76</v>
      </c>
      <c r="LN32" s="700">
        <f t="shared" si="690"/>
        <v>0.93587589170019636</v>
      </c>
      <c r="LO32" s="593">
        <f>'Proy 2021 vs 2019 Sem'!GD31*$LR$4</f>
        <v>3963.9444000000003</v>
      </c>
      <c r="LP32" s="593">
        <f>'Proy 2021 vs 2019 Sem'!GE31*$LR$4</f>
        <v>2972.9583000000002</v>
      </c>
      <c r="LQ32" s="735">
        <v>2073.38</v>
      </c>
      <c r="LR32" s="700">
        <f t="shared" si="691"/>
        <v>0.52305980881063818</v>
      </c>
      <c r="LS32" s="593">
        <f>'Proy 2021 vs 2019 Sem'!GD31*$LV$4</f>
        <v>3963.9444000000003</v>
      </c>
      <c r="LT32" s="593">
        <f>'Proy 2021 vs 2019 Sem'!GE31*$LV$4</f>
        <v>2972.9583000000002</v>
      </c>
      <c r="LU32" s="735">
        <v>1064.79</v>
      </c>
      <c r="LV32" s="700">
        <f t="shared" si="692"/>
        <v>0.26861880302861962</v>
      </c>
      <c r="LW32" s="593">
        <f>'Proy 2021 vs 2019 Sem'!GD31*$LZ$4</f>
        <v>3963.9444000000003</v>
      </c>
      <c r="LX32" s="593">
        <f>'Proy 2021 vs 2019 Sem'!GE31*$LZ$4</f>
        <v>2972.9583000000002</v>
      </c>
      <c r="LY32" s="735">
        <v>826.34</v>
      </c>
      <c r="LZ32" s="700">
        <f t="shared" si="693"/>
        <v>0.20846407431950861</v>
      </c>
      <c r="MA32" s="593">
        <f>'Proy 2021 vs 2019 Sem'!GD31*$MD$4</f>
        <v>4624.6018000000004</v>
      </c>
      <c r="MB32" s="593">
        <f>'Proy 2021 vs 2019 Sem'!GE31*$MD$4</f>
        <v>3468.4513500000007</v>
      </c>
      <c r="MC32" s="735">
        <v>2508.4699999999998</v>
      </c>
      <c r="MD32" s="700">
        <f t="shared" si="694"/>
        <v>0.54241859266672421</v>
      </c>
      <c r="ME32" s="593">
        <f>'Proy 2021 vs 2019 Sem'!GD31*$MH$4</f>
        <v>5285.2592000000004</v>
      </c>
      <c r="MF32" s="593">
        <f>'Proy 2021 vs 2019 Sem'!GE31*$MH$4</f>
        <v>3963.9444000000008</v>
      </c>
      <c r="MG32" s="735">
        <v>3362.8</v>
      </c>
      <c r="MH32" s="700">
        <f t="shared" si="695"/>
        <v>0.63626018568777098</v>
      </c>
      <c r="MI32" s="593">
        <f>'Proy 2021 vs 2019 Sem'!GD31*$ML$4</f>
        <v>7267.2314000000006</v>
      </c>
      <c r="MJ32" s="593">
        <f>'Proy 2021 vs 2019 Sem'!GE31*$ML$4</f>
        <v>5450.4235500000004</v>
      </c>
      <c r="MK32" s="735">
        <v>5287.22</v>
      </c>
      <c r="ML32" s="700">
        <f t="shared" si="696"/>
        <v>0.72754254116636496</v>
      </c>
      <c r="MM32" s="579">
        <f t="shared" si="697"/>
        <v>33032.870000000003</v>
      </c>
      <c r="MN32" s="574">
        <f t="shared" si="698"/>
        <v>24774.652500000004</v>
      </c>
      <c r="MO32" s="794">
        <f t="shared" si="699"/>
        <v>18832.760000000002</v>
      </c>
      <c r="MP32" s="786">
        <f t="shared" si="700"/>
        <v>0.57012182108306064</v>
      </c>
      <c r="MQ32" s="593">
        <f>'Proy 2021 vs 2019 Sem'!GI31*$MT$4</f>
        <v>3713.1324</v>
      </c>
      <c r="MR32" s="593">
        <f>'Proy 2021 vs 2019 Sem'!GJ31*$MT$4</f>
        <v>2599.1926799999997</v>
      </c>
      <c r="MS32" s="735">
        <v>4188.43</v>
      </c>
      <c r="MT32" s="700">
        <f t="shared" si="701"/>
        <v>1.1280044848387309</v>
      </c>
      <c r="MU32" s="593">
        <f>'Proy 2021 vs 2019 Sem'!GI31*$MX$4</f>
        <v>3713.1324</v>
      </c>
      <c r="MV32" s="593">
        <f>'Proy 2021 vs 2019 Sem'!GJ31*$MX$4</f>
        <v>2599.1926799999997</v>
      </c>
      <c r="MW32" s="735">
        <v>1341.58</v>
      </c>
      <c r="MX32" s="700">
        <f t="shared" si="702"/>
        <v>0.36130680392651765</v>
      </c>
      <c r="MY32" s="593">
        <f>'Proy 2021 vs 2019 Sem'!GI31*$NB$4</f>
        <v>3713.1324</v>
      </c>
      <c r="MZ32" s="593">
        <f>'Proy 2021 vs 2019 Sem'!GJ31*$NB$4</f>
        <v>2599.1926799999997</v>
      </c>
      <c r="NA32" s="735">
        <v>1666.8</v>
      </c>
      <c r="NB32" s="700">
        <f t="shared" si="703"/>
        <v>0.44889323095508255</v>
      </c>
      <c r="NC32" s="593">
        <f>'Proy 2021 vs 2019 Sem'!GI31*$NF$4</f>
        <v>3713.1324</v>
      </c>
      <c r="ND32" s="593">
        <f>'Proy 2021 vs 2019 Sem'!GJ31*$NF$4</f>
        <v>2599.1926799999997</v>
      </c>
      <c r="NE32" s="735">
        <v>2530.5</v>
      </c>
      <c r="NF32" s="700">
        <f t="shared" si="704"/>
        <v>0.68150007255329759</v>
      </c>
      <c r="NG32" s="593">
        <f>'Proy 2021 vs 2019 Sem'!GI31*$NJ$4</f>
        <v>4331.9878000000008</v>
      </c>
      <c r="NH32" s="593">
        <f>'Proy 2021 vs 2019 Sem'!GJ31*$NJ$4</f>
        <v>3032.3914600000003</v>
      </c>
      <c r="NI32" s="735">
        <v>3580.31</v>
      </c>
      <c r="NJ32" s="700">
        <f t="shared" si="705"/>
        <v>0.82648201363817309</v>
      </c>
      <c r="NK32" s="593">
        <f>'Proy 2021 vs 2019 Sem'!GI31*$NN$4</f>
        <v>4950.8432000000003</v>
      </c>
      <c r="NL32" s="593">
        <f>'Proy 2021 vs 2019 Sem'!GJ31*$NN$4</f>
        <v>3465.59024</v>
      </c>
      <c r="NM32" s="735">
        <v>4182.97</v>
      </c>
      <c r="NN32" s="700">
        <f t="shared" si="706"/>
        <v>0.84490052118798675</v>
      </c>
      <c r="NO32" s="593">
        <f>'Proy 2021 vs 2019 Sem'!GI31*$NR$4</f>
        <v>6807.4094000000005</v>
      </c>
      <c r="NP32" s="593">
        <f>'Proy 2021 vs 2019 Sem'!GJ31*$NR$4</f>
        <v>4765.1865799999996</v>
      </c>
      <c r="NQ32" s="735">
        <v>2588.38</v>
      </c>
      <c r="NR32" s="700">
        <f t="shared" si="707"/>
        <v>0.38022981253338456</v>
      </c>
      <c r="NS32" s="579">
        <f t="shared" si="708"/>
        <v>30942.77</v>
      </c>
      <c r="NT32" s="574">
        <f t="shared" si="709"/>
        <v>21659.938999999998</v>
      </c>
      <c r="NU32" s="794">
        <f t="shared" si="710"/>
        <v>20078.97</v>
      </c>
      <c r="NV32" s="786">
        <f t="shared" si="711"/>
        <v>0.64890667512960221</v>
      </c>
      <c r="NW32" s="593">
        <f>'Proy 2021 vs 2019 Sem'!GN31*$NZ$4</f>
        <v>3275.9735999999998</v>
      </c>
      <c r="NX32" s="593">
        <f>'Proy 2021 vs 2019 Sem'!GO31*$NZ$4</f>
        <v>2325.9412559999996</v>
      </c>
      <c r="NY32" s="735">
        <v>3518.1</v>
      </c>
      <c r="NZ32" s="700">
        <f t="shared" si="712"/>
        <v>1.0739097531188897</v>
      </c>
      <c r="OA32" s="593">
        <f>'Proy 2021 vs 2019 Sem'!GN31*$OD$4</f>
        <v>3275.9735999999998</v>
      </c>
      <c r="OB32" s="593">
        <f>'Proy 2021 vs 2019 Sem'!GO31*$OD$4</f>
        <v>2325.9412559999996</v>
      </c>
      <c r="OC32" s="735">
        <v>2340.71</v>
      </c>
      <c r="OD32" s="700">
        <f t="shared" si="713"/>
        <v>0.71450819994398007</v>
      </c>
      <c r="OE32" s="593">
        <f>'Proy 2021 vs 2019 Sem'!GN31*$OH$4</f>
        <v>3275.9735999999998</v>
      </c>
      <c r="OF32" s="593">
        <f>'Proy 2021 vs 2019 Sem'!GO31*$OH$4</f>
        <v>2325.9412559999996</v>
      </c>
      <c r="OG32" s="735">
        <v>2103.9</v>
      </c>
      <c r="OH32" s="700">
        <f t="shared" si="714"/>
        <v>0.64222129262580141</v>
      </c>
      <c r="OI32" s="593">
        <f>'Proy 2021 vs 2019 Sem'!GN31*$OL$4</f>
        <v>3275.9735999999998</v>
      </c>
      <c r="OJ32" s="593">
        <f>'Proy 2021 vs 2019 Sem'!GO31*$OL$4</f>
        <v>2325.9412559999996</v>
      </c>
      <c r="OK32" s="735">
        <v>2717.56</v>
      </c>
      <c r="OL32" s="700">
        <f t="shared" si="715"/>
        <v>0.82954270449554302</v>
      </c>
      <c r="OM32" s="593">
        <f>'Proy 2021 vs 2019 Sem'!GN31*$OP$4</f>
        <v>3821.9692</v>
      </c>
      <c r="ON32" s="593">
        <f>'Proy 2021 vs 2019 Sem'!GO31*$OP$4</f>
        <v>2713.5981320000001</v>
      </c>
      <c r="OO32" s="735">
        <v>1739.32</v>
      </c>
      <c r="OP32" s="700">
        <f t="shared" si="716"/>
        <v>0.45508477671667263</v>
      </c>
      <c r="OQ32" s="593">
        <f>'Proy 2021 vs 2019 Sem'!GN31*$JV$4</f>
        <v>4367.9647999999997</v>
      </c>
      <c r="OR32" s="593">
        <f>'Proy 2021 vs 2019 Sem'!GO31*$JV$4</f>
        <v>3101.2550080000001</v>
      </c>
      <c r="OS32" s="735">
        <v>1497.73</v>
      </c>
      <c r="OT32" s="700">
        <f t="shared" si="717"/>
        <v>0.34288966797534637</v>
      </c>
      <c r="OU32" s="593">
        <f>'Proy 2021 vs 2019 Sem'!GN31*$OX$4</f>
        <v>6005.9515999999994</v>
      </c>
      <c r="OV32" s="593">
        <f>'Proy 2021 vs 2019 Sem'!GO31*$OX$4</f>
        <v>4264.2256360000001</v>
      </c>
      <c r="OW32" s="735">
        <v>4289.07</v>
      </c>
      <c r="OX32" s="700">
        <f t="shared" si="718"/>
        <v>0.71413662407802292</v>
      </c>
      <c r="OY32" s="579">
        <f t="shared" si="719"/>
        <v>27299.78</v>
      </c>
      <c r="OZ32" s="574">
        <f t="shared" si="720"/>
        <v>19382.843799999999</v>
      </c>
      <c r="PA32" s="785">
        <f t="shared" si="721"/>
        <v>18206.39</v>
      </c>
      <c r="PB32" s="786">
        <f t="shared" si="722"/>
        <v>0.66690610693566033</v>
      </c>
      <c r="PC32" s="593">
        <f>'Proy 2021 vs 2019 Sem'!GW31*$PF$4</f>
        <v>2753.7599999999998</v>
      </c>
      <c r="PD32" s="593">
        <f>'Proy 2021 vs 2019 Sem'!GX31*$PF$4</f>
        <v>1955.1695999999999</v>
      </c>
      <c r="PE32" s="735">
        <v>1904.54</v>
      </c>
      <c r="PF32" s="700">
        <f t="shared" si="723"/>
        <v>0.69161437452791819</v>
      </c>
      <c r="PG32" s="593">
        <f>'Proy 2021 vs 2019 Sem'!GW31*$PJ$4</f>
        <v>2753.7599999999998</v>
      </c>
      <c r="PH32" s="593">
        <f>'Proy 2021 vs 2019 Sem'!GX31*$PJ$4</f>
        <v>1955.1695999999999</v>
      </c>
      <c r="PI32" s="735">
        <v>632.89</v>
      </c>
      <c r="PJ32" s="700">
        <f t="shared" si="724"/>
        <v>0.22982758119807101</v>
      </c>
      <c r="PK32" s="593">
        <f>'Proy 2021 vs 2019 Sem'!GW31*'Vtas Diarias 2021'!$PN$4</f>
        <v>2753.7599999999998</v>
      </c>
      <c r="PL32" s="593">
        <f>'Proy 2021 vs 2019 Sem'!GX31*'Vtas Diarias 2021'!$PN$4</f>
        <v>1955.1695999999999</v>
      </c>
      <c r="PM32" s="735">
        <v>2180.67</v>
      </c>
      <c r="PN32" s="700">
        <f t="shared" si="725"/>
        <v>0.7918881819766429</v>
      </c>
      <c r="PO32" s="593">
        <f>'Proy 2021 vs 2019 Sem'!GW31*$PR$4</f>
        <v>2753.7599999999998</v>
      </c>
      <c r="PP32" s="593">
        <f>'Proy 2021 vs 2019 Sem'!GX31*$PR$4</f>
        <v>1955.1695999999999</v>
      </c>
      <c r="PQ32" s="735">
        <v>3866.32</v>
      </c>
      <c r="PR32" s="700">
        <f t="shared" si="726"/>
        <v>1.4040148742083554</v>
      </c>
      <c r="PS32" s="593">
        <f>'Proy 2021 vs 2019 Sem'!GW31*$PV$4</f>
        <v>3212.7200000000003</v>
      </c>
      <c r="PT32" s="593">
        <f>'Proy 2021 vs 2019 Sem'!GX31*$PV$4</f>
        <v>2281.0312000000004</v>
      </c>
      <c r="PU32" s="735">
        <v>777.84</v>
      </c>
      <c r="PV32" s="700">
        <f t="shared" si="727"/>
        <v>0.24211260240543836</v>
      </c>
      <c r="PW32" s="593">
        <f>'Proy 2021 vs 2019 Sem'!GW31*PZ$4</f>
        <v>3671.6800000000003</v>
      </c>
      <c r="PX32" s="593">
        <f>'Proy 2021 vs 2019 Sem'!GX31*$PZ$4</f>
        <v>2606.8928000000001</v>
      </c>
      <c r="PY32" s="735">
        <v>3149.59</v>
      </c>
      <c r="PZ32" s="700">
        <f t="shared" si="728"/>
        <v>0.85780623583754567</v>
      </c>
      <c r="QA32" s="593">
        <f>'Proy 2021 vs 2019 Sem'!GW31*$QD$4</f>
        <v>5048.5600000000004</v>
      </c>
      <c r="QB32" s="593">
        <f>'Proy 2021 vs 2019 Sem'!GX31*$QD$4</f>
        <v>3584.4776000000002</v>
      </c>
      <c r="QC32" s="735">
        <v>3381.15</v>
      </c>
      <c r="QD32" s="700">
        <f t="shared" si="729"/>
        <v>0.669725624732597</v>
      </c>
      <c r="QE32" s="579">
        <f t="shared" si="730"/>
        <v>22948</v>
      </c>
      <c r="QF32" s="574">
        <f t="shared" si="731"/>
        <v>16293.08</v>
      </c>
      <c r="QG32" s="729">
        <f t="shared" si="732"/>
        <v>15893</v>
      </c>
      <c r="QH32" s="711">
        <f t="shared" si="733"/>
        <v>0.69256580094125852</v>
      </c>
      <c r="QI32" s="578">
        <f>'Proy 2021 vs 2019 Sem'!HB31*$QL$4</f>
        <v>2532.1296000000002</v>
      </c>
      <c r="QJ32" s="611">
        <f>'Proy 2021 vs 2019 Sem'!UG31*$AL$4</f>
        <v>0</v>
      </c>
      <c r="QK32" s="735">
        <v>3445.1</v>
      </c>
      <c r="QL32" s="700">
        <f t="shared" si="734"/>
        <v>1.3605543728883387</v>
      </c>
      <c r="QM32" s="593">
        <f>'Proy 2021 vs 2019 Sem'!HB31*$QP$4</f>
        <v>2532.1296000000002</v>
      </c>
      <c r="QN32" s="593">
        <f>'Proy 2021 vs 2019 Sem'!UG31*$AP$4</f>
        <v>0</v>
      </c>
      <c r="QO32" s="735">
        <v>2023.47</v>
      </c>
      <c r="QP32" s="700">
        <f t="shared" si="735"/>
        <v>0.79911786505714399</v>
      </c>
      <c r="QQ32" s="593">
        <f>'Proy 2021 vs 2019 Sem'!HB31*$QT$4</f>
        <v>2532.1296000000002</v>
      </c>
      <c r="QR32" s="593">
        <f>'Proy 2021 vs 2019 Sem'!HC31*$QT$4</f>
        <v>1797.8120160000001</v>
      </c>
      <c r="QS32" s="735">
        <v>2568.4699999999998</v>
      </c>
      <c r="QT32" s="700">
        <f t="shared" si="736"/>
        <v>1.0143517140670839</v>
      </c>
      <c r="QU32" s="593">
        <f>'Proy 2021 vs 2019 Sem'!HB31*$QX$4</f>
        <v>2532.1296000000002</v>
      </c>
      <c r="QV32" s="593">
        <f>'Proy 2021 vs 2019 Sem'!HC31*$QX$4</f>
        <v>1797.8120160000001</v>
      </c>
      <c r="QW32" s="735">
        <v>2657.09</v>
      </c>
      <c r="QX32" s="700">
        <f t="shared" si="737"/>
        <v>1.049349922689581</v>
      </c>
      <c r="QY32" s="593">
        <f>'Proy 2021 vs 2019 Sem'!HB31*$RB$4</f>
        <v>2954.1512000000007</v>
      </c>
      <c r="QZ32" s="593">
        <f>'Proy 2021 vs 2019 Sem'!HC31*$RB$4</f>
        <v>2097.4473520000006</v>
      </c>
      <c r="RA32" s="735">
        <v>1995.64</v>
      </c>
      <c r="RB32" s="700">
        <f t="shared" si="738"/>
        <v>0.6755375283431666</v>
      </c>
      <c r="RC32" s="593">
        <f>'Proy 2021 vs 2019 Sem'!HB31*$RF$4</f>
        <v>3376.1728000000003</v>
      </c>
      <c r="RD32" s="593">
        <f>'Proy 2021 vs 2019 Sem'!HC31*$RF$4</f>
        <v>2397.0826880000004</v>
      </c>
      <c r="RE32" s="735">
        <v>2932.53</v>
      </c>
      <c r="RF32" s="700">
        <f t="shared" si="739"/>
        <v>0.86859594390429307</v>
      </c>
      <c r="RG32" s="593">
        <f>'Proy 2021 vs 2019 Sem'!HB31*$RJ$4</f>
        <v>4642.2376000000004</v>
      </c>
      <c r="RH32" s="593">
        <f>'Proy 2021 vs 2019 Sem'!HC31*$RJ$4</f>
        <v>3295.9886960000003</v>
      </c>
      <c r="RI32" s="735">
        <v>7312.92</v>
      </c>
      <c r="RJ32" s="700">
        <f t="shared" si="740"/>
        <v>1.5753006696598209</v>
      </c>
      <c r="RK32" s="579">
        <f t="shared" si="741"/>
        <v>21101.08</v>
      </c>
      <c r="RL32" s="574">
        <f t="shared" si="742"/>
        <v>11386.142768000002</v>
      </c>
      <c r="RM32" s="730">
        <f t="shared" si="743"/>
        <v>22935.22</v>
      </c>
      <c r="RN32" s="711">
        <f t="shared" si="744"/>
        <v>1.0869216172821485</v>
      </c>
      <c r="RO32" s="593">
        <f>'Proy 2021 vs 2019 Sem'!HG31*$RR$4</f>
        <v>2477.0616</v>
      </c>
      <c r="RP32" s="593">
        <f>'Proy 2021 vs 2019 Sem'!HH31*$RR$4</f>
        <v>1758.7137359999999</v>
      </c>
      <c r="RQ32" s="735">
        <v>3144.44</v>
      </c>
      <c r="RR32" s="700">
        <f t="shared" si="745"/>
        <v>1.2694234168419549</v>
      </c>
      <c r="RS32" s="593">
        <f>'Proy 2021 vs 2019 Sem'!HG31*$RV$4</f>
        <v>2477.0616</v>
      </c>
      <c r="RT32" s="593">
        <f>'Proy 2021 vs 2019 Sem'!HH31*$RV$4</f>
        <v>1758.7137359999999</v>
      </c>
      <c r="RU32" s="735">
        <v>3093.26</v>
      </c>
      <c r="RV32" s="700">
        <f t="shared" si="746"/>
        <v>1.248761839431042</v>
      </c>
      <c r="RW32" s="593">
        <f>'Proy 2021 vs 2019 Sem'!HG31*$RZ$4</f>
        <v>2477.0616</v>
      </c>
      <c r="RX32" s="593">
        <f>'Proy 2021 vs 2019 Sem'!HH31*$RZ$4</f>
        <v>1758.7137359999999</v>
      </c>
      <c r="RY32" s="735">
        <v>3937</v>
      </c>
      <c r="RZ32" s="700">
        <f t="shared" si="747"/>
        <v>1.5893831626956714</v>
      </c>
      <c r="SA32" s="593">
        <f>'Proy 2021 vs 2019 Sem'!HG31*$SD$4</f>
        <v>2477.0616</v>
      </c>
      <c r="SB32" s="593">
        <f>'Proy 2021 vs 2019 Sem'!HH31*$SD$4</f>
        <v>1758.7137359999999</v>
      </c>
      <c r="SC32" s="735">
        <v>7445.79</v>
      </c>
      <c r="SD32" s="700">
        <f t="shared" si="748"/>
        <v>3.0058961795701808</v>
      </c>
      <c r="SE32" s="593">
        <f>'Proy 2021 vs 2019 Sem'!HG31*$SH$4</f>
        <v>2889.9052000000001</v>
      </c>
      <c r="SF32" s="593">
        <f>'Proy 2021 vs 2019 Sem'!HH31*$SH$4</f>
        <v>2051.8326920000004</v>
      </c>
      <c r="SG32" s="735">
        <v>5786.02</v>
      </c>
      <c r="SH32" s="700">
        <f t="shared" si="749"/>
        <v>2.002148721003028</v>
      </c>
      <c r="SI32" s="593">
        <f>'Proy 2021 vs 2019 Sem'!HG31*$SL$4</f>
        <v>3302.7488000000003</v>
      </c>
      <c r="SJ32" s="593">
        <f>'Proy 2021 vs 2019 Sem'!HH31*$SL$4</f>
        <v>2344.9516480000002</v>
      </c>
      <c r="SK32" s="735">
        <v>2453.5700000000002</v>
      </c>
      <c r="SL32" s="700">
        <f t="shared" si="750"/>
        <v>0.74288725803185518</v>
      </c>
      <c r="SM32" s="593">
        <f>'Proy 2021 vs 2019 Sem'!HG31*$SP$4</f>
        <v>4541.2795999999998</v>
      </c>
      <c r="SN32" s="593">
        <f>'Proy 2021 vs 2019 Sem'!HH31*$SP$4</f>
        <v>3224.3085160000001</v>
      </c>
      <c r="SO32" s="735">
        <v>9857.2199999999993</v>
      </c>
      <c r="SP32" s="700">
        <f t="shared" si="751"/>
        <v>2.1705820535692184</v>
      </c>
      <c r="SQ32" s="579">
        <f t="shared" si="752"/>
        <v>20642.18</v>
      </c>
      <c r="SR32" s="574">
        <f t="shared" si="753"/>
        <v>14655.947800000002</v>
      </c>
      <c r="SS32" s="730">
        <f t="shared" si="754"/>
        <v>35717.300000000003</v>
      </c>
      <c r="ST32" s="711">
        <f t="shared" si="755"/>
        <v>1.730306585835411</v>
      </c>
      <c r="SU32" s="593">
        <f>'Proy 2021 vs 2019 Sem'!HL31*$SX$4</f>
        <v>3125.5751999999998</v>
      </c>
      <c r="SV32" s="593">
        <f>'Proy 2021 vs 2019 Sem'!HM31*$SX$4</f>
        <v>2219.1583919999998</v>
      </c>
      <c r="SW32" s="735">
        <v>3778.37</v>
      </c>
      <c r="SX32" s="700">
        <f t="shared" si="756"/>
        <v>1.2088558931488835</v>
      </c>
      <c r="SY32" s="593">
        <f>'Proy 2021 vs 2019 Sem'!HL31*$TB$4</f>
        <v>3125.5751999999998</v>
      </c>
      <c r="SZ32" s="593">
        <f>'Proy 2021 vs 2019 Sem'!HM31*$TB$4</f>
        <v>2219.1583919999998</v>
      </c>
      <c r="TA32" s="735">
        <v>1178.75</v>
      </c>
      <c r="TB32" s="700">
        <f t="shared" si="757"/>
        <v>0.37713058383621678</v>
      </c>
      <c r="TC32" s="593">
        <f>'Proy 2021 vs 2019 Sem'!HL31*$TF$4</f>
        <v>3125.5751999999998</v>
      </c>
      <c r="TD32" s="593">
        <f>'Proy 2021 vs 2019 Sem'!HM31*$TF$4</f>
        <v>2219.1583919999998</v>
      </c>
      <c r="TE32" s="735">
        <v>1943.67</v>
      </c>
      <c r="TF32" s="700">
        <f t="shared" si="758"/>
        <v>0.62185993797237715</v>
      </c>
      <c r="TG32" s="593">
        <f>'Proy 2021 vs 2019 Sem'!HL31*$TJ$4</f>
        <v>3125.5751999999998</v>
      </c>
      <c r="TH32" s="593">
        <f>'Proy 2021 vs 2019 Sem'!HM31*$TJ$4</f>
        <v>2219.1583919999998</v>
      </c>
      <c r="TI32" s="735">
        <v>2314.1799999999998</v>
      </c>
      <c r="TJ32" s="700">
        <f t="shared" si="759"/>
        <v>0.7404013187716616</v>
      </c>
      <c r="TK32" s="593">
        <f>'Proy 2021 vs 2019 Sem'!HL31*$TN$4</f>
        <v>3646.5044000000003</v>
      </c>
      <c r="TL32" s="593">
        <f>'Proy 2021 vs 2019 Sem'!HM31*$TN$4</f>
        <v>2589.0181240000002</v>
      </c>
      <c r="TM32" s="735">
        <v>1682.77</v>
      </c>
      <c r="TN32" s="700">
        <f t="shared" si="760"/>
        <v>0.46147483052536559</v>
      </c>
      <c r="TO32" s="593">
        <f>'Proy 2021 vs 2019 Sem'!HL31*$TR$4</f>
        <v>4167.4336000000003</v>
      </c>
      <c r="TP32" s="611">
        <f>'Proy 2021 vs 2019 Sem'!HM31*$TR$4</f>
        <v>2958.8778560000001</v>
      </c>
      <c r="TQ32" s="735">
        <v>3391.15</v>
      </c>
      <c r="TR32" s="700">
        <f t="shared" si="761"/>
        <v>0.81372622229661917</v>
      </c>
      <c r="TS32" s="593">
        <f>'Proy 2021 vs 2019 Sem'!HL31*$TV$4</f>
        <v>5730.2212</v>
      </c>
      <c r="TT32" s="593">
        <f>'Proy 2021 vs 2019 Sem'!HM31*$TV$4</f>
        <v>4068.4570520000002</v>
      </c>
      <c r="TU32" s="735">
        <v>4353.1099999999997</v>
      </c>
      <c r="TV32" s="700">
        <f t="shared" si="762"/>
        <v>0.75967573468193506</v>
      </c>
      <c r="TW32" s="579">
        <f t="shared" si="763"/>
        <v>26046.46</v>
      </c>
      <c r="TX32" s="574">
        <f t="shared" si="764"/>
        <v>18492.9866</v>
      </c>
      <c r="TY32" s="710">
        <f t="shared" si="765"/>
        <v>18642</v>
      </c>
      <c r="TZ32" s="711">
        <f t="shared" si="766"/>
        <v>0.71572106151853265</v>
      </c>
      <c r="UA32" s="593">
        <v>7211.26</v>
      </c>
      <c r="UB32" s="593">
        <f>'Proy 2021 vs 2019 Sem'!HR31*$UD$4</f>
        <v>2356.565544</v>
      </c>
      <c r="UC32" s="735">
        <v>4540.0200000000004</v>
      </c>
      <c r="UD32" s="700">
        <f t="shared" si="767"/>
        <v>0.62957374994106441</v>
      </c>
      <c r="UE32" s="593">
        <v>981.03</v>
      </c>
      <c r="UF32" s="593">
        <f>'Proy 2021 vs 2019 Sem'!HR31*$UH$4</f>
        <v>2356.565544</v>
      </c>
      <c r="UG32" s="735">
        <v>936.78</v>
      </c>
      <c r="UH32" s="700">
        <f t="shared" si="768"/>
        <v>0.95489434573866239</v>
      </c>
      <c r="UI32" s="593">
        <v>3900.03</v>
      </c>
      <c r="UJ32" s="593">
        <f>'Proy 2021 vs 2019 Sem'!HR31*$UL$4</f>
        <v>2356.565544</v>
      </c>
      <c r="UK32" s="735">
        <v>2848.73</v>
      </c>
      <c r="UL32" s="700">
        <f t="shared" si="769"/>
        <v>0.73043797098996666</v>
      </c>
      <c r="UM32" s="593">
        <v>2776.62</v>
      </c>
      <c r="UN32" s="593">
        <f>'Proy 2021 vs 2019 Sem'!HR31*$UP$4</f>
        <v>2356.565544</v>
      </c>
      <c r="UO32" s="735">
        <v>3543.53</v>
      </c>
      <c r="UP32" s="700">
        <f t="shared" si="770"/>
        <v>1.2762027212942355</v>
      </c>
      <c r="UQ32" s="593">
        <v>4488.84</v>
      </c>
      <c r="UR32" s="593">
        <f>'Proy 2021 vs 2019 Sem'!HR31*$UT$4</f>
        <v>2749.3264680000002</v>
      </c>
      <c r="US32" s="735">
        <v>2230.2600000000002</v>
      </c>
      <c r="UT32" s="700">
        <f t="shared" si="771"/>
        <v>0.49684551019862594</v>
      </c>
      <c r="UU32" s="593">
        <v>5013.66</v>
      </c>
      <c r="UV32" s="593">
        <f>'Proy 2021 vs 2019 Sem'!HR31*$UX$4</f>
        <v>3142.0873920000004</v>
      </c>
      <c r="UW32" s="735">
        <v>4383.1499999999996</v>
      </c>
      <c r="UX32" s="700">
        <f t="shared" si="772"/>
        <v>0.87424157202522701</v>
      </c>
      <c r="UY32" s="593">
        <v>3287.78</v>
      </c>
      <c r="UZ32" s="593">
        <f>'Proy 2021 vs 2019 Sem'!HR31*$VB$4</f>
        <v>4320.3701639999999</v>
      </c>
      <c r="VA32" s="735">
        <v>5695.84</v>
      </c>
      <c r="VB32" s="700">
        <f t="shared" si="773"/>
        <v>1.7324273521950981</v>
      </c>
      <c r="VC32" s="577">
        <f>UA32+UE32+UI32+UM32+UQ32+UU32+UY32</f>
        <v>27659.22</v>
      </c>
      <c r="VD32" s="574">
        <f t="shared" si="774"/>
        <v>19638.046200000001</v>
      </c>
      <c r="VE32" s="710">
        <f t="shared" si="775"/>
        <v>24178.31</v>
      </c>
      <c r="VF32" s="1532">
        <f t="shared" si="776"/>
        <v>0.87415010256977599</v>
      </c>
      <c r="VG32" s="593">
        <v>3987.49</v>
      </c>
      <c r="VH32" s="593">
        <f>'Proy 2021 vs 2019 Sem'!IA31*$VJ$4</f>
        <v>2025.5468759999999</v>
      </c>
      <c r="VI32" s="735">
        <v>5223.1899999999996</v>
      </c>
      <c r="VJ32" s="700">
        <f t="shared" si="777"/>
        <v>1.3098941940920228</v>
      </c>
      <c r="VK32" s="593">
        <v>1682.89</v>
      </c>
      <c r="VL32" s="593">
        <f>'Proy 2021 vs 2019 Sem'!IA31*$VN$4</f>
        <v>2025.5468759999999</v>
      </c>
      <c r="VM32" s="735">
        <v>2089.69</v>
      </c>
      <c r="VN32" s="700">
        <f t="shared" si="778"/>
        <v>1.2417270290987528</v>
      </c>
      <c r="VO32" s="593">
        <v>2115.2800000000002</v>
      </c>
      <c r="VP32" s="593">
        <f>'Proy 2021 vs 2019 Sem'!IA31*$VR$4</f>
        <v>2025.5468759999999</v>
      </c>
      <c r="VQ32" s="735">
        <v>3007.43</v>
      </c>
      <c r="VR32" s="700">
        <f t="shared" si="779"/>
        <v>1.4217644945350023</v>
      </c>
      <c r="VS32" s="593">
        <v>3537.18</v>
      </c>
      <c r="VT32" s="593">
        <f>'Proy 2021 vs 2019 Sem'!IA31*$VV$4</f>
        <v>2025.5468759999999</v>
      </c>
      <c r="VU32" s="735">
        <v>2839.63</v>
      </c>
      <c r="VV32" s="700">
        <f t="shared" si="780"/>
        <v>0.8027948817984949</v>
      </c>
      <c r="VW32" s="593">
        <v>2533.0500000000002</v>
      </c>
      <c r="VX32" s="593">
        <f>'Proy 2021 vs 2019 Sem'!IA31*$VZ$4</f>
        <v>2363.1380220000001</v>
      </c>
      <c r="VY32" s="735">
        <v>3725.93</v>
      </c>
      <c r="VZ32" s="700">
        <f t="shared" si="781"/>
        <v>1.4709263536053372</v>
      </c>
      <c r="WA32" s="593">
        <v>1321.05</v>
      </c>
      <c r="WB32" s="593">
        <f>'Proy 2021 vs 2019 Sem'!IA31*$WD$4</f>
        <v>2700.7291680000003</v>
      </c>
      <c r="WC32" s="735">
        <v>3624.32</v>
      </c>
      <c r="WD32" s="700">
        <f t="shared" si="782"/>
        <v>2.7435146285151966</v>
      </c>
      <c r="WE32" s="593">
        <v>4224.8500000000004</v>
      </c>
      <c r="WF32" s="593">
        <f>'Proy 2021 vs 2019 Sem'!IA31*$WH$4</f>
        <v>3713.502606</v>
      </c>
      <c r="WG32" s="735">
        <v>6716.61</v>
      </c>
      <c r="WH32" s="1538">
        <f t="shared" si="783"/>
        <v>1.5897866196433008</v>
      </c>
      <c r="WI32" s="574">
        <f t="shared" si="784"/>
        <v>11322.84</v>
      </c>
      <c r="WJ32" s="575">
        <f t="shared" si="785"/>
        <v>16879.5573</v>
      </c>
      <c r="WK32" s="793">
        <f t="shared" si="786"/>
        <v>27226.799999999999</v>
      </c>
      <c r="WL32" s="786">
        <f t="shared" si="787"/>
        <v>2.4045910743241095</v>
      </c>
      <c r="WM32" s="593">
        <v>5068.45</v>
      </c>
      <c r="WN32" s="593">
        <f>'Proy 2021 vs 2019 Sem'!IF31*$WP$4</f>
        <v>1451.4696720000002</v>
      </c>
      <c r="WO32" s="735">
        <v>5404.81</v>
      </c>
      <c r="WP32" s="700">
        <f t="shared" si="788"/>
        <v>1.066363483905336</v>
      </c>
      <c r="WQ32" s="593">
        <v>2608.0100000000002</v>
      </c>
      <c r="WR32" s="593">
        <f>'Proy 2021 vs 2019 Sem'!IF31*$WT$4</f>
        <v>1451.4696720000002</v>
      </c>
      <c r="WS32" s="735">
        <v>4003.55</v>
      </c>
      <c r="WT32" s="700">
        <f t="shared" si="789"/>
        <v>1.5350976414967734</v>
      </c>
      <c r="WU32" s="593">
        <v>1619.63</v>
      </c>
      <c r="WV32" s="593">
        <f>'Proy 2021 vs 2019 Sem'!IF31*$WX$4</f>
        <v>1451.4696720000002</v>
      </c>
      <c r="WW32" s="735">
        <v>654.24</v>
      </c>
      <c r="WX32" s="700">
        <f t="shared" si="790"/>
        <v>0.40394411069194813</v>
      </c>
      <c r="WY32" s="593">
        <v>1878.57</v>
      </c>
      <c r="WZ32" s="593">
        <f>'Proy 2021 vs 2019 Sem'!IF31*$XB$4</f>
        <v>1451.4696720000002</v>
      </c>
      <c r="XA32" s="735">
        <v>5094.6899999999996</v>
      </c>
      <c r="XB32" s="700">
        <f t="shared" si="791"/>
        <v>2.7120043437295389</v>
      </c>
      <c r="XC32" s="593">
        <v>0</v>
      </c>
      <c r="XD32" s="593">
        <f>'Proy 2021 vs 2019 Sem'!IF31*$XF$4</f>
        <v>1693.3812840000003</v>
      </c>
      <c r="XE32" s="735">
        <v>4686.9399999999996</v>
      </c>
      <c r="XF32" s="700" t="e">
        <f t="shared" si="792"/>
        <v>#DIV/0!</v>
      </c>
      <c r="XG32" s="593">
        <v>0</v>
      </c>
      <c r="XH32" s="593">
        <f>'Proy 2021 vs 2019 Sem'!IF31*$XJ$4</f>
        <v>1935.2928960000002</v>
      </c>
      <c r="XI32" s="735">
        <v>2860.48</v>
      </c>
      <c r="XJ32" s="700" t="e">
        <f t="shared" si="793"/>
        <v>#DIV/0!</v>
      </c>
      <c r="XK32" s="593">
        <v>2415.88</v>
      </c>
      <c r="XL32" s="593">
        <f>'Proy 2021 vs 2019 Sem'!IF31*$XN$4</f>
        <v>2661.0277320000005</v>
      </c>
      <c r="XM32" s="735">
        <v>7213.78</v>
      </c>
      <c r="XN32" s="700">
        <f t="shared" si="794"/>
        <v>2.9859844031988341</v>
      </c>
      <c r="XO32" s="579">
        <f t="shared" si="795"/>
        <v>13590.54</v>
      </c>
      <c r="XP32" s="574">
        <f t="shared" si="796"/>
        <v>12095.580600000001</v>
      </c>
      <c r="XQ32" s="794">
        <f t="shared" si="797"/>
        <v>29918.489999999998</v>
      </c>
      <c r="XR32" s="786">
        <f t="shared" si="798"/>
        <v>2.2014202526168933</v>
      </c>
      <c r="XS32" s="593">
        <v>5254.97</v>
      </c>
      <c r="XT32" s="593">
        <f>'Proy 2021 vs 2019 Sem'!IK31*$XV$4</f>
        <v>2575.6055039999997</v>
      </c>
      <c r="XU32" s="735">
        <v>5064.32</v>
      </c>
      <c r="XV32" s="700">
        <f t="shared" si="799"/>
        <v>0.96372005929624704</v>
      </c>
      <c r="XW32" s="593">
        <v>2261.9</v>
      </c>
      <c r="XX32" s="593">
        <f>'Proy 2021 vs 2019 Sem'!IK31*$XZ$4</f>
        <v>2575.6055039999997</v>
      </c>
      <c r="XY32" s="735">
        <v>1476.53</v>
      </c>
      <c r="XZ32" s="700">
        <f t="shared" si="800"/>
        <v>0.65278305849064944</v>
      </c>
      <c r="YA32" s="593">
        <v>2895.29</v>
      </c>
      <c r="YB32" s="593">
        <f>'Proy 2021 vs 2019 Sem'!IK31*$YD$4</f>
        <v>2575.6055039999997</v>
      </c>
      <c r="YC32" s="735">
        <v>2187.64</v>
      </c>
      <c r="YD32" s="700">
        <f t="shared" si="801"/>
        <v>0.75558579624148181</v>
      </c>
      <c r="YE32" s="593">
        <v>2057.5100000000002</v>
      </c>
      <c r="YF32" s="593">
        <f>'Proy 2021 vs 2019 Sem'!IK31*$YH$4</f>
        <v>2575.6055039999997</v>
      </c>
      <c r="YG32" s="735">
        <v>2108.48</v>
      </c>
      <c r="YH32" s="700">
        <f t="shared" si="802"/>
        <v>1.0247726621012776</v>
      </c>
      <c r="YI32" s="593">
        <v>3726.11</v>
      </c>
      <c r="YJ32" s="593">
        <f>'Proy 2021 vs 2019 Sem'!IK31*$YL$4</f>
        <v>3004.8730880000003</v>
      </c>
      <c r="YK32" s="735">
        <v>2950.33</v>
      </c>
      <c r="YL32" s="700">
        <f t="shared" si="803"/>
        <v>0.79179895386877996</v>
      </c>
      <c r="YM32" s="593">
        <v>2032.39</v>
      </c>
      <c r="YN32" s="593">
        <f>'Proy 2021 vs 2019 Sem'!IK31*$YP$4</f>
        <v>3434.140672</v>
      </c>
      <c r="YO32" s="735">
        <v>3464.3</v>
      </c>
      <c r="YP32" s="700">
        <f t="shared" si="804"/>
        <v>1.7045448954186944</v>
      </c>
      <c r="YQ32" s="593">
        <v>5101.59</v>
      </c>
      <c r="YR32" s="593">
        <f>'Proy 2021 vs 2019 Sem'!IK31*$YT$4</f>
        <v>4721.9434240000001</v>
      </c>
      <c r="YS32" s="735">
        <v>6338</v>
      </c>
      <c r="YT32" s="700">
        <f t="shared" si="805"/>
        <v>1.2423577747329753</v>
      </c>
      <c r="YU32" s="579">
        <f t="shared" si="806"/>
        <v>23329.760000000002</v>
      </c>
      <c r="YV32" s="574">
        <f t="shared" si="807"/>
        <v>21463.379199999999</v>
      </c>
      <c r="YW32" s="794">
        <f t="shared" si="808"/>
        <v>23589.599999999999</v>
      </c>
      <c r="YX32" s="786">
        <f t="shared" si="809"/>
        <v>1.0111377056600666</v>
      </c>
      <c r="YY32" s="593">
        <v>3487.03</v>
      </c>
      <c r="YZ32" s="593">
        <f>'Proy 2021 vs 2019 Sem'!IP31*$ZB$4</f>
        <v>2120.0830799999999</v>
      </c>
      <c r="ZA32" s="735">
        <v>5894.88</v>
      </c>
      <c r="ZB32" s="700">
        <f t="shared" si="810"/>
        <v>1.690515997854908</v>
      </c>
      <c r="ZC32" s="593">
        <v>1796.05</v>
      </c>
      <c r="ZD32" s="593">
        <f>'Proy 2021 vs 2019 Sem'!IP31*$ZF$4</f>
        <v>2120.0830799999999</v>
      </c>
      <c r="ZE32" s="735">
        <v>2008.66</v>
      </c>
      <c r="ZF32" s="700">
        <f t="shared" si="811"/>
        <v>1.118376437181593</v>
      </c>
      <c r="ZG32" s="593">
        <v>2283.56</v>
      </c>
      <c r="ZH32" s="593">
        <f>'Proy 2021 vs 2019 Sem'!IP31*$ZJ$4</f>
        <v>2120.0830799999999</v>
      </c>
      <c r="ZI32" s="735">
        <v>2990.53</v>
      </c>
      <c r="ZJ32" s="700">
        <f t="shared" si="812"/>
        <v>1.3095911646727041</v>
      </c>
      <c r="ZK32" s="593">
        <v>3053.02</v>
      </c>
      <c r="ZL32" s="593">
        <f>'Proy 2021 vs 2019 Sem'!IP31*$ZN$4</f>
        <v>2120.0830799999999</v>
      </c>
      <c r="ZM32" s="735">
        <v>3334.18</v>
      </c>
      <c r="ZN32" s="700">
        <f t="shared" si="813"/>
        <v>1.0920924199644941</v>
      </c>
      <c r="ZO32" s="593">
        <v>3224.51</v>
      </c>
      <c r="ZP32" s="593">
        <f>'Proy 2021 vs 2019 Sem'!IP31*$ZR$4</f>
        <v>2473.4302600000001</v>
      </c>
      <c r="ZQ32" s="735">
        <v>3786.51</v>
      </c>
      <c r="ZR32" s="700">
        <f t="shared" si="814"/>
        <v>1.1742900471699576</v>
      </c>
      <c r="ZS32" s="593">
        <v>3161.42</v>
      </c>
      <c r="ZT32" s="593">
        <f>'Proy 2021 vs 2019 Sem'!IP31*$ZV$4</f>
        <v>2826.7774400000003</v>
      </c>
      <c r="ZU32" s="735">
        <v>3336.29</v>
      </c>
      <c r="ZV32" s="700">
        <f t="shared" si="815"/>
        <v>1.0553137514155031</v>
      </c>
      <c r="ZW32" s="593">
        <v>1591.63</v>
      </c>
      <c r="ZX32" s="593">
        <f>'Proy 2021 vs 2019 Sem'!IP31*$ZZ$4</f>
        <v>3886.81898</v>
      </c>
      <c r="ZY32" s="735">
        <v>5949.71</v>
      </c>
      <c r="ZZ32" s="700">
        <f t="shared" si="816"/>
        <v>3.7381238101820142</v>
      </c>
      <c r="AAA32" s="579">
        <f t="shared" si="817"/>
        <v>18597.22</v>
      </c>
      <c r="AAB32" s="574">
        <f t="shared" si="818"/>
        <v>17667.358999999997</v>
      </c>
      <c r="AAC32" s="785">
        <f t="shared" si="819"/>
        <v>27300.760000000002</v>
      </c>
      <c r="AAD32" s="786">
        <f t="shared" si="820"/>
        <v>1.4680022067814438</v>
      </c>
      <c r="AAE32" s="593">
        <v>1780.62</v>
      </c>
      <c r="AAF32" s="593">
        <f>'Proy 2021 vs 2019 Sem'!IY31*$AAH$4</f>
        <v>1696.9843799999999</v>
      </c>
      <c r="AAG32" s="735">
        <v>6297.73</v>
      </c>
      <c r="AAH32" s="700">
        <f t="shared" si="821"/>
        <v>3.5368186362053669</v>
      </c>
      <c r="AAI32" s="593">
        <v>2145.59</v>
      </c>
      <c r="AAJ32" s="593">
        <f>'Proy 2021 vs 2019 Sem'!IY31*$AAL$4</f>
        <v>1696.9843799999999</v>
      </c>
      <c r="AAK32" s="735">
        <v>1894.75</v>
      </c>
      <c r="AAL32" s="700">
        <f t="shared" si="822"/>
        <v>0.88309043200238624</v>
      </c>
      <c r="AAM32" s="593">
        <v>939.79</v>
      </c>
      <c r="AAN32" s="593">
        <f>'Proy 2021 vs 2019 Sem'!IY31*$AAP$4</f>
        <v>1696.9843799999999</v>
      </c>
      <c r="AAO32" s="735">
        <v>2595.31</v>
      </c>
      <c r="AAP32" s="700">
        <f t="shared" si="823"/>
        <v>2.7615850349546176</v>
      </c>
      <c r="AAQ32" s="593">
        <v>902.76</v>
      </c>
      <c r="AAR32" s="593">
        <f>'Proy 2021 vs 2019 Sem'!IY31*$AAT$4</f>
        <v>1696.9843799999999</v>
      </c>
      <c r="AAS32" s="735">
        <v>2729.49</v>
      </c>
      <c r="AAT32" s="700">
        <f t="shared" si="824"/>
        <v>3.023494616509371</v>
      </c>
      <c r="AAU32" s="593">
        <v>3112.46</v>
      </c>
      <c r="AAV32" s="593">
        <f>'Proy 2021 vs 2019 Sem'!IY31*$AAX$4</f>
        <v>1979.8151100000002</v>
      </c>
      <c r="AAW32" s="735">
        <v>1785.61</v>
      </c>
      <c r="AAX32" s="700">
        <f t="shared" si="825"/>
        <v>0.57369733265648393</v>
      </c>
      <c r="AAY32" s="593">
        <v>1339.63</v>
      </c>
      <c r="AAZ32" s="593">
        <f>'Proy 2021 vs 2019 Sem'!IY31*$ABB$4</f>
        <v>2262.6458400000001</v>
      </c>
      <c r="ABA32" s="735">
        <v>4277.46</v>
      </c>
      <c r="ABB32" s="700">
        <f t="shared" si="826"/>
        <v>3.1930159820248871</v>
      </c>
      <c r="ABC32" s="593">
        <v>3247.28</v>
      </c>
      <c r="ABD32" s="593">
        <f>'Proy 2021 vs 2019 Sem'!IY31*$ABF$4</f>
        <v>3111.1380300000001</v>
      </c>
      <c r="ABE32" s="735">
        <v>4613.3599999999997</v>
      </c>
      <c r="ABF32" s="700">
        <f t="shared" si="827"/>
        <v>1.4206843881648639</v>
      </c>
      <c r="ABG32" s="579">
        <f t="shared" si="828"/>
        <v>13468.130000000003</v>
      </c>
      <c r="ABH32" s="574">
        <f t="shared" si="829"/>
        <v>14141.5365</v>
      </c>
      <c r="ABI32" s="759">
        <f t="shared" si="830"/>
        <v>24193.71</v>
      </c>
      <c r="ABJ32" s="761">
        <f t="shared" si="831"/>
        <v>1.7963674244308596</v>
      </c>
      <c r="ABK32" s="593">
        <v>4226.88</v>
      </c>
      <c r="ABL32" s="593">
        <f>'Proy 2021 vs 2019 Sem'!JD31*$ABN$4</f>
        <v>2785.1266800000003</v>
      </c>
      <c r="ABM32" s="735">
        <v>3326.47</v>
      </c>
      <c r="ABN32" s="700">
        <f t="shared" si="832"/>
        <v>0.78697999470058289</v>
      </c>
      <c r="ABO32" s="593">
        <v>1419.85</v>
      </c>
      <c r="ABP32" s="593">
        <f>'Proy 2021 vs 2019 Sem'!JD31*$ABR$4</f>
        <v>2785.1266800000003</v>
      </c>
      <c r="ABQ32" s="735">
        <v>2530.6</v>
      </c>
      <c r="ABR32" s="700">
        <f t="shared" si="833"/>
        <v>1.7823009472831637</v>
      </c>
      <c r="ABS32" s="593">
        <v>2054.38</v>
      </c>
      <c r="ABT32" s="593">
        <f>'Proy 2021 vs 2019 Sem'!JD31*$ABV$4</f>
        <v>2785.1266800000003</v>
      </c>
      <c r="ABU32" s="735">
        <v>2973.66</v>
      </c>
      <c r="ABV32" s="700">
        <f t="shared" si="834"/>
        <v>1.4474732035942717</v>
      </c>
      <c r="ABW32" s="593">
        <v>1234.6099999999999</v>
      </c>
      <c r="ABX32" s="593">
        <f>'Proy 2021 vs 2019 Sem'!JD31*$ABZ$4</f>
        <v>2785.1266800000003</v>
      </c>
      <c r="ABY32" s="735">
        <v>3508.24</v>
      </c>
      <c r="ABZ32" s="700">
        <f t="shared" si="835"/>
        <v>2.841577502207175</v>
      </c>
      <c r="ACA32" s="593">
        <v>1858.66</v>
      </c>
      <c r="ACB32" s="593">
        <f>'Proy 2021 vs 2019 Sem'!JD31*$ACD$4</f>
        <v>3249.3144600000005</v>
      </c>
      <c r="ACC32" s="735">
        <v>3892.37</v>
      </c>
      <c r="ACD32" s="700">
        <f t="shared" si="836"/>
        <v>2.0941807538764485</v>
      </c>
      <c r="ACE32" s="593">
        <v>4110.74</v>
      </c>
      <c r="ACF32" s="593">
        <f>'Proy 2021 vs 2019 Sem'!JD31*$ACH$4</f>
        <v>3713.5022400000007</v>
      </c>
      <c r="ACG32" s="735">
        <v>5689.79</v>
      </c>
      <c r="ACH32" s="700">
        <f t="shared" si="837"/>
        <v>1.3841279185742714</v>
      </c>
      <c r="ACI32" s="593">
        <v>7199.06</v>
      </c>
      <c r="ACJ32" s="593">
        <f>'Proy 2021 vs 2019 Sem'!JD31*$ACL$4</f>
        <v>5106.0655800000004</v>
      </c>
      <c r="ACK32" s="735">
        <v>5559.37</v>
      </c>
      <c r="ACL32" s="700">
        <f t="shared" si="838"/>
        <v>0.77223554186240972</v>
      </c>
      <c r="ACM32" s="579">
        <f t="shared" si="839"/>
        <v>22104.18</v>
      </c>
      <c r="ACN32" s="574">
        <f t="shared" si="840"/>
        <v>23209.389000000003</v>
      </c>
      <c r="ACO32" s="765">
        <f t="shared" si="841"/>
        <v>27480.5</v>
      </c>
      <c r="ACP32" s="761">
        <f t="shared" si="842"/>
        <v>1.243226394283796</v>
      </c>
      <c r="ACQ32" s="593">
        <v>5622.14</v>
      </c>
      <c r="ACR32" s="593">
        <f>'Proy 2021 vs 2019 Sem'!JI31*$ACT$4</f>
        <v>3025.8294600000004</v>
      </c>
      <c r="ACS32" s="735">
        <v>6457.21</v>
      </c>
      <c r="ACT32" s="700">
        <f t="shared" si="843"/>
        <v>1.1485324093672515</v>
      </c>
      <c r="ACU32" s="593">
        <v>6744.22</v>
      </c>
      <c r="ACV32" s="593">
        <f>'Proy 2021 vs 2019 Sem'!JI31*$ACX$4</f>
        <v>3025.8294600000004</v>
      </c>
      <c r="ACW32" s="735">
        <v>6766.83</v>
      </c>
      <c r="ACX32" s="700">
        <f t="shared" si="844"/>
        <v>1.0033525003632739</v>
      </c>
      <c r="ACY32" s="593">
        <v>2494.48</v>
      </c>
      <c r="ACZ32" s="593">
        <f>'Proy 2021 vs 2019 Sem'!JI31*$ADB$4</f>
        <v>3025.8294600000004</v>
      </c>
      <c r="ADA32" s="735">
        <v>1662.55</v>
      </c>
      <c r="ADB32" s="700">
        <f t="shared" si="845"/>
        <v>0.66649161348256947</v>
      </c>
      <c r="ADC32" s="593">
        <v>1934.69</v>
      </c>
      <c r="ADD32" s="593">
        <f>'Proy 2021 vs 2019 Sem'!JI31*$ADF$4</f>
        <v>3025.8294600000004</v>
      </c>
      <c r="ADE32" s="735">
        <v>2927.57</v>
      </c>
      <c r="ADF32" s="700">
        <f t="shared" si="846"/>
        <v>1.5131984969168188</v>
      </c>
      <c r="ADG32" s="593">
        <v>1220.6500000000001</v>
      </c>
      <c r="ADH32" s="593">
        <f>'Proy 2021 vs 2019 Sem'!JI31*$ADJ$4</f>
        <v>3530.1343700000011</v>
      </c>
      <c r="ADI32" s="735">
        <v>3791.25</v>
      </c>
      <c r="ADJ32" s="700">
        <f t="shared" si="847"/>
        <v>3.1059271699504358</v>
      </c>
      <c r="ADK32" s="593">
        <v>1840.02</v>
      </c>
      <c r="ADL32" s="593">
        <f>'Proy 2021 vs 2019 Sem'!JI31*$ADN$4</f>
        <v>4034.439280000001</v>
      </c>
      <c r="ADM32" s="735">
        <v>2988.63</v>
      </c>
      <c r="ADN32" s="700">
        <f t="shared" si="848"/>
        <v>1.6242377800241303</v>
      </c>
      <c r="ADO32" s="593">
        <v>3709.45</v>
      </c>
      <c r="ADP32" s="593">
        <f>'Proy 2021 vs 2019 Sem'!JI31*$ADR$4</f>
        <v>5547.3540100000009</v>
      </c>
      <c r="ADQ32" s="735">
        <v>4648.66</v>
      </c>
      <c r="ADR32" s="700">
        <f t="shared" si="849"/>
        <v>1.2531938697111431</v>
      </c>
      <c r="ADS32" s="579">
        <f t="shared" si="850"/>
        <v>23565.65</v>
      </c>
      <c r="ADT32" s="574">
        <f t="shared" si="851"/>
        <v>25215.245500000005</v>
      </c>
      <c r="ADU32" s="765">
        <f t="shared" si="852"/>
        <v>29242.7</v>
      </c>
      <c r="ADV32" s="761">
        <f t="shared" si="853"/>
        <v>1.2409036033379091</v>
      </c>
      <c r="ADW32" s="593">
        <v>6722.03</v>
      </c>
      <c r="ADX32" s="593">
        <f>'Proy 2021 vs 2019 Sem'!JN31*$ADZ$4</f>
        <v>3437.04972</v>
      </c>
      <c r="ADY32" s="735">
        <v>3269.55</v>
      </c>
      <c r="ADZ32" s="700">
        <f t="shared" si="854"/>
        <v>0.48639324727798006</v>
      </c>
      <c r="AEA32" s="593">
        <v>3587.22</v>
      </c>
      <c r="AEB32" s="593">
        <f>'Proy 2021 vs 2019 Sem'!JN31*$AED$4</f>
        <v>3437.04972</v>
      </c>
      <c r="AEC32" s="735">
        <v>3692</v>
      </c>
      <c r="AED32" s="700">
        <f t="shared" si="855"/>
        <v>1.0292092483873307</v>
      </c>
      <c r="AEE32" s="593">
        <v>1698.64</v>
      </c>
      <c r="AEF32" s="593">
        <f>'Proy 2021 vs 2019 Sem'!JN31*$AEH$4</f>
        <v>3437.04972</v>
      </c>
      <c r="AEG32" s="735">
        <v>1426</v>
      </c>
      <c r="AEH32" s="700">
        <f t="shared" si="856"/>
        <v>0.83949512551217442</v>
      </c>
      <c r="AEI32" s="593">
        <v>1896.63</v>
      </c>
      <c r="AEJ32" s="593">
        <f>'Proy 2021 vs 2019 Sem'!JN31*$AEL$4</f>
        <v>3437.04972</v>
      </c>
      <c r="AEK32" s="735">
        <v>3454</v>
      </c>
      <c r="AEL32" s="700">
        <f t="shared" si="857"/>
        <v>1.8211248372112641</v>
      </c>
      <c r="AEM32" s="593">
        <v>3171.2</v>
      </c>
      <c r="AEN32" s="593">
        <f>'Proy 2021 vs 2019 Sem'!JN31*$AEP$4</f>
        <v>4009.8913400000006</v>
      </c>
      <c r="AEO32" s="735">
        <v>6052</v>
      </c>
      <c r="AEP32" s="700">
        <f t="shared" si="858"/>
        <v>1.9084258324924319</v>
      </c>
      <c r="AEQ32" s="593">
        <v>4493.6499999999996</v>
      </c>
      <c r="AER32" s="593">
        <f>'Proy 2021 vs 2019 Sem'!JN31*$AET$4</f>
        <v>4582.7329600000003</v>
      </c>
      <c r="AES32" s="735">
        <v>4508</v>
      </c>
      <c r="AET32" s="700">
        <f t="shared" si="859"/>
        <v>1.0031933951242309</v>
      </c>
      <c r="AEU32" s="593">
        <v>5198.93</v>
      </c>
      <c r="AEV32" s="593">
        <f>'Proy 2021 vs 2019 Sem'!JN31*$AEX$4</f>
        <v>6301.2578200000007</v>
      </c>
      <c r="AEW32" s="735">
        <v>8262</v>
      </c>
      <c r="AEX32" s="700">
        <f t="shared" si="860"/>
        <v>1.5891731567841842</v>
      </c>
      <c r="AEY32" s="579">
        <f t="shared" si="861"/>
        <v>26768.300000000003</v>
      </c>
      <c r="AEZ32" s="574">
        <f t="shared" si="862"/>
        <v>28642.081000000006</v>
      </c>
      <c r="AFA32" s="770">
        <f t="shared" si="863"/>
        <v>30663.55</v>
      </c>
      <c r="AFB32" s="761">
        <f t="shared" si="864"/>
        <v>1.1455172722959619</v>
      </c>
      <c r="AFC32" s="593">
        <v>6926.86</v>
      </c>
      <c r="AFD32" s="593">
        <f>'Proy 2021 vs 2019 Sem'!JX31*$AFF$4</f>
        <v>4107.6633599999996</v>
      </c>
      <c r="AFE32" s="735">
        <v>5504</v>
      </c>
      <c r="AFF32" s="700">
        <f t="shared" si="865"/>
        <v>0.79458802401087947</v>
      </c>
      <c r="AFG32" s="593">
        <v>2148.6</v>
      </c>
      <c r="AFH32" s="593">
        <f>'Proy 2021 vs 2019 Sem'!JX31*$AFJ$4</f>
        <v>4107.6633599999996</v>
      </c>
      <c r="AFI32" s="735">
        <v>1784.73</v>
      </c>
      <c r="AFJ32" s="700">
        <f t="shared" si="866"/>
        <v>0.83064786372521648</v>
      </c>
      <c r="AFK32" s="593">
        <v>982.76</v>
      </c>
      <c r="AFL32" s="593">
        <f>'Proy 2021 vs 2019 Sem'!JX31*$AFN$4</f>
        <v>4107.6633599999996</v>
      </c>
      <c r="AFM32" s="735">
        <v>3536.46</v>
      </c>
      <c r="AFN32" s="700">
        <f t="shared" si="867"/>
        <v>3.5984981073710776</v>
      </c>
      <c r="AFO32" s="593">
        <v>1551.6</v>
      </c>
      <c r="AFP32" s="593">
        <f>'Proy 2021 vs 2019 Sem'!JX31*$AFR$4</f>
        <v>4107.6633599999996</v>
      </c>
      <c r="AFQ32" s="735">
        <v>5546.19</v>
      </c>
      <c r="AFR32" s="700">
        <f t="shared" si="868"/>
        <v>3.5744972931167824</v>
      </c>
      <c r="AFS32" s="593">
        <v>3181.14</v>
      </c>
      <c r="AFT32" s="593">
        <f>'Proy 2021 vs 2019 Sem'!JX31*$AFV$4</f>
        <v>4792.2739200000005</v>
      </c>
      <c r="AFU32" s="735">
        <v>5139.75</v>
      </c>
      <c r="AFV32" s="700">
        <f t="shared" si="869"/>
        <v>1.6156943737150833</v>
      </c>
      <c r="AFW32" s="593">
        <v>4259.05</v>
      </c>
      <c r="AFX32" s="593">
        <f>'Proy 2021 vs 2019 Sem'!JX31*$AFZ$4</f>
        <v>5476.8844799999997</v>
      </c>
      <c r="AFY32" s="735">
        <v>4688.5</v>
      </c>
      <c r="AFZ32" s="700">
        <f t="shared" si="870"/>
        <v>1.1008323452413096</v>
      </c>
      <c r="AGA32" s="593">
        <v>9475.43</v>
      </c>
      <c r="AGB32" s="593">
        <f>'Proy 2021 vs 2019 Sem'!JX31*$AGD$4</f>
        <v>7530.7161599999999</v>
      </c>
      <c r="AGC32" s="735">
        <v>9227.67</v>
      </c>
      <c r="AGD32" s="700">
        <f t="shared" si="871"/>
        <v>0.97385237398197233</v>
      </c>
      <c r="AGE32" s="579">
        <f t="shared" si="872"/>
        <v>28525.439999999999</v>
      </c>
      <c r="AGF32" s="574">
        <f t="shared" si="873"/>
        <v>34230.527999999998</v>
      </c>
      <c r="AGG32" s="729">
        <f t="shared" si="874"/>
        <v>35427.299999999996</v>
      </c>
      <c r="AGH32" s="711">
        <f t="shared" si="875"/>
        <v>1.2419545500437503</v>
      </c>
      <c r="AGI32" s="593">
        <v>16465.16</v>
      </c>
      <c r="AGJ32" s="593">
        <f>'Proy 2021 vs 2019 Sem'!KC31*$AGL$4</f>
        <v>8459.5334399999992</v>
      </c>
      <c r="AGK32" s="735">
        <v>9717.9</v>
      </c>
      <c r="AGL32" s="700">
        <f t="shared" si="876"/>
        <v>0.59020987345400833</v>
      </c>
      <c r="AGM32" s="593">
        <v>2051.6999999999998</v>
      </c>
      <c r="AGN32" s="593">
        <f>'Proy 2021 vs 2019 Sem'!KC31*$AGP$4</f>
        <v>8459.5334399999992</v>
      </c>
      <c r="AGO32" s="735">
        <v>6220.32</v>
      </c>
      <c r="AGP32" s="700">
        <f t="shared" si="877"/>
        <v>3.0317882731393482</v>
      </c>
      <c r="AGQ32" s="593">
        <v>2333.5700000000002</v>
      </c>
      <c r="AGR32" s="593">
        <f>'Proy 2021 vs 2019 Sem'!KC31*$AGT$4</f>
        <v>8459.5334399999992</v>
      </c>
      <c r="AGS32" s="735">
        <v>6870.83</v>
      </c>
      <c r="AGT32" s="700">
        <f t="shared" si="878"/>
        <v>2.9443427880886364</v>
      </c>
      <c r="AGU32" s="593">
        <v>6388.61</v>
      </c>
      <c r="AGV32" s="593">
        <f>'Proy 2021 vs 2019 Sem'!KC31*$AGX$4</f>
        <v>8459.5334399999992</v>
      </c>
      <c r="AGW32" s="735">
        <v>5974.41</v>
      </c>
      <c r="AGX32" s="700">
        <f t="shared" si="879"/>
        <v>0.93516586550125935</v>
      </c>
      <c r="AGY32" s="593">
        <v>7626.55</v>
      </c>
      <c r="AGZ32" s="593">
        <f>'Proy 2021 vs 2019 Sem'!KC31*$AHB$4</f>
        <v>9869.4556800000009</v>
      </c>
      <c r="AHA32" s="735">
        <v>9133.2999999999993</v>
      </c>
      <c r="AHB32" s="700">
        <f t="shared" si="880"/>
        <v>1.1975663963391048</v>
      </c>
      <c r="AHC32" s="593">
        <v>12087.53</v>
      </c>
      <c r="AHD32" s="593">
        <f>'Proy 2021 vs 2019 Sem'!KC31*$AHF$4</f>
        <v>11279.377919999999</v>
      </c>
      <c r="AHE32" s="735">
        <v>9709.75</v>
      </c>
      <c r="AHF32" s="700">
        <f t="shared" si="881"/>
        <v>0.80328652752051077</v>
      </c>
      <c r="AHG32" s="593">
        <v>11793.64</v>
      </c>
      <c r="AHH32" s="593">
        <f>'Proy 2021 vs 2019 Sem'!KC31*$AHJ$4</f>
        <v>15509.144639999999</v>
      </c>
      <c r="AHI32" s="735">
        <v>11334.8</v>
      </c>
      <c r="AHJ32" s="700">
        <f t="shared" si="882"/>
        <v>0.96109428471616909</v>
      </c>
      <c r="AHK32" s="579">
        <f t="shared" si="883"/>
        <v>58746.76</v>
      </c>
      <c r="AHL32" s="574">
        <f t="shared" si="884"/>
        <v>70496.111999999994</v>
      </c>
      <c r="AHM32" s="730">
        <f t="shared" si="885"/>
        <v>58961.31</v>
      </c>
      <c r="AHN32" s="711">
        <f t="shared" si="886"/>
        <v>1.0036521163039458</v>
      </c>
      <c r="AHO32" s="593">
        <v>13591.21</v>
      </c>
      <c r="AHP32" s="593">
        <f>'Proy 2021 vs 2019 Sem'!KH31*$AHR$4</f>
        <v>10533.702239999999</v>
      </c>
      <c r="AHQ32" s="735">
        <v>12573.82</v>
      </c>
      <c r="AHR32" s="700">
        <f t="shared" si="887"/>
        <v>0.92514353026698881</v>
      </c>
      <c r="AHS32" s="593">
        <v>6479.19</v>
      </c>
      <c r="AHT32" s="593">
        <f>'Proy 2021 vs 2019 Sem'!KH31*$AHV$4</f>
        <v>10533.702239999999</v>
      </c>
      <c r="AHU32" s="735">
        <v>11539.72</v>
      </c>
      <c r="AHV32" s="700">
        <f t="shared" si="888"/>
        <v>1.7810436181065843</v>
      </c>
      <c r="AHW32" s="593">
        <v>7273.06</v>
      </c>
      <c r="AHX32" s="593">
        <f>'Proy 2021 vs 2019 Sem'!KH31*$AHZ$4</f>
        <v>10533.702239999999</v>
      </c>
      <c r="AHY32" s="735">
        <v>8829.3799999999992</v>
      </c>
      <c r="AHZ32" s="700">
        <f t="shared" si="889"/>
        <v>1.2139842102223821</v>
      </c>
      <c r="AIA32" s="593">
        <v>11715.13</v>
      </c>
      <c r="AIB32" s="593">
        <f>'Proy 2021 vs 2019 Sem'!KH31*$AID$4</f>
        <v>10533.702239999999</v>
      </c>
      <c r="AIC32" s="735">
        <v>9895.1200000000008</v>
      </c>
      <c r="AID32" s="700">
        <f t="shared" si="890"/>
        <v>0.84464448964714878</v>
      </c>
      <c r="AIE32" s="593">
        <v>8953.02</v>
      </c>
      <c r="AIF32" s="593">
        <f>'Proy 2021 vs 2019 Sem'!KH31*$AIH$4</f>
        <v>12289.319280000002</v>
      </c>
      <c r="AIG32" s="735">
        <v>9819.61</v>
      </c>
      <c r="AIH32" s="700">
        <f t="shared" si="891"/>
        <v>1.0967930374331789</v>
      </c>
      <c r="AII32" s="593">
        <v>13608.01</v>
      </c>
      <c r="AIJ32" s="593">
        <f>'Proy 2021 vs 2019 Sem'!KH31*$AIL$4</f>
        <v>14044.936320000001</v>
      </c>
      <c r="AIK32" s="735">
        <v>14096.13</v>
      </c>
      <c r="AIL32" s="700">
        <f t="shared" si="892"/>
        <v>1.0358700500661007</v>
      </c>
      <c r="AIM32" s="593">
        <v>11531.09</v>
      </c>
      <c r="AIN32" s="593">
        <f>'Proy 2021 vs 2019 Sem'!KH31*$AIP$4</f>
        <v>19311.78744</v>
      </c>
      <c r="AIO32" s="735">
        <v>14815.15</v>
      </c>
      <c r="AIP32" s="700">
        <f t="shared" si="893"/>
        <v>1.2848004828684885</v>
      </c>
      <c r="AIQ32" s="579">
        <f t="shared" si="894"/>
        <v>73150.710000000006</v>
      </c>
      <c r="AIR32" s="574">
        <f t="shared" si="895"/>
        <v>87780.851999999999</v>
      </c>
      <c r="AIS32" s="730">
        <f t="shared" si="896"/>
        <v>81568.929999999993</v>
      </c>
      <c r="AIT32" s="711">
        <f t="shared" si="897"/>
        <v>1.115080496142826</v>
      </c>
      <c r="AIU32" s="593">
        <f>'Proy 2021 vs 2019 Sem'!KL31*$AIX$4</f>
        <v>6883.0019999999995</v>
      </c>
      <c r="AIV32" s="593">
        <f>'Proy 2021 vs 2019 Sem'!KM31*$AIX$4</f>
        <v>13972.494059999999</v>
      </c>
      <c r="AIW32" s="735">
        <v>16217.29</v>
      </c>
      <c r="AIX32" s="700">
        <f t="shared" si="898"/>
        <v>2.3561361743030154</v>
      </c>
      <c r="AIY32" s="593">
        <f>'Proy 2021 vs 2019 Sem'!KL31*$AJB$4</f>
        <v>6883.0019999999995</v>
      </c>
      <c r="AIZ32" s="593">
        <f>'Proy 2021 vs 2019 Sem'!KM31*$AJB$4</f>
        <v>13972.494059999999</v>
      </c>
      <c r="AJA32" s="735">
        <v>14978.21</v>
      </c>
      <c r="AJB32" s="700">
        <f t="shared" si="899"/>
        <v>2.1761158866436476</v>
      </c>
      <c r="AJC32" s="593">
        <f>'Proy 2021 vs 2019 Sem'!KL31*$AJF$4</f>
        <v>6883.0019999999995</v>
      </c>
      <c r="AJD32" s="593">
        <f>'Proy 2021 vs 2019 Sem'!KM31*$AJF$4</f>
        <v>13972.494059999999</v>
      </c>
      <c r="AJE32" s="735">
        <v>13953.27</v>
      </c>
      <c r="AJF32" s="700">
        <f t="shared" si="900"/>
        <v>2.0272070239119504</v>
      </c>
      <c r="AJG32" s="593">
        <f>'Proy 2021 vs 2019 Sem'!KL31*$AJJ$4</f>
        <v>6883.0019999999995</v>
      </c>
      <c r="AJH32" s="593">
        <f>'Proy 2021 vs 2019 Sem'!KM31*$AJJ$4</f>
        <v>13972.494059999999</v>
      </c>
      <c r="AJI32" s="735">
        <v>14896.75</v>
      </c>
      <c r="AJJ32" s="700">
        <f t="shared" si="901"/>
        <v>2.1642809343946148</v>
      </c>
      <c r="AJK32" s="593">
        <f>'Proy 2021 vs 2019 Sem'!KL31*$AJN$4</f>
        <v>8030.1690000000008</v>
      </c>
      <c r="AJL32" s="593">
        <f>'Proy 2021 vs 2019 Sem'!KM31*$AJN$4</f>
        <v>16301.24307</v>
      </c>
      <c r="AJM32" s="735">
        <v>18028.650000000001</v>
      </c>
      <c r="AJN32" s="700">
        <f t="shared" si="902"/>
        <v>2.2451146420455159</v>
      </c>
      <c r="AJO32" s="593">
        <f>'Proy 2021 vs 2019 Sem'!KL31*$AJR$4</f>
        <v>9177.3359999999993</v>
      </c>
      <c r="AJP32" s="593">
        <f>'Proy 2021 vs 2019 Sem'!KM31*$AJR$4</f>
        <v>18629.99208</v>
      </c>
      <c r="AJQ32" s="735">
        <v>17605.48</v>
      </c>
      <c r="AJR32" s="700">
        <f t="shared" si="903"/>
        <v>1.9183649808615486</v>
      </c>
      <c r="AJS32" s="593">
        <f>'Proy 2021 vs 2019 Sem'!KL31*$AJV$4</f>
        <v>12618.837</v>
      </c>
      <c r="AJT32" s="593">
        <f>'Proy 2021 vs 2019 Sem'!KM31*$AJV$4</f>
        <v>25616.239109999999</v>
      </c>
      <c r="AJU32" s="699">
        <v>709.37</v>
      </c>
      <c r="AJV32" s="700">
        <f t="shared" si="904"/>
        <v>5.621516467801272E-2</v>
      </c>
      <c r="AJW32" s="579">
        <f t="shared" si="905"/>
        <v>57358.349999999991</v>
      </c>
      <c r="AJX32" s="574">
        <f t="shared" si="906"/>
        <v>116437.45049999999</v>
      </c>
      <c r="AJY32" s="710">
        <f t="shared" si="907"/>
        <v>96389.02</v>
      </c>
      <c r="AJZ32" s="711">
        <f t="shared" si="908"/>
        <v>1.6804705853637705</v>
      </c>
      <c r="AKA32" s="593">
        <f>'Proy 2021 vs 2019 Sem'!KQ31*$AKD$4</f>
        <v>3267.5364</v>
      </c>
      <c r="AKB32" s="593">
        <f>'Proy 2021 vs 2019 Sem'!KR31*$AKD$4</f>
        <v>3757.6668599999994</v>
      </c>
      <c r="AKC32" s="735">
        <v>8442.1200000000008</v>
      </c>
      <c r="AKD32" s="700">
        <f t="shared" si="909"/>
        <v>2.5836345694572831</v>
      </c>
      <c r="AKE32" s="593">
        <f>'Proy 2021 vs 2019 Sem'!KQ31*$AKH$4</f>
        <v>3267.5364</v>
      </c>
      <c r="AKF32" s="593">
        <f>'Proy 2021 vs 2019 Sem'!KR31*$AKH$4</f>
        <v>3757.6668599999994</v>
      </c>
      <c r="AKG32" s="735">
        <v>5014.7299999999996</v>
      </c>
      <c r="AKH32" s="700">
        <f t="shared" si="910"/>
        <v>1.5347128191135069</v>
      </c>
      <c r="AKI32" s="593">
        <f>'Proy 2021 vs 2019 Sem'!KQ31*$AKL$4</f>
        <v>3267.5364</v>
      </c>
      <c r="AKJ32" s="593">
        <f>'Proy 2021 vs 2019 Sem'!KR31*$AKL$4</f>
        <v>3757.6668599999994</v>
      </c>
      <c r="AKK32" s="735">
        <v>6463.4</v>
      </c>
      <c r="AKL32" s="700">
        <f t="shared" si="911"/>
        <v>1.9780651869708321</v>
      </c>
      <c r="AKM32" s="593">
        <f>'Proy 2021 vs 2019 Sem'!KQ31*$AKP$4</f>
        <v>3267.5364</v>
      </c>
      <c r="AKN32" s="593">
        <f>'Proy 2021 vs 2019 Sem'!KR31*$AKP$4</f>
        <v>3757.6668599999994</v>
      </c>
      <c r="AKO32" s="735">
        <v>7973.46</v>
      </c>
      <c r="AKP32" s="700">
        <f t="shared" si="912"/>
        <v>2.4402054098004844</v>
      </c>
      <c r="AKQ32" s="593">
        <f>'Proy 2021 vs 2019 Sem'!KQ31*$AKT$4</f>
        <v>3812.1258000000007</v>
      </c>
      <c r="AKR32" s="593">
        <f>'Proy 2021 vs 2019 Sem'!KR31*$AKT$4</f>
        <v>4383.9446699999999</v>
      </c>
      <c r="AKS32" s="735">
        <v>6917.39</v>
      </c>
      <c r="AKT32" s="700">
        <f t="shared" si="913"/>
        <v>1.8145754791198125</v>
      </c>
      <c r="AKU32" s="593">
        <f>'Proy 2021 vs 2019 Sem'!KQ31*$AKX$4</f>
        <v>4356.7152000000006</v>
      </c>
      <c r="AKV32" s="593">
        <f>'Proy 2021 vs 2019 Sem'!KR31*$AKX$4</f>
        <v>5010.2224799999995</v>
      </c>
      <c r="AKW32" s="735">
        <v>9356.4</v>
      </c>
      <c r="AKX32" s="700">
        <f t="shared" si="914"/>
        <v>2.1475812786660917</v>
      </c>
      <c r="AKY32" s="593">
        <f>'Proy 2021 vs 2019 Sem'!KQ31*$ALB$4</f>
        <v>5990.4834000000001</v>
      </c>
      <c r="AKZ32" s="593">
        <f>'Proy 2021 vs 2019 Sem'!KR31*$ALB$4</f>
        <v>6889.0559099999991</v>
      </c>
      <c r="ALA32" s="699">
        <v>0</v>
      </c>
      <c r="ALB32" s="700">
        <f>ALA32/AKY32</f>
        <v>0</v>
      </c>
      <c r="ALC32" s="579">
        <f t="shared" si="915"/>
        <v>27229.470000000005</v>
      </c>
      <c r="ALD32" s="574">
        <f t="shared" si="916"/>
        <v>31313.890499999998</v>
      </c>
      <c r="ALE32" s="710">
        <f t="shared" si="917"/>
        <v>44167.5</v>
      </c>
      <c r="ALF32" s="711">
        <f t="shared" si="918"/>
        <v>1.6220477299044012</v>
      </c>
    </row>
    <row r="33" spans="1:994" ht="19.5" customHeight="1">
      <c r="B33" s="568" t="s">
        <v>232</v>
      </c>
      <c r="C33" s="574">
        <f>'Proy 2021 vs 2019 Sem'!DX32*$F$4</f>
        <v>5394.9971999999998</v>
      </c>
      <c r="D33" s="576">
        <f>'Proy 2021 vs 2019 Sem'!$DY$32*F4</f>
        <v>1760.3524276602895</v>
      </c>
      <c r="E33" s="735">
        <v>3535.24</v>
      </c>
      <c r="F33" s="700">
        <f t="shared" si="580"/>
        <v>0.65528115566028466</v>
      </c>
      <c r="G33" s="574">
        <f>'Proy 2021 vs 2019 Sem'!DX32*$J$4</f>
        <v>5394.9971999999998</v>
      </c>
      <c r="H33" s="574">
        <f>'Proy 2021 vs 2019 Sem'!$DY$32*J4</f>
        <v>1760.3524276602895</v>
      </c>
      <c r="I33" s="735">
        <v>1967.69</v>
      </c>
      <c r="J33" s="700">
        <f t="shared" si="581"/>
        <v>0.36472493442628667</v>
      </c>
      <c r="K33" s="574">
        <f>'Proy 2021 vs 2019 Sem'!DX32*'Vtas Diarias 2021'!$N$4</f>
        <v>5394.9971999999998</v>
      </c>
      <c r="L33" s="574">
        <f>'Proy 2021 vs 2019 Sem'!$DY$32*N4</f>
        <v>1760.3524276602895</v>
      </c>
      <c r="M33" s="735">
        <v>1141.6600000000001</v>
      </c>
      <c r="N33" s="700">
        <f t="shared" si="582"/>
        <v>0.21161456765908981</v>
      </c>
      <c r="O33" s="574">
        <f>'Proy 2021 vs 2019 Sem'!DX32*$R$4</f>
        <v>5394.9971999999998</v>
      </c>
      <c r="P33" s="574">
        <f>'Proy 2021 vs 2019 Sem'!$DY$32*R4</f>
        <v>1760.3524276602895</v>
      </c>
      <c r="Q33" s="735">
        <v>2295.5700000000002</v>
      </c>
      <c r="R33" s="700">
        <f t="shared" si="583"/>
        <v>0.42549975744195018</v>
      </c>
      <c r="S33" s="574">
        <f>'Proy 2021 vs 2019 Sem'!DX32*$V$4</f>
        <v>6294.1634000000004</v>
      </c>
      <c r="T33" s="574">
        <f>'Proy 2021 vs 2019 Sem'!$DY$32*V4</f>
        <v>2053.7444989370047</v>
      </c>
      <c r="U33" s="735">
        <v>1347.65</v>
      </c>
      <c r="V33" s="700">
        <f t="shared" si="584"/>
        <v>0.2141110604151141</v>
      </c>
      <c r="W33" s="574">
        <f>'Proy 2021 vs 2019 Sem'!DX32*$Z$4</f>
        <v>7193.3296</v>
      </c>
      <c r="X33" s="574">
        <f>'Proy 2021 vs 2019 Sem'!$DY$32*Z4</f>
        <v>2347.1365702137196</v>
      </c>
      <c r="Y33" s="735">
        <v>2952.1</v>
      </c>
      <c r="Z33" s="700">
        <f t="shared" si="585"/>
        <v>0.41039409621936412</v>
      </c>
      <c r="AA33" s="574">
        <f>'Proy 2021 vs 2019 Sem'!DX32*$AD$4</f>
        <v>9890.8281999999999</v>
      </c>
      <c r="AB33" s="574">
        <f>'Proy 2021 vs 2019 Sem'!$DY$32*AD4</f>
        <v>3227.3127840438642</v>
      </c>
      <c r="AC33" s="735">
        <v>5321.52</v>
      </c>
      <c r="AD33" s="700">
        <f t="shared" si="586"/>
        <v>0.53802572366993495</v>
      </c>
      <c r="AE33" s="579">
        <f t="shared" si="587"/>
        <v>44958.31</v>
      </c>
      <c r="AF33" s="574">
        <f t="shared" si="588"/>
        <v>14669.603563835746</v>
      </c>
      <c r="AG33" s="729">
        <f t="shared" si="589"/>
        <v>18561.43</v>
      </c>
      <c r="AH33" s="711">
        <f t="shared" si="590"/>
        <v>0.41285871288311332</v>
      </c>
      <c r="AI33" s="593">
        <f>'Proy 2021 vs 2019 Sem'!EC32*$AL$4</f>
        <v>5614.3548000000001</v>
      </c>
      <c r="AJ33" s="611">
        <f>'Proy 2021 vs 2019 Sem'!ED32*$AL$4</f>
        <v>1965.0241799999999</v>
      </c>
      <c r="AK33" s="735">
        <v>3311.33</v>
      </c>
      <c r="AL33" s="700">
        <f t="shared" si="591"/>
        <v>0.58979706804422116</v>
      </c>
      <c r="AM33" s="593">
        <f>'Proy 2021 vs 2019 Sem'!EC32*$AP$4</f>
        <v>5614.3548000000001</v>
      </c>
      <c r="AN33" s="593">
        <f>'Proy 2021 vs 2019 Sem'!ED32*$AP$4</f>
        <v>1965.0241799999999</v>
      </c>
      <c r="AO33" s="735">
        <v>2914.72</v>
      </c>
      <c r="AP33" s="700">
        <f t="shared" si="592"/>
        <v>0.51915493477540819</v>
      </c>
      <c r="AQ33" s="593">
        <f>'Proy 2021 vs 2019 Sem'!EC32*$AT$4</f>
        <v>5614.3548000000001</v>
      </c>
      <c r="AR33" s="593">
        <f>'Proy 2021 vs 2019 Sem'!ED32*$AT$4</f>
        <v>1965.0241799999999</v>
      </c>
      <c r="AS33" s="735">
        <v>932.7</v>
      </c>
      <c r="AT33" s="700">
        <f t="shared" si="593"/>
        <v>0.16612772673362219</v>
      </c>
      <c r="AU33" s="593">
        <f>'Proy 2021 vs 2019 Sem'!EC32*$AX$4</f>
        <v>5614.3548000000001</v>
      </c>
      <c r="AV33" s="593">
        <f>'Proy 2021 vs 2019 Sem'!ED32*$AX$4</f>
        <v>1965.0241799999999</v>
      </c>
      <c r="AW33" s="735">
        <v>1662.13</v>
      </c>
      <c r="AX33" s="700">
        <f t="shared" si="594"/>
        <v>0.29605004656991041</v>
      </c>
      <c r="AY33" s="593">
        <f>'Proy 2021 vs 2019 Sem'!EC32*$BB$4</f>
        <v>6550.0806000000011</v>
      </c>
      <c r="AZ33" s="593">
        <f>'Proy 2021 vs 2019 Sem'!ED32*$BB$4</f>
        <v>2292.5282099999999</v>
      </c>
      <c r="BA33" s="735">
        <v>1505.57</v>
      </c>
      <c r="BB33" s="700">
        <f t="shared" si="595"/>
        <v>0.2298551868201438</v>
      </c>
      <c r="BC33" s="593">
        <f>'Proy 2021 vs 2019 Sem'!EC32*$BF$4</f>
        <v>7485.8064000000004</v>
      </c>
      <c r="BD33" s="593">
        <f>'Proy 2021 vs 2019 Sem'!ED32*$BF$4</f>
        <v>2620.03224</v>
      </c>
      <c r="BE33" s="735">
        <v>2833.69</v>
      </c>
      <c r="BF33" s="700">
        <f t="shared" si="596"/>
        <v>0.37854171595995323</v>
      </c>
      <c r="BG33" s="593">
        <f>'Proy 2021 vs 2019 Sem'!EC32*$BJ$4</f>
        <v>10292.9838</v>
      </c>
      <c r="BH33" s="593">
        <f>'Proy 2021 vs 2019 Sem'!ED32*$BJ$4</f>
        <v>3602.5443299999997</v>
      </c>
      <c r="BI33" s="735">
        <v>4401.25</v>
      </c>
      <c r="BJ33" s="700">
        <f t="shared" si="597"/>
        <v>0.42759709774341625</v>
      </c>
      <c r="BK33" s="579">
        <f t="shared" si="598"/>
        <v>46786.29</v>
      </c>
      <c r="BL33" s="574">
        <f t="shared" si="599"/>
        <v>16375.201499999999</v>
      </c>
      <c r="BM33" s="730">
        <f t="shared" si="600"/>
        <v>17561.39</v>
      </c>
      <c r="BN33" s="711">
        <f t="shared" si="601"/>
        <v>0.37535333534674364</v>
      </c>
      <c r="BO33" s="593">
        <f>'Proy 2021 vs 2019 Sem'!EH32*$BR$4</f>
        <v>7312.9955999999993</v>
      </c>
      <c r="BP33" s="593">
        <f>'Proy 2021 vs 2019 Sem'!EI32*$BR$4</f>
        <v>2193.8986799999998</v>
      </c>
      <c r="BQ33" s="735">
        <v>4481.22</v>
      </c>
      <c r="BR33" s="700">
        <f t="shared" si="602"/>
        <v>0.61277487983173418</v>
      </c>
      <c r="BS33" s="593">
        <f>'Proy 2021 vs 2019 Sem'!EH32*$BV$4</f>
        <v>7312.9955999999993</v>
      </c>
      <c r="BT33" s="593">
        <f>'Proy 2021 vs 2019 Sem'!EI32*$BV$4</f>
        <v>2193.8986799999998</v>
      </c>
      <c r="BU33" s="735">
        <v>1761.76</v>
      </c>
      <c r="BV33" s="700">
        <f t="shared" si="603"/>
        <v>0.2409081170512396</v>
      </c>
      <c r="BW33" s="593">
        <f>'Proy 2021 vs 2019 Sem'!EH32*$BZ$4</f>
        <v>7312.9955999999993</v>
      </c>
      <c r="BX33" s="593">
        <f>'Proy 2021 vs 2019 Sem'!EI32*$BZ$4</f>
        <v>2193.8986799999998</v>
      </c>
      <c r="BY33" s="735">
        <v>2193.5100000000002</v>
      </c>
      <c r="BZ33" s="700">
        <f t="shared" si="604"/>
        <v>0.29994685078164146</v>
      </c>
      <c r="CA33" s="593">
        <f>'Proy 2021 vs 2019 Sem'!EH32*$CD$4</f>
        <v>7312.9955999999993</v>
      </c>
      <c r="CB33" s="593">
        <f>'Proy 2021 vs 2019 Sem'!EI32*$CD$4</f>
        <v>2193.8986799999998</v>
      </c>
      <c r="CC33" s="735">
        <v>2991.91</v>
      </c>
      <c r="CD33" s="700">
        <f t="shared" si="605"/>
        <v>0.40912235746456627</v>
      </c>
      <c r="CE33" s="593">
        <f>'Proy 2021 vs 2019 Sem'!EH32*$CH$4</f>
        <v>8531.8281999999999</v>
      </c>
      <c r="CF33" s="593">
        <f>'Proy 2021 vs 2019 Sem'!EI32*$CH$4</f>
        <v>2559.54846</v>
      </c>
      <c r="CG33" s="735">
        <v>3919.3</v>
      </c>
      <c r="CH33" s="700">
        <f t="shared" si="606"/>
        <v>0.45937399442712645</v>
      </c>
      <c r="CI33" s="593">
        <f>'Proy 2021 vs 2019 Sem'!EH32*$CL$4</f>
        <v>9750.6607999999997</v>
      </c>
      <c r="CJ33" s="593">
        <f>'Proy 2021 vs 2019 Sem'!EI32*$CL$4</f>
        <v>2925.1982399999997</v>
      </c>
      <c r="CK33" s="735">
        <v>2183.36</v>
      </c>
      <c r="CL33" s="700">
        <f t="shared" si="607"/>
        <v>0.22391918299526942</v>
      </c>
      <c r="CM33" s="593">
        <f>'Proy 2021 vs 2019 Sem'!EH32*$CP$4</f>
        <v>13407.158599999999</v>
      </c>
      <c r="CN33" s="593">
        <f>'Proy 2021 vs 2019 Sem'!EI32*$CP$4</f>
        <v>4022.1475799999994</v>
      </c>
      <c r="CO33" s="735">
        <v>4315.1000000000004</v>
      </c>
      <c r="CP33" s="700">
        <f t="shared" si="608"/>
        <v>0.32185044786447148</v>
      </c>
      <c r="CQ33" s="579">
        <f t="shared" si="609"/>
        <v>60941.62999999999</v>
      </c>
      <c r="CR33" s="574">
        <f t="shared" si="610"/>
        <v>18282.488999999998</v>
      </c>
      <c r="CS33" s="730">
        <f t="shared" si="611"/>
        <v>21846.160000000003</v>
      </c>
      <c r="CT33" s="711">
        <f t="shared" si="612"/>
        <v>0.3584767916447264</v>
      </c>
      <c r="CU33" s="593">
        <f>'Proy 2021 vs 2019 Sem'!EM32*$CX$4</f>
        <v>6232.442399999999</v>
      </c>
      <c r="CV33" s="593">
        <f>'Proy 2021 vs 2019 Sem'!EN32*$CX$4</f>
        <v>1869.7327199999997</v>
      </c>
      <c r="CW33" s="735">
        <v>2332.35</v>
      </c>
      <c r="CX33" s="700">
        <f t="shared" si="613"/>
        <v>0.37422728527743798</v>
      </c>
      <c r="CY33" s="593">
        <f>'Proy 2021 vs 2019 Sem'!EM32*$DB$4</f>
        <v>6232.442399999999</v>
      </c>
      <c r="CZ33" s="593">
        <f>'Proy 2021 vs 2019 Sem'!EN32*$DB$4</f>
        <v>1869.7327199999997</v>
      </c>
      <c r="DA33" s="735">
        <v>2355.94</v>
      </c>
      <c r="DB33" s="700">
        <f t="shared" si="614"/>
        <v>0.37801231825263243</v>
      </c>
      <c r="DC33" s="593">
        <f>'Proy 2021 vs 2019 Sem'!EM32*$DF$4</f>
        <v>6232.442399999999</v>
      </c>
      <c r="DD33" s="593">
        <f>'Proy 2021 vs 2019 Sem'!EN32*$DF$4</f>
        <v>1869.7327199999997</v>
      </c>
      <c r="DE33" s="735">
        <v>2701.27</v>
      </c>
      <c r="DF33" s="700">
        <f t="shared" si="615"/>
        <v>0.43342077256903333</v>
      </c>
      <c r="DG33" s="593">
        <f>'Proy 2021 vs 2019 Sem'!EM32*$DJ$4</f>
        <v>6232.442399999999</v>
      </c>
      <c r="DH33" s="593">
        <f>'Proy 2021 vs 2019 Sem'!EN32*$DJ$4</f>
        <v>1869.7327199999997</v>
      </c>
      <c r="DI33" s="735">
        <v>2950.41</v>
      </c>
      <c r="DJ33" s="700">
        <f t="shared" si="616"/>
        <v>0.47339547012901401</v>
      </c>
      <c r="DK33" s="593">
        <f>'Proy 2021 vs 2019 Sem'!EM32*$DN$4</f>
        <v>7271.1828000000005</v>
      </c>
      <c r="DL33" s="593">
        <f>'Proy 2021 vs 2019 Sem'!EN32*$DN$4</f>
        <v>2181.35484</v>
      </c>
      <c r="DM33" s="735">
        <v>3114.43</v>
      </c>
      <c r="DN33" s="700">
        <f t="shared" si="617"/>
        <v>0.42832508625694288</v>
      </c>
      <c r="DO33" s="593">
        <f>'Proy 2021 vs 2019 Sem'!EM32*$DR$4</f>
        <v>8309.9231999999993</v>
      </c>
      <c r="DP33" s="593">
        <f>'Proy 2021 vs 2019 Sem'!EN32*$DR$4</f>
        <v>2492.9769599999995</v>
      </c>
      <c r="DQ33" s="735">
        <v>3085.01</v>
      </c>
      <c r="DR33" s="700">
        <f t="shared" si="618"/>
        <v>0.37124410487933274</v>
      </c>
      <c r="DS33" s="593">
        <f>'Proy 2021 vs 2019 Sem'!EM32*$DV$4</f>
        <v>11426.144399999999</v>
      </c>
      <c r="DT33" s="593">
        <f>'Proy 2021 vs 2019 Sem'!EN32*$DV$4</f>
        <v>3427.8433199999995</v>
      </c>
      <c r="DU33" s="735">
        <v>3313.11</v>
      </c>
      <c r="DV33" s="700">
        <f t="shared" si="619"/>
        <v>0.28995870207976721</v>
      </c>
      <c r="DW33" s="579">
        <f t="shared" si="620"/>
        <v>51937.01999999999</v>
      </c>
      <c r="DX33" s="574">
        <f t="shared" si="621"/>
        <v>15581.106</v>
      </c>
      <c r="DY33" s="710">
        <f t="shared" si="622"/>
        <v>19852.52</v>
      </c>
      <c r="DZ33" s="711">
        <f t="shared" si="623"/>
        <v>0.38224218486158823</v>
      </c>
      <c r="EA33" s="593">
        <f>'Proy 2021 vs 2019 Sem'!ER32*$ED$4</f>
        <v>6684.768</v>
      </c>
      <c r="EB33" s="593">
        <f>'Proy 2021 vs 2019 Sem'!ES32*$ED$4</f>
        <v>4010.8607999999995</v>
      </c>
      <c r="EC33" s="735">
        <v>3924.8</v>
      </c>
      <c r="ED33" s="700">
        <f t="shared" si="624"/>
        <v>0.58712583593028211</v>
      </c>
      <c r="EE33" s="593">
        <f>'Proy 2021 vs 2019 Sem'!ER32*$EH$4</f>
        <v>6684.768</v>
      </c>
      <c r="EF33" s="593">
        <f>'Proy 2021 vs 2019 Sem'!ES32*$EH$4</f>
        <v>4010.8607999999995</v>
      </c>
      <c r="EG33" s="735">
        <v>3633.92</v>
      </c>
      <c r="EH33" s="700">
        <f t="shared" si="625"/>
        <v>0.5436119847390366</v>
      </c>
      <c r="EI33" s="593">
        <f>'Proy 2021 vs 2019 Sem'!ER32*$EL$4</f>
        <v>6684.768</v>
      </c>
      <c r="EJ33" s="593">
        <f>'Proy 2021 vs 2019 Sem'!ES32*$EL$4</f>
        <v>4010.8607999999995</v>
      </c>
      <c r="EK33" s="735">
        <v>3098.28</v>
      </c>
      <c r="EL33" s="700">
        <f t="shared" si="626"/>
        <v>0.46348354946648862</v>
      </c>
      <c r="EM33" s="593">
        <f>'Proy 2021 vs 2019 Sem'!ER32*$EP$4</f>
        <v>6684.768</v>
      </c>
      <c r="EN33" s="593">
        <f>'Proy 2021 vs 2019 Sem'!ES32*$EP$4</f>
        <v>4010.8607999999995</v>
      </c>
      <c r="EO33" s="735">
        <v>2130.19</v>
      </c>
      <c r="EP33" s="700">
        <f t="shared" si="627"/>
        <v>0.31866326550151031</v>
      </c>
      <c r="EQ33" s="593">
        <f>'Proy 2021 vs 2019 Sem'!ER32*$ET$4</f>
        <v>7798.8960000000006</v>
      </c>
      <c r="ER33" s="593">
        <f>'Proy 2021 vs 2019 Sem'!ES32*$ET$4</f>
        <v>4679.3375999999998</v>
      </c>
      <c r="ES33" s="735">
        <v>2212.94</v>
      </c>
      <c r="ET33" s="700">
        <f t="shared" si="628"/>
        <v>0.28375041800788214</v>
      </c>
      <c r="EU33" s="593">
        <f>'Proy 2021 vs 2019 Sem'!ER32*$EX$4</f>
        <v>8913.0240000000013</v>
      </c>
      <c r="EV33" s="593">
        <f>'Proy 2021 vs 2019 Sem'!ES32*$EX$4</f>
        <v>5347.8143999999993</v>
      </c>
      <c r="EW33" s="735">
        <v>2261.73</v>
      </c>
      <c r="EX33" s="700">
        <f t="shared" si="629"/>
        <v>0.25375562771961568</v>
      </c>
      <c r="EY33" s="593">
        <f>'Proy 2021 vs 2019 Sem'!ER32*$FB$4</f>
        <v>12255.408000000001</v>
      </c>
      <c r="EZ33" s="593">
        <f>'Proy 2021 vs 2019 Sem'!ES32*$FB$4</f>
        <v>7353.2447999999995</v>
      </c>
      <c r="FA33" s="699">
        <v>4438.63</v>
      </c>
      <c r="FB33" s="700">
        <f t="shared" si="630"/>
        <v>0.36217725268714024</v>
      </c>
      <c r="FC33" s="579">
        <f t="shared" si="631"/>
        <v>55706.400000000001</v>
      </c>
      <c r="FD33" s="574">
        <f t="shared" si="632"/>
        <v>33423.839999999997</v>
      </c>
      <c r="FE33" s="710">
        <f t="shared" si="633"/>
        <v>21700.49</v>
      </c>
      <c r="FF33" s="711">
        <f t="shared" si="634"/>
        <v>0.38955111082389099</v>
      </c>
      <c r="FG33" s="593">
        <f>'Proy 2021 vs 2019 Sem'!FA32*$FJ$4</f>
        <v>5733.3419999999996</v>
      </c>
      <c r="FH33" s="593">
        <f>'Proy 2021 vs 2019 Sem'!FB32*$FJ$4</f>
        <v>4013.3393999999994</v>
      </c>
      <c r="FI33" s="735">
        <v>2947.04</v>
      </c>
      <c r="FJ33" s="700">
        <f t="shared" si="635"/>
        <v>0.51401782764746984</v>
      </c>
      <c r="FK33" s="593">
        <f>'Proy 2021 vs 2019 Sem'!FA32*$FN$4</f>
        <v>5733.3419999999996</v>
      </c>
      <c r="FL33" s="593">
        <f>'Proy 2021 vs 2019 Sem'!FB32*$FN$4</f>
        <v>4013.3393999999994</v>
      </c>
      <c r="FM33" s="735">
        <v>1918.29</v>
      </c>
      <c r="FN33" s="700">
        <f t="shared" si="636"/>
        <v>0.33458495934831728</v>
      </c>
      <c r="FO33" s="593">
        <f>'Proy 2021 vs 2019 Sem'!FA32*$FR$4</f>
        <v>5733.3419999999996</v>
      </c>
      <c r="FP33" s="593">
        <f>'Proy 2021 vs 2019 Sem'!FB32*$FR$4</f>
        <v>4013.3393999999994</v>
      </c>
      <c r="FQ33" s="735">
        <v>2949.37</v>
      </c>
      <c r="FR33" s="700">
        <f t="shared" si="637"/>
        <v>0.51442422238198948</v>
      </c>
      <c r="FS33" s="593">
        <f>'Proy 2021 vs 2019 Sem'!FA32*$FV$4</f>
        <v>5733.3419999999996</v>
      </c>
      <c r="FT33" s="593">
        <f>'Proy 2021 vs 2019 Sem'!FB32*$FV$4</f>
        <v>4013.3393999999994</v>
      </c>
      <c r="FU33" s="735">
        <v>2650.62</v>
      </c>
      <c r="FV33" s="700">
        <f t="shared" si="638"/>
        <v>0.46231674300957454</v>
      </c>
      <c r="FW33" s="593">
        <f>'Proy 2021 vs 2019 Sem'!FA32*$FZ$4</f>
        <v>6688.8990000000003</v>
      </c>
      <c r="FX33" s="593">
        <f>'Proy 2021 vs 2019 Sem'!FB32*$FZ$4</f>
        <v>4682.2293</v>
      </c>
      <c r="FY33" s="735">
        <v>4604.95</v>
      </c>
      <c r="FZ33" s="700">
        <f t="shared" si="639"/>
        <v>0.6884466337434606</v>
      </c>
      <c r="GA33" s="593">
        <f>'Proy 2021 vs 2019 Sem'!FA32*$GD$4</f>
        <v>7644.4560000000001</v>
      </c>
      <c r="GB33" s="593">
        <f>'Proy 2021 vs 2019 Sem'!FB32*$GD$4</f>
        <v>5351.1191999999992</v>
      </c>
      <c r="GC33" s="735">
        <v>2297.92</v>
      </c>
      <c r="GD33" s="700">
        <f t="shared" si="640"/>
        <v>0.30059954560533803</v>
      </c>
      <c r="GE33" s="593">
        <f>'Proy 2021 vs 2019 Sem'!FA32*$GH$4</f>
        <v>10511.127</v>
      </c>
      <c r="GF33" s="593">
        <f>'Proy 2021 vs 2019 Sem'!FB32*$GH$4</f>
        <v>7357.7888999999986</v>
      </c>
      <c r="GG33" s="735">
        <v>2298.37</v>
      </c>
      <c r="GH33" s="700">
        <f t="shared" si="641"/>
        <v>0.21866066312394472</v>
      </c>
      <c r="GI33" s="579">
        <f t="shared" si="642"/>
        <v>47777.85</v>
      </c>
      <c r="GJ33" s="574">
        <f t="shared" si="643"/>
        <v>33444.494999999995</v>
      </c>
      <c r="GK33" s="759">
        <f t="shared" si="644"/>
        <v>19666.560000000001</v>
      </c>
      <c r="GL33" s="761">
        <f t="shared" si="645"/>
        <v>0.41162505219468859</v>
      </c>
      <c r="GM33" s="593">
        <f>'Proy 2021 vs 2019 Sem'!FF32*$GP$4</f>
        <v>4829.7876000000006</v>
      </c>
      <c r="GN33" s="593">
        <f>'Proy 2021 vs 2019 Sem'!FG32*$GP$4</f>
        <v>3670.6385760000003</v>
      </c>
      <c r="GO33" s="735">
        <v>3075.7</v>
      </c>
      <c r="GP33" s="700">
        <f t="shared" si="646"/>
        <v>0.63681889447892071</v>
      </c>
      <c r="GQ33" s="593">
        <f>'Proy 2021 vs 2019 Sem'!FF32*$GT$4</f>
        <v>4829.7876000000006</v>
      </c>
      <c r="GR33" s="593">
        <f>'Proy 2021 vs 2019 Sem'!FG32*$GT$4</f>
        <v>3670.6385760000003</v>
      </c>
      <c r="GS33" s="735">
        <v>1792.05</v>
      </c>
      <c r="GT33" s="700">
        <f t="shared" si="647"/>
        <v>0.37104116131318066</v>
      </c>
      <c r="GU33" s="593">
        <f>'Proy 2021 vs 2019 Sem'!FF32*$GX$4</f>
        <v>4829.7876000000006</v>
      </c>
      <c r="GV33" s="593">
        <f>'Proy 2021 vs 2019 Sem'!FG32*$GX$4</f>
        <v>3670.6385760000003</v>
      </c>
      <c r="GW33" s="735">
        <v>2863.42</v>
      </c>
      <c r="GX33" s="700">
        <f t="shared" si="648"/>
        <v>0.59286665111318759</v>
      </c>
      <c r="GY33" s="593">
        <f>'Proy 2021 vs 2019 Sem'!FF32*$HB$4</f>
        <v>4829.7876000000006</v>
      </c>
      <c r="GZ33" s="593">
        <f>'Proy 2021 vs 2019 Sem'!FG32*$HB$4</f>
        <v>3670.6385760000003</v>
      </c>
      <c r="HA33" s="735">
        <v>1899.06</v>
      </c>
      <c r="HB33" s="700">
        <f t="shared" si="649"/>
        <v>0.39319741514098877</v>
      </c>
      <c r="HC33" s="593">
        <f>'Proy 2021 vs 2019 Sem'!FF32*$HF$4</f>
        <v>5634.7522000000008</v>
      </c>
      <c r="HD33" s="593">
        <f>'Proy 2021 vs 2019 Sem'!FG32*$HF$4</f>
        <v>4282.4116720000011</v>
      </c>
      <c r="HE33" s="735">
        <v>2924.88</v>
      </c>
      <c r="HF33" s="700">
        <f t="shared" si="650"/>
        <v>0.51907872718874837</v>
      </c>
      <c r="HG33" s="593">
        <f>'Proy 2021 vs 2019 Sem'!FF32*$HJ$4</f>
        <v>6439.7168000000011</v>
      </c>
      <c r="HH33" s="593">
        <f>'Proy 2021 vs 2019 Sem'!FG32*$HJ$4</f>
        <v>4894.184768000001</v>
      </c>
      <c r="HI33" s="735">
        <v>2294.6</v>
      </c>
      <c r="HJ33" s="700">
        <f t="shared" si="651"/>
        <v>0.35632001705416605</v>
      </c>
      <c r="HK33" s="593">
        <f>'Proy 2021 vs 2019 Sem'!FF32*$HN$4</f>
        <v>8854.6106</v>
      </c>
      <c r="HL33" s="593">
        <f>'Proy 2021 vs 2019 Sem'!FG32*$HN$4</f>
        <v>6729.5040560000007</v>
      </c>
      <c r="HM33" s="735">
        <v>4071.65</v>
      </c>
      <c r="HN33" s="700">
        <f t="shared" si="652"/>
        <v>0.45983388586280688</v>
      </c>
      <c r="HO33" s="579">
        <f t="shared" si="653"/>
        <v>40248.230000000003</v>
      </c>
      <c r="HP33" s="574">
        <f t="shared" si="654"/>
        <v>30588.654800000008</v>
      </c>
      <c r="HQ33" s="765">
        <f t="shared" si="655"/>
        <v>18921.36</v>
      </c>
      <c r="HR33" s="761">
        <f t="shared" si="656"/>
        <v>0.4701165740704622</v>
      </c>
      <c r="HS33" s="593">
        <f>'Proy 2021 vs 2019 Sem'!FK32*$CX$4</f>
        <v>5024.4144000000006</v>
      </c>
      <c r="HT33" s="593">
        <f>'Proy 2021 vs 2019 Sem'!FL32*$CX$4</f>
        <v>3818.5549440000004</v>
      </c>
      <c r="HU33" s="735">
        <v>3805.75</v>
      </c>
      <c r="HV33" s="700">
        <f t="shared" si="657"/>
        <v>0.75745145543727432</v>
      </c>
      <c r="HW33" s="593">
        <f>'Proy 2021 vs 2019 Sem'!FK32*$DB$4</f>
        <v>5024.4144000000006</v>
      </c>
      <c r="HX33" s="593">
        <f>'Proy 2021 vs 2019 Sem'!FL32*$DB$4</f>
        <v>3818.5549440000004</v>
      </c>
      <c r="HY33" s="735">
        <v>2116.12</v>
      </c>
      <c r="HZ33" s="700">
        <f t="shared" si="658"/>
        <v>0.42116748968795242</v>
      </c>
      <c r="IA33" s="593">
        <f>'Proy 2021 vs 2019 Sem'!FK32*$DF$4</f>
        <v>5024.4144000000006</v>
      </c>
      <c r="IB33" s="593">
        <f>'Proy 2021 vs 2019 Sem'!FL32*$DF$4</f>
        <v>3818.5549440000004</v>
      </c>
      <c r="IC33" s="735">
        <v>3149.24</v>
      </c>
      <c r="ID33" s="700">
        <f t="shared" si="659"/>
        <v>0.62678747198877538</v>
      </c>
      <c r="IE33" s="593">
        <f>'Proy 2021 vs 2019 Sem'!FK32*$DJ$4</f>
        <v>5024.4144000000006</v>
      </c>
      <c r="IF33" s="593">
        <f>'Proy 2021 vs 2019 Sem'!FL32*$DJ$4</f>
        <v>3818.5549440000004</v>
      </c>
      <c r="IG33" s="735">
        <v>1582.66</v>
      </c>
      <c r="IH33" s="700">
        <f t="shared" si="660"/>
        <v>0.31499392247582125</v>
      </c>
      <c r="II33" s="593">
        <f>'Proy 2021 vs 2019 Sem'!FK32*$DN$4</f>
        <v>5861.8168000000005</v>
      </c>
      <c r="IJ33" s="593">
        <f>'Proy 2021 vs 2019 Sem'!FL32*$DN$4</f>
        <v>4454.9807680000013</v>
      </c>
      <c r="IK33" s="735">
        <v>1444.16</v>
      </c>
      <c r="IL33" s="700">
        <f t="shared" si="661"/>
        <v>0.24636730373422791</v>
      </c>
      <c r="IM33" s="593">
        <f>'Proy 2021 vs 2019 Sem'!FK32*$DR$4</f>
        <v>6699.2192000000005</v>
      </c>
      <c r="IN33" s="593">
        <f>'Proy 2021 vs 2019 Sem'!FL32*$DR$4</f>
        <v>5091.4065920000003</v>
      </c>
      <c r="IO33" s="1410">
        <v>1312.13</v>
      </c>
      <c r="IP33" s="700">
        <f t="shared" si="662"/>
        <v>0.19586312386971902</v>
      </c>
      <c r="IQ33" s="593">
        <f>'Proy 2021 vs 2019 Sem'!FK32*$IT$4</f>
        <v>9211.4264000000003</v>
      </c>
      <c r="IR33" s="593">
        <f>'Proy 2021 vs 2019 Sem'!FL32*$IT$4</f>
        <v>7000.6840640000009</v>
      </c>
      <c r="IS33" s="735">
        <v>2431.2800000000002</v>
      </c>
      <c r="IT33" s="700">
        <f t="shared" si="663"/>
        <v>0.26394174956443228</v>
      </c>
      <c r="IU33" s="579">
        <f t="shared" si="664"/>
        <v>41870.120000000003</v>
      </c>
      <c r="IV33" s="574">
        <f t="shared" si="665"/>
        <v>31821.291200000003</v>
      </c>
      <c r="IW33" s="765">
        <f t="shared" si="666"/>
        <v>15841.340000000002</v>
      </c>
      <c r="IX33" s="761">
        <f t="shared" si="667"/>
        <v>0.37834474799690093</v>
      </c>
      <c r="IY33" s="593">
        <f>'Proy 2021 vs 2019 Sem'!FP32*$JB$4</f>
        <v>4763.8332</v>
      </c>
      <c r="IZ33" s="593">
        <f>'Proy 2021 vs 2019 Sem'!FQ32*$JB$4</f>
        <v>3334.6832399999998</v>
      </c>
      <c r="JA33" s="735">
        <v>1243.6500000000001</v>
      </c>
      <c r="JB33" s="700">
        <f t="shared" si="668"/>
        <v>0.2610607776947354</v>
      </c>
      <c r="JC33" s="593">
        <f>'Proy 2021 vs 2019 Sem'!FP32*$JF$4</f>
        <v>4763.8332</v>
      </c>
      <c r="JD33" s="593">
        <f>'Proy 2021 vs 2019 Sem'!FQ32*$JF$4</f>
        <v>3334.6832399999998</v>
      </c>
      <c r="JE33" s="735">
        <v>1798.55</v>
      </c>
      <c r="JF33" s="700">
        <f t="shared" si="669"/>
        <v>0.37754260581583754</v>
      </c>
      <c r="JG33" s="593">
        <f>'Proy 2021 vs 2019 Sem'!FP32*$JJ$4</f>
        <v>4763.8332</v>
      </c>
      <c r="JH33" s="593">
        <f>'Proy 2021 vs 2019 Sem'!FQ32*$JJ$4</f>
        <v>3334.6832399999998</v>
      </c>
      <c r="JI33" s="735">
        <v>1111.29</v>
      </c>
      <c r="JJ33" s="700">
        <f t="shared" si="670"/>
        <v>0.23327642957776101</v>
      </c>
      <c r="JK33" s="593">
        <f>'Proy 2021 vs 2019 Sem'!FP32*$JN$4</f>
        <v>4763.8332</v>
      </c>
      <c r="JL33" s="593">
        <f>'Proy 2021 vs 2019 Sem'!FQ32*$JN$4</f>
        <v>3334.6832399999998</v>
      </c>
      <c r="JM33" s="735">
        <v>1372.66</v>
      </c>
      <c r="JN33" s="700">
        <f t="shared" si="671"/>
        <v>0.28814191059418287</v>
      </c>
      <c r="JO33" s="593">
        <f>'Proy 2021 vs 2019 Sem'!FP32*$JR$4</f>
        <v>5557.8054000000002</v>
      </c>
      <c r="JP33" s="593">
        <f>'Proy 2021 vs 2019 Sem'!FQ32*$JR$4</f>
        <v>3890.46378</v>
      </c>
      <c r="JQ33" s="735">
        <v>748.34</v>
      </c>
      <c r="JR33" s="700">
        <f t="shared" si="672"/>
        <v>0.13464667186800028</v>
      </c>
      <c r="JS33" s="593">
        <f>'Proy 2021 vs 2019 Sem'!FP32*$JV$4</f>
        <v>6351.7776000000003</v>
      </c>
      <c r="JT33" s="593">
        <f>'Proy 2021 vs 2019 Sem'!FQ32*$JV$4</f>
        <v>4446.2443199999998</v>
      </c>
      <c r="JU33" s="735">
        <v>2689.3</v>
      </c>
      <c r="JV33" s="700">
        <f t="shared" si="673"/>
        <v>0.42339328757354477</v>
      </c>
      <c r="JW33" s="593">
        <f>'Proy 2021 vs 2019 Sem'!FP32*$JZ$4</f>
        <v>8733.6941999999999</v>
      </c>
      <c r="JX33" s="593">
        <f>'Proy 2021 vs 2019 Sem'!FQ32*$JZ$4</f>
        <v>6113.5859399999999</v>
      </c>
      <c r="JY33" s="735">
        <v>2062.65</v>
      </c>
      <c r="JZ33" s="700">
        <f t="shared" si="674"/>
        <v>0.23617153895770704</v>
      </c>
      <c r="KA33" s="579">
        <f t="shared" si="675"/>
        <v>39698.61</v>
      </c>
      <c r="KB33" s="574">
        <f t="shared" si="676"/>
        <v>27789.026999999998</v>
      </c>
      <c r="KC33" s="770">
        <f t="shared" si="677"/>
        <v>11026.44</v>
      </c>
      <c r="KD33" s="761">
        <f t="shared" si="678"/>
        <v>0.2777538054858848</v>
      </c>
      <c r="KE33" s="593">
        <f>'Proy 2021 vs 2019 Sem'!FY32*$KH$4</f>
        <v>4504.1807999999992</v>
      </c>
      <c r="KF33" s="593">
        <f>'Proy 2021 vs 2019 Sem'!FZ32*$KH$4</f>
        <v>3468.219216</v>
      </c>
      <c r="KG33" s="735">
        <v>1682.11</v>
      </c>
      <c r="KH33" s="700">
        <f t="shared" si="679"/>
        <v>0.37345525739108881</v>
      </c>
      <c r="KI33" s="593">
        <f>'Proy 2021 vs 2019 Sem'!FY32*$KL$4</f>
        <v>4504.1807999999992</v>
      </c>
      <c r="KJ33" s="593">
        <f>'Proy 2021 vs 2019 Sem'!FZ32*$KL$4</f>
        <v>3468.219216</v>
      </c>
      <c r="KK33" s="735">
        <v>1707.73</v>
      </c>
      <c r="KL33" s="700">
        <f t="shared" si="680"/>
        <v>0.3791433061479238</v>
      </c>
      <c r="KM33" s="593">
        <f>'Proy 2021 vs 2019 Sem'!FY32*$KP$4</f>
        <v>4504.1807999999992</v>
      </c>
      <c r="KN33" s="593">
        <f>'Proy 2021 vs 2019 Sem'!FZ32*$KP$4</f>
        <v>3468.219216</v>
      </c>
      <c r="KO33" s="735">
        <v>1270.2</v>
      </c>
      <c r="KP33" s="700">
        <f t="shared" si="681"/>
        <v>0.28200466553207637</v>
      </c>
      <c r="KQ33" s="593">
        <f>'Proy 2021 vs 2019 Sem'!FY32*$KT$4</f>
        <v>4504.1807999999992</v>
      </c>
      <c r="KR33" s="593">
        <f>'Proy 2021 vs 2019 Sem'!FZ32*$KT$4</f>
        <v>3468.219216</v>
      </c>
      <c r="KS33" s="735">
        <v>1857.75</v>
      </c>
      <c r="KT33" s="700">
        <f t="shared" si="682"/>
        <v>0.41245013965691618</v>
      </c>
      <c r="KU33" s="593">
        <f>'Proy 2021 vs 2019 Sem'!FY32*$KX$4</f>
        <v>5254.8775999999998</v>
      </c>
      <c r="KV33" s="593">
        <f>'Proy 2021 vs 2019 Sem'!FZ32*$KX$4</f>
        <v>4046.255752</v>
      </c>
      <c r="KW33" s="735">
        <v>1762.73</v>
      </c>
      <c r="KX33" s="700">
        <f t="shared" si="683"/>
        <v>0.33544644312933192</v>
      </c>
      <c r="KY33" s="593">
        <f>'Proy 2021 vs 2019 Sem'!FY32*$LB$4</f>
        <v>6005.5743999999995</v>
      </c>
      <c r="KZ33" s="593">
        <f>'Proy 2021 vs 2019 Sem'!FZ32*$LB$4</f>
        <v>4624.2922879999996</v>
      </c>
      <c r="LA33" s="735">
        <v>2609.3200000000002</v>
      </c>
      <c r="LB33" s="700">
        <f t="shared" si="684"/>
        <v>0.43448300299135423</v>
      </c>
      <c r="LC33" s="593">
        <f>'Proy 2021 vs 2019 Sem'!FY32*$LF$4</f>
        <v>8257.6647999999986</v>
      </c>
      <c r="LD33" s="593">
        <f>'Proy 2021 vs 2019 Sem'!FZ32*$LF$4</f>
        <v>6358.4018959999994</v>
      </c>
      <c r="LE33" s="735">
        <v>1956.51</v>
      </c>
      <c r="LF33" s="700">
        <f t="shared" si="685"/>
        <v>0.23693260109080722</v>
      </c>
      <c r="LG33" s="579">
        <f t="shared" si="686"/>
        <v>37534.839999999997</v>
      </c>
      <c r="LH33" s="574">
        <f t="shared" si="687"/>
        <v>28901.826799999999</v>
      </c>
      <c r="LI33" s="793">
        <f t="shared" si="688"/>
        <v>12846.35</v>
      </c>
      <c r="LJ33" s="786">
        <f t="shared" si="689"/>
        <v>0.34225135900406134</v>
      </c>
      <c r="LK33" s="593">
        <f>'Proy 2021 vs 2019 Sem'!GD32*$LN$4</f>
        <v>4721.9052000000001</v>
      </c>
      <c r="LL33" s="593">
        <f>'Proy 2021 vs 2019 Sem'!GE32*$LN$4</f>
        <v>3541.4288999999999</v>
      </c>
      <c r="LM33" s="735">
        <v>4168.47</v>
      </c>
      <c r="LN33" s="700">
        <f t="shared" si="690"/>
        <v>0.8827940891316497</v>
      </c>
      <c r="LO33" s="593">
        <f>'Proy 2021 vs 2019 Sem'!GD32*$LR$4</f>
        <v>4721.9052000000001</v>
      </c>
      <c r="LP33" s="593">
        <f>'Proy 2021 vs 2019 Sem'!GE32*$LR$4</f>
        <v>3541.4288999999999</v>
      </c>
      <c r="LQ33" s="735">
        <v>1532.07</v>
      </c>
      <c r="LR33" s="700">
        <f t="shared" si="691"/>
        <v>0.32446013528607054</v>
      </c>
      <c r="LS33" s="593">
        <f>'Proy 2021 vs 2019 Sem'!GD32*$LV$4</f>
        <v>4721.9052000000001</v>
      </c>
      <c r="LT33" s="593">
        <f>'Proy 2021 vs 2019 Sem'!GE32*$LV$4</f>
        <v>3541.4288999999999</v>
      </c>
      <c r="LU33" s="735">
        <v>948.68</v>
      </c>
      <c r="LV33" s="700">
        <f t="shared" si="692"/>
        <v>0.20091042912085569</v>
      </c>
      <c r="LW33" s="593">
        <f>'Proy 2021 vs 2019 Sem'!GD32*$LZ$4</f>
        <v>4721.9052000000001</v>
      </c>
      <c r="LX33" s="593">
        <f>'Proy 2021 vs 2019 Sem'!GE32*$LZ$4</f>
        <v>3541.4288999999999</v>
      </c>
      <c r="LY33" s="735">
        <v>1016.78</v>
      </c>
      <c r="LZ33" s="700">
        <f t="shared" si="693"/>
        <v>0.21533257380940218</v>
      </c>
      <c r="MA33" s="593">
        <f>'Proy 2021 vs 2019 Sem'!GD32*$MD$4</f>
        <v>5508.8894</v>
      </c>
      <c r="MB33" s="593">
        <f>'Proy 2021 vs 2019 Sem'!GE32*$MD$4</f>
        <v>4131.6670500000009</v>
      </c>
      <c r="MC33" s="735">
        <v>2168.4899999999998</v>
      </c>
      <c r="MD33" s="700">
        <f t="shared" si="694"/>
        <v>0.39363469522550221</v>
      </c>
      <c r="ME33" s="593">
        <f>'Proy 2021 vs 2019 Sem'!GD32*$MH$4</f>
        <v>6295.8735999999999</v>
      </c>
      <c r="MF33" s="593">
        <f>'Proy 2021 vs 2019 Sem'!GE32*$MH$4</f>
        <v>4721.9052000000001</v>
      </c>
      <c r="MG33" s="735">
        <v>2299.4499999999998</v>
      </c>
      <c r="MH33" s="700">
        <f t="shared" si="695"/>
        <v>0.36523128418588324</v>
      </c>
      <c r="MI33" s="593">
        <f>'Proy 2021 vs 2019 Sem'!GD32*$ML$4</f>
        <v>8656.8261999999995</v>
      </c>
      <c r="MJ33" s="593">
        <f>'Proy 2021 vs 2019 Sem'!GE32*$ML$4</f>
        <v>6492.6196500000005</v>
      </c>
      <c r="MK33" s="735">
        <v>4200.1899999999996</v>
      </c>
      <c r="ML33" s="700">
        <f t="shared" si="696"/>
        <v>0.4851882090459434</v>
      </c>
      <c r="MM33" s="579">
        <f t="shared" si="697"/>
        <v>39349.21</v>
      </c>
      <c r="MN33" s="574">
        <f t="shared" si="698"/>
        <v>29511.907500000001</v>
      </c>
      <c r="MO33" s="794">
        <f t="shared" si="699"/>
        <v>16334.129999999997</v>
      </c>
      <c r="MP33" s="786">
        <f t="shared" si="700"/>
        <v>0.4151069360731765</v>
      </c>
      <c r="MQ33" s="593">
        <f>'Proy 2021 vs 2019 Sem'!GI32*$MT$4</f>
        <v>4682.0639999999994</v>
      </c>
      <c r="MR33" s="593">
        <f>'Proy 2021 vs 2019 Sem'!GJ32*$MT$4</f>
        <v>3277.4447999999998</v>
      </c>
      <c r="MS33" s="735">
        <v>1859.26</v>
      </c>
      <c r="MT33" s="700">
        <f t="shared" si="701"/>
        <v>0.39710264532906858</v>
      </c>
      <c r="MU33" s="593">
        <f>'Proy 2021 vs 2019 Sem'!GI32*$MX$4</f>
        <v>4682.0639999999994</v>
      </c>
      <c r="MV33" s="593">
        <f>'Proy 2021 vs 2019 Sem'!GJ32*$MX$4</f>
        <v>3277.4447999999998</v>
      </c>
      <c r="MW33" s="735">
        <v>1249.6500000000001</v>
      </c>
      <c r="MX33" s="700">
        <f t="shared" si="702"/>
        <v>0.26690152035512549</v>
      </c>
      <c r="MY33" s="593">
        <f>'Proy 2021 vs 2019 Sem'!GI32*$NB$4</f>
        <v>4682.0639999999994</v>
      </c>
      <c r="MZ33" s="593">
        <f>'Proy 2021 vs 2019 Sem'!GJ32*$NB$4</f>
        <v>3277.4447999999998</v>
      </c>
      <c r="NA33" s="735">
        <v>4097.29</v>
      </c>
      <c r="NB33" s="700">
        <f t="shared" si="703"/>
        <v>0.87510337321318132</v>
      </c>
      <c r="NC33" s="593">
        <f>'Proy 2021 vs 2019 Sem'!GI32*$NF$4</f>
        <v>4682.0639999999994</v>
      </c>
      <c r="ND33" s="593">
        <f>'Proy 2021 vs 2019 Sem'!GJ32*$NF$4</f>
        <v>3277.4447999999998</v>
      </c>
      <c r="NE33" s="735">
        <v>1838.92</v>
      </c>
      <c r="NF33" s="700">
        <f t="shared" si="704"/>
        <v>0.39275840740323076</v>
      </c>
      <c r="NG33" s="593">
        <f>'Proy 2021 vs 2019 Sem'!GI32*$NJ$4</f>
        <v>5462.4080000000004</v>
      </c>
      <c r="NH33" s="593">
        <f>'Proy 2021 vs 2019 Sem'!GJ32*$NJ$4</f>
        <v>3823.6855999999998</v>
      </c>
      <c r="NI33" s="735">
        <v>2454.85</v>
      </c>
      <c r="NJ33" s="700">
        <f t="shared" si="705"/>
        <v>0.44940802664319468</v>
      </c>
      <c r="NK33" s="593">
        <f>'Proy 2021 vs 2019 Sem'!GI32*$NN$4</f>
        <v>6242.7519999999995</v>
      </c>
      <c r="NL33" s="593">
        <f>'Proy 2021 vs 2019 Sem'!GJ32*$NN$4</f>
        <v>4369.9263999999994</v>
      </c>
      <c r="NM33" s="735">
        <v>2938.07</v>
      </c>
      <c r="NN33" s="700">
        <f t="shared" si="706"/>
        <v>0.47063698830259482</v>
      </c>
      <c r="NO33" s="593">
        <f>'Proy 2021 vs 2019 Sem'!GI32*$NR$4</f>
        <v>8583.7839999999997</v>
      </c>
      <c r="NP33" s="593">
        <f>'Proy 2021 vs 2019 Sem'!GJ32*$NR$4</f>
        <v>6008.648799999999</v>
      </c>
      <c r="NQ33" s="735">
        <v>2310.4699999999998</v>
      </c>
      <c r="NR33" s="700">
        <f t="shared" si="707"/>
        <v>0.26916683830814009</v>
      </c>
      <c r="NS33" s="579">
        <f t="shared" si="708"/>
        <v>39017.199999999997</v>
      </c>
      <c r="NT33" s="574">
        <f t="shared" si="709"/>
        <v>27312.039999999997</v>
      </c>
      <c r="NU33" s="794">
        <f t="shared" si="710"/>
        <v>16748.509999999998</v>
      </c>
      <c r="NV33" s="786">
        <f t="shared" si="711"/>
        <v>0.42925965984232595</v>
      </c>
      <c r="NW33" s="593">
        <f>'Proy 2021 vs 2019 Sem'!GN32*$NZ$4</f>
        <v>5042.3867999999993</v>
      </c>
      <c r="NX33" s="593">
        <f>'Proy 2021 vs 2019 Sem'!GO32*$NZ$4</f>
        <v>3580.0946279999998</v>
      </c>
      <c r="NY33" s="735">
        <v>2847.47</v>
      </c>
      <c r="NZ33" s="700">
        <f t="shared" si="712"/>
        <v>0.56470677735393093</v>
      </c>
      <c r="OA33" s="593">
        <f>'Proy 2021 vs 2019 Sem'!GN32*$OD$4</f>
        <v>5042.3867999999993</v>
      </c>
      <c r="OB33" s="593">
        <f>'Proy 2021 vs 2019 Sem'!GO32*$OD$4</f>
        <v>3580.0946279999998</v>
      </c>
      <c r="OC33" s="735">
        <v>2054.16</v>
      </c>
      <c r="OD33" s="700">
        <f t="shared" si="713"/>
        <v>0.40737850575049106</v>
      </c>
      <c r="OE33" s="593">
        <f>'Proy 2021 vs 2019 Sem'!GN32*$OH$4</f>
        <v>5042.3867999999993</v>
      </c>
      <c r="OF33" s="593">
        <f>'Proy 2021 vs 2019 Sem'!GO32*$OH$4</f>
        <v>3580.0946279999998</v>
      </c>
      <c r="OG33" s="735">
        <v>2494.54</v>
      </c>
      <c r="OH33" s="700">
        <f t="shared" si="714"/>
        <v>0.4947141302210295</v>
      </c>
      <c r="OI33" s="593">
        <f>'Proy 2021 vs 2019 Sem'!GN32*$OL$4</f>
        <v>5042.3867999999993</v>
      </c>
      <c r="OJ33" s="593">
        <f>'Proy 2021 vs 2019 Sem'!GO32*$OL$4</f>
        <v>3580.0946279999998</v>
      </c>
      <c r="OK33" s="735">
        <v>1610.61</v>
      </c>
      <c r="OL33" s="700">
        <f t="shared" si="715"/>
        <v>0.31941421074638704</v>
      </c>
      <c r="OM33" s="593">
        <f>'Proy 2021 vs 2019 Sem'!GN32*$OP$4</f>
        <v>5882.7846000000009</v>
      </c>
      <c r="ON33" s="593">
        <f>'Proy 2021 vs 2019 Sem'!GO32*$OP$4</f>
        <v>4176.7770660000006</v>
      </c>
      <c r="OO33" s="735">
        <v>1363.75</v>
      </c>
      <c r="OP33" s="700">
        <f t="shared" si="716"/>
        <v>0.23182048854890927</v>
      </c>
      <c r="OQ33" s="593">
        <f>'Proy 2021 vs 2019 Sem'!GN32*$JV$4</f>
        <v>6723.1823999999997</v>
      </c>
      <c r="OR33" s="593">
        <f>'Proy 2021 vs 2019 Sem'!GO32*$JV$4</f>
        <v>4773.4595039999995</v>
      </c>
      <c r="OS33" s="735">
        <v>2243.4299999999998</v>
      </c>
      <c r="OT33" s="700">
        <f t="shared" si="717"/>
        <v>0.33368572597405655</v>
      </c>
      <c r="OU33" s="593">
        <f>'Proy 2021 vs 2019 Sem'!GN32*$OX$4</f>
        <v>9244.3757999999998</v>
      </c>
      <c r="OV33" s="593">
        <f>'Proy 2021 vs 2019 Sem'!GO32*$OX$4</f>
        <v>6563.5068179999998</v>
      </c>
      <c r="OW33" s="735">
        <v>3791.18</v>
      </c>
      <c r="OX33" s="700">
        <f t="shared" si="718"/>
        <v>0.41010665100828114</v>
      </c>
      <c r="OY33" s="579">
        <f t="shared" si="719"/>
        <v>42019.89</v>
      </c>
      <c r="OZ33" s="574">
        <f t="shared" si="720"/>
        <v>29834.121899999998</v>
      </c>
      <c r="PA33" s="785">
        <f t="shared" si="721"/>
        <v>16405.14</v>
      </c>
      <c r="PB33" s="786">
        <f t="shared" si="722"/>
        <v>0.39041368266313881</v>
      </c>
      <c r="PC33" s="593">
        <f>'Proy 2021 vs 2019 Sem'!GW32*$PF$4</f>
        <v>4220.16</v>
      </c>
      <c r="PD33" s="593">
        <f>'Proy 2021 vs 2019 Sem'!GX32*$PF$4</f>
        <v>2996.3136</v>
      </c>
      <c r="PE33" s="735">
        <v>1056.8499999999999</v>
      </c>
      <c r="PF33" s="700">
        <f t="shared" si="723"/>
        <v>0.25042889369123444</v>
      </c>
      <c r="PG33" s="593">
        <f>'Proy 2021 vs 2019 Sem'!GW32*$PJ$4</f>
        <v>4220.16</v>
      </c>
      <c r="PH33" s="593">
        <f>'Proy 2021 vs 2019 Sem'!GX32*$PJ$4</f>
        <v>2996.3136</v>
      </c>
      <c r="PI33" s="735">
        <v>448.89</v>
      </c>
      <c r="PJ33" s="700">
        <f t="shared" si="724"/>
        <v>0.10636800500454958</v>
      </c>
      <c r="PK33" s="593">
        <f>'Proy 2021 vs 2019 Sem'!GW32*'Vtas Diarias 2021'!$PN$4</f>
        <v>4220.16</v>
      </c>
      <c r="PL33" s="593">
        <f>'Proy 2021 vs 2019 Sem'!GX32*'Vtas Diarias 2021'!$PN$4</f>
        <v>2996.3136</v>
      </c>
      <c r="PM33" s="735">
        <v>403.91</v>
      </c>
      <c r="PN33" s="700">
        <f t="shared" si="725"/>
        <v>9.5709641340612689E-2</v>
      </c>
      <c r="PO33" s="593">
        <f>'Proy 2021 vs 2019 Sem'!GW32*$PR$4</f>
        <v>4220.16</v>
      </c>
      <c r="PP33" s="593">
        <f>'Proy 2021 vs 2019 Sem'!GX32*$PR$4</f>
        <v>2996.3136</v>
      </c>
      <c r="PQ33" s="735">
        <v>994.86</v>
      </c>
      <c r="PR33" s="700">
        <f t="shared" si="726"/>
        <v>0.23573987716105552</v>
      </c>
      <c r="PS33" s="593">
        <f>'Proy 2021 vs 2019 Sem'!GW32*$PV$4</f>
        <v>4923.5200000000004</v>
      </c>
      <c r="PT33" s="593">
        <f>'Proy 2021 vs 2019 Sem'!GX32*$PV$4</f>
        <v>3495.6992</v>
      </c>
      <c r="PU33" s="735">
        <v>1196.69</v>
      </c>
      <c r="PV33" s="700">
        <f t="shared" si="727"/>
        <v>0.24305578122968932</v>
      </c>
      <c r="PW33" s="593">
        <f>'Proy 2021 vs 2019 Sem'!GW32*PZ$4</f>
        <v>5626.88</v>
      </c>
      <c r="PX33" s="593">
        <f>'Proy 2021 vs 2019 Sem'!GX32*$PZ$4</f>
        <v>3995.0848000000001</v>
      </c>
      <c r="PY33" s="735">
        <v>938.74</v>
      </c>
      <c r="PZ33" s="700">
        <f t="shared" si="728"/>
        <v>0.16683135236578708</v>
      </c>
      <c r="QA33" s="593">
        <f>'Proy 2021 vs 2019 Sem'!GW32*$QD$4</f>
        <v>7736.96</v>
      </c>
      <c r="QB33" s="593">
        <f>'Proy 2021 vs 2019 Sem'!GX32*$QD$4</f>
        <v>5493.2415999999994</v>
      </c>
      <c r="QC33" s="735">
        <v>1699.59</v>
      </c>
      <c r="QD33" s="700">
        <f t="shared" si="729"/>
        <v>0.21967155058317478</v>
      </c>
      <c r="QE33" s="579">
        <f t="shared" si="730"/>
        <v>35168</v>
      </c>
      <c r="QF33" s="574">
        <f t="shared" si="731"/>
        <v>24969.279999999999</v>
      </c>
      <c r="QG33" s="729">
        <f t="shared" si="732"/>
        <v>6739.53</v>
      </c>
      <c r="QH33" s="711">
        <f t="shared" si="733"/>
        <v>0.19163813694267515</v>
      </c>
      <c r="QI33" s="578">
        <f>'Proy 2021 vs 2019 Sem'!HB32*$QL$4</f>
        <v>4878.2376000000004</v>
      </c>
      <c r="QJ33" s="611">
        <f>'Proy 2021 vs 2019 Sem'!UG32*$AL$4</f>
        <v>0</v>
      </c>
      <c r="QK33" s="735">
        <v>2453.42</v>
      </c>
      <c r="QL33" s="700">
        <f t="shared" si="734"/>
        <v>0.50293163252236828</v>
      </c>
      <c r="QM33" s="593">
        <f>'Proy 2021 vs 2019 Sem'!HB32*$QP$4</f>
        <v>4878.2376000000004</v>
      </c>
      <c r="QN33" s="593">
        <f>'Proy 2021 vs 2019 Sem'!UG32*$AP$4</f>
        <v>0</v>
      </c>
      <c r="QO33" s="735">
        <v>990.8</v>
      </c>
      <c r="QP33" s="700">
        <f t="shared" si="735"/>
        <v>0.20310613816760378</v>
      </c>
      <c r="QQ33" s="593">
        <f>'Proy 2021 vs 2019 Sem'!HB32*$QT$4</f>
        <v>4878.2376000000004</v>
      </c>
      <c r="QR33" s="593">
        <f>'Proy 2021 vs 2019 Sem'!HC32*$QT$4</f>
        <v>3463.5486959999998</v>
      </c>
      <c r="QS33" s="735">
        <v>1197.83</v>
      </c>
      <c r="QT33" s="700">
        <f t="shared" si="736"/>
        <v>0.24554564541915708</v>
      </c>
      <c r="QU33" s="593">
        <f>'Proy 2021 vs 2019 Sem'!HB32*$QX$4</f>
        <v>4878.2376000000004</v>
      </c>
      <c r="QV33" s="593">
        <f>'Proy 2021 vs 2019 Sem'!HC32*$QX$4</f>
        <v>3463.5486959999998</v>
      </c>
      <c r="QW33" s="735">
        <v>2430.62</v>
      </c>
      <c r="QX33" s="700">
        <f t="shared" si="737"/>
        <v>0.49825781343655745</v>
      </c>
      <c r="QY33" s="593">
        <f>'Proy 2021 vs 2019 Sem'!HB32*$RB$4</f>
        <v>5691.2772000000014</v>
      </c>
      <c r="QZ33" s="593">
        <f>'Proy 2021 vs 2019 Sem'!HC32*$RB$4</f>
        <v>4040.8068120000003</v>
      </c>
      <c r="RA33" s="735">
        <v>2213.41</v>
      </c>
      <c r="RB33" s="700">
        <f t="shared" si="738"/>
        <v>0.38891270310994502</v>
      </c>
      <c r="RC33" s="593">
        <f>'Proy 2021 vs 2019 Sem'!HB32*$RF$4</f>
        <v>6504.3168000000005</v>
      </c>
      <c r="RD33" s="593">
        <f>'Proy 2021 vs 2019 Sem'!HC32*$RF$4</f>
        <v>4618.0649279999998</v>
      </c>
      <c r="RE33" s="735">
        <v>1975.59</v>
      </c>
      <c r="RF33" s="700">
        <f t="shared" si="739"/>
        <v>0.30373520551766481</v>
      </c>
      <c r="RG33" s="593">
        <f>'Proy 2021 vs 2019 Sem'!HB32*$RJ$4</f>
        <v>8943.4356000000007</v>
      </c>
      <c r="RH33" s="593">
        <f>'Proy 2021 vs 2019 Sem'!HC32*$RJ$4</f>
        <v>6349.8392759999997</v>
      </c>
      <c r="RI33" s="735">
        <v>5284.85</v>
      </c>
      <c r="RJ33" s="700">
        <f t="shared" si="740"/>
        <v>0.59091944487194603</v>
      </c>
      <c r="RK33" s="579">
        <f t="shared" si="741"/>
        <v>40651.980000000003</v>
      </c>
      <c r="RL33" s="574">
        <f t="shared" si="742"/>
        <v>21935.808408000001</v>
      </c>
      <c r="RM33" s="730">
        <f t="shared" si="743"/>
        <v>16546.52</v>
      </c>
      <c r="RN33" s="711">
        <f t="shared" si="744"/>
        <v>0.40702863673552919</v>
      </c>
      <c r="RO33" s="593">
        <f>'Proy 2021 vs 2019 Sem'!HG32*$RR$4</f>
        <v>4611.7560000000003</v>
      </c>
      <c r="RP33" s="593">
        <f>'Proy 2021 vs 2019 Sem'!HH32*$RR$4</f>
        <v>3274.3467599999999</v>
      </c>
      <c r="RQ33" s="735">
        <v>3369.19</v>
      </c>
      <c r="RR33" s="700">
        <f t="shared" si="745"/>
        <v>0.73056553729208562</v>
      </c>
      <c r="RS33" s="593">
        <f>'Proy 2021 vs 2019 Sem'!HG32*$RV$4</f>
        <v>4611.7560000000003</v>
      </c>
      <c r="RT33" s="593">
        <f>'Proy 2021 vs 2019 Sem'!HH32*$RV$4</f>
        <v>3274.3467599999999</v>
      </c>
      <c r="RU33" s="735">
        <v>3540.58</v>
      </c>
      <c r="RV33" s="700">
        <f t="shared" si="746"/>
        <v>0.76772925540726777</v>
      </c>
      <c r="RW33" s="593">
        <f>'Proy 2021 vs 2019 Sem'!HG32*$RZ$4</f>
        <v>4611.7560000000003</v>
      </c>
      <c r="RX33" s="593">
        <f>'Proy 2021 vs 2019 Sem'!HH32*$RZ$4</f>
        <v>3274.3467599999999</v>
      </c>
      <c r="RY33" s="735">
        <v>2748.4</v>
      </c>
      <c r="RZ33" s="700">
        <f t="shared" si="747"/>
        <v>0.59595520665013502</v>
      </c>
      <c r="SA33" s="593">
        <f>'Proy 2021 vs 2019 Sem'!HG32*$SD$4</f>
        <v>4611.7560000000003</v>
      </c>
      <c r="SB33" s="593">
        <f>'Proy 2021 vs 2019 Sem'!HH32*$SD$4</f>
        <v>3274.3467599999999</v>
      </c>
      <c r="SC33" s="735">
        <v>2844.5</v>
      </c>
      <c r="SD33" s="700">
        <f t="shared" si="748"/>
        <v>0.61679325619135095</v>
      </c>
      <c r="SE33" s="593">
        <f>'Proy 2021 vs 2019 Sem'!HG32*$SH$4</f>
        <v>5380.3820000000005</v>
      </c>
      <c r="SF33" s="593">
        <f>'Proy 2021 vs 2019 Sem'!HH32*$SH$4</f>
        <v>3820.0712200000007</v>
      </c>
      <c r="SG33" s="735">
        <v>2526.4299999999998</v>
      </c>
      <c r="SH33" s="700">
        <f t="shared" si="749"/>
        <v>0.46956331353424341</v>
      </c>
      <c r="SI33" s="593">
        <f>'Proy 2021 vs 2019 Sem'!HG32*$SL$4</f>
        <v>6149.0080000000007</v>
      </c>
      <c r="SJ33" s="593">
        <f>'Proy 2021 vs 2019 Sem'!HH32*$SL$4</f>
        <v>4365.7956800000002</v>
      </c>
      <c r="SK33" s="735">
        <v>3297.53</v>
      </c>
      <c r="SL33" s="700">
        <f t="shared" si="750"/>
        <v>0.53627024066320939</v>
      </c>
      <c r="SM33" s="593">
        <f>'Proy 2021 vs 2019 Sem'!HG32*$SP$4</f>
        <v>8454.8860000000004</v>
      </c>
      <c r="SN33" s="593">
        <f>'Proy 2021 vs 2019 Sem'!HH32*$SP$4</f>
        <v>6002.9690600000004</v>
      </c>
      <c r="SO33" s="735">
        <v>2266.46</v>
      </c>
      <c r="SP33" s="700">
        <f t="shared" si="751"/>
        <v>0.26806511643090158</v>
      </c>
      <c r="SQ33" s="579">
        <f t="shared" si="752"/>
        <v>38431.300000000003</v>
      </c>
      <c r="SR33" s="574">
        <f t="shared" si="753"/>
        <v>27286.222999999998</v>
      </c>
      <c r="SS33" s="730">
        <f t="shared" si="754"/>
        <v>20593.09</v>
      </c>
      <c r="ST33" s="711">
        <f t="shared" si="755"/>
        <v>0.53584161868060665</v>
      </c>
      <c r="SU33" s="593">
        <f>'Proy 2021 vs 2019 Sem'!HL32*$SX$4</f>
        <v>4384.2707999999993</v>
      </c>
      <c r="SV33" s="593">
        <f>'Proy 2021 vs 2019 Sem'!HM32*$SX$4</f>
        <v>3112.8322679999992</v>
      </c>
      <c r="SW33" s="735">
        <v>2491.2199999999998</v>
      </c>
      <c r="SX33" s="700">
        <f t="shared" si="756"/>
        <v>0.56821763838127881</v>
      </c>
      <c r="SY33" s="593">
        <f>'Proy 2021 vs 2019 Sem'!HL32*$TB$4</f>
        <v>4384.2707999999993</v>
      </c>
      <c r="SZ33" s="593">
        <f>'Proy 2021 vs 2019 Sem'!HM32*$TB$4</f>
        <v>3112.8322679999992</v>
      </c>
      <c r="TA33" s="735">
        <v>1287.82</v>
      </c>
      <c r="TB33" s="700">
        <f t="shared" si="757"/>
        <v>0.29373641792381988</v>
      </c>
      <c r="TC33" s="593">
        <f>'Proy 2021 vs 2019 Sem'!HL32*$TF$4</f>
        <v>4384.2707999999993</v>
      </c>
      <c r="TD33" s="593">
        <f>'Proy 2021 vs 2019 Sem'!HM32*$TF$4</f>
        <v>3112.8322679999992</v>
      </c>
      <c r="TE33" s="735">
        <v>1614.72</v>
      </c>
      <c r="TF33" s="700">
        <f t="shared" si="758"/>
        <v>0.36829841806304486</v>
      </c>
      <c r="TG33" s="593">
        <f>'Proy 2021 vs 2019 Sem'!HL32*$TJ$4</f>
        <v>4384.2707999999993</v>
      </c>
      <c r="TH33" s="593">
        <f>'Proy 2021 vs 2019 Sem'!HM32*$TJ$4</f>
        <v>3112.8322679999992</v>
      </c>
      <c r="TI33" s="735">
        <v>1452.74</v>
      </c>
      <c r="TJ33" s="700">
        <f t="shared" si="759"/>
        <v>0.3313527075015531</v>
      </c>
      <c r="TK33" s="593">
        <f>'Proy 2021 vs 2019 Sem'!HL32*$TN$4</f>
        <v>5114.9826000000003</v>
      </c>
      <c r="TL33" s="593">
        <f>'Proy 2021 vs 2019 Sem'!HM32*$TN$4</f>
        <v>3631.6376459999997</v>
      </c>
      <c r="TM33" s="735">
        <v>2510.5</v>
      </c>
      <c r="TN33" s="700">
        <f t="shared" si="760"/>
        <v>0.49081300882626655</v>
      </c>
      <c r="TO33" s="593">
        <f>'Proy 2021 vs 2019 Sem'!HL32*$TR$4</f>
        <v>5845.6943999999994</v>
      </c>
      <c r="TP33" s="611">
        <f>'Proy 2021 vs 2019 Sem'!HM32*$TR$4</f>
        <v>4150.4430239999992</v>
      </c>
      <c r="TQ33" s="735">
        <v>3691.37</v>
      </c>
      <c r="TR33" s="700">
        <f t="shared" si="761"/>
        <v>0.63146817938344502</v>
      </c>
      <c r="TS33" s="593">
        <f>'Proy 2021 vs 2019 Sem'!HL32*$TV$4</f>
        <v>8037.8297999999995</v>
      </c>
      <c r="TT33" s="593">
        <f>'Proy 2021 vs 2019 Sem'!HM32*$TV$4</f>
        <v>5706.8591579999993</v>
      </c>
      <c r="TU33" s="735">
        <v>4869.72</v>
      </c>
      <c r="TV33" s="700">
        <f t="shared" si="762"/>
        <v>0.6058501014788843</v>
      </c>
      <c r="TW33" s="579">
        <f t="shared" si="763"/>
        <v>36535.589999999997</v>
      </c>
      <c r="TX33" s="574">
        <f t="shared" si="764"/>
        <v>25940.268899999995</v>
      </c>
      <c r="TY33" s="710">
        <f t="shared" si="765"/>
        <v>17918.09</v>
      </c>
      <c r="TZ33" s="711">
        <f t="shared" si="766"/>
        <v>0.49042837408674672</v>
      </c>
      <c r="UA33" s="593">
        <v>9030.44</v>
      </c>
      <c r="UB33" s="593">
        <f>'Proy 2021 vs 2019 Sem'!HR32*$UD$4</f>
        <v>3629.3282999999997</v>
      </c>
      <c r="UC33" s="735">
        <v>3943.39</v>
      </c>
      <c r="UD33" s="700">
        <f t="shared" si="767"/>
        <v>0.43667750408617961</v>
      </c>
      <c r="UE33" s="593">
        <v>2727.86</v>
      </c>
      <c r="UF33" s="593">
        <f>'Proy 2021 vs 2019 Sem'!HR32*$UH$4</f>
        <v>3629.3282999999997</v>
      </c>
      <c r="UG33" s="735">
        <v>2025.28</v>
      </c>
      <c r="UH33" s="700">
        <f t="shared" si="768"/>
        <v>0.74244279398502855</v>
      </c>
      <c r="UI33" s="593">
        <v>6520.67</v>
      </c>
      <c r="UJ33" s="593">
        <f>'Proy 2021 vs 2019 Sem'!HR32*$UL$4</f>
        <v>3629.3282999999997</v>
      </c>
      <c r="UK33" s="735">
        <v>2365.2199999999998</v>
      </c>
      <c r="UL33" s="700">
        <f t="shared" si="769"/>
        <v>0.36272652963575824</v>
      </c>
      <c r="UM33" s="593">
        <v>4896.01</v>
      </c>
      <c r="UN33" s="593">
        <f>'Proy 2021 vs 2019 Sem'!HR32*$UP$4</f>
        <v>3629.3282999999997</v>
      </c>
      <c r="UO33" s="735">
        <v>1809.69</v>
      </c>
      <c r="UP33" s="700">
        <f t="shared" si="770"/>
        <v>0.36962547053621214</v>
      </c>
      <c r="UQ33" s="593">
        <v>4522.63</v>
      </c>
      <c r="UR33" s="593">
        <f>'Proy 2021 vs 2019 Sem'!HR32*$UT$4</f>
        <v>4234.2163500000006</v>
      </c>
      <c r="US33" s="735">
        <v>2971.01</v>
      </c>
      <c r="UT33" s="700">
        <f t="shared" si="771"/>
        <v>0.65692086241854852</v>
      </c>
      <c r="UU33" s="593">
        <v>6318.61</v>
      </c>
      <c r="UV33" s="593">
        <f>'Proy 2021 vs 2019 Sem'!HR32*$UX$4</f>
        <v>4839.1044000000002</v>
      </c>
      <c r="UW33" s="735">
        <v>4627.33</v>
      </c>
      <c r="UX33" s="700">
        <f t="shared" si="772"/>
        <v>0.73233353538199064</v>
      </c>
      <c r="UY33" s="593">
        <v>8581.5300000000007</v>
      </c>
      <c r="UZ33" s="593">
        <f>'Proy 2021 vs 2019 Sem'!HR32*$VB$4</f>
        <v>6653.7685499999998</v>
      </c>
      <c r="VA33" s="735">
        <v>5854.85</v>
      </c>
      <c r="VB33" s="700">
        <f t="shared" si="773"/>
        <v>0.68226178781639168</v>
      </c>
      <c r="VC33" s="577">
        <f>UA33+UE33+UI33+UM33+UQ33+UU33+UY33</f>
        <v>42597.75</v>
      </c>
      <c r="VD33" s="574">
        <f t="shared" si="774"/>
        <v>30244.4025</v>
      </c>
      <c r="VE33" s="710">
        <f t="shared" si="775"/>
        <v>23596.769999999997</v>
      </c>
      <c r="VF33" s="1531">
        <f t="shared" si="776"/>
        <v>0.55394404634047567</v>
      </c>
      <c r="VG33" s="593">
        <v>9801.4699999999993</v>
      </c>
      <c r="VH33" s="593">
        <f>'Proy 2021 vs 2019 Sem'!IA32*$VJ$4</f>
        <v>2723.4286200000001</v>
      </c>
      <c r="VI33" s="735">
        <v>3192.74</v>
      </c>
      <c r="VJ33" s="700">
        <f t="shared" si="777"/>
        <v>0.32574093477815064</v>
      </c>
      <c r="VK33" s="593">
        <v>4475.87</v>
      </c>
      <c r="VL33" s="593">
        <f>'Proy 2021 vs 2019 Sem'!IA32*$VN$4</f>
        <v>2723.4286200000001</v>
      </c>
      <c r="VM33" s="735">
        <v>1187.71</v>
      </c>
      <c r="VN33" s="700">
        <f t="shared" si="778"/>
        <v>0.26535846662213158</v>
      </c>
      <c r="VO33" s="593">
        <v>5135.57</v>
      </c>
      <c r="VP33" s="593">
        <f>'Proy 2021 vs 2019 Sem'!IA32*$VR$4</f>
        <v>2723.4286200000001</v>
      </c>
      <c r="VQ33" s="735">
        <v>966.83</v>
      </c>
      <c r="VR33" s="700">
        <f t="shared" si="779"/>
        <v>0.1882614782779711</v>
      </c>
      <c r="VS33" s="593">
        <v>2500.33</v>
      </c>
      <c r="VT33" s="593">
        <f>'Proy 2021 vs 2019 Sem'!IA32*$VV$4</f>
        <v>2723.4286200000001</v>
      </c>
      <c r="VU33" s="735">
        <v>1957.74</v>
      </c>
      <c r="VV33" s="700">
        <f t="shared" si="780"/>
        <v>0.78299264497086385</v>
      </c>
      <c r="VW33" s="593">
        <v>5125.71</v>
      </c>
      <c r="VX33" s="593">
        <f>'Proy 2021 vs 2019 Sem'!IA32*$VZ$4</f>
        <v>3177.3333900000007</v>
      </c>
      <c r="VY33" s="735">
        <v>1509.67</v>
      </c>
      <c r="VZ33" s="700">
        <f t="shared" si="781"/>
        <v>0.29452895306211241</v>
      </c>
      <c r="WA33" s="593">
        <v>5896.04</v>
      </c>
      <c r="WB33" s="593">
        <f>'Proy 2021 vs 2019 Sem'!IA32*$WD$4</f>
        <v>3631.2381600000008</v>
      </c>
      <c r="WC33" s="735">
        <v>3223.31</v>
      </c>
      <c r="WD33" s="700">
        <f t="shared" si="782"/>
        <v>0.54669066017191204</v>
      </c>
      <c r="WE33" s="593">
        <v>8329.08</v>
      </c>
      <c r="WF33" s="593">
        <f>'Proy 2021 vs 2019 Sem'!IA32*$WH$4</f>
        <v>4992.9524700000011</v>
      </c>
      <c r="WG33" s="735">
        <v>4621.01</v>
      </c>
      <c r="WH33" s="1538">
        <f t="shared" si="783"/>
        <v>0.55480437215154621</v>
      </c>
      <c r="WI33" s="574">
        <f t="shared" si="784"/>
        <v>21913.239999999998</v>
      </c>
      <c r="WJ33" s="575">
        <f t="shared" si="785"/>
        <v>22695.238500000003</v>
      </c>
      <c r="WK33" s="793">
        <f t="shared" si="786"/>
        <v>16659.009999999998</v>
      </c>
      <c r="WL33" s="786">
        <f t="shared" si="787"/>
        <v>0.76022578130846918</v>
      </c>
      <c r="WM33" s="593">
        <v>7313.34</v>
      </c>
      <c r="WN33" s="593">
        <f>'Proy 2021 vs 2019 Sem'!IF32*$WP$4</f>
        <v>2648.1443039999995</v>
      </c>
      <c r="WO33" s="735">
        <v>3387.18</v>
      </c>
      <c r="WP33" s="700">
        <f t="shared" si="788"/>
        <v>0.46315089958897027</v>
      </c>
      <c r="WQ33" s="593">
        <v>5992.74</v>
      </c>
      <c r="WR33" s="593">
        <f>'Proy 2021 vs 2019 Sem'!IF32*$WT$4</f>
        <v>2648.1443039999995</v>
      </c>
      <c r="WS33" s="735">
        <v>2054.94</v>
      </c>
      <c r="WT33" s="700">
        <f t="shared" si="789"/>
        <v>0.34290491494708597</v>
      </c>
      <c r="WU33" s="593">
        <v>3870.89</v>
      </c>
      <c r="WV33" s="593">
        <f>'Proy 2021 vs 2019 Sem'!IF32*$WX$4</f>
        <v>2648.1443039999995</v>
      </c>
      <c r="WW33" s="735">
        <v>746.81</v>
      </c>
      <c r="WX33" s="700">
        <f t="shared" si="790"/>
        <v>0.19292979133997606</v>
      </c>
      <c r="WY33" s="593">
        <v>5623.74</v>
      </c>
      <c r="WZ33" s="593">
        <f>'Proy 2021 vs 2019 Sem'!IF32*$XB$4</f>
        <v>2648.1443039999995</v>
      </c>
      <c r="XA33" s="735">
        <v>2500.19</v>
      </c>
      <c r="XB33" s="700">
        <f t="shared" si="791"/>
        <v>0.44457780765113608</v>
      </c>
      <c r="XC33" s="593">
        <v>3933.91</v>
      </c>
      <c r="XD33" s="593">
        <f>'Proy 2021 vs 2019 Sem'!IF32*$XF$4</f>
        <v>3089.5016879999998</v>
      </c>
      <c r="XE33" s="735">
        <v>4739.05</v>
      </c>
      <c r="XF33" s="700">
        <f t="shared" si="792"/>
        <v>1.2046666039639953</v>
      </c>
      <c r="XG33" s="593">
        <v>5840.72</v>
      </c>
      <c r="XH33" s="593">
        <f>'Proy 2021 vs 2019 Sem'!IF32*$XJ$4</f>
        <v>3530.8590719999997</v>
      </c>
      <c r="XI33" s="735">
        <v>7596.72</v>
      </c>
      <c r="XJ33" s="700">
        <f t="shared" si="793"/>
        <v>1.3006478653316713</v>
      </c>
      <c r="XK33" s="593">
        <v>6140.22</v>
      </c>
      <c r="XL33" s="593">
        <f>'Proy 2021 vs 2019 Sem'!IF32*$XN$4</f>
        <v>4854.931223999999</v>
      </c>
      <c r="XM33" s="735">
        <v>6184.24</v>
      </c>
      <c r="XN33" s="700">
        <f t="shared" si="794"/>
        <v>1.0071691242333336</v>
      </c>
      <c r="XO33" s="579">
        <f t="shared" si="795"/>
        <v>38715.56</v>
      </c>
      <c r="XP33" s="574">
        <f t="shared" si="796"/>
        <v>22067.869199999997</v>
      </c>
      <c r="XQ33" s="794">
        <f t="shared" si="797"/>
        <v>27209.130000000005</v>
      </c>
      <c r="XR33" s="786">
        <f t="shared" si="798"/>
        <v>0.70279572347655583</v>
      </c>
      <c r="XS33" s="593">
        <v>6350.45</v>
      </c>
      <c r="XT33" s="593">
        <f>'Proy 2021 vs 2019 Sem'!IK32*$XV$4</f>
        <v>3548.9721599999993</v>
      </c>
      <c r="XU33" s="735">
        <v>4677.95</v>
      </c>
      <c r="XV33" s="700">
        <f t="shared" si="799"/>
        <v>0.73663283704304416</v>
      </c>
      <c r="XW33" s="593">
        <v>4925.24</v>
      </c>
      <c r="XX33" s="593">
        <f>'Proy 2021 vs 2019 Sem'!IK32*$XZ$4</f>
        <v>3548.9721599999993</v>
      </c>
      <c r="XY33" s="735">
        <v>1619.65</v>
      </c>
      <c r="XZ33" s="700">
        <f t="shared" si="800"/>
        <v>0.32884691913490516</v>
      </c>
      <c r="YA33" s="593">
        <v>4557.62</v>
      </c>
      <c r="YB33" s="593">
        <f>'Proy 2021 vs 2019 Sem'!IK32*$YD$4</f>
        <v>3548.9721599999993</v>
      </c>
      <c r="YC33" s="735">
        <v>3128.53</v>
      </c>
      <c r="YD33" s="700">
        <f t="shared" si="801"/>
        <v>0.6864394135535653</v>
      </c>
      <c r="YE33" s="593">
        <v>5745.54</v>
      </c>
      <c r="YF33" s="593">
        <f>'Proy 2021 vs 2019 Sem'!IK32*$YH$4</f>
        <v>3548.9721599999993</v>
      </c>
      <c r="YG33" s="735">
        <v>2169.5700000000002</v>
      </c>
      <c r="YH33" s="700">
        <f t="shared" si="802"/>
        <v>0.3776094153030003</v>
      </c>
      <c r="YI33" s="593">
        <v>6750.17</v>
      </c>
      <c r="YJ33" s="593">
        <f>'Proy 2021 vs 2019 Sem'!IK32*$YL$4</f>
        <v>4140.4675200000001</v>
      </c>
      <c r="YK33" s="735">
        <v>3284.32</v>
      </c>
      <c r="YL33" s="700">
        <f t="shared" si="803"/>
        <v>0.48655367198159455</v>
      </c>
      <c r="YM33" s="593">
        <v>5733.53</v>
      </c>
      <c r="YN33" s="593">
        <f>'Proy 2021 vs 2019 Sem'!IK32*$YP$4</f>
        <v>4731.9628799999991</v>
      </c>
      <c r="YO33" s="735">
        <v>3749.6</v>
      </c>
      <c r="YP33" s="700">
        <f t="shared" si="804"/>
        <v>0.65397756704857224</v>
      </c>
      <c r="YQ33" s="593">
        <v>15228.73</v>
      </c>
      <c r="YR33" s="593">
        <f>'Proy 2021 vs 2019 Sem'!IK32*$YT$4</f>
        <v>6506.4489599999988</v>
      </c>
      <c r="YS33" s="735">
        <v>3477.28</v>
      </c>
      <c r="YT33" s="700">
        <f t="shared" si="805"/>
        <v>0.22833683439131169</v>
      </c>
      <c r="YU33" s="579">
        <f t="shared" si="806"/>
        <v>49291.28</v>
      </c>
      <c r="YV33" s="574">
        <f t="shared" si="807"/>
        <v>29574.767999999993</v>
      </c>
      <c r="YW33" s="794">
        <f t="shared" si="808"/>
        <v>22106.899999999998</v>
      </c>
      <c r="YX33" s="786">
        <f t="shared" si="809"/>
        <v>0.44849514964918741</v>
      </c>
      <c r="YY33" s="593">
        <v>9324.85</v>
      </c>
      <c r="YZ33" s="593">
        <f>'Proy 2021 vs 2019 Sem'!IP32*$ZB$4</f>
        <v>3795.4072800000004</v>
      </c>
      <c r="ZA33" s="735">
        <v>4940.6400000000003</v>
      </c>
      <c r="ZB33" s="700">
        <f t="shared" si="810"/>
        <v>0.52983586867349075</v>
      </c>
      <c r="ZC33" s="593">
        <v>5061.4399999999996</v>
      </c>
      <c r="ZD33" s="593">
        <f>'Proy 2021 vs 2019 Sem'!IP32*$ZF$4</f>
        <v>3795.4072800000004</v>
      </c>
      <c r="ZE33" s="735">
        <v>1988.67</v>
      </c>
      <c r="ZF33" s="700">
        <f t="shared" si="811"/>
        <v>0.39290597142315237</v>
      </c>
      <c r="ZG33" s="593">
        <v>5694.88</v>
      </c>
      <c r="ZH33" s="593">
        <f>'Proy 2021 vs 2019 Sem'!IP32*$ZJ$4</f>
        <v>3795.4072800000004</v>
      </c>
      <c r="ZI33" s="735">
        <v>2885.51</v>
      </c>
      <c r="ZJ33" s="700">
        <f t="shared" si="812"/>
        <v>0.50668495209732256</v>
      </c>
      <c r="ZK33" s="593">
        <v>8047.15</v>
      </c>
      <c r="ZL33" s="593">
        <f>'Proy 2021 vs 2019 Sem'!IP32*$ZN$4</f>
        <v>3795.4072800000004</v>
      </c>
      <c r="ZM33" s="735">
        <v>2145.67</v>
      </c>
      <c r="ZN33" s="700">
        <f t="shared" si="813"/>
        <v>0.26663725666851001</v>
      </c>
      <c r="ZO33" s="593">
        <v>7383.05</v>
      </c>
      <c r="ZP33" s="593">
        <f>'Proy 2021 vs 2019 Sem'!IP32*$ZR$4</f>
        <v>4427.9751600000009</v>
      </c>
      <c r="ZQ33" s="735">
        <v>3948.49</v>
      </c>
      <c r="ZR33" s="700">
        <f t="shared" si="814"/>
        <v>0.53480472162588633</v>
      </c>
      <c r="ZS33" s="593">
        <v>6040.51</v>
      </c>
      <c r="ZT33" s="593">
        <f>'Proy 2021 vs 2019 Sem'!IP32*$ZV$4</f>
        <v>5060.5430400000005</v>
      </c>
      <c r="ZU33" s="735">
        <v>5860.42</v>
      </c>
      <c r="ZV33" s="700">
        <f t="shared" si="815"/>
        <v>0.97018629221704789</v>
      </c>
      <c r="ZW33" s="593">
        <v>8651.92</v>
      </c>
      <c r="ZX33" s="593">
        <f>'Proy 2021 vs 2019 Sem'!IP32*$ZZ$4</f>
        <v>6958.2466800000011</v>
      </c>
      <c r="ZY33" s="735">
        <v>5422.04</v>
      </c>
      <c r="ZZ33" s="700">
        <f t="shared" si="816"/>
        <v>0.62668633089533887</v>
      </c>
      <c r="AAA33" s="579">
        <f t="shared" si="817"/>
        <v>50203.8</v>
      </c>
      <c r="AAB33" s="574">
        <f t="shared" si="818"/>
        <v>31628.394000000004</v>
      </c>
      <c r="AAC33" s="785">
        <f t="shared" si="819"/>
        <v>27191.440000000002</v>
      </c>
      <c r="AAD33" s="786">
        <f t="shared" si="820"/>
        <v>0.54162115218369922</v>
      </c>
      <c r="AAE33" s="593">
        <v>7790.87</v>
      </c>
      <c r="AAF33" s="593">
        <f>'Proy 2021 vs 2019 Sem'!IY32*$AAH$4</f>
        <v>3273.9986159999999</v>
      </c>
      <c r="AAG33" s="735">
        <v>4511.92</v>
      </c>
      <c r="AAH33" s="700">
        <f t="shared" si="821"/>
        <v>0.57912916015797977</v>
      </c>
      <c r="AAI33" s="593">
        <v>6344.47</v>
      </c>
      <c r="AAJ33" s="593">
        <f>'Proy 2021 vs 2019 Sem'!IY32*$AAL$4</f>
        <v>3273.9986159999999</v>
      </c>
      <c r="AAK33" s="735">
        <v>2327.4899999999998</v>
      </c>
      <c r="AAL33" s="700">
        <f t="shared" si="822"/>
        <v>0.36685333841912715</v>
      </c>
      <c r="AAM33" s="593">
        <v>4345.83</v>
      </c>
      <c r="AAN33" s="593">
        <f>'Proy 2021 vs 2019 Sem'!IY32*$AAP$4</f>
        <v>3273.9986159999999</v>
      </c>
      <c r="AAO33" s="735">
        <v>2556.58</v>
      </c>
      <c r="AAP33" s="700">
        <f t="shared" si="823"/>
        <v>0.58828348094610239</v>
      </c>
      <c r="AAQ33" s="593">
        <v>5270.74</v>
      </c>
      <c r="AAR33" s="593">
        <f>'Proy 2021 vs 2019 Sem'!IY32*$AAT$4</f>
        <v>3273.9986159999999</v>
      </c>
      <c r="AAS33" s="735">
        <v>4120.4799999999996</v>
      </c>
      <c r="AAT33" s="700">
        <f t="shared" si="824"/>
        <v>0.78176498935633321</v>
      </c>
      <c r="AAU33" s="593">
        <v>6089.43</v>
      </c>
      <c r="AAV33" s="593">
        <f>'Proy 2021 vs 2019 Sem'!IY32*$AAX$4</f>
        <v>3819.6650520000007</v>
      </c>
      <c r="AAW33" s="735">
        <v>1851.71</v>
      </c>
      <c r="AAX33" s="700">
        <f t="shared" si="825"/>
        <v>0.30408593250928245</v>
      </c>
      <c r="AAY33" s="593">
        <v>6503.24</v>
      </c>
      <c r="AAZ33" s="593">
        <f>'Proy 2021 vs 2019 Sem'!IY32*$ABB$4</f>
        <v>4365.3314880000007</v>
      </c>
      <c r="ABA33" s="735">
        <v>4698.03</v>
      </c>
      <c r="ABB33" s="700">
        <f t="shared" si="826"/>
        <v>0.72241375068427427</v>
      </c>
      <c r="ABC33" s="593">
        <v>6962.28</v>
      </c>
      <c r="ABD33" s="593">
        <f>'Proy 2021 vs 2019 Sem'!IY32*$ABF$4</f>
        <v>6002.3307960000002</v>
      </c>
      <c r="ABE33" s="735">
        <v>2808.42</v>
      </c>
      <c r="ABF33" s="700">
        <f t="shared" si="827"/>
        <v>0.40337648011858185</v>
      </c>
      <c r="ABG33" s="579">
        <f t="shared" si="828"/>
        <v>43306.859999999993</v>
      </c>
      <c r="ABH33" s="574">
        <f t="shared" si="829"/>
        <v>27283.321799999998</v>
      </c>
      <c r="ABI33" s="759">
        <f t="shared" si="830"/>
        <v>22874.629999999997</v>
      </c>
      <c r="ABJ33" s="761">
        <f t="shared" si="831"/>
        <v>0.52819876573826874</v>
      </c>
      <c r="ABK33" s="593">
        <v>10441.89</v>
      </c>
      <c r="ABL33" s="593">
        <f>'Proy 2021 vs 2019 Sem'!JD32*$ABN$4</f>
        <v>3464.8780319999996</v>
      </c>
      <c r="ABM33" s="735">
        <v>3849.62</v>
      </c>
      <c r="ABN33" s="700">
        <f t="shared" si="832"/>
        <v>0.36867080576409061</v>
      </c>
      <c r="ABO33" s="593">
        <v>2716.28</v>
      </c>
      <c r="ABP33" s="593">
        <f>'Proy 2021 vs 2019 Sem'!JD32*$ABR$4</f>
        <v>3464.8780319999996</v>
      </c>
      <c r="ABQ33" s="735">
        <v>1949.66</v>
      </c>
      <c r="ABR33" s="700">
        <f t="shared" si="833"/>
        <v>0.71776841857245932</v>
      </c>
      <c r="ABS33" s="593">
        <v>2277.3000000000002</v>
      </c>
      <c r="ABT33" s="593">
        <f>'Proy 2021 vs 2019 Sem'!JD32*$ABV$4</f>
        <v>3464.8780319999996</v>
      </c>
      <c r="ABU33" s="735">
        <v>2300.5300000000002</v>
      </c>
      <c r="ABV33" s="700">
        <f t="shared" si="834"/>
        <v>1.0102006762394062</v>
      </c>
      <c r="ABW33" s="593">
        <v>3742.89</v>
      </c>
      <c r="ABX33" s="593">
        <f>'Proy 2021 vs 2019 Sem'!JD32*$ABZ$4</f>
        <v>3464.8780319999996</v>
      </c>
      <c r="ABY33" s="735">
        <v>4608.34</v>
      </c>
      <c r="ABZ33" s="700">
        <f t="shared" si="835"/>
        <v>1.2312250693982458</v>
      </c>
      <c r="ACA33" s="593">
        <v>5020.17</v>
      </c>
      <c r="ACB33" s="593">
        <f>'Proy 2021 vs 2019 Sem'!JD32*$ACD$4</f>
        <v>4042.3577040000005</v>
      </c>
      <c r="ACC33" s="735">
        <v>3886.22</v>
      </c>
      <c r="ACD33" s="700">
        <f t="shared" si="836"/>
        <v>0.7741211950989707</v>
      </c>
      <c r="ACE33" s="593">
        <v>7456.76</v>
      </c>
      <c r="ACF33" s="593">
        <f>'Proy 2021 vs 2019 Sem'!JD32*$ACH$4</f>
        <v>4619.8373760000004</v>
      </c>
      <c r="ACG33" s="735">
        <v>6582.52</v>
      </c>
      <c r="ACH33" s="700">
        <f t="shared" si="837"/>
        <v>0.88275873167434649</v>
      </c>
      <c r="ACI33" s="593">
        <v>12093.17</v>
      </c>
      <c r="ACJ33" s="593">
        <f>'Proy 2021 vs 2019 Sem'!JD32*$ACL$4</f>
        <v>6352.2763919999998</v>
      </c>
      <c r="ACK33" s="735">
        <v>8884.6299999999992</v>
      </c>
      <c r="ACL33" s="700">
        <f t="shared" si="838"/>
        <v>0.73468164261314439</v>
      </c>
      <c r="ACM33" s="579">
        <f t="shared" si="839"/>
        <v>43748.46</v>
      </c>
      <c r="ACN33" s="574">
        <f t="shared" si="840"/>
        <v>28873.9836</v>
      </c>
      <c r="ACO33" s="765">
        <f t="shared" si="841"/>
        <v>32061.519999999997</v>
      </c>
      <c r="ACP33" s="761">
        <f t="shared" si="842"/>
        <v>0.7328605395481349</v>
      </c>
      <c r="ACQ33" s="593">
        <v>17335.25</v>
      </c>
      <c r="ACR33" s="593">
        <f>'Proy 2021 vs 2019 Sem'!JI32*$ACT$4</f>
        <v>4128.0275519999996</v>
      </c>
      <c r="ACS33" s="735">
        <v>6460.68</v>
      </c>
      <c r="ACT33" s="700">
        <f t="shared" si="843"/>
        <v>0.37269032751186171</v>
      </c>
      <c r="ACU33" s="593">
        <v>14085.18</v>
      </c>
      <c r="ACV33" s="593">
        <f>'Proy 2021 vs 2019 Sem'!JI32*$ACX$4</f>
        <v>4128.0275519999996</v>
      </c>
      <c r="ACW33" s="735">
        <v>5325.61</v>
      </c>
      <c r="ACX33" s="700">
        <f t="shared" si="844"/>
        <v>0.37810024437032397</v>
      </c>
      <c r="ACY33" s="593">
        <v>2798.35</v>
      </c>
      <c r="ACZ33" s="593">
        <f>'Proy 2021 vs 2019 Sem'!JI32*$ADB$4</f>
        <v>4128.0275519999996</v>
      </c>
      <c r="ADA33" s="735">
        <v>3995.63</v>
      </c>
      <c r="ADB33" s="700">
        <f t="shared" si="845"/>
        <v>1.4278521271463542</v>
      </c>
      <c r="ADC33" s="593">
        <v>2786.12</v>
      </c>
      <c r="ADD33" s="593">
        <f>'Proy 2021 vs 2019 Sem'!JI32*$ADF$4</f>
        <v>4128.0275519999996</v>
      </c>
      <c r="ADE33" s="735">
        <v>3083.69</v>
      </c>
      <c r="ADF33" s="700">
        <f t="shared" si="846"/>
        <v>1.1068044448911032</v>
      </c>
      <c r="ADG33" s="593">
        <v>4671.4399999999996</v>
      </c>
      <c r="ADH33" s="593">
        <f>'Proy 2021 vs 2019 Sem'!JI32*$ADJ$4</f>
        <v>4816.0321440000007</v>
      </c>
      <c r="ADI33" s="735">
        <v>3423.57</v>
      </c>
      <c r="ADJ33" s="700">
        <f t="shared" si="847"/>
        <v>0.73287251896631456</v>
      </c>
      <c r="ADK33" s="593">
        <v>5174.45</v>
      </c>
      <c r="ADL33" s="593">
        <f>'Proy 2021 vs 2019 Sem'!JI32*$ADN$4</f>
        <v>5504.036736</v>
      </c>
      <c r="ADM33" s="735">
        <v>2670.57</v>
      </c>
      <c r="ADN33" s="700">
        <f t="shared" si="848"/>
        <v>0.51610702586748358</v>
      </c>
      <c r="ADO33" s="593">
        <v>5270.77</v>
      </c>
      <c r="ADP33" s="593">
        <f>'Proy 2021 vs 2019 Sem'!JI32*$ADR$4</f>
        <v>7568.0505119999998</v>
      </c>
      <c r="ADQ33" s="735">
        <v>3299.22</v>
      </c>
      <c r="ADR33" s="700">
        <f t="shared" si="849"/>
        <v>0.62594649358632604</v>
      </c>
      <c r="ADS33" s="579">
        <f t="shared" si="850"/>
        <v>52121.56</v>
      </c>
      <c r="ADT33" s="574">
        <f t="shared" si="851"/>
        <v>34400.229599999999</v>
      </c>
      <c r="ADU33" s="765">
        <f t="shared" si="852"/>
        <v>28258.97</v>
      </c>
      <c r="ADV33" s="761">
        <f t="shared" si="853"/>
        <v>0.54217429409250228</v>
      </c>
      <c r="ADW33" s="593">
        <v>7130.64</v>
      </c>
      <c r="ADX33" s="593">
        <f>'Proy 2021 vs 2019 Sem'!JN32*$ADZ$4</f>
        <v>3496.4146799999999</v>
      </c>
      <c r="ADY33" s="735">
        <v>5111.29</v>
      </c>
      <c r="ADZ33" s="700">
        <f t="shared" si="854"/>
        <v>0.71680662605320133</v>
      </c>
      <c r="AEA33" s="593">
        <v>3666.01</v>
      </c>
      <c r="AEB33" s="593">
        <f>'Proy 2021 vs 2019 Sem'!JN32*$AED$4</f>
        <v>3496.4146799999999</v>
      </c>
      <c r="AEC33" s="735">
        <v>1803</v>
      </c>
      <c r="AED33" s="700">
        <f t="shared" si="855"/>
        <v>0.49181535238583635</v>
      </c>
      <c r="AEE33" s="593">
        <v>2970.63</v>
      </c>
      <c r="AEF33" s="593">
        <f>'Proy 2021 vs 2019 Sem'!JN32*$AEH$4</f>
        <v>3496.4146799999999</v>
      </c>
      <c r="AEG33" s="735">
        <v>1592</v>
      </c>
      <c r="AEH33" s="700">
        <f t="shared" si="856"/>
        <v>0.53591325745717233</v>
      </c>
      <c r="AEI33" s="593">
        <v>1521.75</v>
      </c>
      <c r="AEJ33" s="593">
        <f>'Proy 2021 vs 2019 Sem'!JN32*$AEL$4</f>
        <v>3496.4146799999999</v>
      </c>
      <c r="AEK33" s="735">
        <v>2342</v>
      </c>
      <c r="AEL33" s="700">
        <f t="shared" si="857"/>
        <v>1.5390175784458682</v>
      </c>
      <c r="AEM33" s="593">
        <v>7942.18</v>
      </c>
      <c r="AEN33" s="593">
        <f>'Proy 2021 vs 2019 Sem'!JN32*$AEP$4</f>
        <v>4079.1504600000003</v>
      </c>
      <c r="AEO33" s="735">
        <v>4208</v>
      </c>
      <c r="AEP33" s="700">
        <f t="shared" si="858"/>
        <v>0.52982934156616945</v>
      </c>
      <c r="AEQ33" s="593">
        <v>9381.91</v>
      </c>
      <c r="AER33" s="593">
        <f>'Proy 2021 vs 2019 Sem'!JN32*$AET$4</f>
        <v>4661.8862399999998</v>
      </c>
      <c r="AES33" s="735">
        <v>2795</v>
      </c>
      <c r="AET33" s="700">
        <f t="shared" si="859"/>
        <v>0.29791375103790169</v>
      </c>
      <c r="AEU33" s="593">
        <v>11533.53</v>
      </c>
      <c r="AEV33" s="593">
        <f>'Proy 2021 vs 2019 Sem'!JN32*$AEX$4</f>
        <v>6410.0935799999997</v>
      </c>
      <c r="AEW33" s="735">
        <v>4960</v>
      </c>
      <c r="AEX33" s="700">
        <f t="shared" si="860"/>
        <v>0.4300504702376462</v>
      </c>
      <c r="AEY33" s="579">
        <f t="shared" si="861"/>
        <v>44146.65</v>
      </c>
      <c r="AEZ33" s="574">
        <f t="shared" si="862"/>
        <v>29136.789000000001</v>
      </c>
      <c r="AFA33" s="770">
        <f t="shared" si="863"/>
        <v>22811.29</v>
      </c>
      <c r="AFB33" s="761">
        <f t="shared" si="864"/>
        <v>0.51671621742533125</v>
      </c>
      <c r="AFC33" s="593">
        <v>13925.38</v>
      </c>
      <c r="AFD33" s="593">
        <f>'Proy 2021 vs 2019 Sem'!JX32*$AFF$4</f>
        <v>5364.9116400000003</v>
      </c>
      <c r="AFE33" s="735">
        <v>3947</v>
      </c>
      <c r="AFF33" s="700">
        <f t="shared" si="865"/>
        <v>0.28343930291309827</v>
      </c>
      <c r="AFG33" s="593">
        <v>6510.87</v>
      </c>
      <c r="AFH33" s="593">
        <f>'Proy 2021 vs 2019 Sem'!JX32*$AFJ$4</f>
        <v>5364.9116400000003</v>
      </c>
      <c r="AFI33" s="735">
        <v>2376.65</v>
      </c>
      <c r="AFJ33" s="700">
        <f t="shared" si="866"/>
        <v>0.36502802236874643</v>
      </c>
      <c r="AFK33" s="593">
        <v>7878.98</v>
      </c>
      <c r="AFL33" s="593">
        <f>'Proy 2021 vs 2019 Sem'!JX32*$AFN$4</f>
        <v>5364.9116400000003</v>
      </c>
      <c r="AFM33" s="735">
        <v>4271.22</v>
      </c>
      <c r="AFN33" s="700">
        <f t="shared" si="867"/>
        <v>0.54210316563819183</v>
      </c>
      <c r="AFO33" s="593">
        <v>6484.72</v>
      </c>
      <c r="AFP33" s="593">
        <f>'Proy 2021 vs 2019 Sem'!JX32*$AFR$4</f>
        <v>5364.9116400000003</v>
      </c>
      <c r="AFQ33" s="735">
        <v>3434.91</v>
      </c>
      <c r="AFR33" s="700">
        <f t="shared" si="868"/>
        <v>0.52969287802711595</v>
      </c>
      <c r="AFS33" s="593">
        <v>6589.28</v>
      </c>
      <c r="AFT33" s="593">
        <f>'Proy 2021 vs 2019 Sem'!JX32*$AFV$4</f>
        <v>6259.0635800000009</v>
      </c>
      <c r="AFU33" s="735">
        <v>8442.61</v>
      </c>
      <c r="AFV33" s="700">
        <f t="shared" si="869"/>
        <v>1.2812644173566765</v>
      </c>
      <c r="AFW33" s="593">
        <v>6744.36</v>
      </c>
      <c r="AFX33" s="593">
        <f>'Proy 2021 vs 2019 Sem'!JX32*$AFZ$4</f>
        <v>7153.2155200000007</v>
      </c>
      <c r="AFY33" s="735">
        <v>5087.6400000000003</v>
      </c>
      <c r="AFZ33" s="700">
        <f t="shared" si="870"/>
        <v>0.75435474974645489</v>
      </c>
      <c r="AGA33" s="593">
        <v>33152.949999999997</v>
      </c>
      <c r="AGB33" s="593">
        <f>'Proy 2021 vs 2019 Sem'!JX32*$AGD$4</f>
        <v>9835.6713400000008</v>
      </c>
      <c r="AGC33" s="735">
        <v>7320.27</v>
      </c>
      <c r="AGD33" s="700">
        <f t="shared" si="871"/>
        <v>0.22080297530084053</v>
      </c>
      <c r="AGE33" s="579">
        <f t="shared" si="872"/>
        <v>81286.539999999994</v>
      </c>
      <c r="AGF33" s="574">
        <f t="shared" si="873"/>
        <v>44707.597000000002</v>
      </c>
      <c r="AGG33" s="729">
        <f t="shared" si="874"/>
        <v>34880.300000000003</v>
      </c>
      <c r="AGH33" s="711">
        <f t="shared" si="875"/>
        <v>0.42910302246841858</v>
      </c>
      <c r="AGI33" s="593">
        <v>24326.66</v>
      </c>
      <c r="AGJ33" s="593">
        <f>'Proy 2021 vs 2019 Sem'!KC32*$AGL$4</f>
        <v>5322.2525400000004</v>
      </c>
      <c r="AGK33" s="735">
        <v>5096.0600000000004</v>
      </c>
      <c r="AGL33" s="700">
        <f t="shared" si="876"/>
        <v>0.20948457371459955</v>
      </c>
      <c r="AGM33" s="593">
        <v>6907.28</v>
      </c>
      <c r="AGN33" s="593">
        <f>'Proy 2021 vs 2019 Sem'!KC32*$AGP$4</f>
        <v>5322.2525400000004</v>
      </c>
      <c r="AGO33" s="735">
        <v>3494.24</v>
      </c>
      <c r="AGP33" s="700">
        <f t="shared" si="877"/>
        <v>0.5058778564065739</v>
      </c>
      <c r="AGQ33" s="593">
        <v>6853.48</v>
      </c>
      <c r="AGR33" s="593">
        <f>'Proy 2021 vs 2019 Sem'!KC32*$AGT$4</f>
        <v>5322.2525400000004</v>
      </c>
      <c r="AGS33" s="735">
        <v>2377.5300000000002</v>
      </c>
      <c r="AGT33" s="700">
        <f t="shared" si="878"/>
        <v>0.34690843192071769</v>
      </c>
      <c r="AGU33" s="593">
        <v>7178.88</v>
      </c>
      <c r="AGV33" s="593">
        <f>'Proy 2021 vs 2019 Sem'!KC32*$AGX$4</f>
        <v>5322.2525400000004</v>
      </c>
      <c r="AGW33" s="735">
        <v>6438.51</v>
      </c>
      <c r="AGX33" s="700">
        <f t="shared" si="879"/>
        <v>0.89686831372024611</v>
      </c>
      <c r="AGY33" s="593">
        <v>7803.36</v>
      </c>
      <c r="AGZ33" s="593">
        <f>'Proy 2021 vs 2019 Sem'!KC32*$AHB$4</f>
        <v>6209.2946300000003</v>
      </c>
      <c r="AHA33" s="735">
        <v>7165.29</v>
      </c>
      <c r="AHB33" s="700">
        <f t="shared" si="880"/>
        <v>0.91823137725287574</v>
      </c>
      <c r="AHC33" s="593">
        <v>12886.29</v>
      </c>
      <c r="AHD33" s="593">
        <f>'Proy 2021 vs 2019 Sem'!KC32*$AHF$4</f>
        <v>7096.3367200000002</v>
      </c>
      <c r="AHE33" s="735">
        <v>4683.26</v>
      </c>
      <c r="AHF33" s="700">
        <f t="shared" si="881"/>
        <v>0.36342966051516767</v>
      </c>
      <c r="AHG33" s="593">
        <v>14684.24</v>
      </c>
      <c r="AHH33" s="593">
        <f>'Proy 2021 vs 2019 Sem'!KC32*$AHJ$4</f>
        <v>9757.46299</v>
      </c>
      <c r="AHI33" s="735">
        <v>5812.21</v>
      </c>
      <c r="AHJ33" s="700">
        <f t="shared" si="882"/>
        <v>0.39581278976644346</v>
      </c>
      <c r="AHK33" s="579">
        <f t="shared" si="883"/>
        <v>80640.19</v>
      </c>
      <c r="AHL33" s="574">
        <f t="shared" si="884"/>
        <v>44352.104500000001</v>
      </c>
      <c r="AHM33" s="730">
        <f t="shared" si="885"/>
        <v>35067.1</v>
      </c>
      <c r="AHN33" s="711">
        <f t="shared" si="886"/>
        <v>0.43485884643872985</v>
      </c>
      <c r="AHO33" s="593">
        <v>23133.46</v>
      </c>
      <c r="AHP33" s="593">
        <f>'Proy 2021 vs 2019 Sem'!KH32*$AHR$4</f>
        <v>6833.6901600000001</v>
      </c>
      <c r="AHQ33" s="735">
        <v>5743.16</v>
      </c>
      <c r="AHR33" s="700">
        <f t="shared" si="887"/>
        <v>0.24826204121648901</v>
      </c>
      <c r="AHS33" s="593">
        <v>11935.21</v>
      </c>
      <c r="AHT33" s="593">
        <f>'Proy 2021 vs 2019 Sem'!KH32*$AHV$4</f>
        <v>6833.6901600000001</v>
      </c>
      <c r="AHU33" s="735">
        <v>7085.96</v>
      </c>
      <c r="AHV33" s="700">
        <f t="shared" si="888"/>
        <v>0.59370216359829453</v>
      </c>
      <c r="AHW33" s="593">
        <v>13043.35</v>
      </c>
      <c r="AHX33" s="593">
        <f>'Proy 2021 vs 2019 Sem'!KH32*$AHZ$4</f>
        <v>6833.6901600000001</v>
      </c>
      <c r="AHY33" s="735">
        <v>6717.22</v>
      </c>
      <c r="AHZ33" s="700">
        <f t="shared" si="889"/>
        <v>0.51499193075398575</v>
      </c>
      <c r="AIA33" s="593">
        <v>14306.9</v>
      </c>
      <c r="AIB33" s="593">
        <f>'Proy 2021 vs 2019 Sem'!KH32*$AID$4</f>
        <v>6833.6901600000001</v>
      </c>
      <c r="AIC33" s="735">
        <v>8864.19</v>
      </c>
      <c r="AID33" s="700">
        <f t="shared" si="890"/>
        <v>0.61957447105941899</v>
      </c>
      <c r="AIE33" s="593">
        <v>12543.03</v>
      </c>
      <c r="AIF33" s="593">
        <f>'Proy 2021 vs 2019 Sem'!KH32*$AIH$4</f>
        <v>7972.6385200000013</v>
      </c>
      <c r="AIG33" s="735">
        <v>9348.51</v>
      </c>
      <c r="AIH33" s="700">
        <f t="shared" si="891"/>
        <v>0.74531512720610571</v>
      </c>
      <c r="AII33" s="593">
        <v>12073.42</v>
      </c>
      <c r="AIJ33" s="593">
        <f>'Proy 2021 vs 2019 Sem'!KH32*$AIL$4</f>
        <v>9111.5868800000007</v>
      </c>
      <c r="AIK33" s="735">
        <v>11438.35</v>
      </c>
      <c r="AIL33" s="700">
        <f t="shared" si="892"/>
        <v>0.94739932844214814</v>
      </c>
      <c r="AIM33" s="593">
        <v>16505.39</v>
      </c>
      <c r="AIN33" s="593">
        <f>'Proy 2021 vs 2019 Sem'!KH32*$AIP$4</f>
        <v>12528.431960000002</v>
      </c>
      <c r="AIO33" s="735">
        <v>10329.6</v>
      </c>
      <c r="AIP33" s="700">
        <f t="shared" si="893"/>
        <v>0.62583192520746256</v>
      </c>
      <c r="AIQ33" s="579">
        <f t="shared" si="894"/>
        <v>103540.76</v>
      </c>
      <c r="AIR33" s="574">
        <f t="shared" si="895"/>
        <v>56947.418000000005</v>
      </c>
      <c r="AIS33" s="730">
        <f t="shared" si="896"/>
        <v>59526.99</v>
      </c>
      <c r="AIT33" s="711">
        <f t="shared" si="897"/>
        <v>0.57491358958539618</v>
      </c>
      <c r="AIU33" s="593">
        <f>'Proy 2021 vs 2019 Sem'!KL32*$AIX$4</f>
        <v>12979.896000000001</v>
      </c>
      <c r="AIV33" s="593">
        <f>'Proy 2021 vs 2019 Sem'!KM32*$AIX$4</f>
        <v>12460.70016</v>
      </c>
      <c r="AIW33" s="735">
        <v>15224.39</v>
      </c>
      <c r="AIX33" s="700">
        <f t="shared" si="898"/>
        <v>1.1729207999817564</v>
      </c>
      <c r="AIY33" s="593">
        <f>'Proy 2021 vs 2019 Sem'!KL32*$AJB$4</f>
        <v>12979.896000000001</v>
      </c>
      <c r="AIZ33" s="593">
        <f>'Proy 2021 vs 2019 Sem'!KM32*$AJB$4</f>
        <v>12460.70016</v>
      </c>
      <c r="AJA33" s="735">
        <v>10121.870000000001</v>
      </c>
      <c r="AJB33" s="700">
        <f t="shared" si="899"/>
        <v>0.77981133284889192</v>
      </c>
      <c r="AJC33" s="593">
        <f>'Proy 2021 vs 2019 Sem'!KL32*$AJF$4</f>
        <v>12979.896000000001</v>
      </c>
      <c r="AJD33" s="593">
        <f>'Proy 2021 vs 2019 Sem'!KM32*$AJF$4</f>
        <v>12460.70016</v>
      </c>
      <c r="AJE33" s="735">
        <v>13449.64</v>
      </c>
      <c r="AJF33" s="700">
        <f t="shared" si="900"/>
        <v>1.0361901204755415</v>
      </c>
      <c r="AJG33" s="593">
        <f>'Proy 2021 vs 2019 Sem'!KL32*$AJJ$4</f>
        <v>12979.896000000001</v>
      </c>
      <c r="AJH33" s="593">
        <f>'Proy 2021 vs 2019 Sem'!KM32*$AJJ$4</f>
        <v>12460.70016</v>
      </c>
      <c r="AJI33" s="735">
        <v>16775.150000000001</v>
      </c>
      <c r="AJJ33" s="700">
        <f t="shared" si="901"/>
        <v>1.2923947926855501</v>
      </c>
      <c r="AJK33" s="593">
        <f>'Proy 2021 vs 2019 Sem'!KL32*$AJN$4</f>
        <v>15143.212000000001</v>
      </c>
      <c r="AJL33" s="593">
        <f>'Proy 2021 vs 2019 Sem'!KM32*$AJN$4</f>
        <v>14537.483520000002</v>
      </c>
      <c r="AJM33" s="735">
        <v>19793.87</v>
      </c>
      <c r="AJN33" s="700">
        <f t="shared" si="902"/>
        <v>1.3071117276836643</v>
      </c>
      <c r="AJO33" s="593">
        <f>'Proy 2021 vs 2019 Sem'!KL32*$AJR$4</f>
        <v>17306.528000000002</v>
      </c>
      <c r="AJP33" s="593">
        <f>'Proy 2021 vs 2019 Sem'!KM32*$AJR$4</f>
        <v>16614.266880000003</v>
      </c>
      <c r="AJQ33" s="735">
        <v>14787.29</v>
      </c>
      <c r="AJR33" s="700">
        <f t="shared" si="903"/>
        <v>0.85443423429586796</v>
      </c>
      <c r="AJS33" s="593">
        <f>'Proy 2021 vs 2019 Sem'!KL32*$AJV$4</f>
        <v>23796.476000000002</v>
      </c>
      <c r="AJT33" s="593">
        <f>'Proy 2021 vs 2019 Sem'!KM32*$AJV$4</f>
        <v>22844.616960000003</v>
      </c>
      <c r="AJU33" s="699">
        <v>3122.24</v>
      </c>
      <c r="AJV33" s="700">
        <f t="shared" si="904"/>
        <v>0.13120598192774424</v>
      </c>
      <c r="AJW33" s="579">
        <f t="shared" si="905"/>
        <v>108165.80000000002</v>
      </c>
      <c r="AJX33" s="574">
        <f t="shared" si="906"/>
        <v>103839.16800000001</v>
      </c>
      <c r="AJY33" s="710">
        <f t="shared" si="907"/>
        <v>93274.45</v>
      </c>
      <c r="AJZ33" s="711">
        <f t="shared" si="908"/>
        <v>0.86232848090616421</v>
      </c>
      <c r="AKA33" s="593">
        <f>'Proy 2021 vs 2019 Sem'!KQ32*$AKD$4</f>
        <v>7654.8239999999996</v>
      </c>
      <c r="AKB33" s="593">
        <f>'Proy 2021 vs 2019 Sem'!KR32*$AKD$4</f>
        <v>5434.9250399999992</v>
      </c>
      <c r="AKC33" s="735">
        <v>4066.39</v>
      </c>
      <c r="AKD33" s="700">
        <f t="shared" si="909"/>
        <v>0.53121926774541128</v>
      </c>
      <c r="AKE33" s="593">
        <f>'Proy 2021 vs 2019 Sem'!KQ32*$AKH$4</f>
        <v>7654.8239999999996</v>
      </c>
      <c r="AKF33" s="593">
        <f>'Proy 2021 vs 2019 Sem'!KR32*$AKH$4</f>
        <v>5434.9250399999992</v>
      </c>
      <c r="AKG33" s="735">
        <v>5044.7</v>
      </c>
      <c r="AKH33" s="700">
        <f t="shared" si="910"/>
        <v>0.65902233676437239</v>
      </c>
      <c r="AKI33" s="593">
        <f>'Proy 2021 vs 2019 Sem'!KQ32*$AKL$4</f>
        <v>7654.8239999999996</v>
      </c>
      <c r="AKJ33" s="593">
        <f>'Proy 2021 vs 2019 Sem'!KR32*$AKL$4</f>
        <v>5434.9250399999992</v>
      </c>
      <c r="AKK33" s="735">
        <v>5564.56</v>
      </c>
      <c r="AKL33" s="700">
        <f t="shared" si="911"/>
        <v>0.72693506735099345</v>
      </c>
      <c r="AKM33" s="593">
        <f>'Proy 2021 vs 2019 Sem'!KQ32*$AKP$4</f>
        <v>7654.8239999999996</v>
      </c>
      <c r="AKN33" s="593">
        <f>'Proy 2021 vs 2019 Sem'!KR32*$AKP$4</f>
        <v>5434.9250399999992</v>
      </c>
      <c r="AKO33" s="735">
        <v>2662.12</v>
      </c>
      <c r="AKP33" s="700">
        <f t="shared" si="912"/>
        <v>0.3477702426600533</v>
      </c>
      <c r="AKQ33" s="593">
        <f>'Proy 2021 vs 2019 Sem'!KQ32*$AKT$4</f>
        <v>8930.6280000000006</v>
      </c>
      <c r="AKR33" s="593">
        <f>'Proy 2021 vs 2019 Sem'!KR32*$AKT$4</f>
        <v>6340.7458799999995</v>
      </c>
      <c r="AKS33" s="735">
        <v>6018.93</v>
      </c>
      <c r="AKT33" s="700">
        <f t="shared" si="913"/>
        <v>0.67396492161581467</v>
      </c>
      <c r="AKU33" s="593">
        <f>'Proy 2021 vs 2019 Sem'!KQ32*$AKX$4</f>
        <v>10206.431999999999</v>
      </c>
      <c r="AKV33" s="593">
        <f>'Proy 2021 vs 2019 Sem'!KR32*$AKX$4</f>
        <v>7246.5667199999989</v>
      </c>
      <c r="AKW33" s="735">
        <v>6198.69</v>
      </c>
      <c r="AKX33" s="700">
        <f t="shared" si="914"/>
        <v>0.60733172963872195</v>
      </c>
      <c r="AKY33" s="593">
        <f>'Proy 2021 vs 2019 Sem'!KQ32*$ALB$4</f>
        <v>14033.843999999999</v>
      </c>
      <c r="AKZ33" s="593">
        <f>'Proy 2021 vs 2019 Sem'!KR32*$ALB$4</f>
        <v>9964.029239999998</v>
      </c>
      <c r="ALA33" s="699">
        <v>0</v>
      </c>
      <c r="ALB33" s="700">
        <f>ALA33/AKY33</f>
        <v>0</v>
      </c>
      <c r="ALC33" s="579">
        <f t="shared" si="915"/>
        <v>63790.2</v>
      </c>
      <c r="ALD33" s="574">
        <f t="shared" si="916"/>
        <v>45291.041999999994</v>
      </c>
      <c r="ALE33" s="710">
        <f t="shared" si="917"/>
        <v>29555.39</v>
      </c>
      <c r="ALF33" s="711">
        <f t="shared" si="918"/>
        <v>0.46332179551090918</v>
      </c>
    </row>
    <row r="34" spans="1:994" ht="19.5" customHeight="1">
      <c r="B34" s="568" t="s">
        <v>233</v>
      </c>
      <c r="C34" s="574">
        <f>'Proy 2021 vs 2019 Sem'!DX33*$F$4</f>
        <v>6316.3212000000003</v>
      </c>
      <c r="D34" s="576">
        <f>'Proy 2021 vs 2019 Sem'!$DY$33*F4</f>
        <v>5440.004755054043</v>
      </c>
      <c r="E34" s="736">
        <v>6976.5</v>
      </c>
      <c r="F34" s="700">
        <f t="shared" si="580"/>
        <v>1.1045195105024108</v>
      </c>
      <c r="G34" s="574">
        <f>'Proy 2021 vs 2019 Sem'!DX33*$J$4</f>
        <v>6316.3212000000003</v>
      </c>
      <c r="H34" s="574">
        <f>'Proy 2021 vs 2019 Sem'!$DY$33*J4</f>
        <v>5440.004755054043</v>
      </c>
      <c r="I34" s="736">
        <v>1673.15</v>
      </c>
      <c r="J34" s="700">
        <f t="shared" si="581"/>
        <v>0.26489311531528825</v>
      </c>
      <c r="K34" s="574">
        <f>'Proy 2021 vs 2019 Sem'!DX33*'Vtas Diarias 2021'!$N$4</f>
        <v>6316.3212000000003</v>
      </c>
      <c r="L34" s="574">
        <f>'Proy 2021 vs 2019 Sem'!$DY$33*N4</f>
        <v>5440.004755054043</v>
      </c>
      <c r="M34" s="736">
        <v>1940.68</v>
      </c>
      <c r="N34" s="700">
        <f t="shared" si="582"/>
        <v>0.30724846608497364</v>
      </c>
      <c r="O34" s="574">
        <f>'Proy 2021 vs 2019 Sem'!DX33*$R$4</f>
        <v>6316.3212000000003</v>
      </c>
      <c r="P34" s="574">
        <f>'Proy 2021 vs 2019 Sem'!$DY$33*R4</f>
        <v>5440.004755054043</v>
      </c>
      <c r="Q34" s="736">
        <v>3462.17</v>
      </c>
      <c r="R34" s="700">
        <f t="shared" si="583"/>
        <v>0.54813076953717932</v>
      </c>
      <c r="S34" s="574">
        <f>'Proy 2021 vs 2019 Sem'!DX33*$V$4</f>
        <v>7369.041400000001</v>
      </c>
      <c r="T34" s="574">
        <f>'Proy 2021 vs 2019 Sem'!$DY$33*V4</f>
        <v>6346.6722142297176</v>
      </c>
      <c r="U34" s="736">
        <v>3229.89</v>
      </c>
      <c r="V34" s="700">
        <f t="shared" si="584"/>
        <v>0.43830531336138234</v>
      </c>
      <c r="W34" s="574">
        <f>'Proy 2021 vs 2019 Sem'!DX33*$Z$4</f>
        <v>8421.7615999999998</v>
      </c>
      <c r="X34" s="574">
        <f>'Proy 2021 vs 2019 Sem'!$DY$33*Z4</f>
        <v>7253.3396734053913</v>
      </c>
      <c r="Y34" s="736">
        <v>3848.65</v>
      </c>
      <c r="Z34" s="700">
        <f t="shared" si="585"/>
        <v>0.45698871362020033</v>
      </c>
      <c r="AA34" s="574">
        <f>'Proy 2021 vs 2019 Sem'!DX33*$AD$4</f>
        <v>11579.922200000001</v>
      </c>
      <c r="AB34" s="574">
        <f>'Proy 2021 vs 2019 Sem'!$DY$33*AD4</f>
        <v>9973.3420509324133</v>
      </c>
      <c r="AC34" s="736">
        <v>8866.84</v>
      </c>
      <c r="AD34" s="700">
        <f t="shared" si="586"/>
        <v>0.76570808049124883</v>
      </c>
      <c r="AE34" s="579">
        <f t="shared" si="587"/>
        <v>52636.01</v>
      </c>
      <c r="AF34" s="574">
        <f t="shared" si="588"/>
        <v>45333.372958783693</v>
      </c>
      <c r="AG34" s="729">
        <f t="shared" si="589"/>
        <v>29997.88</v>
      </c>
      <c r="AH34" s="711">
        <f t="shared" si="590"/>
        <v>0.5699117391306826</v>
      </c>
      <c r="AI34" s="593">
        <f>'Proy 2021 vs 2019 Sem'!EC33*$AL$4</f>
        <v>5913.8843999999999</v>
      </c>
      <c r="AJ34" s="611">
        <f>'Proy 2021 vs 2019 Sem'!ED33*$AL$4</f>
        <v>4296.469495105649</v>
      </c>
      <c r="AK34" s="736">
        <v>6999.9</v>
      </c>
      <c r="AL34" s="700">
        <f t="shared" si="591"/>
        <v>1.1836382868762196</v>
      </c>
      <c r="AM34" s="593">
        <f>'Proy 2021 vs 2019 Sem'!EC33*$AP$4</f>
        <v>5913.8843999999999</v>
      </c>
      <c r="AN34" s="593">
        <f>'Proy 2021 vs 2019 Sem'!ED33*$AP$4</f>
        <v>4296.469495105649</v>
      </c>
      <c r="AO34" s="736">
        <v>1743.47</v>
      </c>
      <c r="AP34" s="700">
        <f t="shared" si="592"/>
        <v>0.29480961785455262</v>
      </c>
      <c r="AQ34" s="593">
        <f>'Proy 2021 vs 2019 Sem'!EC33*$AT$4</f>
        <v>5913.8843999999999</v>
      </c>
      <c r="AR34" s="593">
        <f>'Proy 2021 vs 2019 Sem'!ED33*$AT$4</f>
        <v>4296.469495105649</v>
      </c>
      <c r="AS34" s="736">
        <v>2659.3</v>
      </c>
      <c r="AT34" s="700">
        <f t="shared" si="593"/>
        <v>0.44967060905011946</v>
      </c>
      <c r="AU34" s="593">
        <f>'Proy 2021 vs 2019 Sem'!EC33*$AX$4</f>
        <v>5913.8843999999999</v>
      </c>
      <c r="AV34" s="593">
        <f>'Proy 2021 vs 2019 Sem'!ED33*$AX$4</f>
        <v>4296.469495105649</v>
      </c>
      <c r="AW34" s="736">
        <v>2635.45</v>
      </c>
      <c r="AX34" s="700">
        <f t="shared" si="594"/>
        <v>0.44563772670294333</v>
      </c>
      <c r="AY34" s="593">
        <f>'Proy 2021 vs 2019 Sem'!EC33*$BB$4</f>
        <v>6899.5318000000007</v>
      </c>
      <c r="AZ34" s="593">
        <f>'Proy 2021 vs 2019 Sem'!ED33*$BB$4</f>
        <v>5012.5477442899246</v>
      </c>
      <c r="BA34" s="736">
        <v>3165.19</v>
      </c>
      <c r="BB34" s="700">
        <f t="shared" si="595"/>
        <v>0.45875431721323462</v>
      </c>
      <c r="BC34" s="593">
        <f>'Proy 2021 vs 2019 Sem'!EC33*$BF$4</f>
        <v>7885.1792000000005</v>
      </c>
      <c r="BD34" s="593">
        <f>'Proy 2021 vs 2019 Sem'!ED33*$BF$4</f>
        <v>5728.6259934741993</v>
      </c>
      <c r="BE34" s="736">
        <v>4324.57</v>
      </c>
      <c r="BF34" s="700">
        <f t="shared" si="596"/>
        <v>0.54844283057003951</v>
      </c>
      <c r="BG34" s="593">
        <f>'Proy 2021 vs 2019 Sem'!EC33*$BJ$4</f>
        <v>10842.1214</v>
      </c>
      <c r="BH34" s="593">
        <f>'Proy 2021 vs 2019 Sem'!ED33*$BJ$4</f>
        <v>7876.8607410270242</v>
      </c>
      <c r="BI34" s="736">
        <v>5292.64</v>
      </c>
      <c r="BJ34" s="700">
        <f t="shared" si="597"/>
        <v>0.48815538995901675</v>
      </c>
      <c r="BK34" s="579">
        <f t="shared" si="598"/>
        <v>49282.369999999995</v>
      </c>
      <c r="BL34" s="574">
        <f t="shared" si="599"/>
        <v>35803.912459213745</v>
      </c>
      <c r="BM34" s="730">
        <f t="shared" si="600"/>
        <v>26820.519999999997</v>
      </c>
      <c r="BN34" s="711">
        <f t="shared" si="601"/>
        <v>0.544221391950103</v>
      </c>
      <c r="BO34" s="593">
        <f>'Proy 2021 vs 2019 Sem'!EH33*$BR$4</f>
        <v>5932.0055999999995</v>
      </c>
      <c r="BP34" s="593">
        <f>'Proy 2021 vs 2019 Sem'!EI33*$BR$4</f>
        <v>4595.0465279999999</v>
      </c>
      <c r="BQ34" s="736">
        <v>6177.16</v>
      </c>
      <c r="BR34" s="700">
        <f t="shared" si="602"/>
        <v>1.0413274053551129</v>
      </c>
      <c r="BS34" s="593">
        <f>'Proy 2021 vs 2019 Sem'!EH33*$BV$4</f>
        <v>5932.0055999999995</v>
      </c>
      <c r="BT34" s="593">
        <f>'Proy 2021 vs 2019 Sem'!EI33*$BV$4</f>
        <v>4595.0465279999999</v>
      </c>
      <c r="BU34" s="736">
        <v>2795.35</v>
      </c>
      <c r="BV34" s="700">
        <f t="shared" si="603"/>
        <v>0.47123185453499911</v>
      </c>
      <c r="BW34" s="593">
        <f>'Proy 2021 vs 2019 Sem'!EH33*$BZ$4</f>
        <v>5932.0055999999995</v>
      </c>
      <c r="BX34" s="593">
        <f>'Proy 2021 vs 2019 Sem'!EI33*$BZ$4</f>
        <v>4595.0465279999999</v>
      </c>
      <c r="BY34" s="736">
        <v>1871.63</v>
      </c>
      <c r="BZ34" s="700">
        <f t="shared" si="604"/>
        <v>0.31551386263020392</v>
      </c>
      <c r="CA34" s="593">
        <f>'Proy 2021 vs 2019 Sem'!EH33*$CD$4</f>
        <v>5932.0055999999995</v>
      </c>
      <c r="CB34" s="593">
        <f>'Proy 2021 vs 2019 Sem'!EI33*$CD$4</f>
        <v>4595.0465279999999</v>
      </c>
      <c r="CC34" s="736">
        <v>2048.71</v>
      </c>
      <c r="CD34" s="700">
        <f t="shared" si="605"/>
        <v>0.34536548650594667</v>
      </c>
      <c r="CE34" s="593">
        <f>'Proy 2021 vs 2019 Sem'!EH33*$CH$4</f>
        <v>6920.6732000000002</v>
      </c>
      <c r="CF34" s="593">
        <f>'Proy 2021 vs 2019 Sem'!EI33*$CH$4</f>
        <v>5360.8876160000009</v>
      </c>
      <c r="CG34" s="736">
        <v>2878.34</v>
      </c>
      <c r="CH34" s="700">
        <f t="shared" si="606"/>
        <v>0.41590462615688889</v>
      </c>
      <c r="CI34" s="593">
        <f>'Proy 2021 vs 2019 Sem'!EH33*$CL$4</f>
        <v>7909.3407999999999</v>
      </c>
      <c r="CJ34" s="593">
        <f>'Proy 2021 vs 2019 Sem'!EI33*$CL$4</f>
        <v>6126.7287040000001</v>
      </c>
      <c r="CK34" s="736">
        <v>8340.4599999999991</v>
      </c>
      <c r="CL34" s="700">
        <f t="shared" si="607"/>
        <v>1.0545076019483191</v>
      </c>
      <c r="CM34" s="593">
        <f>'Proy 2021 vs 2019 Sem'!EH33*$CP$4</f>
        <v>10875.3436</v>
      </c>
      <c r="CN34" s="593">
        <f>'Proy 2021 vs 2019 Sem'!EI33*$CP$4</f>
        <v>8424.2519680000005</v>
      </c>
      <c r="CO34" s="736">
        <v>7360.73</v>
      </c>
      <c r="CP34" s="700">
        <f t="shared" si="608"/>
        <v>0.67682735099974212</v>
      </c>
      <c r="CQ34" s="579">
        <f t="shared" si="609"/>
        <v>49433.38</v>
      </c>
      <c r="CR34" s="574">
        <f t="shared" si="610"/>
        <v>38292.054400000001</v>
      </c>
      <c r="CS34" s="730">
        <f t="shared" si="611"/>
        <v>31472.379999999997</v>
      </c>
      <c r="CT34" s="711">
        <f t="shared" si="612"/>
        <v>0.63666251427679033</v>
      </c>
      <c r="CU34" s="593">
        <f>'Proy 2021 vs 2019 Sem'!EM33*$CX$4</f>
        <v>6491.3676000000005</v>
      </c>
      <c r="CV34" s="593">
        <f>'Proy 2021 vs 2019 Sem'!EN33*$CX$4</f>
        <v>4659.9114239999999</v>
      </c>
      <c r="CW34" s="736">
        <v>5796.85</v>
      </c>
      <c r="CX34" s="700">
        <f t="shared" si="613"/>
        <v>0.89300904789308189</v>
      </c>
      <c r="CY34" s="593">
        <f>'Proy 2021 vs 2019 Sem'!EM33*$DB$4</f>
        <v>6491.3676000000005</v>
      </c>
      <c r="CZ34" s="593">
        <f>'Proy 2021 vs 2019 Sem'!EN33*$DB$4</f>
        <v>4659.9114239999999</v>
      </c>
      <c r="DA34" s="736">
        <v>2375.94</v>
      </c>
      <c r="DB34" s="700">
        <f t="shared" si="614"/>
        <v>0.36601532164038897</v>
      </c>
      <c r="DC34" s="593">
        <f>'Proy 2021 vs 2019 Sem'!EM33*$DF$4</f>
        <v>6491.3676000000005</v>
      </c>
      <c r="DD34" s="593">
        <f>'Proy 2021 vs 2019 Sem'!EN33*$DF$4</f>
        <v>4659.9114239999999</v>
      </c>
      <c r="DE34" s="736">
        <v>3569.16</v>
      </c>
      <c r="DF34" s="700">
        <f t="shared" si="615"/>
        <v>0.54983174885982422</v>
      </c>
      <c r="DG34" s="593">
        <f>'Proy 2021 vs 2019 Sem'!EM33*$DJ$4</f>
        <v>6491.3676000000005</v>
      </c>
      <c r="DH34" s="593">
        <f>'Proy 2021 vs 2019 Sem'!EN33*$DJ$4</f>
        <v>4659.9114239999999</v>
      </c>
      <c r="DI34" s="736">
        <v>2570.58</v>
      </c>
      <c r="DJ34" s="700">
        <f t="shared" si="616"/>
        <v>0.39599975820195421</v>
      </c>
      <c r="DK34" s="593">
        <f>'Proy 2021 vs 2019 Sem'!EM33*$DN$4</f>
        <v>7573.262200000001</v>
      </c>
      <c r="DL34" s="593">
        <f>'Proy 2021 vs 2019 Sem'!EN33*$DN$4</f>
        <v>5436.5633280000011</v>
      </c>
      <c r="DM34" s="736">
        <v>2928.39</v>
      </c>
      <c r="DN34" s="700">
        <f t="shared" si="617"/>
        <v>0.38667484667307561</v>
      </c>
      <c r="DO34" s="593">
        <f>'Proy 2021 vs 2019 Sem'!EM33*$DR$4</f>
        <v>8655.1568000000007</v>
      </c>
      <c r="DP34" s="593">
        <f>'Proy 2021 vs 2019 Sem'!EN33*$DR$4</f>
        <v>6213.2152320000005</v>
      </c>
      <c r="DQ34" s="736">
        <v>6414.02</v>
      </c>
      <c r="DR34" s="700">
        <f t="shared" si="618"/>
        <v>0.74106340857972675</v>
      </c>
      <c r="DS34" s="593">
        <f>'Proy 2021 vs 2019 Sem'!EM33*$DV$4</f>
        <v>11900.840600000001</v>
      </c>
      <c r="DT34" s="593">
        <f>'Proy 2021 vs 2019 Sem'!EN33*$DV$4</f>
        <v>8543.1709440000013</v>
      </c>
      <c r="DU34" s="736">
        <v>6069.41</v>
      </c>
      <c r="DV34" s="700">
        <f t="shared" si="619"/>
        <v>0.50999842817825825</v>
      </c>
      <c r="DW34" s="579">
        <f t="shared" si="620"/>
        <v>54094.73</v>
      </c>
      <c r="DX34" s="574">
        <f t="shared" si="621"/>
        <v>38832.595199999996</v>
      </c>
      <c r="DY34" s="710">
        <f t="shared" si="622"/>
        <v>29724.350000000002</v>
      </c>
      <c r="DZ34" s="711">
        <f t="shared" si="623"/>
        <v>0.54948698329763357</v>
      </c>
      <c r="EA34" s="593">
        <f>'Proy 2021 vs 2019 Sem'!ER33*$ED$4</f>
        <v>6771.6959999999999</v>
      </c>
      <c r="EB34" s="593">
        <f>'Proy 2021 vs 2019 Sem'!ES33*$ED$4</f>
        <v>3488.34384</v>
      </c>
      <c r="EC34" s="736">
        <v>6515.05</v>
      </c>
      <c r="ED34" s="700">
        <f t="shared" si="624"/>
        <v>0.96210018878579318</v>
      </c>
      <c r="EE34" s="593">
        <f>'Proy 2021 vs 2019 Sem'!ER33*$EH$4</f>
        <v>6771.6959999999999</v>
      </c>
      <c r="EF34" s="593">
        <f>'Proy 2021 vs 2019 Sem'!ES33*$EH$4</f>
        <v>3488.34384</v>
      </c>
      <c r="EG34" s="736">
        <v>2928.52</v>
      </c>
      <c r="EH34" s="700">
        <f t="shared" si="625"/>
        <v>0.43246477691851493</v>
      </c>
      <c r="EI34" s="593">
        <f>'Proy 2021 vs 2019 Sem'!ER33*$EL$4</f>
        <v>6771.6959999999999</v>
      </c>
      <c r="EJ34" s="593">
        <f>'Proy 2021 vs 2019 Sem'!ES33*$EL$4</f>
        <v>3488.34384</v>
      </c>
      <c r="EK34" s="736">
        <v>2950.27</v>
      </c>
      <c r="EL34" s="700">
        <f t="shared" si="626"/>
        <v>0.43567667538530969</v>
      </c>
      <c r="EM34" s="593">
        <f>'Proy 2021 vs 2019 Sem'!ER33*$EP$4</f>
        <v>6771.6959999999999</v>
      </c>
      <c r="EN34" s="593">
        <f>'Proy 2021 vs 2019 Sem'!ES33*$EP$4</f>
        <v>3488.34384</v>
      </c>
      <c r="EO34" s="736">
        <v>2781.79</v>
      </c>
      <c r="EP34" s="700">
        <f t="shared" si="627"/>
        <v>0.41079664533080046</v>
      </c>
      <c r="EQ34" s="593">
        <f>'Proy 2021 vs 2019 Sem'!ER33*$ET$4</f>
        <v>7900.3120000000008</v>
      </c>
      <c r="ER34" s="593">
        <f>'Proy 2021 vs 2019 Sem'!ES33*$ET$4</f>
        <v>4069.734480000001</v>
      </c>
      <c r="ES34" s="736">
        <v>3837.29</v>
      </c>
      <c r="ET34" s="700">
        <f t="shared" si="628"/>
        <v>0.48571372877425595</v>
      </c>
      <c r="EU34" s="593">
        <f>'Proy 2021 vs 2019 Sem'!ER33*$EX$4</f>
        <v>9028.9279999999999</v>
      </c>
      <c r="EV34" s="593">
        <f>'Proy 2021 vs 2019 Sem'!ES33*$EX$4</f>
        <v>4651.1251200000006</v>
      </c>
      <c r="EW34" s="736">
        <v>4275.37</v>
      </c>
      <c r="EX34" s="700">
        <f t="shared" si="629"/>
        <v>0.47351911544759245</v>
      </c>
      <c r="EY34" s="593">
        <f>'Proy 2021 vs 2019 Sem'!ER33*$FB$4</f>
        <v>12414.776</v>
      </c>
      <c r="EZ34" s="593">
        <f>'Proy 2021 vs 2019 Sem'!ES33*$FB$4</f>
        <v>6395.2970400000004</v>
      </c>
      <c r="FA34" s="701">
        <v>6890.12</v>
      </c>
      <c r="FB34" s="700">
        <f t="shared" si="630"/>
        <v>0.55499350129233105</v>
      </c>
      <c r="FC34" s="579">
        <f t="shared" si="631"/>
        <v>56430.799999999996</v>
      </c>
      <c r="FD34" s="574">
        <f t="shared" si="632"/>
        <v>29069.532000000003</v>
      </c>
      <c r="FE34" s="710">
        <f t="shared" si="633"/>
        <v>30178.41</v>
      </c>
      <c r="FF34" s="711">
        <f t="shared" si="634"/>
        <v>0.53478614515477363</v>
      </c>
      <c r="FG34" s="593">
        <f>'Proy 2021 vs 2019 Sem'!FA33*$FJ$4</f>
        <v>6815.3903999999993</v>
      </c>
      <c r="FH34" s="593">
        <f>'Proy 2021 vs 2019 Sem'!FB33*$FJ$4</f>
        <v>3899.0488319999999</v>
      </c>
      <c r="FI34" s="736">
        <v>6814.36</v>
      </c>
      <c r="FJ34" s="700">
        <f t="shared" si="635"/>
        <v>0.99984881276940496</v>
      </c>
      <c r="FK34" s="593">
        <f>'Proy 2021 vs 2019 Sem'!FA33*$FN$4</f>
        <v>6815.3903999999993</v>
      </c>
      <c r="FL34" s="593">
        <f>'Proy 2021 vs 2019 Sem'!FB33*$FN$4</f>
        <v>3899.0488319999999</v>
      </c>
      <c r="FM34" s="736">
        <v>3423.06</v>
      </c>
      <c r="FN34" s="700">
        <f t="shared" si="636"/>
        <v>0.5022544269804412</v>
      </c>
      <c r="FO34" s="593">
        <f>'Proy 2021 vs 2019 Sem'!FA33*$FR$4</f>
        <v>6815.3903999999993</v>
      </c>
      <c r="FP34" s="593">
        <f>'Proy 2021 vs 2019 Sem'!FB33*$FR$4</f>
        <v>3899.0488319999999</v>
      </c>
      <c r="FQ34" s="736">
        <v>1822.08</v>
      </c>
      <c r="FR34" s="700">
        <f t="shared" si="637"/>
        <v>0.26734785435035391</v>
      </c>
      <c r="FS34" s="593">
        <f>'Proy 2021 vs 2019 Sem'!FA33*$FV$4</f>
        <v>6815.3903999999993</v>
      </c>
      <c r="FT34" s="593">
        <f>'Proy 2021 vs 2019 Sem'!FB33*$FV$4</f>
        <v>3899.0488319999999</v>
      </c>
      <c r="FU34" s="736">
        <v>3579.88</v>
      </c>
      <c r="FV34" s="700">
        <f t="shared" si="638"/>
        <v>0.52526411399705009</v>
      </c>
      <c r="FW34" s="593">
        <f>'Proy 2021 vs 2019 Sem'!FA33*$FZ$4</f>
        <v>7951.2888000000003</v>
      </c>
      <c r="FX34" s="593">
        <f>'Proy 2021 vs 2019 Sem'!FB33*$FZ$4</f>
        <v>4548.8903040000005</v>
      </c>
      <c r="FY34" s="736">
        <v>1913.5</v>
      </c>
      <c r="FZ34" s="700">
        <f t="shared" si="639"/>
        <v>0.24065281090029078</v>
      </c>
      <c r="GA34" s="593">
        <f>'Proy 2021 vs 2019 Sem'!FA33*$GD$4</f>
        <v>9087.1872000000003</v>
      </c>
      <c r="GB34" s="593">
        <f>'Proy 2021 vs 2019 Sem'!FB33*$GD$4</f>
        <v>5198.7317759999996</v>
      </c>
      <c r="GC34" s="736">
        <v>3337.11</v>
      </c>
      <c r="GD34" s="700">
        <f t="shared" si="640"/>
        <v>0.36723244790203069</v>
      </c>
      <c r="GE34" s="593">
        <f>'Proy 2021 vs 2019 Sem'!FA33*$GH$4</f>
        <v>12494.8824</v>
      </c>
      <c r="GF34" s="593">
        <f>'Proy 2021 vs 2019 Sem'!FB33*$GH$4</f>
        <v>7148.2561919999998</v>
      </c>
      <c r="GG34" s="736">
        <v>7055.99</v>
      </c>
      <c r="GH34" s="700">
        <f t="shared" si="641"/>
        <v>0.56471039695419623</v>
      </c>
      <c r="GI34" s="579">
        <f t="shared" si="642"/>
        <v>56794.92</v>
      </c>
      <c r="GJ34" s="574">
        <f t="shared" si="643"/>
        <v>32492.073600000003</v>
      </c>
      <c r="GK34" s="759">
        <f t="shared" si="644"/>
        <v>27945.980000000003</v>
      </c>
      <c r="GL34" s="761">
        <f t="shared" si="645"/>
        <v>0.49205069749195884</v>
      </c>
      <c r="GM34" s="593">
        <f>'Proy 2021 vs 2019 Sem'!FF33*$GP$4</f>
        <v>5592.2532000000001</v>
      </c>
      <c r="GN34" s="593">
        <f>'Proy 2021 vs 2019 Sem'!FG33*$GP$4</f>
        <v>4342.3760063999998</v>
      </c>
      <c r="GO34" s="736">
        <v>5655.01</v>
      </c>
      <c r="GP34" s="700">
        <f t="shared" si="646"/>
        <v>1.0112220955946702</v>
      </c>
      <c r="GQ34" s="593">
        <f>'Proy 2021 vs 2019 Sem'!FF33*$GT$4</f>
        <v>5592.2532000000001</v>
      </c>
      <c r="GR34" s="593">
        <f>'Proy 2021 vs 2019 Sem'!FG33*$GT$4</f>
        <v>4342.3760063999998</v>
      </c>
      <c r="GS34" s="736">
        <v>1272.5899999999999</v>
      </c>
      <c r="GT34" s="700">
        <f t="shared" si="647"/>
        <v>0.2275630152082527</v>
      </c>
      <c r="GU34" s="593">
        <f>'Proy 2021 vs 2019 Sem'!FF33*$GX$4</f>
        <v>5592.2532000000001</v>
      </c>
      <c r="GV34" s="593">
        <f>'Proy 2021 vs 2019 Sem'!FG33*$GX$4</f>
        <v>4342.3760063999998</v>
      </c>
      <c r="GW34" s="736">
        <v>1234.72</v>
      </c>
      <c r="GX34" s="700">
        <f t="shared" si="648"/>
        <v>0.22079114729640639</v>
      </c>
      <c r="GY34" s="593">
        <f>'Proy 2021 vs 2019 Sem'!FF33*$HB$4</f>
        <v>5592.2532000000001</v>
      </c>
      <c r="GZ34" s="593">
        <f>'Proy 2021 vs 2019 Sem'!FG33*$HB$4</f>
        <v>4342.3760063999998</v>
      </c>
      <c r="HA34" s="736">
        <v>2157.5</v>
      </c>
      <c r="HB34" s="700">
        <f t="shared" si="649"/>
        <v>0.38580155848451209</v>
      </c>
      <c r="HC34" s="593">
        <f>'Proy 2021 vs 2019 Sem'!FF33*$HF$4</f>
        <v>6524.2954000000009</v>
      </c>
      <c r="HD34" s="593">
        <f>'Proy 2021 vs 2019 Sem'!FG33*$HF$4</f>
        <v>5066.1053407999998</v>
      </c>
      <c r="HE34" s="736">
        <v>4644.21</v>
      </c>
      <c r="HF34" s="700">
        <f t="shared" si="650"/>
        <v>0.71183318891416214</v>
      </c>
      <c r="HG34" s="593">
        <f>'Proy 2021 vs 2019 Sem'!FF33*$HJ$4</f>
        <v>7456.3375999999998</v>
      </c>
      <c r="HH34" s="593">
        <f>'Proy 2021 vs 2019 Sem'!FG33*$HJ$4</f>
        <v>5789.8346751999998</v>
      </c>
      <c r="HI34" s="736">
        <v>4051.97</v>
      </c>
      <c r="HJ34" s="700">
        <f t="shared" si="651"/>
        <v>0.54342630623377353</v>
      </c>
      <c r="HK34" s="593">
        <f>'Proy 2021 vs 2019 Sem'!FF33*$HN$4</f>
        <v>10252.4642</v>
      </c>
      <c r="HL34" s="593">
        <f>'Proy 2021 vs 2019 Sem'!FG33*$HN$4</f>
        <v>7961.0226783999997</v>
      </c>
      <c r="HM34" s="736">
        <v>5993.81</v>
      </c>
      <c r="HN34" s="700">
        <f t="shared" si="652"/>
        <v>0.58462140253072037</v>
      </c>
      <c r="HO34" s="579">
        <f t="shared" si="653"/>
        <v>46602.11</v>
      </c>
      <c r="HP34" s="574">
        <f t="shared" si="654"/>
        <v>36186.466719999997</v>
      </c>
      <c r="HQ34" s="765">
        <f t="shared" si="655"/>
        <v>25009.81</v>
      </c>
      <c r="HR34" s="761">
        <f t="shared" si="656"/>
        <v>0.5366669019922059</v>
      </c>
      <c r="HS34" s="593">
        <f>'Proy 2021 vs 2019 Sem'!FK33*$CX$4</f>
        <v>4990.7267999999995</v>
      </c>
      <c r="HT34" s="593">
        <f>'Proy 2021 vs 2019 Sem'!FL33*$CX$4</f>
        <v>3524.0409600000003</v>
      </c>
      <c r="HU34" s="736">
        <v>8085.82</v>
      </c>
      <c r="HV34" s="700">
        <f t="shared" si="657"/>
        <v>1.6201688299187205</v>
      </c>
      <c r="HW34" s="593">
        <f>'Proy 2021 vs 2019 Sem'!FK33*$DB$4</f>
        <v>4990.7267999999995</v>
      </c>
      <c r="HX34" s="593">
        <f>'Proy 2021 vs 2019 Sem'!FL33*$DB$4</f>
        <v>3524.0409600000003</v>
      </c>
      <c r="HY34" s="736">
        <v>1675.06</v>
      </c>
      <c r="HZ34" s="700">
        <f t="shared" si="658"/>
        <v>0.33563448113409056</v>
      </c>
      <c r="IA34" s="593">
        <f>'Proy 2021 vs 2019 Sem'!FK33*$DF$4</f>
        <v>4990.7267999999995</v>
      </c>
      <c r="IB34" s="593">
        <f>'Proy 2021 vs 2019 Sem'!FL33*$DF$4</f>
        <v>3524.0409600000003</v>
      </c>
      <c r="IC34" s="736">
        <v>2392.59</v>
      </c>
      <c r="ID34" s="700">
        <f t="shared" si="659"/>
        <v>0.47940712763519744</v>
      </c>
      <c r="IE34" s="593">
        <f>'Proy 2021 vs 2019 Sem'!FK33*$DJ$4</f>
        <v>4990.7267999999995</v>
      </c>
      <c r="IF34" s="593">
        <f>'Proy 2021 vs 2019 Sem'!FL33*$DJ$4</f>
        <v>3524.0409600000003</v>
      </c>
      <c r="IG34" s="736">
        <v>2729.22</v>
      </c>
      <c r="IH34" s="700">
        <f t="shared" si="660"/>
        <v>0.54685822513867122</v>
      </c>
      <c r="II34" s="593">
        <f>'Proy 2021 vs 2019 Sem'!FK33*$DN$4</f>
        <v>5822.5146000000004</v>
      </c>
      <c r="IJ34" s="593">
        <f>'Proy 2021 vs 2019 Sem'!FL33*$DN$4</f>
        <v>4111.3811200000009</v>
      </c>
      <c r="IK34" s="736">
        <v>3873.41</v>
      </c>
      <c r="IL34" s="700">
        <f t="shared" si="661"/>
        <v>0.66524693643533317</v>
      </c>
      <c r="IM34" s="593">
        <f>'Proy 2021 vs 2019 Sem'!FK33*$DR$4</f>
        <v>6654.3024000000005</v>
      </c>
      <c r="IN34" s="593">
        <f>'Proy 2021 vs 2019 Sem'!FL33*$DR$4</f>
        <v>4698.7212800000007</v>
      </c>
      <c r="IO34" s="1411">
        <v>4773.96</v>
      </c>
      <c r="IP34" s="700">
        <f t="shared" si="662"/>
        <v>0.71742456429392198</v>
      </c>
      <c r="IQ34" s="593">
        <f>'Proy 2021 vs 2019 Sem'!FK33*$IT$4</f>
        <v>9149.6658000000007</v>
      </c>
      <c r="IR34" s="593">
        <f>'Proy 2021 vs 2019 Sem'!FL33*$IT$4</f>
        <v>6460.7417600000008</v>
      </c>
      <c r="IS34" s="736">
        <v>7775.83</v>
      </c>
      <c r="IT34" s="700">
        <f t="shared" si="663"/>
        <v>0.8498485267079372</v>
      </c>
      <c r="IU34" s="579">
        <f t="shared" si="664"/>
        <v>41589.39</v>
      </c>
      <c r="IV34" s="574">
        <f t="shared" si="665"/>
        <v>29367.008000000005</v>
      </c>
      <c r="IW34" s="765">
        <f t="shared" si="666"/>
        <v>31305.89</v>
      </c>
      <c r="IX34" s="761">
        <f t="shared" si="667"/>
        <v>0.75273741692292195</v>
      </c>
      <c r="IY34" s="593">
        <f>'Proy 2021 vs 2019 Sem'!FP33*$JB$4</f>
        <v>5046.4260000000004</v>
      </c>
      <c r="IZ34" s="593">
        <f>'Proy 2021 vs 2019 Sem'!FQ33*$JB$4</f>
        <v>3784.831881600001</v>
      </c>
      <c r="JA34" s="736">
        <v>6557.97</v>
      </c>
      <c r="JB34" s="700">
        <f t="shared" si="668"/>
        <v>1.2995276260862638</v>
      </c>
      <c r="JC34" s="593">
        <f>'Proy 2021 vs 2019 Sem'!FP33*$JF$4</f>
        <v>5046.4260000000004</v>
      </c>
      <c r="JD34" s="593">
        <f>'Proy 2021 vs 2019 Sem'!FQ33*$JF$4</f>
        <v>3784.831881600001</v>
      </c>
      <c r="JE34" s="736">
        <v>2201.08</v>
      </c>
      <c r="JF34" s="700">
        <f t="shared" si="669"/>
        <v>0.43616611043142212</v>
      </c>
      <c r="JG34" s="593">
        <f>'Proy 2021 vs 2019 Sem'!FP33*$JJ$4</f>
        <v>5046.4260000000004</v>
      </c>
      <c r="JH34" s="593">
        <f>'Proy 2021 vs 2019 Sem'!FQ33*$JJ$4</f>
        <v>3784.831881600001</v>
      </c>
      <c r="JI34" s="736">
        <v>2330.58</v>
      </c>
      <c r="JJ34" s="700">
        <f t="shared" si="670"/>
        <v>0.46182783617554279</v>
      </c>
      <c r="JK34" s="593">
        <f>'Proy 2021 vs 2019 Sem'!FP33*$JN$4</f>
        <v>5046.4260000000004</v>
      </c>
      <c r="JL34" s="593">
        <f>'Proy 2021 vs 2019 Sem'!FQ33*$JN$4</f>
        <v>3784.831881600001</v>
      </c>
      <c r="JM34" s="736">
        <v>2520.5300000000002</v>
      </c>
      <c r="JN34" s="700">
        <f t="shared" si="671"/>
        <v>0.49946833660099249</v>
      </c>
      <c r="JO34" s="593">
        <f>'Proy 2021 vs 2019 Sem'!FP33*$JR$4</f>
        <v>5887.4970000000012</v>
      </c>
      <c r="JP34" s="593">
        <f>'Proy 2021 vs 2019 Sem'!FQ33*$JR$4</f>
        <v>4415.6371952000018</v>
      </c>
      <c r="JQ34" s="736">
        <v>2220.0500000000002</v>
      </c>
      <c r="JR34" s="700">
        <f t="shared" si="672"/>
        <v>0.37707874840530697</v>
      </c>
      <c r="JS34" s="593">
        <f>'Proy 2021 vs 2019 Sem'!FP33*$JV$4</f>
        <v>6728.5680000000002</v>
      </c>
      <c r="JT34" s="593">
        <f>'Proy 2021 vs 2019 Sem'!FQ33*$JV$4</f>
        <v>5046.4425088000016</v>
      </c>
      <c r="JU34" s="736">
        <v>6585.15</v>
      </c>
      <c r="JV34" s="700">
        <f t="shared" si="673"/>
        <v>0.9786852120688978</v>
      </c>
      <c r="JW34" s="593">
        <f>'Proy 2021 vs 2019 Sem'!FP33*$JZ$4</f>
        <v>9251.7810000000009</v>
      </c>
      <c r="JX34" s="593">
        <f>'Proy 2021 vs 2019 Sem'!FQ33*$JZ$4</f>
        <v>6938.8584496000021</v>
      </c>
      <c r="JY34" s="736">
        <v>5204.74</v>
      </c>
      <c r="JZ34" s="700">
        <f t="shared" si="674"/>
        <v>0.56256627777938095</v>
      </c>
      <c r="KA34" s="579">
        <f t="shared" si="675"/>
        <v>42053.55</v>
      </c>
      <c r="KB34" s="574">
        <f t="shared" si="676"/>
        <v>31540.265680000011</v>
      </c>
      <c r="KC34" s="770">
        <f t="shared" si="677"/>
        <v>27620.1</v>
      </c>
      <c r="KD34" s="761">
        <f t="shared" si="678"/>
        <v>0.65678402893453691</v>
      </c>
      <c r="KE34" s="593">
        <f>'Proy 2021 vs 2019 Sem'!FY33*$KH$4</f>
        <v>4738.7555999999995</v>
      </c>
      <c r="KF34" s="593">
        <f>'Proy 2021 vs 2019 Sem'!FZ33*$KH$4</f>
        <v>3448.222968</v>
      </c>
      <c r="KG34" s="736">
        <v>4212</v>
      </c>
      <c r="KH34" s="700">
        <f t="shared" si="679"/>
        <v>0.88884094381233769</v>
      </c>
      <c r="KI34" s="593">
        <f>'Proy 2021 vs 2019 Sem'!FY33*$KL$4</f>
        <v>4738.7555999999995</v>
      </c>
      <c r="KJ34" s="593">
        <f>'Proy 2021 vs 2019 Sem'!FZ33*$KL$4</f>
        <v>3448.222968</v>
      </c>
      <c r="KK34" s="736">
        <v>1853.06</v>
      </c>
      <c r="KL34" s="700">
        <f t="shared" si="680"/>
        <v>0.391043589587106</v>
      </c>
      <c r="KM34" s="593">
        <f>'Proy 2021 vs 2019 Sem'!FY33*$KP$4</f>
        <v>4738.7555999999995</v>
      </c>
      <c r="KN34" s="593">
        <f>'Proy 2021 vs 2019 Sem'!FZ33*$KP$4</f>
        <v>3448.222968</v>
      </c>
      <c r="KO34" s="736">
        <v>2695.18</v>
      </c>
      <c r="KP34" s="700">
        <f t="shared" si="681"/>
        <v>0.56875269110734472</v>
      </c>
      <c r="KQ34" s="593">
        <f>'Proy 2021 vs 2019 Sem'!FY33*$KT$4</f>
        <v>4738.7555999999995</v>
      </c>
      <c r="KR34" s="593">
        <f>'Proy 2021 vs 2019 Sem'!FZ33*$KT$4</f>
        <v>3448.222968</v>
      </c>
      <c r="KS34" s="736">
        <v>1560.63</v>
      </c>
      <c r="KT34" s="700">
        <f t="shared" si="682"/>
        <v>0.32933329585513976</v>
      </c>
      <c r="KU34" s="593">
        <f>'Proy 2021 vs 2019 Sem'!FY33*$KX$4</f>
        <v>5528.5482000000002</v>
      </c>
      <c r="KV34" s="593">
        <f>'Proy 2021 vs 2019 Sem'!FZ33*$KX$4</f>
        <v>4022.9267960000002</v>
      </c>
      <c r="KW34" s="736">
        <v>2073.58</v>
      </c>
      <c r="KX34" s="700">
        <f t="shared" si="683"/>
        <v>0.37506772573674946</v>
      </c>
      <c r="KY34" s="593">
        <f>'Proy 2021 vs 2019 Sem'!FY33*$LB$4</f>
        <v>6318.3407999999999</v>
      </c>
      <c r="KZ34" s="593">
        <f>'Proy 2021 vs 2019 Sem'!FZ33*$LB$4</f>
        <v>4597.6306240000004</v>
      </c>
      <c r="LA34" s="736">
        <v>5729.99</v>
      </c>
      <c r="LB34" s="700">
        <f t="shared" si="684"/>
        <v>0.90688207258462539</v>
      </c>
      <c r="LC34" s="593">
        <f>'Proy 2021 vs 2019 Sem'!FY33*$LF$4</f>
        <v>8687.7186000000002</v>
      </c>
      <c r="LD34" s="593">
        <f>'Proy 2021 vs 2019 Sem'!FZ33*$LF$4</f>
        <v>6321.7421080000004</v>
      </c>
      <c r="LE34" s="736">
        <v>7616.53</v>
      </c>
      <c r="LF34" s="700">
        <f t="shared" si="685"/>
        <v>0.876700817634678</v>
      </c>
      <c r="LG34" s="579">
        <f t="shared" si="686"/>
        <v>39489.629999999997</v>
      </c>
      <c r="LH34" s="574">
        <f t="shared" si="687"/>
        <v>28735.191400000003</v>
      </c>
      <c r="LI34" s="793">
        <f t="shared" si="688"/>
        <v>25740.969999999998</v>
      </c>
      <c r="LJ34" s="786">
        <f t="shared" si="689"/>
        <v>0.65184125553974548</v>
      </c>
      <c r="LK34" s="593">
        <f>'Proy 2021 vs 2019 Sem'!GD33*$LN$4</f>
        <v>5051.3460000000005</v>
      </c>
      <c r="LL34" s="593">
        <f>'Proy 2021 vs 2019 Sem'!GE33*$LN$4</f>
        <v>4210.6053119999997</v>
      </c>
      <c r="LM34" s="736">
        <v>4897.58</v>
      </c>
      <c r="LN34" s="700">
        <f t="shared" si="690"/>
        <v>0.96955940060332424</v>
      </c>
      <c r="LO34" s="593">
        <f>'Proy 2021 vs 2019 Sem'!GD33*$LR$4</f>
        <v>5051.3460000000005</v>
      </c>
      <c r="LP34" s="593">
        <f>'Proy 2021 vs 2019 Sem'!GE33*$LR$4</f>
        <v>4210.6053119999997</v>
      </c>
      <c r="LQ34" s="736">
        <v>2513.2600000000002</v>
      </c>
      <c r="LR34" s="700">
        <f t="shared" si="691"/>
        <v>0.49754263517090297</v>
      </c>
      <c r="LS34" s="593">
        <f>'Proy 2021 vs 2019 Sem'!GD33*$LV$4</f>
        <v>5051.3460000000005</v>
      </c>
      <c r="LT34" s="593">
        <f>'Proy 2021 vs 2019 Sem'!GE33*$LV$4</f>
        <v>4210.6053119999997</v>
      </c>
      <c r="LU34" s="736">
        <v>2062.58</v>
      </c>
      <c r="LV34" s="700">
        <f t="shared" si="692"/>
        <v>0.40832285097872917</v>
      </c>
      <c r="LW34" s="593">
        <f>'Proy 2021 vs 2019 Sem'!GD33*$LZ$4</f>
        <v>5051.3460000000005</v>
      </c>
      <c r="LX34" s="593">
        <f>'Proy 2021 vs 2019 Sem'!GE33*$LZ$4</f>
        <v>4210.6053119999997</v>
      </c>
      <c r="LY34" s="736">
        <v>2264.94</v>
      </c>
      <c r="LZ34" s="700">
        <f t="shared" si="693"/>
        <v>0.44838346056674794</v>
      </c>
      <c r="MA34" s="593">
        <f>'Proy 2021 vs 2019 Sem'!GD33*$MD$4</f>
        <v>5893.237000000001</v>
      </c>
      <c r="MB34" s="593">
        <f>'Proy 2021 vs 2019 Sem'!GE33*$MD$4</f>
        <v>4912.3728640000008</v>
      </c>
      <c r="MC34" s="736">
        <v>1759.57</v>
      </c>
      <c r="MD34" s="700">
        <f t="shared" si="694"/>
        <v>0.29857445067965188</v>
      </c>
      <c r="ME34" s="593">
        <f>'Proy 2021 vs 2019 Sem'!GD33*$MH$4</f>
        <v>6735.1280000000006</v>
      </c>
      <c r="MF34" s="593">
        <f>'Proy 2021 vs 2019 Sem'!GE33*$MH$4</f>
        <v>5614.1404160000002</v>
      </c>
      <c r="MG34" s="736">
        <v>4328.21</v>
      </c>
      <c r="MH34" s="700">
        <f t="shared" si="695"/>
        <v>0.64263218160070601</v>
      </c>
      <c r="MI34" s="593">
        <f>'Proy 2021 vs 2019 Sem'!GD33*$ML$4</f>
        <v>9260.8010000000013</v>
      </c>
      <c r="MJ34" s="593">
        <f>'Proy 2021 vs 2019 Sem'!GE33*$ML$4</f>
        <v>7719.443072</v>
      </c>
      <c r="MK34" s="736">
        <v>9144.69</v>
      </c>
      <c r="ML34" s="700">
        <f t="shared" si="696"/>
        <v>0.98746209966070964</v>
      </c>
      <c r="MM34" s="579">
        <f t="shared" si="697"/>
        <v>42094.55</v>
      </c>
      <c r="MN34" s="574">
        <f t="shared" si="698"/>
        <v>35088.3776</v>
      </c>
      <c r="MO34" s="794">
        <f t="shared" si="699"/>
        <v>26970.83</v>
      </c>
      <c r="MP34" s="786">
        <f t="shared" si="700"/>
        <v>0.64072023575498493</v>
      </c>
      <c r="MQ34" s="593">
        <f>'Proy 2021 vs 2019 Sem'!GI33*$MT$4</f>
        <v>3590.8332</v>
      </c>
      <c r="MR34" s="593">
        <f>'Proy 2021 vs 2019 Sem'!GJ33*$MT$4</f>
        <v>3773.7354240000009</v>
      </c>
      <c r="MS34" s="736">
        <v>5865.83</v>
      </c>
      <c r="MT34" s="700">
        <f t="shared" si="701"/>
        <v>1.6335568023599647</v>
      </c>
      <c r="MU34" s="593">
        <f>'Proy 2021 vs 2019 Sem'!GI33*$MX$4</f>
        <v>3590.8332</v>
      </c>
      <c r="MV34" s="593">
        <f>'Proy 2021 vs 2019 Sem'!GJ33*$MX$4</f>
        <v>3773.7354240000009</v>
      </c>
      <c r="MW34" s="736">
        <v>1544.71</v>
      </c>
      <c r="MX34" s="700">
        <f t="shared" si="702"/>
        <v>0.43018149659527488</v>
      </c>
      <c r="MY34" s="593">
        <f>'Proy 2021 vs 2019 Sem'!GI33*$NB$4</f>
        <v>3590.8332</v>
      </c>
      <c r="MZ34" s="593">
        <f>'Proy 2021 vs 2019 Sem'!GJ33*$NB$4</f>
        <v>3773.7354240000009</v>
      </c>
      <c r="NA34" s="736">
        <v>2715.44</v>
      </c>
      <c r="NB34" s="700">
        <f t="shared" si="703"/>
        <v>0.75621446298313166</v>
      </c>
      <c r="NC34" s="593">
        <f>'Proy 2021 vs 2019 Sem'!GI33*$NF$4</f>
        <v>3590.8332</v>
      </c>
      <c r="ND34" s="593">
        <f>'Proy 2021 vs 2019 Sem'!GJ33*$NF$4</f>
        <v>3773.7354240000009</v>
      </c>
      <c r="NE34" s="736">
        <v>1714.7</v>
      </c>
      <c r="NF34" s="700">
        <f t="shared" si="704"/>
        <v>0.47752148442873926</v>
      </c>
      <c r="NG34" s="593">
        <f>'Proy 2021 vs 2019 Sem'!GI33*$NJ$4</f>
        <v>4189.3054000000002</v>
      </c>
      <c r="NH34" s="593">
        <f>'Proy 2021 vs 2019 Sem'!GJ33*$NJ$4</f>
        <v>4402.6913280000017</v>
      </c>
      <c r="NI34" s="736">
        <v>2182.5300000000002</v>
      </c>
      <c r="NJ34" s="700">
        <f t="shared" si="705"/>
        <v>0.52097658003162051</v>
      </c>
      <c r="NK34" s="593">
        <f>'Proy 2021 vs 2019 Sem'!GI33*$NN$4</f>
        <v>4787.7776000000003</v>
      </c>
      <c r="NL34" s="593">
        <f>'Proy 2021 vs 2019 Sem'!GJ33*$NN$4</f>
        <v>5031.6472320000012</v>
      </c>
      <c r="NM34" s="736">
        <v>3880.44</v>
      </c>
      <c r="NN34" s="700">
        <f t="shared" si="706"/>
        <v>0.81048877458301316</v>
      </c>
      <c r="NO34" s="593">
        <f>'Proy 2021 vs 2019 Sem'!GI33*$NR$4</f>
        <v>6583.1941999999999</v>
      </c>
      <c r="NP34" s="593">
        <f>'Proy 2021 vs 2019 Sem'!GJ33*$NR$4</f>
        <v>6918.5149440000014</v>
      </c>
      <c r="NQ34" s="736">
        <v>6362.91</v>
      </c>
      <c r="NR34" s="700">
        <f t="shared" si="707"/>
        <v>0.96653840167741067</v>
      </c>
      <c r="NS34" s="579">
        <f t="shared" si="708"/>
        <v>29923.61</v>
      </c>
      <c r="NT34" s="574">
        <f t="shared" si="709"/>
        <v>31447.795200000008</v>
      </c>
      <c r="NU34" s="794">
        <f t="shared" si="710"/>
        <v>24266.560000000001</v>
      </c>
      <c r="NV34" s="786">
        <f t="shared" si="711"/>
        <v>0.81095028307079264</v>
      </c>
      <c r="NW34" s="593">
        <f>'Proy 2021 vs 2019 Sem'!GN33*$NZ$4</f>
        <v>5332.6692000000003</v>
      </c>
      <c r="NX34" s="593">
        <f>'Proy 2021 vs 2019 Sem'!GO33*$NZ$4</f>
        <v>2963.4802463999999</v>
      </c>
      <c r="NY34" s="736">
        <v>4204.16</v>
      </c>
      <c r="NZ34" s="700">
        <f t="shared" si="712"/>
        <v>0.78837817279196687</v>
      </c>
      <c r="OA34" s="593">
        <f>'Proy 2021 vs 2019 Sem'!GN33*$OD$4</f>
        <v>5332.6692000000003</v>
      </c>
      <c r="OB34" s="593">
        <f>'Proy 2021 vs 2019 Sem'!GO33*$OD$4</f>
        <v>2963.4802463999999</v>
      </c>
      <c r="OC34" s="736">
        <v>1381.63</v>
      </c>
      <c r="OD34" s="700">
        <f t="shared" si="713"/>
        <v>0.25908788791924314</v>
      </c>
      <c r="OE34" s="593">
        <f>'Proy 2021 vs 2019 Sem'!GN33*$OH$4</f>
        <v>5332.6692000000003</v>
      </c>
      <c r="OF34" s="593">
        <f>'Proy 2021 vs 2019 Sem'!GO33*$OH$4</f>
        <v>2963.4802463999999</v>
      </c>
      <c r="OG34" s="736">
        <v>3172.53</v>
      </c>
      <c r="OH34" s="700">
        <f t="shared" si="714"/>
        <v>0.59492345784358802</v>
      </c>
      <c r="OI34" s="593">
        <f>'Proy 2021 vs 2019 Sem'!GN33*$OL$4</f>
        <v>5332.6692000000003</v>
      </c>
      <c r="OJ34" s="593">
        <f>'Proy 2021 vs 2019 Sem'!GO33*$OL$4</f>
        <v>2963.4802463999999</v>
      </c>
      <c r="OK34" s="736">
        <v>1574.54</v>
      </c>
      <c r="OL34" s="700">
        <f t="shared" si="715"/>
        <v>0.29526301762727003</v>
      </c>
      <c r="OM34" s="593">
        <f>'Proy 2021 vs 2019 Sem'!GN33*$OP$4</f>
        <v>6221.4474000000009</v>
      </c>
      <c r="ON34" s="593">
        <f>'Proy 2021 vs 2019 Sem'!GO33*$OP$4</f>
        <v>3457.3936208000005</v>
      </c>
      <c r="OO34" s="736">
        <v>2406.5</v>
      </c>
      <c r="OP34" s="700">
        <f t="shared" si="716"/>
        <v>0.3868070957250237</v>
      </c>
      <c r="OQ34" s="593">
        <f>'Proy 2021 vs 2019 Sem'!GN33*$JV$4</f>
        <v>7110.2256000000007</v>
      </c>
      <c r="OR34" s="593">
        <f>'Proy 2021 vs 2019 Sem'!GO33*$JV$4</f>
        <v>3951.3069952000005</v>
      </c>
      <c r="OS34" s="736">
        <v>6810.06</v>
      </c>
      <c r="OT34" s="700">
        <f t="shared" si="717"/>
        <v>0.95778395554706441</v>
      </c>
      <c r="OU34" s="593">
        <f>'Proy 2021 vs 2019 Sem'!GN33*$OX$4</f>
        <v>9776.5602000000017</v>
      </c>
      <c r="OV34" s="593">
        <f>'Proy 2021 vs 2019 Sem'!GO33*$OX$4</f>
        <v>5433.0471184000007</v>
      </c>
      <c r="OW34" s="736">
        <v>5114.37</v>
      </c>
      <c r="OX34" s="700">
        <f t="shared" si="718"/>
        <v>0.52312571041090705</v>
      </c>
      <c r="OY34" s="579">
        <f t="shared" si="719"/>
        <v>44438.91</v>
      </c>
      <c r="OZ34" s="574">
        <f t="shared" si="720"/>
        <v>24695.668720000001</v>
      </c>
      <c r="PA34" s="785">
        <f t="shared" si="721"/>
        <v>24663.79</v>
      </c>
      <c r="PB34" s="786">
        <f t="shared" si="722"/>
        <v>0.5550043869212814</v>
      </c>
      <c r="PC34" s="593">
        <f>'Proy 2021 vs 2019 Sem'!GW33*$PF$4</f>
        <v>5434.92</v>
      </c>
      <c r="PD34" s="593">
        <f>'Proy 2021 vs 2019 Sem'!GX33*$PF$4</f>
        <v>3680.55312</v>
      </c>
      <c r="PE34" s="736">
        <v>5782.72</v>
      </c>
      <c r="PF34" s="700">
        <f t="shared" si="723"/>
        <v>1.0639935822422411</v>
      </c>
      <c r="PG34" s="593">
        <f>'Proy 2021 vs 2019 Sem'!GW33*$PJ$4</f>
        <v>5434.92</v>
      </c>
      <c r="PH34" s="593">
        <f>'Proy 2021 vs 2019 Sem'!GX33*$PJ$4</f>
        <v>3680.55312</v>
      </c>
      <c r="PI34" s="736">
        <v>1259.8800000000001</v>
      </c>
      <c r="PJ34" s="700">
        <f t="shared" si="724"/>
        <v>0.23181205979112851</v>
      </c>
      <c r="PK34" s="593">
        <f>'Proy 2021 vs 2019 Sem'!GW33*'Vtas Diarias 2021'!$PN$4</f>
        <v>5434.92</v>
      </c>
      <c r="PL34" s="593">
        <f>'Proy 2021 vs 2019 Sem'!GX33*'Vtas Diarias 2021'!$PN$4</f>
        <v>3680.55312</v>
      </c>
      <c r="PM34" s="736">
        <v>2393.4499999999998</v>
      </c>
      <c r="PN34" s="700">
        <f t="shared" si="725"/>
        <v>0.44038366710089566</v>
      </c>
      <c r="PO34" s="593">
        <f>'Proy 2021 vs 2019 Sem'!GW33*$PR$4</f>
        <v>5434.92</v>
      </c>
      <c r="PP34" s="593">
        <f>'Proy 2021 vs 2019 Sem'!GX33*$PR$4</f>
        <v>3680.55312</v>
      </c>
      <c r="PQ34" s="736">
        <v>1509.64</v>
      </c>
      <c r="PR34" s="700">
        <f t="shared" si="726"/>
        <v>0.27776673805686192</v>
      </c>
      <c r="PS34" s="593">
        <f>'Proy 2021 vs 2019 Sem'!GW33*$PV$4</f>
        <v>6340.7400000000007</v>
      </c>
      <c r="PT34" s="593">
        <f>'Proy 2021 vs 2019 Sem'!GX33*$PV$4</f>
        <v>4293.9786400000003</v>
      </c>
      <c r="PU34" s="736">
        <v>3656.11</v>
      </c>
      <c r="PV34" s="700">
        <f t="shared" si="727"/>
        <v>0.57660620053810752</v>
      </c>
      <c r="PW34" s="593">
        <f>'Proy 2021 vs 2019 Sem'!GW33*PZ$4</f>
        <v>7246.56</v>
      </c>
      <c r="PX34" s="593">
        <f>'Proy 2021 vs 2019 Sem'!GX33*$PZ$4</f>
        <v>4907.40416</v>
      </c>
      <c r="PY34" s="736">
        <v>3887.5</v>
      </c>
      <c r="PZ34" s="700">
        <f t="shared" si="728"/>
        <v>0.53646143825484094</v>
      </c>
      <c r="QA34" s="593">
        <f>'Proy 2021 vs 2019 Sem'!GW33*$QD$4</f>
        <v>9964.02</v>
      </c>
      <c r="QB34" s="593">
        <f>'Proy 2021 vs 2019 Sem'!GX33*$QD$4</f>
        <v>6747.6807200000003</v>
      </c>
      <c r="QC34" s="736">
        <v>8976.32</v>
      </c>
      <c r="QD34" s="700">
        <f t="shared" si="729"/>
        <v>0.90087334228554328</v>
      </c>
      <c r="QE34" s="579">
        <f t="shared" si="730"/>
        <v>45291</v>
      </c>
      <c r="QF34" s="574">
        <f t="shared" si="731"/>
        <v>30671.276000000002</v>
      </c>
      <c r="QG34" s="729">
        <f t="shared" si="732"/>
        <v>27465.62</v>
      </c>
      <c r="QH34" s="711">
        <f t="shared" si="733"/>
        <v>0.60642555916186436</v>
      </c>
      <c r="QI34" s="578">
        <f>'Proy 2021 vs 2019 Sem'!HB33*$QL$4</f>
        <v>5307.9611999999997</v>
      </c>
      <c r="QJ34" s="611">
        <f>'Proy 2021 vs 2019 Sem'!UG33*$AL$4</f>
        <v>0</v>
      </c>
      <c r="QK34" s="736">
        <v>6205.89</v>
      </c>
      <c r="QL34" s="700">
        <f t="shared" si="734"/>
        <v>1.1691664211863495</v>
      </c>
      <c r="QM34" s="593">
        <f>'Proy 2021 vs 2019 Sem'!HB33*$QP$4</f>
        <v>5307.9611999999997</v>
      </c>
      <c r="QN34" s="593">
        <f>'Proy 2021 vs 2019 Sem'!UG33*$AP$4</f>
        <v>0</v>
      </c>
      <c r="QO34" s="736">
        <v>1501.71</v>
      </c>
      <c r="QP34" s="700">
        <f t="shared" si="735"/>
        <v>0.28291653676745038</v>
      </c>
      <c r="QQ34" s="593">
        <f>'Proy 2021 vs 2019 Sem'!HB33*$QT$4</f>
        <v>5307.9611999999997</v>
      </c>
      <c r="QR34" s="593">
        <f>'Proy 2021 vs 2019 Sem'!HC33*$QT$4</f>
        <v>3906.8670720000005</v>
      </c>
      <c r="QS34" s="736">
        <v>1781.65</v>
      </c>
      <c r="QT34" s="700">
        <f t="shared" si="736"/>
        <v>0.33565618377165229</v>
      </c>
      <c r="QU34" s="593">
        <f>'Proy 2021 vs 2019 Sem'!HB33*$QX$4</f>
        <v>5307.9611999999997</v>
      </c>
      <c r="QV34" s="593">
        <f>'Proy 2021 vs 2019 Sem'!HC33*$QX$4</f>
        <v>3906.8670720000005</v>
      </c>
      <c r="QW34" s="736">
        <v>1455.57</v>
      </c>
      <c r="QX34" s="700">
        <f t="shared" si="737"/>
        <v>0.27422393366402154</v>
      </c>
      <c r="QY34" s="593">
        <f>'Proy 2021 vs 2019 Sem'!HB33*$RB$4</f>
        <v>6192.6214000000009</v>
      </c>
      <c r="QZ34" s="593">
        <f>'Proy 2021 vs 2019 Sem'!HC33*$RB$4</f>
        <v>4558.0115840000008</v>
      </c>
      <c r="RA34" s="736">
        <v>3452.55</v>
      </c>
      <c r="RB34" s="700">
        <f t="shared" si="738"/>
        <v>0.55752641361217392</v>
      </c>
      <c r="RC34" s="593">
        <f>'Proy 2021 vs 2019 Sem'!HB33*$RF$4</f>
        <v>7077.2816000000003</v>
      </c>
      <c r="RD34" s="593">
        <f>'Proy 2021 vs 2019 Sem'!HC33*$RF$4</f>
        <v>5209.1560960000006</v>
      </c>
      <c r="RE34" s="736">
        <v>3311.26</v>
      </c>
      <c r="RF34" s="700">
        <f t="shared" si="739"/>
        <v>0.46787173199382093</v>
      </c>
      <c r="RG34" s="593">
        <f>'Proy 2021 vs 2019 Sem'!HB33*$RJ$4</f>
        <v>9731.262200000001</v>
      </c>
      <c r="RH34" s="593">
        <f>'Proy 2021 vs 2019 Sem'!HC33*$RJ$4</f>
        <v>7162.5896320000011</v>
      </c>
      <c r="RI34" s="736">
        <v>5690.56</v>
      </c>
      <c r="RJ34" s="700">
        <f t="shared" si="740"/>
        <v>0.58477100740333554</v>
      </c>
      <c r="RK34" s="579">
        <f t="shared" si="741"/>
        <v>44233.009999999995</v>
      </c>
      <c r="RL34" s="574">
        <f t="shared" si="742"/>
        <v>24743.491456000003</v>
      </c>
      <c r="RM34" s="730">
        <f t="shared" si="743"/>
        <v>23399.19</v>
      </c>
      <c r="RN34" s="711">
        <f t="shared" si="744"/>
        <v>0.52899836570018643</v>
      </c>
      <c r="RO34" s="593">
        <f>'Proy 2021 vs 2019 Sem'!HG33*$RR$4</f>
        <v>6171.5915999999997</v>
      </c>
      <c r="RP34" s="593">
        <f>'Proy 2021 vs 2019 Sem'!HH33*$RR$4</f>
        <v>3796.6897920000006</v>
      </c>
      <c r="RQ34" s="736">
        <v>5235.16</v>
      </c>
      <c r="RR34" s="700">
        <f t="shared" si="745"/>
        <v>0.84826740641749532</v>
      </c>
      <c r="RS34" s="593">
        <f>'Proy 2021 vs 2019 Sem'!HG33*$RV$4</f>
        <v>6171.5915999999997</v>
      </c>
      <c r="RT34" s="593">
        <f>'Proy 2021 vs 2019 Sem'!HH33*$RV$4</f>
        <v>3796.6897920000006</v>
      </c>
      <c r="RU34" s="736">
        <v>2134.59</v>
      </c>
      <c r="RV34" s="700">
        <f t="shared" si="746"/>
        <v>0.34587350206387607</v>
      </c>
      <c r="RW34" s="593">
        <f>'Proy 2021 vs 2019 Sem'!HG33*$RZ$4</f>
        <v>6171.5915999999997</v>
      </c>
      <c r="RX34" s="593">
        <f>'Proy 2021 vs 2019 Sem'!HH33*$RZ$4</f>
        <v>3796.6897920000006</v>
      </c>
      <c r="RY34" s="736">
        <v>2615.64</v>
      </c>
      <c r="RZ34" s="700">
        <f t="shared" si="747"/>
        <v>0.42381935966080453</v>
      </c>
      <c r="SA34" s="593">
        <f>'Proy 2021 vs 2019 Sem'!HG33*$SD$4</f>
        <v>6171.5915999999997</v>
      </c>
      <c r="SB34" s="593">
        <f>'Proy 2021 vs 2019 Sem'!HH33*$SD$4</f>
        <v>3796.6897920000006</v>
      </c>
      <c r="SC34" s="736">
        <v>2507.64</v>
      </c>
      <c r="SD34" s="700">
        <f t="shared" si="748"/>
        <v>0.40631982194025928</v>
      </c>
      <c r="SE34" s="593">
        <f>'Proy 2021 vs 2019 Sem'!HG33*$SH$4</f>
        <v>7200.1902000000009</v>
      </c>
      <c r="SF34" s="593">
        <f>'Proy 2021 vs 2019 Sem'!HH33*$SH$4</f>
        <v>4429.4714240000012</v>
      </c>
      <c r="SG34" s="736">
        <v>5317.04</v>
      </c>
      <c r="SH34" s="700">
        <f t="shared" si="749"/>
        <v>0.73845827017180732</v>
      </c>
      <c r="SI34" s="593">
        <f>'Proy 2021 vs 2019 Sem'!HG33*$SL$4</f>
        <v>8228.7888000000003</v>
      </c>
      <c r="SJ34" s="593">
        <f>'Proy 2021 vs 2019 Sem'!HH33*$SL$4</f>
        <v>5062.2530560000005</v>
      </c>
      <c r="SK34" s="736">
        <v>3686.4</v>
      </c>
      <c r="SL34" s="700">
        <f t="shared" si="750"/>
        <v>0.4479881656459575</v>
      </c>
      <c r="SM34" s="593">
        <f>'Proy 2021 vs 2019 Sem'!HG33*$SP$4</f>
        <v>11314.5846</v>
      </c>
      <c r="SN34" s="593">
        <f>'Proy 2021 vs 2019 Sem'!HH33*$SP$4</f>
        <v>6960.597952000001</v>
      </c>
      <c r="SO34" s="736">
        <v>5031.5</v>
      </c>
      <c r="SP34" s="700">
        <f t="shared" si="751"/>
        <v>0.44469153556021845</v>
      </c>
      <c r="SQ34" s="579">
        <f t="shared" si="752"/>
        <v>51429.93</v>
      </c>
      <c r="SR34" s="574">
        <f t="shared" si="753"/>
        <v>31639.081600000005</v>
      </c>
      <c r="SS34" s="730">
        <f t="shared" si="754"/>
        <v>26527.97</v>
      </c>
      <c r="ST34" s="711">
        <f t="shared" si="755"/>
        <v>0.51580801296054657</v>
      </c>
      <c r="SU34" s="593">
        <f>'Proy 2021 vs 2019 Sem'!HL33*$SX$4</f>
        <v>5539.7423999999992</v>
      </c>
      <c r="SV34" s="593">
        <f>'Proy 2021 vs 2019 Sem'!HM33*$SX$4</f>
        <v>3124.2462432000002</v>
      </c>
      <c r="SW34" s="736">
        <v>2386.39</v>
      </c>
      <c r="SX34" s="700">
        <f t="shared" si="756"/>
        <v>0.43077634801213865</v>
      </c>
      <c r="SY34" s="593">
        <f>'Proy 2021 vs 2019 Sem'!HL33*$TB$4</f>
        <v>5539.7423999999992</v>
      </c>
      <c r="SZ34" s="593">
        <f>'Proy 2021 vs 2019 Sem'!HM33*$TB$4</f>
        <v>3124.2462432000002</v>
      </c>
      <c r="TA34" s="736">
        <v>1262.72</v>
      </c>
      <c r="TB34" s="700">
        <f t="shared" si="757"/>
        <v>0.22793839655793385</v>
      </c>
      <c r="TC34" s="593">
        <f>'Proy 2021 vs 2019 Sem'!HL33*$TF$4</f>
        <v>5539.7423999999992</v>
      </c>
      <c r="TD34" s="593">
        <f>'Proy 2021 vs 2019 Sem'!HM33*$TF$4</f>
        <v>3124.2462432000002</v>
      </c>
      <c r="TE34" s="736">
        <v>1629.72</v>
      </c>
      <c r="TF34" s="700">
        <f t="shared" si="758"/>
        <v>0.29418696436137542</v>
      </c>
      <c r="TG34" s="593">
        <f>'Proy 2021 vs 2019 Sem'!HL33*$TJ$4</f>
        <v>5539.7423999999992</v>
      </c>
      <c r="TH34" s="593">
        <f>'Proy 2021 vs 2019 Sem'!HM33*$TJ$4</f>
        <v>3124.2462432000002</v>
      </c>
      <c r="TI34" s="736">
        <v>1104.8</v>
      </c>
      <c r="TJ34" s="700">
        <f t="shared" si="759"/>
        <v>0.19943165588349382</v>
      </c>
      <c r="TK34" s="593">
        <f>'Proy 2021 vs 2019 Sem'!HL33*$TN$4</f>
        <v>6463.0328</v>
      </c>
      <c r="TL34" s="593">
        <f>'Proy 2021 vs 2019 Sem'!HM33*$TN$4</f>
        <v>3644.9539504000008</v>
      </c>
      <c r="TM34" s="736">
        <v>3387.98</v>
      </c>
      <c r="TN34" s="700">
        <f t="shared" si="760"/>
        <v>0.52420900602577791</v>
      </c>
      <c r="TO34" s="593">
        <f>'Proy 2021 vs 2019 Sem'!HL33*$TR$4</f>
        <v>7386.3231999999998</v>
      </c>
      <c r="TP34" s="611">
        <f>'Proy 2021 vs 2019 Sem'!HM33*$TR$4</f>
        <v>4165.6616576000006</v>
      </c>
      <c r="TQ34" s="736">
        <v>5384.68</v>
      </c>
      <c r="TR34" s="700">
        <f t="shared" si="761"/>
        <v>0.72900682168903741</v>
      </c>
      <c r="TS34" s="593">
        <f>'Proy 2021 vs 2019 Sem'!HL33*$TV$4</f>
        <v>10156.194399999998</v>
      </c>
      <c r="TT34" s="593">
        <f>'Proy 2021 vs 2019 Sem'!HM33*$TV$4</f>
        <v>5727.7847792000011</v>
      </c>
      <c r="TU34" s="736">
        <v>10349.030000000001</v>
      </c>
      <c r="TV34" s="700">
        <f t="shared" si="762"/>
        <v>1.0189869937897214</v>
      </c>
      <c r="TW34" s="579">
        <f t="shared" si="763"/>
        <v>46164.52</v>
      </c>
      <c r="TX34" s="574">
        <f t="shared" si="764"/>
        <v>26035.38536</v>
      </c>
      <c r="TY34" s="710">
        <f t="shared" si="765"/>
        <v>25505.32</v>
      </c>
      <c r="TZ34" s="711">
        <f t="shared" si="766"/>
        <v>0.5524874947253865</v>
      </c>
      <c r="UA34" s="593">
        <v>7669.8</v>
      </c>
      <c r="UB34" s="593">
        <f>'Proy 2021 vs 2019 Sem'!HR33*$UD$4</f>
        <v>3533.7830016000003</v>
      </c>
      <c r="UC34" s="736">
        <v>3789.09</v>
      </c>
      <c r="UD34" s="700">
        <f t="shared" si="767"/>
        <v>0.49402722365641871</v>
      </c>
      <c r="UE34" s="593">
        <v>3109.95</v>
      </c>
      <c r="UF34" s="593">
        <f>'Proy 2021 vs 2019 Sem'!HR33*$UH$4</f>
        <v>3533.7830016000003</v>
      </c>
      <c r="UG34" s="736">
        <v>2280.8000000000002</v>
      </c>
      <c r="UH34" s="700">
        <f t="shared" si="768"/>
        <v>0.73338799659158516</v>
      </c>
      <c r="UI34" s="593">
        <v>4525</v>
      </c>
      <c r="UJ34" s="593">
        <f>'Proy 2021 vs 2019 Sem'!HR33*$UL$4</f>
        <v>3533.7830016000003</v>
      </c>
      <c r="UK34" s="736">
        <v>2336.6</v>
      </c>
      <c r="UL34" s="700">
        <f t="shared" si="769"/>
        <v>0.51637569060773481</v>
      </c>
      <c r="UM34" s="593">
        <v>7083.14</v>
      </c>
      <c r="UN34" s="593">
        <f>'Proy 2021 vs 2019 Sem'!HR33*$UP$4</f>
        <v>3533.7830016000003</v>
      </c>
      <c r="UO34" s="736">
        <v>3082.71</v>
      </c>
      <c r="UP34" s="700">
        <f t="shared" si="770"/>
        <v>0.43521799653825843</v>
      </c>
      <c r="UQ34" s="593">
        <v>5192.2299999999996</v>
      </c>
      <c r="UR34" s="593">
        <f>'Proy 2021 vs 2019 Sem'!HR33*$UT$4</f>
        <v>4122.7468352000005</v>
      </c>
      <c r="US34" s="736">
        <v>2472.46</v>
      </c>
      <c r="UT34" s="700">
        <f t="shared" si="771"/>
        <v>0.47618460661411383</v>
      </c>
      <c r="UU34" s="593">
        <v>6843.4</v>
      </c>
      <c r="UV34" s="593">
        <f>'Proy 2021 vs 2019 Sem'!HR33*$UX$4</f>
        <v>4711.7106688000003</v>
      </c>
      <c r="UW34" s="736">
        <v>5937.57</v>
      </c>
      <c r="UX34" s="700">
        <f t="shared" si="772"/>
        <v>0.86763450916211238</v>
      </c>
      <c r="UY34" s="593">
        <v>9916.92</v>
      </c>
      <c r="UZ34" s="593">
        <f>'Proy 2021 vs 2019 Sem'!HR33*$VB$4</f>
        <v>6478.6021696000007</v>
      </c>
      <c r="VA34" s="736">
        <v>8786.7999999999993</v>
      </c>
      <c r="VB34" s="700">
        <f t="shared" si="773"/>
        <v>0.88604123054335415</v>
      </c>
      <c r="VC34" s="577">
        <f>UA34+UE34+UI34+UM34+UQ34+UU34+UY34</f>
        <v>44340.439999999995</v>
      </c>
      <c r="VD34" s="574">
        <f t="shared" si="774"/>
        <v>29448.191680000004</v>
      </c>
      <c r="VE34" s="710">
        <f t="shared" si="775"/>
        <v>28686.03</v>
      </c>
      <c r="VF34" s="1531">
        <f t="shared" si="776"/>
        <v>0.6469496017630858</v>
      </c>
      <c r="VG34" s="593">
        <v>8611.6200000000008</v>
      </c>
      <c r="VH34" s="593">
        <f>'Proy 2021 vs 2019 Sem'!IA33*$VJ$4</f>
        <v>3162.1285800000001</v>
      </c>
      <c r="VI34" s="736">
        <v>7753.51</v>
      </c>
      <c r="VJ34" s="700">
        <f t="shared" si="777"/>
        <v>0.90035440486226748</v>
      </c>
      <c r="VK34" s="593">
        <v>4108.62</v>
      </c>
      <c r="VL34" s="593">
        <f>'Proy 2021 vs 2019 Sem'!IA33*$VN$4</f>
        <v>3162.1285800000001</v>
      </c>
      <c r="VM34" s="736">
        <v>1080.8599999999999</v>
      </c>
      <c r="VN34" s="700">
        <f t="shared" si="778"/>
        <v>0.26307129887894232</v>
      </c>
      <c r="VO34" s="593">
        <v>3655.81</v>
      </c>
      <c r="VP34" s="593">
        <f>'Proy 2021 vs 2019 Sem'!IA33*$VR$4</f>
        <v>3162.1285800000001</v>
      </c>
      <c r="VQ34" s="736">
        <v>3037.72</v>
      </c>
      <c r="VR34" s="700">
        <f t="shared" si="779"/>
        <v>0.83092939731550597</v>
      </c>
      <c r="VS34" s="593">
        <v>4083.23</v>
      </c>
      <c r="VT34" s="593">
        <f>'Proy 2021 vs 2019 Sem'!IA33*$VV$4</f>
        <v>3162.1285800000001</v>
      </c>
      <c r="VU34" s="736">
        <v>1910.74</v>
      </c>
      <c r="VV34" s="700">
        <f t="shared" si="780"/>
        <v>0.46794816848426368</v>
      </c>
      <c r="VW34" s="593">
        <v>3890.34</v>
      </c>
      <c r="VX34" s="593">
        <f>'Proy 2021 vs 2019 Sem'!IA33*$VZ$4</f>
        <v>3689.1500100000007</v>
      </c>
      <c r="VY34" s="736">
        <v>2655.45</v>
      </c>
      <c r="VZ34" s="700">
        <f t="shared" si="781"/>
        <v>0.68257530190163318</v>
      </c>
      <c r="WA34" s="593">
        <v>5179.1899999999996</v>
      </c>
      <c r="WB34" s="593">
        <f>'Proy 2021 vs 2019 Sem'!IA33*$WD$4</f>
        <v>4216.1714400000001</v>
      </c>
      <c r="WC34" s="736">
        <v>4612.05</v>
      </c>
      <c r="WD34" s="700">
        <f t="shared" si="782"/>
        <v>0.89049639036219963</v>
      </c>
      <c r="WE34" s="593">
        <v>11011.3</v>
      </c>
      <c r="WF34" s="593">
        <f>'Proy 2021 vs 2019 Sem'!IA33*$WH$4</f>
        <v>5797.2357300000003</v>
      </c>
      <c r="WG34" s="736">
        <v>7854.2</v>
      </c>
      <c r="WH34" s="1538">
        <f t="shared" si="783"/>
        <v>0.71328544313568787</v>
      </c>
      <c r="WI34" s="574">
        <f t="shared" si="784"/>
        <v>20459.280000000002</v>
      </c>
      <c r="WJ34" s="575">
        <f t="shared" si="785"/>
        <v>26351.071500000002</v>
      </c>
      <c r="WK34" s="793">
        <f t="shared" si="786"/>
        <v>28904.53</v>
      </c>
      <c r="WL34" s="786">
        <f t="shared" si="787"/>
        <v>1.4127833433043584</v>
      </c>
      <c r="WM34" s="593">
        <v>10458.33</v>
      </c>
      <c r="WN34" s="593">
        <f>'Proy 2021 vs 2019 Sem'!IF33*$WP$4</f>
        <v>3223.4828280000002</v>
      </c>
      <c r="WO34" s="736">
        <v>5164.71</v>
      </c>
      <c r="WP34" s="700">
        <f t="shared" si="788"/>
        <v>0.49383697014724148</v>
      </c>
      <c r="WQ34" s="593">
        <v>2223.59</v>
      </c>
      <c r="WR34" s="593">
        <f>'Proy 2021 vs 2019 Sem'!IF33*$WT$4</f>
        <v>3223.4828280000002</v>
      </c>
      <c r="WS34" s="736">
        <v>1636.64</v>
      </c>
      <c r="WT34" s="700">
        <f t="shared" si="789"/>
        <v>0.73603497047567223</v>
      </c>
      <c r="WU34" s="593">
        <v>2994.27</v>
      </c>
      <c r="WV34" s="593">
        <f>'Proy 2021 vs 2019 Sem'!IF33*$WX$4</f>
        <v>3223.4828280000002</v>
      </c>
      <c r="WW34" s="736">
        <v>1807.6</v>
      </c>
      <c r="WX34" s="700">
        <f t="shared" si="790"/>
        <v>0.60368637430826211</v>
      </c>
      <c r="WY34" s="593">
        <v>3189.09</v>
      </c>
      <c r="WZ34" s="593">
        <f>'Proy 2021 vs 2019 Sem'!IF33*$XB$4</f>
        <v>3223.4828280000002</v>
      </c>
      <c r="XA34" s="736">
        <v>2768.1</v>
      </c>
      <c r="XB34" s="700">
        <f t="shared" si="791"/>
        <v>0.86799055529947411</v>
      </c>
      <c r="XC34" s="593">
        <v>4490.01</v>
      </c>
      <c r="XD34" s="593">
        <f>'Proy 2021 vs 2019 Sem'!IF33*$XF$4</f>
        <v>3760.7299660000008</v>
      </c>
      <c r="XE34" s="736">
        <v>3166.8</v>
      </c>
      <c r="XF34" s="700">
        <f t="shared" si="792"/>
        <v>0.70529909732940466</v>
      </c>
      <c r="XG34" s="593">
        <v>7048.86</v>
      </c>
      <c r="XH34" s="593">
        <f>'Proy 2021 vs 2019 Sem'!IF33*$XJ$4</f>
        <v>4297.9771040000005</v>
      </c>
      <c r="XI34" s="736">
        <v>5894.57</v>
      </c>
      <c r="XJ34" s="700">
        <f t="shared" si="793"/>
        <v>0.83624444236372975</v>
      </c>
      <c r="XK34" s="593">
        <v>9688.92</v>
      </c>
      <c r="XL34" s="593">
        <f>'Proy 2021 vs 2019 Sem'!IF33*$XN$4</f>
        <v>5909.7185180000006</v>
      </c>
      <c r="XM34" s="736">
        <v>11567.39</v>
      </c>
      <c r="XN34" s="700">
        <f t="shared" si="794"/>
        <v>1.1938781618591132</v>
      </c>
      <c r="XO34" s="579">
        <f t="shared" si="795"/>
        <v>40093.07</v>
      </c>
      <c r="XP34" s="574">
        <f t="shared" si="796"/>
        <v>26862.356900000002</v>
      </c>
      <c r="XQ34" s="794">
        <f t="shared" si="797"/>
        <v>32005.81</v>
      </c>
      <c r="XR34" s="786">
        <f t="shared" si="798"/>
        <v>0.79828783378274604</v>
      </c>
      <c r="XS34" s="593">
        <v>5701.67</v>
      </c>
      <c r="XT34" s="593">
        <f>'Proy 2021 vs 2019 Sem'!IK33*$XV$4</f>
        <v>2721.1967999999997</v>
      </c>
      <c r="XU34" s="736">
        <v>7762.42</v>
      </c>
      <c r="XV34" s="700">
        <f t="shared" si="799"/>
        <v>1.3614291953059368</v>
      </c>
      <c r="XW34" s="593">
        <v>3052.39</v>
      </c>
      <c r="XX34" s="593">
        <f>'Proy 2021 vs 2019 Sem'!IK33*$XZ$4</f>
        <v>2721.1967999999997</v>
      </c>
      <c r="XY34" s="736">
        <v>1887.67</v>
      </c>
      <c r="XZ34" s="700">
        <f t="shared" si="800"/>
        <v>0.61842359593629914</v>
      </c>
      <c r="YA34" s="593">
        <v>2750.52</v>
      </c>
      <c r="YB34" s="593">
        <f>'Proy 2021 vs 2019 Sem'!IK33*$YD$4</f>
        <v>2721.1967999999997</v>
      </c>
      <c r="YC34" s="736">
        <v>2668.13</v>
      </c>
      <c r="YD34" s="700">
        <f t="shared" si="801"/>
        <v>0.97004566409260795</v>
      </c>
      <c r="YE34" s="593">
        <v>1667.5</v>
      </c>
      <c r="YF34" s="593">
        <f>'Proy 2021 vs 2019 Sem'!IK33*$YH$4</f>
        <v>2721.1967999999997</v>
      </c>
      <c r="YG34" s="736">
        <v>2750.56</v>
      </c>
      <c r="YH34" s="700">
        <f t="shared" si="802"/>
        <v>1.649511244377811</v>
      </c>
      <c r="YI34" s="593">
        <v>5058.6899999999996</v>
      </c>
      <c r="YJ34" s="593">
        <f>'Proy 2021 vs 2019 Sem'!IK33*$YL$4</f>
        <v>3174.7296000000001</v>
      </c>
      <c r="YK34" s="736">
        <v>4538.8500000000004</v>
      </c>
      <c r="YL34" s="700">
        <f t="shared" si="803"/>
        <v>0.89723821779946999</v>
      </c>
      <c r="YM34" s="593">
        <v>4173.9399999999996</v>
      </c>
      <c r="YN34" s="593">
        <f>'Proy 2021 vs 2019 Sem'!IK33*$YP$4</f>
        <v>3628.2624000000001</v>
      </c>
      <c r="YO34" s="736">
        <v>11448.33</v>
      </c>
      <c r="YP34" s="700">
        <f t="shared" si="804"/>
        <v>2.7428113485100409</v>
      </c>
      <c r="YQ34" s="593">
        <v>9990.49</v>
      </c>
      <c r="YR34" s="593">
        <f>'Proy 2021 vs 2019 Sem'!IK33*$YT$4</f>
        <v>4988.8607999999995</v>
      </c>
      <c r="YS34" s="736">
        <v>10229.35</v>
      </c>
      <c r="YT34" s="700">
        <f t="shared" si="805"/>
        <v>1.0239087372090858</v>
      </c>
      <c r="YU34" s="579">
        <f t="shared" si="806"/>
        <v>32395.199999999997</v>
      </c>
      <c r="YV34" s="574">
        <f t="shared" si="807"/>
        <v>22676.639999999999</v>
      </c>
      <c r="YW34" s="794">
        <f t="shared" si="808"/>
        <v>41285.31</v>
      </c>
      <c r="YX34" s="786">
        <f t="shared" si="809"/>
        <v>1.2744267669284339</v>
      </c>
      <c r="YY34" s="593">
        <v>7843.13</v>
      </c>
      <c r="YZ34" s="593">
        <f>'Proy 2021 vs 2019 Sem'!IP33*$ZB$4</f>
        <v>3289.3563480000003</v>
      </c>
      <c r="ZA34" s="736">
        <v>6589.86</v>
      </c>
      <c r="ZB34" s="700">
        <f t="shared" si="810"/>
        <v>0.84020792719233262</v>
      </c>
      <c r="ZC34" s="593">
        <v>1897.55</v>
      </c>
      <c r="ZD34" s="593">
        <f>'Proy 2021 vs 2019 Sem'!IP33*$ZF$4</f>
        <v>3289.3563480000003</v>
      </c>
      <c r="ZE34" s="736">
        <v>1621.8</v>
      </c>
      <c r="ZF34" s="700">
        <f t="shared" si="811"/>
        <v>0.85468103607283075</v>
      </c>
      <c r="ZG34" s="593">
        <v>4194.93</v>
      </c>
      <c r="ZH34" s="593">
        <f>'Proy 2021 vs 2019 Sem'!IP33*$ZJ$4</f>
        <v>3289.3563480000003</v>
      </c>
      <c r="ZI34" s="736">
        <v>1327.88</v>
      </c>
      <c r="ZJ34" s="700">
        <f t="shared" si="812"/>
        <v>0.31654401861294468</v>
      </c>
      <c r="ZK34" s="593">
        <v>6768.92</v>
      </c>
      <c r="ZL34" s="593">
        <f>'Proy 2021 vs 2019 Sem'!IP33*$ZN$4</f>
        <v>3289.3563480000003</v>
      </c>
      <c r="ZM34" s="736">
        <v>3661.38</v>
      </c>
      <c r="ZN34" s="700">
        <f t="shared" si="813"/>
        <v>0.54091051452816696</v>
      </c>
      <c r="ZO34" s="593">
        <v>3873.99</v>
      </c>
      <c r="ZP34" s="593">
        <f>'Proy 2021 vs 2019 Sem'!IP33*$ZR$4</f>
        <v>3837.5824060000009</v>
      </c>
      <c r="ZQ34" s="736">
        <v>2983.42</v>
      </c>
      <c r="ZR34" s="700">
        <f t="shared" si="814"/>
        <v>0.77011556560548688</v>
      </c>
      <c r="ZS34" s="593">
        <v>7363.13</v>
      </c>
      <c r="ZT34" s="593">
        <f>'Proy 2021 vs 2019 Sem'!IP33*$ZV$4</f>
        <v>4385.8084640000006</v>
      </c>
      <c r="ZU34" s="736">
        <v>5113.3900000000003</v>
      </c>
      <c r="ZV34" s="700">
        <f t="shared" si="815"/>
        <v>0.69445874240981764</v>
      </c>
      <c r="ZW34" s="593">
        <v>5608.08</v>
      </c>
      <c r="ZX34" s="593">
        <f>'Proy 2021 vs 2019 Sem'!IP33*$ZZ$4</f>
        <v>6030.4866380000003</v>
      </c>
      <c r="ZY34" s="736">
        <v>11482.34</v>
      </c>
      <c r="ZZ34" s="700">
        <f t="shared" si="816"/>
        <v>2.0474636595768962</v>
      </c>
      <c r="AAA34" s="579">
        <f t="shared" si="817"/>
        <v>37549.729999999996</v>
      </c>
      <c r="AAB34" s="574">
        <f t="shared" si="818"/>
        <v>27411.302900000002</v>
      </c>
      <c r="AAC34" s="785">
        <f t="shared" si="819"/>
        <v>32780.070000000007</v>
      </c>
      <c r="AAD34" s="786">
        <f t="shared" si="820"/>
        <v>0.87297751541755453</v>
      </c>
      <c r="AAE34" s="593">
        <v>11133.76</v>
      </c>
      <c r="AAF34" s="593">
        <f>'Proy 2021 vs 2019 Sem'!IY33*$AAH$4</f>
        <v>3742.8634799999995</v>
      </c>
      <c r="AAG34" s="736">
        <v>3712.95</v>
      </c>
      <c r="AAH34" s="700">
        <f t="shared" si="821"/>
        <v>0.33348572270284249</v>
      </c>
      <c r="AAI34" s="593">
        <v>1763.47</v>
      </c>
      <c r="AAJ34" s="593">
        <f>'Proy 2021 vs 2019 Sem'!IY33*$AAL$4</f>
        <v>3742.8634799999995</v>
      </c>
      <c r="AAK34" s="736">
        <v>2659.68</v>
      </c>
      <c r="AAL34" s="700">
        <f t="shared" si="822"/>
        <v>1.5082082485100397</v>
      </c>
      <c r="AAM34" s="593">
        <v>3855.03</v>
      </c>
      <c r="AAN34" s="593">
        <f>'Proy 2021 vs 2019 Sem'!IY33*$AAP$4</f>
        <v>3742.8634799999995</v>
      </c>
      <c r="AAO34" s="736">
        <v>2508.56</v>
      </c>
      <c r="AAP34" s="700">
        <f t="shared" si="823"/>
        <v>0.65072385947709865</v>
      </c>
      <c r="AAQ34" s="593">
        <v>2785.4</v>
      </c>
      <c r="AAR34" s="593">
        <f>'Proy 2021 vs 2019 Sem'!IY33*$AAT$4</f>
        <v>3742.8634799999995</v>
      </c>
      <c r="AAS34" s="736">
        <v>2184.79</v>
      </c>
      <c r="AAT34" s="700">
        <f t="shared" si="824"/>
        <v>0.78437208300423633</v>
      </c>
      <c r="AAU34" s="593">
        <v>4604.99</v>
      </c>
      <c r="AAV34" s="593">
        <f>'Proy 2021 vs 2019 Sem'!IY33*$AAX$4</f>
        <v>4366.6740600000003</v>
      </c>
      <c r="AAW34" s="736">
        <v>1056.92</v>
      </c>
      <c r="AAX34" s="700">
        <f t="shared" si="825"/>
        <v>0.22951624216339234</v>
      </c>
      <c r="AAY34" s="593">
        <v>3832.03</v>
      </c>
      <c r="AAZ34" s="593">
        <f>'Proy 2021 vs 2019 Sem'!IY33*$ABB$4</f>
        <v>4990.4846399999997</v>
      </c>
      <c r="ABA34" s="736">
        <v>4965.29</v>
      </c>
      <c r="ABB34" s="700">
        <f t="shared" si="826"/>
        <v>1.2957335928998468</v>
      </c>
      <c r="ABC34" s="593">
        <v>8720.06</v>
      </c>
      <c r="ABD34" s="593">
        <f>'Proy 2021 vs 2019 Sem'!IY33*$ABF$4</f>
        <v>6861.9163799999997</v>
      </c>
      <c r="ABE34" s="736">
        <v>9331.8799999999992</v>
      </c>
      <c r="ABF34" s="700">
        <f t="shared" si="827"/>
        <v>1.0701623612681563</v>
      </c>
      <c r="ABG34" s="579">
        <f t="shared" si="828"/>
        <v>36694.74</v>
      </c>
      <c r="ABH34" s="574">
        <f t="shared" si="829"/>
        <v>31190.528999999995</v>
      </c>
      <c r="ABI34" s="759">
        <f t="shared" si="830"/>
        <v>26420.07</v>
      </c>
      <c r="ABJ34" s="761">
        <f t="shared" si="831"/>
        <v>0.71999610843406991</v>
      </c>
      <c r="ABK34" s="593">
        <v>7576.1</v>
      </c>
      <c r="ABL34" s="593">
        <f>'Proy 2021 vs 2019 Sem'!JD33*$ABN$4</f>
        <v>4506.1232399999999</v>
      </c>
      <c r="ABM34" s="736">
        <v>4541.28</v>
      </c>
      <c r="ABN34" s="700">
        <f t="shared" si="832"/>
        <v>0.59942186613165083</v>
      </c>
      <c r="ABO34" s="593">
        <v>2185.21</v>
      </c>
      <c r="ABP34" s="593">
        <f>'Proy 2021 vs 2019 Sem'!JD33*$ABR$4</f>
        <v>4506.1232399999999</v>
      </c>
      <c r="ABQ34" s="736">
        <v>1201.81</v>
      </c>
      <c r="ABR34" s="700">
        <f t="shared" si="833"/>
        <v>0.54997460198333337</v>
      </c>
      <c r="ABS34" s="593">
        <v>767.78</v>
      </c>
      <c r="ABT34" s="593">
        <f>'Proy 2021 vs 2019 Sem'!JD33*$ABV$4</f>
        <v>4506.1232399999999</v>
      </c>
      <c r="ABU34" s="736">
        <v>2595.5100000000002</v>
      </c>
      <c r="ABV34" s="700">
        <f t="shared" si="834"/>
        <v>3.3805386959806198</v>
      </c>
      <c r="ABW34" s="593">
        <v>2344.44</v>
      </c>
      <c r="ABX34" s="593">
        <f>'Proy 2021 vs 2019 Sem'!JD33*$ABZ$4</f>
        <v>4506.1232399999999</v>
      </c>
      <c r="ABY34" s="736">
        <v>2351.58</v>
      </c>
      <c r="ABZ34" s="700">
        <f t="shared" si="835"/>
        <v>1.0030455034037979</v>
      </c>
      <c r="ACA34" s="593">
        <v>3522.16</v>
      </c>
      <c r="ACB34" s="593">
        <f>'Proy 2021 vs 2019 Sem'!JD33*$ACD$4</f>
        <v>5257.1437800000003</v>
      </c>
      <c r="ACC34" s="736">
        <v>2405.64</v>
      </c>
      <c r="ACD34" s="700">
        <f t="shared" si="836"/>
        <v>0.68300134008676494</v>
      </c>
      <c r="ACE34" s="593">
        <v>12021.46</v>
      </c>
      <c r="ACF34" s="593">
        <f>'Proy 2021 vs 2019 Sem'!JD33*$ACH$4</f>
        <v>6008.1643200000008</v>
      </c>
      <c r="ACG34" s="736">
        <v>4768.88</v>
      </c>
      <c r="ACH34" s="700">
        <f t="shared" si="837"/>
        <v>0.39669723976954552</v>
      </c>
      <c r="ACI34" s="593">
        <v>14744.95</v>
      </c>
      <c r="ACJ34" s="593">
        <f>'Proy 2021 vs 2019 Sem'!JD33*$ACL$4</f>
        <v>8261.2259400000003</v>
      </c>
      <c r="ACK34" s="736">
        <v>11139.23</v>
      </c>
      <c r="ACL34" s="700">
        <f t="shared" si="838"/>
        <v>0.75546068314914594</v>
      </c>
      <c r="ACM34" s="579">
        <f t="shared" si="839"/>
        <v>43162.100000000006</v>
      </c>
      <c r="ACN34" s="574">
        <f t="shared" si="840"/>
        <v>37551.027000000002</v>
      </c>
      <c r="ACO34" s="765">
        <f t="shared" si="841"/>
        <v>29003.93</v>
      </c>
      <c r="ACP34" s="761">
        <f t="shared" si="842"/>
        <v>0.67197680372363711</v>
      </c>
      <c r="ACQ34" s="593">
        <v>23439.42</v>
      </c>
      <c r="ACR34" s="593">
        <f>'Proy 2021 vs 2019 Sem'!JI33*$ACT$4</f>
        <v>6502.1103599999997</v>
      </c>
      <c r="ACS34" s="736">
        <v>7518.92</v>
      </c>
      <c r="ACT34" s="700">
        <f t="shared" si="843"/>
        <v>0.32078097495586499</v>
      </c>
      <c r="ACU34" s="593">
        <v>13542.45</v>
      </c>
      <c r="ACV34" s="593">
        <f>'Proy 2021 vs 2019 Sem'!JI33*$ACX$4</f>
        <v>6502.1103599999997</v>
      </c>
      <c r="ACW34" s="736">
        <v>5700.67</v>
      </c>
      <c r="ACX34" s="700">
        <f t="shared" si="844"/>
        <v>0.42094820361160645</v>
      </c>
      <c r="ACY34" s="593">
        <v>2802.23</v>
      </c>
      <c r="ACZ34" s="593">
        <f>'Proy 2021 vs 2019 Sem'!JI33*$ADB$4</f>
        <v>6502.1103599999997</v>
      </c>
      <c r="ADA34" s="736">
        <v>2994.01</v>
      </c>
      <c r="ADB34" s="700">
        <f t="shared" si="845"/>
        <v>1.0684383508848312</v>
      </c>
      <c r="ADC34" s="593">
        <v>2164.3000000000002</v>
      </c>
      <c r="ADD34" s="593">
        <f>'Proy 2021 vs 2019 Sem'!JI33*$ADF$4</f>
        <v>6502.1103599999997</v>
      </c>
      <c r="ADE34" s="736">
        <v>1778.71</v>
      </c>
      <c r="ADF34" s="700">
        <f t="shared" si="846"/>
        <v>0.8218407799288453</v>
      </c>
      <c r="ADG34" s="593">
        <v>3700.3</v>
      </c>
      <c r="ADH34" s="593">
        <f>'Proy 2021 vs 2019 Sem'!JI33*$ADJ$4</f>
        <v>7585.7954200000004</v>
      </c>
      <c r="ADI34" s="736">
        <v>1363.82</v>
      </c>
      <c r="ADJ34" s="700">
        <f t="shared" si="847"/>
        <v>0.36857011593654565</v>
      </c>
      <c r="ADK34" s="593">
        <v>5212.04</v>
      </c>
      <c r="ADL34" s="593">
        <f>'Proy 2021 vs 2019 Sem'!JI33*$ADN$4</f>
        <v>8669.4804800000002</v>
      </c>
      <c r="ADM34" s="736">
        <v>4015.47</v>
      </c>
      <c r="ADN34" s="700">
        <f t="shared" si="848"/>
        <v>0.77042194610939285</v>
      </c>
      <c r="ADO34" s="593">
        <v>12885.44</v>
      </c>
      <c r="ADP34" s="593">
        <f>'Proy 2021 vs 2019 Sem'!JI33*$ADR$4</f>
        <v>11920.53566</v>
      </c>
      <c r="ADQ34" s="736">
        <v>6632.45</v>
      </c>
      <c r="ADR34" s="700">
        <f t="shared" si="849"/>
        <v>0.51472437107308711</v>
      </c>
      <c r="ADS34" s="579">
        <f t="shared" si="850"/>
        <v>63746.180000000008</v>
      </c>
      <c r="ADT34" s="574">
        <f t="shared" si="851"/>
        <v>54184.252999999997</v>
      </c>
      <c r="ADU34" s="765">
        <f t="shared" si="852"/>
        <v>30004.050000000003</v>
      </c>
      <c r="ADV34" s="761">
        <f t="shared" si="853"/>
        <v>0.47067996858792166</v>
      </c>
      <c r="ADW34" s="593">
        <v>9998.17</v>
      </c>
      <c r="ADX34" s="593">
        <f>'Proy 2021 vs 2019 Sem'!JN33*$ADZ$4</f>
        <v>5434.0213800000001</v>
      </c>
      <c r="ADY34" s="736">
        <v>7961.32</v>
      </c>
      <c r="ADZ34" s="700">
        <f t="shared" si="854"/>
        <v>0.7962777188225445</v>
      </c>
      <c r="AEA34" s="593">
        <v>4417.05</v>
      </c>
      <c r="AEB34" s="593">
        <f>'Proy 2021 vs 2019 Sem'!JN33*$AED$4</f>
        <v>5434.0213800000001</v>
      </c>
      <c r="AEC34" s="736">
        <v>1885</v>
      </c>
      <c r="AED34" s="700">
        <f t="shared" si="855"/>
        <v>0.42675541368107672</v>
      </c>
      <c r="AEE34" s="593">
        <v>2558.3000000000002</v>
      </c>
      <c r="AEF34" s="593">
        <f>'Proy 2021 vs 2019 Sem'!JN33*$AEH$4</f>
        <v>5434.0213800000001</v>
      </c>
      <c r="AEG34" s="736">
        <v>1854</v>
      </c>
      <c r="AEH34" s="700">
        <f t="shared" si="856"/>
        <v>0.72469999609115421</v>
      </c>
      <c r="AEI34" s="593">
        <v>4252.83</v>
      </c>
      <c r="AEJ34" s="593">
        <f>'Proy 2021 vs 2019 Sem'!JN33*$AEL$4</f>
        <v>5434.0213800000001</v>
      </c>
      <c r="AEK34" s="736">
        <v>1641</v>
      </c>
      <c r="AEL34" s="700">
        <f t="shared" si="857"/>
        <v>0.38586070922185933</v>
      </c>
      <c r="AEM34" s="593">
        <v>7328.41</v>
      </c>
      <c r="AEN34" s="593">
        <f>'Proy 2021 vs 2019 Sem'!JN33*$AEP$4</f>
        <v>6339.6916100000008</v>
      </c>
      <c r="AEO34" s="736">
        <v>2514</v>
      </c>
      <c r="AEP34" s="700">
        <f t="shared" si="858"/>
        <v>0.34304849210128802</v>
      </c>
      <c r="AEQ34" s="593">
        <v>11364.65</v>
      </c>
      <c r="AER34" s="593">
        <f>'Proy 2021 vs 2019 Sem'!JN33*$AET$4</f>
        <v>7245.3618400000005</v>
      </c>
      <c r="AES34" s="736">
        <v>2442</v>
      </c>
      <c r="AET34" s="700">
        <f t="shared" si="859"/>
        <v>0.21487683298649762</v>
      </c>
      <c r="AEU34" s="593">
        <v>10960.94</v>
      </c>
      <c r="AEV34" s="593">
        <f>'Proy 2021 vs 2019 Sem'!JN33*$AEX$4</f>
        <v>9962.3725300000006</v>
      </c>
      <c r="AEW34" s="736">
        <v>8103</v>
      </c>
      <c r="AEX34" s="700">
        <f t="shared" si="860"/>
        <v>0.73926141371086784</v>
      </c>
      <c r="AEY34" s="579">
        <f t="shared" si="861"/>
        <v>50880.35</v>
      </c>
      <c r="AEZ34" s="574">
        <f t="shared" si="862"/>
        <v>45283.511500000001</v>
      </c>
      <c r="AFA34" s="770">
        <f t="shared" si="863"/>
        <v>26400.32</v>
      </c>
      <c r="AFB34" s="761">
        <f t="shared" si="864"/>
        <v>0.51887064456121079</v>
      </c>
      <c r="AFC34" s="593">
        <v>9150.2000000000007</v>
      </c>
      <c r="AFD34" s="593">
        <f>'Proy 2021 vs 2019 Sem'!JX33*$AFF$4</f>
        <v>4733.1312600000001</v>
      </c>
      <c r="AFE34" s="736">
        <v>5923</v>
      </c>
      <c r="AFF34" s="700">
        <f t="shared" si="865"/>
        <v>0.64730825555725557</v>
      </c>
      <c r="AFG34" s="593">
        <v>6514.3</v>
      </c>
      <c r="AFH34" s="593">
        <f>'Proy 2021 vs 2019 Sem'!JX33*$AFJ$4</f>
        <v>4733.1312600000001</v>
      </c>
      <c r="AFI34" s="736">
        <v>983.8</v>
      </c>
      <c r="AFJ34" s="700">
        <f t="shared" si="866"/>
        <v>0.15102159863684508</v>
      </c>
      <c r="AFK34" s="593">
        <v>3116.93</v>
      </c>
      <c r="AFL34" s="593">
        <f>'Proy 2021 vs 2019 Sem'!JX33*$AFN$4</f>
        <v>4733.1312600000001</v>
      </c>
      <c r="AFM34" s="736">
        <v>4264.22</v>
      </c>
      <c r="AFN34" s="700">
        <f t="shared" si="867"/>
        <v>1.3680833384131181</v>
      </c>
      <c r="AFO34" s="593">
        <v>5688.04</v>
      </c>
      <c r="AFP34" s="593">
        <f>'Proy 2021 vs 2019 Sem'!JX33*$AFR$4</f>
        <v>4733.1312600000001</v>
      </c>
      <c r="AFQ34" s="736">
        <v>5480.37</v>
      </c>
      <c r="AFR34" s="700">
        <f t="shared" si="868"/>
        <v>0.96349005984486746</v>
      </c>
      <c r="AFS34" s="593">
        <v>5464.68</v>
      </c>
      <c r="AFT34" s="593">
        <f>'Proy 2021 vs 2019 Sem'!JX33*$AFV$4</f>
        <v>5521.9864700000007</v>
      </c>
      <c r="AFU34" s="736">
        <v>6611.52</v>
      </c>
      <c r="AFV34" s="700">
        <f t="shared" si="869"/>
        <v>1.2098640725531962</v>
      </c>
      <c r="AFW34" s="593">
        <v>14019.41</v>
      </c>
      <c r="AFX34" s="593">
        <f>'Proy 2021 vs 2019 Sem'!JX33*$AFZ$4</f>
        <v>6310.8416800000005</v>
      </c>
      <c r="AFY34" s="736">
        <v>5217.8</v>
      </c>
      <c r="AFZ34" s="700">
        <f t="shared" si="870"/>
        <v>0.37218399347761427</v>
      </c>
      <c r="AGA34" s="593">
        <v>27282.58</v>
      </c>
      <c r="AGB34" s="593">
        <f>'Proy 2021 vs 2019 Sem'!JX33*$AGD$4</f>
        <v>8677.4073100000005</v>
      </c>
      <c r="AGC34" s="736">
        <v>12593.1</v>
      </c>
      <c r="AGD34" s="700">
        <f t="shared" si="871"/>
        <v>0.46158024644296836</v>
      </c>
      <c r="AGE34" s="579">
        <f t="shared" si="872"/>
        <v>71236.14</v>
      </c>
      <c r="AGF34" s="574">
        <f t="shared" si="873"/>
        <v>39442.760500000004</v>
      </c>
      <c r="AGG34" s="729">
        <f t="shared" si="874"/>
        <v>41073.81</v>
      </c>
      <c r="AGH34" s="711">
        <f t="shared" si="875"/>
        <v>0.57658668759986154</v>
      </c>
      <c r="AGI34" s="593">
        <v>13562.86</v>
      </c>
      <c r="AGJ34" s="593">
        <f>'Proy 2021 vs 2019 Sem'!KC33*$AGL$4</f>
        <v>6324.1992</v>
      </c>
      <c r="AGK34" s="736">
        <v>9821.69</v>
      </c>
      <c r="AGL34" s="700">
        <f t="shared" si="876"/>
        <v>0.72416068587303861</v>
      </c>
      <c r="AGM34" s="593">
        <v>8302.27</v>
      </c>
      <c r="AGN34" s="593">
        <f>'Proy 2021 vs 2019 Sem'!KC33*$AGP$4</f>
        <v>6324.1992</v>
      </c>
      <c r="AGO34" s="736">
        <v>3394.07</v>
      </c>
      <c r="AGP34" s="700">
        <f t="shared" si="877"/>
        <v>0.40881228868731084</v>
      </c>
      <c r="AGQ34" s="593">
        <v>7578.31</v>
      </c>
      <c r="AGR34" s="593">
        <f>'Proy 2021 vs 2019 Sem'!KC33*$AGT$4</f>
        <v>6324.1992</v>
      </c>
      <c r="AGS34" s="736">
        <v>2024.71</v>
      </c>
      <c r="AGT34" s="700">
        <f t="shared" si="878"/>
        <v>0.26717170450931671</v>
      </c>
      <c r="AGU34" s="593">
        <v>9524.57</v>
      </c>
      <c r="AGV34" s="593">
        <f>'Proy 2021 vs 2019 Sem'!KC33*$AGX$4</f>
        <v>6324.1992</v>
      </c>
      <c r="AGW34" s="736">
        <v>5789.19</v>
      </c>
      <c r="AGX34" s="700">
        <f t="shared" si="879"/>
        <v>0.60781641585919366</v>
      </c>
      <c r="AGY34" s="593">
        <v>15420.83</v>
      </c>
      <c r="AGZ34" s="593">
        <f>'Proy 2021 vs 2019 Sem'!KC33*$AHB$4</f>
        <v>7378.2324000000008</v>
      </c>
      <c r="AHA34" s="736">
        <v>5079.37</v>
      </c>
      <c r="AHB34" s="700">
        <f t="shared" si="880"/>
        <v>0.32938369724586808</v>
      </c>
      <c r="AHC34" s="593">
        <v>23415.8</v>
      </c>
      <c r="AHD34" s="593">
        <f>'Proy 2021 vs 2019 Sem'!KC33*$AHF$4</f>
        <v>8432.2656000000006</v>
      </c>
      <c r="AHE34" s="736">
        <v>11862.63</v>
      </c>
      <c r="AHF34" s="700">
        <f t="shared" si="881"/>
        <v>0.5066079313967492</v>
      </c>
      <c r="AHG34" s="593">
        <v>17867.59</v>
      </c>
      <c r="AHH34" s="593">
        <f>'Proy 2021 vs 2019 Sem'!KC33*$AHJ$4</f>
        <v>11594.3652</v>
      </c>
      <c r="AHI34" s="736">
        <v>16552.87</v>
      </c>
      <c r="AHJ34" s="700">
        <f t="shared" si="882"/>
        <v>0.92641872798737823</v>
      </c>
      <c r="AHK34" s="579">
        <f t="shared" si="883"/>
        <v>95672.23</v>
      </c>
      <c r="AHL34" s="574">
        <f t="shared" si="884"/>
        <v>52701.66</v>
      </c>
      <c r="AHM34" s="730">
        <f t="shared" si="885"/>
        <v>54524.53</v>
      </c>
      <c r="AHN34" s="711">
        <f t="shared" si="886"/>
        <v>0.56990968016528931</v>
      </c>
      <c r="AHO34" s="593">
        <v>18981.13</v>
      </c>
      <c r="AHP34" s="593">
        <f>'Proy 2021 vs 2019 Sem'!KH33*$AHR$4</f>
        <v>7586.8478400000013</v>
      </c>
      <c r="AHQ34" s="736">
        <v>9945.73</v>
      </c>
      <c r="AHR34" s="700">
        <f t="shared" si="887"/>
        <v>0.52397986842722211</v>
      </c>
      <c r="AHS34" s="593">
        <v>13600.57</v>
      </c>
      <c r="AHT34" s="593">
        <f>'Proy 2021 vs 2019 Sem'!KH33*$AHV$4</f>
        <v>7586.8478400000013</v>
      </c>
      <c r="AHU34" s="736">
        <v>8289.8700000000008</v>
      </c>
      <c r="AHV34" s="700">
        <f t="shared" si="888"/>
        <v>0.60952371849121034</v>
      </c>
      <c r="AHW34" s="593">
        <v>13667.39</v>
      </c>
      <c r="AHX34" s="593">
        <f>'Proy 2021 vs 2019 Sem'!KH33*$AHZ$4</f>
        <v>7586.8478400000013</v>
      </c>
      <c r="AHY34" s="736">
        <v>10483.19</v>
      </c>
      <c r="AHZ34" s="700">
        <f t="shared" si="889"/>
        <v>0.76702208687979201</v>
      </c>
      <c r="AIA34" s="593">
        <v>14087.91</v>
      </c>
      <c r="AIB34" s="593">
        <f>'Proy 2021 vs 2019 Sem'!KH33*$AID$4</f>
        <v>7586.8478400000013</v>
      </c>
      <c r="AIC34" s="736">
        <v>8657.82</v>
      </c>
      <c r="AID34" s="700">
        <f t="shared" si="890"/>
        <v>0.61455673694678625</v>
      </c>
      <c r="AIE34" s="593">
        <v>14908.36</v>
      </c>
      <c r="AIF34" s="593">
        <f>'Proy 2021 vs 2019 Sem'!KH33*$AIH$4</f>
        <v>8851.3224800000025</v>
      </c>
      <c r="AIG34" s="736">
        <v>13104.19</v>
      </c>
      <c r="AIH34" s="700">
        <f t="shared" si="891"/>
        <v>0.8789826647599065</v>
      </c>
      <c r="AII34" s="593">
        <v>15222.64</v>
      </c>
      <c r="AIJ34" s="593">
        <f>'Proy 2021 vs 2019 Sem'!KH33*$AIL$4</f>
        <v>10115.797120000001</v>
      </c>
      <c r="AIK34" s="736">
        <v>13773.29</v>
      </c>
      <c r="AIL34" s="700">
        <f t="shared" si="892"/>
        <v>0.90478983934455526</v>
      </c>
      <c r="AIM34" s="593">
        <v>24449.25</v>
      </c>
      <c r="AIN34" s="593">
        <f>'Proy 2021 vs 2019 Sem'!KH33*$AIP$4</f>
        <v>13909.221040000002</v>
      </c>
      <c r="AIO34" s="736">
        <v>18471.169999999998</v>
      </c>
      <c r="AIP34" s="700">
        <f t="shared" si="893"/>
        <v>0.75549025021217409</v>
      </c>
      <c r="AIQ34" s="579">
        <f t="shared" si="894"/>
        <v>114917.25</v>
      </c>
      <c r="AIR34" s="574">
        <f t="shared" si="895"/>
        <v>63223.732000000018</v>
      </c>
      <c r="AIS34" s="730">
        <f t="shared" si="896"/>
        <v>82725.260000000009</v>
      </c>
      <c r="AIT34" s="711">
        <f t="shared" si="897"/>
        <v>0.71986807898727134</v>
      </c>
      <c r="AIU34" s="593">
        <f>'Proy 2021 vs 2019 Sem'!KL33*$AIX$4</f>
        <v>17985.310799999999</v>
      </c>
      <c r="AIV34" s="593">
        <f>'Proy 2021 vs 2019 Sem'!KM33*$AIX$4</f>
        <v>17265.898367999998</v>
      </c>
      <c r="AIW34" s="736">
        <v>19237.72</v>
      </c>
      <c r="AIX34" s="700">
        <f t="shared" si="898"/>
        <v>1.0696351157857111</v>
      </c>
      <c r="AIY34" s="593">
        <f>'Proy 2021 vs 2019 Sem'!KL33*$AJB$4</f>
        <v>17985.310799999999</v>
      </c>
      <c r="AIZ34" s="593">
        <f>'Proy 2021 vs 2019 Sem'!KM33*$AJB$4</f>
        <v>17265.898367999998</v>
      </c>
      <c r="AJA34" s="736">
        <v>15481.35</v>
      </c>
      <c r="AJB34" s="700">
        <f t="shared" si="899"/>
        <v>0.86077745178582077</v>
      </c>
      <c r="AJC34" s="593">
        <f>'Proy 2021 vs 2019 Sem'!KL33*$AJF$4</f>
        <v>17985.310799999999</v>
      </c>
      <c r="AJD34" s="593">
        <f>'Proy 2021 vs 2019 Sem'!KM33*$AJF$4</f>
        <v>17265.898367999998</v>
      </c>
      <c r="AJE34" s="736">
        <v>19555.939999999999</v>
      </c>
      <c r="AJF34" s="700">
        <f t="shared" si="900"/>
        <v>1.0873284436096595</v>
      </c>
      <c r="AJG34" s="593">
        <f>'Proy 2021 vs 2019 Sem'!KL33*$AJJ$4</f>
        <v>17985.310799999999</v>
      </c>
      <c r="AJH34" s="593">
        <f>'Proy 2021 vs 2019 Sem'!KM33*$AJJ$4</f>
        <v>17265.898367999998</v>
      </c>
      <c r="AJI34" s="736">
        <v>20517.48</v>
      </c>
      <c r="AJJ34" s="700">
        <f t="shared" si="901"/>
        <v>1.1407909614772962</v>
      </c>
      <c r="AJK34" s="593">
        <f>'Proy 2021 vs 2019 Sem'!KL33*$AJN$4</f>
        <v>20982.8626</v>
      </c>
      <c r="AJL34" s="593">
        <f>'Proy 2021 vs 2019 Sem'!KM33*$AJN$4</f>
        <v>20143.548096000002</v>
      </c>
      <c r="AJM34" s="736">
        <v>29326.41</v>
      </c>
      <c r="AJN34" s="700">
        <f t="shared" si="902"/>
        <v>1.3976362786648566</v>
      </c>
      <c r="AJO34" s="593">
        <f>'Proy 2021 vs 2019 Sem'!KL33*$AJR$4</f>
        <v>23980.414400000001</v>
      </c>
      <c r="AJP34" s="593">
        <f>'Proy 2021 vs 2019 Sem'!KM33*$AJR$4</f>
        <v>23021.197823999999</v>
      </c>
      <c r="AJQ34" s="736">
        <v>36035.019999999997</v>
      </c>
      <c r="AJR34" s="700">
        <f t="shared" si="903"/>
        <v>1.5026854581795714</v>
      </c>
      <c r="AJS34" s="593">
        <f>'Proy 2021 vs 2019 Sem'!KL33*$AJV$4</f>
        <v>32973.069799999997</v>
      </c>
      <c r="AJT34" s="593">
        <f>'Proy 2021 vs 2019 Sem'!KM33*$AJV$4</f>
        <v>31654.147008</v>
      </c>
      <c r="AJU34" s="701">
        <v>2964.07</v>
      </c>
      <c r="AJV34" s="700">
        <f t="shared" si="904"/>
        <v>8.9893662251611176E-2</v>
      </c>
      <c r="AJW34" s="579">
        <f t="shared" si="905"/>
        <v>149877.59</v>
      </c>
      <c r="AJX34" s="574">
        <f t="shared" si="906"/>
        <v>143882.48639999999</v>
      </c>
      <c r="AJY34" s="710">
        <f t="shared" si="907"/>
        <v>143117.99</v>
      </c>
      <c r="AJZ34" s="711">
        <f t="shared" si="908"/>
        <v>0.95489919473618434</v>
      </c>
      <c r="AKA34" s="593">
        <f>'Proy 2021 vs 2019 Sem'!KQ33*$AKD$4</f>
        <v>7044.1535999999996</v>
      </c>
      <c r="AKB34" s="593">
        <f>'Proy 2021 vs 2019 Sem'!KR33*$AKD$4</f>
        <v>6339.7382399999997</v>
      </c>
      <c r="AKC34" s="736">
        <v>9938.23</v>
      </c>
      <c r="AKD34" s="700">
        <f t="shared" si="909"/>
        <v>1.4108479974088015</v>
      </c>
      <c r="AKE34" s="593">
        <f>'Proy 2021 vs 2019 Sem'!KQ33*$AKH$4</f>
        <v>7044.1535999999996</v>
      </c>
      <c r="AKF34" s="593">
        <f>'Proy 2021 vs 2019 Sem'!KR33*$AKH$4</f>
        <v>6339.7382399999997</v>
      </c>
      <c r="AKG34" s="736">
        <v>5001.17</v>
      </c>
      <c r="AKH34" s="700">
        <f t="shared" si="910"/>
        <v>0.70997458090635623</v>
      </c>
      <c r="AKI34" s="593">
        <f>'Proy 2021 vs 2019 Sem'!KQ33*$AKL$4</f>
        <v>7044.1535999999996</v>
      </c>
      <c r="AKJ34" s="593">
        <f>'Proy 2021 vs 2019 Sem'!KR33*$AKL$4</f>
        <v>6339.7382399999997</v>
      </c>
      <c r="AKK34" s="736">
        <v>3970.15</v>
      </c>
      <c r="AKL34" s="700">
        <f t="shared" si="911"/>
        <v>0.56360923191680545</v>
      </c>
      <c r="AKM34" s="593">
        <f>'Proy 2021 vs 2019 Sem'!KQ33*$AKP$4</f>
        <v>7044.1535999999996</v>
      </c>
      <c r="AKN34" s="593">
        <f>'Proy 2021 vs 2019 Sem'!KR33*$AKP$4</f>
        <v>6339.7382399999997</v>
      </c>
      <c r="AKO34" s="736">
        <v>8701.91</v>
      </c>
      <c r="AKP34" s="700">
        <f t="shared" si="912"/>
        <v>1.235337911995559</v>
      </c>
      <c r="AKQ34" s="593">
        <f>'Proy 2021 vs 2019 Sem'!KQ33*$AKT$4</f>
        <v>8218.1792000000005</v>
      </c>
      <c r="AKR34" s="593">
        <f>'Proy 2021 vs 2019 Sem'!KR33*$AKT$4</f>
        <v>7396.361280000001</v>
      </c>
      <c r="AKS34" s="736">
        <v>11450.88</v>
      </c>
      <c r="AKT34" s="700">
        <f t="shared" si="913"/>
        <v>1.3933597359376149</v>
      </c>
      <c r="AKU34" s="593">
        <f>'Proy 2021 vs 2019 Sem'!KQ33*$AKX$4</f>
        <v>9392.2047999999995</v>
      </c>
      <c r="AKV34" s="593">
        <f>'Proy 2021 vs 2019 Sem'!KR33*$AKX$4</f>
        <v>8452.9843199999996</v>
      </c>
      <c r="AKW34" s="736">
        <v>10740.06</v>
      </c>
      <c r="AKX34" s="700">
        <f t="shared" si="914"/>
        <v>1.1435078587724152</v>
      </c>
      <c r="AKY34" s="593">
        <f>'Proy 2021 vs 2019 Sem'!KQ33*$ALB$4</f>
        <v>12914.2816</v>
      </c>
      <c r="AKZ34" s="593">
        <f>'Proy 2021 vs 2019 Sem'!KR33*$ALB$4</f>
        <v>11622.853440000001</v>
      </c>
      <c r="ALA34" s="701">
        <v>1082.31</v>
      </c>
      <c r="ALB34" s="700">
        <f>ALA34/AKY34</f>
        <v>8.3807216965131062E-2</v>
      </c>
      <c r="ALC34" s="579">
        <f t="shared" si="915"/>
        <v>58701.279999999999</v>
      </c>
      <c r="ALD34" s="574">
        <f t="shared" si="916"/>
        <v>52831.151999999995</v>
      </c>
      <c r="ALE34" s="710">
        <f t="shared" si="917"/>
        <v>50884.709999999992</v>
      </c>
      <c r="ALF34" s="711">
        <f t="shared" si="918"/>
        <v>0.86684157483448387</v>
      </c>
    </row>
    <row r="35" spans="1:994" ht="13.5">
      <c r="B35" s="569" t="s">
        <v>37</v>
      </c>
      <c r="C35" s="582"/>
      <c r="D35" s="584">
        <f>'Proy 2021 vs 2019 Sem'!$DY$34*F4</f>
        <v>7253.3396734053913</v>
      </c>
      <c r="E35" s="737">
        <v>5333.86</v>
      </c>
      <c r="F35" s="703"/>
      <c r="G35" s="582"/>
      <c r="H35" s="582">
        <f>'Proy 2021 vs 2019 Sem'!$DY$34*J4</f>
        <v>7253.3396734053913</v>
      </c>
      <c r="I35" s="737">
        <v>7550.61</v>
      </c>
      <c r="J35" s="703"/>
      <c r="K35" s="582"/>
      <c r="L35" s="582">
        <f>'Proy 2021 vs 2019 Sem'!$DY$34*N4</f>
        <v>7253.3396734053913</v>
      </c>
      <c r="M35" s="737">
        <v>5341.74</v>
      </c>
      <c r="N35" s="703"/>
      <c r="O35" s="582"/>
      <c r="P35" s="582">
        <f>'Proy 2021 vs 2019 Sem'!$DY$34*R4</f>
        <v>7253.3396734053913</v>
      </c>
      <c r="Q35" s="737">
        <v>5811.94</v>
      </c>
      <c r="R35" s="703"/>
      <c r="S35" s="582"/>
      <c r="T35" s="582">
        <f>'Proy 2021 vs 2019 Sem'!$DY$34*V4</f>
        <v>8462.2296189729586</v>
      </c>
      <c r="U35" s="737">
        <v>6727.08</v>
      </c>
      <c r="V35" s="703"/>
      <c r="W35" s="582"/>
      <c r="X35" s="582">
        <f>'Proy 2021 vs 2019 Sem'!$DY$34*Z4</f>
        <v>9671.1195645405223</v>
      </c>
      <c r="Y35" s="737">
        <v>9992.74</v>
      </c>
      <c r="Z35" s="703"/>
      <c r="AA35" s="582"/>
      <c r="AB35" s="582">
        <f>'Proy 2021 vs 2019 Sem'!$DY$34*AD4</f>
        <v>13297.789401243219</v>
      </c>
      <c r="AC35" s="737">
        <v>13677.24</v>
      </c>
      <c r="AD35" s="703"/>
      <c r="AE35" s="608"/>
      <c r="AF35" s="609">
        <f t="shared" si="588"/>
        <v>60444.497278378272</v>
      </c>
      <c r="AG35" s="943">
        <f t="shared" si="589"/>
        <v>54435.209999999992</v>
      </c>
      <c r="AH35" s="713"/>
      <c r="AI35" s="582"/>
      <c r="AJ35" s="611">
        <f>'Proy 2021 vs 2019 Sem'!ED34*$AL$4</f>
        <v>6444.7042426584721</v>
      </c>
      <c r="AK35" s="737">
        <v>8366.49</v>
      </c>
      <c r="AL35" s="703"/>
      <c r="AM35" s="582"/>
      <c r="AN35" s="593">
        <f>'Proy 2021 vs 2019 Sem'!ED34*$AP$4</f>
        <v>6444.7042426584721</v>
      </c>
      <c r="AO35" s="737">
        <v>5948.72</v>
      </c>
      <c r="AP35" s="703"/>
      <c r="AQ35" s="582"/>
      <c r="AR35" s="593">
        <f>'Proy 2021 vs 2019 Sem'!ED34*$AT$4</f>
        <v>6444.7042426584721</v>
      </c>
      <c r="AS35" s="737">
        <v>4100.74</v>
      </c>
      <c r="AT35" s="703"/>
      <c r="AU35" s="582"/>
      <c r="AV35" s="593">
        <f>'Proy 2021 vs 2019 Sem'!ED34*$AX$4</f>
        <v>6444.7042426584721</v>
      </c>
      <c r="AW35" s="737">
        <v>5257.99</v>
      </c>
      <c r="AX35" s="703"/>
      <c r="AY35" s="582"/>
      <c r="AZ35" s="593">
        <f>'Proy 2021 vs 2019 Sem'!ED34*$BB$4</f>
        <v>7518.821616434886</v>
      </c>
      <c r="BA35" s="737">
        <v>8456.7000000000007</v>
      </c>
      <c r="BB35" s="703"/>
      <c r="BC35" s="582"/>
      <c r="BD35" s="593">
        <f>'Proy 2021 vs 2019 Sem'!ED34*$BF$4</f>
        <v>8592.938990211298</v>
      </c>
      <c r="BE35" s="737">
        <v>9160.51</v>
      </c>
      <c r="BF35" s="703"/>
      <c r="BG35" s="582"/>
      <c r="BH35" s="593">
        <f>'Proy 2021 vs 2019 Sem'!ED34*$BJ$4</f>
        <v>11815.291111540533</v>
      </c>
      <c r="BI35" s="737">
        <v>11257.97</v>
      </c>
      <c r="BJ35" s="703"/>
      <c r="BK35" s="585"/>
      <c r="BL35" s="582">
        <f t="shared" si="599"/>
        <v>53705.868688820599</v>
      </c>
      <c r="BM35" s="733">
        <f t="shared" si="600"/>
        <v>52549.119999999995</v>
      </c>
      <c r="BN35" s="717"/>
      <c r="BO35" s="593"/>
      <c r="BP35" s="593">
        <f>'Proy 2021 vs 2019 Sem'!EI34*$BR$4</f>
        <v>6892.5697919999993</v>
      </c>
      <c r="BQ35" s="737">
        <v>8564.23</v>
      </c>
      <c r="BR35" s="703"/>
      <c r="BS35" s="582"/>
      <c r="BT35" s="593">
        <f>'Proy 2021 vs 2019 Sem'!EI34*$BV$4</f>
        <v>6892.5697919999993</v>
      </c>
      <c r="BU35" s="737">
        <v>9071.0400000000009</v>
      </c>
      <c r="BV35" s="703"/>
      <c r="BW35" s="582"/>
      <c r="BX35" s="593">
        <f>'Proy 2021 vs 2019 Sem'!EI34*$BZ$4</f>
        <v>6892.5697919999993</v>
      </c>
      <c r="BY35" s="737">
        <v>8259.0400000000009</v>
      </c>
      <c r="BZ35" s="703"/>
      <c r="CA35" s="582"/>
      <c r="CB35" s="593">
        <f>'Proy 2021 vs 2019 Sem'!EI34*$CD$4</f>
        <v>6892.5697919999993</v>
      </c>
      <c r="CC35" s="737">
        <v>5668.77</v>
      </c>
      <c r="CD35" s="703"/>
      <c r="CE35" s="582"/>
      <c r="CF35" s="593">
        <f>'Proy 2021 vs 2019 Sem'!EI34*$CH$4</f>
        <v>8041.3314240000009</v>
      </c>
      <c r="CG35" s="737">
        <v>10493.04</v>
      </c>
      <c r="CH35" s="703"/>
      <c r="CI35" s="582"/>
      <c r="CJ35" s="593">
        <f>'Proy 2021 vs 2019 Sem'!EI34*$CL$4</f>
        <v>9190.0930559999997</v>
      </c>
      <c r="CK35" s="737">
        <v>6259.43</v>
      </c>
      <c r="CL35" s="703"/>
      <c r="CM35" s="582"/>
      <c r="CN35" s="593">
        <f>'Proy 2021 vs 2019 Sem'!EI34*$CP$4</f>
        <v>12636.377951999999</v>
      </c>
      <c r="CO35" s="737">
        <v>13381.58</v>
      </c>
      <c r="CP35" s="703"/>
      <c r="CQ35" s="585"/>
      <c r="CR35" s="582">
        <f t="shared" si="610"/>
        <v>57438.08159999999</v>
      </c>
      <c r="CS35" s="733">
        <f t="shared" si="611"/>
        <v>61697.130000000005</v>
      </c>
      <c r="CT35" s="717"/>
      <c r="CU35" s="582"/>
      <c r="CV35" s="593">
        <f>'Proy 2021 vs 2019 Sem'!EN34*$CX$4</f>
        <v>6989.8671360000008</v>
      </c>
      <c r="CW35" s="737">
        <v>9911.01</v>
      </c>
      <c r="CX35" s="703"/>
      <c r="CY35" s="582"/>
      <c r="CZ35" s="593">
        <f>'Proy 2021 vs 2019 Sem'!EN34*$DB$4</f>
        <v>6989.8671360000008</v>
      </c>
      <c r="DA35" s="737">
        <v>3260.17</v>
      </c>
      <c r="DB35" s="703"/>
      <c r="DC35" s="582"/>
      <c r="DD35" s="593">
        <f>'Proy 2021 vs 2019 Sem'!EN34*$DF$4</f>
        <v>6989.8671360000008</v>
      </c>
      <c r="DE35" s="737">
        <v>2740.33</v>
      </c>
      <c r="DF35" s="703"/>
      <c r="DG35" s="582"/>
      <c r="DH35" s="593">
        <f>'Proy 2021 vs 2019 Sem'!EN34*$DJ$4</f>
        <v>6989.8671360000008</v>
      </c>
      <c r="DI35" s="737">
        <v>6731.57</v>
      </c>
      <c r="DJ35" s="703"/>
      <c r="DK35" s="582"/>
      <c r="DL35" s="593">
        <f>'Proy 2021 vs 2019 Sem'!EN34*$DN$4</f>
        <v>8154.8449920000021</v>
      </c>
      <c r="DM35" s="737">
        <v>7098.35</v>
      </c>
      <c r="DN35" s="703"/>
      <c r="DO35" s="582"/>
      <c r="DP35" s="593">
        <f>'Proy 2021 vs 2019 Sem'!EN34*$DR$4</f>
        <v>9319.8228480000016</v>
      </c>
      <c r="DQ35" s="737">
        <v>10914.8</v>
      </c>
      <c r="DR35" s="703"/>
      <c r="DS35" s="582"/>
      <c r="DT35" s="593">
        <f>'Proy 2021 vs 2019 Sem'!EN34*$DV$4</f>
        <v>12814.756416000002</v>
      </c>
      <c r="DU35" s="737">
        <v>13257.75</v>
      </c>
      <c r="DV35" s="703"/>
      <c r="DW35" s="585"/>
      <c r="DX35" s="574">
        <f t="shared" si="621"/>
        <v>58248.892800000009</v>
      </c>
      <c r="DY35" s="716">
        <f t="shared" si="622"/>
        <v>53913.979999999996</v>
      </c>
      <c r="DZ35" s="717"/>
      <c r="EA35" s="582"/>
      <c r="EB35" s="593">
        <f>'Proy 2021 vs 2019 Sem'!ES34*$ED$4</f>
        <v>5232.5157600000002</v>
      </c>
      <c r="EC35" s="737">
        <v>8353</v>
      </c>
      <c r="ED35" s="703"/>
      <c r="EE35" s="582"/>
      <c r="EF35" s="593">
        <f>'Proy 2021 vs 2019 Sem'!ES34*$EH$4</f>
        <v>5232.5157600000002</v>
      </c>
      <c r="EG35" s="702">
        <v>5485.31</v>
      </c>
      <c r="EH35" s="703">
        <f>EG35/EF35</f>
        <v>1.0483121793788921</v>
      </c>
      <c r="EI35" s="582"/>
      <c r="EJ35" s="593">
        <f>'Proy 2021 vs 2019 Sem'!ES34*$EL$4</f>
        <v>5232.5157600000002</v>
      </c>
      <c r="EK35" s="737">
        <v>8172.21</v>
      </c>
      <c r="EL35" s="703">
        <f>EK35/EJ35</f>
        <v>1.5618127827674235</v>
      </c>
      <c r="EM35" s="582"/>
      <c r="EN35" s="593">
        <f>'Proy 2021 vs 2019 Sem'!ES34*$EP$4</f>
        <v>5232.5157600000002</v>
      </c>
      <c r="EO35" s="737">
        <v>7035.55</v>
      </c>
      <c r="EP35" s="703"/>
      <c r="EQ35" s="582"/>
      <c r="ER35" s="593">
        <f>'Proy 2021 vs 2019 Sem'!ES34*$ET$4</f>
        <v>6104.6017200000006</v>
      </c>
      <c r="ES35" s="737">
        <v>10533.12</v>
      </c>
      <c r="ET35" s="703"/>
      <c r="EU35" s="582"/>
      <c r="EV35" s="593">
        <f>'Proy 2021 vs 2019 Sem'!ES34*$EX$4</f>
        <v>6976.6876800000009</v>
      </c>
      <c r="EW35" s="737">
        <v>7560.12</v>
      </c>
      <c r="EX35" s="703"/>
      <c r="EY35" s="582"/>
      <c r="EZ35" s="593">
        <f>'Proy 2021 vs 2019 Sem'!ES34*$FB$4</f>
        <v>9592.9455600000001</v>
      </c>
      <c r="FA35" s="702">
        <v>16531.45</v>
      </c>
      <c r="FB35" s="703"/>
      <c r="FC35" s="585"/>
      <c r="FD35" s="582">
        <f t="shared" si="632"/>
        <v>43604.298000000003</v>
      </c>
      <c r="FE35" s="716">
        <f t="shared" si="633"/>
        <v>63670.760000000009</v>
      </c>
      <c r="FF35" s="717">
        <f>FE35/FD35</f>
        <v>1.4601945890746826</v>
      </c>
      <c r="FG35" s="582"/>
      <c r="FH35" s="593">
        <f>'Proy 2021 vs 2019 Sem'!FB34*$FJ$4</f>
        <v>5848.5732479999997</v>
      </c>
      <c r="FI35" s="737">
        <v>8471.2000000000007</v>
      </c>
      <c r="FJ35" s="703">
        <f>FI35/FH35</f>
        <v>1.4484216305056699</v>
      </c>
      <c r="FK35" s="582"/>
      <c r="FL35" s="593">
        <f>'Proy 2021 vs 2019 Sem'!FB34*$FN$4</f>
        <v>5848.5732479999997</v>
      </c>
      <c r="FM35" s="737">
        <v>5269.4</v>
      </c>
      <c r="FN35" s="703">
        <f>FM35/FL35</f>
        <v>0.90097187408945312</v>
      </c>
      <c r="FO35" s="582"/>
      <c r="FP35" s="593">
        <f>'Proy 2021 vs 2019 Sem'!FB34*$FR$4</f>
        <v>5848.5732479999997</v>
      </c>
      <c r="FQ35" s="737">
        <v>4418.25</v>
      </c>
      <c r="FR35" s="703">
        <f>FQ35/FP35</f>
        <v>0.75544065409642969</v>
      </c>
      <c r="FS35" s="582"/>
      <c r="FT35" s="593">
        <f>'Proy 2021 vs 2019 Sem'!FB34*$FV$4</f>
        <v>5848.5732479999997</v>
      </c>
      <c r="FU35" s="737">
        <v>6263.05</v>
      </c>
      <c r="FV35" s="703">
        <f>FU35/FT35</f>
        <v>1.0708680107822428</v>
      </c>
      <c r="FW35" s="582"/>
      <c r="FX35" s="593">
        <f>'Proy 2021 vs 2019 Sem'!FB34*$FZ$4</f>
        <v>6823.3354560000007</v>
      </c>
      <c r="FY35" s="737">
        <v>8890.89</v>
      </c>
      <c r="FZ35" s="703">
        <f>FY35/FX35</f>
        <v>1.3030122961610988</v>
      </c>
      <c r="GA35" s="582"/>
      <c r="GB35" s="593">
        <f>'Proy 2021 vs 2019 Sem'!FB34*$GD$4</f>
        <v>7798.0976639999999</v>
      </c>
      <c r="GC35" s="737">
        <v>10216.6</v>
      </c>
      <c r="GD35" s="703">
        <f>GC35/GB35</f>
        <v>1.310140041867524</v>
      </c>
      <c r="GE35" s="582"/>
      <c r="GF35" s="593">
        <f>'Proy 2021 vs 2019 Sem'!FB34*$GH$4</f>
        <v>10722.384287999999</v>
      </c>
      <c r="GG35" s="737">
        <v>13146.39</v>
      </c>
      <c r="GH35" s="703">
        <f>GG35/GF35</f>
        <v>1.2260696545555485</v>
      </c>
      <c r="GI35" s="585"/>
      <c r="GJ35" s="582">
        <f t="shared" si="643"/>
        <v>48738.110399999998</v>
      </c>
      <c r="GK35" s="759">
        <f t="shared" si="644"/>
        <v>56675.779999999992</v>
      </c>
      <c r="GL35" s="764">
        <f>GK35/GJ35</f>
        <v>1.1628637125004335</v>
      </c>
      <c r="GM35" s="582"/>
      <c r="GN35" s="593">
        <f>'Proy 2021 vs 2019 Sem'!FG34*$GP$4</f>
        <v>6513.5640095999988</v>
      </c>
      <c r="GO35" s="737">
        <v>10223.99</v>
      </c>
      <c r="GP35" s="703">
        <f>GO35/GN35</f>
        <v>1.5696460470690698</v>
      </c>
      <c r="GQ35" s="582"/>
      <c r="GR35" s="593">
        <f>'Proy 2021 vs 2019 Sem'!FG34*$GT$4</f>
        <v>6513.5640095999988</v>
      </c>
      <c r="GS35" s="737">
        <v>5294.69</v>
      </c>
      <c r="GT35" s="703">
        <f>GS35/GR35</f>
        <v>0.81287141604756397</v>
      </c>
      <c r="GU35" s="582"/>
      <c r="GV35" s="593">
        <f>'Proy 2021 vs 2019 Sem'!FG34*$GX$4</f>
        <v>6513.5640095999988</v>
      </c>
      <c r="GW35" s="737">
        <v>3391.21</v>
      </c>
      <c r="GX35" s="703">
        <f>GW35/GV35</f>
        <v>0.52063816291693366</v>
      </c>
      <c r="GY35" s="582"/>
      <c r="GZ35" s="593">
        <f>'Proy 2021 vs 2019 Sem'!FG34*$HB$4</f>
        <v>6513.5640095999988</v>
      </c>
      <c r="HA35" s="737">
        <v>6518.82</v>
      </c>
      <c r="HB35" s="703">
        <f>HA35/GZ35</f>
        <v>1.0008069300297433</v>
      </c>
      <c r="HC35" s="582"/>
      <c r="HD35" s="593">
        <f>'Proy 2021 vs 2019 Sem'!FG34*$HF$4</f>
        <v>7599.1580112000001</v>
      </c>
      <c r="HE35" s="737">
        <v>12601.4</v>
      </c>
      <c r="HF35" s="703">
        <f>HE35/HD35</f>
        <v>1.6582626629723263</v>
      </c>
      <c r="HG35" s="582"/>
      <c r="HH35" s="593">
        <f>'Proy 2021 vs 2019 Sem'!FG34*$HJ$4</f>
        <v>8684.7520127999996</v>
      </c>
      <c r="HI35" s="737">
        <v>12662.88</v>
      </c>
      <c r="HJ35" s="703">
        <f>HI35/HH35</f>
        <v>1.4580589038508924</v>
      </c>
      <c r="HK35" s="582"/>
      <c r="HL35" s="593">
        <f>'Proy 2021 vs 2019 Sem'!FG34*$HN$4</f>
        <v>11941.534017599999</v>
      </c>
      <c r="HM35" s="737">
        <v>14485.85</v>
      </c>
      <c r="HN35" s="703">
        <f>HM35/HL35</f>
        <v>1.213064416904065</v>
      </c>
      <c r="HO35" s="585"/>
      <c r="HP35" s="582">
        <f t="shared" si="654"/>
        <v>54279.700079999995</v>
      </c>
      <c r="HQ35" s="768">
        <f t="shared" si="655"/>
        <v>65178.84</v>
      </c>
      <c r="HR35" s="764">
        <f>HQ35/HP35</f>
        <v>1.20079587587876</v>
      </c>
      <c r="HS35" s="593"/>
      <c r="HT35" s="593">
        <f>'Proy 2021 vs 2019 Sem'!FL34*$CX$4</f>
        <v>5286.0614400000004</v>
      </c>
      <c r="HU35" s="737">
        <v>11638.47</v>
      </c>
      <c r="HV35" s="703"/>
      <c r="HW35" s="582"/>
      <c r="HX35" s="593">
        <f>'Proy 2021 vs 2019 Sem'!FL34*$DB$4</f>
        <v>5286.0614400000004</v>
      </c>
      <c r="HY35" s="737">
        <v>7876.45</v>
      </c>
      <c r="HZ35" s="703"/>
      <c r="IA35" s="582"/>
      <c r="IB35" s="593">
        <f>'Proy 2021 vs 2019 Sem'!FL34*$DF$4</f>
        <v>5286.0614400000004</v>
      </c>
      <c r="IC35" s="737">
        <v>5268.58</v>
      </c>
      <c r="ID35" s="703"/>
      <c r="IE35" s="582"/>
      <c r="IF35" s="593">
        <f>'Proy 2021 vs 2019 Sem'!FL34*$DJ$4</f>
        <v>5286.0614400000004</v>
      </c>
      <c r="IG35" s="737">
        <v>5821.88</v>
      </c>
      <c r="IH35" s="703"/>
      <c r="II35" s="582"/>
      <c r="IJ35" s="593">
        <f>'Proy 2021 vs 2019 Sem'!FL34*$DN$4</f>
        <v>6167.0716800000009</v>
      </c>
      <c r="IK35" s="737">
        <v>7043.94</v>
      </c>
      <c r="IL35" s="703"/>
      <c r="IM35" s="582"/>
      <c r="IN35" s="593">
        <f>'Proy 2021 vs 2019 Sem'!FL34*$DR$4</f>
        <v>7048.0819200000005</v>
      </c>
      <c r="IO35" s="1412">
        <v>8388.64</v>
      </c>
      <c r="IP35" s="703"/>
      <c r="IQ35" s="582"/>
      <c r="IR35" s="593">
        <f>'Proy 2021 vs 2019 Sem'!FL34*$IT$4</f>
        <v>9691.1126400000012</v>
      </c>
      <c r="IS35" s="737">
        <v>9859.8799999999992</v>
      </c>
      <c r="IT35" s="703"/>
      <c r="IU35" s="585"/>
      <c r="IV35" s="582">
        <f t="shared" si="665"/>
        <v>44050.512000000002</v>
      </c>
      <c r="IW35" s="768">
        <f t="shared" si="666"/>
        <v>55897.84</v>
      </c>
      <c r="IX35" s="764">
        <f>IW35/IV35</f>
        <v>1.2689487014362055</v>
      </c>
      <c r="IY35" s="582"/>
      <c r="IZ35" s="593">
        <f>'Proy 2021 vs 2019 Sem'!FQ34*$JB$4</f>
        <v>5677.2478224000006</v>
      </c>
      <c r="JA35" s="737">
        <v>7979.6</v>
      </c>
      <c r="JB35" s="703">
        <f>JA35/IZ35</f>
        <v>1.4055401929991322</v>
      </c>
      <c r="JC35" s="582"/>
      <c r="JD35" s="593">
        <f>'Proy 2021 vs 2019 Sem'!FQ34*$JF$4</f>
        <v>5677.2478224000006</v>
      </c>
      <c r="JE35" s="737">
        <v>4811.95</v>
      </c>
      <c r="JF35" s="703">
        <f>JE35/JD35</f>
        <v>0.84758498316985487</v>
      </c>
      <c r="JG35" s="582"/>
      <c r="JH35" s="593">
        <f>'Proy 2021 vs 2019 Sem'!FQ34*$JJ$4</f>
        <v>5677.2478224000006</v>
      </c>
      <c r="JI35" s="737">
        <v>6794.16</v>
      </c>
      <c r="JJ35" s="703">
        <f>JI35/JH35</f>
        <v>1.1967347934316237</v>
      </c>
      <c r="JK35" s="582"/>
      <c r="JL35" s="593">
        <f>'Proy 2021 vs 2019 Sem'!FQ34*$JN$4</f>
        <v>5677.2478224000006</v>
      </c>
      <c r="JM35" s="737">
        <v>5534.56</v>
      </c>
      <c r="JN35" s="703">
        <f>JM35/JL35</f>
        <v>0.9748667264731663</v>
      </c>
      <c r="JO35" s="582"/>
      <c r="JP35" s="593">
        <f>'Proy 2021 vs 2019 Sem'!FQ34*$JR$4</f>
        <v>6623.4557928000022</v>
      </c>
      <c r="JQ35" s="737">
        <v>5365.13</v>
      </c>
      <c r="JR35" s="703">
        <f>JQ35/JP35</f>
        <v>0.81001974918170971</v>
      </c>
      <c r="JS35" s="582"/>
      <c r="JT35" s="593">
        <f>'Proy 2021 vs 2019 Sem'!FQ34*$JV$4</f>
        <v>7569.663763200002</v>
      </c>
      <c r="JU35" s="737">
        <v>11737.06</v>
      </c>
      <c r="JV35" s="703">
        <f>JU35/JT35</f>
        <v>1.5505391477306876</v>
      </c>
      <c r="JW35" s="582"/>
      <c r="JX35" s="593">
        <f>'Proy 2021 vs 2019 Sem'!FQ34*$JZ$4</f>
        <v>10408.287674400002</v>
      </c>
      <c r="JY35" s="737">
        <v>12124.18</v>
      </c>
      <c r="JZ35" s="703">
        <f>JY35/JX35</f>
        <v>1.164858272491869</v>
      </c>
      <c r="KA35" s="585"/>
      <c r="KB35" s="574">
        <f t="shared" si="676"/>
        <v>47310.39852000001</v>
      </c>
      <c r="KC35" s="773">
        <f t="shared" si="677"/>
        <v>54346.64</v>
      </c>
      <c r="KD35" s="764">
        <f>KC35/KB35</f>
        <v>1.1487250519994137</v>
      </c>
      <c r="KE35" s="582"/>
      <c r="KF35" s="593">
        <f>'Proy 2021 vs 2019 Sem'!FZ34*$KH$4</f>
        <v>5172.3344519999991</v>
      </c>
      <c r="KG35" s="737">
        <v>7362</v>
      </c>
      <c r="KH35" s="703"/>
      <c r="KI35" s="582"/>
      <c r="KJ35" s="593">
        <f>'Proy 2021 vs 2019 Sem'!FZ34*$KL$4</f>
        <v>5172.3344519999991</v>
      </c>
      <c r="KK35" s="737">
        <v>5685.22</v>
      </c>
      <c r="KL35" s="703"/>
      <c r="KM35" s="582"/>
      <c r="KN35" s="593">
        <f>'Proy 2021 vs 2019 Sem'!FZ34*$KP$4</f>
        <v>5172.3344519999991</v>
      </c>
      <c r="KO35" s="737">
        <v>3687.26</v>
      </c>
      <c r="KP35" s="703"/>
      <c r="KQ35" s="582"/>
      <c r="KR35" s="593">
        <f>'Proy 2021 vs 2019 Sem'!FZ34*$KT$4</f>
        <v>5172.3344519999991</v>
      </c>
      <c r="KS35" s="737">
        <v>4135.78</v>
      </c>
      <c r="KT35" s="703">
        <f>KS35/KR35</f>
        <v>0.79959639856637799</v>
      </c>
      <c r="KU35" s="582"/>
      <c r="KV35" s="593">
        <f>'Proy 2021 vs 2019 Sem'!FZ34*$KX$4</f>
        <v>6034.3901939999996</v>
      </c>
      <c r="KW35" s="737">
        <v>4638.12</v>
      </c>
      <c r="KX35" s="703"/>
      <c r="KY35" s="582"/>
      <c r="KZ35" s="593">
        <f>'Proy 2021 vs 2019 Sem'!FZ34*$LB$4</f>
        <v>6896.4459359999992</v>
      </c>
      <c r="LA35" s="737">
        <v>8870.1200000000008</v>
      </c>
      <c r="LB35" s="703"/>
      <c r="LC35" s="582"/>
      <c r="LD35" s="593">
        <f>'Proy 2021 vs 2019 Sem'!FZ34*$LF$4</f>
        <v>9482.6131619999996</v>
      </c>
      <c r="LE35" s="737">
        <v>12391.66</v>
      </c>
      <c r="LF35" s="703"/>
      <c r="LG35" s="585"/>
      <c r="LH35" s="582">
        <f t="shared" si="687"/>
        <v>43102.787099999994</v>
      </c>
      <c r="LI35" s="793">
        <f t="shared" si="688"/>
        <v>46770.16</v>
      </c>
      <c r="LJ35" s="792"/>
      <c r="LK35" s="582"/>
      <c r="LL35" s="593">
        <f>'Proy 2021 vs 2019 Sem'!GE34*$LN$4</f>
        <v>6315.9079680000004</v>
      </c>
      <c r="LM35" s="737">
        <v>7407.79</v>
      </c>
      <c r="LN35" s="703"/>
      <c r="LO35" s="582"/>
      <c r="LP35" s="593">
        <f>'Proy 2021 vs 2019 Sem'!GE34*$LR$4</f>
        <v>6315.9079680000004</v>
      </c>
      <c r="LQ35" s="737">
        <v>4421.24</v>
      </c>
      <c r="LR35" s="703"/>
      <c r="LS35" s="582"/>
      <c r="LT35" s="593">
        <f>'Proy 2021 vs 2019 Sem'!GE34*$LV$4</f>
        <v>6315.9079680000004</v>
      </c>
      <c r="LU35" s="737">
        <v>4275.22</v>
      </c>
      <c r="LV35" s="703"/>
      <c r="LW35" s="582"/>
      <c r="LX35" s="593">
        <f>'Proy 2021 vs 2019 Sem'!GE34*$LZ$4</f>
        <v>6315.9079680000004</v>
      </c>
      <c r="LY35" s="737">
        <v>3913.02</v>
      </c>
      <c r="LZ35" s="703"/>
      <c r="MA35" s="582"/>
      <c r="MB35" s="593">
        <f>'Proy 2021 vs 2019 Sem'!GE34*$MD$4</f>
        <v>7368.5592960000013</v>
      </c>
      <c r="MC35" s="737">
        <v>5349.89</v>
      </c>
      <c r="MD35" s="703"/>
      <c r="ME35" s="582"/>
      <c r="MF35" s="593">
        <f>'Proy 2021 vs 2019 Sem'!GE34*$MH$4</f>
        <v>8421.2106240000012</v>
      </c>
      <c r="MG35" s="737">
        <v>7022.4</v>
      </c>
      <c r="MH35" s="703"/>
      <c r="MI35" s="582"/>
      <c r="MJ35" s="593">
        <f>'Proy 2021 vs 2019 Sem'!GE34*$ML$4</f>
        <v>11579.164608000001</v>
      </c>
      <c r="MK35" s="737">
        <v>13672.15</v>
      </c>
      <c r="ML35" s="703"/>
      <c r="MM35" s="585"/>
      <c r="MN35" s="582">
        <f t="shared" si="698"/>
        <v>52632.566400000003</v>
      </c>
      <c r="MO35" s="797">
        <f t="shared" si="699"/>
        <v>46061.71</v>
      </c>
      <c r="MP35" s="792"/>
      <c r="MQ35" s="593">
        <f>'Proy 2021 vs 2019 Sem'!GI34*$MT$4</f>
        <v>16613.034</v>
      </c>
      <c r="MR35" s="593">
        <f>'Proy 2021 vs 2019 Sem'!GJ34*$MT$4</f>
        <v>5660.6031360000006</v>
      </c>
      <c r="MS35" s="737">
        <v>9684.6</v>
      </c>
      <c r="MT35" s="700">
        <f t="shared" si="701"/>
        <v>0.58295191594744222</v>
      </c>
      <c r="MU35" s="593">
        <f>'Proy 2021 vs 2019 Sem'!GI34*$MX$4</f>
        <v>16613.034</v>
      </c>
      <c r="MV35" s="593">
        <f>'Proy 2021 vs 2019 Sem'!GJ34*$MX$4</f>
        <v>5660.6031360000006</v>
      </c>
      <c r="MW35" s="737">
        <v>2923.34</v>
      </c>
      <c r="MX35" s="700">
        <f t="shared" si="702"/>
        <v>0.17596665365278855</v>
      </c>
      <c r="MY35" s="593">
        <f>'Proy 2021 vs 2019 Sem'!GI34*$NB$4</f>
        <v>16613.034</v>
      </c>
      <c r="MZ35" s="593">
        <f>'Proy 2021 vs 2019 Sem'!GJ34*$NB$4</f>
        <v>5660.6031360000006</v>
      </c>
      <c r="NA35" s="737">
        <v>2386.5100000000002</v>
      </c>
      <c r="NB35" s="700">
        <f t="shared" si="703"/>
        <v>0.14365286918692879</v>
      </c>
      <c r="NC35" s="593">
        <f>'Proy 2021 vs 2019 Sem'!GI34*$NF$4</f>
        <v>16613.034</v>
      </c>
      <c r="ND35" s="593">
        <f>'Proy 2021 vs 2019 Sem'!GJ34*$NF$4</f>
        <v>5660.6031360000006</v>
      </c>
      <c r="NE35" s="737">
        <v>4952.7</v>
      </c>
      <c r="NF35" s="700">
        <f t="shared" si="704"/>
        <v>0.29812134255548983</v>
      </c>
      <c r="NG35" s="593">
        <f>'Proy 2021 vs 2019 Sem'!GI34*$NJ$4</f>
        <v>19381.873000000003</v>
      </c>
      <c r="NH35" s="593">
        <f>'Proy 2021 vs 2019 Sem'!GJ34*$NJ$4</f>
        <v>6604.0369920000012</v>
      </c>
      <c r="NI35" s="737">
        <v>6307.91</v>
      </c>
      <c r="NJ35" s="700">
        <f t="shared" si="705"/>
        <v>0.3254540982700691</v>
      </c>
      <c r="NK35" s="593">
        <f>'Proy 2021 vs 2019 Sem'!GI34*$NN$4</f>
        <v>22150.712000000003</v>
      </c>
      <c r="NL35" s="593">
        <f>'Proy 2021 vs 2019 Sem'!GJ34*$NN$4</f>
        <v>7547.4708480000008</v>
      </c>
      <c r="NM35" s="737">
        <v>7749.6</v>
      </c>
      <c r="NN35" s="700">
        <f t="shared" si="706"/>
        <v>0.34985782849779273</v>
      </c>
      <c r="NO35" s="593">
        <f>'Proy 2021 vs 2019 Sem'!GI34*$NR$4</f>
        <v>30457.229000000003</v>
      </c>
      <c r="NP35" s="593">
        <f>'Proy 2021 vs 2019 Sem'!GJ34*$NR$4</f>
        <v>10377.772416000002</v>
      </c>
      <c r="NQ35" s="737">
        <v>10946.92</v>
      </c>
      <c r="NR35" s="700">
        <f t="shared" si="707"/>
        <v>0.35941943372458468</v>
      </c>
      <c r="NS35" s="579">
        <f t="shared" si="708"/>
        <v>138441.95000000001</v>
      </c>
      <c r="NT35" s="582">
        <f t="shared" si="709"/>
        <v>47171.692800000004</v>
      </c>
      <c r="NU35" s="797">
        <f t="shared" si="710"/>
        <v>44951.58</v>
      </c>
      <c r="NV35" s="786">
        <f t="shared" si="711"/>
        <v>0.3246962354979831</v>
      </c>
      <c r="NW35" s="593">
        <f>'Proy 2021 vs 2019 Sem'!GN34*$NZ$4</f>
        <v>15924.712799999999</v>
      </c>
      <c r="NX35" s="593">
        <f>'Proy 2021 vs 2019 Sem'!GO34*$NZ$4</f>
        <v>4445.2203695999988</v>
      </c>
      <c r="NY35" s="737">
        <v>10578.83</v>
      </c>
      <c r="NZ35" s="700">
        <f t="shared" si="712"/>
        <v>0.66430271822547404</v>
      </c>
      <c r="OA35" s="593">
        <f>'Proy 2021 vs 2019 Sem'!GN34*$OD$4</f>
        <v>15924.712799999999</v>
      </c>
      <c r="OB35" s="593">
        <f>'Proy 2021 vs 2019 Sem'!GO34*$OD$4</f>
        <v>4445.2203695999988</v>
      </c>
      <c r="OC35" s="737">
        <v>4776.13</v>
      </c>
      <c r="OD35" s="703">
        <f t="shared" si="713"/>
        <v>0.29991938064967805</v>
      </c>
      <c r="OE35" s="593">
        <f>'Proy 2021 vs 2019 Sem'!GN34*$OH$4</f>
        <v>15924.712799999999</v>
      </c>
      <c r="OF35" s="593">
        <f>'Proy 2021 vs 2019 Sem'!GO34*$OH$4</f>
        <v>4445.2203695999988</v>
      </c>
      <c r="OG35" s="737">
        <v>2648.57</v>
      </c>
      <c r="OH35" s="703">
        <f t="shared" si="714"/>
        <v>0.16631822710171579</v>
      </c>
      <c r="OI35" s="593">
        <f>'Proy 2021 vs 2019 Sem'!GN34*$OL$4</f>
        <v>15924.712799999999</v>
      </c>
      <c r="OJ35" s="593">
        <f>'Proy 2021 vs 2019 Sem'!GO34*$OL$4</f>
        <v>4445.2203695999988</v>
      </c>
      <c r="OK35" s="737">
        <v>4896.1899999999996</v>
      </c>
      <c r="OL35" s="703">
        <f t="shared" si="715"/>
        <v>0.30745860609806414</v>
      </c>
      <c r="OM35" s="593">
        <f>'Proy 2021 vs 2019 Sem'!GN34*$OP$4</f>
        <v>18578.831600000001</v>
      </c>
      <c r="ON35" s="593">
        <f>'Proy 2021 vs 2019 Sem'!GO34*$OP$4</f>
        <v>5186.0904312000002</v>
      </c>
      <c r="OO35" s="737">
        <v>3647.25</v>
      </c>
      <c r="OP35" s="703">
        <f t="shared" si="716"/>
        <v>0.19631212976816043</v>
      </c>
      <c r="OQ35" s="593">
        <f>'Proy 2021 vs 2019 Sem'!GN34*$JV$4</f>
        <v>21232.950400000002</v>
      </c>
      <c r="OR35" s="593">
        <f>'Proy 2021 vs 2019 Sem'!GO34*$JV$4</f>
        <v>5926.960492799999</v>
      </c>
      <c r="OS35" s="737">
        <v>6278</v>
      </c>
      <c r="OT35" s="703"/>
      <c r="OU35" s="593">
        <f>'Proy 2021 vs 2019 Sem'!GN34*$OX$4</f>
        <v>29195.306800000002</v>
      </c>
      <c r="OV35" s="593">
        <f>'Proy 2021 vs 2019 Sem'!GO34*$OX$4</f>
        <v>8149.5706775999988</v>
      </c>
      <c r="OW35" s="737">
        <v>11791.32</v>
      </c>
      <c r="OX35" s="703"/>
      <c r="OY35" s="579">
        <f t="shared" si="719"/>
        <v>132705.94</v>
      </c>
      <c r="OZ35" s="574">
        <f t="shared" si="720"/>
        <v>37043.503079999995</v>
      </c>
      <c r="PA35" s="791">
        <f t="shared" si="721"/>
        <v>44616.29</v>
      </c>
      <c r="PB35" s="792"/>
      <c r="PC35" s="582"/>
      <c r="PD35" s="593">
        <f>'Proy 2021 vs 2019 Sem'!GX34*$PF$4</f>
        <v>5520.8296799999998</v>
      </c>
      <c r="PE35" s="737">
        <v>5354.27</v>
      </c>
      <c r="PF35" s="703"/>
      <c r="PG35" s="582"/>
      <c r="PH35" s="593">
        <f>'Proy 2021 vs 2019 Sem'!GX34*$PJ$4</f>
        <v>5520.8296799999998</v>
      </c>
      <c r="PI35" s="737">
        <v>3758.41</v>
      </c>
      <c r="PJ35" s="703"/>
      <c r="PK35" s="593">
        <f>'Proy 2021 vs 2019 Sem'!GW34*'Vtas Diarias 2021'!$PN$4</f>
        <v>15580.199999999999</v>
      </c>
      <c r="PL35" s="593">
        <f>'Proy 2021 vs 2019 Sem'!GX34*'Vtas Diarias 2021'!$PN$4</f>
        <v>5520.8296799999998</v>
      </c>
      <c r="PM35" s="737">
        <v>5631.42</v>
      </c>
      <c r="PN35" s="703"/>
      <c r="PO35" s="593">
        <f>'Proy 2021 vs 2019 Sem'!GW34*$PR$4</f>
        <v>15580.199999999999</v>
      </c>
      <c r="PP35" s="593">
        <f>'Proy 2021 vs 2019 Sem'!GX34*$PR$4</f>
        <v>5520.8296799999998</v>
      </c>
      <c r="PQ35" s="737">
        <v>5275.11</v>
      </c>
      <c r="PR35" s="703"/>
      <c r="PS35" s="593">
        <f>'Proy 2021 vs 2019 Sem'!GW34*$PV$4</f>
        <v>18176.900000000001</v>
      </c>
      <c r="PT35" s="593">
        <f>'Proy 2021 vs 2019 Sem'!GX34*$PV$4</f>
        <v>6440.9679599999999</v>
      </c>
      <c r="PU35" s="737">
        <v>4394.4799999999996</v>
      </c>
      <c r="PV35" s="703"/>
      <c r="PW35" s="582"/>
      <c r="PX35" s="593">
        <f>'Proy 2021 vs 2019 Sem'!GX34*$PZ$4</f>
        <v>7361.1062400000001</v>
      </c>
      <c r="PY35" s="737">
        <v>6522.81</v>
      </c>
      <c r="PZ35" s="703"/>
      <c r="QA35" s="582"/>
      <c r="QB35" s="593">
        <f>'Proy 2021 vs 2019 Sem'!GX34*$QD$4</f>
        <v>10121.521079999999</v>
      </c>
      <c r="QC35" s="737">
        <v>14142.01</v>
      </c>
      <c r="QD35" s="703"/>
      <c r="QE35" s="585"/>
      <c r="QF35" s="582">
        <f t="shared" si="731"/>
        <v>46006.913999999997</v>
      </c>
      <c r="QG35" s="729">
        <f t="shared" si="732"/>
        <v>45078.51</v>
      </c>
      <c r="QH35" s="717"/>
      <c r="QI35" s="578">
        <f>'Proy 2021 vs 2019 Sem'!HB34*$QL$4</f>
        <v>12664.828799999999</v>
      </c>
      <c r="QJ35" s="611">
        <f>'Proy 2021 vs 2019 Sem'!UG34*$AL$4</f>
        <v>0</v>
      </c>
      <c r="QK35" s="737">
        <v>14032.23</v>
      </c>
      <c r="QL35" s="703"/>
      <c r="QM35" s="582">
        <f>'Proy 2021 vs 2019 Sem'!HB34*$QP$4</f>
        <v>12664.828799999999</v>
      </c>
      <c r="QN35" s="593">
        <f>'Proy 2021 vs 2019 Sem'!UG34*$AP$4</f>
        <v>0</v>
      </c>
      <c r="QO35" s="737">
        <v>2392.9499999999998</v>
      </c>
      <c r="QP35" s="703"/>
      <c r="QQ35" s="593">
        <f>'Proy 2021 vs 2019 Sem'!HB34*$QT$4</f>
        <v>12664.828799999999</v>
      </c>
      <c r="QR35" s="593">
        <f>'Proy 2021 vs 2019 Sem'!HC34*$QT$4</f>
        <v>5860.3006080000005</v>
      </c>
      <c r="QS35" s="737">
        <v>4508.3</v>
      </c>
      <c r="QT35" s="703"/>
      <c r="QU35" s="593">
        <f>'Proy 2021 vs 2019 Sem'!HB34*$QX$4</f>
        <v>12664.828799999999</v>
      </c>
      <c r="QV35" s="593">
        <f>'Proy 2021 vs 2019 Sem'!HC34*$QX$4</f>
        <v>5860.3006080000005</v>
      </c>
      <c r="QW35" s="737">
        <v>3239.48</v>
      </c>
      <c r="QX35" s="703"/>
      <c r="QY35" s="593">
        <f>'Proy 2021 vs 2019 Sem'!HB34*$RB$4</f>
        <v>14775.633600000003</v>
      </c>
      <c r="QZ35" s="593">
        <f>'Proy 2021 vs 2019 Sem'!HC34*$RB$4</f>
        <v>6837.0173760000016</v>
      </c>
      <c r="RA35" s="737">
        <v>3990.83</v>
      </c>
      <c r="RB35" s="703"/>
      <c r="RC35" s="593">
        <f>'Proy 2021 vs 2019 Sem'!HB34*$RF$4</f>
        <v>16886.438400000003</v>
      </c>
      <c r="RD35" s="593">
        <f>'Proy 2021 vs 2019 Sem'!HC34*$RF$4</f>
        <v>7813.7341440000018</v>
      </c>
      <c r="RE35" s="737">
        <v>6182.67</v>
      </c>
      <c r="RF35" s="700">
        <f t="shared" si="739"/>
        <v>0.36613226860200426</v>
      </c>
      <c r="RG35" s="593">
        <f>'Proy 2021 vs 2019 Sem'!HB34*$RJ$4</f>
        <v>23218.852800000001</v>
      </c>
      <c r="RH35" s="593">
        <f>'Proy 2021 vs 2019 Sem'!HC34*$RJ$4</f>
        <v>10743.884448000003</v>
      </c>
      <c r="RI35" s="737">
        <v>10052.120000000001</v>
      </c>
      <c r="RJ35" s="703"/>
      <c r="RK35" s="579">
        <f t="shared" si="741"/>
        <v>105540.23999999999</v>
      </c>
      <c r="RL35" s="582">
        <f t="shared" si="742"/>
        <v>37115.237184000005</v>
      </c>
      <c r="RM35" s="733">
        <f t="shared" si="743"/>
        <v>44398.58</v>
      </c>
      <c r="RN35" s="717"/>
      <c r="RO35" s="593">
        <f>'Proy 2021 vs 2019 Sem'!HG34*$RR$4</f>
        <v>12400.6212</v>
      </c>
      <c r="RP35" s="593">
        <f>'Proy 2021 vs 2019 Sem'!HH34*$RR$4</f>
        <v>5695.0346880000006</v>
      </c>
      <c r="RQ35" s="737">
        <v>10596.79</v>
      </c>
      <c r="RR35" s="703"/>
      <c r="RS35" s="593">
        <f>'Proy 2021 vs 2019 Sem'!HG34*$RV$4</f>
        <v>12400.6212</v>
      </c>
      <c r="RT35" s="593">
        <f>'Proy 2021 vs 2019 Sem'!HH34*$RV$4</f>
        <v>5695.0346880000006</v>
      </c>
      <c r="RU35" s="737">
        <v>5235.93</v>
      </c>
      <c r="RV35" s="703"/>
      <c r="RW35" s="593">
        <f>'Proy 2021 vs 2019 Sem'!HG34*$RZ$4</f>
        <v>12400.6212</v>
      </c>
      <c r="RX35" s="593">
        <f>'Proy 2021 vs 2019 Sem'!HH34*$RZ$4</f>
        <v>5695.0346880000006</v>
      </c>
      <c r="RY35" s="737">
        <v>4366.1099999999997</v>
      </c>
      <c r="RZ35" s="703"/>
      <c r="SA35" s="593">
        <f>'Proy 2021 vs 2019 Sem'!HG34*$SD$4</f>
        <v>12400.6212</v>
      </c>
      <c r="SB35" s="593">
        <f>'Proy 2021 vs 2019 Sem'!HH34*$SD$4</f>
        <v>5695.0346880000006</v>
      </c>
      <c r="SC35" s="737">
        <v>7651.03</v>
      </c>
      <c r="SD35" s="703"/>
      <c r="SE35" s="593">
        <f>'Proy 2021 vs 2019 Sem'!HG34*$SH$4</f>
        <v>14467.3914</v>
      </c>
      <c r="SF35" s="593">
        <f>'Proy 2021 vs 2019 Sem'!HH34*$SH$4</f>
        <v>6644.2071360000018</v>
      </c>
      <c r="SG35" s="737">
        <v>9049.31</v>
      </c>
      <c r="SH35" s="703"/>
      <c r="SI35" s="593">
        <f>'Proy 2021 vs 2019 Sem'!HG34*$SL$4</f>
        <v>16534.161599999999</v>
      </c>
      <c r="SJ35" s="593">
        <f>'Proy 2021 vs 2019 Sem'!HH34*$SL$4</f>
        <v>7593.3795840000012</v>
      </c>
      <c r="SK35" s="737">
        <v>6604.43</v>
      </c>
      <c r="SL35" s="703"/>
      <c r="SM35" s="593">
        <f>'Proy 2021 vs 2019 Sem'!HG34*$SP$4</f>
        <v>22734.4722</v>
      </c>
      <c r="SN35" s="593">
        <f>'Proy 2021 vs 2019 Sem'!HH34*$SP$4</f>
        <v>10440.896928000002</v>
      </c>
      <c r="SO35" s="737">
        <v>11566.55</v>
      </c>
      <c r="SP35" s="703"/>
      <c r="SQ35" s="579">
        <f t="shared" si="752"/>
        <v>103338.51</v>
      </c>
      <c r="SR35" s="582">
        <f t="shared" si="753"/>
        <v>47458.622400000007</v>
      </c>
      <c r="SS35" s="733">
        <f t="shared" si="754"/>
        <v>55070.149999999994</v>
      </c>
      <c r="ST35" s="717"/>
      <c r="SU35" s="582"/>
      <c r="SV35" s="593">
        <f>'Proy 2021 vs 2019 Sem'!HM34*$SX$4</f>
        <v>4686.3693647999999</v>
      </c>
      <c r="SW35" s="737">
        <v>10202.02</v>
      </c>
      <c r="SX35" s="703"/>
      <c r="SY35" s="582"/>
      <c r="SZ35" s="593">
        <f>'Proy 2021 vs 2019 Sem'!HM34*$TB$4</f>
        <v>4686.3693647999999</v>
      </c>
      <c r="TA35" s="737">
        <v>4409.03</v>
      </c>
      <c r="TB35" s="703"/>
      <c r="TC35" s="582"/>
      <c r="TD35" s="593">
        <f>'Proy 2021 vs 2019 Sem'!HM34*$TF$4</f>
        <v>4686.3693647999999</v>
      </c>
      <c r="TE35" s="737">
        <v>2729.53</v>
      </c>
      <c r="TF35" s="703"/>
      <c r="TG35" s="582"/>
      <c r="TH35" s="593">
        <f>'Proy 2021 vs 2019 Sem'!HM34*$TJ$4</f>
        <v>4686.3693647999999</v>
      </c>
      <c r="TI35" s="737">
        <v>4097.99</v>
      </c>
      <c r="TJ35" s="703"/>
      <c r="TK35" s="582"/>
      <c r="TL35" s="593">
        <f>'Proy 2021 vs 2019 Sem'!HM34*$TN$4</f>
        <v>5467.4309256000006</v>
      </c>
      <c r="TM35" s="737">
        <v>4382.57</v>
      </c>
      <c r="TN35" s="703"/>
      <c r="TO35" s="582"/>
      <c r="TP35" s="611">
        <f>'Proy 2021 vs 2019 Sem'!HM34*$TR$4</f>
        <v>6248.4924864000004</v>
      </c>
      <c r="TQ35" s="737">
        <v>5873.44</v>
      </c>
      <c r="TR35" s="703"/>
      <c r="TS35" s="582"/>
      <c r="TT35" s="593">
        <f>'Proy 2021 vs 2019 Sem'!HM34*$TV$4</f>
        <v>8591.6771688000008</v>
      </c>
      <c r="TU35" s="737">
        <v>11844.11</v>
      </c>
      <c r="TV35" s="703"/>
      <c r="TW35" s="585"/>
      <c r="TX35" s="574">
        <f t="shared" si="764"/>
        <v>39053.07804</v>
      </c>
      <c r="TY35" s="716">
        <f t="shared" si="765"/>
        <v>43538.69</v>
      </c>
      <c r="TZ35" s="717"/>
      <c r="UA35" s="582">
        <v>21928.71</v>
      </c>
      <c r="UB35" s="593">
        <f>'Proy 2021 vs 2019 Sem'!HR34*$UD$4</f>
        <v>5300.6745023999993</v>
      </c>
      <c r="UC35" s="737">
        <v>6566.55</v>
      </c>
      <c r="UD35" s="703"/>
      <c r="UE35" s="582">
        <v>11268.89</v>
      </c>
      <c r="UF35" s="593">
        <f>'Proy 2021 vs 2019 Sem'!HR34*$UH$4</f>
        <v>5300.6745023999993</v>
      </c>
      <c r="UG35" s="737">
        <v>3115.04</v>
      </c>
      <c r="UH35" s="703"/>
      <c r="UI35" s="582">
        <v>10208.870000000001</v>
      </c>
      <c r="UJ35" s="593">
        <f>'Proy 2021 vs 2019 Sem'!HR34*$UL$4</f>
        <v>5300.6745023999993</v>
      </c>
      <c r="UK35" s="737">
        <v>3932.08</v>
      </c>
      <c r="UL35" s="700">
        <f t="shared" si="769"/>
        <v>0.38516309836446144</v>
      </c>
      <c r="UM35" s="582">
        <v>9446.17</v>
      </c>
      <c r="UN35" s="593">
        <f>'Proy 2021 vs 2019 Sem'!HR34*$UP$4</f>
        <v>5300.6745023999993</v>
      </c>
      <c r="UO35" s="737">
        <v>5638.59</v>
      </c>
      <c r="UP35" s="700">
        <f t="shared" si="770"/>
        <v>0.59691811601950839</v>
      </c>
      <c r="UQ35" s="582">
        <v>3676.06</v>
      </c>
      <c r="UR35" s="593">
        <f>'Proy 2021 vs 2019 Sem'!HR34*$UT$4</f>
        <v>6184.1202528000003</v>
      </c>
      <c r="US35" s="737">
        <v>6920.97</v>
      </c>
      <c r="UT35" s="703"/>
      <c r="UU35" s="582">
        <v>12358.27</v>
      </c>
      <c r="UV35" s="593">
        <f>'Proy 2021 vs 2019 Sem'!HR34*$UX$4</f>
        <v>7067.5660031999996</v>
      </c>
      <c r="UW35" s="737">
        <v>6514.33</v>
      </c>
      <c r="UX35" s="703"/>
      <c r="UY35" s="582">
        <v>24697.79</v>
      </c>
      <c r="UZ35" s="593">
        <f>'Proy 2021 vs 2019 Sem'!HR34*$VB$4</f>
        <v>9717.9032544000002</v>
      </c>
      <c r="VA35" s="737">
        <v>14305.57</v>
      </c>
      <c r="VB35" s="703"/>
      <c r="VC35" s="577">
        <f>UA35+UE35+UI35+UM35+UQ35+UU35+UY35</f>
        <v>93584.760000000009</v>
      </c>
      <c r="VD35" s="582">
        <f t="shared" si="774"/>
        <v>44172.287519999998</v>
      </c>
      <c r="VE35" s="716">
        <f t="shared" si="775"/>
        <v>46993.130000000005</v>
      </c>
      <c r="VF35" s="1532">
        <f>VE35/VC35</f>
        <v>0.50214511422586328</v>
      </c>
      <c r="VG35" s="582">
        <v>18859.650000000001</v>
      </c>
      <c r="VH35" s="593">
        <f>'Proy 2021 vs 2019 Sem'!IA34*$VJ$4</f>
        <v>4830.4133999999995</v>
      </c>
      <c r="VI35" s="737">
        <v>7670.37</v>
      </c>
      <c r="VJ35" s="703"/>
      <c r="VK35" s="582">
        <v>6901.77</v>
      </c>
      <c r="VL35" s="593">
        <f>'Proy 2021 vs 2019 Sem'!IA34*$VN$4</f>
        <v>4830.4133999999995</v>
      </c>
      <c r="VM35" s="737">
        <v>3911.04</v>
      </c>
      <c r="VN35" s="703"/>
      <c r="VO35" s="582">
        <v>6680.66</v>
      </c>
      <c r="VP35" s="593">
        <f>'Proy 2021 vs 2019 Sem'!IA34*$VR$4</f>
        <v>4830.4133999999995</v>
      </c>
      <c r="VQ35" s="737">
        <v>3564.47</v>
      </c>
      <c r="VR35" s="700">
        <f t="shared" si="779"/>
        <v>0.53355057733816713</v>
      </c>
      <c r="VS35" s="582">
        <v>5834.37</v>
      </c>
      <c r="VT35" s="593">
        <f>'Proy 2021 vs 2019 Sem'!IA34*$VV$4</f>
        <v>4830.4133999999995</v>
      </c>
      <c r="VU35" s="737">
        <v>4219.3500000000004</v>
      </c>
      <c r="VV35" s="703"/>
      <c r="VW35" s="582">
        <v>11116.88</v>
      </c>
      <c r="VX35" s="593">
        <f>'Proy 2021 vs 2019 Sem'!IA34*$VZ$4</f>
        <v>5635.4823000000006</v>
      </c>
      <c r="VY35" s="737">
        <v>7588.48</v>
      </c>
      <c r="VZ35" s="703"/>
      <c r="WA35" s="582">
        <v>12291.95</v>
      </c>
      <c r="WB35" s="593">
        <f>'Proy 2021 vs 2019 Sem'!IA34*$WD$4</f>
        <v>6440.5511999999999</v>
      </c>
      <c r="WC35" s="737">
        <v>7075.36</v>
      </c>
      <c r="WD35" s="703"/>
      <c r="WE35" s="582">
        <v>18821.61</v>
      </c>
      <c r="WF35" s="593">
        <f>'Proy 2021 vs 2019 Sem'!IA34*$WH$4</f>
        <v>8855.7579000000005</v>
      </c>
      <c r="WG35" s="737">
        <v>11459.16</v>
      </c>
      <c r="WH35" s="1539"/>
      <c r="WI35" s="574">
        <f t="shared" si="784"/>
        <v>38276.450000000004</v>
      </c>
      <c r="WJ35" s="583">
        <f t="shared" si="785"/>
        <v>40253.444999999992</v>
      </c>
      <c r="WK35" s="793">
        <f t="shared" si="786"/>
        <v>45488.229999999996</v>
      </c>
      <c r="WL35" s="792"/>
      <c r="WM35" s="582">
        <v>19234.73</v>
      </c>
      <c r="WN35" s="593">
        <f>'Proy 2021 vs 2019 Sem'!IF34*$WP$4</f>
        <v>5635.3290239999997</v>
      </c>
      <c r="WO35" s="737">
        <v>7386.39</v>
      </c>
      <c r="WP35" s="703"/>
      <c r="WQ35" s="582">
        <v>11142.75</v>
      </c>
      <c r="WR35" s="593">
        <f>'Proy 2021 vs 2019 Sem'!IF34*$WT$4</f>
        <v>5635.3290239999997</v>
      </c>
      <c r="WS35" s="737">
        <v>4160.7</v>
      </c>
      <c r="WT35" s="703"/>
      <c r="WU35" s="582">
        <v>10001.19</v>
      </c>
      <c r="WV35" s="593">
        <f>'Proy 2021 vs 2019 Sem'!IF34*$WX$4</f>
        <v>5635.3290239999997</v>
      </c>
      <c r="WW35" s="737">
        <v>4967.57</v>
      </c>
      <c r="WX35" s="703"/>
      <c r="WY35" s="582">
        <v>8296.77</v>
      </c>
      <c r="WZ35" s="593">
        <f>'Proy 2021 vs 2019 Sem'!IF34*$XB$4</f>
        <v>5635.3290239999997</v>
      </c>
      <c r="XA35" s="737">
        <v>5338.56</v>
      </c>
      <c r="XB35" s="703"/>
      <c r="XC35" s="582">
        <v>11232.8</v>
      </c>
      <c r="XD35" s="593">
        <f>'Proy 2021 vs 2019 Sem'!IF34*$XF$4</f>
        <v>6574.5505280000007</v>
      </c>
      <c r="XE35" s="737">
        <v>6277.23</v>
      </c>
      <c r="XF35" s="703"/>
      <c r="XG35" s="582">
        <v>13280.16</v>
      </c>
      <c r="XH35" s="593">
        <f>'Proy 2021 vs 2019 Sem'!IF34*$XJ$4</f>
        <v>7513.7720319999999</v>
      </c>
      <c r="XI35" s="737">
        <v>11973.13</v>
      </c>
      <c r="XJ35" s="703"/>
      <c r="XK35" s="582">
        <v>17121.36</v>
      </c>
      <c r="XL35" s="593">
        <f>'Proy 2021 vs 2019 Sem'!IF34*$XN$4</f>
        <v>10331.436544</v>
      </c>
      <c r="XM35" s="737">
        <v>12802.01</v>
      </c>
      <c r="XN35" s="703"/>
      <c r="XO35" s="579">
        <f t="shared" si="795"/>
        <v>90309.760000000009</v>
      </c>
      <c r="XP35" s="582">
        <f t="shared" si="796"/>
        <v>46961.075199999992</v>
      </c>
      <c r="XQ35" s="797">
        <f t="shared" si="797"/>
        <v>52905.590000000004</v>
      </c>
      <c r="XR35" s="792"/>
      <c r="XS35" s="593">
        <v>17744</v>
      </c>
      <c r="XT35" s="593">
        <f>'Proy 2021 vs 2019 Sem'!RO34*$MT$4</f>
        <v>0</v>
      </c>
      <c r="XU35" s="737">
        <v>9905.11</v>
      </c>
      <c r="XV35" s="700">
        <f t="shared" si="799"/>
        <v>0.55822306131650135</v>
      </c>
      <c r="XW35" s="582">
        <v>7502.2</v>
      </c>
      <c r="XX35" s="593">
        <f>'Proy 2021 vs 2019 Sem'!IK34*$XZ$4</f>
        <v>4856.0635200000006</v>
      </c>
      <c r="XY35" s="737">
        <v>4791.05</v>
      </c>
      <c r="XZ35" s="703"/>
      <c r="YA35" s="582">
        <v>6894.3</v>
      </c>
      <c r="YB35" s="593">
        <f>'Proy 2021 vs 2019 Sem'!IK34*$YD$4</f>
        <v>4856.0635200000006</v>
      </c>
      <c r="YC35" s="737">
        <v>3725.51</v>
      </c>
      <c r="YD35" s="703"/>
      <c r="YE35" s="582">
        <v>6776.41</v>
      </c>
      <c r="YF35" s="593">
        <f>'Proy 2021 vs 2019 Sem'!IK34*$YH$4</f>
        <v>4856.0635200000006</v>
      </c>
      <c r="YG35" s="737">
        <v>5184.53</v>
      </c>
      <c r="YH35" s="703"/>
      <c r="YI35" s="582">
        <v>8017.04</v>
      </c>
      <c r="YJ35" s="593">
        <f>'Proy 2021 vs 2019 Sem'!IK34*$YL$4</f>
        <v>5665.4074400000009</v>
      </c>
      <c r="YK35" s="737">
        <v>4039.23</v>
      </c>
      <c r="YL35" s="703"/>
      <c r="YM35" s="582">
        <v>9721.02</v>
      </c>
      <c r="YN35" s="593">
        <f>'Proy 2021 vs 2019 Sem'!IK34*$YP$4</f>
        <v>6474.7513600000011</v>
      </c>
      <c r="YO35" s="737">
        <v>9748.0499999999993</v>
      </c>
      <c r="YP35" s="703"/>
      <c r="YQ35" s="582">
        <v>16921.75</v>
      </c>
      <c r="YR35" s="593">
        <f>'Proy 2021 vs 2019 Sem'!IK34*$YT$4</f>
        <v>8902.7831200000001</v>
      </c>
      <c r="YS35" s="737">
        <v>13874.73</v>
      </c>
      <c r="YT35" s="703"/>
      <c r="YU35" s="579">
        <f t="shared" si="806"/>
        <v>73576.72</v>
      </c>
      <c r="YV35" s="582">
        <f t="shared" si="807"/>
        <v>35611.132480000007</v>
      </c>
      <c r="YW35" s="797">
        <f t="shared" si="808"/>
        <v>51268.209999999992</v>
      </c>
      <c r="YX35" s="792"/>
      <c r="YY35" s="582">
        <v>14304.41</v>
      </c>
      <c r="YZ35" s="593">
        <f>'Proy 2021 vs 2019 Sem'!IP34*$ZB$4</f>
        <v>5624.2152239999996</v>
      </c>
      <c r="ZA35" s="737">
        <v>10710.27</v>
      </c>
      <c r="ZB35" s="703"/>
      <c r="ZC35" s="582">
        <v>5060.58</v>
      </c>
      <c r="ZD35" s="593">
        <f>'Proy 2021 vs 2019 Sem'!IP34*$ZF$4</f>
        <v>5624.2152239999996</v>
      </c>
      <c r="ZE35" s="737">
        <v>3807.73</v>
      </c>
      <c r="ZF35" s="703"/>
      <c r="ZG35" s="582">
        <v>7069</v>
      </c>
      <c r="ZH35" s="593">
        <f>'Proy 2021 vs 2019 Sem'!IP34*$ZJ$4</f>
        <v>5624.2152239999996</v>
      </c>
      <c r="ZI35" s="737">
        <v>4437.21</v>
      </c>
      <c r="ZJ35" s="703"/>
      <c r="ZK35" s="582">
        <v>7289.67</v>
      </c>
      <c r="ZL35" s="593">
        <f>'Proy 2021 vs 2019 Sem'!IP34*$ZN$4</f>
        <v>5624.2152239999996</v>
      </c>
      <c r="ZM35" s="737">
        <v>7330.22</v>
      </c>
      <c r="ZN35" s="703"/>
      <c r="ZO35" s="582">
        <v>11858.5</v>
      </c>
      <c r="ZP35" s="593">
        <f>'Proy 2021 vs 2019 Sem'!IP34*$ZR$4</f>
        <v>6561.584428000001</v>
      </c>
      <c r="ZQ35" s="737">
        <v>9400.56</v>
      </c>
      <c r="ZR35" s="703"/>
      <c r="ZS35" s="582">
        <v>14628.27</v>
      </c>
      <c r="ZT35" s="593">
        <f>'Proy 2021 vs 2019 Sem'!IP34*$ZV$4</f>
        <v>7498.9536320000007</v>
      </c>
      <c r="ZU35" s="737">
        <v>13242.89</v>
      </c>
      <c r="ZV35" s="703"/>
      <c r="ZW35" s="582">
        <v>20597.259999999998</v>
      </c>
      <c r="ZX35" s="593">
        <f>'Proy 2021 vs 2019 Sem'!IP34*$ZZ$4</f>
        <v>10311.061244</v>
      </c>
      <c r="ZY35" s="737">
        <v>16372.48</v>
      </c>
      <c r="ZZ35" s="703"/>
      <c r="AAA35" s="579">
        <f t="shared" si="817"/>
        <v>80807.689999999988</v>
      </c>
      <c r="AAB35" s="574">
        <f t="shared" si="818"/>
        <v>46868.460200000001</v>
      </c>
      <c r="AAC35" s="791">
        <f t="shared" si="819"/>
        <v>65301.36</v>
      </c>
      <c r="AAD35" s="792"/>
      <c r="AAE35" s="582">
        <v>17096.650000000001</v>
      </c>
      <c r="AAF35" s="593">
        <f>'Proy 2021 vs 2019 Sem'!IY34*$AAH$4</f>
        <v>5696.7195599999986</v>
      </c>
      <c r="AAG35" s="737">
        <v>7268.45</v>
      </c>
      <c r="AAH35" s="703"/>
      <c r="AAI35" s="582">
        <v>5329.72</v>
      </c>
      <c r="AAJ35" s="593">
        <f>'Proy 2021 vs 2019 Sem'!IY34*$AAL$4</f>
        <v>5696.7195599999986</v>
      </c>
      <c r="AAK35" s="737">
        <v>4108.34</v>
      </c>
      <c r="AAL35" s="703"/>
      <c r="AAM35" s="582">
        <v>5540.63</v>
      </c>
      <c r="AAN35" s="593">
        <f>'Proy 2021 vs 2019 Sem'!IY34*$AAP$4</f>
        <v>5696.7195599999986</v>
      </c>
      <c r="AAO35" s="737">
        <v>5734.28</v>
      </c>
      <c r="AAP35" s="703"/>
      <c r="AAQ35" s="582">
        <v>5167.7700000000004</v>
      </c>
      <c r="AAR35" s="593">
        <f>'Proy 2021 vs 2019 Sem'!IY34*$AAT$4</f>
        <v>5696.7195599999986</v>
      </c>
      <c r="AAS35" s="737">
        <v>5238.43</v>
      </c>
      <c r="AAT35" s="703"/>
      <c r="AAU35" s="582">
        <v>5565.46</v>
      </c>
      <c r="AAV35" s="593">
        <f>'Proy 2021 vs 2019 Sem'!IY34*$AAX$4</f>
        <v>6646.1728199999998</v>
      </c>
      <c r="AAW35" s="737">
        <v>4112.78</v>
      </c>
      <c r="AAX35" s="703"/>
      <c r="AAY35" s="582">
        <v>7283.99</v>
      </c>
      <c r="AAZ35" s="593">
        <f>'Proy 2021 vs 2019 Sem'!IY34*$ABB$4</f>
        <v>7595.6260799999991</v>
      </c>
      <c r="ABA35" s="737">
        <v>7779.05</v>
      </c>
      <c r="ABB35" s="703"/>
      <c r="ABC35" s="582">
        <v>21833.87</v>
      </c>
      <c r="ABD35" s="593">
        <f>'Proy 2021 vs 2019 Sem'!IY34*$ABF$4</f>
        <v>10443.985859999999</v>
      </c>
      <c r="ABE35" s="737">
        <v>12195.98</v>
      </c>
      <c r="ABF35" s="703"/>
      <c r="ABG35" s="579">
        <f t="shared" si="828"/>
        <v>67818.09</v>
      </c>
      <c r="ABH35" s="582">
        <f t="shared" si="829"/>
        <v>47472.662999999993</v>
      </c>
      <c r="ABI35" s="759">
        <f t="shared" si="830"/>
        <v>46437.31</v>
      </c>
      <c r="ABJ35" s="761">
        <f t="shared" si="831"/>
        <v>0.68473338013500529</v>
      </c>
      <c r="ABK35" s="582">
        <v>16248.83</v>
      </c>
      <c r="ABL35" s="593">
        <f>'Proy 2021 vs 2019 Sem'!JD34*$ABN$4</f>
        <v>9047.5022399999998</v>
      </c>
      <c r="ABM35" s="737">
        <v>13880.67</v>
      </c>
      <c r="ABN35" s="703"/>
      <c r="ABO35" s="582">
        <v>4994.54</v>
      </c>
      <c r="ABP35" s="593">
        <f>'Proy 2021 vs 2019 Sem'!JD34*$ABR$4</f>
        <v>9047.5022399999998</v>
      </c>
      <c r="ABQ35" s="737">
        <v>2363.59</v>
      </c>
      <c r="ABR35" s="703"/>
      <c r="ABS35" s="582">
        <v>5070</v>
      </c>
      <c r="ABT35" s="593">
        <f>'Proy 2021 vs 2019 Sem'!JD34*$ABV$4</f>
        <v>9047.5022399999998</v>
      </c>
      <c r="ABU35" s="737">
        <v>5395.96</v>
      </c>
      <c r="ABV35" s="703"/>
      <c r="ABW35" s="582">
        <v>3646.1</v>
      </c>
      <c r="ABX35" s="593">
        <f>'Proy 2021 vs 2019 Sem'!JD34*$ABZ$4</f>
        <v>9047.5022399999998</v>
      </c>
      <c r="ABY35" s="737">
        <v>7158.35</v>
      </c>
      <c r="ABZ35" s="703"/>
      <c r="ACA35" s="582">
        <v>21469.09</v>
      </c>
      <c r="ACB35" s="593">
        <f>'Proy 2021 vs 2019 Sem'!JD34*$ACD$4</f>
        <v>10555.41928</v>
      </c>
      <c r="ACC35" s="737">
        <v>8697.49</v>
      </c>
      <c r="ACD35" s="703"/>
      <c r="ACE35" s="582">
        <v>22916.11</v>
      </c>
      <c r="ACF35" s="593">
        <f>'Proy 2021 vs 2019 Sem'!JD34*$ACH$4</f>
        <v>12063.33632</v>
      </c>
      <c r="ACG35" s="737">
        <v>11592.17</v>
      </c>
      <c r="ACH35" s="703"/>
      <c r="ACI35" s="582">
        <v>33363.69</v>
      </c>
      <c r="ACJ35" s="593">
        <f>'Proy 2021 vs 2019 Sem'!JD34*$ACL$4</f>
        <v>16587.087439999999</v>
      </c>
      <c r="ACK35" s="737">
        <v>20619.919999999998</v>
      </c>
      <c r="ACL35" s="703"/>
      <c r="ACM35" s="579">
        <f t="shared" si="839"/>
        <v>107708.36</v>
      </c>
      <c r="ACN35" s="582">
        <f t="shared" si="840"/>
        <v>75395.851999999999</v>
      </c>
      <c r="ACO35" s="768">
        <f t="shared" si="841"/>
        <v>69708.149999999994</v>
      </c>
      <c r="ACP35" s="764"/>
      <c r="ACQ35" s="593">
        <v>29189.19</v>
      </c>
      <c r="ACR35" s="593">
        <f>'Proy 2021 vs 2019 Sem'!JI34*$ACT$4</f>
        <v>9765.5829119999999</v>
      </c>
      <c r="ACS35" s="737">
        <v>16835.259999999998</v>
      </c>
      <c r="ACT35" s="703"/>
      <c r="ACU35" s="582">
        <v>27487.94</v>
      </c>
      <c r="ACV35" s="593">
        <f>'Proy 2021 vs 2019 Sem'!JI34*$ACX$4</f>
        <v>9765.5829119999999</v>
      </c>
      <c r="ACW35" s="737">
        <v>16319.78</v>
      </c>
      <c r="ACX35" s="703"/>
      <c r="ACY35" s="582">
        <v>6540.95</v>
      </c>
      <c r="ACZ35" s="593">
        <f>'Proy 2021 vs 2019 Sem'!JI34*$ADB$4</f>
        <v>9765.5829119999999</v>
      </c>
      <c r="ADA35" s="737">
        <v>8881.2999999999993</v>
      </c>
      <c r="ADB35" s="703"/>
      <c r="ADC35" s="582">
        <v>6995.66</v>
      </c>
      <c r="ADD35" s="593">
        <f>'Proy 2021 vs 2019 Sem'!JI34*$ADF$4</f>
        <v>9765.5829119999999</v>
      </c>
      <c r="ADE35" s="737">
        <v>4860.33</v>
      </c>
      <c r="ADF35" s="703"/>
      <c r="ADG35" s="582">
        <v>8591.02</v>
      </c>
      <c r="ADH35" s="593">
        <f>'Proy 2021 vs 2019 Sem'!JI34*$ADJ$4</f>
        <v>11393.180064000002</v>
      </c>
      <c r="ADI35" s="737">
        <v>5230.2</v>
      </c>
      <c r="ADJ35" s="703"/>
      <c r="ADK35" s="582">
        <v>12527.19</v>
      </c>
      <c r="ADL35" s="593">
        <f>'Proy 2021 vs 2019 Sem'!JI34*$ADN$4</f>
        <v>13020.777216</v>
      </c>
      <c r="ADM35" s="737">
        <v>8941.57</v>
      </c>
      <c r="ADN35" s="703"/>
      <c r="ADO35" s="582">
        <v>21695.63</v>
      </c>
      <c r="ADP35" s="593">
        <f>'Proy 2021 vs 2019 Sem'!JI34*$ADR$4</f>
        <v>17903.568672000001</v>
      </c>
      <c r="ADQ35" s="737">
        <v>12236.49</v>
      </c>
      <c r="ADR35" s="703"/>
      <c r="ADS35" s="585"/>
      <c r="ADT35" s="582">
        <f t="shared" si="851"/>
        <v>81379.857600000003</v>
      </c>
      <c r="ADU35" s="768">
        <f t="shared" si="852"/>
        <v>73304.929999999993</v>
      </c>
      <c r="ADV35" s="764"/>
      <c r="ADW35" s="582"/>
      <c r="ADX35" s="593">
        <f>'Proy 2021 vs 2019 Sem'!JN34*$ADZ$4</f>
        <v>7288.5956639999995</v>
      </c>
      <c r="ADY35" s="737">
        <v>11887.11</v>
      </c>
      <c r="ADZ35" s="703"/>
      <c r="AEA35" s="582">
        <v>7437.05</v>
      </c>
      <c r="AEB35" s="593">
        <f>'Proy 2021 vs 2019 Sem'!JN34*$AED$4</f>
        <v>7288.5956639999995</v>
      </c>
      <c r="AEC35" s="737">
        <v>4951</v>
      </c>
      <c r="AED35" s="703"/>
      <c r="AEE35" s="582">
        <v>6897.78</v>
      </c>
      <c r="AEF35" s="593">
        <f>'Proy 2021 vs 2019 Sem'!JN34*$AEH$4</f>
        <v>7288.5956639999995</v>
      </c>
      <c r="AEG35" s="737">
        <v>4562</v>
      </c>
      <c r="AEH35" s="703"/>
      <c r="AEI35" s="582">
        <v>6899.39</v>
      </c>
      <c r="AEJ35" s="593">
        <f>'Proy 2021 vs 2019 Sem'!JN34*$AEL$4</f>
        <v>7288.5956639999995</v>
      </c>
      <c r="AEK35" s="737">
        <v>6673</v>
      </c>
      <c r="AEL35" s="703"/>
      <c r="AEM35" s="582">
        <v>9065.51</v>
      </c>
      <c r="AEN35" s="593">
        <f>'Proy 2021 vs 2019 Sem'!JN34*$AEP$4</f>
        <v>8503.3616080000011</v>
      </c>
      <c r="AEO35" s="737">
        <v>6538</v>
      </c>
      <c r="AEP35" s="703"/>
      <c r="AEQ35" s="582">
        <v>13892.99</v>
      </c>
      <c r="AER35" s="593">
        <f>'Proy 2021 vs 2019 Sem'!JN34*$AET$4</f>
        <v>9718.1275519999999</v>
      </c>
      <c r="AES35" s="737">
        <v>8114</v>
      </c>
      <c r="AET35" s="703"/>
      <c r="AEU35" s="582">
        <v>26185.65</v>
      </c>
      <c r="AEV35" s="593">
        <f>'Proy 2021 vs 2019 Sem'!JN34*$AEX$4</f>
        <v>13362.425384</v>
      </c>
      <c r="AEW35" s="737">
        <v>12351</v>
      </c>
      <c r="AEX35" s="703"/>
      <c r="AEY35" s="585"/>
      <c r="AEZ35" s="574">
        <f t="shared" si="862"/>
        <v>60738.297200000001</v>
      </c>
      <c r="AFA35" s="773">
        <f t="shared" si="863"/>
        <v>55076.11</v>
      </c>
      <c r="AFB35" s="764"/>
      <c r="AFC35" s="582">
        <v>16147.65</v>
      </c>
      <c r="AFD35" s="593">
        <f>'Proy 2021 vs 2019 Sem'!JX34*$AFF$4</f>
        <v>9928.3969199999992</v>
      </c>
      <c r="AFE35" s="737">
        <v>9343</v>
      </c>
      <c r="AFF35" s="703"/>
      <c r="AFG35" s="582">
        <v>9542.07</v>
      </c>
      <c r="AFH35" s="593">
        <f>'Proy 2021 vs 2019 Sem'!JX34*$AFJ$4</f>
        <v>9928.3969199999992</v>
      </c>
      <c r="AFI35" s="737">
        <v>5644.68</v>
      </c>
      <c r="AFJ35" s="703"/>
      <c r="AFK35" s="582">
        <v>11484.22</v>
      </c>
      <c r="AFL35" s="593">
        <f>'Proy 2021 vs 2019 Sem'!JX34*$AFN$4</f>
        <v>9928.3969199999992</v>
      </c>
      <c r="AFM35" s="737">
        <v>9144.81</v>
      </c>
      <c r="AFN35" s="703"/>
      <c r="AFO35" s="582">
        <v>12590.89</v>
      </c>
      <c r="AFP35" s="593">
        <f>'Proy 2021 vs 2019 Sem'!JX34*$AFR$4</f>
        <v>9928.3969199999992</v>
      </c>
      <c r="AFQ35" s="737">
        <v>13247.41</v>
      </c>
      <c r="AFR35" s="703"/>
      <c r="AFS35" s="582">
        <v>19957.82</v>
      </c>
      <c r="AFT35" s="593">
        <f>'Proy 2021 vs 2019 Sem'!JX34*$AFV$4</f>
        <v>11583.129740000002</v>
      </c>
      <c r="AFU35" s="737">
        <v>16786.86</v>
      </c>
      <c r="AFV35" s="703"/>
      <c r="AFW35" s="582">
        <v>25405.48</v>
      </c>
      <c r="AFX35" s="593">
        <f>'Proy 2021 vs 2019 Sem'!JX34*$AFZ$4</f>
        <v>13237.862560000001</v>
      </c>
      <c r="AFY35" s="737">
        <v>12370.6</v>
      </c>
      <c r="AFZ35" s="703"/>
      <c r="AGA35" s="582">
        <v>32004.52</v>
      </c>
      <c r="AGB35" s="593">
        <f>'Proy 2021 vs 2019 Sem'!JX34*$AGD$4</f>
        <v>18202.061020000001</v>
      </c>
      <c r="AGC35" s="737">
        <v>22512.57</v>
      </c>
      <c r="AGD35" s="703"/>
      <c r="AGE35" s="585"/>
      <c r="AGF35" s="582">
        <f t="shared" si="873"/>
        <v>82736.641000000003</v>
      </c>
      <c r="AGG35" s="729">
        <f t="shared" si="874"/>
        <v>89049.93</v>
      </c>
      <c r="AGH35" s="717"/>
      <c r="AGI35" s="582">
        <v>26461.42</v>
      </c>
      <c r="AGJ35" s="593">
        <f>'Proy 2021 vs 2019 Sem'!KC34*$AGL$4</f>
        <v>14270.422920000001</v>
      </c>
      <c r="AGK35" s="737">
        <v>14162.84</v>
      </c>
      <c r="AGL35" s="703"/>
      <c r="AGM35" s="582">
        <v>15679.79</v>
      </c>
      <c r="AGN35" s="593">
        <f>'Proy 2021 vs 2019 Sem'!KC34*$AGP$4</f>
        <v>14270.422920000001</v>
      </c>
      <c r="AGO35" s="737">
        <v>9220.84</v>
      </c>
      <c r="AGP35" s="703"/>
      <c r="AGQ35" s="582">
        <v>12876.13</v>
      </c>
      <c r="AGR35" s="593">
        <f>'Proy 2021 vs 2019 Sem'!KC34*$AGT$4</f>
        <v>14270.422920000001</v>
      </c>
      <c r="AGS35" s="737">
        <v>12277.93</v>
      </c>
      <c r="AGT35" s="703"/>
      <c r="AGU35" s="582">
        <v>17661.689999999999</v>
      </c>
      <c r="AGV35" s="593">
        <f>'Proy 2021 vs 2019 Sem'!KC34*$AGX$4</f>
        <v>14270.422920000001</v>
      </c>
      <c r="AGW35" s="737">
        <v>15398.52</v>
      </c>
      <c r="AGX35" s="703"/>
      <c r="AGY35" s="582">
        <v>28995.94</v>
      </c>
      <c r="AGZ35" s="593">
        <f>'Proy 2021 vs 2019 Sem'!KC34*$AHB$4</f>
        <v>16648.826740000004</v>
      </c>
      <c r="AHA35" s="737">
        <v>13344.02</v>
      </c>
      <c r="AHB35" s="703"/>
      <c r="AHC35" s="582">
        <v>36140.730000000003</v>
      </c>
      <c r="AHD35" s="593">
        <f>'Proy 2021 vs 2019 Sem'!KC34*$AHF$4</f>
        <v>19027.23056</v>
      </c>
      <c r="AHE35" s="737">
        <v>18822.09</v>
      </c>
      <c r="AHF35" s="703"/>
      <c r="AHG35" s="582">
        <v>44991.95</v>
      </c>
      <c r="AHH35" s="593">
        <f>'Proy 2021 vs 2019 Sem'!KC34*$AHJ$4</f>
        <v>26162.442020000002</v>
      </c>
      <c r="AHI35" s="737">
        <v>23614.720000000001</v>
      </c>
      <c r="AHJ35" s="703"/>
      <c r="AHK35" s="585"/>
      <c r="AHL35" s="582">
        <f t="shared" si="884"/>
        <v>118920.19100000001</v>
      </c>
      <c r="AHM35" s="733">
        <f t="shared" si="885"/>
        <v>106840.96000000001</v>
      </c>
      <c r="AHN35" s="717"/>
      <c r="AHO35" s="593">
        <v>35965.39</v>
      </c>
      <c r="AHP35" s="593">
        <f>'Proy 2021 vs 2019 Sem'!KH34*$AHR$4</f>
        <v>16132.20882</v>
      </c>
      <c r="AHQ35" s="737">
        <v>20219.439999999999</v>
      </c>
      <c r="AHR35" s="703"/>
      <c r="AHS35" s="582">
        <v>19458.060000000001</v>
      </c>
      <c r="AHT35" s="593">
        <f>'Proy 2021 vs 2019 Sem'!KH34*$AHV$4</f>
        <v>16132.20882</v>
      </c>
      <c r="AHU35" s="737">
        <v>11646.56</v>
      </c>
      <c r="AHV35" s="703"/>
      <c r="AHW35" s="582">
        <v>28703.18</v>
      </c>
      <c r="AHX35" s="593">
        <f>'Proy 2021 vs 2019 Sem'!KH34*$AHZ$4</f>
        <v>16132.20882</v>
      </c>
      <c r="AHY35" s="737">
        <v>17573.599999999999</v>
      </c>
      <c r="AHZ35" s="703"/>
      <c r="AIA35" s="582">
        <v>27833.01</v>
      </c>
      <c r="AIB35" s="593">
        <f>'Proy 2021 vs 2019 Sem'!KH34*$AID$4</f>
        <v>16132.20882</v>
      </c>
      <c r="AIC35" s="737">
        <v>28065.040000000001</v>
      </c>
      <c r="AID35" s="703"/>
      <c r="AIE35" s="582">
        <v>31382.53</v>
      </c>
      <c r="AIF35" s="593">
        <f>'Proy 2021 vs 2019 Sem'!KH34*$AIH$4</f>
        <v>18820.91029</v>
      </c>
      <c r="AIG35" s="737">
        <v>23613.74</v>
      </c>
      <c r="AIH35" s="703"/>
      <c r="AII35" s="582">
        <v>26744.44</v>
      </c>
      <c r="AIJ35" s="593">
        <f>'Proy 2021 vs 2019 Sem'!KH34*$AIL$4</f>
        <v>21509.61176</v>
      </c>
      <c r="AIK35" s="737">
        <v>27520.35</v>
      </c>
      <c r="AIL35" s="703"/>
      <c r="AIM35" s="582">
        <v>36327.629999999997</v>
      </c>
      <c r="AIN35" s="593">
        <f>'Proy 2021 vs 2019 Sem'!KH34*$AIP$4</f>
        <v>29575.71617</v>
      </c>
      <c r="AIO35" s="737">
        <v>32918.32</v>
      </c>
      <c r="AIP35" s="703"/>
      <c r="AIQ35" s="585"/>
      <c r="AIR35" s="582">
        <f t="shared" si="895"/>
        <v>134435.0735</v>
      </c>
      <c r="AIS35" s="733">
        <f t="shared" si="896"/>
        <v>161557.05000000002</v>
      </c>
      <c r="AIT35" s="717"/>
      <c r="AIU35" s="582"/>
      <c r="AIV35" s="593">
        <f>'Proy 2021 vs 2019 Sem'!KM34*$AIX$4</f>
        <v>29297.174591999999</v>
      </c>
      <c r="AIW35" s="737">
        <v>28550.45</v>
      </c>
      <c r="AIX35" s="703"/>
      <c r="AIY35" s="582"/>
      <c r="AIZ35" s="593">
        <f>'Proy 2021 vs 2019 Sem'!KM34*$AJB$4</f>
        <v>29297.174591999999</v>
      </c>
      <c r="AJA35" s="737">
        <v>28652.15</v>
      </c>
      <c r="AJB35" s="703"/>
      <c r="AJC35" s="582"/>
      <c r="AJD35" s="593">
        <f>'Proy 2021 vs 2019 Sem'!KM34*$AJF$4</f>
        <v>29297.174591999999</v>
      </c>
      <c r="AJE35" s="737">
        <v>26625.62</v>
      </c>
      <c r="AJF35" s="703"/>
      <c r="AJG35" s="582"/>
      <c r="AJH35" s="593">
        <f>'Proy 2021 vs 2019 Sem'!KM34*$AJJ$4</f>
        <v>29297.174591999999</v>
      </c>
      <c r="AJI35" s="737">
        <v>32735.759999999998</v>
      </c>
      <c r="AJJ35" s="703"/>
      <c r="AJK35" s="582"/>
      <c r="AJL35" s="593">
        <f>'Proy 2021 vs 2019 Sem'!KM34*$AJN$4</f>
        <v>34180.037024000005</v>
      </c>
      <c r="AJM35" s="737">
        <v>50417.08</v>
      </c>
      <c r="AJN35" s="703"/>
      <c r="AJO35" s="582"/>
      <c r="AJP35" s="593">
        <f>'Proy 2021 vs 2019 Sem'!KM34*$AJR$4</f>
        <v>39062.899456000006</v>
      </c>
      <c r="AJQ35" s="737">
        <v>45741.87</v>
      </c>
      <c r="AJR35" s="703"/>
      <c r="AJS35" s="582"/>
      <c r="AJT35" s="593">
        <f>'Proy 2021 vs 2019 Sem'!AKQ34*$DV$4</f>
        <v>0</v>
      </c>
      <c r="AJU35" s="702">
        <v>5767.28</v>
      </c>
      <c r="AJV35" s="703"/>
      <c r="AJW35" s="585"/>
      <c r="AJX35" s="574">
        <f t="shared" si="906"/>
        <v>190431.63484800002</v>
      </c>
      <c r="AJY35" s="716">
        <f t="shared" si="907"/>
        <v>218490.21</v>
      </c>
      <c r="AJZ35" s="717"/>
      <c r="AKA35" s="582"/>
      <c r="AKB35" s="593">
        <f>'Proy 2021 vs 2019 Sem'!KR34*$AKD$4</f>
        <v>7652.2780799999991</v>
      </c>
      <c r="AKC35" s="737">
        <v>13382.68</v>
      </c>
      <c r="AKD35" s="703"/>
      <c r="AKE35" s="582"/>
      <c r="AKF35" s="593">
        <f>'Proy 2021 vs 2019 Sem'!KR34*$AKH$4</f>
        <v>7652.2780799999991</v>
      </c>
      <c r="AKG35" s="737">
        <v>15179.51</v>
      </c>
      <c r="AKH35" s="703"/>
      <c r="AKI35" s="582"/>
      <c r="AKJ35" s="593">
        <f>'Proy 2021 vs 2019 Sem'!KR34*$AKL$4</f>
        <v>7652.2780799999991</v>
      </c>
      <c r="AKK35" s="737">
        <v>13597.46</v>
      </c>
      <c r="AKL35" s="703"/>
      <c r="AKM35" s="582"/>
      <c r="AKN35" s="593">
        <f>'Proy 2021 vs 2019 Sem'!KR34*$AKP$4</f>
        <v>7652.2780799999991</v>
      </c>
      <c r="AKO35" s="737">
        <v>11541.14</v>
      </c>
      <c r="AKP35" s="703"/>
      <c r="AKQ35" s="582"/>
      <c r="AKR35" s="593">
        <f>'Proy 2021 vs 2019 Sem'!KR34*$AKT$4</f>
        <v>8927.6577600000001</v>
      </c>
      <c r="AKS35" s="737">
        <v>15067.11</v>
      </c>
      <c r="AKT35" s="703"/>
      <c r="AKU35" s="582"/>
      <c r="AKV35" s="593">
        <f>'Proy 2021 vs 2019 Sem'!KR34*$AKX$4</f>
        <v>10203.03744</v>
      </c>
      <c r="AKW35" s="737">
        <v>20355.16</v>
      </c>
      <c r="AKX35" s="703"/>
      <c r="AKY35" s="582"/>
      <c r="AKZ35" s="593">
        <f>'Proy 2021 vs 2019 Sem'!KR34*$ALB$4</f>
        <v>14029.17648</v>
      </c>
      <c r="ALA35" s="702">
        <v>2281.29</v>
      </c>
      <c r="ALB35" s="703"/>
      <c r="ALC35" s="585"/>
      <c r="ALD35" s="582">
        <f t="shared" si="916"/>
        <v>63768.983999999997</v>
      </c>
      <c r="ALE35" s="716">
        <f t="shared" si="917"/>
        <v>91404.349999999991</v>
      </c>
      <c r="ALF35" s="717"/>
    </row>
    <row r="36" spans="1:994" ht="18.75">
      <c r="B36" s="573" t="s">
        <v>38</v>
      </c>
      <c r="C36" s="586">
        <f>SUM(C7:C35)</f>
        <v>334710.85320000001</v>
      </c>
      <c r="D36" s="586">
        <f>SUM(D7:D35)</f>
        <v>298550.9831636874</v>
      </c>
      <c r="E36" s="704">
        <f>SUM(E7:E35)</f>
        <v>332759.23999999993</v>
      </c>
      <c r="F36" s="705">
        <f t="shared" si="580"/>
        <v>0.99416925629586939</v>
      </c>
      <c r="G36" s="586">
        <f>SUM(G7:G35)</f>
        <v>334710.85320000001</v>
      </c>
      <c r="H36" s="586">
        <f>SUM(H7:H35)</f>
        <v>298550.9831636874</v>
      </c>
      <c r="I36" s="704">
        <f t="shared" ref="I36:AC36" si="919">SUM(I7:I35)</f>
        <v>296419.3</v>
      </c>
      <c r="J36" s="705">
        <f t="shared" si="581"/>
        <v>0.88559811301631253</v>
      </c>
      <c r="K36" s="586">
        <f>SUM(K7:K35)</f>
        <v>334710.85320000001</v>
      </c>
      <c r="L36" s="586">
        <f>SUM(L7:L35)</f>
        <v>298550.9831636874</v>
      </c>
      <c r="M36" s="704">
        <f t="shared" si="919"/>
        <v>308440.93</v>
      </c>
      <c r="N36" s="705">
        <f t="shared" si="582"/>
        <v>0.92151457609203091</v>
      </c>
      <c r="O36" s="586">
        <f>SUM(O7:O35)</f>
        <v>334710.85320000001</v>
      </c>
      <c r="P36" s="586">
        <f>SUM(P7:P35)</f>
        <v>298550.9831636874</v>
      </c>
      <c r="Q36" s="704">
        <f t="shared" si="919"/>
        <v>267686.18</v>
      </c>
      <c r="R36" s="705">
        <f t="shared" si="583"/>
        <v>0.79975351095068703</v>
      </c>
      <c r="S36" s="586">
        <f>SUM(S7:S35)</f>
        <v>390495.99540000001</v>
      </c>
      <c r="T36" s="586">
        <f>SUM(T7:T35)</f>
        <v>348309.48035763536</v>
      </c>
      <c r="U36" s="704">
        <f t="shared" si="919"/>
        <v>319847.05</v>
      </c>
      <c r="V36" s="705">
        <f t="shared" si="584"/>
        <v>0.81907895027801347</v>
      </c>
      <c r="W36" s="586">
        <f>SUM(W7:W35)</f>
        <v>446281.13760000007</v>
      </c>
      <c r="X36" s="586">
        <f>SUM(X7:X35)</f>
        <v>398067.97755158326</v>
      </c>
      <c r="Y36" s="704">
        <f t="shared" si="919"/>
        <v>390215.33999999985</v>
      </c>
      <c r="Z36" s="705">
        <f t="shared" si="585"/>
        <v>0.87437112421665519</v>
      </c>
      <c r="AA36" s="586">
        <f>SUM(AA7:AA35)</f>
        <v>613636.56420000002</v>
      </c>
      <c r="AB36" s="586">
        <f>SUM(AB7:AB35)</f>
        <v>547343.46913342702</v>
      </c>
      <c r="AC36" s="704">
        <f t="shared" si="919"/>
        <v>552058.34</v>
      </c>
      <c r="AD36" s="942">
        <f t="shared" si="586"/>
        <v>0.89965033410243445</v>
      </c>
      <c r="AE36" s="939">
        <f>SUM(AE7:AE35)</f>
        <v>2789257.11</v>
      </c>
      <c r="AF36" s="940">
        <f>SUM(AF7:AF35)</f>
        <v>2487924.859697395</v>
      </c>
      <c r="AG36" s="940">
        <f>SUM(AG7:AG35)</f>
        <v>2467426.38</v>
      </c>
      <c r="AH36" s="941">
        <f t="shared" si="590"/>
        <v>0.88461776117871038</v>
      </c>
      <c r="AI36" s="927">
        <f>SUM(AI7:AI35)</f>
        <v>380662.46880000003</v>
      </c>
      <c r="AJ36" s="586">
        <f>SUM(AJ7:AJ35)</f>
        <v>333546.4559210891</v>
      </c>
      <c r="AK36" s="727">
        <f>SUM(AK7:AK35)</f>
        <v>280845.75000000006</v>
      </c>
      <c r="AL36" s="728">
        <f t="shared" ref="AL36" si="920">AK36/AI36</f>
        <v>0.73778155982999294</v>
      </c>
      <c r="AM36" s="586">
        <f>SUM(AM7:AM35)</f>
        <v>380662.46880000003</v>
      </c>
      <c r="AN36" s="586">
        <f>SUM(AN7:AN35)</f>
        <v>333546.4559210891</v>
      </c>
      <c r="AO36" s="727">
        <f t="shared" ref="AO36" si="921">SUM(AO7:AO35)</f>
        <v>278968.5199999999</v>
      </c>
      <c r="AP36" s="728">
        <f t="shared" ref="AP36" si="922">AO36/AM36</f>
        <v>0.73285007812674563</v>
      </c>
      <c r="AQ36" s="586">
        <f>SUM(AQ7:AQ35)</f>
        <v>380662.46880000003</v>
      </c>
      <c r="AR36" s="586">
        <f>SUM(AR7:AR35)</f>
        <v>333546.4559210891</v>
      </c>
      <c r="AS36" s="727">
        <f t="shared" ref="AS36" si="923">SUM(AS7:AS35)</f>
        <v>293173.77</v>
      </c>
      <c r="AT36" s="728">
        <f t="shared" ref="AT36" si="924">AS36/AQ36</f>
        <v>0.77016725847494427</v>
      </c>
      <c r="AU36" s="586">
        <f>SUM(AU7:AU35)</f>
        <v>380662.46880000003</v>
      </c>
      <c r="AV36" s="586">
        <f>SUM(AV7:AV35)</f>
        <v>333546.4559210891</v>
      </c>
      <c r="AW36" s="727">
        <f t="shared" ref="AW36" si="925">SUM(AW7:AW35)</f>
        <v>286004.37000000011</v>
      </c>
      <c r="AX36" s="728">
        <f t="shared" ref="AX36" si="926">AW36/AU36</f>
        <v>0.7513332504294421</v>
      </c>
      <c r="AY36" s="586">
        <f>SUM(AY7:AY35)</f>
        <v>444106.21360000002</v>
      </c>
      <c r="AZ36" s="586">
        <f>SUM(AZ7:AZ35)</f>
        <v>389137.53190793737</v>
      </c>
      <c r="BA36" s="727">
        <f t="shared" ref="BA36" si="927">SUM(BA7:BA35)</f>
        <v>346825.57000000007</v>
      </c>
      <c r="BB36" s="728">
        <f t="shared" ref="BB36" si="928">BA36/AY36</f>
        <v>0.78095185200984552</v>
      </c>
      <c r="BC36" s="586">
        <f>SUM(BC7:BC35)</f>
        <v>507549.95840000006</v>
      </c>
      <c r="BD36" s="586">
        <f>SUM(BD7:BD35)</f>
        <v>444728.60789478559</v>
      </c>
      <c r="BE36" s="727">
        <f t="shared" ref="BE36" si="929">SUM(BE7:BE35)</f>
        <v>434615.33000000013</v>
      </c>
      <c r="BF36" s="728">
        <f t="shared" ref="BF36" si="930">BE36/BC36</f>
        <v>0.85630059230047229</v>
      </c>
      <c r="BG36" s="586">
        <f>SUM(BG7:BG35)</f>
        <v>697881.19279999984</v>
      </c>
      <c r="BH36" s="586">
        <f>SUM(BH7:BH35)</f>
        <v>611501.83585533011</v>
      </c>
      <c r="BI36" s="727">
        <f t="shared" ref="BI36" si="931">SUM(BI7:BI35)</f>
        <v>569476.2300000001</v>
      </c>
      <c r="BJ36" s="728">
        <f t="shared" ref="BJ36" si="932">BI36/BG36</f>
        <v>0.8160074177026887</v>
      </c>
      <c r="BK36" s="718">
        <f>SUM(BK7:BK35)</f>
        <v>3172187.2399999998</v>
      </c>
      <c r="BL36" s="718">
        <f>SUM(BL7:BL35)</f>
        <v>2779553.7993424092</v>
      </c>
      <c r="BM36" s="718">
        <f>SUM(BM7:BM35)</f>
        <v>2489909.5400000005</v>
      </c>
      <c r="BN36" s="719">
        <f>BM36/BK36</f>
        <v>0.78491884356738051</v>
      </c>
      <c r="BO36" s="586">
        <f>SUM(BO7:BO35)</f>
        <v>400146.1188</v>
      </c>
      <c r="BP36" s="586">
        <f>SUM(BP7:BP35)</f>
        <v>322117.40930999996</v>
      </c>
      <c r="BQ36" s="704">
        <f>SUM(BQ7:BQ35)</f>
        <v>329436.11</v>
      </c>
      <c r="BR36" s="705">
        <f t="shared" ref="BR36" si="933">BQ36/BO36</f>
        <v>0.82328952980463088</v>
      </c>
      <c r="BS36" s="586">
        <f>SUM(BS7:BS35)</f>
        <v>400146.1188</v>
      </c>
      <c r="BT36" s="586">
        <f>SUM(BT7:BT35)</f>
        <v>322117.40930999996</v>
      </c>
      <c r="BU36" s="704">
        <f t="shared" ref="BU36" si="934">SUM(BU7:BU35)</f>
        <v>275608.40999999997</v>
      </c>
      <c r="BV36" s="705">
        <f t="shared" ref="BV36" si="935">BU36/BS36</f>
        <v>0.68876941959732929</v>
      </c>
      <c r="BW36" s="586">
        <f>SUM(BW7:BW35)</f>
        <v>400146.1188</v>
      </c>
      <c r="BX36" s="586">
        <f>SUM(BX7:BX35)</f>
        <v>322117.40930999996</v>
      </c>
      <c r="BY36" s="704">
        <f t="shared" ref="BY36" si="936">SUM(BY7:BY35)</f>
        <v>314246.33</v>
      </c>
      <c r="BZ36" s="705">
        <f t="shared" ref="BZ36" si="937">BY36/BW36</f>
        <v>0.78532894669176034</v>
      </c>
      <c r="CA36" s="586">
        <f>SUM(CA7:CA35)</f>
        <v>400146.1188</v>
      </c>
      <c r="CB36" s="586">
        <f>SUM(CB7:CB35)</f>
        <v>322117.40930999996</v>
      </c>
      <c r="CC36" s="704">
        <f t="shared" ref="CC36" si="938">SUM(CC7:CC35)</f>
        <v>323291.35000000003</v>
      </c>
      <c r="CD36" s="705">
        <f t="shared" ref="CD36" si="939">CC36/CA36</f>
        <v>0.80793323941144279</v>
      </c>
      <c r="CE36" s="586">
        <f>SUM(CE7:CE35)</f>
        <v>466837.13860000012</v>
      </c>
      <c r="CF36" s="586">
        <f>SUM(CF7:CF35)</f>
        <v>375803.64419500006</v>
      </c>
      <c r="CG36" s="1001">
        <f t="shared" ref="CG36" si="940">SUM(CG7:CG35)</f>
        <v>363521.53999999992</v>
      </c>
      <c r="CH36" s="705">
        <f t="shared" ref="CH36" si="941">CG36/CE36</f>
        <v>0.77869027534991375</v>
      </c>
      <c r="CI36" s="586">
        <f>SUM(CI7:CI35)</f>
        <v>533528.15840000007</v>
      </c>
      <c r="CJ36" s="586">
        <f>SUM(CJ7:CJ35)</f>
        <v>429489.87908000004</v>
      </c>
      <c r="CK36" s="1001">
        <f t="shared" ref="CK36" si="942">SUM(CK7:CK35)</f>
        <v>463699.99999999994</v>
      </c>
      <c r="CL36" s="705">
        <f t="shared" ref="CL36" si="943">CK36/CI36</f>
        <v>0.86912001306658659</v>
      </c>
      <c r="CM36" s="586">
        <f>SUM(CM7:CM35)</f>
        <v>733601.2178000001</v>
      </c>
      <c r="CN36" s="586">
        <f>SUM(CN7:CN35)</f>
        <v>590548.58373499999</v>
      </c>
      <c r="CO36" s="1001">
        <f t="shared" ref="CO36" si="944">SUM(CO7:CO35)</f>
        <v>651371.42999999993</v>
      </c>
      <c r="CP36" s="705">
        <f t="shared" ref="CP36" si="945">CO36/CM36</f>
        <v>0.8879094175353206</v>
      </c>
      <c r="CQ36" s="718">
        <f>SUM(CQ7:CQ35)</f>
        <v>3334550.9899999998</v>
      </c>
      <c r="CR36" s="718">
        <f>SUM(CR7:CR35)</f>
        <v>2684311.74425</v>
      </c>
      <c r="CS36" s="718">
        <f>SUM(CS7:CS35)</f>
        <v>2721175.17</v>
      </c>
      <c r="CT36" s="719">
        <f t="shared" ref="CT36" si="946">CS36/CQ36</f>
        <v>0.81605444875803212</v>
      </c>
      <c r="CU36" s="586">
        <f>SUM(CU7:CU35)</f>
        <v>407420.99279999989</v>
      </c>
      <c r="CV36" s="586">
        <f>SUM(CV7:CV35)</f>
        <v>327063.70833599998</v>
      </c>
      <c r="CW36" s="1002">
        <f>SUM(CW7:CW35)</f>
        <v>308640.99999999994</v>
      </c>
      <c r="CX36" s="728">
        <f t="shared" ref="CX36" si="947">CW36/CU36</f>
        <v>0.75754810246488613</v>
      </c>
      <c r="CY36" s="586">
        <f>SUM(CY7:CY35)</f>
        <v>407420.99279999989</v>
      </c>
      <c r="CZ36" s="586">
        <f>SUM(CZ7:CZ35)</f>
        <v>327063.70833599998</v>
      </c>
      <c r="DA36" s="1002">
        <f t="shared" ref="DA36" si="948">SUM(DA7:DA35)</f>
        <v>258513.75</v>
      </c>
      <c r="DB36" s="728">
        <f t="shared" ref="DB36" si="949">DA36/CY36</f>
        <v>0.63451259156619499</v>
      </c>
      <c r="DC36" s="586">
        <f>SUM(DC7:DC35)</f>
        <v>407420.99279999989</v>
      </c>
      <c r="DD36" s="586">
        <f>SUM(DD7:DD35)</f>
        <v>327063.70833599998</v>
      </c>
      <c r="DE36" s="1002">
        <f t="shared" ref="DE36" si="950">SUM(DE7:DE35)</f>
        <v>280903.98</v>
      </c>
      <c r="DF36" s="728">
        <f t="shared" ref="DF36" si="951">DE36/DC36</f>
        <v>0.68946859627798751</v>
      </c>
      <c r="DG36" s="586">
        <f>SUM(DG7:DG35)</f>
        <v>407420.99279999989</v>
      </c>
      <c r="DH36" s="586">
        <f>SUM(DH7:DH35)</f>
        <v>327063.70833599998</v>
      </c>
      <c r="DI36" s="1002">
        <f t="shared" ref="DI36" si="952">SUM(DI7:DI35)</f>
        <v>288960.46000000008</v>
      </c>
      <c r="DJ36" s="728">
        <f t="shared" ref="DJ36" si="953">DI36/DG36</f>
        <v>0.70924293324730259</v>
      </c>
      <c r="DK36" s="586">
        <f>SUM(DK7:DK35)</f>
        <v>475324.49160000012</v>
      </c>
      <c r="DL36" s="586">
        <f>SUM(DL7:DL35)</f>
        <v>381574.32639200008</v>
      </c>
      <c r="DM36" s="727">
        <f t="shared" ref="DM36" si="954">SUM(DM7:DM35)</f>
        <v>363045.39</v>
      </c>
      <c r="DN36" s="728">
        <f t="shared" ref="DN36" si="955">DM36/DK36</f>
        <v>0.76378431243453293</v>
      </c>
      <c r="DO36" s="586">
        <f>SUM(DO7:DO35)</f>
        <v>543227.99040000001</v>
      </c>
      <c r="DP36" s="586">
        <f>SUM(DP7:DP35)</f>
        <v>436084.94444799999</v>
      </c>
      <c r="DQ36" s="1002">
        <f t="shared" ref="DQ36" si="956">SUM(DQ7:DQ35)</f>
        <v>425119.16000000003</v>
      </c>
      <c r="DR36" s="728">
        <f t="shared" ref="DR36" si="957">DQ36/DO36</f>
        <v>0.78257963049173551</v>
      </c>
      <c r="DS36" s="586">
        <f>SUM(DS7:DS35)</f>
        <v>746938.48680000007</v>
      </c>
      <c r="DT36" s="586">
        <f>SUM(DT7:DT35)</f>
        <v>599616.79861599987</v>
      </c>
      <c r="DU36" s="727">
        <f t="shared" ref="DU36" si="958">SUM(DU7:DU35)</f>
        <v>589157.41000000015</v>
      </c>
      <c r="DV36" s="728">
        <f t="shared" ref="DV36" si="959">DU36/DS36</f>
        <v>0.78876295760851944</v>
      </c>
      <c r="DW36" s="718">
        <f>SUM(DW7:DW35)</f>
        <v>3395174.9400000004</v>
      </c>
      <c r="DX36" s="718">
        <f>SUM(DX7:DX35)</f>
        <v>2725530.9027999998</v>
      </c>
      <c r="DY36" s="718">
        <f>SUM(DY7:DY35)</f>
        <v>2514341.15</v>
      </c>
      <c r="DZ36" s="719">
        <f t="shared" ref="DZ36" si="960">DY36/DW36</f>
        <v>0.74056306212015088</v>
      </c>
      <c r="EA36" s="586">
        <f>SUM(EA7:EA35)</f>
        <v>388149.09960000007</v>
      </c>
      <c r="EB36" s="586">
        <f>SUM(EB7:EB35)</f>
        <v>272096.01631199993</v>
      </c>
      <c r="EC36" s="704">
        <f>SUM(EC7:EC35)</f>
        <v>296562.13999999996</v>
      </c>
      <c r="ED36" s="705">
        <f t="shared" ref="ED36" si="961">EC36/EA36</f>
        <v>0.76404180843293623</v>
      </c>
      <c r="EE36" s="586">
        <f>SUM(EE7:EE35)</f>
        <v>388149.09960000007</v>
      </c>
      <c r="EF36" s="586">
        <f>SUM(EF7:EF35)</f>
        <v>272096.01631199993</v>
      </c>
      <c r="EG36" s="704">
        <f t="shared" ref="EG36" si="962">SUM(EG7:EG35)</f>
        <v>258822.65999999997</v>
      </c>
      <c r="EH36" s="705">
        <f t="shared" ref="EH36" si="963">EG36/EE36</f>
        <v>0.66681247043140102</v>
      </c>
      <c r="EI36" s="586">
        <f>SUM(EI7:EI35)</f>
        <v>388149.09960000007</v>
      </c>
      <c r="EJ36" s="586">
        <f>SUM(EJ7:EJ35)</f>
        <v>272096.01631199993</v>
      </c>
      <c r="EK36" s="704">
        <f t="shared" ref="EK36" si="964">SUM(EK7:EK35)</f>
        <v>315706.2300000001</v>
      </c>
      <c r="EL36" s="705">
        <f t="shared" ref="EL36" si="965">EK36/EI36</f>
        <v>0.81336329344920644</v>
      </c>
      <c r="EM36" s="586">
        <f>SUM(EM7:EM35)</f>
        <v>388149.09960000007</v>
      </c>
      <c r="EN36" s="586">
        <f>SUM(EN7:EN35)</f>
        <v>272096.01631199993</v>
      </c>
      <c r="EO36" s="704">
        <f t="shared" ref="EO36" si="966">SUM(EO7:EO35)</f>
        <v>330263.52</v>
      </c>
      <c r="EP36" s="705">
        <f t="shared" ref="EP36" si="967">EO36/EM36</f>
        <v>0.85086767002769559</v>
      </c>
      <c r="EQ36" s="586">
        <f>SUM(EQ7:EQ35)</f>
        <v>452840.61619999999</v>
      </c>
      <c r="ER36" s="586">
        <f>SUM(ER7:ER35)</f>
        <v>317445.35236400005</v>
      </c>
      <c r="ES36" s="704">
        <f t="shared" ref="ES36" si="968">SUM(ES7:ES35)</f>
        <v>385648.24</v>
      </c>
      <c r="ET36" s="705">
        <f t="shared" ref="ET36" si="969">ES36/EQ36</f>
        <v>0.85162025269764219</v>
      </c>
      <c r="EU36" s="586">
        <f>SUM(EU7:EU35)</f>
        <v>517532.13280000002</v>
      </c>
      <c r="EV36" s="586">
        <f>SUM(EV7:EV35)</f>
        <v>362794.68841600005</v>
      </c>
      <c r="EW36" s="704">
        <f t="shared" ref="EW36" si="970">SUM(EW7:EW35)</f>
        <v>465574.98000000004</v>
      </c>
      <c r="EX36" s="705">
        <f t="shared" ref="EX36" si="971">EW36/EU36</f>
        <v>0.89960593843922965</v>
      </c>
      <c r="EY36" s="586">
        <f>SUM(EY7:EY35)</f>
        <v>711606.68260000006</v>
      </c>
      <c r="EZ36" s="586">
        <f>SUM(EZ7:EZ35)</f>
        <v>498842.69657199993</v>
      </c>
      <c r="FA36" s="704">
        <f t="shared" ref="FA36" si="972">SUM(FA7:FA35)</f>
        <v>594459.66999999993</v>
      </c>
      <c r="FB36" s="705">
        <f t="shared" ref="FB36" si="973">FA36/EY36</f>
        <v>0.83537673905481091</v>
      </c>
      <c r="FC36" s="718">
        <f>SUM(FC7:FC35)</f>
        <v>3234575.8299999991</v>
      </c>
      <c r="FD36" s="718">
        <f>SUM(FD7:FD35)</f>
        <v>2267466.8026000001</v>
      </c>
      <c r="FE36" s="718">
        <f>SUM(FE7:FE35)</f>
        <v>2647037.4400000004</v>
      </c>
      <c r="FF36" s="719">
        <f t="shared" ref="FF36" si="974">FE36/FC36</f>
        <v>0.81835689720095417</v>
      </c>
      <c r="FG36" s="586">
        <f>SUM(FG7:FG35)</f>
        <v>367951.05479999998</v>
      </c>
      <c r="FH36" s="586">
        <f>SUM(FH7:FH35)</f>
        <v>293657.43737999996</v>
      </c>
      <c r="FI36" s="704">
        <f>SUM(FI7:FI35)</f>
        <v>332932.77999999997</v>
      </c>
      <c r="FJ36" s="705">
        <f t="shared" ref="FJ36" si="975">FI36/FG36</f>
        <v>0.90482898651008292</v>
      </c>
      <c r="FK36" s="586">
        <f>SUM(FK7:FK35)</f>
        <v>367951.05479999998</v>
      </c>
      <c r="FL36" s="586">
        <f>SUM(FL7:FL35)</f>
        <v>293657.43737999996</v>
      </c>
      <c r="FM36" s="704">
        <f t="shared" ref="FM36" si="976">SUM(FM7:FM35)</f>
        <v>361511.60999999993</v>
      </c>
      <c r="FN36" s="705">
        <f t="shared" ref="FN36" si="977">FM36/FK36</f>
        <v>0.98249918102966105</v>
      </c>
      <c r="FO36" s="586">
        <f>SUM(FO7:FO35)</f>
        <v>367951.05479999998</v>
      </c>
      <c r="FP36" s="586">
        <f>SUM(FP7:FP35)</f>
        <v>293657.43737999996</v>
      </c>
      <c r="FQ36" s="1001">
        <f t="shared" ref="FQ36" si="978">SUM(FQ7:FQ35)</f>
        <v>315906.68999999994</v>
      </c>
      <c r="FR36" s="705">
        <f t="shared" ref="FR36" si="979">FQ36/FO36</f>
        <v>0.85855628317660682</v>
      </c>
      <c r="FS36" s="586">
        <f>SUM(FS7:FS35)</f>
        <v>367951.05479999998</v>
      </c>
      <c r="FT36" s="586">
        <f>SUM(FT7:FT35)</f>
        <v>293657.43737999996</v>
      </c>
      <c r="FU36" s="1001">
        <f t="shared" ref="FU36" si="980">SUM(FU7:FU35)</f>
        <v>342266.42000000004</v>
      </c>
      <c r="FV36" s="705">
        <f t="shared" ref="FV36" si="981">FU36/FS36</f>
        <v>0.9301955125146717</v>
      </c>
      <c r="FW36" s="586">
        <f>SUM(FW7:FW35)</f>
        <v>429276.23060000001</v>
      </c>
      <c r="FX36" s="586">
        <f>SUM(FX7:FX35)</f>
        <v>342600.34361000004</v>
      </c>
      <c r="FY36" s="1001">
        <f t="shared" ref="FY36" si="982">SUM(FY7:FY35)</f>
        <v>357033.15</v>
      </c>
      <c r="FZ36" s="705">
        <f t="shared" ref="FZ36" si="983">FY36/FW36</f>
        <v>0.83170957194851969</v>
      </c>
      <c r="GA36" s="586">
        <f>SUM(GA7:GA35)</f>
        <v>490601.40639999992</v>
      </c>
      <c r="GB36" s="586">
        <f>SUM(GB7:GB35)</f>
        <v>391543.24984</v>
      </c>
      <c r="GC36" s="1001">
        <f t="shared" ref="GC36" si="984">SUM(GC7:GC35)</f>
        <v>452575.03999999992</v>
      </c>
      <c r="GD36" s="705">
        <f t="shared" ref="GD36" si="985">GC36/GA36</f>
        <v>0.92249030291406031</v>
      </c>
      <c r="GE36" s="586">
        <f>SUM(GE7:GE35)</f>
        <v>674576.9338</v>
      </c>
      <c r="GF36" s="586">
        <f>SUM(GF7:GF35)</f>
        <v>538371.96852999972</v>
      </c>
      <c r="GG36" s="1001">
        <f t="shared" ref="GG36" si="986">SUM(GG7:GG35)</f>
        <v>609041.43000000005</v>
      </c>
      <c r="GH36" s="705">
        <f t="shared" ref="GH36" si="987">GG36/GE36</f>
        <v>0.90284947421663542</v>
      </c>
      <c r="GI36" s="757">
        <f>SUM(GI7:GI35)</f>
        <v>3066258.7900000005</v>
      </c>
      <c r="GJ36" s="757">
        <f>SUM(GJ7:GJ35)</f>
        <v>2447145.3115000003</v>
      </c>
      <c r="GK36" s="757">
        <f>SUM(GK7:GK35)</f>
        <v>2771267.12</v>
      </c>
      <c r="GL36" s="758">
        <f t="shared" ref="GL36" si="988">GK36/GI36</f>
        <v>0.90379426845442479</v>
      </c>
      <c r="GM36" s="586">
        <f>SUM(GM7:GM35)</f>
        <v>380940.7548</v>
      </c>
      <c r="GN36" s="586">
        <f>SUM(GN7:GN35)</f>
        <v>321856.5233304</v>
      </c>
      <c r="GO36" s="1002">
        <f>SUM(GO7:GO35)</f>
        <v>311744.58999999997</v>
      </c>
      <c r="GP36" s="728">
        <f t="shared" ref="GP36" si="989">GO36/GM36</f>
        <v>0.8183545238252885</v>
      </c>
      <c r="GQ36" s="586">
        <f>SUM(GQ7:GQ35)</f>
        <v>380940.7548</v>
      </c>
      <c r="GR36" s="586">
        <f>SUM(GR7:GR35)</f>
        <v>321856.5233304</v>
      </c>
      <c r="GS36" s="727">
        <f t="shared" ref="GS36" si="990">SUM(GS7:GS35)</f>
        <v>298353.74</v>
      </c>
      <c r="GT36" s="728">
        <f t="shared" ref="GT36" si="991">GS36/GQ36</f>
        <v>0.78320246978205443</v>
      </c>
      <c r="GU36" s="586">
        <f>SUM(GU7:GU35)</f>
        <v>380940.7548</v>
      </c>
      <c r="GV36" s="586">
        <f>SUM(GV7:GV35)</f>
        <v>321856.5233304</v>
      </c>
      <c r="GW36" s="1002">
        <f t="shared" ref="GW36" si="992">SUM(GW7:GW35)</f>
        <v>334524.83999999997</v>
      </c>
      <c r="GX36" s="728">
        <f t="shared" ref="GX36" si="993">GW36/GU36</f>
        <v>0.87815450508998671</v>
      </c>
      <c r="GY36" s="586">
        <f>SUM(GY7:GY35)</f>
        <v>380940.7548</v>
      </c>
      <c r="GZ36" s="586">
        <f>SUM(GZ7:GZ35)</f>
        <v>321856.5233304</v>
      </c>
      <c r="HA36" s="1002">
        <f t="shared" ref="HA36" si="994">SUM(HA7:HA35)</f>
        <v>341993.06999999995</v>
      </c>
      <c r="HB36" s="728">
        <f t="shared" ref="HB36" si="995">HA36/GY36</f>
        <v>0.89775920714902713</v>
      </c>
      <c r="HC36" s="586">
        <f>SUM(HC7:HC35)</f>
        <v>444430.88060000003</v>
      </c>
      <c r="HD36" s="586">
        <f>SUM(HD7:HD35)</f>
        <v>375499.2772188001</v>
      </c>
      <c r="HE36" s="1002">
        <f t="shared" ref="HE36" si="996">SUM(HE7:HE35)</f>
        <v>450764.0400000001</v>
      </c>
      <c r="HF36" s="728">
        <f t="shared" ref="HF36" si="997">HE36/HC36</f>
        <v>1.0142500435420916</v>
      </c>
      <c r="HG36" s="586">
        <f>SUM(HG7:HG35)</f>
        <v>507921.00639999995</v>
      </c>
      <c r="HH36" s="586">
        <f>SUM(HH7:HH35)</f>
        <v>429142.03110720002</v>
      </c>
      <c r="HI36" s="727">
        <f t="shared" ref="HI36" si="998">SUM(HI7:HI35)</f>
        <v>493386.5</v>
      </c>
      <c r="HJ36" s="728">
        <f t="shared" ref="HJ36" si="999">HI36/HG36</f>
        <v>0.97138431721299257</v>
      </c>
      <c r="HK36" s="586">
        <f>SUM(HK7:HK35)</f>
        <v>698391.38380000007</v>
      </c>
      <c r="HL36" s="586">
        <f>SUM(HL7:HL35)</f>
        <v>590070.29277240008</v>
      </c>
      <c r="HM36" s="727">
        <f t="shared" ref="HM36" si="1000">SUM(HM7:HM35)</f>
        <v>595889.69000000006</v>
      </c>
      <c r="HN36" s="728">
        <f t="shared" ref="HN36" si="1001">HM36/HK36</f>
        <v>0.85323173198059721</v>
      </c>
      <c r="HO36" s="757">
        <f>SUM(HO7:HO35)</f>
        <v>3174506.2900000005</v>
      </c>
      <c r="HP36" s="757">
        <f>SUM(HP7:HP35)</f>
        <v>2682137.6944199996</v>
      </c>
      <c r="HQ36" s="757">
        <f>SUM(HQ7:HQ35)</f>
        <v>2826656.4699999997</v>
      </c>
      <c r="HR36" s="758">
        <f t="shared" ref="HR36" si="1002">HQ36/HO36</f>
        <v>0.89042396258726564</v>
      </c>
      <c r="HS36" s="586">
        <f>SUM(HS7:HS35)</f>
        <v>354045.58919999993</v>
      </c>
      <c r="HT36" s="586">
        <f>SUM(HT7:HT35)</f>
        <v>307654.79048640002</v>
      </c>
      <c r="HU36" s="1001">
        <f>SUM(HU7:HU35)</f>
        <v>309607.16000000003</v>
      </c>
      <c r="HV36" s="705">
        <f t="shared" ref="HV36" si="1003">HU36/HS36</f>
        <v>0.87448387847335485</v>
      </c>
      <c r="HW36" s="586">
        <f>SUM(HW7:HW35)</f>
        <v>354045.58919999993</v>
      </c>
      <c r="HX36" s="586">
        <f>SUM(HX7:HX35)</f>
        <v>307654.79048640002</v>
      </c>
      <c r="HY36" s="1001">
        <f t="shared" ref="HY36" si="1004">SUM(HY7:HY35)</f>
        <v>325158.52</v>
      </c>
      <c r="HZ36" s="705">
        <f t="shared" ref="HZ36" si="1005">HY36/HW36</f>
        <v>0.91840861719172096</v>
      </c>
      <c r="IA36" s="586">
        <f>SUM(IA7:IA35)</f>
        <v>354045.58919999993</v>
      </c>
      <c r="IB36" s="586">
        <f>SUM(IB7:IB35)</f>
        <v>307654.79048640002</v>
      </c>
      <c r="IC36" s="1001">
        <f t="shared" ref="IC36" si="1006">SUM(IC7:IC35)</f>
        <v>294387.90000000002</v>
      </c>
      <c r="ID36" s="705">
        <f t="shared" ref="ID36" si="1007">IC36/IA36</f>
        <v>0.83149715454780215</v>
      </c>
      <c r="IE36" s="586">
        <f>SUM(IE7:IE35)</f>
        <v>354045.58919999993</v>
      </c>
      <c r="IF36" s="586">
        <f>SUM(IF7:IF35)</f>
        <v>307654.79048640002</v>
      </c>
      <c r="IG36" s="1001">
        <f t="shared" ref="IG36" si="1008">SUM(IG7:IG35)</f>
        <v>330338.7</v>
      </c>
      <c r="IH36" s="705">
        <f t="shared" ref="IH36" si="1009">IG36/IE36</f>
        <v>0.933040009752507</v>
      </c>
      <c r="II36" s="586">
        <f>SUM(II7:II35)</f>
        <v>413053.18740000005</v>
      </c>
      <c r="IJ36" s="586">
        <f>SUM(IJ7:IJ35)</f>
        <v>358930.58890079998</v>
      </c>
      <c r="IK36" s="1001">
        <f t="shared" ref="IK36" si="1010">SUM(IK7:IK35)</f>
        <v>359798.49999999994</v>
      </c>
      <c r="IL36" s="705">
        <f t="shared" ref="IL36" si="1011">IK36/II36</f>
        <v>0.87107062958352544</v>
      </c>
      <c r="IM36" s="586">
        <f>SUM(IM7:IM35)</f>
        <v>472060.7856</v>
      </c>
      <c r="IN36" s="586">
        <f>SUM(IN7:IN35)</f>
        <v>410206.38731520006</v>
      </c>
      <c r="IO36" s="1001">
        <f t="shared" ref="IO36" si="1012">SUM(IO7:IO35)</f>
        <v>427319.14999999997</v>
      </c>
      <c r="IP36" s="705">
        <f t="shared" ref="IP36" si="1013">IO36/IM36</f>
        <v>0.90522060513217084</v>
      </c>
      <c r="IQ36" s="586">
        <f>SUM(IQ7:IQ35)</f>
        <v>649083.58019999985</v>
      </c>
      <c r="IR36" s="586">
        <f>SUM(IR7:IR35)</f>
        <v>564033.78255839995</v>
      </c>
      <c r="IS36" s="1001">
        <f t="shared" ref="IS36" si="1014">SUM(IS7:IS35)</f>
        <v>587976.79000000015</v>
      </c>
      <c r="IT36" s="705">
        <f t="shared" ref="IT36" si="1015">IS36/IQ36</f>
        <v>0.90585682327509953</v>
      </c>
      <c r="IU36" s="757">
        <f>SUM(IU7:IU35)</f>
        <v>2950379.9100000006</v>
      </c>
      <c r="IV36" s="757">
        <f>SUM(IV7:IV35)</f>
        <v>2563789.9207199998</v>
      </c>
      <c r="IW36" s="757">
        <f>SUM(IW7:IW35)</f>
        <v>2634586.7199999997</v>
      </c>
      <c r="IX36" s="758">
        <f t="shared" ref="IX36" si="1016">IW36/IU36</f>
        <v>0.89296524527920851</v>
      </c>
      <c r="IY36" s="586">
        <f>SUM(IY7:IY35)</f>
        <v>348191.96639999992</v>
      </c>
      <c r="IZ36" s="586">
        <f>SUM(IZ7:IZ35)</f>
        <v>304932.09096959996</v>
      </c>
      <c r="JA36" s="1002">
        <f>SUM(JA7:JA35)</f>
        <v>307118.72999999992</v>
      </c>
      <c r="JB36" s="728">
        <f t="shared" ref="JB36" si="1017">JA36/IY36</f>
        <v>0.88203852942197003</v>
      </c>
      <c r="JC36" s="586">
        <f>SUM(JC7:JC35)</f>
        <v>348191.96639999992</v>
      </c>
      <c r="JD36" s="586">
        <f>SUM(JD7:JD35)</f>
        <v>304932.09096959996</v>
      </c>
      <c r="JE36" s="1002">
        <f t="shared" ref="JE36" si="1018">SUM(JE7:JE35)</f>
        <v>292313.18</v>
      </c>
      <c r="JF36" s="728">
        <f t="shared" ref="JF36" si="1019">JE36/JC36</f>
        <v>0.83951730139630254</v>
      </c>
      <c r="JG36" s="586">
        <f>SUM(JG7:JG35)</f>
        <v>348191.96639999992</v>
      </c>
      <c r="JH36" s="586">
        <f>SUM(JH7:JH35)</f>
        <v>304932.09096959996</v>
      </c>
      <c r="JI36" s="727">
        <f t="shared" ref="JI36" si="1020">SUM(JI7:JI35)</f>
        <v>286564.71999999991</v>
      </c>
      <c r="JJ36" s="728">
        <f t="shared" ref="JJ36" si="1021">JI36/JG36</f>
        <v>0.82300784524935544</v>
      </c>
      <c r="JK36" s="586">
        <f>SUM(JK7:JK35)</f>
        <v>348191.96639999992</v>
      </c>
      <c r="JL36" s="586">
        <f>SUM(JL7:JL35)</f>
        <v>304932.09096959996</v>
      </c>
      <c r="JM36" s="727">
        <f t="shared" ref="JM36" si="1022">SUM(JM7:JM35)</f>
        <v>288444.80999999994</v>
      </c>
      <c r="JN36" s="728">
        <f t="shared" ref="JN36" si="1023">JM36/JK36</f>
        <v>0.82840742416393676</v>
      </c>
      <c r="JO36" s="586">
        <f>SUM(JO7:JO35)</f>
        <v>406223.9608</v>
      </c>
      <c r="JP36" s="586">
        <f>SUM(JP7:JP35)</f>
        <v>355754.1061312001</v>
      </c>
      <c r="JQ36" s="727">
        <f t="shared" ref="JQ36" si="1024">SUM(JQ7:JQ35)</f>
        <v>335407.62000000005</v>
      </c>
      <c r="JR36" s="728">
        <f t="shared" ref="JR36" si="1025">JQ36/JO36</f>
        <v>0.82567167958153598</v>
      </c>
      <c r="JS36" s="586">
        <f>SUM(JS7:JS35)</f>
        <v>464255.95520000003</v>
      </c>
      <c r="JT36" s="586">
        <f>SUM(JT7:JT35)</f>
        <v>406576.12129280006</v>
      </c>
      <c r="JU36" s="1002">
        <f t="shared" ref="JU36" si="1026">SUM(JU7:JU35)</f>
        <v>485681.60000000003</v>
      </c>
      <c r="JV36" s="728">
        <f t="shared" ref="JV36" si="1027">JU36/JS36</f>
        <v>1.0461505007313689</v>
      </c>
      <c r="JW36" s="586">
        <f>SUM(JW7:JW35)</f>
        <v>638351.93839999987</v>
      </c>
      <c r="JX36" s="586">
        <f>SUM(JX7:JX35)</f>
        <v>559042.16677760007</v>
      </c>
      <c r="JY36" s="1002">
        <f t="shared" ref="JY36" si="1028">SUM(JY7:JY35)</f>
        <v>596678.94999999984</v>
      </c>
      <c r="JZ36" s="728">
        <f t="shared" ref="JZ36" si="1029">JY36/JW36</f>
        <v>0.93471784779967693</v>
      </c>
      <c r="KA36" s="757">
        <f>SUM(KA7:KA35)</f>
        <v>2901599.72</v>
      </c>
      <c r="KB36" s="757">
        <f>SUM(KB7:KB35)</f>
        <v>2541100.7580800001</v>
      </c>
      <c r="KC36" s="757">
        <f>SUM(KC7:KC35)</f>
        <v>2592209.6100000003</v>
      </c>
      <c r="KD36" s="758">
        <f t="shared" ref="KD36" si="1030">KC36/KA36</f>
        <v>0.89337257380215085</v>
      </c>
      <c r="KE36" s="586">
        <f>SUM(KE7:KE35)</f>
        <v>336381.94440000004</v>
      </c>
      <c r="KF36" s="586">
        <f>SUM(KF7:KF35)</f>
        <v>291116.32828679995</v>
      </c>
      <c r="KG36" s="1001">
        <f>SUM(KG7:KG35)</f>
        <v>273438.13999999996</v>
      </c>
      <c r="KH36" s="705">
        <f t="shared" ref="KH36" si="1031">KG36/KE36</f>
        <v>0.81287995551523407</v>
      </c>
      <c r="KI36" s="586">
        <f>SUM(KI7:KI35)</f>
        <v>336381.94440000004</v>
      </c>
      <c r="KJ36" s="586">
        <f>SUM(KJ7:KJ35)</f>
        <v>291116.32828679995</v>
      </c>
      <c r="KK36" s="1001">
        <f t="shared" ref="KK36" si="1032">SUM(KK7:KK35)</f>
        <v>297584.46999999991</v>
      </c>
      <c r="KL36" s="705">
        <f t="shared" ref="KL36" si="1033">KK36/KI36</f>
        <v>0.88466243493180752</v>
      </c>
      <c r="KM36" s="586">
        <f>SUM(KM7:KM35)</f>
        <v>336381.94440000004</v>
      </c>
      <c r="KN36" s="586">
        <f>SUM(KN7:KN35)</f>
        <v>291116.32828679995</v>
      </c>
      <c r="KO36" s="1001">
        <f t="shared" ref="KO36" si="1034">SUM(KO7:KO35)</f>
        <v>290947.48000000004</v>
      </c>
      <c r="KP36" s="705">
        <f t="shared" ref="KP36" si="1035">KO36/KM36</f>
        <v>0.86493191695814453</v>
      </c>
      <c r="KQ36" s="586">
        <f>SUM(KQ7:KQ35)</f>
        <v>336381.94440000004</v>
      </c>
      <c r="KR36" s="586">
        <f>SUM(KR7:KR35)</f>
        <v>291116.32828679995</v>
      </c>
      <c r="KS36" s="1001">
        <f t="shared" ref="KS36" si="1036">SUM(KS7:KS35)</f>
        <v>296691.21999999997</v>
      </c>
      <c r="KT36" s="705">
        <f t="shared" ref="KT36" si="1037">KS36/KQ36</f>
        <v>0.88200697135871586</v>
      </c>
      <c r="KU36" s="586">
        <f>SUM(KU7:KU35)</f>
        <v>392445.60180000012</v>
      </c>
      <c r="KV36" s="586">
        <f>SUM(KV7:KV35)</f>
        <v>339635.71633460012</v>
      </c>
      <c r="KW36" s="1001">
        <f t="shared" ref="KW36" si="1038">SUM(KW7:KW35)</f>
        <v>328122.15999999997</v>
      </c>
      <c r="KX36" s="705">
        <f t="shared" ref="KX36" si="1039">KW36/KU36</f>
        <v>0.83609590347051221</v>
      </c>
      <c r="KY36" s="586">
        <f>SUM(KY7:KY35)</f>
        <v>448509.25919999991</v>
      </c>
      <c r="KZ36" s="586">
        <f>SUM(KZ7:KZ35)</f>
        <v>388155.10438239999</v>
      </c>
      <c r="LA36" s="1001">
        <f t="shared" ref="LA36" si="1040">SUM(LA7:LA35)</f>
        <v>421140.9499999999</v>
      </c>
      <c r="LB36" s="705">
        <f t="shared" ref="LB36" si="1041">LA36/KY36</f>
        <v>0.93897938863332164</v>
      </c>
      <c r="LC36" s="586">
        <f>SUM(LC7:LC35)</f>
        <v>616700.23140000016</v>
      </c>
      <c r="LD36" s="586">
        <f>SUM(LD7:LD35)</f>
        <v>533713.26852580009</v>
      </c>
      <c r="LE36" s="1001">
        <f t="shared" ref="LE36" si="1042">SUM(LE7:LE35)</f>
        <v>567891.82999999996</v>
      </c>
      <c r="LF36" s="705">
        <f t="shared" ref="LF36" si="1043">LE36/LC36</f>
        <v>0.92085554874983921</v>
      </c>
      <c r="LG36" s="781">
        <f>SUM(LG7:LG35)</f>
        <v>2803182.87</v>
      </c>
      <c r="LH36" s="781">
        <f>SUM(LH7:LH35)</f>
        <v>2425969.4023899995</v>
      </c>
      <c r="LI36" s="781">
        <f>SUM(LI7:LI35)</f>
        <v>2475816.2500000009</v>
      </c>
      <c r="LJ36" s="782">
        <f t="shared" ref="LJ36" si="1044">LI36/LG36</f>
        <v>0.88321610284383656</v>
      </c>
      <c r="LK36" s="586">
        <f>SUM(LK7:LK35)</f>
        <v>338777.10599999991</v>
      </c>
      <c r="LL36" s="586">
        <f>SUM(LL7:LL35)</f>
        <v>311089.11440220004</v>
      </c>
      <c r="LM36" s="1002">
        <f>SUM(LM7:LM35)</f>
        <v>298896.94</v>
      </c>
      <c r="LN36" s="728">
        <f t="shared" ref="LN36" si="1045">LM36/LK36</f>
        <v>0.88228199221939185</v>
      </c>
      <c r="LO36" s="586">
        <f>SUM(LO7:LO35)</f>
        <v>338777.10599999991</v>
      </c>
      <c r="LP36" s="586">
        <f>SUM(LP7:LP35)</f>
        <v>311089.11440220004</v>
      </c>
      <c r="LQ36" s="727">
        <f t="shared" ref="LQ36" si="1046">SUM(LQ7:LQ35)</f>
        <v>268617.40999999997</v>
      </c>
      <c r="LR36" s="728">
        <f t="shared" ref="LR36" si="1047">LQ36/LO36</f>
        <v>0.79290307769498458</v>
      </c>
      <c r="LS36" s="586">
        <f>SUM(LS7:LS35)</f>
        <v>338777.10599999991</v>
      </c>
      <c r="LT36" s="586">
        <f>SUM(LT7:LT35)</f>
        <v>311089.11440220004</v>
      </c>
      <c r="LU36" s="1002">
        <f t="shared" ref="LU36" si="1048">SUM(LU7:LU35)</f>
        <v>275887.87999999995</v>
      </c>
      <c r="LV36" s="728">
        <f t="shared" ref="LV36" si="1049">LU36/LS36</f>
        <v>0.81436400250730057</v>
      </c>
      <c r="LW36" s="586">
        <f>SUM(LW7:LW35)</f>
        <v>338777.10599999991</v>
      </c>
      <c r="LX36" s="586">
        <f>SUM(LX7:LX35)</f>
        <v>311089.11440220004</v>
      </c>
      <c r="LY36" s="1002">
        <f t="shared" ref="LY36" si="1050">SUM(LY7:LY35)</f>
        <v>259639.09000000003</v>
      </c>
      <c r="LZ36" s="728">
        <f t="shared" ref="LZ36" si="1051">LY36/LW36</f>
        <v>0.76640093265334197</v>
      </c>
      <c r="MA36" s="586">
        <f>SUM(MA7:MA35)</f>
        <v>395239.95699999999</v>
      </c>
      <c r="MB36" s="586">
        <f>SUM(MB7:MB35)</f>
        <v>362937.30013590003</v>
      </c>
      <c r="MC36" s="727">
        <f t="shared" ref="MC36" si="1052">SUM(MC7:MC35)</f>
        <v>312890.45999999996</v>
      </c>
      <c r="MD36" s="728">
        <f t="shared" ref="MD36" si="1053">MC36/MA36</f>
        <v>0.79164683240768585</v>
      </c>
      <c r="ME36" s="586">
        <f>SUM(ME7:ME35)</f>
        <v>451702.80800000002</v>
      </c>
      <c r="MF36" s="586">
        <f>SUM(MF7:MF35)</f>
        <v>414785.48586959991</v>
      </c>
      <c r="MG36" s="727">
        <f t="shared" ref="MG36" si="1054">SUM(MG7:MG35)</f>
        <v>447745.40000000014</v>
      </c>
      <c r="MH36" s="728">
        <f t="shared" ref="MH36" si="1055">MG36/ME36</f>
        <v>0.99123891211231996</v>
      </c>
      <c r="MI36" s="586">
        <f>SUM(MI7:MI35)</f>
        <v>621091.36100000003</v>
      </c>
      <c r="MJ36" s="586">
        <f>SUM(MJ7:MJ35)</f>
        <v>570330.0430706999</v>
      </c>
      <c r="MK36" s="727">
        <f t="shared" ref="MK36" si="1056">SUM(MK7:MK35)</f>
        <v>614858.22</v>
      </c>
      <c r="ML36" s="728">
        <f t="shared" ref="ML36" si="1057">MK36/MI36</f>
        <v>0.9899642123664959</v>
      </c>
      <c r="MM36" s="781">
        <f>SUM(MM7:MM35)</f>
        <v>2823142.5500000003</v>
      </c>
      <c r="MN36" s="781">
        <f>SUM(MN7:MN35)</f>
        <v>2592409.2866849997</v>
      </c>
      <c r="MO36" s="781">
        <f>SUM(MO7:MO35)</f>
        <v>2478535.4</v>
      </c>
      <c r="MP36" s="782">
        <f t="shared" ref="MP36" si="1058">MO36/MM36</f>
        <v>0.87793490980467837</v>
      </c>
      <c r="MQ36" s="586">
        <f>SUM(MQ7:MQ35)</f>
        <v>360532.29239999998</v>
      </c>
      <c r="MR36" s="586">
        <f>SUM(MR7:MR35)</f>
        <v>289881.27917699999</v>
      </c>
      <c r="MS36" s="704">
        <f>SUM(MS7:MS35)</f>
        <v>286287.3</v>
      </c>
      <c r="MT36" s="705">
        <f t="shared" ref="MT36" si="1059">MS36/MQ36</f>
        <v>0.79406839840679966</v>
      </c>
      <c r="MU36" s="586">
        <f>SUM(MU7:MU35)</f>
        <v>360532.29239999998</v>
      </c>
      <c r="MV36" s="586">
        <f>SUM(MV7:MV35)</f>
        <v>289881.27917699999</v>
      </c>
      <c r="MW36" s="704">
        <f t="shared" ref="MW36" si="1060">SUM(MW7:MW35)</f>
        <v>274461.07000000007</v>
      </c>
      <c r="MX36" s="705">
        <f t="shared" ref="MX36" si="1061">MW36/MU36</f>
        <v>0.76126626043110057</v>
      </c>
      <c r="MY36" s="586">
        <f>SUM(MY7:MY35)</f>
        <v>360532.29239999998</v>
      </c>
      <c r="MZ36" s="586">
        <f>SUM(MZ7:MZ35)</f>
        <v>289881.27917699999</v>
      </c>
      <c r="NA36" s="704">
        <f t="shared" ref="NA36" si="1062">SUM(NA7:NA35)</f>
        <v>248842.17</v>
      </c>
      <c r="NB36" s="705">
        <f t="shared" ref="NB36" si="1063">NA36/MY36</f>
        <v>0.69020771577353446</v>
      </c>
      <c r="NC36" s="586">
        <f>SUM(NC7:NC35)</f>
        <v>360532.29239999998</v>
      </c>
      <c r="ND36" s="586">
        <f>SUM(ND7:ND35)</f>
        <v>289881.27917699999</v>
      </c>
      <c r="NE36" s="1001">
        <v>263662.75</v>
      </c>
      <c r="NF36" s="705">
        <f t="shared" ref="NF36" si="1064">NE36/NC36</f>
        <v>0.73131521241784891</v>
      </c>
      <c r="NG36" s="586">
        <f>SUM(NG7:NG35)</f>
        <v>420621.00780000014</v>
      </c>
      <c r="NH36" s="586">
        <f>SUM(NH7:NH35)</f>
        <v>338194.82570650009</v>
      </c>
      <c r="NI36" s="704">
        <f t="shared" ref="NI36" si="1065">SUM(NI7:NI35)</f>
        <v>311007.49</v>
      </c>
      <c r="NJ36" s="705">
        <f t="shared" ref="NJ36" si="1066">NI36/NG36</f>
        <v>0.73940075324977594</v>
      </c>
      <c r="NK36" s="586">
        <f>SUM(NK7:NK35)</f>
        <v>480709.72320000001</v>
      </c>
      <c r="NL36" s="586">
        <f>SUM(NL7:NL35)</f>
        <v>386508.37223600002</v>
      </c>
      <c r="NM36" s="704">
        <f t="shared" ref="NM36" si="1067">SUM(NM7:NM35)</f>
        <v>367556.04</v>
      </c>
      <c r="NN36" s="705">
        <f t="shared" ref="NN36" si="1068">NM36/NK36</f>
        <v>0.76461120352058642</v>
      </c>
      <c r="NO36" s="586">
        <f>SUM(NO7:NO35)</f>
        <v>660975.86940000008</v>
      </c>
      <c r="NP36" s="586">
        <f>SUM(NP7:NP35)</f>
        <v>531449.01182449993</v>
      </c>
      <c r="NQ36" s="704">
        <f t="shared" ref="NQ36" si="1069">SUM(NQ7:NQ35)</f>
        <v>557532.8600000001</v>
      </c>
      <c r="NR36" s="705">
        <f t="shared" ref="NR36" si="1070">NQ36/NO36</f>
        <v>0.84349956755017363</v>
      </c>
      <c r="NS36" s="781">
        <f>SUM(NS7:NS35)</f>
        <v>3004435.77</v>
      </c>
      <c r="NT36" s="781">
        <f>SUM(NT7:NT35)</f>
        <v>2415677.3264749995</v>
      </c>
      <c r="NU36" s="781">
        <f>SUM(NU7:NU35)</f>
        <v>2309349.6799999997</v>
      </c>
      <c r="NV36" s="782">
        <f t="shared" ref="NV36" si="1071">NU36/NS36</f>
        <v>0.76864671332281453</v>
      </c>
      <c r="NW36" s="586">
        <f>SUM(NW7:NW35)</f>
        <v>352574.51639999996</v>
      </c>
      <c r="NX36" s="586">
        <f>SUM(NX7:NX35)</f>
        <v>262861.22115600004</v>
      </c>
      <c r="NY36" s="727">
        <f>SUM(NY7:NY35)</f>
        <v>270788.23000000004</v>
      </c>
      <c r="NZ36" s="728">
        <f t="shared" ref="NZ36" si="1072">NY36/NW36</f>
        <v>0.76803120306286565</v>
      </c>
      <c r="OA36" s="586">
        <f>SUM(OA7:OA35)</f>
        <v>352574.51639999996</v>
      </c>
      <c r="OB36" s="586">
        <f>SUM(OB7:OB35)</f>
        <v>262861.22115600004</v>
      </c>
      <c r="OC36" s="727">
        <f t="shared" ref="OC36" si="1073">SUM(OC7:OC35)</f>
        <v>244988.19000000003</v>
      </c>
      <c r="OD36" s="728">
        <f t="shared" ref="OD36" si="1074">OC36/OA36</f>
        <v>0.69485506922473672</v>
      </c>
      <c r="OE36" s="586">
        <f>SUM(OE7:OE35)</f>
        <v>352574.51639999996</v>
      </c>
      <c r="OF36" s="586">
        <f>SUM(OF7:OF35)</f>
        <v>262861.22115600004</v>
      </c>
      <c r="OG36" s="727">
        <f t="shared" ref="OG36" si="1075">SUM(OG7:OG35)</f>
        <v>258304.85000000003</v>
      </c>
      <c r="OH36" s="728">
        <f t="shared" ref="OH36" si="1076">OG36/OE36</f>
        <v>0.73262484378465442</v>
      </c>
      <c r="OI36" s="586">
        <f>SUM(OI7:OI35)</f>
        <v>352574.51639999996</v>
      </c>
      <c r="OJ36" s="586">
        <f>SUM(OJ7:OJ35)</f>
        <v>262861.22115600004</v>
      </c>
      <c r="OK36" s="727">
        <f t="shared" ref="OK36" si="1077">SUM(OK7:OK35)</f>
        <v>257055.38999999998</v>
      </c>
      <c r="OL36" s="728">
        <f t="shared" ref="OL36" si="1078">OK36/OI36</f>
        <v>0.72908102555083021</v>
      </c>
      <c r="OM36" s="586">
        <f>SUM(OM7:OM35)</f>
        <v>411336.93579999992</v>
      </c>
      <c r="ON36" s="586">
        <f>SUM(ON7:ON35)</f>
        <v>306671.42468200001</v>
      </c>
      <c r="OO36" s="727">
        <f t="shared" ref="OO36" si="1079">SUM(OO7:OO35)</f>
        <v>331150.7</v>
      </c>
      <c r="OP36" s="728">
        <f t="shared" ref="OP36" si="1080">OO36/OM36</f>
        <v>0.80505948087533763</v>
      </c>
      <c r="OQ36" s="586">
        <f>SUM(OQ7:OQ35)</f>
        <v>470099.35519999999</v>
      </c>
      <c r="OR36" s="586">
        <f>SUM(OR7:OR35)</f>
        <v>350481.62820800004</v>
      </c>
      <c r="OS36" s="727">
        <f t="shared" ref="OS36" si="1081">SUM(OS7:OS35)</f>
        <v>441494.43999999994</v>
      </c>
      <c r="OT36" s="728">
        <f t="shared" ref="OT36" si="1082">OS36/OQ36</f>
        <v>0.93915134134180989</v>
      </c>
      <c r="OU36" s="586">
        <f>SUM(OU7:OU35)</f>
        <v>646386.61340000015</v>
      </c>
      <c r="OV36" s="586">
        <f>SUM(OV7:OV35)</f>
        <v>481912.238786</v>
      </c>
      <c r="OW36" s="727">
        <f t="shared" ref="OW36" si="1083">SUM(OW7:OW35)</f>
        <v>685906.01</v>
      </c>
      <c r="OX36" s="728">
        <f t="shared" ref="OX36" si="1084">OW36/OU36</f>
        <v>1.0611389465387091</v>
      </c>
      <c r="OY36" s="781">
        <f>SUM(OY7:OY35)</f>
        <v>2938120.97</v>
      </c>
      <c r="OZ36" s="781">
        <f>SUM(OZ7:OZ35)</f>
        <v>2190510.1763000004</v>
      </c>
      <c r="PA36" s="781">
        <f>SUM(PA7:PA35)</f>
        <v>2489687.81</v>
      </c>
      <c r="PB36" s="782">
        <f t="shared" ref="PB36" si="1085">PA36/OY36</f>
        <v>0.84737416717052327</v>
      </c>
      <c r="PC36" s="586">
        <f>SUM(PC7:PC35)</f>
        <v>337359.24</v>
      </c>
      <c r="PD36" s="586">
        <f>SUM(PD7:PD35)</f>
        <v>276687.53448000003</v>
      </c>
      <c r="PE36" s="704">
        <f>SUM(PE7:PE35)</f>
        <v>397326.52999999997</v>
      </c>
      <c r="PF36" s="705">
        <f t="shared" ref="PF36" si="1086">PE36/PC36</f>
        <v>1.1777549949424833</v>
      </c>
      <c r="PG36" s="586">
        <f>SUM(PG7:PG35)</f>
        <v>337359.24</v>
      </c>
      <c r="PH36" s="586">
        <f>SUM(PH7:PH35)</f>
        <v>276687.53448000003</v>
      </c>
      <c r="PI36" s="704">
        <f t="shared" ref="PI36" si="1087">SUM(PI7:PI35)</f>
        <v>336340.5</v>
      </c>
      <c r="PJ36" s="705">
        <f t="shared" ref="PJ36" si="1088">PI36/PG36</f>
        <v>0.99698025167474291</v>
      </c>
      <c r="PK36" s="586">
        <f>SUM(PK7:PK35)</f>
        <v>352939.44</v>
      </c>
      <c r="PL36" s="586">
        <f>SUM(PL7:PL35)</f>
        <v>276687.53448000003</v>
      </c>
      <c r="PM36" s="704">
        <f t="shared" ref="PM36" si="1089">SUM(PM7:PM35)</f>
        <v>290615.59999999992</v>
      </c>
      <c r="PN36" s="705">
        <f t="shared" ref="PN36" si="1090">PM36/PK36</f>
        <v>0.82341491786806231</v>
      </c>
      <c r="PO36" s="586">
        <f>SUM(PO7:PO35)</f>
        <v>352939.44</v>
      </c>
      <c r="PP36" s="586">
        <f>SUM(PP7:PP35)</f>
        <v>276687.53448000003</v>
      </c>
      <c r="PQ36" s="704">
        <f t="shared" ref="PQ36" si="1091">SUM(PQ7:PQ35)</f>
        <v>276012.78999999992</v>
      </c>
      <c r="PR36" s="705">
        <f t="shared" ref="PR36" si="1092">PQ36/PO36</f>
        <v>0.78204008597055608</v>
      </c>
      <c r="PS36" s="586">
        <f>SUM(PS7:PS35)</f>
        <v>411762.68000000005</v>
      </c>
      <c r="PT36" s="586">
        <f>SUM(PT7:PT35)</f>
        <v>322802.12355999998</v>
      </c>
      <c r="PU36" s="1001">
        <f t="shared" ref="PU36" si="1093">SUM(PU7:PU35)</f>
        <v>299735.99</v>
      </c>
      <c r="PV36" s="705">
        <f t="shared" ref="PV36" si="1094">PU36/PS36</f>
        <v>0.72793384286307816</v>
      </c>
      <c r="PW36" s="586">
        <f>SUM(PW7:PW35)</f>
        <v>449812.32</v>
      </c>
      <c r="PX36" s="586">
        <f>SUM(PX7:PX35)</f>
        <v>368916.71263999998</v>
      </c>
      <c r="PY36" s="704">
        <f t="shared" ref="PY36" si="1095">SUM(PY7:PY35)</f>
        <v>385103.78</v>
      </c>
      <c r="PZ36" s="705">
        <f t="shared" ref="PZ36" si="1096">PY36/PW36</f>
        <v>0.85614324658782137</v>
      </c>
      <c r="QA36" s="586">
        <f>SUM(QA7:QA35)</f>
        <v>618491.94000000006</v>
      </c>
      <c r="QB36" s="586">
        <f>SUM(QB7:QB35)</f>
        <v>507260.47988000006</v>
      </c>
      <c r="QC36" s="704">
        <f t="shared" ref="QC36" si="1097">SUM(QC7:QC35)</f>
        <v>566595.40999999992</v>
      </c>
      <c r="QD36" s="705">
        <f t="shared" ref="QD36" si="1098">QC36/QA36</f>
        <v>0.91609182489912455</v>
      </c>
      <c r="QE36" s="718">
        <f>SUM(QE7:QE35)</f>
        <v>2811327</v>
      </c>
      <c r="QF36" s="718">
        <f>SUM(QF7:QF35)</f>
        <v>2305729.4539999999</v>
      </c>
      <c r="QG36" s="718">
        <f>SUM(QG7:QG35)</f>
        <v>2551730.5999999996</v>
      </c>
      <c r="QH36" s="719">
        <f t="shared" ref="QH36" si="1099">QG36/QE36</f>
        <v>0.90766054606952506</v>
      </c>
      <c r="QI36" s="586">
        <f>SUM(QI7:QI35)</f>
        <v>349744.39559999993</v>
      </c>
      <c r="QJ36" s="586">
        <f>SUM(QJ7:QJ35)</f>
        <v>0</v>
      </c>
      <c r="QK36" s="727">
        <f>SUM(QK7:QK35)</f>
        <v>307858.12999999995</v>
      </c>
      <c r="QL36" s="728">
        <f t="shared" ref="QL36" si="1100">QK36/QI36</f>
        <v>0.88023749307507138</v>
      </c>
      <c r="QM36" s="586">
        <f>SUM(QM7:QM35)</f>
        <v>349744.39559999993</v>
      </c>
      <c r="QN36" s="586">
        <f>SUM(QN7:QN35)</f>
        <v>0</v>
      </c>
      <c r="QO36" s="727">
        <f t="shared" ref="QO36" si="1101">SUM(QO7:QO35)</f>
        <v>241541.11</v>
      </c>
      <c r="QP36" s="728">
        <f t="shared" ref="QP36" si="1102">QO36/QM36</f>
        <v>0.69062181707194181</v>
      </c>
      <c r="QQ36" s="586">
        <f>SUM(QQ7:QQ35)</f>
        <v>349744.39559999993</v>
      </c>
      <c r="QR36" s="586">
        <f>SUM(QR7:QR35)</f>
        <v>278067.65820599999</v>
      </c>
      <c r="QS36" s="727">
        <f t="shared" ref="QS36" si="1103">SUM(QS7:QS35)</f>
        <v>238338.63999999996</v>
      </c>
      <c r="QT36" s="728">
        <f t="shared" ref="QT36" si="1104">QS36/QQ36</f>
        <v>0.68146521573596874</v>
      </c>
      <c r="QU36" s="586">
        <f>SUM(QU7:QU35)</f>
        <v>349744.39559999993</v>
      </c>
      <c r="QV36" s="586">
        <f>SUM(QV7:QV35)</f>
        <v>278067.65820599999</v>
      </c>
      <c r="QW36" s="727">
        <f t="shared" ref="QW36" si="1105">SUM(QW7:QW35)</f>
        <v>231293.01</v>
      </c>
      <c r="QX36" s="728">
        <f t="shared" ref="QX36" si="1106">QW36/QU36</f>
        <v>0.6613201323875626</v>
      </c>
      <c r="QY36" s="586">
        <f>SUM(QY7:QY35)</f>
        <v>408035.12820000009</v>
      </c>
      <c r="QZ36" s="586">
        <f>SUM(QZ7:QZ35)</f>
        <v>324412.26790700009</v>
      </c>
      <c r="RA36" s="727">
        <f t="shared" ref="RA36" si="1107">SUM(RA7:RA35)</f>
        <v>263543.82999999996</v>
      </c>
      <c r="RB36" s="728">
        <f t="shared" ref="RB36" si="1108">RA36/QY36</f>
        <v>0.64588515004233382</v>
      </c>
      <c r="RC36" s="586">
        <f>SUM(RC7:RC35)</f>
        <v>466325.86080000002</v>
      </c>
      <c r="RD36" s="586">
        <f>SUM(RD7:RD35)</f>
        <v>370756.87760799995</v>
      </c>
      <c r="RE36" s="727">
        <f t="shared" ref="RE36" si="1109">SUM(RE7:RE35)</f>
        <v>362159.55000000005</v>
      </c>
      <c r="RF36" s="728">
        <f t="shared" ref="RF36" si="1110">RE36/RC36</f>
        <v>0.77662334526912435</v>
      </c>
      <c r="RG36" s="586">
        <f>SUM(RG7:RG35)</f>
        <v>641198.05859999987</v>
      </c>
      <c r="RH36" s="586">
        <f>SUM(RH7:RH35)</f>
        <v>509790.70671100001</v>
      </c>
      <c r="RI36" s="727">
        <f t="shared" ref="RI36" si="1111">SUM(RI7:RI35)</f>
        <v>559048.9800000001</v>
      </c>
      <c r="RJ36" s="728">
        <f t="shared" ref="RJ36" si="1112">RI36/RG36</f>
        <v>0.87188189749144729</v>
      </c>
      <c r="RK36" s="718">
        <f>SUM(RK7:RK35)</f>
        <v>2914536.63</v>
      </c>
      <c r="RL36" s="718">
        <f>SUM(RL7:RL35)</f>
        <v>1761095.1686379998</v>
      </c>
      <c r="RM36" s="718">
        <f>SUM(RM7:RM35)</f>
        <v>2203783.2500000005</v>
      </c>
      <c r="RN36" s="719">
        <f t="shared" ref="RN36" si="1113">RM36/RK36</f>
        <v>0.7561350326895705</v>
      </c>
      <c r="RO36" s="586">
        <f>SUM(RO7:RO35)</f>
        <v>336015.65639999992</v>
      </c>
      <c r="RP36" s="586">
        <f>SUM(RP7:RP35)</f>
        <v>267157.74622799997</v>
      </c>
      <c r="RQ36" s="704">
        <f>SUM(RQ7:RQ35)</f>
        <v>294149.69999999995</v>
      </c>
      <c r="RR36" s="705">
        <f t="shared" ref="RR36" si="1114">RQ36/RO36</f>
        <v>0.87540474497961529</v>
      </c>
      <c r="RS36" s="586">
        <f>SUM(RS7:RS35)</f>
        <v>336015.65639999992</v>
      </c>
      <c r="RT36" s="586">
        <f>SUM(RT7:RT35)</f>
        <v>267157.74622799997</v>
      </c>
      <c r="RU36" s="704">
        <f t="shared" ref="RU36" si="1115">SUM(RU7:RU35)</f>
        <v>235722.42999999996</v>
      </c>
      <c r="RV36" s="705">
        <f t="shared" ref="RV36" si="1116">RU36/RS36</f>
        <v>0.70152216276312773</v>
      </c>
      <c r="RW36" s="586">
        <f>SUM(RW7:RW35)</f>
        <v>336015.65639999992</v>
      </c>
      <c r="RX36" s="586">
        <f>SUM(RX7:RX35)</f>
        <v>267157.74622799997</v>
      </c>
      <c r="RY36" s="704">
        <f t="shared" ref="RY36" si="1117">SUM(RY7:RY35)</f>
        <v>294977.12000000005</v>
      </c>
      <c r="RZ36" s="705">
        <f t="shared" ref="RZ36" si="1118">RY36/RW36</f>
        <v>0.87786718976229261</v>
      </c>
      <c r="SA36" s="586">
        <f>SUM(SA7:SA35)</f>
        <v>336015.65639999992</v>
      </c>
      <c r="SB36" s="586">
        <f>SUM(SB7:SB35)</f>
        <v>267157.74622799997</v>
      </c>
      <c r="SC36" s="704">
        <f t="shared" ref="SC36" si="1119">SUM(SC7:SC35)</f>
        <v>325384.83000000007</v>
      </c>
      <c r="SD36" s="705">
        <f t="shared" ref="SD36" si="1120">SC36/SA36</f>
        <v>0.96836210992697114</v>
      </c>
      <c r="SE36" s="586">
        <f>SUM(SE7:SE35)</f>
        <v>392018.26579999999</v>
      </c>
      <c r="SF36" s="586">
        <f>SUM(SF7:SF35)</f>
        <v>311684.037266</v>
      </c>
      <c r="SG36" s="704">
        <f t="shared" ref="SG36" si="1121">SUM(SG7:SG35)</f>
        <v>332515.21999999991</v>
      </c>
      <c r="SH36" s="705">
        <f t="shared" ref="SH36" si="1122">SG36/SE36</f>
        <v>0.84821358852100692</v>
      </c>
      <c r="SI36" s="586">
        <f>SUM(SI7:SI35)</f>
        <v>448020.87520000001</v>
      </c>
      <c r="SJ36" s="586">
        <f>SUM(SJ7:SJ35)</f>
        <v>356210.32830399997</v>
      </c>
      <c r="SK36" s="1001">
        <f t="shared" ref="SK36" si="1123">SUM(SK7:SK35)</f>
        <v>391500.50000000006</v>
      </c>
      <c r="SL36" s="705">
        <f t="shared" ref="SL36" si="1124">SK36/SI36</f>
        <v>0.8738443266181094</v>
      </c>
      <c r="SM36" s="586">
        <f>SUM(SM7:SM35)</f>
        <v>616028.7034</v>
      </c>
      <c r="SN36" s="586">
        <f>SUM(SN7:SN35)</f>
        <v>489789.20141800004</v>
      </c>
      <c r="SO36" s="704">
        <f t="shared" ref="SO36" si="1125">SUM(SO7:SO35)</f>
        <v>523112.86</v>
      </c>
      <c r="SP36" s="705">
        <f t="shared" ref="SP36" si="1126">SO36/SM36</f>
        <v>0.84916962004014307</v>
      </c>
      <c r="SQ36" s="718">
        <f>SUM(SQ7:SQ35)</f>
        <v>2800130.4699999997</v>
      </c>
      <c r="SR36" s="718">
        <f>SUM(SR7:SR35)</f>
        <v>2226314.5518999998</v>
      </c>
      <c r="SS36" s="718">
        <f>SUM(SS7:SS35)</f>
        <v>2397362.6600000006</v>
      </c>
      <c r="ST36" s="719">
        <f t="shared" ref="ST36" si="1127">SS36/SQ36</f>
        <v>0.85616105595251102</v>
      </c>
      <c r="SU36" s="586">
        <f>SUM(SU7:SU35)</f>
        <v>312685.37279999995</v>
      </c>
      <c r="SV36" s="586">
        <f>SUM(SV7:SV35)</f>
        <v>258692.60448420001</v>
      </c>
      <c r="SW36" s="727">
        <f>SUM(SW7:SW35)</f>
        <v>244912.18</v>
      </c>
      <c r="SX36" s="728">
        <f t="shared" ref="SX36" si="1128">SW36/SU36</f>
        <v>0.78325435503070651</v>
      </c>
      <c r="SY36" s="586">
        <f>SUM(SY7:SY35)</f>
        <v>312685.37279999995</v>
      </c>
      <c r="SZ36" s="586">
        <f>SUM(SZ7:SZ35)</f>
        <v>258692.60448420001</v>
      </c>
      <c r="TA36" s="727">
        <f t="shared" ref="TA36" si="1129">SUM(TA7:TA35)</f>
        <v>220371.83000000002</v>
      </c>
      <c r="TB36" s="728">
        <f t="shared" ref="TB36" si="1130">TA36/SY36</f>
        <v>0.70477179033556647</v>
      </c>
      <c r="TC36" s="586">
        <f>SUM(TC7:TC35)</f>
        <v>312685.37279999995</v>
      </c>
      <c r="TD36" s="586">
        <f>SUM(TD7:TD35)</f>
        <v>258692.60448420001</v>
      </c>
      <c r="TE36" s="727">
        <f t="shared" ref="TE36" si="1131">SUM(TE7:TE35)</f>
        <v>217524.31000000003</v>
      </c>
      <c r="TF36" s="728">
        <f t="shared" ref="TF36" si="1132">TE36/TC36</f>
        <v>0.69566512834334937</v>
      </c>
      <c r="TG36" s="586">
        <f>SUM(TG7:TG35)</f>
        <v>312685.37279999995</v>
      </c>
      <c r="TH36" s="586">
        <f>SUM(TH7:TH35)</f>
        <v>258692.60448420001</v>
      </c>
      <c r="TI36" s="727">
        <f t="shared" ref="TI36" si="1133">SUM(TI7:TI35)</f>
        <v>225831.00999999995</v>
      </c>
      <c r="TJ36" s="728">
        <f t="shared" ref="TJ36" si="1134">TI36/TG36</f>
        <v>0.72223080976815035</v>
      </c>
      <c r="TK36" s="586">
        <f>SUM(TK7:TK35)</f>
        <v>364799.60159999999</v>
      </c>
      <c r="TL36" s="586">
        <f>SUM(TL7:TL35)</f>
        <v>301808.03856489999</v>
      </c>
      <c r="TM36" s="727">
        <f t="shared" ref="TM36" si="1135">SUM(TM7:TM35)</f>
        <v>255998.30000000002</v>
      </c>
      <c r="TN36" s="728">
        <f t="shared" ref="TN36" si="1136">TM36/TK36</f>
        <v>0.70175049226259911</v>
      </c>
      <c r="TO36" s="586">
        <f>SUM(TO7:TO35)</f>
        <v>416913.83039999998</v>
      </c>
      <c r="TP36" s="586">
        <f>SUM(TP7:TP35)</f>
        <v>344923.47264559998</v>
      </c>
      <c r="TQ36" s="727">
        <f t="shared" ref="TQ36" si="1137">SUM(TQ7:TQ35)</f>
        <v>342908.7</v>
      </c>
      <c r="TR36" s="728">
        <f t="shared" ref="TR36" si="1138">TQ36/TO36</f>
        <v>0.82249298295286299</v>
      </c>
      <c r="TS36" s="586">
        <f>SUM(TS7:TS35)</f>
        <v>573256.5168000001</v>
      </c>
      <c r="TT36" s="586">
        <f>SUM(TT7:TT35)</f>
        <v>474269.77488769998</v>
      </c>
      <c r="TU36" s="727">
        <f t="shared" ref="TU36" si="1139">SUM(TU7:TU35)</f>
        <v>550806.79</v>
      </c>
      <c r="TV36" s="728">
        <f t="shared" ref="TV36" si="1140">TU36/TS36</f>
        <v>0.96083825278547608</v>
      </c>
      <c r="TW36" s="718">
        <f>SUM(TW7:TW35)</f>
        <v>2605711.44</v>
      </c>
      <c r="TX36" s="718">
        <f>SUM(TX7:TX35)</f>
        <v>2155771.7040349999</v>
      </c>
      <c r="TY36" s="718">
        <f>SUM(TY7:TY35)</f>
        <v>2058353.1200000006</v>
      </c>
      <c r="TZ36" s="719">
        <f t="shared" ref="TZ36" si="1141">TY36/TW36</f>
        <v>0.78993901181935966</v>
      </c>
      <c r="UA36" s="586">
        <f>SUM(UA7:UA35)</f>
        <v>415214.98</v>
      </c>
      <c r="UB36" s="586">
        <f>SUM(UB7:UB35)</f>
        <v>274375.87179</v>
      </c>
      <c r="UC36" s="704">
        <f>SUM(UC7:UC35)</f>
        <v>254730.00999999998</v>
      </c>
      <c r="UD36" s="705">
        <f t="shared" ref="UD36" si="1142">UC36/UA36</f>
        <v>0.61348945069371053</v>
      </c>
      <c r="UE36" s="586">
        <f>SUM(UE7:UE35)</f>
        <v>296843.83000000013</v>
      </c>
      <c r="UF36" s="586">
        <f>SUM(UF7:UF35)</f>
        <v>274375.87179</v>
      </c>
      <c r="UG36" s="704">
        <f t="shared" ref="UG36" si="1143">SUM(UG7:UG35)</f>
        <v>228416.69999999998</v>
      </c>
      <c r="UH36" s="705">
        <f t="shared" ref="UH36" si="1144">UG36/UE36</f>
        <v>0.76948441205599549</v>
      </c>
      <c r="UI36" s="586">
        <f>SUM(UI7:UI35)</f>
        <v>330003.61</v>
      </c>
      <c r="UJ36" s="586">
        <f>SUM(UJ7:UJ35)</f>
        <v>274375.87179</v>
      </c>
      <c r="UK36" s="704">
        <f t="shared" ref="UK36" si="1145">SUM(UK7:UK35)</f>
        <v>239334.74000000002</v>
      </c>
      <c r="UL36" s="705">
        <f t="shared" ref="UL36" si="1146">UK36/UI36</f>
        <v>0.72524885409586892</v>
      </c>
      <c r="UM36" s="586">
        <f>SUM(UM7:UM35)</f>
        <v>306616.59000000003</v>
      </c>
      <c r="UN36" s="586">
        <f>SUM(UN7:UN35)</f>
        <v>274375.87179</v>
      </c>
      <c r="UO36" s="704">
        <f t="shared" ref="UO36" si="1147">SUM(UO7:UO35)</f>
        <v>245647.75</v>
      </c>
      <c r="UP36" s="705">
        <f t="shared" ref="UP36" si="1148">UO36/UM36</f>
        <v>0.80115609530456255</v>
      </c>
      <c r="UQ36" s="586">
        <f>SUM(UQ7:UQ35)</f>
        <v>346076.31</v>
      </c>
      <c r="UR36" s="586">
        <f>SUM(UR7:UR35)</f>
        <v>320105.18375500001</v>
      </c>
      <c r="US36" s="1001">
        <f t="shared" ref="US36" si="1149">SUM(US7:US35)</f>
        <v>285423.26</v>
      </c>
      <c r="UT36" s="705">
        <f t="shared" ref="UT36" si="1150">US36/UQ36</f>
        <v>0.82474082089005174</v>
      </c>
      <c r="UU36" s="586">
        <f>SUM(UU7:UU35)</f>
        <v>465127.35999999993</v>
      </c>
      <c r="UV36" s="586">
        <f>SUM(UV7:UV35)</f>
        <v>365834.49572000006</v>
      </c>
      <c r="UW36" s="704">
        <f t="shared" ref="UW36" si="1151">SUM(UW7:UW35)</f>
        <v>419788.46</v>
      </c>
      <c r="UX36" s="705">
        <f t="shared" ref="UX36" si="1152">UW36/UU36</f>
        <v>0.90252368727567456</v>
      </c>
      <c r="UY36" s="586">
        <f>SUM(UY7:UY35)</f>
        <v>661237.90000000014</v>
      </c>
      <c r="UZ36" s="586">
        <f>SUM(UZ7:UZ35)</f>
        <v>503022.43161500001</v>
      </c>
      <c r="VA36" s="704">
        <f t="shared" ref="VA36" si="1153">SUM(VA7:VA35)</f>
        <v>571528.14</v>
      </c>
      <c r="VB36" s="705">
        <f t="shared" ref="VB36" si="1154">VA36/UY36</f>
        <v>0.86433058359177517</v>
      </c>
      <c r="VC36" s="718">
        <f>SUM(VC7:VC35)</f>
        <v>2821120.58</v>
      </c>
      <c r="VD36" s="718">
        <f>SUM(VD7:VD35)</f>
        <v>2286465.5982499998</v>
      </c>
      <c r="VE36" s="718">
        <f>SUM(VE7:VE35)</f>
        <v>2244869.0599999991</v>
      </c>
      <c r="VF36" s="719">
        <f t="shared" ref="VF36" si="1155">VE36/VC36</f>
        <v>0.79573665723993936</v>
      </c>
      <c r="VG36" s="586">
        <f>SUM(VG7:VG35)</f>
        <v>389881.49999999994</v>
      </c>
      <c r="VH36" s="586">
        <f>SUM(VH7:VH35)</f>
        <v>250747.59700799995</v>
      </c>
      <c r="VI36" s="1001">
        <f>SUM(VI7:VI35)</f>
        <v>280171.38</v>
      </c>
      <c r="VJ36" s="705">
        <f t="shared" ref="VJ36" si="1156">VI36/VG36</f>
        <v>0.71860649966720669</v>
      </c>
      <c r="VK36" s="586">
        <f>SUM(VK7:VK35)</f>
        <v>280600.57</v>
      </c>
      <c r="VL36" s="586">
        <f>SUM(VL7:VL35)</f>
        <v>250747.59700799995</v>
      </c>
      <c r="VM36" s="1001">
        <f t="shared" ref="VM36" si="1157">SUM(VM7:VM35)</f>
        <v>237133.54999999996</v>
      </c>
      <c r="VN36" s="705">
        <f t="shared" ref="VN36" si="1158">VM36/VK36</f>
        <v>0.84509290198519538</v>
      </c>
      <c r="VO36" s="586">
        <f>SUM(VO7:VO35)</f>
        <v>263215.87</v>
      </c>
      <c r="VP36" s="586">
        <f>SUM(VP7:VP35)</f>
        <v>250747.59700799995</v>
      </c>
      <c r="VQ36" s="704">
        <f t="shared" ref="VQ36" si="1159">SUM(VQ7:VQ35)</f>
        <v>220682.94999999998</v>
      </c>
      <c r="VR36" s="705">
        <f t="shared" ref="VR36" si="1160">VQ36/VO36</f>
        <v>0.83841050313569609</v>
      </c>
      <c r="VS36" s="586">
        <f>SUM(VS7:VS35)</f>
        <v>289771.47999999992</v>
      </c>
      <c r="VT36" s="586">
        <f>SUM(VT7:VT35)</f>
        <v>250747.59700799995</v>
      </c>
      <c r="VU36" s="704">
        <f t="shared" ref="VU36" si="1161">SUM(VU7:VU35)</f>
        <v>246569.87000000002</v>
      </c>
      <c r="VV36" s="705">
        <f t="shared" ref="VV36" si="1162">VU36/VS36</f>
        <v>0.8509114492564972</v>
      </c>
      <c r="VW36" s="586">
        <f>SUM(VW7:VW35)</f>
        <v>313071.09000000003</v>
      </c>
      <c r="VX36" s="586">
        <f>SUM(VX7:VX35)</f>
        <v>292538.86317599996</v>
      </c>
      <c r="VY36" s="704">
        <f t="shared" ref="VY36" si="1163">SUM(VY7:VY35)</f>
        <v>278594.67</v>
      </c>
      <c r="VZ36" s="705">
        <f t="shared" ref="VZ36" si="1164">VY36/VW36</f>
        <v>0.88987670500013261</v>
      </c>
      <c r="WA36" s="586">
        <f>SUM(WA7:WA35)</f>
        <v>398849</v>
      </c>
      <c r="WB36" s="586">
        <f>SUM(WB7:WB35)</f>
        <v>334330.12934399996</v>
      </c>
      <c r="WC36" s="704">
        <f t="shared" ref="WC36" si="1165">SUM(WC7:WC35)</f>
        <v>380365.34</v>
      </c>
      <c r="WD36" s="705">
        <f t="shared" ref="WD36" si="1166">WC36/WA36</f>
        <v>0.95365749945468092</v>
      </c>
      <c r="WE36" s="586">
        <f>SUM(WE7:WE35)</f>
        <v>640754.94999999995</v>
      </c>
      <c r="WF36" s="586">
        <f>SUM(WF7:WF35)</f>
        <v>459703.92784799996</v>
      </c>
      <c r="WG36" s="704">
        <f t="shared" ref="WG36" si="1167">SUM(WG7:WG35)</f>
        <v>609616.44000000006</v>
      </c>
      <c r="WH36" s="705">
        <f t="shared" ref="WH36" si="1168">WG36/WE36</f>
        <v>0.95140340312626548</v>
      </c>
      <c r="WI36" s="781">
        <f>SUM(WI7:WI35)</f>
        <v>1223469.42</v>
      </c>
      <c r="WJ36" s="781">
        <f>SUM(WJ7:WJ35)</f>
        <v>2089563.3084000004</v>
      </c>
      <c r="WK36" s="781">
        <f>SUM(WK7:WK35)</f>
        <v>2253134.1999999993</v>
      </c>
      <c r="WL36" s="782">
        <f t="shared" ref="WL36" si="1169">WK36/WI36</f>
        <v>1.8415942100130296</v>
      </c>
      <c r="WM36" s="586">
        <f>SUM(WM7:WM35)</f>
        <v>348414.94000000006</v>
      </c>
      <c r="WN36" s="586">
        <f>SUM(WN7:WN35)</f>
        <v>281293.20435599994</v>
      </c>
      <c r="WO36" s="727">
        <f>SUM(WO7:WO35)</f>
        <v>305959.67000000004</v>
      </c>
      <c r="WP36" s="728">
        <f t="shared" ref="WP36" si="1170">WO36/WM36</f>
        <v>0.87814738943169313</v>
      </c>
      <c r="WQ36" s="586">
        <f>SUM(WQ7:WQ35)</f>
        <v>314386.17000000004</v>
      </c>
      <c r="WR36" s="586">
        <f>SUM(WR7:WR35)</f>
        <v>281293.20435599994</v>
      </c>
      <c r="WS36" s="727">
        <f t="shared" ref="WS36" si="1171">SUM(WS7:WS35)</f>
        <v>251928.97999999998</v>
      </c>
      <c r="WT36" s="728">
        <f t="shared" ref="WT36" si="1172">WS36/WQ36</f>
        <v>0.80133607658377581</v>
      </c>
      <c r="WU36" s="586">
        <f>SUM(WU7:WU35)</f>
        <v>328864.45000000007</v>
      </c>
      <c r="WV36" s="586">
        <f>SUM(WV7:WV35)</f>
        <v>281293.20435599994</v>
      </c>
      <c r="WW36" s="727">
        <f t="shared" ref="WW36" si="1173">SUM(WW7:WW35)</f>
        <v>249041.76</v>
      </c>
      <c r="WX36" s="728">
        <f t="shared" ref="WX36" si="1174">WW36/WU36</f>
        <v>0.75727783893941703</v>
      </c>
      <c r="WY36" s="586">
        <f>SUM(WY7:WY35)</f>
        <v>338631.01000000007</v>
      </c>
      <c r="WZ36" s="586">
        <f>SUM(WZ7:WZ35)</f>
        <v>281293.20435599994</v>
      </c>
      <c r="XA36" s="727">
        <f t="shared" ref="XA36" si="1175">SUM(XA7:XA35)</f>
        <v>261624.32000000004</v>
      </c>
      <c r="XB36" s="728">
        <f t="shared" ref="XB36" si="1176">XA36/WY36</f>
        <v>0.77259409880979291</v>
      </c>
      <c r="XC36" s="586">
        <f>SUM(XC7:XC35)</f>
        <v>342297.69</v>
      </c>
      <c r="XD36" s="586">
        <f>SUM(XD7:XD35)</f>
        <v>328175.40508200007</v>
      </c>
      <c r="XE36" s="727">
        <f t="shared" ref="XE36" si="1177">SUM(XE7:XE35)</f>
        <v>315463.07</v>
      </c>
      <c r="XF36" s="728">
        <f t="shared" ref="XF36" si="1178">XE36/XC36</f>
        <v>0.92160443735393016</v>
      </c>
      <c r="XG36" s="586">
        <f>SUM(XG7:XG35)</f>
        <v>437871.77999999991</v>
      </c>
      <c r="XH36" s="586">
        <f>SUM(XH7:XH35)</f>
        <v>375057.60580800014</v>
      </c>
      <c r="XI36" s="727">
        <f t="shared" ref="XI36" si="1179">SUM(XI7:XI35)</f>
        <v>437200.22</v>
      </c>
      <c r="XJ36" s="728">
        <f t="shared" ref="XJ36" si="1180">XI36/XG36</f>
        <v>0.99846630901859001</v>
      </c>
      <c r="XK36" s="586">
        <f>SUM(XK7:XK35)</f>
        <v>689419.53999999992</v>
      </c>
      <c r="XL36" s="586">
        <f>SUM(XL7:XL35)</f>
        <v>515704.20798599994</v>
      </c>
      <c r="XM36" s="727">
        <f t="shared" ref="XM36" si="1181">SUM(XM7:XM35)</f>
        <v>694676.14</v>
      </c>
      <c r="XN36" s="728">
        <f t="shared" ref="XN36" si="1182">XM36/XK36</f>
        <v>1.0076246750998674</v>
      </c>
      <c r="XO36" s="781">
        <f>SUM(XO7:XO35)</f>
        <v>2799885.58</v>
      </c>
      <c r="XP36" s="781">
        <f>SUM(XP7:XP35)</f>
        <v>2344110.0362999998</v>
      </c>
      <c r="XQ36" s="781">
        <f>SUM(XQ7:XQ35)</f>
        <v>2515894.1599999997</v>
      </c>
      <c r="XR36" s="782">
        <f t="shared" ref="XR36" si="1183">XQ36/XO36</f>
        <v>0.89857034800686375</v>
      </c>
      <c r="XS36" s="586">
        <f>SUM(XS7:XS35)</f>
        <v>446142.93</v>
      </c>
      <c r="XT36" s="586">
        <f>SUM(XT7:XT35)</f>
        <v>297443.73199199996</v>
      </c>
      <c r="XU36" s="704">
        <f>SUM(XU7:XU35)</f>
        <v>319941.80999999994</v>
      </c>
      <c r="XV36" s="705">
        <f t="shared" ref="XV36" si="1184">XU36/XS36</f>
        <v>0.71712849960437552</v>
      </c>
      <c r="XW36" s="586">
        <f>SUM(XW7:XW35)</f>
        <v>303553.01000000018</v>
      </c>
      <c r="XX36" s="586">
        <f>SUM(XX7:XX35)</f>
        <v>302299.79551199998</v>
      </c>
      <c r="XY36" s="704">
        <f t="shared" ref="XY36" si="1185">SUM(XY7:XY35)</f>
        <v>270288.70999999996</v>
      </c>
      <c r="XZ36" s="705">
        <f t="shared" ref="XZ36" si="1186">XY36/XW36</f>
        <v>0.89041683361993285</v>
      </c>
      <c r="YA36" s="586">
        <f>SUM(YA7:YA35)</f>
        <v>317615.33999999997</v>
      </c>
      <c r="YB36" s="586">
        <f>SUM(YB7:YB35)</f>
        <v>302299.79551199998</v>
      </c>
      <c r="YC36" s="704">
        <f t="shared" ref="YC36" si="1187">SUM(YC7:YC35)</f>
        <v>253507.22000000003</v>
      </c>
      <c r="YD36" s="705">
        <f t="shared" ref="YD36" si="1188">YC36/YA36</f>
        <v>0.79815798569426799</v>
      </c>
      <c r="YE36" s="586">
        <f>SUM(YE7:YE35)</f>
        <v>317871.67000000004</v>
      </c>
      <c r="YF36" s="586">
        <f>SUM(YF7:YF35)</f>
        <v>302299.79551199998</v>
      </c>
      <c r="YG36" s="704">
        <f t="shared" ref="YG36" si="1189">SUM(YG7:YG35)</f>
        <v>261740.83000000002</v>
      </c>
      <c r="YH36" s="705">
        <f t="shared" ref="YH36" si="1190">YG36/YE36</f>
        <v>0.82341666371211997</v>
      </c>
      <c r="YI36" s="586">
        <f>SUM(YI7:YI35)</f>
        <v>365434.93999999983</v>
      </c>
      <c r="YJ36" s="586">
        <f>SUM(YJ7:YJ35)</f>
        <v>352683.09476400004</v>
      </c>
      <c r="YK36" s="704">
        <f t="shared" ref="YK36" si="1191">SUM(YK7:YK35)</f>
        <v>318962.58</v>
      </c>
      <c r="YL36" s="705">
        <f t="shared" ref="YL36" si="1192">YK36/YI36</f>
        <v>0.87283000361158725</v>
      </c>
      <c r="YM36" s="586">
        <f>SUM(YM7:YM35)</f>
        <v>495327.67000000004</v>
      </c>
      <c r="YN36" s="586">
        <f>SUM(YN7:YN35)</f>
        <v>403066.39401599998</v>
      </c>
      <c r="YO36" s="704">
        <f t="shared" ref="YO36" si="1193">SUM(YO7:YO35)</f>
        <v>440234.33999999991</v>
      </c>
      <c r="YP36" s="705">
        <f t="shared" ref="YP36" si="1194">YO36/YM36</f>
        <v>0.8887739705718436</v>
      </c>
      <c r="YQ36" s="586">
        <f>SUM(YQ7:YQ35)</f>
        <v>790566.72</v>
      </c>
      <c r="YR36" s="586">
        <f>SUM(YR7:YR35)</f>
        <v>554216.29177200003</v>
      </c>
      <c r="YS36" s="704">
        <f t="shared" ref="YS36" si="1195">SUM(YS7:YS35)</f>
        <v>693284.63</v>
      </c>
      <c r="YT36" s="705">
        <f t="shared" ref="YT36" si="1196">YS36/YQ36</f>
        <v>0.87694638853504991</v>
      </c>
      <c r="YU36" s="781">
        <f>SUM(YU7:YU35)</f>
        <v>3036512.28</v>
      </c>
      <c r="YV36" s="781">
        <f>SUM(YV7:YV35)</f>
        <v>2514308.8990800004</v>
      </c>
      <c r="YW36" s="781">
        <f>SUM(YW7:YW35)</f>
        <v>2557960.12</v>
      </c>
      <c r="YX36" s="782">
        <f t="shared" ref="YX36" si="1197">YW36/YU36</f>
        <v>0.84240071639031877</v>
      </c>
      <c r="YY36" s="586">
        <f>SUM(YY7:YY35)</f>
        <v>443740.89</v>
      </c>
      <c r="YZ36" s="586">
        <f>SUM(YZ7:YZ35)</f>
        <v>370052.45717999997</v>
      </c>
      <c r="ZA36" s="727">
        <f>SUM(ZA7:ZA35)</f>
        <v>368110.48000000016</v>
      </c>
      <c r="ZB36" s="728">
        <f t="shared" ref="ZB36" si="1198">ZA36/YY36</f>
        <v>0.82956177421467769</v>
      </c>
      <c r="ZC36" s="586">
        <f>SUM(ZC7:ZC35)</f>
        <v>367748.94000000006</v>
      </c>
      <c r="ZD36" s="586">
        <f>SUM(ZD7:ZD35)</f>
        <v>370052.45717999997</v>
      </c>
      <c r="ZE36" s="727">
        <f t="shared" ref="ZE36" si="1199">SUM(ZE7:ZE35)</f>
        <v>320728.08999999991</v>
      </c>
      <c r="ZF36" s="728">
        <f t="shared" ref="ZF36" si="1200">ZE36/ZC36</f>
        <v>0.87213872050861618</v>
      </c>
      <c r="ZG36" s="586">
        <f>SUM(ZG7:ZG35)</f>
        <v>436249.44000000006</v>
      </c>
      <c r="ZH36" s="586">
        <f>SUM(ZH7:ZH35)</f>
        <v>370052.45717999997</v>
      </c>
      <c r="ZI36" s="727">
        <f t="shared" ref="ZI36" si="1201">SUM(ZI7:ZI35)</f>
        <v>382111.04</v>
      </c>
      <c r="ZJ36" s="728">
        <f t="shared" ref="ZJ36" si="1202">ZI36/ZG36</f>
        <v>0.8759003564566179</v>
      </c>
      <c r="ZK36" s="586">
        <f>SUM(ZK7:ZK35)</f>
        <v>569579.20000000019</v>
      </c>
      <c r="ZL36" s="586">
        <f>SUM(ZL7:ZL35)</f>
        <v>370052.45717999997</v>
      </c>
      <c r="ZM36" s="727">
        <f t="shared" ref="ZM36" si="1203">SUM(ZM7:ZM35)</f>
        <v>435005.61</v>
      </c>
      <c r="ZN36" s="728">
        <f t="shared" ref="ZN36" si="1204">ZM36/ZK36</f>
        <v>0.76373155831533146</v>
      </c>
      <c r="ZO36" s="586">
        <f>SUM(ZO7:ZO35)</f>
        <v>660926.92999999993</v>
      </c>
      <c r="ZP36" s="586">
        <f>SUM(ZP7:ZP35)</f>
        <v>431727.86670999997</v>
      </c>
      <c r="ZQ36" s="727">
        <f t="shared" ref="ZQ36" si="1205">SUM(ZQ7:ZQ35)</f>
        <v>494593</v>
      </c>
      <c r="ZR36" s="728">
        <f t="shared" ref="ZR36" si="1206">ZQ36/ZO36</f>
        <v>0.74833234590698261</v>
      </c>
      <c r="ZS36" s="586">
        <f>SUM(ZS7:ZS35)</f>
        <v>513188.7900000001</v>
      </c>
      <c r="ZT36" s="586">
        <f>SUM(ZT7:ZT35)</f>
        <v>493403.27623999998</v>
      </c>
      <c r="ZU36" s="727">
        <f t="shared" ref="ZU36" si="1207">SUM(ZU7:ZU35)</f>
        <v>679978.95</v>
      </c>
      <c r="ZV36" s="728">
        <f t="shared" ref="ZV36" si="1208">ZU36/ZS36</f>
        <v>1.3250074110153494</v>
      </c>
      <c r="ZW36" s="586">
        <f>SUM(ZW7:ZW35)</f>
        <v>606618.1100000001</v>
      </c>
      <c r="ZX36" s="586">
        <f>SUM(ZX7:ZX35)</f>
        <v>678429.50483000011</v>
      </c>
      <c r="ZY36" s="727">
        <f t="shared" ref="ZY36" si="1209">SUM(ZY7:ZY35)</f>
        <v>968447.04000000027</v>
      </c>
      <c r="ZZ36" s="728">
        <f t="shared" ref="ZZ36" si="1210">ZY36/ZW36</f>
        <v>1.596469053652223</v>
      </c>
      <c r="AAA36" s="781">
        <f>SUM(AAA7:AAA35)</f>
        <v>3598052.3000000003</v>
      </c>
      <c r="AAB36" s="781">
        <f>SUM(AAB7:AAB35)</f>
        <v>3083770.4764999999</v>
      </c>
      <c r="AAC36" s="781">
        <f>SUM(AAC7:AAC35)</f>
        <v>3648974.2099999995</v>
      </c>
      <c r="AAD36" s="782">
        <f t="shared" ref="AAD36" si="1211">AAC36/AAA36</f>
        <v>1.0141526319670227</v>
      </c>
      <c r="AAE36" s="586">
        <f>SUM(AAE7:AAE35)</f>
        <v>392873.06000000011</v>
      </c>
      <c r="AAF36" s="586">
        <f>SUM(AAF7:AAF35)</f>
        <v>289211.457612</v>
      </c>
      <c r="AAG36" s="704">
        <f>SUM(AAG7:AAG35)</f>
        <v>433879.95999999996</v>
      </c>
      <c r="AAH36" s="705">
        <f t="shared" ref="AAH36" si="1212">AAG36/AAE36</f>
        <v>1.1043769710246862</v>
      </c>
      <c r="AAI36" s="586">
        <f>SUM(AAI7:AAI35)</f>
        <v>306725.96999999991</v>
      </c>
      <c r="AAJ36" s="586">
        <f>SUM(AAJ7:AAJ35)</f>
        <v>289211.457612</v>
      </c>
      <c r="AAK36" s="704">
        <f t="shared" ref="AAK36" si="1213">SUM(AAK7:AAK35)</f>
        <v>343813.15</v>
      </c>
      <c r="AAL36" s="705">
        <f t="shared" ref="AAL36" si="1214">AAK36/AAI36</f>
        <v>1.1209130742988607</v>
      </c>
      <c r="AAM36" s="586">
        <f>SUM(AAM7:AAM35)</f>
        <v>308892.57999999996</v>
      </c>
      <c r="AAN36" s="586">
        <f>SUM(AAN7:AAN35)</f>
        <v>289211.457612</v>
      </c>
      <c r="AAO36" s="704">
        <f t="shared" ref="AAO36" si="1215">SUM(AAO7:AAO35)</f>
        <v>256220.4</v>
      </c>
      <c r="AAP36" s="705">
        <f t="shared" ref="AAP36" si="1216">AAO36/AAM36</f>
        <v>0.82948059160242704</v>
      </c>
      <c r="AAQ36" s="586">
        <f>SUM(AAQ7:AAQ35)</f>
        <v>264421.84999999998</v>
      </c>
      <c r="AAR36" s="586">
        <f>SUM(AAR7:AAR35)</f>
        <v>289211.457612</v>
      </c>
      <c r="AAS36" s="704">
        <f t="shared" ref="AAS36" si="1217">SUM(AAS7:AAS35)</f>
        <v>249614.09</v>
      </c>
      <c r="AAT36" s="705">
        <f t="shared" ref="AAT36" si="1218">AAS36/AAQ36</f>
        <v>0.94399948415760659</v>
      </c>
      <c r="AAU36" s="586">
        <f>SUM(AAU7:AAU35)</f>
        <v>312383.47000000003</v>
      </c>
      <c r="AAV36" s="586">
        <f>SUM(AAV7:AAV35)</f>
        <v>337413.36721400003</v>
      </c>
      <c r="AAW36" s="704">
        <f t="shared" ref="AAW36" si="1219">SUM(AAW7:AAW35)</f>
        <v>269688.94000000006</v>
      </c>
      <c r="AAX36" s="705">
        <f t="shared" ref="AAX36" si="1220">AAW36/AAU36</f>
        <v>0.86332653901309198</v>
      </c>
      <c r="AAY36" s="586">
        <f>SUM(AAY7:AAY35)</f>
        <v>383304.04</v>
      </c>
      <c r="AAZ36" s="586">
        <f>SUM(AAZ7:AAZ35)</f>
        <v>385615.27681600006</v>
      </c>
      <c r="ABA36" s="704">
        <f t="shared" ref="ABA36" si="1221">SUM(ABA7:ABA35)</f>
        <v>385151.97000000003</v>
      </c>
      <c r="ABB36" s="705">
        <f t="shared" ref="ABB36" si="1222">ABA36/AAY36</f>
        <v>1.0048210553689965</v>
      </c>
      <c r="ABC36" s="586">
        <f>SUM(ABC7:ABC35)</f>
        <v>689903.48000000021</v>
      </c>
      <c r="ABD36" s="586">
        <f>SUM(ABD7:ABD35)</f>
        <v>530221.00562199997</v>
      </c>
      <c r="ABE36" s="704">
        <f t="shared" ref="ABE36" si="1223">SUM(ABE7:ABE35)</f>
        <v>636116.94000000006</v>
      </c>
      <c r="ABF36" s="705">
        <f t="shared" ref="ABF36" si="1224">ABE36/ABC36</f>
        <v>0.922037587054931</v>
      </c>
      <c r="ABG36" s="757">
        <f>SUM(ABG7:ABG35)</f>
        <v>2658504.4499999997</v>
      </c>
      <c r="ABH36" s="757">
        <f>SUM(ABH7:ABH35)</f>
        <v>2410095.4801000003</v>
      </c>
      <c r="ABI36" s="757">
        <f>SUM(ABI7:ABI35)</f>
        <v>2574485.4500000002</v>
      </c>
      <c r="ABJ36" s="758">
        <f t="shared" ref="ABJ36" si="1225">ABI36/ABG36</f>
        <v>0.96839614092050907</v>
      </c>
      <c r="ABK36" s="586">
        <f>SUM(ABK7:ABK35)</f>
        <v>405975.79999999993</v>
      </c>
      <c r="ABL36" s="586">
        <f>SUM(ABL7:ABL35)</f>
        <v>379973.93491199991</v>
      </c>
      <c r="ABM36" s="727">
        <f>SUM(ABM7:ABM35)</f>
        <v>337167.73000000004</v>
      </c>
      <c r="ABN36" s="728">
        <f t="shared" ref="ABN36" si="1226">ABM36/ABK36</f>
        <v>0.8305118925807895</v>
      </c>
      <c r="ABO36" s="586">
        <f>SUM(ABO7:ABO35)</f>
        <v>284735.87</v>
      </c>
      <c r="ABP36" s="586">
        <f>SUM(ABP7:ABP35)</f>
        <v>379973.93491199991</v>
      </c>
      <c r="ABQ36" s="727">
        <f t="shared" ref="ABQ36" si="1227">SUM(ABQ7:ABQ35)</f>
        <v>275465.47000000003</v>
      </c>
      <c r="ABR36" s="728">
        <f t="shared" ref="ABR36" si="1228">ABQ36/ABO36</f>
        <v>0.96744210696039112</v>
      </c>
      <c r="ABS36" s="586">
        <f>SUM(ABS7:ABS35)</f>
        <v>229299.07999999993</v>
      </c>
      <c r="ABT36" s="586">
        <f>SUM(ABT7:ABT35)</f>
        <v>379973.93491199991</v>
      </c>
      <c r="ABU36" s="727">
        <f t="shared" ref="ABU36" si="1229">SUM(ABU7:ABU35)</f>
        <v>256932.23</v>
      </c>
      <c r="ABV36" s="728">
        <f t="shared" ref="ABV36" si="1230">ABU36/ABS36</f>
        <v>1.1205113862646117</v>
      </c>
      <c r="ABW36" s="586">
        <f>SUM(ABW7:ABW35)</f>
        <v>298038.62999999995</v>
      </c>
      <c r="ABX36" s="586">
        <f>SUM(ABX7:ABX35)</f>
        <v>379973.93491199991</v>
      </c>
      <c r="ABY36" s="727">
        <f t="shared" ref="ABY36" si="1231">SUM(ABY7:ABY35)</f>
        <v>301066.78000000009</v>
      </c>
      <c r="ABZ36" s="728">
        <f t="shared" ref="ABZ36" si="1232">ABY36/ABW36</f>
        <v>1.0101602600978274</v>
      </c>
      <c r="ACA36" s="586">
        <f>SUM(ACA7:ACA35)</f>
        <v>420238.24000000005</v>
      </c>
      <c r="ACB36" s="586">
        <f>SUM(ACB7:ACB35)</f>
        <v>443302.92406399996</v>
      </c>
      <c r="ACC36" s="727">
        <f t="shared" ref="ACC36" si="1233">SUM(ACC7:ACC35)</f>
        <v>336968.75</v>
      </c>
      <c r="ACD36" s="728">
        <f t="shared" ref="ACD36" si="1234">ACC36/ACA36</f>
        <v>0.80185170678422779</v>
      </c>
      <c r="ACE36" s="586">
        <f>SUM(ACE7:ACE35)</f>
        <v>684538.66999999981</v>
      </c>
      <c r="ACF36" s="586">
        <f>SUM(ACF7:ACF35)</f>
        <v>506631.91321600002</v>
      </c>
      <c r="ACG36" s="727">
        <f t="shared" ref="ACG36" si="1235">SUM(ACG7:ACG35)</f>
        <v>499828.01000000007</v>
      </c>
      <c r="ACH36" s="728">
        <f t="shared" ref="ACH36" si="1236">ACG36/ACE36</f>
        <v>0.73016767628335766</v>
      </c>
      <c r="ACI36" s="586">
        <f>SUM(ACI7:ACI35)</f>
        <v>1105358.1199999999</v>
      </c>
      <c r="ACJ36" s="586">
        <f>SUM(ACJ7:ACJ35)</f>
        <v>696618.88067200035</v>
      </c>
      <c r="ACK36" s="727">
        <f t="shared" ref="ACK36" si="1237">SUM(ACK7:ACK35)</f>
        <v>830623.04000000015</v>
      </c>
      <c r="ACL36" s="728">
        <f t="shared" ref="ACL36" si="1238">ACK36/ACI36</f>
        <v>0.75145152052621667</v>
      </c>
      <c r="ACM36" s="757">
        <f>SUM(ACM7:ACM35)</f>
        <v>3428184.4099999997</v>
      </c>
      <c r="ACN36" s="757">
        <f>SUM(ACN7:ACN35)</f>
        <v>3166449.4576000003</v>
      </c>
      <c r="ACO36" s="757">
        <f>SUM(ACO7:ACO35)</f>
        <v>2838052.01</v>
      </c>
      <c r="ACP36" s="758">
        <f t="shared" ref="ACP36" si="1239">ACO36/ACM36</f>
        <v>0.827858618609143</v>
      </c>
      <c r="ACQ36" s="586">
        <f>SUM(ACQ7:ACQ35)</f>
        <v>771216.84000000008</v>
      </c>
      <c r="ACR36" s="586">
        <f>SUM(ACR7:ACR35)</f>
        <v>448902.49112400005</v>
      </c>
      <c r="ACS36" s="704">
        <f>SUM(ACS7:ACS35)</f>
        <v>522844.95000000007</v>
      </c>
      <c r="ACT36" s="705">
        <f t="shared" ref="ACT36" si="1240">ACS36/ACQ36</f>
        <v>0.67794804636268058</v>
      </c>
      <c r="ACU36" s="586">
        <f>SUM(ACU7:ACU35)</f>
        <v>776292.17999999982</v>
      </c>
      <c r="ACV36" s="586">
        <f>SUM(ACV7:ACV35)</f>
        <v>448902.49112400005</v>
      </c>
      <c r="ACW36" s="704">
        <f t="shared" ref="ACW36" si="1241">SUM(ACW7:ACW35)</f>
        <v>545234.44999999995</v>
      </c>
      <c r="ACX36" s="705">
        <f t="shared" ref="ACX36" si="1242">ACW36/ACU36</f>
        <v>0.70235726192681736</v>
      </c>
      <c r="ACY36" s="586">
        <f>SUM(ACY7:ACY35)</f>
        <v>387275.96</v>
      </c>
      <c r="ACZ36" s="586">
        <f>SUM(ACZ7:ACZ35)</f>
        <v>448902.49112400005</v>
      </c>
      <c r="ADA36" s="704">
        <f t="shared" ref="ADA36" si="1243">SUM(ADA7:ADA35)</f>
        <v>353395.34</v>
      </c>
      <c r="ADB36" s="705">
        <f t="shared" ref="ADB36" si="1244">ADA36/ACY36</f>
        <v>0.91251556125508027</v>
      </c>
      <c r="ADC36" s="586">
        <f>SUM(ADC7:ADC35)</f>
        <v>330841.18</v>
      </c>
      <c r="ADD36" s="586">
        <f>SUM(ADD7:ADD35)</f>
        <v>448902.49112400005</v>
      </c>
      <c r="ADE36" s="704">
        <f t="shared" ref="ADE36" si="1245">SUM(ADE7:ADE35)</f>
        <v>316384.66000000003</v>
      </c>
      <c r="ADF36" s="705">
        <f t="shared" ref="ADF36" si="1246">ADE36/ADC36</f>
        <v>0.95630374671012852</v>
      </c>
      <c r="ADG36" s="586">
        <f>SUM(ADG7:ADG35)</f>
        <v>416154.73</v>
      </c>
      <c r="ADH36" s="586">
        <f>SUM(ADH7:ADH35)</f>
        <v>523719.57297800004</v>
      </c>
      <c r="ADI36" s="704">
        <f t="shared" ref="ADI36" si="1247">SUM(ADI7:ADI35)</f>
        <v>358738.04000000004</v>
      </c>
      <c r="ADJ36" s="705">
        <f t="shared" ref="ADJ36" si="1248">ADI36/ADG36</f>
        <v>0.86203042796125384</v>
      </c>
      <c r="ADK36" s="586">
        <f>SUM(ADK7:ADK35)</f>
        <v>533230.89</v>
      </c>
      <c r="ADL36" s="586">
        <f>SUM(ADL7:ADL35)</f>
        <v>598536.65483200003</v>
      </c>
      <c r="ADM36" s="704">
        <f t="shared" ref="ADM36" si="1249">SUM(ADM7:ADM35)</f>
        <v>460127.54</v>
      </c>
      <c r="ADN36" s="705">
        <f t="shared" ref="ADN36" si="1250">ADM36/ADK36</f>
        <v>0.86290488534900889</v>
      </c>
      <c r="ADO36" s="586">
        <f>SUM(ADO7:ADO35)</f>
        <v>807734.85</v>
      </c>
      <c r="ADP36" s="586">
        <f>SUM(ADP7:ADP35)</f>
        <v>822987.90039400011</v>
      </c>
      <c r="ADQ36" s="704">
        <f t="shared" ref="ADQ36" si="1251">SUM(ADQ7:ADQ35)</f>
        <v>699682.87</v>
      </c>
      <c r="ADR36" s="705">
        <f t="shared" ref="ADR36" si="1252">ADQ36/ADO36</f>
        <v>0.86622840403629975</v>
      </c>
      <c r="ADS36" s="757">
        <f>SUM(ADS7:ADS35)</f>
        <v>3909719.0500000003</v>
      </c>
      <c r="ADT36" s="757">
        <f>SUM(ADT7:ADT35)</f>
        <v>3740854.0927000009</v>
      </c>
      <c r="ADU36" s="757">
        <f>SUM(ADU7:ADU35)</f>
        <v>3256407.8499999996</v>
      </c>
      <c r="ADV36" s="758">
        <f t="shared" ref="ADV36" si="1253">ADU36/ADS36</f>
        <v>0.8329007297851746</v>
      </c>
      <c r="ADW36" s="586">
        <f>SUM(ADW7:ADW35)</f>
        <v>499484.29000000004</v>
      </c>
      <c r="ADX36" s="586">
        <f>SUM(ADX7:ADX35)</f>
        <v>437454.78955200006</v>
      </c>
      <c r="ADY36" s="727">
        <f>SUM(ADY7:ADY35)</f>
        <v>426976.03</v>
      </c>
      <c r="ADZ36" s="728">
        <f t="shared" ref="ADZ36" si="1254">ADY36/ADW36</f>
        <v>0.85483375262913674</v>
      </c>
      <c r="AEA36" s="586">
        <f>SUM(AEA7:AEA35)</f>
        <v>435267.21999999991</v>
      </c>
      <c r="AEB36" s="586">
        <f>SUM(AEB7:AEB35)</f>
        <v>437454.78955200006</v>
      </c>
      <c r="AEC36" s="727">
        <f t="shared" ref="AEC36" si="1255">SUM(AEC7:AEC35)</f>
        <v>381276</v>
      </c>
      <c r="AED36" s="728">
        <f t="shared" ref="AED36" si="1256">AEC36/AEA36</f>
        <v>0.87595845145425855</v>
      </c>
      <c r="AEE36" s="586">
        <f>SUM(AEE7:AEE35)</f>
        <v>413394.81000000011</v>
      </c>
      <c r="AEF36" s="586">
        <f>SUM(AEF7:AEF35)</f>
        <v>437454.78955200006</v>
      </c>
      <c r="AEG36" s="727">
        <f t="shared" ref="AEG36" si="1257">SUM(AEG7:AEG35)</f>
        <v>389688</v>
      </c>
      <c r="AEH36" s="728">
        <f t="shared" ref="AEH36" si="1258">AEG36/AEE36</f>
        <v>0.94265334390627664</v>
      </c>
      <c r="AEI36" s="586">
        <f>SUM(AEI7:AEI35)</f>
        <v>388371.68000000005</v>
      </c>
      <c r="AEJ36" s="586">
        <f>SUM(AEJ7:AEJ35)</f>
        <v>437454.78955200006</v>
      </c>
      <c r="AEK36" s="727">
        <f t="shared" ref="AEK36" si="1259">SUM(AEK7:AEK35)</f>
        <v>422997</v>
      </c>
      <c r="AEL36" s="728">
        <f t="shared" ref="AEL36" si="1260">AEK36/AEI36</f>
        <v>1.0891551103829196</v>
      </c>
      <c r="AEM36" s="586">
        <f>SUM(AEM7:AEM35)</f>
        <v>519588.23000000004</v>
      </c>
      <c r="AEN36" s="586">
        <f>SUM(AEN7:AEN35)</f>
        <v>510363.92114399996</v>
      </c>
      <c r="AEO36" s="727">
        <f t="shared" ref="AEO36" si="1261">SUM(AEO7:AEO35)</f>
        <v>431250</v>
      </c>
      <c r="AEP36" s="728">
        <f t="shared" ref="AEP36" si="1262">AEO36/AEM36</f>
        <v>0.82998415880205745</v>
      </c>
      <c r="AEQ36" s="586">
        <f>SUM(AEQ7:AEQ35)</f>
        <v>750017.32000000007</v>
      </c>
      <c r="AER36" s="586">
        <f>SUM(AER7:AER35)</f>
        <v>583273.05273600004</v>
      </c>
      <c r="AES36" s="727">
        <f t="shared" ref="AES36" si="1263">SUM(AES7:AES35)</f>
        <v>379003</v>
      </c>
      <c r="AET36" s="728">
        <f t="shared" ref="AET36" si="1264">AES36/AEQ36</f>
        <v>0.50532566367934006</v>
      </c>
      <c r="AEU36" s="586">
        <f>SUM(AEU7:AEU35)</f>
        <v>1164521.2999999998</v>
      </c>
      <c r="AEV36" s="586">
        <f>SUM(AEV7:AEV35)</f>
        <v>802000.4475120001</v>
      </c>
      <c r="AEW36" s="727">
        <f t="shared" ref="AEW36" si="1265">SUM(AEW7:AEW35)</f>
        <v>905437</v>
      </c>
      <c r="AEX36" s="728">
        <f t="shared" ref="AEX36" si="1266">AEW36/AEU36</f>
        <v>0.77751862503502522</v>
      </c>
      <c r="AEY36" s="757">
        <f>SUM(AEY7:AEY35)</f>
        <v>4100266.4799999995</v>
      </c>
      <c r="AEZ36" s="757">
        <f>SUM(AEZ7:AEZ35)</f>
        <v>3645456.5795999998</v>
      </c>
      <c r="AFA36" s="757">
        <f>SUM(AFA7:AFA35)</f>
        <v>3336627.03</v>
      </c>
      <c r="AFB36" s="758">
        <f t="shared" ref="AFB36" si="1267">AFA36/AEY36</f>
        <v>0.81375858039353588</v>
      </c>
      <c r="AFC36" s="586">
        <f>SUM(AFC7:AFC35)</f>
        <v>684266.86</v>
      </c>
      <c r="AFD36" s="586">
        <f>SUM(AFD7:AFD35)</f>
        <v>551661.24904799985</v>
      </c>
      <c r="AFE36" s="704">
        <f>SUM(AFE7:AFE35)</f>
        <v>487608</v>
      </c>
      <c r="AFF36" s="705">
        <f t="shared" ref="AFF36" si="1268">AFE36/AFC36</f>
        <v>0.7125991751229922</v>
      </c>
      <c r="AFG36" s="586">
        <f>SUM(AFG7:AFG35)</f>
        <v>613882.68999999994</v>
      </c>
      <c r="AFH36" s="586">
        <f>SUM(AFH7:AFH35)</f>
        <v>551661.24904799985</v>
      </c>
      <c r="AFI36" s="704">
        <f t="shared" ref="AFI36" si="1269">SUM(AFI7:AFI35)</f>
        <v>463961.79000000004</v>
      </c>
      <c r="AFJ36" s="705">
        <f t="shared" ref="AFJ36" si="1270">AFI36/AFG36</f>
        <v>0.75578249323172819</v>
      </c>
      <c r="AFK36" s="586">
        <f>SUM(AFK7:AFK35)</f>
        <v>590622.51</v>
      </c>
      <c r="AFL36" s="586">
        <f>SUM(AFL7:AFL35)</f>
        <v>551661.24904799985</v>
      </c>
      <c r="AFM36" s="704">
        <f t="shared" ref="AFM36" si="1271">SUM(AFM7:AFM35)</f>
        <v>529855.21</v>
      </c>
      <c r="AFN36" s="705">
        <f t="shared" ref="AFN36" si="1272">AFM36/AFK36</f>
        <v>0.89711313237959722</v>
      </c>
      <c r="AFO36" s="586">
        <f>SUM(AFO7:AFO35)</f>
        <v>654014.6</v>
      </c>
      <c r="AFP36" s="586">
        <f>SUM(AFP7:AFP35)</f>
        <v>551661.24904799985</v>
      </c>
      <c r="AFQ36" s="704">
        <f t="shared" ref="AFQ36" si="1273">SUM(AFQ7:AFQ35)</f>
        <v>548890.68999999994</v>
      </c>
      <c r="AFR36" s="705">
        <f t="shared" ref="AFR36" si="1274">AFQ36/AFO36</f>
        <v>0.83926366475610781</v>
      </c>
      <c r="AFS36" s="586">
        <f>SUM(AFS7:AFS35)</f>
        <v>740954.75000000012</v>
      </c>
      <c r="AFT36" s="586">
        <f>SUM(AFT7:AFT35)</f>
        <v>643604.79055599985</v>
      </c>
      <c r="AFU36" s="704">
        <f t="shared" ref="AFU36" si="1275">SUM(AFU7:AFU35)</f>
        <v>650302.75</v>
      </c>
      <c r="AFV36" s="705">
        <f t="shared" ref="AFV36" si="1276">AFU36/AFS36</f>
        <v>0.87765514695735458</v>
      </c>
      <c r="AFW36" s="586">
        <f>SUM(AFW7:AFW35)</f>
        <v>928245.13</v>
      </c>
      <c r="AFX36" s="586">
        <f>SUM(AFX7:AFX35)</f>
        <v>735548.33206399996</v>
      </c>
      <c r="AFY36" s="704">
        <f t="shared" ref="AFY36" si="1277">SUM(AFY7:AFY35)</f>
        <v>767601.1399999999</v>
      </c>
      <c r="AFZ36" s="705">
        <f t="shared" ref="AFZ36" si="1278">AFY36/AFW36</f>
        <v>0.82693796626759564</v>
      </c>
      <c r="AGA36" s="586">
        <f>SUM(AGA7:AGA35)</f>
        <v>1449823.14</v>
      </c>
      <c r="AGB36" s="586">
        <f>SUM(AGB7:AGB35)</f>
        <v>1011378.9565879998</v>
      </c>
      <c r="AGC36" s="704">
        <f t="shared" ref="AGC36" si="1279">SUM(AGC7:AGC35)</f>
        <v>1241574.3800000001</v>
      </c>
      <c r="AGD36" s="705">
        <f t="shared" ref="AGD36" si="1280">AGC36/AGA36</f>
        <v>0.85636264572242948</v>
      </c>
      <c r="AGE36" s="718">
        <f>SUM(AGE7:AGE35)</f>
        <v>5534677.0300000012</v>
      </c>
      <c r="AGF36" s="718">
        <f>SUM(AGF7:AGF35)</f>
        <v>4597177.0754000004</v>
      </c>
      <c r="AGG36" s="718">
        <f>SUM(AGG7:AGG35)</f>
        <v>4689793.96</v>
      </c>
      <c r="AGH36" s="719">
        <f t="shared" ref="AGH36" si="1281">AGG36/AGE36</f>
        <v>0.84734735822516438</v>
      </c>
      <c r="AGI36" s="586">
        <f>SUM(AGI7:AGI35)</f>
        <v>955806.51000000013</v>
      </c>
      <c r="AGJ36" s="586">
        <f>SUM(AGJ7:AGJ35)</f>
        <v>694551.33465600002</v>
      </c>
      <c r="AGK36" s="727">
        <f>SUM(AGK7:AGK35)</f>
        <v>659379.77</v>
      </c>
      <c r="AGL36" s="728">
        <f t="shared" ref="AGL36" si="1282">AGK36/AGI36</f>
        <v>0.68986741887748804</v>
      </c>
      <c r="AGM36" s="586">
        <f>SUM(AGM7:AGM35)</f>
        <v>621403.99</v>
      </c>
      <c r="AGN36" s="586">
        <f>SUM(AGN7:AGN35)</f>
        <v>694551.33465600002</v>
      </c>
      <c r="AGO36" s="727">
        <f t="shared" ref="AGO36" si="1283">SUM(AGO7:AGO35)</f>
        <v>595361.93999999983</v>
      </c>
      <c r="AGP36" s="728">
        <f t="shared" ref="AGP36" si="1284">AGO36/AGM36</f>
        <v>0.95809159513121223</v>
      </c>
      <c r="AGQ36" s="586">
        <f>SUM(AGQ7:AGQ35)</f>
        <v>763236.61</v>
      </c>
      <c r="AGR36" s="586">
        <f>SUM(AGR7:AGR35)</f>
        <v>694551.33465600002</v>
      </c>
      <c r="AGS36" s="727">
        <f t="shared" ref="AGS36" si="1285">SUM(AGS7:AGS35)</f>
        <v>573830.11</v>
      </c>
      <c r="AGT36" s="728">
        <f t="shared" ref="AGT36" si="1286">AGS36/AGQ36</f>
        <v>0.75183776889318765</v>
      </c>
      <c r="AGU36" s="586">
        <f>SUM(AGU7:AGU35)</f>
        <v>825277.39999999991</v>
      </c>
      <c r="AGV36" s="586">
        <f>SUM(AGV7:AGV35)</f>
        <v>694551.33465600002</v>
      </c>
      <c r="AGW36" s="727">
        <f t="shared" ref="AGW36" si="1287">SUM(AGW7:AGW35)</f>
        <v>674603.7300000001</v>
      </c>
      <c r="AGX36" s="728">
        <f t="shared" ref="AGX36" si="1288">AGW36/AGU36</f>
        <v>0.81742663739489307</v>
      </c>
      <c r="AGY36" s="586">
        <f>SUM(AGY7:AGY35)</f>
        <v>952264.57</v>
      </c>
      <c r="AGZ36" s="586">
        <f>SUM(AGZ7:AGZ35)</f>
        <v>810309.89043200016</v>
      </c>
      <c r="AHA36" s="727">
        <f t="shared" ref="AHA36" si="1289">SUM(AHA7:AHA35)</f>
        <v>685864.4600000002</v>
      </c>
      <c r="AHB36" s="728">
        <f t="shared" ref="AHB36" si="1290">AHA36/AGY36</f>
        <v>0.7202456981046772</v>
      </c>
      <c r="AHC36" s="586">
        <f>SUM(AHC7:AHC35)</f>
        <v>1162645.31</v>
      </c>
      <c r="AHD36" s="586">
        <f>SUM(AHD7:AHD35)</f>
        <v>926068.44620799983</v>
      </c>
      <c r="AHE36" s="727">
        <f t="shared" ref="AHE36" si="1291">SUM(AHE7:AHE35)</f>
        <v>854773.25</v>
      </c>
      <c r="AHF36" s="728">
        <f t="shared" ref="AHF36" si="1292">AHE36/AHC36</f>
        <v>0.73519691917047336</v>
      </c>
      <c r="AHG36" s="586">
        <f>SUM(AHG7:AHG35)</f>
        <v>1601609.4099999997</v>
      </c>
      <c r="AHH36" s="586">
        <f>SUM(AHH7:AHH35)</f>
        <v>1273344.1135359998</v>
      </c>
      <c r="AHI36" s="727">
        <f t="shared" ref="AHI36" si="1293">SUM(AHI7:AHI35)</f>
        <v>1285966.8</v>
      </c>
      <c r="AHJ36" s="728">
        <f t="shared" ref="AHJ36" si="1294">AHI36/AHG36</f>
        <v>0.80292160621109254</v>
      </c>
      <c r="AHK36" s="718">
        <f>SUM(AHK7:AHK35)</f>
        <v>6699436.1500000004</v>
      </c>
      <c r="AHL36" s="718">
        <f>SUM(AHL7:AHL35)</f>
        <v>5787927.7888000002</v>
      </c>
      <c r="AHM36" s="718">
        <f>SUM(AHM7:AHM35)</f>
        <v>5329780.0599999996</v>
      </c>
      <c r="AHN36" s="719">
        <f t="shared" ref="AHN36" si="1295">AHM36/AHK36</f>
        <v>0.79555651261785654</v>
      </c>
      <c r="AHO36" s="586">
        <f>SUM(AHO7:AHO35)</f>
        <v>1171256.4799999995</v>
      </c>
      <c r="AHP36" s="586">
        <f>SUM(AHP7:AHP35)</f>
        <v>920696.25831599999</v>
      </c>
      <c r="AHQ36" s="704">
        <f>SUM(AHQ7:AHQ35)</f>
        <v>808690.4299999997</v>
      </c>
      <c r="AHR36" s="705">
        <f t="shared" ref="AHR36" si="1296">AHQ36/AHO36</f>
        <v>0.69044692072909597</v>
      </c>
      <c r="AHS36" s="586">
        <f>SUM(AHS7:AHS35)</f>
        <v>1083472.43</v>
      </c>
      <c r="AHT36" s="586">
        <f>SUM(AHT7:AHT35)</f>
        <v>920696.25831599999</v>
      </c>
      <c r="AHU36" s="704">
        <f t="shared" ref="AHU36" si="1297">SUM(AHU7:AHU35)</f>
        <v>805309.06999999972</v>
      </c>
      <c r="AHV36" s="705">
        <f t="shared" ref="AHV36" si="1298">AHU36/AHS36</f>
        <v>0.74326678529328127</v>
      </c>
      <c r="AHW36" s="586">
        <f>SUM(AHW7:AHW35)</f>
        <v>1079902.94</v>
      </c>
      <c r="AHX36" s="586">
        <f>SUM(AHX7:AHX35)</f>
        <v>920696.25831599999</v>
      </c>
      <c r="AHY36" s="704">
        <f t="shared" ref="AHY36" si="1299">SUM(AHY7:AHY35)</f>
        <v>801036.4099999998</v>
      </c>
      <c r="AHZ36" s="705">
        <f t="shared" ref="AHZ36" si="1300">AHY36/AHW36</f>
        <v>0.74176704250846826</v>
      </c>
      <c r="AIA36" s="586">
        <f>SUM(AIA7:AIA35)</f>
        <v>1150427.4699999997</v>
      </c>
      <c r="AIB36" s="586">
        <f>SUM(AIB7:AIB35)</f>
        <v>920696.25831599999</v>
      </c>
      <c r="AIC36" s="704">
        <f t="shared" ref="AIC36" si="1301">SUM(AIC7:AIC35)</f>
        <v>926727.17999999993</v>
      </c>
      <c r="AID36" s="705">
        <f t="shared" ref="AID36" si="1302">AIC36/AIA36</f>
        <v>0.80555028818983276</v>
      </c>
      <c r="AIE36" s="586">
        <f>SUM(AIE7:AIE35)</f>
        <v>1151368.82</v>
      </c>
      <c r="AIF36" s="586">
        <f>SUM(AIF7:AIF35)</f>
        <v>1074145.6347020003</v>
      </c>
      <c r="AIG36" s="704">
        <f t="shared" ref="AIG36" si="1303">SUM(AIG7:AIG35)</f>
        <v>1013698.2999999999</v>
      </c>
      <c r="AIH36" s="705">
        <f t="shared" ref="AIH36" si="1304">AIG36/AIE36</f>
        <v>0.88042882731529926</v>
      </c>
      <c r="AII36" s="586">
        <f>SUM(AII7:AII35)</f>
        <v>1363708.6399999997</v>
      </c>
      <c r="AIJ36" s="586">
        <f>SUM(AIJ7:AIJ35)</f>
        <v>1227595.0110880001</v>
      </c>
      <c r="AIK36" s="704">
        <f t="shared" ref="AIK36" si="1305">SUM(AIK7:AIK35)</f>
        <v>1084261.1399999999</v>
      </c>
      <c r="AIL36" s="705">
        <f t="shared" ref="AIL36" si="1306">AIK36/AII36</f>
        <v>0.79508269449697122</v>
      </c>
      <c r="AIM36" s="586">
        <f>SUM(AIM7:AIM35)</f>
        <v>1846192.5899999999</v>
      </c>
      <c r="AIN36" s="586">
        <f>SUM(AIN7:AIN35)</f>
        <v>1687943.1402460001</v>
      </c>
      <c r="AIO36" s="704">
        <f t="shared" ref="AIO36" si="1307">SUM(AIO7:AIO35)</f>
        <v>1489667.62</v>
      </c>
      <c r="AIP36" s="705">
        <f t="shared" ref="AIP36" si="1308">AIO36/AIM36</f>
        <v>0.80688636064778063</v>
      </c>
      <c r="AIQ36" s="718">
        <f>SUM(AIQ7:AIQ35)</f>
        <v>8639915.1300000027</v>
      </c>
      <c r="AIR36" s="718">
        <f>SUM(AIR7:AIR35)</f>
        <v>7672468.8192999987</v>
      </c>
      <c r="AIS36" s="718">
        <f>SUM(AIS7:AIS35)</f>
        <v>6929390.1500000004</v>
      </c>
      <c r="AIT36" s="719">
        <f t="shared" ref="AIT36" si="1309">AIS36/AIQ36</f>
        <v>0.8020206270243766</v>
      </c>
      <c r="AIU36" s="586">
        <f>SUM(AIU7:AIU35)</f>
        <v>957886.64159999986</v>
      </c>
      <c r="AIV36" s="586">
        <f>SUM(AIV7:AIV35)</f>
        <v>1382967.5047919997</v>
      </c>
      <c r="AIW36" s="727">
        <f>SUM(AIW7:AIW35)</f>
        <v>1267767.2299999997</v>
      </c>
      <c r="AIX36" s="728">
        <f t="shared" ref="AIX36" si="1310">AIW36/AIU36</f>
        <v>1.3235044471258026</v>
      </c>
      <c r="AIY36" s="586">
        <f>SUM(AIY7:AIY35)</f>
        <v>957886.64159999986</v>
      </c>
      <c r="AIZ36" s="586">
        <f>SUM(AIZ7:AIZ35)</f>
        <v>1382967.5047919997</v>
      </c>
      <c r="AJA36" s="727">
        <f t="shared" ref="AJA36" si="1311">SUM(AJA7:AJA35)</f>
        <v>1466085.4500000002</v>
      </c>
      <c r="AJB36" s="728">
        <f t="shared" ref="AJB36" si="1312">AJA36/AIY36</f>
        <v>1.5305417012091678</v>
      </c>
      <c r="AJC36" s="586">
        <f>SUM(AJC7:AJC35)</f>
        <v>957886.64159999986</v>
      </c>
      <c r="AJD36" s="586">
        <f>SUM(AJD7:AJD35)</f>
        <v>1382967.5047919997</v>
      </c>
      <c r="AJE36" s="727">
        <f t="shared" ref="AJE36" si="1313">SUM(AJE7:AJE35)</f>
        <v>1623958.99</v>
      </c>
      <c r="AJF36" s="728">
        <f t="shared" ref="AJF36" si="1314">AJE36/AJC36</f>
        <v>1.6953561303323224</v>
      </c>
      <c r="AJG36" s="586">
        <f>SUM(AJG7:AJG35)</f>
        <v>957886.64159999986</v>
      </c>
      <c r="AJH36" s="586">
        <f>SUM(AJH7:AJH35)</f>
        <v>1382967.5047919997</v>
      </c>
      <c r="AJI36" s="727">
        <f t="shared" ref="AJI36" si="1315">SUM(AJI7:AJI35)</f>
        <v>1728984.39</v>
      </c>
      <c r="AJJ36" s="728">
        <f t="shared" ref="AJJ36" si="1316">AJI36/AJG36</f>
        <v>1.8049989580311945</v>
      </c>
      <c r="AJK36" s="586">
        <f>SUM(AJK7:AJK35)</f>
        <v>1117534.4152000002</v>
      </c>
      <c r="AJL36" s="586">
        <f>SUM(AJL7:AJL35)</f>
        <v>1613462.0889240003</v>
      </c>
      <c r="AJM36" s="727">
        <f t="shared" ref="AJM36" si="1317">SUM(AJM7:AJM35)</f>
        <v>2303512.9</v>
      </c>
      <c r="AJN36" s="728">
        <f t="shared" ref="AJN36" si="1318">AJM36/AJK36</f>
        <v>2.0612456034186208</v>
      </c>
      <c r="AJO36" s="586">
        <f>SUM(AJO7:AJO35)</f>
        <v>1277182.1888000001</v>
      </c>
      <c r="AJP36" s="586">
        <f>SUM(AJP7:AJP35)</f>
        <v>1843956.6730560001</v>
      </c>
      <c r="AJQ36" s="727">
        <f t="shared" ref="AJQ36" si="1319">SUM(AJQ7:AJQ35)</f>
        <v>2110362.58</v>
      </c>
      <c r="AJR36" s="728">
        <f t="shared" ref="AJR36" si="1320">AJQ36/AJO36</f>
        <v>1.6523582919542825</v>
      </c>
      <c r="AJS36" s="586">
        <f>SUM(AJS7:AJS35)</f>
        <v>1756125.5096</v>
      </c>
      <c r="AJT36" s="586">
        <f>SUM(AJT7:AJT35)</f>
        <v>2481728.9386999989</v>
      </c>
      <c r="AJU36" s="727">
        <f t="shared" ref="AJU36" si="1321">SUM(AJU7:AJU35)</f>
        <v>12562.96</v>
      </c>
      <c r="AJV36" s="728">
        <f t="shared" ref="AJV36" si="1322">AJU36/AJS36</f>
        <v>7.1537939237962082E-3</v>
      </c>
      <c r="AJW36" s="718">
        <f>SUM(AJW7:AJW35)</f>
        <v>7982388.6799999997</v>
      </c>
      <c r="AJX36" s="718">
        <f>SUM(AJX7:AJX35)</f>
        <v>11471017.719848001</v>
      </c>
      <c r="AJY36" s="718">
        <f>SUM(AJY7:AJY35)</f>
        <v>10513234.5</v>
      </c>
      <c r="AJZ36" s="719">
        <f t="shared" ref="AJZ36" si="1323">AJY36/AJW36</f>
        <v>1.3170536942583457</v>
      </c>
      <c r="AKA36" s="586">
        <f>SUM(AKA7:AKA35)</f>
        <v>345342.67440000002</v>
      </c>
      <c r="AKB36" s="586">
        <f>SUM(AKB7:AKB35)</f>
        <v>334550.14279199997</v>
      </c>
      <c r="AKC36" s="704">
        <f>SUM(AKC7:AKC35)</f>
        <v>420824.05</v>
      </c>
      <c r="AKD36" s="705">
        <f t="shared" ref="AKD36" si="1324">AKC36/AKA36</f>
        <v>1.2185694997907273</v>
      </c>
      <c r="AKE36" s="586">
        <f>SUM(AKE7:AKE35)</f>
        <v>345342.67440000002</v>
      </c>
      <c r="AKF36" s="586">
        <f>SUM(AKF7:AKF35)</f>
        <v>334550.14279199997</v>
      </c>
      <c r="AKG36" s="704">
        <f t="shared" ref="AKG36" si="1325">SUM(AKG7:AKG35)</f>
        <v>490438.2099999999</v>
      </c>
      <c r="AKH36" s="705">
        <f t="shared" ref="AKH36" si="1326">AKG36/AKE36</f>
        <v>1.4201494525751546</v>
      </c>
      <c r="AKI36" s="586">
        <f>SUM(AKI7:AKI35)</f>
        <v>345342.67440000002</v>
      </c>
      <c r="AKJ36" s="586">
        <f>SUM(AKJ7:AKJ35)</f>
        <v>334550.14279199997</v>
      </c>
      <c r="AKK36" s="704">
        <f t="shared" ref="AKK36" si="1327">SUM(AKK7:AKK35)</f>
        <v>452417.74000000011</v>
      </c>
      <c r="AKL36" s="705">
        <f t="shared" ref="AKL36" si="1328">AKK36/AKI36</f>
        <v>1.3100545444782716</v>
      </c>
      <c r="AKM36" s="586">
        <f>SUM(AKM7:AKM35)</f>
        <v>345342.67440000002</v>
      </c>
      <c r="AKN36" s="586">
        <f>SUM(AKN7:AKN35)</f>
        <v>334550.14279199997</v>
      </c>
      <c r="AKO36" s="704">
        <f t="shared" ref="AKO36" si="1329">SUM(AKO7:AKO35)</f>
        <v>503006.02999999997</v>
      </c>
      <c r="AKP36" s="705">
        <f t="shared" ref="AKP36" si="1330">AKO36/AKM36</f>
        <v>1.4565417693423641</v>
      </c>
      <c r="AKQ36" s="586">
        <f>SUM(AKQ7:AKQ35)</f>
        <v>402899.78680000006</v>
      </c>
      <c r="AKR36" s="586">
        <f>SUM(AKR7:AKR35)</f>
        <v>390308.49992399995</v>
      </c>
      <c r="AKS36" s="704">
        <f t="shared" ref="AKS36" si="1331">SUM(AKS7:AKS35)</f>
        <v>619965.68000000005</v>
      </c>
      <c r="AKT36" s="705">
        <f t="shared" ref="AKT36" si="1332">AKS36/AKQ36</f>
        <v>1.5387590172832526</v>
      </c>
      <c r="AKU36" s="586">
        <f>SUM(AKU7:AKU35)</f>
        <v>460456.89919999999</v>
      </c>
      <c r="AKV36" s="586">
        <f>SUM(AKV7:AKV35)</f>
        <v>446066.85705599992</v>
      </c>
      <c r="AKW36" s="704">
        <f t="shared" ref="AKW36" si="1333">SUM(AKW7:AKW35)</f>
        <v>516762.64</v>
      </c>
      <c r="AKX36" s="705">
        <f t="shared" ref="AKX36" si="1334">AKW36/AKU36</f>
        <v>1.1222823263107271</v>
      </c>
      <c r="AKY36" s="586">
        <f>SUM(AKY7:AKY35)</f>
        <v>633128.23639999994</v>
      </c>
      <c r="AKZ36" s="586">
        <f>SUM(AKZ7:AKZ35)</f>
        <v>613341.92845199991</v>
      </c>
      <c r="ALA36" s="704">
        <f t="shared" ref="ALA36" si="1335">SUM(ALA7:ALA35)</f>
        <v>3363.6</v>
      </c>
      <c r="ALB36" s="705">
        <f t="shared" ref="ALB36" si="1336">ALA36/AKY36</f>
        <v>5.3126678082241353E-3</v>
      </c>
      <c r="ALC36" s="718">
        <f>SUM(ALC7:ALC35)</f>
        <v>2877855.6199999996</v>
      </c>
      <c r="ALD36" s="718">
        <f>SUM(ALD7:ALD35)</f>
        <v>2787917.8566000001</v>
      </c>
      <c r="ALE36" s="718">
        <f>SUM(ALE7:ALE35)</f>
        <v>3006777.95</v>
      </c>
      <c r="ALF36" s="719">
        <f t="shared" ref="ALF36" si="1337">ALE36/ALC36</f>
        <v>1.0447980534895633</v>
      </c>
    </row>
    <row r="37" spans="1:994">
      <c r="B37" s="444"/>
      <c r="C37" s="587"/>
      <c r="D37" s="515"/>
      <c r="E37" s="515"/>
      <c r="F37" s="383"/>
      <c r="G37" s="515"/>
      <c r="H37" s="515"/>
      <c r="I37" s="515"/>
      <c r="J37" s="383"/>
      <c r="K37" s="515"/>
      <c r="L37" s="515"/>
      <c r="M37" s="515"/>
      <c r="N37" s="383"/>
      <c r="O37" s="515"/>
      <c r="P37" s="515"/>
      <c r="Q37" s="515"/>
      <c r="R37" s="383"/>
      <c r="S37" s="515"/>
      <c r="T37" s="515"/>
      <c r="U37" s="515"/>
      <c r="V37" s="383"/>
      <c r="W37" s="515"/>
      <c r="X37" s="515"/>
      <c r="Y37" s="515"/>
      <c r="Z37" s="383"/>
      <c r="AA37" s="515"/>
      <c r="AB37" s="515"/>
      <c r="AC37" s="515"/>
      <c r="AD37" s="383"/>
      <c r="AE37" s="515"/>
      <c r="AF37" s="515"/>
      <c r="AH37" s="383"/>
      <c r="PC37" s="587"/>
      <c r="PD37" s="515"/>
      <c r="PE37" s="515"/>
      <c r="PF37" s="383"/>
      <c r="PG37" s="515"/>
      <c r="PH37" s="515"/>
      <c r="PI37" s="515"/>
      <c r="PJ37" s="383"/>
      <c r="PK37" s="515"/>
      <c r="PL37" s="515"/>
      <c r="PM37" s="515"/>
      <c r="PN37" s="383"/>
      <c r="PO37" s="515"/>
      <c r="PP37" s="515"/>
      <c r="PQ37" s="515"/>
      <c r="PR37" s="383"/>
      <c r="PS37" s="515"/>
      <c r="PT37" s="515"/>
      <c r="PU37" s="515"/>
      <c r="PV37" s="383"/>
      <c r="PW37" s="515"/>
      <c r="PX37" s="515"/>
      <c r="PY37" s="515"/>
      <c r="PZ37" s="383"/>
      <c r="QA37" s="515"/>
      <c r="QB37" s="515"/>
      <c r="QC37" s="515"/>
      <c r="QD37" s="383"/>
      <c r="QE37" s="515"/>
      <c r="QF37" s="515"/>
      <c r="QH37" s="383"/>
      <c r="ADC37" s="499"/>
      <c r="AFC37" s="587"/>
      <c r="AFD37" s="515"/>
      <c r="AFE37" s="515"/>
      <c r="AFF37" s="383"/>
      <c r="AFG37" s="515"/>
      <c r="AFH37" s="515"/>
      <c r="AFI37" s="515"/>
      <c r="AFJ37" s="383"/>
      <c r="AFK37" s="515"/>
      <c r="AFL37" s="515"/>
      <c r="AFM37" s="515"/>
      <c r="AFN37" s="383"/>
      <c r="AFO37" s="515"/>
      <c r="AFP37" s="515"/>
      <c r="AFQ37" s="515"/>
      <c r="AFR37" s="383"/>
      <c r="AFS37" s="515"/>
      <c r="AFT37" s="515"/>
      <c r="AFU37" s="515"/>
      <c r="AFV37" s="383"/>
      <c r="AFW37" s="515"/>
      <c r="AFX37" s="515"/>
      <c r="AFY37" s="515"/>
      <c r="AFZ37" s="383"/>
      <c r="AGA37" s="515"/>
      <c r="AGB37" s="515"/>
      <c r="AGC37" s="515"/>
      <c r="AGD37" s="383"/>
      <c r="AGE37" s="515"/>
      <c r="AGF37" s="515"/>
      <c r="AGH37" s="383"/>
    </row>
    <row r="38" spans="1:994" ht="21" customHeight="1" outlineLevel="1">
      <c r="A38" s="1495"/>
      <c r="B38" s="428" t="s">
        <v>480</v>
      </c>
      <c r="C38" s="432"/>
      <c r="D38" s="432"/>
      <c r="E38" s="433"/>
      <c r="F38" s="432"/>
      <c r="G38" s="433"/>
      <c r="H38" s="432"/>
      <c r="I38" s="432"/>
      <c r="J38" s="433"/>
      <c r="K38" s="432"/>
      <c r="L38" s="433"/>
      <c r="M38" s="432"/>
      <c r="N38" s="432"/>
      <c r="O38" s="433"/>
      <c r="P38" s="432"/>
      <c r="Q38" s="433"/>
      <c r="R38" s="432"/>
      <c r="S38" s="432"/>
      <c r="T38" s="433"/>
      <c r="U38" s="432"/>
      <c r="V38" s="433"/>
      <c r="W38" s="433"/>
      <c r="X38" s="433"/>
      <c r="Y38" s="433"/>
      <c r="Z38" s="433"/>
      <c r="AA38" s="432"/>
      <c r="AB38" s="432"/>
      <c r="AC38" s="433"/>
      <c r="AD38" s="432"/>
      <c r="AE38" s="433"/>
      <c r="AF38" s="432"/>
      <c r="AG38" s="432"/>
      <c r="AH38" s="433"/>
      <c r="AI38" s="432"/>
      <c r="AJ38" s="433"/>
      <c r="AK38" s="432"/>
      <c r="AL38" s="432"/>
      <c r="AM38" s="433"/>
      <c r="AN38" s="432"/>
      <c r="AO38" s="433"/>
      <c r="AP38" s="432"/>
      <c r="AQ38" s="432"/>
      <c r="AR38" s="433"/>
      <c r="AS38" s="432"/>
      <c r="AT38" s="433"/>
      <c r="AU38" s="433"/>
      <c r="AV38" s="433"/>
      <c r="AW38" s="433"/>
      <c r="AX38" s="433"/>
      <c r="AY38" s="432"/>
      <c r="AZ38" s="432"/>
      <c r="BA38" s="433"/>
      <c r="BB38" s="432"/>
      <c r="BC38" s="433"/>
      <c r="BD38" s="432"/>
      <c r="BE38" s="432"/>
      <c r="BF38" s="433"/>
      <c r="BG38" s="432"/>
      <c r="BH38" s="433"/>
      <c r="BI38" s="432"/>
      <c r="BJ38" s="432"/>
      <c r="BK38" s="433"/>
      <c r="BL38" s="432"/>
      <c r="BM38" s="448"/>
      <c r="BN38" s="451" t="e">
        <f>BN6+BN7+BN9+BN13+BN14+BN15+BN17</f>
        <v>#DIV/0!</v>
      </c>
      <c r="BO38" s="432">
        <f>BO6+BO7+BO9+BO13+BO14+BO15+BO17</f>
        <v>120635.67839999998</v>
      </c>
      <c r="BP38" s="433" t="e">
        <f t="shared" ref="BP38:BP45" si="1338">BO38/BN38</f>
        <v>#DIV/0!</v>
      </c>
      <c r="BQ38" s="432">
        <f>BQ6+BQ7+BQ9+BQ13+BQ14+BQ15+BQ17</f>
        <v>112239.31000000001</v>
      </c>
      <c r="BR38" s="425" t="e">
        <f t="shared" ref="BR38:BR45" si="1339">BQ38/BN38</f>
        <v>#DIV/0!</v>
      </c>
      <c r="BS38" s="451">
        <f>BS6+BS7+BS9+BS13+BS14+BS15+BS17</f>
        <v>120636.67839999998</v>
      </c>
      <c r="BT38" s="432">
        <f>BT6+BT7+BT9+BT13+BT14+BT15+BT17</f>
        <v>111474.56736</v>
      </c>
      <c r="BU38" s="433">
        <f t="shared" ref="BU38:BU41" si="1340">BT38/BS38</f>
        <v>0.92405202827600419</v>
      </c>
      <c r="BV38" s="432">
        <f>BV6+BV7+BV9+BV13+BV14+BV17</f>
        <v>44363.53150360399</v>
      </c>
      <c r="BW38" s="425">
        <f t="shared" ref="BW38:BW41" si="1341">BV38/BS38</f>
        <v>0.36774496854518834</v>
      </c>
      <c r="BX38" s="448"/>
      <c r="BY38" s="432">
        <f>BY6+BY7+BY9+BY13+BY14+BY15+BY17</f>
        <v>112770.56</v>
      </c>
      <c r="BZ38" s="432">
        <f>BZ6+BZ7+BZ9+BZ13+BZ14+BZ15+BZ17</f>
        <v>44365.715171167059</v>
      </c>
      <c r="CA38" s="425">
        <f t="shared" ref="CA38:CA41" si="1342">BZ38/BY38</f>
        <v>0.39341575648083205</v>
      </c>
      <c r="CB38" s="451">
        <f>CB6+CB7+CB9+CB13+CB14+CB15+CB17</f>
        <v>111476.56736</v>
      </c>
      <c r="CC38" s="432">
        <f>CC6+CC7+CC9+CC13+CC14+CC15+CC17</f>
        <v>107833.7</v>
      </c>
      <c r="CD38" s="433">
        <f t="shared" ref="CD38:CD41" si="1343">CC38/CB38</f>
        <v>0.96732167623859633</v>
      </c>
      <c r="CE38" s="432">
        <f>CE6+CE7+CE9+CE13+CE14+CE17</f>
        <v>105950.72380000001</v>
      </c>
      <c r="CF38" s="425">
        <f t="shared" ref="CF38:CF41" si="1344">CE38/CB38</f>
        <v>0.95043044748449279</v>
      </c>
      <c r="CG38" s="451">
        <f>CG6+CG7+CG9+CG13+CG14+CG15+CG17</f>
        <v>118669.59999999999</v>
      </c>
      <c r="CH38" s="432" t="e">
        <f>CH6+CH7+CH9+CH13+CH14+CH15+CH17</f>
        <v>#DIV/0!</v>
      </c>
      <c r="CI38" s="433" t="e">
        <f t="shared" ref="CI38:CI41" si="1345">CH38/CG38</f>
        <v>#DIV/0!</v>
      </c>
      <c r="CJ38" s="432">
        <f>CJ6+CJ7+CJ9+CJ13+CJ14+CJ17+CJ15</f>
        <v>133849.75647999998</v>
      </c>
      <c r="CK38" s="425">
        <f t="shared" ref="CK38:CK41" si="1346">CJ38/CG38</f>
        <v>1.1279195049111146</v>
      </c>
      <c r="CL38" s="451" t="e">
        <f>CL6+CL7+CL9+CL13+CL14+CL15+CL17</f>
        <v>#DIV/0!</v>
      </c>
      <c r="CM38" s="432">
        <f>CM6+CM7+CM9+CM13+CM14+CM17+CM15</f>
        <v>184811.41039999999</v>
      </c>
      <c r="CN38" s="433" t="e">
        <f t="shared" ref="CN38:CN41" si="1347">CM38/CL38</f>
        <v>#DIV/0!</v>
      </c>
      <c r="CO38" s="432">
        <f>CO6+CO7+CO9+CO13+CO14+CO17+CO15</f>
        <v>200860.36</v>
      </c>
      <c r="CP38" s="425" t="e">
        <f t="shared" ref="CP38:CP41" si="1348">CO38/CL38</f>
        <v>#DIV/0!</v>
      </c>
      <c r="CQ38" s="451">
        <f>CQ6+CQ7+CQ9+CQ13+CQ14+CQ15+CQ17</f>
        <v>643716.31999999995</v>
      </c>
      <c r="CR38" s="432">
        <f>CR6+CR7+CR9+CR13+CR14+CR15+CR17</f>
        <v>559279.72799999989</v>
      </c>
      <c r="CS38" s="433">
        <f t="shared" ref="CS38:CS41" si="1349">CR38/CQ38</f>
        <v>0.86882949930491105</v>
      </c>
      <c r="CT38" s="432" t="e">
        <f>CT6+CT7+CT9+CT13+CT14+CT17+CT15</f>
        <v>#DIV/0!</v>
      </c>
      <c r="CU38" s="448" t="e">
        <f t="shared" ref="CU38:CU41" si="1350">CT38/CQ38</f>
        <v>#DIV/0!</v>
      </c>
      <c r="CV38" s="451">
        <f>CV6+CV7+CV9+CV13+CV14+CV15+CV17</f>
        <v>112473.32287199999</v>
      </c>
      <c r="CW38" s="432">
        <f>CW6+CW7+CW9+CW13+CW14+CW17+CW15</f>
        <v>124984.12</v>
      </c>
      <c r="CX38" s="432" t="e">
        <f>CX6+CX7+CX9+CX13+CX14+CX17+CX15</f>
        <v>#DIV/0!</v>
      </c>
      <c r="CY38" s="489" t="e">
        <f t="shared" ref="CY38:CY45" si="1351">CX38/CW38</f>
        <v>#DIV/0!</v>
      </c>
      <c r="CZ38" s="476">
        <f>CZ6+CZ7+CZ9+CZ13+CZ14+CZ15+CZ17</f>
        <v>112474.32287199999</v>
      </c>
      <c r="DA38" s="477">
        <f>DA6+DA7+DA9+DA13+DA14+DA15+DA17</f>
        <v>95037.07</v>
      </c>
      <c r="DB38" s="433">
        <f t="shared" ref="DB38:DB41" si="1352">DA38/CZ38</f>
        <v>0.84496681174205213</v>
      </c>
      <c r="DC38" s="432">
        <f>DC6+DC7+DC9+DC13+DC14+DC17+DC15</f>
        <v>122141.02439999999</v>
      </c>
      <c r="DD38" s="448">
        <f t="shared" ref="DD38:DD41" si="1353">DC38/CZ38</f>
        <v>1.0859458521835341</v>
      </c>
      <c r="DE38" s="476">
        <f>DE6+DE7+DE9+DE13+DE14+DE15+DE17</f>
        <v>104965.94</v>
      </c>
      <c r="DF38" s="477" t="e">
        <f>DF6+DF7+DF9+DF13+DF14+DF15+DF17</f>
        <v>#DIV/0!</v>
      </c>
      <c r="DG38" s="433" t="e">
        <f t="shared" ref="DG38:DG41" si="1354">DF38/DE38</f>
        <v>#DIV/0!</v>
      </c>
      <c r="DH38" s="432">
        <f>DH6+DH7+DH9+DH13+DH14+DH17+DH15</f>
        <v>112476.32287199999</v>
      </c>
      <c r="DI38" s="448">
        <f t="shared" ref="DI38:DI41" si="1355">DH38/DE38</f>
        <v>1.0715506655968592</v>
      </c>
      <c r="DJ38" s="476" t="e">
        <f>DJ6+DJ7+DJ9+DJ13+DJ14+DJ15+DJ17</f>
        <v>#DIV/0!</v>
      </c>
      <c r="DK38" s="477">
        <f>DK6+DK7+DK9+DK13+DK14+DK15+DK17</f>
        <v>135226.36180000001</v>
      </c>
      <c r="DL38" s="433" t="e">
        <f t="shared" ref="DL38:DL41" si="1356">DK38/DJ38</f>
        <v>#DIV/0!</v>
      </c>
      <c r="DM38" s="432">
        <f>DM6+DM7+DM9+DM13+DM14+DM17+DM15</f>
        <v>127460.85</v>
      </c>
      <c r="DN38" s="448" t="e">
        <f t="shared" ref="DN38:DN41" si="1357">DM38/DJ38</f>
        <v>#DIV/0!</v>
      </c>
      <c r="DO38" s="476">
        <f>DO6+DO7+DO9+DO13+DO14+DO15+DO17</f>
        <v>148310.6992</v>
      </c>
      <c r="DP38" s="477">
        <f>DP6+DP7+DP9+DP13+DP14+DP15+DP17</f>
        <v>135180.43049599999</v>
      </c>
      <c r="DQ38" s="433">
        <f t="shared" ref="DQ38:DQ41" si="1358">DP38/DO38</f>
        <v>0.9114678254851083</v>
      </c>
      <c r="DR38" s="432" t="e">
        <f>DR6+DR7+DR9+DR13+DR14+DR17+DR15</f>
        <v>#DIV/0!</v>
      </c>
      <c r="DS38" s="448" t="e">
        <f t="shared" ref="DS38:DS41" si="1359">DR38/DO38</f>
        <v>#DIV/0!</v>
      </c>
      <c r="DT38" s="451">
        <f>DT6+DT7+DT9+DT13+DT14+DT15+DT17</f>
        <v>169234.59193200001</v>
      </c>
      <c r="DU38" s="432">
        <f>DU6+DU7+DU9+DU13+DU14+DU15+DU17</f>
        <v>171882.98</v>
      </c>
      <c r="DV38" s="432" t="e">
        <f>DV6+DV7+DV9+DV13+DV14+DV15+DV17</f>
        <v>#DIV/0!</v>
      </c>
      <c r="DW38" s="419" t="e">
        <f t="shared" ref="DW38:DW41" si="1360">DV38/DU38</f>
        <v>#DIV/0!</v>
      </c>
      <c r="DX38" s="476">
        <f>DX6+DX7+DX9+DX13+DX14+DX15+DX17</f>
        <v>567552.69059999997</v>
      </c>
      <c r="DY38" s="477">
        <f>DY6+DY7+DY9+DY13+DY14+DY15+DY17</f>
        <v>549256.64</v>
      </c>
      <c r="DZ38" s="433">
        <f t="shared" ref="DZ38:DZ41" si="1361">DY38/DX38</f>
        <v>0.96776325634073213</v>
      </c>
      <c r="EA38" s="477">
        <f>EA6+EA7+EA9+EA13+EA14+EA15+EA17</f>
        <v>116931.86839999999</v>
      </c>
      <c r="EB38" s="448">
        <f t="shared" ref="EB38:EB41" si="1362">EA38/DX38</f>
        <v>0.2060282161227763</v>
      </c>
      <c r="EC38" s="476">
        <f>EC6+EC7+EC9+EC13+EC14+EC15+EC17</f>
        <v>130450.65000000001</v>
      </c>
      <c r="ED38" s="477" t="e">
        <f>ED6+ED7+ED9+ED13+ED14+ED15+ED17</f>
        <v>#DIV/0!</v>
      </c>
      <c r="EE38" s="433" t="e">
        <f t="shared" ref="EE38:EE41" si="1363">ED38/EC38</f>
        <v>#DIV/0!</v>
      </c>
      <c r="EF38" s="477">
        <f>EF6+EF7+EF9+EF13+EF14+EF15+EF17</f>
        <v>103074.647444</v>
      </c>
      <c r="EG38" s="448">
        <f t="shared" ref="EG38:EG41" si="1364">EF38/EC38</f>
        <v>0.79014284286049929</v>
      </c>
      <c r="EH38" s="476">
        <f>EH6+EH7+EH9+EH13+EH14+EH15+EH17</f>
        <v>44379.45717165828</v>
      </c>
      <c r="EI38" s="477">
        <f>EI6+EI7+EI9+EI13+EI14+EI15+EI17</f>
        <v>116933.86839999999</v>
      </c>
      <c r="EJ38" s="433">
        <f t="shared" ref="EJ38:EJ41" si="1365">EI38/EH38</f>
        <v>2.63486477420631</v>
      </c>
      <c r="EK38" s="477">
        <f>EK6+EK7+EK9+EK13+EK14+EK15+EK17</f>
        <v>108848.01999999999</v>
      </c>
      <c r="EL38" s="448">
        <f t="shared" ref="EL38:EL41" si="1366">EK38/EH38</f>
        <v>2.4526667728038998</v>
      </c>
      <c r="EM38" s="476">
        <f>EM6+EM7+EM9+EM13+EM14+EM15+EM17</f>
        <v>116934.86839999999</v>
      </c>
      <c r="EN38" s="477">
        <f>EN6+EN7+EN9+EN13+EN14+EN15+EN17</f>
        <v>103076.647444</v>
      </c>
      <c r="EO38" s="433">
        <f t="shared" ref="EO38:EO41" si="1367">EN38/EM38</f>
        <v>0.88148769357147549</v>
      </c>
      <c r="EP38" s="477" t="e">
        <f>EP6+EP7+EP9+EP13+EP14+EP15+EP17</f>
        <v>#DIV/0!</v>
      </c>
      <c r="EQ38" s="448" t="e">
        <f t="shared" ref="EQ38:EQ41" si="1368">EP38/EM38</f>
        <v>#DIV/0!</v>
      </c>
      <c r="ER38" s="476">
        <f>ER6+ER7+ER9+ER13+ER14+ER15+ER17</f>
        <v>112860.922018</v>
      </c>
      <c r="ES38" s="477">
        <f>ES6+ES7+ES9+ES13+ES14+ES15+ES17</f>
        <v>123919.06999999999</v>
      </c>
      <c r="ET38" s="433">
        <f t="shared" ref="ET38:ET41" si="1369">ES38/ER38</f>
        <v>1.0979803087222373</v>
      </c>
      <c r="EU38" s="477">
        <f>EU6+EU7+EU9+EU13+EU14+EU15+EU17</f>
        <v>141365.49119999999</v>
      </c>
      <c r="EV38" s="448">
        <f t="shared" ref="EV38:EV41" si="1370">EU38/ER38</f>
        <v>1.2525636745857334</v>
      </c>
      <c r="EW38" s="451">
        <f>EW6+EW7+EW9+EW13+EW14+EW15+EW17</f>
        <v>141960.79999999999</v>
      </c>
      <c r="EX38" s="432" t="e">
        <f>EX6+EX7+EX9+EX13+EX14+EX15+EX17</f>
        <v>#DIV/0!</v>
      </c>
      <c r="EY38" s="432">
        <f>EY6+EY7+EY9+EY13+EY14+EY15+EY17</f>
        <v>178009.42540000001</v>
      </c>
      <c r="EZ38" s="425" t="e">
        <f t="shared" ref="EZ38:EZ41" si="1371">EY38/EX38</f>
        <v>#DIV/0!</v>
      </c>
      <c r="FA38" s="476">
        <f>FA6+FA7+FA9+FA13+FA14+FA15+FA17</f>
        <v>172641.29</v>
      </c>
      <c r="FB38" s="477" t="e">
        <f>FB6+FB7+FB9+FB13+FB14+FB15+FB17</f>
        <v>#DIV/0!</v>
      </c>
      <c r="FC38" s="433" t="e">
        <f>FB38/FA38</f>
        <v>#DIV/0!</v>
      </c>
      <c r="FD38" s="1400">
        <f>FD6+FD7+FD9+FD13+FD14+FD15+FD17</f>
        <v>489163.72869999992</v>
      </c>
      <c r="FE38" s="448">
        <f>FD38/FA38</f>
        <v>2.8334109916579044</v>
      </c>
      <c r="FF38" s="476">
        <f>FF6+FF7+FF9+FF13+FF14+FF15+FF17</f>
        <v>2026.1186265580175</v>
      </c>
      <c r="FG38" s="477">
        <f>FG6+FG7+FG9+FG13+FG14+FG15+FG17</f>
        <v>112903.68239999999</v>
      </c>
      <c r="FH38" s="433">
        <f>FG38/FF38</f>
        <v>55.724122428014716</v>
      </c>
      <c r="FI38" s="1400">
        <f>FI6+FI7+FI9+FI13+FI14+FI15+FI17</f>
        <v>120491.67</v>
      </c>
      <c r="FJ38" s="448">
        <f>FI38/FF38</f>
        <v>59.469207982501977</v>
      </c>
      <c r="FK38" s="476">
        <f>FK6+FK7+FK9+FK13+FK14+FK15+FK17</f>
        <v>112904.68239999999</v>
      </c>
      <c r="FL38" s="477">
        <f>FL6+FL7+FL9+FL13+FL14+FL15+FL17</f>
        <v>107525.66159999999</v>
      </c>
      <c r="FM38" s="433">
        <f>FL38/FK38</f>
        <v>0.95235785898636915</v>
      </c>
      <c r="FN38" s="1400">
        <f>FN6+FN7+FN9+FN13+FN14+FN15+FN17</f>
        <v>44387.836021508483</v>
      </c>
      <c r="FO38" s="448">
        <f>FN38/FK38</f>
        <v>0.39314433270580179</v>
      </c>
      <c r="FP38" s="476">
        <f>FP6+FP7+FP9+FP13+FP14+FP15+FP17</f>
        <v>107526.66159999999</v>
      </c>
      <c r="FQ38" s="477">
        <f>FQ6+FQ7+FQ9+FQ13+FQ14+FQ15+FQ17</f>
        <v>107757.64</v>
      </c>
      <c r="FR38" s="433">
        <f>FQ38/FP38</f>
        <v>1.0021481035174258</v>
      </c>
      <c r="FS38" s="1400">
        <f>FS6+FS7+FS9+FS13+FS14+FS15+FS17</f>
        <v>112906.68239999999</v>
      </c>
      <c r="FT38" s="448">
        <f>FS38/FP38</f>
        <v>1.0500342958662077</v>
      </c>
      <c r="FU38" s="451">
        <f>FU6+FU7+FU9+FU13+FU14+FU15+FU17</f>
        <v>110588.66</v>
      </c>
      <c r="FV38" s="432">
        <f>FV6+FV7+FV9+FV13+FV14+FV15+FV17</f>
        <v>44388.977965662023</v>
      </c>
      <c r="FW38" s="432">
        <f>FW6+FW7+FW9+FW13+FW14+FW15+FW17</f>
        <v>124449.46280000001</v>
      </c>
      <c r="FX38" s="454">
        <f t="shared" ref="FX38:FX41" si="1372">FW38/FV38</f>
        <v>2.8036118086852633</v>
      </c>
      <c r="FY38" s="476">
        <f>FY6+FY7+FY9+FY13+FY14+FY15+FY17</f>
        <v>118456.94</v>
      </c>
      <c r="FZ38" s="477">
        <f>FZ6+FZ7+FZ9+FZ13+FZ14+FZ15+FZ17</f>
        <v>44389.771003617912</v>
      </c>
      <c r="GA38" s="433">
        <f>FZ38/FY38</f>
        <v>0.37473339260340432</v>
      </c>
      <c r="GB38" s="1400">
        <f>GB6+GB7+GB9+GB13+GB14+GB15+GB17</f>
        <v>128577.54880000002</v>
      </c>
      <c r="GC38" s="448">
        <f>GB38/FY38</f>
        <v>1.0854370271594052</v>
      </c>
      <c r="GD38" s="476">
        <f>GD6+GD7+GD9+GD13+GD14+GD15+GD17</f>
        <v>44391.236206311194</v>
      </c>
      <c r="GE38" s="477">
        <f>GE6+GE7+GE9+GE13+GE14+GE15+GE17</f>
        <v>170618.58439999999</v>
      </c>
      <c r="GF38" s="433">
        <f>GE38/GD38</f>
        <v>3.8435195543336276</v>
      </c>
      <c r="GG38" s="1400">
        <f>GG6+GG7+GG9+GG13+GG14+GG15+GG17</f>
        <v>182557.11</v>
      </c>
      <c r="GH38" s="448">
        <f>GG38/GD38</f>
        <v>4.1124583499219032</v>
      </c>
      <c r="GI38" s="476">
        <f>GI6+GI7+GI9+GI13+GI14+GI15+GI17</f>
        <v>579108.02</v>
      </c>
      <c r="GJ38" s="477">
        <f>GJ6+GJ7+GJ9+GJ13+GJ14+GJ15+GJ17</f>
        <v>526197.18000000005</v>
      </c>
      <c r="GK38" s="433">
        <f>GJ38/GI38</f>
        <v>0.90863390218633133</v>
      </c>
      <c r="GL38" s="1400" t="e">
        <f>GL6+GL7+GL9+GL13+GL14+GL15+GL17</f>
        <v>#DIV/0!</v>
      </c>
      <c r="GM38" s="448" t="e">
        <f>GL38/GI38</f>
        <v>#DIV/0!</v>
      </c>
      <c r="GN38" s="476">
        <f>GN6+GN7+GN9+GN13+GN14+GN15+GN17</f>
        <v>106697.66162879999</v>
      </c>
      <c r="GO38" s="477">
        <f>GO6+GO7+GO9+GO13+GO14+GO15+GO17</f>
        <v>114946.98</v>
      </c>
      <c r="GP38" s="433">
        <f>GO38/GN38</f>
        <v>1.0773148937405892</v>
      </c>
      <c r="GQ38" s="1400">
        <f>GQ6+GQ7+GQ9+GQ13+GQ14+GQ15+GQ17</f>
        <v>109541.80039999999</v>
      </c>
      <c r="GR38" s="448">
        <f>GQ38/GN38</f>
        <v>1.0266560553228872</v>
      </c>
      <c r="GS38" s="451">
        <f>GS6+GS7+GS9+GS13+GS14+GS15+GS17</f>
        <v>106603.23999999999</v>
      </c>
      <c r="GT38" s="432">
        <f>GT6+GT7+GT9+GT13+GT14+GT15+GT17</f>
        <v>44393.872429900919</v>
      </c>
      <c r="GU38" s="432">
        <f>GU6+GU7+GU9+GU13+GU14+GU15+GU17</f>
        <v>109542.80039999999</v>
      </c>
      <c r="GV38" s="454">
        <f t="shared" ref="GV38:GV41" si="1373">GU38/GT38</f>
        <v>2.4675207276177793</v>
      </c>
      <c r="GW38" s="476">
        <f>GW6+GW7+GW9+GW13+GW14+GW15+GW17</f>
        <v>118739.06999999999</v>
      </c>
      <c r="GX38" s="477">
        <f>GX6+GX7+GX9+GX13+GX14+GX15+GX17</f>
        <v>44395.53627837573</v>
      </c>
      <c r="GY38" s="433">
        <f t="shared" ref="GY38:GY41" si="1374">GX38/GW38</f>
        <v>0.37389156137382357</v>
      </c>
      <c r="GZ38" s="432">
        <f>GZ6+GZ7+GZ9+GZ13+GZ14+GZ17</f>
        <v>91400.344972799998</v>
      </c>
      <c r="HA38" s="448">
        <f t="shared" ref="HA38:HA41" si="1375">GZ38/GW38</f>
        <v>0.76975796570412758</v>
      </c>
      <c r="HB38" s="476">
        <f>HB6+HB7+HB9+HB13+HB14+HB15+HB17</f>
        <v>44395.840261242258</v>
      </c>
      <c r="HC38" s="477">
        <f>HC6+HC7+HC9+HC13+HC14+HC15+HC17</f>
        <v>120524.9338</v>
      </c>
      <c r="HD38" s="433">
        <f t="shared" ref="HD38:HD41" si="1376">HC38/HB38</f>
        <v>2.7147798778170382</v>
      </c>
      <c r="HE38" s="432">
        <f>HE6+HE7+HE9+HE13+HE14+HE17</f>
        <v>108040.1</v>
      </c>
      <c r="HF38" s="448">
        <f t="shared" ref="HF38:HF41" si="1377">HE38/HB38</f>
        <v>2.4335635808276264</v>
      </c>
      <c r="HG38" s="476">
        <f>HG6+HG7+HG9+HG13+HG14+HG15+HG17</f>
        <v>131506.06719999999</v>
      </c>
      <c r="HH38" s="477">
        <f>HH6+HH7+HH9+HH13+HH14+HH15+HH17</f>
        <v>127472.54883840001</v>
      </c>
      <c r="HI38" s="433">
        <f t="shared" ref="HI38:HI41" si="1378">HH38/HG38</f>
        <v>0.96932827171034142</v>
      </c>
      <c r="HJ38" s="432">
        <f>HJ6+HJ7+HJ9+HJ13+HJ14+HJ17</f>
        <v>44397.70773013874</v>
      </c>
      <c r="HK38" s="448">
        <f t="shared" ref="HK38:HK41" si="1379">HJ38/HG38</f>
        <v>0.33760957707462141</v>
      </c>
      <c r="HL38" s="476">
        <f>HL6+HL7+HL9+HL13+HL14+HL15+HL17</f>
        <v>158628.37965280001</v>
      </c>
      <c r="HM38" s="477">
        <f>HM6+HM7+HM9+HM13+HM14+HM15+HM17</f>
        <v>162617.15000000002</v>
      </c>
      <c r="HN38" s="433">
        <f t="shared" ref="HN38:HN41" si="1380">HM38/HL38</f>
        <v>1.0251453766087157</v>
      </c>
      <c r="HO38" s="432">
        <f>HO6+HO7+HO9+HO13+HO14+HO17</f>
        <v>383259.04</v>
      </c>
      <c r="HP38" s="448">
        <f t="shared" ref="HP38:HP41" si="1381">HO38/HL38</f>
        <v>2.4160811630230565</v>
      </c>
      <c r="HQ38" s="476">
        <f>HQ6+HQ7+HQ9+HQ13+HQ14+HQ15+HQ17</f>
        <v>568228.56000000006</v>
      </c>
      <c r="HR38" s="477">
        <f>HR6+HR7+HR9+HR13+HR14+HR15+HR17</f>
        <v>2026.2831136560271</v>
      </c>
      <c r="HS38" s="433">
        <f t="shared" ref="HS38:HS41" si="1382">HR38/HQ38</f>
        <v>3.5659649237905727E-3</v>
      </c>
      <c r="HT38" s="432">
        <f>HT6+HT7+HT9+HT13+HT14+HT17</f>
        <v>93168.260552799999</v>
      </c>
      <c r="HU38" s="448">
        <f t="shared" ref="HU38:HU41" si="1383">HT38/HQ38</f>
        <v>0.16396265008714098</v>
      </c>
      <c r="HV38" s="451" t="e">
        <f>HV6+HV7+HV9+HV13+HV14+HV15+HV17</f>
        <v>#DIV/0!</v>
      </c>
      <c r="HW38" s="432">
        <f>HW6+HW7+HW9+HW13+HW14+HW15+HW17</f>
        <v>108896.55479999998</v>
      </c>
      <c r="HX38" s="432">
        <f>HX6+HX7+HX9+HX13+HX14+HX15+HX17</f>
        <v>110042.27656879999</v>
      </c>
      <c r="HY38" s="454">
        <f t="shared" ref="HY38:HY41" si="1384">HX38/HW38</f>
        <v>1.0105211939064946</v>
      </c>
      <c r="HZ38" s="476" t="e">
        <f>HZ6+HZ7+HZ9+HZ13+HZ14+HZ15+HZ17</f>
        <v>#DIV/0!</v>
      </c>
      <c r="IA38" s="477">
        <f>IA6+IA7+IA9+IA13+IA14+IA15+IA17</f>
        <v>108897.55479999998</v>
      </c>
      <c r="IB38" s="433" t="e">
        <f t="shared" ref="IB38:IB41" si="1385">IA38/HZ38</f>
        <v>#DIV/0!</v>
      </c>
      <c r="IC38" s="432">
        <f>IC6+IC7+IC9+IC13+IC14+IC17</f>
        <v>82753.03</v>
      </c>
      <c r="ID38" s="448" t="e">
        <f t="shared" ref="ID38:ID41" si="1386">IC38/HZ38</f>
        <v>#DIV/0!</v>
      </c>
      <c r="IE38" s="476">
        <f>IE6+IE7+IE9+IE13+IE14+IE15+IE17</f>
        <v>108898.55479999998</v>
      </c>
      <c r="IF38" s="477">
        <f>IF6+IF7+IF9+IF13+IF14+IF15+IF17</f>
        <v>110044.27656879999</v>
      </c>
      <c r="IG38" s="433">
        <f t="shared" ref="IG38:IG41" si="1387">IF38/IE38</f>
        <v>1.0105210006772285</v>
      </c>
      <c r="IH38" s="432" t="e">
        <f>IH6+IH7+IH9+IH13+IH14+IH17</f>
        <v>#DIV/0!</v>
      </c>
      <c r="II38" s="448" t="e">
        <f t="shared" ref="II38:II41" si="1388">IH38/IE38</f>
        <v>#DIV/0!</v>
      </c>
      <c r="IJ38" s="476">
        <f>IJ6+IJ7+IJ9+IJ13+IJ14+IJ15+IJ17</f>
        <v>120986.32266360002</v>
      </c>
      <c r="IK38" s="477">
        <f>IK6+IK7+IK9+IK13+IK14+IK15+IK17</f>
        <v>114242.13</v>
      </c>
      <c r="IL38" s="433">
        <f t="shared" ref="IL38:IL41" si="1389">IK38/IJ38</f>
        <v>0.94425656954338466</v>
      </c>
      <c r="IM38" s="432">
        <f>IM6+IM7+IM9+IM13+IM14+IM17</f>
        <v>103207.60799999999</v>
      </c>
      <c r="IN38" s="448">
        <f t="shared" ref="IN38:IN41" si="1390">IM38/IJ38</f>
        <v>0.85305186344878525</v>
      </c>
      <c r="IO38" s="476">
        <f>IO6+IO7+IO9+IO13+IO14+IO15+IO17</f>
        <v>121433.53</v>
      </c>
      <c r="IP38" s="477" t="e">
        <f>IP6+IP7+IP9+IP13+IP14+IP15+IP17</f>
        <v>#DIV/0!</v>
      </c>
      <c r="IQ38" s="433" t="e">
        <f t="shared" ref="IQ38:IQ41" si="1391">IP38/IO38</f>
        <v>#DIV/0!</v>
      </c>
      <c r="IR38" s="432">
        <f>IR6+IR7+IR9+IR13+IR14+IR17</f>
        <v>133818.64434680002</v>
      </c>
      <c r="IS38" s="448">
        <f t="shared" ref="IS38:IS41" si="1392">IR38/IO38</f>
        <v>1.1019908944984143</v>
      </c>
      <c r="IT38" s="451" t="e">
        <f>IT6+IT7+IT9+IT13+IT14+IT15+IT17</f>
        <v>#DIV/0!</v>
      </c>
      <c r="IU38" s="432">
        <f>IU6+IU7+IU9+IU13+IU14+IU15+IU17</f>
        <v>545590.29</v>
      </c>
      <c r="IV38" s="432">
        <f>IV6+IV7+IV9+IV13+IV14+IV15+IV17</f>
        <v>547052.30473999993</v>
      </c>
      <c r="IW38" s="454">
        <f t="shared" ref="IW38:IW41" si="1393">IV38/IU38</f>
        <v>1.0026796934747499</v>
      </c>
      <c r="IX38" s="476">
        <f>IX6+IX7+IX9+IX13+IX14+IX15+IX17</f>
        <v>2025.9218758988955</v>
      </c>
      <c r="IY38" s="477">
        <f>IY6+IY7+IY9+IY13+IY14+IY15+IY17</f>
        <v>110336.076</v>
      </c>
      <c r="IZ38" s="433">
        <f t="shared" ref="IZ38:IZ41" si="1394">IY38/IX38</f>
        <v>54.462157357891314</v>
      </c>
      <c r="JA38" s="432">
        <f>JA6+JA7+JA9+JA13+JA14+JA17</f>
        <v>99804.6</v>
      </c>
      <c r="JB38" s="448">
        <f t="shared" ref="JB38:JB41" si="1395">JA38/IX38</f>
        <v>49.263795009724646</v>
      </c>
      <c r="JC38" s="476">
        <f>JC6+JC7+JC9+JC13+JC14+JC15+JC17</f>
        <v>110337.076</v>
      </c>
      <c r="JD38" s="477">
        <f>JD6+JD7+JD9+JD13+JD14+JD15+JD17</f>
        <v>110771.0357472</v>
      </c>
      <c r="JE38" s="433">
        <f t="shared" ref="JE38:JE41" si="1396">JD38/JC38</f>
        <v>1.0039330364998977</v>
      </c>
      <c r="JF38" s="432">
        <f>JF6+JF7+JF9+JF13+JF14+JF17</f>
        <v>44406.693113903195</v>
      </c>
      <c r="JG38" s="448">
        <f t="shared" ref="JG38:JG41" si="1397">JF38/JC38</f>
        <v>0.4024639289326753</v>
      </c>
      <c r="JH38" s="476">
        <f>JH6+JH7+JH9+JH13+JH14+JH15+JH17</f>
        <v>110772.0357472</v>
      </c>
      <c r="JI38" s="477">
        <f>JI6+JI7+JI9+JI13+JI14+JI15+JI17</f>
        <v>100801.76999999999</v>
      </c>
      <c r="JJ38" s="433">
        <f t="shared" ref="JJ38:JJ41" si="1398">JI38/JH38</f>
        <v>0.90999293567237671</v>
      </c>
      <c r="JK38" s="432">
        <f>JK6+JK7+JK9+JK13+JK14+JK17</f>
        <v>88404.916800000006</v>
      </c>
      <c r="JL38" s="448">
        <f t="shared" ref="JL38:JL41" si="1399">JK38/JH38</f>
        <v>0.79807973378547059</v>
      </c>
      <c r="JM38" s="476">
        <f>JM6+JM7+JM9+JM13+JM14+JM15+JM17</f>
        <v>108734.2</v>
      </c>
      <c r="JN38" s="477">
        <f>JN6+JN7+JN9+JN13+JN14+JN15+JN17</f>
        <v>44409.750234750296</v>
      </c>
      <c r="JO38" s="433">
        <f t="shared" ref="JO38:JO41" si="1400">JN38/JM38</f>
        <v>0.40842485836793113</v>
      </c>
      <c r="JP38" s="432">
        <f>JP6+JP7+JP9+JP13+JP14+JP17</f>
        <v>100851.69607040001</v>
      </c>
      <c r="JQ38" s="448">
        <f t="shared" ref="JQ38:JQ41" si="1401">JP38/JM38</f>
        <v>0.92750667288120947</v>
      </c>
      <c r="JR38" s="799"/>
      <c r="JS38" s="451">
        <f>JS6+JS7+JS9+JS13+JS14+JS15+JS17</f>
        <v>132561.76800000001</v>
      </c>
      <c r="JT38" s="432">
        <f>JT6+JT7+JT9+JT13+JT14+JT15+JT17</f>
        <v>132897.71432959998</v>
      </c>
      <c r="JU38" s="432">
        <f>JU6+JU7+JU9+JU13+JU14+JU15+JU17</f>
        <v>146443.93</v>
      </c>
      <c r="JV38" s="454">
        <f t="shared" ref="JV38:JV41" si="1402">JU38/JT38</f>
        <v>1.1019296361772182</v>
      </c>
      <c r="JW38" s="476">
        <f>JW6+JW7+JW9+JW13+JW14+JW15+JW17</f>
        <v>165893.80600000001</v>
      </c>
      <c r="JX38" s="477">
        <f>JX6+JX7+JX9+JX13+JX14+JX15+JX17</f>
        <v>166082.73220319999</v>
      </c>
      <c r="JY38" s="433">
        <f t="shared" ref="JY38:JY41" si="1403">JX38/JW38</f>
        <v>1.0011388381986968</v>
      </c>
      <c r="JZ38" s="432">
        <f>JZ6+JZ7+JZ9+JZ13+JZ14+JZ17</f>
        <v>44412.473333949492</v>
      </c>
      <c r="KA38" s="448">
        <f t="shared" ref="KA38:KA41" si="1404">JZ38/JW38</f>
        <v>0.26771628431955735</v>
      </c>
      <c r="KB38" s="476">
        <f>KB6+KB7+KB9+KB13+KB14+KB15+KB17</f>
        <v>553066.96455999999</v>
      </c>
      <c r="KC38" s="477">
        <f>KC6+KC7+KC9+KC13+KC14+KC15+KC17</f>
        <v>540972.42000000004</v>
      </c>
      <c r="KD38" s="433">
        <f t="shared" ref="KD38:KD41" si="1405">KC38/KB38</f>
        <v>0.97813186226079885</v>
      </c>
      <c r="KE38" s="432">
        <f>KE6+KE7+KE9+KE13+KE14+KE17</f>
        <v>86388.46</v>
      </c>
      <c r="KF38" s="448">
        <f t="shared" ref="KF38:KF41" si="1406">KE38/KB38</f>
        <v>0.15619891538582048</v>
      </c>
      <c r="KG38" s="476">
        <f>KG6+KG7+KG9+KG13+KG14+KG15+KG17</f>
        <v>108242.44999999998</v>
      </c>
      <c r="KH38" s="477" t="e">
        <f>KH6+KH7+KH9+KH13+KH14+KH15+KH17</f>
        <v>#DIV/0!</v>
      </c>
      <c r="KI38" s="433" t="e">
        <f t="shared" ref="KI38:KI41" si="1407">KH38/KG38</f>
        <v>#DIV/0!</v>
      </c>
      <c r="KJ38" s="432">
        <f>KJ6+KJ7+KJ9+KJ13+KJ14+KJ17</f>
        <v>88121.377969599998</v>
      </c>
      <c r="KK38" s="448">
        <f t="shared" ref="KK38:KK41" si="1408">KJ38/KG38</f>
        <v>0.81411108090772166</v>
      </c>
      <c r="KL38" s="476" t="e">
        <f>KL6+KL7+KL9+KL13+KL14+KL15+KL17</f>
        <v>#DIV/0!</v>
      </c>
      <c r="KM38" s="477">
        <f>KM6+KM7+KM9+KM13+KM14+KM15+KM17</f>
        <v>104196.5316</v>
      </c>
      <c r="KN38" s="433" t="e">
        <f t="shared" ref="KN38:KN41" si="1409">KM38/KL38</f>
        <v>#DIV/0!</v>
      </c>
      <c r="KO38" s="432">
        <f>KO6+KO7+KO9+KO13+KO14+KO17</f>
        <v>90854.7</v>
      </c>
      <c r="KP38" s="448" t="e">
        <f t="shared" ref="KP38:KP41" si="1410">KO38/KL38</f>
        <v>#DIV/0!</v>
      </c>
      <c r="KQ38" s="476">
        <f>KQ6+KQ7+KQ9+KQ13+KQ14+KQ15+KQ17</f>
        <v>104197.5316</v>
      </c>
      <c r="KR38" s="477">
        <f>KR6+KR7+KR9+KR13+KR14+KR15+KR17</f>
        <v>102724.35668159999</v>
      </c>
      <c r="KS38" s="433">
        <f t="shared" ref="KS38:KS41" si="1411">KR38/KQ38</f>
        <v>0.98586171000618972</v>
      </c>
      <c r="KT38" s="432">
        <f>KT6+KT7+KT9+KT13+KT14+KT17</f>
        <v>44415.945631477793</v>
      </c>
      <c r="KU38" s="448">
        <f t="shared" ref="KU38:KU41" si="1412">KT38/KQ38</f>
        <v>0.426266773784858</v>
      </c>
      <c r="KV38" s="451">
        <f>KV6+KV7+KV9+KV13+KV14+KV15+KV17</f>
        <v>112444.0827952</v>
      </c>
      <c r="KW38" s="432">
        <f>KW6+KW7+KW9+KW13+KW14+KW15+KW17</f>
        <v>104110.72</v>
      </c>
      <c r="KX38" s="432" t="e">
        <f>KX6+KX7+KX9+KX13+KX14+KX15+KX17</f>
        <v>#DIV/0!</v>
      </c>
      <c r="KY38" s="454" t="e">
        <f t="shared" ref="KY38:KY41" si="1413">KX38/KW38</f>
        <v>#DIV/0!</v>
      </c>
      <c r="KZ38" s="947">
        <f>KZ6+KZ7+KZ9+KZ13+KZ14+KZ15+KZ17</f>
        <v>122163.8089088</v>
      </c>
      <c r="LA38" s="947">
        <f>LA6+LA7+LA9+LA13+LA14+LA15+LA17</f>
        <v>127003.58999999998</v>
      </c>
      <c r="LB38" s="451" t="e">
        <f>LB6+LB7+LB9+LB13+LB14+LB15+LB17</f>
        <v>#DIV/0!</v>
      </c>
      <c r="LC38" s="451">
        <f>LC6+LC7+LC9+LC13+LC14+LC15+LC17</f>
        <v>154628.47460000002</v>
      </c>
      <c r="LD38" s="492" t="e">
        <f>LC38-LB38</f>
        <v>#DIV/0!</v>
      </c>
      <c r="LE38" s="493" t="e">
        <f>LC38/LB38</f>
        <v>#DIV/0!</v>
      </c>
      <c r="LW38" s="577">
        <f>LW7+LW8+LW10+LW14+LW15+LW16</f>
        <v>70520.234400000001</v>
      </c>
      <c r="LX38" s="578"/>
      <c r="LY38" s="578">
        <f>LY7+LY8+LY10+LY14+LY15+LY16</f>
        <v>41950.240000000005</v>
      </c>
      <c r="LZ38" s="1426">
        <f>LY38/LW38</f>
        <v>0.59486813050071208</v>
      </c>
      <c r="MA38" s="577">
        <f>MA7+MA8+MA10+MA14+MA15+MA16</f>
        <v>82273.606799999994</v>
      </c>
      <c r="MB38" s="578"/>
      <c r="MC38" s="578">
        <f>MC7+MC8+MC10+MC14+MC15+MC16</f>
        <v>55791.47</v>
      </c>
      <c r="MD38" s="1426">
        <f>MC38/MA38</f>
        <v>0.67812111526390506</v>
      </c>
      <c r="ME38" s="577">
        <f>ME7+ME8+ME10+ME14+ME15+ME16</f>
        <v>94026.979200000002</v>
      </c>
      <c r="MF38" s="578"/>
      <c r="MG38" s="578">
        <f>MG7+MG8+MG10+MG14+MG15+MG16</f>
        <v>80728.33</v>
      </c>
      <c r="MH38" s="1426">
        <f>MG38/ME38</f>
        <v>0.85856560198841314</v>
      </c>
      <c r="MI38" s="577">
        <f>MI7+MI8+MI10+MI14+MI15+MI16</f>
        <v>129287.09639999999</v>
      </c>
      <c r="MJ38" s="578"/>
      <c r="MK38" s="578">
        <f>MK7+MK8+MK10+MK14+MK15+MK16</f>
        <v>108689.34</v>
      </c>
      <c r="ML38" s="1426">
        <f>MK38/MI38</f>
        <v>0.84068204040817174</v>
      </c>
      <c r="MM38" s="577">
        <f>MM7+MM8+MM10+MM14+MM15+MM16</f>
        <v>587668.62</v>
      </c>
      <c r="MN38" s="578"/>
      <c r="MO38" s="578">
        <f>MO7+MO8+MO10+MO14+MO15+MO16</f>
        <v>437580.13</v>
      </c>
      <c r="MP38" s="1426">
        <f>MO38/MM38</f>
        <v>0.74460353183397809</v>
      </c>
      <c r="MQ38" s="577">
        <f>MQ7+MQ8+MQ10+MQ14+MQ15+MQ16</f>
        <v>68564.996400000004</v>
      </c>
      <c r="MR38" s="578"/>
      <c r="MS38" s="578">
        <f>MS7+MS8+MS10+MS14+MS15+MS16</f>
        <v>45301.52</v>
      </c>
      <c r="MT38" s="1426">
        <f>MS38/MQ38</f>
        <v>0.66070914283603743</v>
      </c>
      <c r="MU38" s="1475">
        <f>MU7+MU8+MU10+MU14+MU15+MU16</f>
        <v>68564.996400000004</v>
      </c>
      <c r="MV38" s="1476"/>
      <c r="MW38" s="1476">
        <f>MW7+MW8+MW10+MW14+MW15+MW16</f>
        <v>52027.76</v>
      </c>
      <c r="MX38" s="1477">
        <f>MW38/MU38</f>
        <v>0.75880934488023977</v>
      </c>
      <c r="MY38" s="577">
        <f>MY7+MY8+MY10+MY14+MY15+MY16</f>
        <v>68564.996400000004</v>
      </c>
      <c r="MZ38" s="578"/>
      <c r="NA38" s="578">
        <f>NA7+NA8+NA10+NA14+NA15+NA16</f>
        <v>40200.080000000002</v>
      </c>
      <c r="NB38" s="1426">
        <f>NA38/MY38</f>
        <v>0.58630616365058252</v>
      </c>
      <c r="NC38" s="577">
        <f>NC7+NC8+NC10+NC14+NC15+NC16</f>
        <v>68564.996400000004</v>
      </c>
      <c r="ND38" s="578"/>
      <c r="NE38" s="578">
        <f>NE7+NE8+NE10+NE14+NE15+NE16</f>
        <v>44116.27</v>
      </c>
      <c r="NF38" s="1426">
        <f>NE38/NC38</f>
        <v>0.64342262548416018</v>
      </c>
      <c r="NG38" s="577">
        <f>NG7+NG8+NG10+NG14+NG15+NG16</f>
        <v>79992.495800000004</v>
      </c>
      <c r="NH38" s="578"/>
      <c r="NI38" s="578">
        <f>NI7+NI8+NI10+NI14+NI15+NI16</f>
        <v>50804.070000000007</v>
      </c>
      <c r="NJ38" s="1426">
        <f>NI38/NG38</f>
        <v>0.63511044994798127</v>
      </c>
      <c r="NK38" s="577">
        <f>NK7+NK8+NK10+NK14+NK15+NK16</f>
        <v>91419.995200000005</v>
      </c>
      <c r="NL38" s="578"/>
      <c r="NM38" s="578">
        <f>NM7+NM8+NM10+NM14+NM15+NM16</f>
        <v>72406.12</v>
      </c>
      <c r="NN38" s="1426">
        <f>NM38/NK38</f>
        <v>0.79201623060247095</v>
      </c>
      <c r="NO38" s="577">
        <f>NO7+NO8+NO10+NO14+NO15+NO16</f>
        <v>125702.49340000001</v>
      </c>
      <c r="NP38" s="578"/>
      <c r="NQ38" s="578">
        <f>NQ7+NQ8+NQ10+NQ14+NQ15+NQ16</f>
        <v>111856.78</v>
      </c>
      <c r="NR38" s="1426">
        <f>NQ38/NO38</f>
        <v>0.88985331137433099</v>
      </c>
      <c r="NS38" s="577">
        <f>NS7+NS8+NS10+NS14+NS15+NS16</f>
        <v>571374.97</v>
      </c>
      <c r="NT38" s="578"/>
      <c r="NU38" s="578">
        <f>NU7+NU8+NU10+NU14+NU15+NU16</f>
        <v>416712.6</v>
      </c>
      <c r="NV38" s="1426">
        <f>NU38/NS38</f>
        <v>0.72931546161358796</v>
      </c>
      <c r="NW38" s="577">
        <f>NW7+NW8+NW10+NW14+NW15+NW16</f>
        <v>66610.926000000007</v>
      </c>
      <c r="NX38" s="578"/>
      <c r="NY38" s="578">
        <f>NY7+NY8+NY10+NY14+NY15+NY16</f>
        <v>40734.899999999994</v>
      </c>
      <c r="NZ38" s="1426">
        <f>NY38/NW38</f>
        <v>0.61153481037029855</v>
      </c>
      <c r="OA38" s="577">
        <f>OA7+OA8+OA10+OA14+OA15+OA16</f>
        <v>66610.926000000007</v>
      </c>
      <c r="OB38" s="578"/>
      <c r="OC38" s="577">
        <f>OC7+OC8+OC10+OC14+OC15+OC16</f>
        <v>51157.04</v>
      </c>
      <c r="OD38" s="1426">
        <f>OC38/OA38</f>
        <v>0.7679977305825173</v>
      </c>
      <c r="OE38" s="577">
        <f>OE7+OE8+OE10+OE14+OE15+OE16</f>
        <v>66610.926000000007</v>
      </c>
      <c r="OF38" s="578"/>
      <c r="OG38" s="577">
        <f>OG7+OG8+OG10+OG14+OG15+OG16</f>
        <v>53485.49</v>
      </c>
      <c r="OH38" s="1426">
        <f>OG38/OE38</f>
        <v>0.80295370762448182</v>
      </c>
      <c r="OI38" s="577">
        <f>OI7+OI8+OI10+OI14+OI15+OI16</f>
        <v>66610.926000000007</v>
      </c>
      <c r="OJ38" s="578"/>
      <c r="OK38" s="577">
        <f>OK7+OK8+OK10+OK14+OK15+OK16</f>
        <v>46299.58</v>
      </c>
      <c r="OL38" s="1426">
        <f>OK38/OI38</f>
        <v>0.69507485904039223</v>
      </c>
      <c r="OM38" s="577">
        <f>OM7+OM8+OM10+OM14+OM15+OM16</f>
        <v>77712.747000000003</v>
      </c>
      <c r="ON38" s="578"/>
      <c r="OO38" s="577">
        <f>OO7+OO8+OO10+OO14+OO15+OO16</f>
        <v>67011.950000000012</v>
      </c>
      <c r="OP38" s="1426">
        <f>OO38/OM38</f>
        <v>0.86230319460975957</v>
      </c>
      <c r="OQ38" s="577">
        <f>OQ7+OQ8+OQ10+OQ14+OQ15+OQ16</f>
        <v>88814.567999999999</v>
      </c>
      <c r="OR38" s="578"/>
      <c r="OS38" s="577">
        <f>OS7+OS8+OS10+OS14+OS15+OS16</f>
        <v>86641.23000000001</v>
      </c>
      <c r="OT38" s="1426">
        <f>OS38/OQ38</f>
        <v>0.97552948745976009</v>
      </c>
      <c r="OU38" s="577">
        <f>OU7+OU8+OU10+OU14+OU15+OU16</f>
        <v>122120.03100000002</v>
      </c>
      <c r="OV38" s="578"/>
      <c r="OW38" s="577">
        <f>OW7+OW8+OW10+OW14+OW15+OW16</f>
        <v>152373.19999999998</v>
      </c>
      <c r="OX38" s="1426">
        <f>OW38/OU38</f>
        <v>1.247733060270841</v>
      </c>
      <c r="OY38" s="577">
        <f>OY7+OY8+OY10+OY14+OY15+OY16</f>
        <v>555091.05000000005</v>
      </c>
      <c r="OZ38" s="578"/>
      <c r="PA38" s="578">
        <f>PA7+PA8+PA10+PA14+PA15+PA16</f>
        <v>497703.38999999996</v>
      </c>
      <c r="PB38" s="1426">
        <f>PA38/OY38</f>
        <v>0.89661577141263571</v>
      </c>
      <c r="PC38" s="577">
        <f>PC7+PC8+PC10+PC14+PC15+PC16</f>
        <v>64601.520000000004</v>
      </c>
      <c r="PD38" s="578"/>
      <c r="PE38" s="578">
        <f>PE7+PE8+PE10+PE14+PE15+PE16</f>
        <v>100181.32</v>
      </c>
      <c r="PF38" s="1426">
        <f>PE38/PC38</f>
        <v>1.5507579388224921</v>
      </c>
      <c r="PG38" s="577">
        <f>PG7+PG8+PG10+PG14+PG15+PG16</f>
        <v>64601.520000000004</v>
      </c>
      <c r="PH38" s="578"/>
      <c r="PI38" s="577">
        <f>PI7+PI8+PI10+PI14+PI15+PI16</f>
        <v>74720.08</v>
      </c>
      <c r="PJ38" s="1426">
        <f>PI38/PG38</f>
        <v>1.1566303703070764</v>
      </c>
      <c r="PK38" s="577">
        <f>PK7+PK8+PK10+PK14+PK15+PK16</f>
        <v>64601.520000000004</v>
      </c>
      <c r="PL38" s="578"/>
      <c r="PM38" s="577">
        <f>PM7+PM8+PM10+PM14+PM15+PM16</f>
        <v>56733.03</v>
      </c>
      <c r="PN38" s="1426">
        <f>PM38/PK38</f>
        <v>0.87819961511741507</v>
      </c>
      <c r="PO38" s="577">
        <f>PO7+PO8+PO10+PO14+PO15+PO16</f>
        <v>64601.520000000004</v>
      </c>
      <c r="PP38" s="578"/>
      <c r="PQ38" s="577">
        <f>PQ7+PQ8+PQ10+PQ14+PQ15+PQ16</f>
        <v>50614.400000000001</v>
      </c>
      <c r="PR38" s="1426">
        <f>PQ38/PO38</f>
        <v>0.78348620899322485</v>
      </c>
      <c r="PS38" s="577">
        <f>PS7+PS8+PS10+PS14+PS15+PS16</f>
        <v>75368.44</v>
      </c>
      <c r="PT38" s="578"/>
      <c r="PU38" s="577">
        <f>PU7+PU8+PU10+PU14+PU15+PU16</f>
        <v>49558.39</v>
      </c>
      <c r="PV38" s="1426">
        <f>PU38/PS38</f>
        <v>0.65754830536495112</v>
      </c>
      <c r="PW38" s="577">
        <f>PW7+PW8+PW10+PW14+PW15+PW16</f>
        <v>86135.360000000001</v>
      </c>
      <c r="PX38" s="578"/>
      <c r="PY38" s="577">
        <f>PY7+PY8+PY10+PY14+PY15+PY16</f>
        <v>71402.22</v>
      </c>
      <c r="PZ38" s="1426">
        <f>PY38/PW38</f>
        <v>0.82895363762338725</v>
      </c>
      <c r="QA38" s="577">
        <f>QA7+QA8+QA10+QA14+QA15+QA16</f>
        <v>118436.12000000001</v>
      </c>
      <c r="QB38" s="578"/>
      <c r="QC38" s="577">
        <f>QC7+QC8+QC10+QC14+QC15+QC16</f>
        <v>110152.23</v>
      </c>
      <c r="QD38" s="1426">
        <f>QC38/QA38</f>
        <v>0.93005605046838735</v>
      </c>
      <c r="QE38" s="577">
        <f>QE7+QE8+QE10+QE14+QE15+QE16</f>
        <v>538346</v>
      </c>
      <c r="QF38" s="578"/>
      <c r="QG38" s="578">
        <f>QG7+QG8+QG10+QG14+QG15+QG16</f>
        <v>513361.67</v>
      </c>
      <c r="QH38" s="1426">
        <f>QG38/QE38</f>
        <v>0.95359057186270535</v>
      </c>
      <c r="QI38" s="577">
        <f>QI7+QI8+QI10+QI14+QI15+QI16</f>
        <v>62532.790800000002</v>
      </c>
      <c r="QJ38" s="578"/>
      <c r="QK38" s="578">
        <f>QK7+QK8+QK10+QK14+QK15+QK16</f>
        <v>49553.91</v>
      </c>
      <c r="QL38" s="1426">
        <f>QK38/QI38</f>
        <v>0.79244680056723138</v>
      </c>
      <c r="QM38" s="577">
        <f>QM7+QM8+QM10+QM14+QM15+QM16</f>
        <v>62532.790800000002</v>
      </c>
      <c r="QN38" s="578"/>
      <c r="QO38" s="577">
        <f>QO7+QO8+QO10+QO14+QO15+QO16</f>
        <v>52049.81</v>
      </c>
      <c r="QP38" s="1426">
        <f>QO38/QM38</f>
        <v>0.83236025985905615</v>
      </c>
      <c r="QQ38" s="577">
        <f>QQ7+QQ8+QQ10+QQ14+QQ15+QQ16</f>
        <v>62532.790800000002</v>
      </c>
      <c r="QR38" s="578"/>
      <c r="QS38" s="577">
        <f>QS7+QS8+QS10+QS14+QS15+QS16</f>
        <v>42012.039999999994</v>
      </c>
      <c r="QT38" s="1426">
        <f>QS38/QQ38</f>
        <v>0.6718401571803827</v>
      </c>
      <c r="QU38" s="577">
        <f>QU7+QU8+QU10+QU14+QU15+QU16</f>
        <v>62532.790800000002</v>
      </c>
      <c r="QV38" s="578"/>
      <c r="QW38" s="577">
        <f>QW7+QW8+QW10+QW14+QW15+QW16</f>
        <v>41472.870000000003</v>
      </c>
      <c r="QX38" s="1426">
        <f>QW38/QU38</f>
        <v>0.66321796083983509</v>
      </c>
      <c r="QY38" s="577">
        <f>QY7+QY8+QY10+QY14+QY15+QY16</f>
        <v>72954.922600000005</v>
      </c>
      <c r="QZ38" s="578"/>
      <c r="RA38" s="577">
        <f>RA7+RA8+RA10+RA14+RA15+RA16</f>
        <v>46718.28</v>
      </c>
      <c r="RB38" s="1426">
        <f>RA38/QY38</f>
        <v>0.6403718671068811</v>
      </c>
      <c r="RC38" s="577">
        <f>RC7+RC8+RC10+RC14+RC15+RC16</f>
        <v>83377.054400000008</v>
      </c>
      <c r="RD38" s="578"/>
      <c r="RE38" s="577">
        <f>RE7+RE8+RE10+RE14+RE15+RE16</f>
        <v>73614.450000000012</v>
      </c>
      <c r="RF38" s="1426">
        <f>RE38/RC38</f>
        <v>0.88291017870259525</v>
      </c>
      <c r="RG38" s="577">
        <f>RG7+RG8+RG10+RG14+RG15+RG16</f>
        <v>114643.4498</v>
      </c>
      <c r="RH38" s="578"/>
      <c r="RI38" s="577">
        <f>RI7+RI8+RI10+RI14+RI15+RI16</f>
        <v>109896.44</v>
      </c>
      <c r="RJ38" s="1426">
        <f>RI38/RG38</f>
        <v>0.95859327499057867</v>
      </c>
      <c r="RK38" s="577">
        <f>RK7+RK8+RK10+RK14+RK15+RK16</f>
        <v>521106.59</v>
      </c>
      <c r="RL38" s="578"/>
      <c r="RM38" s="578">
        <f>RM7+RM8+RM10+RM14+RM15+RM16</f>
        <v>415317.80000000005</v>
      </c>
      <c r="RN38" s="1426">
        <f>RM38/RK38</f>
        <v>0.79699203189888657</v>
      </c>
      <c r="RO38" s="577">
        <f>RO7+RO8+RO10+RO14+RO15+RO16</f>
        <v>63646.022400000009</v>
      </c>
      <c r="RP38" s="578"/>
      <c r="RQ38" s="578">
        <f>RQ7+RQ8+RQ10+RQ14+RQ15+RQ16</f>
        <v>45350.100000000006</v>
      </c>
      <c r="RR38" s="1426">
        <f>RQ38/RO38</f>
        <v>0.71253627940777642</v>
      </c>
      <c r="RS38" s="577">
        <f>RS7+RS8+RS10+RS14+RS15+RS16</f>
        <v>63646.022400000009</v>
      </c>
      <c r="RT38" s="578"/>
      <c r="RU38" s="577">
        <f>RU7+RU8+RU10+RU14+RU15+RU16</f>
        <v>38579.760000000002</v>
      </c>
      <c r="RV38" s="1426">
        <f>RU38/RS38</f>
        <v>0.60616136790977215</v>
      </c>
      <c r="RW38" s="577">
        <f>RW7+RW8+RW10+RW14+RW15+RW16</f>
        <v>63646.022400000009</v>
      </c>
      <c r="RX38" s="578"/>
      <c r="RY38" s="577">
        <f>RY7+RY8+RY10+RY14+RY15+RY16</f>
        <v>63926.96</v>
      </c>
      <c r="RZ38" s="1426">
        <f>RY38/RW38</f>
        <v>1.004414063745168</v>
      </c>
      <c r="SA38" s="577">
        <f>SA7+SA8+SA10+SA14+SA15+SA16</f>
        <v>63646.022400000009</v>
      </c>
      <c r="SB38" s="578"/>
      <c r="SC38" s="577">
        <f>SC7+SC8+SC10+SC14+SC15+SC16</f>
        <v>67624.98000000001</v>
      </c>
      <c r="SD38" s="1426">
        <f>SC38/SA38</f>
        <v>1.0625169877073104</v>
      </c>
      <c r="SE38" s="577">
        <f>SE7+SE8+SE10+SE14+SE15+SE16</f>
        <v>74253.692800000004</v>
      </c>
      <c r="SF38" s="578"/>
      <c r="SG38" s="577">
        <f>SG7+SG8+SG10+SG14+SG15+SG16</f>
        <v>53445.509999999995</v>
      </c>
      <c r="SH38" s="1426">
        <f>SG38/SE38</f>
        <v>0.71976905100132593</v>
      </c>
      <c r="SI38" s="577">
        <f>SI7+SI8+SI10+SI14+SI15+SI16</f>
        <v>84861.363200000007</v>
      </c>
      <c r="SJ38" s="578"/>
      <c r="SK38" s="577">
        <f>SK7+SK8+SK10+SK14+SK15+SK16</f>
        <v>74635.75</v>
      </c>
      <c r="SL38" s="1426">
        <f>SK38/SI38</f>
        <v>0.87950213366357977</v>
      </c>
      <c r="SM38" s="577">
        <f>SM7+SM8+SM10+SM14+SM15+SM16</f>
        <v>116684.3744</v>
      </c>
      <c r="SN38" s="578"/>
      <c r="SO38" s="577">
        <f>SO7+SO8+SO10+SO14+SO15+SO16</f>
        <v>100477.3</v>
      </c>
      <c r="SP38" s="1426">
        <f>SO38/SM38</f>
        <v>0.86110330124887746</v>
      </c>
      <c r="SQ38" s="577">
        <f>SQ7+SQ8+SQ10+SQ14+SQ15+SQ16</f>
        <v>530383.52</v>
      </c>
      <c r="SR38" s="578"/>
      <c r="SS38" s="578">
        <f>SS7+SS8+SS10+SS14+SS15+SS16</f>
        <v>444040.36</v>
      </c>
      <c r="ST38" s="1426">
        <f>SS38/SQ38</f>
        <v>0.83720617865351465</v>
      </c>
      <c r="SU38" s="577">
        <f>SU7+SU8+SU10+SU14+SU15+SU16</f>
        <v>60156.910799999991</v>
      </c>
      <c r="SV38" s="578"/>
      <c r="SW38" s="577">
        <f>SW7+SW8+SW10+SW14+SW15+SW16</f>
        <v>40386.9</v>
      </c>
      <c r="SX38" s="1426">
        <f>SW38/SU38</f>
        <v>0.67135927465211542</v>
      </c>
      <c r="SY38" s="577">
        <f>SY7+SY8+SY10+SY14+SY15+SY16</f>
        <v>60156.910799999991</v>
      </c>
      <c r="SZ38" s="578"/>
      <c r="TA38" s="577">
        <f>TA7+TA8+TA10+TA14+TA15+TA16</f>
        <v>45843.409999999996</v>
      </c>
      <c r="TB38" s="1426">
        <f>TA38/SY38</f>
        <v>0.76206389906577454</v>
      </c>
      <c r="TC38" s="577">
        <f>TC7+TC8+TC10+TC14+TC15+TC16</f>
        <v>60156.910799999991</v>
      </c>
      <c r="TD38" s="578"/>
      <c r="TE38" s="577">
        <f>TE7+TE8+TE10+TE14+TE15+TE16</f>
        <v>40538.080000000002</v>
      </c>
      <c r="TF38" s="1426">
        <f>TE38/TC38</f>
        <v>0.67387236912438009</v>
      </c>
      <c r="TG38" s="577">
        <f>TG7+TG8+TG10+TG14+TG15+TG16</f>
        <v>60156.910799999991</v>
      </c>
      <c r="TH38" s="578"/>
      <c r="TI38" s="577">
        <f>TI7+TI8+TI10+TI14+TI15+TI16</f>
        <v>38659.129999999997</v>
      </c>
      <c r="TJ38" s="1426">
        <f>TI38/TG38</f>
        <v>0.64263821871651039</v>
      </c>
      <c r="TK38" s="577">
        <f>TK7+TK8+TK10+TK14+TK15+TK16</f>
        <v>70183.062600000005</v>
      </c>
      <c r="TL38" s="578"/>
      <c r="TM38" s="577">
        <f>TM7+TM8+TM10+TM14+TM15+TM16</f>
        <v>49278.369999999995</v>
      </c>
      <c r="TN38" s="1426">
        <f>TM38/TK38</f>
        <v>0.70214049051772198</v>
      </c>
      <c r="TO38" s="577">
        <f>TO7+TO8+TO10+TO14+TO15+TO16</f>
        <v>80209.214399999997</v>
      </c>
      <c r="TP38" s="578"/>
      <c r="TQ38" s="577">
        <f>TQ7+TQ8+TQ10+TQ14+TQ15+TQ16</f>
        <v>55931.020000000004</v>
      </c>
      <c r="TR38" s="1426">
        <f>TQ38/TO38</f>
        <v>0.69731414798646885</v>
      </c>
      <c r="TS38" s="577">
        <f>TS7+TS8+TS10+TS14+TS15+TS16</f>
        <v>110287.6698</v>
      </c>
      <c r="TT38" s="578"/>
      <c r="TU38" s="577">
        <f>TU7+TU8+TU10+TU14+TU15+TU16</f>
        <v>117550.54000000001</v>
      </c>
      <c r="TV38" s="1426">
        <f>TU38/TS38</f>
        <v>1.0658538729956919</v>
      </c>
      <c r="TW38" s="577">
        <f>TW7+TW8+TW10+TW14+TW15+TW16</f>
        <v>501307.58999999997</v>
      </c>
      <c r="TX38" s="578"/>
      <c r="TY38" s="577">
        <f>TY7+TY8+TY10+TY14+TY15+TY16</f>
        <v>388187.45000000007</v>
      </c>
      <c r="TZ38" s="1426">
        <f>TY38/TW38</f>
        <v>0.77434983579642214</v>
      </c>
      <c r="UA38" s="577">
        <f>UA7+UA8+UA10+UA14+UA15+UA16</f>
        <v>65637.399999999994</v>
      </c>
      <c r="UB38" s="578"/>
      <c r="UC38" s="577">
        <f>UC7+UC8+UC10+UC14+UC15+UC16</f>
        <v>42319.95</v>
      </c>
      <c r="UD38" s="1426">
        <f>UC38/UA38</f>
        <v>0.64475360084342159</v>
      </c>
      <c r="UE38" s="577">
        <f>UE7+UE8+UE10+UE14+UE15+UE16</f>
        <v>59795.97</v>
      </c>
      <c r="UF38" s="578"/>
      <c r="UG38" s="577">
        <f>UG7+UG8+UG10+UG14+UG15+UG16</f>
        <v>37069.300000000003</v>
      </c>
      <c r="UH38" s="1426">
        <f>UG38/UE38</f>
        <v>0.61992973773985105</v>
      </c>
      <c r="UI38" s="577">
        <f>UI7+UI8+UI10+UI14+UI15+UI16</f>
        <v>69124.05</v>
      </c>
      <c r="UJ38" s="578"/>
      <c r="UK38" s="577">
        <f>UK7+UK8+UK10+UK14+UK15+UK16</f>
        <v>54719.700000000004</v>
      </c>
      <c r="UL38" s="1426">
        <f>UK38/UI38</f>
        <v>0.79161594264224977</v>
      </c>
      <c r="UM38" s="577">
        <f>UM7+UM8+UM10+UM14+UM15+UM16</f>
        <v>60002.91</v>
      </c>
      <c r="UN38" s="578"/>
      <c r="UO38" s="577">
        <f>UO7+UO8+UO10+UO14+UO15+UO16</f>
        <v>42125.34</v>
      </c>
      <c r="UP38" s="1426">
        <f>UO38/UM38</f>
        <v>0.70205495033490861</v>
      </c>
      <c r="UQ38" s="577">
        <f>UQ7+UQ8+UQ10+UQ14+UQ15+UQ16</f>
        <v>58818.93</v>
      </c>
      <c r="UR38" s="578"/>
      <c r="US38" s="577">
        <f>US7+US8+US10+US14+US15+US16</f>
        <v>48981.39</v>
      </c>
      <c r="UT38" s="1426">
        <f>US38/UQ38</f>
        <v>0.83274874262418574</v>
      </c>
      <c r="UU38" s="577">
        <f>UU7+UU8+UU10+UU14+UU15+UU16</f>
        <v>73870.47</v>
      </c>
      <c r="UV38" s="578"/>
      <c r="UW38" s="577">
        <f>UW7+UW8+UW10+UW14+UW15+UW16</f>
        <v>70526.820000000007</v>
      </c>
      <c r="UX38" s="1426">
        <f>UW38/UU38</f>
        <v>0.95473631073418119</v>
      </c>
      <c r="UY38" s="577">
        <f>UY7+UY8+UY10+UY14+UY15+UY16</f>
        <v>119375.75</v>
      </c>
      <c r="UZ38" s="578"/>
      <c r="VA38" s="577">
        <f>VA7+VA8+VA10+VA14+VA15+VA16</f>
        <v>104211.1</v>
      </c>
      <c r="VB38" s="1426">
        <f>VA38/UY38</f>
        <v>0.87296708083509433</v>
      </c>
      <c r="VC38" s="577">
        <f>VC7+VC8+VC10+VC14+VC15+VC16</f>
        <v>506625.48</v>
      </c>
      <c r="VD38" s="578"/>
      <c r="VE38" s="577">
        <f>VE7+VE8+VE10+VE14+VE15+VE16</f>
        <v>399953.6</v>
      </c>
      <c r="VF38" s="1426">
        <f>VE38/VC38</f>
        <v>0.78944627893567454</v>
      </c>
      <c r="VG38" s="577">
        <f>VG7+VG8+VG10+VG14+VG15+VG16</f>
        <v>59919.259999999995</v>
      </c>
      <c r="VH38" s="578"/>
      <c r="VI38" s="577">
        <f>VI7+VI8+VI10+VI14+VI15+VI16</f>
        <v>38371.53</v>
      </c>
      <c r="VJ38" s="1426">
        <f>VI38/VG38</f>
        <v>0.64038724777308664</v>
      </c>
      <c r="VK38" s="577">
        <f>VK7+VK8+VK10+VK14+VK15+VK16</f>
        <v>56815.639999999992</v>
      </c>
      <c r="VL38" s="578"/>
      <c r="VM38" s="577">
        <f>VM7+VM8+VM10+VM14+VM15+VM16</f>
        <v>46794.95</v>
      </c>
      <c r="VN38" s="1426">
        <f>VM38/VK38</f>
        <v>0.82362796582067899</v>
      </c>
      <c r="VO38" s="577">
        <f>VO7+VO8+VO10+VO14+VO15+VO16</f>
        <v>53538.37</v>
      </c>
      <c r="VP38" s="578"/>
      <c r="VQ38" s="577">
        <f>VQ7+VQ8+VQ10+VQ14+VQ15+VQ16</f>
        <v>42316.520000000004</v>
      </c>
      <c r="VR38" s="1426">
        <f>VQ38/VO38</f>
        <v>0.79039612151061012</v>
      </c>
      <c r="VS38" s="577">
        <f>VS7+VS8+VS10+VS14+VS15+VS16</f>
        <v>52687.11</v>
      </c>
      <c r="VT38" s="578"/>
      <c r="VU38" s="577">
        <f>VU7+VU8+VU10+VU14+VU15+VU16</f>
        <v>44537.630000000005</v>
      </c>
      <c r="VV38" s="1426">
        <f>VU38/VS38</f>
        <v>0.84532307807355545</v>
      </c>
      <c r="VW38" s="577">
        <f>VW7+VW8+VW10+VW14+VW15+VW16</f>
        <v>60017.29</v>
      </c>
      <c r="VX38" s="578"/>
      <c r="VY38" s="577">
        <f>VY7+VY8+VY10+VY14+VY15+VY16</f>
        <v>48069.919999999998</v>
      </c>
      <c r="VZ38" s="1426">
        <f>VY38/VW38</f>
        <v>0.80093453069940346</v>
      </c>
      <c r="WA38" s="577">
        <f>WA7+WA8+WA10+WA14+WA15+WA16</f>
        <v>79367.929999999993</v>
      </c>
      <c r="WB38" s="578"/>
      <c r="WC38" s="577">
        <f>WC7+WC8+WC10+WC14+WC15+WC16</f>
        <v>65309.97</v>
      </c>
      <c r="WD38" s="1426">
        <f>WC38/WA38</f>
        <v>0.82287606593746376</v>
      </c>
      <c r="WE38" s="577">
        <f>WE7+WE8+WE10+WE14+WE15+WE16</f>
        <v>123070.03</v>
      </c>
      <c r="WF38" s="578"/>
      <c r="WG38" s="577">
        <f>WG7+WG8+WG10+WG14+WG15+WG16</f>
        <v>111646.34</v>
      </c>
      <c r="WH38" s="1426">
        <f>WG38/WE38</f>
        <v>0.9071773200997838</v>
      </c>
      <c r="WI38" s="577">
        <f>WI7+WI8+WI10+WI14+WI15+WI16</f>
        <v>222960.38</v>
      </c>
      <c r="WJ38" s="578"/>
      <c r="WK38" s="577">
        <f>WK7+WK8+WK10+WK14+WK15+WK16</f>
        <v>397046.86</v>
      </c>
      <c r="WL38" s="1426">
        <f>WK38/WI38</f>
        <v>1.7807955835023244</v>
      </c>
      <c r="WM38" s="577">
        <f>WM7+WM8+WM10+WM14+WM15+WM16</f>
        <v>64590.929999999993</v>
      </c>
      <c r="WN38" s="578"/>
      <c r="WO38" s="578">
        <f>WO7+WO8+WO10+WO14+WO15+WO16</f>
        <v>43527.8</v>
      </c>
      <c r="WP38" s="1426">
        <f>WO38/WM38</f>
        <v>0.67389957072920315</v>
      </c>
      <c r="WQ38" s="577">
        <f>WQ7+WQ8+WQ10+WQ14+WQ15+WQ16</f>
        <v>62657.469999999994</v>
      </c>
      <c r="WR38" s="578"/>
      <c r="WS38" s="577">
        <f>WS7+WS8+WS10+WS14+WS15+WS16</f>
        <v>44347.46</v>
      </c>
      <c r="WT38" s="1426">
        <f>WS38/WQ38</f>
        <v>0.70777610395057455</v>
      </c>
      <c r="WU38" s="577">
        <f>WU7+WU8+WU10+WU14+WU15+WU16</f>
        <v>62204.600000000006</v>
      </c>
      <c r="WV38" s="578"/>
      <c r="WW38" s="577">
        <f>WW7+WW8+WW10+WW14+WW15+WW16</f>
        <v>43547.439999999995</v>
      </c>
      <c r="WX38" s="1426">
        <f>WW38/WU38</f>
        <v>0.70006784064201022</v>
      </c>
      <c r="WY38" s="577">
        <f>WY7+WY8+WY10+WY14+WY15+WY16</f>
        <v>89048.090000000011</v>
      </c>
      <c r="WZ38" s="578"/>
      <c r="XA38" s="577">
        <f>XA7+XA8+XA10+XA14+XA15+XA16</f>
        <v>43329.070000000007</v>
      </c>
      <c r="XB38" s="1426">
        <f>XA38/WY38</f>
        <v>0.48658056562470908</v>
      </c>
      <c r="XC38" s="577">
        <f>XC7+XC8+XC10+XC14+XC15+XC16</f>
        <v>66114.37</v>
      </c>
      <c r="XD38" s="578"/>
      <c r="XE38" s="577">
        <f>XE7+XE8+XE10+XE14+XE15+XE16</f>
        <v>52144.17</v>
      </c>
      <c r="XF38" s="1426">
        <f>XE38/XC38</f>
        <v>0.78869646644141056</v>
      </c>
      <c r="XG38" s="577">
        <f>XG7+XG8+XG10+XG14+XG15+XG16</f>
        <v>81874.48</v>
      </c>
      <c r="XH38" s="578"/>
      <c r="XI38" s="577">
        <f>XI7+XI8+XI10+XI14+XI15+XI16</f>
        <v>73974.880000000005</v>
      </c>
      <c r="XJ38" s="1426">
        <f>XI38/XG38</f>
        <v>0.90351572309222616</v>
      </c>
      <c r="XK38" s="577">
        <f>XK7+XK8+XK10+XK14+XK15+XK16</f>
        <v>129510.84</v>
      </c>
      <c r="XL38" s="578"/>
      <c r="XM38" s="577">
        <f>XM7+XM8+XM10+XM14+XM15+XM16</f>
        <v>142195.94</v>
      </c>
      <c r="XN38" s="1426">
        <f>XM38/XK38</f>
        <v>1.0979462414111436</v>
      </c>
      <c r="XO38" s="577">
        <f>XO7+XO8+XO10+XO14+XO15+XO16</f>
        <v>556000.78</v>
      </c>
      <c r="XP38" s="578"/>
      <c r="XQ38" s="577">
        <f>XQ7+XQ8+XQ10+XQ14+XQ15+XQ16</f>
        <v>443066.75999999995</v>
      </c>
      <c r="XR38" s="1426">
        <f>XQ38/XO38</f>
        <v>0.79688154394315769</v>
      </c>
      <c r="XS38" s="577">
        <f>XS7+XS8+XS10+XS14+XS15+XS16</f>
        <v>76096.929999999993</v>
      </c>
      <c r="XT38" s="578"/>
      <c r="XU38" s="578">
        <f>XU7+XU8+XU10+XU14+XU15+XU16</f>
        <v>46347.25</v>
      </c>
      <c r="XV38" s="1426">
        <f>XU38/XS38</f>
        <v>0.60905545072580458</v>
      </c>
      <c r="XW38" s="577">
        <f>XW7+XW8+XW10+XW14+XW15+XW16</f>
        <v>63081.57</v>
      </c>
      <c r="XX38" s="578"/>
      <c r="XY38" s="577">
        <f>XY7+XY8+XY10+XY14+XY15+XY16</f>
        <v>54230.92</v>
      </c>
      <c r="XZ38" s="1426">
        <f>XY38/XW38</f>
        <v>0.85969515343387937</v>
      </c>
      <c r="YA38" s="577">
        <f>YA7+YA8+YA10+YA14+YA15+YA16</f>
        <v>58550.939999999995</v>
      </c>
      <c r="YB38" s="578"/>
      <c r="YC38" s="577">
        <f>YC7+YC8+YC10+YC14+YC15+YC16</f>
        <v>44710.61</v>
      </c>
      <c r="YD38" s="1426">
        <f>YC38/YA38</f>
        <v>0.7636189956984466</v>
      </c>
      <c r="YE38" s="577">
        <f>YE7+YE8+YE10+YE14+YE15+YE16</f>
        <v>57928.39</v>
      </c>
      <c r="YF38" s="578"/>
      <c r="YG38" s="577">
        <f>YG7+YG8+YG10+YG14+YG15+YG16</f>
        <v>45133.57</v>
      </c>
      <c r="YH38" s="1426">
        <f>YG38/YE38</f>
        <v>0.77912695312263991</v>
      </c>
      <c r="YI38" s="577">
        <f>YI7+YI8+YI10+YI14+YI15+YI16</f>
        <v>73897.88</v>
      </c>
      <c r="YJ38" s="578"/>
      <c r="YK38" s="577">
        <f>YK7+YK8+YK10+YK14+YK15+YK16</f>
        <v>54707.090000000004</v>
      </c>
      <c r="YL38" s="1426">
        <f>YK38/YI38</f>
        <v>0.74030662313993312</v>
      </c>
      <c r="YM38" s="577">
        <f>YM7+YM8+YM10+YM14+YM15+YM16</f>
        <v>119473.79</v>
      </c>
      <c r="YN38" s="578"/>
      <c r="YO38" s="577">
        <f>YO7+YO8+YO10+YO14+YO15+YO16</f>
        <v>82162.81</v>
      </c>
      <c r="YP38" s="1426">
        <f>YO38/YM38</f>
        <v>0.68770573026937543</v>
      </c>
      <c r="YQ38" s="577">
        <f>YQ7+YQ8+YQ10+YQ14+YQ15+YQ16</f>
        <v>150820.84999999998</v>
      </c>
      <c r="YR38" s="578"/>
      <c r="YS38" s="577">
        <f>YS7+YS8+YS10+YS14+YS15+YS16</f>
        <v>142519.17000000001</v>
      </c>
      <c r="YT38" s="1426">
        <f>YS38/YQ38</f>
        <v>0.94495668205026051</v>
      </c>
      <c r="YU38" s="577">
        <f>YU7+YU8+YU10+YU14+YU15+YU16</f>
        <v>599850.35000000009</v>
      </c>
      <c r="YV38" s="578"/>
      <c r="YW38" s="577">
        <f>YW7+YW8+YW10+YW14+YW15+YW16</f>
        <v>469811.42</v>
      </c>
      <c r="YX38" s="1426">
        <f>YW38/YU38</f>
        <v>0.78321438005329147</v>
      </c>
      <c r="YY38" s="577">
        <f>YY7+YY8+YY10+YY14+YY15+YY16</f>
        <v>86586.28</v>
      </c>
      <c r="YZ38" s="578"/>
      <c r="ZA38" s="578">
        <f>ZA7+ZA8+ZA10+ZA14+ZA15+ZA16</f>
        <v>66125.67</v>
      </c>
      <c r="ZB38" s="1426">
        <f>ZA38/YY38</f>
        <v>0.76369685820894484</v>
      </c>
      <c r="ZC38" s="577">
        <f>ZC7+ZC8+ZC10+ZC14+ZC15+ZC16</f>
        <v>85845.920000000013</v>
      </c>
      <c r="ZD38" s="578"/>
      <c r="ZE38" s="577">
        <f>ZE7+ZE8+ZE10+ZE14+ZE15+ZE16</f>
        <v>68666.03</v>
      </c>
      <c r="ZF38" s="1426">
        <f>ZE38/ZC38</f>
        <v>0.79987528819074905</v>
      </c>
      <c r="ZG38" s="577">
        <f>ZG7+ZG8+ZG10+ZG14+ZG15+ZG16</f>
        <v>103884.68</v>
      </c>
      <c r="ZH38" s="578"/>
      <c r="ZI38" s="577">
        <f>ZI7+ZI8+ZI10+ZI14+ZI15+ZI16</f>
        <v>81316.22</v>
      </c>
      <c r="ZJ38" s="1426">
        <f>ZI38/ZG38</f>
        <v>0.78275468529142134</v>
      </c>
      <c r="ZK38" s="577">
        <f>ZK7+ZK8+ZK10+ZK14+ZK15+ZK16</f>
        <v>133779.6</v>
      </c>
      <c r="ZL38" s="578"/>
      <c r="ZM38" s="577">
        <f>ZM7+ZM8+ZM10+ZM14+ZM15+ZM16</f>
        <v>100223.26</v>
      </c>
      <c r="ZN38" s="1426">
        <f>ZM38/ZK38</f>
        <v>0.7491669880908598</v>
      </c>
      <c r="ZO38" s="577">
        <f>ZO7+ZO8+ZO10+ZO14+ZO15+ZO16</f>
        <v>142914.51999999999</v>
      </c>
      <c r="ZP38" s="578"/>
      <c r="ZQ38" s="577">
        <f>ZQ7+ZQ8+ZQ10+ZQ14+ZQ15+ZQ16</f>
        <v>96630.900000000009</v>
      </c>
      <c r="ZR38" s="1426">
        <f>ZQ38/ZO38</f>
        <v>0.67614473322934587</v>
      </c>
      <c r="ZS38" s="577">
        <f>ZS7+ZS8+ZS10+ZS14+ZS15+ZS16</f>
        <v>97233.049999999988</v>
      </c>
      <c r="ZT38" s="578"/>
      <c r="ZU38" s="577">
        <f>ZU7+ZU8+ZU10+ZU14+ZU15+ZU16</f>
        <v>138279.51999999999</v>
      </c>
      <c r="ZV38" s="1426">
        <f>ZU38/ZS38</f>
        <v>1.4221452479378154</v>
      </c>
      <c r="ZW38" s="577">
        <f>ZW7+ZW8+ZW10+ZW14+ZW15+ZW16</f>
        <v>117229.11</v>
      </c>
      <c r="ZX38" s="578"/>
      <c r="ZY38" s="577">
        <f>ZY7+ZY8+ZY10+ZY14+ZY15+ZY16</f>
        <v>218347.66</v>
      </c>
      <c r="ZZ38" s="1426">
        <f>ZY38/ZW38</f>
        <v>1.8625720181617007</v>
      </c>
      <c r="AAA38" s="577">
        <f>AAA7+AAA8+AAA10+AAA14+AAA15+AAA16</f>
        <v>767473.15999999992</v>
      </c>
      <c r="AAB38" s="578"/>
      <c r="AAC38" s="577">
        <f>AAC7+AAC8+AAC10+AAC14+AAC15+AAC16</f>
        <v>769589.26</v>
      </c>
      <c r="AAD38" s="1426">
        <f>AAC38/AAA38</f>
        <v>1.002757229972707</v>
      </c>
      <c r="AAE38" s="577">
        <f>AAE7+AAE8+AAE10+AAE14+AAE15+AAE16</f>
        <v>66578.98</v>
      </c>
      <c r="AAF38" s="578"/>
      <c r="AAG38" s="578">
        <f>AAG7+AAG8+AAG10+AAG14+AAG15+AAG16</f>
        <v>93221.169999999984</v>
      </c>
      <c r="AAH38" s="1426">
        <f>AAG38/AAE38</f>
        <v>1.4001591793686234</v>
      </c>
      <c r="AAI38" s="577">
        <f>AAI7+AAI8+AAI10+AAI14+AAI15+AAI16</f>
        <v>68095.88</v>
      </c>
      <c r="AAJ38" s="578"/>
      <c r="AAK38" s="577">
        <f>AAK7+AAK8+AAK10+AAK14+AAK15+AAK16</f>
        <v>73494.399999999994</v>
      </c>
      <c r="AAL38" s="1426">
        <f>AAK38/AAI38</f>
        <v>1.0792782177130245</v>
      </c>
      <c r="AAM38" s="577">
        <f>AAM7+AAM8+AAM10+AAM14+AAM15+AAM16</f>
        <v>66264.14</v>
      </c>
      <c r="AAN38" s="578"/>
      <c r="AAO38" s="577">
        <f>AAO7+AAO8+AAO10+AAO14+AAO15+AAO16</f>
        <v>50702.11</v>
      </c>
      <c r="AAP38" s="1426">
        <f>AAO38/AAM38</f>
        <v>0.76515155859564465</v>
      </c>
      <c r="AAQ38" s="577">
        <f>AAQ7+AAQ8+AAQ10+AAQ14+AAQ15+AAQ16</f>
        <v>48131.29</v>
      </c>
      <c r="AAR38" s="578"/>
      <c r="AAS38" s="577">
        <f>AAS7+AAS8+AAS10+AAS14+AAS15+AAS16</f>
        <v>43778.35</v>
      </c>
      <c r="AAT38" s="1426">
        <f>AAS38/AAQ38</f>
        <v>0.90956111918047489</v>
      </c>
      <c r="AAU38" s="577">
        <f>AAU7+AAU8+AAU10+AAU14+AAU15+AAU16</f>
        <v>65381.09</v>
      </c>
      <c r="AAV38" s="578"/>
      <c r="AAW38" s="577">
        <f>AAW7+AAW8+AAW10+AAW14+AAW15+AAW16</f>
        <v>56909.130000000005</v>
      </c>
      <c r="AAX38" s="1426">
        <f>AAW38/AAU38</f>
        <v>0.87042186051043213</v>
      </c>
      <c r="AAY38" s="577">
        <f>AAY7+AAY8+AAY10+AAY14+AAY15+AAY16</f>
        <v>74641.450000000012</v>
      </c>
      <c r="AAZ38" s="578"/>
      <c r="ABA38" s="577">
        <f>ABA7+ABA8+ABA10+ABA14+ABA15+ABA16</f>
        <v>66434.2</v>
      </c>
      <c r="ABB38" s="1426">
        <f>ABA38/AAY38</f>
        <v>0.8900443386349004</v>
      </c>
      <c r="ABC38" s="577">
        <f>ABC7+ABC8+ABC10+ABC14+ABC15+ABC16</f>
        <v>137309.68</v>
      </c>
      <c r="ABD38" s="578"/>
      <c r="ABE38" s="577">
        <f>ABE7+ABE8+ABE10+ABE14+ABE15+ABE16</f>
        <v>146052.53</v>
      </c>
      <c r="ABF38" s="1426">
        <f>ABE38/ABC38</f>
        <v>1.063672495631772</v>
      </c>
      <c r="ABG38" s="577">
        <f>ABG7+ABG8+ABG10+ABG14+ABG15+ABG16</f>
        <v>526402.51</v>
      </c>
      <c r="ABH38" s="578"/>
      <c r="ABI38" s="577">
        <f>ABI7+ABI8+ABI10+ABI14+ABI15+ABI16</f>
        <v>530591.89</v>
      </c>
      <c r="ABJ38" s="1426">
        <f>ABI38/ABG38</f>
        <v>1.0079585106841531</v>
      </c>
      <c r="ABK38" s="577">
        <f>ABK7+ABK8+ABK10+ABK14+ABK15+ABK16</f>
        <v>64519.51</v>
      </c>
      <c r="ABL38" s="578"/>
      <c r="ABM38" s="578">
        <f>ABM7+ABM8+ABM10+ABM14+ABM15+ABM16</f>
        <v>53320.56</v>
      </c>
      <c r="ABN38" s="1426">
        <f>ABM38/ABK38</f>
        <v>0.8264253711784233</v>
      </c>
      <c r="ABO38" s="577">
        <f>ABO7+ABO8+ABO10+ABO14+ABO15+ABO16</f>
        <v>64048.82</v>
      </c>
      <c r="ABP38" s="578"/>
      <c r="ABQ38" s="577">
        <f>ABQ7+ABQ8+ABQ10+ABQ14+ABQ15+ABQ16</f>
        <v>81979.38</v>
      </c>
      <c r="ABR38" s="1426">
        <f>ABQ38/ABO38</f>
        <v>1.2799514495349018</v>
      </c>
      <c r="ABS38" s="577">
        <f>ABS7+ABS8+ABS10+ABS14+ABS15+ABS16</f>
        <v>57515.799999999996</v>
      </c>
      <c r="ABT38" s="578"/>
      <c r="ABU38" s="577">
        <f>ABU7+ABU8+ABU10+ABU14+ABU15+ABU16</f>
        <v>55639.789999999994</v>
      </c>
      <c r="ABV38" s="1426">
        <f>ABU38/ABS38</f>
        <v>0.9673827017967237</v>
      </c>
      <c r="ABW38" s="577">
        <f>ABW7+ABW8+ABW10+ABW14+ABW15+ABW16</f>
        <v>78273.350000000006</v>
      </c>
      <c r="ABX38" s="578"/>
      <c r="ABY38" s="577">
        <f>ABY7+ABY8+ABY10+ABY14+ABY15+ABY16</f>
        <v>62395.59</v>
      </c>
      <c r="ABZ38" s="1426">
        <f>ABY38/ABW38</f>
        <v>0.79714986007370314</v>
      </c>
      <c r="ACA38" s="577">
        <f>ACA7+ACA8+ACA10+ACA14+ACA15+ACA16</f>
        <v>70804.929999999993</v>
      </c>
      <c r="ACB38" s="578"/>
      <c r="ACC38" s="577">
        <f>ACC7+ACC8+ACC10+ACC14+ACC15+ACC16</f>
        <v>49498.21</v>
      </c>
      <c r="ACD38" s="1426">
        <f>ACC38/ACA38</f>
        <v>0.69907858111010068</v>
      </c>
      <c r="ACE38" s="577">
        <f>ACE7+ACE8+ACE10+ACE14+ACE15+ACE16</f>
        <v>116496.05</v>
      </c>
      <c r="ACF38" s="578"/>
      <c r="ACG38" s="577">
        <f>ACG7+ACG8+ACG10+ACG14+ACG15+ACG16</f>
        <v>91261.979999999981</v>
      </c>
      <c r="ACH38" s="1426">
        <f>ACG38/ACE38</f>
        <v>0.78339119652554723</v>
      </c>
      <c r="ACI38" s="577">
        <f>ACI7+ACI8+ACI10+ACI14+ACI15+ACI16</f>
        <v>196132.77000000002</v>
      </c>
      <c r="ACJ38" s="578"/>
      <c r="ACK38" s="577">
        <f>ACK7+ACK8+ACK10+ACK14+ACK15+ACK16</f>
        <v>143437.02000000002</v>
      </c>
      <c r="ACL38" s="1426">
        <f>ACK38/ACI38</f>
        <v>0.73132613178307737</v>
      </c>
      <c r="ACM38" s="577">
        <f>ACM7+ACM8+ACM10+ACM14+ACM15+ACM16</f>
        <v>647791.23</v>
      </c>
      <c r="ACN38" s="578"/>
      <c r="ACO38" s="578">
        <f>ACO7+ACO8+ACO10+ACO14+ACO15+ACO16</f>
        <v>537532.53</v>
      </c>
      <c r="ACP38" s="1426">
        <f>ACO38/ACM38</f>
        <v>0.82979284853856394</v>
      </c>
      <c r="ACQ38" s="577">
        <f>ACQ7+ACQ8+ACQ10+ACQ14+ACQ15+ACQ16</f>
        <v>118096.56</v>
      </c>
      <c r="ACR38" s="578"/>
      <c r="ACS38" s="578">
        <f>ACS7+ACS8+ACS10+ACS14+ACS15+ACS16</f>
        <v>77811.960000000006</v>
      </c>
      <c r="ACT38" s="1426">
        <f>ACS38/ACQ38</f>
        <v>0.6588842215217785</v>
      </c>
      <c r="ACU38" s="577">
        <f>ACU7+ACU8+ACU10+ACU14+ACU15+ACU16</f>
        <v>140165.29999999999</v>
      </c>
      <c r="ACV38" s="578"/>
      <c r="ACW38" s="577">
        <f>ACW7+ACW8+ACW10+ACW14+ACW15+ACW16</f>
        <v>84457.05</v>
      </c>
      <c r="ACX38" s="1426">
        <f>ACW38/ACU38</f>
        <v>0.60255319968637033</v>
      </c>
      <c r="ACY38" s="577">
        <f>ACY7+ACY8+ACY10+ACY14+ACY15+ACY16</f>
        <v>102853.18</v>
      </c>
      <c r="ACZ38" s="578"/>
      <c r="ADA38" s="577">
        <f>ADA7+ADA8+ADA10+ADA14+ADA15+ADA16</f>
        <v>81878.490000000005</v>
      </c>
      <c r="ADB38" s="1426">
        <f>ADA38/ACY38</f>
        <v>0.79607154586761453</v>
      </c>
      <c r="ADC38" s="577">
        <f>ADC7+ADC8+ADC10+ADC14+ADC15+ADC16</f>
        <v>69779.63</v>
      </c>
      <c r="ADD38" s="578"/>
      <c r="ADE38" s="577">
        <f>ADE7+ADE8+ADE10+ADE14+ADE15+ADE16</f>
        <v>68186.28</v>
      </c>
      <c r="ADF38" s="1426">
        <f>ADE38/ADC38</f>
        <v>0.97716597236184821</v>
      </c>
      <c r="ADG38" s="577">
        <f>ADG7+ADG8+ADG10+ADG14+ADG15+ADG16</f>
        <v>92962.48</v>
      </c>
      <c r="ADH38" s="578"/>
      <c r="ADI38" s="577">
        <f>ADI7+ADI8+ADI10+ADI14+ADI15+ADI16</f>
        <v>72155.219999999987</v>
      </c>
      <c r="ADJ38" s="1426">
        <f>ADI38/ADG38</f>
        <v>0.77617572164598003</v>
      </c>
      <c r="ADK38" s="577">
        <f>ADK7+ADK8+ADK10+ADK14+ADK15+ADK16</f>
        <v>96173.090000000011</v>
      </c>
      <c r="ADL38" s="578"/>
      <c r="ADM38" s="577">
        <f>ADM7+ADM8+ADM10+ADM14+ADM15+ADM16</f>
        <v>94437.71</v>
      </c>
      <c r="ADN38" s="1426">
        <f>ADM38/ADK38</f>
        <v>0.98195565932216589</v>
      </c>
      <c r="ADO38" s="577">
        <f>ADO7+ADO8+ADO10+ADO14+ADO15+ADO16</f>
        <v>154897.39000000001</v>
      </c>
      <c r="ADP38" s="578"/>
      <c r="ADQ38" s="577">
        <f>ADQ7+ADQ8+ADQ10+ADQ14+ADQ15+ADQ16</f>
        <v>149486.51999999999</v>
      </c>
      <c r="ADR38" s="1426">
        <f>ADQ38/ADO38</f>
        <v>0.96506803633037308</v>
      </c>
      <c r="ADS38" s="577">
        <f>ADS7+ADS8+ADS10+ADS14+ADS15+ADS16</f>
        <v>774927.63</v>
      </c>
      <c r="ADT38" s="578"/>
      <c r="ADU38" s="578">
        <f>ADU7+ADU8+ADU10+ADU14+ADU15+ADU16</f>
        <v>628413.23</v>
      </c>
      <c r="ADV38" s="1426">
        <f>ADU38/ADS38</f>
        <v>0.81093150595236874</v>
      </c>
      <c r="ADW38" s="577">
        <f>ADW7+ADW8+ADW10+ADW14+ADW15+ADW16</f>
        <v>88753.609999999986</v>
      </c>
      <c r="ADX38" s="578"/>
      <c r="ADY38" s="578">
        <f>ADY7+ADY8+ADY10+ADY14+ADY15+ADY16</f>
        <v>76581.48000000001</v>
      </c>
      <c r="ADZ38" s="1426">
        <f>ADY38/ADW38</f>
        <v>0.8628548179617711</v>
      </c>
      <c r="AEA38" s="577">
        <f>AEA7+AEA8+AEA10+AEA14+AEA15+AEA16</f>
        <v>111420.78</v>
      </c>
      <c r="AEB38" s="578"/>
      <c r="AEC38" s="577">
        <f>AEC7+AEC8+AEC10+AEC14+AEC15+AEC16</f>
        <v>85579</v>
      </c>
      <c r="AED38" s="1426">
        <f>AEC38/AEA38</f>
        <v>0.76807037251040611</v>
      </c>
      <c r="AEE38" s="577">
        <f>AEE7+AEE8+AEE10+AEE14+AEE15+AEE16</f>
        <v>94876.760000000009</v>
      </c>
      <c r="AEF38" s="578"/>
      <c r="AEG38" s="577">
        <f>AEG7+AEG8+AEG10+AEG14+AEG15+AEG16</f>
        <v>124296</v>
      </c>
      <c r="AEH38" s="1426">
        <f>AEG38/AEE38</f>
        <v>1.3100784638935814</v>
      </c>
      <c r="AEI38" s="577">
        <f>AEI7+AEI8+AEI10+AEI14+AEI15+AEI16</f>
        <v>75509.76999999999</v>
      </c>
      <c r="AEJ38" s="578"/>
      <c r="AEK38" s="577">
        <f>AEK7+AEK8+AEK10+AEK14+AEK15+AEK16</f>
        <v>85822</v>
      </c>
      <c r="AEL38" s="1426">
        <f>AEK38/AEI38</f>
        <v>1.1365681553526121</v>
      </c>
      <c r="AEM38" s="577">
        <f>AEM7+AEM8+AEM10+AEM14+AEM15+AEM16</f>
        <v>105218.95</v>
      </c>
      <c r="AEN38" s="578"/>
      <c r="AEO38" s="577">
        <f>AEO7+AEO8+AEO10+AEO14+AEO15+AEO16</f>
        <v>76183</v>
      </c>
      <c r="AEP38" s="1426">
        <f>AEO38/AEM38</f>
        <v>0.72404257978244413</v>
      </c>
      <c r="AEQ38" s="577">
        <f>AEQ7+AEQ8+AEQ10+AEQ14+AEQ15+AEQ16</f>
        <v>141330.16</v>
      </c>
      <c r="AER38" s="578"/>
      <c r="AES38" s="577">
        <f>AES7+AES8+AES10+AES14+AES15+AES16</f>
        <v>71331</v>
      </c>
      <c r="AET38" s="1426">
        <f>AES38/AEQ38</f>
        <v>0.50471180390654058</v>
      </c>
      <c r="AEU38" s="577">
        <f>AEU7+AEU8+AEU10+AEU14+AEU15+AEU16</f>
        <v>200907.14</v>
      </c>
      <c r="AEV38" s="578"/>
      <c r="AEW38" s="577">
        <f>AEW7+AEW8+AEW10+AEW14+AEW15+AEW16</f>
        <v>191617</v>
      </c>
      <c r="AEX38" s="1426">
        <f>AEW38/AEU38</f>
        <v>0.95375903514429594</v>
      </c>
      <c r="AEY38" s="577">
        <f>AEY7+AEY8+AEY10+AEY14+AEY15+AEY16</f>
        <v>818017.17</v>
      </c>
      <c r="AEZ38" s="578"/>
      <c r="AFA38" s="578">
        <f>AFA7+AFA8+AFA10+AFA14+AFA15+AFA16</f>
        <v>711409.48</v>
      </c>
      <c r="AFB38" s="1426">
        <f>AFA38/AEY38</f>
        <v>0.86967548615147028</v>
      </c>
      <c r="AFC38" s="577">
        <f>AFC7+AFC8+AFC10+AFC14+AFC15+AFC16</f>
        <v>116523.74</v>
      </c>
      <c r="AFD38" s="578"/>
      <c r="AFE38" s="578">
        <f>AFE7+AFE8+AFE10+AFE14+AFE15+AFE16</f>
        <v>86142</v>
      </c>
      <c r="AFF38" s="1426">
        <f>AFE38/AFC38</f>
        <v>0.73926566380378789</v>
      </c>
      <c r="AFG38" s="577">
        <f>AFG7+AFG8+AFG10+AFG14+AFG15+AFG16</f>
        <v>137540.93</v>
      </c>
      <c r="AFH38" s="578"/>
      <c r="AFI38" s="577">
        <f>AFI7+AFI8+AFI10+AFI14+AFI15+AFI16</f>
        <v>116811.95999999999</v>
      </c>
      <c r="AFJ38" s="1426">
        <f>AFI38/AFG38</f>
        <v>0.84928871718404109</v>
      </c>
      <c r="AFK38" s="577">
        <f>AFK7+AFK8+AFK10+AFK14+AFK15+AFK16</f>
        <v>158133.85999999999</v>
      </c>
      <c r="AFL38" s="578"/>
      <c r="AFM38" s="577">
        <f>AFM7+AFM8+AFM10+AFM14+AFM15+AFM16</f>
        <v>110529.25</v>
      </c>
      <c r="AFN38" s="1426">
        <f>AFM38/AFK38</f>
        <v>0.69896004562210778</v>
      </c>
      <c r="AFO38" s="577">
        <f>AFO7+AFO8+AFO10+AFO14+AFO15+AFO16</f>
        <v>127870.12</v>
      </c>
      <c r="AFP38" s="578"/>
      <c r="AFQ38" s="577">
        <f>AFQ7+AFQ8+AFQ10+AFQ14+AFQ15+AFQ16</f>
        <v>117715.15</v>
      </c>
      <c r="AFR38" s="1426">
        <f>AFQ38/AFO38</f>
        <v>0.92058371416246421</v>
      </c>
      <c r="AFS38" s="577">
        <f>AFS7+AFS8+AFS10+AFS14+AFS15+AFS16</f>
        <v>167310.85999999999</v>
      </c>
      <c r="AFT38" s="578"/>
      <c r="AFU38" s="577">
        <f>AFU7+AFU8+AFU10+AFU14+AFU15+AFU16</f>
        <v>146640.4</v>
      </c>
      <c r="AFV38" s="1426">
        <f>AFU38/AFS38</f>
        <v>0.8764547621116765</v>
      </c>
      <c r="AFW38" s="577">
        <f>AFW7+AFW8+AFW10+AFW14+AFW15+AFW16</f>
        <v>180578.15</v>
      </c>
      <c r="AFX38" s="578"/>
      <c r="AFY38" s="577">
        <f>AFY7+AFY8+AFY10+AFY14+AFY15+AFY16</f>
        <v>148472.69</v>
      </c>
      <c r="AFZ38" s="1426">
        <f>AFY38/AFW38</f>
        <v>0.82220739330865888</v>
      </c>
      <c r="AGA38" s="577">
        <f>AGA7+AGA8+AGA10+AGA14+AGA15+AGA16</f>
        <v>287042.63</v>
      </c>
      <c r="AGB38" s="578"/>
      <c r="AGC38" s="577">
        <f>AGC7+AGC8+AGC10+AGC14+AGC15+AGC16</f>
        <v>280794.03000000003</v>
      </c>
      <c r="AGD38" s="1426">
        <f>AGC38/AGA38</f>
        <v>0.97823110804133873</v>
      </c>
      <c r="AGE38" s="577">
        <f>AGE7+AGE8+AGE10+AGE14+AGE15+AGE16</f>
        <v>1175000.29</v>
      </c>
      <c r="AGF38" s="578"/>
      <c r="AGG38" s="578">
        <f>AGG7+AGG8+AGG10+AGG14+AGG15+AGG16</f>
        <v>1007105.4800000001</v>
      </c>
      <c r="AGH38" s="1426">
        <f>AGG38/AGE38</f>
        <v>0.85711083526626197</v>
      </c>
      <c r="AGI38" s="577">
        <f>AGI7+AGI8+AGI10+AGI14+AGI15+AGI16</f>
        <v>171049.7</v>
      </c>
      <c r="AGJ38" s="578"/>
      <c r="AGK38" s="578">
        <f>AGK7+AGK8+AGK10+AGK14+AGK15+AGK16</f>
        <v>119234.99000000002</v>
      </c>
      <c r="AGL38" s="1426">
        <f>AGK38/AGI38</f>
        <v>0.6970780422298315</v>
      </c>
      <c r="AGM38" s="577">
        <f>AGM7+AGM8+AGM10+AGM14+AGM15+AGM16</f>
        <v>141057.29999999999</v>
      </c>
      <c r="AGN38" s="578"/>
      <c r="AGO38" s="577">
        <f>AGO7+AGO8+AGO10+AGO14+AGO15+AGO16</f>
        <v>132557.87</v>
      </c>
      <c r="AGP38" s="1426">
        <f>AGO38/AGM38</f>
        <v>0.93974484128081293</v>
      </c>
      <c r="AGQ38" s="577">
        <f>AGQ7+AGQ8+AGQ10+AGQ14+AGQ15+AGQ16</f>
        <v>176087.58</v>
      </c>
      <c r="AGR38" s="578"/>
      <c r="AGS38" s="577">
        <f>AGS7+AGS8+AGS10+AGS14+AGS15+AGS16</f>
        <v>114107.52</v>
      </c>
      <c r="AGT38" s="1426">
        <f>AGS38/AGQ38</f>
        <v>0.64801572035915322</v>
      </c>
      <c r="AGU38" s="577">
        <f>AGU7+AGU8+AGU10+AGU14+AGU15+AGU16</f>
        <v>166767.5</v>
      </c>
      <c r="AGV38" s="578"/>
      <c r="AGW38" s="577">
        <f>AGW7+AGW8+AGW10+AGW14+AGW15+AGW16</f>
        <v>160575.35999999999</v>
      </c>
      <c r="AGX38" s="1426">
        <f>AGW38/AGU38</f>
        <v>0.96286962387755404</v>
      </c>
      <c r="AGY38" s="577">
        <f>AGY7+AGY8+AGY10+AGY14+AGY15+AGY16</f>
        <v>163204.28999999998</v>
      </c>
      <c r="AGZ38" s="578"/>
      <c r="AHA38" s="577">
        <f>AHA7+AHA8+AHA10+AHA14+AHA15+AHA16</f>
        <v>132619.90999999997</v>
      </c>
      <c r="AHB38" s="1426">
        <f>AHA38/AGY38</f>
        <v>0.81260063690727735</v>
      </c>
      <c r="AHC38" s="577">
        <f>AHC7+AHC8+AHC10+AHC14+AHC15+AHC16</f>
        <v>210405.44</v>
      </c>
      <c r="AHD38" s="578"/>
      <c r="AHE38" s="577">
        <f>AHE7+AHE8+AHE10+AHE14+AHE15+AHE16</f>
        <v>156877.13</v>
      </c>
      <c r="AHF38" s="1426">
        <f>AHE38/AHC38</f>
        <v>0.74559445801401336</v>
      </c>
      <c r="AHG38" s="577">
        <f>AHG7+AHG8+AHG10+AHG14+AHG15+AHG16</f>
        <v>287043.98000000004</v>
      </c>
      <c r="AHH38" s="578"/>
      <c r="AHI38" s="577">
        <f>AHI7+AHI8+AHI10+AHI14+AHI15+AHI16</f>
        <v>254867</v>
      </c>
      <c r="AHJ38" s="1426">
        <f>AHI38/AHG38</f>
        <v>0.88790226501179359</v>
      </c>
      <c r="AHK38" s="577">
        <f>AHK7+AHK8+AHK10+AHK14+AHK15+AHK16</f>
        <v>1315615.79</v>
      </c>
      <c r="AHL38" s="578"/>
      <c r="AHM38" s="578">
        <f>AHM7+AHM8+AHM10+AHM14+AHM15+AHM16</f>
        <v>1070839.78</v>
      </c>
      <c r="AHN38" s="1426">
        <f>AHM38/AHK38</f>
        <v>0.81394567330329781</v>
      </c>
      <c r="AHO38" s="577">
        <f>AHO7+AHO8+AHO10+AHO14+AHO15+AHO16</f>
        <v>226156.34</v>
      </c>
      <c r="AHP38" s="578"/>
      <c r="AHQ38" s="578">
        <f>AHQ7+AHQ8+AHQ10+AHQ14+AHQ15+AHQ16</f>
        <v>126714.44</v>
      </c>
      <c r="AHR38" s="1426">
        <f>AHQ38/AHO38</f>
        <v>0.56029576707865014</v>
      </c>
      <c r="AHS38" s="577">
        <f>AHS7+AHS8+AHS10+AHS14+AHS15+AHS16</f>
        <v>218170.15999999997</v>
      </c>
      <c r="AHT38" s="578"/>
      <c r="AHU38" s="577">
        <f>AHU7+AHU8+AHU10+AHU14+AHU15+AHU16</f>
        <v>170742.22</v>
      </c>
      <c r="AHV38" s="1426">
        <f>AHU38/AHS38</f>
        <v>0.78261032581174261</v>
      </c>
      <c r="AHW38" s="577">
        <f>AHW7+AHW8+AHW10+AHW14+AHW15+AHW16</f>
        <v>242391.33000000002</v>
      </c>
      <c r="AHX38" s="578"/>
      <c r="AHY38" s="577">
        <f>AHY7+AHY8+AHY10+AHY14+AHY15+AHY16</f>
        <v>173332.32</v>
      </c>
      <c r="AHZ38" s="1426">
        <f>AHY38/AHW38</f>
        <v>0.71509290369420386</v>
      </c>
      <c r="AIA38" s="577">
        <f>AIA7+AIA8+AIA10+AIA14+AIA15+AIA16</f>
        <v>271203.52</v>
      </c>
      <c r="AIB38" s="578"/>
      <c r="AIC38" s="577">
        <f>AIC7+AIC8+AIC10+AIC14+AIC15+AIC16</f>
        <v>181140.3</v>
      </c>
      <c r="AID38" s="1426">
        <f>AIC38/AIA38</f>
        <v>0.6679127911024163</v>
      </c>
      <c r="AIE38" s="577">
        <f>AIE7+AIE8+AIE10+AIE14+AIE15+AIE16</f>
        <v>219035.39</v>
      </c>
      <c r="AIF38" s="578"/>
      <c r="AIG38" s="577">
        <f>AIG7+AIG8+AIG10+AIG14+AIG15+AIG16</f>
        <v>180194.54</v>
      </c>
      <c r="AIH38" s="1426">
        <f>AIG38/AIE38</f>
        <v>0.82267317623878045</v>
      </c>
      <c r="AII38" s="577">
        <f>AII7+AII8+AII10+AII14+AII15+AII16</f>
        <v>283731.13</v>
      </c>
      <c r="AIJ38" s="578"/>
      <c r="AIK38" s="577">
        <f>AIK7+AIK8+AIK10+AIK14+AIK15+AIK16</f>
        <v>209584.25</v>
      </c>
      <c r="AIL38" s="1426">
        <f>AIK38/AII38</f>
        <v>0.73867203080606625</v>
      </c>
      <c r="AIM38" s="577">
        <f>AIM7+AIM8+AIM10+AIM14+AIM15+AIM16</f>
        <v>380986.48000000004</v>
      </c>
      <c r="AIN38" s="578"/>
      <c r="AIO38" s="577">
        <f>AIO7+AIO8+AIO10+AIO14+AIO15+AIO16</f>
        <v>277769.20999999996</v>
      </c>
      <c r="AIP38" s="1426">
        <f>AIO38/AIM38</f>
        <v>0.72907891639619316</v>
      </c>
      <c r="AIQ38" s="577">
        <f>AIQ7+AIQ8+AIQ10+AIQ14+AIQ15+AIQ16</f>
        <v>1841674.35</v>
      </c>
      <c r="AIR38" s="578"/>
      <c r="AIS38" s="578">
        <f>AIS7+AIS8+AIS10+AIS14+AIS15+AIS16</f>
        <v>1319477.2799999998</v>
      </c>
      <c r="AIT38" s="1426">
        <f>AIS38/AIQ38</f>
        <v>0.71645526257125736</v>
      </c>
      <c r="AIU38" s="577">
        <f>AIU7+AIU8+AIU10+AIU14+AIU15+AIU16</f>
        <v>218249.78879999998</v>
      </c>
      <c r="AIV38" s="578"/>
      <c r="AIW38" s="578">
        <f>AIW7+AIW8+AIW10+AIW14+AIW15+AIW16</f>
        <v>248384.99000000002</v>
      </c>
      <c r="AIX38" s="1426">
        <f>AIW38/AIU38</f>
        <v>1.138076656869599</v>
      </c>
      <c r="AIY38" s="577">
        <f>AIY7+AIY8+AIY10+AIY14+AIY15+AIY16</f>
        <v>218249.78879999998</v>
      </c>
      <c r="AIZ38" s="578"/>
      <c r="AJA38" s="577">
        <f>AJA7+AJA8+AJA10+AJA14+AJA15+AJA16</f>
        <v>310783.93999999994</v>
      </c>
      <c r="AJB38" s="1426">
        <f>AJA38/AIY38</f>
        <v>1.4239827754646606</v>
      </c>
      <c r="AJC38" s="577">
        <f>AJC7+AJC8+AJC10+AJC14+AJC15+AJC16</f>
        <v>218249.78879999998</v>
      </c>
      <c r="AJD38" s="578"/>
      <c r="AJE38" s="577">
        <f>AJE7+AJE8+AJE10+AJE14+AJE15+AJE16</f>
        <v>364170.76</v>
      </c>
      <c r="AJF38" s="1426">
        <f>AJE38/AJC38</f>
        <v>1.6685961622337204</v>
      </c>
      <c r="AJG38" s="577">
        <f>AJG7+AJG8+AJG10+AJG14+AJG15+AJG16</f>
        <v>218249.78879999998</v>
      </c>
      <c r="AJH38" s="578"/>
      <c r="AJI38" s="577">
        <f>AJI7+AJI8+AJI10+AJI14+AJI15+AJI16</f>
        <v>351629.93</v>
      </c>
      <c r="AJJ38" s="1426">
        <f>AJI38/AJG38</f>
        <v>1.611135258977167</v>
      </c>
      <c r="AJK38" s="577">
        <f>AJK7+AJK8+AJK10+AJK14+AJK15+AJK16</f>
        <v>254624.75360000005</v>
      </c>
      <c r="AJL38" s="578"/>
      <c r="AJM38" s="577">
        <f>AJM7+AJM8+AJM10+AJM14+AJM15+AJM16</f>
        <v>493875.73</v>
      </c>
      <c r="AJN38" s="1426">
        <f>AJM38/AJK38</f>
        <v>1.939621827875575</v>
      </c>
      <c r="AJO38" s="577">
        <f>AJO7+AJO8+AJO10+AJO14+AJO15+AJO16</f>
        <v>290999.71840000001</v>
      </c>
      <c r="AJP38" s="578"/>
      <c r="AJQ38" s="577">
        <f>AJQ7+AJQ8+AJQ10+AJQ14+AJQ15+AJQ16</f>
        <v>560922.01</v>
      </c>
      <c r="AJR38" s="1426">
        <f>AJQ38/AJO38</f>
        <v>1.927568909977337</v>
      </c>
      <c r="AJS38" s="577">
        <f>AJS7+AJS8+AJS10+AJS14+AJS15+AJS16</f>
        <v>400124.6128</v>
      </c>
      <c r="AJT38" s="578"/>
      <c r="AJU38" s="577">
        <f>AJU7+AJU8+AJU10+AJU14+AJU15+AJU16</f>
        <v>0</v>
      </c>
      <c r="AJV38" s="1426">
        <f>AJU38/AJS38</f>
        <v>0</v>
      </c>
      <c r="AJW38" s="577">
        <f>AJW7+AJW8+AJW10+AJW14+AJW15+AJW16</f>
        <v>1818748.2400000002</v>
      </c>
      <c r="AJX38" s="578"/>
      <c r="AJY38" s="578">
        <f>AJY7+AJY8+AJY10+AJY14+AJY15+AJY16</f>
        <v>2329767.36</v>
      </c>
      <c r="AJZ38" s="1426">
        <f>AJY38/AJW38</f>
        <v>1.2809729839243718</v>
      </c>
      <c r="AKA38" s="577">
        <f>AKA7+AKA8+AKA10+AKA14+AKA15+AKA16</f>
        <v>64665.499200000006</v>
      </c>
      <c r="AKB38" s="578"/>
      <c r="AKC38" s="578">
        <f>AKC7+AKC8+AKC10+AKC14+AKC15+AKC16</f>
        <v>66550.2</v>
      </c>
      <c r="AKD38" s="1426">
        <f>AKC38/AKA38</f>
        <v>1.0291453839113021</v>
      </c>
      <c r="AKE38" s="577">
        <f>AKE7+AKE8+AKE10+AKE14+AKE15+AKE16</f>
        <v>64665.499200000006</v>
      </c>
      <c r="AKF38" s="578"/>
      <c r="AKG38" s="577">
        <f>AKG7+AKG8+AKG10+AKG14+AKG15+AKG16</f>
        <v>84561.04</v>
      </c>
      <c r="AKH38" s="1426">
        <f>AKG38/AKE38</f>
        <v>1.3076685565894461</v>
      </c>
      <c r="AKI38" s="577">
        <f>AKI7+AKI8+AKI10+AKI14+AKI15+AKI16</f>
        <v>64665.499200000006</v>
      </c>
      <c r="AKJ38" s="578"/>
      <c r="AKK38" s="577">
        <f>AKK7+AKK8+AKK10+AKK14+AKK15+AKK16</f>
        <v>78590.87</v>
      </c>
      <c r="AKL38" s="1426">
        <f>AKK38/AKI38</f>
        <v>1.2153446733153803</v>
      </c>
      <c r="AKM38" s="577">
        <f>AKM7+AKM8+AKM10+AKM14+AKM15+AKM16</f>
        <v>64665.499200000006</v>
      </c>
      <c r="AKN38" s="578"/>
      <c r="AKO38" s="577">
        <f>AKO7+AKO8+AKO10+AKO14+AKO15+AKO16</f>
        <v>74708.399999999994</v>
      </c>
      <c r="AKP38" s="1426">
        <f>AKO38/AKM38</f>
        <v>1.1553053935134547</v>
      </c>
      <c r="AKQ38" s="577">
        <f>AKQ7+AKQ8+AKQ10+AKQ14+AKQ15+AKQ16</f>
        <v>75443.082400000014</v>
      </c>
      <c r="AKR38" s="578"/>
      <c r="AKS38" s="577">
        <f>AKS7+AKS8+AKS10+AKS14+AKS15+AKS16</f>
        <v>95712.1</v>
      </c>
      <c r="AKT38" s="1426">
        <f>AKS38/AKQ38</f>
        <v>1.268666350249761</v>
      </c>
      <c r="AKU38" s="577">
        <f>AKU7+AKU8+AKU10+AKU14+AKU15+AKU16</f>
        <v>86220.665599999993</v>
      </c>
      <c r="AKV38" s="578"/>
      <c r="AKW38" s="577">
        <f>AKW7+AKW8+AKW10+AKW14+AKW15+AKW16</f>
        <v>106844.54</v>
      </c>
      <c r="AKX38" s="1426">
        <f>AKW38/AKU38</f>
        <v>1.2391987379879379</v>
      </c>
      <c r="AKY38" s="577">
        <f>AKY7+AKY8+AKY10+AKY14+AKY15+AKY16</f>
        <v>118553.4152</v>
      </c>
      <c r="AKZ38" s="578"/>
      <c r="ALA38" s="577">
        <f>ALA7+ALA8+ALA10+ALA14+ALA15+ALA16</f>
        <v>0</v>
      </c>
      <c r="ALB38" s="1426">
        <f>ALA38/AKY38</f>
        <v>0</v>
      </c>
      <c r="ALC38" s="577">
        <f>ALC7+ALC8+ALC10+ALC14+ALC15+ALC16</f>
        <v>538879.15999999992</v>
      </c>
      <c r="ALD38" s="578"/>
      <c r="ALE38" s="578">
        <f>ALE7+ALE8+ALE10+ALE14+ALE15+ALE16</f>
        <v>506967.14999999997</v>
      </c>
      <c r="ALF38" s="1426">
        <f>ALE38/ALC38</f>
        <v>0.94078076799258681</v>
      </c>
    </row>
    <row r="39" spans="1:994" ht="21" customHeight="1" outlineLevel="1">
      <c r="A39" s="1495"/>
      <c r="B39" s="429" t="s">
        <v>481</v>
      </c>
      <c r="C39" s="435"/>
      <c r="D39" s="435"/>
      <c r="E39" s="424"/>
      <c r="F39" s="435"/>
      <c r="G39" s="424"/>
      <c r="H39" s="435"/>
      <c r="I39" s="435"/>
      <c r="J39" s="424"/>
      <c r="K39" s="435"/>
      <c r="L39" s="424"/>
      <c r="M39" s="435"/>
      <c r="N39" s="435"/>
      <c r="O39" s="424"/>
      <c r="P39" s="435"/>
      <c r="Q39" s="424"/>
      <c r="R39" s="435"/>
      <c r="S39" s="435"/>
      <c r="T39" s="424"/>
      <c r="U39" s="435"/>
      <c r="V39" s="424"/>
      <c r="W39" s="424"/>
      <c r="X39" s="424"/>
      <c r="Y39" s="424"/>
      <c r="Z39" s="424"/>
      <c r="AA39" s="435"/>
      <c r="AB39" s="435"/>
      <c r="AC39" s="424"/>
      <c r="AD39" s="435"/>
      <c r="AE39" s="424"/>
      <c r="AF39" s="435"/>
      <c r="AG39" s="435"/>
      <c r="AH39" s="424"/>
      <c r="AI39" s="435"/>
      <c r="AJ39" s="424"/>
      <c r="AK39" s="435"/>
      <c r="AL39" s="435"/>
      <c r="AM39" s="424"/>
      <c r="AN39" s="435"/>
      <c r="AO39" s="424"/>
      <c r="AP39" s="435"/>
      <c r="AQ39" s="435"/>
      <c r="AR39" s="424"/>
      <c r="AS39" s="435"/>
      <c r="AT39" s="424"/>
      <c r="AU39" s="424"/>
      <c r="AV39" s="424"/>
      <c r="AW39" s="424"/>
      <c r="AX39" s="424"/>
      <c r="AY39" s="435"/>
      <c r="AZ39" s="435"/>
      <c r="BA39" s="424"/>
      <c r="BB39" s="435"/>
      <c r="BC39" s="424"/>
      <c r="BD39" s="435"/>
      <c r="BE39" s="435"/>
      <c r="BF39" s="424"/>
      <c r="BG39" s="435"/>
      <c r="BH39" s="424"/>
      <c r="BI39" s="435"/>
      <c r="BJ39" s="435"/>
      <c r="BK39" s="424"/>
      <c r="BL39" s="435"/>
      <c r="BM39" s="449"/>
      <c r="BN39" s="452">
        <f>BN8+BN10+BN12+BN16+BN20+BN23+BN24</f>
        <v>4.5529269791154094</v>
      </c>
      <c r="BO39" s="435">
        <f>BO8+BO10+BO12+BO16+BO20+BO23+BO24</f>
        <v>100036.65839999999</v>
      </c>
      <c r="BP39" s="424">
        <f t="shared" si="1338"/>
        <v>21971.944390690878</v>
      </c>
      <c r="BQ39" s="435">
        <f>BQ8+BQ10+BQ12+BQ16+BQ20+BQ23+BQ24</f>
        <v>65025.459999999992</v>
      </c>
      <c r="BR39" s="426">
        <f t="shared" si="1339"/>
        <v>14282.122313464783</v>
      </c>
      <c r="BS39" s="452">
        <f>BS8+BS10+BS12+BS16+BS20+BS23+BS24</f>
        <v>100036.65839999999</v>
      </c>
      <c r="BT39" s="435">
        <f>BT8+BT10+BT12+BT16+BT20+BT23+BT24</f>
        <v>70025.660879999996</v>
      </c>
      <c r="BU39" s="424">
        <f t="shared" si="1340"/>
        <v>0.70000000000000007</v>
      </c>
      <c r="BV39" s="435">
        <f>BV8+BV10+BV12+BV16+BV20+BV23+BV24</f>
        <v>4.7951234909901865</v>
      </c>
      <c r="BW39" s="426">
        <f t="shared" si="1341"/>
        <v>4.7933663195912863E-5</v>
      </c>
      <c r="BX39" s="449"/>
      <c r="BY39" s="435">
        <f>BY8+BY10+BY12+BY16+BY20+BY23+BY24</f>
        <v>71557.31</v>
      </c>
      <c r="BZ39" s="435">
        <f>BZ8+BZ10+BZ12+BZ16+BZ20+BZ23+BZ24</f>
        <v>4.9709634701483001</v>
      </c>
      <c r="CA39" s="426">
        <f t="shared" si="1342"/>
        <v>6.9468283116683681E-5</v>
      </c>
      <c r="CB39" s="452">
        <f>CB8+CB10+CB12+CB16+CB20+CB23+CB24</f>
        <v>70025.660879999996</v>
      </c>
      <c r="CC39" s="435">
        <f>CC8+CC10+CC12+CC16+CC20+CC23+CC24</f>
        <v>74287.819999999992</v>
      </c>
      <c r="CD39" s="424">
        <f t="shared" si="1343"/>
        <v>1.0608656750459504</v>
      </c>
      <c r="CE39" s="435">
        <f>CE8+CE10+CE12+CE16+CE20+CE23+CE24</f>
        <v>116709.4348</v>
      </c>
      <c r="CF39" s="426">
        <f t="shared" si="1344"/>
        <v>1.6666666666666667</v>
      </c>
      <c r="CG39" s="452">
        <f>CG8+CG10+CG12+CG16+CG20+CG23+CG24</f>
        <v>78220.110000000015</v>
      </c>
      <c r="CH39" s="435">
        <f>CH8+CH10+CH12+CH16+CH20+CH23+CH24</f>
        <v>4.805473502918213</v>
      </c>
      <c r="CI39" s="424">
        <f t="shared" si="1345"/>
        <v>6.1435269049330311E-5</v>
      </c>
      <c r="CJ39" s="435">
        <f>CJ8+CJ10+CJ12+CJ16+CJ20+CJ23+CJ24</f>
        <v>93367.547839999999</v>
      </c>
      <c r="CK39" s="426">
        <f t="shared" si="1346"/>
        <v>1.1936514515257008</v>
      </c>
      <c r="CL39" s="452">
        <f>CL8+CL10+CL12+CL16+CL20+CL23+CL24</f>
        <v>5.1463388260304779</v>
      </c>
      <c r="CM39" s="435">
        <f>CM8+CM10+CM12+CM16+CM20+CM23+CM24</f>
        <v>183400.54040000003</v>
      </c>
      <c r="CN39" s="424">
        <f t="shared" si="1347"/>
        <v>35637.090094486113</v>
      </c>
      <c r="CO39" s="435">
        <f>CO8+CO10+CO12+CO16+CO20+CO23+CO24</f>
        <v>136434.44999999998</v>
      </c>
      <c r="CP39" s="426">
        <f t="shared" si="1348"/>
        <v>26510.973064949918</v>
      </c>
      <c r="CQ39" s="452">
        <f>CQ8+CQ10+CQ12+CQ16+CQ20+CQ23+CQ24</f>
        <v>833638.82</v>
      </c>
      <c r="CR39" s="435">
        <f>CR8+CR10+CR12+CR16+CR20+CR23+CR24</f>
        <v>583547.17399999988</v>
      </c>
      <c r="CS39" s="424">
        <f t="shared" si="1349"/>
        <v>0.7</v>
      </c>
      <c r="CT39" s="435">
        <f>CT8+CT10+CT12+CT16+CT20+CT23+CT24</f>
        <v>4.9721442990777671</v>
      </c>
      <c r="CU39" s="449">
        <f t="shared" si="1350"/>
        <v>5.9643867101555655E-6</v>
      </c>
      <c r="CV39" s="452">
        <f>CV8+CV10+CV12+CV16+CV20+CV23+CV24</f>
        <v>66785.411279999986</v>
      </c>
      <c r="CW39" s="435">
        <f>CW8+CW10+CW12+CW16+CW20+CW23+CW24</f>
        <v>60132.28</v>
      </c>
      <c r="CX39" s="435">
        <f>CX8+CX10+CX12+CX16+CX20+CX23+CX24</f>
        <v>4.8222145819978524</v>
      </c>
      <c r="CY39" s="489">
        <f t="shared" si="1351"/>
        <v>8.0193443222140463E-5</v>
      </c>
      <c r="CZ39" s="478">
        <f>CZ8+CZ10+CZ12+CZ16+CZ20+CZ23+CZ24</f>
        <v>66785.411279999986</v>
      </c>
      <c r="DA39" s="479">
        <f>DA8+DA10+DA12+DA16+DA20+DA23+DA24</f>
        <v>57814.12</v>
      </c>
      <c r="DB39" s="424">
        <f t="shared" si="1352"/>
        <v>0.86566989544486661</v>
      </c>
      <c r="DC39" s="435">
        <f>DC8+DC10+DC12+DC16+DC20+DC23+DC24</f>
        <v>92691.584400000007</v>
      </c>
      <c r="DD39" s="449">
        <f t="shared" si="1353"/>
        <v>1.3879016782780234</v>
      </c>
      <c r="DE39" s="478">
        <f>DE8+DE10+DE12+DE16+DE20+DE23+DE24</f>
        <v>82253.239999999991</v>
      </c>
      <c r="DF39" s="479">
        <f>DF8+DF10+DF12+DF16+DF20+DF23+DF24</f>
        <v>6.1967660539346232</v>
      </c>
      <c r="DG39" s="424">
        <f t="shared" si="1354"/>
        <v>7.5337653008375401E-5</v>
      </c>
      <c r="DH39" s="435">
        <f>DH8+DH10+DH12+DH16+DH20+DH23+DH24</f>
        <v>66785.411279999986</v>
      </c>
      <c r="DI39" s="449">
        <f t="shared" si="1355"/>
        <v>0.8119486998931591</v>
      </c>
      <c r="DJ39" s="478">
        <f>DJ8+DJ10+DJ12+DJ16+DJ20+DJ23+DJ24</f>
        <v>5.2520845826773881</v>
      </c>
      <c r="DK39" s="479">
        <f>DK8+DK10+DK12+DK16+DK20+DK23+DK24</f>
        <v>108140.18180000003</v>
      </c>
      <c r="DL39" s="424">
        <f t="shared" si="1356"/>
        <v>20589.954350063559</v>
      </c>
      <c r="DM39" s="435">
        <f>DM8+DM10+DM12+DM16+DM20+DM23+DM24</f>
        <v>74034.430000000008</v>
      </c>
      <c r="DN39" s="449">
        <f t="shared" si="1357"/>
        <v>14096.19910619547</v>
      </c>
      <c r="DO39" s="478">
        <f>DO8+DO10+DO12+DO16+DO20+DO23+DO24</f>
        <v>123588.7792</v>
      </c>
      <c r="DP39" s="479">
        <f>DP8+DP10+DP12+DP16+DP20+DP23+DP24</f>
        <v>89047.21504000001</v>
      </c>
      <c r="DQ39" s="424">
        <f t="shared" si="1358"/>
        <v>0.72051213400123959</v>
      </c>
      <c r="DR39" s="435">
        <f>DR8+DR10+DR12+DR16+DR20+DR23+DR24</f>
        <v>5.0993499032172647</v>
      </c>
      <c r="DS39" s="449">
        <f t="shared" si="1359"/>
        <v>4.1260622009746858E-5</v>
      </c>
      <c r="DT39" s="452">
        <f>DT8+DT10+DT12+DT16+DT20+DT23+DT24</f>
        <v>122439.92068</v>
      </c>
      <c r="DU39" s="435">
        <f>DU8+DU10+DU12+DU16+DU20+DU23+DU24</f>
        <v>116608.75</v>
      </c>
      <c r="DV39" s="435">
        <f>DV8+DV10+DV12+DV16+DV20+DV23+DV24</f>
        <v>4.8828643601774626</v>
      </c>
      <c r="DW39" s="419">
        <f t="shared" si="1360"/>
        <v>4.1873910492801464E-5</v>
      </c>
      <c r="DX39" s="478">
        <f>DX8+DX10+DX12+DX16+DX20+DX23+DX24</f>
        <v>556545.09400000004</v>
      </c>
      <c r="DY39" s="479">
        <f>DY8+DY10+DY12+DY16+DY20+DY23+DY24</f>
        <v>545157.81999999995</v>
      </c>
      <c r="DZ39" s="424">
        <f t="shared" si="1361"/>
        <v>0.97953935067838349</v>
      </c>
      <c r="EA39" s="479">
        <f>EA8+EA10+EA12+EA16+EA20+EA23+EA24</f>
        <v>89598.047999999995</v>
      </c>
      <c r="EB39" s="449">
        <f t="shared" si="1362"/>
        <v>0.16098973643993705</v>
      </c>
      <c r="EC39" s="478">
        <f>EC8+EC10+EC12+EC16+EC20+EC23+EC24</f>
        <v>41177.85</v>
      </c>
      <c r="ED39" s="479">
        <f>ED8+ED10+ED12+ED16+ED20+ED23+ED24</f>
        <v>3.2467766563906242</v>
      </c>
      <c r="EE39" s="424">
        <f t="shared" si="1363"/>
        <v>7.8847648830393627E-5</v>
      </c>
      <c r="EF39" s="479">
        <f>EF8+EF10+EF12+EF16+EF20+EF23+EF24</f>
        <v>57159.339840000001</v>
      </c>
      <c r="EG39" s="449">
        <f t="shared" si="1364"/>
        <v>1.3881088944663211</v>
      </c>
      <c r="EH39" s="478">
        <f>EH8+EH10+EH12+EH16+EH20+EH23+EH24</f>
        <v>5.0973715218808895</v>
      </c>
      <c r="EI39" s="479">
        <f>EI8+EI10+EI12+EI16+EI20+EI23+EI24</f>
        <v>89598.047999999995</v>
      </c>
      <c r="EJ39" s="424">
        <f t="shared" si="1365"/>
        <v>17577.303835004561</v>
      </c>
      <c r="EK39" s="479">
        <f>EK8+EK10+EK12+EK16+EK20+EK23+EK24</f>
        <v>75178.649999999994</v>
      </c>
      <c r="EL39" s="449">
        <f t="shared" si="1366"/>
        <v>14748.512969339083</v>
      </c>
      <c r="EM39" s="478">
        <f>EM8+EM10+EM12+EM16+EM20+EM23+EM24</f>
        <v>89598.047999999995</v>
      </c>
      <c r="EN39" s="479">
        <f>EN8+EN10+EN12+EN16+EN20+EN23+EN24</f>
        <v>57159.339840000001</v>
      </c>
      <c r="EO39" s="424">
        <f t="shared" si="1367"/>
        <v>0.63795295897517768</v>
      </c>
      <c r="EP39" s="479">
        <f>EP8+EP10+EP12+EP16+EP20+EP23+EP24</f>
        <v>5.8653894690252013</v>
      </c>
      <c r="EQ39" s="449">
        <f t="shared" si="1368"/>
        <v>6.5463362204332858E-5</v>
      </c>
      <c r="ER39" s="478">
        <f>ER8+ER10+ER12+ER16+ER20+ER23+ER24</f>
        <v>66685.89648000001</v>
      </c>
      <c r="ES39" s="479">
        <f>ES8+ES10+ES12+ES16+ES20+ES23+ES24</f>
        <v>75840.75</v>
      </c>
      <c r="ET39" s="424">
        <f t="shared" si="1369"/>
        <v>1.137283203844244</v>
      </c>
      <c r="EU39" s="479">
        <f>EU8+EU10+EU12+EU16+EU20+EU23+EU24</f>
        <v>119464.064</v>
      </c>
      <c r="EV39" s="449">
        <f t="shared" si="1370"/>
        <v>1.7914442229299394</v>
      </c>
      <c r="EW39" s="452">
        <f>EW8+EW10+EW12+EW16+EW20+EW23+EW24</f>
        <v>86447.49</v>
      </c>
      <c r="EX39" s="435">
        <f>EX8+EX10+EX12+EX16+EX20+EX23+EX24</f>
        <v>5.1231734566638041</v>
      </c>
      <c r="EY39" s="435">
        <f>EY8+EY10+EY12+EY16+EY20+EY23+EY24</f>
        <v>164263.08799999999</v>
      </c>
      <c r="EZ39" s="426">
        <f t="shared" si="1371"/>
        <v>32062.761370365086</v>
      </c>
      <c r="FA39" s="478">
        <f>FA8+FA10+FA12+FA16+FA20+FA23+FA24</f>
        <v>112688.02000000002</v>
      </c>
      <c r="FB39" s="479">
        <f>FB8+FB10+FB12+FB16+FB20+FB23+FB24</f>
        <v>4.947121984868275</v>
      </c>
      <c r="FC39" s="424">
        <f>FB39/FA39</f>
        <v>4.3901046312361103E-5</v>
      </c>
      <c r="FD39" s="1401">
        <f>FD8+FD10+FD12+FD16+FD20+FD23+FD24</f>
        <v>476327.83199999994</v>
      </c>
      <c r="FE39" s="449">
        <f>FD39/FA39</f>
        <v>4.2269607008801806</v>
      </c>
      <c r="FF39" s="478">
        <f>FF8+FF10+FF12+FF16+FF20+FF23+FF24</f>
        <v>5.0454912562689822</v>
      </c>
      <c r="FG39" s="479">
        <f>FG8+FG10+FG12+FG16+FG20+FG23+FG24</f>
        <v>87766.507199999993</v>
      </c>
      <c r="FH39" s="424">
        <f>FG39/FF39</f>
        <v>17395.037022599299</v>
      </c>
      <c r="FI39" s="1401">
        <f>FI8+FI10+FI12+FI16+FI20+FI23+FI24</f>
        <v>58304.649999999994</v>
      </c>
      <c r="FJ39" s="449">
        <f>FI39/FF39</f>
        <v>11555.792496430737</v>
      </c>
      <c r="FK39" s="478">
        <f>FK8+FK10+FK12+FK16+FK20+FK23+FK24</f>
        <v>87766.507199999993</v>
      </c>
      <c r="FL39" s="479">
        <f>FL8+FL10+FL12+FL16+FL20+FL23+FL24</f>
        <v>61436.555039999992</v>
      </c>
      <c r="FM39" s="424">
        <f>FL39/FK39</f>
        <v>0.7</v>
      </c>
      <c r="FN39" s="1401">
        <f>FN8+FN10+FN12+FN16+FN20+FN23+FN24</f>
        <v>6.7158995717606462</v>
      </c>
      <c r="FO39" s="449">
        <f>FN39/FK39</f>
        <v>7.6520073385814846E-5</v>
      </c>
      <c r="FP39" s="478">
        <f>FP8+FP10+FP12+FP16+FP20+FP23+FP24</f>
        <v>61436.555039999992</v>
      </c>
      <c r="FQ39" s="479">
        <f>FQ8+FQ10+FQ12+FQ16+FQ20+FQ23+FQ24</f>
        <v>67412.850000000006</v>
      </c>
      <c r="FR39" s="424">
        <f>FQ39/FP39</f>
        <v>1.0972758800702445</v>
      </c>
      <c r="FS39" s="1401">
        <f>FS8+FS10+FS12+FS16+FS20+FS23+FS24</f>
        <v>87766.507199999993</v>
      </c>
      <c r="FT39" s="449">
        <f>FS39/FP39</f>
        <v>1.4285714285714286</v>
      </c>
      <c r="FU39" s="452">
        <f>FU8+FU10+FU12+FU16+FU20+FU23+FU24</f>
        <v>78685.87000000001</v>
      </c>
      <c r="FV39" s="435">
        <f>FV8+FV10+FV12+FV16+FV20+FV23+FV24</f>
        <v>6.6869253106280251</v>
      </c>
      <c r="FW39" s="435">
        <f>FW8+FW10+FW12+FW16+FW20+FW23+FW24</f>
        <v>102394.25840000002</v>
      </c>
      <c r="FX39" s="455">
        <f t="shared" si="1372"/>
        <v>15312.606862418106</v>
      </c>
      <c r="FY39" s="478">
        <f>FY8+FY10+FY12+FY16+FY20+FY23+FY24</f>
        <v>66709.09</v>
      </c>
      <c r="FZ39" s="479">
        <f>FZ8+FZ10+FZ12+FZ16+FZ20+FZ23+FZ24</f>
        <v>4.7654415821123965</v>
      </c>
      <c r="GA39" s="424">
        <f>FZ39/FY39</f>
        <v>7.1436165327879559E-5</v>
      </c>
      <c r="GB39" s="1401">
        <f>GB8+GB10+GB12+GB16+GB20+GB23+GB24</f>
        <v>81915.406719999999</v>
      </c>
      <c r="GC39" s="449">
        <f>GB39/FY39</f>
        <v>1.2279496950115794</v>
      </c>
      <c r="GD39" s="478">
        <f>GD8+GD10+GD12+GD16+GD20+GD23+GD24</f>
        <v>5.4143545534935074</v>
      </c>
      <c r="GE39" s="479">
        <f>GE8+GE10+GE12+GE16+GE20+GE23+GE24</f>
        <v>160905.26319999999</v>
      </c>
      <c r="GF39" s="424">
        <f>GE39/GD39</f>
        <v>29718.27234627237</v>
      </c>
      <c r="GG39" s="1401">
        <f>GG8+GG10+GG12+GG16+GG20+GG23+GG24</f>
        <v>124543.84</v>
      </c>
      <c r="GH39" s="449">
        <f>GG39/GD39</f>
        <v>23002.527590225967</v>
      </c>
      <c r="GI39" s="478">
        <f>GI8+GI10+GI12+GI16+GI20+GI23+GI24</f>
        <v>731387.56</v>
      </c>
      <c r="GJ39" s="479">
        <f>GJ8+GJ10+GJ12+GJ16+GJ20+GJ23+GJ24</f>
        <v>511971.2919999999</v>
      </c>
      <c r="GK39" s="424">
        <f>GJ39/GI39</f>
        <v>0.69999999999999984</v>
      </c>
      <c r="GL39" s="1401">
        <f>GL8+GL10+GL12+GL16+GL20+GL23+GL24</f>
        <v>5.6038707606534066</v>
      </c>
      <c r="GM39" s="449">
        <f>GL39/GI39</f>
        <v>7.6619716647264368E-6</v>
      </c>
      <c r="GN39" s="478">
        <f>GN8+GN10+GN12+GN16+GN20+GN23+GN24</f>
        <v>70659.648048000003</v>
      </c>
      <c r="GO39" s="479">
        <f>GO8+GO10+GO12+GO16+GO20+GO23+GO24</f>
        <v>51216.36</v>
      </c>
      <c r="GP39" s="424">
        <f>GO39/GN39</f>
        <v>0.72483180167000083</v>
      </c>
      <c r="GQ39" s="1401">
        <f>GQ8+GQ10+GQ12+GQ16+GQ20+GQ23+GQ24</f>
        <v>95091.819600000003</v>
      </c>
      <c r="GR39" s="449">
        <f>GQ39/GN39</f>
        <v>1.3457726188418446</v>
      </c>
      <c r="GS39" s="452">
        <f>GS8+GS10+GS12+GS16+GS20+GS23+GS24</f>
        <v>68789.649999999994</v>
      </c>
      <c r="GT39" s="435">
        <f>GT8+GT10+GT12+GT16+GT20+GT23+GT24</f>
        <v>5.0413236387030125</v>
      </c>
      <c r="GU39" s="435">
        <f>GU8+GU10+GU12+GU16+GU20+GU23+GU24</f>
        <v>95091.819600000003</v>
      </c>
      <c r="GV39" s="455">
        <f t="shared" si="1373"/>
        <v>18862.47073486129</v>
      </c>
      <c r="GW39" s="478">
        <f>GW8+GW10+GW12+GW16+GW20+GW23+GW24</f>
        <v>80795.659999999989</v>
      </c>
      <c r="GX39" s="479">
        <f>GX8+GX10+GX12+GX16+GX20+GX23+GX24</f>
        <v>5.9323771093269153</v>
      </c>
      <c r="GY39" s="424">
        <f t="shared" si="1374"/>
        <v>7.3424452616971213E-5</v>
      </c>
      <c r="GZ39" s="435">
        <f>GZ8+GZ10+GZ12+GZ16+GZ20+GZ23+GZ24</f>
        <v>70659.648048000003</v>
      </c>
      <c r="HA39" s="449">
        <f t="shared" si="1375"/>
        <v>0.87454756911447984</v>
      </c>
      <c r="HB39" s="478">
        <f>HB8+HB10+HB12+HB16+HB20+HB23+HB24</f>
        <v>5.1171579761726571</v>
      </c>
      <c r="HC39" s="479">
        <f>HC8+HC10+HC12+HC16+HC20+HC23+HC24</f>
        <v>110940.45620000002</v>
      </c>
      <c r="HD39" s="424">
        <f t="shared" si="1376"/>
        <v>21680.092097328048</v>
      </c>
      <c r="HE39" s="435">
        <f>HE8+HE10+HE12+HE16+HE20+HE23+HE24</f>
        <v>89345.96</v>
      </c>
      <c r="HF39" s="449">
        <f t="shared" si="1377"/>
        <v>17460.074599226209</v>
      </c>
      <c r="HG39" s="478">
        <f>HG8+HG10+HG12+HG16+HG20+HG23+HG24</f>
        <v>126789.09280000001</v>
      </c>
      <c r="HH39" s="479">
        <f>HH8+HH10+HH12+HH16+HH20+HH23+HH24</f>
        <v>94212.864064000009</v>
      </c>
      <c r="HI39" s="424">
        <f t="shared" si="1378"/>
        <v>0.74306757768677711</v>
      </c>
      <c r="HJ39" s="435">
        <f>HJ8+HJ10+HJ12+HJ16+HJ20+HJ23+HJ24</f>
        <v>5.2094349612238728</v>
      </c>
      <c r="HK39" s="449">
        <f t="shared" si="1379"/>
        <v>4.1087406228557481E-5</v>
      </c>
      <c r="HL39" s="478">
        <f>HL8+HL10+HL12+HL16+HL20+HL23+HL24</f>
        <v>129542.688088</v>
      </c>
      <c r="HM39" s="479">
        <f>HM8+HM10+HM12+HM16+HM20+HM23+HM24</f>
        <v>106217.81000000001</v>
      </c>
      <c r="HN39" s="424">
        <f t="shared" si="1380"/>
        <v>0.81994446439033986</v>
      </c>
      <c r="HO39" s="435">
        <f>HO8+HO10+HO12+HO16+HO20+HO23+HO24</f>
        <v>792431.83</v>
      </c>
      <c r="HP39" s="449">
        <f t="shared" si="1381"/>
        <v>6.1171482674629303</v>
      </c>
      <c r="HQ39" s="478">
        <f>HQ8+HQ10+HQ12+HQ16+HQ20+HQ23+HQ24</f>
        <v>557524.72</v>
      </c>
      <c r="HR39" s="479">
        <f>HR8+HR10+HR12+HR16+HR20+HR23+HR24</f>
        <v>4.9920869738734837</v>
      </c>
      <c r="HS39" s="424">
        <f t="shared" si="1382"/>
        <v>8.9540190682011088E-6</v>
      </c>
      <c r="HT39" s="435">
        <f>HT8+HT10+HT12+HT16+HT20+HT23+HT24</f>
        <v>68252.834627999997</v>
      </c>
      <c r="HU39" s="449">
        <f t="shared" si="1383"/>
        <v>0.12242118094422791</v>
      </c>
      <c r="HV39" s="452">
        <f>HV8+HV10+HV12+HV16+HV20+HV23+HV24</f>
        <v>4.2462784689107709</v>
      </c>
      <c r="HW39" s="435">
        <f>HW8+HW10+HW12+HW16+HW20+HW23+HW24</f>
        <v>86395.993199999997</v>
      </c>
      <c r="HX39" s="435">
        <f>HX8+HX10+HX12+HX16+HX20+HX23+HX24</f>
        <v>68252.834627999997</v>
      </c>
      <c r="HY39" s="455">
        <f t="shared" si="1384"/>
        <v>0.79</v>
      </c>
      <c r="HZ39" s="478">
        <f>HZ8+HZ10+HZ12+HZ16+HZ20+HZ23+HZ24</f>
        <v>5.4364351590306637</v>
      </c>
      <c r="IA39" s="479">
        <f>IA8+IA10+IA12+IA16+IA20+IA23+IA24</f>
        <v>86395.993199999997</v>
      </c>
      <c r="IB39" s="424">
        <f t="shared" si="1385"/>
        <v>15892.03047082874</v>
      </c>
      <c r="IC39" s="435">
        <f>IC8+IC10+IC12+IC16+IC20+IC23+IC24</f>
        <v>67944.13</v>
      </c>
      <c r="ID39" s="449">
        <f t="shared" si="1386"/>
        <v>12497.919686788777</v>
      </c>
      <c r="IE39" s="478">
        <f>IE8+IE10+IE12+IE16+IE20+IE23+IE24</f>
        <v>86395.993199999997</v>
      </c>
      <c r="IF39" s="479">
        <f>IF8+IF10+IF12+IF16+IF20+IF23+IF24</f>
        <v>68252.834627999997</v>
      </c>
      <c r="IG39" s="424">
        <f t="shared" si="1387"/>
        <v>0.79</v>
      </c>
      <c r="IH39" s="435">
        <f>IH8+IH10+IH12+IH16+IH20+IH23+IH24</f>
        <v>5.3744199065125944</v>
      </c>
      <c r="II39" s="449">
        <f t="shared" si="1388"/>
        <v>6.2206818944383573E-5</v>
      </c>
      <c r="IJ39" s="478">
        <f>IJ8+IJ10+IJ12+IJ16+IJ20+IJ23+IJ24</f>
        <v>79628.307066000008</v>
      </c>
      <c r="IK39" s="479">
        <f>IK8+IK10+IK12+IK16+IK20+IK23+IK24</f>
        <v>72940.72</v>
      </c>
      <c r="IL39" s="424">
        <f t="shared" si="1389"/>
        <v>0.91601495357100848</v>
      </c>
      <c r="IM39" s="435">
        <f>IM8+IM10+IM12+IM16+IM20+IM23+IM24</f>
        <v>115194.65760000002</v>
      </c>
      <c r="IN39" s="449">
        <f t="shared" si="1390"/>
        <v>1.4466546112115732</v>
      </c>
      <c r="IO39" s="478">
        <f>IO8+IO10+IO12+IO16+IO20+IO23+IO24</f>
        <v>87484.640000000014</v>
      </c>
      <c r="IP39" s="479">
        <f>IP8+IP10+IP12+IP16+IP20+IP23+IP24</f>
        <v>5.211449769768052</v>
      </c>
      <c r="IQ39" s="424">
        <f t="shared" si="1391"/>
        <v>5.9569883007669132E-5</v>
      </c>
      <c r="IR39" s="435">
        <f>IR8+IR10+IR12+IR16+IR20+IR23+IR24</f>
        <v>125130.196818</v>
      </c>
      <c r="IS39" s="449">
        <f t="shared" si="1392"/>
        <v>1.4303104729927445</v>
      </c>
      <c r="IT39" s="452">
        <f>IT8+IT10+IT12+IT16+IT20+IT23+IT24</f>
        <v>5.8898381298826532</v>
      </c>
      <c r="IU39" s="435">
        <f>IU8+IU10+IU12+IU16+IU20+IU23+IU24</f>
        <v>719966.6100000001</v>
      </c>
      <c r="IV39" s="435">
        <f>IV8+IV10+IV12+IV16+IV20+IV23+IV24</f>
        <v>568773.62190000003</v>
      </c>
      <c r="IW39" s="455">
        <f t="shared" si="1393"/>
        <v>0.78999999999999992</v>
      </c>
      <c r="IX39" s="478">
        <f>IX8+IX10+IX12+IX16+IX20+IX23+IX24</f>
        <v>5.3341259051727583</v>
      </c>
      <c r="IY39" s="479">
        <f>IY8+IY10+IY12+IY16+IY20+IY23+IY24</f>
        <v>81378.503999999986</v>
      </c>
      <c r="IZ39" s="424">
        <f t="shared" si="1394"/>
        <v>15256.202318187379</v>
      </c>
      <c r="JA39" s="435">
        <f>JA8+JA10+JA12+JA16+JA20+JA23+JA24</f>
        <v>46013.270000000004</v>
      </c>
      <c r="JB39" s="449">
        <f t="shared" si="1395"/>
        <v>8626.2062084771424</v>
      </c>
      <c r="JC39" s="478">
        <f>JC8+JC10+JC12+JC16+JC20+JC23+JC24</f>
        <v>81378.503999999986</v>
      </c>
      <c r="JD39" s="479">
        <f>JD8+JD10+JD12+JD16+JD20+JD23+JD24</f>
        <v>61847.663040000007</v>
      </c>
      <c r="JE39" s="424">
        <f t="shared" si="1396"/>
        <v>0.76000000000000023</v>
      </c>
      <c r="JF39" s="435">
        <f>JF8+JF10+JF12+JF16+JF20+JF23+JF24</f>
        <v>5.772272966945927</v>
      </c>
      <c r="JG39" s="449">
        <f t="shared" si="1397"/>
        <v>7.0931175718663106E-5</v>
      </c>
      <c r="JH39" s="478">
        <f>JH8+JH10+JH12+JH16+JH20+JH23+JH24</f>
        <v>61847.663040000007</v>
      </c>
      <c r="JI39" s="479">
        <f>JI8+JI10+JI12+JI16+JI20+JI23+JI24</f>
        <v>66442.170000000013</v>
      </c>
      <c r="JJ39" s="424">
        <f t="shared" si="1398"/>
        <v>1.0742874788499042</v>
      </c>
      <c r="JK39" s="435">
        <f>JK8+JK10+JK12+JK16+JK20+JK23+JK24</f>
        <v>81378.503999999986</v>
      </c>
      <c r="JL39" s="449">
        <f t="shared" si="1399"/>
        <v>1.3157894736842102</v>
      </c>
      <c r="JM39" s="478">
        <f>JM8+JM10+JM12+JM16+JM20+JM23+JM24</f>
        <v>55660.639999999999</v>
      </c>
      <c r="JN39" s="479">
        <f>JN8+JN10+JN12+JN16+JN20+JN23+JN24</f>
        <v>4.8931152053796438</v>
      </c>
      <c r="JO39" s="424">
        <f t="shared" si="1400"/>
        <v>8.7909790569775051E-5</v>
      </c>
      <c r="JP39" s="435">
        <f>JP8+JP10+JP12+JP16+JP20+JP23+JP24</f>
        <v>72155.606880000021</v>
      </c>
      <c r="JQ39" s="449">
        <f t="shared" si="1401"/>
        <v>1.2963488540555772</v>
      </c>
      <c r="JR39" s="800"/>
      <c r="JS39" s="452">
        <f>JS8+JS10+JS12+JS16+JS20+JS23+JS24</f>
        <v>108504.67200000001</v>
      </c>
      <c r="JT39" s="435">
        <f>JT8+JT10+JT12+JT16+JT20+JT23+JT24</f>
        <v>82463.550719999999</v>
      </c>
      <c r="JU39" s="435">
        <f>JU8+JU10+JU12+JU16+JU20+JU23+JU24</f>
        <v>94388.36</v>
      </c>
      <c r="JV39" s="455">
        <f t="shared" si="1402"/>
        <v>1.1446070315416077</v>
      </c>
      <c r="JW39" s="478">
        <f>JW8+JW10+JW12+JW16+JW20+JW23+JW24</f>
        <v>149193.924</v>
      </c>
      <c r="JX39" s="479">
        <f>JX8+JX10+JX12+JX16+JX20+JX23+JX24</f>
        <v>113387.38223999999</v>
      </c>
      <c r="JY39" s="424">
        <f t="shared" si="1403"/>
        <v>0.7599999999999999</v>
      </c>
      <c r="JZ39" s="435">
        <f>JZ8+JZ10+JZ12+JZ16+JZ20+JZ23+JZ24</f>
        <v>5.4045707141311521</v>
      </c>
      <c r="KA39" s="449">
        <f t="shared" si="1404"/>
        <v>3.622513953136022E-5</v>
      </c>
      <c r="KB39" s="478">
        <f>KB8+KB10+KB12+KB16+KB20+KB23+KB24</f>
        <v>515397.19199999998</v>
      </c>
      <c r="KC39" s="479">
        <f>KC8+KC10+KC12+KC16+KC20+KC23+KC24</f>
        <v>516774.82</v>
      </c>
      <c r="KD39" s="424">
        <f t="shared" si="1405"/>
        <v>1.0026729443260141</v>
      </c>
      <c r="KE39" s="435">
        <f>KE8+KE10+KE12+KE16+KE20+KE23+KE24</f>
        <v>82515.631200000003</v>
      </c>
      <c r="KF39" s="449">
        <f t="shared" si="1406"/>
        <v>0.16010104921176987</v>
      </c>
      <c r="KG39" s="478">
        <f>KG8+KG10+KG12+KG16+KG20+KG23+KG24</f>
        <v>43179.92</v>
      </c>
      <c r="KH39" s="479">
        <f>KH8+KH10+KH12+KH16+KH20+KH23+KH24</f>
        <v>3.6176412092664405</v>
      </c>
      <c r="KI39" s="424">
        <f t="shared" si="1407"/>
        <v>8.3780637140282808E-5</v>
      </c>
      <c r="KJ39" s="435">
        <f>KJ8+KJ10+KJ12+KJ16+KJ20+KJ23+KJ24</f>
        <v>61886.723399999995</v>
      </c>
      <c r="KK39" s="449">
        <f t="shared" si="1408"/>
        <v>1.4332292278447945</v>
      </c>
      <c r="KL39" s="478">
        <f>KL8+KL10+KL12+KL16+KL20+KL23+KL24</f>
        <v>5.6114328627617001</v>
      </c>
      <c r="KM39" s="479">
        <f>KM8+KM10+KM12+KM16+KM20+KM23+KM24</f>
        <v>82515.631200000003</v>
      </c>
      <c r="KN39" s="424">
        <f t="shared" si="1409"/>
        <v>14704.912848122261</v>
      </c>
      <c r="KO39" s="435">
        <f>KO8+KO10+KO12+KO16+KO20+KO23+KO24</f>
        <v>53095.140000000007</v>
      </c>
      <c r="KP39" s="449">
        <f t="shared" si="1410"/>
        <v>9461.9576315965969</v>
      </c>
      <c r="KQ39" s="478">
        <f>KQ8+KQ10+KQ12+KQ16+KQ20+KQ23+KQ24</f>
        <v>82515.631200000003</v>
      </c>
      <c r="KR39" s="479">
        <f>KR8+KR10+KR12+KR16+KR20+KR23+KR24</f>
        <v>61886.723399999995</v>
      </c>
      <c r="KS39" s="424">
        <f t="shared" si="1411"/>
        <v>0.74999999999999989</v>
      </c>
      <c r="KT39" s="435">
        <f>KT8+KT10+KT12+KT16+KT20+KT23+KT24</f>
        <v>6.2958227923529035</v>
      </c>
      <c r="KU39" s="449">
        <f t="shared" si="1412"/>
        <v>7.6298547327271769E-5</v>
      </c>
      <c r="KV39" s="452">
        <f>KV8+KV10+KV12+KV16+KV20+KV23+KV24</f>
        <v>72201.17730000001</v>
      </c>
      <c r="KW39" s="435">
        <f>KW8+KW10+KW12+KW16+KW20+KW23+KW24</f>
        <v>60353.320000000007</v>
      </c>
      <c r="KX39" s="435">
        <f>KX8+KX10+KX12+KX16+KX20+KX23+KX24</f>
        <v>4.312596720004648</v>
      </c>
      <c r="KY39" s="455">
        <f t="shared" si="1413"/>
        <v>7.1455832421557709E-5</v>
      </c>
      <c r="KZ39" s="948">
        <f>KZ8+KZ10+KZ12+KZ16+KZ20+KZ23+KZ24</f>
        <v>82515.631200000003</v>
      </c>
      <c r="LA39" s="948">
        <f>LA8+LA10+LA12+LA16+LA20+LA23+LA24</f>
        <v>78656.779999999984</v>
      </c>
      <c r="LB39" s="452">
        <f>LB8+LB10+LB12+LB16+LB20+LB23+LB24</f>
        <v>5.0456622312356219</v>
      </c>
      <c r="LC39" s="452">
        <f>LC8+LC10+LC12+LC16+LC20+LC23+LC24</f>
        <v>151278.65719999999</v>
      </c>
      <c r="LD39" s="492">
        <f>LC39-LB39</f>
        <v>151273.61153776874</v>
      </c>
      <c r="LE39" s="493">
        <f>LC39/LB39</f>
        <v>29981.92313855176</v>
      </c>
      <c r="LW39" s="579">
        <f>LW9+LW11+LW13+LW21+LW24</f>
        <v>52805.678400000004</v>
      </c>
      <c r="LX39" s="574"/>
      <c r="LY39" s="574">
        <f>LY9+LY11+LY13+LY21+LY24</f>
        <v>29665.960000000003</v>
      </c>
      <c r="LZ39" s="1427">
        <f t="shared" ref="LZ39:LZ45" si="1414">LY39/LW39</f>
        <v>0.56179488454408344</v>
      </c>
      <c r="MA39" s="579">
        <f>MA9+MA11+MA13+MA21+MA24</f>
        <v>61606.624800000005</v>
      </c>
      <c r="MB39" s="574"/>
      <c r="MC39" s="574">
        <f>MC9+MC11+MC13+MC21+MC24</f>
        <v>43281.99</v>
      </c>
      <c r="MD39" s="1427">
        <f t="shared" ref="MD39:MD41" si="1415">MC39/MA39</f>
        <v>0.70255415128666476</v>
      </c>
      <c r="ME39" s="579">
        <f>ME9+ME11+ME13+ME21+ME24</f>
        <v>70407.571200000006</v>
      </c>
      <c r="MF39" s="574"/>
      <c r="MG39" s="574">
        <f>MG9+MG11+MG13+MG21+MG24</f>
        <v>63030.460000000006</v>
      </c>
      <c r="MH39" s="1427">
        <f t="shared" ref="MH39:MH41" si="1416">MG39/ME39</f>
        <v>0.89522275695259323</v>
      </c>
      <c r="MI39" s="579">
        <f>MI9+MI11+MI13+MI21+MI24</f>
        <v>96810.410399999993</v>
      </c>
      <c r="MJ39" s="574"/>
      <c r="MK39" s="574">
        <f>MK9+MK11+MK13+MK21+MK24</f>
        <v>88013.759999999995</v>
      </c>
      <c r="ML39" s="1427">
        <f t="shared" ref="ML39:ML41" si="1417">MK39/MI39</f>
        <v>0.90913528448382652</v>
      </c>
      <c r="MM39" s="579">
        <f>MM9+MM11+MM13+MM21+MM24</f>
        <v>440047.32</v>
      </c>
      <c r="MN39" s="574"/>
      <c r="MO39" s="574">
        <f>MO9+MO11+MO13+MO21+MO24</f>
        <v>337608.55</v>
      </c>
      <c r="MP39" s="1427">
        <f t="shared" ref="MP39:MP41" si="1418">MO39/MM39</f>
        <v>0.76720964918045631</v>
      </c>
      <c r="MQ39" s="579">
        <f>MQ9+MQ11+MQ13+MQ21+MQ24+MQ17</f>
        <v>76846.384799999985</v>
      </c>
      <c r="MR39" s="574"/>
      <c r="MS39" s="579">
        <f>MS9+MS11+MS13+MS21+MS24+MS17</f>
        <v>55572.869999999995</v>
      </c>
      <c r="MT39" s="1472">
        <f t="shared" ref="MT39:MT41" si="1419">MS39/MQ39</f>
        <v>0.72316830706654145</v>
      </c>
      <c r="MU39" s="577">
        <f>MU9+MU11+MU13+MU21+MU24+MU17</f>
        <v>76846.384799999985</v>
      </c>
      <c r="MV39" s="578"/>
      <c r="MW39" s="578">
        <f>MW9+MW11+MW13+MW21+MW24+MW17</f>
        <v>51693.8</v>
      </c>
      <c r="MX39" s="1426">
        <f t="shared" ref="MX39:MX41" si="1420">MW39/MU39</f>
        <v>0.6726900703857186</v>
      </c>
      <c r="MY39" s="575">
        <f>MY9+MY11+MY13+MY21+MY24+MY17</f>
        <v>76846.384799999985</v>
      </c>
      <c r="MZ39" s="574"/>
      <c r="NA39" s="579">
        <f>NA9+NA11+NA13+NA21+NA24+NA17</f>
        <v>41779.79</v>
      </c>
      <c r="NB39" s="1427">
        <f t="shared" ref="NB39:NB41" si="1421">NA39/MY39</f>
        <v>0.54367931697419303</v>
      </c>
      <c r="NC39" s="579">
        <f>NC9+NC11+NC13+NC21+NC24+NC17</f>
        <v>76846.384799999985</v>
      </c>
      <c r="ND39" s="574"/>
      <c r="NE39" s="579">
        <f>NE9+NE11+NE13+NE21+NE24+NE17</f>
        <v>50103.1</v>
      </c>
      <c r="NF39" s="1427">
        <f t="shared" ref="NF39:NF41" si="1422">NE39/NC39</f>
        <v>0.6519903327970219</v>
      </c>
      <c r="NG39" s="579">
        <f>NG9+NG11+NG13+NG21+NG24+NG17</f>
        <v>89654.115600000005</v>
      </c>
      <c r="NH39" s="574"/>
      <c r="NI39" s="579">
        <f>NI9+NI11+NI13+NI21+NI24+NI17</f>
        <v>59424.590000000004</v>
      </c>
      <c r="NJ39" s="1427">
        <f t="shared" ref="NJ39:NJ41" si="1423">NI39/NG39</f>
        <v>0.66282054763808296</v>
      </c>
      <c r="NK39" s="579">
        <f>NK9+NK11+NK13+NK21+NK24+NK17</f>
        <v>102461.84640000001</v>
      </c>
      <c r="NL39" s="574"/>
      <c r="NM39" s="579">
        <f>NM9+NM11+NM13+NM21+NM24+NM17</f>
        <v>60152.39</v>
      </c>
      <c r="NN39" s="1427">
        <f t="shared" ref="NN39:NN41" si="1424">NM39/NK39</f>
        <v>0.58707111098868503</v>
      </c>
      <c r="NO39" s="579">
        <f>NO9+NO11+NO13+NO21+NO24+NO17</f>
        <v>140885.03879999998</v>
      </c>
      <c r="NP39" s="574"/>
      <c r="NQ39" s="579">
        <f>NQ9+NQ11+NQ13+NQ21+NQ24+NQ17</f>
        <v>98123.28</v>
      </c>
      <c r="NR39" s="1427">
        <f t="shared" ref="NR39:NR41" si="1425">NQ39/NO39</f>
        <v>0.69647764472205986</v>
      </c>
      <c r="NS39" s="579">
        <f>NS9+NS11+NS13+NS21+NS24+NS17</f>
        <v>640386.54</v>
      </c>
      <c r="NT39" s="574"/>
      <c r="NU39" s="579">
        <f>NU9+NU11+NU13+NU21+NU24+NU17</f>
        <v>416849.82000000007</v>
      </c>
      <c r="NV39" s="1427">
        <f t="shared" ref="NV39:NV41" si="1426">NU39/NS39</f>
        <v>0.65093469953319139</v>
      </c>
      <c r="NW39" s="579">
        <f>NW9+NW11+NW13+NW21+NW24+NW17</f>
        <v>75993.783599999995</v>
      </c>
      <c r="NX39" s="574"/>
      <c r="NY39" s="579">
        <f>NY9+NY11+NY13+NY21+NY24+NY17</f>
        <v>43766.789999999994</v>
      </c>
      <c r="NZ39" s="1427">
        <f t="shared" ref="NZ39:NZ41" si="1427">NY39/NW39</f>
        <v>0.57592592349882676</v>
      </c>
      <c r="OA39" s="579">
        <f>OA9+OA11+OA13+OA21+OA24+OA17</f>
        <v>75993.783599999995</v>
      </c>
      <c r="OB39" s="574"/>
      <c r="OC39" s="579">
        <f>OC9+OC11+OC13+OC21+OC24+OC17</f>
        <v>42841.41</v>
      </c>
      <c r="OD39" s="1427">
        <f t="shared" ref="OD39:OD41" si="1428">OC39/OA39</f>
        <v>0.56374887484875813</v>
      </c>
      <c r="OE39" s="579">
        <f>OE9+OE11+OE13+OE21+OE24+OE17</f>
        <v>75993.783599999995</v>
      </c>
      <c r="OF39" s="574"/>
      <c r="OG39" s="579">
        <f>OG9+OG11+OG13+OG21+OG24+OG17</f>
        <v>42451.789999999994</v>
      </c>
      <c r="OH39" s="1427">
        <f t="shared" ref="OH39:OH41" si="1429">OG39/OE39</f>
        <v>0.55862187653991213</v>
      </c>
      <c r="OI39" s="579">
        <f>OI9+OI11+OI13+OI21+OI24+OI17</f>
        <v>75993.783599999995</v>
      </c>
      <c r="OJ39" s="574"/>
      <c r="OK39" s="579">
        <f>OK9+OK11+OK13+OK21+OK24+OK17</f>
        <v>46191.229999999996</v>
      </c>
      <c r="OL39" s="1427">
        <f t="shared" ref="OL39:OL41" si="1430">OK39/OI39</f>
        <v>0.60782905932321551</v>
      </c>
      <c r="OM39" s="579">
        <f>OM9+OM11+OM13+OM21+OM24+OM17</f>
        <v>88659.414199999999</v>
      </c>
      <c r="ON39" s="574"/>
      <c r="OO39" s="579">
        <f>OO9+OO11+OO13+OO21+OO24+OO17</f>
        <v>53173.21</v>
      </c>
      <c r="OP39" s="1427">
        <f t="shared" ref="OP39:OP41" si="1431">OO39/OM39</f>
        <v>0.59974691328380103</v>
      </c>
      <c r="OQ39" s="579">
        <f>OQ9+OQ11+OQ13+OQ21+OQ24+OQ17</f>
        <v>101325.0448</v>
      </c>
      <c r="OR39" s="574"/>
      <c r="OS39" s="579">
        <f>OS9+OS11+OS13+OS21+OS24+OS17</f>
        <v>80649.51999999999</v>
      </c>
      <c r="OT39" s="1427">
        <f t="shared" ref="OT39:OT41" si="1432">OS39/OQ39</f>
        <v>0.7959485254528107</v>
      </c>
      <c r="OU39" s="579">
        <f>OU9+OU11+OU13+OU21+OU24+OU17</f>
        <v>139321.93660000002</v>
      </c>
      <c r="OV39" s="574"/>
      <c r="OW39" s="579">
        <f>OW9+OW11+OW13+OW21+OW24+OW17</f>
        <v>123023.59</v>
      </c>
      <c r="OX39" s="1427">
        <f t="shared" ref="OX39:OX41" si="1433">OW39/OU39</f>
        <v>0.88301665195199408</v>
      </c>
      <c r="OY39" s="579">
        <f>OY9+OY11+OY13+OY21+OY24+OY17</f>
        <v>633281.53</v>
      </c>
      <c r="OZ39" s="574"/>
      <c r="PA39" s="579">
        <f>PA9+PA11+PA13+PA21+PA24+PA17</f>
        <v>432097.54000000004</v>
      </c>
      <c r="PB39" s="1427">
        <f t="shared" ref="PB39:PB41" si="1434">PA39/OY39</f>
        <v>0.68231508346690617</v>
      </c>
      <c r="PC39" s="579">
        <f>PC9+PC11+PC13+PC21+PC24+PC17</f>
        <v>74310.599999999991</v>
      </c>
      <c r="PD39" s="574"/>
      <c r="PE39" s="579">
        <f>PE9+PE11+PE13+PE21+PE24+PE17</f>
        <v>78952.01999999999</v>
      </c>
      <c r="PF39" s="1427">
        <f t="shared" ref="PF39:PF41" si="1435">PE39/PC39</f>
        <v>1.0624597298366585</v>
      </c>
      <c r="PG39" s="579">
        <f>PG9+PG11+PG13+PG21+PG24+PG17</f>
        <v>74310.599999999991</v>
      </c>
      <c r="PH39" s="574"/>
      <c r="PI39" s="579">
        <f>PI9+PI11+PI13+PI21+PI24+PI17</f>
        <v>59984.34</v>
      </c>
      <c r="PJ39" s="1427">
        <f t="shared" ref="PJ39:PJ41" si="1436">PI39/PG39</f>
        <v>0.80721108428676402</v>
      </c>
      <c r="PK39" s="579">
        <f>PK9+PK11+PK13+PK21+PK24+PK17</f>
        <v>74310.599999999991</v>
      </c>
      <c r="PL39" s="574"/>
      <c r="PM39" s="579">
        <f>PM9+PM11+PM13+PM21+PM24+PM17</f>
        <v>54271.670000000006</v>
      </c>
      <c r="PN39" s="1427">
        <f t="shared" ref="PN39:PN41" si="1437">PM39/PK39</f>
        <v>0.73033551068084512</v>
      </c>
      <c r="PO39" s="579">
        <f>PO9+PO11+PO13+PO21+PO24+PO17</f>
        <v>74310.599999999991</v>
      </c>
      <c r="PP39" s="574"/>
      <c r="PQ39" s="579">
        <f>PQ9+PQ11+PQ13+PQ21+PQ24+PQ17</f>
        <v>50334.75</v>
      </c>
      <c r="PR39" s="1427">
        <f t="shared" ref="PR39:PR41" si="1438">PQ39/PO39</f>
        <v>0.67735625873024852</v>
      </c>
      <c r="PS39" s="579">
        <f>PS9+PS11+PS13+PS21+PS24+PS17</f>
        <v>86695.700000000012</v>
      </c>
      <c r="PT39" s="574"/>
      <c r="PU39" s="579">
        <f>PU9+PU11+PU13+PU21+PU24+PU17</f>
        <v>56788.070000000007</v>
      </c>
      <c r="PV39" s="1427">
        <f t="shared" ref="PV39:PV41" si="1439">PU39/PS39</f>
        <v>0.65502752731681035</v>
      </c>
      <c r="PW39" s="579">
        <f>PW9+PW11+PW13+PW21+PW24+PW17</f>
        <v>99080.8</v>
      </c>
      <c r="PX39" s="574"/>
      <c r="PY39" s="579">
        <f>PY9+PY11+PY13+PY21+PY24+PY17</f>
        <v>62936.79</v>
      </c>
      <c r="PZ39" s="1427">
        <f t="shared" ref="PZ39:PZ41" si="1440">PY39/PW39</f>
        <v>0.63520672017181934</v>
      </c>
      <c r="QA39" s="579">
        <f>QA9+QA11+QA13+QA21+QA24+QA17</f>
        <v>136236.1</v>
      </c>
      <c r="QB39" s="574"/>
      <c r="QC39" s="579">
        <f>QC9+QC11+QC13+QC21+QC24+QC17</f>
        <v>100445.37000000001</v>
      </c>
      <c r="QD39" s="1427">
        <f t="shared" ref="QD39:QD41" si="1441">QC39/QA39</f>
        <v>0.73728894177094029</v>
      </c>
      <c r="QE39" s="579">
        <f>QE9+QE11+QE13+QE21+QE24+QE17</f>
        <v>619255</v>
      </c>
      <c r="QF39" s="574"/>
      <c r="QG39" s="579">
        <f>QG9+QG11+QG13+QG21+QG24+QG17</f>
        <v>463713.01</v>
      </c>
      <c r="QH39" s="1427">
        <f t="shared" ref="QH39:QH41" si="1442">QG39/QE39</f>
        <v>0.74882400626559331</v>
      </c>
      <c r="QI39" s="579">
        <f>QI9+QI11+QI13+QI21+QI24+QI17</f>
        <v>81360.948000000004</v>
      </c>
      <c r="QJ39" s="574"/>
      <c r="QK39" s="579">
        <f>QK9+QK11+QK13+QK21+QK24+QK17</f>
        <v>59312.22</v>
      </c>
      <c r="QL39" s="1427">
        <f t="shared" ref="QL39:QL41" si="1443">QK39/QI39</f>
        <v>0.72900109276012859</v>
      </c>
      <c r="QM39" s="579">
        <f>QM9+QM11+QM13+QM21+QM24+QM17</f>
        <v>81360.948000000004</v>
      </c>
      <c r="QN39" s="574"/>
      <c r="QO39" s="579">
        <f>QO9+QO11+QO13+QO21+QO24+QO17</f>
        <v>45150.64</v>
      </c>
      <c r="QP39" s="1427">
        <f t="shared" ref="QP39:QP41" si="1444">QO39/QM39</f>
        <v>0.55494240308016074</v>
      </c>
      <c r="QQ39" s="579">
        <f>QQ9+QQ11+QQ13+QQ21+QQ24+QQ17</f>
        <v>81360.948000000004</v>
      </c>
      <c r="QR39" s="574"/>
      <c r="QS39" s="579">
        <f>QS9+QS11+QS13+QS21+QS24+QS17</f>
        <v>42383.33</v>
      </c>
      <c r="QT39" s="1427">
        <f t="shared" ref="QT39:QT41" si="1445">QS39/QQ39</f>
        <v>0.52092964796821195</v>
      </c>
      <c r="QU39" s="579">
        <f>QU9+QU11+QU13+QU21+QU24+QU17</f>
        <v>81360.948000000004</v>
      </c>
      <c r="QV39" s="574"/>
      <c r="QW39" s="579">
        <f>QW9+QW11+QW13+QW21+QW24+QW17</f>
        <v>41519.210000000006</v>
      </c>
      <c r="QX39" s="1427">
        <f t="shared" ref="QX39:QX41" si="1446">QW39/QU39</f>
        <v>0.51030882776832942</v>
      </c>
      <c r="QY39" s="579">
        <f>QY9+QY11+QY13+QY21+QY24+QY17</f>
        <v>94921.106000000014</v>
      </c>
      <c r="QZ39" s="574"/>
      <c r="RA39" s="579">
        <f>RA9+RA11+RA13+RA21+RA24+RA17</f>
        <v>43648.959999999999</v>
      </c>
      <c r="RB39" s="1427">
        <f t="shared" ref="RB39:RB41" si="1447">RA39/QY39</f>
        <v>0.45984462085808392</v>
      </c>
      <c r="RC39" s="579">
        <f>RC9+RC11+RC13+RC21+RC24+RC17</f>
        <v>108481.264</v>
      </c>
      <c r="RD39" s="574"/>
      <c r="RE39" s="579">
        <f>RE9+RE11+RE13+RE21+RE24+RE17</f>
        <v>54205.179999999993</v>
      </c>
      <c r="RF39" s="1427">
        <f t="shared" ref="RF39:RF41" si="1448">RE39/RC39</f>
        <v>0.49967319702322049</v>
      </c>
      <c r="RG39" s="579">
        <f>RG9+RG11+RG13+RG21+RG24+RG17</f>
        <v>149161.73800000001</v>
      </c>
      <c r="RH39" s="574"/>
      <c r="RI39" s="579">
        <f>RI9+RI11+RI13+RI21+RI24+RI17</f>
        <v>102425.29</v>
      </c>
      <c r="RJ39" s="1427">
        <f t="shared" ref="RJ39:RJ41" si="1449">RI39/RG39</f>
        <v>0.68667267741275573</v>
      </c>
      <c r="RK39" s="579">
        <f>RK9+RK11+RK13+RK21+RK24+RK17</f>
        <v>678007.89999999991</v>
      </c>
      <c r="RL39" s="574"/>
      <c r="RM39" s="579">
        <f>RM9+RM11+RM13+RM21+RM24+RM17</f>
        <v>388644.83</v>
      </c>
      <c r="RN39" s="1427">
        <f t="shared" ref="RN39:RN41" si="1450">RM39/RK39</f>
        <v>0.57321578406387308</v>
      </c>
      <c r="RO39" s="579">
        <f>RO9+RO11+RO13+RO21+RO24+RO17</f>
        <v>65083.117199999993</v>
      </c>
      <c r="RP39" s="574"/>
      <c r="RQ39" s="579">
        <f>RQ9+RQ11+RQ13+RQ21+RQ24+RQ17</f>
        <v>51567.240000000005</v>
      </c>
      <c r="RR39" s="1427">
        <f t="shared" ref="RR39:RR41" si="1451">RQ39/RO39</f>
        <v>0.79232898205435076</v>
      </c>
      <c r="RS39" s="579">
        <f>RS9+RS11+RS13+RS21+RS24+RS17</f>
        <v>65083.117199999993</v>
      </c>
      <c r="RT39" s="574"/>
      <c r="RU39" s="579">
        <f>RU9+RU11+RU13+RU21+RU24+RU17</f>
        <v>46670.57</v>
      </c>
      <c r="RV39" s="1427">
        <f t="shared" ref="RV39:RV41" si="1452">RU39/RS39</f>
        <v>0.71709180518477078</v>
      </c>
      <c r="RW39" s="579">
        <f>RW9+RW11+RW13+RW21+RW24+RW17</f>
        <v>65083.117199999993</v>
      </c>
      <c r="RX39" s="574"/>
      <c r="RY39" s="579">
        <f>RY9+RY11+RY13+RY21+RY24+RY17</f>
        <v>52472.3</v>
      </c>
      <c r="RZ39" s="1427">
        <f t="shared" ref="RZ39:RZ41" si="1453">RY39/RW39</f>
        <v>0.80623519981000558</v>
      </c>
      <c r="SA39" s="579">
        <f>SA9+SA11+SA13+SA21+SA24+SA17</f>
        <v>65083.117199999993</v>
      </c>
      <c r="SB39" s="574"/>
      <c r="SC39" s="579">
        <f>SC9+SC11+SC13+SC21+SC24+SC17</f>
        <v>54425.440000000002</v>
      </c>
      <c r="SD39" s="1427">
        <f t="shared" ref="SD39:SD41" si="1454">SC39/SA39</f>
        <v>0.83624513301584769</v>
      </c>
      <c r="SE39" s="579">
        <f>SE9+SE11+SE13+SE21+SE24+SE17</f>
        <v>75930.303400000004</v>
      </c>
      <c r="SF39" s="574"/>
      <c r="SG39" s="579">
        <f>SG9+SG11+SG13+SG21+SG24+SG17</f>
        <v>53825.840000000004</v>
      </c>
      <c r="SH39" s="1427">
        <f t="shared" ref="SH39:SH41" si="1455">SG39/SE39</f>
        <v>0.70888482713477474</v>
      </c>
      <c r="SI39" s="579">
        <f>SI9+SI11+SI13+SI21+SI24+SI17</f>
        <v>86777.489600000001</v>
      </c>
      <c r="SJ39" s="574"/>
      <c r="SK39" s="579">
        <f>SK9+SK11+SK13+SK21+SK24+SK17</f>
        <v>58237.31</v>
      </c>
      <c r="SL39" s="1427">
        <f t="shared" ref="SL39:SL41" si="1456">SK39/SI39</f>
        <v>0.67111079461326106</v>
      </c>
      <c r="SM39" s="579">
        <f>SM9+SM11+SM13+SM21+SM24+SM17</f>
        <v>119319.0482</v>
      </c>
      <c r="SN39" s="574"/>
      <c r="SO39" s="579">
        <f>SO9+SO11+SO13+SO21+SO24+SO17</f>
        <v>89436.62</v>
      </c>
      <c r="SP39" s="1427">
        <f t="shared" ref="SP39:SP41" si="1457">SO39/SM39</f>
        <v>0.74955861070973573</v>
      </c>
      <c r="SQ39" s="579">
        <f>SQ9+SQ11+SQ13+SQ21+SQ24+SQ17</f>
        <v>542359.31000000006</v>
      </c>
      <c r="SR39" s="574"/>
      <c r="SS39" s="579">
        <f>SS9+SS11+SS13+SS21+SS24+SS17</f>
        <v>406635.31999999995</v>
      </c>
      <c r="ST39" s="1427">
        <f t="shared" ref="ST39:ST41" si="1458">SS39/SQ39</f>
        <v>0.74975263170092887</v>
      </c>
      <c r="SU39" s="579">
        <f>SU12+SU23+SU22+SU17+SU24</f>
        <v>71636.968799999988</v>
      </c>
      <c r="SV39" s="574"/>
      <c r="SW39" s="579">
        <f>SW12+SW23+SW22+SW17+SW24</f>
        <v>31814.47</v>
      </c>
      <c r="SX39" s="1427">
        <f t="shared" ref="SX39:SX41" si="1459">SW39/SU39</f>
        <v>0.44410687013881589</v>
      </c>
      <c r="SY39" s="579">
        <f>SY12+SY23+SY22+SY17+SY24</f>
        <v>71636.968799999988</v>
      </c>
      <c r="SZ39" s="574"/>
      <c r="TA39" s="579">
        <f>TA12+TA23+TA22+TA17+TA24</f>
        <v>40555.85</v>
      </c>
      <c r="TB39" s="1427">
        <f t="shared" ref="TB39:TB41" si="1460">TA39/SY39</f>
        <v>0.56613017942210875</v>
      </c>
      <c r="TC39" s="579">
        <f>TC12+TC23+TC22+TC17+TC24</f>
        <v>71636.968799999988</v>
      </c>
      <c r="TD39" s="574"/>
      <c r="TE39" s="579">
        <f>TE12+TE23+TE22+TE17+TE24</f>
        <v>37259.65</v>
      </c>
      <c r="TF39" s="1427">
        <f t="shared" ref="TF39:TF41" si="1461">TE39/TC39</f>
        <v>0.52011762396066108</v>
      </c>
      <c r="TG39" s="579">
        <f>TG12+TG23+TG22+TG17+TG24</f>
        <v>71636.968799999988</v>
      </c>
      <c r="TH39" s="574"/>
      <c r="TI39" s="579">
        <f>TI12+TI23+TI22+TI17+TI24</f>
        <v>40025.380000000005</v>
      </c>
      <c r="TJ39" s="1427">
        <f t="shared" ref="TJ39:TJ41" si="1462">TI39/TG39</f>
        <v>0.55872520390617098</v>
      </c>
      <c r="TK39" s="579">
        <f>TK12+TK23+TK22+TK17+TK24</f>
        <v>83576.463600000003</v>
      </c>
      <c r="TL39" s="574"/>
      <c r="TM39" s="579">
        <f>TM12+TM23+TM22+TM17+TM24</f>
        <v>45912.89</v>
      </c>
      <c r="TN39" s="1427">
        <f t="shared" ref="TN39:TN41" si="1463">TM39/TK39</f>
        <v>0.54935191108038217</v>
      </c>
      <c r="TO39" s="579">
        <f>TO12+TO23+TO22+TO17+TO24</f>
        <v>95515.958400000003</v>
      </c>
      <c r="TP39" s="574"/>
      <c r="TQ39" s="579">
        <f>TQ12+TQ23+TQ22+TQ17+TQ24</f>
        <v>59777.31</v>
      </c>
      <c r="TR39" s="1427">
        <f t="shared" ref="TR39:TR41" si="1464">TQ39/TO39</f>
        <v>0.62583583938576692</v>
      </c>
      <c r="TS39" s="579">
        <f>TS12+TS23+TS22+TS17+TS24</f>
        <v>131334.44279999999</v>
      </c>
      <c r="TT39" s="574"/>
      <c r="TU39" s="579">
        <f>TU12+TU23+TU22+TU17+TU24</f>
        <v>81776.910000000018</v>
      </c>
      <c r="TV39" s="1427">
        <f t="shared" ref="TV39:TV41" si="1465">TU39/TS39</f>
        <v>0.62266156734324707</v>
      </c>
      <c r="TW39" s="579">
        <f>TW12+TW23+TW22+TW17+TW24</f>
        <v>596974.74</v>
      </c>
      <c r="TX39" s="574"/>
      <c r="TY39" s="579">
        <f>TY12+TY23+TY22+TY17+TY24</f>
        <v>337122.46</v>
      </c>
      <c r="TZ39" s="1427">
        <f t="shared" ref="TZ39:TZ41" si="1466">TY39/TW39</f>
        <v>0.56471813195982135</v>
      </c>
      <c r="UA39" s="579">
        <f>UA12+UA23+UA22+UA17+UA24</f>
        <v>96679.860000000015</v>
      </c>
      <c r="UB39" s="574"/>
      <c r="UC39" s="579">
        <f>UC12+UC23+UC22+UC17+UC24</f>
        <v>29039.949999999997</v>
      </c>
      <c r="UD39" s="1427">
        <f t="shared" ref="UD39:UD41" si="1467">UC39/UA39</f>
        <v>0.30037228022465062</v>
      </c>
      <c r="UE39" s="579">
        <f>UE12+UE23+UE22+UE17+UE24</f>
        <v>73536.76999999999</v>
      </c>
      <c r="UF39" s="574"/>
      <c r="UG39" s="579">
        <f>UG12+UG23+UG22+UG17+UG24</f>
        <v>45584.85</v>
      </c>
      <c r="UH39" s="1427">
        <f t="shared" ref="UH39:UH41" si="1468">UG39/UE39</f>
        <v>0.61989192617516387</v>
      </c>
      <c r="UI39" s="579">
        <f>UI12+UI23+UI22+UI17+UI24</f>
        <v>66816.83</v>
      </c>
      <c r="UJ39" s="574"/>
      <c r="UK39" s="579">
        <f>UK12+UK23+UK22+UK17+UK24</f>
        <v>38534.57</v>
      </c>
      <c r="UL39" s="1427">
        <f t="shared" ref="UL39:UL41" si="1469">UK39/UI39</f>
        <v>0.57671951812140743</v>
      </c>
      <c r="UM39" s="579">
        <f>UM12+UM23+UM22+UM17+UM24</f>
        <v>69618.14</v>
      </c>
      <c r="UN39" s="574"/>
      <c r="UO39" s="579">
        <f>UO12+UO23+UO22+UO17+UO24</f>
        <v>33749.22</v>
      </c>
      <c r="UP39" s="1427">
        <f t="shared" ref="UP39:UP41" si="1470">UO39/UM39</f>
        <v>0.48477623791730146</v>
      </c>
      <c r="UQ39" s="579">
        <f>UQ12+UQ23+UQ22+UQ17+UQ24</f>
        <v>85784.74</v>
      </c>
      <c r="UR39" s="574"/>
      <c r="US39" s="579">
        <f>US12+US23+US22+US17+US24</f>
        <v>41332.979999999996</v>
      </c>
      <c r="UT39" s="1427">
        <f t="shared" ref="UT39:UT41" si="1471">US39/UQ39</f>
        <v>0.48182205832878894</v>
      </c>
      <c r="UU39" s="579">
        <f>UU12+UU23+UU22+UU17+UU24</f>
        <v>99488.87</v>
      </c>
      <c r="UV39" s="574"/>
      <c r="UW39" s="579">
        <f>UW12+UW23+UW22+UW17+UW24</f>
        <v>73572.41</v>
      </c>
      <c r="UX39" s="1427">
        <f t="shared" ref="UX39:UX41" si="1472">UW39/UU39</f>
        <v>0.73950392641910601</v>
      </c>
      <c r="UY39" s="579">
        <f>UY12+UY23+UY22+UY17+UY24</f>
        <v>132384.54</v>
      </c>
      <c r="UZ39" s="574"/>
      <c r="VA39" s="579">
        <f>VA12+VA23+VA22+VA17+VA24</f>
        <v>96028.95</v>
      </c>
      <c r="VB39" s="1427">
        <f t="shared" ref="VB39:VB41" si="1473">VA39/UY39</f>
        <v>0.72537888487583213</v>
      </c>
      <c r="VC39" s="579">
        <f>VC12+VC23+VC22+VC17+VC24</f>
        <v>624309.75</v>
      </c>
      <c r="VD39" s="574"/>
      <c r="VE39" s="579">
        <f>VE12+VE23+VE22+VE17+VE24</f>
        <v>357842.93</v>
      </c>
      <c r="VF39" s="1427">
        <f t="shared" ref="VF39:VF41" si="1474">VE39/VC39</f>
        <v>0.57318170988039185</v>
      </c>
      <c r="VG39" s="579">
        <f>VG12+VG23+VG22+VG17+VG24</f>
        <v>78738.689999999988</v>
      </c>
      <c r="VH39" s="574"/>
      <c r="VI39" s="579">
        <f>VI12+VI23+VI22+VI17+VI24</f>
        <v>36510.46</v>
      </c>
      <c r="VJ39" s="1427">
        <f t="shared" ref="VJ39:VJ41" si="1475">VI39/VG39</f>
        <v>0.46369148381818398</v>
      </c>
      <c r="VK39" s="579">
        <f>VK12+VK23+VK22+VK17+VK24</f>
        <v>66159.42</v>
      </c>
      <c r="VL39" s="574"/>
      <c r="VM39" s="579">
        <f>VM12+VM23+VM22+VM17+VM24</f>
        <v>40787.72</v>
      </c>
      <c r="VN39" s="1427">
        <f t="shared" ref="VN39:VN41" si="1476">VM39/VK39</f>
        <v>0.61650661387297534</v>
      </c>
      <c r="VO39" s="579">
        <f>VO12+VO23+VO22+VO17+VO24</f>
        <v>56157.67</v>
      </c>
      <c r="VP39" s="574"/>
      <c r="VQ39" s="579">
        <f>VQ12+VQ23+VQ22+VQ17+VQ24</f>
        <v>40549.729999999996</v>
      </c>
      <c r="VR39" s="1427">
        <f t="shared" ref="VR39:VR41" si="1477">VQ39/VO39</f>
        <v>0.722069309499486</v>
      </c>
      <c r="VS39" s="579">
        <f>VS12+VS23+VS22+VS17+VS24</f>
        <v>68251.349999999991</v>
      </c>
      <c r="VT39" s="574"/>
      <c r="VU39" s="579">
        <f>VU12+VU23+VU22+VU17+VU24</f>
        <v>39339.86</v>
      </c>
      <c r="VV39" s="1427">
        <f t="shared" ref="VV39:VV41" si="1478">VU39/VS39</f>
        <v>0.57639680387274395</v>
      </c>
      <c r="VW39" s="579">
        <f>VW12+VW23+VW22+VW17+VW24</f>
        <v>76113.83</v>
      </c>
      <c r="VX39" s="574"/>
      <c r="VY39" s="579">
        <f>VY12+VY23+VY22+VY17+VY24</f>
        <v>40913.160000000003</v>
      </c>
      <c r="VZ39" s="1427">
        <f t="shared" ref="VZ39:VZ41" si="1479">VY39/VW39</f>
        <v>0.53752596604322767</v>
      </c>
      <c r="WA39" s="579">
        <f>WA12+WA23+WA22+WA17+WA24</f>
        <v>86452.26</v>
      </c>
      <c r="WB39" s="574"/>
      <c r="WC39" s="579">
        <f>WC12+WC23+WC22+WC17+WC24</f>
        <v>59221.47</v>
      </c>
      <c r="WD39" s="1427">
        <f t="shared" ref="WD39:WD41" si="1480">WC39/WA39</f>
        <v>0.68501933899703726</v>
      </c>
      <c r="WE39" s="579">
        <f>WE12+WE23+WE22+WE17+WE24</f>
        <v>132664.59</v>
      </c>
      <c r="WF39" s="574"/>
      <c r="WG39" s="579">
        <f>WG12+WG23+WG22+WG17+WG24</f>
        <v>103323.93</v>
      </c>
      <c r="WH39" s="1427">
        <f t="shared" ref="WH39:WH41" si="1481">WG39/WE39</f>
        <v>0.77883578428878419</v>
      </c>
      <c r="WI39" s="579">
        <f>WI12+WI23+WI22+WI17+WI24</f>
        <v>269307.13</v>
      </c>
      <c r="WJ39" s="574"/>
      <c r="WK39" s="579">
        <f>WK12+WK23+WK22+WK17+WK24</f>
        <v>360646.32999999996</v>
      </c>
      <c r="WL39" s="1427">
        <f t="shared" ref="WL39:WL41" si="1482">WK39/WI39</f>
        <v>1.3391636901704012</v>
      </c>
      <c r="WM39" s="579">
        <f>WM9+WM11+WM13+WM21+WM24+WM17</f>
        <v>76113.88</v>
      </c>
      <c r="WN39" s="574"/>
      <c r="WO39" s="579">
        <f>WO9+WO11+WO13+WO21+WO24+WO17</f>
        <v>68337.47</v>
      </c>
      <c r="WP39" s="1427">
        <f t="shared" ref="WP39:WP41" si="1483">WO39/WM39</f>
        <v>0.89783190661151413</v>
      </c>
      <c r="WQ39" s="579">
        <f>WQ9+WQ11+WQ13+WQ21+WQ24+WQ17</f>
        <v>69798.87999999999</v>
      </c>
      <c r="WR39" s="574"/>
      <c r="WS39" s="579">
        <f>WS9+WS11+WS13+WS21+WS24+WS17</f>
        <v>52951.090000000004</v>
      </c>
      <c r="WT39" s="1427">
        <f t="shared" ref="WT39:WT41" si="1484">WS39/WQ39</f>
        <v>0.75862377734427844</v>
      </c>
      <c r="WU39" s="579">
        <f>WU9+WU11+WU13+WU21+WU24+WU17</f>
        <v>68147.38</v>
      </c>
      <c r="WV39" s="574"/>
      <c r="WW39" s="579">
        <f>WW9+WW11+WW13+WW21+WW24+WW17</f>
        <v>50285.05</v>
      </c>
      <c r="WX39" s="1427">
        <f t="shared" ref="WX39:WX41" si="1485">WW39/WU39</f>
        <v>0.73788676835411715</v>
      </c>
      <c r="WY39" s="579">
        <f>WY9+WY11+WY13+WY21+WY24+WY17</f>
        <v>66471.76999999999</v>
      </c>
      <c r="WZ39" s="574"/>
      <c r="XA39" s="579">
        <f>XA9+XA11+XA13+XA21+XA24+XA17</f>
        <v>45264.46</v>
      </c>
      <c r="XB39" s="1427">
        <f t="shared" ref="XB39:XB41" si="1486">XA39/WY39</f>
        <v>0.68095764562911454</v>
      </c>
      <c r="XC39" s="579">
        <f>XC9+XC11+XC13+XC21+XC24+XC17</f>
        <v>71416.17</v>
      </c>
      <c r="XD39" s="574"/>
      <c r="XE39" s="579">
        <f>XE9+XE11+XE13+XE21+XE24+XE17</f>
        <v>58028.5</v>
      </c>
      <c r="XF39" s="1427">
        <f t="shared" ref="XF39:XF41" si="1487">XE39/XC39</f>
        <v>0.81254007320751032</v>
      </c>
      <c r="XG39" s="579">
        <f>XG9+XG11+XG13+XG21+XG24+XG17</f>
        <v>96418.41</v>
      </c>
      <c r="XH39" s="574"/>
      <c r="XI39" s="579">
        <f>XI9+XI11+XI13+XI21+XI24+XI17</f>
        <v>73642.709999999992</v>
      </c>
      <c r="XJ39" s="1427">
        <f t="shared" ref="XJ39:XJ41" si="1488">XI39/XG39</f>
        <v>0.76378266349756219</v>
      </c>
      <c r="XK39" s="579">
        <f>XK9+XK11+XK13+XK21+XK24+XK17</f>
        <v>155821.19</v>
      </c>
      <c r="XL39" s="574"/>
      <c r="XM39" s="579">
        <f>XM9+XM11+XM13+XM21+XM24+XM17</f>
        <v>132750.54</v>
      </c>
      <c r="XN39" s="1427">
        <f t="shared" ref="XN39:XN41" si="1489">XM39/XK39</f>
        <v>0.85194151065076584</v>
      </c>
      <c r="XO39" s="579">
        <f>XO12+XO23+XO22+XO17+XO24</f>
        <v>615488.49</v>
      </c>
      <c r="XP39" s="574"/>
      <c r="XQ39" s="579">
        <f>XQ12+XQ23+XQ22+XQ17+XQ24</f>
        <v>443776.98</v>
      </c>
      <c r="XR39" s="1427">
        <f t="shared" ref="XR39:XR41" si="1490">XQ39/XO39</f>
        <v>0.72101588772196212</v>
      </c>
      <c r="XS39" s="579">
        <f>XS9+XS11+XS13+XS21+XS24+XS17</f>
        <v>109367.48999999999</v>
      </c>
      <c r="XT39" s="574"/>
      <c r="XU39" s="579">
        <f>XU9+XU11+XU13+XU21+XU24+XU17</f>
        <v>63323.9</v>
      </c>
      <c r="XV39" s="1427">
        <f t="shared" ref="XV39:XV41" si="1491">XU39/XS39</f>
        <v>0.57900112730026088</v>
      </c>
      <c r="XW39" s="579">
        <f>XW9+XW11+XW13+XW21+XW24+XW17</f>
        <v>61155.48</v>
      </c>
      <c r="XX39" s="574"/>
      <c r="XY39" s="579">
        <f>XY9+XY11+XY13+XY21+XY24+XY17</f>
        <v>50527.740000000005</v>
      </c>
      <c r="XZ39" s="1427">
        <f t="shared" ref="XZ39:XZ41" si="1492">XY39/XW39</f>
        <v>0.82621769954221602</v>
      </c>
      <c r="YA39" s="579">
        <f>YA9+YA11+YA13+YA21+YA24+YA17</f>
        <v>65792.12</v>
      </c>
      <c r="YB39" s="574"/>
      <c r="YC39" s="579">
        <f>YC9+YC11+YC13+YC21+YC24+YC17</f>
        <v>51923.07</v>
      </c>
      <c r="YD39" s="1427">
        <f t="shared" ref="YD39:YD41" si="1493">YC39/YA39</f>
        <v>0.78919891926267161</v>
      </c>
      <c r="YE39" s="579">
        <f>YE9+YE11+YE13+YE21+YE24+YE17</f>
        <v>70491.819999999992</v>
      </c>
      <c r="YF39" s="574"/>
      <c r="YG39" s="579">
        <f>YG9+YG11+YG13+YG21+YG24+YG17</f>
        <v>45333.39</v>
      </c>
      <c r="YH39" s="1427">
        <f t="shared" ref="YH39:YH41" si="1494">YG39/YE39</f>
        <v>0.64310142652012681</v>
      </c>
      <c r="YI39" s="579">
        <f>YI9+YI11+YI13+YI21+YI24+YI17</f>
        <v>71854.990000000005</v>
      </c>
      <c r="YJ39" s="574"/>
      <c r="YK39" s="579">
        <f>YK9+YK11+YK13+YK21+YK24+YK17</f>
        <v>60499.88</v>
      </c>
      <c r="YL39" s="1427">
        <f t="shared" ref="YL39:YL41" si="1495">YK39/YI39</f>
        <v>0.84197186583701411</v>
      </c>
      <c r="YM39" s="579">
        <f>YM9+YM11+YM13+YM21+YM24+YM17</f>
        <v>94852.25</v>
      </c>
      <c r="YN39" s="574"/>
      <c r="YO39" s="579">
        <f>YO9+YO11+YO13+YO21+YO24+YO17</f>
        <v>83682.5</v>
      </c>
      <c r="YP39" s="1427">
        <f t="shared" ref="YP39:YP41" si="1496">YO39/YM39</f>
        <v>0.8822405372566281</v>
      </c>
      <c r="YQ39" s="579">
        <f>YQ9+YQ11+YQ13+YQ21+YQ24+YQ17</f>
        <v>162792.44</v>
      </c>
      <c r="YR39" s="574"/>
      <c r="YS39" s="579">
        <f>YS9+YS11+YS13+YS21+YS24+YS17</f>
        <v>129610.43999999999</v>
      </c>
      <c r="YT39" s="1427">
        <f t="shared" ref="YT39:YT41" si="1497">YS39/YQ39</f>
        <v>0.79616989585020037</v>
      </c>
      <c r="YU39" s="579">
        <f>YU12+YU23+YU22+YU17+YU24</f>
        <v>697299.27</v>
      </c>
      <c r="YV39" s="574"/>
      <c r="YW39" s="579">
        <f>YW12+YW23+YW22+YW17+YW24</f>
        <v>504099.32999999996</v>
      </c>
      <c r="YX39" s="1427">
        <f t="shared" ref="YX39:YX41" si="1498">YW39/YU39</f>
        <v>0.72293110245189263</v>
      </c>
      <c r="YY39" s="579">
        <f>YY9+YY11+YY13+YY21+YY24+YY17</f>
        <v>107182.07999999999</v>
      </c>
      <c r="YZ39" s="574"/>
      <c r="ZA39" s="579">
        <f>ZA9+ZA11+ZA13+ZA21+ZA24+ZA17</f>
        <v>66268.2</v>
      </c>
      <c r="ZB39" s="1427">
        <f t="shared" ref="ZB39:ZB41" si="1499">ZA39/YY39</f>
        <v>0.61827686120664949</v>
      </c>
      <c r="ZC39" s="579">
        <f>ZC9+ZC11+ZC13+ZC21+ZC24+ZC17</f>
        <v>81304.11</v>
      </c>
      <c r="ZD39" s="574"/>
      <c r="ZE39" s="579">
        <f>ZE9+ZE11+ZE13+ZE21+ZE24+ZE17</f>
        <v>63744.380000000005</v>
      </c>
      <c r="ZF39" s="1427">
        <f t="shared" ref="ZF39:ZF41" si="1500">ZE39/ZC39</f>
        <v>0.78402407947150521</v>
      </c>
      <c r="ZG39" s="579">
        <f>ZG9+ZG11+ZG13+ZG21+ZG24+ZG17</f>
        <v>96117.39</v>
      </c>
      <c r="ZH39" s="574"/>
      <c r="ZI39" s="579">
        <f>ZI9+ZI11+ZI13+ZI21+ZI24+ZI17</f>
        <v>76129.62</v>
      </c>
      <c r="ZJ39" s="1427">
        <f t="shared" ref="ZJ39:ZJ41" si="1501">ZI39/ZG39</f>
        <v>0.79204834837899774</v>
      </c>
      <c r="ZK39" s="579">
        <f>ZK9+ZK11+ZK13+ZK21+ZK24+ZK17</f>
        <v>128383.98000000001</v>
      </c>
      <c r="ZL39" s="574"/>
      <c r="ZM39" s="579">
        <f>ZM9+ZM11+ZM13+ZM21+ZM24+ZM17</f>
        <v>87696.84</v>
      </c>
      <c r="ZN39" s="1427">
        <f t="shared" ref="ZN39:ZN41" si="1502">ZM39/ZK39</f>
        <v>0.6830824219657311</v>
      </c>
      <c r="ZO39" s="579">
        <f>ZO9+ZO11+ZO13+ZO21+ZO24+ZO17</f>
        <v>172375.7</v>
      </c>
      <c r="ZP39" s="574"/>
      <c r="ZQ39" s="579">
        <f>ZQ9+ZQ11+ZQ13+ZQ21+ZQ24+ZQ17</f>
        <v>106708.19</v>
      </c>
      <c r="ZR39" s="1427">
        <f t="shared" ref="ZR39:ZR41" si="1503">ZQ39/ZO39</f>
        <v>0.61904427364181835</v>
      </c>
      <c r="ZS39" s="579">
        <f>ZS9+ZS11+ZS13+ZS21+ZS24+ZS17</f>
        <v>106236.56000000001</v>
      </c>
      <c r="ZT39" s="574"/>
      <c r="ZU39" s="579">
        <f>ZU9+ZU11+ZU13+ZU21+ZU24+ZU17</f>
        <v>139093.10999999999</v>
      </c>
      <c r="ZV39" s="1427">
        <f t="shared" ref="ZV39:ZV41" si="1504">ZU39/ZS39</f>
        <v>1.3092772393985646</v>
      </c>
      <c r="ZW39" s="579">
        <f>ZW9+ZW11+ZW13+ZW21+ZW24+ZW17</f>
        <v>128586.01000000001</v>
      </c>
      <c r="ZX39" s="574"/>
      <c r="ZY39" s="579">
        <f>ZY9+ZY11+ZY13+ZY21+ZY24+ZY17</f>
        <v>202106.84999999998</v>
      </c>
      <c r="ZZ39" s="1427">
        <f t="shared" ref="ZZ39:ZZ41" si="1505">ZY39/ZW39</f>
        <v>1.5717639111750956</v>
      </c>
      <c r="AAA39" s="579">
        <f>AAA12+AAA23+AAA22+AAA17+AAA24</f>
        <v>823624.41000000015</v>
      </c>
      <c r="AAB39" s="574"/>
      <c r="AAC39" s="579">
        <f>AAC12+AAC23+AAC22+AAC17+AAC24</f>
        <v>706972.66999999993</v>
      </c>
      <c r="AAD39" s="1427">
        <f t="shared" ref="AAD39:AAD41" si="1506">AAC39/AAA39</f>
        <v>0.85836779655425677</v>
      </c>
      <c r="AAE39" s="579">
        <f>AAE9+AAE11+AAE13+AAE21+AAE24+AAE17</f>
        <v>89298.42</v>
      </c>
      <c r="AAF39" s="574"/>
      <c r="AAG39" s="579">
        <f>AAG9+AAG11+AAG13+AAG21+AAG24+AAG17</f>
        <v>90009.67</v>
      </c>
      <c r="AAH39" s="1427">
        <f t="shared" ref="AAH39:AAH41" si="1507">AAG39/AAE39</f>
        <v>1.007964866567628</v>
      </c>
      <c r="AAI39" s="579">
        <f>AAI9+AAI11+AAI13+AAI21+AAI24+AAI17</f>
        <v>57563.7</v>
      </c>
      <c r="AAJ39" s="574"/>
      <c r="AAK39" s="579">
        <f>AAK9+AAK11+AAK13+AAK21+AAK24+AAK17</f>
        <v>61155.03</v>
      </c>
      <c r="AAL39" s="1427">
        <f t="shared" ref="AAL39:AAL41" si="1508">AAK39/AAI39</f>
        <v>1.0623887971065098</v>
      </c>
      <c r="AAM39" s="579">
        <f>AAM9+AAM11+AAM13+AAM21+AAM24+AAM17</f>
        <v>65077.270000000004</v>
      </c>
      <c r="AAN39" s="574"/>
      <c r="AAO39" s="579">
        <f>AAO9+AAO11+AAO13+AAO21+AAO24+AAO17</f>
        <v>49637.93</v>
      </c>
      <c r="AAP39" s="1427">
        <f t="shared" ref="AAP39:AAP41" si="1509">AAO39/AAM39</f>
        <v>0.76275372338145098</v>
      </c>
      <c r="AAQ39" s="579">
        <f>AAQ9+AAQ11+AAQ13+AAQ21+AAQ24+AAQ17</f>
        <v>59425.87</v>
      </c>
      <c r="AAR39" s="574"/>
      <c r="AAS39" s="579">
        <f>AAS9+AAS11+AAS13+AAS21+AAS24+AAS17</f>
        <v>49857.72</v>
      </c>
      <c r="AAT39" s="1427">
        <f t="shared" ref="AAT39:AAT41" si="1510">AAS39/AAQ39</f>
        <v>0.83899015698045309</v>
      </c>
      <c r="AAU39" s="579">
        <f>AAU9+AAU11+AAU13+AAU21+AAU24+AAU17</f>
        <v>58676.909999999996</v>
      </c>
      <c r="AAV39" s="574"/>
      <c r="AAW39" s="579">
        <f>AAW9+AAW11+AAW13+AAW21+AAW24+AAW17</f>
        <v>49536.43</v>
      </c>
      <c r="AAX39" s="1427">
        <f t="shared" ref="AAX39:AAX41" si="1511">AAW39/AAU39</f>
        <v>0.84422356255637876</v>
      </c>
      <c r="AAY39" s="579">
        <f>AAY9+AAY11+AAY13+AAY21+AAY24+AAY17</f>
        <v>76411.149999999994</v>
      </c>
      <c r="AAZ39" s="574"/>
      <c r="ABA39" s="579">
        <f>ABA9+ABA11+ABA13+ABA21+ABA24+ABA17</f>
        <v>60815.989999999991</v>
      </c>
      <c r="ABB39" s="1427">
        <f t="shared" ref="ABB39:ABB41" si="1512">ABA39/AAY39</f>
        <v>0.79590465527609511</v>
      </c>
      <c r="ABC39" s="579">
        <f>ABC9+ABC11+ABC13+ABC21+ABC24+ABC17</f>
        <v>151802.29</v>
      </c>
      <c r="ABD39" s="574"/>
      <c r="ABE39" s="579">
        <f>ABE9+ABE11+ABE13+ABE21+ABE24+ABE17</f>
        <v>115716.6</v>
      </c>
      <c r="ABF39" s="1427">
        <f t="shared" ref="ABF39:ABF41" si="1513">ABE39/ABC39</f>
        <v>0.76228494313228079</v>
      </c>
      <c r="ABG39" s="579">
        <f>ABG12+ABG23+ABG22+ABG17+ABG24</f>
        <v>578108.02</v>
      </c>
      <c r="ABH39" s="574"/>
      <c r="ABI39" s="579">
        <f>ABI12+ABI23+ABI22+ABI17+ABI24</f>
        <v>449064.31999999995</v>
      </c>
      <c r="ABJ39" s="1427">
        <f t="shared" ref="ABJ39:ABJ41" si="1514">ABI39/ABG39</f>
        <v>0.77678271960316336</v>
      </c>
      <c r="ABK39" s="579">
        <f>ABK9+ABK11+ABK13+ABK21+ABK24+ABK17</f>
        <v>103679.4</v>
      </c>
      <c r="ABL39" s="574"/>
      <c r="ABM39" s="579">
        <f>ABM9+ABM11+ABM13+ABM21+ABM24+ABM17</f>
        <v>65181.97</v>
      </c>
      <c r="ABN39" s="1427">
        <f t="shared" ref="ABN39:ABN41" si="1515">ABM39/ABK39</f>
        <v>0.62868776246776126</v>
      </c>
      <c r="ABO39" s="579">
        <f>ABO9+ABO11+ABO13+ABO21+ABO24+ABO17</f>
        <v>61596.510000000009</v>
      </c>
      <c r="ABP39" s="574"/>
      <c r="ABQ39" s="579">
        <f>ABQ9+ABQ11+ABQ13+ABQ21+ABQ24+ABQ17</f>
        <v>39964.06</v>
      </c>
      <c r="ABR39" s="1427">
        <f t="shared" ref="ABR39:ABR41" si="1516">ABQ39/ABO39</f>
        <v>0.6488039663286117</v>
      </c>
      <c r="ABS39" s="579">
        <f>ABS9+ABS11+ABS13+ABS21+ABS24+ABS17</f>
        <v>52087.69</v>
      </c>
      <c r="ABT39" s="574"/>
      <c r="ABU39" s="579">
        <f>ABU9+ABU11+ABU13+ABU21+ABU24+ABU17</f>
        <v>38044.720000000001</v>
      </c>
      <c r="ABV39" s="1427">
        <f t="shared" ref="ABV39:ABV41" si="1517">ABU39/ABS39</f>
        <v>0.73039752770760236</v>
      </c>
      <c r="ABW39" s="579">
        <f>ABW9+ABW11+ABW13+ABW21+ABW24+ABW17</f>
        <v>55432.649999999994</v>
      </c>
      <c r="ABX39" s="574"/>
      <c r="ABY39" s="579">
        <f>ABY9+ABY11+ABY13+ABY21+ABY24+ABY17</f>
        <v>49440.480000000003</v>
      </c>
      <c r="ABZ39" s="1427">
        <f t="shared" ref="ABZ39:ABZ41" si="1518">ABY39/ABW39</f>
        <v>0.89190179433961769</v>
      </c>
      <c r="ACA39" s="579">
        <f>ACA9+ACA11+ACA13+ACA21+ACA24+ACA17</f>
        <v>87051.579999999987</v>
      </c>
      <c r="ACB39" s="574"/>
      <c r="ACC39" s="579">
        <f>ACC9+ACC11+ACC13+ACC21+ACC24+ACC17</f>
        <v>60524.2</v>
      </c>
      <c r="ACD39" s="1427">
        <f t="shared" ref="ACD39:ACD41" si="1519">ACC39/ACA39</f>
        <v>0.69526825360320865</v>
      </c>
      <c r="ACE39" s="579">
        <f>ACE9+ACE11+ACE13+ACE21+ACE24+ACE17</f>
        <v>128089.54</v>
      </c>
      <c r="ACF39" s="574"/>
      <c r="ACG39" s="579">
        <f>ACG9+ACG11+ACG13+ACG21+ACG24+ACG17</f>
        <v>82891.94</v>
      </c>
      <c r="ACH39" s="1427">
        <f t="shared" ref="ACH39:ACH41" si="1520">ACG39/ACE39</f>
        <v>0.64714058618681902</v>
      </c>
      <c r="ACI39" s="579">
        <f>ACI9+ACI11+ACI13+ACI21+ACI24+ACI17</f>
        <v>203003.65000000002</v>
      </c>
      <c r="ACJ39" s="574"/>
      <c r="ACK39" s="579">
        <f>ACK9+ACK11+ACK13+ACK21+ACK24+ACK17</f>
        <v>148332.31</v>
      </c>
      <c r="ACL39" s="1427">
        <f t="shared" ref="ACL39:ACL41" si="1521">ACK39/ACI39</f>
        <v>0.73068789649841259</v>
      </c>
      <c r="ACM39" s="579">
        <f>ACM9+ACM11+ACM13+ACM21+ACM24+ACM17</f>
        <v>690941.02</v>
      </c>
      <c r="ACN39" s="574"/>
      <c r="ACO39" s="579">
        <f>ACO9+ACO11+ACO13+ACO21+ACO24+ACO17</f>
        <v>484379.67999999993</v>
      </c>
      <c r="ACP39" s="1427">
        <f t="shared" ref="ACP39:ACP41" si="1522">ACO39/ACM39</f>
        <v>0.70104345519969258</v>
      </c>
      <c r="ACQ39" s="579">
        <f>ACQ9+ACQ11+ACQ13+ACQ21+ACQ24+ACQ17</f>
        <v>147280.99</v>
      </c>
      <c r="ACR39" s="574"/>
      <c r="ACS39" s="579">
        <f>ACS9+ACS11+ACS13+ACS21+ACS24+ACS17</f>
        <v>91806.9</v>
      </c>
      <c r="ACT39" s="1427">
        <f t="shared" ref="ACT39:ACT41" si="1523">ACS39/ACQ39</f>
        <v>0.62334521244051933</v>
      </c>
      <c r="ACU39" s="579">
        <f>ACU9+ACU11+ACU13+ACU21+ACU24+ACU17</f>
        <v>153845.89000000001</v>
      </c>
      <c r="ACV39" s="574"/>
      <c r="ACW39" s="579">
        <f>ACW9+ACW11+ACW13+ACW21+ACW24+ACW17</f>
        <v>105167.27</v>
      </c>
      <c r="ACX39" s="1427">
        <f t="shared" ref="ACX39:ACX41" si="1524">ACW39/ACU39</f>
        <v>0.68358842735415293</v>
      </c>
      <c r="ACY39" s="579">
        <f>ACY9+ACY11+ACY13+ACY21+ACY24+ACY17</f>
        <v>84879.599999999991</v>
      </c>
      <c r="ACZ39" s="574"/>
      <c r="ADA39" s="579">
        <f>ADA9+ADA11+ADA13+ADA21+ADA24+ADA17</f>
        <v>60774.8</v>
      </c>
      <c r="ADB39" s="1427">
        <f t="shared" ref="ADB39:ADB41" si="1525">ADA39/ACY39</f>
        <v>0.71601185679480117</v>
      </c>
      <c r="ADC39" s="579">
        <f>ADC9+ADC11+ADC13+ADC21+ADC24+ADC17</f>
        <v>79075.19</v>
      </c>
      <c r="ADD39" s="574"/>
      <c r="ADE39" s="579">
        <f>ADE9+ADE11+ADE13+ADE21+ADE24+ADE17</f>
        <v>61214.42</v>
      </c>
      <c r="ADF39" s="1427">
        <f t="shared" ref="ADF39:ADF41" si="1526">ADE39/ADC39</f>
        <v>0.7741292812574968</v>
      </c>
      <c r="ADG39" s="579">
        <f>ADG9+ADG11+ADG13+ADG21+ADG24+ADG17</f>
        <v>106940.72</v>
      </c>
      <c r="ADH39" s="574"/>
      <c r="ADI39" s="579">
        <f>ADI9+ADI11+ADI13+ADI21+ADI24+ADI17</f>
        <v>70596.450000000012</v>
      </c>
      <c r="ADJ39" s="1427">
        <f t="shared" ref="ADJ39:ADJ41" si="1527">ADI39/ADG39</f>
        <v>0.66014563956554628</v>
      </c>
      <c r="ADK39" s="579">
        <f>ADK9+ADK11+ADK13+ADK21+ADK24+ADK17</f>
        <v>127911.23999999999</v>
      </c>
      <c r="ADL39" s="574"/>
      <c r="ADM39" s="579">
        <f>ADM9+ADM11+ADM13+ADM21+ADM24+ADM17</f>
        <v>86227.790000000008</v>
      </c>
      <c r="ADN39" s="1427">
        <f t="shared" ref="ADN39:ADN41" si="1528">ADM39/ADK39</f>
        <v>0.67412207089853882</v>
      </c>
      <c r="ADO39" s="579">
        <f>ADO9+ADO11+ADO13+ADO21+ADO24+ADO17</f>
        <v>197472.22000000003</v>
      </c>
      <c r="ADP39" s="574"/>
      <c r="ADQ39" s="579">
        <f>ADQ9+ADQ11+ADQ13+ADQ21+ADQ24+ADQ17</f>
        <v>140100.33999999997</v>
      </c>
      <c r="ADR39" s="1427">
        <f t="shared" ref="ADR39:ADR41" si="1529">ADQ39/ADO39</f>
        <v>0.70946860272295487</v>
      </c>
      <c r="ADS39" s="579">
        <f>ADS9+ADS11+ADS13+ADS21+ADS24+ADS17</f>
        <v>897405.85</v>
      </c>
      <c r="ADT39" s="574"/>
      <c r="ADU39" s="579">
        <f>ADU9+ADU11+ADU13+ADU21+ADU24+ADU17</f>
        <v>615887.97</v>
      </c>
      <c r="ADV39" s="1427">
        <f t="shared" ref="ADV39:ADV41" si="1530">ADU39/ADS39</f>
        <v>0.68629814481374285</v>
      </c>
      <c r="ADW39" s="579">
        <f>ADW9+ADW11+ADW13+ADW21+ADW24+ADW17</f>
        <v>152725.51</v>
      </c>
      <c r="ADX39" s="574"/>
      <c r="ADY39" s="579">
        <f>ADY9+ADY11+ADY13+ADY21+ADY24+ADY17</f>
        <v>96739.74</v>
      </c>
      <c r="ADZ39" s="1427">
        <f t="shared" ref="ADZ39:ADZ41" si="1531">ADY39/ADW39</f>
        <v>0.63342227503447202</v>
      </c>
      <c r="AEA39" s="579">
        <f>AEA9+AEA11+AEA13+AEA21+AEA24+AEA17</f>
        <v>94717.26999999999</v>
      </c>
      <c r="AEB39" s="574"/>
      <c r="AEC39" s="579">
        <f>AEC9+AEC11+AEC13+AEC21+AEC24+AEC17</f>
        <v>82524</v>
      </c>
      <c r="AED39" s="1427">
        <f t="shared" ref="AED39:AED41" si="1532">AEC39/AEA39</f>
        <v>0.87126666551939269</v>
      </c>
      <c r="AEE39" s="579">
        <f>AEE9+AEE11+AEE13+AEE21+AEE24+AEE17</f>
        <v>95765.31</v>
      </c>
      <c r="AEF39" s="574"/>
      <c r="AEG39" s="579">
        <f>AEG9+AEG11+AEG13+AEG21+AEG24+AEG17</f>
        <v>70379</v>
      </c>
      <c r="AEH39" s="1427">
        <f t="shared" ref="AEH39:AEH41" si="1533">AEG39/AEE39</f>
        <v>0.73491121158590722</v>
      </c>
      <c r="AEI39" s="579">
        <f>AEI9+AEI11+AEI13+AEI21+AEI24+AEI17</f>
        <v>99462.139999999985</v>
      </c>
      <c r="AEJ39" s="574"/>
      <c r="AEK39" s="579">
        <f>AEK9+AEK11+AEK13+AEK21+AEK24+AEK17</f>
        <v>72619</v>
      </c>
      <c r="AEL39" s="1427">
        <f t="shared" ref="AEL39:AEL41" si="1534">AEK39/AEI39</f>
        <v>0.73011700733565565</v>
      </c>
      <c r="AEM39" s="579">
        <f>AEM9+AEM11+AEM13+AEM21+AEM24+AEM17</f>
        <v>120078.72</v>
      </c>
      <c r="AEN39" s="574"/>
      <c r="AEO39" s="579">
        <f>AEO9+AEO11+AEO13+AEO21+AEO24+AEO17</f>
        <v>89572</v>
      </c>
      <c r="AEP39" s="1427">
        <f t="shared" ref="AEP39:AEP41" si="1535">AEO39/AEM39</f>
        <v>0.74594399407322132</v>
      </c>
      <c r="AEQ39" s="579">
        <f>AEQ9+AEQ11+AEQ13+AEQ21+AEQ24+AEQ17</f>
        <v>157398.04999999999</v>
      </c>
      <c r="AER39" s="574"/>
      <c r="AES39" s="579">
        <f>AES9+AES11+AES13+AES21+AES24+AES17</f>
        <v>62603</v>
      </c>
      <c r="AET39" s="1427">
        <f t="shared" ref="AET39:AET41" si="1536">AES39/AEQ39</f>
        <v>0.39773682075476796</v>
      </c>
      <c r="AEU39" s="579">
        <f>AEU9+AEU11+AEU13+AEU21+AEU24+AEU17</f>
        <v>264643.31999999995</v>
      </c>
      <c r="AEV39" s="574"/>
      <c r="AEW39" s="579">
        <f>AEW9+AEW11+AEW13+AEW21+AEW24+AEW17</f>
        <v>195606</v>
      </c>
      <c r="AEX39" s="1427">
        <f t="shared" ref="AEX39:AEX41" si="1537">AEW39/AEU39</f>
        <v>0.73913069107506679</v>
      </c>
      <c r="AEY39" s="579">
        <f>AEY9+AEY11+AEY13+AEY21+AEY24+AEY17</f>
        <v>984790.32000000007</v>
      </c>
      <c r="AEZ39" s="574"/>
      <c r="AFA39" s="579">
        <f>AFA9+AFA11+AFA13+AFA21+AFA24+AFA17</f>
        <v>670042.74</v>
      </c>
      <c r="AFB39" s="1427">
        <f t="shared" ref="AFB39:AFB41" si="1538">AFA39/AEY39</f>
        <v>0.68039127354541817</v>
      </c>
      <c r="AFC39" s="579">
        <f>AFC9+AFC11+AFC13+AFC21+AFC24+AFC17</f>
        <v>188195.5</v>
      </c>
      <c r="AFD39" s="574"/>
      <c r="AFE39" s="579">
        <f>AFE9+AFE11+AFE13+AFE21+AFE24+AFE17</f>
        <v>102447</v>
      </c>
      <c r="AFF39" s="1427">
        <f t="shared" ref="AFF39:AFF41" si="1539">AFE39/AFC39</f>
        <v>0.54436476961457636</v>
      </c>
      <c r="AFG39" s="579">
        <f>AFG9+AFG11+AFG13+AFG21+AFG24+AFG17</f>
        <v>130446.27000000002</v>
      </c>
      <c r="AFH39" s="574"/>
      <c r="AFI39" s="579">
        <f>AFI9+AFI11+AFI13+AFI21+AFI24+AFI17</f>
        <v>95574.98000000001</v>
      </c>
      <c r="AFJ39" s="1427">
        <f t="shared" ref="AFJ39:AFJ41" si="1540">AFI39/AFG39</f>
        <v>0.73267698647113477</v>
      </c>
      <c r="AFK39" s="579">
        <f>AFK9+AFK11+AFK13+AFK21+AFK24+AFK17</f>
        <v>131260.62000000002</v>
      </c>
      <c r="AFL39" s="574"/>
      <c r="AFM39" s="579">
        <f>AFM9+AFM11+AFM13+AFM21+AFM24+AFM17</f>
        <v>94460.479999999996</v>
      </c>
      <c r="AFN39" s="1427">
        <f t="shared" ref="AFN39:AFN41" si="1541">AFM39/AFK39</f>
        <v>0.71964066602763255</v>
      </c>
      <c r="AFO39" s="579">
        <f>AFO9+AFO11+AFO13+AFO21+AFO24+AFO17</f>
        <v>135998.96</v>
      </c>
      <c r="AFP39" s="574"/>
      <c r="AFQ39" s="579">
        <f>AFQ9+AFQ11+AFQ13+AFQ21+AFQ24+AFQ17</f>
        <v>110132.70000000001</v>
      </c>
      <c r="AFR39" s="1427">
        <f t="shared" ref="AFR39:AFR41" si="1542">AFQ39/AFO39</f>
        <v>0.8098054573358503</v>
      </c>
      <c r="AFS39" s="579">
        <f>AFS9+AFS11+AFS13+AFS21+AFS24+AFS17</f>
        <v>155829.44</v>
      </c>
      <c r="AFT39" s="574"/>
      <c r="AFU39" s="579">
        <f>AFU9+AFU11+AFU13+AFU21+AFU24+AFU17</f>
        <v>130766.02</v>
      </c>
      <c r="AFV39" s="1427">
        <f t="shared" ref="AFV39:AFV41" si="1543">AFU39/AFS39</f>
        <v>0.83916120086166002</v>
      </c>
      <c r="AFW39" s="579">
        <f>AFW9+AFW11+AFW13+AFW21+AFW24+AFW17</f>
        <v>196217.16999999998</v>
      </c>
      <c r="AFX39" s="574"/>
      <c r="AFY39" s="579">
        <f>AFY9+AFY11+AFY13+AFY21+AFY24+AFY17</f>
        <v>166267.89000000001</v>
      </c>
      <c r="AFZ39" s="1427">
        <f t="shared" ref="AFZ39:AFZ41" si="1544">AFY39/AFW39</f>
        <v>0.84736667030719093</v>
      </c>
      <c r="AGA39" s="579">
        <f>AGA9+AGA11+AGA13+AGA21+AGA24+AGA17</f>
        <v>288353.96999999997</v>
      </c>
      <c r="AGB39" s="574"/>
      <c r="AGC39" s="579">
        <f>AGC9+AGC11+AGC13+AGC21+AGC24+AGC17</f>
        <v>244398.34000000003</v>
      </c>
      <c r="AGD39" s="1427">
        <f t="shared" ref="AGD39:AGD41" si="1545">AGC39/AGA39</f>
        <v>0.84756363853773209</v>
      </c>
      <c r="AGE39" s="579">
        <f>AGE9+AGE11+AGE13+AGE21+AGE24+AGE17</f>
        <v>1226301.9300000002</v>
      </c>
      <c r="AGF39" s="574"/>
      <c r="AGG39" s="579">
        <f>AGG9+AGG11+AGG13+AGG21+AGG24+AGG17</f>
        <v>944047.41</v>
      </c>
      <c r="AGH39" s="1427">
        <f t="shared" ref="AGH39:AGH41" si="1546">AGG39/AGE39</f>
        <v>0.76983276867223061</v>
      </c>
      <c r="AGI39" s="579">
        <f>AGI9+AGI11+AGI13+AGI21+AGI24+AGI17</f>
        <v>228370.82</v>
      </c>
      <c r="AGJ39" s="574"/>
      <c r="AGK39" s="579">
        <f>AGK9+AGK11+AGK13+AGK21+AGK24+AGK17</f>
        <v>145386.46000000002</v>
      </c>
      <c r="AGL39" s="1427">
        <f t="shared" ref="AGL39:AGL41" si="1547">AGK39/AGI39</f>
        <v>0.63662450395370129</v>
      </c>
      <c r="AGM39" s="579">
        <f>AGM9+AGM11+AGM13+AGM21+AGM24+AGM17</f>
        <v>123468.34</v>
      </c>
      <c r="AGN39" s="574"/>
      <c r="AGO39" s="579">
        <f>AGO9+AGO11+AGO13+AGO21+AGO24+AGO17</f>
        <v>111346.12</v>
      </c>
      <c r="AGP39" s="1427">
        <f t="shared" ref="AGP39:AGP41" si="1548">AGO39/AGM39</f>
        <v>0.90181920320626319</v>
      </c>
      <c r="AGQ39" s="579">
        <f>AGQ9+AGQ11+AGQ13+AGQ21+AGQ24+AGQ17</f>
        <v>161611.09000000003</v>
      </c>
      <c r="AGR39" s="574"/>
      <c r="AGS39" s="579">
        <f>AGS9+AGS11+AGS13+AGS21+AGS24+AGS17</f>
        <v>112185.41999999998</v>
      </c>
      <c r="AGT39" s="1427">
        <f t="shared" ref="AGT39:AGT41" si="1549">AGS39/AGQ39</f>
        <v>0.69416906970926295</v>
      </c>
      <c r="AGU39" s="579">
        <f>AGU9+AGU11+AGU13+AGU21+AGU24+AGU17</f>
        <v>176238.2</v>
      </c>
      <c r="AGV39" s="574"/>
      <c r="AGW39" s="579">
        <f>AGW9+AGW11+AGW13+AGW21+AGW24+AGW17</f>
        <v>132221.98000000001</v>
      </c>
      <c r="AGX39" s="1427">
        <f t="shared" ref="AGX39:AGX41" si="1550">AGW39/AGU39</f>
        <v>0.75024586043207431</v>
      </c>
      <c r="AGY39" s="579">
        <f>AGY9+AGY11+AGY13+AGY21+AGY24+AGY17</f>
        <v>216296.93000000002</v>
      </c>
      <c r="AGZ39" s="574"/>
      <c r="AHA39" s="579">
        <f>AHA9+AHA11+AHA13+AHA21+AHA24+AHA17</f>
        <v>140810.5</v>
      </c>
      <c r="AHB39" s="1427">
        <f t="shared" ref="AHB39:AHB41" si="1551">AHA39/AGY39</f>
        <v>0.65100554131766908</v>
      </c>
      <c r="AHC39" s="579">
        <f>AHC9+AHC11+AHC13+AHC21+AHC24+AHC17</f>
        <v>242957.46</v>
      </c>
      <c r="AHD39" s="574"/>
      <c r="AHE39" s="579">
        <f>AHE9+AHE11+AHE13+AHE21+AHE24+AHE17</f>
        <v>176929.15000000002</v>
      </c>
      <c r="AHF39" s="1427">
        <f t="shared" ref="AHF39:AHF41" si="1552">AHE39/AHC39</f>
        <v>0.72823098331699732</v>
      </c>
      <c r="AHG39" s="579">
        <f>AHG9+AHG11+AHG13+AHG21+AHG24+AHG17</f>
        <v>342308.96</v>
      </c>
      <c r="AHH39" s="574"/>
      <c r="AHI39" s="579">
        <f>AHI9+AHI11+AHI13+AHI21+AHI24+AHI17</f>
        <v>268825.68</v>
      </c>
      <c r="AHJ39" s="1427">
        <f t="shared" ref="AHJ39:AHJ41" si="1553">AHI39/AHG39</f>
        <v>0.78533053882083592</v>
      </c>
      <c r="AHK39" s="579">
        <f>AHK9+AHK11+AHK13+AHK21+AHK24+AHK17</f>
        <v>1491251.7999999998</v>
      </c>
      <c r="AHL39" s="574"/>
      <c r="AHM39" s="579">
        <f>AHM9+AHM11+AHM13+AHM21+AHM24+AHM17</f>
        <v>1087705.31</v>
      </c>
      <c r="AHN39" s="1427">
        <f t="shared" ref="AHN39:AHN41" si="1554">AHM39/AHK39</f>
        <v>0.72939077760040272</v>
      </c>
      <c r="AHO39" s="579">
        <f>AHO9+AHO11+AHO13+AHO21+AHO24+AHO17</f>
        <v>295407.75</v>
      </c>
      <c r="AHP39" s="574"/>
      <c r="AHQ39" s="579">
        <f>AHQ9+AHQ11+AHQ13+AHQ21+AHQ24+AHQ17</f>
        <v>184906.99</v>
      </c>
      <c r="AHR39" s="1427">
        <f t="shared" ref="AHR39:AHR41" si="1555">AHQ39/AHO39</f>
        <v>0.6259381820551424</v>
      </c>
      <c r="AHS39" s="579">
        <f>AHS9+AHS11+AHS13+AHS21+AHS24+AHS17</f>
        <v>213554.72</v>
      </c>
      <c r="AHT39" s="574"/>
      <c r="AHU39" s="579">
        <f>AHU9+AHU11+AHU13+AHU21+AHU24+AHU17</f>
        <v>150639.93</v>
      </c>
      <c r="AHV39" s="1427">
        <f t="shared" ref="AHV39:AHV41" si="1556">AHU39/AHS39</f>
        <v>0.70539265065178602</v>
      </c>
      <c r="AHW39" s="579">
        <f>AHW9+AHW11+AHW13+AHW21+AHW24+AHW17</f>
        <v>211937.09</v>
      </c>
      <c r="AHX39" s="574"/>
      <c r="AHY39" s="579">
        <f>AHY9+AHY11+AHY13+AHY21+AHY24+AHY17</f>
        <v>139717.07999999999</v>
      </c>
      <c r="AHZ39" s="1427">
        <f t="shared" ref="AHZ39:AHZ41" si="1557">AHY39/AHW39</f>
        <v>0.65923845609090881</v>
      </c>
      <c r="AIA39" s="579">
        <f>AIA9+AIA11+AIA13+AIA21+AIA24+AIA17</f>
        <v>220537.56</v>
      </c>
      <c r="AIB39" s="574"/>
      <c r="AIC39" s="579">
        <f>AIC9+AIC11+AIC13+AIC21+AIC24+AIC17</f>
        <v>174312.31999999998</v>
      </c>
      <c r="AID39" s="1427">
        <f t="shared" ref="AID39:AID41" si="1558">AIC39/AIA39</f>
        <v>0.79039742708679639</v>
      </c>
      <c r="AIE39" s="579">
        <f>AIE9+AIE11+AIE13+AIE21+AIE24+AIE17</f>
        <v>225778.71000000002</v>
      </c>
      <c r="AIF39" s="574"/>
      <c r="AIG39" s="579">
        <f>AIG9+AIG11+AIG13+AIG21+AIG24+AIG17</f>
        <v>188269.66</v>
      </c>
      <c r="AIH39" s="1427">
        <f t="shared" ref="AIH39:AIH41" si="1559">AIG39/AIE39</f>
        <v>0.83386808260176515</v>
      </c>
      <c r="AII39" s="579">
        <f>AII9+AII11+AII13+AII21+AII24+AII17</f>
        <v>279272.07999999996</v>
      </c>
      <c r="AIJ39" s="574"/>
      <c r="AIK39" s="579">
        <f>AIK9+AIK11+AIK13+AIK21+AIK24+AIK17</f>
        <v>176708.94999999998</v>
      </c>
      <c r="AIL39" s="1427">
        <f t="shared" ref="AIL39:AIL41" si="1560">AIK39/AII39</f>
        <v>0.63274835780218353</v>
      </c>
      <c r="AIM39" s="579">
        <f>AIM9+AIM11+AIM13+AIM21+AIM24+AIM17</f>
        <v>399069.1</v>
      </c>
      <c r="AIN39" s="574"/>
      <c r="AIO39" s="579">
        <f>AIO9+AIO11+AIO13+AIO21+AIO24+AIO17</f>
        <v>294001.18</v>
      </c>
      <c r="AIP39" s="1427">
        <f t="shared" ref="AIP39:AIP41" si="1561">AIO39/AIM39</f>
        <v>0.73671747574542856</v>
      </c>
      <c r="AIQ39" s="579">
        <f>AIQ9+AIQ11+AIQ13+AIQ21+AIQ24+AIQ17</f>
        <v>1845557.0100000002</v>
      </c>
      <c r="AIR39" s="574"/>
      <c r="AIS39" s="579">
        <f>AIS9+AIS11+AIS13+AIS21+AIS24+AIS17</f>
        <v>1308556.1100000001</v>
      </c>
      <c r="AIT39" s="1427">
        <f t="shared" ref="AIT39:AIT41" si="1562">AIS39/AIQ39</f>
        <v>0.70903044604403742</v>
      </c>
      <c r="AIU39" s="579">
        <f>AIU9+AIU11+AIU13+AIU21+AIU24+AIU17</f>
        <v>195817.76759999999</v>
      </c>
      <c r="AIV39" s="574"/>
      <c r="AIW39" s="579">
        <f>AIW9+AIW11+AIW13+AIW21+AIW24+AIW17</f>
        <v>283858.22000000003</v>
      </c>
      <c r="AIX39" s="1427">
        <f t="shared" ref="AIX39:AIX41" si="1563">AIW39/AIU39</f>
        <v>1.4496040041669846</v>
      </c>
      <c r="AIY39" s="579">
        <f>AIY9+AIY11+AIY13+AIY21+AIY24+AIY17</f>
        <v>195817.76759999999</v>
      </c>
      <c r="AIZ39" s="574"/>
      <c r="AJA39" s="579">
        <f>AJA9+AJA11+AJA13+AJA21+AJA24+AJA17</f>
        <v>257666.14</v>
      </c>
      <c r="AJB39" s="1427">
        <f t="shared" ref="AJB39:AJB41" si="1564">AJA39/AIY39</f>
        <v>1.3158465810229165</v>
      </c>
      <c r="AJC39" s="579">
        <f>AJC9+AJC11+AJC13+AJC21+AJC24+AJC17</f>
        <v>195817.76759999999</v>
      </c>
      <c r="AJD39" s="574"/>
      <c r="AJE39" s="579">
        <f>AJE9+AJE11+AJE13+AJE21+AJE24+AJE17</f>
        <v>288675.23000000004</v>
      </c>
      <c r="AJF39" s="1427">
        <f t="shared" ref="AJF39:AJF41" si="1565">AJE39/AJC39</f>
        <v>1.4742034573169143</v>
      </c>
      <c r="AJG39" s="579">
        <f>AJG9+AJG11+AJG13+AJG21+AJG24+AJG17</f>
        <v>195817.76759999999</v>
      </c>
      <c r="AJH39" s="574"/>
      <c r="AJI39" s="579">
        <f>AJI9+AJI11+AJI13+AJI21+AJI24+AJI17</f>
        <v>331054.81</v>
      </c>
      <c r="AJJ39" s="1427">
        <f t="shared" ref="AJJ39:AJJ41" si="1566">AJI39/AJG39</f>
        <v>1.6906270256141966</v>
      </c>
      <c r="AJK39" s="579">
        <f>AJK9+AJK11+AJK13+AJK21+AJK24+AJK17</f>
        <v>228454.06220000001</v>
      </c>
      <c r="AJL39" s="574"/>
      <c r="AJM39" s="579">
        <f>AJM9+AJM11+AJM13+AJM21+AJM24+AJM17</f>
        <v>489866.1</v>
      </c>
      <c r="AJN39" s="1427">
        <f t="shared" ref="AJN39:AJN41" si="1567">AJM39/AJK39</f>
        <v>2.1442652202487293</v>
      </c>
      <c r="AJO39" s="579">
        <f>AJO9+AJO11+AJO13+AJO21+AJO24+AJO17</f>
        <v>261090.35680000001</v>
      </c>
      <c r="AJP39" s="574"/>
      <c r="AJQ39" s="579">
        <f>AJQ9+AJQ11+AJQ13+AJQ21+AJQ24+AJQ17</f>
        <v>493034.2</v>
      </c>
      <c r="AJR39" s="1427">
        <f t="shared" ref="AJR39:AJR41" si="1568">AJQ39/AJO39</f>
        <v>1.8883661811289079</v>
      </c>
      <c r="AJS39" s="579">
        <f>AJS9+AJS11+AJS13+AJS21+AJS24+AJS17</f>
        <v>358999.24060000002</v>
      </c>
      <c r="AJT39" s="574"/>
      <c r="AJU39" s="579">
        <f>AJU9+AJU11+AJU13+AJU21+AJU24+AJU17</f>
        <v>0</v>
      </c>
      <c r="AJV39" s="1427">
        <f t="shared" ref="AJV39:AJV41" si="1569">AJU39/AJS39</f>
        <v>0</v>
      </c>
      <c r="AJW39" s="579">
        <f>AJW9+AJW11+AJW13+AJW21+AJW24+AJW17</f>
        <v>1631814.73</v>
      </c>
      <c r="AJX39" s="574"/>
      <c r="AJY39" s="579">
        <f>AJY9+AJY11+AJY13+AJY21+AJY24+AJY17</f>
        <v>2144154.7000000002</v>
      </c>
      <c r="AJZ39" s="1427">
        <f t="shared" ref="AJZ39:AJZ41" si="1570">AJY39/AJW39</f>
        <v>1.3139694479899688</v>
      </c>
      <c r="AKA39" s="579">
        <f>AKA9+AKA11+AKA13+AKA21+AKA24+AKA17</f>
        <v>62480.418000000005</v>
      </c>
      <c r="AKB39" s="574"/>
      <c r="AKC39" s="579">
        <f>AKC9+AKC11+AKC13+AKC21+AKC24+AKC17</f>
        <v>64846.32</v>
      </c>
      <c r="AKD39" s="1427">
        <f t="shared" ref="AKD39:AKD41" si="1571">AKC39/AKA39</f>
        <v>1.0378662959649212</v>
      </c>
      <c r="AKE39" s="579">
        <f>AKE9+AKE11+AKE13+AKE21+AKE24+AKE17</f>
        <v>62480.418000000005</v>
      </c>
      <c r="AKF39" s="574"/>
      <c r="AKG39" s="579">
        <f>AKG9+AKG11+AKG13+AKG21+AKG24+AKG17</f>
        <v>61391.17</v>
      </c>
      <c r="AKH39" s="1427">
        <f t="shared" ref="AKH39:AKH41" si="1572">AKG39/AKE39</f>
        <v>0.98256656989714752</v>
      </c>
      <c r="AKI39" s="579">
        <f>AKI9+AKI11+AKI13+AKI21+AKI24+AKI17</f>
        <v>62480.418000000005</v>
      </c>
      <c r="AKJ39" s="574"/>
      <c r="AKK39" s="579">
        <f>AKK9+AKK11+AKK13+AKK21+AKK24+AKK17</f>
        <v>67942.349999999991</v>
      </c>
      <c r="AKL39" s="1427">
        <f t="shared" ref="AKL39:AKL41" si="1573">AKK39/AKI39</f>
        <v>1.0874183012027863</v>
      </c>
      <c r="AKM39" s="579">
        <f>AKM9+AKM11+AKM13+AKM21+AKM24+AKM17</f>
        <v>62480.418000000005</v>
      </c>
      <c r="AKN39" s="574"/>
      <c r="AKO39" s="579">
        <f>AKO9+AKO11+AKO13+AKO21+AKO24+AKO17</f>
        <v>69874.100000000006</v>
      </c>
      <c r="AKP39" s="1427">
        <f t="shared" ref="AKP39:AKP41" si="1574">AKO39/AKM39</f>
        <v>1.1183359880850989</v>
      </c>
      <c r="AKQ39" s="579">
        <f>AKQ9+AKQ11+AKQ13+AKQ21+AKQ24+AKQ17</f>
        <v>72893.821000000011</v>
      </c>
      <c r="AKR39" s="574"/>
      <c r="AKS39" s="579">
        <f>AKS9+AKS11+AKS13+AKS21+AKS24+AKS17</f>
        <v>87276.86</v>
      </c>
      <c r="AKT39" s="1427">
        <f t="shared" ref="AKT39:AKT41" si="1575">AKS39/AKQ39</f>
        <v>1.1973149274202539</v>
      </c>
      <c r="AKU39" s="579">
        <f>AKU9+AKU11+AKU13+AKU21+AKU24+AKU17</f>
        <v>83307.224000000002</v>
      </c>
      <c r="AKV39" s="574"/>
      <c r="AKW39" s="579">
        <f>AKW9+AKW11+AKW13+AKW21+AKW24+AKW17</f>
        <v>90622.260000000009</v>
      </c>
      <c r="AKX39" s="1427">
        <f t="shared" ref="AKX39:AKX41" si="1576">AKW39/AKU39</f>
        <v>1.0878079432823258</v>
      </c>
      <c r="AKY39" s="579">
        <f>AKY9+AKY11+AKY13+AKY21+AKY24+AKY17</f>
        <v>114547.433</v>
      </c>
      <c r="AKZ39" s="574"/>
      <c r="ALA39" s="579">
        <f>ALA9+ALA11+ALA13+ALA21+ALA24+ALA17</f>
        <v>0</v>
      </c>
      <c r="ALB39" s="1427">
        <f t="shared" ref="ALB39:ALB41" si="1577">ALA39/AKY39</f>
        <v>0</v>
      </c>
      <c r="ALC39" s="579">
        <f>ALC9+ALC11+ALC13+ALC21+ALC24+ALC17</f>
        <v>520670.15</v>
      </c>
      <c r="ALD39" s="574"/>
      <c r="ALE39" s="579">
        <f>ALE9+ALE11+ALE13+ALE21+ALE24+ALE17</f>
        <v>441953.06</v>
      </c>
      <c r="ALF39" s="1427">
        <f t="shared" ref="ALF39:ALF41" si="1578">ALE39/ALC39</f>
        <v>0.84881581938200212</v>
      </c>
    </row>
    <row r="40" spans="1:994" ht="21" customHeight="1" outlineLevel="1">
      <c r="A40" s="1495"/>
      <c r="B40" s="1435" t="s">
        <v>482</v>
      </c>
      <c r="C40" s="435"/>
      <c r="D40" s="435"/>
      <c r="E40" s="424"/>
      <c r="F40" s="435"/>
      <c r="G40" s="424"/>
      <c r="H40" s="435"/>
      <c r="I40" s="479"/>
      <c r="J40" s="424"/>
      <c r="K40" s="435"/>
      <c r="L40" s="424"/>
      <c r="M40" s="435"/>
      <c r="N40" s="435"/>
      <c r="O40" s="424"/>
      <c r="P40" s="435"/>
      <c r="Q40" s="424"/>
      <c r="R40" s="435"/>
      <c r="S40" s="435"/>
      <c r="T40" s="424"/>
      <c r="U40" s="435"/>
      <c r="V40" s="424"/>
      <c r="W40" s="424"/>
      <c r="X40" s="424"/>
      <c r="Y40" s="424"/>
      <c r="Z40" s="424"/>
      <c r="AA40" s="435"/>
      <c r="AB40" s="435"/>
      <c r="AC40" s="424"/>
      <c r="AD40" s="435"/>
      <c r="AE40" s="424"/>
      <c r="AF40" s="435"/>
      <c r="AG40" s="435"/>
      <c r="AH40" s="424"/>
      <c r="AI40" s="435"/>
      <c r="AJ40" s="424"/>
      <c r="AK40" s="435"/>
      <c r="AL40" s="435"/>
      <c r="AM40" s="424"/>
      <c r="AN40" s="435"/>
      <c r="AO40" s="424"/>
      <c r="AP40" s="435"/>
      <c r="AQ40" s="435"/>
      <c r="AR40" s="424"/>
      <c r="AS40" s="435"/>
      <c r="AT40" s="424"/>
      <c r="AU40" s="424"/>
      <c r="AV40" s="424"/>
      <c r="AW40" s="424"/>
      <c r="AX40" s="424"/>
      <c r="AY40" s="435"/>
      <c r="AZ40" s="435"/>
      <c r="BA40" s="424"/>
      <c r="BB40" s="435"/>
      <c r="BC40" s="424"/>
      <c r="BD40" s="435"/>
      <c r="BE40" s="435"/>
      <c r="BF40" s="424"/>
      <c r="BG40" s="435"/>
      <c r="BH40" s="424"/>
      <c r="BI40" s="435"/>
      <c r="BJ40" s="435"/>
      <c r="BK40" s="424"/>
      <c r="BL40" s="435"/>
      <c r="BM40" s="449"/>
      <c r="BN40" s="452">
        <f>BN11+BN18+BN19+BN21+BN22</f>
        <v>4.0253480391132372</v>
      </c>
      <c r="BO40" s="435">
        <f>BO11+BO18+BO19+BO21+BO22</f>
        <v>64027.61039999999</v>
      </c>
      <c r="BP40" s="424">
        <f t="shared" si="1338"/>
        <v>15906.105454201901</v>
      </c>
      <c r="BQ40" s="435">
        <f>BQ11+BQ18+BQ19+BQ21+BQ22</f>
        <v>46458.65</v>
      </c>
      <c r="BR40" s="426">
        <f t="shared" si="1339"/>
        <v>11541.523751132485</v>
      </c>
      <c r="BS40" s="452">
        <f>BS11+BS18+BS19+BS21+BS22</f>
        <v>64027.61039999999</v>
      </c>
      <c r="BT40" s="435">
        <f>BT11+BT18+BT19+BT21+BT22</f>
        <v>44819.327279999998</v>
      </c>
      <c r="BU40" s="424">
        <f t="shared" si="1340"/>
        <v>0.70000000000000007</v>
      </c>
      <c r="BV40" s="435">
        <f>BV11+BV18+BV19+BV22+BV21</f>
        <v>3.5053002652739318</v>
      </c>
      <c r="BW40" s="426">
        <f t="shared" si="1341"/>
        <v>5.4746698234952903E-5</v>
      </c>
      <c r="BX40" s="449"/>
      <c r="BY40" s="435">
        <f>BY11+BY18+BY19+BY21+BY22</f>
        <v>50455.549999999996</v>
      </c>
      <c r="BZ40" s="435">
        <f>BZ11+BZ18+BZ19+BZ21+BZ22</f>
        <v>4.019705318692786</v>
      </c>
      <c r="CA40" s="426">
        <f t="shared" si="1342"/>
        <v>7.9668248957603011E-5</v>
      </c>
      <c r="CB40" s="452">
        <f>CB11+CB18+CB19+CB21+CB22</f>
        <v>44819.327279999998</v>
      </c>
      <c r="CC40" s="435">
        <f>CC11+CC18+CC19+CC21+CC22</f>
        <v>46079.170000000006</v>
      </c>
      <c r="CD40" s="424">
        <f t="shared" si="1343"/>
        <v>1.028109362555341</v>
      </c>
      <c r="CE40" s="435">
        <f>CE11+CE18+CE19+CE22+CE21</f>
        <v>74698.878800000006</v>
      </c>
      <c r="CF40" s="426">
        <f t="shared" si="1344"/>
        <v>1.666666666666667</v>
      </c>
      <c r="CG40" s="452">
        <f>CG11+CG18+CG19+CG21+CG22</f>
        <v>49012.29</v>
      </c>
      <c r="CH40" s="435">
        <f>CH11+CH18+CH19+CH21+CH22</f>
        <v>3.4183228046809746</v>
      </c>
      <c r="CI40" s="424">
        <f t="shared" si="1345"/>
        <v>6.974419690818312E-5</v>
      </c>
      <c r="CJ40" s="435">
        <f>CJ11+CJ18+CJ19+CJ22+CJ21</f>
        <v>59759.103040000002</v>
      </c>
      <c r="CK40" s="426">
        <f t="shared" si="1346"/>
        <v>1.2192677191781898</v>
      </c>
      <c r="CL40" s="452">
        <f>CL11+CL18+CL19+CL21+CL22</f>
        <v>3.6457795355676961</v>
      </c>
      <c r="CM40" s="435">
        <f>CM11+CM18+CM19+CM21+CM22</f>
        <v>117383.95239999999</v>
      </c>
      <c r="CN40" s="424">
        <f t="shared" si="1347"/>
        <v>32197.216330504682</v>
      </c>
      <c r="CO40" s="435">
        <f>CO11+CO18+CO19+CO22+CO21</f>
        <v>103920.87</v>
      </c>
      <c r="CP40" s="426">
        <f t="shared" si="1348"/>
        <v>28504.430667340981</v>
      </c>
      <c r="CQ40" s="452">
        <f>CQ11+CQ18+CQ19+CQ21+CQ22</f>
        <v>533563.42000000004</v>
      </c>
      <c r="CR40" s="435">
        <f>CR11+CR18+CR19+CR21+CR22</f>
        <v>373494.39399999997</v>
      </c>
      <c r="CS40" s="424">
        <f t="shared" si="1349"/>
        <v>0.69999999999999984</v>
      </c>
      <c r="CT40" s="435">
        <f>CT11+CT18+CT19+CT22+CT21</f>
        <v>3.8642594433438129</v>
      </c>
      <c r="CU40" s="449">
        <f t="shared" si="1350"/>
        <v>7.2423620107686777E-6</v>
      </c>
      <c r="CV40" s="452">
        <f>CV11+CV18+CV19+CV21+CV22</f>
        <v>44168.726280000003</v>
      </c>
      <c r="CW40" s="435">
        <f>CW11+CW18+CW19+CW22+CW21</f>
        <v>40966.21</v>
      </c>
      <c r="CX40" s="435">
        <f>CX11+CX18+CX19+CX22+CX21</f>
        <v>3.5069315307040836</v>
      </c>
      <c r="CY40" s="489">
        <f t="shared" si="1351"/>
        <v>8.5605466815311535E-5</v>
      </c>
      <c r="CZ40" s="478">
        <f>CZ11+CZ18+CZ19+CZ21+CZ22</f>
        <v>44168.726280000003</v>
      </c>
      <c r="DA40" s="479">
        <f>DA11+DA18+DA19+DA21+DA22</f>
        <v>43754.53</v>
      </c>
      <c r="DB40" s="424">
        <f t="shared" si="1352"/>
        <v>0.99062240832180037</v>
      </c>
      <c r="DC40" s="435">
        <f>DC11+DC18+DC19+DC22+DC21</f>
        <v>58777.917600000001</v>
      </c>
      <c r="DD40" s="449">
        <f t="shared" si="1353"/>
        <v>1.3307587189041303</v>
      </c>
      <c r="DE40" s="478">
        <f>DE11+DE18+DE19+DE21+DE22</f>
        <v>36732.759999999995</v>
      </c>
      <c r="DF40" s="479">
        <f>DF11+DF18+DF19+DF21+DF22</f>
        <v>3.2757527566979103</v>
      </c>
      <c r="DG40" s="424">
        <f t="shared" si="1354"/>
        <v>8.9177964212270211E-5</v>
      </c>
      <c r="DH40" s="435">
        <f>DH11+DH18+DH19+DH22+DH21</f>
        <v>44168.726280000003</v>
      </c>
      <c r="DI40" s="449">
        <f t="shared" si="1355"/>
        <v>1.2024341835462407</v>
      </c>
      <c r="DJ40" s="478">
        <f>DJ11+DJ18+DJ19+DJ21+DJ22</f>
        <v>3.7170059150936723</v>
      </c>
      <c r="DK40" s="479">
        <f>DK11+DK18+DK19+DK21+DK22</f>
        <v>68574.237200000003</v>
      </c>
      <c r="DL40" s="424">
        <f t="shared" si="1356"/>
        <v>18448.783447327893</v>
      </c>
      <c r="DM40" s="435">
        <f>DM11+DM18+DM19+DM22+DM21</f>
        <v>52036.4</v>
      </c>
      <c r="DN40" s="449">
        <f t="shared" si="1357"/>
        <v>13999.547266980508</v>
      </c>
      <c r="DO40" s="478">
        <f>DO11+DO18+DO19+DO21+DO22</f>
        <v>78370.556799999991</v>
      </c>
      <c r="DP40" s="479">
        <f>DP11+DP18+DP19+DP21+DP22</f>
        <v>58891.635039999994</v>
      </c>
      <c r="DQ40" s="424">
        <f t="shared" si="1358"/>
        <v>0.75145102248399487</v>
      </c>
      <c r="DR40" s="435">
        <f>DR11+DR18+DR19+DR22+DR21</f>
        <v>4.3195872586253596</v>
      </c>
      <c r="DS40" s="449">
        <f t="shared" si="1359"/>
        <v>5.5117475682211307E-5</v>
      </c>
      <c r="DT40" s="452">
        <f>DT11+DT18+DT19+DT21+DT22</f>
        <v>80975.998179999995</v>
      </c>
      <c r="DU40" s="435">
        <f>DU11+DU18+DU19+DU21+DU22</f>
        <v>98845.4</v>
      </c>
      <c r="DV40" s="435">
        <f>DV11+DV18+DV19+DV21+DV22</f>
        <v>4.7211887315936689</v>
      </c>
      <c r="DW40" s="419">
        <f t="shared" si="1360"/>
        <v>4.7763363106362757E-5</v>
      </c>
      <c r="DX40" s="478">
        <f>DX11+DX18+DX19+DX21+DX22</f>
        <v>368072.71899999998</v>
      </c>
      <c r="DY40" s="479">
        <f>DY11+DY18+DY19+DY21+DY22</f>
        <v>376581.62</v>
      </c>
      <c r="DZ40" s="424">
        <f t="shared" si="1361"/>
        <v>1.0231174454415353</v>
      </c>
      <c r="EA40" s="479">
        <f>EA11+EA18+EA19+EA21+EA22</f>
        <v>63210.11039999999</v>
      </c>
      <c r="EB40" s="449">
        <f t="shared" si="1362"/>
        <v>0.17173266894577968</v>
      </c>
      <c r="EC40" s="478">
        <f>EC11+EC18+EC19+EC21+EC22</f>
        <v>36664.89</v>
      </c>
      <c r="ED40" s="479">
        <f>ED11+ED18+ED19+ED21+ED22</f>
        <v>2.992046165411407</v>
      </c>
      <c r="EE40" s="424">
        <f t="shared" si="1363"/>
        <v>8.160521320018708E-5</v>
      </c>
      <c r="EF40" s="479">
        <f>EF11+EF18+EF19+EF21+EF22</f>
        <v>41086.571759999999</v>
      </c>
      <c r="EG40" s="449">
        <f t="shared" si="1364"/>
        <v>1.1205971642080474</v>
      </c>
      <c r="EH40" s="478">
        <f>EH11+EH18+EH19+EH21+EH22</f>
        <v>3.0987314496525897</v>
      </c>
      <c r="EI40" s="479">
        <f>EI11+EI18+EI19+EI21+EI22</f>
        <v>63210.11039999999</v>
      </c>
      <c r="EJ40" s="424">
        <f t="shared" si="1365"/>
        <v>20398.70554354967</v>
      </c>
      <c r="EK40" s="479">
        <f>EK11+EK18+EK19+EK21+EK22</f>
        <v>37354.9</v>
      </c>
      <c r="EL40" s="449">
        <f t="shared" si="1366"/>
        <v>12054.900725323583</v>
      </c>
      <c r="EM40" s="478">
        <f>EM11+EM18+EM19+EM21+EM22</f>
        <v>63210.11039999999</v>
      </c>
      <c r="EN40" s="479">
        <f>EN11+EN18+EN19+EN21+EN22</f>
        <v>41086.571759999999</v>
      </c>
      <c r="EO40" s="424">
        <f t="shared" si="1367"/>
        <v>0.65000000000000013</v>
      </c>
      <c r="EP40" s="479">
        <f>EP11+EP18+EP19+EP21+EP22</f>
        <v>3.4275727962309248</v>
      </c>
      <c r="EQ40" s="449">
        <f t="shared" si="1368"/>
        <v>5.4225072137050487E-5</v>
      </c>
      <c r="ER40" s="478">
        <f>ER11+ER18+ER19+ER21+ER22</f>
        <v>47934.33372000001</v>
      </c>
      <c r="ES40" s="479">
        <f>ES11+ES18+ES19+ES21+ES22</f>
        <v>48773.179999999993</v>
      </c>
      <c r="ET40" s="424">
        <f t="shared" si="1369"/>
        <v>1.0174999048677709</v>
      </c>
      <c r="EU40" s="479">
        <f>EU11+EU18+EU19+EU21+EU22</f>
        <v>84280.147200000007</v>
      </c>
      <c r="EV40" s="449">
        <f t="shared" si="1370"/>
        <v>1.758241758241758</v>
      </c>
      <c r="EW40" s="452">
        <f>EW11+EW18+EW19+EW21+EW22</f>
        <v>62964.2</v>
      </c>
      <c r="EX40" s="435">
        <f>EX11+EX18+EX19+EX21+EX22</f>
        <v>3.874393688959938</v>
      </c>
      <c r="EY40" s="435">
        <f>EY11+EY18+EY19+EY21+EY22</f>
        <v>115885.20240000001</v>
      </c>
      <c r="EZ40" s="426">
        <f t="shared" si="1371"/>
        <v>29910.538707053496</v>
      </c>
      <c r="FA40" s="478">
        <f>FA11+FA18+FA19+FA21+FA22</f>
        <v>78281.61</v>
      </c>
      <c r="FB40" s="479">
        <f>FB11+FB18+FB19+FB21+FB22</f>
        <v>3.5047077046955271</v>
      </c>
      <c r="FC40" s="424">
        <f>FB40/FA40</f>
        <v>4.4770511294996704E-5</v>
      </c>
      <c r="FD40" s="1401">
        <f>FD11+FD18+FD19+FD21+FD22</f>
        <v>342388.098</v>
      </c>
      <c r="FE40" s="449">
        <f>FD40/FA40</f>
        <v>4.3737999001298009</v>
      </c>
      <c r="FF40" s="478">
        <f>FF11+FF18+FF19+FF21+FF22</f>
        <v>3.379482328177339</v>
      </c>
      <c r="FG40" s="479">
        <f>FG11+FG18+FG19+FG21+FG22</f>
        <v>54505.474799999996</v>
      </c>
      <c r="FH40" s="424">
        <f>FG40/FF40</f>
        <v>16128.350293636988</v>
      </c>
      <c r="FI40" s="1401">
        <f>FI11+FI18+FI19+FI21+FI22</f>
        <v>38456.729999999996</v>
      </c>
      <c r="FJ40" s="449">
        <f>FI40/FF40</f>
        <v>11379.473619186203</v>
      </c>
      <c r="FK40" s="478">
        <f>FK11+FK18+FK19+FK21+FK22</f>
        <v>54505.474799999996</v>
      </c>
      <c r="FL40" s="479">
        <f>FL11+FL18+FL19+FL21+FL22</f>
        <v>38153.832359999993</v>
      </c>
      <c r="FM40" s="424">
        <f>FL40/FK40</f>
        <v>0.7</v>
      </c>
      <c r="FN40" s="1401">
        <f>FN11+FN18+FN19+FN21+FN22</f>
        <v>4.7100820285446972</v>
      </c>
      <c r="FO40" s="449">
        <f>FN40/FK40</f>
        <v>8.6414842652553084E-5</v>
      </c>
      <c r="FP40" s="478">
        <f>FP11+FP18+FP19+FP21+FP22</f>
        <v>38153.832359999993</v>
      </c>
      <c r="FQ40" s="479">
        <f>FQ11+FQ18+FQ19+FQ21+FQ22</f>
        <v>45124.179999999993</v>
      </c>
      <c r="FR40" s="424">
        <f>FQ40/FP40</f>
        <v>1.1826906291937169</v>
      </c>
      <c r="FS40" s="1401">
        <f>FS11+FS18+FS19+FS21+FS22</f>
        <v>54505.474799999996</v>
      </c>
      <c r="FT40" s="449">
        <f>FS40/FP40</f>
        <v>1.4285714285714288</v>
      </c>
      <c r="FU40" s="452">
        <f>FU11+FU18+FU19+FU21+FU22</f>
        <v>46987.47</v>
      </c>
      <c r="FV40" s="435">
        <f>FV11+FV18+FV19+FV21+FV22</f>
        <v>4.7590909802333945</v>
      </c>
      <c r="FW40" s="435">
        <f>FW11+FW18+FW19+FW21+FW22</f>
        <v>63589.720600000001</v>
      </c>
      <c r="FX40" s="455">
        <f t="shared" si="1372"/>
        <v>13361.736698061915</v>
      </c>
      <c r="FY40" s="478">
        <f>FY11+FY18+FY19+FY21+FY22</f>
        <v>49289.05</v>
      </c>
      <c r="FZ40" s="479">
        <f>FZ11+FZ18+FZ19+FZ21+FZ22</f>
        <v>4.0460800115174198</v>
      </c>
      <c r="GA40" s="424">
        <f>FZ40/FY40</f>
        <v>8.2088821178688163E-5</v>
      </c>
      <c r="GB40" s="1401">
        <f>GB11+GB18+GB19+GB21+GB22</f>
        <v>50871.776479999993</v>
      </c>
      <c r="GC40" s="449">
        <f>GB40/FY40</f>
        <v>1.0321111175808824</v>
      </c>
      <c r="GD40" s="478">
        <f>GD11+GD18+GD19+GD21+GD22</f>
        <v>3.8832327858782891</v>
      </c>
      <c r="GE40" s="479">
        <f>GE11+GE18+GE19+GE21+GE22</f>
        <v>99926.703799999988</v>
      </c>
      <c r="GF40" s="424">
        <f>GE40/GD40</f>
        <v>25732.864680014049</v>
      </c>
      <c r="GG40" s="1401">
        <f>GG11+GG18+GG19+GG21+GG22</f>
        <v>77790.37000000001</v>
      </c>
      <c r="GH40" s="449">
        <f>GG40/GD40</f>
        <v>20032.37361481171</v>
      </c>
      <c r="GI40" s="478">
        <f>GI11+GI18+GI19+GI21+GI22</f>
        <v>454212.29000000004</v>
      </c>
      <c r="GJ40" s="479">
        <f>GJ11+GJ18+GJ19+GJ21+GJ22</f>
        <v>317948.603</v>
      </c>
      <c r="GK40" s="424">
        <f>GJ40/GI40</f>
        <v>0.7</v>
      </c>
      <c r="GL40" s="1401">
        <f>GL11+GL18+GL19+GL21+GL22</f>
        <v>4.2092947000429115</v>
      </c>
      <c r="GM40" s="449">
        <f>GL40/GI40</f>
        <v>9.2672408755009939E-6</v>
      </c>
      <c r="GN40" s="478">
        <f>GN11+GN18+GN19+GN21+GN22</f>
        <v>42898.268687999996</v>
      </c>
      <c r="GO40" s="479">
        <f>GO11+GO18+GO19+GO21+GO22</f>
        <v>37416.79</v>
      </c>
      <c r="GP40" s="424">
        <f>GO40/GN40</f>
        <v>0.87222144726010031</v>
      </c>
      <c r="GQ40" s="1401">
        <f>GQ11+GQ18+GQ19+GQ21+GQ22</f>
        <v>58986.352800000001</v>
      </c>
      <c r="GR40" s="449">
        <f>GQ40/GN40</f>
        <v>1.3750287506707783</v>
      </c>
      <c r="GS40" s="452">
        <f>GS11+GS18+GS19+GS21+GS22</f>
        <v>44436.09</v>
      </c>
      <c r="GT40" s="435">
        <f>GT11+GT18+GT19+GT21+GT22</f>
        <v>4.0166608005787285</v>
      </c>
      <c r="GU40" s="435">
        <f>GU11+GU18+GU19+GU21+GU22</f>
        <v>58986.352800000001</v>
      </c>
      <c r="GV40" s="455">
        <f t="shared" si="1373"/>
        <v>14685.420484473354</v>
      </c>
      <c r="GW40" s="478">
        <f>GW11+GW18+GW19+GW21+GW22</f>
        <v>42506.67</v>
      </c>
      <c r="GX40" s="479">
        <f>GX11+GX18+GX19+GX21+GX22</f>
        <v>3.8339596789383545</v>
      </c>
      <c r="GY40" s="424">
        <f t="shared" si="1374"/>
        <v>9.0196660405022431E-5</v>
      </c>
      <c r="GZ40" s="435">
        <f>GZ11+GZ18+GZ19+GZ22+GZ21</f>
        <v>42898.268687999996</v>
      </c>
      <c r="HA40" s="449">
        <f t="shared" si="1375"/>
        <v>1.0092126409337641</v>
      </c>
      <c r="HB40" s="478">
        <f>HB11+HB18+HB19+HB21+HB22</f>
        <v>3.6614494218372404</v>
      </c>
      <c r="HC40" s="479">
        <f>HC11+HC18+HC19+HC21+HC22</f>
        <v>68817.411600000007</v>
      </c>
      <c r="HD40" s="424">
        <f t="shared" si="1376"/>
        <v>18795.128287056559</v>
      </c>
      <c r="HE40" s="435">
        <f>HE11+HE18+HE19+HE22+HE21</f>
        <v>49175.82</v>
      </c>
      <c r="HF40" s="449">
        <f t="shared" si="1377"/>
        <v>13430.697610271667</v>
      </c>
      <c r="HG40" s="478">
        <f>HG11+HG18+HG19+HG21+HG22</f>
        <v>78648.470400000006</v>
      </c>
      <c r="HH40" s="479">
        <f>HH11+HH18+HH19+HH21+HH22</f>
        <v>57197.691584</v>
      </c>
      <c r="HI40" s="424">
        <f t="shared" si="1378"/>
        <v>0.7272575206243298</v>
      </c>
      <c r="HJ40" s="435">
        <f>HJ11+HJ18+HJ19+HJ22+HJ21</f>
        <v>3.6879670922517525</v>
      </c>
      <c r="HK40" s="449">
        <f t="shared" si="1379"/>
        <v>4.6891784080415533E-5</v>
      </c>
      <c r="HL40" s="478">
        <f>HL11+HL18+HL19+HL21+HL22</f>
        <v>78646.825928000006</v>
      </c>
      <c r="HM40" s="479">
        <f>HM11+HM18+HM19+HM21+HM22</f>
        <v>83435.01999999999</v>
      </c>
      <c r="HN40" s="424">
        <f t="shared" si="1380"/>
        <v>1.0608822290728364</v>
      </c>
      <c r="HO40" s="435">
        <f>HO11+HO18+HO19+HO22+HO21</f>
        <v>491552.94000000006</v>
      </c>
      <c r="HP40" s="449">
        <f t="shared" si="1381"/>
        <v>6.2501306848671732</v>
      </c>
      <c r="HQ40" s="478">
        <f>HQ11+HQ18+HQ19+HQ21+HQ22</f>
        <v>357987.96</v>
      </c>
      <c r="HR40" s="479">
        <f>HR11+HR18+HR19+HR21+HR22</f>
        <v>3.7703101571159117</v>
      </c>
      <c r="HS40" s="424">
        <f t="shared" si="1382"/>
        <v>1.0531946820546455E-5</v>
      </c>
      <c r="HT40" s="435">
        <f>HT11+HT18+HT19+HT22+HT21</f>
        <v>42125.918603999999</v>
      </c>
      <c r="HU40" s="449">
        <f t="shared" si="1383"/>
        <v>0.11767412123022238</v>
      </c>
      <c r="HV40" s="452">
        <f>HV11+HV18+HV19+HV21+HV22</f>
        <v>3.2854454133378619</v>
      </c>
      <c r="HW40" s="435">
        <f>HW11+HW18+HW19+HW21+HW22</f>
        <v>53323.947599999992</v>
      </c>
      <c r="HX40" s="435">
        <f>HX11+HX18+HX19+HX21+HX22</f>
        <v>42125.918603999999</v>
      </c>
      <c r="HY40" s="455">
        <f t="shared" si="1384"/>
        <v>0.79</v>
      </c>
      <c r="HZ40" s="478">
        <f>HZ11+HZ18+HZ19+HZ21+HZ22</f>
        <v>4.387719490609558</v>
      </c>
      <c r="IA40" s="479">
        <f>IA11+IA18+IA19+IA21+IA22</f>
        <v>53323.947599999992</v>
      </c>
      <c r="IB40" s="424">
        <f t="shared" si="1385"/>
        <v>12152.998320453717</v>
      </c>
      <c r="IC40" s="435">
        <f>IC11+IC18+IC19+IC22+IC21</f>
        <v>37972.32</v>
      </c>
      <c r="ID40" s="449">
        <f t="shared" si="1386"/>
        <v>8654.2268896785718</v>
      </c>
      <c r="IE40" s="478">
        <f>IE11+IE18+IE19+IE21+IE22</f>
        <v>53323.947599999992</v>
      </c>
      <c r="IF40" s="479">
        <f>IF11+IF18+IF19+IF21+IF22</f>
        <v>42125.918603999999</v>
      </c>
      <c r="IG40" s="424">
        <f t="shared" si="1387"/>
        <v>0.79</v>
      </c>
      <c r="IH40" s="435">
        <f>IH11+IH18+IH19+IH22+IH21</f>
        <v>4.7163546815262825</v>
      </c>
      <c r="II40" s="449">
        <f t="shared" si="1388"/>
        <v>8.8447215440709098E-5</v>
      </c>
      <c r="IJ40" s="478">
        <f>IJ11+IJ18+IJ19+IJ21+IJ22</f>
        <v>49146.905038000004</v>
      </c>
      <c r="IK40" s="479">
        <f>IK11+IK18+IK19+IK21+IK22</f>
        <v>43789.04</v>
      </c>
      <c r="IL40" s="424">
        <f t="shared" si="1389"/>
        <v>0.89098265630648876</v>
      </c>
      <c r="IM40" s="435">
        <f>IM11+IM18+IM19+IM22+IM21</f>
        <v>71098.596799999999</v>
      </c>
      <c r="IN40" s="449">
        <f t="shared" si="1390"/>
        <v>1.446654611211573</v>
      </c>
      <c r="IO40" s="478">
        <f>IO11+IO18+IO19+IO21+IO22</f>
        <v>55181.77</v>
      </c>
      <c r="IP40" s="479">
        <f>IP11+IP18+IP19+IP21+IP22</f>
        <v>4.0517204475673569</v>
      </c>
      <c r="IQ40" s="424">
        <f t="shared" si="1391"/>
        <v>7.3424981611995362E-5</v>
      </c>
      <c r="IR40" s="435">
        <f>IR11+IR18+IR19+IR22+IR21</f>
        <v>77230.850773999991</v>
      </c>
      <c r="IS40" s="449">
        <f t="shared" si="1392"/>
        <v>1.3995718291384998</v>
      </c>
      <c r="IT40" s="452">
        <f>IT11+IT18+IT19+IT21+IT22</f>
        <v>4.099070494454109</v>
      </c>
      <c r="IU40" s="435">
        <f>IU11+IU18+IU19+IU21+IU22</f>
        <v>444366.23</v>
      </c>
      <c r="IV40" s="435">
        <f>IV11+IV18+IV19+IV21+IV22</f>
        <v>351049.32169999997</v>
      </c>
      <c r="IW40" s="455">
        <f t="shared" si="1393"/>
        <v>0.78999999999999992</v>
      </c>
      <c r="IX40" s="478">
        <f>IX11+IX18+IX19+IX21+IX22</f>
        <v>3.9815249470030363</v>
      </c>
      <c r="IY40" s="479">
        <f>IY11+IY18+IY19+IY21+IY22</f>
        <v>53485.837200000002</v>
      </c>
      <c r="IZ40" s="424">
        <f t="shared" si="1394"/>
        <v>13433.505481426087</v>
      </c>
      <c r="JA40" s="435">
        <f>JA11+JA18+JA19+JA22+JA21</f>
        <v>37699.78</v>
      </c>
      <c r="JB40" s="449">
        <f t="shared" si="1395"/>
        <v>9468.6785846657276</v>
      </c>
      <c r="JC40" s="478">
        <f>JC11+JC18+JC19+JC21+JC22</f>
        <v>53485.837200000002</v>
      </c>
      <c r="JD40" s="479">
        <f>JD11+JD18+JD19+JD21+JD22</f>
        <v>40649.236272000002</v>
      </c>
      <c r="JE40" s="424">
        <f t="shared" si="1396"/>
        <v>0.76</v>
      </c>
      <c r="JF40" s="435">
        <f>JF11+JF18+JF19+JF22+JF21</f>
        <v>4.1886883524865048</v>
      </c>
      <c r="JG40" s="449">
        <f t="shared" si="1397"/>
        <v>7.831397191790623E-5</v>
      </c>
      <c r="JH40" s="478">
        <f>JH11+JH18+JH19+JH21+JH22</f>
        <v>40649.236272000002</v>
      </c>
      <c r="JI40" s="479">
        <f>JI11+JI18+JI19+JI21+JI22</f>
        <v>39190.67</v>
      </c>
      <c r="JJ40" s="424">
        <f t="shared" si="1398"/>
        <v>0.96411823675504837</v>
      </c>
      <c r="JK40" s="435">
        <f>JK11+JK18+JK19+JK22+JK21</f>
        <v>53485.837200000002</v>
      </c>
      <c r="JL40" s="449">
        <f t="shared" si="1399"/>
        <v>1.3157894736842104</v>
      </c>
      <c r="JM40" s="478">
        <f>JM11+JM18+JM19+JM21+JM22</f>
        <v>34639.120000000003</v>
      </c>
      <c r="JN40" s="479">
        <f>JN11+JN18+JN19+JN21+JN22</f>
        <v>3.4198980044636849</v>
      </c>
      <c r="JO40" s="424">
        <f t="shared" si="1400"/>
        <v>9.8729355839977597E-5</v>
      </c>
      <c r="JP40" s="435">
        <f>JP11+JP18+JP19+JP22+JP21</f>
        <v>47424.108984000006</v>
      </c>
      <c r="JQ40" s="449">
        <f t="shared" si="1401"/>
        <v>1.3690910445761901</v>
      </c>
      <c r="JR40" s="800"/>
      <c r="JS40" s="452">
        <f>JS11+JS18+JS19+JS21+JS22</f>
        <v>71314.449600000007</v>
      </c>
      <c r="JT40" s="435">
        <f>JT11+JT18+JT19+JT21+JT22</f>
        <v>54198.981696000003</v>
      </c>
      <c r="JU40" s="435">
        <f>JU11+JU18+JU19+JU21+JU22</f>
        <v>55999.55</v>
      </c>
      <c r="JV40" s="455">
        <f t="shared" si="1402"/>
        <v>1.0332214415779861</v>
      </c>
      <c r="JW40" s="478">
        <f>JW11+JW18+JW19+JW21+JW22</f>
        <v>98057.368199999997</v>
      </c>
      <c r="JX40" s="479">
        <f>JX11+JX18+JX19+JX21+JX22</f>
        <v>74523.599832000007</v>
      </c>
      <c r="JY40" s="424">
        <f t="shared" si="1403"/>
        <v>0.76000000000000012</v>
      </c>
      <c r="JZ40" s="435">
        <f>JZ11+JZ18+JZ19+JZ22+JZ21</f>
        <v>4.4176468872091217</v>
      </c>
      <c r="KA40" s="449">
        <f t="shared" si="1404"/>
        <v>4.5051656681207173E-5</v>
      </c>
      <c r="KB40" s="478">
        <f>KB11+KB18+KB19+KB21+KB22</f>
        <v>338743.63560000004</v>
      </c>
      <c r="KC40" s="479">
        <f>KC11+KC18+KC19+KC21+KC22</f>
        <v>328596.21999999997</v>
      </c>
      <c r="KD40" s="424">
        <f t="shared" si="1405"/>
        <v>0.97004396678323879</v>
      </c>
      <c r="KE40" s="435">
        <f>KE11+KE18+KE19+KE22+KE21</f>
        <v>54108.514800000004</v>
      </c>
      <c r="KF40" s="449">
        <f t="shared" si="1406"/>
        <v>0.15973293403479075</v>
      </c>
      <c r="KG40" s="478">
        <f>KG11+KG18+KG19+KG21+KG22</f>
        <v>34450.75</v>
      </c>
      <c r="KH40" s="479">
        <f>KH11+KH18+KH19+KH21+KH22</f>
        <v>3.1299419785978886</v>
      </c>
      <c r="KI40" s="424">
        <f t="shared" si="1407"/>
        <v>9.0852651352957156E-5</v>
      </c>
      <c r="KJ40" s="435">
        <f>KJ11+KJ18+KJ19+KJ22+KJ21</f>
        <v>40581.386100000003</v>
      </c>
      <c r="KK40" s="449">
        <f t="shared" si="1408"/>
        <v>1.1779536323592377</v>
      </c>
      <c r="KL40" s="478">
        <f>KL11+KL18+KL19+KL21+KL22</f>
        <v>3.6044088771877858</v>
      </c>
      <c r="KM40" s="479">
        <f>KM11+KM18+KM19+KM21+KM22</f>
        <v>54108.514799999997</v>
      </c>
      <c r="KN40" s="424">
        <f t="shared" si="1409"/>
        <v>15011.758278160794</v>
      </c>
      <c r="KO40" s="435">
        <f>KO11+KO18+KO19+KO22+KO21</f>
        <v>43797.69</v>
      </c>
      <c r="KP40" s="449">
        <f t="shared" si="1410"/>
        <v>12151.143638890275</v>
      </c>
      <c r="KQ40" s="478">
        <f>KQ11+KQ18+KQ19+KQ21+KQ22</f>
        <v>54108.514799999997</v>
      </c>
      <c r="KR40" s="479">
        <f>KR11+KR18+KR19+KR21+KR22</f>
        <v>40581.386100000003</v>
      </c>
      <c r="KS40" s="424">
        <f t="shared" si="1411"/>
        <v>0.75000000000000011</v>
      </c>
      <c r="KT40" s="435">
        <f>KT11+KT18+KT19+KT22+KT21</f>
        <v>3.3521185643525047</v>
      </c>
      <c r="KU40" s="449">
        <f t="shared" si="1412"/>
        <v>6.1951775552200237E-5</v>
      </c>
      <c r="KV40" s="452">
        <f>KV11+KV18+KV19+KV21+KV22</f>
        <v>47344.950450000011</v>
      </c>
      <c r="KW40" s="435">
        <f>KW11+KW18+KW19+KW21+KW22</f>
        <v>42703.61</v>
      </c>
      <c r="KX40" s="435">
        <f>KX11+KX18+KX19+KX21+KX22</f>
        <v>3.5323626430021147</v>
      </c>
      <c r="KY40" s="455">
        <f t="shared" si="1413"/>
        <v>8.2718127179461288E-5</v>
      </c>
      <c r="KZ40" s="948">
        <f>KZ11+KZ18+KZ19+KZ21+KZ22</f>
        <v>54108.514799999997</v>
      </c>
      <c r="LA40" s="948">
        <f>LA11+LA18+LA19+LA21+LA22</f>
        <v>57529.82</v>
      </c>
      <c r="LB40" s="452">
        <f>LB11+LB18+LB19+LB21+LB22</f>
        <v>4.133110557111241</v>
      </c>
      <c r="LC40" s="452">
        <f>LC11+LC18+LC19+LC21+LC22</f>
        <v>99198.943800000008</v>
      </c>
      <c r="LD40" s="492">
        <f>LC40-LB40</f>
        <v>99194.810689442893</v>
      </c>
      <c r="LE40" s="493">
        <f>LC40/LB40</f>
        <v>24001.038063044998</v>
      </c>
      <c r="LW40" s="608">
        <f>LW12+LW19+LW20+LW22+LW23</f>
        <v>64867.883999999998</v>
      </c>
      <c r="LX40" s="609"/>
      <c r="LY40" s="609">
        <f>LY12+LY19+LY20+LY22+LY23</f>
        <v>44426.87</v>
      </c>
      <c r="LZ40" s="1428">
        <f t="shared" si="1414"/>
        <v>0.68488236798351565</v>
      </c>
      <c r="MA40" s="608">
        <f>MA12+MA19+MA20+MA22+MA23</f>
        <v>75679.198000000004</v>
      </c>
      <c r="MB40" s="609"/>
      <c r="MC40" s="609">
        <f>MC12+MC19+MC20+MC22+MC23</f>
        <v>45261.149999999994</v>
      </c>
      <c r="MD40" s="1428">
        <f t="shared" si="1415"/>
        <v>0.59806593087839</v>
      </c>
      <c r="ME40" s="608">
        <f>ME12+ME19+ME20+ME22+ME23</f>
        <v>86490.512000000017</v>
      </c>
      <c r="MF40" s="609"/>
      <c r="MG40" s="609">
        <f>MG12+MG19+MG20+MG22+MG23</f>
        <v>65672.070000000007</v>
      </c>
      <c r="MH40" s="1428">
        <f t="shared" si="1416"/>
        <v>0.75929796785108628</v>
      </c>
      <c r="MI40" s="608">
        <f>MI12+MI19+MI20+MI22+MI23</f>
        <v>118924.454</v>
      </c>
      <c r="MJ40" s="609"/>
      <c r="MK40" s="609">
        <f>MK12+MK19+MK20+MK22+MK23</f>
        <v>93381.84</v>
      </c>
      <c r="ML40" s="1428">
        <f t="shared" si="1417"/>
        <v>0.78521983376101945</v>
      </c>
      <c r="MM40" s="608">
        <f>MM12+MM19+MM20+MM22+MM23</f>
        <v>540565.69999999995</v>
      </c>
      <c r="MN40" s="609"/>
      <c r="MO40" s="609">
        <f>MO12+MO19+MO20+MO22+MO23</f>
        <v>384288.97000000003</v>
      </c>
      <c r="MP40" s="1428">
        <f t="shared" si="1418"/>
        <v>0.71090150558942244</v>
      </c>
      <c r="MQ40" s="608">
        <f>MQ12+MQ19+MQ20+MQ22+MQ23</f>
        <v>59797.072799999994</v>
      </c>
      <c r="MR40" s="609"/>
      <c r="MS40" s="609">
        <f>MS12+MS19+MS20+MS22+MS23</f>
        <v>38846.639999999999</v>
      </c>
      <c r="MT40" s="1473">
        <f t="shared" si="1419"/>
        <v>0.64964116437485553</v>
      </c>
      <c r="MU40" s="579">
        <f>MU12+MU19+MU20+MU22+MU23</f>
        <v>59797.072799999994</v>
      </c>
      <c r="MV40" s="574"/>
      <c r="MW40" s="574">
        <f>MW12+MW19+MW20+MW22+MW23</f>
        <v>49514.45</v>
      </c>
      <c r="MX40" s="1427">
        <f t="shared" si="1420"/>
        <v>0.82804136860692623</v>
      </c>
      <c r="MY40" s="1465">
        <f>MY12+MY19+MY20+MY22+MY23</f>
        <v>59797.072799999994</v>
      </c>
      <c r="MZ40" s="609"/>
      <c r="NA40" s="609">
        <f>NA12+NA19+NA20+NA22+NA23</f>
        <v>47848.58</v>
      </c>
      <c r="NB40" s="1428">
        <f t="shared" si="1421"/>
        <v>0.80018264706763387</v>
      </c>
      <c r="NC40" s="608">
        <f>NC12+NC19+NC20+NC22+NC23</f>
        <v>59797.072799999994</v>
      </c>
      <c r="ND40" s="609"/>
      <c r="NE40" s="609">
        <f>NE12+NE19+NE20+NE22+NE23</f>
        <v>44763.08</v>
      </c>
      <c r="NF40" s="1428">
        <f t="shared" si="1422"/>
        <v>0.74858313131341114</v>
      </c>
      <c r="NG40" s="608">
        <f>NG12+NG19+NG20+NG22+NG23</f>
        <v>69763.251600000003</v>
      </c>
      <c r="NH40" s="609"/>
      <c r="NI40" s="609">
        <f>NI12+NI19+NI20+NI22+NI23</f>
        <v>49124.619999999995</v>
      </c>
      <c r="NJ40" s="1428">
        <f t="shared" si="1423"/>
        <v>0.70416184557544326</v>
      </c>
      <c r="NK40" s="608">
        <f>NK12+NK19+NK20+NK22+NK23</f>
        <v>79729.430399999997</v>
      </c>
      <c r="NL40" s="609"/>
      <c r="NM40" s="609">
        <f>NM12+NM19+NM20+NM22+NM23</f>
        <v>60793.11</v>
      </c>
      <c r="NN40" s="1428">
        <f t="shared" si="1424"/>
        <v>0.76249271686757214</v>
      </c>
      <c r="NO40" s="608">
        <f>NO12+NO19+NO20+NO22+NO23</f>
        <v>109627.96679999999</v>
      </c>
      <c r="NP40" s="609"/>
      <c r="NQ40" s="609">
        <f>NQ12+NQ19+NQ20+NQ22+NQ23</f>
        <v>100707.41</v>
      </c>
      <c r="NR40" s="1428">
        <f t="shared" si="1425"/>
        <v>0.91862882200237983</v>
      </c>
      <c r="NS40" s="608">
        <f>NS12+NS19+NS20+NS22+NS23</f>
        <v>498308.93999999994</v>
      </c>
      <c r="NT40" s="609"/>
      <c r="NU40" s="609">
        <f>NU12+NU19+NU20+NU22+NU23</f>
        <v>391597.89</v>
      </c>
      <c r="NV40" s="1428">
        <f t="shared" si="1426"/>
        <v>0.78585363128343644</v>
      </c>
      <c r="NW40" s="608">
        <f>NW12+NW19+NW20+NW22+NW23</f>
        <v>61928.7768</v>
      </c>
      <c r="NX40" s="609"/>
      <c r="NY40" s="609">
        <f>NY12+NY19+NY20+NY22+NY23</f>
        <v>35159.279999999999</v>
      </c>
      <c r="NZ40" s="1428">
        <f t="shared" si="1427"/>
        <v>0.56773735598795161</v>
      </c>
      <c r="OA40" s="608">
        <f>OA12+OA19+OA20+OA22+OA23</f>
        <v>61928.7768</v>
      </c>
      <c r="OB40" s="609"/>
      <c r="OC40" s="608">
        <f>OC12+OC19+OC20+OC22+OC23</f>
        <v>42946.729999999996</v>
      </c>
      <c r="OD40" s="1428">
        <f t="shared" si="1428"/>
        <v>0.69348584324048845</v>
      </c>
      <c r="OE40" s="608">
        <f>OE12+OE19+OE20+OE22+OE23</f>
        <v>61928.7768</v>
      </c>
      <c r="OF40" s="609"/>
      <c r="OG40" s="608">
        <f>OG12+OG19+OG20+OG22+OG23</f>
        <v>49417.53</v>
      </c>
      <c r="OH40" s="1428">
        <f t="shared" si="1429"/>
        <v>0.79797361668541789</v>
      </c>
      <c r="OI40" s="608">
        <f>OI12+OI19+OI20+OI22+OI23</f>
        <v>61928.7768</v>
      </c>
      <c r="OJ40" s="609"/>
      <c r="OK40" s="608">
        <f>OK12+OK19+OK20+OK22+OK23</f>
        <v>44861.210000000006</v>
      </c>
      <c r="OL40" s="1428">
        <f t="shared" si="1430"/>
        <v>0.72440006598031181</v>
      </c>
      <c r="OM40" s="608">
        <f>OM12+OM19+OM20+OM22+OM23</f>
        <v>72250.239600000001</v>
      </c>
      <c r="ON40" s="609"/>
      <c r="OO40" s="608">
        <f>OO12+OO19+OO20+OO22+OO23</f>
        <v>62000.600000000006</v>
      </c>
      <c r="OP40" s="1428">
        <f t="shared" si="1431"/>
        <v>0.85813694657975925</v>
      </c>
      <c r="OQ40" s="608">
        <f>OQ12+OQ19+OQ20+OQ22+OQ23</f>
        <v>82571.702400000009</v>
      </c>
      <c r="OR40" s="609"/>
      <c r="OS40" s="608">
        <f>OS12+OS19+OS20+OS22+OS23</f>
        <v>73467.100000000006</v>
      </c>
      <c r="OT40" s="1428">
        <f t="shared" si="1432"/>
        <v>0.88973701479600353</v>
      </c>
      <c r="OU40" s="608">
        <f>OU12+OU19+OU20+OU22+OU23</f>
        <v>113536.09080000001</v>
      </c>
      <c r="OV40" s="609"/>
      <c r="OW40" s="608">
        <f>OW12+OW19+OW20+OW22+OW23</f>
        <v>124118.34</v>
      </c>
      <c r="OX40" s="1428">
        <f t="shared" si="1433"/>
        <v>1.0932060380574595</v>
      </c>
      <c r="OY40" s="608">
        <f>OY12+OY19+OY20+OY22+OY23</f>
        <v>516073.14</v>
      </c>
      <c r="OZ40" s="609"/>
      <c r="PA40" s="609">
        <f>PA12+PA19+PA20+PA22+PA23</f>
        <v>431970.79000000004</v>
      </c>
      <c r="PB40" s="1428">
        <f t="shared" si="1434"/>
        <v>0.83703404908846835</v>
      </c>
      <c r="PC40" s="608">
        <f>PC12+PC19+PC20+PC22+PC23</f>
        <v>62704.68</v>
      </c>
      <c r="PD40" s="609"/>
      <c r="PE40" s="609">
        <f>PE12+PE19+PE20+PE22+PE23</f>
        <v>50767.39</v>
      </c>
      <c r="PF40" s="1428">
        <f t="shared" si="1435"/>
        <v>0.80962680935458087</v>
      </c>
      <c r="PG40" s="608">
        <f>PG12+PG19+PG20+PG22+PG23</f>
        <v>62704.68</v>
      </c>
      <c r="PH40" s="609"/>
      <c r="PI40" s="608">
        <f>PI12+PI19+PI20+PI22+PI23</f>
        <v>75959.360000000001</v>
      </c>
      <c r="PJ40" s="1428">
        <f t="shared" si="1436"/>
        <v>1.2113826272616335</v>
      </c>
      <c r="PK40" s="608">
        <f>PK12+PK19+PK20+PK22+PK23</f>
        <v>62704.68</v>
      </c>
      <c r="PL40" s="609"/>
      <c r="PM40" s="608">
        <f>PM12+PM19+PM20+PM22+PM23</f>
        <v>57309.17</v>
      </c>
      <c r="PN40" s="1428">
        <f t="shared" si="1437"/>
        <v>0.91395363153117115</v>
      </c>
      <c r="PO40" s="608">
        <f>PO12+PO19+PO20+PO22+PO23</f>
        <v>62704.68</v>
      </c>
      <c r="PP40" s="609"/>
      <c r="PQ40" s="608">
        <f>PQ12+PQ19+PQ20+PQ22+PQ23</f>
        <v>52396.729999999996</v>
      </c>
      <c r="PR40" s="1428">
        <f t="shared" si="1438"/>
        <v>0.83561115374482409</v>
      </c>
      <c r="PS40" s="608">
        <f>PS12+PS19+PS20+PS22+PS23</f>
        <v>73155.460000000021</v>
      </c>
      <c r="PT40" s="609"/>
      <c r="PU40" s="608">
        <f>PU12+PU19+PU20+PU22+PU23</f>
        <v>53233.53</v>
      </c>
      <c r="PV40" s="1428">
        <f t="shared" si="1439"/>
        <v>0.72767678584756335</v>
      </c>
      <c r="PW40" s="608">
        <f>PW12+PW19+PW20+PW22+PW23</f>
        <v>83606.239999999991</v>
      </c>
      <c r="PX40" s="609"/>
      <c r="PY40" s="608">
        <f>PY12+PY19+PY20+PY22+PY23</f>
        <v>58524.6</v>
      </c>
      <c r="PZ40" s="1428">
        <f t="shared" si="1440"/>
        <v>0.70000277491249463</v>
      </c>
      <c r="QA40" s="608">
        <f>QA12+QA19+QA20+QA22+QA23</f>
        <v>114958.58</v>
      </c>
      <c r="QB40" s="609"/>
      <c r="QC40" s="608">
        <f>QC12+QC19+QC20+QC22+QC23</f>
        <v>87963.540000000008</v>
      </c>
      <c r="QD40" s="1428">
        <f t="shared" si="1441"/>
        <v>0.76517594424009072</v>
      </c>
      <c r="QE40" s="608">
        <f>QE12+QE19+QE20+QE22+QE23</f>
        <v>522539</v>
      </c>
      <c r="QF40" s="609"/>
      <c r="QG40" s="609">
        <f>QG12+QG19+QG20+QG22+QG23</f>
        <v>436154.32000000007</v>
      </c>
      <c r="QH40" s="1428">
        <f t="shared" si="1442"/>
        <v>0.83468280836454323</v>
      </c>
      <c r="QI40" s="608">
        <f>QI12+QI19+QI20+QI22+QI23</f>
        <v>62645.348399999995</v>
      </c>
      <c r="QJ40" s="609"/>
      <c r="QK40" s="609">
        <f>QK12+QK19+QK20+QK22+QK23</f>
        <v>29151.73</v>
      </c>
      <c r="QL40" s="1428">
        <f t="shared" si="1443"/>
        <v>0.46534548445419777</v>
      </c>
      <c r="QM40" s="608">
        <f>QM12+QM19+QM20+QM22+QM23</f>
        <v>62645.348399999995</v>
      </c>
      <c r="QN40" s="609"/>
      <c r="QO40" s="608">
        <f>QO12+QO19+QO20+QO22+QO23</f>
        <v>46500.05</v>
      </c>
      <c r="QP40" s="1428">
        <f t="shared" si="1444"/>
        <v>0.74227458522682599</v>
      </c>
      <c r="QQ40" s="608">
        <f>QQ12+QQ19+QQ20+QQ22+QQ23</f>
        <v>62645.348399999995</v>
      </c>
      <c r="QR40" s="609"/>
      <c r="QS40" s="608">
        <f>QS12+QS19+QS20+QS22+QS23</f>
        <v>49400.409999999996</v>
      </c>
      <c r="QT40" s="1428">
        <f t="shared" si="1445"/>
        <v>0.78857267557314759</v>
      </c>
      <c r="QU40" s="608">
        <f>QU12+QU19+QU20+QU22+QU23</f>
        <v>62645.348399999995</v>
      </c>
      <c r="QV40" s="609"/>
      <c r="QW40" s="608">
        <f>QW12+QW19+QW20+QW22+QW23</f>
        <v>44164.32</v>
      </c>
      <c r="QX40" s="1428">
        <f t="shared" si="1446"/>
        <v>0.70498961420094841</v>
      </c>
      <c r="QY40" s="608">
        <f>QY12+QY19+QY20+QY22+QY23</f>
        <v>73086.23980000001</v>
      </c>
      <c r="QZ40" s="609"/>
      <c r="RA40" s="608">
        <f>RA12+RA19+RA20+RA22+RA23</f>
        <v>52589.380000000005</v>
      </c>
      <c r="RB40" s="1428">
        <f t="shared" si="1447"/>
        <v>0.71955241019254079</v>
      </c>
      <c r="RC40" s="608">
        <f>RC12+RC19+RC20+RC22+RC23</f>
        <v>83527.131200000003</v>
      </c>
      <c r="RD40" s="609"/>
      <c r="RE40" s="608">
        <f>RE12+RE19+RE20+RE22+RE23</f>
        <v>56731.049999999996</v>
      </c>
      <c r="RF40" s="1428">
        <f t="shared" si="1448"/>
        <v>0.67919308594666539</v>
      </c>
      <c r="RG40" s="608">
        <f>RG12+RG19+RG20+RG22+RG23</f>
        <v>114849.80540000001</v>
      </c>
      <c r="RH40" s="609"/>
      <c r="RI40" s="608">
        <f>RI12+RI19+RI20+RI22+RI23</f>
        <v>78944.47</v>
      </c>
      <c r="RJ40" s="1428">
        <f t="shared" si="1449"/>
        <v>0.68737138669979836</v>
      </c>
      <c r="RK40" s="608">
        <f>RK12+RK19+RK20+RK22+RK23</f>
        <v>522044.57</v>
      </c>
      <c r="RL40" s="609"/>
      <c r="RM40" s="609">
        <f>RM12+RM19+RM20+RM22+RM23</f>
        <v>357481.41</v>
      </c>
      <c r="RN40" s="1428">
        <f t="shared" si="1450"/>
        <v>0.68477181938699216</v>
      </c>
      <c r="RO40" s="608">
        <f>RO12+RO19+RO20+RO22+RO23</f>
        <v>62527.448399999994</v>
      </c>
      <c r="RP40" s="609"/>
      <c r="RQ40" s="609">
        <f>RQ12+RQ19+RQ20+RQ22+RQ23</f>
        <v>41723.770000000004</v>
      </c>
      <c r="RR40" s="1428">
        <f t="shared" si="1451"/>
        <v>0.66728726451597864</v>
      </c>
      <c r="RS40" s="608">
        <f>RS12+RS19+RS20+RS22+RS23</f>
        <v>62527.448399999994</v>
      </c>
      <c r="RT40" s="609"/>
      <c r="RU40" s="608">
        <f>RU12+RU19+RU20+RU22+RU23</f>
        <v>44444.179999999993</v>
      </c>
      <c r="RV40" s="1428">
        <f t="shared" si="1452"/>
        <v>0.7107947171565695</v>
      </c>
      <c r="RW40" s="608">
        <f>RW12+RW19+RW20+RW22+RW23</f>
        <v>62527.448399999994</v>
      </c>
      <c r="RX40" s="609"/>
      <c r="RY40" s="608">
        <f>RY12+RY19+RY20+RY22+RY23</f>
        <v>47056.86</v>
      </c>
      <c r="RZ40" s="1428">
        <f t="shared" si="1453"/>
        <v>0.75257924646098318</v>
      </c>
      <c r="SA40" s="608">
        <f>SA12+SA19+SA20+SA22+SA23</f>
        <v>62527.448399999994</v>
      </c>
      <c r="SB40" s="609"/>
      <c r="SC40" s="608">
        <f>SC12+SC19+SC20+SC22+SC23</f>
        <v>54325.51</v>
      </c>
      <c r="SD40" s="1428">
        <f t="shared" si="1454"/>
        <v>0.86882659360205095</v>
      </c>
      <c r="SE40" s="608">
        <f>SE12+SE19+SE20+SE22+SE23</f>
        <v>72948.689800000007</v>
      </c>
      <c r="SF40" s="609"/>
      <c r="SG40" s="608">
        <f>SG12+SG19+SG20+SG22+SG23</f>
        <v>45278.53</v>
      </c>
      <c r="SH40" s="1428">
        <f t="shared" si="1455"/>
        <v>0.62069010593799578</v>
      </c>
      <c r="SI40" s="608">
        <f>SI12+SI19+SI20+SI22+SI23</f>
        <v>83369.931200000006</v>
      </c>
      <c r="SJ40" s="609"/>
      <c r="SK40" s="608">
        <f>SK12+SK19+SK20+SK22+SK23</f>
        <v>58117.83</v>
      </c>
      <c r="SL40" s="1428">
        <f t="shared" si="1456"/>
        <v>0.69710780809664386</v>
      </c>
      <c r="SM40" s="608">
        <f>SM12+SM19+SM20+SM22+SM23</f>
        <v>114633.6554</v>
      </c>
      <c r="SN40" s="609"/>
      <c r="SO40" s="608">
        <f>SO12+SO19+SO20+SO22+SO23</f>
        <v>79855.5</v>
      </c>
      <c r="SP40" s="1428">
        <f t="shared" si="1457"/>
        <v>0.69661479188946807</v>
      </c>
      <c r="SQ40" s="608">
        <f>SQ12+SQ19+SQ20+SQ22+SQ23</f>
        <v>521062.07</v>
      </c>
      <c r="SR40" s="609"/>
      <c r="SS40" s="609">
        <f>SS12+SS19+SS20+SS22+SS23</f>
        <v>370802.18000000005</v>
      </c>
      <c r="ST40" s="1428">
        <f t="shared" si="1458"/>
        <v>0.71162765695073538</v>
      </c>
      <c r="SU40" s="608">
        <f>SU9+SU11+SU13+SU19+SU20+SU21</f>
        <v>52559.589600000007</v>
      </c>
      <c r="SV40" s="609"/>
      <c r="SW40" s="608">
        <f>SW9+SW11+SW13+SW19+SW20+SW21</f>
        <v>38176.79</v>
      </c>
      <c r="SX40" s="1428">
        <f t="shared" si="1459"/>
        <v>0.72635251322434213</v>
      </c>
      <c r="SY40" s="608">
        <f>SY9+SY11+SY13+SY19+SY20+SY21</f>
        <v>52559.589600000007</v>
      </c>
      <c r="SZ40" s="609"/>
      <c r="TA40" s="608">
        <f>TA9+TA11+TA13+TA19+TA20+TA21</f>
        <v>38418.400000000001</v>
      </c>
      <c r="TB40" s="1428">
        <f t="shared" si="1460"/>
        <v>0.73094939082248844</v>
      </c>
      <c r="TC40" s="608">
        <f>TC9+TC11+TC13+TC19+TC20+TC21</f>
        <v>52559.589600000007</v>
      </c>
      <c r="TD40" s="609"/>
      <c r="TE40" s="608">
        <f>TE9+TE11+TE13+TE19+TE20+TE21</f>
        <v>40284.350000000006</v>
      </c>
      <c r="TF40" s="1428">
        <f t="shared" si="1461"/>
        <v>0.76645099983809617</v>
      </c>
      <c r="TG40" s="608">
        <f>TG9+TG11+TG13+TG19+TG20+TG21</f>
        <v>52559.589600000007</v>
      </c>
      <c r="TH40" s="609"/>
      <c r="TI40" s="608">
        <f>TI9+TI11+TI13+TI19+TI20+TI21</f>
        <v>33362.67</v>
      </c>
      <c r="TJ40" s="1428">
        <f t="shared" si="1462"/>
        <v>0.63475895177081054</v>
      </c>
      <c r="TK40" s="608">
        <f>TK9+TK11+TK13+TK19+TK20+TK21</f>
        <v>61319.521200000003</v>
      </c>
      <c r="TL40" s="609"/>
      <c r="TM40" s="608">
        <f>TM9+TM11+TM13+TM19+TM20+TM21</f>
        <v>37267.65</v>
      </c>
      <c r="TN40" s="1428">
        <f t="shared" si="1463"/>
        <v>0.60776159485080905</v>
      </c>
      <c r="TO40" s="608">
        <f>TO9+TO11+TO13+TO19+TO20+TO21</f>
        <v>70079.452799999999</v>
      </c>
      <c r="TP40" s="609"/>
      <c r="TQ40" s="608">
        <f>TQ9+TQ11+TQ13+TQ19+TQ20+TQ21</f>
        <v>45777.100000000006</v>
      </c>
      <c r="TR40" s="1428">
        <f t="shared" si="1464"/>
        <v>0.65321714384162555</v>
      </c>
      <c r="TS40" s="608">
        <f>TS9+TS11+TS13+TS19+TS20+TS21</f>
        <v>96359.247600000002</v>
      </c>
      <c r="TT40" s="609"/>
      <c r="TU40" s="608">
        <f>TU9+TU11+TU13+TU19+TU20+TU21</f>
        <v>94722.51999999999</v>
      </c>
      <c r="TV40" s="1428">
        <f t="shared" si="1465"/>
        <v>0.9830143173513114</v>
      </c>
      <c r="TW40" s="608">
        <f>TW9+TW11+TW13+TW19+TW20+TW21</f>
        <v>437996.57999999996</v>
      </c>
      <c r="TX40" s="609"/>
      <c r="TY40" s="608">
        <f>TY9+TY11+TY13+TY19+TY20+TY21</f>
        <v>328009.48</v>
      </c>
      <c r="TZ40" s="1428">
        <f t="shared" si="1466"/>
        <v>0.7488859387897504</v>
      </c>
      <c r="UA40" s="608">
        <f>UA9+UA11+UA13+UA19+UA20+UA21</f>
        <v>58690.93</v>
      </c>
      <c r="UB40" s="609"/>
      <c r="UC40" s="608">
        <f>UC9+UC11+UC13+UC19+UC20+UC21</f>
        <v>42811.78</v>
      </c>
      <c r="UD40" s="1428">
        <f t="shared" si="1467"/>
        <v>0.72944456664769153</v>
      </c>
      <c r="UE40" s="608">
        <f>UE9+UE11+UE13+UE19+UE20+UE21</f>
        <v>52612.44</v>
      </c>
      <c r="UF40" s="609"/>
      <c r="UG40" s="608">
        <f>UG9+UG11+UG13+UG19+UG20+UG21</f>
        <v>44480.31</v>
      </c>
      <c r="UH40" s="1428">
        <f t="shared" si="1468"/>
        <v>0.84543332337371158</v>
      </c>
      <c r="UI40" s="608">
        <f>UI9+UI11+UI13+UI19+UI20+UI21</f>
        <v>60428.630000000005</v>
      </c>
      <c r="UJ40" s="609"/>
      <c r="UK40" s="608">
        <f>UK9+UK11+UK13+UK19+UK20+UK21</f>
        <v>37436.43</v>
      </c>
      <c r="UL40" s="1428">
        <f t="shared" si="1469"/>
        <v>0.61951478959559392</v>
      </c>
      <c r="UM40" s="608">
        <f>UM9+UM11+UM13+UM19+UM20+UM21</f>
        <v>48532.5</v>
      </c>
      <c r="UN40" s="609"/>
      <c r="UO40" s="608">
        <f>UO9+UO11+UO13+UO19+UO20+UO21</f>
        <v>44240.81</v>
      </c>
      <c r="UP40" s="1428">
        <f t="shared" si="1470"/>
        <v>0.91157080307010763</v>
      </c>
      <c r="UQ40" s="608">
        <f>UQ9+UQ11+UQ13+UQ19+UQ20+UQ21</f>
        <v>58754.33</v>
      </c>
      <c r="UR40" s="609"/>
      <c r="US40" s="608">
        <f>US9+US11+US13+US19+US20+US21</f>
        <v>47516.38</v>
      </c>
      <c r="UT40" s="1428">
        <f t="shared" si="1471"/>
        <v>0.80872984169847562</v>
      </c>
      <c r="UU40" s="608">
        <f>UU9+UU11+UU13+UU19+UU20+UU21</f>
        <v>81403.289999999994</v>
      </c>
      <c r="UV40" s="609"/>
      <c r="UW40" s="608">
        <f>UW9+UW11+UW13+UW19+UW20+UW21</f>
        <v>61349.25</v>
      </c>
      <c r="UX40" s="1428">
        <f t="shared" si="1472"/>
        <v>0.7536458293024767</v>
      </c>
      <c r="UY40" s="608">
        <f>UY9+UY11+UY13+UY19+UY20+UY21</f>
        <v>124226.69</v>
      </c>
      <c r="UZ40" s="609"/>
      <c r="VA40" s="608">
        <f>VA9+VA11+VA13+VA19+VA20+VA21</f>
        <v>96617.790000000008</v>
      </c>
      <c r="VB40" s="1428">
        <f t="shared" si="1473"/>
        <v>0.77775387881621905</v>
      </c>
      <c r="VC40" s="608">
        <f>VC9+VC11+VC13+VC19+VC20+VC21</f>
        <v>484648.81000000006</v>
      </c>
      <c r="VD40" s="609"/>
      <c r="VE40" s="608">
        <f>VE9+VE11+VE13+VE19+VE20+VE21</f>
        <v>374452.75</v>
      </c>
      <c r="VF40" s="1428">
        <f t="shared" si="1474"/>
        <v>0.77262698736431434</v>
      </c>
      <c r="VG40" s="608">
        <f>VG9+VG11+VG13+VG19+VG20+VG21</f>
        <v>66710.31</v>
      </c>
      <c r="VH40" s="609"/>
      <c r="VI40" s="608">
        <f>VI9+VI11+VI13+VI19+VI20+VI21</f>
        <v>43150.720000000001</v>
      </c>
      <c r="VJ40" s="1428">
        <f t="shared" si="1475"/>
        <v>0.64683734793017755</v>
      </c>
      <c r="VK40" s="608">
        <f>VK9+VK11+VK13+VK19+VK20+VK21</f>
        <v>49945.81</v>
      </c>
      <c r="VL40" s="609"/>
      <c r="VM40" s="608">
        <f>VM9+VM11+VM13+VM19+VM20+VM21</f>
        <v>45271.350000000006</v>
      </c>
      <c r="VN40" s="1428">
        <f t="shared" si="1476"/>
        <v>0.90640936647138182</v>
      </c>
      <c r="VO40" s="608">
        <f>VO9+VO11+VO13+VO19+VO20+VO21</f>
        <v>47893.75</v>
      </c>
      <c r="VP40" s="609"/>
      <c r="VQ40" s="608">
        <f>VQ9+VQ11+VQ13+VQ19+VQ20+VQ21</f>
        <v>36425.96</v>
      </c>
      <c r="VR40" s="1428">
        <f t="shared" si="1477"/>
        <v>0.76055769280960461</v>
      </c>
      <c r="VS40" s="608">
        <f>VS9+VS11+VS13+VS19+VS20+VS21</f>
        <v>48843.61</v>
      </c>
      <c r="VT40" s="609"/>
      <c r="VU40" s="608">
        <f>VU9+VU11+VU13+VU19+VU20+VU21</f>
        <v>42472.479999999996</v>
      </c>
      <c r="VV40" s="1428">
        <f t="shared" si="1478"/>
        <v>0.86956062420447622</v>
      </c>
      <c r="VW40" s="608">
        <f>VW9+VW11+VW13+VW19+VW20+VW21</f>
        <v>45489.19</v>
      </c>
      <c r="VX40" s="609"/>
      <c r="VY40" s="608">
        <f>VY9+VY11+VY13+VY19+VY20+VY21</f>
        <v>42458.01999999999</v>
      </c>
      <c r="VZ40" s="1428">
        <f t="shared" si="1479"/>
        <v>0.93336504782784624</v>
      </c>
      <c r="WA40" s="608">
        <f>WA9+WA11+WA13+WA19+WA20+WA21</f>
        <v>59612.18</v>
      </c>
      <c r="WB40" s="609"/>
      <c r="WC40" s="608">
        <f>WC9+WC11+WC13+WC19+WC20+WC21</f>
        <v>65649.570000000007</v>
      </c>
      <c r="WD40" s="1428">
        <f t="shared" si="1480"/>
        <v>1.1012777925585007</v>
      </c>
      <c r="WE40" s="608">
        <f>WE9+WE11+WE13+WE19+WE20+WE21</f>
        <v>126040.64</v>
      </c>
      <c r="WF40" s="609"/>
      <c r="WG40" s="608">
        <f>WG9+WG11+WG13+WG19+WG20+WG21</f>
        <v>113204.53</v>
      </c>
      <c r="WH40" s="1428">
        <f t="shared" si="1481"/>
        <v>0.89815895888818087</v>
      </c>
      <c r="WI40" s="608">
        <f>WI9+WI11+WI13+WI19+WI20+WI21</f>
        <v>213393.47999999998</v>
      </c>
      <c r="WJ40" s="609"/>
      <c r="WK40" s="608">
        <f>WK9+WK11+WK13+WK19+WK20+WK21</f>
        <v>388632.63</v>
      </c>
      <c r="WL40" s="1428">
        <f t="shared" si="1482"/>
        <v>1.8212019879895114</v>
      </c>
      <c r="WM40" s="608">
        <f>WM12+WM19+WM20+WM22+WM23</f>
        <v>46507.880000000005</v>
      </c>
      <c r="WN40" s="609"/>
      <c r="WO40" s="609">
        <f>WO12+WO19+WO20+WO22+WO23</f>
        <v>33536.269999999997</v>
      </c>
      <c r="WP40" s="1428">
        <f t="shared" si="1483"/>
        <v>0.72108791026380892</v>
      </c>
      <c r="WQ40" s="608">
        <f>WQ12+WQ19+WQ20+WQ22+WQ23</f>
        <v>58536.82</v>
      </c>
      <c r="WR40" s="609"/>
      <c r="WS40" s="608">
        <f>WS12+WS19+WS20+WS22+WS23</f>
        <v>45188.47</v>
      </c>
      <c r="WT40" s="1428">
        <f t="shared" si="1484"/>
        <v>0.7719666015338722</v>
      </c>
      <c r="WU40" s="608">
        <f>WU12+WU19+WU20+WU22+WU23</f>
        <v>61708.939999999995</v>
      </c>
      <c r="WV40" s="609"/>
      <c r="WW40" s="608">
        <f>WW12+WW19+WW20+WW22+WW23</f>
        <v>42764.770000000004</v>
      </c>
      <c r="WX40" s="1428">
        <f t="shared" si="1485"/>
        <v>0.69300769061986822</v>
      </c>
      <c r="WY40" s="608">
        <f>WY12+WY19+WY20+WY22+WY23</f>
        <v>58427.88</v>
      </c>
      <c r="WZ40" s="609"/>
      <c r="XA40" s="608">
        <f>XA12+XA19+XA20+XA22+XA23</f>
        <v>43693.66</v>
      </c>
      <c r="XB40" s="1428">
        <f t="shared" si="1486"/>
        <v>0.74782210136667637</v>
      </c>
      <c r="XC40" s="608">
        <f>XC12+XC19+XC20+XC22+XC23</f>
        <v>62438.259999999995</v>
      </c>
      <c r="XD40" s="609"/>
      <c r="XE40" s="608">
        <f>XE12+XE19+XE20+XE22+XE23</f>
        <v>50694.26</v>
      </c>
      <c r="XF40" s="1428">
        <f t="shared" si="1487"/>
        <v>0.81191019736936942</v>
      </c>
      <c r="XG40" s="608">
        <f>XG12+XG19+XG20+XG22+XG23</f>
        <v>87643.319999999992</v>
      </c>
      <c r="XH40" s="609"/>
      <c r="XI40" s="608">
        <f>XI12+XI19+XI20+XI22+XI23</f>
        <v>70218.92</v>
      </c>
      <c r="XJ40" s="1428">
        <f t="shared" si="1488"/>
        <v>0.80118964000907322</v>
      </c>
      <c r="XK40" s="608">
        <f>XK12+XK19+XK20+XK22+XK23</f>
        <v>135145.76</v>
      </c>
      <c r="XL40" s="609"/>
      <c r="XM40" s="608">
        <f>XM12+XM19+XM20+XM22+XM23</f>
        <v>106467.59999999999</v>
      </c>
      <c r="XN40" s="1428">
        <f t="shared" si="1489"/>
        <v>0.78779830014644914</v>
      </c>
      <c r="XO40" s="608">
        <f>XO9+XO11+XO13+XO19+XO20+XO21</f>
        <v>499108.05</v>
      </c>
      <c r="XP40" s="609"/>
      <c r="XQ40" s="608">
        <f>XQ9+XQ11+XQ13+XQ19+XQ20+XQ21</f>
        <v>430046.79</v>
      </c>
      <c r="XR40" s="1428">
        <f t="shared" si="1490"/>
        <v>0.86163064290387625</v>
      </c>
      <c r="XS40" s="608">
        <f>XS12+XS19+XS20+XS22+XS23</f>
        <v>58582.25</v>
      </c>
      <c r="XT40" s="609"/>
      <c r="XU40" s="609">
        <f>XU12+XU19+XU20+XU22+XU23</f>
        <v>39755.17</v>
      </c>
      <c r="XV40" s="1428">
        <f t="shared" si="1491"/>
        <v>0.67862142543176474</v>
      </c>
      <c r="XW40" s="608">
        <f>XW12+XW19+XW20+XW22+XW23</f>
        <v>67595.25</v>
      </c>
      <c r="XX40" s="609"/>
      <c r="XY40" s="608">
        <f>XY12+XY19+XY20+XY22+XY23</f>
        <v>54342.09</v>
      </c>
      <c r="XZ40" s="1428">
        <f t="shared" si="1492"/>
        <v>0.80393356042029573</v>
      </c>
      <c r="YA40" s="608">
        <f>YA12+YA19+YA20+YA22+YA23</f>
        <v>68338.17</v>
      </c>
      <c r="YB40" s="609"/>
      <c r="YC40" s="608">
        <f>YC12+YC19+YC20+YC22+YC23</f>
        <v>42288.25</v>
      </c>
      <c r="YD40" s="1428">
        <f t="shared" si="1493"/>
        <v>0.61880863944703235</v>
      </c>
      <c r="YE40" s="608">
        <f>YE12+YE19+YE20+YE22+YE23</f>
        <v>73042.42</v>
      </c>
      <c r="YF40" s="609"/>
      <c r="YG40" s="608">
        <f>YG12+YG19+YG20+YG22+YG23</f>
        <v>51660.399999999994</v>
      </c>
      <c r="YH40" s="1428">
        <f t="shared" si="1494"/>
        <v>0.70726572312363134</v>
      </c>
      <c r="YI40" s="608">
        <f>YI12+YI19+YI20+YI22+YI23</f>
        <v>72884.59</v>
      </c>
      <c r="YJ40" s="609"/>
      <c r="YK40" s="608">
        <f>YK12+YK19+YK20+YK22+YK23</f>
        <v>67423.5</v>
      </c>
      <c r="YL40" s="1428">
        <f t="shared" si="1495"/>
        <v>0.9250720899987227</v>
      </c>
      <c r="YM40" s="608">
        <f>YM12+YM19+YM20+YM22+YM23</f>
        <v>83770.819999999992</v>
      </c>
      <c r="YN40" s="609"/>
      <c r="YO40" s="608">
        <f>YO12+YO19+YO20+YO22+YO23</f>
        <v>74796.11</v>
      </c>
      <c r="YP40" s="1428">
        <f t="shared" si="1496"/>
        <v>0.89286591679537108</v>
      </c>
      <c r="YQ40" s="608">
        <f>YQ12+YQ19+YQ20+YQ22+YQ23</f>
        <v>164334.80999999997</v>
      </c>
      <c r="YR40" s="609"/>
      <c r="YS40" s="608">
        <f>YS12+YS19+YS20+YS22+YS23</f>
        <v>116263.48</v>
      </c>
      <c r="YT40" s="1428">
        <f t="shared" si="1497"/>
        <v>0.70747932224462984</v>
      </c>
      <c r="YU40" s="608">
        <f>YU9+YU11+YU13+YU19+YU20+YU21</f>
        <v>527555.63000000012</v>
      </c>
      <c r="YV40" s="609"/>
      <c r="YW40" s="608">
        <f>YW9+YW11+YW13+YW19+YW20+YW21</f>
        <v>427330.58999999997</v>
      </c>
      <c r="YX40" s="1428">
        <f t="shared" si="1498"/>
        <v>0.8100199594116736</v>
      </c>
      <c r="YY40" s="608">
        <f>YY12+YY19+YY20+YY22+YY23</f>
        <v>61998.989999999991</v>
      </c>
      <c r="YZ40" s="609"/>
      <c r="ZA40" s="609">
        <f>ZA12+ZA19+ZA20+ZA22+ZA23</f>
        <v>50773.820000000007</v>
      </c>
      <c r="ZB40" s="1428">
        <f t="shared" si="1499"/>
        <v>0.81894592153839951</v>
      </c>
      <c r="ZC40" s="608">
        <f>ZC12+ZC19+ZC20+ZC22+ZC23</f>
        <v>78376.89</v>
      </c>
      <c r="ZD40" s="609"/>
      <c r="ZE40" s="608">
        <f>ZE12+ZE19+ZE20+ZE22+ZE23</f>
        <v>67814.510000000009</v>
      </c>
      <c r="ZF40" s="1428">
        <f t="shared" si="1500"/>
        <v>0.86523604087888673</v>
      </c>
      <c r="ZG40" s="608">
        <f>ZG12+ZG19+ZG20+ZG22+ZG23</f>
        <v>98368.7</v>
      </c>
      <c r="ZH40" s="609"/>
      <c r="ZI40" s="608">
        <f>ZI12+ZI19+ZI20+ZI22+ZI23</f>
        <v>85044.450000000012</v>
      </c>
      <c r="ZJ40" s="1428">
        <f t="shared" si="1501"/>
        <v>0.86454786939341488</v>
      </c>
      <c r="ZK40" s="608">
        <f>ZK12+ZK19+ZK20+ZK22+ZK23</f>
        <v>133318.66</v>
      </c>
      <c r="ZL40" s="609"/>
      <c r="ZM40" s="608">
        <f>ZM12+ZM19+ZM20+ZM22+ZM23</f>
        <v>86529.33</v>
      </c>
      <c r="ZN40" s="1428">
        <f t="shared" si="1502"/>
        <v>0.64904140200629079</v>
      </c>
      <c r="ZO40" s="608">
        <f>ZO12+ZO19+ZO20+ZO22+ZO23</f>
        <v>144502.66999999998</v>
      </c>
      <c r="ZP40" s="609"/>
      <c r="ZQ40" s="608">
        <f>ZQ12+ZQ19+ZQ20+ZQ22+ZQ23</f>
        <v>89261.689999999988</v>
      </c>
      <c r="ZR40" s="1428">
        <f t="shared" si="1503"/>
        <v>0.61771654461471193</v>
      </c>
      <c r="ZS40" s="608">
        <f>ZS12+ZS19+ZS20+ZS22+ZS23</f>
        <v>90911.62999999999</v>
      </c>
      <c r="ZT40" s="609"/>
      <c r="ZU40" s="608">
        <f>ZU12+ZU19+ZU20+ZU22+ZU23</f>
        <v>113502.09</v>
      </c>
      <c r="ZV40" s="1428">
        <f t="shared" si="1504"/>
        <v>1.2484881197268161</v>
      </c>
      <c r="ZW40" s="608">
        <f>ZW12+ZW19+ZW20+ZW22+ZW23</f>
        <v>121371.01999999999</v>
      </c>
      <c r="ZX40" s="609"/>
      <c r="ZY40" s="608">
        <f>ZY12+ZY19+ZY20+ZY22+ZY23</f>
        <v>172084.56</v>
      </c>
      <c r="ZZ40" s="1428">
        <f t="shared" si="1505"/>
        <v>1.4178389536480784</v>
      </c>
      <c r="AAA40" s="608">
        <f>AAA9+AAA11+AAA13+AAA19+AAA20+AAA21</f>
        <v>725409.98</v>
      </c>
      <c r="AAB40" s="609"/>
      <c r="AAC40" s="608">
        <f>AAC9+AAC11+AAC13+AAC19+AAC20+AAC21</f>
        <v>699784.97</v>
      </c>
      <c r="AAD40" s="1428">
        <f t="shared" si="1506"/>
        <v>0.96467513446671904</v>
      </c>
      <c r="AAE40" s="608">
        <f>AAE12+AAE19+AAE20+AAE22+AAE23</f>
        <v>56261.240000000005</v>
      </c>
      <c r="AAF40" s="609"/>
      <c r="AAG40" s="609">
        <f>AAG12+AAG19+AAG20+AAG22+AAG23</f>
        <v>63750.43</v>
      </c>
      <c r="AAH40" s="1428">
        <f t="shared" si="1507"/>
        <v>1.1331145563091036</v>
      </c>
      <c r="AAI40" s="608">
        <f>AAI12+AAI19+AAI20+AAI22+AAI23</f>
        <v>65477.009999999995</v>
      </c>
      <c r="AAJ40" s="609"/>
      <c r="AAK40" s="608">
        <f>AAK12+AAK19+AAK20+AAK22+AAK23</f>
        <v>54261.429999999993</v>
      </c>
      <c r="AAL40" s="1428">
        <f t="shared" si="1508"/>
        <v>0.82870964938686109</v>
      </c>
      <c r="AAM40" s="608">
        <f>AAM12+AAM19+AAM20+AAM22+AAM23</f>
        <v>66756.63</v>
      </c>
      <c r="AAN40" s="609"/>
      <c r="AAO40" s="608">
        <f>AAO12+AAO19+AAO20+AAO22+AAO23</f>
        <v>40021.090000000004</v>
      </c>
      <c r="AAP40" s="1428">
        <f t="shared" si="1509"/>
        <v>0.5995073448135414</v>
      </c>
      <c r="AAQ40" s="608">
        <f>AAQ12+AAQ19+AAQ20+AAQ22+AAQ23</f>
        <v>57565.84</v>
      </c>
      <c r="AAR40" s="609"/>
      <c r="AAS40" s="608">
        <f>AAS12+AAS19+AAS20+AAS22+AAS23</f>
        <v>49831.02</v>
      </c>
      <c r="AAT40" s="1428">
        <f t="shared" si="1510"/>
        <v>0.86563524479100795</v>
      </c>
      <c r="AAU40" s="608">
        <f>AAU12+AAU19+AAU20+AAU22+AAU23</f>
        <v>67024.48000000001</v>
      </c>
      <c r="AAV40" s="609"/>
      <c r="AAW40" s="608">
        <f>AAW12+AAW19+AAW20+AAW22+AAW23</f>
        <v>50278.600000000006</v>
      </c>
      <c r="AAX40" s="1428">
        <f t="shared" si="1511"/>
        <v>0.75015277999918828</v>
      </c>
      <c r="AAY40" s="608">
        <f>AAY12+AAY19+AAY20+AAY22+AAY23</f>
        <v>79308.990000000005</v>
      </c>
      <c r="AAZ40" s="609"/>
      <c r="ABA40" s="608">
        <f>ABA12+ABA19+ABA20+ABA22+ABA23</f>
        <v>69130.98000000001</v>
      </c>
      <c r="ABB40" s="1428">
        <f t="shared" si="1512"/>
        <v>0.87166637729215823</v>
      </c>
      <c r="ABC40" s="608">
        <f>ABC12+ABC19+ABC20+ABC22+ABC23</f>
        <v>135819.97</v>
      </c>
      <c r="ABD40" s="609"/>
      <c r="ABE40" s="608">
        <f>ABE12+ABE19+ABE20+ABE22+ABE23</f>
        <v>103069.43</v>
      </c>
      <c r="ABF40" s="1428">
        <f t="shared" si="1513"/>
        <v>0.7588680074071581</v>
      </c>
      <c r="ABG40" s="608">
        <f>ABG9+ABG11+ABG13+ABG19+ABG20+ABG21</f>
        <v>508361.75</v>
      </c>
      <c r="ABH40" s="609"/>
      <c r="ABI40" s="608">
        <f>ABI9+ABI11+ABI13+ABI19+ABI20+ABI21</f>
        <v>458008.02999999997</v>
      </c>
      <c r="ABJ40" s="1428">
        <f t="shared" si="1514"/>
        <v>0.90094903875045673</v>
      </c>
      <c r="ABK40" s="608">
        <f>ABK12+ABK19+ABK20+ABK22+ABK23</f>
        <v>58978.720000000001</v>
      </c>
      <c r="ABL40" s="609"/>
      <c r="ABM40" s="609">
        <f>ABM12+ABM19+ABM20+ABM22+ABM23</f>
        <v>39587.229999999996</v>
      </c>
      <c r="ABN40" s="1428">
        <f t="shared" si="1515"/>
        <v>0.67121209141195326</v>
      </c>
      <c r="ABO40" s="608">
        <f>ABO12+ABO19+ABO20+ABO22+ABO23</f>
        <v>61737.21</v>
      </c>
      <c r="ABP40" s="609"/>
      <c r="ABQ40" s="608">
        <f>ABQ12+ABQ19+ABQ20+ABQ22+ABQ23</f>
        <v>48809.11</v>
      </c>
      <c r="ABR40" s="1428">
        <f t="shared" si="1516"/>
        <v>0.7905946834980071</v>
      </c>
      <c r="ABS40" s="608">
        <f>ABS12+ABS19+ABS20+ABS22+ABS23</f>
        <v>53178.149999999994</v>
      </c>
      <c r="ABT40" s="609"/>
      <c r="ABU40" s="608">
        <f>ABU12+ABU19+ABU20+ABU22+ABU23</f>
        <v>58661.3</v>
      </c>
      <c r="ABV40" s="1428">
        <f t="shared" si="1517"/>
        <v>1.1031090776945045</v>
      </c>
      <c r="ABW40" s="608">
        <f>ABW12+ABW19+ABW20+ABW22+ABW23</f>
        <v>64258.36</v>
      </c>
      <c r="ABX40" s="609"/>
      <c r="ABY40" s="608">
        <f>ABY12+ABY19+ABY20+ABY22+ABY23</f>
        <v>56215.53</v>
      </c>
      <c r="ABZ40" s="1428">
        <f t="shared" si="1518"/>
        <v>0.8748360524607226</v>
      </c>
      <c r="ACA40" s="608">
        <f>ACA12+ACA19+ACA20+ACA22+ACA23</f>
        <v>89880.13</v>
      </c>
      <c r="ACB40" s="609"/>
      <c r="ACC40" s="608">
        <f>ACC12+ACC19+ACC20+ACC22+ACC23</f>
        <v>59373.66</v>
      </c>
      <c r="ACD40" s="1428">
        <f t="shared" si="1519"/>
        <v>0.66058716203458989</v>
      </c>
      <c r="ACE40" s="608">
        <f>ACE12+ACE19+ACE20+ACE22+ACE23</f>
        <v>134488.32000000001</v>
      </c>
      <c r="ACF40" s="609"/>
      <c r="ACG40" s="608">
        <f>ACG12+ACG19+ACG20+ACG22+ACG23</f>
        <v>77689.95</v>
      </c>
      <c r="ACH40" s="1428">
        <f t="shared" si="1520"/>
        <v>0.57767061109842099</v>
      </c>
      <c r="ACI40" s="608">
        <f>ACI12+ACI19+ACI20+ACI22+ACI23</f>
        <v>196942.51</v>
      </c>
      <c r="ACJ40" s="609"/>
      <c r="ACK40" s="608">
        <f>ACK12+ACK19+ACK20+ACK22+ACK23</f>
        <v>132929.44</v>
      </c>
      <c r="ACL40" s="1428">
        <f t="shared" si="1521"/>
        <v>0.67496570445862603</v>
      </c>
      <c r="ACM40" s="608">
        <f>ACM12+ACM19+ACM20+ACM22+ACM23</f>
        <v>659463.4</v>
      </c>
      <c r="ACN40" s="609"/>
      <c r="ACO40" s="609">
        <f>ACO12+ACO19+ACO20+ACO22+ACO23</f>
        <v>473266.22</v>
      </c>
      <c r="ACP40" s="1428">
        <f t="shared" si="1522"/>
        <v>0.71765350434914199</v>
      </c>
      <c r="ACQ40" s="608">
        <f>ACQ12+ACQ19+ACQ20+ACQ22+ACQ23</f>
        <v>95359.260000000009</v>
      </c>
      <c r="ACR40" s="609"/>
      <c r="ACS40" s="609">
        <f>ACS12+ACS19+ACS20+ACS22+ACS23</f>
        <v>59272.380000000005</v>
      </c>
      <c r="ACT40" s="1428">
        <f t="shared" si="1523"/>
        <v>0.62156921100268603</v>
      </c>
      <c r="ACU40" s="608">
        <f>ACU12+ACU19+ACU20+ACU22+ACU23</f>
        <v>128436.45</v>
      </c>
      <c r="ACV40" s="609"/>
      <c r="ACW40" s="608">
        <f>ACW12+ACW19+ACW20+ACW22+ACW23</f>
        <v>89836.56</v>
      </c>
      <c r="ACX40" s="1428">
        <f t="shared" si="1524"/>
        <v>0.69946311969849684</v>
      </c>
      <c r="ACY40" s="608">
        <f>ACY12+ACY19+ACY20+ACY22+ACY23</f>
        <v>87124.099999999991</v>
      </c>
      <c r="ACZ40" s="609"/>
      <c r="ADA40" s="608">
        <f>ADA12+ADA19+ADA20+ADA22+ADA23</f>
        <v>64930.840000000004</v>
      </c>
      <c r="ADB40" s="1428">
        <f t="shared" si="1525"/>
        <v>0.74526841597215943</v>
      </c>
      <c r="ADC40" s="608">
        <f>ADC12+ADC19+ADC20+ADC22+ADC23</f>
        <v>73173.08</v>
      </c>
      <c r="ADD40" s="609"/>
      <c r="ADE40" s="608">
        <f>ADE12+ADE19+ADE20+ADE22+ADE23</f>
        <v>64914.75</v>
      </c>
      <c r="ADF40" s="1428">
        <f t="shared" si="1526"/>
        <v>0.88713977872736804</v>
      </c>
      <c r="ADG40" s="608">
        <f>ADG12+ADG19+ADG20+ADG22+ADG23</f>
        <v>82698.03</v>
      </c>
      <c r="ADH40" s="609"/>
      <c r="ADI40" s="608">
        <f>ADI12+ADI19+ADI20+ADI22+ADI23</f>
        <v>71180.42</v>
      </c>
      <c r="ADJ40" s="1428">
        <f t="shared" si="1527"/>
        <v>0.86072691211628616</v>
      </c>
      <c r="ADK40" s="608">
        <f>ADK12+ADK19+ADK20+ADK22+ADK23</f>
        <v>130113.41</v>
      </c>
      <c r="ADL40" s="609"/>
      <c r="ADM40" s="608">
        <f>ADM12+ADM19+ADM20+ADM22+ADM23</f>
        <v>66416.56</v>
      </c>
      <c r="ADN40" s="1428">
        <f t="shared" si="1528"/>
        <v>0.51045130551877782</v>
      </c>
      <c r="ADO40" s="608">
        <f>ADO12+ADO19+ADO20+ADO22+ADO23</f>
        <v>154677.64000000001</v>
      </c>
      <c r="ADP40" s="609"/>
      <c r="ADQ40" s="608">
        <f>ADQ12+ADQ19+ADQ20+ADQ22+ADQ23</f>
        <v>120651.74</v>
      </c>
      <c r="ADR40" s="1428">
        <f t="shared" si="1529"/>
        <v>0.78002056405825682</v>
      </c>
      <c r="ADS40" s="608">
        <f>ADS12+ADS19+ADS20+ADS22+ADS23</f>
        <v>751581.97</v>
      </c>
      <c r="ADT40" s="609"/>
      <c r="ADU40" s="609">
        <f>ADU12+ADU19+ADU20+ADU22+ADU23</f>
        <v>537203.25</v>
      </c>
      <c r="ADV40" s="1428">
        <f t="shared" si="1530"/>
        <v>0.71476335442160754</v>
      </c>
      <c r="ADW40" s="608">
        <f>ADW12+ADW19+ADW20+ADW22+ADW23</f>
        <v>81402.709999999992</v>
      </c>
      <c r="ADX40" s="609"/>
      <c r="ADY40" s="609">
        <f>ADY12+ADY19+ADY20+ADY22+ADY23</f>
        <v>52603.63</v>
      </c>
      <c r="ADZ40" s="1428">
        <f t="shared" si="1531"/>
        <v>0.6462147267578684</v>
      </c>
      <c r="AEA40" s="608">
        <f>AEA12+AEA19+AEA20+AEA22+AEA23</f>
        <v>83573.25</v>
      </c>
      <c r="AEB40" s="609"/>
      <c r="AEC40" s="608">
        <f>AEC12+AEC19+AEC20+AEC22+AEC23</f>
        <v>78363</v>
      </c>
      <c r="AED40" s="1428">
        <f t="shared" si="1532"/>
        <v>0.93765648697400183</v>
      </c>
      <c r="AEE40" s="608">
        <f>AEE12+AEE19+AEE20+AEE22+AEE23</f>
        <v>85557.91</v>
      </c>
      <c r="AEF40" s="609"/>
      <c r="AEG40" s="608">
        <f>AEG12+AEG19+AEG20+AEG22+AEG23</f>
        <v>74039</v>
      </c>
      <c r="AEH40" s="1428">
        <f t="shared" si="1533"/>
        <v>0.86536709463800598</v>
      </c>
      <c r="AEI40" s="608">
        <f>AEI12+AEI19+AEI20+AEI22+AEI23</f>
        <v>78270.570000000007</v>
      </c>
      <c r="AEJ40" s="609"/>
      <c r="AEK40" s="608">
        <f>AEK12+AEK19+AEK20+AEK22+AEK23</f>
        <v>125871</v>
      </c>
      <c r="AEL40" s="1428">
        <f t="shared" si="1534"/>
        <v>1.6081523361845964</v>
      </c>
      <c r="AEM40" s="608">
        <f>AEM12+AEM19+AEM20+AEM22+AEM23</f>
        <v>96032.06</v>
      </c>
      <c r="AEN40" s="609"/>
      <c r="AEO40" s="608">
        <f>AEO12+AEO19+AEO20+AEO22+AEO23</f>
        <v>93336</v>
      </c>
      <c r="AEP40" s="1428">
        <f t="shared" si="1535"/>
        <v>0.97192541740747829</v>
      </c>
      <c r="AEQ40" s="608">
        <f>AEQ12+AEQ19+AEQ20+AEQ22+AEQ23</f>
        <v>169519.65</v>
      </c>
      <c r="AER40" s="609"/>
      <c r="AES40" s="608">
        <f>AES12+AES19+AES20+AES22+AES23</f>
        <v>96790</v>
      </c>
      <c r="AET40" s="1428">
        <f t="shared" si="1536"/>
        <v>0.5709662567141921</v>
      </c>
      <c r="AEU40" s="608">
        <f>AEU12+AEU19+AEU20+AEU22+AEU23</f>
        <v>235579.97000000003</v>
      </c>
      <c r="AEV40" s="609"/>
      <c r="AEW40" s="608">
        <f>AEW12+AEW19+AEW20+AEW22+AEW23</f>
        <v>183031</v>
      </c>
      <c r="AEX40" s="1428">
        <f t="shared" si="1537"/>
        <v>0.77693786954807731</v>
      </c>
      <c r="AEY40" s="608">
        <f>AEY12+AEY19+AEY20+AEY22+AEY23</f>
        <v>829936.12000000011</v>
      </c>
      <c r="AEZ40" s="609"/>
      <c r="AFA40" s="609">
        <f>AFA12+AFA19+AFA20+AFA22+AFA23</f>
        <v>704033.63</v>
      </c>
      <c r="AFB40" s="1428">
        <f t="shared" si="1538"/>
        <v>0.84829857748569848</v>
      </c>
      <c r="AFC40" s="608">
        <f>AFC12+AFC19+AFC20+AFC22+AFC23</f>
        <v>106309.76999999999</v>
      </c>
      <c r="AFD40" s="609"/>
      <c r="AFE40" s="609">
        <f>AFE12+AFE19+AFE20+AFE22+AFE23</f>
        <v>73791</v>
      </c>
      <c r="AFF40" s="1428">
        <f t="shared" si="1539"/>
        <v>0.69411306223313252</v>
      </c>
      <c r="AFG40" s="608">
        <f>AFG12+AFG19+AFG20+AFG22+AFG23</f>
        <v>147839.24</v>
      </c>
      <c r="AFH40" s="609"/>
      <c r="AFI40" s="608">
        <f>AFI12+AFI19+AFI20+AFI22+AFI23</f>
        <v>104153.12</v>
      </c>
      <c r="AFJ40" s="1428">
        <f t="shared" si="1540"/>
        <v>0.70450253937993734</v>
      </c>
      <c r="AFK40" s="608">
        <f>AFK12+AFK19+AFK20+AFK22+AFK23</f>
        <v>103326.87000000001</v>
      </c>
      <c r="AFL40" s="609"/>
      <c r="AFM40" s="608">
        <f>AFM12+AFM19+AFM20+AFM22+AFM23</f>
        <v>131518.95000000001</v>
      </c>
      <c r="AFN40" s="1428">
        <f t="shared" si="1541"/>
        <v>1.2728436465751842</v>
      </c>
      <c r="AFO40" s="608">
        <f>AFO12+AFO19+AFO20+AFO22+AFO23</f>
        <v>169047.84</v>
      </c>
      <c r="AFP40" s="609"/>
      <c r="AFQ40" s="608">
        <f>AFQ12+AFQ19+AFQ20+AFQ22+AFQ23</f>
        <v>120599.4</v>
      </c>
      <c r="AFR40" s="1428">
        <f t="shared" si="1542"/>
        <v>0.71340396895931946</v>
      </c>
      <c r="AFS40" s="608">
        <f>AFS12+AFS19+AFS20+AFS22+AFS23</f>
        <v>148229.39000000001</v>
      </c>
      <c r="AFT40" s="609"/>
      <c r="AFU40" s="608">
        <f>AFU12+AFU19+AFU20+AFU22+AFU23</f>
        <v>114867.95999999999</v>
      </c>
      <c r="AFV40" s="1428">
        <f t="shared" si="1543"/>
        <v>0.77493376988193763</v>
      </c>
      <c r="AFW40" s="608">
        <f>AFW12+AFW19+AFW20+AFW22+AFW23</f>
        <v>202078.4</v>
      </c>
      <c r="AFX40" s="609"/>
      <c r="AFY40" s="608">
        <f>AFY12+AFY19+AFY20+AFY22+AFY23</f>
        <v>155693.01</v>
      </c>
      <c r="AFZ40" s="1428">
        <f t="shared" si="1544"/>
        <v>0.77045844583092504</v>
      </c>
      <c r="AGA40" s="608">
        <f>AGA12+AGA19+AGA20+AGA22+AGA23</f>
        <v>272254.07</v>
      </c>
      <c r="AGB40" s="609"/>
      <c r="AGC40" s="608">
        <f>AGC12+AGC19+AGC20+AGC22+AGC23</f>
        <v>203249.68</v>
      </c>
      <c r="AGD40" s="1428">
        <f t="shared" si="1545"/>
        <v>0.74654413798111441</v>
      </c>
      <c r="AGE40" s="608">
        <f>AGE12+AGE19+AGE20+AGE22+AGE23</f>
        <v>1149085.58</v>
      </c>
      <c r="AGF40" s="609"/>
      <c r="AGG40" s="609">
        <f>AGG12+AGG19+AGG20+AGG22+AGG23</f>
        <v>903873.12000000011</v>
      </c>
      <c r="AGH40" s="1428">
        <f t="shared" si="1546"/>
        <v>0.78660209102963419</v>
      </c>
      <c r="AGI40" s="608">
        <f>AGI12+AGI19+AGI20+AGI22+AGI23</f>
        <v>183511.95</v>
      </c>
      <c r="AGJ40" s="609"/>
      <c r="AGK40" s="609">
        <f>AGK12+AGK19+AGK20+AGK22+AGK23</f>
        <v>94974.569999999992</v>
      </c>
      <c r="AGL40" s="1428">
        <f t="shared" si="1547"/>
        <v>0.51753888506988233</v>
      </c>
      <c r="AGM40" s="608">
        <f>AGM12+AGM19+AGM20+AGM22+AGM23</f>
        <v>135817.26</v>
      </c>
      <c r="AGN40" s="609"/>
      <c r="AGO40" s="608">
        <f>AGO12+AGO19+AGO20+AGO22+AGO23</f>
        <v>135284.54</v>
      </c>
      <c r="AGP40" s="1428">
        <f t="shared" si="1548"/>
        <v>0.99607767083506171</v>
      </c>
      <c r="AGQ40" s="608">
        <f>AGQ12+AGQ19+AGQ20+AGQ22+AGQ23</f>
        <v>154383</v>
      </c>
      <c r="AGR40" s="609"/>
      <c r="AGS40" s="608">
        <f>AGS12+AGS19+AGS20+AGS22+AGS23</f>
        <v>130969.01000000001</v>
      </c>
      <c r="AGT40" s="1428">
        <f t="shared" si="1549"/>
        <v>0.84833828854213233</v>
      </c>
      <c r="AGU40" s="608">
        <f>AGU12+AGU19+AGU20+AGU22+AGU23</f>
        <v>181929.13</v>
      </c>
      <c r="AGV40" s="609"/>
      <c r="AGW40" s="608">
        <f>AGW12+AGW19+AGW20+AGW22+AGW23</f>
        <v>119429.92000000001</v>
      </c>
      <c r="AGX40" s="1428">
        <f t="shared" si="1550"/>
        <v>0.65646397583498595</v>
      </c>
      <c r="AGY40" s="608">
        <f>AGY12+AGY19+AGY20+AGY22+AGY23</f>
        <v>183221.22</v>
      </c>
      <c r="AGZ40" s="609"/>
      <c r="AHA40" s="608">
        <f>AHA12+AHA19+AHA20+AHA22+AHA23</f>
        <v>127870.34</v>
      </c>
      <c r="AHB40" s="1428">
        <f t="shared" si="1551"/>
        <v>0.69790136753810506</v>
      </c>
      <c r="AHC40" s="608">
        <f>AHC12+AHC19+AHC20+AHC22+AHC23</f>
        <v>222906.41000000003</v>
      </c>
      <c r="AHD40" s="609"/>
      <c r="AHE40" s="608">
        <f>AHE12+AHE19+AHE20+AHE22+AHE23</f>
        <v>181835.28</v>
      </c>
      <c r="AHF40" s="1428">
        <f t="shared" si="1552"/>
        <v>0.81574720080952345</v>
      </c>
      <c r="AHG40" s="608">
        <f>AHG12+AHG19+AHG20+AHG22+AHG23</f>
        <v>307080.15000000002</v>
      </c>
      <c r="AHH40" s="609"/>
      <c r="AHI40" s="608">
        <f>AHI12+AHI19+AHI20+AHI22+AHI23</f>
        <v>236951.21000000002</v>
      </c>
      <c r="AHJ40" s="1428">
        <f t="shared" si="1553"/>
        <v>0.77162659325260852</v>
      </c>
      <c r="AHK40" s="608">
        <f>AHK12+AHK19+AHK20+AHK22+AHK23</f>
        <v>1368849.12</v>
      </c>
      <c r="AHL40" s="609"/>
      <c r="AHM40" s="609">
        <f>AHM12+AHM19+AHM20+AHM22+AHM23</f>
        <v>1027314.8700000001</v>
      </c>
      <c r="AHN40" s="1428">
        <f t="shared" si="1554"/>
        <v>0.75049532851363487</v>
      </c>
      <c r="AHO40" s="608">
        <f>AHO12+AHO19+AHO20+AHO22+AHO23</f>
        <v>148662.58000000002</v>
      </c>
      <c r="AHP40" s="609"/>
      <c r="AHQ40" s="609">
        <f>AHQ12+AHQ19+AHQ20+AHQ22+AHQ23</f>
        <v>103092.23999999999</v>
      </c>
      <c r="AHR40" s="1428">
        <f t="shared" si="1555"/>
        <v>0.693464623040983</v>
      </c>
      <c r="AHS40" s="608">
        <f>AHS12+AHS19+AHS20+AHS22+AHS23</f>
        <v>279439.33999999997</v>
      </c>
      <c r="AHT40" s="609"/>
      <c r="AHU40" s="608">
        <f>AHU12+AHU19+AHU20+AHU22+AHU23</f>
        <v>154610.96</v>
      </c>
      <c r="AHV40" s="1428">
        <f t="shared" si="1556"/>
        <v>0.55328988395120027</v>
      </c>
      <c r="AHW40" s="608">
        <f>AHW12+AHW19+AHW20+AHW22+AHW23</f>
        <v>210798.91999999998</v>
      </c>
      <c r="AHX40" s="609"/>
      <c r="AHY40" s="608">
        <f>AHY12+AHY19+AHY20+AHY22+AHY23</f>
        <v>150113.72</v>
      </c>
      <c r="AHZ40" s="1428">
        <f t="shared" si="1557"/>
        <v>0.71211806967511981</v>
      </c>
      <c r="AIA40" s="608">
        <f>AIA12+AIA19+AIA20+AIA22+AIA23</f>
        <v>221489.98</v>
      </c>
      <c r="AIB40" s="609"/>
      <c r="AIC40" s="608">
        <f>AIC12+AIC19+AIC20+AIC22+AIC23</f>
        <v>167200.17000000001</v>
      </c>
      <c r="AID40" s="1428">
        <f t="shared" si="1558"/>
        <v>0.75488818952442005</v>
      </c>
      <c r="AIE40" s="608">
        <f>AIE12+AIE19+AIE20+AIE22+AIE23</f>
        <v>229645.21</v>
      </c>
      <c r="AIF40" s="609"/>
      <c r="AIG40" s="608">
        <f>AIG12+AIG19+AIG20+AIG22+AIG23</f>
        <v>194399.03000000003</v>
      </c>
      <c r="AIH40" s="1428">
        <f t="shared" si="1559"/>
        <v>0.84651898465463327</v>
      </c>
      <c r="AII40" s="608">
        <f>AII12+AII19+AII20+AII22+AII23</f>
        <v>263997.11</v>
      </c>
      <c r="AIJ40" s="609"/>
      <c r="AIK40" s="608">
        <f>AIK12+AIK19+AIK20+AIK22+AIK23</f>
        <v>210493.65000000002</v>
      </c>
      <c r="AIL40" s="1428">
        <f t="shared" si="1560"/>
        <v>0.79733316020012501</v>
      </c>
      <c r="AIM40" s="608">
        <f>AIM12+AIM19+AIM20+AIM22+AIM23</f>
        <v>352139.15</v>
      </c>
      <c r="AIN40" s="609"/>
      <c r="AIO40" s="608">
        <f>AIO12+AIO19+AIO20+AIO22+AIO23</f>
        <v>291732.74</v>
      </c>
      <c r="AIP40" s="1428">
        <f t="shared" si="1561"/>
        <v>0.82845869310470011</v>
      </c>
      <c r="AIQ40" s="608">
        <f>AIQ12+AIQ19+AIQ20+AIQ22+AIQ23</f>
        <v>1706172.29</v>
      </c>
      <c r="AIR40" s="609"/>
      <c r="AIS40" s="609">
        <f>AIS12+AIS19+AIS20+AIS22+AIS23</f>
        <v>1271642.5099999998</v>
      </c>
      <c r="AIT40" s="1428">
        <f t="shared" si="1562"/>
        <v>0.74531893259150273</v>
      </c>
      <c r="AIU40" s="608">
        <f>AIU12+AIU19+AIU20+AIU22+AIU23</f>
        <v>176054.39880000002</v>
      </c>
      <c r="AIV40" s="609"/>
      <c r="AIW40" s="609">
        <f>AIW12+AIW19+AIW20+AIW22+AIW23</f>
        <v>201258.4</v>
      </c>
      <c r="AIX40" s="1428">
        <f t="shared" si="1563"/>
        <v>1.1431603037004037</v>
      </c>
      <c r="AIY40" s="608">
        <f>AIY12+AIY19+AIY20+AIY22+AIY23</f>
        <v>176054.39880000002</v>
      </c>
      <c r="AIZ40" s="609"/>
      <c r="AJA40" s="608">
        <f>AJA12+AJA19+AJA20+AJA22+AJA23</f>
        <v>305403.32</v>
      </c>
      <c r="AJB40" s="1428">
        <f t="shared" si="1564"/>
        <v>1.7347099651110789</v>
      </c>
      <c r="AJC40" s="608">
        <f>AJC12+AJC19+AJC20+AJC22+AJC23</f>
        <v>176054.39880000002</v>
      </c>
      <c r="AJD40" s="609"/>
      <c r="AJE40" s="608">
        <f>AJE12+AJE19+AJE20+AJE22+AJE23</f>
        <v>311142.27</v>
      </c>
      <c r="AJF40" s="1428">
        <f t="shared" si="1565"/>
        <v>1.7673075601675905</v>
      </c>
      <c r="AJG40" s="608">
        <f>AJG12+AJG19+AJG20+AJG22+AJG23</f>
        <v>176054.39880000002</v>
      </c>
      <c r="AJH40" s="609"/>
      <c r="AJI40" s="608">
        <f>AJI12+AJI19+AJI20+AJI22+AJI23</f>
        <v>332922.06</v>
      </c>
      <c r="AJJ40" s="1428">
        <f t="shared" si="1566"/>
        <v>1.8910181300167546</v>
      </c>
      <c r="AJK40" s="608">
        <f>AJK12+AJK19+AJK20+AJK22+AJK23</f>
        <v>205396.79859999998</v>
      </c>
      <c r="AJL40" s="609"/>
      <c r="AJM40" s="608">
        <f>AJM12+AJM19+AJM20+AJM22+AJM23</f>
        <v>440972.81</v>
      </c>
      <c r="AJN40" s="1428">
        <f t="shared" si="1567"/>
        <v>2.1469312715957787</v>
      </c>
      <c r="AJO40" s="608">
        <f>AJO12+AJO19+AJO20+AJO22+AJO23</f>
        <v>234739.19839999999</v>
      </c>
      <c r="AJP40" s="609"/>
      <c r="AJQ40" s="608">
        <f>AJQ12+AJQ19+AJQ20+AJQ22+AJQ23</f>
        <v>375041.18</v>
      </c>
      <c r="AJR40" s="1428">
        <f t="shared" si="1568"/>
        <v>1.5976930250946959</v>
      </c>
      <c r="AJS40" s="608">
        <f>AJS12+AJS19+AJS20+AJS22+AJS23</f>
        <v>322766.39779999998</v>
      </c>
      <c r="AJT40" s="609"/>
      <c r="AJU40" s="608">
        <f>AJU12+AJU19+AJU20+AJU22+AJU23</f>
        <v>0</v>
      </c>
      <c r="AJV40" s="1428">
        <f t="shared" si="1569"/>
        <v>0</v>
      </c>
      <c r="AJW40" s="608">
        <f>AJW12+AJW19+AJW20+AJW22+AJW23</f>
        <v>1467119.99</v>
      </c>
      <c r="AJX40" s="609"/>
      <c r="AJY40" s="609">
        <f>AJY12+AJY19+AJY20+AJY22+AJY23</f>
        <v>1966740.04</v>
      </c>
      <c r="AJZ40" s="1428">
        <f t="shared" si="1570"/>
        <v>1.3405447771180599</v>
      </c>
      <c r="AKA40" s="608">
        <f>AKA12+AKA19+AKA20+AKA22+AKA23</f>
        <v>57171.983999999989</v>
      </c>
      <c r="AKB40" s="609"/>
      <c r="AKC40" s="609">
        <f>AKC12+AKC19+AKC20+AKC22+AKC23</f>
        <v>46739.950000000004</v>
      </c>
      <c r="AKD40" s="1428">
        <f t="shared" si="1571"/>
        <v>0.81753241237876251</v>
      </c>
      <c r="AKE40" s="608">
        <f>AKE12+AKE19+AKE20+AKE22+AKE23</f>
        <v>57171.983999999989</v>
      </c>
      <c r="AKF40" s="609"/>
      <c r="AKG40" s="608">
        <f>AKG12+AKG19+AKG20+AKG22+AKG23</f>
        <v>68963.98</v>
      </c>
      <c r="AKH40" s="1428">
        <f t="shared" si="1572"/>
        <v>1.2062547978044633</v>
      </c>
      <c r="AKI40" s="608">
        <f>AKI12+AKI19+AKI20+AKI22+AKI23</f>
        <v>57171.983999999989</v>
      </c>
      <c r="AKJ40" s="609"/>
      <c r="AKK40" s="608">
        <f>AKK12+AKK19+AKK20+AKK22+AKK23</f>
        <v>65812.460000000006</v>
      </c>
      <c r="AKL40" s="1428">
        <f t="shared" si="1573"/>
        <v>1.1511312953561315</v>
      </c>
      <c r="AKM40" s="608">
        <f>AKM12+AKM19+AKM20+AKM22+AKM23</f>
        <v>57171.983999999989</v>
      </c>
      <c r="AKN40" s="609"/>
      <c r="AKO40" s="608">
        <f>AKO12+AKO19+AKO20+AKO22+AKO23</f>
        <v>68919.179999999993</v>
      </c>
      <c r="AKP40" s="1428">
        <f t="shared" si="1574"/>
        <v>1.2054711972213525</v>
      </c>
      <c r="AKQ40" s="608">
        <f>AKQ12+AKQ19+AKQ20+AKQ22+AKQ23</f>
        <v>66700.648000000001</v>
      </c>
      <c r="AKR40" s="609"/>
      <c r="AKS40" s="608">
        <f>AKS12+AKS19+AKS20+AKS22+AKS23</f>
        <v>98105.36</v>
      </c>
      <c r="AKT40" s="1428">
        <f t="shared" si="1575"/>
        <v>1.47083068818162</v>
      </c>
      <c r="AKU40" s="608">
        <f>AKU12+AKU19+AKU20+AKU22+AKU23</f>
        <v>76229.312000000005</v>
      </c>
      <c r="AKV40" s="609"/>
      <c r="AKW40" s="608">
        <f>AKW12+AKW19+AKW20+AKW22+AKW23</f>
        <v>83548.040000000008</v>
      </c>
      <c r="AKX40" s="1428">
        <f t="shared" si="1576"/>
        <v>1.096009367105399</v>
      </c>
      <c r="AKY40" s="608">
        <f>AKY12+AKY19+AKY20+AKY22+AKY23</f>
        <v>104815.30399999999</v>
      </c>
      <c r="AKZ40" s="609"/>
      <c r="ALA40" s="608">
        <f>ALA12+ALA19+ALA20+ALA22+ALA23</f>
        <v>0</v>
      </c>
      <c r="ALB40" s="1428">
        <f t="shared" si="1577"/>
        <v>0</v>
      </c>
      <c r="ALC40" s="608">
        <f>ALC12+ALC19+ALC20+ALC22+ALC23</f>
        <v>476433.2</v>
      </c>
      <c r="ALD40" s="609"/>
      <c r="ALE40" s="609">
        <f>ALE12+ALE19+ALE20+ALE22+ALE23</f>
        <v>432088.97</v>
      </c>
      <c r="ALF40" s="1428">
        <f t="shared" si="1578"/>
        <v>0.90692455941357564</v>
      </c>
    </row>
    <row r="41" spans="1:994" outlineLevel="1">
      <c r="A41" s="1495"/>
      <c r="B41" s="1433" t="s">
        <v>483</v>
      </c>
      <c r="C41" s="1434"/>
      <c r="D41" s="437"/>
      <c r="E41" s="438"/>
      <c r="F41" s="437"/>
      <c r="G41" s="438"/>
      <c r="H41" s="437"/>
      <c r="I41" s="437"/>
      <c r="J41" s="438"/>
      <c r="K41" s="437"/>
      <c r="L41" s="438"/>
      <c r="M41" s="437"/>
      <c r="N41" s="437"/>
      <c r="O41" s="438"/>
      <c r="P41" s="437"/>
      <c r="Q41" s="438"/>
      <c r="R41" s="437"/>
      <c r="S41" s="437"/>
      <c r="T41" s="438"/>
      <c r="U41" s="437"/>
      <c r="V41" s="438"/>
      <c r="W41" s="438"/>
      <c r="X41" s="438"/>
      <c r="Y41" s="438"/>
      <c r="Z41" s="438"/>
      <c r="AA41" s="437"/>
      <c r="AB41" s="437"/>
      <c r="AC41" s="438"/>
      <c r="AD41" s="437"/>
      <c r="AE41" s="438"/>
      <c r="AF41" s="437"/>
      <c r="AG41" s="437"/>
      <c r="AH41" s="438"/>
      <c r="AI41" s="437"/>
      <c r="AJ41" s="438"/>
      <c r="AK41" s="437"/>
      <c r="AL41" s="437"/>
      <c r="AM41" s="438"/>
      <c r="AN41" s="437"/>
      <c r="AO41" s="438"/>
      <c r="AP41" s="437"/>
      <c r="AQ41" s="437"/>
      <c r="AR41" s="438"/>
      <c r="AS41" s="437"/>
      <c r="AT41" s="438"/>
      <c r="AU41" s="438"/>
      <c r="AV41" s="438"/>
      <c r="AW41" s="438"/>
      <c r="AX41" s="438"/>
      <c r="AY41" s="437"/>
      <c r="AZ41" s="437"/>
      <c r="BA41" s="438"/>
      <c r="BB41" s="437"/>
      <c r="BC41" s="438"/>
      <c r="BD41" s="437"/>
      <c r="BE41" s="437"/>
      <c r="BF41" s="438"/>
      <c r="BG41" s="437"/>
      <c r="BH41" s="438"/>
      <c r="BI41" s="437"/>
      <c r="BJ41" s="437"/>
      <c r="BK41" s="438"/>
      <c r="BL41" s="437"/>
      <c r="BM41" s="450"/>
      <c r="BN41" s="453" t="e">
        <f>BN38+BN39+BN40</f>
        <v>#DIV/0!</v>
      </c>
      <c r="BO41" s="437">
        <f>BO38+BO39+BO40</f>
        <v>284699.94719999994</v>
      </c>
      <c r="BP41" s="438" t="e">
        <f t="shared" si="1338"/>
        <v>#DIV/0!</v>
      </c>
      <c r="BQ41" s="437">
        <f>BQ38+BQ39+BQ40</f>
        <v>223723.42</v>
      </c>
      <c r="BR41" s="426" t="e">
        <f t="shared" si="1339"/>
        <v>#DIV/0!</v>
      </c>
      <c r="BS41" s="453">
        <f>BS38+BS39+BS40</f>
        <v>284700.94719999994</v>
      </c>
      <c r="BT41" s="437">
        <f>BT38+BT39+BT40</f>
        <v>226319.55551999999</v>
      </c>
      <c r="BU41" s="438">
        <f t="shared" si="1340"/>
        <v>0.79493783826792985</v>
      </c>
      <c r="BV41" s="437">
        <f>BV38+BV39+BV40</f>
        <v>44371.831927360254</v>
      </c>
      <c r="BW41" s="426">
        <f t="shared" si="1341"/>
        <v>0.15585417738771845</v>
      </c>
      <c r="BX41" s="612"/>
      <c r="BY41" s="437">
        <f>BY38+BY39+BY40</f>
        <v>234783.41999999998</v>
      </c>
      <c r="BZ41" s="437">
        <f>BZ38+BZ39+BZ40</f>
        <v>44374.705839955903</v>
      </c>
      <c r="CA41" s="427">
        <f t="shared" si="1342"/>
        <v>0.1890027236163265</v>
      </c>
      <c r="CB41" s="453">
        <f>CB38+CB39+CB40</f>
        <v>226321.55551999999</v>
      </c>
      <c r="CC41" s="437">
        <f>CC38+CC39+CC40</f>
        <v>228200.69</v>
      </c>
      <c r="CD41" s="438">
        <f t="shared" si="1343"/>
        <v>1.0083029408121664</v>
      </c>
      <c r="CE41" s="437">
        <f>CE38+CE39+CE40</f>
        <v>297359.03740000003</v>
      </c>
      <c r="CF41" s="426">
        <f t="shared" si="1344"/>
        <v>1.3138785508820987</v>
      </c>
      <c r="CG41" s="453">
        <f>CG38+CG39+CG40</f>
        <v>245902.00000000003</v>
      </c>
      <c r="CH41" s="437" t="e">
        <f>CH38+CH39+CH40</f>
        <v>#DIV/0!</v>
      </c>
      <c r="CI41" s="438" t="e">
        <f t="shared" si="1345"/>
        <v>#DIV/0!</v>
      </c>
      <c r="CJ41" s="437">
        <f>CJ38+CJ39+CJ40</f>
        <v>286976.40736000001</v>
      </c>
      <c r="CK41" s="427">
        <f t="shared" si="1346"/>
        <v>1.1670356782783384</v>
      </c>
      <c r="CL41" s="453" t="e">
        <f>CL38+CL39+CL40</f>
        <v>#DIV/0!</v>
      </c>
      <c r="CM41" s="437">
        <f>CM38+CM39+CM40</f>
        <v>485595.9032</v>
      </c>
      <c r="CN41" s="438" t="e">
        <f t="shared" si="1347"/>
        <v>#DIV/0!</v>
      </c>
      <c r="CO41" s="437">
        <f>CO38+CO39+CO40</f>
        <v>441215.67999999993</v>
      </c>
      <c r="CP41" s="427" t="e">
        <f t="shared" si="1348"/>
        <v>#DIV/0!</v>
      </c>
      <c r="CQ41" s="453">
        <f>CQ38+CQ39+CQ40</f>
        <v>2010918.56</v>
      </c>
      <c r="CR41" s="437">
        <f>CR38+CR39+CR40</f>
        <v>1516321.2959999996</v>
      </c>
      <c r="CS41" s="438">
        <f t="shared" si="1349"/>
        <v>0.75404411007077266</v>
      </c>
      <c r="CT41" s="437" t="e">
        <f>CT38+CT39+CT40</f>
        <v>#DIV/0!</v>
      </c>
      <c r="CU41" s="450" t="e">
        <f t="shared" si="1350"/>
        <v>#DIV/0!</v>
      </c>
      <c r="CV41" s="453">
        <f>CV38+CV39+CV40</f>
        <v>223427.46043199999</v>
      </c>
      <c r="CW41" s="437">
        <f>CW38+CW39+CW40</f>
        <v>226082.61</v>
      </c>
      <c r="CX41" s="437" t="e">
        <f>CX38+CX39+CX40</f>
        <v>#DIV/0!</v>
      </c>
      <c r="CY41" s="489" t="e">
        <f t="shared" si="1351"/>
        <v>#DIV/0!</v>
      </c>
      <c r="CZ41" s="480">
        <f>CZ38+CZ39+CZ40</f>
        <v>223428.46043199999</v>
      </c>
      <c r="DA41" s="481">
        <f>DA38+DA39+DA40</f>
        <v>196605.72</v>
      </c>
      <c r="DB41" s="438">
        <f t="shared" si="1352"/>
        <v>0.87994931182832259</v>
      </c>
      <c r="DC41" s="437">
        <f>DC38+DC39+DC40</f>
        <v>273610.52639999997</v>
      </c>
      <c r="DD41" s="450">
        <f t="shared" si="1353"/>
        <v>1.224600151077319</v>
      </c>
      <c r="DE41" s="480">
        <f>DE38+DE39+DE40</f>
        <v>223951.94</v>
      </c>
      <c r="DF41" s="481" t="e">
        <f>DF38+DF39+DF40</f>
        <v>#DIV/0!</v>
      </c>
      <c r="DG41" s="438" t="e">
        <f t="shared" si="1354"/>
        <v>#DIV/0!</v>
      </c>
      <c r="DH41" s="437">
        <f>DH38+DH39+DH40</f>
        <v>223430.46043199999</v>
      </c>
      <c r="DI41" s="450">
        <f t="shared" si="1355"/>
        <v>0.99767146661913264</v>
      </c>
      <c r="DJ41" s="480" t="e">
        <f>DJ38+DJ39+DJ40</f>
        <v>#DIV/0!</v>
      </c>
      <c r="DK41" s="481">
        <f>DK38+DK39+DK40</f>
        <v>311940.78080000007</v>
      </c>
      <c r="DL41" s="438" t="e">
        <f t="shared" si="1356"/>
        <v>#DIV/0!</v>
      </c>
      <c r="DM41" s="437">
        <f>DM38+DM39+DM40</f>
        <v>253531.68000000002</v>
      </c>
      <c r="DN41" s="450" t="e">
        <f t="shared" si="1357"/>
        <v>#DIV/0!</v>
      </c>
      <c r="DO41" s="480">
        <f>DO38+DO39+DO40</f>
        <v>350270.03520000004</v>
      </c>
      <c r="DP41" s="481">
        <f>DP38+DP39+DP40</f>
        <v>283119.28057599999</v>
      </c>
      <c r="DQ41" s="438">
        <f t="shared" si="1358"/>
        <v>0.80828861199714741</v>
      </c>
      <c r="DR41" s="437" t="e">
        <f>DR38+DR39+DR40</f>
        <v>#DIV/0!</v>
      </c>
      <c r="DS41" s="450" t="e">
        <f t="shared" si="1359"/>
        <v>#DIV/0!</v>
      </c>
      <c r="DT41" s="453">
        <f>DT38+DT39+DT40</f>
        <v>372650.51079199999</v>
      </c>
      <c r="DU41" s="437">
        <f>DU38+DU39+DU40</f>
        <v>387337.13</v>
      </c>
      <c r="DV41" s="437" t="e">
        <f>DV38+DV39+DV40</f>
        <v>#DIV/0!</v>
      </c>
      <c r="DW41" s="419" t="e">
        <f t="shared" si="1360"/>
        <v>#DIV/0!</v>
      </c>
      <c r="DX41" s="480">
        <f>DX38+DX39+DX40</f>
        <v>1492170.5035999999</v>
      </c>
      <c r="DY41" s="481">
        <f>DY38+DY39+DY40</f>
        <v>1470996.08</v>
      </c>
      <c r="DZ41" s="438">
        <f t="shared" si="1361"/>
        <v>0.98580964873054744</v>
      </c>
      <c r="EA41" s="481">
        <f>EA38+EA39+EA40</f>
        <v>269740.02679999999</v>
      </c>
      <c r="EB41" s="450">
        <f t="shared" si="1362"/>
        <v>0.18077024451912641</v>
      </c>
      <c r="EC41" s="480">
        <f>EC38+EC39+EC40</f>
        <v>208293.39</v>
      </c>
      <c r="ED41" s="481" t="e">
        <f>ED38+ED39+ED40</f>
        <v>#DIV/0!</v>
      </c>
      <c r="EE41" s="438" t="e">
        <f t="shared" si="1363"/>
        <v>#DIV/0!</v>
      </c>
      <c r="EF41" s="481">
        <f>EF38+EF39+EF40</f>
        <v>201320.55904399999</v>
      </c>
      <c r="EG41" s="450">
        <f t="shared" si="1364"/>
        <v>0.96652399312335346</v>
      </c>
      <c r="EH41" s="480">
        <f>EH38+EH39+EH40</f>
        <v>44387.653274629811</v>
      </c>
      <c r="EI41" s="481">
        <f>EI38+EI39+EI40</f>
        <v>269742.02679999999</v>
      </c>
      <c r="EJ41" s="438">
        <f t="shared" si="1365"/>
        <v>6.0769607514748616</v>
      </c>
      <c r="EK41" s="481">
        <f>EK38+EK39+EK40</f>
        <v>221381.56999999998</v>
      </c>
      <c r="EL41" s="450">
        <f t="shared" si="1366"/>
        <v>4.9874583058107449</v>
      </c>
      <c r="EM41" s="480">
        <f>EM38+EM39+EM40</f>
        <v>269743.02679999999</v>
      </c>
      <c r="EN41" s="481">
        <f>EN38+EN39+EN40</f>
        <v>201322.55904399999</v>
      </c>
      <c r="EO41" s="438">
        <f t="shared" si="1367"/>
        <v>0.7463494475920962</v>
      </c>
      <c r="EP41" s="481" t="e">
        <f>EP38+EP39+EP40</f>
        <v>#DIV/0!</v>
      </c>
      <c r="EQ41" s="450" t="e">
        <f t="shared" si="1368"/>
        <v>#DIV/0!</v>
      </c>
      <c r="ER41" s="480">
        <f>ER38+ER39+ER40</f>
        <v>227481.15221800003</v>
      </c>
      <c r="ES41" s="481">
        <f>ES38+ES39+ES40</f>
        <v>248533</v>
      </c>
      <c r="ET41" s="438">
        <f t="shared" si="1369"/>
        <v>1.0925432616141557</v>
      </c>
      <c r="EU41" s="481">
        <f>EU38+EU39+EU40</f>
        <v>345109.70240000001</v>
      </c>
      <c r="EV41" s="450">
        <f t="shared" si="1370"/>
        <v>1.5170914119042005</v>
      </c>
      <c r="EW41" s="453">
        <f>EW38+EW39+EW40</f>
        <v>291372.49</v>
      </c>
      <c r="EX41" s="437" t="e">
        <f>EX38+EX39+EX40</f>
        <v>#DIV/0!</v>
      </c>
      <c r="EY41" s="437">
        <f>EY38+EY39+EY40</f>
        <v>458157.71580000001</v>
      </c>
      <c r="EZ41" s="427" t="e">
        <f t="shared" si="1371"/>
        <v>#DIV/0!</v>
      </c>
      <c r="FA41" s="480">
        <f>FA38+FA39+FA40</f>
        <v>363610.92000000004</v>
      </c>
      <c r="FB41" s="481" t="e">
        <f>FB38+FB39+FB40</f>
        <v>#DIV/0!</v>
      </c>
      <c r="FC41" s="438" t="e">
        <f>FB41/FA41</f>
        <v>#DIV/0!</v>
      </c>
      <c r="FD41" s="1402">
        <f>FD38+FD39+FD40</f>
        <v>1307879.6586999998</v>
      </c>
      <c r="FE41" s="450">
        <f>FD41/FA41</f>
        <v>3.5969207379690347</v>
      </c>
      <c r="FF41" s="480">
        <f>FF38+FF39+FF40</f>
        <v>2034.5436001424639</v>
      </c>
      <c r="FG41" s="481">
        <f>FG38+FG39+FG40</f>
        <v>255175.66439999998</v>
      </c>
      <c r="FH41" s="438">
        <f>FG41/FF41</f>
        <v>125.42157581785514</v>
      </c>
      <c r="FI41" s="1402">
        <f>FI38+FI39+FI40</f>
        <v>217253.05</v>
      </c>
      <c r="FJ41" s="450">
        <f>FI41/FF41</f>
        <v>106.78220411928621</v>
      </c>
      <c r="FK41" s="480">
        <f>FK38+FK39+FK40</f>
        <v>255176.66439999998</v>
      </c>
      <c r="FL41" s="481">
        <f>FL38+FL39+FL40</f>
        <v>207116.049</v>
      </c>
      <c r="FM41" s="438">
        <f>FL41/FK41</f>
        <v>0.81165748242298918</v>
      </c>
      <c r="FN41" s="1402">
        <f>FN38+FN39+FN40</f>
        <v>44399.262003108786</v>
      </c>
      <c r="FO41" s="450">
        <f>FN41/FK41</f>
        <v>0.17399420949209959</v>
      </c>
      <c r="FP41" s="480">
        <f>FP38+FP39+FP40</f>
        <v>207117.049</v>
      </c>
      <c r="FQ41" s="481">
        <f>FQ38+FQ39+FQ40</f>
        <v>220294.66999999998</v>
      </c>
      <c r="FR41" s="438">
        <f>FQ41/FP41</f>
        <v>1.063624028362822</v>
      </c>
      <c r="FS41" s="1402">
        <f>FS38+FS39+FS40</f>
        <v>255178.66439999998</v>
      </c>
      <c r="FT41" s="450">
        <f>FS41/FP41</f>
        <v>1.2320505029984277</v>
      </c>
      <c r="FU41" s="453">
        <f>FU38+FU39+FU40</f>
        <v>236262.00000000003</v>
      </c>
      <c r="FV41" s="437">
        <f>FV38+FV39+FV40</f>
        <v>44400.423981952881</v>
      </c>
      <c r="FW41" s="437">
        <f>FW38+FW39+FW40</f>
        <v>290433.44180000003</v>
      </c>
      <c r="FX41" s="456">
        <f t="shared" si="1372"/>
        <v>6.5412312710808891</v>
      </c>
      <c r="FY41" s="480">
        <f>FY38+FY39+FY40</f>
        <v>234455.08000000002</v>
      </c>
      <c r="FZ41" s="481">
        <f>FZ38+FZ39+FZ40</f>
        <v>44398.582525211539</v>
      </c>
      <c r="GA41" s="438">
        <f>FZ41/FY41</f>
        <v>0.1893692494323925</v>
      </c>
      <c r="GB41" s="1402">
        <f>GB38+GB39+GB40</f>
        <v>261364.73200000002</v>
      </c>
      <c r="GC41" s="450">
        <f>GB41/FY41</f>
        <v>1.1147752993878401</v>
      </c>
      <c r="GD41" s="480">
        <f>GD38+GD39+GD40</f>
        <v>44400.533793650568</v>
      </c>
      <c r="GE41" s="481">
        <f>GE38+GE39+GE40</f>
        <v>431450.5514</v>
      </c>
      <c r="GF41" s="438">
        <f>GE41/GD41</f>
        <v>9.7172379369389237</v>
      </c>
      <c r="GG41" s="1402">
        <f>GG38+GG39+GG40</f>
        <v>384891.31999999995</v>
      </c>
      <c r="GH41" s="450">
        <f>GG41/GD41</f>
        <v>8.668619205993437</v>
      </c>
      <c r="GI41" s="480">
        <f>GI38+GI39+GI40</f>
        <v>1764707.87</v>
      </c>
      <c r="GJ41" s="481">
        <f>GJ38+GJ39+GJ40</f>
        <v>1356117.075</v>
      </c>
      <c r="GK41" s="438">
        <f>GJ41/GI41</f>
        <v>0.76846547695171774</v>
      </c>
      <c r="GL41" s="1402" t="e">
        <f>GL38+GL39+GL40</f>
        <v>#DIV/0!</v>
      </c>
      <c r="GM41" s="450" t="e">
        <f>GL41/GI41</f>
        <v>#DIV/0!</v>
      </c>
      <c r="GN41" s="480">
        <f>GN38+GN39+GN40</f>
        <v>220255.57836479996</v>
      </c>
      <c r="GO41" s="481">
        <f>GO38+GO39+GO40</f>
        <v>203580.13</v>
      </c>
      <c r="GP41" s="438">
        <f>GO41/GN41</f>
        <v>0.92429046070660181</v>
      </c>
      <c r="GQ41" s="1402">
        <f>GQ38+GQ39+GQ40</f>
        <v>263619.97279999999</v>
      </c>
      <c r="GR41" s="450">
        <f>GQ41/GN41</f>
        <v>1.1968821618827625</v>
      </c>
      <c r="GS41" s="453">
        <f>GS38+GS39+GS40</f>
        <v>219828.97999999998</v>
      </c>
      <c r="GT41" s="437">
        <f>GT38+GT39+GT40</f>
        <v>44402.930414340204</v>
      </c>
      <c r="GU41" s="437">
        <f>GU38+GU39+GU40</f>
        <v>263620.97279999999</v>
      </c>
      <c r="GV41" s="456">
        <f t="shared" si="1373"/>
        <v>5.9370174522279262</v>
      </c>
      <c r="GW41" s="480">
        <f>GW38+GW39+GW40</f>
        <v>242041.39999999997</v>
      </c>
      <c r="GX41" s="481">
        <f>GX38+GX39+GX40</f>
        <v>44405.302615163993</v>
      </c>
      <c r="GY41" s="438">
        <f t="shared" si="1374"/>
        <v>0.18346160043349607</v>
      </c>
      <c r="GZ41" s="437">
        <f>GZ38+GZ39+GZ40</f>
        <v>204958.26170879998</v>
      </c>
      <c r="HA41" s="450">
        <f t="shared" si="1375"/>
        <v>0.84679010164707369</v>
      </c>
      <c r="HB41" s="480">
        <f>HB38+HB39+HB40</f>
        <v>44404.618868640267</v>
      </c>
      <c r="HC41" s="481">
        <f>HC38+HC39+HC40</f>
        <v>300282.80160000001</v>
      </c>
      <c r="HD41" s="438">
        <f t="shared" si="1376"/>
        <v>6.7624226769811955</v>
      </c>
      <c r="HE41" s="437">
        <f>HE38+HE39+HE40</f>
        <v>246561.88</v>
      </c>
      <c r="HF41" s="450">
        <f t="shared" si="1377"/>
        <v>5.5526178645827455</v>
      </c>
      <c r="HG41" s="480">
        <f>HG38+HG39+HG40</f>
        <v>336943.63040000002</v>
      </c>
      <c r="HH41" s="481">
        <f>HH38+HH39+HH40</f>
        <v>278883.10448640003</v>
      </c>
      <c r="HI41" s="438">
        <f t="shared" si="1378"/>
        <v>0.8276847499842217</v>
      </c>
      <c r="HJ41" s="437">
        <f>HJ38+HJ39+HJ40</f>
        <v>44406.605132192213</v>
      </c>
      <c r="HK41" s="450">
        <f t="shared" si="1379"/>
        <v>0.13179238639850605</v>
      </c>
      <c r="HL41" s="480">
        <f>HL38+HL39+HL40</f>
        <v>366817.89366880001</v>
      </c>
      <c r="HM41" s="481">
        <f>HM38+HM39+HM40</f>
        <v>352269.98</v>
      </c>
      <c r="HN41" s="438">
        <f t="shared" si="1380"/>
        <v>0.96034022898039062</v>
      </c>
      <c r="HO41" s="437">
        <f>HO38+HO39+HO40</f>
        <v>1667243.81</v>
      </c>
      <c r="HP41" s="450">
        <f t="shared" si="1381"/>
        <v>4.5451539817884541</v>
      </c>
      <c r="HQ41" s="480">
        <f>HQ38+HQ39+HQ40</f>
        <v>1483741.24</v>
      </c>
      <c r="HR41" s="481">
        <f>HR38+HR39+HR40</f>
        <v>2035.0455107870166</v>
      </c>
      <c r="HS41" s="438">
        <f t="shared" si="1382"/>
        <v>1.3715636230391605E-3</v>
      </c>
      <c r="HT41" s="437">
        <f>HT38+HT39+HT40</f>
        <v>203547.01378480002</v>
      </c>
      <c r="HU41" s="450">
        <f t="shared" si="1383"/>
        <v>0.13718498097741086</v>
      </c>
      <c r="HV41" s="453" t="e">
        <f>HV38+HV39+HV40</f>
        <v>#DIV/0!</v>
      </c>
      <c r="HW41" s="437">
        <f>HW38+HW39+HW40</f>
        <v>248616.49559999997</v>
      </c>
      <c r="HX41" s="437">
        <f>HX38+HX39+HX40</f>
        <v>220421.0298008</v>
      </c>
      <c r="HY41" s="456">
        <f t="shared" si="1384"/>
        <v>0.88659052678240724</v>
      </c>
      <c r="HZ41" s="480" t="e">
        <f>HZ38+HZ39+HZ40</f>
        <v>#DIV/0!</v>
      </c>
      <c r="IA41" s="481">
        <f>IA38+IA39+IA40</f>
        <v>248617.49559999997</v>
      </c>
      <c r="IB41" s="438" t="e">
        <f t="shared" si="1385"/>
        <v>#DIV/0!</v>
      </c>
      <c r="IC41" s="437">
        <f>IC38+IC39+IC40</f>
        <v>188669.48</v>
      </c>
      <c r="ID41" s="450" t="e">
        <f t="shared" si="1386"/>
        <v>#DIV/0!</v>
      </c>
      <c r="IE41" s="480">
        <f>IE38+IE39+IE40</f>
        <v>248618.49559999997</v>
      </c>
      <c r="IF41" s="481">
        <f>IF38+IF39+IF40</f>
        <v>220423.0298008</v>
      </c>
      <c r="IG41" s="438">
        <f t="shared" si="1387"/>
        <v>0.88659143909967419</v>
      </c>
      <c r="IH41" s="437" t="e">
        <f>IH38+IH39+IH40</f>
        <v>#DIV/0!</v>
      </c>
      <c r="II41" s="450" t="e">
        <f t="shared" si="1388"/>
        <v>#DIV/0!</v>
      </c>
      <c r="IJ41" s="480">
        <f>IJ38+IJ39+IJ40</f>
        <v>249761.53476760004</v>
      </c>
      <c r="IK41" s="481">
        <f>IK38+IK39+IK40</f>
        <v>230971.89</v>
      </c>
      <c r="IL41" s="438">
        <f t="shared" si="1389"/>
        <v>0.92476966164912644</v>
      </c>
      <c r="IM41" s="437">
        <f>IM38+IM39+IM40</f>
        <v>289500.86239999998</v>
      </c>
      <c r="IN41" s="450">
        <f t="shared" si="1390"/>
        <v>1.1591090784630904</v>
      </c>
      <c r="IO41" s="480">
        <f>IO38+IO39+IO40</f>
        <v>264099.94</v>
      </c>
      <c r="IP41" s="481" t="e">
        <f>IP38+IP39+IP40</f>
        <v>#DIV/0!</v>
      </c>
      <c r="IQ41" s="438" t="e">
        <f t="shared" si="1391"/>
        <v>#DIV/0!</v>
      </c>
      <c r="IR41" s="437">
        <f>IR38+IR39+IR40</f>
        <v>336179.69193880004</v>
      </c>
      <c r="IS41" s="450">
        <f t="shared" si="1392"/>
        <v>1.2729260443557846</v>
      </c>
      <c r="IT41" s="453" t="e">
        <f>IT38+IT39+IT40</f>
        <v>#DIV/0!</v>
      </c>
      <c r="IU41" s="437">
        <f>IU38+IU39+IU40</f>
        <v>1709923.1300000001</v>
      </c>
      <c r="IV41" s="437">
        <f>IV38+IV39+IV40</f>
        <v>1466875.2483399999</v>
      </c>
      <c r="IW41" s="456">
        <f t="shared" si="1393"/>
        <v>0.85786034623673391</v>
      </c>
      <c r="IX41" s="480">
        <f>IX38+IX39+IX40</f>
        <v>2035.2375267510713</v>
      </c>
      <c r="IY41" s="481">
        <f>IY38+IY39+IY40</f>
        <v>245200.4172</v>
      </c>
      <c r="IZ41" s="438">
        <f t="shared" si="1394"/>
        <v>120.47754327300703</v>
      </c>
      <c r="JA41" s="437">
        <f>JA38+JA39+JA40</f>
        <v>183517.65</v>
      </c>
      <c r="JB41" s="450">
        <f t="shared" si="1395"/>
        <v>90.170138663351167</v>
      </c>
      <c r="JC41" s="480">
        <f>JC38+JC39+JC40</f>
        <v>245201.4172</v>
      </c>
      <c r="JD41" s="481">
        <f>JD38+JD39+JD40</f>
        <v>213267.93505920001</v>
      </c>
      <c r="JE41" s="438">
        <f t="shared" si="1396"/>
        <v>0.86976632310916357</v>
      </c>
      <c r="JF41" s="437">
        <f>JF38+JF39+JF40</f>
        <v>44416.654075222628</v>
      </c>
      <c r="JG41" s="450">
        <f t="shared" si="1397"/>
        <v>0.18114354550811557</v>
      </c>
      <c r="JH41" s="480">
        <f>JH38+JH39+JH40</f>
        <v>213268.93505920001</v>
      </c>
      <c r="JI41" s="481">
        <f>JI38+JI39+JI40</f>
        <v>206434.61</v>
      </c>
      <c r="JJ41" s="438">
        <f t="shared" si="1398"/>
        <v>0.96795442778713681</v>
      </c>
      <c r="JK41" s="437">
        <f>JK38+JK39+JK40</f>
        <v>223269.258</v>
      </c>
      <c r="JL41" s="450">
        <f t="shared" si="1399"/>
        <v>1.0468906685262158</v>
      </c>
      <c r="JM41" s="480">
        <f>JM38+JM39+JM40</f>
        <v>199033.96</v>
      </c>
      <c r="JN41" s="481">
        <f>JN38+JN39+JN40</f>
        <v>44418.063247960134</v>
      </c>
      <c r="JO41" s="438">
        <f t="shared" si="1400"/>
        <v>0.22316826358657657</v>
      </c>
      <c r="JP41" s="437">
        <f>JP38+JP39+JP40</f>
        <v>220431.41193440004</v>
      </c>
      <c r="JQ41" s="450">
        <f t="shared" si="1401"/>
        <v>1.1075065377506434</v>
      </c>
      <c r="JR41" s="801"/>
      <c r="JS41" s="453">
        <f>JS38+JS39+JS40</f>
        <v>312380.88959999999</v>
      </c>
      <c r="JT41" s="437">
        <f>JT38+JT39+JT40</f>
        <v>269560.24674560002</v>
      </c>
      <c r="JU41" s="437">
        <f>JU38+JU39+JU40</f>
        <v>296831.83999999997</v>
      </c>
      <c r="JV41" s="456">
        <f t="shared" si="1402"/>
        <v>1.1011706792216205</v>
      </c>
      <c r="JW41" s="480">
        <f>JW38+JW39+JW40</f>
        <v>413145.09820000001</v>
      </c>
      <c r="JX41" s="481">
        <f>JX38+JX39+JX40</f>
        <v>353993.71427520004</v>
      </c>
      <c r="JY41" s="438">
        <f t="shared" si="1403"/>
        <v>0.85682661083839051</v>
      </c>
      <c r="JZ41" s="437">
        <f>JZ38+JZ39+JZ40</f>
        <v>44422.295551550837</v>
      </c>
      <c r="KA41" s="450">
        <f t="shared" si="1404"/>
        <v>0.10752226214250371</v>
      </c>
      <c r="KB41" s="480">
        <f>KB38+KB39+KB40</f>
        <v>1407207.7921600002</v>
      </c>
      <c r="KC41" s="481">
        <f>KC38+KC39+KC40</f>
        <v>1386343.46</v>
      </c>
      <c r="KD41" s="438">
        <f t="shared" si="1405"/>
        <v>0.985173240031613</v>
      </c>
      <c r="KE41" s="437">
        <f>KE38+KE39+KE40</f>
        <v>223012.60600000003</v>
      </c>
      <c r="KF41" s="450">
        <f t="shared" si="1406"/>
        <v>0.15847880266331227</v>
      </c>
      <c r="KG41" s="480">
        <f>KG38+KG39+KG40</f>
        <v>185873.12</v>
      </c>
      <c r="KH41" s="481" t="e">
        <f>KH38+KH39+KH40</f>
        <v>#DIV/0!</v>
      </c>
      <c r="KI41" s="438" t="e">
        <f t="shared" si="1407"/>
        <v>#DIV/0!</v>
      </c>
      <c r="KJ41" s="437">
        <f>KJ38+KJ39+KJ40</f>
        <v>190589.48746959999</v>
      </c>
      <c r="KK41" s="450">
        <f t="shared" si="1408"/>
        <v>1.0253741233245559</v>
      </c>
      <c r="KL41" s="480" t="e">
        <f>KL38+KL39+KL40</f>
        <v>#DIV/0!</v>
      </c>
      <c r="KM41" s="481">
        <f>KM38+KM39+KM40</f>
        <v>240820.6776</v>
      </c>
      <c r="KN41" s="438" t="e">
        <f t="shared" si="1409"/>
        <v>#DIV/0!</v>
      </c>
      <c r="KO41" s="437">
        <f>KO38+KO39+KO40</f>
        <v>187747.53</v>
      </c>
      <c r="KP41" s="450" t="e">
        <f t="shared" si="1410"/>
        <v>#DIV/0!</v>
      </c>
      <c r="KQ41" s="480">
        <f>KQ38+KQ39+KQ40</f>
        <v>240821.6776</v>
      </c>
      <c r="KR41" s="481">
        <f>KR38+KR39+KR40</f>
        <v>205192.4661816</v>
      </c>
      <c r="KS41" s="438">
        <f t="shared" si="1411"/>
        <v>0.85205147736916187</v>
      </c>
      <c r="KT41" s="437">
        <f>KT38+KT39+KT40</f>
        <v>44425.593572834499</v>
      </c>
      <c r="KU41" s="450">
        <f t="shared" si="1412"/>
        <v>0.18447506061569974</v>
      </c>
      <c r="KV41" s="453">
        <f>KV38+KV39+KV40</f>
        <v>231990.21054520001</v>
      </c>
      <c r="KW41" s="437">
        <f>KW38+KW39+KW40</f>
        <v>207167.65000000002</v>
      </c>
      <c r="KX41" s="437" t="e">
        <f>KX38+KX39+KX40</f>
        <v>#DIV/0!</v>
      </c>
      <c r="KY41" s="456" t="e">
        <f t="shared" si="1413"/>
        <v>#DIV/0!</v>
      </c>
      <c r="KZ41" s="949">
        <f>KZ38+KZ39+KZ40</f>
        <v>258787.95490880002</v>
      </c>
      <c r="LA41" s="949">
        <f>LA38+LA39+LA40</f>
        <v>263190.18999999994</v>
      </c>
      <c r="LB41" s="453" t="e">
        <f>LB38+LB39+LB40</f>
        <v>#DIV/0!</v>
      </c>
      <c r="LC41" s="453">
        <f>LC38+LC39+LC40</f>
        <v>405106.07559999998</v>
      </c>
      <c r="LD41" s="492" t="e">
        <f>LC41-LB41</f>
        <v>#DIV/0!</v>
      </c>
      <c r="LE41" s="493" t="e">
        <f>LC41/LB41</f>
        <v>#DIV/0!</v>
      </c>
      <c r="LW41" s="588">
        <f>LW7+LW8+LW9+LW10+LW11+LW12+LW13+LW14+LW15+LW16+LW19+LW20+LW21+LW22+LW23+LW24</f>
        <v>188193.79679999998</v>
      </c>
      <c r="LX41" s="590"/>
      <c r="LY41" s="590">
        <f>LY7+LY8+LY9+LY10+LY11+LY12+LY13+LY14+LY15+LY16+LY19+LY20+LY21+LY22+LY23+LY24</f>
        <v>116043.07000000002</v>
      </c>
      <c r="LZ41" s="1429">
        <f t="shared" si="1414"/>
        <v>0.61661474487027312</v>
      </c>
      <c r="MA41" s="588">
        <f>MA7+MA8+MA9+MA10+MA11+MA12+MA13+MA14+MA15+MA16+MA19+MA20+MA21+MA22+MA23+MA24</f>
        <v>219559.42959999997</v>
      </c>
      <c r="MB41" s="590"/>
      <c r="MC41" s="590">
        <f>MC7+MC8+MC9+MC10+MC11+MC12+MC13+MC14+MC15+MC16+MC19+MC20+MC21+MC22+MC23+MC24</f>
        <v>144334.60999999999</v>
      </c>
      <c r="MD41" s="1429">
        <f t="shared" si="1415"/>
        <v>0.65738287926395667</v>
      </c>
      <c r="ME41" s="588">
        <f>ME7+ME8+ME9+ME10+ME11+ME12+ME13+ME14+ME15+ME16+ME19+ME20+ME21+ME22+ME23+ME24</f>
        <v>250925.06240000002</v>
      </c>
      <c r="MF41" s="590"/>
      <c r="MG41" s="590">
        <f>MG7+MG8+MG9+MG10+MG11+MG12+MG13+MG14+MG15+MG16+MG19+MG20+MG21+MG22+MG23+MG24</f>
        <v>209430.86000000002</v>
      </c>
      <c r="MH41" s="1429">
        <f t="shared" si="1416"/>
        <v>0.83463508187215651</v>
      </c>
      <c r="MI41" s="588">
        <f>MI7+MI8+MI9+MI10+MI11+MI12+MI13+MI14+MI15+MI16+MI19+MI20+MI21+MI22+MI23+MI24</f>
        <v>345021.9608</v>
      </c>
      <c r="MJ41" s="590"/>
      <c r="MK41" s="590">
        <f>MK7+MK8+MK9+MK10+MK11+MK12+MK13+MK14+MK15+MK16+MK19+MK20+MK21+MK22+MK23+MK24</f>
        <v>290084.94</v>
      </c>
      <c r="ML41" s="1429">
        <f t="shared" si="1417"/>
        <v>0.84077239410321036</v>
      </c>
      <c r="MM41" s="588">
        <f>MM7+MM8+MM9+MM10+MM11+MM12+MM13+MM14+MM15+MM16+MM19+MM20+MM21+MM22+MM23+MM24</f>
        <v>1568281.64</v>
      </c>
      <c r="MN41" s="590"/>
      <c r="MO41" s="590">
        <f>MO7+MO8+MO9+MO10+MO11+MO12+MO13+MO14+MO15+MO16+MO19+MO20+MO21+MO22+MO23+MO24</f>
        <v>1159477.6499999999</v>
      </c>
      <c r="MP41" s="1429">
        <f t="shared" si="1418"/>
        <v>0.73932999049839032</v>
      </c>
      <c r="MQ41" s="588">
        <f>MQ7+MQ8+MQ9+MQ10+MQ11+MQ12+MQ13+MQ14+MQ15+MQ16+MQ19+MQ20+MQ21+MQ22+MQ23+MQ24+MQ17</f>
        <v>205208.45400000003</v>
      </c>
      <c r="MR41" s="590"/>
      <c r="MS41" s="588">
        <f>MS7+MS8+MS9+MS10+MS11+MS12+MS13+MS14+MS15+MS16+MS19+MS20+MS21+MS22+MS23+MS24+MS17</f>
        <v>139721.03</v>
      </c>
      <c r="MT41" s="1474">
        <f t="shared" si="1419"/>
        <v>0.6808736544548013</v>
      </c>
      <c r="MU41" s="585">
        <f>MU7+MU8+MU9+MU10+MU11+MU12+MU13+MU14+MU15+MU16+MU19+MU20+MU21+MU22+MU23+MU24+MU17</f>
        <v>205208.45400000003</v>
      </c>
      <c r="MV41" s="582"/>
      <c r="MW41" s="582">
        <f>MW7+MW8+MW9+MW10+MW11+MW12+MW13+MW14+MW15+MW16+MW19+MW20+MW21+MW22+MW23+MW24+MW17</f>
        <v>153236.00999999998</v>
      </c>
      <c r="MX41" s="1478">
        <f t="shared" si="1420"/>
        <v>0.74673341674315208</v>
      </c>
      <c r="MY41" s="589">
        <f>MY7+MY8+MY9+MY10+MY11+MY12+MY13+MY14+MY15+MY16+MY19+MY20+MY21+MY22+MY23+MY24+MY17</f>
        <v>205208.45400000003</v>
      </c>
      <c r="MZ41" s="590"/>
      <c r="NA41" s="588">
        <f>NA7+NA8+NA9+NA10+NA11+NA12+NA13+NA14+NA15+NA16+NA19+NA20+NA21+NA22+NA23+NA24+NA17</f>
        <v>129828.45</v>
      </c>
      <c r="NB41" s="1429">
        <f t="shared" si="1421"/>
        <v>0.63266618635507088</v>
      </c>
      <c r="NC41" s="588">
        <f>NC7+NC8+NC9+NC10+NC11+NC12+NC13+NC14+NC15+NC16+NC19+NC20+NC21+NC22+NC23+NC24+NC17</f>
        <v>205208.45400000003</v>
      </c>
      <c r="ND41" s="590"/>
      <c r="NE41" s="588">
        <f>NE7+NE8+NE9+NE10+NE11+NE12+NE13+NE14+NE15+NE16+NE19+NE20+NE21+NE22+NE23+NE24+NE17</f>
        <v>138982.45000000001</v>
      </c>
      <c r="NF41" s="1429">
        <f t="shared" si="1422"/>
        <v>0.67727448499758203</v>
      </c>
      <c r="NG41" s="588">
        <f>NG7+NG8+NG9+NG10+NG11+NG12+NG13+NG14+NG15+NG16+NG19+NG20+NG21+NG22+NG23+NG24+NG17</f>
        <v>239409.86300000004</v>
      </c>
      <c r="NH41" s="590"/>
      <c r="NI41" s="588">
        <f>NI7+NI8+NI9+NI10+NI11+NI12+NI13+NI14+NI15+NI16+NI19+NI20+NI21+NI22+NI23+NI24+NI17</f>
        <v>159353.28</v>
      </c>
      <c r="NJ41" s="1429">
        <f t="shared" si="1423"/>
        <v>0.66560866792693485</v>
      </c>
      <c r="NK41" s="588">
        <f>NK7+NK8+NK9+NK10+NK11+NK12+NK13+NK14+NK15+NK16+NK19+NK20+NK21+NK22+NK23+NK24+NK17</f>
        <v>273611.272</v>
      </c>
      <c r="NL41" s="590"/>
      <c r="NM41" s="588">
        <f>NM7+NM8+NM9+NM10+NM11+NM12+NM13+NM14+NM15+NM16+NM19+NM20+NM21+NM22+NM23+NM24+NM17</f>
        <v>193351.62</v>
      </c>
      <c r="NN41" s="1429">
        <f t="shared" si="1424"/>
        <v>0.70666540375573417</v>
      </c>
      <c r="NO41" s="588">
        <f>NO7+NO8+NO9+NO10+NO11+NO12+NO13+NO14+NO15+NO16+NO19+NO20+NO21+NO22+NO23+NO24+NO17</f>
        <v>376215.49900000001</v>
      </c>
      <c r="NP41" s="590"/>
      <c r="NQ41" s="588">
        <f>NQ7+NQ8+NQ9+NQ10+NQ11+NQ12+NQ13+NQ14+NQ15+NQ16+NQ19+NQ20+NQ21+NQ22+NQ23+NQ24+NQ17</f>
        <v>310687.47000000003</v>
      </c>
      <c r="NR41" s="1429">
        <f t="shared" si="1425"/>
        <v>0.82582315408541962</v>
      </c>
      <c r="NS41" s="588">
        <f>NS7+NS8+NS9+NS10+NS11+NS12+NS13+NS14+NS15+NS16+NS19+NS20+NS21+NS22+NS23+NS24+NS17</f>
        <v>1710070.4500000002</v>
      </c>
      <c r="NT41" s="590"/>
      <c r="NU41" s="588">
        <f>NU7+NU8+NU9+NU10+NU11+NU12+NU13+NU14+NU15+NU16+NU19+NU20+NU21+NU22+NU23+NU24+NU17</f>
        <v>1225160.31</v>
      </c>
      <c r="NV41" s="1429">
        <f t="shared" si="1426"/>
        <v>0.71643850111555341</v>
      </c>
      <c r="NW41" s="588">
        <f>NW7+NW8+NW9+NW10+NW11+NW12+NW13+NW14+NW15+NW16+NW19+NW20+NW21+NW22+NW23+NW24+NW17</f>
        <v>204533.48639999997</v>
      </c>
      <c r="NX41" s="590"/>
      <c r="NY41" s="588">
        <f>NY7+NY8+NY9+NY10+NY11+NY12+NY13+NY14+NY15+NY16+NY19+NY20+NY21+NY22+NY23+NY24+NY17</f>
        <v>119660.97</v>
      </c>
      <c r="NZ41" s="1429">
        <f t="shared" si="1427"/>
        <v>0.58504341810310045</v>
      </c>
      <c r="OA41" s="588">
        <f>OA7+OA8+OA9+OA10+OA11+OA12+OA13+OA14+OA15+OA16+OA19+OA20+OA21+OA22+OA23+OA24+OA17</f>
        <v>204533.48639999997</v>
      </c>
      <c r="OB41" s="590"/>
      <c r="OC41" s="588">
        <f>OC7+OC8+OC9+OC10+OC11+OC12+OC13+OC14+OC15+OC16+OC19+OC20+OC21+OC22+OC23+OC24+OC17</f>
        <v>136945.18000000002</v>
      </c>
      <c r="OD41" s="1429">
        <f t="shared" si="1428"/>
        <v>0.669548944822563</v>
      </c>
      <c r="OE41" s="588">
        <f>OE7+OE8+OE9+OE10+OE11+OE12+OE13+OE14+OE15+OE16+OE19+OE20+OE21+OE22+OE23+OE24+OE17</f>
        <v>204533.48639999997</v>
      </c>
      <c r="OF41" s="590"/>
      <c r="OG41" s="588">
        <f>OG7+OG8+OG9+OG10+OG11+OG12+OG13+OG14+OG15+OG16+OG19+OG20+OG21+OG22+OG23+OG24+OG17</f>
        <v>145354.81</v>
      </c>
      <c r="OH41" s="1429">
        <f t="shared" si="1429"/>
        <v>0.71066509723368221</v>
      </c>
      <c r="OI41" s="588">
        <f>OI7+OI8+OI9+OI10+OI11+OI12+OI13+OI14+OI15+OI16+OI19+OI20+OI21+OI22+OI23+OI24+OI17</f>
        <v>204533.48639999997</v>
      </c>
      <c r="OJ41" s="590"/>
      <c r="OK41" s="588">
        <f>OK7+OK8+OK9+OK10+OK11+OK12+OK13+OK14+OK15+OK16+OK19+OK20+OK21+OK22+OK23+OK24+OK17</f>
        <v>137352.01999999999</v>
      </c>
      <c r="OL41" s="1429">
        <f t="shared" si="1430"/>
        <v>0.67153805676291456</v>
      </c>
      <c r="OM41" s="588">
        <f>OM7+OM8+OM9+OM10+OM11+OM12+OM13+OM14+OM15+OM16+OM19+OM20+OM21+OM22+OM23+OM24+OM17</f>
        <v>238622.4008</v>
      </c>
      <c r="ON41" s="590"/>
      <c r="OO41" s="588">
        <f>OO7+OO8+OO9+OO10+OO11+OO12+OO13+OO14+OO15+OO16+OO19+OO20+OO21+OO22+OO23+OO24+OO17</f>
        <v>182185.76000000004</v>
      </c>
      <c r="OP41" s="1429">
        <f t="shared" si="1431"/>
        <v>0.76348976202237606</v>
      </c>
      <c r="OQ41" s="588">
        <f>OQ7+OQ8+OQ9+OQ10+OQ11+OQ12+OQ13+OQ14+OQ15+OQ16+OQ19+OQ20+OQ21+OQ22+OQ23+OQ24+OQ17</f>
        <v>272711.31519999995</v>
      </c>
      <c r="OR41" s="590"/>
      <c r="OS41" s="588">
        <f>OS7+OS8+OS9+OS10+OS11+OS12+OS13+OS14+OS15+OS16+OS19+OS20+OS21+OS22+OS23+OS24+OS17</f>
        <v>240757.84999999998</v>
      </c>
      <c r="OT41" s="1429">
        <f t="shared" si="1432"/>
        <v>0.88283043856626897</v>
      </c>
      <c r="OU41" s="588">
        <f>OU7+OU8+OU9+OU10+OU11+OU12+OU13+OU14+OU15+OU16+OU19+OU20+OU21+OU22+OU23+OU24+OU17</f>
        <v>374978.05839999998</v>
      </c>
      <c r="OV41" s="590"/>
      <c r="OW41" s="588">
        <f>OW7+OW8+OW9+OW10+OW11+OW12+OW13+OW14+OW15+OW16+OW19+OW20+OW21+OW22+OW23+OW24+OW17</f>
        <v>399515.13000000006</v>
      </c>
      <c r="OX41" s="1429">
        <f t="shared" si="1433"/>
        <v>1.0654360196559172</v>
      </c>
      <c r="OY41" s="588">
        <f>OY7+OY8+OY9+OY10+OY11+OY12+OY13+OY14+OY15+OY16+OY19+OY20+OY21+OY22+OY23+OY24+OY17</f>
        <v>1704445.7200000002</v>
      </c>
      <c r="OZ41" s="590"/>
      <c r="PA41" s="588">
        <f>PA7+PA8+PA9+PA10+PA11+PA12+PA13+PA14+PA15+PA16+PA19+PA20+PA21+PA22+PA23+PA24+PA17</f>
        <v>1361771.7199999997</v>
      </c>
      <c r="PB41" s="1429">
        <f t="shared" si="1434"/>
        <v>0.79895282320870831</v>
      </c>
      <c r="PC41" s="588">
        <f>PC7+PC8+PC9+PC10+PC11+PC12+PC13+PC14+PC15+PC16+PC19+PC20+PC21+PC22+PC23+PC24+PC17</f>
        <v>201616.80000000002</v>
      </c>
      <c r="PD41" s="590"/>
      <c r="PE41" s="588">
        <f>PE7+PE8+PE9+PE10+PE11+PE12+PE13+PE14+PE15+PE16+PE19+PE20+PE21+PE22+PE23+PE24+PE17</f>
        <v>229900.73000000004</v>
      </c>
      <c r="PF41" s="1429">
        <f t="shared" si="1435"/>
        <v>1.1402855813602835</v>
      </c>
      <c r="PG41" s="588">
        <f>PG7+PG8+PG9+PG10+PG11+PG12+PG13+PG14+PG15+PG16+PG19+PG20+PG21+PG22+PG23+PG24+PG17</f>
        <v>201616.80000000002</v>
      </c>
      <c r="PH41" s="590"/>
      <c r="PI41" s="588">
        <f>PI7+PI8+PI9+PI10+PI11+PI12+PI13+PI14+PI15+PI16+PI19+PI20+PI21+PI22+PI23+PI24+PI17</f>
        <v>210663.78</v>
      </c>
      <c r="PJ41" s="1429">
        <f t="shared" si="1436"/>
        <v>1.0448721535110168</v>
      </c>
      <c r="PK41" s="588">
        <f>PK7+PK8+PK9+PK10+PK11+PK12+PK13+PK14+PK15+PK16+PK19+PK20+PK21+PK22+PK23+PK24+PK17</f>
        <v>201616.80000000002</v>
      </c>
      <c r="PL41" s="590"/>
      <c r="PM41" s="588">
        <f>PM7+PM8+PM9+PM10+PM11+PM12+PM13+PM14+PM15+PM16+PM19+PM20+PM21+PM22+PM23+PM24+PM17</f>
        <v>168313.87</v>
      </c>
      <c r="PN41" s="1429">
        <f t="shared" si="1437"/>
        <v>0.8348206597862875</v>
      </c>
      <c r="PO41" s="588">
        <f>PO7+PO8+PO9+PO10+PO11+PO12+PO13+PO14+PO15+PO16+PO19+PO20+PO21+PO22+PO23+PO24+PO17</f>
        <v>201616.80000000002</v>
      </c>
      <c r="PP41" s="590"/>
      <c r="PQ41" s="588">
        <f>PQ7+PQ8+PQ9+PQ10+PQ11+PQ12+PQ13+PQ14+PQ15+PQ16+PQ19+PQ20+PQ21+PQ22+PQ23+PQ24+PQ17</f>
        <v>153345.88000000003</v>
      </c>
      <c r="PR41" s="1429">
        <f t="shared" si="1438"/>
        <v>0.76058086429305505</v>
      </c>
      <c r="PS41" s="588">
        <f>PS7+PS8+PS9+PS10+PS11+PS12+PS13+PS14+PS15+PS16+PS19+PS20+PS21+PS22+PS23+PS24+PS17</f>
        <v>235219.59999999998</v>
      </c>
      <c r="PT41" s="590"/>
      <c r="PU41" s="588">
        <f>PU7+PU8+PU9+PU10+PU11+PU12+PU13+PU14+PU15+PU16+PU19+PU20+PU21+PU22+PU23+PU24+PU17</f>
        <v>159579.99</v>
      </c>
      <c r="PV41" s="1429">
        <f t="shared" si="1439"/>
        <v>0.67842981622279774</v>
      </c>
      <c r="PW41" s="588">
        <f>PW7+PW8+PW9+PW10+PW11+PW12+PW13+PW14+PW15+PW16+PW19+PW20+PW21+PW22+PW23+PW24+PW17</f>
        <v>268822.40000000002</v>
      </c>
      <c r="PX41" s="590"/>
      <c r="PY41" s="588">
        <f>PY7+PY8+PY9+PY10+PY11+PY12+PY13+PY14+PY15+PY16+PY19+PY20+PY21+PY22+PY23+PY24+PY17</f>
        <v>192863.61000000002</v>
      </c>
      <c r="PZ41" s="1429">
        <f t="shared" si="1440"/>
        <v>0.71743876254359751</v>
      </c>
      <c r="QA41" s="588">
        <f>QA7+QA8+QA9+QA10+QA11+QA12+QA13+QA14+QA15+QA16+QA19+QA20+QA21+QA22+QA23+QA24+QA17</f>
        <v>369630.8</v>
      </c>
      <c r="QB41" s="590"/>
      <c r="QC41" s="588">
        <f>QC7+QC8+QC9+QC10+QC11+QC12+QC13+QC14+QC15+QC16+QC19+QC20+QC21+QC22+QC23+QC24+QC17</f>
        <v>298561.14</v>
      </c>
      <c r="QD41" s="1429">
        <f t="shared" si="1441"/>
        <v>0.80772798154266368</v>
      </c>
      <c r="QE41" s="588">
        <f>QE7+QE8+QE9+QE10+QE11+QE12+QE13+QE14+QE15+QE16+QE19+QE20+QE21+QE22+QE23+QE24+QE17</f>
        <v>1680140</v>
      </c>
      <c r="QF41" s="590"/>
      <c r="QG41" s="588">
        <f>QG7+QG8+QG9+QG10+QG11+QG12+QG13+QG14+QG15+QG16+QG19+QG20+QG21+QG22+QG23+QG24+QG17</f>
        <v>1413229</v>
      </c>
      <c r="QH41" s="1429">
        <f t="shared" si="1442"/>
        <v>0.84113764329163043</v>
      </c>
      <c r="QI41" s="588">
        <f>QI7+QI8+QI9+QI10+QI11+QI12+QI13+QI14+QI15+QI16+QI19+QI20+QI21+QI22+QI23+QI24+QI17</f>
        <v>206539.08719999995</v>
      </c>
      <c r="QJ41" s="590"/>
      <c r="QK41" s="588">
        <f>QK7+QK8+QK9+QK10+QK11+QK12+QK13+QK14+QK15+QK16+QK19+QK20+QK21+QK22+QK23+QK24+QK17</f>
        <v>138017.85999999999</v>
      </c>
      <c r="QL41" s="1429">
        <f t="shared" si="1443"/>
        <v>0.66824087329461201</v>
      </c>
      <c r="QM41" s="588">
        <f>QM7+QM8+QM9+QM10+QM11+QM12+QM13+QM14+QM15+QM16+QM19+QM20+QM21+QM22+QM23+QM24+QM17</f>
        <v>206539.08719999995</v>
      </c>
      <c r="QN41" s="590"/>
      <c r="QO41" s="588">
        <f>QO7+QO8+QO9+QO10+QO11+QO12+QO13+QO14+QO15+QO16+QO19+QO20+QO21+QO22+QO23+QO24+QO17</f>
        <v>143700.5</v>
      </c>
      <c r="QP41" s="1429">
        <f t="shared" si="1444"/>
        <v>0.69575450316989695</v>
      </c>
      <c r="QQ41" s="588">
        <f>QQ7+QQ8+QQ9+QQ10+QQ11+QQ12+QQ13+QQ14+QQ15+QQ16+QQ19+QQ20+QQ21+QQ22+QQ23+QQ24+QQ17</f>
        <v>206539.08719999995</v>
      </c>
      <c r="QR41" s="590"/>
      <c r="QS41" s="588">
        <f>QS7+QS8+QS9+QS10+QS11+QS12+QS13+QS14+QS15+QS16+QS19+QS20+QS21+QS22+QS23+QS24+QS17</f>
        <v>133795.77999999997</v>
      </c>
      <c r="QT41" s="1429">
        <f t="shared" si="1445"/>
        <v>0.6477988346604836</v>
      </c>
      <c r="QU41" s="588">
        <f>QU7+QU8+QU9+QU10+QU11+QU12+QU13+QU14+QU15+QU16+QU19+QU20+QU21+QU22+QU23+QU24+QU17</f>
        <v>206539.08719999995</v>
      </c>
      <c r="QV41" s="590"/>
      <c r="QW41" s="588">
        <f>QW7+QW8+QW9+QW10+QW11+QW12+QW13+QW14+QW15+QW16+QW19+QW20+QW21+QW22+QW23+QW24+QW17</f>
        <v>127156.4</v>
      </c>
      <c r="QX41" s="1429">
        <f t="shared" si="1446"/>
        <v>0.61565295810990694</v>
      </c>
      <c r="QY41" s="588">
        <f>QY7+QY8+QY9+QY10+QY11+QY12+QY13+QY14+QY15+QY16+QY19+QY20+QY21+QY22+QY23+QY24+QY17</f>
        <v>240962.2684</v>
      </c>
      <c r="QZ41" s="590"/>
      <c r="RA41" s="588">
        <f>RA7+RA8+RA9+RA10+RA11+RA12+RA13+RA14+RA15+RA16+RA19+RA20+RA21+RA22+RA23+RA24+RA17</f>
        <v>142956.62</v>
      </c>
      <c r="RB41" s="1429">
        <f t="shared" si="1447"/>
        <v>0.59327388038483453</v>
      </c>
      <c r="RC41" s="588">
        <f>RC7+RC8+RC9+RC10+RC11+RC12+RC13+RC14+RC15+RC16+RC19+RC20+RC21+RC22+RC23+RC24+RC17</f>
        <v>275385.44960000005</v>
      </c>
      <c r="RD41" s="590"/>
      <c r="RE41" s="588">
        <f>RE7+RE8+RE9+RE10+RE11+RE12+RE13+RE14+RE15+RE16+RE19+RE20+RE21+RE22+RE23+RE24+RE17</f>
        <v>184550.68000000002</v>
      </c>
      <c r="RF41" s="1429">
        <f t="shared" si="1448"/>
        <v>0.67015407047852971</v>
      </c>
      <c r="RG41" s="588">
        <f>RG7+RG8+RG9+RG10+RG11+RG12+RG13+RG14+RG15+RG16+RG19+RG20+RG21+RG22+RG23+RG24+RG17</f>
        <v>378654.99320000003</v>
      </c>
      <c r="RH41" s="590"/>
      <c r="RI41" s="588">
        <f>RI7+RI8+RI9+RI10+RI11+RI12+RI13+RI14+RI15+RI16+RI19+RI20+RI21+RI22+RI23+RI24+RI17</f>
        <v>291266.19999999995</v>
      </c>
      <c r="RJ41" s="1429">
        <f t="shared" si="1449"/>
        <v>0.7692126215965609</v>
      </c>
      <c r="RK41" s="588">
        <f>RK7+RK8+RK9+RK10+RK11+RK12+RK13+RK14+RK15+RK16+RK19+RK20+RK21+RK22+RK23+RK24+RK17</f>
        <v>1721159.0599999998</v>
      </c>
      <c r="RL41" s="590"/>
      <c r="RM41" s="588">
        <f>RM7+RM8+RM9+RM10+RM11+RM12+RM13+RM14+RM15+RM16+RM19+RM20+RM21+RM22+RM23+RM24+RM17</f>
        <v>1161444.04</v>
      </c>
      <c r="RN41" s="1429">
        <f t="shared" si="1450"/>
        <v>0.67480343158987299</v>
      </c>
      <c r="RO41" s="588">
        <f>RO7+RO8+RO9+RO10+RO11+RO12+RO13+RO14+RO15+RO16+RO19+RO20+RO21+RO22+RO23+RO24+RO17</f>
        <v>191256.58799999996</v>
      </c>
      <c r="RP41" s="590"/>
      <c r="RQ41" s="588">
        <f>RQ7+RQ8+RQ9+RQ10+RQ11+RQ12+RQ13+RQ14+RQ15+RQ16+RQ19+RQ20+RQ21+RQ22+RQ23+RQ24+RQ17</f>
        <v>138641.10999999999</v>
      </c>
      <c r="RR41" s="1429">
        <f t="shared" si="1451"/>
        <v>0.72489586607076784</v>
      </c>
      <c r="RS41" s="588">
        <f>RS7+RS8+RS9+RS10+RS11+RS12+RS13+RS14+RS15+RS16+RS19+RS20+RS21+RS22+RS23+RS24+RS17</f>
        <v>191256.58799999996</v>
      </c>
      <c r="RT41" s="590"/>
      <c r="RU41" s="588">
        <f>RU7+RU8+RU9+RU10+RU11+RU12+RU13+RU14+RU15+RU16+RU19+RU20+RU21+RU22+RU23+RU24+RU17</f>
        <v>129694.51000000001</v>
      </c>
      <c r="RV41" s="1429">
        <f t="shared" si="1452"/>
        <v>0.67811786959202702</v>
      </c>
      <c r="RW41" s="588">
        <f>RW7+RW8+RW9+RW10+RW11+RW12+RW13+RW14+RW15+RW16+RW19+RW20+RW21+RW22+RW23+RW24+RW17</f>
        <v>191256.58799999996</v>
      </c>
      <c r="RX41" s="590"/>
      <c r="RY41" s="588">
        <f>RY7+RY8+RY9+RY10+RY11+RY12+RY13+RY14+RY15+RY16+RY19+RY20+RY21+RY22+RY23+RY24+RY17</f>
        <v>163456.11999999997</v>
      </c>
      <c r="RZ41" s="1429">
        <f t="shared" si="1453"/>
        <v>0.85464308293526603</v>
      </c>
      <c r="SA41" s="588">
        <f>SA7+SA8+SA9+SA10+SA11+SA12+SA13+SA14+SA15+SA16+SA19+SA20+SA21+SA22+SA23+SA24+SA17</f>
        <v>191256.58799999996</v>
      </c>
      <c r="SB41" s="590"/>
      <c r="SC41" s="588">
        <f>SC7+SC8+SC9+SC10+SC11+SC12+SC13+SC14+SC15+SC16+SC19+SC20+SC21+SC22+SC23+SC24+SC17</f>
        <v>176375.93</v>
      </c>
      <c r="SD41" s="1429">
        <f t="shared" si="1454"/>
        <v>0.92219531805095278</v>
      </c>
      <c r="SE41" s="588">
        <f>SE7+SE8+SE9+SE10+SE11+SE12+SE13+SE14+SE15+SE16+SE19+SE20+SE21+SE22+SE23+SE24+SE17</f>
        <v>223132.68600000005</v>
      </c>
      <c r="SF41" s="590"/>
      <c r="SG41" s="588">
        <f>SG7+SG8+SG9+SG10+SG11+SG12+SG13+SG14+SG15+SG16+SG19+SG20+SG21+SG22+SG23+SG24+SG17</f>
        <v>152549.88000000003</v>
      </c>
      <c r="SH41" s="1429">
        <f t="shared" si="1455"/>
        <v>0.68367339063896715</v>
      </c>
      <c r="SI41" s="588">
        <f>SI7+SI8+SI9+SI10+SI11+SI12+SI13+SI14+SI15+SI16+SI19+SI20+SI21+SI22+SI23+SI24+SI17</f>
        <v>255008.78400000001</v>
      </c>
      <c r="SJ41" s="590"/>
      <c r="SK41" s="588">
        <f>SK7+SK8+SK9+SK10+SK11+SK12+SK13+SK14+SK15+SK16+SK19+SK20+SK21+SK22+SK23+SK24+SK17</f>
        <v>190990.88999999998</v>
      </c>
      <c r="SL41" s="1429">
        <f t="shared" si="1456"/>
        <v>0.74895808294980137</v>
      </c>
      <c r="SM41" s="588">
        <f>SM7+SM8+SM9+SM10+SM11+SM12+SM13+SM14+SM15+SM16+SM19+SM20+SM21+SM22+SM23+SM24+SM17</f>
        <v>350637.07799999998</v>
      </c>
      <c r="SN41" s="590"/>
      <c r="SO41" s="588">
        <f>SO7+SO8+SO9+SO10+SO11+SO12+SO13+SO14+SO15+SO16+SO19+SO20+SO21+SO22+SO23+SO24+SO17</f>
        <v>269769.42000000004</v>
      </c>
      <c r="SP41" s="1429">
        <f t="shared" si="1457"/>
        <v>0.76936934775620069</v>
      </c>
      <c r="SQ41" s="588">
        <f>SQ7+SQ8+SQ9+SQ10+SQ11+SQ12+SQ13+SQ14+SQ15+SQ16+SQ19+SQ20+SQ21+SQ22+SQ23+SQ24+SQ17</f>
        <v>1593804.9</v>
      </c>
      <c r="SR41" s="590"/>
      <c r="SS41" s="588">
        <f>SS7+SS8+SS9+SS10+SS11+SS12+SS13+SS14+SS15+SS16+SS19+SS20+SS21+SS22+SS23+SS24+SS17</f>
        <v>1221477.8600000001</v>
      </c>
      <c r="ST41" s="1429">
        <f t="shared" si="1458"/>
        <v>0.76639108086566943</v>
      </c>
      <c r="SU41" s="588">
        <f>SU7+SU8+SU9+SU10+SU11+SU12+SU13+SU14+SU15+SU16+SU19+SU20+SU21+SU22+SU23+SU24+SU17</f>
        <v>184353.46919999999</v>
      </c>
      <c r="SV41" s="590"/>
      <c r="SW41" s="588">
        <f>SW7+SW8+SW9+SW10+SW11+SW12+SW13+SW14+SW15+SW16+SW19+SW20+SW21+SW22+SW23+SW24+SW17</f>
        <v>110378.15999999999</v>
      </c>
      <c r="SX41" s="1429">
        <f t="shared" si="1459"/>
        <v>0.59873112493616143</v>
      </c>
      <c r="SY41" s="588">
        <f>SY7+SY8+SY9+SY10+SY11+SY12+SY13+SY14+SY15+SY16+SY19+SY20+SY21+SY22+SY23+SY24+SY17</f>
        <v>184353.46919999999</v>
      </c>
      <c r="SZ41" s="590"/>
      <c r="TA41" s="588">
        <f>TA7+TA8+TA9+TA10+TA11+TA12+TA13+TA14+TA15+TA16+TA19+TA20+TA21+TA22+TA23+TA24+TA17</f>
        <v>124817.66</v>
      </c>
      <c r="TB41" s="1429">
        <f t="shared" si="1460"/>
        <v>0.67705620372453512</v>
      </c>
      <c r="TC41" s="588">
        <f>TC7+TC8+TC9+TC10+TC11+TC12+TC13+TC14+TC15+TC16+TC19+TC20+TC21+TC22+TC23+TC24+TC17</f>
        <v>184353.46919999999</v>
      </c>
      <c r="TD41" s="590"/>
      <c r="TE41" s="588">
        <f>TE7+TE8+TE9+TE10+TE11+TE12+TE13+TE14+TE15+TE16+TE19+TE20+TE21+TE22+TE23+TE24+TE17</f>
        <v>118082.08</v>
      </c>
      <c r="TF41" s="1429">
        <f t="shared" si="1461"/>
        <v>0.64051997780359649</v>
      </c>
      <c r="TG41" s="588">
        <f>TG7+TG8+TG9+TG10+TG11+TG12+TG13+TG14+TG15+TG16+TG19+TG20+TG21+TG22+TG23+TG24+TG17</f>
        <v>184353.46919999999</v>
      </c>
      <c r="TH41" s="590"/>
      <c r="TI41" s="588">
        <f>TI7+TI8+TI9+TI10+TI11+TI12+TI13+TI14+TI15+TI16+TI19+TI20+TI21+TI22+TI23+TI24+TI17</f>
        <v>112047.18</v>
      </c>
      <c r="TJ41" s="1429">
        <f t="shared" si="1462"/>
        <v>0.60778449402784551</v>
      </c>
      <c r="TK41" s="588">
        <f>TK7+TK8+TK9+TK10+TK11+TK12+TK13+TK14+TK15+TK16+TK19+TK20+TK21+TK22+TK23+TK24+TK17</f>
        <v>215079.04740000001</v>
      </c>
      <c r="TL41" s="590"/>
      <c r="TM41" s="588">
        <f>TM7+TM8+TM9+TM10+TM11+TM12+TM13+TM14+TM15+TM16+TM19+TM20+TM21+TM22+TM23+TM24+TM17</f>
        <v>132458.90999999997</v>
      </c>
      <c r="TN41" s="1429">
        <f t="shared" si="1463"/>
        <v>0.61586152440807196</v>
      </c>
      <c r="TO41" s="588">
        <f>TO7+TO8+TO9+TO10+TO11+TO12+TO13+TO14+TO15+TO16+TO19+TO20+TO21+TO22+TO23+TO24+TO17</f>
        <v>245804.6256</v>
      </c>
      <c r="TP41" s="590"/>
      <c r="TQ41" s="588">
        <f>TQ7+TQ8+TQ9+TQ10+TQ11+TQ12+TQ13+TQ14+TQ15+TQ16+TQ19+TQ20+TQ21+TQ22+TQ23+TQ24+TQ17</f>
        <v>161485.43</v>
      </c>
      <c r="TR41" s="1429">
        <f t="shared" si="1464"/>
        <v>0.65696660347957259</v>
      </c>
      <c r="TS41" s="588">
        <f>TS7+TS8+TS9+TS10+TS11+TS12+TS13+TS14+TS15+TS16+TS19+TS20+TS21+TS22+TS23+TS24+TS17</f>
        <v>337981.3602</v>
      </c>
      <c r="TT41" s="590"/>
      <c r="TU41" s="588">
        <f>TU7+TU8+TU9+TU10+TU11+TU12+TU13+TU14+TU15+TU16+TU19+TU20+TU21+TU22+TU23+TU24+TU17</f>
        <v>294049.96999999997</v>
      </c>
      <c r="TV41" s="1429">
        <f t="shared" si="1465"/>
        <v>0.87001830463667085</v>
      </c>
      <c r="TW41" s="588">
        <f>TW7+TW8+TW9+TW10+TW11+TW12+TW13+TW14+TW15+TW16+TW19+TW20+TW21+TW22+TW23+TW24+TW17</f>
        <v>1536278.9100000004</v>
      </c>
      <c r="TX41" s="590"/>
      <c r="TY41" s="588">
        <f>TY7+TY8+TY9+TY10+TY11+TY12+TY13+TY14+TY15+TY16+TY19+TY20+TY21+TY22+TY23+TY24+TY17</f>
        <v>1053319.3899999999</v>
      </c>
      <c r="TZ41" s="1429">
        <f t="shared" si="1466"/>
        <v>0.68563031305298572</v>
      </c>
      <c r="UA41" s="588">
        <f>UA7+UA8+UA9+UA10+UA11+UA12+UA13+UA14+UA15+UA16+UA19+UA20+UA21+UA22+UA23+UA24+UA17</f>
        <v>221008.19000000003</v>
      </c>
      <c r="UB41" s="590"/>
      <c r="UC41" s="588">
        <f>UC7+UC8+UC9+UC10+UC11+UC12+UC13+UC14+UC15+UC16+UC19+UC20+UC21+UC22+UC23+UC24+UC17</f>
        <v>114171.68000000001</v>
      </c>
      <c r="UD41" s="1429">
        <f t="shared" si="1467"/>
        <v>0.5165947922563412</v>
      </c>
      <c r="UE41" s="588">
        <f>UE7+UE8+UE9+UE10+UE11+UE12+UE13+UE14+UE15+UE16+UE19+UE20+UE21+UE22+UE23+UE24+UE17</f>
        <v>185945.18</v>
      </c>
      <c r="UF41" s="590"/>
      <c r="UG41" s="588">
        <f>UG7+UG8+UG9+UG10+UG11+UG12+UG13+UG14+UG15+UG16+UG19+UG20+UG21+UG22+UG23+UG24+UG17</f>
        <v>127134.45999999998</v>
      </c>
      <c r="UH41" s="1429">
        <f t="shared" si="1468"/>
        <v>0.68372011578896519</v>
      </c>
      <c r="UI41" s="588">
        <f>UI7+UI8+UI9+UI10+UI11+UI12+UI13+UI14+UI15+UI16+UI19+UI20+UI21+UI22+UI23+UI24+UI17</f>
        <v>196369.50999999998</v>
      </c>
      <c r="UJ41" s="590"/>
      <c r="UK41" s="588">
        <f>UK7+UK8+UK9+UK10+UK11+UK12+UK13+UK14+UK15+UK16+UK19+UK20+UK21+UK22+UK23+UK24+UK17</f>
        <v>130690.7</v>
      </c>
      <c r="UL41" s="1429">
        <f t="shared" si="1469"/>
        <v>0.6655345832456373</v>
      </c>
      <c r="UM41" s="588">
        <f>UM7+UM8+UM9+UM10+UM11+UM12+UM13+UM14+UM15+UM16+UM19+UM20+UM21+UM22+UM23+UM24+UM17</f>
        <v>178153.55000000002</v>
      </c>
      <c r="UN41" s="590"/>
      <c r="UO41" s="588">
        <f>UO7+UO8+UO9+UO10+UO11+UO12+UO13+UO14+UO15+UO16+UO19+UO20+UO21+UO22+UO23+UO24+UO17</f>
        <v>120115.37</v>
      </c>
      <c r="UP41" s="1429">
        <f t="shared" si="1470"/>
        <v>0.67422383668470254</v>
      </c>
      <c r="UQ41" s="588">
        <f>UQ7+UQ8+UQ9+UQ10+UQ11+UQ12+UQ13+UQ14+UQ15+UQ16+UQ19+UQ20+UQ21+UQ22+UQ23+UQ24+UQ17</f>
        <v>203358</v>
      </c>
      <c r="UR41" s="590"/>
      <c r="US41" s="588">
        <f>US7+US8+US9+US10+US11+US12+US13+US14+US15+US16+US19+US20+US21+US22+US23+US24+US17</f>
        <v>137830.75000000003</v>
      </c>
      <c r="UT41" s="1429">
        <f t="shared" si="1471"/>
        <v>0.67777392578605233</v>
      </c>
      <c r="UU41" s="588">
        <f>UU7+UU8+UU9+UU10+UU11+UU12+UU13+UU14+UU15+UU16+UU19+UU20+UU21+UU22+UU23+UU24+UU17</f>
        <v>254762.63</v>
      </c>
      <c r="UV41" s="590"/>
      <c r="UW41" s="588">
        <f>UW7+UW8+UW9+UW10+UW11+UW12+UW13+UW14+UW15+UW16+UW19+UW20+UW21+UW22+UW23+UW24+UW17</f>
        <v>205448.48</v>
      </c>
      <c r="UX41" s="1429">
        <f t="shared" si="1472"/>
        <v>0.80643099029084453</v>
      </c>
      <c r="UY41" s="588">
        <f>UY7+UY8+UY9+UY10+UY11+UY12+UY13+UY14+UY15+UY16+UY19+UY20+UY21+UY22+UY23+UY24+UY17</f>
        <v>375986.98000000004</v>
      </c>
      <c r="UZ41" s="590"/>
      <c r="VA41" s="588">
        <f>VA7+VA8+VA9+VA10+VA11+VA12+VA13+VA14+VA15+VA16+VA19+VA20+VA21+VA22+VA23+VA24+VA17</f>
        <v>296857.83999999997</v>
      </c>
      <c r="VB41" s="1429">
        <f t="shared" si="1473"/>
        <v>0.78954287193668227</v>
      </c>
      <c r="VC41" s="588">
        <f>VC7+VC8+VC9+VC10+VC11+VC12+VC13+VC14+VC15+VC16+VC19+VC20+VC21+VC22+VC23+VC24+VC17</f>
        <v>1615584.04</v>
      </c>
      <c r="VD41" s="590"/>
      <c r="VE41" s="588">
        <f>VE7+VE8+VE9+VE10+VE11+VE12+VE13+VE14+VE15+VE16+VE19+VE20+VE21+VE22+VE23+VE24+VE17</f>
        <v>1132249.28</v>
      </c>
      <c r="VF41" s="1429">
        <f t="shared" si="1474"/>
        <v>0.70082970118967014</v>
      </c>
      <c r="VG41" s="588">
        <f>VG7+VG8+VG9+VG10+VG11+VG12+VG13+VG14+VG15+VG16+VG19+VG20+VG21+VG22+VG23+VG24+VG17</f>
        <v>205368.26</v>
      </c>
      <c r="VH41" s="590"/>
      <c r="VI41" s="588">
        <f>VI7+VI8+VI9+VI10+VI11+VI12+VI13+VI14+VI15+VI16+VI19+VI20+VI21+VI22+VI23+VI24+VI17</f>
        <v>118032.71</v>
      </c>
      <c r="VJ41" s="1429">
        <f t="shared" si="1475"/>
        <v>0.57473686537539925</v>
      </c>
      <c r="VK41" s="588">
        <f>VK7+VK8+VK9+VK10+VK11+VK12+VK13+VK14+VK15+VK16+VK19+VK20+VK21+VK22+VK23+VK24+VK17</f>
        <v>172920.87</v>
      </c>
      <c r="VL41" s="590"/>
      <c r="VM41" s="588">
        <f>VM7+VM8+VM9+VM10+VM11+VM12+VM13+VM14+VM15+VM16+VM19+VM20+VM21+VM22+VM23+VM24+VM17</f>
        <v>132854.02000000002</v>
      </c>
      <c r="VN41" s="1429">
        <f t="shared" si="1476"/>
        <v>0.76829372880208169</v>
      </c>
      <c r="VO41" s="588">
        <f>VO7+VO8+VO9+VO10+VO11+VO12+VO13+VO14+VO15+VO16+VO19+VO20+VO21+VO22+VO23+VO24+VO17</f>
        <v>157589.78999999998</v>
      </c>
      <c r="VP41" s="590"/>
      <c r="VQ41" s="588">
        <f>VQ7+VQ8+VQ9+VQ10+VQ11+VQ12+VQ13+VQ14+VQ15+VQ16+VQ19+VQ20+VQ21+VQ22+VQ23+VQ24+VQ17</f>
        <v>119292.20999999999</v>
      </c>
      <c r="VR41" s="1429">
        <f t="shared" si="1477"/>
        <v>0.75697930684468839</v>
      </c>
      <c r="VS41" s="588">
        <f>VS7+VS8+VS9+VS10+VS11+VS12+VS13+VS14+VS15+VS16+VS19+VS20+VS21+VS22+VS23+VS24+VS17</f>
        <v>169782.07</v>
      </c>
      <c r="VT41" s="590"/>
      <c r="VU41" s="588">
        <f>VU7+VU8+VU9+VU10+VU11+VU12+VU13+VU14+VU15+VU16+VU19+VU20+VU21+VU22+VU23+VU24+VU17</f>
        <v>126349.97</v>
      </c>
      <c r="VV41" s="1429">
        <f t="shared" si="1478"/>
        <v>0.74418912432861728</v>
      </c>
      <c r="VW41" s="588">
        <f>VW7+VW8+VW9+VW10+VW11+VW12+VW13+VW14+VW15+VW16+VW19+VW20+VW21+VW22+VW23+VW24+VW17</f>
        <v>181620.31</v>
      </c>
      <c r="VX41" s="590"/>
      <c r="VY41" s="588">
        <f>VY7+VY8+VY9+VY10+VY11+VY12+VY13+VY14+VY15+VY16+VY19+VY20+VY21+VY22+VY23+VY24+VY17</f>
        <v>131441.1</v>
      </c>
      <c r="VZ41" s="1429">
        <f t="shared" si="1479"/>
        <v>0.72371366396192149</v>
      </c>
      <c r="WA41" s="588">
        <f>WA7+WA8+WA9+WA10+WA11+WA12+WA13+WA14+WA15+WA16+WA19+WA20+WA21+WA22+WA23+WA24+WA17</f>
        <v>225432.37000000002</v>
      </c>
      <c r="WB41" s="590"/>
      <c r="WC41" s="588">
        <f>WC7+WC8+WC9+WC10+WC11+WC12+WC13+WC14+WC15+WC16+WC19+WC20+WC21+WC22+WC23+WC24+WC17</f>
        <v>190181.01</v>
      </c>
      <c r="WD41" s="1429">
        <f t="shared" si="1480"/>
        <v>0.84362778069538102</v>
      </c>
      <c r="WE41" s="588">
        <f>WE7+WE8+WE9+WE10+WE11+WE12+WE13+WE14+WE15+WE16+WE19+WE20+WE21+WE22+WE23+WE24+WE17</f>
        <v>381775.26</v>
      </c>
      <c r="WF41" s="590"/>
      <c r="WG41" s="588">
        <f>WG7+WG8+WG9+WG10+WG11+WG12+WG13+WG14+WG15+WG16+WG19+WG20+WG21+WG22+WG23+WG24+WG17</f>
        <v>328174.8</v>
      </c>
      <c r="WH41" s="1429">
        <f t="shared" si="1481"/>
        <v>0.85960206012301577</v>
      </c>
      <c r="WI41" s="588">
        <f>WI7+WI8+WI9+WI10+WI11+WI12+WI13+WI14+WI15+WI16+WI19+WI20+WI21+WI22+WI23+WI24+WI17</f>
        <v>705660.99</v>
      </c>
      <c r="WJ41" s="590"/>
      <c r="WK41" s="588">
        <f>WK7+WK8+WK9+WK10+WK11+WK12+WK13+WK14+WK15+WK16+WK19+WK20+WK21+WK22+WK23+WK24+WK17</f>
        <v>1146325.82</v>
      </c>
      <c r="WL41" s="1429">
        <f t="shared" si="1482"/>
        <v>1.6244710083803839</v>
      </c>
      <c r="WM41" s="588">
        <f>WM7+WM8+WM9+WM10+WM11+WM12+WM13+WM14+WM15+WM16+WM19+WM20+WM21+WM22+WM23+WM24+WM17</f>
        <v>187212.69</v>
      </c>
      <c r="WN41" s="590"/>
      <c r="WO41" s="588">
        <f>WO7+WO8+WO9+WO10+WO11+WO12+WO13+WO14+WO15+WO16+WO19+WO20+WO21+WO22+WO23+WO24+WO17</f>
        <v>145401.54</v>
      </c>
      <c r="WP41" s="1429">
        <f t="shared" si="1483"/>
        <v>0.77666497928105194</v>
      </c>
      <c r="WQ41" s="588">
        <f>WQ7+WQ8+WQ9+WQ10+WQ11+WQ12+WQ13+WQ14+WQ15+WQ16+WQ19+WQ20+WQ21+WQ22+WQ23+WQ24+WQ17</f>
        <v>190993.17</v>
      </c>
      <c r="WR41" s="590"/>
      <c r="WS41" s="588">
        <f>WS7+WS8+WS9+WS10+WS11+WS12+WS13+WS14+WS15+WS16+WS19+WS20+WS21+WS22+WS23+WS24+WS17</f>
        <v>142487.02000000002</v>
      </c>
      <c r="WT41" s="1429">
        <f t="shared" si="1484"/>
        <v>0.74603201779414419</v>
      </c>
      <c r="WU41" s="588">
        <f>WU7+WU8+WU9+WU10+WU11+WU12+WU13+WU14+WU15+WU16+WU19+WU20+WU21+WU22+WU23+WU24+WU17</f>
        <v>192060.91999999998</v>
      </c>
      <c r="WV41" s="590"/>
      <c r="WW41" s="588">
        <f>WW7+WW8+WW9+WW10+WW11+WW12+WW13+WW14+WW15+WW16+WW19+WW20+WW21+WW22+WW23+WW24+WW17</f>
        <v>136597.26</v>
      </c>
      <c r="WX41" s="1429">
        <f t="shared" si="1485"/>
        <v>0.71121839882887172</v>
      </c>
      <c r="WY41" s="588">
        <f>WY7+WY8+WY9+WY10+WY11+WY12+WY13+WY14+WY15+WY16+WY19+WY20+WY21+WY22+WY23+WY24+WY17</f>
        <v>213947.74</v>
      </c>
      <c r="WZ41" s="590"/>
      <c r="XA41" s="588">
        <f>XA7+XA8+XA9+XA10+XA11+XA12+XA13+XA14+XA15+XA16+XA19+XA20+XA21+XA22+XA23+XA24+XA17</f>
        <v>132287.19000000003</v>
      </c>
      <c r="XB41" s="1429">
        <f t="shared" si="1486"/>
        <v>0.61831543534883815</v>
      </c>
      <c r="XC41" s="588">
        <f>XC7+XC8+XC9+XC10+XC11+XC12+XC13+XC14+XC15+XC16+XC19+XC20+XC21+XC22+XC23+XC24+XC17</f>
        <v>199968.8</v>
      </c>
      <c r="XD41" s="590"/>
      <c r="XE41" s="588">
        <f>XE7+XE8+XE9+XE10+XE11+XE12+XE13+XE14+XE15+XE16+XE19+XE20+XE21+XE22+XE23+XE24+XE17</f>
        <v>160866.93000000002</v>
      </c>
      <c r="XF41" s="1429">
        <f t="shared" si="1487"/>
        <v>0.80446014578274228</v>
      </c>
      <c r="XG41" s="588">
        <f>XG7+XG8+XG9+XG10+XG11+XG12+XG13+XG14+XG15+XG16+XG19+XG20+XG21+XG22+XG23+XG24+XG17</f>
        <v>265936.20999999996</v>
      </c>
      <c r="XH41" s="590"/>
      <c r="XI41" s="588">
        <f>XI7+XI8+XI9+XI10+XI11+XI12+XI13+XI14+XI15+XI16+XI19+XI20+XI21+XI22+XI23+XI24+XI17</f>
        <v>217836.51</v>
      </c>
      <c r="XJ41" s="1429">
        <f t="shared" si="1488"/>
        <v>0.81913068551289059</v>
      </c>
      <c r="XK41" s="588">
        <f>XK7+XK8+XK9+XK10+XK11+XK12+XK13+XK14+XK15+XK16+XK19+XK20+XK21+XK22+XK23+XK24+XK17</f>
        <v>420477.79</v>
      </c>
      <c r="XL41" s="590"/>
      <c r="XM41" s="588">
        <f>XM7+XM8+XM9+XM10+XM11+XM12+XM13+XM14+XM15+XM16+XM19+XM20+XM21+XM22+XM23+XM24+XM17</f>
        <v>381414.07999999996</v>
      </c>
      <c r="XN41" s="1429">
        <f t="shared" si="1489"/>
        <v>0.90709685284447483</v>
      </c>
      <c r="XO41" s="588">
        <f>XO7+XO8+XO9+XO10+XO11+XO12+XO13+XO14+XO15+XO16+XO19+XO20+XO21+XO22+XO23+XO24+XO17</f>
        <v>1670597.3200000003</v>
      </c>
      <c r="XP41" s="590"/>
      <c r="XQ41" s="588">
        <f>XQ7+XQ8+XQ9+XQ10+XQ11+XQ12+XQ13+XQ14+XQ15+XQ16+XQ19+XQ20+XQ21+XQ22+XQ23+XQ24+XQ17</f>
        <v>1316890.5299999998</v>
      </c>
      <c r="XR41" s="1429">
        <f t="shared" si="1490"/>
        <v>0.78827525594258674</v>
      </c>
      <c r="XS41" s="588">
        <f>XS7+XS8+XS9+XS10+XS11+XS12+XS13+XS14+XS15+XS16+XS19+XS20+XS21+XS22+XS23+XS24+XS17</f>
        <v>244046.66999999998</v>
      </c>
      <c r="XT41" s="590"/>
      <c r="XU41" s="588">
        <f>XU7+XU8+XU9+XU10+XU11+XU12+XU13+XU14+XU15+XU16+XU19+XU20+XU21+XU22+XU23+XU24+XU17</f>
        <v>149426.31999999998</v>
      </c>
      <c r="XV41" s="1429">
        <f t="shared" si="1491"/>
        <v>0.61228583860619767</v>
      </c>
      <c r="XW41" s="588">
        <f>XW7+XW8+XW9+XW10+XW11+XW12+XW13+XW14+XW15+XW16+XW19+XW20+XW21+XW22+XW23+XW24+XW17</f>
        <v>191832.30000000005</v>
      </c>
      <c r="XX41" s="590"/>
      <c r="XY41" s="588">
        <f>XY7+XY8+XY9+XY10+XY11+XY12+XY13+XY14+XY15+XY16+XY19+XY20+XY21+XY22+XY23+XY24+XY17</f>
        <v>159100.74999999997</v>
      </c>
      <c r="XZ41" s="1429">
        <f t="shared" si="1492"/>
        <v>0.82937414606403581</v>
      </c>
      <c r="YA41" s="588">
        <f>YA7+YA8+YA9+YA10+YA11+YA12+YA13+YA14+YA15+YA16+YA19+YA20+YA21+YA22+YA23+YA24+YA17</f>
        <v>192681.22999999998</v>
      </c>
      <c r="YB41" s="590"/>
      <c r="YC41" s="588">
        <f>YC7+YC8+YC9+YC10+YC11+YC12+YC13+YC14+YC15+YC16+YC19+YC20+YC21+YC22+YC23+YC24+YC17</f>
        <v>138921.93</v>
      </c>
      <c r="YD41" s="1429">
        <f t="shared" si="1493"/>
        <v>0.72099358095233257</v>
      </c>
      <c r="YE41" s="588">
        <f>YE7+YE8+YE9+YE10+YE11+YE12+YE13+YE14+YE15+YE16+YE19+YE20+YE21+YE22+YE23+YE24+YE17</f>
        <v>201462.63000000003</v>
      </c>
      <c r="YF41" s="590"/>
      <c r="YG41" s="588">
        <f>YG7+YG8+YG9+YG10+YG11+YG12+YG13+YG14+YG15+YG16+YG19+YG20+YG21+YG22+YG23+YG24+YG17</f>
        <v>142127.36000000002</v>
      </c>
      <c r="YH41" s="1429">
        <f t="shared" si="1494"/>
        <v>0.7054775369506493</v>
      </c>
      <c r="YI41" s="588">
        <f>YI7+YI8+YI9+YI10+YI11+YI12+YI13+YI14+YI15+YI16+YI19+YI20+YI21+YI22+YI23+YI24+YI17</f>
        <v>218637.46</v>
      </c>
      <c r="YJ41" s="590"/>
      <c r="YK41" s="588">
        <f>YK7+YK8+YK9+YK10+YK11+YK12+YK13+YK14+YK15+YK16+YK19+YK20+YK21+YK22+YK23+YK24+YK17</f>
        <v>182630.47</v>
      </c>
      <c r="YL41" s="1429">
        <f t="shared" si="1495"/>
        <v>0.83531189028632147</v>
      </c>
      <c r="YM41" s="588">
        <f>YM7+YM8+YM9+YM10+YM11+YM12+YM13+YM14+YM15+YM16+YM19+YM20+YM21+YM22+YM23+YM24+YM17</f>
        <v>298096.86</v>
      </c>
      <c r="YN41" s="590"/>
      <c r="YO41" s="588">
        <f>YO7+YO8+YO9+YO10+YO11+YO12+YO13+YO14+YO15+YO16+YO19+YO20+YO21+YO22+YO23+YO24+YO17</f>
        <v>240641.41999999995</v>
      </c>
      <c r="YP41" s="1429">
        <f t="shared" si="1496"/>
        <v>0.80725915730880216</v>
      </c>
      <c r="YQ41" s="588">
        <f>YQ7+YQ8+YQ9+YQ10+YQ11+YQ12+YQ13+YQ14+YQ15+YQ16+YQ19+YQ20+YQ21+YQ22+YQ23+YQ24+YQ17</f>
        <v>477948.10000000003</v>
      </c>
      <c r="YR41" s="590"/>
      <c r="YS41" s="588">
        <f>YS7+YS8+YS9+YS10+YS11+YS12+YS13+YS14+YS15+YS16+YS19+YS20+YS21+YS22+YS23+YS24+YS17</f>
        <v>388393.09</v>
      </c>
      <c r="YT41" s="1429">
        <f t="shared" si="1497"/>
        <v>0.81262607801976827</v>
      </c>
      <c r="YU41" s="588">
        <f>YU7+YU8+YU9+YU10+YU11+YU12+YU13+YU14+YU15+YU16+YU19+YU20+YU21+YU22+YU23+YU24+YU17</f>
        <v>1824705.25</v>
      </c>
      <c r="YV41" s="590"/>
      <c r="YW41" s="588">
        <f>YW7+YW8+YW9+YW10+YW11+YW12+YW13+YW14+YW15+YW16+YW19+YW20+YW21+YW22+YW23+YW24+YW17</f>
        <v>1401241.34</v>
      </c>
      <c r="YX41" s="1429">
        <f t="shared" si="1498"/>
        <v>0.76792749952355321</v>
      </c>
      <c r="YY41" s="588">
        <f>YY7+YY8+YY9+YY10+YY11+YY12+YY13+YY14+YY15+YY16+YY19+YY20+YY21+YY22+YY23+YY24+YY17</f>
        <v>255767.34999999998</v>
      </c>
      <c r="YZ41" s="590"/>
      <c r="ZA41" s="588">
        <f>ZA7+ZA8+ZA9+ZA10+ZA11+ZA12+ZA13+ZA14+ZA15+ZA16+ZA19+ZA20+ZA21+ZA22+ZA23+ZA24+ZA17</f>
        <v>183167.69</v>
      </c>
      <c r="ZB41" s="1429">
        <f t="shared" si="1499"/>
        <v>0.71614961800245425</v>
      </c>
      <c r="ZC41" s="588">
        <f>ZC7+ZC8+ZC9+ZC10+ZC11+ZC12+ZC13+ZC14+ZC15+ZC16+ZC19+ZC20+ZC21+ZC22+ZC23+ZC24+ZC17</f>
        <v>245526.91999999998</v>
      </c>
      <c r="ZD41" s="590"/>
      <c r="ZE41" s="588">
        <f>ZE7+ZE8+ZE9+ZE10+ZE11+ZE12+ZE13+ZE14+ZE15+ZE16+ZE19+ZE20+ZE21+ZE22+ZE23+ZE24+ZE17</f>
        <v>200224.91999999998</v>
      </c>
      <c r="ZF41" s="1429">
        <f t="shared" si="1500"/>
        <v>0.81549070057165218</v>
      </c>
      <c r="ZG41" s="588">
        <f>ZG7+ZG8+ZG9+ZG10+ZG11+ZG12+ZG13+ZG14+ZG15+ZG16+ZG19+ZG20+ZG21+ZG22+ZG23+ZG24+ZG17</f>
        <v>298370.77000000008</v>
      </c>
      <c r="ZH41" s="590"/>
      <c r="ZI41" s="588">
        <f>ZI7+ZI8+ZI9+ZI10+ZI11+ZI12+ZI13+ZI14+ZI15+ZI16+ZI19+ZI20+ZI21+ZI22+ZI23+ZI24+ZI17</f>
        <v>242490.28999999998</v>
      </c>
      <c r="ZJ41" s="1429">
        <f t="shared" si="1501"/>
        <v>0.8127146301898136</v>
      </c>
      <c r="ZK41" s="588">
        <f>ZK7+ZK8+ZK9+ZK10+ZK11+ZK12+ZK13+ZK14+ZK15+ZK16+ZK19+ZK20+ZK21+ZK22+ZK23+ZK24+ZK17</f>
        <v>395482.24</v>
      </c>
      <c r="ZL41" s="590"/>
      <c r="ZM41" s="588">
        <f>ZM7+ZM8+ZM9+ZM10+ZM11+ZM12+ZM13+ZM14+ZM15+ZM16+ZM19+ZM20+ZM21+ZM22+ZM23+ZM24+ZM17</f>
        <v>274449.43</v>
      </c>
      <c r="ZN41" s="1429">
        <f t="shared" si="1502"/>
        <v>0.69396145323744496</v>
      </c>
      <c r="ZO41" s="588">
        <f>ZO7+ZO8+ZO9+ZO10+ZO11+ZO12+ZO13+ZO14+ZO15+ZO16+ZO19+ZO20+ZO21+ZO22+ZO23+ZO24+ZO17</f>
        <v>459792.88999999996</v>
      </c>
      <c r="ZP41" s="590"/>
      <c r="ZQ41" s="588">
        <f>ZQ7+ZQ8+ZQ9+ZQ10+ZQ11+ZQ12+ZQ13+ZQ14+ZQ15+ZQ16+ZQ19+ZQ20+ZQ21+ZQ22+ZQ23+ZQ24+ZQ17</f>
        <v>292600.77999999997</v>
      </c>
      <c r="ZR41" s="1429">
        <f t="shared" si="1503"/>
        <v>0.63637517317851522</v>
      </c>
      <c r="ZS41" s="588">
        <f>ZS7+ZS8+ZS9+ZS10+ZS11+ZS12+ZS13+ZS14+ZS15+ZS16+ZS19+ZS20+ZS21+ZS22+ZS23+ZS24+ZS17</f>
        <v>294381.24000000005</v>
      </c>
      <c r="ZT41" s="590"/>
      <c r="ZU41" s="588">
        <f>ZU7+ZU8+ZU9+ZU10+ZU11+ZU12+ZU13+ZU14+ZU15+ZU16+ZU19+ZU20+ZU21+ZU22+ZU23+ZU24+ZU17</f>
        <v>390874.72000000003</v>
      </c>
      <c r="ZV41" s="1429">
        <f t="shared" si="1504"/>
        <v>1.3277840666749008</v>
      </c>
      <c r="ZW41" s="588">
        <f>ZW7+ZW8+ZW9+ZW10+ZW11+ZW12+ZW13+ZW14+ZW15+ZW16+ZW19+ZW20+ZW21+ZW22+ZW23+ZW24+ZW17</f>
        <v>367186.14</v>
      </c>
      <c r="ZX41" s="590"/>
      <c r="ZY41" s="588">
        <f>ZY7+ZY8+ZY9+ZY10+ZY11+ZY12+ZY13+ZY14+ZY15+ZY16+ZY19+ZY20+ZY21+ZY22+ZY23+ZY24+ZY17</f>
        <v>592539.07000000007</v>
      </c>
      <c r="ZZ41" s="1429">
        <f t="shared" si="1505"/>
        <v>1.6137294016598775</v>
      </c>
      <c r="AAA41" s="588">
        <f>AAA7+AAA8+AAA9+AAA10+AAA11+AAA12+AAA13+AAA14+AAA15+AAA16+AAA19+AAA20+AAA21+AAA22+AAA23+AAA24+AAA17</f>
        <v>2316507.5500000003</v>
      </c>
      <c r="AAB41" s="590"/>
      <c r="AAC41" s="588">
        <f>AAC7+AAC8+AAC9+AAC10+AAC11+AAC12+AAC13+AAC14+AAC15+AAC16+AAC19+AAC20+AAC21+AAC22+AAC23+AAC24+AAC17</f>
        <v>2176346.9</v>
      </c>
      <c r="AAD41" s="1429">
        <f t="shared" si="1506"/>
        <v>0.9394948442969675</v>
      </c>
      <c r="AAE41" s="588">
        <f>AAE7+AAE8+AAE9+AAE10+AAE11+AAE12+AAE13+AAE14+AAE15+AAE16+AAE19+AAE20+AAE21+AAE22+AAE23+AAE24+AAE17</f>
        <v>212138.63999999998</v>
      </c>
      <c r="AAF41" s="590"/>
      <c r="AAG41" s="588">
        <f>AAG7+AAG8+AAG9+AAG10+AAG11+AAG12+AAG13+AAG14+AAG15+AAG16+AAG19+AAG20+AAG21+AAG22+AAG23+AAG24+AAG17</f>
        <v>246981.27000000002</v>
      </c>
      <c r="AAH41" s="1429">
        <f t="shared" si="1507"/>
        <v>1.1642446185192854</v>
      </c>
      <c r="AAI41" s="588">
        <f>AAI7+AAI8+AAI9+AAI10+AAI11+AAI12+AAI13+AAI14+AAI15+AAI16+AAI19+AAI20+AAI21+AAI22+AAI23+AAI24+AAI17</f>
        <v>191136.59</v>
      </c>
      <c r="AAJ41" s="590"/>
      <c r="AAK41" s="588">
        <f>AAK7+AAK8+AAK9+AAK10+AAK11+AAK12+AAK13+AAK14+AAK15+AAK16+AAK19+AAK20+AAK21+AAK22+AAK23+AAK24+AAK17</f>
        <v>188910.86000000002</v>
      </c>
      <c r="AAL41" s="1429">
        <f t="shared" si="1508"/>
        <v>0.98835529084201001</v>
      </c>
      <c r="AAM41" s="588">
        <f>AAM7+AAM8+AAM9+AAM10+AAM11+AAM12+AAM13+AAM14+AAM15+AAM16+AAM19+AAM20+AAM21+AAM22+AAM23+AAM24+AAM17</f>
        <v>198098.04</v>
      </c>
      <c r="AAN41" s="590"/>
      <c r="AAO41" s="588">
        <f>AAO7+AAO8+AAO9+AAO10+AAO11+AAO12+AAO13+AAO14+AAO15+AAO16+AAO19+AAO20+AAO21+AAO22+AAO23+AAO24+AAO17</f>
        <v>140361.13</v>
      </c>
      <c r="AAP41" s="1429">
        <f t="shared" si="1509"/>
        <v>0.7085437594435563</v>
      </c>
      <c r="AAQ41" s="588">
        <f>AAQ7+AAQ8+AAQ9+AAQ10+AAQ11+AAQ12+AAQ13+AAQ14+AAQ15+AAQ16+AAQ19+AAQ20+AAQ21+AAQ22+AAQ23+AAQ24+AAQ17</f>
        <v>165122.99999999997</v>
      </c>
      <c r="AAR41" s="590"/>
      <c r="AAS41" s="588">
        <f>AAS7+AAS8+AAS9+AAS10+AAS11+AAS12+AAS13+AAS14+AAS15+AAS16+AAS19+AAS20+AAS21+AAS22+AAS23+AAS24+AAS17</f>
        <v>143467.09</v>
      </c>
      <c r="AAT41" s="1429">
        <f t="shared" si="1510"/>
        <v>0.86884982709858727</v>
      </c>
      <c r="AAU41" s="588">
        <f>AAU7+AAU8+AAU9+AAU10+AAU11+AAU12+AAU13+AAU14+AAU15+AAU16+AAU19+AAU20+AAU21+AAU22+AAU23+AAU24+AAU17</f>
        <v>191082.47999999998</v>
      </c>
      <c r="AAV41" s="590"/>
      <c r="AAW41" s="588">
        <f>AAW7+AAW8+AAW9+AAW10+AAW11+AAW12+AAW13+AAW14+AAW15+AAW16+AAW19+AAW20+AAW21+AAW22+AAW23+AAW24+AAW17</f>
        <v>156724.15999999997</v>
      </c>
      <c r="AAX41" s="1429">
        <f t="shared" si="1511"/>
        <v>0.82019115514933649</v>
      </c>
      <c r="AAY41" s="588">
        <f>AAY7+AAY8+AAY9+AAY10+AAY11+AAY12+AAY13+AAY14+AAY15+AAY16+AAY19+AAY20+AAY21+AAY22+AAY23+AAY24+AAY17</f>
        <v>230361.58999999997</v>
      </c>
      <c r="AAZ41" s="590"/>
      <c r="ABA41" s="588">
        <f>ABA7+ABA8+ABA9+ABA10+ABA11+ABA12+ABA13+ABA14+ABA15+ABA16+ABA19+ABA20+ABA21+ABA22+ABA23+ABA24+ABA17</f>
        <v>196381.17</v>
      </c>
      <c r="ABB41" s="1429">
        <f t="shared" si="1512"/>
        <v>0.85249094694996697</v>
      </c>
      <c r="ABC41" s="588">
        <f>ABC7+ABC8+ABC9+ABC10+ABC11+ABC12+ABC13+ABC14+ABC15+ABC16+ABC19+ABC20+ABC21+ABC22+ABC23+ABC24+ABC17</f>
        <v>424931.94</v>
      </c>
      <c r="ABD41" s="590"/>
      <c r="ABE41" s="588">
        <f>ABE7+ABE8+ABE9+ABE10+ABE11+ABE12+ABE13+ABE14+ABE15+ABE16+ABE19+ABE20+ABE21+ABE22+ABE23+ABE24+ABE17</f>
        <v>364838.56</v>
      </c>
      <c r="ABF41" s="1429">
        <f t="shared" si="1513"/>
        <v>0.85858116478605961</v>
      </c>
      <c r="ABG41" s="588">
        <f>ABG7+ABG8+ABG9+ABG10+ABG11+ABG12+ABG13+ABG14+ABG15+ABG16+ABG19+ABG20+ABG21+ABG22+ABG23+ABG24+ABG17</f>
        <v>1612872.28</v>
      </c>
      <c r="ABH41" s="590"/>
      <c r="ABI41" s="588">
        <f>ABI7+ABI8+ABI9+ABI10+ABI11+ABI12+ABI13+ABI14+ABI15+ABI16+ABI19+ABI20+ABI21+ABI22+ABI23+ABI24+ABI17</f>
        <v>1437664.24</v>
      </c>
      <c r="ABJ41" s="1429">
        <f t="shared" si="1514"/>
        <v>0.89136893096085701</v>
      </c>
      <c r="ABK41" s="588">
        <f>ABK7+ABK8+ABK9+ABK10+ABK11+ABK12+ABK13+ABK14+ABK15+ABK16+ABK19+ABK20+ABK21+ABK22+ABK23+ABK24+ABK17</f>
        <v>227177.63</v>
      </c>
      <c r="ABL41" s="590"/>
      <c r="ABM41" s="588">
        <f>ABM7+ABM8+ABM9+ABM10+ABM11+ABM12+ABM13+ABM14+ABM15+ABM16+ABM19+ABM20+ABM21+ABM22+ABM23+ABM24+ABM17</f>
        <v>158089.76</v>
      </c>
      <c r="ABN41" s="1429">
        <f t="shared" si="1515"/>
        <v>0.695886122238356</v>
      </c>
      <c r="ABO41" s="588">
        <f>ABO7+ABO8+ABO9+ABO10+ABO11+ABO12+ABO13+ABO14+ABO15+ABO16+ABO19+ABO20+ABO21+ABO22+ABO23+ABO24+ABO17</f>
        <v>187382.53999999998</v>
      </c>
      <c r="ABP41" s="590"/>
      <c r="ABQ41" s="588">
        <f>ABQ7+ABQ8+ABQ9+ABQ10+ABQ11+ABQ12+ABQ13+ABQ14+ABQ15+ABQ16+ABQ19+ABQ20+ABQ21+ABQ22+ABQ23+ABQ24+ABQ17</f>
        <v>170752.55000000002</v>
      </c>
      <c r="ABR41" s="1429">
        <f t="shared" si="1516"/>
        <v>0.91125112297015531</v>
      </c>
      <c r="ABS41" s="588">
        <f>ABS7+ABS8+ABS9+ABS10+ABS11+ABS12+ABS13+ABS14+ABS15+ABS16+ABS19+ABS20+ABS21+ABS22+ABS23+ABS24+ABS17</f>
        <v>162781.63999999998</v>
      </c>
      <c r="ABT41" s="590"/>
      <c r="ABU41" s="588">
        <f>ABU7+ABU8+ABU9+ABU10+ABU11+ABU12+ABU13+ABU14+ABU15+ABU16+ABU19+ABU20+ABU21+ABU22+ABU23+ABU24+ABU17</f>
        <v>152345.81</v>
      </c>
      <c r="ABV41" s="1429">
        <f t="shared" si="1517"/>
        <v>0.93589062009695945</v>
      </c>
      <c r="ABW41" s="588">
        <f>ABW7+ABW8+ABW9+ABW10+ABW11+ABW12+ABW13+ABW14+ABW15+ABW16+ABW19+ABW20+ABW21+ABW22+ABW23+ABW24+ABW17</f>
        <v>197964.36</v>
      </c>
      <c r="ABX41" s="590"/>
      <c r="ABY41" s="588">
        <f>ABY7+ABY8+ABY9+ABY10+ABY11+ABY12+ABY13+ABY14+ABY15+ABY16+ABY19+ABY20+ABY21+ABY22+ABY23+ABY24+ABY17</f>
        <v>168051.6</v>
      </c>
      <c r="ABZ41" s="1429">
        <f t="shared" si="1518"/>
        <v>0.84889825623157633</v>
      </c>
      <c r="ACA41" s="588">
        <f>ACA7+ACA8+ACA9+ACA10+ACA11+ACA12+ACA13+ACA14+ACA15+ACA16+ACA19+ACA20+ACA21+ACA22+ACA23+ACA24+ACA17</f>
        <v>247736.64</v>
      </c>
      <c r="ACB41" s="590"/>
      <c r="ACC41" s="588">
        <f>ACC7+ACC8+ACC9+ACC10+ACC11+ACC12+ACC13+ACC14+ACC15+ACC16+ACC19+ACC20+ACC21+ACC22+ACC23+ACC24+ACC17</f>
        <v>169396.07</v>
      </c>
      <c r="ACD41" s="1429">
        <f t="shared" si="1519"/>
        <v>0.68377479407163999</v>
      </c>
      <c r="ACE41" s="588">
        <f>ACE7+ACE8+ACE9+ACE10+ACE11+ACE12+ACE13+ACE14+ACE15+ACE16+ACE19+ACE20+ACE21+ACE22+ACE23+ACE24+ACE17</f>
        <v>379073.91000000003</v>
      </c>
      <c r="ACF41" s="590"/>
      <c r="ACG41" s="588">
        <f>ACG7+ACG8+ACG9+ACG10+ACG11+ACG12+ACG13+ACG14+ACG15+ACG16+ACG19+ACG20+ACG21+ACG22+ACG23+ACG24+ACG17</f>
        <v>251843.87</v>
      </c>
      <c r="ACH41" s="1429">
        <f t="shared" si="1520"/>
        <v>0.66436613904660435</v>
      </c>
      <c r="ACI41" s="588">
        <f>ACI7+ACI8+ACI9+ACI10+ACI11+ACI12+ACI13+ACI14+ACI15+ACI16+ACI19+ACI20+ACI21+ACI22+ACI23+ACI24+ACI17</f>
        <v>596078.93000000005</v>
      </c>
      <c r="ACJ41" s="590"/>
      <c r="ACK41" s="588">
        <f>ACK7+ACK8+ACK9+ACK10+ACK11+ACK12+ACK13+ACK14+ACK15+ACK16+ACK19+ACK20+ACK21+ACK22+ACK23+ACK24+ACK17</f>
        <v>424698.77</v>
      </c>
      <c r="ACL41" s="1429">
        <f t="shared" si="1521"/>
        <v>0.71248747208695995</v>
      </c>
      <c r="ACM41" s="588">
        <f>ACM7+ACM8+ACM9+ACM10+ACM11+ACM12+ACM13+ACM14+ACM15+ACM16+ACM19+ACM20+ACM21+ACM22+ACM23+ACM24+ACM17</f>
        <v>1998195.6499999997</v>
      </c>
      <c r="ACN41" s="590"/>
      <c r="ACO41" s="588">
        <f>ACO7+ACO8+ACO9+ACO10+ACO11+ACO12+ACO13+ACO14+ACO15+ACO16+ACO19+ACO20+ACO21+ACO22+ACO23+ACO24+ACO17</f>
        <v>1495178.43</v>
      </c>
      <c r="ACP41" s="1429">
        <f t="shared" si="1522"/>
        <v>0.74826428032710424</v>
      </c>
      <c r="ACQ41" s="588">
        <f>ACQ7+ACQ8+ACQ9+ACQ10+ACQ11+ACQ12+ACQ13+ACQ14+ACQ15+ACQ16+ACQ19+ACQ20+ACQ21+ACQ22+ACQ23+ACQ24+ACQ17</f>
        <v>360736.80999999994</v>
      </c>
      <c r="ACR41" s="590"/>
      <c r="ACS41" s="588">
        <f>ACS7+ACS8+ACS9+ACS10+ACS11+ACS12+ACS13+ACS14+ACS15+ACS16+ACS19+ACS20+ACS21+ACS22+ACS23+ACS24+ACS17</f>
        <v>228891.24</v>
      </c>
      <c r="ACT41" s="1429">
        <f t="shared" si="1523"/>
        <v>0.63451035118927845</v>
      </c>
      <c r="ACU41" s="588">
        <f>ACU7+ACU8+ACU9+ACU10+ACU11+ACU12+ACU13+ACU14+ACU15+ACU16+ACU19+ACU20+ACU21+ACU22+ACU23+ACU24+ACU17</f>
        <v>422447.63999999996</v>
      </c>
      <c r="ACV41" s="590"/>
      <c r="ACW41" s="588">
        <f>ACW7+ACW8+ACW9+ACW10+ACW11+ACW12+ACW13+ACW14+ACW15+ACW16+ACW19+ACW20+ACW21+ACW22+ACW23+ACW24+ACW17</f>
        <v>279460.88</v>
      </c>
      <c r="ACX41" s="1429">
        <f t="shared" si="1524"/>
        <v>0.66152785230377908</v>
      </c>
      <c r="ACY41" s="588">
        <f>ACY7+ACY8+ACY9+ACY10+ACY11+ACY12+ACY13+ACY14+ACY15+ACY16+ACY19+ACY20+ACY21+ACY22+ACY23+ACY24+ACY17</f>
        <v>274856.87999999995</v>
      </c>
      <c r="ACZ41" s="590"/>
      <c r="ADA41" s="588">
        <f>ADA7+ADA8+ADA9+ADA10+ADA11+ADA12+ADA13+ADA14+ADA15+ADA16+ADA19+ADA20+ADA21+ADA22+ADA23+ADA24+ADA17</f>
        <v>207584.13</v>
      </c>
      <c r="ADB41" s="1429">
        <f t="shared" si="1525"/>
        <v>0.75524443848740497</v>
      </c>
      <c r="ADC41" s="588">
        <f>ADC7+ADC8+ADC9+ADC10+ADC11+ADC12+ADC13+ADC14+ADC15+ADC16+ADC19+ADC20+ADC21+ADC22+ADC23+ADC24+ADC17</f>
        <v>222027.9</v>
      </c>
      <c r="ADD41" s="590"/>
      <c r="ADE41" s="588">
        <f>ADE7+ADE8+ADE9+ADE10+ADE11+ADE12+ADE13+ADE14+ADE15+ADE16+ADE19+ADE20+ADE21+ADE22+ADE23+ADE24+ADE17</f>
        <v>194315.45</v>
      </c>
      <c r="ADF41" s="1429">
        <f t="shared" si="1526"/>
        <v>0.87518483037492145</v>
      </c>
      <c r="ADG41" s="588">
        <f>ADG7+ADG8+ADG9+ADG10+ADG11+ADG12+ADG13+ADG14+ADG15+ADG16+ADG19+ADG20+ADG21+ADG22+ADG23+ADG24+ADG17</f>
        <v>282601.23</v>
      </c>
      <c r="ADH41" s="590"/>
      <c r="ADI41" s="588">
        <f>ADI7+ADI8+ADI9+ADI10+ADI11+ADI12+ADI13+ADI14+ADI15+ADI16+ADI19+ADI20+ADI21+ADI22+ADI23+ADI24+ADI17</f>
        <v>213932.09</v>
      </c>
      <c r="ADJ41" s="1429">
        <f t="shared" si="1527"/>
        <v>0.75701047019505197</v>
      </c>
      <c r="ADK41" s="588">
        <f>ADK7+ADK8+ADK9+ADK10+ADK11+ADK12+ADK13+ADK14+ADK15+ADK16+ADK19+ADK20+ADK21+ADK22+ADK23+ADK24+ADK17</f>
        <v>354197.74</v>
      </c>
      <c r="ADL41" s="590"/>
      <c r="ADM41" s="588">
        <f>ADM7+ADM8+ADM9+ADM10+ADM11+ADM12+ADM13+ADM14+ADM15+ADM16+ADM19+ADM20+ADM21+ADM22+ADM23+ADM24+ADM17</f>
        <v>247082.06</v>
      </c>
      <c r="ADN41" s="1429">
        <f t="shared" si="1528"/>
        <v>0.69758226012396352</v>
      </c>
      <c r="ADO41" s="588">
        <f>ADO7+ADO8+ADO9+ADO10+ADO11+ADO12+ADO13+ADO14+ADO15+ADO16+ADO19+ADO20+ADO21+ADO22+ADO23+ADO24+ADO17</f>
        <v>507047.24999999994</v>
      </c>
      <c r="ADP41" s="590"/>
      <c r="ADQ41" s="588">
        <f>ADQ7+ADQ8+ADQ9+ADQ10+ADQ11+ADQ12+ADQ13+ADQ14+ADQ15+ADQ16+ADQ19+ADQ20+ADQ21+ADQ22+ADQ23+ADQ24+ADQ17</f>
        <v>410238.6</v>
      </c>
      <c r="ADR41" s="1429">
        <f t="shared" si="1529"/>
        <v>0.80907371058614364</v>
      </c>
      <c r="ADS41" s="588">
        <f>ADS7+ADS8+ADS9+ADS10+ADS11+ADS12+ADS13+ADS14+ADS15+ADS16+ADS19+ADS20+ADS21+ADS22+ADS23+ADS24+ADS17</f>
        <v>2423915.4500000002</v>
      </c>
      <c r="ADT41" s="590"/>
      <c r="ADU41" s="588">
        <f>ADU7+ADU8+ADU9+ADU10+ADU11+ADU12+ADU13+ADU14+ADU15+ADU16+ADU19+ADU20+ADU21+ADU22+ADU23+ADU24+ADU17</f>
        <v>1781504.45</v>
      </c>
      <c r="ADV41" s="1429">
        <f t="shared" si="1530"/>
        <v>0.73496971604351946</v>
      </c>
      <c r="ADW41" s="588">
        <f>ADW7+ADW8+ADW9+ADW10+ADW11+ADW12+ADW13+ADW14+ADW15+ADW16+ADW19+ADW20+ADW21+ADW22+ADW23+ADW24+ADW17</f>
        <v>322881.83</v>
      </c>
      <c r="ADX41" s="590"/>
      <c r="ADY41" s="588">
        <f>ADY7+ADY8+ADY9+ADY10+ADY11+ADY12+ADY13+ADY14+ADY15+ADY16+ADY19+ADY20+ADY21+ADY22+ADY23+ADY24+ADY17</f>
        <v>225924.85</v>
      </c>
      <c r="ADZ41" s="1429">
        <f t="shared" si="1531"/>
        <v>0.69971373118146662</v>
      </c>
      <c r="AEA41" s="588">
        <f>AEA7+AEA8+AEA9+AEA10+AEA11+AEA12+AEA13+AEA14+AEA15+AEA16+AEA19+AEA20+AEA21+AEA22+AEA23+AEA24+AEA17</f>
        <v>289711.3</v>
      </c>
      <c r="AEB41" s="590"/>
      <c r="AEC41" s="588">
        <f>AEC7+AEC8+AEC9+AEC10+AEC11+AEC12+AEC13+AEC14+AEC15+AEC16+AEC19+AEC20+AEC21+AEC22+AEC23+AEC24+AEC17</f>
        <v>246466</v>
      </c>
      <c r="AED41" s="1429">
        <f t="shared" si="1532"/>
        <v>0.85072967467958627</v>
      </c>
      <c r="AEE41" s="588">
        <f>AEE7+AEE8+AEE9+AEE10+AEE11+AEE12+AEE13+AEE14+AEE15+AEE16+AEE19+AEE20+AEE21+AEE22+AEE23+AEE24+AEE17</f>
        <v>276199.98</v>
      </c>
      <c r="AEF41" s="590"/>
      <c r="AEG41" s="588">
        <f>AEG7+AEG8+AEG9+AEG10+AEG11+AEG12+AEG13+AEG14+AEG15+AEG16+AEG19+AEG20+AEG21+AEG22+AEG23+AEG24+AEG17</f>
        <v>268714</v>
      </c>
      <c r="AEH41" s="1429">
        <f t="shared" si="1533"/>
        <v>0.97289652229518631</v>
      </c>
      <c r="AEI41" s="588">
        <f>AEI7+AEI8+AEI9+AEI10+AEI11+AEI12+AEI13+AEI14+AEI15+AEI16+AEI19+AEI20+AEI21+AEI22+AEI23+AEI24+AEI17</f>
        <v>253242.48</v>
      </c>
      <c r="AEJ41" s="590"/>
      <c r="AEK41" s="588">
        <f>AEK7+AEK8+AEK9+AEK10+AEK11+AEK12+AEK13+AEK14+AEK15+AEK16+AEK19+AEK20+AEK21+AEK22+AEK23+AEK24+AEK17</f>
        <v>284312</v>
      </c>
      <c r="AEL41" s="1429">
        <f t="shared" si="1534"/>
        <v>1.1226868414809394</v>
      </c>
      <c r="AEM41" s="588">
        <f>AEM7+AEM8+AEM9+AEM10+AEM11+AEM12+AEM13+AEM14+AEM15+AEM16+AEM19+AEM20+AEM21+AEM22+AEM23+AEM24+AEM17</f>
        <v>321329.73000000004</v>
      </c>
      <c r="AEN41" s="590"/>
      <c r="AEO41" s="588">
        <f>AEO7+AEO8+AEO9+AEO10+AEO11+AEO12+AEO13+AEO14+AEO15+AEO16+AEO19+AEO20+AEO21+AEO22+AEO23+AEO24+AEO17</f>
        <v>259091</v>
      </c>
      <c r="AEP41" s="1429">
        <f t="shared" si="1535"/>
        <v>0.80630883423080701</v>
      </c>
      <c r="AEQ41" s="588">
        <f>AEQ7+AEQ8+AEQ9+AEQ10+AEQ11+AEQ12+AEQ13+AEQ14+AEQ15+AEQ16+AEQ19+AEQ20+AEQ21+AEQ22+AEQ23+AEQ24+AEQ17</f>
        <v>468247.86</v>
      </c>
      <c r="AER41" s="590"/>
      <c r="AES41" s="588">
        <f>AES7+AES8+AES9+AES10+AES11+AES12+AES13+AES14+AES15+AES16+AES19+AES20+AES21+AES22+AES23+AES24+AES17</f>
        <v>230724</v>
      </c>
      <c r="AET41" s="1429">
        <f t="shared" si="1536"/>
        <v>0.49273903782496731</v>
      </c>
      <c r="AEU41" s="588">
        <f>AEU7+AEU8+AEU9+AEU10+AEU11+AEU12+AEU13+AEU14+AEU15+AEU16+AEU19+AEU20+AEU21+AEU22+AEU23+AEU24+AEU17</f>
        <v>701130.43</v>
      </c>
      <c r="AEV41" s="590"/>
      <c r="AEW41" s="588">
        <f>AEW7+AEW8+AEW9+AEW10+AEW11+AEW12+AEW13+AEW14+AEW15+AEW16+AEW19+AEW20+AEW21+AEW22+AEW23+AEW24+AEW17</f>
        <v>570254</v>
      </c>
      <c r="AEX41" s="1429">
        <f t="shared" si="1537"/>
        <v>0.8133351165488566</v>
      </c>
      <c r="AEY41" s="588">
        <f>AEY7+AEY8+AEY9+AEY10+AEY11+AEY12+AEY13+AEY14+AEY15+AEY16+AEY19+AEY20+AEY21+AEY22+AEY23+AEY24+AEY17</f>
        <v>2632743.61</v>
      </c>
      <c r="AEZ41" s="590"/>
      <c r="AFA41" s="588">
        <f>AFA7+AFA8+AFA9+AFA10+AFA11+AFA12+AFA13+AFA14+AFA15+AFA16+AFA19+AFA20+AFA21+AFA22+AFA23+AFA24+AFA17</f>
        <v>2085485.85</v>
      </c>
      <c r="AFB41" s="1429">
        <f t="shared" si="1538"/>
        <v>0.79213404680906252</v>
      </c>
      <c r="AFC41" s="588">
        <f>AFC7+AFC8+AFC9+AFC10+AFC11+AFC12+AFC13+AFC14+AFC15+AFC16+AFC19+AFC20+AFC21+AFC22+AFC23+AFC24+AFC17</f>
        <v>411029.01000000007</v>
      </c>
      <c r="AFD41" s="590"/>
      <c r="AFE41" s="588">
        <f>AFE7+AFE8+AFE9+AFE10+AFE11+AFE12+AFE13+AFE14+AFE15+AFE16+AFE19+AFE20+AFE21+AFE22+AFE23+AFE24+AFE17</f>
        <v>262380</v>
      </c>
      <c r="AFF41" s="1429">
        <f t="shared" si="1539"/>
        <v>0.6383491033881038</v>
      </c>
      <c r="AFG41" s="588">
        <f>AFG7+AFG8+AFG9+AFG10+AFG11+AFG12+AFG13+AFG14+AFG15+AFG16+AFG19+AFG20+AFG21+AFG22+AFG23+AFG24+AFG17</f>
        <v>415826.44000000006</v>
      </c>
      <c r="AFH41" s="590"/>
      <c r="AFI41" s="588">
        <f>AFI7+AFI8+AFI9+AFI10+AFI11+AFI12+AFI13+AFI14+AFI15+AFI16+AFI19+AFI20+AFI21+AFI22+AFI23+AFI24+AFI17</f>
        <v>316540.06</v>
      </c>
      <c r="AFJ41" s="1429">
        <f t="shared" si="1540"/>
        <v>0.76123120020939494</v>
      </c>
      <c r="AFK41" s="588">
        <f>AFK7+AFK8+AFK9+AFK10+AFK11+AFK12+AFK13+AFK14+AFK15+AFK16+AFK19+AFK20+AFK21+AFK22+AFK23+AFK24+AFK17</f>
        <v>392721.34999999986</v>
      </c>
      <c r="AFL41" s="590"/>
      <c r="AFM41" s="588">
        <f>AFM7+AFM8+AFM9+AFM10+AFM11+AFM12+AFM13+AFM14+AFM15+AFM16+AFM19+AFM20+AFM21+AFM22+AFM23+AFM24+AFM17</f>
        <v>336508.68</v>
      </c>
      <c r="AFN41" s="1429">
        <f t="shared" si="1541"/>
        <v>0.85686372793330468</v>
      </c>
      <c r="AFO41" s="588">
        <f>AFO7+AFO8+AFO9+AFO10+AFO11+AFO12+AFO13+AFO14+AFO15+AFO16+AFO19+AFO20+AFO21+AFO22+AFO23+AFO24+AFO17</f>
        <v>432916.92</v>
      </c>
      <c r="AFP41" s="590"/>
      <c r="AFQ41" s="588">
        <f>AFQ7+AFQ8+AFQ9+AFQ10+AFQ11+AFQ12+AFQ13+AFQ14+AFQ15+AFQ16+AFQ19+AFQ20+AFQ21+AFQ22+AFQ23+AFQ24+AFQ17</f>
        <v>348447.25</v>
      </c>
      <c r="AFR41" s="1429">
        <f t="shared" si="1542"/>
        <v>0.80488249338926277</v>
      </c>
      <c r="AFS41" s="588">
        <f>AFS7+AFS8+AFS9+AFS10+AFS11+AFS12+AFS13+AFS14+AFS15+AFS16+AFS19+AFS20+AFS21+AFS22+AFS23+AFS24+AFS17</f>
        <v>471369.69</v>
      </c>
      <c r="AFT41" s="590"/>
      <c r="AFU41" s="588">
        <f>AFU7+AFU8+AFU9+AFU10+AFU11+AFU12+AFU13+AFU14+AFU15+AFU16+AFU19+AFU20+AFU21+AFU22+AFU23+AFU24+AFU17</f>
        <v>392274.38</v>
      </c>
      <c r="AFV41" s="1429">
        <f t="shared" si="1543"/>
        <v>0.83220111161581056</v>
      </c>
      <c r="AFW41" s="588">
        <f>AFW7+AFW8+AFW9+AFW10+AFW11+AFW12+AFW13+AFW14+AFW15+AFW16+AFW19+AFW20+AFW21+AFW22+AFW23+AFW24+AFW17</f>
        <v>578873.72000000009</v>
      </c>
      <c r="AFX41" s="590"/>
      <c r="AFY41" s="588">
        <f>AFY7+AFY8+AFY9+AFY10+AFY11+AFY12+AFY13+AFY14+AFY15+AFY16+AFY19+AFY20+AFY21+AFY22+AFY23+AFY24+AFY17</f>
        <v>470433.59</v>
      </c>
      <c r="AFZ41" s="1429">
        <f t="shared" si="1544"/>
        <v>0.81267049055189433</v>
      </c>
      <c r="AGA41" s="588">
        <f>AGA7+AGA8+AGA9+AGA10+AGA11+AGA12+AGA13+AGA14+AGA15+AGA16+AGA19+AGA20+AGA21+AGA22+AGA23+AGA24+AGA17</f>
        <v>847650.67</v>
      </c>
      <c r="AGB41" s="590"/>
      <c r="AGC41" s="588">
        <f>AGC7+AGC8+AGC9+AGC10+AGC11+AGC12+AGC13+AGC14+AGC15+AGC16+AGC19+AGC20+AGC21+AGC22+AGC23+AGC24+AGC17</f>
        <v>728442.05000000016</v>
      </c>
      <c r="AGD41" s="1429">
        <f t="shared" si="1545"/>
        <v>0.8593658635343262</v>
      </c>
      <c r="AGE41" s="588">
        <f>AGE7+AGE8+AGE9+AGE10+AGE11+AGE12+AGE13+AGE14+AGE15+AGE16+AGE19+AGE20+AGE21+AGE22+AGE23+AGE24+AGE17</f>
        <v>3550387.8000000007</v>
      </c>
      <c r="AGF41" s="590"/>
      <c r="AGG41" s="588">
        <f>AGG7+AGG8+AGG9+AGG10+AGG11+AGG12+AGG13+AGG14+AGG15+AGG16+AGG19+AGG20+AGG21+AGG22+AGG23+AGG24+AGG17</f>
        <v>2855026.0100000002</v>
      </c>
      <c r="AGH41" s="1429">
        <f t="shared" si="1546"/>
        <v>0.80414483454455299</v>
      </c>
      <c r="AGI41" s="588">
        <f>AGI7+AGI8+AGI9+AGI10+AGI11+AGI12+AGI13+AGI14+AGI15+AGI16+AGI19+AGI20+AGI21+AGI22+AGI23+AGI24+AGI17</f>
        <v>582932.47000000009</v>
      </c>
      <c r="AGJ41" s="590"/>
      <c r="AGK41" s="588">
        <f>AGK7+AGK8+AGK9+AGK10+AGK11+AGK12+AGK13+AGK14+AGK15+AGK16+AGK19+AGK20+AGK21+AGK22+AGK23+AGK24+AGK17</f>
        <v>359596.02000000008</v>
      </c>
      <c r="AGL41" s="1429">
        <f t="shared" si="1547"/>
        <v>0.61687423244754236</v>
      </c>
      <c r="AGM41" s="588">
        <f>AGM7+AGM8+AGM9+AGM10+AGM11+AGM12+AGM13+AGM14+AGM15+AGM16+AGM19+AGM20+AGM21+AGM22+AGM23+AGM24+AGM17</f>
        <v>400342.9</v>
      </c>
      <c r="AGN41" s="590"/>
      <c r="AGO41" s="588">
        <f>AGO7+AGO8+AGO9+AGO10+AGO11+AGO12+AGO13+AGO14+AGO15+AGO16+AGO19+AGO20+AGO21+AGO22+AGO23+AGO24+AGO17</f>
        <v>379188.52999999997</v>
      </c>
      <c r="AGP41" s="1429">
        <f t="shared" si="1548"/>
        <v>0.94715937262781469</v>
      </c>
      <c r="AGQ41" s="588">
        <f>AGQ7+AGQ8+AGQ9+AGQ10+AGQ11+AGQ12+AGQ13+AGQ14+AGQ15+AGQ16+AGQ19+AGQ20+AGQ21+AGQ22+AGQ23+AGQ24+AGQ17</f>
        <v>492081.66999999993</v>
      </c>
      <c r="AGR41" s="590"/>
      <c r="AGS41" s="588">
        <f>AGS7+AGS8+AGS9+AGS10+AGS11+AGS12+AGS13+AGS14+AGS15+AGS16+AGS19+AGS20+AGS21+AGS22+AGS23+AGS24+AGS17</f>
        <v>357261.94999999995</v>
      </c>
      <c r="AGT41" s="1429">
        <f t="shared" si="1549"/>
        <v>0.72602165815280217</v>
      </c>
      <c r="AGU41" s="588">
        <f>AGU7+AGU8+AGU9+AGU10+AGU11+AGU12+AGU13+AGU14+AGU15+AGU16+AGU19+AGU20+AGU21+AGU22+AGU23+AGU24+AGU17</f>
        <v>524934.82999999996</v>
      </c>
      <c r="AGV41" s="590"/>
      <c r="AGW41" s="588">
        <f>AGW7+AGW8+AGW9+AGW10+AGW11+AGW12+AGW13+AGW14+AGW15+AGW16+AGW19+AGW20+AGW21+AGW22+AGW23+AGW24+AGW17</f>
        <v>412227.26</v>
      </c>
      <c r="AGX41" s="1429">
        <f t="shared" si="1550"/>
        <v>0.78529226189849133</v>
      </c>
      <c r="AGY41" s="588">
        <f>AGY7+AGY8+AGY9+AGY10+AGY11+AGY12+AGY13+AGY14+AGY15+AGY16+AGY19+AGY20+AGY21+AGY22+AGY23+AGY24+AGY17</f>
        <v>562722.43999999994</v>
      </c>
      <c r="AGZ41" s="590"/>
      <c r="AHA41" s="588">
        <f>AHA7+AHA8+AHA9+AHA10+AHA11+AHA12+AHA13+AHA14+AHA15+AHA16+AHA19+AHA20+AHA21+AHA22+AHA23+AHA24+AHA17</f>
        <v>401300.74999999994</v>
      </c>
      <c r="AHB41" s="1429">
        <f t="shared" si="1551"/>
        <v>0.7131415445241529</v>
      </c>
      <c r="AHC41" s="588">
        <f>AHC7+AHC8+AHC9+AHC10+AHC11+AHC12+AHC13+AHC14+AHC15+AHC16+AHC19+AHC20+AHC21+AHC22+AHC23+AHC24+AHC17</f>
        <v>676269.30999999982</v>
      </c>
      <c r="AHD41" s="590"/>
      <c r="AHE41" s="588">
        <f>AHE7+AHE8+AHE9+AHE10+AHE11+AHE12+AHE13+AHE14+AHE15+AHE16+AHE19+AHE20+AHE21+AHE22+AHE23+AHE24+AHE17</f>
        <v>515641.56</v>
      </c>
      <c r="AHF41" s="1429">
        <f t="shared" si="1552"/>
        <v>0.76247961037888901</v>
      </c>
      <c r="AHG41" s="588">
        <f>AHG7+AHG8+AHG9+AHG10+AHG11+AHG12+AHG13+AHG14+AHG15+AHG16+AHG19+AHG20+AHG21+AHG22+AHG23+AHG24+AHG17</f>
        <v>936433.09</v>
      </c>
      <c r="AHH41" s="590"/>
      <c r="AHI41" s="588">
        <f>AHI7+AHI8+AHI9+AHI10+AHI11+AHI12+AHI13+AHI14+AHI15+AHI16+AHI19+AHI20+AHI21+AHI22+AHI23+AHI24+AHI17</f>
        <v>760643.89</v>
      </c>
      <c r="AHJ41" s="1429">
        <f t="shared" si="1553"/>
        <v>0.81227788522509392</v>
      </c>
      <c r="AHK41" s="588">
        <f>AHK7+AHK8+AHK9+AHK10+AHK11+AHK12+AHK13+AHK14+AHK15+AHK16+AHK19+AHK20+AHK21+AHK22+AHK23+AHK24+AHK17</f>
        <v>4175716.71</v>
      </c>
      <c r="AHL41" s="590"/>
      <c r="AHM41" s="588">
        <f>AHM7+AHM8+AHM9+AHM10+AHM11+AHM12+AHM13+AHM14+AHM15+AHM16+AHM19+AHM20+AHM21+AHM22+AHM23+AHM24+AHM17</f>
        <v>3185859.96</v>
      </c>
      <c r="AHN41" s="1429">
        <f t="shared" si="1554"/>
        <v>0.76294925667981917</v>
      </c>
      <c r="AHO41" s="588">
        <f>AHO7+AHO8+AHO9+AHO10+AHO11+AHO12+AHO13+AHO14+AHO15+AHO16+AHO19+AHO20+AHO21+AHO22+AHO23+AHO24+AHO17</f>
        <v>670226.67000000004</v>
      </c>
      <c r="AHP41" s="590"/>
      <c r="AHQ41" s="588">
        <f>AHQ7+AHQ8+AHQ9+AHQ10+AHQ11+AHQ12+AHQ13+AHQ14+AHQ15+AHQ16+AHQ19+AHQ20+AHQ21+AHQ22+AHQ23+AHQ24+AHQ17</f>
        <v>414713.67</v>
      </c>
      <c r="AHR41" s="1429">
        <f t="shared" si="1555"/>
        <v>0.61876628991800631</v>
      </c>
      <c r="AHS41" s="588">
        <f>AHS7+AHS8+AHS9+AHS10+AHS11+AHS12+AHS13+AHS14+AHS15+AHS16+AHS19+AHS20+AHS21+AHS22+AHS23+AHS24+AHS17</f>
        <v>711164.22000000009</v>
      </c>
      <c r="AHT41" s="590"/>
      <c r="AHU41" s="588">
        <f>AHU7+AHU8+AHU9+AHU10+AHU11+AHU12+AHU13+AHU14+AHU15+AHU16+AHU19+AHU20+AHU21+AHU22+AHU23+AHU24+AHU17</f>
        <v>475993.11</v>
      </c>
      <c r="AHV41" s="1429">
        <f t="shared" si="1556"/>
        <v>0.6693153235408833</v>
      </c>
      <c r="AHW41" s="588">
        <f>AHW7+AHW8+AHW9+AHW10+AHW11+AHW12+AHW13+AHW14+AHW15+AHW16+AHW19+AHW20+AHW21+AHW22+AHW23+AHW24+AHW17</f>
        <v>665127.34</v>
      </c>
      <c r="AHX41" s="590"/>
      <c r="AHY41" s="588">
        <f>AHY7+AHY8+AHY9+AHY10+AHY11+AHY12+AHY13+AHY14+AHY15+AHY16+AHY19+AHY20+AHY21+AHY22+AHY23+AHY24+AHY17</f>
        <v>463163.12000000011</v>
      </c>
      <c r="AHZ41" s="1429">
        <f t="shared" si="1557"/>
        <v>0.6963525510769113</v>
      </c>
      <c r="AIA41" s="588">
        <f>AIA7+AIA8+AIA9+AIA10+AIA11+AIA12+AIA13+AIA14+AIA15+AIA16+AIA19+AIA20+AIA21+AIA22+AIA23+AIA24+AIA17</f>
        <v>713231.06</v>
      </c>
      <c r="AIB41" s="590"/>
      <c r="AIC41" s="588">
        <f>AIC7+AIC8+AIC9+AIC10+AIC11+AIC12+AIC13+AIC14+AIC15+AIC16+AIC19+AIC20+AIC21+AIC22+AIC23+AIC24+AIC17</f>
        <v>522652.79</v>
      </c>
      <c r="AID41" s="1429">
        <f t="shared" si="1558"/>
        <v>0.73279589085758534</v>
      </c>
      <c r="AIE41" s="588">
        <f>AIE7+AIE8+AIE9+AIE10+AIE11+AIE12+AIE13+AIE14+AIE15+AIE16+AIE19+AIE20+AIE21+AIE22+AIE23+AIE24+AIE17</f>
        <v>674459.31</v>
      </c>
      <c r="AIF41" s="590"/>
      <c r="AIG41" s="588">
        <f>AIG7+AIG8+AIG9+AIG10+AIG11+AIG12+AIG13+AIG14+AIG15+AIG16+AIG19+AIG20+AIG21+AIG22+AIG23+AIG24+AIG17</f>
        <v>562863.23</v>
      </c>
      <c r="AIH41" s="1429">
        <f t="shared" si="1559"/>
        <v>0.83453993688662986</v>
      </c>
      <c r="AII41" s="588">
        <f>AII7+AII8+AII9+AII10+AII11+AII12+AII13+AII14+AII15+AII16+AII19+AII20+AII21+AII22+AII23+AII24+AII17</f>
        <v>827000.32000000007</v>
      </c>
      <c r="AIJ41" s="590"/>
      <c r="AIK41" s="588">
        <f>AIK7+AIK8+AIK9+AIK10+AIK11+AIK12+AIK13+AIK14+AIK15+AIK16+AIK19+AIK20+AIK21+AIK22+AIK23+AIK24+AIK17</f>
        <v>596786.85</v>
      </c>
      <c r="AIL41" s="1429">
        <f t="shared" si="1560"/>
        <v>0.72162831811237982</v>
      </c>
      <c r="AIM41" s="588">
        <f>AIM7+AIM8+AIM9+AIM10+AIM11+AIM12+AIM13+AIM14+AIM15+AIM16+AIM19+AIM20+AIM21+AIM22+AIM23+AIM24+AIM17</f>
        <v>1132194.73</v>
      </c>
      <c r="AIN41" s="590"/>
      <c r="AIO41" s="588">
        <f>AIO7+AIO8+AIO9+AIO10+AIO11+AIO12+AIO13+AIO14+AIO15+AIO16+AIO19+AIO20+AIO21+AIO22+AIO23+AIO24+AIO17</f>
        <v>863503.13</v>
      </c>
      <c r="AIP41" s="1429">
        <f t="shared" si="1561"/>
        <v>0.76268075368978272</v>
      </c>
      <c r="AIQ41" s="588">
        <f>AIQ7+AIQ8+AIQ9+AIQ10+AIQ11+AIQ12+AIQ13+AIQ14+AIQ15+AIQ16+AIQ19+AIQ20+AIQ21+AIQ22+AIQ23+AIQ24+AIQ17</f>
        <v>5393403.6500000004</v>
      </c>
      <c r="AIR41" s="590"/>
      <c r="AIS41" s="588">
        <f>AIS7+AIS8+AIS9+AIS10+AIS11+AIS12+AIS13+AIS14+AIS15+AIS16+AIS19+AIS20+AIS21+AIS22+AIS23+AIS24+AIS17</f>
        <v>3899675.8999999994</v>
      </c>
      <c r="AIT41" s="1429">
        <f t="shared" si="1562"/>
        <v>0.72304543717954417</v>
      </c>
      <c r="AIU41" s="588">
        <f>AIU7+AIU8+AIU9+AIU10+AIU11+AIU12+AIU13+AIU14+AIU15+AIU16+AIU19+AIU20+AIU21+AIU22+AIU23+AIU24+AIU17</f>
        <v>590121.95519999997</v>
      </c>
      <c r="AIV41" s="590"/>
      <c r="AIW41" s="588">
        <f>AIW7+AIW8+AIW9+AIW10+AIW11+AIW12+AIW13+AIW14+AIW15+AIW16+AIW19+AIW20+AIW21+AIW22+AIW23+AIW24+AIW17</f>
        <v>733501.61</v>
      </c>
      <c r="AIX41" s="1429">
        <f t="shared" si="1563"/>
        <v>1.2429661420602574</v>
      </c>
      <c r="AIY41" s="588">
        <f>AIY7+AIY8+AIY9+AIY10+AIY11+AIY12+AIY13+AIY14+AIY15+AIY16+AIY19+AIY20+AIY21+AIY22+AIY23+AIY24+AIY17</f>
        <v>590121.95519999997</v>
      </c>
      <c r="AIZ41" s="590"/>
      <c r="AJA41" s="588">
        <f>AJA7+AJA8+AJA9+AJA10+AJA11+AJA12+AJA13+AJA14+AJA15+AJA16+AJA19+AJA20+AJA21+AJA22+AJA23+AJA24+AJA17</f>
        <v>873853.4</v>
      </c>
      <c r="AJB41" s="1429">
        <f t="shared" si="1564"/>
        <v>1.4808013704622121</v>
      </c>
      <c r="AJC41" s="588">
        <f>AJC7+AJC8+AJC9+AJC10+AJC11+AJC12+AJC13+AJC14+AJC15+AJC16+AJC19+AJC20+AJC21+AJC22+AJC23+AJC24+AJC17</f>
        <v>590121.95519999997</v>
      </c>
      <c r="AJD41" s="590"/>
      <c r="AJE41" s="588">
        <f>AJE7+AJE8+AJE9+AJE10+AJE11+AJE12+AJE13+AJE14+AJE15+AJE16+AJE19+AJE20+AJE21+AJE22+AJE23+AJE24+AJE17</f>
        <v>963988.26</v>
      </c>
      <c r="AJF41" s="1429">
        <f t="shared" si="1565"/>
        <v>1.6335407478159187</v>
      </c>
      <c r="AJG41" s="588">
        <f>AJG7+AJG8+AJG9+AJG10+AJG11+AJG12+AJG13+AJG14+AJG15+AJG16+AJG19+AJG20+AJG21+AJG22+AJG23+AJG24+AJG17</f>
        <v>590121.95519999997</v>
      </c>
      <c r="AJH41" s="590"/>
      <c r="AJI41" s="588">
        <f>AJI7+AJI8+AJI9+AJI10+AJI11+AJI12+AJI13+AJI14+AJI15+AJI16+AJI19+AJI20+AJI21+AJI22+AJI23+AJI24+AJI17</f>
        <v>1015606.7999999999</v>
      </c>
      <c r="AJJ41" s="1429">
        <f t="shared" si="1566"/>
        <v>1.7210117180876581</v>
      </c>
      <c r="AJK41" s="588">
        <f>AJK7+AJK8+AJK9+AJK10+AJK11+AJK12+AJK13+AJK14+AJK15+AJK16+AJK19+AJK20+AJK21+AJK22+AJK23+AJK24+AJK17</f>
        <v>688475.61440000008</v>
      </c>
      <c r="AJL41" s="590"/>
      <c r="AJM41" s="588">
        <f>AJM7+AJM8+AJM9+AJM10+AJM11+AJM12+AJM13+AJM14+AJM15+AJM16+AJM19+AJM20+AJM21+AJM22+AJM23+AJM24+AJM17</f>
        <v>1424714.6400000001</v>
      </c>
      <c r="AJN41" s="1429">
        <f t="shared" si="1567"/>
        <v>2.0693756034360424</v>
      </c>
      <c r="AJO41" s="588">
        <f>AJO7+AJO8+AJO9+AJO10+AJO11+AJO12+AJO13+AJO14+AJO15+AJO16+AJO19+AJO20+AJO21+AJO22+AJO23+AJO24+AJO17</f>
        <v>786829.27360000007</v>
      </c>
      <c r="AJP41" s="590"/>
      <c r="AJQ41" s="588">
        <f>AJQ7+AJQ8+AJQ9+AJQ10+AJQ11+AJQ12+AJQ13+AJQ14+AJQ15+AJQ16+AJQ19+AJQ20+AJQ21+AJQ22+AJQ23+AJQ24+AJQ17</f>
        <v>1428997.3900000004</v>
      </c>
      <c r="AJR41" s="1429">
        <f t="shared" si="1568"/>
        <v>1.8161467016369028</v>
      </c>
      <c r="AJS41" s="588">
        <f>AJS7+AJS8+AJS9+AJS10+AJS11+AJS12+AJS13+AJS14+AJS15+AJS16+AJS19+AJS20+AJS21+AJS22+AJS23+AJS24+AJS17</f>
        <v>1081890.2512000001</v>
      </c>
      <c r="AJT41" s="590"/>
      <c r="AJU41" s="588">
        <f>AJU7+AJU8+AJU9+AJU10+AJU11+AJU12+AJU13+AJU14+AJU15+AJU16+AJU19+AJU20+AJU21+AJU22+AJU23+AJU24+AJU17</f>
        <v>0</v>
      </c>
      <c r="AJV41" s="1429">
        <f t="shared" si="1569"/>
        <v>0</v>
      </c>
      <c r="AJW41" s="588">
        <f>AJW7+AJW8+AJW9+AJW10+AJW11+AJW12+AJW13+AJW14+AJW15+AJW16+AJW19+AJW20+AJW21+AJW22+AJW23+AJW24+AJW17</f>
        <v>4917682.9600000009</v>
      </c>
      <c r="AJX41" s="590"/>
      <c r="AJY41" s="588">
        <f>AJY7+AJY8+AJY9+AJY10+AJY11+AJY12+AJY13+AJY14+AJY15+AJY16+AJY19+AJY20+AJY21+AJY22+AJY23+AJY24+AJY17</f>
        <v>6440662.0999999996</v>
      </c>
      <c r="AJZ41" s="1429">
        <f t="shared" si="1570"/>
        <v>1.3096944541540756</v>
      </c>
      <c r="AKA41" s="588">
        <f>AKA7+AKA8+AKA9+AKA10+AKA11+AKA12+AKA13+AKA14+AKA15+AKA16+AKA19+AKA20+AKA21+AKA22+AKA23+AKA24+AKA17</f>
        <v>184317.90119999999</v>
      </c>
      <c r="AKB41" s="590"/>
      <c r="AKC41" s="588">
        <f>AKC7+AKC8+AKC9+AKC10+AKC11+AKC12+AKC13+AKC14+AKC15+AKC16+AKC19+AKC20+AKC21+AKC22+AKC23+AKC24+AKC17</f>
        <v>178136.46999999997</v>
      </c>
      <c r="AKD41" s="1429">
        <f t="shared" si="1571"/>
        <v>0.96646320753569859</v>
      </c>
      <c r="AKE41" s="588">
        <f>AKE7+AKE8+AKE9+AKE10+AKE11+AKE12+AKE13+AKE14+AKE15+AKE16+AKE19+AKE20+AKE21+AKE22+AKE23+AKE24+AKE17</f>
        <v>184317.90119999999</v>
      </c>
      <c r="AKF41" s="590"/>
      <c r="AKG41" s="588">
        <f>AKG7+AKG8+AKG9+AKG10+AKG11+AKG12+AKG13+AKG14+AKG15+AKG16+AKG19+AKG20+AKG21+AKG22+AKG23+AKG24+AKG17</f>
        <v>214916.18999999997</v>
      </c>
      <c r="AKH41" s="1429">
        <f t="shared" si="1572"/>
        <v>1.1660082314348748</v>
      </c>
      <c r="AKI41" s="588">
        <f>AKI7+AKI8+AKI9+AKI10+AKI11+AKI12+AKI13+AKI14+AKI15+AKI16+AKI19+AKI20+AKI21+AKI22+AKI23+AKI24+AKI17</f>
        <v>184317.90119999999</v>
      </c>
      <c r="AKJ41" s="590"/>
      <c r="AKK41" s="588">
        <f>AKK7+AKK8+AKK9+AKK10+AKK11+AKK12+AKK13+AKK14+AKK15+AKK16+AKK19+AKK20+AKK21+AKK22+AKK23+AKK24+AKK17</f>
        <v>212345.68</v>
      </c>
      <c r="AKL41" s="1429">
        <f t="shared" si="1573"/>
        <v>1.1520621633467254</v>
      </c>
      <c r="AKM41" s="588">
        <f>AKM7+AKM8+AKM9+AKM10+AKM11+AKM12+AKM13+AKM14+AKM15+AKM16+AKM19+AKM20+AKM21+AKM22+AKM23+AKM24+AKM17</f>
        <v>184317.90119999999</v>
      </c>
      <c r="AKN41" s="590"/>
      <c r="AKO41" s="588">
        <f>AKO7+AKO8+AKO9+AKO10+AKO11+AKO12+AKO13+AKO14+AKO15+AKO16+AKO19+AKO20+AKO21+AKO22+AKO23+AKO24+AKO17</f>
        <v>213501.68000000002</v>
      </c>
      <c r="AKP41" s="1429">
        <f t="shared" si="1574"/>
        <v>1.1583339361505274</v>
      </c>
      <c r="AKQ41" s="588">
        <f>AKQ7+AKQ8+AKQ9+AKQ10+AKQ11+AKQ12+AKQ13+AKQ14+AKQ15+AKQ16+AKQ19+AKQ20+AKQ21+AKQ22+AKQ23+AKQ24+AKQ17</f>
        <v>215037.55140000005</v>
      </c>
      <c r="AKR41" s="590"/>
      <c r="AKS41" s="588">
        <f>AKS7+AKS8+AKS9+AKS10+AKS11+AKS12+AKS13+AKS14+AKS15+AKS16+AKS19+AKS20+AKS21+AKS22+AKS23+AKS24+AKS17</f>
        <v>281094.32</v>
      </c>
      <c r="AKT41" s="1429">
        <f t="shared" si="1575"/>
        <v>1.3071871315960304</v>
      </c>
      <c r="AKU41" s="588">
        <f>AKU7+AKU8+AKU9+AKU10+AKU11+AKU12+AKU13+AKU14+AKU15+AKU16+AKU19+AKU20+AKU21+AKU22+AKU23+AKU24+AKU17</f>
        <v>245757.2016</v>
      </c>
      <c r="AKV41" s="590"/>
      <c r="AKW41" s="588">
        <f>AKW7+AKW8+AKW9+AKW10+AKW11+AKW12+AKW13+AKW14+AKW15+AKW16+AKW19+AKW20+AKW21+AKW22+AKW23+AKW24+AKW17</f>
        <v>281014.84000000003</v>
      </c>
      <c r="AKX41" s="1429">
        <f t="shared" si="1576"/>
        <v>1.143465331516047</v>
      </c>
      <c r="AKY41" s="588">
        <f>AKY7+AKY8+AKY9+AKY10+AKY11+AKY12+AKY13+AKY14+AKY15+AKY16+AKY19+AKY20+AKY21+AKY22+AKY23+AKY24+AKY17</f>
        <v>337916.15219999989</v>
      </c>
      <c r="AKZ41" s="590"/>
      <c r="ALA41" s="588">
        <f>ALA7+ALA8+ALA9+ALA10+ALA11+ALA12+ALA13+ALA14+ALA15+ALA16+ALA19+ALA20+ALA21+ALA22+ALA23+ALA24+ALA17</f>
        <v>0</v>
      </c>
      <c r="ALB41" s="1429">
        <f t="shared" si="1577"/>
        <v>0</v>
      </c>
      <c r="ALC41" s="588">
        <f>ALC7+ALC8+ALC9+ALC10+ALC11+ALC12+ALC13+ALC14+ALC15+ALC16+ALC19+ALC20+ALC21+ALC22+ALC23+ALC24+ALC17</f>
        <v>1535982.5099999998</v>
      </c>
      <c r="ALD41" s="590"/>
      <c r="ALE41" s="588">
        <f>ALE7+ALE8+ALE9+ALE10+ALE11+ALE12+ALE13+ALE14+ALE15+ALE16+ALE19+ALE20+ALE21+ALE22+ALE23+ALE24+ALE17</f>
        <v>1381009.1800000002</v>
      </c>
      <c r="ALF41" s="1429">
        <f t="shared" si="1578"/>
        <v>0.89910475608215124</v>
      </c>
    </row>
    <row r="42" spans="1:994" ht="11.25" customHeight="1" outlineLevel="1">
      <c r="A42" s="1495"/>
      <c r="B42" s="445"/>
      <c r="C42" s="408"/>
      <c r="D42" s="408"/>
      <c r="E42" s="363"/>
      <c r="F42" s="408"/>
      <c r="G42" s="363"/>
      <c r="H42" s="408"/>
      <c r="I42" s="408"/>
      <c r="J42" s="363"/>
      <c r="K42" s="408"/>
      <c r="L42" s="363"/>
      <c r="M42" s="408"/>
      <c r="N42" s="408"/>
      <c r="O42" s="363"/>
      <c r="P42" s="408"/>
      <c r="Q42" s="363"/>
      <c r="R42" s="408"/>
      <c r="S42" s="408"/>
      <c r="T42" s="363"/>
      <c r="U42" s="408"/>
      <c r="V42" s="363"/>
      <c r="W42" s="363"/>
      <c r="X42" s="363"/>
      <c r="Y42" s="363"/>
      <c r="Z42" s="363"/>
      <c r="AA42" s="408"/>
      <c r="AB42" s="408"/>
      <c r="AC42" s="363"/>
      <c r="AD42" s="408"/>
      <c r="AE42" s="363"/>
      <c r="AF42" s="408"/>
      <c r="AG42" s="408"/>
      <c r="AH42" s="363"/>
      <c r="AI42" s="408"/>
      <c r="AJ42" s="363"/>
      <c r="AK42" s="408"/>
      <c r="AL42" s="408"/>
      <c r="AM42" s="363"/>
      <c r="AN42" s="408"/>
      <c r="AO42" s="363"/>
      <c r="AP42" s="408"/>
      <c r="AQ42" s="408"/>
      <c r="AR42" s="363"/>
      <c r="AS42" s="408"/>
      <c r="AT42" s="363"/>
      <c r="AU42" s="363"/>
      <c r="AV42" s="363"/>
      <c r="AW42" s="363"/>
      <c r="AX42" s="363"/>
      <c r="AY42" s="408"/>
      <c r="AZ42" s="408"/>
      <c r="BA42" s="363"/>
      <c r="BB42" s="408"/>
      <c r="BC42" s="363"/>
      <c r="BD42" s="408"/>
      <c r="BE42" s="408"/>
      <c r="BF42" s="363"/>
      <c r="BG42" s="408"/>
      <c r="BH42" s="363"/>
      <c r="BI42" s="408"/>
      <c r="BJ42" s="408"/>
      <c r="BK42" s="363"/>
      <c r="BL42" s="408"/>
      <c r="BM42" s="363"/>
      <c r="BN42" s="408"/>
      <c r="BO42" s="408"/>
      <c r="BP42" s="446"/>
      <c r="BQ42" s="408"/>
      <c r="BR42" s="447"/>
      <c r="BS42" s="408"/>
      <c r="BT42" s="408"/>
      <c r="BU42" s="446"/>
      <c r="BV42" s="408"/>
      <c r="BW42" s="447"/>
      <c r="BX42" s="447"/>
      <c r="BY42" s="408"/>
      <c r="BZ42" s="408"/>
      <c r="CA42" s="491"/>
      <c r="CB42" s="408"/>
      <c r="CC42" s="408"/>
      <c r="CD42" s="446"/>
      <c r="CE42" s="408"/>
      <c r="CF42" s="447"/>
      <c r="CG42" s="408"/>
      <c r="CH42" s="408"/>
      <c r="CI42" s="446"/>
      <c r="CJ42" s="408"/>
      <c r="CK42" s="447"/>
      <c r="CL42" s="408"/>
      <c r="CM42" s="408"/>
      <c r="CN42" s="446"/>
      <c r="CO42" s="408"/>
      <c r="CP42" s="447"/>
      <c r="CQ42" s="408"/>
      <c r="CR42" s="408"/>
      <c r="CS42" s="446"/>
      <c r="CT42" s="408"/>
      <c r="CU42" s="447"/>
      <c r="CV42" s="408"/>
      <c r="CW42" s="408"/>
      <c r="CX42" s="408"/>
      <c r="CY42" s="489"/>
      <c r="CZ42" s="483"/>
      <c r="DA42" s="483"/>
      <c r="DB42" s="446"/>
      <c r="DC42" s="408"/>
      <c r="DD42" s="447"/>
      <c r="DE42" s="483"/>
      <c r="DF42" s="483"/>
      <c r="DG42" s="446"/>
      <c r="DH42" s="408"/>
      <c r="DI42" s="447"/>
      <c r="DJ42" s="483"/>
      <c r="DK42" s="483"/>
      <c r="DL42" s="446"/>
      <c r="DM42" s="408"/>
      <c r="DN42" s="447"/>
      <c r="DO42" s="483"/>
      <c r="DP42" s="483"/>
      <c r="DQ42" s="446"/>
      <c r="DR42" s="408"/>
      <c r="DS42" s="447"/>
      <c r="DT42" s="408"/>
      <c r="DU42" s="408"/>
      <c r="DV42" s="408"/>
      <c r="DW42" s="457"/>
      <c r="DX42" s="483"/>
      <c r="DY42" s="483"/>
      <c r="DZ42" s="446"/>
      <c r="EA42" s="483"/>
      <c r="EB42" s="447"/>
      <c r="EC42" s="483"/>
      <c r="ED42" s="483"/>
      <c r="EE42" s="446"/>
      <c r="EF42" s="483"/>
      <c r="EG42" s="447"/>
      <c r="EH42" s="483"/>
      <c r="EI42" s="483"/>
      <c r="EJ42" s="446"/>
      <c r="EK42" s="483"/>
      <c r="EL42" s="447"/>
      <c r="EM42" s="483"/>
      <c r="EN42" s="483"/>
      <c r="EO42" s="446"/>
      <c r="EP42" s="483"/>
      <c r="EQ42" s="447"/>
      <c r="ER42" s="483"/>
      <c r="ES42" s="483"/>
      <c r="ET42" s="446"/>
      <c r="EU42" s="483"/>
      <c r="EV42" s="447"/>
      <c r="EW42" s="408"/>
      <c r="EX42" s="408"/>
      <c r="EY42" s="408"/>
      <c r="EZ42" s="491"/>
      <c r="FA42" s="483"/>
      <c r="FB42" s="483"/>
      <c r="FC42" s="446"/>
      <c r="FD42" s="1403"/>
      <c r="FE42" s="447"/>
      <c r="FF42" s="483"/>
      <c r="FG42" s="483"/>
      <c r="FH42" s="446"/>
      <c r="FI42" s="1403"/>
      <c r="FJ42" s="447"/>
      <c r="FK42" s="483"/>
      <c r="FL42" s="483"/>
      <c r="FM42" s="446"/>
      <c r="FN42" s="1403"/>
      <c r="FO42" s="447"/>
      <c r="FP42" s="483"/>
      <c r="FQ42" s="483"/>
      <c r="FR42" s="446"/>
      <c r="FS42" s="1403"/>
      <c r="FT42" s="447"/>
      <c r="FU42" s="408"/>
      <c r="FV42" s="408"/>
      <c r="FW42" s="408"/>
      <c r="FX42" s="457"/>
      <c r="FY42" s="483"/>
      <c r="FZ42" s="483"/>
      <c r="GA42" s="446"/>
      <c r="GB42" s="1403"/>
      <c r="GC42" s="447"/>
      <c r="GD42" s="483"/>
      <c r="GE42" s="483"/>
      <c r="GF42" s="446"/>
      <c r="GG42" s="1403"/>
      <c r="GH42" s="447"/>
      <c r="GI42" s="483"/>
      <c r="GJ42" s="483"/>
      <c r="GK42" s="446"/>
      <c r="GL42" s="1403"/>
      <c r="GM42" s="447"/>
      <c r="GN42" s="483"/>
      <c r="GO42" s="483"/>
      <c r="GP42" s="446"/>
      <c r="GQ42" s="1403"/>
      <c r="GR42" s="447"/>
      <c r="GS42" s="408"/>
      <c r="GT42" s="408"/>
      <c r="GU42" s="408"/>
      <c r="GV42" s="457"/>
      <c r="GW42" s="483"/>
      <c r="GX42" s="483"/>
      <c r="GY42" s="446"/>
      <c r="GZ42" s="408"/>
      <c r="HA42" s="447"/>
      <c r="HB42" s="483"/>
      <c r="HC42" s="483"/>
      <c r="HD42" s="446"/>
      <c r="HE42" s="408"/>
      <c r="HF42" s="447"/>
      <c r="HG42" s="483"/>
      <c r="HH42" s="483"/>
      <c r="HI42" s="446"/>
      <c r="HJ42" s="408"/>
      <c r="HK42" s="447"/>
      <c r="HL42" s="483"/>
      <c r="HM42" s="483"/>
      <c r="HN42" s="446"/>
      <c r="HO42" s="408"/>
      <c r="HP42" s="447"/>
      <c r="HQ42" s="483"/>
      <c r="HR42" s="483"/>
      <c r="HS42" s="446"/>
      <c r="HT42" s="408"/>
      <c r="HU42" s="447"/>
      <c r="HV42" s="408"/>
      <c r="HW42" s="408"/>
      <c r="HX42" s="408"/>
      <c r="HY42" s="457"/>
      <c r="HZ42" s="483"/>
      <c r="IA42" s="483"/>
      <c r="IB42" s="446"/>
      <c r="IC42" s="408"/>
      <c r="ID42" s="447"/>
      <c r="IE42" s="483"/>
      <c r="IF42" s="483"/>
      <c r="IG42" s="446"/>
      <c r="IH42" s="408"/>
      <c r="II42" s="447"/>
      <c r="IJ42" s="483"/>
      <c r="IK42" s="483"/>
      <c r="IL42" s="446"/>
      <c r="IM42" s="408"/>
      <c r="IN42" s="447"/>
      <c r="IO42" s="483"/>
      <c r="IP42" s="483"/>
      <c r="IQ42" s="446"/>
      <c r="IR42" s="408"/>
      <c r="IS42" s="447"/>
      <c r="IT42" s="408"/>
      <c r="IU42" s="408"/>
      <c r="IV42" s="408"/>
      <c r="IW42" s="457"/>
      <c r="IX42" s="483"/>
      <c r="IY42" s="483"/>
      <c r="IZ42" s="446"/>
      <c r="JA42" s="408"/>
      <c r="JB42" s="447"/>
      <c r="JC42" s="483"/>
      <c r="JD42" s="483"/>
      <c r="JE42" s="446"/>
      <c r="JF42" s="408"/>
      <c r="JG42" s="447"/>
      <c r="JH42" s="483"/>
      <c r="JI42" s="483"/>
      <c r="JJ42" s="446"/>
      <c r="JK42" s="408"/>
      <c r="JL42" s="447"/>
      <c r="JM42" s="483"/>
      <c r="JN42" s="483"/>
      <c r="JO42" s="446"/>
      <c r="JP42" s="408"/>
      <c r="JQ42" s="447"/>
      <c r="JR42" s="447"/>
      <c r="JS42" s="408"/>
      <c r="JT42" s="408"/>
      <c r="JU42" s="408"/>
      <c r="JV42" s="457"/>
      <c r="JW42" s="483"/>
      <c r="JX42" s="483"/>
      <c r="JY42" s="446"/>
      <c r="JZ42" s="408"/>
      <c r="KA42" s="447"/>
      <c r="KB42" s="483"/>
      <c r="KC42" s="483"/>
      <c r="KD42" s="446"/>
      <c r="KE42" s="408"/>
      <c r="KF42" s="447"/>
      <c r="KG42" s="483"/>
      <c r="KH42" s="483"/>
      <c r="KI42" s="446"/>
      <c r="KJ42" s="408"/>
      <c r="KK42" s="447"/>
      <c r="KL42" s="483"/>
      <c r="KM42" s="483"/>
      <c r="KN42" s="446"/>
      <c r="KO42" s="408"/>
      <c r="KP42" s="447"/>
      <c r="KQ42" s="483"/>
      <c r="KR42" s="483"/>
      <c r="KS42" s="446"/>
      <c r="KT42" s="408"/>
      <c r="KU42" s="447"/>
      <c r="KV42" s="408"/>
      <c r="KW42" s="408"/>
      <c r="KX42" s="408"/>
      <c r="KY42" s="457"/>
      <c r="KZ42" s="950"/>
      <c r="LA42" s="950"/>
      <c r="LB42" s="408"/>
      <c r="LC42" s="408"/>
      <c r="LD42" s="409"/>
      <c r="LE42" s="410"/>
      <c r="LZ42" s="497"/>
    </row>
    <row r="43" spans="1:994" outlineLevel="1">
      <c r="A43" s="1495"/>
      <c r="B43" s="431" t="s">
        <v>484</v>
      </c>
      <c r="C43" s="432"/>
      <c r="D43" s="432"/>
      <c r="E43" s="433"/>
      <c r="F43" s="432"/>
      <c r="G43" s="433"/>
      <c r="H43" s="432"/>
      <c r="I43" s="432"/>
      <c r="J43" s="433"/>
      <c r="K43" s="432"/>
      <c r="L43" s="433"/>
      <c r="M43" s="432"/>
      <c r="N43" s="432"/>
      <c r="O43" s="433"/>
      <c r="P43" s="432"/>
      <c r="Q43" s="433"/>
      <c r="R43" s="432"/>
      <c r="S43" s="432"/>
      <c r="T43" s="433"/>
      <c r="U43" s="432"/>
      <c r="V43" s="433"/>
      <c r="W43" s="433"/>
      <c r="X43" s="433"/>
      <c r="Y43" s="433"/>
      <c r="Z43" s="433"/>
      <c r="AA43" s="432"/>
      <c r="AB43" s="432"/>
      <c r="AC43" s="433"/>
      <c r="AD43" s="432"/>
      <c r="AE43" s="433"/>
      <c r="AF43" s="432"/>
      <c r="AG43" s="432"/>
      <c r="AH43" s="433"/>
      <c r="AI43" s="432"/>
      <c r="AJ43" s="433"/>
      <c r="AK43" s="432"/>
      <c r="AL43" s="432"/>
      <c r="AM43" s="433"/>
      <c r="AN43" s="432"/>
      <c r="AO43" s="433"/>
      <c r="AP43" s="432"/>
      <c r="AQ43" s="432"/>
      <c r="AR43" s="433"/>
      <c r="AS43" s="432"/>
      <c r="AT43" s="433"/>
      <c r="AU43" s="433"/>
      <c r="AV43" s="433"/>
      <c r="AW43" s="433"/>
      <c r="AX43" s="433"/>
      <c r="AY43" s="432"/>
      <c r="AZ43" s="432"/>
      <c r="BA43" s="433"/>
      <c r="BB43" s="432"/>
      <c r="BC43" s="433"/>
      <c r="BD43" s="432"/>
      <c r="BE43" s="432"/>
      <c r="BF43" s="433"/>
      <c r="BG43" s="432"/>
      <c r="BH43" s="433"/>
      <c r="BI43" s="432"/>
      <c r="BJ43" s="432"/>
      <c r="BK43" s="433"/>
      <c r="BL43" s="432"/>
      <c r="BM43" s="448"/>
      <c r="BN43" s="451">
        <f>SUM(BN25:BN29)</f>
        <v>4.3614090721799261</v>
      </c>
      <c r="BO43" s="432">
        <f>SUM(BO25:BO29)</f>
        <v>97979.81759999998</v>
      </c>
      <c r="BP43" s="433">
        <f t="shared" si="1338"/>
        <v>22465.174896109333</v>
      </c>
      <c r="BQ43" s="432">
        <f>SUM(BQ25:BQ29)</f>
        <v>100519.45000000001</v>
      </c>
      <c r="BR43" s="425">
        <f t="shared" si="1339"/>
        <v>23047.471204015776</v>
      </c>
      <c r="BS43" s="451">
        <f>SUM(BS25:BS29)</f>
        <v>97979.81759999998</v>
      </c>
      <c r="BT43" s="432">
        <f>SUM(BT25:BT29)</f>
        <v>89464.300589999999</v>
      </c>
      <c r="BU43" s="433">
        <f t="shared" ref="BU43:BU45" si="1579">BT43/BS43</f>
        <v>0.91308907060059696</v>
      </c>
      <c r="BV43" s="432">
        <f>SUM(BV25:BV29)</f>
        <v>3.6028371110419593</v>
      </c>
      <c r="BW43" s="425">
        <f t="shared" ref="BW43:BW45" si="1580">BV43/BS43</f>
        <v>3.6771216759664184E-5</v>
      </c>
      <c r="BX43" s="448"/>
      <c r="BY43" s="432">
        <f>SUM(BY25:BY29)</f>
        <v>81962.2</v>
      </c>
      <c r="BZ43" s="432">
        <f>SUM(BZ25:BZ29)</f>
        <v>4.324715204342799</v>
      </c>
      <c r="CA43" s="425">
        <f t="shared" ref="CA43:CA45" si="1581">BZ43/BY43</f>
        <v>5.2764752585250261E-5</v>
      </c>
      <c r="CB43" s="451">
        <f>SUM(CB25:CB29)</f>
        <v>89464.300589999999</v>
      </c>
      <c r="CC43" s="432">
        <f>SUM(CC25:CC29)</f>
        <v>88281.19</v>
      </c>
      <c r="CD43" s="433">
        <f t="shared" ref="CD43:CD45" si="1582">CC43/CB43</f>
        <v>0.98677561237054767</v>
      </c>
      <c r="CE43" s="432">
        <f>SUM(CE25:CE29)</f>
        <v>114309.78720000001</v>
      </c>
      <c r="CF43" s="425">
        <f t="shared" ref="CF43:CF45" si="1583">CE43/CB43</f>
        <v>1.2777139758110081</v>
      </c>
      <c r="CG43" s="451">
        <f>SUM(CG25:CG29)</f>
        <v>102301.22</v>
      </c>
      <c r="CH43" s="432">
        <f>SUM(CH25:CH29)</f>
        <v>4.6851144995911698</v>
      </c>
      <c r="CI43" s="433">
        <f t="shared" ref="CI43:CI45" si="1584">CH43/CG43</f>
        <v>4.579724953027119E-5</v>
      </c>
      <c r="CJ43" s="432">
        <f>SUM(CJ25:CJ29)</f>
        <v>119285.73412000001</v>
      </c>
      <c r="CK43" s="425">
        <f t="shared" ref="CK43:CK45" si="1585">CJ43/CG43</f>
        <v>1.1660245510268599</v>
      </c>
      <c r="CL43" s="451">
        <f>SUM(CL25:CL29)</f>
        <v>5.6647457149296763</v>
      </c>
      <c r="CM43" s="432">
        <f>SUM(CM25:CM29)</f>
        <v>179629.66560000001</v>
      </c>
      <c r="CN43" s="433">
        <f t="shared" ref="CN43:CN45" si="1586">CM43/CL43</f>
        <v>31710.10220751453</v>
      </c>
      <c r="CO43" s="432">
        <f>SUM(CO25:CO29)</f>
        <v>173077.31</v>
      </c>
      <c r="CP43" s="425">
        <f t="shared" ref="CP43:CP45" si="1587">CO43/CL43</f>
        <v>30553.412052344636</v>
      </c>
      <c r="CQ43" s="451">
        <f>SUM(CQ25:CQ29)</f>
        <v>816498.48</v>
      </c>
      <c r="CR43" s="432">
        <f>SUM(CR25:CR29)</f>
        <v>745535.83824999991</v>
      </c>
      <c r="CS43" s="433">
        <f t="shared" ref="CS43:CS45" si="1588">CR43/CQ43</f>
        <v>0.91308907060059674</v>
      </c>
      <c r="CT43" s="432">
        <f>SUM(CT25:CT29)</f>
        <v>4.9376479368242308</v>
      </c>
      <c r="CU43" s="448">
        <f t="shared" ref="CU43:CU45" si="1589">CT43/CQ43</f>
        <v>6.0473449219700089E-6</v>
      </c>
      <c r="CV43" s="451">
        <f>SUM(CV25:CV29)</f>
        <v>97456.961064000003</v>
      </c>
      <c r="CW43" s="432">
        <f>SUM(CW25:CW29)</f>
        <v>77085.039999999994</v>
      </c>
      <c r="CX43" s="432">
        <f>SUM(CX25:CX29)</f>
        <v>3.6254963265792322</v>
      </c>
      <c r="CY43" s="489">
        <f t="shared" si="1351"/>
        <v>4.7032424535023041E-5</v>
      </c>
      <c r="CZ43" s="476">
        <f>SUM(CZ25:CZ29)</f>
        <v>97456.961064000003</v>
      </c>
      <c r="DA43" s="477">
        <f>SUM(DA25:DA29)</f>
        <v>67444.58</v>
      </c>
      <c r="DB43" s="433">
        <f t="shared" ref="DB43:DB45" si="1590">DA43/CZ43</f>
        <v>0.69204476790230651</v>
      </c>
      <c r="DC43" s="432">
        <f>SUM(DC25:DC29)</f>
        <v>112746.6816</v>
      </c>
      <c r="DD43" s="448">
        <f t="shared" ref="DD43:DD45" si="1591">DC43/CZ43</f>
        <v>1.1568869003206372</v>
      </c>
      <c r="DE43" s="476">
        <f>SUM(DE25:DE29)</f>
        <v>67366.95</v>
      </c>
      <c r="DF43" s="477">
        <f>SUM(DF25:DF29)</f>
        <v>3.0620819431014898</v>
      </c>
      <c r="DG43" s="433">
        <f t="shared" ref="DG43:DG45" si="1592">DF43/DE43</f>
        <v>4.5453771368623489E-5</v>
      </c>
      <c r="DH43" s="432">
        <f>SUM(DH25:DH29)</f>
        <v>97456.961064000003</v>
      </c>
      <c r="DI43" s="448">
        <f t="shared" ref="DI43:DI45" si="1593">DH43/DE43</f>
        <v>1.4466583549351724</v>
      </c>
      <c r="DJ43" s="476">
        <f>SUM(DJ25:DJ29)</f>
        <v>3.368536670666594</v>
      </c>
      <c r="DK43" s="477">
        <f>SUM(DK25:DK29)</f>
        <v>131537.79519999999</v>
      </c>
      <c r="DL43" s="433">
        <f t="shared" ref="DL43:DL45" si="1594">DK43/DJ43</f>
        <v>39048.942630026409</v>
      </c>
      <c r="DM43" s="432">
        <f>SUM(DM25:DM29)</f>
        <v>94847.18</v>
      </c>
      <c r="DN43" s="448">
        <f t="shared" ref="DN43:DN45" si="1595">DM43/DJ43</f>
        <v>28156.790105904012</v>
      </c>
      <c r="DO43" s="476">
        <f>SUM(DO25:DO29)</f>
        <v>150328.90879999998</v>
      </c>
      <c r="DP43" s="477">
        <f>SUM(DP25:DP29)</f>
        <v>129942.61475199999</v>
      </c>
      <c r="DQ43" s="433">
        <f t="shared" ref="DQ43:DQ45" si="1596">DP43/DO43</f>
        <v>0.86438873127774618</v>
      </c>
      <c r="DR43" s="432">
        <f>SUM(DR25:DR29)</f>
        <v>4.5077288824162238</v>
      </c>
      <c r="DS43" s="448">
        <f t="shared" ref="DS43:DS45" si="1597">DR43/DO43</f>
        <v>2.9985775313605046E-5</v>
      </c>
      <c r="DT43" s="451">
        <f>SUM(DT25:DT29)</f>
        <v>178671.09528399998</v>
      </c>
      <c r="DU43" s="432">
        <f>SUM(DU25:DU29)</f>
        <v>169957.68999999997</v>
      </c>
      <c r="DV43" s="432">
        <f>SUM(DV25:DV29)</f>
        <v>4.2133361514146257</v>
      </c>
      <c r="DW43" s="419">
        <f t="shared" ref="DW43:DW45" si="1598">DV43/DU43</f>
        <v>2.4790500220464437E-5</v>
      </c>
      <c r="DX43" s="476">
        <f>SUM(DX25:DX29)</f>
        <v>812141.34219999984</v>
      </c>
      <c r="DY43" s="477">
        <f>SUM(DY25:DY29)</f>
        <v>677055.26</v>
      </c>
      <c r="DZ43" s="433">
        <f t="shared" ref="DZ43:DZ45" si="1599">DY43/DX43</f>
        <v>0.83366678288527118</v>
      </c>
      <c r="EA43" s="477">
        <f>SUM(EA25:EA29)</f>
        <v>99597.176399999982</v>
      </c>
      <c r="EB43" s="448">
        <f t="shared" ref="EB43:EB45" si="1600">EA43/DX43</f>
        <v>0.12263527445875665</v>
      </c>
      <c r="EC43" s="476">
        <f>SUM(EC25:EC29)</f>
        <v>82694.2</v>
      </c>
      <c r="ED43" s="477">
        <f>SUM(ED25:ED29)</f>
        <v>4.3718355123578023</v>
      </c>
      <c r="EE43" s="433">
        <f t="shared" ref="EE43:EE45" si="1601">ED43/EC43</f>
        <v>5.2867498716449309E-5</v>
      </c>
      <c r="EF43" s="477">
        <f>SUM(EF25:EF29)</f>
        <v>73017.877427999993</v>
      </c>
      <c r="EG43" s="448">
        <f t="shared" ref="EG43:EG45" si="1602">EF43/EC43</f>
        <v>0.88298668380611933</v>
      </c>
      <c r="EH43" s="476">
        <f>SUM(EH25:EH29)</f>
        <v>3.241107016020341</v>
      </c>
      <c r="EI43" s="477">
        <f>SUM(EI25:EI29)</f>
        <v>99597.176399999982</v>
      </c>
      <c r="EJ43" s="433">
        <f t="shared" ref="EJ43:EJ45" si="1603">EI43/EH43</f>
        <v>30729.369905931831</v>
      </c>
      <c r="EK43" s="477">
        <f>SUM(EK25:EK29)</f>
        <v>92605.89</v>
      </c>
      <c r="EL43" s="448">
        <f t="shared" ref="EL43:EL45" si="1604">EK43/EH43</f>
        <v>28572.302470193663</v>
      </c>
      <c r="EM43" s="476">
        <f>SUM(EM25:EM29)</f>
        <v>99597.176399999982</v>
      </c>
      <c r="EN43" s="477">
        <f>SUM(EN25:EN29)</f>
        <v>73017.877427999993</v>
      </c>
      <c r="EO43" s="433">
        <f t="shared" ref="EO43:EO45" si="1605">EN43/EM43</f>
        <v>0.733132003007266</v>
      </c>
      <c r="EP43" s="477">
        <f>SUM(EP25:EP29)</f>
        <v>5.4218056386116427</v>
      </c>
      <c r="EQ43" s="448">
        <f t="shared" ref="EQ43:EQ45" si="1606">EP43/EM43</f>
        <v>5.4437342850330483E-5</v>
      </c>
      <c r="ER43" s="476">
        <f>SUM(ER25:ER29)</f>
        <v>85187.523665999994</v>
      </c>
      <c r="ES43" s="477">
        <f>SUM(ES25:ES29)</f>
        <v>116400.65</v>
      </c>
      <c r="ET43" s="433">
        <f t="shared" ref="ET43:ET45" si="1607">ES43/ER43</f>
        <v>1.3664049028632319</v>
      </c>
      <c r="EU43" s="477">
        <f>SUM(EU25:EU29)</f>
        <v>132796.2352</v>
      </c>
      <c r="EV43" s="448">
        <f t="shared" ref="EV43:EV45" si="1608">EU43/ER43</f>
        <v>1.5588695325933224</v>
      </c>
      <c r="EW43" s="451">
        <f>SUM(EW25:EW29)</f>
        <v>139179.02000000002</v>
      </c>
      <c r="EX43" s="432">
        <f>SUM(EX25:EX29)</f>
        <v>5.4722737064055549</v>
      </c>
      <c r="EY43" s="432">
        <f>SUM(EY25:EY29)</f>
        <v>182594.82339999999</v>
      </c>
      <c r="EZ43" s="425">
        <f t="shared" ref="EZ43:EZ45" si="1609">EY43/EX43</f>
        <v>33367.268012611305</v>
      </c>
      <c r="FA43" s="476">
        <f>SUM(FA25:FA29)</f>
        <v>175691.49</v>
      </c>
      <c r="FB43" s="477">
        <f>SUM(FB25:FB29)</f>
        <v>4.9570722749682998</v>
      </c>
      <c r="FC43" s="433">
        <f>FB43/FA43</f>
        <v>2.8214640760166017E-5</v>
      </c>
      <c r="FD43" s="1400">
        <f>SUM(FD25:FD29)</f>
        <v>608482.31189999997</v>
      </c>
      <c r="FE43" s="448">
        <f>FD43/FA43</f>
        <v>3.4633567732848074</v>
      </c>
      <c r="FF43" s="476">
        <f>SUM(FF25:FF29)</f>
        <v>4.8690500026800345</v>
      </c>
      <c r="FG43" s="477">
        <f>SUM(FG25:FG29)</f>
        <v>95006.491199999989</v>
      </c>
      <c r="FH43" s="433">
        <f>FG43/FF43</f>
        <v>19512.326048758234</v>
      </c>
      <c r="FI43" s="1400">
        <f>SUM(FI25:FI29)</f>
        <v>103470.41</v>
      </c>
      <c r="FJ43" s="448">
        <f>FI43/FF43</f>
        <v>21250.636149361286</v>
      </c>
      <c r="FK43" s="476">
        <f>SUM(FK25:FK29)</f>
        <v>95006.491199999989</v>
      </c>
      <c r="FL43" s="477">
        <f>SUM(FL25:FL29)</f>
        <v>82951.210139999996</v>
      </c>
      <c r="FM43" s="433">
        <f>FL43/FK43</f>
        <v>0.87311097475832267</v>
      </c>
      <c r="FN43" s="1400">
        <f>SUM(FN25:FN29)</f>
        <v>5.9374617503647436</v>
      </c>
      <c r="FO43" s="448">
        <f>FN43/FK43</f>
        <v>6.2495327165232098E-5</v>
      </c>
      <c r="FP43" s="476">
        <f>SUM(FP25:FP29)</f>
        <v>82951.210139999996</v>
      </c>
      <c r="FQ43" s="477">
        <f>SUM(FQ25:FQ29)</f>
        <v>91262.91</v>
      </c>
      <c r="FR43" s="433">
        <f>FQ43/FP43</f>
        <v>1.1001998626177005</v>
      </c>
      <c r="FS43" s="1400">
        <f>SUM(FS25:FS29)</f>
        <v>95006.491199999989</v>
      </c>
      <c r="FT43" s="448">
        <f>FS43/FP43</f>
        <v>1.1453297792721024</v>
      </c>
      <c r="FU43" s="451">
        <f>SUM(FU25:FU29)</f>
        <v>97086.930000000008</v>
      </c>
      <c r="FV43" s="432">
        <f>SUM(FV25:FV29)</f>
        <v>5.6501171942487423</v>
      </c>
      <c r="FW43" s="432">
        <f>SUM(FW25:FW29)</f>
        <v>110840.90640000001</v>
      </c>
      <c r="FX43" s="454">
        <f t="shared" ref="FX43:FX45" si="1610">FW43/FV43</f>
        <v>19617.452627854345</v>
      </c>
      <c r="FY43" s="476">
        <f>SUM(FY25:FY29)</f>
        <v>110851.47</v>
      </c>
      <c r="FZ43" s="477">
        <f>SUM(FZ25:FZ29)</f>
        <v>5.7947932876082033</v>
      </c>
      <c r="GA43" s="433">
        <f>FZ43/FY43</f>
        <v>5.2275294929406015E-5</v>
      </c>
      <c r="GB43" s="1400">
        <f>SUM(GB25:GB29)</f>
        <v>110601.61351999997</v>
      </c>
      <c r="GC43" s="448">
        <f>GB43/FY43</f>
        <v>0.99774602465803985</v>
      </c>
      <c r="GD43" s="476">
        <f>SUM(GD25:GD29)</f>
        <v>6.023581059876367</v>
      </c>
      <c r="GE43" s="477">
        <f>SUM(GE25:GE29)</f>
        <v>174178.56720000002</v>
      </c>
      <c r="GF43" s="433">
        <f>GE43/GD43</f>
        <v>28916.115757156425</v>
      </c>
      <c r="GG43" s="1400">
        <f>SUM(GG25:GG29)</f>
        <v>179869.96999999997</v>
      </c>
      <c r="GH43" s="448">
        <f>GG43/GD43</f>
        <v>29860.969448577784</v>
      </c>
      <c r="GI43" s="476">
        <f>SUM(GI25:GI29)</f>
        <v>791720.76</v>
      </c>
      <c r="GJ43" s="477">
        <f>SUM(GJ25:GJ29)</f>
        <v>691260.08449999988</v>
      </c>
      <c r="GK43" s="433">
        <f>GJ43/GI43</f>
        <v>0.87311097475832244</v>
      </c>
      <c r="GL43" s="1400">
        <f>SUM(GL25:GL29)</f>
        <v>5.6737144120269676</v>
      </c>
      <c r="GM43" s="448">
        <f>GL43/GI43</f>
        <v>7.1663074895585249E-6</v>
      </c>
      <c r="GN43" s="476">
        <f>SUM(GN25:GN29)</f>
        <v>91944.314709600003</v>
      </c>
      <c r="GO43" s="477">
        <f>SUM(GO25:GO29)</f>
        <v>96661.62</v>
      </c>
      <c r="GP43" s="433">
        <f>GO43/GN43</f>
        <v>1.0513061118058173</v>
      </c>
      <c r="GQ43" s="1400">
        <f>SUM(GQ25:GQ29)</f>
        <v>98562.304799999998</v>
      </c>
      <c r="GR43" s="448">
        <f>GQ43/GN43</f>
        <v>1.0719782415182764</v>
      </c>
      <c r="GS43" s="451">
        <f>SUM(GS25:GS29)</f>
        <v>84279.31</v>
      </c>
      <c r="GT43" s="432">
        <f>SUM(GT25:GT29)</f>
        <v>4.7212087454447129</v>
      </c>
      <c r="GU43" s="432">
        <f>SUM(GU25:GU29)</f>
        <v>98562.304799999998</v>
      </c>
      <c r="GV43" s="454">
        <f t="shared" ref="GV43:GV45" si="1611">GU43/GT43</f>
        <v>20876.497972070913</v>
      </c>
      <c r="GW43" s="476">
        <f>SUM(GW25:GW29)</f>
        <v>92408.069999999992</v>
      </c>
      <c r="GX43" s="477">
        <f>SUM(GX25:GX29)</f>
        <v>5.0700265915014482</v>
      </c>
      <c r="GY43" s="433">
        <f t="shared" ref="GY43:GY45" si="1612">GX43/GW43</f>
        <v>5.4865625821440145E-5</v>
      </c>
      <c r="GZ43" s="432">
        <f>SUM(GZ25:GZ29)</f>
        <v>91944.314709600003</v>
      </c>
      <c r="HA43" s="448">
        <f t="shared" ref="HA43:HA45" si="1613">GZ43/GW43</f>
        <v>0.99498144165980318</v>
      </c>
      <c r="HB43" s="476">
        <f>SUM(HB25:HB29)</f>
        <v>5.8968978617525689</v>
      </c>
      <c r="HC43" s="477">
        <f>SUM(HC25:HC29)</f>
        <v>114989.35560000002</v>
      </c>
      <c r="HD43" s="433">
        <f t="shared" ref="HD43:HD45" si="1614">HC43/HB43</f>
        <v>19499.974104320841</v>
      </c>
      <c r="HE43" s="432">
        <f>SUM(HE25:HE29)</f>
        <v>130398.65000000001</v>
      </c>
      <c r="HF43" s="448">
        <f t="shared" ref="HF43:HF45" si="1615">HE43/HB43</f>
        <v>22113.092859513305</v>
      </c>
      <c r="HG43" s="476">
        <f>SUM(HG25:HG29)</f>
        <v>131416.40640000001</v>
      </c>
      <c r="HH43" s="477">
        <f>SUM(HH25:HH29)</f>
        <v>122592.4196128</v>
      </c>
      <c r="HI43" s="433">
        <f t="shared" ref="HI43:HI45" si="1616">HH43/HG43</f>
        <v>0.93285475513352645</v>
      </c>
      <c r="HJ43" s="432">
        <f>SUM(HJ25:HJ29)</f>
        <v>6.3584868926256712</v>
      </c>
      <c r="HK43" s="448">
        <f t="shared" ref="HK43:HK45" si="1617">HJ43/HG43</f>
        <v>4.8384270022359029E-5</v>
      </c>
      <c r="HL43" s="476">
        <f>SUM(HL25:HL29)</f>
        <v>168564.57696760001</v>
      </c>
      <c r="HM43" s="477">
        <f>SUM(HM25:HM29)</f>
        <v>192033.62</v>
      </c>
      <c r="HN43" s="433">
        <f t="shared" ref="HN43:HN45" si="1618">HM43/HL43</f>
        <v>1.1392287956022398</v>
      </c>
      <c r="HO43" s="432">
        <f>SUM(HO25:HO29)</f>
        <v>821352.54</v>
      </c>
      <c r="HP43" s="448">
        <f t="shared" ref="HP43:HP45" si="1619">HO43/HL43</f>
        <v>4.8726283705376199</v>
      </c>
      <c r="HQ43" s="476">
        <f>SUM(HQ25:HQ29)</f>
        <v>869921.33000000007</v>
      </c>
      <c r="HR43" s="477">
        <f>SUM(HR25:HR29)</f>
        <v>5.6068541947424144</v>
      </c>
      <c r="HS43" s="433">
        <f t="shared" ref="HS43:HS45" si="1620">HR43/HQ43</f>
        <v>6.4452428068896923E-6</v>
      </c>
      <c r="HT43" s="432">
        <f>SUM(HT25:HT29)</f>
        <v>86121.777837600006</v>
      </c>
      <c r="HU43" s="448">
        <f t="shared" ref="HU43:HU45" si="1621">HT43/HQ43</f>
        <v>9.8999501296973602E-2</v>
      </c>
      <c r="HV43" s="451">
        <f>SUM(HV25:HV29)</f>
        <v>5.2967928261461532</v>
      </c>
      <c r="HW43" s="432">
        <f>SUM(HW25:HW29)</f>
        <v>95819.682000000015</v>
      </c>
      <c r="HX43" s="432">
        <f>SUM(HX25:HX29)</f>
        <v>86121.777837600006</v>
      </c>
      <c r="HY43" s="454">
        <f t="shared" ref="HY43:HY45" si="1622">HX43/HW43</f>
        <v>0.89879006108160531</v>
      </c>
      <c r="HZ43" s="476">
        <f>SUM(HZ25:HZ29)</f>
        <v>5.1200884941946025</v>
      </c>
      <c r="IA43" s="477">
        <f>SUM(IA25:IA29)</f>
        <v>95819.682000000015</v>
      </c>
      <c r="IB43" s="433">
        <f t="shared" ref="IB43:IB45" si="1623">IA43/HZ43</f>
        <v>18714.458179510937</v>
      </c>
      <c r="IC43" s="432">
        <f>SUM(IC25:IC29)</f>
        <v>88510.28</v>
      </c>
      <c r="ID43" s="448">
        <f t="shared" ref="ID43:ID45" si="1624">IC43/HZ43</f>
        <v>17286.865275933633</v>
      </c>
      <c r="IE43" s="476">
        <f>SUM(IE25:IE29)</f>
        <v>95819.682000000015</v>
      </c>
      <c r="IF43" s="477">
        <f>SUM(IF25:IF29)</f>
        <v>86121.777837600006</v>
      </c>
      <c r="IG43" s="433">
        <f t="shared" ref="IG43:IG45" si="1625">IF43/IE43</f>
        <v>0.89879006108160531</v>
      </c>
      <c r="IH43" s="432">
        <f>SUM(IH25:IH29)</f>
        <v>5.4861338268997848</v>
      </c>
      <c r="II43" s="448">
        <f t="shared" ref="II43:II45" si="1626">IH43/IE43</f>
        <v>5.7254769713176298E-5</v>
      </c>
      <c r="IJ43" s="476">
        <f>SUM(IJ25:IJ29)</f>
        <v>100475.4074772</v>
      </c>
      <c r="IK43" s="477">
        <f>SUM(IK25:IK29)</f>
        <v>111387.81</v>
      </c>
      <c r="IL43" s="433">
        <f t="shared" ref="IL43:IL45" si="1627">IK43/IJ43</f>
        <v>1.1086076961198317</v>
      </c>
      <c r="IM43" s="432">
        <f>SUM(IM25:IM29)</f>
        <v>127759.57600000002</v>
      </c>
      <c r="IN43" s="448">
        <f t="shared" ref="IN43:IN45" si="1628">IM43/IJ43</f>
        <v>1.2715507128347936</v>
      </c>
      <c r="IO43" s="476">
        <f>SUM(IO25:IO29)</f>
        <v>138454.18</v>
      </c>
      <c r="IP43" s="477">
        <f>SUM(IP25:IP29)</f>
        <v>5.4768459309361095</v>
      </c>
      <c r="IQ43" s="433">
        <f t="shared" ref="IQ43:IQ45" si="1629">IP43/IO43</f>
        <v>3.9557100630230956E-5</v>
      </c>
      <c r="IR43" s="432">
        <f>SUM(IR25:IR29)</f>
        <v>157889.92603560002</v>
      </c>
      <c r="IS43" s="448">
        <f t="shared" ref="IS43:IS45" si="1630">IR43/IO43</f>
        <v>1.1403767371674876</v>
      </c>
      <c r="IT43" s="451">
        <f>SUM(IT25:IT29)</f>
        <v>5.4164464292483929</v>
      </c>
      <c r="IU43" s="432">
        <f>SUM(IU25:IU29)</f>
        <v>798497.35000000009</v>
      </c>
      <c r="IV43" s="432">
        <f>SUM(IV25:IV29)</f>
        <v>717681.48197999992</v>
      </c>
      <c r="IW43" s="454">
        <f t="shared" ref="IW43:IW45" si="1631">IV43/IU43</f>
        <v>0.8987900610816052</v>
      </c>
      <c r="IX43" s="476">
        <f>SUM(IX25:IX29)</f>
        <v>5.2954666925699954</v>
      </c>
      <c r="IY43" s="477">
        <f>SUM(IY25:IY29)</f>
        <v>90145.324800000002</v>
      </c>
      <c r="IZ43" s="433">
        <f t="shared" ref="IZ43:IZ45" si="1632">IY43/IX43</f>
        <v>17023.112415470729</v>
      </c>
      <c r="JA43" s="432">
        <f>SUM(JA25:JA29)</f>
        <v>103310.22</v>
      </c>
      <c r="JB43" s="448">
        <f t="shared" ref="JB43:JB45" si="1633">JA43/IX43</f>
        <v>19509.181342780103</v>
      </c>
      <c r="JC43" s="476">
        <f>SUM(JC25:JC29)</f>
        <v>90145.324800000002</v>
      </c>
      <c r="JD43" s="477">
        <f>SUM(JD25:JD29)</f>
        <v>87581.271050399984</v>
      </c>
      <c r="JE43" s="433">
        <f t="shared" ref="JE43:JE45" si="1634">JD43/JC43</f>
        <v>0.97155644227486304</v>
      </c>
      <c r="JF43" s="432">
        <f>SUM(JF25:JF29)</f>
        <v>5.2731589122287268</v>
      </c>
      <c r="JG43" s="448">
        <f t="shared" ref="JG43:JG45" si="1635">JF43/JC43</f>
        <v>5.8496199596906071E-5</v>
      </c>
      <c r="JH43" s="476">
        <f>SUM(JH25:JH29)</f>
        <v>87581.271050399984</v>
      </c>
      <c r="JI43" s="477">
        <f>SUM(JI25:JI29)</f>
        <v>79857.66</v>
      </c>
      <c r="JJ43" s="433">
        <f t="shared" ref="JJ43:JJ45" si="1636">JI43/JH43</f>
        <v>0.91181206943256954</v>
      </c>
      <c r="JK43" s="432">
        <f>SUM(JK25:JK29)</f>
        <v>90145.324800000002</v>
      </c>
      <c r="JL43" s="448">
        <f t="shared" ref="JL43:JL45" si="1637">JK43/JH43</f>
        <v>1.0292762792643704</v>
      </c>
      <c r="JM43" s="476">
        <f>SUM(JM25:JM29)</f>
        <v>89349.56</v>
      </c>
      <c r="JN43" s="477">
        <f>SUM(JN25:JN29)</f>
        <v>5.3787831072362344</v>
      </c>
      <c r="JO43" s="433">
        <f t="shared" ref="JO43:JO45" si="1638">JN43/JM43</f>
        <v>6.0199323950070203E-5</v>
      </c>
      <c r="JP43" s="432">
        <f>SUM(JP25:JP29)</f>
        <v>102178.14955880003</v>
      </c>
      <c r="JQ43" s="448">
        <f t="shared" ref="JQ43:JQ45" si="1639">JP43/JM43</f>
        <v>1.1435775347836075</v>
      </c>
      <c r="JR43" s="799"/>
      <c r="JS43" s="451">
        <f>SUM(JS25:JS29)</f>
        <v>120193.76639999999</v>
      </c>
      <c r="JT43" s="432">
        <f>SUM(JT25:JT29)</f>
        <v>116775.02806719999</v>
      </c>
      <c r="JU43" s="432">
        <f>SUM(JU25:JU29)</f>
        <v>145349.95000000001</v>
      </c>
      <c r="JV43" s="454">
        <f t="shared" ref="JV43:JV45" si="1640">JU43/JT43</f>
        <v>1.2447006214064547</v>
      </c>
      <c r="JW43" s="476">
        <f>SUM(JW25:JW29)</f>
        <v>165266.42879999999</v>
      </c>
      <c r="JX43" s="477">
        <f>SUM(JX25:JX29)</f>
        <v>160565.66359239997</v>
      </c>
      <c r="JY43" s="433">
        <f t="shared" ref="JY43:JY45" si="1641">JX43/JW43</f>
        <v>0.97155644227486315</v>
      </c>
      <c r="JZ43" s="432">
        <f>SUM(JZ25:JZ29)</f>
        <v>5.6297755283364639</v>
      </c>
      <c r="KA43" s="448">
        <f t="shared" ref="KA43:KA45" si="1642">JZ43/JW43</f>
        <v>3.4064846497950489E-5</v>
      </c>
      <c r="KB43" s="476">
        <f>SUM(KB25:KB29)</f>
        <v>729843.92541999987</v>
      </c>
      <c r="KC43" s="477">
        <f>SUM(KC25:KC29)</f>
        <v>797844.93</v>
      </c>
      <c r="KD43" s="433">
        <f t="shared" ref="KD43:KD45" si="1643">KC43/KB43</f>
        <v>1.093171981312125</v>
      </c>
      <c r="KE43" s="432">
        <f>SUM(KE25:KE29)</f>
        <v>84159.635999999999</v>
      </c>
      <c r="KF43" s="448">
        <f t="shared" ref="KF43:KF45" si="1644">KE43/KB43</f>
        <v>0.11531182636283373</v>
      </c>
      <c r="KG43" s="476">
        <f>SUM(KG25:KG29)</f>
        <v>85008.65</v>
      </c>
      <c r="KH43" s="477">
        <f>SUM(KH25:KH29)</f>
        <v>4.8355362597996212</v>
      </c>
      <c r="KI43" s="433">
        <f t="shared" ref="KI43:KI45" si="1645">KH43/KG43</f>
        <v>5.6882873211133475E-5</v>
      </c>
      <c r="KJ43" s="432">
        <f>SUM(KJ25:KJ29)</f>
        <v>81812.739433199997</v>
      </c>
      <c r="KK43" s="448">
        <f t="shared" ref="KK43:KK45" si="1646">KJ43/KG43</f>
        <v>0.96240487801182584</v>
      </c>
      <c r="KL43" s="476">
        <f>SUM(KL25:KL29)</f>
        <v>5.1389947231473228</v>
      </c>
      <c r="KM43" s="477">
        <f>SUM(KM25:KM29)</f>
        <v>84159.635999999999</v>
      </c>
      <c r="KN43" s="433">
        <f t="shared" ref="KN43:KN45" si="1647">KM43/KL43</f>
        <v>16376.672974759804</v>
      </c>
      <c r="KO43" s="432">
        <f>SUM(KO25:KO29)</f>
        <v>88348.91</v>
      </c>
      <c r="KP43" s="448">
        <f t="shared" ref="KP43:KP45" si="1648">KO43/KL43</f>
        <v>17191.866261713469</v>
      </c>
      <c r="KQ43" s="476">
        <f>SUM(KQ25:KQ29)</f>
        <v>84159.635999999999</v>
      </c>
      <c r="KR43" s="477">
        <f>SUM(KR25:KR29)</f>
        <v>81812.739433199997</v>
      </c>
      <c r="KS43" s="433">
        <f t="shared" ref="KS43:KS45" si="1649">KR43/KQ43</f>
        <v>0.97211375098152752</v>
      </c>
      <c r="KT43" s="432">
        <f>SUM(KT25:KT29)</f>
        <v>5.2946284844386273</v>
      </c>
      <c r="KU43" s="448">
        <f t="shared" ref="KU43:KU45" si="1650">KT43/KQ43</f>
        <v>6.2911732228008066E-5</v>
      </c>
      <c r="KV43" s="451">
        <f>SUM(KV25:KV29)</f>
        <v>95448.196005400008</v>
      </c>
      <c r="KW43" s="432">
        <f>SUM(KW25:KW29)</f>
        <v>115709.26</v>
      </c>
      <c r="KX43" s="432">
        <f>SUM(KX25:KX29)</f>
        <v>5.9280843825686489</v>
      </c>
      <c r="KY43" s="454">
        <f t="shared" ref="KY43:KY45" si="1651">KX43/KW43</f>
        <v>5.1232584000352689E-5</v>
      </c>
      <c r="KZ43" s="947">
        <f>SUM(KZ25:KZ29)</f>
        <v>109083.65257760001</v>
      </c>
      <c r="LA43" s="947">
        <f>SUM(LA25:LA29)</f>
        <v>132319.56</v>
      </c>
      <c r="LB43" s="451">
        <f>SUM(LB25:LB29)</f>
        <v>5.9098043934593383</v>
      </c>
      <c r="LC43" s="451">
        <f>SUM(LC25:LC29)</f>
        <v>154292.666</v>
      </c>
      <c r="LD43" s="492">
        <f>LC43-LB43</f>
        <v>154286.75619560655</v>
      </c>
      <c r="LE43" s="493">
        <f>LC43/LB43</f>
        <v>26107.914192686821</v>
      </c>
      <c r="LW43" s="577">
        <f>LW26+LW28+LW29+LW30</f>
        <v>87394.486799999999</v>
      </c>
      <c r="LX43" s="578"/>
      <c r="LY43" s="578">
        <f t="shared" ref="LX43:LY43" si="1652">LY26+LY28+LY29+LY30</f>
        <v>65898.849999999991</v>
      </c>
      <c r="LZ43" s="1430">
        <f t="shared" si="1414"/>
        <v>0.75403898361240784</v>
      </c>
      <c r="MA43" s="577">
        <f>MA26+MA28+MA29+MA30</f>
        <v>101960.23460000001</v>
      </c>
      <c r="MB43" s="578"/>
      <c r="MC43" s="578">
        <f t="shared" ref="MC43:MD43" si="1653">MC26+MC28+MC29+MC30</f>
        <v>89943.05</v>
      </c>
      <c r="MD43" s="1430">
        <f t="shared" ref="MD43:MD45" si="1654">MC43/MA43</f>
        <v>0.88213851559733458</v>
      </c>
      <c r="ME43" s="577">
        <f>ME26+ME28+ME29+ME30</f>
        <v>116525.98240000001</v>
      </c>
      <c r="MF43" s="578"/>
      <c r="MG43" s="578">
        <f t="shared" ref="MG43:MH43" si="1655">MG26+MG28+MG29+MG30</f>
        <v>122760.75</v>
      </c>
      <c r="MH43" s="1430">
        <f t="shared" ref="MH43:MH45" si="1656">MG43/ME43</f>
        <v>1.0535053854220926</v>
      </c>
      <c r="MI43" s="577">
        <f>MI26+MI28+MI29+MI30</f>
        <v>160223.22580000001</v>
      </c>
      <c r="MJ43" s="578"/>
      <c r="MK43" s="578">
        <f t="shared" ref="MK43:ML43" si="1657">MK26+MK28+MK29+MK30</f>
        <v>167010.56</v>
      </c>
      <c r="ML43" s="1430">
        <f t="shared" ref="ML43:ML45" si="1658">MK43/MI43</f>
        <v>1.0423617372956424</v>
      </c>
      <c r="MM43" s="577">
        <f>MM26+MM28+MM29+MM30</f>
        <v>728287.39</v>
      </c>
      <c r="MN43" s="578"/>
      <c r="MO43" s="578">
        <f t="shared" ref="MO43:MP43" si="1659">MO26+MO28+MO29+MO30</f>
        <v>651878.51</v>
      </c>
      <c r="MP43" s="1430">
        <f t="shared" ref="MP43:MP45" si="1660">MO43/MM43</f>
        <v>0.89508416450818951</v>
      </c>
      <c r="MQ43" s="577">
        <f>MQ26+MQ28+MQ29+MQ30</f>
        <v>82502.203199999989</v>
      </c>
      <c r="MR43" s="578"/>
      <c r="MS43" s="578">
        <f t="shared" ref="MS43:MT43" si="1661">MS26+MS28+MS29+MS30</f>
        <v>63667.58</v>
      </c>
      <c r="MT43" s="1462">
        <f t="shared" ref="MT43:MT45" si="1662">MS43/MQ43</f>
        <v>0.7717076336211105</v>
      </c>
      <c r="MU43" s="577">
        <f>MU26+MU28+MU29+MU30</f>
        <v>82502.203199999989</v>
      </c>
      <c r="MV43" s="578"/>
      <c r="MW43" s="578">
        <f t="shared" ref="MW43:MX43" si="1663">MW26+MW28+MW29+MW30</f>
        <v>70188.91</v>
      </c>
      <c r="MX43" s="1430">
        <f t="shared" ref="MX43:MX45" si="1664">MW43/MU43</f>
        <v>0.85075194694921807</v>
      </c>
      <c r="MY43" s="1469">
        <f>MY26+MY28+MY29+MY30</f>
        <v>82502.203199999989</v>
      </c>
      <c r="MZ43" s="580"/>
      <c r="NA43" s="578">
        <f t="shared" ref="NA43:NB43" si="1665">NA26+NA28+NA29+NA30</f>
        <v>61573.86</v>
      </c>
      <c r="NB43" s="1430">
        <f t="shared" ref="NB43:NB45" si="1666">NA43/MY43</f>
        <v>0.74632988710294235</v>
      </c>
      <c r="NC43" s="577">
        <f>NC26+NC28+NC29+NC30</f>
        <v>82502.203199999989</v>
      </c>
      <c r="ND43" s="578"/>
      <c r="NE43" s="578">
        <f t="shared" ref="NE43" si="1667">NE26+NE28+NE29+NE30</f>
        <v>62976.94</v>
      </c>
      <c r="NF43" s="1430">
        <f t="shared" ref="NF43:NF45" si="1668">NE43/NC43</f>
        <v>0.76333646323762672</v>
      </c>
      <c r="NG43" s="577">
        <f>NG26+NG28+NG29+NG30</f>
        <v>96252.570399999997</v>
      </c>
      <c r="NH43" s="578"/>
      <c r="NI43" s="578">
        <f t="shared" ref="NI43:NJ43" si="1669">NI26+NI28+NI29+NI30</f>
        <v>89264.55</v>
      </c>
      <c r="NJ43" s="1430">
        <f t="shared" ref="NJ43:NJ45" si="1670">NI43/NG43</f>
        <v>0.92739912948859815</v>
      </c>
      <c r="NK43" s="577">
        <f>NK26+NK28+NK29+NK30</f>
        <v>110002.9376</v>
      </c>
      <c r="NL43" s="578"/>
      <c r="NM43" s="578">
        <f t="shared" ref="NM43:NN43" si="1671">NM26+NM28+NM29+NM30</f>
        <v>101122</v>
      </c>
      <c r="NN43" s="1430">
        <f t="shared" ref="NN43:NN45" si="1672">NM43/NK43</f>
        <v>0.91926635966492587</v>
      </c>
      <c r="NO43" s="577">
        <f>NO26+NO28+NO29+NO30</f>
        <v>151254.0392</v>
      </c>
      <c r="NP43" s="578"/>
      <c r="NQ43" s="578">
        <f t="shared" ref="NQ43:NR43" si="1673">NQ26+NQ28+NQ29+NQ30</f>
        <v>132007.9</v>
      </c>
      <c r="NR43" s="1430">
        <f t="shared" ref="NR43:NR45" si="1674">NQ43/NO43</f>
        <v>0.87275619678128902</v>
      </c>
      <c r="NS43" s="577">
        <f>NS26+NS28+NS29+NS30</f>
        <v>687518.36</v>
      </c>
      <c r="NT43" s="578"/>
      <c r="NU43" s="578">
        <f t="shared" ref="NU43:NV43" si="1675">NU26+NU28+NU29+NU30</f>
        <v>580801.74</v>
      </c>
      <c r="NV43" s="1430">
        <f t="shared" ref="NV43:NV45" si="1676">NU43/NS43</f>
        <v>0.84477997067598309</v>
      </c>
      <c r="NW43" s="577">
        <f>NW26+NW28+NW29+NW30</f>
        <v>77570.78879999998</v>
      </c>
      <c r="NX43" s="578"/>
      <c r="NY43" s="578">
        <f t="shared" ref="NY43:NZ43" si="1677">NY26+NY28+NY29+NY30</f>
        <v>69255.23</v>
      </c>
      <c r="NZ43" s="1430">
        <f t="shared" ref="NZ43:NZ45" si="1678">NY43/NW43</f>
        <v>0.89280038364132264</v>
      </c>
      <c r="OA43" s="577">
        <f>OA26+OA28+OA29+OA30</f>
        <v>77570.78879999998</v>
      </c>
      <c r="OB43" s="578"/>
      <c r="OC43" s="577">
        <f>OC26+OC28+OC29+OC30</f>
        <v>59413.679999999993</v>
      </c>
      <c r="OD43" s="1430">
        <f t="shared" ref="OD43:OD45" si="1679">OC43/OA43</f>
        <v>0.76592852695085667</v>
      </c>
      <c r="OE43" s="577">
        <f>OE26+OE28+OE29+OE30</f>
        <v>77570.78879999998</v>
      </c>
      <c r="OF43" s="578"/>
      <c r="OG43" s="577">
        <f>OG26+OG28+OG29+OG30</f>
        <v>62896.789999999994</v>
      </c>
      <c r="OH43" s="1430">
        <f t="shared" ref="OH43:OH45" si="1680">OG43/OE43</f>
        <v>0.81083086781760316</v>
      </c>
      <c r="OI43" s="577">
        <f>OI26+OI28+OI29+OI30</f>
        <v>77570.78879999998</v>
      </c>
      <c r="OJ43" s="578"/>
      <c r="OK43" s="577">
        <f>OK26+OK28+OK29+OK30</f>
        <v>60832.5</v>
      </c>
      <c r="OL43" s="1430">
        <f t="shared" ref="OL43:OL45" si="1681">OK43/OI43</f>
        <v>0.78421917504079852</v>
      </c>
      <c r="OM43" s="577">
        <f>OM26+OM28+OM29+OM30</f>
        <v>90499.253600000011</v>
      </c>
      <c r="ON43" s="578"/>
      <c r="OO43" s="577">
        <f>OO26+OO28+OO29+OO30</f>
        <v>89393.290000000008</v>
      </c>
      <c r="OP43" s="1430">
        <f t="shared" ref="OP43:OP45" si="1682">OO43/OM43</f>
        <v>0.9877793069444718</v>
      </c>
      <c r="OQ43" s="577">
        <f>OQ26+OQ28+OQ29+OQ30</f>
        <v>103427.71839999998</v>
      </c>
      <c r="OR43" s="578"/>
      <c r="OS43" s="577">
        <f>OS26+OS28+OS29+OS30</f>
        <v>107417.75</v>
      </c>
      <c r="OT43" s="1430">
        <f t="shared" ref="OT43:OT45" si="1683">OS43/OQ43</f>
        <v>1.0385779717635153</v>
      </c>
      <c r="OU43" s="577">
        <f>OU26+OU28+OU29+OU30</f>
        <v>142213.1128</v>
      </c>
      <c r="OV43" s="578"/>
      <c r="OW43" s="577">
        <f>OW26+OW28+OW29+OW30</f>
        <v>147679.66</v>
      </c>
      <c r="OX43" s="1430">
        <f t="shared" ref="OX43:OX45" si="1684">OW43/OU43</f>
        <v>1.0384391220497917</v>
      </c>
      <c r="OY43" s="577">
        <f>OY26+OY28+OY29+OY30</f>
        <v>646423.24</v>
      </c>
      <c r="OZ43" s="578"/>
      <c r="PA43" s="578">
        <f t="shared" ref="PA43:PB43" si="1685">PA26+PA28+PA29+PA30</f>
        <v>596888.9</v>
      </c>
      <c r="PB43" s="1430">
        <f t="shared" ref="PB43:PB45" si="1686">PA43/OY43</f>
        <v>0.92337165971941237</v>
      </c>
      <c r="PC43" s="577">
        <f>PC26+PC28+PC29+PC30</f>
        <v>79228.08</v>
      </c>
      <c r="PD43" s="578"/>
      <c r="PE43" s="578">
        <f t="shared" ref="PE43:PF43" si="1687">PE26+PE28+PE29+PE30</f>
        <v>68587.64</v>
      </c>
      <c r="PF43" s="1430">
        <f t="shared" ref="PF43:PF45" si="1688">PE43/PC43</f>
        <v>0.86569862604268588</v>
      </c>
      <c r="PG43" s="577">
        <f>PG26+PG28+PG29+PG30</f>
        <v>79228.08</v>
      </c>
      <c r="PH43" s="578"/>
      <c r="PI43" s="577">
        <f>PI26+PI28+PI29+PI30</f>
        <v>65202.78</v>
      </c>
      <c r="PJ43" s="1430">
        <f t="shared" ref="PJ43:PJ45" si="1689">PI43/PG43</f>
        <v>0.82297564196936235</v>
      </c>
      <c r="PK43" s="577">
        <f>PK26+PK28+PK29+PK30</f>
        <v>79228.08</v>
      </c>
      <c r="PL43" s="578"/>
      <c r="PM43" s="577">
        <f>PM26+PM28+PM29+PM30</f>
        <v>66027.12</v>
      </c>
      <c r="PN43" s="1430">
        <f t="shared" ref="PN43:PN45" si="1690">PM43/PK43</f>
        <v>0.83338028638331252</v>
      </c>
      <c r="PO43" s="577">
        <f>PO26+PO28+PO29+PO30</f>
        <v>79228.08</v>
      </c>
      <c r="PP43" s="578"/>
      <c r="PQ43" s="577">
        <f>PQ26+PQ28+PQ29+PQ30</f>
        <v>65617.05</v>
      </c>
      <c r="PR43" s="1430">
        <f t="shared" ref="PR43:PR45" si="1691">PQ43/PO43</f>
        <v>0.82820446993035801</v>
      </c>
      <c r="PS43" s="577">
        <f>PS26+PS28+PS29+PS30</f>
        <v>92432.760000000009</v>
      </c>
      <c r="PT43" s="578"/>
      <c r="PU43" s="577">
        <f>PU26+PU28+PU29+PU30</f>
        <v>82425.72</v>
      </c>
      <c r="PV43" s="1430">
        <f t="shared" ref="PV43:PV45" si="1692">PU43/PS43</f>
        <v>0.89173708542296037</v>
      </c>
      <c r="PW43" s="577">
        <f>PW26+PW28+PW29+PW30</f>
        <v>105637.44</v>
      </c>
      <c r="PX43" s="578"/>
      <c r="PY43" s="577">
        <f>PY26+PY28+PY29+PY30</f>
        <v>112137.37000000001</v>
      </c>
      <c r="PZ43" s="1430">
        <f t="shared" ref="PZ43:PZ45" si="1693">PY43/PW43</f>
        <v>1.0615305520466987</v>
      </c>
      <c r="QA43" s="577">
        <f>QA26+QA28+QA29+QA30</f>
        <v>145251.48000000001</v>
      </c>
      <c r="QB43" s="578"/>
      <c r="QC43" s="577">
        <f>QC26+QC28+QC29+QC30</f>
        <v>145283.60999999999</v>
      </c>
      <c r="QD43" s="1430">
        <f t="shared" ref="QD43:QD45" si="1694">QC43/QA43</f>
        <v>1.0002212025653714</v>
      </c>
      <c r="QE43" s="577">
        <f>QE26+QE28+QE29+QE30</f>
        <v>660234</v>
      </c>
      <c r="QF43" s="578"/>
      <c r="QG43" s="578">
        <f t="shared" ref="QG43:QH43" si="1695">QG26+QG28+QG29+QG30</f>
        <v>605281.29</v>
      </c>
      <c r="QH43" s="1430">
        <f t="shared" ref="QH43:QH45" si="1696">QG43/QE43</f>
        <v>0.91676782777015431</v>
      </c>
      <c r="QI43" s="577">
        <f>QI26+QI28+QI29+QI30</f>
        <v>74849.524799999999</v>
      </c>
      <c r="QJ43" s="578"/>
      <c r="QK43" s="578">
        <f t="shared" ref="QK43:QL43" si="1697">QK26+QK28+QK29+QK30</f>
        <v>74372.94</v>
      </c>
      <c r="QL43" s="1430">
        <f t="shared" ref="QL43:QL45" si="1698">QK43/QI43</f>
        <v>0.99363276117953392</v>
      </c>
      <c r="QM43" s="577">
        <f>QM26+QM28+QM29+QM30</f>
        <v>74849.524799999999</v>
      </c>
      <c r="QN43" s="578"/>
      <c r="QO43" s="577">
        <f>QO26+QO28+QO29+QO30</f>
        <v>55411.01</v>
      </c>
      <c r="QP43" s="1430">
        <f t="shared" ref="QP43:QP45" si="1699">QO43/QM43</f>
        <v>0.74029875470899453</v>
      </c>
      <c r="QQ43" s="577">
        <f>QQ26+QQ28+QQ29+QQ30</f>
        <v>74849.524799999999</v>
      </c>
      <c r="QR43" s="578"/>
      <c r="QS43" s="577">
        <f>QS26+QS28+QS29+QS30</f>
        <v>57900.19</v>
      </c>
      <c r="QT43" s="1430">
        <f t="shared" ref="QT43:QT45" si="1700">QS43/QQ43</f>
        <v>0.77355454366224652</v>
      </c>
      <c r="QU43" s="577">
        <f>QU26+QU28+QU29+QU30</f>
        <v>74849.524799999999</v>
      </c>
      <c r="QV43" s="578"/>
      <c r="QW43" s="577">
        <f>QW26+QW28+QW29+QW30</f>
        <v>55171.8</v>
      </c>
      <c r="QX43" s="1430">
        <f t="shared" ref="QX43:QX45" si="1701">QW43/QU43</f>
        <v>0.73710287603589442</v>
      </c>
      <c r="QY43" s="577">
        <f>QY26+QY28+QY29+QY30</f>
        <v>87324.445600000006</v>
      </c>
      <c r="QZ43" s="578"/>
      <c r="RA43" s="577">
        <f>RA26+RA28+RA29+RA30</f>
        <v>67542.27</v>
      </c>
      <c r="RB43" s="1430">
        <f t="shared" ref="RB43:RB45" si="1702">RA43/QY43</f>
        <v>0.77346348477705074</v>
      </c>
      <c r="RC43" s="577">
        <f>RC26+RC28+RC29+RC30</f>
        <v>99799.366399999999</v>
      </c>
      <c r="RD43" s="578"/>
      <c r="RE43" s="577">
        <f>RE26+RE28+RE29+RE30</f>
        <v>104371.54000000001</v>
      </c>
      <c r="RF43" s="1430">
        <f t="shared" ref="RF43:RF45" si="1703">RE43/RC43</f>
        <v>1.0458136535824742</v>
      </c>
      <c r="RG43" s="577">
        <f>RG26+RG28+RG29+RG30</f>
        <v>137224.12880000001</v>
      </c>
      <c r="RH43" s="578"/>
      <c r="RI43" s="577">
        <f>RI26+RI28+RI29+RI30</f>
        <v>153501.95000000001</v>
      </c>
      <c r="RJ43" s="1430">
        <f t="shared" ref="RJ43:RJ45" si="1704">RI43/RG43</f>
        <v>1.1186221500719049</v>
      </c>
      <c r="RK43" s="577">
        <f>RK26+RK28+RK29+RK30</f>
        <v>623746.04</v>
      </c>
      <c r="RL43" s="578"/>
      <c r="RM43" s="578">
        <f t="shared" ref="RM43:RN43" si="1705">RM26+RM28+RM29+RM30</f>
        <v>568271.69999999995</v>
      </c>
      <c r="RN43" s="1430">
        <f t="shared" ref="RN43:RN45" si="1706">RM43/RK43</f>
        <v>0.91106261772820218</v>
      </c>
      <c r="RO43" s="577">
        <f>RO26+RO28+RO29+RO30</f>
        <v>76963.216799999995</v>
      </c>
      <c r="RP43" s="578"/>
      <c r="RQ43" s="578">
        <f t="shared" ref="RQ43:RR43" si="1707">RQ26+RQ28+RQ29+RQ30</f>
        <v>68465.77</v>
      </c>
      <c r="RR43" s="1430">
        <f t="shared" ref="RR43:RR45" si="1708">RQ43/RO43</f>
        <v>0.88959080514940236</v>
      </c>
      <c r="RS43" s="577">
        <f>RS26+RS28+RS29+RS30</f>
        <v>76963.216799999995</v>
      </c>
      <c r="RT43" s="578"/>
      <c r="RU43" s="577">
        <f>RU26+RU28+RU29+RU30</f>
        <v>52406.81</v>
      </c>
      <c r="RV43" s="1430">
        <f t="shared" ref="RV43:RV45" si="1709">RU43/RS43</f>
        <v>0.68093320652366496</v>
      </c>
      <c r="RW43" s="577">
        <f>RW26+RW28+RW29+RW30</f>
        <v>76963.216799999995</v>
      </c>
      <c r="RX43" s="578"/>
      <c r="RY43" s="577">
        <f>RY26+RY28+RY29+RY30</f>
        <v>72183.539999999994</v>
      </c>
      <c r="RZ43" s="1430">
        <f t="shared" ref="RZ43:RZ45" si="1710">RY43/RW43</f>
        <v>0.93789660829249533</v>
      </c>
      <c r="SA43" s="577">
        <f>SA26+SA28+SA29+SA30</f>
        <v>76963.216799999995</v>
      </c>
      <c r="SB43" s="578"/>
      <c r="SC43" s="577">
        <f>SC26+SC28+SC29+SC30</f>
        <v>80508.77</v>
      </c>
      <c r="SD43" s="1430">
        <f t="shared" ref="SD43:SD45" si="1711">SC43/SA43</f>
        <v>1.0460681523904287</v>
      </c>
      <c r="SE43" s="577">
        <f>SE26+SE28+SE29+SE30</f>
        <v>89790.419600000008</v>
      </c>
      <c r="SF43" s="578"/>
      <c r="SG43" s="577">
        <f>SG26+SG28+SG29+SG30</f>
        <v>85163.599999999991</v>
      </c>
      <c r="SH43" s="1430">
        <f t="shared" ref="SH43:SH45" si="1712">SG43/SE43</f>
        <v>0.94847089900446335</v>
      </c>
      <c r="SI43" s="577">
        <f>SI26+SI28+SI29+SI30</f>
        <v>102617.62239999999</v>
      </c>
      <c r="SJ43" s="578"/>
      <c r="SK43" s="577">
        <f>SK26+SK28+SK29+SK30</f>
        <v>118877.10999999999</v>
      </c>
      <c r="SL43" s="1430">
        <f t="shared" ref="SL43:SL45" si="1713">SK43/SI43</f>
        <v>1.158447323371234</v>
      </c>
      <c r="SM43" s="577">
        <f>SM26+SM28+SM29+SM30</f>
        <v>141099.23079999999</v>
      </c>
      <c r="SN43" s="578"/>
      <c r="SO43" s="577">
        <f>SO26+SO28+SO29+SO30</f>
        <v>137167.66</v>
      </c>
      <c r="SP43" s="1430">
        <f t="shared" ref="SP43:SP45" si="1714">SO43/SM43</f>
        <v>0.97213612875343902</v>
      </c>
      <c r="SQ43" s="577">
        <f>SQ26+SQ28+SQ29+SQ30</f>
        <v>641360.1399999999</v>
      </c>
      <c r="SR43" s="578"/>
      <c r="SS43" s="578">
        <f t="shared" ref="SS43:ST43" si="1715">SS26+SS28+SS29+SS30</f>
        <v>614773.26</v>
      </c>
      <c r="ST43" s="1430">
        <f t="shared" ref="ST43:ST45" si="1716">SS43/SQ43</f>
        <v>0.95854609860849804</v>
      </c>
      <c r="SU43" s="577">
        <f>SU26+SU28+SU29+SU30</f>
        <v>78029.18759999999</v>
      </c>
      <c r="SV43" s="578"/>
      <c r="SW43" s="578">
        <f t="shared" ref="SW43:SX43" si="1717">SW26+SW28+SW29+SW30</f>
        <v>57502.19</v>
      </c>
      <c r="SX43" s="1430">
        <f t="shared" ref="SX43:SX45" si="1718">SW43/SU43</f>
        <v>0.73693180422142457</v>
      </c>
      <c r="SY43" s="577">
        <f>SY26+SY28+SY29+SY30</f>
        <v>78029.18759999999</v>
      </c>
      <c r="SZ43" s="578"/>
      <c r="TA43" s="577">
        <f>TA26+TA28+TA29+TA30</f>
        <v>49137.68</v>
      </c>
      <c r="TB43" s="1430">
        <f t="shared" ref="TB43:TB45" si="1719">TA43/SY43</f>
        <v>0.62973460971929951</v>
      </c>
      <c r="TC43" s="577">
        <f>TC26+TC28+TC29+TC30</f>
        <v>78029.18759999999</v>
      </c>
      <c r="TD43" s="578"/>
      <c r="TE43" s="577">
        <f>TE26+TE28+TE29+TE30</f>
        <v>56478.45</v>
      </c>
      <c r="TF43" s="1430">
        <f t="shared" ref="TF43:TF45" si="1720">TE43/TC43</f>
        <v>0.72381184191644721</v>
      </c>
      <c r="TG43" s="577">
        <f>TG26+TG28+TG29+TG30</f>
        <v>78029.18759999999</v>
      </c>
      <c r="TH43" s="578"/>
      <c r="TI43" s="577">
        <f>TI26+TI28+TI29+TI30</f>
        <v>59138.5</v>
      </c>
      <c r="TJ43" s="1430">
        <f t="shared" ref="TJ43:TJ45" si="1721">TI43/TG43</f>
        <v>0.75790229039883028</v>
      </c>
      <c r="TK43" s="577">
        <f>TK26+TK28+TK29+TK30</f>
        <v>91034.052200000006</v>
      </c>
      <c r="TL43" s="578"/>
      <c r="TM43" s="577">
        <f>TM26+TM28+TM29+TM30</f>
        <v>71956.86</v>
      </c>
      <c r="TN43" s="1430">
        <f t="shared" ref="TN43:TN45" si="1722">TM43/TK43</f>
        <v>0.79043894302224627</v>
      </c>
      <c r="TO43" s="577">
        <f>TO26+TO28+TO29+TO30</f>
        <v>104038.91680000001</v>
      </c>
      <c r="TP43" s="578"/>
      <c r="TQ43" s="577">
        <f>TQ26+TQ28+TQ29+TQ30</f>
        <v>110736.36</v>
      </c>
      <c r="TR43" s="1430">
        <f t="shared" ref="TR43:TR45" si="1723">TQ43/TO43</f>
        <v>1.0643744034059377</v>
      </c>
      <c r="TS43" s="577">
        <f>TS26+TS28+TS29+TS30</f>
        <v>143053.51059999998</v>
      </c>
      <c r="TT43" s="578"/>
      <c r="TU43" s="577">
        <f>TU26+TU28+TU29+TU30</f>
        <v>147765.75</v>
      </c>
      <c r="TV43" s="1430">
        <f t="shared" ref="TV43:TV45" si="1724">TU43/TS43</f>
        <v>1.032940396780448</v>
      </c>
      <c r="TW43" s="577">
        <f>TW26+TW28+TW29+TW30</f>
        <v>650243.23</v>
      </c>
      <c r="TX43" s="578"/>
      <c r="TY43" s="578">
        <f t="shared" ref="TY43:TZ43" si="1725">TY26+TY28+TY29+TY30</f>
        <v>552715.79</v>
      </c>
      <c r="TZ43" s="1430">
        <f t="shared" ref="TZ43:TZ45" si="1726">TY43/TW43</f>
        <v>0.85001390941048327</v>
      </c>
      <c r="UA43" s="577">
        <f>UA26+UA28+UA29+UA30</f>
        <v>85891.92</v>
      </c>
      <c r="UB43" s="578"/>
      <c r="UC43" s="578">
        <f t="shared" ref="UC43:UD43" si="1727">UC26+UC28+UC29+UC30</f>
        <v>64229.260000000009</v>
      </c>
      <c r="UD43" s="1430">
        <f t="shared" ref="UD43:UD45" si="1728">UC43/UA43</f>
        <v>0.74779164326516412</v>
      </c>
      <c r="UE43" s="577">
        <f>UE26+UE28+UE29+UE30</f>
        <v>59408.06</v>
      </c>
      <c r="UF43" s="578"/>
      <c r="UG43" s="577">
        <f>UG26+UG28+UG29+UG30</f>
        <v>60697.82</v>
      </c>
      <c r="UH43" s="1430">
        <f t="shared" ref="UH43:UH45" si="1729">UG43/UE43</f>
        <v>1.0217101854529504</v>
      </c>
      <c r="UI43" s="577">
        <f>UI26+UI28+UI29+UI30</f>
        <v>69953.279999999999</v>
      </c>
      <c r="UJ43" s="578"/>
      <c r="UK43" s="577">
        <f>UK26+UK28+UK29+UK30</f>
        <v>63012.01</v>
      </c>
      <c r="UL43" s="1430">
        <f t="shared" ref="UL43:UL45" si="1730">UK43/UI43</f>
        <v>0.90077277291357893</v>
      </c>
      <c r="UM43" s="577">
        <f>UM26+UM28+UM29+UM30</f>
        <v>71570.540000000008</v>
      </c>
      <c r="UN43" s="578"/>
      <c r="UO43" s="577">
        <f>UO26+UO28+UO29+UO30</f>
        <v>66508.14</v>
      </c>
      <c r="UP43" s="1430">
        <f t="shared" ref="UP43:UP45" si="1731">UO43/UM43</f>
        <v>0.92926698610908887</v>
      </c>
      <c r="UQ43" s="577">
        <f>UQ26+UQ28+UQ29+UQ30</f>
        <v>86166.38</v>
      </c>
      <c r="UR43" s="578"/>
      <c r="US43" s="577">
        <f>US26+US28+US29+US30</f>
        <v>80156.42</v>
      </c>
      <c r="UT43" s="1430">
        <f t="shared" ref="UT43:UT45" si="1732">US43/UQ43</f>
        <v>0.93025168284892545</v>
      </c>
      <c r="UU43" s="577">
        <f>UU26+UU28+UU29+UU30</f>
        <v>121201.32</v>
      </c>
      <c r="UV43" s="578"/>
      <c r="UW43" s="577">
        <f>UW26+UW28+UW29+UW30</f>
        <v>126761.44</v>
      </c>
      <c r="UX43" s="1430">
        <f t="shared" ref="UX43:UX45" si="1733">UW43/UU43</f>
        <v>1.0458750779281942</v>
      </c>
      <c r="UY43" s="577">
        <f>UY26+UY28+UY29+UY30</f>
        <v>155777.29999999999</v>
      </c>
      <c r="UZ43" s="578"/>
      <c r="VA43" s="577">
        <f>VA26+VA28+VA29+VA30</f>
        <v>149263.59</v>
      </c>
      <c r="VB43" s="1430">
        <f t="shared" ref="VB43:VB45" si="1734">VA43/UY43</f>
        <v>0.9581857562045305</v>
      </c>
      <c r="VC43" s="577">
        <f>VC26+VC28+VC29+VC30</f>
        <v>649968.79999999993</v>
      </c>
      <c r="VD43" s="578"/>
      <c r="VE43" s="578">
        <f t="shared" ref="VE43:VF43" si="1735">VE26+VE28+VE29+VE30</f>
        <v>610628.67999999993</v>
      </c>
      <c r="VF43" s="1430">
        <f t="shared" ref="VF43:VF45" si="1736">VE43/VC43</f>
        <v>0.93947383320553235</v>
      </c>
      <c r="VG43" s="577">
        <f>VG26+VG28+VG29+VG30</f>
        <v>83089.98</v>
      </c>
      <c r="VH43" s="578"/>
      <c r="VI43" s="578">
        <f t="shared" ref="VI43:VJ43" si="1737">VI26+VI28+VI29+VI30</f>
        <v>66862.69</v>
      </c>
      <c r="VJ43" s="1430">
        <f t="shared" ref="VJ43:VJ45" si="1738">VI43/VG43</f>
        <v>0.80470220356293265</v>
      </c>
      <c r="VK43" s="577">
        <f>VK26+VK28+VK29+VK30</f>
        <v>62434.619999999995</v>
      </c>
      <c r="VL43" s="578"/>
      <c r="VM43" s="577">
        <f>VM26+VM28+VM29+VM30</f>
        <v>54977.46</v>
      </c>
      <c r="VN43" s="1430">
        <f t="shared" ref="VN43:VN45" si="1739">VM43/VK43</f>
        <v>0.8805604967244135</v>
      </c>
      <c r="VO43" s="577">
        <f>VO26+VO28+VO29+VO30</f>
        <v>55036.31</v>
      </c>
      <c r="VP43" s="578"/>
      <c r="VQ43" s="577">
        <f>VQ26+VQ28+VQ29+VQ30</f>
        <v>52220.600000000006</v>
      </c>
      <c r="VR43" s="1430">
        <f t="shared" ref="VR43:VR45" si="1740">VQ43/VO43</f>
        <v>0.94883904825741416</v>
      </c>
      <c r="VS43" s="577">
        <f>VS26+VS28+VS29+VS30</f>
        <v>64086.89</v>
      </c>
      <c r="VT43" s="578"/>
      <c r="VU43" s="577">
        <f>VU26+VU28+VU29+VU30</f>
        <v>60579.22</v>
      </c>
      <c r="VV43" s="1430">
        <f t="shared" ref="VV43:VV45" si="1741">VU43/VS43</f>
        <v>0.94526696489718887</v>
      </c>
      <c r="VW43" s="577">
        <f>VW26+VW28+VW29+VW30</f>
        <v>77388.490000000005</v>
      </c>
      <c r="VX43" s="578"/>
      <c r="VY43" s="577">
        <f>VY26+VY28+VY29+VY30</f>
        <v>76427.25</v>
      </c>
      <c r="VZ43" s="1430">
        <f t="shared" ref="VZ43:VZ45" si="1742">VY43/VW43</f>
        <v>0.98757903145545278</v>
      </c>
      <c r="WA43" s="577">
        <f>WA26+WA28+WA29+WA30</f>
        <v>105184.38999999998</v>
      </c>
      <c r="WB43" s="578"/>
      <c r="WC43" s="577">
        <f>WC26+WC28+WC29+WC30</f>
        <v>109113.1</v>
      </c>
      <c r="WD43" s="1430">
        <f t="shared" ref="WD43:WD45" si="1743">WC43/WA43</f>
        <v>1.0373506943378197</v>
      </c>
      <c r="WE43" s="577">
        <f>WE26+WE28+WE29+WE30</f>
        <v>155595.26999999999</v>
      </c>
      <c r="WF43" s="578"/>
      <c r="WG43" s="577">
        <f>WG26+WG28+WG29+WG30</f>
        <v>150434.77000000002</v>
      </c>
      <c r="WH43" s="1430">
        <f t="shared" ref="WH43:WH45" si="1744">WG43/WE43</f>
        <v>0.96683382470431156</v>
      </c>
      <c r="WI43" s="577">
        <f>WI26+WI28+WI29+WI30</f>
        <v>264647.8</v>
      </c>
      <c r="WJ43" s="578"/>
      <c r="WK43" s="578">
        <f t="shared" ref="WK43:WL43" si="1745">WK26+WK28+WK29+WK30</f>
        <v>570615.09</v>
      </c>
      <c r="WL43" s="1430">
        <f t="shared" ref="WL43:WL45" si="1746">WK43/WI43</f>
        <v>2.1561301095266994</v>
      </c>
      <c r="WM43" s="577">
        <f>WM26+WM28+WM29+WM30</f>
        <v>74241.799999999988</v>
      </c>
      <c r="WN43" s="578"/>
      <c r="WO43" s="578">
        <f t="shared" ref="WO43:WP43" si="1747">WO26+WO28+WO29+WO30</f>
        <v>69997.819999999992</v>
      </c>
      <c r="WP43" s="1430">
        <f t="shared" ref="WP43:WP45" si="1748">WO43/WM43</f>
        <v>0.94283570710839448</v>
      </c>
      <c r="WQ43" s="577">
        <f>WQ26+WQ28+WQ29+WQ30</f>
        <v>75479.02</v>
      </c>
      <c r="WR43" s="578"/>
      <c r="WS43" s="577">
        <f>WS26+WS28+WS29+WS30</f>
        <v>63420.090000000004</v>
      </c>
      <c r="WT43" s="1430">
        <f t="shared" ref="WT43:WT45" si="1749">WS43/WQ43</f>
        <v>0.84023467713279798</v>
      </c>
      <c r="WU43" s="577">
        <f>WU26+WU28+WU29+WU30</f>
        <v>85755.34</v>
      </c>
      <c r="WV43" s="578"/>
      <c r="WW43" s="577">
        <f>WW26+WW28+WW29+WW30</f>
        <v>61776.91</v>
      </c>
      <c r="WX43" s="1430">
        <f t="shared" ref="WX43:WX45" si="1750">WW43/WU43</f>
        <v>0.72038557598862074</v>
      </c>
      <c r="WY43" s="577">
        <f>WY26+WY28+WY29+WY30</f>
        <v>73262.740000000005</v>
      </c>
      <c r="WZ43" s="578"/>
      <c r="XA43" s="577">
        <f>XA26+XA28+XA29+XA30</f>
        <v>70441.83</v>
      </c>
      <c r="XB43" s="1430">
        <f t="shared" ref="XB43:XB45" si="1751">XA43/WY43</f>
        <v>0.96149598008482884</v>
      </c>
      <c r="XC43" s="577">
        <f>XC26+XC28+XC29+XC30</f>
        <v>90603.22</v>
      </c>
      <c r="XD43" s="578"/>
      <c r="XE43" s="577">
        <f>XE26+XE28+XE29+XE30</f>
        <v>82767.98</v>
      </c>
      <c r="XF43" s="1430">
        <f t="shared" ref="XF43:XF45" si="1752">XE43/XC43</f>
        <v>0.91352139581794112</v>
      </c>
      <c r="XG43" s="577">
        <f>XG26+XG28+XG29+XG30</f>
        <v>101538.51</v>
      </c>
      <c r="XH43" s="578"/>
      <c r="XI43" s="577">
        <f>XI26+XI28+XI29+XI30</f>
        <v>124905.66</v>
      </c>
      <c r="XJ43" s="1430">
        <f t="shared" ref="XJ43:XJ45" si="1753">XI43/XG43</f>
        <v>1.2301309128920643</v>
      </c>
      <c r="XK43" s="577">
        <f>XK26+XK28+XK29+XK30</f>
        <v>167789.25</v>
      </c>
      <c r="XL43" s="578"/>
      <c r="XM43" s="577">
        <f>XM26+XM28+XM29+XM30</f>
        <v>175374.06</v>
      </c>
      <c r="XN43" s="1430">
        <f t="shared" ref="XN43:XN45" si="1754">XM43/XK43</f>
        <v>1.0452043858590463</v>
      </c>
      <c r="XO43" s="577">
        <f>XO26+XO28+XO29+XO30</f>
        <v>668669.88</v>
      </c>
      <c r="XP43" s="578"/>
      <c r="XQ43" s="578">
        <f t="shared" ref="XQ43:XR43" si="1755">XQ26+XQ28+XQ29+XQ30</f>
        <v>648684.35</v>
      </c>
      <c r="XR43" s="1430">
        <f t="shared" ref="XR43:XR45" si="1756">XQ43/XO43</f>
        <v>0.97011151451894317</v>
      </c>
      <c r="XS43" s="577">
        <f>XS26+XS28+XS29+XS30</f>
        <v>87960.98</v>
      </c>
      <c r="XT43" s="578"/>
      <c r="XU43" s="578">
        <f t="shared" ref="XU43:XV43" si="1757">XU26+XU28+XU29+XU30</f>
        <v>70975.86</v>
      </c>
      <c r="XV43" s="1430">
        <f t="shared" ref="XV43:XV45" si="1758">XU43/XS43</f>
        <v>0.80690165116395929</v>
      </c>
      <c r="XW43" s="577">
        <f>XW26+XW28+XW29+XW30</f>
        <v>55447.49</v>
      </c>
      <c r="XX43" s="578"/>
      <c r="XY43" s="577">
        <f>XY26+XY28+XY29+XY30</f>
        <v>62582.78</v>
      </c>
      <c r="XZ43" s="1430">
        <f t="shared" ref="XZ43:XZ45" si="1759">XY43/XW43</f>
        <v>1.1286855365319513</v>
      </c>
      <c r="YA43" s="577">
        <f>YA26+YA28+YA29+YA30</f>
        <v>61253.16</v>
      </c>
      <c r="YB43" s="578"/>
      <c r="YC43" s="577">
        <f>YC26+YC28+YC29+YC30</f>
        <v>59848.25</v>
      </c>
      <c r="YD43" s="1430">
        <f t="shared" ref="YD43:YD45" si="1760">YC43/YA43</f>
        <v>0.97706387719425414</v>
      </c>
      <c r="YE43" s="577">
        <f>YE26+YE28+YE29+YE30</f>
        <v>60871.92</v>
      </c>
      <c r="YF43" s="578"/>
      <c r="YG43" s="577">
        <f>YG26+YG28+YG29+YG30</f>
        <v>58819.11</v>
      </c>
      <c r="YH43" s="1430">
        <f t="shared" ref="YH43:YH45" si="1761">YG43/YE43</f>
        <v>0.96627656890073454</v>
      </c>
      <c r="YI43" s="577">
        <f>YI26+YI28+YI29+YI30</f>
        <v>77667.5</v>
      </c>
      <c r="YJ43" s="578"/>
      <c r="YK43" s="577">
        <f>YK26+YK28+YK29+YK30</f>
        <v>70849.399999999994</v>
      </c>
      <c r="YL43" s="1430">
        <f t="shared" ref="YL43:YL45" si="1762">YK43/YI43</f>
        <v>0.91221424662825501</v>
      </c>
      <c r="YM43" s="577">
        <f>YM26+YM28+YM29+YM30</f>
        <v>108194.3</v>
      </c>
      <c r="YN43" s="578"/>
      <c r="YO43" s="577">
        <f>YO26+YO28+YO29+YO30</f>
        <v>96462.77</v>
      </c>
      <c r="YP43" s="1430">
        <f t="shared" ref="YP43:YP45" si="1763">YO43/YM43</f>
        <v>0.89156979619074206</v>
      </c>
      <c r="YQ43" s="577">
        <f>YQ26+YQ28+YQ29+YQ30</f>
        <v>169665.07</v>
      </c>
      <c r="YR43" s="578"/>
      <c r="YS43" s="577">
        <f>YS26+YS28+YS29+YS30</f>
        <v>155142.9</v>
      </c>
      <c r="YT43" s="1430">
        <f t="shared" ref="YT43:YT45" si="1764">YS43/YQ43</f>
        <v>0.91440683695235558</v>
      </c>
      <c r="YU43" s="577">
        <f>YU26+YU28+YU29+YU30</f>
        <v>621060.42000000004</v>
      </c>
      <c r="YV43" s="578"/>
      <c r="YW43" s="578">
        <f t="shared" ref="YW43:YX43" si="1765">YW26+YW28+YW29+YW30</f>
        <v>574681.06999999995</v>
      </c>
      <c r="YX43" s="1430">
        <f t="shared" ref="YX43:YX45" si="1766">YW43/YU43</f>
        <v>0.92532232210192999</v>
      </c>
      <c r="YY43" s="577">
        <f>YY26+YY28+YY29+YY30</f>
        <v>84523.709999999992</v>
      </c>
      <c r="YZ43" s="578"/>
      <c r="ZA43" s="578">
        <f t="shared" ref="ZA43:ZB43" si="1767">ZA26+ZA28+ZA29+ZA30</f>
        <v>80537.799999999988</v>
      </c>
      <c r="ZB43" s="1430">
        <f t="shared" ref="ZB43:ZB45" si="1768">ZA43/YY43</f>
        <v>0.9528426994035164</v>
      </c>
      <c r="ZC43" s="577">
        <f>ZC26+ZC28+ZC29+ZC30</f>
        <v>66992.69</v>
      </c>
      <c r="ZD43" s="578"/>
      <c r="ZE43" s="577">
        <f>ZE26+ZE28+ZE29+ZE30</f>
        <v>66749.38</v>
      </c>
      <c r="ZF43" s="1430">
        <f t="shared" ref="ZF43:ZF45" si="1769">ZE43/ZC43</f>
        <v>0.99636811120735713</v>
      </c>
      <c r="ZG43" s="577">
        <f>ZG26+ZG28+ZG29+ZG30</f>
        <v>70642.97</v>
      </c>
      <c r="ZH43" s="578"/>
      <c r="ZI43" s="577">
        <f>ZI26+ZI28+ZI29+ZI30</f>
        <v>72569.399999999994</v>
      </c>
      <c r="ZJ43" s="1430">
        <f t="shared" ref="ZJ43:ZJ45" si="1770">ZI43/ZG43</f>
        <v>1.0272699463230381</v>
      </c>
      <c r="ZK43" s="577">
        <f>ZK26+ZK28+ZK29+ZK30</f>
        <v>91566.75</v>
      </c>
      <c r="ZL43" s="578"/>
      <c r="ZM43" s="577">
        <f>ZM26+ZM28+ZM29+ZM30</f>
        <v>81178.91</v>
      </c>
      <c r="ZN43" s="1430">
        <f t="shared" ref="ZN43:ZN45" si="1771">ZM43/ZK43</f>
        <v>0.88655445344516437</v>
      </c>
      <c r="ZO43" s="577">
        <f>ZO26+ZO28+ZO29+ZO30</f>
        <v>107219.38</v>
      </c>
      <c r="ZP43" s="578"/>
      <c r="ZQ43" s="577">
        <f>ZQ26+ZQ28+ZQ29+ZQ30</f>
        <v>100229.62000000001</v>
      </c>
      <c r="ZR43" s="1430">
        <f t="shared" ref="ZR43:ZR45" si="1772">ZQ43/ZO43</f>
        <v>0.93480880042395331</v>
      </c>
      <c r="ZS43" s="577">
        <f>ZS26+ZS28+ZS29+ZS30</f>
        <v>122818.21</v>
      </c>
      <c r="ZT43" s="578"/>
      <c r="ZU43" s="577">
        <f>ZU26+ZU28+ZU29+ZU30</f>
        <v>155709.97999999998</v>
      </c>
      <c r="ZV43" s="1430">
        <f t="shared" ref="ZV43:ZV45" si="1773">ZU43/ZS43</f>
        <v>1.267808576594627</v>
      </c>
      <c r="ZW43" s="577">
        <f>ZW26+ZW28+ZW29+ZW30</f>
        <v>129598.05</v>
      </c>
      <c r="ZX43" s="578"/>
      <c r="ZY43" s="577">
        <f>ZY26+ZY28+ZY29+ZY30</f>
        <v>201260.94999999998</v>
      </c>
      <c r="ZZ43" s="1430">
        <f t="shared" ref="ZZ43:ZZ45" si="1774">ZY43/ZW43</f>
        <v>1.5529627953507015</v>
      </c>
      <c r="AAA43" s="577">
        <f>AAA26+AAA28+AAA29+AAA30</f>
        <v>673361.76</v>
      </c>
      <c r="AAB43" s="578"/>
      <c r="AAC43" s="578">
        <f t="shared" ref="AAC43:AAD43" si="1775">AAC26+AAC28+AAC29+AAC30</f>
        <v>758236.04</v>
      </c>
      <c r="AAD43" s="1430">
        <f t="shared" ref="AAD43:AAD45" si="1776">AAC43/AAA43</f>
        <v>1.1260455895208543</v>
      </c>
      <c r="AAE43" s="577">
        <f>AAE26+AAE28+AAE29+AAE30</f>
        <v>83614.14</v>
      </c>
      <c r="AAF43" s="578"/>
      <c r="AAG43" s="578">
        <f t="shared" ref="AAG43:AAH43" si="1777">AAG26+AAG28+AAG29+AAG30</f>
        <v>90177.68</v>
      </c>
      <c r="AAH43" s="1430">
        <f t="shared" ref="AAH43:AAH45" si="1778">AAG43/AAE43</f>
        <v>1.0784979669706583</v>
      </c>
      <c r="AAI43" s="577">
        <f>AAI26+AAI28+AAI29+AAI30</f>
        <v>60896.469999999994</v>
      </c>
      <c r="AAJ43" s="578"/>
      <c r="AAK43" s="577">
        <f>AAK26+AAK28+AAK29+AAK30</f>
        <v>81674.03</v>
      </c>
      <c r="AAL43" s="1430">
        <f t="shared" ref="AAL43:AAL45" si="1779">AAK43/AAI43</f>
        <v>1.3411948180247559</v>
      </c>
      <c r="AAM43" s="577">
        <f>AAM26+AAM28+AAM29+AAM30</f>
        <v>61788.33</v>
      </c>
      <c r="AAN43" s="578"/>
      <c r="AAO43" s="577">
        <f>AAO26+AAO28+AAO29+AAO30</f>
        <v>54152.54</v>
      </c>
      <c r="AAP43" s="1430">
        <f t="shared" ref="AAP43:AAP45" si="1780">AAO43/AAM43</f>
        <v>0.87642019132091775</v>
      </c>
      <c r="AAQ43" s="577">
        <f>AAQ26+AAQ28+AAQ29+AAQ30</f>
        <v>48765.090000000004</v>
      </c>
      <c r="AAR43" s="578"/>
      <c r="AAS43" s="577">
        <f>AAS26+AAS28+AAS29+AAS30</f>
        <v>54624.03</v>
      </c>
      <c r="AAT43" s="1430">
        <f t="shared" ref="AAT43:AAT45" si="1781">AAS43/AAQ43</f>
        <v>1.1201461947471028</v>
      </c>
      <c r="AAU43" s="577">
        <f>AAU26+AAU28+AAU29+AAU30</f>
        <v>63699.969999999994</v>
      </c>
      <c r="AAV43" s="578"/>
      <c r="AAW43" s="577">
        <f>AAW26+AAW28+AAW29+AAW30</f>
        <v>65142.27</v>
      </c>
      <c r="AAX43" s="1430">
        <f t="shared" ref="AAX43:AAX45" si="1782">AAW43/AAU43</f>
        <v>1.0226420828769622</v>
      </c>
      <c r="AAY43" s="577">
        <f>AAY26+AAY28+AAY29+AAY30</f>
        <v>84601.89</v>
      </c>
      <c r="AAZ43" s="578"/>
      <c r="ABA43" s="577">
        <f>ABA26+ABA28+ABA29+ABA30</f>
        <v>102478.98000000001</v>
      </c>
      <c r="ABB43" s="1430">
        <f t="shared" ref="ABB43:ABB45" si="1783">ABA43/AAY43</f>
        <v>1.2113083998478049</v>
      </c>
      <c r="ABC43" s="577">
        <f>ABC26+ABC28+ABC29+ABC30</f>
        <v>147702.84999999998</v>
      </c>
      <c r="ABD43" s="578"/>
      <c r="ABE43" s="577">
        <f>ABE26+ABE28+ABE29+ABE30</f>
        <v>149403.35999999999</v>
      </c>
      <c r="ABF43" s="1430">
        <f t="shared" ref="ABF43:ABF45" si="1784">ABE43/ABC43</f>
        <v>1.0115130479879029</v>
      </c>
      <c r="ABG43" s="577">
        <f>ABG26+ABG28+ABG29+ABG30</f>
        <v>551068.74</v>
      </c>
      <c r="ABH43" s="578"/>
      <c r="ABI43" s="578">
        <f t="shared" ref="ABI43:ABJ43" si="1785">ABI26+ABI28+ABI29+ABI30</f>
        <v>597652.89000000013</v>
      </c>
      <c r="ABJ43" s="1430">
        <f t="shared" ref="ABJ43:ABJ45" si="1786">ABI43/ABG43</f>
        <v>1.0845341907799018</v>
      </c>
      <c r="ABK43" s="577">
        <f>ABK26+ABK28+ABK29+ABK30</f>
        <v>84765.64</v>
      </c>
      <c r="ABL43" s="578"/>
      <c r="ABM43" s="578">
        <f t="shared" ref="ABM43:ABN43" si="1787">ABM26+ABM28+ABM29+ABM30</f>
        <v>81481.42</v>
      </c>
      <c r="ABN43" s="1430">
        <f t="shared" ref="ABN43:ABN45" si="1788">ABM43/ABK43</f>
        <v>0.96125529164883317</v>
      </c>
      <c r="ABO43" s="577">
        <f>ABO26+ABO28+ABO29+ABO30</f>
        <v>52925.31</v>
      </c>
      <c r="ABP43" s="578"/>
      <c r="ABQ43" s="577">
        <f>ABQ26+ABQ28+ABQ29+ABQ30</f>
        <v>55484.840000000004</v>
      </c>
      <c r="ABR43" s="1430">
        <f t="shared" ref="ABR43:ABR45" si="1789">ABQ43/ABO43</f>
        <v>1.0483611716209127</v>
      </c>
      <c r="ABS43" s="577">
        <f>ABS26+ABS28+ABS29+ABS30</f>
        <v>28522.27</v>
      </c>
      <c r="ABT43" s="578"/>
      <c r="ABU43" s="577">
        <f>ABU26+ABU28+ABU29+ABU30</f>
        <v>56618.29</v>
      </c>
      <c r="ABV43" s="1430">
        <f t="shared" ref="ABV43:ABV45" si="1790">ABU43/ABS43</f>
        <v>1.9850555373047096</v>
      </c>
      <c r="ABW43" s="577">
        <f>ABW26+ABW28+ABW29+ABW30</f>
        <v>48290.85</v>
      </c>
      <c r="ABX43" s="578"/>
      <c r="ABY43" s="577">
        <f>ABY26+ABY28+ABY29+ABY30</f>
        <v>68503.290000000008</v>
      </c>
      <c r="ABZ43" s="1430">
        <f t="shared" ref="ABZ43:ABZ45" si="1791">ABY43/ABW43</f>
        <v>1.4185563103569312</v>
      </c>
      <c r="ACA43" s="577">
        <f>ACA26+ACA28+ACA29+ACA30</f>
        <v>93386.4</v>
      </c>
      <c r="ACB43" s="578"/>
      <c r="ACC43" s="577">
        <f>ACC26+ACC28+ACC29+ACC30</f>
        <v>93066.81</v>
      </c>
      <c r="ACD43" s="1430">
        <f t="shared" ref="ACD43:ACD45" si="1792">ACC43/ACA43</f>
        <v>0.99657776721235647</v>
      </c>
      <c r="ACE43" s="577">
        <f>ACE26+ACE28+ACE29+ACE30</f>
        <v>166924.82</v>
      </c>
      <c r="ACF43" s="578"/>
      <c r="ACG43" s="577">
        <f>ACG26+ACG28+ACG29+ACG30</f>
        <v>145863.18</v>
      </c>
      <c r="ACH43" s="1430">
        <f t="shared" ref="ACH43:ACH45" si="1793">ACG43/ACE43</f>
        <v>0.87382559406084714</v>
      </c>
      <c r="ACI43" s="577">
        <f>ACI26+ACI28+ACI29+ACI30</f>
        <v>297101.55000000005</v>
      </c>
      <c r="ACJ43" s="578"/>
      <c r="ACK43" s="577">
        <f>ACK26+ACK28+ACK29+ACK30</f>
        <v>230954.32</v>
      </c>
      <c r="ACL43" s="1430">
        <f t="shared" ref="ACL43:ACL45" si="1794">ACK43/ACI43</f>
        <v>0.77735817938344642</v>
      </c>
      <c r="ACM43" s="577">
        <f>ACM26+ACM28+ACM29+ACM30</f>
        <v>771916.84000000008</v>
      </c>
      <c r="ACN43" s="578"/>
      <c r="ACO43" s="578">
        <f t="shared" ref="ACO43:ACP43" si="1795">ACO26+ACO28+ACO29+ACO30</f>
        <v>731972.15</v>
      </c>
      <c r="ACP43" s="1430">
        <f t="shared" ref="ACP43:ACP45" si="1796">ACO43/ACM43</f>
        <v>0.94825259933440487</v>
      </c>
      <c r="ACQ43" s="577">
        <f>ACQ26+ACQ28+ACQ29+ACQ30</f>
        <v>223718.76</v>
      </c>
      <c r="ACR43" s="578"/>
      <c r="ACS43" s="578">
        <f t="shared" ref="ACS43:ACT43" si="1797">ACS26+ACS28+ACS29+ACS30</f>
        <v>136052.71</v>
      </c>
      <c r="ACT43" s="1430">
        <f t="shared" ref="ACT43:ACT45" si="1798">ACS43/ACQ43</f>
        <v>0.60814171328323108</v>
      </c>
      <c r="ACU43" s="577">
        <f>ACU26+ACU28+ACU29+ACU30</f>
        <v>196708.19</v>
      </c>
      <c r="ACV43" s="578"/>
      <c r="ACW43" s="577">
        <f>ACW26+ACW28+ACW29+ACW30</f>
        <v>129159.51000000001</v>
      </c>
      <c r="ACX43" s="1430">
        <f t="shared" ref="ACX43:ACX45" si="1799">ACW43/ACU43</f>
        <v>0.65660463857656359</v>
      </c>
      <c r="ACY43" s="577">
        <f>ACY26+ACY28+ACY29+ACY30</f>
        <v>62021.71</v>
      </c>
      <c r="ACZ43" s="578"/>
      <c r="ADA43" s="577">
        <f>ADA26+ADA28+ADA29+ADA30</f>
        <v>72347.45</v>
      </c>
      <c r="ADB43" s="1430">
        <f t="shared" ref="ADB43:ADB45" si="1800">ADA43/ACY43</f>
        <v>1.166485896632002</v>
      </c>
      <c r="ADC43" s="577">
        <f>ADC26+ADC28+ADC29+ADC30</f>
        <v>56363.55</v>
      </c>
      <c r="ADD43" s="578"/>
      <c r="ADE43" s="577">
        <f>ADE26+ADE28+ADE29+ADE30</f>
        <v>60938.100000000006</v>
      </c>
      <c r="ADF43" s="1430">
        <f t="shared" ref="ADF43:ADF45" si="1801">ADE43/ADC43</f>
        <v>1.0811614953280977</v>
      </c>
      <c r="ADG43" s="577">
        <f>ADG26+ADG28+ADG29+ADG30</f>
        <v>70089.48</v>
      </c>
      <c r="ADH43" s="578"/>
      <c r="ADI43" s="577">
        <f>ADI26+ADI28+ADI29+ADI30</f>
        <v>75027.44</v>
      </c>
      <c r="ADJ43" s="1430">
        <f t="shared" ref="ADJ43:ADJ45" si="1802">ADI43/ADG43</f>
        <v>1.0704522276381563</v>
      </c>
      <c r="ADK43" s="577">
        <f>ADK26+ADK28+ADK29+ADK30</f>
        <v>98724.12</v>
      </c>
      <c r="ADL43" s="578"/>
      <c r="ADM43" s="577">
        <f>ADM26+ADM28+ADM29+ADM30</f>
        <v>116186.06</v>
      </c>
      <c r="ADN43" s="1430">
        <f t="shared" ref="ADN43:ADN45" si="1803">ADM43/ADK43</f>
        <v>1.176876127130837</v>
      </c>
      <c r="ADO43" s="577">
        <f>ADO26+ADO28+ADO29+ADO30</f>
        <v>165812.86000000002</v>
      </c>
      <c r="ADP43" s="578"/>
      <c r="ADQ43" s="577">
        <f>ADQ26+ADQ28+ADQ29+ADQ30</f>
        <v>165861.64000000001</v>
      </c>
      <c r="ADR43" s="1430">
        <f t="shared" ref="ADR43:ADR45" si="1804">ADQ43/ADO43</f>
        <v>1.0002941870733066</v>
      </c>
      <c r="ADS43" s="577">
        <f>ADS26+ADS28+ADS29+ADS30</f>
        <v>873438.66999999993</v>
      </c>
      <c r="ADT43" s="578"/>
      <c r="ADU43" s="578">
        <f t="shared" ref="ADU43:ADV43" si="1805">ADU26+ADU28+ADU29+ADU30</f>
        <v>755572.91</v>
      </c>
      <c r="ADV43" s="1430">
        <f t="shared" ref="ADV43:ADV45" si="1806">ADU43/ADS43</f>
        <v>0.86505548237290675</v>
      </c>
      <c r="ADW43" s="577">
        <f>ADW26+ADW28+ADW29+ADW30</f>
        <v>90134.58</v>
      </c>
      <c r="ADX43" s="578"/>
      <c r="ADY43" s="578">
        <f t="shared" ref="ADY43:ADZ43" si="1807">ADY26+ADY28+ADY29+ADY30</f>
        <v>93265.540000000008</v>
      </c>
      <c r="ADZ43" s="1430">
        <f t="shared" ref="ADZ43:ADZ45" si="1808">ADY43/ADW43</f>
        <v>1.0347365017954264</v>
      </c>
      <c r="AEA43" s="577">
        <f>AEA26+AEA28+AEA29+AEA30</f>
        <v>68093.009999999995</v>
      </c>
      <c r="AEB43" s="578"/>
      <c r="AEC43" s="577">
        <f>AEC26+AEC28+AEC29+AEC30</f>
        <v>72804</v>
      </c>
      <c r="AED43" s="1430">
        <f t="shared" ref="AED43:AED45" si="1809">AEC43/AEA43</f>
        <v>1.0691846343699596</v>
      </c>
      <c r="AEE43" s="577">
        <f>AEE26+AEE28+AEE29+AEE30</f>
        <v>72281.7</v>
      </c>
      <c r="AEF43" s="578"/>
      <c r="AEG43" s="577">
        <f>AEG26+AEG28+AEG29+AEG30</f>
        <v>60747</v>
      </c>
      <c r="AEH43" s="1430">
        <f t="shared" ref="AEH43:AEH45" si="1810">AEG43/AEE43</f>
        <v>0.84042018934253071</v>
      </c>
      <c r="AEI43" s="577">
        <f>AEI26+AEI28+AEI29+AEI30</f>
        <v>69256.05</v>
      </c>
      <c r="AEJ43" s="578"/>
      <c r="AEK43" s="577">
        <f>AEK26+AEK28+AEK29+AEK30</f>
        <v>74583</v>
      </c>
      <c r="AEL43" s="1430">
        <f t="shared" ref="AEL43:AEL45" si="1811">AEK43/AEI43</f>
        <v>1.0769167459016216</v>
      </c>
      <c r="AEM43" s="577">
        <f>AEM26+AEM28+AEM29+AEM30</f>
        <v>119019.00999999998</v>
      </c>
      <c r="AEN43" s="578"/>
      <c r="AEO43" s="577">
        <f>AEO26+AEO28+AEO29+AEO30</f>
        <v>81797</v>
      </c>
      <c r="AEP43" s="1430">
        <f t="shared" ref="AEP43:AEP45" si="1812">AEO43/AEM43</f>
        <v>0.68725995956444286</v>
      </c>
      <c r="AEQ43" s="577">
        <f>AEQ26+AEQ28+AEQ29+AEQ30</f>
        <v>160264.31</v>
      </c>
      <c r="AER43" s="578"/>
      <c r="AES43" s="577">
        <f>AES26+AES28+AES29+AES30</f>
        <v>68450</v>
      </c>
      <c r="AET43" s="1430">
        <f t="shared" ref="AET43:AET45" si="1813">AES43/AEQ43</f>
        <v>0.42710694601936017</v>
      </c>
      <c r="AEU43" s="577">
        <f>AEU26+AEU28+AEU29+AEU30</f>
        <v>267773.46000000002</v>
      </c>
      <c r="AEV43" s="578"/>
      <c r="AEW43" s="577">
        <f>AEW26+AEW28+AEW29+AEW30</f>
        <v>173618</v>
      </c>
      <c r="AEX43" s="1430">
        <f t="shared" ref="AEX43:AEX45" si="1814">AEW43/AEU43</f>
        <v>0.64837642983737065</v>
      </c>
      <c r="AEY43" s="577">
        <f>AEY26+AEY28+AEY29+AEY30</f>
        <v>846822.12</v>
      </c>
      <c r="AEZ43" s="578"/>
      <c r="AFA43" s="578">
        <f t="shared" ref="AFA43:AFB43" si="1815">AFA26+AFA28+AFA29+AFA30</f>
        <v>625264.54</v>
      </c>
      <c r="AFB43" s="1430">
        <f t="shared" ref="AFB43:AFB45" si="1816">AFA43/AEY43</f>
        <v>0.73836585657445986</v>
      </c>
      <c r="AFC43" s="577">
        <f>AFC26+AFC28+AFC29+AFC30</f>
        <v>137613.07</v>
      </c>
      <c r="AFD43" s="578"/>
      <c r="AFE43" s="578">
        <f t="shared" ref="AFE43:AFF43" si="1817">AFE26+AFE28+AFE29+AFE30</f>
        <v>101064</v>
      </c>
      <c r="AFF43" s="1430">
        <f t="shared" ref="AFF43:AFF45" si="1818">AFE43/AFC43</f>
        <v>0.73440698619687794</v>
      </c>
      <c r="AFG43" s="577">
        <f>AFG26+AFG28+AFG29+AFG30</f>
        <v>102360.01000000001</v>
      </c>
      <c r="AFH43" s="578"/>
      <c r="AFI43" s="577">
        <f>AFI26+AFI28+AFI29+AFI30</f>
        <v>63922.399999999994</v>
      </c>
      <c r="AFJ43" s="1430">
        <f t="shared" ref="AFJ43:AFJ45" si="1819">AFI43/AFG43</f>
        <v>0.62448606638471404</v>
      </c>
      <c r="AFK43" s="577">
        <f>AFK26+AFK28+AFK29+AFK30</f>
        <v>107893.18</v>
      </c>
      <c r="AFL43" s="578"/>
      <c r="AFM43" s="577">
        <f>AFM26+AFM28+AFM29+AFM30</f>
        <v>95025.79</v>
      </c>
      <c r="AFN43" s="1430">
        <f t="shared" ref="AFN43:AFN45" si="1820">AFM43/AFK43</f>
        <v>0.88073954257349718</v>
      </c>
      <c r="AFO43" s="577">
        <f>AFO26+AFO28+AFO29+AFO30</f>
        <v>119944.08</v>
      </c>
      <c r="AFP43" s="578"/>
      <c r="AFQ43" s="577">
        <f>AFQ26+AFQ28+AFQ29+AFQ30</f>
        <v>90336.6</v>
      </c>
      <c r="AFR43" s="1430">
        <f t="shared" ref="AFR43:AFR45" si="1821">AFQ43/AFO43</f>
        <v>0.75315597068233797</v>
      </c>
      <c r="AFS43" s="577">
        <f>AFS26+AFS28+AFS29+AFS30</f>
        <v>147862.44</v>
      </c>
      <c r="AFT43" s="578"/>
      <c r="AFU43" s="577">
        <f>AFU26+AFU28+AFU29+AFU30</f>
        <v>116678.35</v>
      </c>
      <c r="AFV43" s="1430">
        <f t="shared" ref="AFV43:AFV45" si="1822">AFU43/AFS43</f>
        <v>0.78910066680896107</v>
      </c>
      <c r="AFW43" s="577">
        <f>AFW26+AFW28+AFW29+AFW30</f>
        <v>193402.33000000002</v>
      </c>
      <c r="AFX43" s="578"/>
      <c r="AFY43" s="577">
        <f>AFY26+AFY28+AFY29+AFY30</f>
        <v>137776.89000000001</v>
      </c>
      <c r="AFZ43" s="1430">
        <f t="shared" ref="AFZ43:AFZ45" si="1823">AFY43/AFW43</f>
        <v>0.71238485079264557</v>
      </c>
      <c r="AGA43" s="577">
        <f>AGA26+AGA28+AGA29+AGA30</f>
        <v>351720.23</v>
      </c>
      <c r="AGB43" s="578"/>
      <c r="AGC43" s="577">
        <f>AGC26+AGC28+AGC29+AGC30</f>
        <v>277607.63</v>
      </c>
      <c r="AGD43" s="1430">
        <f t="shared" ref="AGD43:AGD45" si="1824">AGC43/AGA43</f>
        <v>0.78928536467748822</v>
      </c>
      <c r="AGE43" s="577">
        <f>AGE26+AGE28+AGE29+AGE30</f>
        <v>1160795.3400000001</v>
      </c>
      <c r="AGF43" s="578"/>
      <c r="AGG43" s="578">
        <f t="shared" ref="AGG43:AGH43" si="1825">AGG26+AGG28+AGG29+AGG30</f>
        <v>882411.65999999992</v>
      </c>
      <c r="AGH43" s="1430">
        <f t="shared" ref="AGH43:AGH45" si="1826">AGG43/AGE43</f>
        <v>0.76017849968281215</v>
      </c>
      <c r="AGI43" s="577">
        <f>AGI26+AGI28+AGI29+AGI30</f>
        <v>172043.78000000003</v>
      </c>
      <c r="AGJ43" s="578"/>
      <c r="AGK43" s="578">
        <f t="shared" ref="AGK43:AGL43" si="1827">AGK26+AGK28+AGK29+AGK30</f>
        <v>126785.83</v>
      </c>
      <c r="AGL43" s="1430">
        <f t="shared" ref="AGL43:AGL45" si="1828">AGK43/AGI43</f>
        <v>0.73693934183496768</v>
      </c>
      <c r="AGM43" s="577">
        <f>AGM26+AGM28+AGM29+AGM30</f>
        <v>101689.1</v>
      </c>
      <c r="AGN43" s="578"/>
      <c r="AGO43" s="577">
        <f>AGO26+AGO28+AGO29+AGO30</f>
        <v>103835.57</v>
      </c>
      <c r="AGP43" s="1430">
        <f t="shared" ref="AGP43:AGP45" si="1829">AGO43/AGM43</f>
        <v>1.0211081620350657</v>
      </c>
      <c r="AGQ43" s="577">
        <f>AGQ26+AGQ28+AGQ29+AGQ30</f>
        <v>149159.03</v>
      </c>
      <c r="AGR43" s="578"/>
      <c r="AGS43" s="577">
        <f>AGS26+AGS28+AGS29+AGS30</f>
        <v>107683.45</v>
      </c>
      <c r="AGT43" s="1430">
        <f t="shared" ref="AGT43:AGT45" si="1830">AGS43/AGQ43</f>
        <v>0.72193718342094337</v>
      </c>
      <c r="AGU43" s="577">
        <f>AGU26+AGU28+AGU29+AGU30</f>
        <v>161914.68</v>
      </c>
      <c r="AGV43" s="578"/>
      <c r="AGW43" s="577">
        <f>AGW26+AGW28+AGW29+AGW30</f>
        <v>116884.93999999999</v>
      </c>
      <c r="AGX43" s="1430">
        <f t="shared" ref="AGX43:AGX45" si="1831">AGW43/AGU43</f>
        <v>0.72189217185248422</v>
      </c>
      <c r="AGY43" s="577">
        <f>AGY26+AGY28+AGY29+AGY30</f>
        <v>212126.95</v>
      </c>
      <c r="AGZ43" s="578"/>
      <c r="AHA43" s="577">
        <f>AHA26+AHA28+AHA29+AHA30</f>
        <v>134861.66</v>
      </c>
      <c r="AHB43" s="1430">
        <f t="shared" ref="AHB43:AHB45" si="1832">AHA43/AGY43</f>
        <v>0.63575919985650098</v>
      </c>
      <c r="AHC43" s="577">
        <f>AHC26+AHC28+AHC29+AHC30</f>
        <v>267192.08</v>
      </c>
      <c r="AHD43" s="578"/>
      <c r="AHE43" s="577">
        <f>AHE26+AHE28+AHE29+AHE30</f>
        <v>154590.01</v>
      </c>
      <c r="AHF43" s="1430">
        <f t="shared" ref="AHF43:AHF45" si="1833">AHE43/AHC43</f>
        <v>0.57857257595359868</v>
      </c>
      <c r="AHG43" s="577">
        <f>AHG26+AHG28+AHG29+AHG30</f>
        <v>365887.51</v>
      </c>
      <c r="AHH43" s="578"/>
      <c r="AHI43" s="577">
        <f>AHI26+AHI28+AHI29+AHI30</f>
        <v>263686.75</v>
      </c>
      <c r="AHJ43" s="1430">
        <f t="shared" ref="AHJ43:AHJ45" si="1834">AHI43/AHG43</f>
        <v>0.7206771010029831</v>
      </c>
      <c r="AHK43" s="577">
        <f>AHK26+AHK28+AHK29+AHK30</f>
        <v>1430013.1300000001</v>
      </c>
      <c r="AHL43" s="578"/>
      <c r="AHM43" s="578">
        <f t="shared" ref="AHM43:AHN43" si="1835">AHM26+AHM28+AHM29+AHM30</f>
        <v>1008328.2100000001</v>
      </c>
      <c r="AHN43" s="1430">
        <f t="shared" ref="AHN43:AHN45" si="1836">AHM43/AHK43</f>
        <v>0.70511814811098972</v>
      </c>
      <c r="AHO43" s="577">
        <f>AHO26+AHO28+AHO29+AHO30</f>
        <v>244910.33</v>
      </c>
      <c r="AHP43" s="578"/>
      <c r="AHQ43" s="578">
        <f t="shared" ref="AHQ43:AHR43" si="1837">AHQ26+AHQ28+AHQ29+AHQ30</f>
        <v>165027.72</v>
      </c>
      <c r="AHR43" s="1430">
        <f t="shared" ref="AHR43:AHR45" si="1838">AHQ43/AHO43</f>
        <v>0.67382915208190697</v>
      </c>
      <c r="AHS43" s="577">
        <f>AHS26+AHS28+AHS29+AHS30</f>
        <v>192756.75</v>
      </c>
      <c r="AHT43" s="578"/>
      <c r="AHU43" s="577">
        <f>AHU26+AHU28+AHU29+AHU30</f>
        <v>151692.43</v>
      </c>
      <c r="AHV43" s="1430">
        <f t="shared" ref="AHV43:AHV45" si="1839">AHU43/AHS43</f>
        <v>0.78696299870173159</v>
      </c>
      <c r="AHW43" s="577">
        <f>AHW26+AHW28+AHW29+AHW30</f>
        <v>200978.32</v>
      </c>
      <c r="AHX43" s="578"/>
      <c r="AHY43" s="577">
        <f>AHY26+AHY28+AHY29+AHY30</f>
        <v>160539.91</v>
      </c>
      <c r="AHZ43" s="1430">
        <f t="shared" ref="AHZ43:AHZ45" si="1840">AHY43/AHW43</f>
        <v>0.79879217818120873</v>
      </c>
      <c r="AIA43" s="577">
        <f>AIA26+AIA28+AIA29+AIA30</f>
        <v>215948.01</v>
      </c>
      <c r="AIB43" s="578"/>
      <c r="AIC43" s="577">
        <f>AIC26+AIC28+AIC29+AIC30</f>
        <v>206831.58999999997</v>
      </c>
      <c r="AID43" s="1430">
        <f t="shared" ref="AID43:AID45" si="1841">AIC43/AIA43</f>
        <v>0.95778419074109533</v>
      </c>
      <c r="AIE43" s="577">
        <f>AIE26+AIE28+AIE29+AIE30</f>
        <v>239176.81</v>
      </c>
      <c r="AIF43" s="578"/>
      <c r="AIG43" s="577">
        <f>AIG26+AIG28+AIG29+AIG30</f>
        <v>219485.09999999998</v>
      </c>
      <c r="AIH43" s="1430">
        <f t="shared" ref="AIH43:AIH45" si="1842">AIG43/AIE43</f>
        <v>0.9176688158020001</v>
      </c>
      <c r="AII43" s="577">
        <f>AII26+AII28+AII29+AII30</f>
        <v>277439.46999999997</v>
      </c>
      <c r="AIJ43" s="578"/>
      <c r="AIK43" s="577">
        <f>AIK26+AIK28+AIK29+AIK30</f>
        <v>248347.74</v>
      </c>
      <c r="AIL43" s="1430">
        <f t="shared" ref="AIL43:AIL45" si="1843">AIK43/AII43</f>
        <v>0.89514206468171242</v>
      </c>
      <c r="AIM43" s="577">
        <f>AIM26+AIM28+AIM29+AIM30</f>
        <v>376907</v>
      </c>
      <c r="AIN43" s="578"/>
      <c r="AIO43" s="577">
        <f>AIO26+AIO28+AIO29+AIO30</f>
        <v>304219.57</v>
      </c>
      <c r="AIP43" s="1430">
        <f t="shared" ref="AIP43:AIP45" si="1844">AIO43/AIM43</f>
        <v>0.807147572212774</v>
      </c>
      <c r="AIQ43" s="577">
        <f>AIQ26+AIQ28+AIQ29+AIQ30</f>
        <v>1748116.69</v>
      </c>
      <c r="AIR43" s="578"/>
      <c r="AIS43" s="578">
        <f t="shared" ref="AIS43:AIT43" si="1845">AIS26+AIS28+AIS29+AIS30</f>
        <v>1456144.0599999998</v>
      </c>
      <c r="AIT43" s="1430">
        <f t="shared" ref="AIT43:AIT45" si="1846">AIS43/AIQ43</f>
        <v>0.83297875269413502</v>
      </c>
      <c r="AIU43" s="577">
        <f>AIU26+AIU28+AIU29+AIU30</f>
        <v>205979.1012</v>
      </c>
      <c r="AIV43" s="578"/>
      <c r="AIW43" s="578">
        <f t="shared" ref="AIW43:AIX43" si="1847">AIW26+AIW28+AIW29+AIW30</f>
        <v>250499.92</v>
      </c>
      <c r="AIX43" s="1430">
        <f t="shared" ref="AIX43:AIX45" si="1848">AIW43/AIU43</f>
        <v>1.216142407363801</v>
      </c>
      <c r="AIY43" s="577">
        <f>AIY26+AIY28+AIY29+AIY30</f>
        <v>205979.1012</v>
      </c>
      <c r="AIZ43" s="578"/>
      <c r="AJA43" s="577">
        <f>AJA26+AJA28+AJA29+AJA30</f>
        <v>272822.18</v>
      </c>
      <c r="AJB43" s="1430">
        <f t="shared" ref="AJB43:AJB45" si="1849">AJA43/AIY43</f>
        <v>1.3245138871399249</v>
      </c>
      <c r="AJC43" s="577">
        <f>AJC26+AJC28+AJC29+AJC30</f>
        <v>205979.1012</v>
      </c>
      <c r="AJD43" s="578"/>
      <c r="AJE43" s="577">
        <f>AJE26+AJE28+AJE29+AJE30</f>
        <v>326946.23</v>
      </c>
      <c r="AJF43" s="1430">
        <f t="shared" ref="AJF43:AJF45" si="1850">AJE43/AJC43</f>
        <v>1.5872786515489465</v>
      </c>
      <c r="AJG43" s="577">
        <f>AJG26+AJG28+AJG29+AJG30</f>
        <v>205979.1012</v>
      </c>
      <c r="AJH43" s="578"/>
      <c r="AJI43" s="577">
        <f>AJI26+AJI28+AJI29+AJI30</f>
        <v>343895.52</v>
      </c>
      <c r="AJJ43" s="1430">
        <f t="shared" ref="AJJ43:AJJ45" si="1851">AJI43/AJG43</f>
        <v>1.6695651063458472</v>
      </c>
      <c r="AJK43" s="577">
        <f>AJK26+AJK28+AJK29+AJK30</f>
        <v>240308.95140000002</v>
      </c>
      <c r="AJL43" s="578"/>
      <c r="AJM43" s="577">
        <f>AJM26+AJM28+AJM29+AJM30</f>
        <v>426034.23</v>
      </c>
      <c r="AJN43" s="1430">
        <f t="shared" ref="AJN43:AJN45" si="1852">AJM43/AJK43</f>
        <v>1.7728604262054966</v>
      </c>
      <c r="AJO43" s="577">
        <f>AJO26+AJO28+AJO29+AJO30</f>
        <v>274638.80160000001</v>
      </c>
      <c r="AJP43" s="578"/>
      <c r="AJQ43" s="577">
        <f>AJQ26+AJQ28+AJQ29+AJQ30</f>
        <v>331119.03999999998</v>
      </c>
      <c r="AJR43" s="1430">
        <f t="shared" ref="AJR43:AJR45" si="1853">AJQ43/AJO43</f>
        <v>1.2056527994986705</v>
      </c>
      <c r="AJS43" s="577">
        <f>AJS26+AJS28+AJS29+AJS30</f>
        <v>377628.35220000002</v>
      </c>
      <c r="AJT43" s="578"/>
      <c r="AJU43" s="577">
        <f>AJU26+AJU28+AJU29+AJU30</f>
        <v>0</v>
      </c>
      <c r="AJV43" s="1430">
        <f t="shared" ref="AJV43:AJV45" si="1854">AJU43/AJS43</f>
        <v>0</v>
      </c>
      <c r="AJW43" s="577">
        <f>AJW26+AJW28+AJW29+AJW30</f>
        <v>1716492.51</v>
      </c>
      <c r="AJX43" s="578"/>
      <c r="AJY43" s="578">
        <f t="shared" ref="AJY43:AJZ43" si="1855">AJY26+AJY28+AJY29+AJY30</f>
        <v>1951317.12</v>
      </c>
      <c r="AJZ43" s="1430">
        <f t="shared" ref="AJZ43:AJZ45" si="1856">AJY43/AJW43</f>
        <v>1.1368049138763794</v>
      </c>
      <c r="AKA43" s="577">
        <f>AKA26+AKA28+AKA29+AKA30</f>
        <v>93320.419199999989</v>
      </c>
      <c r="AKB43" s="578"/>
      <c r="AKC43" s="578">
        <f t="shared" ref="AKC43:AKD43" si="1857">AKC26+AKC28+AKC29+AKC30</f>
        <v>116891.99</v>
      </c>
      <c r="AKD43" s="1430">
        <f t="shared" ref="AKD43:AKD45" si="1858">AKC43/AKA43</f>
        <v>1.2525874937347048</v>
      </c>
      <c r="AKE43" s="577">
        <f>AKE26+AKE28+AKE29+AKE30</f>
        <v>93320.419199999989</v>
      </c>
      <c r="AKF43" s="578"/>
      <c r="AKG43" s="577">
        <f>AKG26+AKG28+AKG29+AKG30</f>
        <v>150007.16</v>
      </c>
      <c r="AKH43" s="1430">
        <f t="shared" ref="AKH43:AKH45" si="1859">AKG43/AKE43</f>
        <v>1.6074419862871772</v>
      </c>
      <c r="AKI43" s="577">
        <f>AKI26+AKI28+AKI29+AKI30</f>
        <v>93320.419199999989</v>
      </c>
      <c r="AKJ43" s="578"/>
      <c r="AKK43" s="577">
        <f>AKK26+AKK28+AKK29+AKK30</f>
        <v>123004.33</v>
      </c>
      <c r="AKL43" s="1430">
        <f t="shared" ref="AKL43:AKL45" si="1860">AKK43/AKI43</f>
        <v>1.3180859136132128</v>
      </c>
      <c r="AKM43" s="577">
        <f>AKM26+AKM28+AKM29+AKM30</f>
        <v>93320.419199999989</v>
      </c>
      <c r="AKN43" s="578"/>
      <c r="AKO43" s="577">
        <f>AKO26+AKO28+AKO29+AKO30</f>
        <v>164196</v>
      </c>
      <c r="AKP43" s="1430">
        <f t="shared" ref="AKP43:AKP45" si="1861">AKO43/AKM43</f>
        <v>1.7594863097228781</v>
      </c>
      <c r="AKQ43" s="577">
        <f>AKQ26+AKQ28+AKQ29+AKQ30</f>
        <v>108873.8224</v>
      </c>
      <c r="AKR43" s="578"/>
      <c r="AKS43" s="577">
        <f>AKS26+AKS28+AKS29+AKS30</f>
        <v>192645.19</v>
      </c>
      <c r="AKT43" s="1430">
        <f t="shared" ref="AKT43:AKT45" si="1862">AKS43/AKQ43</f>
        <v>1.7694353495941921</v>
      </c>
      <c r="AKU43" s="577">
        <f>AKU26+AKU28+AKU29+AKU30</f>
        <v>124427.22560000001</v>
      </c>
      <c r="AKV43" s="578"/>
      <c r="AKW43" s="577">
        <f>AKW26+AKW28+AKW29+AKW30</f>
        <v>128614.01999999999</v>
      </c>
      <c r="AKX43" s="1430">
        <f t="shared" ref="AKX43:AKX45" si="1863">AKW43/AKU43</f>
        <v>1.0336485393756139</v>
      </c>
      <c r="AKY43" s="577">
        <f>AKY26+AKY28+AKY29+AKY30</f>
        <v>171087.43520000001</v>
      </c>
      <c r="AKZ43" s="578"/>
      <c r="ALA43" s="577">
        <f>ALA26+ALA28+ALA29+ALA30</f>
        <v>0</v>
      </c>
      <c r="ALB43" s="1430">
        <f t="shared" ref="ALB43:ALB45" si="1864">ALA43/AKY43</f>
        <v>0</v>
      </c>
      <c r="ALC43" s="577">
        <f>ALC26+ALC28+ALC29+ALC30</f>
        <v>777670.15999999992</v>
      </c>
      <c r="ALD43" s="578"/>
      <c r="ALE43" s="578">
        <f t="shared" ref="ALE43:ALF43" si="1865">ALE26+ALE28+ALE29+ALE30</f>
        <v>875358.69</v>
      </c>
      <c r="ALF43" s="1430">
        <f t="shared" ref="ALF43:ALF45" si="1866">ALE43/ALC43</f>
        <v>1.1256169196462418</v>
      </c>
    </row>
    <row r="44" spans="1:994" outlineLevel="1">
      <c r="A44" s="1495"/>
      <c r="B44" s="1437" t="s">
        <v>485</v>
      </c>
      <c r="C44" s="435"/>
      <c r="D44" s="435"/>
      <c r="E44" s="424"/>
      <c r="F44" s="435"/>
      <c r="G44" s="424"/>
      <c r="H44" s="435"/>
      <c r="I44" s="435"/>
      <c r="J44" s="424"/>
      <c r="K44" s="435"/>
      <c r="L44" s="424"/>
      <c r="M44" s="435"/>
      <c r="N44" s="435"/>
      <c r="O44" s="424"/>
      <c r="P44" s="435"/>
      <c r="Q44" s="424"/>
      <c r="R44" s="435"/>
      <c r="S44" s="435"/>
      <c r="T44" s="424"/>
      <c r="U44" s="435"/>
      <c r="V44" s="424"/>
      <c r="W44" s="424"/>
      <c r="X44" s="424"/>
      <c r="Y44" s="424"/>
      <c r="Z44" s="424"/>
      <c r="AA44" s="435"/>
      <c r="AB44" s="435"/>
      <c r="AC44" s="424"/>
      <c r="AD44" s="435"/>
      <c r="AE44" s="424"/>
      <c r="AF44" s="435"/>
      <c r="AG44" s="435"/>
      <c r="AH44" s="424"/>
      <c r="AI44" s="435"/>
      <c r="AJ44" s="424"/>
      <c r="AK44" s="435"/>
      <c r="AL44" s="435"/>
      <c r="AM44" s="424"/>
      <c r="AN44" s="435"/>
      <c r="AO44" s="424"/>
      <c r="AP44" s="435"/>
      <c r="AQ44" s="435"/>
      <c r="AR44" s="424"/>
      <c r="AS44" s="435"/>
      <c r="AT44" s="424"/>
      <c r="AU44" s="424"/>
      <c r="AV44" s="424"/>
      <c r="AW44" s="424"/>
      <c r="AX44" s="424"/>
      <c r="AY44" s="435"/>
      <c r="AZ44" s="435"/>
      <c r="BA44" s="424"/>
      <c r="BB44" s="435"/>
      <c r="BC44" s="424"/>
      <c r="BD44" s="435"/>
      <c r="BE44" s="435"/>
      <c r="BF44" s="424"/>
      <c r="BG44" s="435"/>
      <c r="BH44" s="424"/>
      <c r="BI44" s="435"/>
      <c r="BJ44" s="435"/>
      <c r="BK44" s="424"/>
      <c r="BL44" s="435"/>
      <c r="BM44" s="449"/>
      <c r="BN44" s="452">
        <f>SUM(BN30:BN34)</f>
        <v>2.5957236165896678</v>
      </c>
      <c r="BO44" s="435">
        <f>SUM(BO30:BO34)</f>
        <v>61098.353999999999</v>
      </c>
      <c r="BP44" s="424">
        <f t="shared" si="1338"/>
        <v>23538.081485066843</v>
      </c>
      <c r="BQ44" s="435">
        <f>SUM(BQ30:BQ34)</f>
        <v>40989.009999999995</v>
      </c>
      <c r="BR44" s="426">
        <f t="shared" si="1339"/>
        <v>15790.976257269051</v>
      </c>
      <c r="BS44" s="452">
        <f>SUM(BS30:BS34)</f>
        <v>61098.353999999999</v>
      </c>
      <c r="BT44" s="435">
        <f>SUM(BT30:BT34)</f>
        <v>43801.983408</v>
      </c>
      <c r="BU44" s="424">
        <f t="shared" si="1579"/>
        <v>0.71690938528393089</v>
      </c>
      <c r="BV44" s="435">
        <f>SUM(BV30:BV34)</f>
        <v>2.2601673094056718</v>
      </c>
      <c r="BW44" s="426">
        <f t="shared" si="1580"/>
        <v>3.6992278211057403E-5</v>
      </c>
      <c r="BX44" s="449"/>
      <c r="BY44" s="435">
        <f>SUM(BY30:BY34)</f>
        <v>33603.67</v>
      </c>
      <c r="BZ44" s="435">
        <f>SUM(BZ30:BZ34)</f>
        <v>2.2510509088106621</v>
      </c>
      <c r="CA44" s="426">
        <f t="shared" si="1581"/>
        <v>6.6988245891316697E-5</v>
      </c>
      <c r="CB44" s="452">
        <f>SUM(CB30:CB34)</f>
        <v>43801.983408</v>
      </c>
      <c r="CC44" s="435">
        <f>SUM(CC30:CC34)</f>
        <v>45503.69999999999</v>
      </c>
      <c r="CD44" s="424">
        <f t="shared" si="1582"/>
        <v>1.038850217720716</v>
      </c>
      <c r="CE44" s="435">
        <f>SUM(CE30:CE34)</f>
        <v>71281.413000000015</v>
      </c>
      <c r="CF44" s="426">
        <f t="shared" si="1583"/>
        <v>1.6273558285258189</v>
      </c>
      <c r="CG44" s="452">
        <f>SUM(CG30:CG34)</f>
        <v>49189.279999999999</v>
      </c>
      <c r="CH44" s="435">
        <f>SUM(CH30:CH34)</f>
        <v>3.1828557956231092</v>
      </c>
      <c r="CI44" s="424">
        <f t="shared" si="1584"/>
        <v>6.470628957413301E-5</v>
      </c>
      <c r="CJ44" s="435">
        <f>SUM(CJ30:CJ34)</f>
        <v>58402.644544000002</v>
      </c>
      <c r="CK44" s="426">
        <f t="shared" si="1585"/>
        <v>1.1873043180140064</v>
      </c>
      <c r="CL44" s="452">
        <f>SUM(CL30:CL34)</f>
        <v>3.4077955431211882</v>
      </c>
      <c r="CM44" s="435">
        <f>SUM(CM30:CM34)</f>
        <v>112013.649</v>
      </c>
      <c r="CN44" s="424">
        <f t="shared" si="1586"/>
        <v>32869.826720122735</v>
      </c>
      <c r="CO44" s="435">
        <f>SUM(CO30:CO34)</f>
        <v>68062.86</v>
      </c>
      <c r="CP44" s="426">
        <f t="shared" si="1587"/>
        <v>19972.694705053069</v>
      </c>
      <c r="CQ44" s="452">
        <f>SUM(CQ30:CQ34)</f>
        <v>509152.95</v>
      </c>
      <c r="CR44" s="435">
        <f>SUM(CR30:CR34)</f>
        <v>365016.52840000007</v>
      </c>
      <c r="CS44" s="424">
        <f t="shared" si="1588"/>
        <v>0.716909385283931</v>
      </c>
      <c r="CT44" s="435">
        <f>SUM(CT30:CT34)</f>
        <v>2.9718770213357604</v>
      </c>
      <c r="CU44" s="449">
        <f t="shared" si="1589"/>
        <v>5.8369042570327053E-6</v>
      </c>
      <c r="CV44" s="452">
        <f>SUM(CV30:CV34)</f>
        <v>43556.419704</v>
      </c>
      <c r="CW44" s="435">
        <f>SUM(CW30:CW34)</f>
        <v>39929.339999999997</v>
      </c>
      <c r="CX44" s="435">
        <f>SUM(CX30:CX34)</f>
        <v>3.2696278116252033</v>
      </c>
      <c r="CY44" s="489">
        <f t="shared" si="1351"/>
        <v>8.1885345753904368E-5</v>
      </c>
      <c r="CZ44" s="478">
        <f>SUM(CZ30:CZ34)</f>
        <v>43556.419704</v>
      </c>
      <c r="DA44" s="479">
        <f>SUM(DA30:DA34)</f>
        <v>35571.280000000006</v>
      </c>
      <c r="DB44" s="424">
        <f t="shared" si="1590"/>
        <v>0.81667134814419384</v>
      </c>
      <c r="DC44" s="435">
        <f>SUM(DC30:DC34)</f>
        <v>64704.784799999994</v>
      </c>
      <c r="DD44" s="449">
        <f t="shared" si="1591"/>
        <v>1.4855395654583115</v>
      </c>
      <c r="DE44" s="478">
        <f>SUM(DE30:DE34)</f>
        <v>31213.760000000002</v>
      </c>
      <c r="DF44" s="479">
        <f>SUM(DF30:DF34)</f>
        <v>2.4762703137365034</v>
      </c>
      <c r="DG44" s="424">
        <f t="shared" si="1592"/>
        <v>7.9332650527732111E-5</v>
      </c>
      <c r="DH44" s="435">
        <f>SUM(DH30:DH34)</f>
        <v>43556.419704</v>
      </c>
      <c r="DI44" s="449">
        <f t="shared" si="1593"/>
        <v>1.3954236754559526</v>
      </c>
      <c r="DJ44" s="478">
        <f>SUM(DJ30:DJ34)</f>
        <v>2.8349963960396272</v>
      </c>
      <c r="DK44" s="479">
        <f>SUM(DK30:DK34)</f>
        <v>75488.915600000008</v>
      </c>
      <c r="DL44" s="424">
        <f t="shared" si="1594"/>
        <v>26627.51730670801</v>
      </c>
      <c r="DM44" s="435">
        <f>SUM(DM30:DM34)</f>
        <v>51939.18</v>
      </c>
      <c r="DN44" s="449">
        <f t="shared" si="1595"/>
        <v>18320.721702700183</v>
      </c>
      <c r="DO44" s="478">
        <f>SUM(DO30:DO34)</f>
        <v>86273.046399999992</v>
      </c>
      <c r="DP44" s="479">
        <f>SUM(DP30:DP34)</f>
        <v>58075.226272</v>
      </c>
      <c r="DQ44" s="424">
        <f t="shared" si="1596"/>
        <v>0.67315608634865598</v>
      </c>
      <c r="DR44" s="435">
        <f>SUM(DR30:DR34)</f>
        <v>2.7195369987726501</v>
      </c>
      <c r="DS44" s="449">
        <f t="shared" si="1597"/>
        <v>3.1522440811509935E-5</v>
      </c>
      <c r="DT44" s="452">
        <f>SUM(DT30:DT34)</f>
        <v>79853.436123999985</v>
      </c>
      <c r="DU44" s="435">
        <f>SUM(DU30:DU34)</f>
        <v>62977.84</v>
      </c>
      <c r="DV44" s="435">
        <f>SUM(DV30:DV34)</f>
        <v>2.4142714036405839</v>
      </c>
      <c r="DW44" s="419">
        <f t="shared" si="1598"/>
        <v>3.8335252584727959E-5</v>
      </c>
      <c r="DX44" s="478">
        <f>SUM(DX30:DX34)</f>
        <v>362970.1642</v>
      </c>
      <c r="DY44" s="479">
        <f>SUM(DY30:DY34)</f>
        <v>314396.82999999996</v>
      </c>
      <c r="DZ44" s="424">
        <f t="shared" si="1599"/>
        <v>0.86617816286069271</v>
      </c>
      <c r="EA44" s="479">
        <f>SUM(EA30:EA34)</f>
        <v>62457.896399999998</v>
      </c>
      <c r="EB44" s="449">
        <f t="shared" si="1600"/>
        <v>0.17207446385478975</v>
      </c>
      <c r="EC44" s="478">
        <f>SUM(EC30:EC34)</f>
        <v>41595.550000000003</v>
      </c>
      <c r="ED44" s="479">
        <f>SUM(ED30:ED34)</f>
        <v>3.7386161639041529</v>
      </c>
      <c r="EE44" s="424">
        <f t="shared" si="1601"/>
        <v>8.9880195451295936E-5</v>
      </c>
      <c r="EF44" s="479">
        <f>SUM(EF30:EF34)</f>
        <v>36900.064079999996</v>
      </c>
      <c r="EG44" s="449">
        <f t="shared" si="1602"/>
        <v>0.88711566694033361</v>
      </c>
      <c r="EH44" s="478">
        <f>SUM(EH30:EH34)</f>
        <v>2.7008391750171805</v>
      </c>
      <c r="EI44" s="479">
        <f>SUM(EI30:EI34)</f>
        <v>62457.896399999998</v>
      </c>
      <c r="EJ44" s="424">
        <f t="shared" si="1603"/>
        <v>23125.366729621244</v>
      </c>
      <c r="EK44" s="479">
        <f>SUM(EK30:EK34)</f>
        <v>37922.559999999998</v>
      </c>
      <c r="EL44" s="449">
        <f t="shared" si="1604"/>
        <v>14041.028562820207</v>
      </c>
      <c r="EM44" s="478">
        <f>SUM(EM30:EM34)</f>
        <v>62457.896399999998</v>
      </c>
      <c r="EN44" s="479">
        <f>SUM(EN30:EN34)</f>
        <v>36900.064079999996</v>
      </c>
      <c r="EO44" s="424">
        <f t="shared" si="1605"/>
        <v>0.59079902153092678</v>
      </c>
      <c r="EP44" s="479">
        <f>SUM(EP30:EP34)</f>
        <v>2.979038108104723</v>
      </c>
      <c r="EQ44" s="449">
        <f t="shared" si="1606"/>
        <v>4.7696741001746628E-5</v>
      </c>
      <c r="ER44" s="478">
        <f>SUM(ER30:ER34)</f>
        <v>43050.074760000003</v>
      </c>
      <c r="ES44" s="479">
        <f>SUM(ES30:ES34)</f>
        <v>54559.47</v>
      </c>
      <c r="ET44" s="424">
        <f t="shared" si="1607"/>
        <v>1.2673490186524359</v>
      </c>
      <c r="EU44" s="479">
        <f>SUM(EU30:EU34)</f>
        <v>83277.195200000002</v>
      </c>
      <c r="EV44" s="449">
        <f t="shared" si="1608"/>
        <v>1.9344262620741612</v>
      </c>
      <c r="EW44" s="452">
        <f>SUM(EW30:EW34)</f>
        <v>71842.349999999991</v>
      </c>
      <c r="EX44" s="435">
        <f>SUM(EX30:EX34)</f>
        <v>3.4961063817981661</v>
      </c>
      <c r="EY44" s="435">
        <f>SUM(EY30:EY34)</f>
        <v>114506.1434</v>
      </c>
      <c r="EZ44" s="426">
        <f t="shared" si="1609"/>
        <v>32752.476868597347</v>
      </c>
      <c r="FA44" s="478">
        <f>SUM(FA30:FA34)</f>
        <v>83005.81</v>
      </c>
      <c r="FB44" s="479">
        <f>SUM(FB30:FB34)</f>
        <v>3.0384546581716005</v>
      </c>
      <c r="FC44" s="424">
        <f>FB44/FA44</f>
        <v>3.6605325075095354E-5</v>
      </c>
      <c r="FD44" s="1401">
        <f>SUM(FD30:FD34)</f>
        <v>307500.53399999999</v>
      </c>
      <c r="FE44" s="449">
        <f>FD44/FA44</f>
        <v>3.7045663911959896</v>
      </c>
      <c r="FF44" s="478">
        <f>SUM(FF30:FF34)</f>
        <v>3.0866700044719573</v>
      </c>
      <c r="FG44" s="479">
        <f>SUM(FG30:FG34)</f>
        <v>61421.899199999993</v>
      </c>
      <c r="FH44" s="424">
        <f>FG44/FF44</f>
        <v>19899.081894407936</v>
      </c>
      <c r="FI44" s="1401">
        <f>SUM(FI30:FI34)</f>
        <v>48119.12</v>
      </c>
      <c r="FJ44" s="449">
        <f>FI44/FF44</f>
        <v>15589.330874465097</v>
      </c>
      <c r="FK44" s="478">
        <f>SUM(FK30:FK34)</f>
        <v>61421.899199999993</v>
      </c>
      <c r="FL44" s="479">
        <f>SUM(FL30:FL34)</f>
        <v>42123.604991999986</v>
      </c>
      <c r="FM44" s="424">
        <f>FL44/FK44</f>
        <v>0.68580759534703528</v>
      </c>
      <c r="FN44" s="1401">
        <f>SUM(FN30:FN34)</f>
        <v>3.3431267391992012</v>
      </c>
      <c r="FO44" s="449">
        <f>FN44/FK44</f>
        <v>5.4428905369946644E-5</v>
      </c>
      <c r="FP44" s="478">
        <f>SUM(FP30:FP34)</f>
        <v>42123.604991999986</v>
      </c>
      <c r="FQ44" s="479">
        <f>SUM(FQ30:FQ34)</f>
        <v>44313.860000000008</v>
      </c>
      <c r="FR44" s="424">
        <f>FQ44/FP44</f>
        <v>1.0519959060582775</v>
      </c>
      <c r="FS44" s="1401">
        <f>SUM(FS30:FS34)</f>
        <v>61421.899199999993</v>
      </c>
      <c r="FT44" s="449">
        <f>FS44/FP44</f>
        <v>1.458134915367882</v>
      </c>
      <c r="FU44" s="452">
        <f>SUM(FU30:FU34)</f>
        <v>47038.44</v>
      </c>
      <c r="FV44" s="435">
        <f>SUM(FV30:FV34)</f>
        <v>3.1069347451262397</v>
      </c>
      <c r="FW44" s="435">
        <f>SUM(FW30:FW34)</f>
        <v>71658.882400000002</v>
      </c>
      <c r="FX44" s="455">
        <f t="shared" si="1610"/>
        <v>23064.173623990417</v>
      </c>
      <c r="FY44" s="478">
        <f>SUM(FY30:FY34)</f>
        <v>47220.71</v>
      </c>
      <c r="FZ44" s="479">
        <f>SUM(FZ30:FZ34)</f>
        <v>2.7444000528586439</v>
      </c>
      <c r="GA44" s="424">
        <f>FZ44/FY44</f>
        <v>5.8118568163389412E-5</v>
      </c>
      <c r="GB44" s="1401">
        <f>SUM(GB30:GB34)</f>
        <v>56164.806656000001</v>
      </c>
      <c r="GC44" s="449">
        <f>GB44/FY44</f>
        <v>1.1894104653657263</v>
      </c>
      <c r="GD44" s="478">
        <f>SUM(GD30:GD34)</f>
        <v>2.6913553227218996</v>
      </c>
      <c r="GE44" s="479">
        <f>SUM(GE30:GE34)</f>
        <v>112606.81519999998</v>
      </c>
      <c r="GF44" s="424">
        <f>GE44/GD44</f>
        <v>41840.188937265702</v>
      </c>
      <c r="GG44" s="1401">
        <f>SUM(GG30:GG34)</f>
        <v>75520.75</v>
      </c>
      <c r="GH44" s="449">
        <f>GG44/GD44</f>
        <v>28060.490327089981</v>
      </c>
      <c r="GI44" s="478">
        <f>SUM(GI30:GI34)</f>
        <v>511849.15999999992</v>
      </c>
      <c r="GJ44" s="479">
        <f>SUM(GJ30:GJ34)</f>
        <v>351030.0416</v>
      </c>
      <c r="GK44" s="424">
        <f>GJ44/GI44</f>
        <v>0.6858075953470355</v>
      </c>
      <c r="GL44" s="1401">
        <f>SUM(GL30:GL34)</f>
        <v>3.0560664878978487</v>
      </c>
      <c r="GM44" s="449">
        <f>GL44/GI44</f>
        <v>5.970638865359961E-6</v>
      </c>
      <c r="GN44" s="478">
        <f>SUM(GN30:GN34)</f>
        <v>47531.066246399998</v>
      </c>
      <c r="GO44" s="479">
        <f>SUM(GO30:GO34)</f>
        <v>45666.85</v>
      </c>
      <c r="GP44" s="424">
        <f>GO44/GN44</f>
        <v>0.96077899374830045</v>
      </c>
      <c r="GQ44" s="1401">
        <f>SUM(GQ30:GQ34)</f>
        <v>62419.477200000001</v>
      </c>
      <c r="GR44" s="449">
        <f>GQ44/GN44</f>
        <v>1.3132353664531489</v>
      </c>
      <c r="GS44" s="452">
        <f>SUM(GS30:GS34)</f>
        <v>33339.759999999995</v>
      </c>
      <c r="GT44" s="435">
        <f>SUM(GT30:GT34)</f>
        <v>2.1223716194687401</v>
      </c>
      <c r="GU44" s="435">
        <f>SUM(GU30:GU34)</f>
        <v>62419.477200000001</v>
      </c>
      <c r="GV44" s="455">
        <f t="shared" si="1611"/>
        <v>29410.248717717252</v>
      </c>
      <c r="GW44" s="478">
        <f>SUM(GW30:GW34)</f>
        <v>41074.159999999996</v>
      </c>
      <c r="GX44" s="479">
        <f>SUM(GX30:GX34)</f>
        <v>2.64422208558139</v>
      </c>
      <c r="GY44" s="424">
        <f t="shared" si="1612"/>
        <v>6.4376778139379857E-5</v>
      </c>
      <c r="GZ44" s="435">
        <f>SUM(GZ30:GZ34)</f>
        <v>47531.066246399998</v>
      </c>
      <c r="HA44" s="449">
        <f t="shared" si="1613"/>
        <v>1.1572011757854574</v>
      </c>
      <c r="HB44" s="478">
        <f>SUM(HB30:HB34)</f>
        <v>3.1536026434825715</v>
      </c>
      <c r="HC44" s="479">
        <f>SUM(HC30:HC34)</f>
        <v>72822.723400000003</v>
      </c>
      <c r="HD44" s="424">
        <f t="shared" si="1614"/>
        <v>23091.914750420416</v>
      </c>
      <c r="HE44" s="435">
        <f>SUM(HE30:HE34)</f>
        <v>82472.360000000015</v>
      </c>
      <c r="HF44" s="449">
        <f t="shared" si="1615"/>
        <v>26151.791878549586</v>
      </c>
      <c r="HG44" s="478">
        <f>SUM(HG30:HG34)</f>
        <v>83225.969599999997</v>
      </c>
      <c r="HH44" s="479">
        <f>SUM(HH30:HH34)</f>
        <v>63374.754995199997</v>
      </c>
      <c r="HI44" s="424">
        <f t="shared" si="1616"/>
        <v>0.76147812155017536</v>
      </c>
      <c r="HJ44" s="435">
        <f>SUM(HJ30:HJ34)</f>
        <v>3.2301273031420994</v>
      </c>
      <c r="HK44" s="449">
        <f t="shared" si="1617"/>
        <v>3.8811531048141725E-5</v>
      </c>
      <c r="HL44" s="478">
        <f>SUM(HL30:HL34)</f>
        <v>87140.288118399985</v>
      </c>
      <c r="HM44" s="479">
        <f>SUM(HM30:HM34)</f>
        <v>81494.239999999991</v>
      </c>
      <c r="HN44" s="424">
        <f t="shared" si="1618"/>
        <v>0.9352073737611637</v>
      </c>
      <c r="HO44" s="435">
        <f>SUM(HO30:HO34)</f>
        <v>520162.30999999994</v>
      </c>
      <c r="HP44" s="449">
        <f t="shared" si="1619"/>
        <v>5.9692516656961319</v>
      </c>
      <c r="HQ44" s="478">
        <f>SUM(HQ30:HQ34)</f>
        <v>409836.05999999994</v>
      </c>
      <c r="HR44" s="479">
        <f>SUM(HR30:HR34)</f>
        <v>3.1980246594152781</v>
      </c>
      <c r="HS44" s="424">
        <f t="shared" si="1620"/>
        <v>7.8031802750965319E-6</v>
      </c>
      <c r="HT44" s="435">
        <f>SUM(HT30:HT34)</f>
        <v>40221.921408000002</v>
      </c>
      <c r="HU44" s="449">
        <f t="shared" si="1621"/>
        <v>9.8141489570244281E-2</v>
      </c>
      <c r="HV44" s="452">
        <f>SUM(HV30:HV34)</f>
        <v>4.4763447924032524</v>
      </c>
      <c r="HW44" s="435">
        <f>SUM(HW30:HW34)</f>
        <v>53277.411599999992</v>
      </c>
      <c r="HX44" s="435">
        <f>SUM(HX30:HX34)</f>
        <v>40221.921408000002</v>
      </c>
      <c r="HY44" s="455">
        <f t="shared" si="1622"/>
        <v>0.7549526187567267</v>
      </c>
      <c r="HZ44" s="478">
        <f>SUM(HZ30:HZ34)</f>
        <v>3.6147003493452625</v>
      </c>
      <c r="IA44" s="479">
        <f>SUM(IA30:IA34)</f>
        <v>53277.411599999992</v>
      </c>
      <c r="IB44" s="424">
        <f t="shared" si="1623"/>
        <v>14739.094932073756</v>
      </c>
      <c r="IC44" s="435">
        <f>SUM(IC30:IC34)</f>
        <v>42611.929999999993</v>
      </c>
      <c r="ID44" s="449">
        <f t="shared" si="1624"/>
        <v>11788.509663800589</v>
      </c>
      <c r="IE44" s="478">
        <f>SUM(IE30:IE34)</f>
        <v>53277.411599999992</v>
      </c>
      <c r="IF44" s="479">
        <f>SUM(IF30:IF34)</f>
        <v>40221.921408000002</v>
      </c>
      <c r="IG44" s="424">
        <f t="shared" si="1625"/>
        <v>0.7549526187567267</v>
      </c>
      <c r="IH44" s="435">
        <f>SUM(IH30:IH34)</f>
        <v>3.1354159961048942</v>
      </c>
      <c r="II44" s="449">
        <f t="shared" si="1626"/>
        <v>5.885075685818218E-5</v>
      </c>
      <c r="IJ44" s="478">
        <f>SUM(IJ30:IJ34)</f>
        <v>46925.574976000004</v>
      </c>
      <c r="IK44" s="479">
        <f>SUM(IK30:IK34)</f>
        <v>54793.86</v>
      </c>
      <c r="IL44" s="424">
        <f t="shared" si="1627"/>
        <v>1.167675836215629</v>
      </c>
      <c r="IM44" s="435">
        <f>SUM(IM30:IM34)</f>
        <v>71036.54879999999</v>
      </c>
      <c r="IN44" s="449">
        <f t="shared" si="1628"/>
        <v>1.5138130717914804</v>
      </c>
      <c r="IO44" s="478">
        <f>SUM(IO30:IO34)</f>
        <v>60776.39</v>
      </c>
      <c r="IP44" s="479">
        <f>SUM(IP30:IP34)</f>
        <v>3.4186957572194365</v>
      </c>
      <c r="IQ44" s="424">
        <f t="shared" si="1629"/>
        <v>5.6250391923894074E-5</v>
      </c>
      <c r="IR44" s="435">
        <f>SUM(IR30:IR34)</f>
        <v>73740.18924800001</v>
      </c>
      <c r="IS44" s="449">
        <f t="shared" si="1630"/>
        <v>1.2133032127771988</v>
      </c>
      <c r="IT44" s="452">
        <f>SUM(IT30:IT34)</f>
        <v>2.8029423191397997</v>
      </c>
      <c r="IU44" s="435">
        <f>SUM(IU30:IU34)</f>
        <v>443978.43</v>
      </c>
      <c r="IV44" s="435">
        <f>SUM(IV30:IV34)</f>
        <v>335182.67840000003</v>
      </c>
      <c r="IW44" s="455">
        <f t="shared" si="1631"/>
        <v>0.75495261875672659</v>
      </c>
      <c r="IX44" s="478">
        <f>SUM(IX30:IX34)</f>
        <v>3.3732292735064533</v>
      </c>
      <c r="IY44" s="479">
        <f>SUM(IY30:IY34)</f>
        <v>56520.224399999999</v>
      </c>
      <c r="IZ44" s="424">
        <f t="shared" si="1632"/>
        <v>16755.524103835236</v>
      </c>
      <c r="JA44" s="435">
        <f>SUM(JA30:JA34)</f>
        <v>43915.360000000008</v>
      </c>
      <c r="JB44" s="449">
        <f t="shared" si="1633"/>
        <v>13018.788952448</v>
      </c>
      <c r="JC44" s="478">
        <f>SUM(JC30:JC34)</f>
        <v>56520.224399999999</v>
      </c>
      <c r="JD44" s="479">
        <f>SUM(JD30:JD34)</f>
        <v>42808.637037600005</v>
      </c>
      <c r="JE44" s="424">
        <f t="shared" si="1634"/>
        <v>0.75740387608227555</v>
      </c>
      <c r="JF44" s="435">
        <f>SUM(JF30:JF34)</f>
        <v>2.6295017698074248</v>
      </c>
      <c r="JG44" s="449">
        <f t="shared" si="1635"/>
        <v>4.6523201167747392E-5</v>
      </c>
      <c r="JH44" s="478">
        <f>SUM(JH30:JH34)</f>
        <v>42808.637037600005</v>
      </c>
      <c r="JI44" s="479">
        <f>SUM(JI30:JI34)</f>
        <v>37882.29</v>
      </c>
      <c r="JJ44" s="424">
        <f t="shared" si="1636"/>
        <v>0.88492165650419896</v>
      </c>
      <c r="JK44" s="435">
        <f>SUM(JK30:JK34)</f>
        <v>56520.224399999999</v>
      </c>
      <c r="JL44" s="449">
        <f t="shared" si="1637"/>
        <v>1.3202995542781877</v>
      </c>
      <c r="JM44" s="478">
        <f>SUM(JM30:JM34)</f>
        <v>38931.729999999996</v>
      </c>
      <c r="JN44" s="479">
        <f>SUM(JN30:JN34)</f>
        <v>2.5319228706100652</v>
      </c>
      <c r="JO44" s="424">
        <f t="shared" si="1638"/>
        <v>6.5034943749226284E-5</v>
      </c>
      <c r="JP44" s="435">
        <f>SUM(JP30:JP34)</f>
        <v>49943.409877200007</v>
      </c>
      <c r="JQ44" s="449">
        <f t="shared" si="1639"/>
        <v>1.2828458914412488</v>
      </c>
      <c r="JR44" s="800"/>
      <c r="JS44" s="452">
        <f>SUM(JS30:JS34)</f>
        <v>75360.299200000009</v>
      </c>
      <c r="JT44" s="435">
        <f>SUM(JT30:JT34)</f>
        <v>57078.182716799995</v>
      </c>
      <c r="JU44" s="435">
        <f>SUM(JU30:JU34)</f>
        <v>76169.75</v>
      </c>
      <c r="JV44" s="455">
        <f t="shared" si="1640"/>
        <v>1.3344809938663433</v>
      </c>
      <c r="JW44" s="478">
        <f>SUM(JW30:JW34)</f>
        <v>103620.4114</v>
      </c>
      <c r="JX44" s="479">
        <f>SUM(JX30:JX34)</f>
        <v>78482.501235599993</v>
      </c>
      <c r="JY44" s="424">
        <f t="shared" si="1641"/>
        <v>0.75740387608227533</v>
      </c>
      <c r="JZ44" s="435">
        <f>SUM(JZ30:JZ34)</f>
        <v>2.7862750105983221</v>
      </c>
      <c r="KA44" s="449">
        <f t="shared" si="1642"/>
        <v>2.6889248681349303E-5</v>
      </c>
      <c r="KB44" s="478">
        <f>SUM(KB30:KB34)</f>
        <v>356738.64197999996</v>
      </c>
      <c r="KC44" s="479">
        <f>SUM(KC30:KC34)</f>
        <v>355695.57999999996</v>
      </c>
      <c r="KD44" s="424">
        <f t="shared" si="1643"/>
        <v>0.99707611719826394</v>
      </c>
      <c r="KE44" s="435">
        <f>SUM(KE30:KE34)</f>
        <v>55084.630799999992</v>
      </c>
      <c r="KF44" s="449">
        <f t="shared" si="1644"/>
        <v>0.15441172981503987</v>
      </c>
      <c r="KG44" s="478">
        <f>SUM(KG30:KG34)</f>
        <v>39603.370000000003</v>
      </c>
      <c r="KH44" s="479">
        <f>SUM(KH30:KH34)</f>
        <v>4.0548842300287484</v>
      </c>
      <c r="KI44" s="424">
        <f t="shared" si="1645"/>
        <v>1.0238735314769294E-4</v>
      </c>
      <c r="KJ44" s="435">
        <f>SUM(KJ30:KJ34)</f>
        <v>43350.788219999995</v>
      </c>
      <c r="KK44" s="449">
        <f t="shared" si="1646"/>
        <v>1.0946237206581155</v>
      </c>
      <c r="KL44" s="478">
        <f>SUM(KL30:KL34)</f>
        <v>3.0078218320922976</v>
      </c>
      <c r="KM44" s="479">
        <f>SUM(KM30:KM34)</f>
        <v>55084.630799999992</v>
      </c>
      <c r="KN44" s="424">
        <f t="shared" si="1647"/>
        <v>18313.794458258217</v>
      </c>
      <c r="KO44" s="435">
        <f>SUM(KO30:KO34)</f>
        <v>44275.74</v>
      </c>
      <c r="KP44" s="449">
        <f t="shared" si="1648"/>
        <v>14720.200354819872</v>
      </c>
      <c r="KQ44" s="478">
        <f>SUM(KQ30:KQ34)</f>
        <v>55084.630799999992</v>
      </c>
      <c r="KR44" s="479">
        <f>SUM(KR30:KR34)</f>
        <v>43350.788219999995</v>
      </c>
      <c r="KS44" s="424">
        <f t="shared" si="1649"/>
        <v>0.78698518244402937</v>
      </c>
      <c r="KT44" s="435">
        <f>SUM(KT30:KT34)</f>
        <v>3.2032874715670934</v>
      </c>
      <c r="KU44" s="449">
        <f t="shared" si="1650"/>
        <v>5.8152109309718634E-5</v>
      </c>
      <c r="KV44" s="452">
        <f>SUM(KV30:KV34)</f>
        <v>50575.919590000005</v>
      </c>
      <c r="KW44" s="435">
        <f>SUM(KW30:KW34)</f>
        <v>45020.130000000005</v>
      </c>
      <c r="KX44" s="435">
        <f>SUM(KX30:KX34)</f>
        <v>2.4671152357684494</v>
      </c>
      <c r="KY44" s="455">
        <f t="shared" si="1651"/>
        <v>5.4800269030063862E-5</v>
      </c>
      <c r="KZ44" s="948">
        <f>SUM(KZ30:KZ34)</f>
        <v>57801.050959999993</v>
      </c>
      <c r="LA44" s="948">
        <f>SUM(LA30:LA34)</f>
        <v>61175.08</v>
      </c>
      <c r="LB44" s="452">
        <f>SUM(LB30:LB34)</f>
        <v>3.4113577362894927</v>
      </c>
      <c r="LC44" s="452">
        <f>SUM(LC30:LC34)</f>
        <v>100988.48980000001</v>
      </c>
      <c r="LD44" s="492">
        <f>LC44-LB44</f>
        <v>100985.07844226372</v>
      </c>
      <c r="LE44" s="493">
        <f>LC44/LB44</f>
        <v>29603.605838725201</v>
      </c>
      <c r="LW44" s="608">
        <f>LW31+LW32+LW33+LW34</f>
        <v>26895.337200000002</v>
      </c>
      <c r="LX44" s="609"/>
      <c r="LY44" s="609">
        <f t="shared" ref="LX44:LY44" si="1867">LY31+LY32+LY33+LY34</f>
        <v>13724.740000000002</v>
      </c>
      <c r="LZ44" s="1431">
        <f t="shared" si="1414"/>
        <v>0.51030183774754834</v>
      </c>
      <c r="MA44" s="608">
        <f>MA31+MA32+MA33+MA34</f>
        <v>31377.893400000001</v>
      </c>
      <c r="MB44" s="609"/>
      <c r="MC44" s="609">
        <f t="shared" ref="MC44:MD44" si="1868">MC31+MC32+MC33+MC34</f>
        <v>13640.529999999999</v>
      </c>
      <c r="MD44" s="1431">
        <f t="shared" si="1654"/>
        <v>0.43471783864241181</v>
      </c>
      <c r="ME44" s="608">
        <f>ME31+ME32+ME33+ME34</f>
        <v>35860.4496</v>
      </c>
      <c r="MF44" s="609"/>
      <c r="MG44" s="609">
        <f t="shared" ref="MG44:MH44" si="1869">MG31+MG32+MG33+MG34</f>
        <v>24841.759999999998</v>
      </c>
      <c r="MH44" s="1431">
        <f t="shared" si="1656"/>
        <v>0.69273420375632988</v>
      </c>
      <c r="MI44" s="608">
        <f>MI31+MI32+MI33+MI34</f>
        <v>49308.118199999997</v>
      </c>
      <c r="MJ44" s="609"/>
      <c r="MK44" s="609">
        <f t="shared" ref="MK44:ML44" si="1870">MK31+MK32+MK33+MK34</f>
        <v>27427.159999999996</v>
      </c>
      <c r="ML44" s="1431">
        <f t="shared" si="1658"/>
        <v>0.55624025010956513</v>
      </c>
      <c r="MM44" s="608">
        <f>MM31+MM32+MM33+MM34</f>
        <v>224127.81</v>
      </c>
      <c r="MN44" s="609"/>
      <c r="MO44" s="609">
        <f t="shared" ref="MO44:MP44" si="1871">MO31+MO32+MO33+MO34</f>
        <v>130402.71</v>
      </c>
      <c r="MP44" s="1431">
        <f t="shared" si="1660"/>
        <v>0.58182297859422272</v>
      </c>
      <c r="MQ44" s="608">
        <f>MQ31+MQ32+MQ33+MQ34+MQ35</f>
        <v>40391.986799999999</v>
      </c>
      <c r="MR44" s="609"/>
      <c r="MS44" s="608">
        <f>MS31+MS32+MS33+MS34+MS35</f>
        <v>33986.17</v>
      </c>
      <c r="MT44" s="1463">
        <f t="shared" si="1662"/>
        <v>0.84140872218744134</v>
      </c>
      <c r="MU44" s="585">
        <f>MU31+MU32+MU33+MU34+MU35</f>
        <v>40391.986799999999</v>
      </c>
      <c r="MV44" s="582"/>
      <c r="MW44" s="582">
        <f>MW31+MW32+MW33+MW34+MW35</f>
        <v>14636.64</v>
      </c>
      <c r="MX44" s="1467">
        <f t="shared" si="1664"/>
        <v>0.36236494313768197</v>
      </c>
      <c r="MY44" s="1470">
        <f>MY31+MY32+MY33+MY34+MY35</f>
        <v>40391.986799999999</v>
      </c>
      <c r="MZ44" s="1465"/>
      <c r="NA44" s="608">
        <f>NA31+NA32+NA33+NA34+NA35</f>
        <v>18748.600000000002</v>
      </c>
      <c r="NB44" s="1431">
        <f t="shared" si="1666"/>
        <v>0.46416632320745366</v>
      </c>
      <c r="NC44" s="608">
        <f>NC31+NC32+NC33+NC34+NC35</f>
        <v>40391.986799999999</v>
      </c>
      <c r="ND44" s="609"/>
      <c r="NE44" s="608">
        <f>NE31+NE32+NE33+NE34+NE35</f>
        <v>15579.810000000001</v>
      </c>
      <c r="NF44" s="1431">
        <f t="shared" si="1668"/>
        <v>0.38571536669248468</v>
      </c>
      <c r="NG44" s="608">
        <f>NG31+NG32+NG33+NG34+NG35</f>
        <v>47123.984600000011</v>
      </c>
      <c r="NH44" s="609"/>
      <c r="NI44" s="608">
        <f>NI31+NI32+NI33+NI34+NI35</f>
        <v>23359.51</v>
      </c>
      <c r="NJ44" s="1431">
        <f t="shared" si="1670"/>
        <v>0.495703200785784</v>
      </c>
      <c r="NK44" s="608">
        <f>NK31+NK32+NK33+NK34+NK35</f>
        <v>53855.982400000008</v>
      </c>
      <c r="NL44" s="609"/>
      <c r="NM44" s="608">
        <f>NM31+NM32+NM33+NM34+NM35</f>
        <v>28484.159999999996</v>
      </c>
      <c r="NN44" s="1431">
        <f t="shared" si="1672"/>
        <v>0.52889500350104079</v>
      </c>
      <c r="NO44" s="608">
        <f>NO31+NO32+NO33+NO34+NO35</f>
        <v>74051.9758</v>
      </c>
      <c r="NP44" s="609"/>
      <c r="NQ44" s="608">
        <f>NQ31+NQ32+NQ33+NQ34+NQ35</f>
        <v>33506.339999999997</v>
      </c>
      <c r="NR44" s="1431">
        <f t="shared" si="1674"/>
        <v>0.45247057405320434</v>
      </c>
      <c r="NS44" s="608">
        <f>NS31+NS32+NS33+NS34+NS35</f>
        <v>336599.89</v>
      </c>
      <c r="NT44" s="609"/>
      <c r="NU44" s="608">
        <f>NU31+NU32+NU33+NU34+NU35</f>
        <v>168301.22999999998</v>
      </c>
      <c r="NV44" s="1431">
        <f t="shared" si="1676"/>
        <v>0.50000381758888857</v>
      </c>
      <c r="NW44" s="608">
        <f>NW31+NW32+NW33+NW34+NW35</f>
        <v>40010.531999999999</v>
      </c>
      <c r="NX44" s="609"/>
      <c r="NY44" s="608">
        <f>NY31+NY32+NY33+NY34+NY35</f>
        <v>32807.29</v>
      </c>
      <c r="NZ44" s="1431">
        <f t="shared" si="1678"/>
        <v>0.8199663528592922</v>
      </c>
      <c r="OA44" s="608">
        <f>OA31+OA32+OA33+OA34+OA35</f>
        <v>40010.531999999999</v>
      </c>
      <c r="OB44" s="609"/>
      <c r="OC44" s="608">
        <f>OC31+OC32+OC33+OC34+OC35</f>
        <v>14649.800000000003</v>
      </c>
      <c r="OD44" s="1431">
        <f t="shared" si="1679"/>
        <v>0.36614859307544334</v>
      </c>
      <c r="OE44" s="608">
        <f>OE31+OE32+OE33+OE34+OE35</f>
        <v>40010.531999999999</v>
      </c>
      <c r="OF44" s="609"/>
      <c r="OG44" s="608">
        <f>OG31+OG32+OG33+OG34+OG35</f>
        <v>16522.72</v>
      </c>
      <c r="OH44" s="1431">
        <f t="shared" si="1680"/>
        <v>0.41295926782478176</v>
      </c>
      <c r="OI44" s="608">
        <f>OI31+OI32+OI33+OI34+OI35</f>
        <v>40010.531999999999</v>
      </c>
      <c r="OJ44" s="609"/>
      <c r="OK44" s="608">
        <f>OK31+OK32+OK33+OK34+OK35</f>
        <v>18702.3</v>
      </c>
      <c r="OL44" s="1431">
        <f t="shared" si="1681"/>
        <v>0.4674344245160249</v>
      </c>
      <c r="OM44" s="608">
        <f>OM31+OM32+OM33+OM34+OM35</f>
        <v>46678.954000000005</v>
      </c>
      <c r="ON44" s="609"/>
      <c r="OO44" s="608">
        <f>OO31+OO32+OO33+OO34+OO35</f>
        <v>15395.939999999999</v>
      </c>
      <c r="OP44" s="1431">
        <f t="shared" si="1682"/>
        <v>0.32982615677292165</v>
      </c>
      <c r="OQ44" s="608">
        <f>OQ31+OQ32+OQ33+OQ34+OQ35</f>
        <v>53347.376000000004</v>
      </c>
      <c r="OR44" s="609"/>
      <c r="OS44" s="608">
        <f>OS31+OS32+OS33+OS34+OS35</f>
        <v>25398.66</v>
      </c>
      <c r="OT44" s="1431">
        <f t="shared" si="1683"/>
        <v>0.47609951799691136</v>
      </c>
      <c r="OU44" s="608">
        <f>OU31+OU32+OU33+OU34+OU35</f>
        <v>73352.642000000007</v>
      </c>
      <c r="OV44" s="609"/>
      <c r="OW44" s="608">
        <f>OW31+OW32+OW33+OW34+OW35</f>
        <v>40778.539999999994</v>
      </c>
      <c r="OX44" s="1431">
        <f t="shared" si="1684"/>
        <v>0.5559246250462252</v>
      </c>
      <c r="OY44" s="608">
        <f>OY31+OY32+OY33+OY34+OY35</f>
        <v>333421.09999999998</v>
      </c>
      <c r="OZ44" s="609"/>
      <c r="PA44" s="608">
        <f>PA31+PA32+PA33+PA34+PA35</f>
        <v>164255.25</v>
      </c>
      <c r="PB44" s="1431">
        <f t="shared" si="1686"/>
        <v>0.49263603893094954</v>
      </c>
      <c r="PC44" s="608">
        <f>PC31+PC32+PC33+PC34+PC35</f>
        <v>24056.159999999996</v>
      </c>
      <c r="PD44" s="609"/>
      <c r="PE44" s="608">
        <f>PE31+PE32+PE33+PE34+PE35</f>
        <v>18237.37</v>
      </c>
      <c r="PF44" s="1431">
        <f t="shared" si="1688"/>
        <v>0.75811642423395931</v>
      </c>
      <c r="PG44" s="608">
        <f>PG31+PG32+PG33+PG34+PG35</f>
        <v>24056.159999999996</v>
      </c>
      <c r="PH44" s="609"/>
      <c r="PI44" s="608">
        <f>PI31+PI32+PI33+PI34+PI35</f>
        <v>11694.64</v>
      </c>
      <c r="PJ44" s="1431">
        <f t="shared" si="1689"/>
        <v>0.48613910116992909</v>
      </c>
      <c r="PK44" s="608">
        <f>PK31+PK32+PK33+PK34+PK35</f>
        <v>39636.359999999993</v>
      </c>
      <c r="PL44" s="609"/>
      <c r="PM44" s="608">
        <f>PM31+PM32+PM33+PM34+PM35</f>
        <v>18712.46</v>
      </c>
      <c r="PN44" s="1431">
        <f t="shared" si="1690"/>
        <v>0.47210339193609108</v>
      </c>
      <c r="PO44" s="608">
        <f>PO31+PO32+PO33+PO34+PO35</f>
        <v>39636.359999999993</v>
      </c>
      <c r="PP44" s="609"/>
      <c r="PQ44" s="608">
        <f>PQ31+PQ32+PQ33+PQ34+PQ35</f>
        <v>19419.29</v>
      </c>
      <c r="PR44" s="1431">
        <f t="shared" si="1691"/>
        <v>0.48993626054461115</v>
      </c>
      <c r="PS44" s="608">
        <f>PS31+PS32+PS33+PS34+PS35</f>
        <v>46242.420000000006</v>
      </c>
      <c r="PT44" s="609"/>
      <c r="PU44" s="608">
        <f>PU31+PU32+PU33+PU34+PU35</f>
        <v>16198.12</v>
      </c>
      <c r="PV44" s="1431">
        <f t="shared" si="1692"/>
        <v>0.35028703082580881</v>
      </c>
      <c r="PW44" s="608">
        <f>PW31+PW32+PW33+PW34+PW35</f>
        <v>32074.880000000005</v>
      </c>
      <c r="PX44" s="609"/>
      <c r="PY44" s="608">
        <f>PY31+PY32+PY33+PY34+PY35</f>
        <v>25388.670000000002</v>
      </c>
      <c r="PZ44" s="1431">
        <f t="shared" si="1693"/>
        <v>0.79154372518307159</v>
      </c>
      <c r="QA44" s="608">
        <f>QA31+QA32+QA33+QA34+QA35</f>
        <v>44102.960000000006</v>
      </c>
      <c r="QB44" s="609"/>
      <c r="QC44" s="608">
        <f>QC31+QC32+QC33+QC34+QC35</f>
        <v>41892.54</v>
      </c>
      <c r="QD44" s="1431">
        <f t="shared" si="1694"/>
        <v>0.9498804615381824</v>
      </c>
      <c r="QE44" s="608">
        <f>QE31+QE32+QE33+QE34+QE35</f>
        <v>200468</v>
      </c>
      <c r="QF44" s="609"/>
      <c r="QG44" s="608">
        <f>QG31+QG32+QG33+QG34+QG35</f>
        <v>151543.09</v>
      </c>
      <c r="QH44" s="1431">
        <f t="shared" si="1696"/>
        <v>0.75594653510784759</v>
      </c>
      <c r="QI44" s="608">
        <f>QI31+QI32+QI33+QI34+QI35</f>
        <v>37592.116800000003</v>
      </c>
      <c r="QJ44" s="609"/>
      <c r="QK44" s="608">
        <f>QK31+QK32+QK33+QK34+QK35</f>
        <v>35781.58</v>
      </c>
      <c r="QL44" s="1431">
        <f t="shared" si="1698"/>
        <v>0.95183732776654917</v>
      </c>
      <c r="QM44" s="608">
        <f>QM31+QM32+QM33+QM34+QM35</f>
        <v>37592.116800000003</v>
      </c>
      <c r="QN44" s="609"/>
      <c r="QO44" s="608">
        <f>QO31+QO32+QO33+QO34+QO35</f>
        <v>11082.71</v>
      </c>
      <c r="QP44" s="1431">
        <f t="shared" si="1699"/>
        <v>0.2948147362640669</v>
      </c>
      <c r="QQ44" s="608">
        <f>QQ31+QQ32+QQ33+QQ34+QQ35</f>
        <v>37592.116800000003</v>
      </c>
      <c r="QR44" s="609"/>
      <c r="QS44" s="608">
        <f>QS31+QS32+QS33+QS34+QS35</f>
        <v>16434.02</v>
      </c>
      <c r="QT44" s="1431">
        <f t="shared" si="1700"/>
        <v>0.43716665617510531</v>
      </c>
      <c r="QU44" s="608">
        <f>QU31+QU32+QU33+QU34+QU35</f>
        <v>37592.116800000003</v>
      </c>
      <c r="QV44" s="609"/>
      <c r="QW44" s="608">
        <f>QW31+QW32+QW33+QW34+QW35</f>
        <v>16114.289999999997</v>
      </c>
      <c r="QX44" s="1431">
        <f t="shared" si="1701"/>
        <v>0.42866141552316084</v>
      </c>
      <c r="QY44" s="608">
        <f>QY31+QY32+QY33+QY34+QY35</f>
        <v>43857.469600000004</v>
      </c>
      <c r="QZ44" s="609"/>
      <c r="RA44" s="608">
        <f>RA31+RA32+RA33+RA34+RA35</f>
        <v>20336.099999999999</v>
      </c>
      <c r="RB44" s="1431">
        <f t="shared" si="1702"/>
        <v>0.46368612201010329</v>
      </c>
      <c r="RC44" s="608">
        <f>RC31+RC32+RC33+RC34+RC35</f>
        <v>50122.822400000005</v>
      </c>
      <c r="RD44" s="609"/>
      <c r="RE44" s="608">
        <f>RE31+RE32+RE33+RE34+RE35</f>
        <v>26545.5</v>
      </c>
      <c r="RF44" s="1431">
        <f t="shared" si="1703"/>
        <v>0.52960904292572319</v>
      </c>
      <c r="RG44" s="608">
        <f>RG31+RG32+RG33+RG34+RG35</f>
        <v>68918.880800000014</v>
      </c>
      <c r="RH44" s="609"/>
      <c r="RI44" s="608">
        <f>RI31+RI32+RI33+RI34+RI35</f>
        <v>44977.760000000002</v>
      </c>
      <c r="RJ44" s="1431">
        <f t="shared" si="1704"/>
        <v>0.6526188393935729</v>
      </c>
      <c r="RK44" s="608">
        <f>RK31+RK32+RK33+RK34+RK35</f>
        <v>313267.64</v>
      </c>
      <c r="RL44" s="609"/>
      <c r="RM44" s="608">
        <f>RM31+RM32+RM33+RM34+RM35</f>
        <v>171271.96000000002</v>
      </c>
      <c r="RN44" s="1431">
        <f t="shared" si="1706"/>
        <v>0.54672726490358214</v>
      </c>
      <c r="RO44" s="608">
        <f>RO31+RO32+RO33+RO34+RO35</f>
        <v>37525.686000000002</v>
      </c>
      <c r="RP44" s="609"/>
      <c r="RQ44" s="608">
        <f>RQ31+RQ32+RQ33+RQ34+RQ35</f>
        <v>33066.660000000003</v>
      </c>
      <c r="RR44" s="1431">
        <f t="shared" si="1708"/>
        <v>0.8811740310357018</v>
      </c>
      <c r="RS44" s="608">
        <f>RS31+RS32+RS33+RS34+RS35</f>
        <v>37525.686000000002</v>
      </c>
      <c r="RT44" s="609"/>
      <c r="RU44" s="608">
        <f>RU31+RU32+RU33+RU34+RU35</f>
        <v>23256.480000000003</v>
      </c>
      <c r="RV44" s="1431">
        <f t="shared" si="1709"/>
        <v>0.61974829720634561</v>
      </c>
      <c r="RW44" s="608">
        <f>RW31+RW32+RW33+RW34+RW35</f>
        <v>37525.686000000002</v>
      </c>
      <c r="RX44" s="609"/>
      <c r="RY44" s="608">
        <f>RY31+RY32+RY33+RY34+RY35</f>
        <v>21326.43</v>
      </c>
      <c r="RZ44" s="1431">
        <f t="shared" si="1710"/>
        <v>0.56831552659690221</v>
      </c>
      <c r="SA44" s="608">
        <f>SA31+SA32+SA33+SA34+SA35</f>
        <v>37525.686000000002</v>
      </c>
      <c r="SB44" s="609"/>
      <c r="SC44" s="608">
        <f>SC31+SC32+SC33+SC34+SC35</f>
        <v>28697.609999999997</v>
      </c>
      <c r="SD44" s="1431">
        <f t="shared" si="1711"/>
        <v>0.76474577973071556</v>
      </c>
      <c r="SE44" s="608">
        <f>SE31+SE32+SE33+SE34+SE35</f>
        <v>43779.967000000004</v>
      </c>
      <c r="SF44" s="609"/>
      <c r="SG44" s="608">
        <f>SG31+SG32+SG33+SG34+SG35</f>
        <v>31723.47</v>
      </c>
      <c r="SH44" s="1431">
        <f t="shared" si="1712"/>
        <v>0.72461155578303649</v>
      </c>
      <c r="SI44" s="608">
        <f>SI31+SI32+SI33+SI34+SI35</f>
        <v>50034.248</v>
      </c>
      <c r="SJ44" s="609"/>
      <c r="SK44" s="608">
        <f>SK31+SK32+SK33+SK34+SK35</f>
        <v>30196.89</v>
      </c>
      <c r="SL44" s="1431">
        <f t="shared" si="1713"/>
        <v>0.60352440992018108</v>
      </c>
      <c r="SM44" s="608">
        <f>SM31+SM32+SM33+SM34+SM35</f>
        <v>68797.091</v>
      </c>
      <c r="SN44" s="609"/>
      <c r="SO44" s="608">
        <f>SO31+SO32+SO33+SO34+SO35</f>
        <v>51261.2</v>
      </c>
      <c r="SP44" s="1431">
        <f t="shared" si="1714"/>
        <v>0.74510708599583075</v>
      </c>
      <c r="SQ44" s="608">
        <f>SQ31+SQ32+SQ33+SQ34+SQ35</f>
        <v>312714.05</v>
      </c>
      <c r="SR44" s="609"/>
      <c r="SS44" s="608">
        <f>SS31+SS32+SS33+SS34+SS35</f>
        <v>219528.74</v>
      </c>
      <c r="ST44" s="1431">
        <f t="shared" si="1716"/>
        <v>0.70201111846429665</v>
      </c>
      <c r="SU44" s="608">
        <f>SU31+SU32+SU33+SU34+SU35</f>
        <v>22936.443599999999</v>
      </c>
      <c r="SV44" s="609"/>
      <c r="SW44" s="608">
        <f>SW31+SW32+SW33+SW34+SW35</f>
        <v>30902.3</v>
      </c>
      <c r="SX44" s="1431">
        <f t="shared" si="1718"/>
        <v>1.3473012878073216</v>
      </c>
      <c r="SY44" s="608">
        <f>SY31+SY32+SY33+SY34+SY35</f>
        <v>22936.443599999999</v>
      </c>
      <c r="SZ44" s="609"/>
      <c r="TA44" s="608">
        <f>TA31+TA32+TA33+TA34+TA35</f>
        <v>16228.099999999999</v>
      </c>
      <c r="TB44" s="1431">
        <f t="shared" si="1719"/>
        <v>0.70752468355643416</v>
      </c>
      <c r="TC44" s="608">
        <f>TC31+TC32+TC33+TC34+TC35</f>
        <v>22936.443599999999</v>
      </c>
      <c r="TD44" s="609"/>
      <c r="TE44" s="608">
        <f>TE31+TE32+TE33+TE34+TE35</f>
        <v>17532.039999999997</v>
      </c>
      <c r="TF44" s="1431">
        <f t="shared" si="1720"/>
        <v>0.7643748222588439</v>
      </c>
      <c r="TG44" s="608">
        <f>TG31+TG32+TG33+TG34+TG35</f>
        <v>22936.443599999999</v>
      </c>
      <c r="TH44" s="609"/>
      <c r="TI44" s="608">
        <f>TI31+TI32+TI33+TI34+TI35</f>
        <v>21609.5</v>
      </c>
      <c r="TJ44" s="1431">
        <f t="shared" si="1721"/>
        <v>0.94214693336328748</v>
      </c>
      <c r="TK44" s="608">
        <f>TK31+TK32+TK33+TK34+TK35</f>
        <v>26759.184200000003</v>
      </c>
      <c r="TL44" s="609"/>
      <c r="TM44" s="608">
        <f>TM31+TM32+TM33+TM34+TM35</f>
        <v>19353.21</v>
      </c>
      <c r="TN44" s="1431">
        <f t="shared" si="1722"/>
        <v>0.7232361739936749</v>
      </c>
      <c r="TO44" s="608">
        <f>TO31+TO32+TO33+TO34+TO35</f>
        <v>30581.924800000001</v>
      </c>
      <c r="TP44" s="609"/>
      <c r="TQ44" s="608">
        <f>TQ31+TQ32+TQ33+TQ34+TQ35</f>
        <v>32300.03</v>
      </c>
      <c r="TR44" s="1431">
        <f t="shared" si="1723"/>
        <v>1.0561804141248821</v>
      </c>
      <c r="TS44" s="608">
        <f>TS31+TS32+TS33+TS34+TS35</f>
        <v>42050.1466</v>
      </c>
      <c r="TT44" s="609"/>
      <c r="TU44" s="608">
        <f>TU31+TU32+TU33+TU34+TU35</f>
        <v>44732.170000000006</v>
      </c>
      <c r="TV44" s="1431">
        <f t="shared" si="1724"/>
        <v>1.0637815469589826</v>
      </c>
      <c r="TW44" s="608">
        <f>TW31+TW32+TW33+TW34+TW35</f>
        <v>191137.02999999997</v>
      </c>
      <c r="TX44" s="609"/>
      <c r="TY44" s="608">
        <f>TY31+TY32+TY33+TY34+TY35</f>
        <v>182657.35</v>
      </c>
      <c r="TZ44" s="1431">
        <f t="shared" si="1726"/>
        <v>0.9556355981883784</v>
      </c>
      <c r="UA44" s="608">
        <f>UA31+UA32+UA33+UA34+UA35</f>
        <v>57586.960000000006</v>
      </c>
      <c r="UB44" s="609"/>
      <c r="UC44" s="608">
        <f>UC31+UC32+UC33+UC34+UC35</f>
        <v>31533.879999999997</v>
      </c>
      <c r="UD44" s="1431">
        <f t="shared" si="1728"/>
        <v>0.54758716209364056</v>
      </c>
      <c r="UE44" s="608">
        <f>UE31+UE32+UE33+UE34+UE35</f>
        <v>27424.3</v>
      </c>
      <c r="UF44" s="609"/>
      <c r="UG44" s="608">
        <f>UG31+UG32+UG33+UG34+UG35</f>
        <v>14464.59</v>
      </c>
      <c r="UH44" s="1431">
        <f t="shared" si="1729"/>
        <v>0.52743698107153147</v>
      </c>
      <c r="UI44" s="608">
        <f>UI31+UI32+UI33+UI34+UI35</f>
        <v>36884.93</v>
      </c>
      <c r="UJ44" s="609"/>
      <c r="UK44" s="608">
        <f>UK31+UK32+UK33+UK34+UK35</f>
        <v>19829.759999999998</v>
      </c>
      <c r="UL44" s="1431">
        <f t="shared" si="1730"/>
        <v>0.53761143100990016</v>
      </c>
      <c r="UM44" s="608">
        <f>UM31+UM32+UM33+UM34+UM35</f>
        <v>33404.449999999997</v>
      </c>
      <c r="UN44" s="609"/>
      <c r="UO44" s="608">
        <f>UO31+UO32+UO33+UO34+UO35</f>
        <v>22061.170000000002</v>
      </c>
      <c r="UP44" s="1431">
        <f t="shared" si="1731"/>
        <v>0.66042608095627986</v>
      </c>
      <c r="UQ44" s="608">
        <f>UQ31+UQ32+UQ33+UQ34+UQ35</f>
        <v>31036.09</v>
      </c>
      <c r="UR44" s="609"/>
      <c r="US44" s="608">
        <f>US31+US32+US33+US34+US35</f>
        <v>29804.61</v>
      </c>
      <c r="UT44" s="1431">
        <f t="shared" si="1732"/>
        <v>0.9603210327074061</v>
      </c>
      <c r="UU44" s="608">
        <f>UU31+UU32+UU33+UU34+UU35</f>
        <v>48034.509999999995</v>
      </c>
      <c r="UV44" s="609"/>
      <c r="UW44" s="608">
        <f>UW31+UW32+UW33+UW34+UW35</f>
        <v>38232.93</v>
      </c>
      <c r="UX44" s="1431">
        <f t="shared" si="1733"/>
        <v>0.79594712218361352</v>
      </c>
      <c r="UY44" s="608">
        <f>UY31+UY32+UY33+UY34+UY35</f>
        <v>67001.41</v>
      </c>
      <c r="UZ44" s="609"/>
      <c r="VA44" s="608">
        <f>VA31+VA32+VA33+VA34+VA35</f>
        <v>51272.87</v>
      </c>
      <c r="VB44" s="1431">
        <f t="shared" si="1734"/>
        <v>0.76525061189010801</v>
      </c>
      <c r="VC44" s="608">
        <f>VC31+VC32+VC33+VC34+VC35</f>
        <v>301372.65000000002</v>
      </c>
      <c r="VD44" s="609"/>
      <c r="VE44" s="608">
        <f>VE31+VE32+VE33+VE34+VE35</f>
        <v>207199.81</v>
      </c>
      <c r="VF44" s="1431">
        <f t="shared" si="1736"/>
        <v>0.68752028427264378</v>
      </c>
      <c r="VG44" s="608">
        <f>VG31+VG32+VG33+VG34+VG35</f>
        <v>56613.33</v>
      </c>
      <c r="VH44" s="609"/>
      <c r="VI44" s="608">
        <f>VI31+VI32+VI33+VI34+VI35</f>
        <v>38410.930000000008</v>
      </c>
      <c r="VJ44" s="1431">
        <f t="shared" si="1738"/>
        <v>0.67847854913321659</v>
      </c>
      <c r="VK44" s="608">
        <f>VK31+VK32+VK33+VK34+VK35</f>
        <v>24971.969999999998</v>
      </c>
      <c r="VL44" s="609"/>
      <c r="VM44" s="608">
        <f>VM31+VM32+VM33+VM34+VM35</f>
        <v>16666.820000000003</v>
      </c>
      <c r="VN44" s="1431">
        <f t="shared" si="1739"/>
        <v>0.6674211125513928</v>
      </c>
      <c r="VO44" s="608">
        <f>VO31+VO32+VO33+VO34+VO35</f>
        <v>25812.170000000002</v>
      </c>
      <c r="VP44" s="609"/>
      <c r="VQ44" s="608">
        <f>VQ31+VQ32+VQ33+VQ34+VQ35</f>
        <v>19730.57</v>
      </c>
      <c r="VR44" s="1431">
        <f t="shared" si="1740"/>
        <v>0.76439020818474379</v>
      </c>
      <c r="VS44" s="608">
        <f>VS31+VS32+VS33+VS34+VS35</f>
        <v>23799.899999999998</v>
      </c>
      <c r="VT44" s="609"/>
      <c r="VU44" s="608">
        <f>VU31+VU32+VU33+VU34+VU35</f>
        <v>21001.58</v>
      </c>
      <c r="VV44" s="1431">
        <f t="shared" si="1741"/>
        <v>0.88242303539090516</v>
      </c>
      <c r="VW44" s="608">
        <f>VW31+VW32+VW33+VW34+VW35</f>
        <v>30702.28</v>
      </c>
      <c r="VX44" s="609"/>
      <c r="VY44" s="608">
        <f>VY31+VY32+VY33+VY34+VY35</f>
        <v>26666.09</v>
      </c>
      <c r="VZ44" s="1431">
        <f t="shared" si="1742"/>
        <v>0.86853777634755469</v>
      </c>
      <c r="WA44" s="608">
        <f>WA31+WA32+WA33+WA34+WA35</f>
        <v>38909.339999999997</v>
      </c>
      <c r="WB44" s="609"/>
      <c r="WC44" s="608">
        <f>WC31+WC32+WC33+WC34+WC35</f>
        <v>34951.120000000003</v>
      </c>
      <c r="WD44" s="1431">
        <f t="shared" si="1743"/>
        <v>0.89827069798665327</v>
      </c>
      <c r="WE44" s="608">
        <f>WE31+WE32+WE33+WE34+WE35</f>
        <v>61028.759999999995</v>
      </c>
      <c r="WF44" s="609"/>
      <c r="WG44" s="608">
        <f>WG31+WG32+WG33+WG34+WG35</f>
        <v>51892.91</v>
      </c>
      <c r="WH44" s="1431">
        <f t="shared" si="1744"/>
        <v>0.85030254588164678</v>
      </c>
      <c r="WI44" s="608">
        <f>WI31+WI32+WI33+WI34+WI35</f>
        <v>131197.37</v>
      </c>
      <c r="WJ44" s="609"/>
      <c r="WK44" s="608">
        <f>WK31+WK32+WK33+WK34+WK35</f>
        <v>209320.02000000002</v>
      </c>
      <c r="WL44" s="1431">
        <f t="shared" si="1746"/>
        <v>1.5954589638496566</v>
      </c>
      <c r="WM44" s="608">
        <f>WM31+WM32+WM33+WM34+WM35</f>
        <v>56485.850000000006</v>
      </c>
      <c r="WN44" s="609"/>
      <c r="WO44" s="608">
        <f>WO31+WO32+WO33+WO34+WO35</f>
        <v>36244.19</v>
      </c>
      <c r="WP44" s="1431">
        <f t="shared" si="1748"/>
        <v>0.64165078510812878</v>
      </c>
      <c r="WQ44" s="608">
        <f>WQ31+WQ32+WQ33+WQ34+WQ35</f>
        <v>31923.82</v>
      </c>
      <c r="WR44" s="609"/>
      <c r="WS44" s="608">
        <f>WS31+WS32+WS33+WS34+WS35</f>
        <v>18730.599999999999</v>
      </c>
      <c r="WT44" s="1431">
        <f t="shared" si="1749"/>
        <v>0.58672802941502611</v>
      </c>
      <c r="WU44" s="608">
        <f>WU31+WU32+WU33+WU34+WU35</f>
        <v>30644.510000000002</v>
      </c>
      <c r="WV44" s="609"/>
      <c r="WW44" s="608">
        <f>WW31+WW32+WW33+WW34+WW35</f>
        <v>17218.07</v>
      </c>
      <c r="WX44" s="1431">
        <f t="shared" si="1750"/>
        <v>0.56186475163087934</v>
      </c>
      <c r="WY44" s="608">
        <f>WY31+WY32+WY33+WY34+WY35</f>
        <v>31799.85</v>
      </c>
      <c r="WZ44" s="609"/>
      <c r="XA44" s="608">
        <f>XA31+XA32+XA33+XA34+XA35</f>
        <v>23743.07</v>
      </c>
      <c r="XB44" s="1431">
        <f t="shared" si="1751"/>
        <v>0.74664094327488972</v>
      </c>
      <c r="XC44" s="608">
        <f>XC31+XC32+XC33+XC34+XC35</f>
        <v>29578.89</v>
      </c>
      <c r="XD44" s="609"/>
      <c r="XE44" s="608">
        <f>XE31+XE32+XE33+XE34+XE35</f>
        <v>30765.55</v>
      </c>
      <c r="XF44" s="1431">
        <f t="shared" si="1752"/>
        <v>1.0401184763863689</v>
      </c>
      <c r="XG44" s="608">
        <f>XG31+XG32+XG33+XG34+XG35</f>
        <v>44243.070000000007</v>
      </c>
      <c r="XH44" s="609"/>
      <c r="XI44" s="608">
        <f>XI31+XI32+XI33+XI34+XI35</f>
        <v>43431.8</v>
      </c>
      <c r="XJ44" s="1431">
        <f t="shared" si="1753"/>
        <v>0.98166334298230196</v>
      </c>
      <c r="XK44" s="608">
        <f>XK31+XK32+XK33+XK34+XK35</f>
        <v>51998.3</v>
      </c>
      <c r="XL44" s="609"/>
      <c r="XM44" s="608">
        <f>XM31+XM32+XM33+XM34+XM35</f>
        <v>54287.42</v>
      </c>
      <c r="XN44" s="1431">
        <f t="shared" si="1754"/>
        <v>1.04402297767427</v>
      </c>
      <c r="XO44" s="608">
        <f>XO31+XO32+XO33+XO34+XO35</f>
        <v>276674.29000000004</v>
      </c>
      <c r="XP44" s="609"/>
      <c r="XQ44" s="608">
        <f>XQ31+XQ32+XQ33+XQ34+XQ35</f>
        <v>224420.69999999998</v>
      </c>
      <c r="XR44" s="1431">
        <f t="shared" si="1756"/>
        <v>0.81113680638703345</v>
      </c>
      <c r="XS44" s="608">
        <f>XS31+XS32+XS33+XS34+XS35</f>
        <v>51281.8</v>
      </c>
      <c r="XT44" s="609"/>
      <c r="XU44" s="608">
        <f>XU31+XU32+XU33+XU34+XU35</f>
        <v>41438.9</v>
      </c>
      <c r="XV44" s="1431">
        <f t="shared" si="1758"/>
        <v>0.80806250950629654</v>
      </c>
      <c r="XW44" s="608">
        <f>XW31+XW32+XW33+XW34+XW35</f>
        <v>25672.54</v>
      </c>
      <c r="XX44" s="609"/>
      <c r="XY44" s="608">
        <f>XY31+XY32+XY33+XY34+XY35</f>
        <v>19761.690000000002</v>
      </c>
      <c r="XZ44" s="1431">
        <f t="shared" si="1759"/>
        <v>0.76975982898458828</v>
      </c>
      <c r="YA44" s="608">
        <f>YA31+YA32+YA33+YA34+YA35</f>
        <v>27309.789999999997</v>
      </c>
      <c r="YB44" s="609"/>
      <c r="YC44" s="608">
        <f>YC31+YC32+YC33+YC34+YC35</f>
        <v>20962.11</v>
      </c>
      <c r="YD44" s="1431">
        <f t="shared" si="1760"/>
        <v>0.76756760121553491</v>
      </c>
      <c r="YE44" s="608">
        <f>YE31+YE32+YE33+YE34+YE35</f>
        <v>24637.71</v>
      </c>
      <c r="YF44" s="609"/>
      <c r="YG44" s="608">
        <f>YG31+YG32+YG33+YG34+YG35</f>
        <v>22156.62</v>
      </c>
      <c r="YH44" s="1431">
        <f t="shared" si="1761"/>
        <v>0.89929705317580244</v>
      </c>
      <c r="YI44" s="608">
        <f>YI31+YI32+YI33+YI34+YI35</f>
        <v>34223.919999999998</v>
      </c>
      <c r="YJ44" s="609"/>
      <c r="YK44" s="608">
        <f>YK31+YK32+YK33+YK34+YK35</f>
        <v>24362.12</v>
      </c>
      <c r="YL44" s="1431">
        <f t="shared" si="1762"/>
        <v>0.71184481497151697</v>
      </c>
      <c r="YM44" s="608">
        <f>YM31+YM32+YM33+YM34+YM35</f>
        <v>37774.22</v>
      </c>
      <c r="YN44" s="609"/>
      <c r="YO44" s="608">
        <f>YO31+YO32+YO33+YO34+YO35</f>
        <v>45883.58</v>
      </c>
      <c r="YP44" s="1431">
        <f t="shared" si="1763"/>
        <v>1.214679747192662</v>
      </c>
      <c r="YQ44" s="608">
        <f>YQ31+YQ32+YQ33+YQ34+YQ35</f>
        <v>65205.35</v>
      </c>
      <c r="YR44" s="609"/>
      <c r="YS44" s="608">
        <f>YS31+YS32+YS33+YS34+YS35</f>
        <v>49440.61</v>
      </c>
      <c r="YT44" s="1431">
        <f t="shared" si="1764"/>
        <v>0.75822934774523876</v>
      </c>
      <c r="YU44" s="608">
        <f>YU31+YU32+YU33+YU34+YU35</f>
        <v>266105.32999999996</v>
      </c>
      <c r="YV44" s="609"/>
      <c r="YW44" s="608">
        <f>YW31+YW32+YW33+YW34+YW35</f>
        <v>224005.62999999998</v>
      </c>
      <c r="YX44" s="1431">
        <f t="shared" si="1766"/>
        <v>0.84179309749263576</v>
      </c>
      <c r="YY44" s="608">
        <f>YY31+YY32+YY33+YY34+YY35</f>
        <v>48194.619999999995</v>
      </c>
      <c r="YZ44" s="609"/>
      <c r="ZA44" s="608">
        <f>ZA31+ZA32+ZA33+ZA34+ZA35</f>
        <v>40474.94</v>
      </c>
      <c r="ZB44" s="1431">
        <f t="shared" si="1768"/>
        <v>0.83982278519884601</v>
      </c>
      <c r="ZC44" s="608">
        <f>ZC31+ZC32+ZC33+ZC34+ZC35</f>
        <v>21795.58</v>
      </c>
      <c r="ZD44" s="609"/>
      <c r="ZE44" s="608">
        <f>ZE31+ZE32+ZE33+ZE34+ZE35</f>
        <v>17725.21</v>
      </c>
      <c r="ZF44" s="1431">
        <f t="shared" si="1769"/>
        <v>0.8132479154030311</v>
      </c>
      <c r="ZG44" s="608">
        <f>ZG31+ZG32+ZG33+ZG34+ZG35</f>
        <v>30692.52</v>
      </c>
      <c r="ZH44" s="609"/>
      <c r="ZI44" s="608">
        <f>ZI31+ZI32+ZI33+ZI34+ZI35</f>
        <v>21413.82</v>
      </c>
      <c r="ZJ44" s="1431">
        <f t="shared" si="1770"/>
        <v>0.69768855734231006</v>
      </c>
      <c r="ZK44" s="608">
        <f>ZK31+ZK32+ZK33+ZK34+ZK35</f>
        <v>35984.5</v>
      </c>
      <c r="ZL44" s="609"/>
      <c r="ZM44" s="608">
        <f>ZM31+ZM32+ZM33+ZM34+ZM35</f>
        <v>28205.84</v>
      </c>
      <c r="ZN44" s="1431">
        <f t="shared" si="1771"/>
        <v>0.78383303922522196</v>
      </c>
      <c r="ZO44" s="608">
        <f>ZO31+ZO32+ZO33+ZO34+ZO35</f>
        <v>44183.3</v>
      </c>
      <c r="ZP44" s="609"/>
      <c r="ZQ44" s="608">
        <f>ZQ31+ZQ32+ZQ33+ZQ34+ZQ35</f>
        <v>34436.999999999993</v>
      </c>
      <c r="ZR44" s="1431">
        <f t="shared" si="1772"/>
        <v>0.77941213082771066</v>
      </c>
      <c r="ZS44" s="608">
        <f>ZS31+ZS32+ZS33+ZS34+ZS35</f>
        <v>42268.07</v>
      </c>
      <c r="ZT44" s="609"/>
      <c r="ZU44" s="608">
        <f>ZU31+ZU32+ZU33+ZU34+ZU35</f>
        <v>46615.6</v>
      </c>
      <c r="ZV44" s="1431">
        <f t="shared" si="1773"/>
        <v>1.102856127568635</v>
      </c>
      <c r="ZW44" s="608">
        <f>ZW31+ZW32+ZW33+ZW34+ZW35</f>
        <v>51495.8</v>
      </c>
      <c r="ZX44" s="609"/>
      <c r="ZY44" s="608">
        <f>ZY31+ZY32+ZY33+ZY34+ZY35</f>
        <v>64509</v>
      </c>
      <c r="ZZ44" s="1431">
        <f t="shared" si="1774"/>
        <v>1.2527041040240174</v>
      </c>
      <c r="AAA44" s="608">
        <f>AAA31+AAA32+AAA33+AAA34+AAA35</f>
        <v>274614.39</v>
      </c>
      <c r="AAB44" s="609"/>
      <c r="AAC44" s="608">
        <f>AAC31+AAC32+AAC33+AAC34+AAC35</f>
        <v>253381.41000000003</v>
      </c>
      <c r="AAD44" s="1431">
        <f t="shared" si="1776"/>
        <v>0.9226807451714385</v>
      </c>
      <c r="AAE44" s="608">
        <f>AAE31+AAE32+AAE33+AAE34+AAE35</f>
        <v>49624.7</v>
      </c>
      <c r="AAF44" s="609"/>
      <c r="AAG44" s="608">
        <f>AAG31+AAG32+AAG33+AAG34+AAG35</f>
        <v>34912.51</v>
      </c>
      <c r="AAH44" s="1431">
        <f t="shared" si="1778"/>
        <v>0.70353090295759979</v>
      </c>
      <c r="AAI44" s="608">
        <f>AAI31+AAI32+AAI33+AAI34+AAI35</f>
        <v>23457.070000000003</v>
      </c>
      <c r="AAJ44" s="609"/>
      <c r="AAK44" s="608">
        <f>AAK31+AAK32+AAK33+AAK34+AAK35</f>
        <v>24057.91</v>
      </c>
      <c r="AAL44" s="1431">
        <f t="shared" si="1779"/>
        <v>1.0256144522738773</v>
      </c>
      <c r="AAM44" s="608">
        <f>AAM31+AAM32+AAM33+AAM34+AAM35</f>
        <v>25857.01</v>
      </c>
      <c r="AAN44" s="609"/>
      <c r="AAO44" s="608">
        <f>AAO31+AAO32+AAO33+AAO34+AAO35</f>
        <v>20140.169999999998</v>
      </c>
      <c r="AAP44" s="1431">
        <f t="shared" si="1780"/>
        <v>0.77890560432161338</v>
      </c>
      <c r="AAQ44" s="608">
        <f>AAQ31+AAQ32+AAQ33+AAQ34+AAQ35</f>
        <v>22999.360000000001</v>
      </c>
      <c r="AAR44" s="609"/>
      <c r="AAS44" s="608">
        <f>AAS31+AAS32+AAS33+AAS34+AAS35</f>
        <v>23193.69</v>
      </c>
      <c r="AAT44" s="1431">
        <f t="shared" si="1781"/>
        <v>1.008449365547563</v>
      </c>
      <c r="AAU44" s="608">
        <f>AAU31+AAU32+AAU33+AAU34+AAU35</f>
        <v>29558.229999999996</v>
      </c>
      <c r="AAV44" s="609"/>
      <c r="AAW44" s="608">
        <f>AAW31+AAW32+AAW33+AAW34+AAW35</f>
        <v>20493.48</v>
      </c>
      <c r="AAX44" s="1431">
        <f t="shared" si="1782"/>
        <v>0.69332568289779195</v>
      </c>
      <c r="AAY44" s="608">
        <f>AAY31+AAY32+AAY33+AAY34+AAY35</f>
        <v>31011.609999999993</v>
      </c>
      <c r="AAZ44" s="609"/>
      <c r="ABA44" s="608">
        <f>ABA31+ABA32+ABA33+ABA34+ABA35</f>
        <v>36090.520000000004</v>
      </c>
      <c r="ABB44" s="1431">
        <f t="shared" si="1783"/>
        <v>1.1637744702709731</v>
      </c>
      <c r="ABC44" s="608">
        <f>ABC31+ABC32+ABC33+ABC34+ABC35</f>
        <v>55573.53</v>
      </c>
      <c r="ABD44" s="609"/>
      <c r="ABE44" s="608">
        <f>ABE31+ABE32+ABE33+ABE34+ABE35</f>
        <v>47477.91</v>
      </c>
      <c r="ABF44" s="1431">
        <f t="shared" si="1784"/>
        <v>0.85432597137522137</v>
      </c>
      <c r="ABG44" s="608">
        <f>ABG31+ABG32+ABG33+ABG34+ABG35</f>
        <v>238081.50999999998</v>
      </c>
      <c r="ABH44" s="609"/>
      <c r="ABI44" s="608">
        <f>ABI31+ABI32+ABI33+ABI34+ABI35</f>
        <v>206366.19</v>
      </c>
      <c r="ABJ44" s="1431">
        <f t="shared" si="1786"/>
        <v>0.86678797526107765</v>
      </c>
      <c r="ABK44" s="608">
        <f>ABK31+ABK32+ABK33+ABK34+ABK35</f>
        <v>51514.01</v>
      </c>
      <c r="ABL44" s="609"/>
      <c r="ABM44" s="608">
        <f>ABM31+ABM32+ABM33+ABM34+ABM35</f>
        <v>40944.879999999997</v>
      </c>
      <c r="ABN44" s="1431">
        <f t="shared" si="1788"/>
        <v>0.79482998896804957</v>
      </c>
      <c r="ABO44" s="608">
        <f>ABO31+ABO32+ABO33+ABO34+ABO35</f>
        <v>18593.100000000002</v>
      </c>
      <c r="ABP44" s="609"/>
      <c r="ABQ44" s="608">
        <f>ABQ31+ABQ32+ABQ33+ABQ34+ABQ35</f>
        <v>22768.93</v>
      </c>
      <c r="ABR44" s="1431">
        <f t="shared" si="1789"/>
        <v>1.2245903050056202</v>
      </c>
      <c r="ABS44" s="608">
        <f>ABS31+ABS32+ABS33+ABS34+ABS35</f>
        <v>18603.099999999999</v>
      </c>
      <c r="ABT44" s="609"/>
      <c r="ABU44" s="608">
        <f>ABU31+ABU32+ABU33+ABU34+ABU35</f>
        <v>23358.959999999999</v>
      </c>
      <c r="ABV44" s="1431">
        <f t="shared" si="1790"/>
        <v>1.2556487897178428</v>
      </c>
      <c r="ABW44" s="608">
        <f>ABW31+ABW32+ABW33+ABW34+ABW35</f>
        <v>18930.02</v>
      </c>
      <c r="ABX44" s="609"/>
      <c r="ABY44" s="608">
        <f>ABY31+ABY32+ABY33+ABY34+ABY35</f>
        <v>31526.79</v>
      </c>
      <c r="ABZ44" s="1431">
        <f t="shared" si="1791"/>
        <v>1.6654388109468452</v>
      </c>
      <c r="ACA44" s="608">
        <f>ACA31+ACA32+ACA33+ACA34+ACA35</f>
        <v>42476.4</v>
      </c>
      <c r="ACB44" s="609"/>
      <c r="ACC44" s="608">
        <f>ACC31+ACC32+ACC33+ACC34+ACC35</f>
        <v>28066.17</v>
      </c>
      <c r="ACD44" s="1431">
        <f t="shared" si="1792"/>
        <v>0.66074737972144526</v>
      </c>
      <c r="ACE44" s="608">
        <f>ACE31+ACE32+ACE33+ACE34+ACE35</f>
        <v>64954.64</v>
      </c>
      <c r="ACF44" s="609"/>
      <c r="ACG44" s="608">
        <f>ACG31+ACG32+ACG33+ACG34+ACG35</f>
        <v>46889.71</v>
      </c>
      <c r="ACH44" s="1431">
        <f t="shared" si="1793"/>
        <v>0.72188391776168725</v>
      </c>
      <c r="ACI44" s="608">
        <f>ACI31+ACI32+ACI33+ACI34+ACI35</f>
        <v>102333.70999999999</v>
      </c>
      <c r="ACJ44" s="609"/>
      <c r="ACK44" s="608">
        <f>ACK31+ACK32+ACK33+ACK34+ACK35</f>
        <v>73254.709999999992</v>
      </c>
      <c r="ACL44" s="1431">
        <f t="shared" si="1794"/>
        <v>0.7158414368051349</v>
      </c>
      <c r="ACM44" s="608">
        <f>ACM31+ACM32+ACM33+ACM34+ACM35</f>
        <v>317404.98</v>
      </c>
      <c r="ACN44" s="609"/>
      <c r="ACO44" s="608">
        <f>ACO31+ACO32+ACO33+ACO34+ACO35</f>
        <v>266810.14999999997</v>
      </c>
      <c r="ACP44" s="1431">
        <f t="shared" si="1796"/>
        <v>0.8405984997462862</v>
      </c>
      <c r="ACQ44" s="608">
        <f>ACQ31+ACQ32+ACQ33+ACQ34+ACQ35</f>
        <v>101220.38</v>
      </c>
      <c r="ACR44" s="609"/>
      <c r="ACS44" s="608">
        <f>ACS31+ACS32+ACS33+ACS34+ACS35</f>
        <v>64640.69</v>
      </c>
      <c r="ACT44" s="1431">
        <f t="shared" si="1798"/>
        <v>0.63861338991218963</v>
      </c>
      <c r="ACU44" s="608">
        <f>ACU31+ACU32+ACU33+ACU34+ACU35</f>
        <v>81634.400000000009</v>
      </c>
      <c r="ACV44" s="609"/>
      <c r="ACW44" s="608">
        <f>ACW31+ACW32+ACW33+ACW34+ACW35</f>
        <v>45685.659999999996</v>
      </c>
      <c r="ACX44" s="1431">
        <f t="shared" si="1799"/>
        <v>0.55963735876052245</v>
      </c>
      <c r="ACY44" s="608">
        <f>ACY31+ACY32+ACY33+ACY34+ACY35</f>
        <v>21880.82</v>
      </c>
      <c r="ACZ44" s="609"/>
      <c r="ADA44" s="608">
        <f>ADA31+ADA32+ADA33+ADA34+ADA35</f>
        <v>29585.709999999995</v>
      </c>
      <c r="ADB44" s="1431">
        <f t="shared" si="1800"/>
        <v>1.352129856193689</v>
      </c>
      <c r="ADC44" s="608">
        <f>ADC31+ADC32+ADC33+ADC34+ADC35</f>
        <v>21274.78</v>
      </c>
      <c r="ADD44" s="609"/>
      <c r="ADE44" s="608">
        <f>ADE31+ADE32+ADE33+ADE34+ADE35</f>
        <v>22797.9</v>
      </c>
      <c r="ADF44" s="1431">
        <f t="shared" si="1801"/>
        <v>1.0715927497252618</v>
      </c>
      <c r="ADG44" s="608">
        <f>ADG31+ADG32+ADG33+ADG34+ADG35</f>
        <v>28767.67</v>
      </c>
      <c r="ADH44" s="609"/>
      <c r="ADI44" s="608">
        <f>ADI31+ADI32+ADI33+ADI34+ADI35</f>
        <v>22551.260000000002</v>
      </c>
      <c r="ADJ44" s="1431">
        <f t="shared" si="1802"/>
        <v>0.78390985436081562</v>
      </c>
      <c r="ADK44" s="608">
        <f>ADK31+ADK32+ADK33+ADK34+ADK35</f>
        <v>40485.870000000003</v>
      </c>
      <c r="ADL44" s="609"/>
      <c r="ADM44" s="608">
        <f>ADM31+ADM32+ADM33+ADM34+ADM35</f>
        <v>36035.699999999997</v>
      </c>
      <c r="ADN44" s="1431">
        <f t="shared" si="1803"/>
        <v>0.89008090970998022</v>
      </c>
      <c r="ADO44" s="608">
        <f>ADO31+ADO32+ADO33+ADO34+ADO35</f>
        <v>62862.040000000008</v>
      </c>
      <c r="ADP44" s="609"/>
      <c r="ADQ44" s="608">
        <f>ADQ31+ADQ32+ADQ33+ADQ34+ADQ35</f>
        <v>43849.96</v>
      </c>
      <c r="ADR44" s="1431">
        <f t="shared" si="1804"/>
        <v>0.6975586538394235</v>
      </c>
      <c r="ADS44" s="608">
        <f>ADS31+ADS32+ADS33+ADS34+ADS35</f>
        <v>245098.38</v>
      </c>
      <c r="ADT44" s="609"/>
      <c r="ADU44" s="608">
        <f>ADU31+ADU32+ADU33+ADU34+ADU35</f>
        <v>265146.88</v>
      </c>
      <c r="ADV44" s="1431">
        <f t="shared" si="1806"/>
        <v>1.0817977662683858</v>
      </c>
      <c r="ADW44" s="608">
        <f>ADW31+ADW32+ADW33+ADW34+ADW35</f>
        <v>38363.18</v>
      </c>
      <c r="ADX44" s="609"/>
      <c r="ADY44" s="608">
        <f>ADY31+ADY32+ADY33+ADY34+ADY35</f>
        <v>40345.979999999996</v>
      </c>
      <c r="ADZ44" s="1431">
        <f t="shared" si="1808"/>
        <v>1.0516849750203188</v>
      </c>
      <c r="AEA44" s="608">
        <f>AEA31+AEA32+AEA33+AEA34+AEA35</f>
        <v>30114.239999999998</v>
      </c>
      <c r="AEB44" s="609"/>
      <c r="AEC44" s="608">
        <f>AEC31+AEC32+AEC33+AEC34+AEC35</f>
        <v>20762</v>
      </c>
      <c r="AED44" s="1431">
        <f t="shared" si="1809"/>
        <v>0.68944127429415458</v>
      </c>
      <c r="AEE44" s="608">
        <f>AEE31+AEE32+AEE33+AEE34+AEE35</f>
        <v>27437.879999999997</v>
      </c>
      <c r="AEF44" s="609"/>
      <c r="AEG44" s="608">
        <f>AEG31+AEG32+AEG33+AEG34+AEG35</f>
        <v>17849</v>
      </c>
      <c r="AEH44" s="1431">
        <f t="shared" si="1810"/>
        <v>0.65052402007735299</v>
      </c>
      <c r="AEI44" s="608">
        <f>AEI31+AEI32+AEI33+AEI34+AEI35</f>
        <v>28572.699999999997</v>
      </c>
      <c r="AEJ44" s="609"/>
      <c r="AEK44" s="608">
        <f>AEK31+AEK32+AEK33+AEK34+AEK35</f>
        <v>26632</v>
      </c>
      <c r="AEL44" s="1431">
        <f t="shared" si="1811"/>
        <v>0.93207852250574863</v>
      </c>
      <c r="AEM44" s="608">
        <f>AEM31+AEM32+AEM33+AEM34+AEM35</f>
        <v>44310.590000000004</v>
      </c>
      <c r="AEN44" s="609"/>
      <c r="AEO44" s="608">
        <f>AEO31+AEO32+AEO33+AEO34+AEO35</f>
        <v>29923</v>
      </c>
      <c r="AEP44" s="1431">
        <f t="shared" si="1812"/>
        <v>0.6753013218736198</v>
      </c>
      <c r="AEQ44" s="608">
        <f>AEQ31+AEQ32+AEQ33+AEQ34+AEQ35</f>
        <v>59876.05</v>
      </c>
      <c r="AER44" s="609"/>
      <c r="AES44" s="608">
        <f>AES31+AES32+AES33+AES34+AES35</f>
        <v>33312</v>
      </c>
      <c r="AET44" s="1431">
        <f t="shared" si="1813"/>
        <v>0.55634932498052225</v>
      </c>
      <c r="AEU44" s="608">
        <f>AEU31+AEU32+AEU33+AEU34+AEU35</f>
        <v>82198.87</v>
      </c>
      <c r="AEV44" s="609"/>
      <c r="AEW44" s="608">
        <f>AEW31+AEW32+AEW33+AEW34+AEW35</f>
        <v>58126</v>
      </c>
      <c r="AEX44" s="1431">
        <f t="shared" si="1814"/>
        <v>0.70713867477740266</v>
      </c>
      <c r="AEY44" s="608">
        <f>AEY31+AEY32+AEY33+AEY34+AEY35</f>
        <v>240495.14</v>
      </c>
      <c r="AEZ44" s="609"/>
      <c r="AFA44" s="608">
        <f>AFA31+AFA32+AFA33+AFA34+AFA35</f>
        <v>226949.97999999998</v>
      </c>
      <c r="AFB44" s="1431">
        <f t="shared" si="1816"/>
        <v>0.94367803025042407</v>
      </c>
      <c r="AFC44" s="608">
        <f>AFC31+AFC32+AFC33+AFC34+AFC35</f>
        <v>67334.37999999999</v>
      </c>
      <c r="AFD44" s="609"/>
      <c r="AFE44" s="608">
        <f>AFE31+AFE32+AFE33+AFE34+AFE35</f>
        <v>37845</v>
      </c>
      <c r="AFF44" s="1431">
        <f t="shared" si="1818"/>
        <v>0.56204571869526387</v>
      </c>
      <c r="AFG44" s="608">
        <f>AFG31+AFG32+AFG33+AFG34+AFG35</f>
        <v>40012.339999999997</v>
      </c>
      <c r="AFH44" s="609"/>
      <c r="AFI44" s="608">
        <f>AFI31+AFI32+AFI33+AFI34+AFI35</f>
        <v>22344.62</v>
      </c>
      <c r="AFJ44" s="1431">
        <f t="shared" si="1819"/>
        <v>0.5584432202665478</v>
      </c>
      <c r="AFK44" s="608">
        <f>AFK31+AFK32+AFK33+AFK34+AFK35</f>
        <v>35867.75</v>
      </c>
      <c r="AFL44" s="609"/>
      <c r="AFM44" s="608">
        <f>AFM31+AFM32+AFM33+AFM34+AFM35</f>
        <v>33811.14</v>
      </c>
      <c r="AFN44" s="1431">
        <f t="shared" si="1820"/>
        <v>0.94266130437510021</v>
      </c>
      <c r="AFO44" s="608">
        <f>AFO31+AFO32+AFO33+AFO34+AFO35</f>
        <v>40526.11</v>
      </c>
      <c r="AFP44" s="609"/>
      <c r="AFQ44" s="608">
        <f>AFQ31+AFQ32+AFQ33+AFQ34+AFQ35</f>
        <v>42225.289999999994</v>
      </c>
      <c r="AFR44" s="1431">
        <f t="shared" si="1821"/>
        <v>1.0419280310890928</v>
      </c>
      <c r="AFS44" s="608">
        <f>AFS31+AFS32+AFS33+AFS34+AFS35</f>
        <v>53809.189999999995</v>
      </c>
      <c r="AFT44" s="609"/>
      <c r="AFU44" s="608">
        <f>AFU31+AFU32+AFU33+AFU34+AFU35</f>
        <v>54554.350000000006</v>
      </c>
      <c r="AFV44" s="1431">
        <f t="shared" si="1822"/>
        <v>1.0138481921025015</v>
      </c>
      <c r="AFW44" s="608">
        <f>AFW31+AFW32+AFW33+AFW34+AFW35</f>
        <v>70754.399999999994</v>
      </c>
      <c r="AFX44" s="609"/>
      <c r="AFY44" s="608">
        <f>AFY31+AFY32+AFY33+AFY34+AFY35</f>
        <v>52855.530000000006</v>
      </c>
      <c r="AFZ44" s="1431">
        <f t="shared" si="1823"/>
        <v>0.74702817068620486</v>
      </c>
      <c r="AGA44" s="608">
        <f>AGA31+AGA32+AGA33+AGA34+AGA35</f>
        <v>128241.93000000001</v>
      </c>
      <c r="AGB44" s="609"/>
      <c r="AGC44" s="608">
        <f>AGC31+AGC32+AGC33+AGC34+AGC35</f>
        <v>88271.640000000014</v>
      </c>
      <c r="AGD44" s="1431">
        <f t="shared" si="1824"/>
        <v>0.68832120664434793</v>
      </c>
      <c r="AGE44" s="608">
        <f>AGE31+AGE32+AGE33+AGE34+AGE35</f>
        <v>309413.45</v>
      </c>
      <c r="AGF44" s="609"/>
      <c r="AGG44" s="608">
        <f>AGG31+AGG32+AGG33+AGG34+AGG35</f>
        <v>331907.57</v>
      </c>
      <c r="AGH44" s="1431">
        <f t="shared" si="1826"/>
        <v>1.0726992314005741</v>
      </c>
      <c r="AGI44" s="608">
        <f>AGI31+AGI32+AGI33+AGI34+AGI35</f>
        <v>100010.33</v>
      </c>
      <c r="AGJ44" s="609"/>
      <c r="AGK44" s="608">
        <f>AGK31+AGK32+AGK33+AGK34+AGK35</f>
        <v>59118.649999999994</v>
      </c>
      <c r="AGL44" s="1431">
        <f t="shared" si="1828"/>
        <v>0.59112543674238449</v>
      </c>
      <c r="AGM44" s="608">
        <f>AGM31+AGM32+AGM33+AGM34+AGM35</f>
        <v>46049.71</v>
      </c>
      <c r="AGN44" s="609"/>
      <c r="AGO44" s="608">
        <f>AGO31+AGO32+AGO33+AGO34+AGO35</f>
        <v>35993.069999999992</v>
      </c>
      <c r="AGP44" s="1431">
        <f t="shared" si="1829"/>
        <v>0.78161339126782758</v>
      </c>
      <c r="AGQ44" s="608">
        <f>AGQ31+AGQ32+AGQ33+AGQ34+AGQ35</f>
        <v>46120.35</v>
      </c>
      <c r="AGR44" s="609"/>
      <c r="AGS44" s="608">
        <f>AGS31+AGS32+AGS33+AGS34+AGS35</f>
        <v>36931.47</v>
      </c>
      <c r="AGT44" s="1431">
        <f t="shared" si="1830"/>
        <v>0.80076300374997156</v>
      </c>
      <c r="AGU44" s="608">
        <f>AGU31+AGU32+AGU33+AGU34+AGU35</f>
        <v>55938.39</v>
      </c>
      <c r="AGV44" s="609"/>
      <c r="AGW44" s="608">
        <f>AGW31+AGW32+AGW33+AGW34+AGW35</f>
        <v>51541.17</v>
      </c>
      <c r="AGX44" s="1431">
        <f t="shared" si="1831"/>
        <v>0.92139173115279149</v>
      </c>
      <c r="AGY44" s="608">
        <f>AGY31+AGY32+AGY33+AGY34+AGY35</f>
        <v>83796.459999999992</v>
      </c>
      <c r="AGZ44" s="609"/>
      <c r="AHA44" s="608">
        <f>AHA31+AHA32+AHA33+AHA34+AHA35</f>
        <v>57177.869999999995</v>
      </c>
      <c r="AHB44" s="1431">
        <f t="shared" si="1832"/>
        <v>0.6823423089710472</v>
      </c>
      <c r="AHC44" s="608">
        <f>AHC31+AHC32+AHC33+AHC34+AHC35</f>
        <v>114148.59</v>
      </c>
      <c r="AHD44" s="609"/>
      <c r="AHE44" s="608">
        <f>AHE31+AHE32+AHE33+AHE34+AHE35</f>
        <v>68809.119999999995</v>
      </c>
      <c r="AHF44" s="1431">
        <f t="shared" si="1833"/>
        <v>0.60280306572336984</v>
      </c>
      <c r="AHG44" s="608">
        <f>AHG31+AHG32+AHG33+AHG34+AHG35</f>
        <v>131388.01999999999</v>
      </c>
      <c r="AHH44" s="609"/>
      <c r="AHI44" s="608">
        <f>AHI31+AHI32+AHI33+AHI34+AHI35</f>
        <v>89543.49</v>
      </c>
      <c r="AHJ44" s="1431">
        <f t="shared" si="1834"/>
        <v>0.68151944142243726</v>
      </c>
      <c r="AHK44" s="608">
        <f>AHK31+AHK32+AHK33+AHK34+AHK35</f>
        <v>394644.19999999995</v>
      </c>
      <c r="AHL44" s="609"/>
      <c r="AHM44" s="608">
        <f>AHM31+AHM32+AHM33+AHM34+AHM35</f>
        <v>399114.84</v>
      </c>
      <c r="AHN44" s="1431">
        <f t="shared" si="1836"/>
        <v>1.0113282800051289</v>
      </c>
      <c r="AHO44" s="608">
        <f>AHO31+AHO32+AHO33+AHO34+AHO35</f>
        <v>123048.86</v>
      </c>
      <c r="AHP44" s="609"/>
      <c r="AHQ44" s="608">
        <f>AHQ31+AHQ32+AHQ33+AHQ34+AHQ35</f>
        <v>70462.990000000005</v>
      </c>
      <c r="AHR44" s="1431">
        <f t="shared" si="1838"/>
        <v>0.57264236336687724</v>
      </c>
      <c r="AHS44" s="608">
        <f>AHS31+AHS32+AHS33+AHS34+AHS35</f>
        <v>76794.559999999998</v>
      </c>
      <c r="AHT44" s="609"/>
      <c r="AHU44" s="608">
        <f>AHU31+AHU32+AHU33+AHU34+AHU35</f>
        <v>58125.21</v>
      </c>
      <c r="AHV44" s="1431">
        <f t="shared" si="1839"/>
        <v>0.75689228507852646</v>
      </c>
      <c r="AHW44" s="608">
        <f>AHW31+AHW32+AHW33+AHW34+AHW35</f>
        <v>101833.91999999998</v>
      </c>
      <c r="AHX44" s="609"/>
      <c r="AHY44" s="608">
        <f>AHY31+AHY32+AHY33+AHY34+AHY35</f>
        <v>63219.3</v>
      </c>
      <c r="AHZ44" s="1431">
        <f t="shared" si="1840"/>
        <v>0.62080788012481514</v>
      </c>
      <c r="AIA44" s="608">
        <f>AIA31+AIA32+AIA33+AIA34+AIA35</f>
        <v>100215.01999999999</v>
      </c>
      <c r="AIB44" s="609"/>
      <c r="AIC44" s="608">
        <f>AIC31+AIC32+AIC33+AIC34+AIC35</f>
        <v>87407.43</v>
      </c>
      <c r="AID44" s="1431">
        <f t="shared" si="1841"/>
        <v>0.87219889792967165</v>
      </c>
      <c r="AIE44" s="608">
        <f>AIE31+AIE32+AIE33+AIE34+AIE35</f>
        <v>102095.39</v>
      </c>
      <c r="AIF44" s="609"/>
      <c r="AIG44" s="608">
        <f>AIG31+AIG32+AIG33+AIG34+AIG35</f>
        <v>86172.92</v>
      </c>
      <c r="AIH44" s="1431">
        <f t="shared" si="1842"/>
        <v>0.84404320312601777</v>
      </c>
      <c r="AII44" s="608">
        <f>AII31+AII32+AII33+AII34+AII35</f>
        <v>105498.48000000001</v>
      </c>
      <c r="AIJ44" s="609"/>
      <c r="AIK44" s="608">
        <f>AIK31+AIK32+AIK33+AIK34+AIK35</f>
        <v>108049.47</v>
      </c>
      <c r="AIL44" s="1431">
        <f t="shared" si="1843"/>
        <v>1.0241803483803746</v>
      </c>
      <c r="AIM44" s="608">
        <f>AIM31+AIM32+AIM33+AIM34+AIM35</f>
        <v>123475.76999999999</v>
      </c>
      <c r="AIN44" s="609"/>
      <c r="AIO44" s="608">
        <f>AIO31+AIO32+AIO33+AIO34+AIO35</f>
        <v>111470.11000000002</v>
      </c>
      <c r="AIP44" s="1431">
        <f t="shared" si="1844"/>
        <v>0.90276910198656812</v>
      </c>
      <c r="AIQ44" s="608">
        <f>AIQ31+AIQ32+AIQ33+AIQ34+AIQ35</f>
        <v>526547.76</v>
      </c>
      <c r="AIR44" s="609"/>
      <c r="AIS44" s="608">
        <f>AIS31+AIS32+AIS33+AIS34+AIS35</f>
        <v>584907.43000000005</v>
      </c>
      <c r="AIT44" s="1431">
        <f t="shared" si="1846"/>
        <v>1.1108345233488413</v>
      </c>
      <c r="AIU44" s="608">
        <f>AIU31+AIU32+AIU33+AIU34+AIU35</f>
        <v>61735.493999999999</v>
      </c>
      <c r="AIV44" s="609"/>
      <c r="AIW44" s="608">
        <f>AIW31+AIW32+AIW33+AIW34+AIW35</f>
        <v>107717.86</v>
      </c>
      <c r="AIX44" s="1431">
        <f t="shared" si="1848"/>
        <v>1.7448286718172208</v>
      </c>
      <c r="AIY44" s="608">
        <f>AIY31+AIY32+AIY33+AIY34+AIY35</f>
        <v>61735.493999999999</v>
      </c>
      <c r="AIZ44" s="609"/>
      <c r="AJA44" s="608">
        <f>AJA31+AJA32+AJA33+AJA34+AJA35</f>
        <v>102851.31</v>
      </c>
      <c r="AJB44" s="1431">
        <f t="shared" si="1849"/>
        <v>1.6659996273780526</v>
      </c>
      <c r="AJC44" s="608">
        <f>AJC31+AJC32+AJC33+AJC34+AJC35</f>
        <v>61735.493999999999</v>
      </c>
      <c r="AJD44" s="609"/>
      <c r="AJE44" s="608">
        <f>AJE31+AJE32+AJE33+AJE34+AJE35</f>
        <v>121375.28</v>
      </c>
      <c r="AJF44" s="1431">
        <f t="shared" si="1850"/>
        <v>1.9660534343501002</v>
      </c>
      <c r="AJG44" s="608">
        <f>AJG31+AJG32+AJG33+AJG34+AJG35</f>
        <v>61735.493999999999</v>
      </c>
      <c r="AJH44" s="609"/>
      <c r="AJI44" s="608">
        <f>AJI31+AJI32+AJI33+AJI34+AJI35</f>
        <v>130611.47</v>
      </c>
      <c r="AJJ44" s="1431">
        <f t="shared" si="1851"/>
        <v>2.115662506887853</v>
      </c>
      <c r="AJK44" s="608">
        <f>AJK31+AJK32+AJK33+AJK34+AJK35</f>
        <v>72024.743000000002</v>
      </c>
      <c r="AJL44" s="609"/>
      <c r="AJM44" s="608">
        <f>AJM31+AJM32+AJM33+AJM34+AJM35</f>
        <v>169913.28</v>
      </c>
      <c r="AJN44" s="1431">
        <f t="shared" si="1852"/>
        <v>2.3590959567880718</v>
      </c>
      <c r="AJO44" s="608">
        <f>AJO31+AJO32+AJO33+AJO34+AJO35</f>
        <v>82313.991999999998</v>
      </c>
      <c r="AJP44" s="609"/>
      <c r="AJQ44" s="608">
        <f>AJQ31+AJQ32+AJQ33+AJQ34+AJQ35</f>
        <v>151342.06999999998</v>
      </c>
      <c r="AJR44" s="1431">
        <f t="shared" si="1853"/>
        <v>1.8385947069606341</v>
      </c>
      <c r="AJS44" s="608">
        <f>AJS31+AJS32+AJS33+AJS34+AJS35</f>
        <v>113181.739</v>
      </c>
      <c r="AJT44" s="609"/>
      <c r="AJU44" s="608">
        <f>AJU31+AJU32+AJU33+AJU34+AJU35</f>
        <v>12562.96</v>
      </c>
      <c r="AJV44" s="1431">
        <f t="shared" si="1854"/>
        <v>0.11099811781474747</v>
      </c>
      <c r="AJW44" s="608">
        <f>AJW31+AJW32+AJW33+AJW34+AJW35</f>
        <v>514462.44999999995</v>
      </c>
      <c r="AJX44" s="609"/>
      <c r="AJY44" s="608">
        <f>AJY31+AJY32+AJY33+AJY34+AJY35</f>
        <v>796374.23</v>
      </c>
      <c r="AJZ44" s="1431">
        <f t="shared" si="1856"/>
        <v>1.5479734818352633</v>
      </c>
      <c r="AKA44" s="608">
        <f>AKA31+AKA32+AKA33+AKA34+AKA35</f>
        <v>29620.941599999998</v>
      </c>
      <c r="AKB44" s="609"/>
      <c r="AKC44" s="608">
        <f>AKC31+AKC32+AKC33+AKC34+AKC35</f>
        <v>53384.719999999994</v>
      </c>
      <c r="AKD44" s="1431">
        <f t="shared" si="1858"/>
        <v>1.8022627612891278</v>
      </c>
      <c r="AKE44" s="608">
        <f>AKE31+AKE32+AKE33+AKE34+AKE35</f>
        <v>29620.941599999998</v>
      </c>
      <c r="AKF44" s="609"/>
      <c r="AKG44" s="608">
        <f>AKG31+AKG32+AKG33+AKG34+AKG35</f>
        <v>54292.5</v>
      </c>
      <c r="AKH44" s="1431">
        <f t="shared" si="1859"/>
        <v>1.8329093225044542</v>
      </c>
      <c r="AKI44" s="608">
        <f>AKI31+AKI32+AKI33+AKI34+AKI35</f>
        <v>29620.941599999998</v>
      </c>
      <c r="AKJ44" s="609"/>
      <c r="AKK44" s="608">
        <f>AKK31+AKK32+AKK33+AKK34+AKK35</f>
        <v>54581.759999999995</v>
      </c>
      <c r="AKL44" s="1431">
        <f t="shared" si="1860"/>
        <v>1.842674710921411</v>
      </c>
      <c r="AKM44" s="608">
        <f>AKM31+AKM32+AKM33+AKM34+AKM35</f>
        <v>29620.941599999998</v>
      </c>
      <c r="AKN44" s="609"/>
      <c r="AKO44" s="608">
        <f>AKO31+AKO32+AKO33+AKO34+AKO35</f>
        <v>54920.92</v>
      </c>
      <c r="AKP44" s="1431">
        <f t="shared" si="1861"/>
        <v>1.8541247183040259</v>
      </c>
      <c r="AKQ44" s="608">
        <f>AKQ31+AKQ32+AKQ33+AKQ34+AKQ35</f>
        <v>34557.765200000002</v>
      </c>
      <c r="AKR44" s="609"/>
      <c r="AKS44" s="608">
        <f>AKS31+AKS32+AKS33+AKS34+AKS35</f>
        <v>62221.65</v>
      </c>
      <c r="AKT44" s="1431">
        <f t="shared" si="1862"/>
        <v>1.8005113941800843</v>
      </c>
      <c r="AKU44" s="608">
        <f>AKU31+AKU32+AKU33+AKU34+AKU35</f>
        <v>39494.588799999998</v>
      </c>
      <c r="AKV44" s="609"/>
      <c r="AKW44" s="608">
        <f>AKW31+AKW32+AKW33+AKW34+AKW35</f>
        <v>56881.020000000004</v>
      </c>
      <c r="AKX44" s="1431">
        <f t="shared" si="1863"/>
        <v>1.4402231224141775</v>
      </c>
      <c r="AKY44" s="608">
        <f>AKY31+AKY32+AKY33+AKY34+AKY35</f>
        <v>54305.059600000001</v>
      </c>
      <c r="AKZ44" s="609"/>
      <c r="ALA44" s="608">
        <f>ALA31+ALA32+ALA33+ALA34+ALA35</f>
        <v>3363.6</v>
      </c>
      <c r="ALB44" s="1431">
        <f t="shared" si="1864"/>
        <v>6.1938979991470258E-2</v>
      </c>
      <c r="ALC44" s="608">
        <f>ALC31+ALC32+ALC33+ALC34+ALC35</f>
        <v>246841.18</v>
      </c>
      <c r="ALD44" s="609"/>
      <c r="ALE44" s="608">
        <f>ALE31+ALE32+ALE33+ALE34+ALE35</f>
        <v>339646.17</v>
      </c>
      <c r="ALF44" s="1431">
        <f t="shared" si="1866"/>
        <v>1.3759704519318858</v>
      </c>
    </row>
    <row r="45" spans="1:994" ht="18.75" customHeight="1" outlineLevel="1">
      <c r="A45" s="1495"/>
      <c r="B45" s="1436" t="s">
        <v>486</v>
      </c>
      <c r="C45" s="1434"/>
      <c r="D45" s="437"/>
      <c r="E45" s="438"/>
      <c r="F45" s="437"/>
      <c r="G45" s="438"/>
      <c r="H45" s="437"/>
      <c r="I45" s="437"/>
      <c r="J45" s="438"/>
      <c r="K45" s="437"/>
      <c r="L45" s="438"/>
      <c r="M45" s="437"/>
      <c r="N45" s="437"/>
      <c r="O45" s="438"/>
      <c r="P45" s="437"/>
      <c r="Q45" s="438"/>
      <c r="R45" s="437"/>
      <c r="S45" s="437"/>
      <c r="T45" s="438"/>
      <c r="U45" s="437"/>
      <c r="V45" s="438"/>
      <c r="W45" s="438"/>
      <c r="X45" s="438"/>
      <c r="Y45" s="438"/>
      <c r="Z45" s="438"/>
      <c r="AA45" s="437"/>
      <c r="AB45" s="437"/>
      <c r="AC45" s="438"/>
      <c r="AD45" s="437"/>
      <c r="AE45" s="438"/>
      <c r="AF45" s="437"/>
      <c r="AG45" s="437"/>
      <c r="AH45" s="438"/>
      <c r="AI45" s="437"/>
      <c r="AJ45" s="438"/>
      <c r="AK45" s="437"/>
      <c r="AL45" s="437"/>
      <c r="AM45" s="438"/>
      <c r="AN45" s="437"/>
      <c r="AO45" s="438"/>
      <c r="AP45" s="437"/>
      <c r="AQ45" s="437"/>
      <c r="AR45" s="438"/>
      <c r="AS45" s="437"/>
      <c r="AT45" s="438"/>
      <c r="AU45" s="438"/>
      <c r="AV45" s="438"/>
      <c r="AW45" s="438"/>
      <c r="AX45" s="438"/>
      <c r="AY45" s="437"/>
      <c r="AZ45" s="437"/>
      <c r="BA45" s="438"/>
      <c r="BB45" s="437"/>
      <c r="BC45" s="438"/>
      <c r="BD45" s="437"/>
      <c r="BE45" s="437"/>
      <c r="BF45" s="438"/>
      <c r="BG45" s="437"/>
      <c r="BH45" s="438"/>
      <c r="BI45" s="437"/>
      <c r="BJ45" s="437"/>
      <c r="BK45" s="438"/>
      <c r="BL45" s="437"/>
      <c r="BM45" s="450"/>
      <c r="BN45" s="453">
        <f>BN43+BN44</f>
        <v>6.9571326887695939</v>
      </c>
      <c r="BO45" s="437">
        <f>BO43+BO44</f>
        <v>159078.17159999997</v>
      </c>
      <c r="BP45" s="438">
        <f t="shared" si="1338"/>
        <v>22865.479029426675</v>
      </c>
      <c r="BQ45" s="437">
        <f>BQ43+BQ44</f>
        <v>141508.46000000002</v>
      </c>
      <c r="BR45" s="427">
        <f t="shared" si="1339"/>
        <v>20340.054779812825</v>
      </c>
      <c r="BS45" s="453">
        <f>BS43+BS44</f>
        <v>159078.17159999997</v>
      </c>
      <c r="BT45" s="437">
        <f>BT43+BT44</f>
        <v>133266.283998</v>
      </c>
      <c r="BU45" s="438">
        <f t="shared" si="1579"/>
        <v>0.83774085820584088</v>
      </c>
      <c r="BV45" s="437">
        <f>BV43+BV44</f>
        <v>5.8630044204476306</v>
      </c>
      <c r="BW45" s="427">
        <f t="shared" si="1580"/>
        <v>3.6856121499749695E-5</v>
      </c>
      <c r="BX45" s="450"/>
      <c r="BY45" s="437">
        <f>BY43+BY44</f>
        <v>115565.87</v>
      </c>
      <c r="BZ45" s="437">
        <f>BZ43+BZ44</f>
        <v>6.5757661131534615</v>
      </c>
      <c r="CA45" s="427">
        <f t="shared" si="1581"/>
        <v>5.6900589362183331E-5</v>
      </c>
      <c r="CB45" s="453">
        <f>CB43+CB44</f>
        <v>133266.283998</v>
      </c>
      <c r="CC45" s="437">
        <f>CC43+CC44</f>
        <v>133784.88999999998</v>
      </c>
      <c r="CD45" s="438">
        <f t="shared" si="1582"/>
        <v>1.0038915019346362</v>
      </c>
      <c r="CE45" s="437">
        <f>CE43+CE44</f>
        <v>185591.20020000002</v>
      </c>
      <c r="CF45" s="427">
        <f t="shared" si="1583"/>
        <v>1.392634315539145</v>
      </c>
      <c r="CG45" s="453">
        <f>CG43+CG44</f>
        <v>151490.5</v>
      </c>
      <c r="CH45" s="437">
        <f>CH43+CH44</f>
        <v>7.8679702952142794</v>
      </c>
      <c r="CI45" s="438">
        <f t="shared" si="1584"/>
        <v>5.1937054107117469E-5</v>
      </c>
      <c r="CJ45" s="437">
        <f>CJ43+CJ44</f>
        <v>177688.37866400002</v>
      </c>
      <c r="CK45" s="427">
        <f t="shared" si="1585"/>
        <v>1.1729341355662568</v>
      </c>
      <c r="CL45" s="453">
        <f>CL43+CL44</f>
        <v>9.0725412580508653</v>
      </c>
      <c r="CM45" s="437">
        <f>CM43+CM44</f>
        <v>291643.31460000004</v>
      </c>
      <c r="CN45" s="438">
        <f t="shared" si="1586"/>
        <v>32145.713786773824</v>
      </c>
      <c r="CO45" s="437">
        <f>CO43+CO44</f>
        <v>241140.16999999998</v>
      </c>
      <c r="CP45" s="427">
        <f t="shared" si="1587"/>
        <v>26579.120793307506</v>
      </c>
      <c r="CQ45" s="453">
        <f>CQ43+CQ44</f>
        <v>1325651.43</v>
      </c>
      <c r="CR45" s="437">
        <f>CR43+CR44</f>
        <v>1110552.36665</v>
      </c>
      <c r="CS45" s="438">
        <f t="shared" si="1588"/>
        <v>0.83774085820584077</v>
      </c>
      <c r="CT45" s="437">
        <f>CT43+CT44</f>
        <v>7.9095249581599916</v>
      </c>
      <c r="CU45" s="450">
        <f t="shared" si="1589"/>
        <v>5.9665193874984108E-6</v>
      </c>
      <c r="CV45" s="453">
        <f>CV43+CV44</f>
        <v>141013.380768</v>
      </c>
      <c r="CW45" s="437">
        <f>CW43+CW44</f>
        <v>117014.37999999999</v>
      </c>
      <c r="CX45" s="437">
        <f>CX43+CX44</f>
        <v>6.8951241382044355</v>
      </c>
      <c r="CY45" s="489">
        <f t="shared" si="1351"/>
        <v>5.8925442652470887E-5</v>
      </c>
      <c r="CZ45" s="480">
        <f>CZ43+CZ44</f>
        <v>141013.380768</v>
      </c>
      <c r="DA45" s="481">
        <f>DA43+DA44</f>
        <v>103015.86000000002</v>
      </c>
      <c r="DB45" s="438">
        <f t="shared" si="1590"/>
        <v>0.7305396086452618</v>
      </c>
      <c r="DC45" s="437">
        <f>DC43+DC44</f>
        <v>177451.46639999998</v>
      </c>
      <c r="DD45" s="450">
        <f t="shared" si="1591"/>
        <v>1.2584016171624814</v>
      </c>
      <c r="DE45" s="480">
        <f>DE43+DE44</f>
        <v>98580.709999999992</v>
      </c>
      <c r="DF45" s="481">
        <f>DF43+DF44</f>
        <v>5.5383522568379933</v>
      </c>
      <c r="DG45" s="438">
        <f t="shared" si="1592"/>
        <v>5.61808923554922E-5</v>
      </c>
      <c r="DH45" s="437">
        <f>DH43+DH44</f>
        <v>141013.380768</v>
      </c>
      <c r="DI45" s="450">
        <f t="shared" si="1593"/>
        <v>1.4304358405209296</v>
      </c>
      <c r="DJ45" s="480">
        <f>DJ43+DJ44</f>
        <v>6.2035330667062212</v>
      </c>
      <c r="DK45" s="481">
        <f>DK43+DK44</f>
        <v>207026.7108</v>
      </c>
      <c r="DL45" s="438">
        <f t="shared" si="1594"/>
        <v>33372.387730323047</v>
      </c>
      <c r="DM45" s="437">
        <f>DM43+DM44</f>
        <v>146786.35999999999</v>
      </c>
      <c r="DN45" s="450">
        <f t="shared" si="1595"/>
        <v>23661.735727304909</v>
      </c>
      <c r="DO45" s="480">
        <f>DO43+DO44</f>
        <v>236601.95519999997</v>
      </c>
      <c r="DP45" s="481">
        <f>DP43+DP44</f>
        <v>188017.84102399999</v>
      </c>
      <c r="DQ45" s="438">
        <f t="shared" si="1596"/>
        <v>0.79465886435751665</v>
      </c>
      <c r="DR45" s="437">
        <f>DR43+DR44</f>
        <v>7.2272658811888739</v>
      </c>
      <c r="DS45" s="450">
        <f t="shared" si="1597"/>
        <v>3.0546095340081426E-5</v>
      </c>
      <c r="DT45" s="453">
        <f>DT43+DT44</f>
        <v>258524.53140799998</v>
      </c>
      <c r="DU45" s="437">
        <f>DU43+DU44</f>
        <v>232935.52999999997</v>
      </c>
      <c r="DV45" s="437">
        <f>DV43+DV44</f>
        <v>6.62760755505521</v>
      </c>
      <c r="DW45" s="419">
        <f t="shared" si="1598"/>
        <v>2.8452540301838929E-5</v>
      </c>
      <c r="DX45" s="480">
        <f>DX43+DX44</f>
        <v>1175111.5063999998</v>
      </c>
      <c r="DY45" s="481">
        <f>DY43+DY44</f>
        <v>991452.09</v>
      </c>
      <c r="DZ45" s="438">
        <f t="shared" si="1599"/>
        <v>0.84370894557687748</v>
      </c>
      <c r="EA45" s="481">
        <f>EA43+EA44</f>
        <v>162055.07279999997</v>
      </c>
      <c r="EB45" s="450">
        <f t="shared" si="1600"/>
        <v>0.13790612373157848</v>
      </c>
      <c r="EC45" s="480">
        <f>EC43+EC44</f>
        <v>124289.75</v>
      </c>
      <c r="ED45" s="481">
        <f>ED43+ED44</f>
        <v>8.1104516762619561</v>
      </c>
      <c r="EE45" s="438">
        <f t="shared" si="1601"/>
        <v>6.5254388847527293E-5</v>
      </c>
      <c r="EF45" s="481">
        <f>EF43+EF44</f>
        <v>109917.94150799999</v>
      </c>
      <c r="EG45" s="450">
        <f t="shared" si="1602"/>
        <v>0.88436851396032246</v>
      </c>
      <c r="EH45" s="480">
        <f>EH43+EH44</f>
        <v>5.9419461910375215</v>
      </c>
      <c r="EI45" s="481">
        <f>EI43+EI44</f>
        <v>162055.07279999997</v>
      </c>
      <c r="EJ45" s="438">
        <f t="shared" si="1603"/>
        <v>27273.062998186386</v>
      </c>
      <c r="EK45" s="481">
        <f>EK43+EK44</f>
        <v>130528.45</v>
      </c>
      <c r="EL45" s="450">
        <f t="shared" si="1604"/>
        <v>21967.2891344727</v>
      </c>
      <c r="EM45" s="480">
        <f>EM43+EM44</f>
        <v>162055.07279999997</v>
      </c>
      <c r="EN45" s="481">
        <f>EN43+EN44</f>
        <v>109917.94150799999</v>
      </c>
      <c r="EO45" s="438">
        <f t="shared" si="1605"/>
        <v>0.67827522834570597</v>
      </c>
      <c r="EP45" s="481">
        <f>EP43+EP44</f>
        <v>8.4008437467163652</v>
      </c>
      <c r="EQ45" s="450">
        <f t="shared" si="1606"/>
        <v>5.1839437060290326E-5</v>
      </c>
      <c r="ER45" s="480">
        <f>ER43+ER44</f>
        <v>128237.598426</v>
      </c>
      <c r="ES45" s="481">
        <f>ES43+ES44</f>
        <v>170960.12</v>
      </c>
      <c r="ET45" s="438">
        <f t="shared" si="1607"/>
        <v>1.3331512918081758</v>
      </c>
      <c r="EU45" s="481">
        <f>EU43+EU44</f>
        <v>216073.43040000001</v>
      </c>
      <c r="EV45" s="450">
        <f t="shared" si="1608"/>
        <v>1.6849460146798212</v>
      </c>
      <c r="EW45" s="453">
        <f>EW43+EW44</f>
        <v>211021.37</v>
      </c>
      <c r="EX45" s="437">
        <f>EX43+EX44</f>
        <v>8.9683800882037215</v>
      </c>
      <c r="EY45" s="437">
        <f>EY43+EY44</f>
        <v>297100.96679999999</v>
      </c>
      <c r="EZ45" s="427">
        <f t="shared" si="1609"/>
        <v>33127.606532954873</v>
      </c>
      <c r="FA45" s="480">
        <f>FA43+FA44</f>
        <v>258697.3</v>
      </c>
      <c r="FB45" s="481">
        <f>FB43+FB44</f>
        <v>7.9955269331399004</v>
      </c>
      <c r="FC45" s="438">
        <f>FB45/FA45</f>
        <v>3.0906882032166169E-5</v>
      </c>
      <c r="FD45" s="1402">
        <f>FD43+FD44</f>
        <v>915982.84589999996</v>
      </c>
      <c r="FE45" s="450">
        <f>FD45/FA45</f>
        <v>3.5407514724738141</v>
      </c>
      <c r="FF45" s="480">
        <f>FF43+FF44</f>
        <v>7.9557200071519922</v>
      </c>
      <c r="FG45" s="481">
        <f>FG43+FG44</f>
        <v>156428.39039999997</v>
      </c>
      <c r="FH45" s="438">
        <f>FG45/FF45</f>
        <v>19662.380056031987</v>
      </c>
      <c r="FI45" s="1402">
        <f>FI43+FI44</f>
        <v>151589.53</v>
      </c>
      <c r="FJ45" s="450">
        <f>FI45/FF45</f>
        <v>19054.155986350052</v>
      </c>
      <c r="FK45" s="480">
        <f>FK43+FK44</f>
        <v>156428.39039999997</v>
      </c>
      <c r="FL45" s="481">
        <f>FL43+FL44</f>
        <v>125074.81513199999</v>
      </c>
      <c r="FM45" s="438">
        <f>FL45/FK45</f>
        <v>0.79956595354701043</v>
      </c>
      <c r="FN45" s="1402">
        <f>FN43+FN44</f>
        <v>9.2805884895639448</v>
      </c>
      <c r="FO45" s="450">
        <f>FN45/FK45</f>
        <v>5.9328031604958239E-5</v>
      </c>
      <c r="FP45" s="480">
        <f>FP43+FP44</f>
        <v>125074.81513199999</v>
      </c>
      <c r="FQ45" s="481">
        <f>FQ43+FQ44</f>
        <v>135576.77000000002</v>
      </c>
      <c r="FR45" s="438">
        <f>FQ45/FP45</f>
        <v>1.0839653838937646</v>
      </c>
      <c r="FS45" s="1402">
        <f>FS43+FS44</f>
        <v>156428.39039999997</v>
      </c>
      <c r="FT45" s="450">
        <f>FS45/FP45</f>
        <v>1.2506785657441142</v>
      </c>
      <c r="FU45" s="453">
        <f>FU43+FU44</f>
        <v>144125.37</v>
      </c>
      <c r="FV45" s="437">
        <f>FV43+FV44</f>
        <v>8.7570519393749819</v>
      </c>
      <c r="FW45" s="437">
        <f>FW43+FW44</f>
        <v>182499.78880000001</v>
      </c>
      <c r="FX45" s="456">
        <f t="shared" si="1610"/>
        <v>20840.322755128662</v>
      </c>
      <c r="FY45" s="480">
        <f>FY43+FY44</f>
        <v>158072.18</v>
      </c>
      <c r="FZ45" s="481">
        <f>FZ43+FZ44</f>
        <v>8.5391933404668467</v>
      </c>
      <c r="GA45" s="438">
        <f>FZ45/FY45</f>
        <v>5.4020848832899295E-5</v>
      </c>
      <c r="GB45" s="1402">
        <f>GB43+GB44</f>
        <v>166766.42017599999</v>
      </c>
      <c r="GC45" s="450">
        <f>GB45/FY45</f>
        <v>1.0550017098264854</v>
      </c>
      <c r="GD45" s="480">
        <f>GD43+GD44</f>
        <v>8.7149363825982675</v>
      </c>
      <c r="GE45" s="481">
        <f>GE43+GE44</f>
        <v>286785.3824</v>
      </c>
      <c r="GF45" s="438">
        <f>GE45/GD45</f>
        <v>32907.340892659267</v>
      </c>
      <c r="GG45" s="1402">
        <f>GG43+GG44</f>
        <v>255390.71999999997</v>
      </c>
      <c r="GH45" s="450">
        <f>GG45/GD45</f>
        <v>29304.943695281214</v>
      </c>
      <c r="GI45" s="480">
        <f>GI43+GI44</f>
        <v>1303569.9199999999</v>
      </c>
      <c r="GJ45" s="481">
        <f>GJ43+GJ44</f>
        <v>1042290.1260999999</v>
      </c>
      <c r="GK45" s="438">
        <f>GJ45/GI45</f>
        <v>0.79956595354701032</v>
      </c>
      <c r="GL45" s="1402">
        <f>GL43+GL44</f>
        <v>8.7297808999248154</v>
      </c>
      <c r="GM45" s="450">
        <f>GL45/GI45</f>
        <v>6.6968259745705211E-6</v>
      </c>
      <c r="GN45" s="480">
        <f>GN43+GN44</f>
        <v>139475.38095600001</v>
      </c>
      <c r="GO45" s="481">
        <f>GO43+GO44</f>
        <v>142328.47</v>
      </c>
      <c r="GP45" s="438">
        <f>GO45/GN45</f>
        <v>1.0204558612741848</v>
      </c>
      <c r="GQ45" s="1402">
        <f>GQ43+GQ44</f>
        <v>160981.78200000001</v>
      </c>
      <c r="GR45" s="450">
        <f>GQ45/GN45</f>
        <v>1.1541949618390688</v>
      </c>
      <c r="GS45" s="453">
        <f>GS43+GS44</f>
        <v>117619.06999999999</v>
      </c>
      <c r="GT45" s="437">
        <f>GT43+GT44</f>
        <v>6.8435803649134535</v>
      </c>
      <c r="GU45" s="437">
        <f>GU43+GU44</f>
        <v>160981.78200000001</v>
      </c>
      <c r="GV45" s="456">
        <f t="shared" si="1611"/>
        <v>23523.035226610631</v>
      </c>
      <c r="GW45" s="480">
        <f>GW43+GW44</f>
        <v>133482.22999999998</v>
      </c>
      <c r="GX45" s="481">
        <f>GX43+GX44</f>
        <v>7.7142486770828382</v>
      </c>
      <c r="GY45" s="438">
        <f t="shared" si="1612"/>
        <v>5.7792326941817191E-5</v>
      </c>
      <c r="GZ45" s="437">
        <f>GZ43+GZ44</f>
        <v>139475.38095600001</v>
      </c>
      <c r="HA45" s="450">
        <f t="shared" si="1613"/>
        <v>1.0448984929005158</v>
      </c>
      <c r="HB45" s="480">
        <f>HB43+HB44</f>
        <v>9.0505005052351404</v>
      </c>
      <c r="HC45" s="481">
        <f>HC43+HC44</f>
        <v>187812.07900000003</v>
      </c>
      <c r="HD45" s="438">
        <f t="shared" si="1614"/>
        <v>20751.568257618754</v>
      </c>
      <c r="HE45" s="437">
        <f>HE43+HE44</f>
        <v>212871.01</v>
      </c>
      <c r="HF45" s="450">
        <f t="shared" si="1615"/>
        <v>23520.357783182008</v>
      </c>
      <c r="HG45" s="480">
        <f>HG43+HG44</f>
        <v>214642.37599999999</v>
      </c>
      <c r="HH45" s="481">
        <f>HH43+HH44</f>
        <v>185967.174608</v>
      </c>
      <c r="HI45" s="438">
        <f t="shared" si="1616"/>
        <v>0.86640475228433</v>
      </c>
      <c r="HJ45" s="437">
        <f>HJ43+HJ44</f>
        <v>9.5886141957677715</v>
      </c>
      <c r="HK45" s="450">
        <f t="shared" si="1617"/>
        <v>4.467251236432349E-5</v>
      </c>
      <c r="HL45" s="480">
        <f>HL43+HL44</f>
        <v>255704.86508600001</v>
      </c>
      <c r="HM45" s="481">
        <f>HM43+HM44</f>
        <v>273527.86</v>
      </c>
      <c r="HN45" s="438">
        <f t="shared" si="1618"/>
        <v>1.0697014306239565</v>
      </c>
      <c r="HO45" s="437">
        <f>HO43+HO44</f>
        <v>1341514.8500000001</v>
      </c>
      <c r="HP45" s="450">
        <f t="shared" si="1619"/>
        <v>5.2463407356321312</v>
      </c>
      <c r="HQ45" s="480">
        <f>HQ43+HQ44</f>
        <v>1279757.3900000001</v>
      </c>
      <c r="HR45" s="481">
        <f>HR43+HR44</f>
        <v>8.8048788541576926</v>
      </c>
      <c r="HS45" s="438">
        <f t="shared" si="1620"/>
        <v>6.880115655481928E-6</v>
      </c>
      <c r="HT45" s="437">
        <f>HT43+HT44</f>
        <v>126343.6992456</v>
      </c>
      <c r="HU45" s="450">
        <f t="shared" si="1621"/>
        <v>9.8724727227869333E-2</v>
      </c>
      <c r="HV45" s="453">
        <f>HV43+HV44</f>
        <v>9.7731376185494057</v>
      </c>
      <c r="HW45" s="437">
        <f>HW43+HW44</f>
        <v>149097.09360000002</v>
      </c>
      <c r="HX45" s="437">
        <f>HX43+HX44</f>
        <v>126343.6992456</v>
      </c>
      <c r="HY45" s="456">
        <f t="shared" si="1622"/>
        <v>0.847392099973168</v>
      </c>
      <c r="HZ45" s="480">
        <f>HZ43+HZ44</f>
        <v>8.7347888435398655</v>
      </c>
      <c r="IA45" s="481">
        <f>IA43+IA44</f>
        <v>149097.09360000002</v>
      </c>
      <c r="IB45" s="438">
        <f t="shared" si="1623"/>
        <v>17069.341488463142</v>
      </c>
      <c r="IC45" s="437">
        <f>IC43+IC44</f>
        <v>131122.21</v>
      </c>
      <c r="ID45" s="450">
        <f t="shared" si="1624"/>
        <v>15011.491674120576</v>
      </c>
      <c r="IE45" s="480">
        <f>IE43+IE44</f>
        <v>149097.09360000002</v>
      </c>
      <c r="IF45" s="481">
        <f>IF43+IF44</f>
        <v>126343.6992456</v>
      </c>
      <c r="IG45" s="438">
        <f t="shared" si="1625"/>
        <v>0.847392099973168</v>
      </c>
      <c r="IH45" s="437">
        <f>IH43+IH44</f>
        <v>8.6215498230046794</v>
      </c>
      <c r="II45" s="450">
        <f t="shared" si="1626"/>
        <v>5.7825069656519975E-5</v>
      </c>
      <c r="IJ45" s="480">
        <f>IJ43+IJ44</f>
        <v>147400.98245320001</v>
      </c>
      <c r="IK45" s="481">
        <f>IK43+IK44</f>
        <v>166181.66999999998</v>
      </c>
      <c r="IL45" s="438">
        <f t="shared" si="1627"/>
        <v>1.1274122277493155</v>
      </c>
      <c r="IM45" s="437">
        <f>IM43+IM44</f>
        <v>198796.12479999999</v>
      </c>
      <c r="IN45" s="450">
        <f t="shared" si="1628"/>
        <v>1.3486757109174494</v>
      </c>
      <c r="IO45" s="480">
        <f>IO43+IO44</f>
        <v>199230.57</v>
      </c>
      <c r="IP45" s="481">
        <f>IP43+IP44</f>
        <v>8.8955416881555465</v>
      </c>
      <c r="IQ45" s="438">
        <f t="shared" si="1629"/>
        <v>4.4649481694277875E-5</v>
      </c>
      <c r="IR45" s="437">
        <f>IR43+IR44</f>
        <v>231630.11528360003</v>
      </c>
      <c r="IS45" s="450">
        <f t="shared" si="1630"/>
        <v>1.1626233628885367</v>
      </c>
      <c r="IT45" s="453">
        <f>IT43+IT44</f>
        <v>8.2193887483881927</v>
      </c>
      <c r="IU45" s="437">
        <f>IU43+IU44</f>
        <v>1242475.78</v>
      </c>
      <c r="IV45" s="437">
        <f>IV43+IV44</f>
        <v>1052864.16038</v>
      </c>
      <c r="IW45" s="456">
        <f t="shared" si="1631"/>
        <v>0.84739209997316811</v>
      </c>
      <c r="IX45" s="480">
        <f>IX43+IX44</f>
        <v>8.6686959660764487</v>
      </c>
      <c r="IY45" s="481">
        <f>IY43+IY44</f>
        <v>146665.54920000001</v>
      </c>
      <c r="IZ45" s="438">
        <f t="shared" si="1632"/>
        <v>16918.986405100848</v>
      </c>
      <c r="JA45" s="437">
        <f>JA43+JA44</f>
        <v>147225.58000000002</v>
      </c>
      <c r="JB45" s="450">
        <f t="shared" si="1633"/>
        <v>16983.590216584329</v>
      </c>
      <c r="JC45" s="480">
        <f>JC43+JC44</f>
        <v>146665.54920000001</v>
      </c>
      <c r="JD45" s="481">
        <f>JD43+JD44</f>
        <v>130389.908088</v>
      </c>
      <c r="JE45" s="438">
        <f t="shared" si="1634"/>
        <v>0.8890288741918132</v>
      </c>
      <c r="JF45" s="437">
        <f>JF43+JF44</f>
        <v>7.9026606820361511</v>
      </c>
      <c r="JG45" s="450">
        <f t="shared" si="1635"/>
        <v>5.3882187910807279E-5</v>
      </c>
      <c r="JH45" s="480">
        <f>JH43+JH44</f>
        <v>130389.908088</v>
      </c>
      <c r="JI45" s="481">
        <f>JI43+JI44</f>
        <v>117739.95000000001</v>
      </c>
      <c r="JJ45" s="438">
        <f t="shared" si="1636"/>
        <v>0.9029836106682233</v>
      </c>
      <c r="JK45" s="437">
        <f>JK43+JK44</f>
        <v>146665.54920000001</v>
      </c>
      <c r="JL45" s="450">
        <f t="shared" si="1637"/>
        <v>1.1248228589977654</v>
      </c>
      <c r="JM45" s="480">
        <f>JM43+JM44</f>
        <v>128281.29</v>
      </c>
      <c r="JN45" s="481">
        <f>JN43+JN44</f>
        <v>7.9107059778463</v>
      </c>
      <c r="JO45" s="438">
        <f t="shared" si="1638"/>
        <v>6.1666872681482242E-5</v>
      </c>
      <c r="JP45" s="437">
        <f>JP43+JP44</f>
        <v>152121.55943600004</v>
      </c>
      <c r="JQ45" s="450">
        <f t="shared" si="1639"/>
        <v>1.1858436989213317</v>
      </c>
      <c r="JR45" s="801"/>
      <c r="JS45" s="453">
        <f>JS43+JS44</f>
        <v>195554.0656</v>
      </c>
      <c r="JT45" s="437">
        <f>JT43+JT44</f>
        <v>173853.210784</v>
      </c>
      <c r="JU45" s="437">
        <f>JU43+JU44</f>
        <v>221519.7</v>
      </c>
      <c r="JV45" s="456">
        <f t="shared" si="1640"/>
        <v>1.2741766401727384</v>
      </c>
      <c r="JW45" s="480">
        <f>JW43+JW44</f>
        <v>268886.84019999998</v>
      </c>
      <c r="JX45" s="481">
        <f>JX43+JX44</f>
        <v>239048.16482799995</v>
      </c>
      <c r="JY45" s="438">
        <f t="shared" si="1641"/>
        <v>0.8890288741918132</v>
      </c>
      <c r="JZ45" s="437">
        <f>JZ43+JZ44</f>
        <v>8.4160505389347868</v>
      </c>
      <c r="KA45" s="450">
        <f t="shared" si="1642"/>
        <v>3.129959998293285E-5</v>
      </c>
      <c r="KB45" s="480">
        <f>KB43+KB44</f>
        <v>1086582.5673999998</v>
      </c>
      <c r="KC45" s="481">
        <f>KC43+KC44</f>
        <v>1153540.51</v>
      </c>
      <c r="KD45" s="438">
        <f t="shared" si="1643"/>
        <v>1.061622507675803</v>
      </c>
      <c r="KE45" s="437">
        <f>KE43+KE44</f>
        <v>139244.26679999998</v>
      </c>
      <c r="KF45" s="450">
        <f t="shared" si="1644"/>
        <v>0.12814881351647939</v>
      </c>
      <c r="KG45" s="480">
        <f>KG43+KG44</f>
        <v>124612.01999999999</v>
      </c>
      <c r="KH45" s="481">
        <f>KH43+KH44</f>
        <v>8.8904204898283687</v>
      </c>
      <c r="KI45" s="438">
        <f t="shared" si="1645"/>
        <v>7.1344806783714515E-5</v>
      </c>
      <c r="KJ45" s="437">
        <f>KJ43+KJ44</f>
        <v>125163.5276532</v>
      </c>
      <c r="KK45" s="450">
        <f t="shared" si="1646"/>
        <v>1.0044257981950699</v>
      </c>
      <c r="KL45" s="480">
        <f>KL43+KL44</f>
        <v>8.1468165552396208</v>
      </c>
      <c r="KM45" s="481">
        <f>KM43+KM44</f>
        <v>139244.26679999998</v>
      </c>
      <c r="KN45" s="438">
        <f t="shared" si="1647"/>
        <v>17091.86230668777</v>
      </c>
      <c r="KO45" s="437">
        <f>KO43+KO44</f>
        <v>132624.65</v>
      </c>
      <c r="KP45" s="450">
        <f t="shared" si="1648"/>
        <v>16279.32200274014</v>
      </c>
      <c r="KQ45" s="480">
        <f>KQ43+KQ44</f>
        <v>139244.26679999998</v>
      </c>
      <c r="KR45" s="481">
        <f>KR43+KR44</f>
        <v>125163.5276532</v>
      </c>
      <c r="KS45" s="438">
        <f t="shared" si="1649"/>
        <v>0.89887742260135928</v>
      </c>
      <c r="KT45" s="437">
        <f>KT43+KT44</f>
        <v>8.4979159560057198</v>
      </c>
      <c r="KU45" s="450">
        <f t="shared" si="1650"/>
        <v>6.1028839113437167E-5</v>
      </c>
      <c r="KV45" s="453">
        <f>KV43+KV44</f>
        <v>146024.11559540001</v>
      </c>
      <c r="KW45" s="437">
        <f>KW43+KW44</f>
        <v>160729.39000000001</v>
      </c>
      <c r="KX45" s="437">
        <f>KX43+KX44</f>
        <v>8.3951996183370987</v>
      </c>
      <c r="KY45" s="456">
        <f t="shared" si="1651"/>
        <v>5.2231888756232436E-5</v>
      </c>
      <c r="KZ45" s="949">
        <f>KZ43+KZ44</f>
        <v>166884.7035376</v>
      </c>
      <c r="LA45" s="949">
        <f>LA43+LA44</f>
        <v>193494.64</v>
      </c>
      <c r="LB45" s="453">
        <f>LB43+LB44</f>
        <v>9.3211621297488314</v>
      </c>
      <c r="LC45" s="453">
        <f>LC43+LC44</f>
        <v>255281.15580000001</v>
      </c>
      <c r="LD45" s="492">
        <f>LC45-LB45</f>
        <v>255271.83463787026</v>
      </c>
      <c r="LE45" s="493">
        <f>LC45/LB45</f>
        <v>27387.266978788066</v>
      </c>
      <c r="LW45" s="588">
        <f>LW43+LW44</f>
        <v>114289.82399999999</v>
      </c>
      <c r="LX45" s="590"/>
      <c r="LY45" s="590">
        <f t="shared" ref="LX45:LY45" si="1872">LY43+LY44</f>
        <v>79623.59</v>
      </c>
      <c r="LZ45" s="1432">
        <f t="shared" si="1414"/>
        <v>0.69668135983830026</v>
      </c>
      <c r="MA45" s="588">
        <f>MA43+MA44</f>
        <v>133338.12800000003</v>
      </c>
      <c r="MB45" s="590"/>
      <c r="MC45" s="590">
        <f t="shared" ref="MC45" si="1873">MC43+MC44</f>
        <v>103583.58</v>
      </c>
      <c r="MD45" s="1432">
        <f t="shared" si="1654"/>
        <v>0.77684891451303395</v>
      </c>
      <c r="ME45" s="588">
        <f>ME43+ME44</f>
        <v>152386.432</v>
      </c>
      <c r="MF45" s="590"/>
      <c r="MG45" s="590">
        <f t="shared" ref="MG45" si="1874">MG43+MG44</f>
        <v>147602.51</v>
      </c>
      <c r="MH45" s="1432">
        <f t="shared" si="1656"/>
        <v>0.96860664078019765</v>
      </c>
      <c r="MI45" s="588">
        <f>MI43+MI44</f>
        <v>209531.34400000001</v>
      </c>
      <c r="MJ45" s="590"/>
      <c r="MK45" s="590">
        <f t="shared" ref="MK45" si="1875">MK43+MK44</f>
        <v>194437.72</v>
      </c>
      <c r="ML45" s="1432">
        <f t="shared" si="1658"/>
        <v>0.92796483947528152</v>
      </c>
      <c r="MM45" s="588">
        <f>MM43+MM44</f>
        <v>952415.2</v>
      </c>
      <c r="MN45" s="590"/>
      <c r="MO45" s="590">
        <f t="shared" ref="MO45" si="1876">MO43+MO44</f>
        <v>782281.22</v>
      </c>
      <c r="MP45" s="1432">
        <f t="shared" si="1660"/>
        <v>0.82136574468782109</v>
      </c>
      <c r="MQ45" s="588">
        <f>MQ43+MQ44</f>
        <v>122894.18999999999</v>
      </c>
      <c r="MR45" s="590"/>
      <c r="MS45" s="590">
        <f t="shared" ref="MS45" si="1877">MS43+MS44</f>
        <v>97653.75</v>
      </c>
      <c r="MT45" s="1464">
        <f t="shared" si="1662"/>
        <v>0.79461649082027397</v>
      </c>
      <c r="MU45" s="1466">
        <f>MU43+MU44</f>
        <v>122894.18999999999</v>
      </c>
      <c r="MV45" s="586"/>
      <c r="MW45" s="586">
        <f t="shared" ref="MW45" si="1878">MW43+MW44</f>
        <v>84825.55</v>
      </c>
      <c r="MX45" s="1468">
        <f t="shared" si="1664"/>
        <v>0.69023238608757675</v>
      </c>
      <c r="MY45" s="1471">
        <f>MY43+MY44</f>
        <v>122894.18999999999</v>
      </c>
      <c r="MZ45" s="589"/>
      <c r="NA45" s="590">
        <f t="shared" ref="NA45" si="1879">NA43+NA44</f>
        <v>80322.460000000006</v>
      </c>
      <c r="NB45" s="1432">
        <f t="shared" si="1666"/>
        <v>0.65359037721799551</v>
      </c>
      <c r="NC45" s="588">
        <f>NC43+NC44</f>
        <v>122894.18999999999</v>
      </c>
      <c r="ND45" s="590"/>
      <c r="NE45" s="590">
        <f t="shared" ref="NE45" si="1880">NE43+NE44</f>
        <v>78556.75</v>
      </c>
      <c r="NF45" s="1432">
        <f t="shared" si="1668"/>
        <v>0.6392226516159959</v>
      </c>
      <c r="NG45" s="588">
        <f>NG43+NG44</f>
        <v>143376.55499999999</v>
      </c>
      <c r="NH45" s="590"/>
      <c r="NI45" s="590">
        <f t="shared" ref="NI45" si="1881">NI43+NI44</f>
        <v>112624.06</v>
      </c>
      <c r="NJ45" s="1432">
        <f t="shared" si="1670"/>
        <v>0.78551238729372452</v>
      </c>
      <c r="NK45" s="588">
        <f>NK43+NK44</f>
        <v>163858.92000000001</v>
      </c>
      <c r="NL45" s="590"/>
      <c r="NM45" s="590">
        <f t="shared" ref="NM45" si="1882">NM43+NM44</f>
        <v>129606.16</v>
      </c>
      <c r="NN45" s="1432">
        <f t="shared" si="1672"/>
        <v>0.79096188355202146</v>
      </c>
      <c r="NO45" s="588">
        <f>NO43+NO44</f>
        <v>225306.01500000001</v>
      </c>
      <c r="NP45" s="590"/>
      <c r="NQ45" s="590">
        <f t="shared" ref="NQ45" si="1883">NQ43+NQ44</f>
        <v>165514.23999999999</v>
      </c>
      <c r="NR45" s="1432">
        <f t="shared" si="1674"/>
        <v>0.73461971266057846</v>
      </c>
      <c r="NS45" s="588">
        <f>NS43+NS44</f>
        <v>1024118.25</v>
      </c>
      <c r="NT45" s="590"/>
      <c r="NU45" s="590">
        <f t="shared" ref="NU45" si="1884">NU43+NU44</f>
        <v>749102.97</v>
      </c>
      <c r="NV45" s="1432">
        <f t="shared" si="1676"/>
        <v>0.73146140106379309</v>
      </c>
      <c r="NW45" s="588">
        <f>NW43+NW44</f>
        <v>117581.32079999999</v>
      </c>
      <c r="NX45" s="590"/>
      <c r="NY45" s="590">
        <f t="shared" ref="NY45" si="1885">NY43+NY44</f>
        <v>102062.51999999999</v>
      </c>
      <c r="NZ45" s="1432">
        <f t="shared" si="1678"/>
        <v>0.8680164443262488</v>
      </c>
      <c r="OA45" s="588">
        <f>SUM(OA26,OA28:OA35)</f>
        <v>117581.32079999997</v>
      </c>
      <c r="OB45" s="590"/>
      <c r="OC45" s="588">
        <f>SUM(OC26,OC28:OC35)</f>
        <v>74063.48000000001</v>
      </c>
      <c r="OD45" s="1432">
        <f t="shared" si="1679"/>
        <v>0.62989154651509938</v>
      </c>
      <c r="OE45" s="588">
        <f>SUM(OE26,OE28:OE35)</f>
        <v>117581.32079999997</v>
      </c>
      <c r="OF45" s="590"/>
      <c r="OG45" s="588">
        <f>SUM(OG26,OG28:OG35)</f>
        <v>79419.509999999995</v>
      </c>
      <c r="OH45" s="1432">
        <f t="shared" si="1680"/>
        <v>0.67544325458878507</v>
      </c>
      <c r="OI45" s="588">
        <f>SUM(OI26,OI28:OI35)</f>
        <v>117581.32079999997</v>
      </c>
      <c r="OJ45" s="590"/>
      <c r="OK45" s="588">
        <f>SUM(OK26,OK28:OK35)</f>
        <v>79534.799999999988</v>
      </c>
      <c r="OL45" s="1432">
        <f t="shared" si="1681"/>
        <v>0.67642376747310706</v>
      </c>
      <c r="OM45" s="588">
        <f>SUM(OM26,OM28:OM35)</f>
        <v>137178.20760000002</v>
      </c>
      <c r="ON45" s="590"/>
      <c r="OO45" s="588">
        <f>SUM(OO26,OO28:OO35)</f>
        <v>104789.23000000001</v>
      </c>
      <c r="OP45" s="1432">
        <f t="shared" si="1682"/>
        <v>0.76389123194812758</v>
      </c>
      <c r="OQ45" s="588">
        <f>SUM(OQ26,OQ28:OQ35)</f>
        <v>156775.0944</v>
      </c>
      <c r="OR45" s="590"/>
      <c r="OS45" s="588">
        <f>SUM(OS26,OS28:OS35)</f>
        <v>132816.40999999997</v>
      </c>
      <c r="OT45" s="1432">
        <f t="shared" si="1683"/>
        <v>0.84717799410873751</v>
      </c>
      <c r="OU45" s="588">
        <f>SUM(OU26,OU28:OU35)</f>
        <v>215565.75480000002</v>
      </c>
      <c r="OV45" s="590"/>
      <c r="OW45" s="588">
        <f>SUM(OW26,OW28:OW35)</f>
        <v>188458.2</v>
      </c>
      <c r="OX45" s="1432">
        <f t="shared" si="1684"/>
        <v>0.87424925250696639</v>
      </c>
      <c r="OY45" s="588">
        <f>OY43+OY44</f>
        <v>979844.34</v>
      </c>
      <c r="OZ45" s="590"/>
      <c r="PA45" s="590">
        <f t="shared" ref="PA45" si="1886">PA43+PA44</f>
        <v>761144.15</v>
      </c>
      <c r="PB45" s="1432">
        <f t="shared" si="1686"/>
        <v>0.77680108863005737</v>
      </c>
      <c r="PC45" s="588">
        <f>PC43+PC44</f>
        <v>103284.23999999999</v>
      </c>
      <c r="PD45" s="590"/>
      <c r="PE45" s="590">
        <f t="shared" ref="PE45" si="1887">PE43+PE44</f>
        <v>86825.01</v>
      </c>
      <c r="PF45" s="1432">
        <f t="shared" si="1688"/>
        <v>0.84064141828414485</v>
      </c>
      <c r="PG45" s="588">
        <f>SUM(PG26,PG28:PG35)</f>
        <v>103284.23999999999</v>
      </c>
      <c r="PH45" s="590"/>
      <c r="PI45" s="588">
        <f>SUM(PI26,PI28:PI35)</f>
        <v>76897.420000000013</v>
      </c>
      <c r="PJ45" s="1432">
        <f t="shared" si="1689"/>
        <v>0.74452230078858128</v>
      </c>
      <c r="PK45" s="588">
        <f>SUM(PK26,PK28:PK35)</f>
        <v>118864.43999999999</v>
      </c>
      <c r="PL45" s="590"/>
      <c r="PM45" s="588">
        <f>SUM(PM26,PM28:PM35)</f>
        <v>84739.579999999987</v>
      </c>
      <c r="PN45" s="1432">
        <f t="shared" si="1690"/>
        <v>0.7129094285894082</v>
      </c>
      <c r="PO45" s="588">
        <f>SUM(PO26,PO28:PO35)</f>
        <v>118864.43999999999</v>
      </c>
      <c r="PP45" s="590"/>
      <c r="PQ45" s="588">
        <f>SUM(PQ26,PQ28:PQ35)</f>
        <v>85036.340000000011</v>
      </c>
      <c r="PR45" s="1432">
        <f t="shared" si="1691"/>
        <v>0.71540605415715597</v>
      </c>
      <c r="PS45" s="588">
        <f>SUM(PS26,PS28:PS35)</f>
        <v>138675.18000000002</v>
      </c>
      <c r="PT45" s="590"/>
      <c r="PU45" s="588">
        <f>SUM(PU26,PU28:PU35)</f>
        <v>98623.84</v>
      </c>
      <c r="PV45" s="1432">
        <f t="shared" si="1692"/>
        <v>0.71118595267011719</v>
      </c>
      <c r="PW45" s="588">
        <f>SUM(PW26,PW28:PW35)</f>
        <v>137712.32000000001</v>
      </c>
      <c r="PX45" s="590"/>
      <c r="PY45" s="588">
        <f>SUM(PY26,PY28:PY35)</f>
        <v>137526.04</v>
      </c>
      <c r="PZ45" s="1432">
        <f t="shared" si="1693"/>
        <v>0.9986473250904494</v>
      </c>
      <c r="QA45" s="588">
        <f>SUM(QA26,QA28:QA35)</f>
        <v>189354.44</v>
      </c>
      <c r="QB45" s="590"/>
      <c r="QC45" s="588">
        <f>SUM(QC26,QC28:QC35)</f>
        <v>187176.15</v>
      </c>
      <c r="QD45" s="1432">
        <f t="shared" si="1694"/>
        <v>0.98849622961045958</v>
      </c>
      <c r="QE45" s="588">
        <f>QE43+QE44</f>
        <v>860702</v>
      </c>
      <c r="QF45" s="590"/>
      <c r="QG45" s="590">
        <f t="shared" ref="QG45" si="1888">QG43+QG44</f>
        <v>756824.38</v>
      </c>
      <c r="QH45" s="1432">
        <f t="shared" si="1696"/>
        <v>0.87931058601002443</v>
      </c>
      <c r="QI45" s="588">
        <f>QI43+QI44</f>
        <v>112441.6416</v>
      </c>
      <c r="QJ45" s="590"/>
      <c r="QK45" s="590">
        <f t="shared" ref="QK45" si="1889">QK43+QK44</f>
        <v>110154.52</v>
      </c>
      <c r="QL45" s="1432">
        <f t="shared" si="1698"/>
        <v>0.97965947875310988</v>
      </c>
      <c r="QM45" s="588">
        <f>SUM(QM26,QM28:QM35)</f>
        <v>112441.6416</v>
      </c>
      <c r="QN45" s="590"/>
      <c r="QO45" s="588">
        <f>SUM(QO26,QO28:QO35)</f>
        <v>66493.72</v>
      </c>
      <c r="QP45" s="1432">
        <f t="shared" si="1699"/>
        <v>0.59136205282865595</v>
      </c>
      <c r="QQ45" s="588">
        <f>SUM(QQ26,QQ28:QQ35)</f>
        <v>112441.6416</v>
      </c>
      <c r="QR45" s="590"/>
      <c r="QS45" s="588">
        <f>SUM(QS26,QS28:QS35)</f>
        <v>74334.210000000006</v>
      </c>
      <c r="QT45" s="1432">
        <f t="shared" si="1700"/>
        <v>0.66109146880331571</v>
      </c>
      <c r="QU45" s="588">
        <f>SUM(QU26,QU28:QU35)</f>
        <v>112441.6416</v>
      </c>
      <c r="QV45" s="590"/>
      <c r="QW45" s="588">
        <f>SUM(QW26,QW28:QW35)</f>
        <v>71286.09</v>
      </c>
      <c r="QX45" s="1432">
        <f t="shared" si="1701"/>
        <v>0.63398300652344797</v>
      </c>
      <c r="QY45" s="588">
        <f>SUM(QY26,QY28:QY35)</f>
        <v>131181.91520000002</v>
      </c>
      <c r="QZ45" s="590"/>
      <c r="RA45" s="588">
        <f>SUM(RA26,RA28:RA35)</f>
        <v>87878.37000000001</v>
      </c>
      <c r="RB45" s="1432">
        <f t="shared" si="1702"/>
        <v>0.66989698897154082</v>
      </c>
      <c r="RC45" s="588">
        <f>SUM(RC26,RC28:RC35)</f>
        <v>149922.1888</v>
      </c>
      <c r="RD45" s="590"/>
      <c r="RE45" s="588">
        <f>SUM(RE26,RE28:RE35)</f>
        <v>130917.04</v>
      </c>
      <c r="RF45" s="1432">
        <f t="shared" si="1703"/>
        <v>0.87323324884648423</v>
      </c>
      <c r="RG45" s="588">
        <f>SUM(RG26,RG28:RG35)</f>
        <v>206143.00959999999</v>
      </c>
      <c r="RH45" s="590"/>
      <c r="RI45" s="588">
        <f>SUM(RI26,RI28:RI35)</f>
        <v>198479.71000000002</v>
      </c>
      <c r="RJ45" s="1432">
        <f t="shared" si="1704"/>
        <v>0.96282532395898435</v>
      </c>
      <c r="RK45" s="588">
        <f>RK43+RK44</f>
        <v>937013.68</v>
      </c>
      <c r="RL45" s="590"/>
      <c r="RM45" s="590">
        <f t="shared" ref="RM45" si="1890">RM43+RM44</f>
        <v>739543.65999999992</v>
      </c>
      <c r="RN45" s="1432">
        <f t="shared" si="1706"/>
        <v>0.78925599037145311</v>
      </c>
      <c r="RO45" s="588">
        <f>RO43+RO44</f>
        <v>114488.9028</v>
      </c>
      <c r="RP45" s="590"/>
      <c r="RQ45" s="590">
        <f t="shared" ref="RQ45" si="1891">RQ43+RQ44</f>
        <v>101532.43000000001</v>
      </c>
      <c r="RR45" s="1432">
        <f t="shared" si="1708"/>
        <v>0.88683206421644567</v>
      </c>
      <c r="RS45" s="588">
        <f>SUM(RS26,RS28:RS35)</f>
        <v>114488.90279999998</v>
      </c>
      <c r="RT45" s="590"/>
      <c r="RU45" s="588">
        <f>SUM(RU26,RU28:RU35)</f>
        <v>75663.290000000008</v>
      </c>
      <c r="RV45" s="1432">
        <f t="shared" si="1709"/>
        <v>0.66087881139166638</v>
      </c>
      <c r="RW45" s="588">
        <f>SUM(RW26,RW28:RW35)</f>
        <v>114488.90279999998</v>
      </c>
      <c r="RX45" s="590"/>
      <c r="RY45" s="588">
        <f>SUM(RY26,RY28:RY35)</f>
        <v>93509.969999999987</v>
      </c>
      <c r="RZ45" s="1432">
        <f t="shared" si="1710"/>
        <v>0.81676012009087051</v>
      </c>
      <c r="SA45" s="588">
        <f>SUM(SA26,SA28:SA35)</f>
        <v>114488.90279999998</v>
      </c>
      <c r="SB45" s="590"/>
      <c r="SC45" s="588">
        <f>SUM(SC26,SC28:SC35)</f>
        <v>109206.37999999999</v>
      </c>
      <c r="SD45" s="1432">
        <f t="shared" si="1711"/>
        <v>0.9538599578578546</v>
      </c>
      <c r="SE45" s="588">
        <f>SUM(SE26,SE28:SE35)</f>
        <v>133570.3866</v>
      </c>
      <c r="SF45" s="590"/>
      <c r="SG45" s="588">
        <f>SUM(SG26,SG28:SG35)</f>
        <v>116887.06999999998</v>
      </c>
      <c r="SH45" s="1432">
        <f t="shared" si="1712"/>
        <v>0.87509719014319287</v>
      </c>
      <c r="SI45" s="588">
        <f>SUM(SI26,SI28:SI35)</f>
        <v>152651.87039999999</v>
      </c>
      <c r="SJ45" s="590"/>
      <c r="SK45" s="588">
        <f>SUM(SK26,SK28:SK35)</f>
        <v>149073.99999999997</v>
      </c>
      <c r="SL45" s="1432">
        <f t="shared" si="1713"/>
        <v>0.97656189609321675</v>
      </c>
      <c r="SM45" s="588">
        <f>SUM(SM26,SM28:SM35)</f>
        <v>209896.32180000001</v>
      </c>
      <c r="SN45" s="590"/>
      <c r="SO45" s="588">
        <f>SUM(SO26,SO28:SO35)</f>
        <v>188428.86</v>
      </c>
      <c r="SP45" s="1432">
        <f t="shared" si="1714"/>
        <v>0.89772349693457076</v>
      </c>
      <c r="SQ45" s="588">
        <f>SQ43+SQ44</f>
        <v>954074.19</v>
      </c>
      <c r="SR45" s="590"/>
      <c r="SS45" s="590">
        <f t="shared" ref="SS45" si="1892">SS43+SS44</f>
        <v>834302</v>
      </c>
      <c r="ST45" s="1432">
        <f t="shared" si="1716"/>
        <v>0.87446239374738777</v>
      </c>
      <c r="SU45" s="588">
        <f>SU43+SU44</f>
        <v>100965.63119999999</v>
      </c>
      <c r="SV45" s="590"/>
      <c r="SW45" s="590">
        <f t="shared" ref="SW45" si="1893">SW43+SW44</f>
        <v>88404.49</v>
      </c>
      <c r="SX45" s="1432">
        <f t="shared" si="1718"/>
        <v>0.87558993044754041</v>
      </c>
      <c r="SY45" s="588">
        <f>SUM(SY26,SY28:SY35)</f>
        <v>100965.6312</v>
      </c>
      <c r="SZ45" s="590"/>
      <c r="TA45" s="588">
        <f>SUM(TA26,TA28:TA35)</f>
        <v>65365.78</v>
      </c>
      <c r="TB45" s="1432">
        <f t="shared" si="1719"/>
        <v>0.64740624332371821</v>
      </c>
      <c r="TC45" s="588">
        <f>SUM(TC26,TC28:TC35)</f>
        <v>100965.6312</v>
      </c>
      <c r="TD45" s="590"/>
      <c r="TE45" s="588">
        <f>SUM(TE26,TE28:TE35)</f>
        <v>74010.489999999991</v>
      </c>
      <c r="TF45" s="1432">
        <f t="shared" si="1720"/>
        <v>0.73302656676700884</v>
      </c>
      <c r="TG45" s="588">
        <f>SUM(TG26,TG28:TG35)</f>
        <v>100965.6312</v>
      </c>
      <c r="TH45" s="590"/>
      <c r="TI45" s="588">
        <f>SUM(TI26,TI28:TI35)</f>
        <v>80748.000000000015</v>
      </c>
      <c r="TJ45" s="1432">
        <f t="shared" si="1721"/>
        <v>0.7997572940444313</v>
      </c>
      <c r="TK45" s="588">
        <f>SUM(TK26,TK28:TK35)</f>
        <v>117793.23640000002</v>
      </c>
      <c r="TL45" s="590"/>
      <c r="TM45" s="588">
        <f>SUM(TM26,TM28:TM35)</f>
        <v>91310.07</v>
      </c>
      <c r="TN45" s="1432">
        <f t="shared" si="1722"/>
        <v>0.7751724359616966</v>
      </c>
      <c r="TO45" s="588">
        <f>SUM(TO26,TO28:TO35)</f>
        <v>134620.84160000001</v>
      </c>
      <c r="TP45" s="590"/>
      <c r="TQ45" s="588">
        <f>SUM(TQ26,TQ28:TQ35)</f>
        <v>143036.38999999998</v>
      </c>
      <c r="TR45" s="1432">
        <f t="shared" si="1723"/>
        <v>1.0625129682742971</v>
      </c>
      <c r="TS45" s="588">
        <f>SUM(TS26,TS28:TS35)</f>
        <v>185103.65719999999</v>
      </c>
      <c r="TT45" s="590"/>
      <c r="TU45" s="588">
        <f>SUM(TU26,TU28:TU35)</f>
        <v>192497.91999999998</v>
      </c>
      <c r="TV45" s="1432">
        <f t="shared" si="1724"/>
        <v>1.039946605657881</v>
      </c>
      <c r="TW45" s="588">
        <f>TW43+TW44</f>
        <v>841380.26</v>
      </c>
      <c r="TX45" s="590"/>
      <c r="TY45" s="590">
        <f t="shared" ref="TY45" si="1894">TY43+TY44</f>
        <v>735373.14</v>
      </c>
      <c r="TZ45" s="1432">
        <f t="shared" si="1726"/>
        <v>0.87400807335318276</v>
      </c>
      <c r="UA45" s="588">
        <f>UA43+UA44</f>
        <v>143478.88</v>
      </c>
      <c r="UB45" s="590"/>
      <c r="UC45" s="590">
        <f t="shared" ref="UC45" si="1895">UC43+UC44</f>
        <v>95763.140000000014</v>
      </c>
      <c r="UD45" s="1432">
        <f t="shared" si="1728"/>
        <v>0.6674371865740798</v>
      </c>
      <c r="UE45" s="588">
        <f>SUM(UE26,UE28:UE35)</f>
        <v>86832.36</v>
      </c>
      <c r="UF45" s="590"/>
      <c r="UG45" s="588">
        <f>SUM(UG26,UG28:UG35)</f>
        <v>75162.409999999989</v>
      </c>
      <c r="UH45" s="1432">
        <f t="shared" si="1729"/>
        <v>0.86560367586461995</v>
      </c>
      <c r="UI45" s="588">
        <f>SUM(UI26,UI28:UI35)</f>
        <v>106838.20999999999</v>
      </c>
      <c r="UJ45" s="590"/>
      <c r="UK45" s="588">
        <f>SUM(UK26,UK28:UK35)</f>
        <v>82841.77</v>
      </c>
      <c r="UL45" s="1432">
        <f t="shared" si="1730"/>
        <v>0.7753945896323049</v>
      </c>
      <c r="UM45" s="588">
        <f>SUM(UM26,UM28:UM35)</f>
        <v>104974.98999999999</v>
      </c>
      <c r="UN45" s="590"/>
      <c r="UO45" s="588">
        <f>SUM(UO26,UO28:UO35)</f>
        <v>88569.31</v>
      </c>
      <c r="UP45" s="1432">
        <f t="shared" si="1731"/>
        <v>0.84371820373595663</v>
      </c>
      <c r="UQ45" s="588">
        <f>SUM(UQ26,UQ28:UQ35)</f>
        <v>117202.47</v>
      </c>
      <c r="UR45" s="590"/>
      <c r="US45" s="588">
        <f>SUM(US26,US28:US35)</f>
        <v>109961.03</v>
      </c>
      <c r="UT45" s="1432">
        <f t="shared" si="1732"/>
        <v>0.93821427142277802</v>
      </c>
      <c r="UU45" s="588">
        <f>SUM(UU26,UU28:UU35)</f>
        <v>169235.83</v>
      </c>
      <c r="UV45" s="590"/>
      <c r="UW45" s="588">
        <f>SUM(UW26,UW28:UW35)</f>
        <v>164994.36999999997</v>
      </c>
      <c r="UX45" s="1432">
        <f t="shared" si="1733"/>
        <v>0.97493757675310233</v>
      </c>
      <c r="UY45" s="588">
        <f>SUM(UY26,UY28:UY35)</f>
        <v>222778.71000000002</v>
      </c>
      <c r="UZ45" s="590"/>
      <c r="VA45" s="588">
        <f>SUM(VA26,VA28:VA35)</f>
        <v>200536.46</v>
      </c>
      <c r="VB45" s="1432">
        <f t="shared" si="1734"/>
        <v>0.90015989409400909</v>
      </c>
      <c r="VC45" s="588">
        <f>VC43+VC44</f>
        <v>951341.45</v>
      </c>
      <c r="VD45" s="590"/>
      <c r="VE45" s="590">
        <f t="shared" ref="VE45" si="1896">VE43+VE44</f>
        <v>817828.49</v>
      </c>
      <c r="VF45" s="1432">
        <f t="shared" si="1736"/>
        <v>0.85965821209619331</v>
      </c>
      <c r="VG45" s="588">
        <f>VG43+VG44</f>
        <v>139703.31</v>
      </c>
      <c r="VH45" s="590"/>
      <c r="VI45" s="590">
        <f t="shared" ref="VI45" si="1897">VI43+VI44</f>
        <v>105273.62000000001</v>
      </c>
      <c r="VJ45" s="1432">
        <f t="shared" si="1738"/>
        <v>0.75355136538998257</v>
      </c>
      <c r="VK45" s="588">
        <f>SUM(VK26,VK28:VK35)</f>
        <v>87406.59</v>
      </c>
      <c r="VL45" s="590"/>
      <c r="VM45" s="588">
        <f>SUM(VM26,VM28:VM35)</f>
        <v>71644.28</v>
      </c>
      <c r="VN45" s="1432">
        <f t="shared" si="1739"/>
        <v>0.81966680086707422</v>
      </c>
      <c r="VO45" s="588">
        <f>SUM(VO26,VO28:VO35)</f>
        <v>80848.479999999996</v>
      </c>
      <c r="VP45" s="590"/>
      <c r="VQ45" s="588">
        <f>SUM(VQ26,VQ28:VQ35)</f>
        <v>71951.170000000013</v>
      </c>
      <c r="VR45" s="1432">
        <f t="shared" si="1740"/>
        <v>0.88995080674367677</v>
      </c>
      <c r="VS45" s="588">
        <f>SUM(VS26,VS28:VS35)</f>
        <v>87886.789999999979</v>
      </c>
      <c r="VT45" s="590"/>
      <c r="VU45" s="588">
        <f>SUM(VU26,VU28:VU35)</f>
        <v>81580.800000000017</v>
      </c>
      <c r="VV45" s="1432">
        <f t="shared" si="1741"/>
        <v>0.92824871633154471</v>
      </c>
      <c r="VW45" s="588">
        <f>SUM(VW26,VW28:VW35)</f>
        <v>108090.77000000002</v>
      </c>
      <c r="VX45" s="590"/>
      <c r="VY45" s="588">
        <f>SUM(VY26,VY28:VY35)</f>
        <v>103093.33999999998</v>
      </c>
      <c r="VZ45" s="1432">
        <f t="shared" si="1742"/>
        <v>0.95376635766402595</v>
      </c>
      <c r="WA45" s="588">
        <f>SUM(WA26,WA28:WA35)</f>
        <v>144093.72999999998</v>
      </c>
      <c r="WB45" s="590"/>
      <c r="WC45" s="588">
        <f>SUM(WC26,WC28:WC35)</f>
        <v>144064.22</v>
      </c>
      <c r="WD45" s="1432">
        <f t="shared" si="1743"/>
        <v>0.99979520274754508</v>
      </c>
      <c r="WE45" s="588">
        <f>SUM(WE26,WE28:WE35)</f>
        <v>216624.02999999997</v>
      </c>
      <c r="WF45" s="590"/>
      <c r="WG45" s="588">
        <f>SUM(WG26,WG28:WG35)</f>
        <v>202327.68000000002</v>
      </c>
      <c r="WH45" s="1432">
        <f t="shared" si="1744"/>
        <v>0.93400385912864814</v>
      </c>
      <c r="WI45" s="588">
        <f>WI43+WI44</f>
        <v>395845.17</v>
      </c>
      <c r="WJ45" s="590"/>
      <c r="WK45" s="590">
        <f t="shared" ref="WK45" si="1898">WK43+WK44</f>
        <v>779935.11</v>
      </c>
      <c r="WL45" s="1432">
        <f t="shared" si="1746"/>
        <v>1.9703034648622844</v>
      </c>
      <c r="WM45" s="588">
        <f>WM43+WM44</f>
        <v>130727.65</v>
      </c>
      <c r="WN45" s="590"/>
      <c r="WO45" s="590">
        <f t="shared" ref="WO45" si="1899">WO43+WO44</f>
        <v>106242.01</v>
      </c>
      <c r="WP45" s="1432">
        <f t="shared" si="1748"/>
        <v>0.81269731384293986</v>
      </c>
      <c r="WQ45" s="588">
        <f>SUM(WQ26,WQ28:WQ35)</f>
        <v>107402.84</v>
      </c>
      <c r="WR45" s="590"/>
      <c r="WS45" s="588">
        <f>SUM(WS26,WS28:WS35)</f>
        <v>82150.69</v>
      </c>
      <c r="WT45" s="1432">
        <f t="shared" si="1749"/>
        <v>0.76488377774740413</v>
      </c>
      <c r="WU45" s="588">
        <f>SUM(WU26,WU28:WU35)</f>
        <v>116399.85</v>
      </c>
      <c r="WV45" s="590"/>
      <c r="WW45" s="588">
        <f>SUM(WW26,WW28:WW35)</f>
        <v>78994.98000000001</v>
      </c>
      <c r="WX45" s="1432">
        <f t="shared" si="1750"/>
        <v>0.67865190547925969</v>
      </c>
      <c r="WY45" s="588">
        <f>SUM(WY26,WY28:WY35)</f>
        <v>105062.59000000003</v>
      </c>
      <c r="WZ45" s="590"/>
      <c r="XA45" s="588">
        <f>SUM(XA26,XA28:XA35)</f>
        <v>94184.900000000009</v>
      </c>
      <c r="XB45" s="1432">
        <f t="shared" si="1751"/>
        <v>0.89646466929855795</v>
      </c>
      <c r="XC45" s="588">
        <f>SUM(XC26,XC28:XC35)</f>
        <v>120182.11</v>
      </c>
      <c r="XD45" s="590"/>
      <c r="XE45" s="588">
        <f>SUM(XE26,XE28:XE35)</f>
        <v>113533.53</v>
      </c>
      <c r="XF45" s="1432">
        <f t="shared" si="1752"/>
        <v>0.94467912071106086</v>
      </c>
      <c r="XG45" s="588">
        <f>SUM(XG26,XG28:XG35)</f>
        <v>145781.57999999999</v>
      </c>
      <c r="XH45" s="590"/>
      <c r="XI45" s="588">
        <f>SUM(XI26,XI28:XI35)</f>
        <v>168337.46000000002</v>
      </c>
      <c r="XJ45" s="1432">
        <f t="shared" si="1753"/>
        <v>1.1547237998106485</v>
      </c>
      <c r="XK45" s="588">
        <f>SUM(XK26,XK28:XK35)</f>
        <v>219787.55</v>
      </c>
      <c r="XL45" s="590"/>
      <c r="XM45" s="588">
        <f>SUM(XM26,XM28:XM35)</f>
        <v>229661.47999999998</v>
      </c>
      <c r="XN45" s="1432">
        <f t="shared" si="1754"/>
        <v>1.044924883142835</v>
      </c>
      <c r="XO45" s="588">
        <f>XO43+XO44</f>
        <v>945344.17</v>
      </c>
      <c r="XP45" s="590"/>
      <c r="XQ45" s="590">
        <f t="shared" ref="XQ45" si="1900">XQ43+XQ44</f>
        <v>873105.04999999993</v>
      </c>
      <c r="XR45" s="1432">
        <f t="shared" si="1756"/>
        <v>0.92358431744493641</v>
      </c>
      <c r="XS45" s="588">
        <f>XS43+XS44</f>
        <v>139242.78</v>
      </c>
      <c r="XT45" s="590"/>
      <c r="XU45" s="590">
        <f t="shared" ref="XU45" si="1901">XU43+XU44</f>
        <v>112414.76000000001</v>
      </c>
      <c r="XV45" s="1432">
        <f t="shared" si="1758"/>
        <v>0.80732918432108303</v>
      </c>
      <c r="XW45" s="588">
        <f>SUM(XW26,XW28:XW35)</f>
        <v>81120.03</v>
      </c>
      <c r="XX45" s="590"/>
      <c r="XY45" s="588">
        <f>SUM(XY26,XY28:XY35)</f>
        <v>82344.47</v>
      </c>
      <c r="XZ45" s="1432">
        <f t="shared" si="1759"/>
        <v>1.0150941758774004</v>
      </c>
      <c r="YA45" s="588">
        <f>SUM(YA26,YA28:YA35)</f>
        <v>88562.95</v>
      </c>
      <c r="YB45" s="590"/>
      <c r="YC45" s="588">
        <f>SUM(YC26,YC28:YC35)</f>
        <v>80810.36</v>
      </c>
      <c r="YD45" s="1432">
        <f t="shared" si="1760"/>
        <v>0.91246237845509892</v>
      </c>
      <c r="YE45" s="588">
        <f>SUM(YE26,YE28:YE35)</f>
        <v>85509.62999999999</v>
      </c>
      <c r="YF45" s="590"/>
      <c r="YG45" s="588">
        <f>SUM(YG26,YG28:YG35)</f>
        <v>80975.73</v>
      </c>
      <c r="YH45" s="1432">
        <f t="shared" si="1761"/>
        <v>0.94697790178720231</v>
      </c>
      <c r="YI45" s="588">
        <f>SUM(YI26,YI28:YI35)</f>
        <v>111891.42</v>
      </c>
      <c r="YJ45" s="590"/>
      <c r="YK45" s="588">
        <f>SUM(YK26,YK28:YK35)</f>
        <v>95211.520000000004</v>
      </c>
      <c r="YL45" s="1432">
        <f t="shared" si="1762"/>
        <v>0.85092780125589618</v>
      </c>
      <c r="YM45" s="588">
        <f>SUM(YM26,YM28:YM35)</f>
        <v>145968.51999999999</v>
      </c>
      <c r="YN45" s="590"/>
      <c r="YO45" s="588">
        <f>SUM(YO26,YO28:YO35)</f>
        <v>142346.35</v>
      </c>
      <c r="YP45" s="1432">
        <f t="shared" si="1763"/>
        <v>0.97518526597378674</v>
      </c>
      <c r="YQ45" s="588">
        <f>SUM(YQ26,YQ28:YQ35)</f>
        <v>234870.42</v>
      </c>
      <c r="YR45" s="590"/>
      <c r="YS45" s="588">
        <f>SUM(YS26,YS28:YS35)</f>
        <v>204583.51</v>
      </c>
      <c r="YT45" s="1432">
        <f t="shared" si="1764"/>
        <v>0.87104842746906996</v>
      </c>
      <c r="YU45" s="588">
        <f>YU43+YU44</f>
        <v>887165.75</v>
      </c>
      <c r="YV45" s="590"/>
      <c r="YW45" s="590">
        <f t="shared" ref="YW45" si="1902">YW43+YW44</f>
        <v>798686.7</v>
      </c>
      <c r="YX45" s="1432">
        <f t="shared" si="1766"/>
        <v>0.90026773463696041</v>
      </c>
      <c r="YY45" s="588">
        <f>YY43+YY44</f>
        <v>132718.32999999999</v>
      </c>
      <c r="YZ45" s="590"/>
      <c r="ZA45" s="590">
        <f t="shared" ref="ZA45" si="1903">ZA43+ZA44</f>
        <v>121012.73999999999</v>
      </c>
      <c r="ZB45" s="1432">
        <f t="shared" si="1768"/>
        <v>0.91180125608874074</v>
      </c>
      <c r="ZC45" s="588">
        <f>SUM(ZC26,ZC28:ZC35)</f>
        <v>88788.270000000019</v>
      </c>
      <c r="ZD45" s="590"/>
      <c r="ZE45" s="588">
        <f>SUM(ZE26,ZE28:ZE35)</f>
        <v>84474.590000000011</v>
      </c>
      <c r="ZF45" s="1432">
        <f t="shared" si="1769"/>
        <v>0.9514161048525891</v>
      </c>
      <c r="ZG45" s="588">
        <f>SUM(ZG26,ZG28:ZG35)</f>
        <v>101335.48999999999</v>
      </c>
      <c r="ZH45" s="590"/>
      <c r="ZI45" s="588">
        <f>SUM(ZI26,ZI28:ZI35)</f>
        <v>93983.22</v>
      </c>
      <c r="ZJ45" s="1432">
        <f t="shared" si="1770"/>
        <v>0.927446248101233</v>
      </c>
      <c r="ZK45" s="588">
        <f>SUM(ZK26,ZK28:ZK35)</f>
        <v>127551.25</v>
      </c>
      <c r="ZL45" s="590"/>
      <c r="ZM45" s="588">
        <f>SUM(ZM26,ZM28:ZM35)</f>
        <v>109384.75</v>
      </c>
      <c r="ZN45" s="1432">
        <f t="shared" si="1771"/>
        <v>0.85757489636518658</v>
      </c>
      <c r="ZO45" s="588">
        <f>SUM(ZO26,ZO28:ZO35)</f>
        <v>151402.68</v>
      </c>
      <c r="ZP45" s="590"/>
      <c r="ZQ45" s="588">
        <f>SUM(ZQ26,ZQ28:ZQ35)</f>
        <v>134666.62000000002</v>
      </c>
      <c r="ZR45" s="1432">
        <f t="shared" si="1772"/>
        <v>0.88945994879350898</v>
      </c>
      <c r="ZS45" s="588">
        <f>SUM(ZS26,ZS28:ZS35)</f>
        <v>165086.28000000003</v>
      </c>
      <c r="ZT45" s="590"/>
      <c r="ZU45" s="588">
        <f>SUM(ZU26,ZU28:ZU35)</f>
        <v>202325.58000000002</v>
      </c>
      <c r="ZV45" s="1432">
        <f t="shared" si="1773"/>
        <v>1.2255747721736778</v>
      </c>
      <c r="ZW45" s="588">
        <f>SUM(ZW26,ZW28:ZW35)</f>
        <v>181093.85</v>
      </c>
      <c r="ZX45" s="590"/>
      <c r="ZY45" s="588">
        <f>SUM(ZY26,ZY28:ZY35)</f>
        <v>265769.94999999995</v>
      </c>
      <c r="ZZ45" s="1432">
        <f t="shared" si="1774"/>
        <v>1.4675813121207593</v>
      </c>
      <c r="AAA45" s="588">
        <f>AAA43+AAA44</f>
        <v>947976.15</v>
      </c>
      <c r="AAB45" s="590"/>
      <c r="AAC45" s="590">
        <f t="shared" ref="AAC45" si="1904">AAC43+AAC44</f>
        <v>1011617.4500000001</v>
      </c>
      <c r="AAD45" s="1432">
        <f t="shared" si="1776"/>
        <v>1.0671338619647763</v>
      </c>
      <c r="AAE45" s="588">
        <f>AAE43+AAE44</f>
        <v>133238.84</v>
      </c>
      <c r="AAF45" s="590"/>
      <c r="AAG45" s="590">
        <f t="shared" ref="AAG45" si="1905">AAG43+AAG44</f>
        <v>125090.19</v>
      </c>
      <c r="AAH45" s="1432">
        <f t="shared" si="1778"/>
        <v>0.93884178217102465</v>
      </c>
      <c r="AAI45" s="588">
        <f>SUM(AAI26,AAI28:AAI35)</f>
        <v>84353.54</v>
      </c>
      <c r="AAJ45" s="590"/>
      <c r="AAK45" s="588">
        <f>SUM(AAK26,AAK28:AAK35)</f>
        <v>105731.93999999999</v>
      </c>
      <c r="AAL45" s="1432">
        <f t="shared" si="1779"/>
        <v>1.2534380892609842</v>
      </c>
      <c r="AAM45" s="588">
        <f>SUM(AAM26,AAM28:AAM35)</f>
        <v>87645.34</v>
      </c>
      <c r="AAN45" s="590"/>
      <c r="AAO45" s="588">
        <f>SUM(AAO26,AAO28:AAO35)</f>
        <v>74292.709999999992</v>
      </c>
      <c r="AAP45" s="1432">
        <f t="shared" si="1780"/>
        <v>0.84765156938178343</v>
      </c>
      <c r="AAQ45" s="588">
        <f>SUM(AAQ26,AAQ28:AAQ35)</f>
        <v>71764.450000000012</v>
      </c>
      <c r="AAR45" s="590"/>
      <c r="AAS45" s="588">
        <f>SUM(AAS26,AAS28:AAS35)</f>
        <v>77817.72</v>
      </c>
      <c r="AAT45" s="1432">
        <f t="shared" si="1781"/>
        <v>1.0843491450153939</v>
      </c>
      <c r="AAU45" s="588">
        <f>SUM(AAU26,AAU28:AAU35)</f>
        <v>93258.200000000012</v>
      </c>
      <c r="AAV45" s="590"/>
      <c r="AAW45" s="588">
        <f>SUM(AAW26,AAW28:AAW35)</f>
        <v>85635.75</v>
      </c>
      <c r="AAX45" s="1432">
        <f t="shared" si="1782"/>
        <v>0.91826509625963171</v>
      </c>
      <c r="AAY45" s="588">
        <f>SUM(AAY26,AAY28:AAY35)</f>
        <v>115613.50000000001</v>
      </c>
      <c r="AAZ45" s="590"/>
      <c r="ABA45" s="588">
        <f>SUM(ABA26,ABA28:ABA35)</f>
        <v>138569.5</v>
      </c>
      <c r="ABB45" s="1432">
        <f t="shared" si="1783"/>
        <v>1.1985581268623473</v>
      </c>
      <c r="ABC45" s="588">
        <f>SUM(ABC26,ABC28:ABC35)</f>
        <v>203276.37999999998</v>
      </c>
      <c r="ABD45" s="590"/>
      <c r="ABE45" s="588">
        <f>SUM(ABE26,ABE28:ABE35)</f>
        <v>196881.27</v>
      </c>
      <c r="ABF45" s="1432">
        <f t="shared" si="1784"/>
        <v>0.96853982740149158</v>
      </c>
      <c r="ABG45" s="588">
        <f>ABG43+ABG44</f>
        <v>789150.25</v>
      </c>
      <c r="ABH45" s="590"/>
      <c r="ABI45" s="590">
        <f t="shared" ref="ABI45" si="1906">ABI43+ABI44</f>
        <v>804019.08000000007</v>
      </c>
      <c r="ABJ45" s="1432">
        <f t="shared" si="1786"/>
        <v>1.0188415704107046</v>
      </c>
      <c r="ABK45" s="588">
        <f>ABK43+ABK44</f>
        <v>136279.65</v>
      </c>
      <c r="ABL45" s="590"/>
      <c r="ABM45" s="590">
        <f t="shared" ref="ABM45" si="1907">ABM43+ABM44</f>
        <v>122426.29999999999</v>
      </c>
      <c r="ABN45" s="1432">
        <f t="shared" si="1788"/>
        <v>0.89834615806541906</v>
      </c>
      <c r="ABO45" s="588">
        <f>SUM(ABO26,ABO28:ABO35)</f>
        <v>71518.409999999989</v>
      </c>
      <c r="ABP45" s="590"/>
      <c r="ABQ45" s="588">
        <f>SUM(ABQ26,ABQ28:ABQ35)</f>
        <v>78253.77</v>
      </c>
      <c r="ABR45" s="1432">
        <f t="shared" si="1789"/>
        <v>1.094176590335272</v>
      </c>
      <c r="ABS45" s="588">
        <f>SUM(ABS26,ABS28:ABS35)</f>
        <v>47125.37</v>
      </c>
      <c r="ABT45" s="590"/>
      <c r="ABU45" s="588">
        <f>SUM(ABU26,ABU28:ABU35)</f>
        <v>79977.25</v>
      </c>
      <c r="ABV45" s="1432">
        <f t="shared" si="1790"/>
        <v>1.6971166486332097</v>
      </c>
      <c r="ABW45" s="588">
        <f>SUM(ABW26,ABW28:ABW35)</f>
        <v>67220.87000000001</v>
      </c>
      <c r="ABX45" s="590"/>
      <c r="ABY45" s="588">
        <f>SUM(ABY26,ABY28:ABY35)</f>
        <v>100030.08000000002</v>
      </c>
      <c r="ABZ45" s="1432">
        <f t="shared" si="1791"/>
        <v>1.4880807106483449</v>
      </c>
      <c r="ACA45" s="588">
        <f>SUM(ACA26,ACA28:ACA35)</f>
        <v>135862.80000000002</v>
      </c>
      <c r="ACB45" s="590"/>
      <c r="ACC45" s="588">
        <f>SUM(ACC26,ACC28:ACC35)</f>
        <v>121132.98</v>
      </c>
      <c r="ACD45" s="1432">
        <f t="shared" si="1792"/>
        <v>0.89158312650703486</v>
      </c>
      <c r="ACE45" s="588">
        <f>SUM(ACE26,ACE28:ACE35)</f>
        <v>231879.46000000002</v>
      </c>
      <c r="ACF45" s="590"/>
      <c r="ACG45" s="588">
        <f>SUM(ACG26,ACG28:ACG35)</f>
        <v>192752.89</v>
      </c>
      <c r="ACH45" s="1432">
        <f t="shared" si="1793"/>
        <v>0.83126332103757705</v>
      </c>
      <c r="ACI45" s="588">
        <f>SUM(ACI26,ACI28:ACI35)</f>
        <v>399435.26</v>
      </c>
      <c r="ACJ45" s="590"/>
      <c r="ACK45" s="588">
        <f>SUM(ACK26,ACK28:ACK35)</f>
        <v>304209.02999999997</v>
      </c>
      <c r="ACL45" s="1432">
        <f t="shared" si="1794"/>
        <v>0.76159783690603566</v>
      </c>
      <c r="ACM45" s="588">
        <f>ACM43+ACM44</f>
        <v>1089321.82</v>
      </c>
      <c r="ACN45" s="590"/>
      <c r="ACO45" s="590">
        <f t="shared" ref="ACO45" si="1908">ACO43+ACO44</f>
        <v>998782.3</v>
      </c>
      <c r="ACP45" s="1432">
        <f t="shared" si="1796"/>
        <v>0.91688450709635105</v>
      </c>
      <c r="ACQ45" s="588">
        <f>ACQ43+ACQ44</f>
        <v>324939.14</v>
      </c>
      <c r="ACR45" s="590"/>
      <c r="ACS45" s="590">
        <f t="shared" ref="ACS45" si="1909">ACS43+ACS44</f>
        <v>200693.4</v>
      </c>
      <c r="ACT45" s="1432">
        <f t="shared" si="1798"/>
        <v>0.61763381290416408</v>
      </c>
      <c r="ACU45" s="588">
        <f>SUM(ACU26,ACU28:ACU35)</f>
        <v>278342.58999999997</v>
      </c>
      <c r="ACV45" s="590"/>
      <c r="ACW45" s="588">
        <f>SUM(ACW26,ACW28:ACW35)</f>
        <v>174845.16999999998</v>
      </c>
      <c r="ACX45" s="1432">
        <f t="shared" si="1799"/>
        <v>0.62816534832129001</v>
      </c>
      <c r="ACY45" s="588">
        <f>SUM(ACY26,ACY28:ACY35)</f>
        <v>83902.53</v>
      </c>
      <c r="ACZ45" s="590"/>
      <c r="ADA45" s="588">
        <f>SUM(ADA26,ADA28:ADA35)</f>
        <v>101933.16</v>
      </c>
      <c r="ADB45" s="1432">
        <f t="shared" si="1800"/>
        <v>1.2148997175651319</v>
      </c>
      <c r="ADC45" s="588">
        <f>SUM(ADC26,ADC28:ADC35)</f>
        <v>77638.33</v>
      </c>
      <c r="ADD45" s="590"/>
      <c r="ADE45" s="588">
        <f>SUM(ADE26,ADE28:ADE35)</f>
        <v>83736.000000000029</v>
      </c>
      <c r="ADF45" s="1432">
        <f t="shared" si="1801"/>
        <v>1.0785394276255045</v>
      </c>
      <c r="ADG45" s="588">
        <f>SUM(ADG26,ADG28:ADG35)</f>
        <v>98857.15</v>
      </c>
      <c r="ADH45" s="590"/>
      <c r="ADI45" s="588">
        <f>SUM(ADI26,ADI28:ADI35)</f>
        <v>97578.700000000012</v>
      </c>
      <c r="ADJ45" s="1432">
        <f t="shared" si="1802"/>
        <v>0.98706770324655346</v>
      </c>
      <c r="ADK45" s="588">
        <f>SUM(ADK26,ADK28:ADK35)</f>
        <v>139209.99</v>
      </c>
      <c r="ADL45" s="590"/>
      <c r="ADM45" s="588">
        <f>SUM(ADM26,ADM28:ADM35)</f>
        <v>152221.76000000001</v>
      </c>
      <c r="ADN45" s="1432">
        <f t="shared" si="1803"/>
        <v>1.0934686512081497</v>
      </c>
      <c r="ADO45" s="588">
        <f>SUM(ADO26,ADO28:ADO35)</f>
        <v>228674.90000000002</v>
      </c>
      <c r="ADP45" s="590"/>
      <c r="ADQ45" s="588">
        <f>SUM(ADQ26,ADQ28:ADQ35)</f>
        <v>209711.60000000003</v>
      </c>
      <c r="ADR45" s="1432">
        <f t="shared" si="1804"/>
        <v>0.91707310246992568</v>
      </c>
      <c r="ADS45" s="588">
        <f>ADS43+ADS44</f>
        <v>1118537.0499999998</v>
      </c>
      <c r="ADT45" s="590"/>
      <c r="ADU45" s="590">
        <f t="shared" ref="ADU45" si="1910">ADU43+ADU44</f>
        <v>1020719.79</v>
      </c>
      <c r="ADV45" s="1432">
        <f t="shared" si="1806"/>
        <v>0.9125489316603328</v>
      </c>
      <c r="ADW45" s="588">
        <f>ADW43+ADW44</f>
        <v>128497.76000000001</v>
      </c>
      <c r="ADX45" s="590"/>
      <c r="ADY45" s="590">
        <f t="shared" ref="ADY45" si="1911">ADY43+ADY44</f>
        <v>133611.52000000002</v>
      </c>
      <c r="ADZ45" s="1432">
        <f t="shared" si="1808"/>
        <v>1.0397964913940914</v>
      </c>
      <c r="AEA45" s="588">
        <f>SUM(AEA26,AEA28:AEA35)</f>
        <v>98207.25</v>
      </c>
      <c r="AEB45" s="590"/>
      <c r="AEC45" s="588">
        <f>SUM(AEC26,AEC28:AEC35)</f>
        <v>93566</v>
      </c>
      <c r="AED45" s="1432">
        <f t="shared" si="1809"/>
        <v>0.95274025084706071</v>
      </c>
      <c r="AEE45" s="588">
        <f>SUM(AEE26,AEE28:AEE35)</f>
        <v>99719.58</v>
      </c>
      <c r="AEF45" s="590"/>
      <c r="AEG45" s="588">
        <f>SUM(AEG26,AEG28:AEG35)</f>
        <v>78596</v>
      </c>
      <c r="AEH45" s="1432">
        <f t="shared" si="1810"/>
        <v>0.78817018683793094</v>
      </c>
      <c r="AEI45" s="588">
        <f>SUM(AEI26,AEI28:AEI35)</f>
        <v>97828.750000000015</v>
      </c>
      <c r="AEJ45" s="590"/>
      <c r="AEK45" s="588">
        <f>SUM(AEK26,AEK28:AEK35)</f>
        <v>101215</v>
      </c>
      <c r="AEL45" s="1432">
        <f t="shared" si="1811"/>
        <v>1.0346140577284284</v>
      </c>
      <c r="AEM45" s="588">
        <f>SUM(AEM26,AEM28:AEM35)</f>
        <v>163329.60000000001</v>
      </c>
      <c r="AEN45" s="590"/>
      <c r="AEO45" s="588">
        <f>SUM(AEO26,AEO28:AEO35)</f>
        <v>111720</v>
      </c>
      <c r="AEP45" s="1432">
        <f t="shared" si="1812"/>
        <v>0.68401563464307757</v>
      </c>
      <c r="AEQ45" s="588">
        <f>SUM(AEQ26,AEQ28:AEQ35)</f>
        <v>220140.36</v>
      </c>
      <c r="AER45" s="590"/>
      <c r="AES45" s="588">
        <f>SUM(AES26,AES28:AES35)</f>
        <v>101762</v>
      </c>
      <c r="AET45" s="1432">
        <f t="shared" si="1813"/>
        <v>0.46225962381455182</v>
      </c>
      <c r="AEU45" s="588">
        <f>SUM(AEU26,AEU28:AEU35)</f>
        <v>349972.33000000007</v>
      </c>
      <c r="AEV45" s="590"/>
      <c r="AEW45" s="588">
        <f>SUM(AEW26,AEW28:AEW35)</f>
        <v>231744</v>
      </c>
      <c r="AEX45" s="1432">
        <f t="shared" si="1814"/>
        <v>0.6621780641915318</v>
      </c>
      <c r="AEY45" s="588">
        <f>AEY43+AEY44</f>
        <v>1087317.26</v>
      </c>
      <c r="AEZ45" s="590"/>
      <c r="AFA45" s="590">
        <f t="shared" ref="AFA45" si="1912">AFA43+AFA44</f>
        <v>852214.52</v>
      </c>
      <c r="AFB45" s="1432">
        <f t="shared" si="1816"/>
        <v>0.7837772390369302</v>
      </c>
      <c r="AFC45" s="588">
        <f>AFC43+AFC44</f>
        <v>204947.45</v>
      </c>
      <c r="AFD45" s="590"/>
      <c r="AFE45" s="590">
        <f t="shared" ref="AFE45" si="1913">AFE43+AFE44</f>
        <v>138909</v>
      </c>
      <c r="AFF45" s="1432">
        <f t="shared" si="1818"/>
        <v>0.67777862081231066</v>
      </c>
      <c r="AFG45" s="588">
        <f>SUM(AFG26,AFG28:AFG35)</f>
        <v>142372.35</v>
      </c>
      <c r="AFH45" s="590"/>
      <c r="AFI45" s="588">
        <f>SUM(AFI26,AFI28:AFI35)</f>
        <v>86267.01999999999</v>
      </c>
      <c r="AFJ45" s="1432">
        <f t="shared" si="1819"/>
        <v>0.6059253780667383</v>
      </c>
      <c r="AFK45" s="588">
        <f>SUM(AFK26,AFK28:AFK35)</f>
        <v>143760.93</v>
      </c>
      <c r="AFL45" s="590"/>
      <c r="AFM45" s="588">
        <f>SUM(AFM26,AFM28:AFM35)</f>
        <v>128836.93000000001</v>
      </c>
      <c r="AFN45" s="1432">
        <f t="shared" si="1820"/>
        <v>0.8961887628300681</v>
      </c>
      <c r="AFO45" s="588">
        <f>SUM(AFO26,AFO28:AFO35)</f>
        <v>160470.19</v>
      </c>
      <c r="AFP45" s="590"/>
      <c r="AFQ45" s="588">
        <f>SUM(AFQ26,AFQ28:AFQ35)</f>
        <v>132561.89000000001</v>
      </c>
      <c r="AFR45" s="1432">
        <f t="shared" si="1821"/>
        <v>0.82608420916059244</v>
      </c>
      <c r="AFS45" s="588">
        <f>SUM(AFS26,AFS28:AFS35)</f>
        <v>201671.63</v>
      </c>
      <c r="AFT45" s="590"/>
      <c r="AFU45" s="588">
        <f>SUM(AFU26,AFU28:AFU35)</f>
        <v>171232.7</v>
      </c>
      <c r="AFV45" s="1432">
        <f t="shared" si="1822"/>
        <v>0.84906687172608264</v>
      </c>
      <c r="AFW45" s="588">
        <f>SUM(AFW26,AFW28:AFW35)</f>
        <v>264156.73</v>
      </c>
      <c r="AFX45" s="590"/>
      <c r="AFY45" s="588">
        <f>SUM(AFY26,AFY28:AFY35)</f>
        <v>190632.42</v>
      </c>
      <c r="AFZ45" s="1432">
        <f t="shared" si="1823"/>
        <v>0.72166406663195759</v>
      </c>
      <c r="AGA45" s="588">
        <f>SUM(AGA26,AGA28:AGA35)</f>
        <v>479962.16000000003</v>
      </c>
      <c r="AGB45" s="590"/>
      <c r="AGC45" s="588">
        <f>SUM(AGC26,AGC28:AGC35)</f>
        <v>365879.27</v>
      </c>
      <c r="AGD45" s="1432">
        <f t="shared" si="1824"/>
        <v>0.76230857449262246</v>
      </c>
      <c r="AGE45" s="588">
        <f>AGE43+AGE44</f>
        <v>1470208.79</v>
      </c>
      <c r="AGF45" s="590"/>
      <c r="AGG45" s="590">
        <f t="shared" ref="AGG45" si="1914">AGG43+AGG44</f>
        <v>1214319.23</v>
      </c>
      <c r="AGH45" s="1432">
        <f t="shared" si="1826"/>
        <v>0.82595019038078255</v>
      </c>
      <c r="AGI45" s="588">
        <f>AGI43+AGI44</f>
        <v>272054.11000000004</v>
      </c>
      <c r="AGJ45" s="590"/>
      <c r="AGK45" s="590">
        <f t="shared" ref="AGK45" si="1915">AGK43+AGK44</f>
        <v>185904.47999999998</v>
      </c>
      <c r="AGL45" s="1432">
        <f t="shared" si="1828"/>
        <v>0.68333641421553948</v>
      </c>
      <c r="AGM45" s="588">
        <f>SUM(AGM26,AGM28:AGM35)</f>
        <v>147738.81</v>
      </c>
      <c r="AGN45" s="590"/>
      <c r="AGO45" s="588">
        <f>SUM(AGO26,AGO28:AGO35)</f>
        <v>139828.64000000004</v>
      </c>
      <c r="AGP45" s="1432">
        <f t="shared" si="1829"/>
        <v>0.94645841536154274</v>
      </c>
      <c r="AGQ45" s="588">
        <f>SUM(AGQ26,AGQ28:AGQ35)</f>
        <v>195279.38000000003</v>
      </c>
      <c r="AGR45" s="590"/>
      <c r="AGS45" s="588">
        <f>SUM(AGS26,AGS28:AGS35)</f>
        <v>144614.91999999998</v>
      </c>
      <c r="AGT45" s="1432">
        <f t="shared" si="1830"/>
        <v>0.7405539693950276</v>
      </c>
      <c r="AGU45" s="588">
        <f>SUM(AGU26,AGU28:AGU35)</f>
        <v>217853.07</v>
      </c>
      <c r="AGV45" s="590"/>
      <c r="AGW45" s="588">
        <f>SUM(AGW26,AGW28:AGW35)</f>
        <v>168426.11</v>
      </c>
      <c r="AGX45" s="1432">
        <f t="shared" si="1831"/>
        <v>0.77311790924038837</v>
      </c>
      <c r="AGY45" s="588">
        <f>SUM(AGY26,AGY28:AGY35)</f>
        <v>295923.40999999997</v>
      </c>
      <c r="AGZ45" s="590"/>
      <c r="AHA45" s="588">
        <f>SUM(AHA26,AHA28:AHA35)</f>
        <v>192039.52999999997</v>
      </c>
      <c r="AHB45" s="1432">
        <f t="shared" si="1832"/>
        <v>0.64895011178737083</v>
      </c>
      <c r="AHC45" s="588">
        <f>SUM(AHC26,AHC28:AHC35)</f>
        <v>381340.67</v>
      </c>
      <c r="AHD45" s="590"/>
      <c r="AHE45" s="588">
        <f>SUM(AHE26,AHE28:AHE35)</f>
        <v>223399.13000000003</v>
      </c>
      <c r="AHF45" s="1432">
        <f t="shared" si="1833"/>
        <v>0.58582560837269215</v>
      </c>
      <c r="AHG45" s="588">
        <f>SUM(AHG26,AHG28:AHG35)</f>
        <v>497275.53</v>
      </c>
      <c r="AHH45" s="590"/>
      <c r="AHI45" s="588">
        <f>SUM(AHI26,AHI28:AHI35)</f>
        <v>353230.24</v>
      </c>
      <c r="AHJ45" s="1432">
        <f t="shared" si="1834"/>
        <v>0.71033103116897778</v>
      </c>
      <c r="AHK45" s="588">
        <f>AHK43+AHK44</f>
        <v>1824657.33</v>
      </c>
      <c r="AHL45" s="590"/>
      <c r="AHM45" s="590">
        <f t="shared" ref="AHM45" si="1916">AHM43+AHM44</f>
        <v>1407443.05</v>
      </c>
      <c r="AHN45" s="1432">
        <f t="shared" si="1836"/>
        <v>0.77134650263345605</v>
      </c>
      <c r="AHO45" s="588">
        <f>AHO43+AHO44</f>
        <v>367959.19</v>
      </c>
      <c r="AHP45" s="590"/>
      <c r="AHQ45" s="590">
        <f t="shared" ref="AHQ45" si="1917">AHQ43+AHQ44</f>
        <v>235490.71000000002</v>
      </c>
      <c r="AHR45" s="1432">
        <f t="shared" si="1838"/>
        <v>0.63999138056587201</v>
      </c>
      <c r="AHS45" s="588">
        <f>SUM(AHS26,AHS28:AHS35)</f>
        <v>269551.31</v>
      </c>
      <c r="AHT45" s="590"/>
      <c r="AHU45" s="588">
        <f>SUM(AHU26,AHU28:AHU35)</f>
        <v>209817.63999999998</v>
      </c>
      <c r="AHV45" s="1432">
        <f t="shared" si="1839"/>
        <v>0.77839592024242055</v>
      </c>
      <c r="AHW45" s="588">
        <f>SUM(AHW26,AHW28:AHW35)</f>
        <v>302812.24</v>
      </c>
      <c r="AHX45" s="590"/>
      <c r="AHY45" s="588">
        <f>SUM(AHY26,AHY28:AHY35)</f>
        <v>223759.21000000002</v>
      </c>
      <c r="AHZ45" s="1432">
        <f t="shared" si="1840"/>
        <v>0.73893713807605677</v>
      </c>
      <c r="AIA45" s="588">
        <f>SUM(AIA26,AIA28:AIA35)</f>
        <v>316163.03000000003</v>
      </c>
      <c r="AIB45" s="590"/>
      <c r="AIC45" s="588">
        <f>SUM(AIC26,AIC28:AIC35)</f>
        <v>294239.01999999996</v>
      </c>
      <c r="AID45" s="1432">
        <f t="shared" si="1841"/>
        <v>0.9306559973188514</v>
      </c>
      <c r="AIE45" s="588">
        <f>SUM(AIE26,AIE28:AIE35)</f>
        <v>341272.20000000007</v>
      </c>
      <c r="AIF45" s="590"/>
      <c r="AIG45" s="588">
        <f>SUM(AIG26,AIG28:AIG35)</f>
        <v>305658.01999999996</v>
      </c>
      <c r="AIH45" s="1432">
        <f t="shared" si="1842"/>
        <v>0.89564289151006116</v>
      </c>
      <c r="AII45" s="588">
        <f>SUM(AII26,AII28:AII35)</f>
        <v>382937.94999999995</v>
      </c>
      <c r="AIJ45" s="590"/>
      <c r="AIK45" s="588">
        <f>SUM(AIK26,AIK28:AIK35)</f>
        <v>356397.2099999999</v>
      </c>
      <c r="AIL45" s="1432">
        <f t="shared" si="1843"/>
        <v>0.93069180006839214</v>
      </c>
      <c r="AIM45" s="588">
        <f>SUM(AIM26,AIM28:AIM35)</f>
        <v>500382.77000000008</v>
      </c>
      <c r="AIN45" s="590"/>
      <c r="AIO45" s="588">
        <f>SUM(AIO26,AIO28:AIO35)</f>
        <v>415689.68</v>
      </c>
      <c r="AIP45" s="1432">
        <f t="shared" si="1844"/>
        <v>0.8307433927031499</v>
      </c>
      <c r="AIQ45" s="588">
        <f>AIQ43+AIQ44</f>
        <v>2274664.4500000002</v>
      </c>
      <c r="AIR45" s="590"/>
      <c r="AIS45" s="590">
        <f t="shared" ref="AIS45" si="1918">AIS43+AIS44</f>
        <v>2041051.4899999998</v>
      </c>
      <c r="AIT45" s="1432">
        <f t="shared" si="1846"/>
        <v>0.89729783661058204</v>
      </c>
      <c r="AIU45" s="588">
        <f>AIU43+AIU44</f>
        <v>267714.59519999998</v>
      </c>
      <c r="AIV45" s="590"/>
      <c r="AIW45" s="590">
        <f t="shared" ref="AIW45" si="1919">AIW43+AIW44</f>
        <v>358217.78</v>
      </c>
      <c r="AIX45" s="1432">
        <f t="shared" si="1848"/>
        <v>1.3380584638367898</v>
      </c>
      <c r="AIY45" s="588">
        <f>SUM(AIY26,AIY28:AIY35)</f>
        <v>267714.59520000004</v>
      </c>
      <c r="AIZ45" s="590"/>
      <c r="AJA45" s="588">
        <f>SUM(AJA26,AJA28:AJA35)</f>
        <v>375673.49</v>
      </c>
      <c r="AJB45" s="1432">
        <f t="shared" si="1849"/>
        <v>1.4032611472652348</v>
      </c>
      <c r="AJC45" s="588">
        <f>SUM(AJC26,AJC28:AJC35)</f>
        <v>267714.59520000004</v>
      </c>
      <c r="AJD45" s="590"/>
      <c r="AJE45" s="588">
        <f>SUM(AJE26,AJE28:AJE35)</f>
        <v>448321.51</v>
      </c>
      <c r="AJF45" s="1432">
        <f t="shared" si="1850"/>
        <v>1.6746248356951736</v>
      </c>
      <c r="AJG45" s="588">
        <f>SUM(AJG26,AJG28:AJG35)</f>
        <v>267714.59520000004</v>
      </c>
      <c r="AJH45" s="590"/>
      <c r="AJI45" s="588">
        <f>SUM(AJI26,AJI28:AJI35)</f>
        <v>474506.99000000005</v>
      </c>
      <c r="AJJ45" s="1432">
        <f t="shared" si="1851"/>
        <v>1.7724360139779185</v>
      </c>
      <c r="AJK45" s="588">
        <f>SUM(AJK26,AJK28:AJK35)</f>
        <v>312333.69439999998</v>
      </c>
      <c r="AJL45" s="590"/>
      <c r="AJM45" s="588">
        <f>SUM(AJM26,AJM28:AJM35)</f>
        <v>595947.51</v>
      </c>
      <c r="AJN45" s="1432">
        <f t="shared" si="1852"/>
        <v>1.9080474527246525</v>
      </c>
      <c r="AJO45" s="588">
        <f>SUM(AJO26,AJO28:AJO35)</f>
        <v>356952.79360000003</v>
      </c>
      <c r="AJP45" s="590"/>
      <c r="AJQ45" s="588">
        <f>SUM(AJQ26,AJQ28:AJQ35)</f>
        <v>482461.10999999993</v>
      </c>
      <c r="AJR45" s="1432">
        <f t="shared" si="1853"/>
        <v>1.3516104052140969</v>
      </c>
      <c r="AJS45" s="588">
        <f>SUM(AJS26,AJS28:AJS35)</f>
        <v>490810.09120000002</v>
      </c>
      <c r="AJT45" s="590"/>
      <c r="AJU45" s="588">
        <f>SUM(AJU26,AJU28:AJU35)</f>
        <v>12562.96</v>
      </c>
      <c r="AJV45" s="1432">
        <f t="shared" si="1854"/>
        <v>2.5596376735621606E-2</v>
      </c>
      <c r="AJW45" s="588">
        <f>AJW43+AJW44</f>
        <v>2230954.96</v>
      </c>
      <c r="AJX45" s="590"/>
      <c r="AJY45" s="590">
        <f t="shared" ref="AJY45" si="1920">AJY43+AJY44</f>
        <v>2747691.35</v>
      </c>
      <c r="AJZ45" s="1432">
        <f t="shared" si="1856"/>
        <v>1.2316211663905579</v>
      </c>
      <c r="AKA45" s="588">
        <f>AKA43+AKA44</f>
        <v>122941.36079999999</v>
      </c>
      <c r="AKB45" s="590"/>
      <c r="AKC45" s="590">
        <f t="shared" ref="AKC45" si="1921">AKC43+AKC44</f>
        <v>170276.71</v>
      </c>
      <c r="AKD45" s="1432">
        <f t="shared" si="1858"/>
        <v>1.3850237942054728</v>
      </c>
      <c r="AKE45" s="588">
        <f>SUM(AKE26,AKE28:AKE35)</f>
        <v>122941.36079999998</v>
      </c>
      <c r="AKF45" s="590"/>
      <c r="AKG45" s="588">
        <f>SUM(AKG26,AKG28:AKG35)</f>
        <v>204299.66000000003</v>
      </c>
      <c r="AKH45" s="1432">
        <f t="shared" si="1859"/>
        <v>1.6617650778435182</v>
      </c>
      <c r="AKI45" s="588">
        <f>SUM(AKI26,AKI28:AKI35)</f>
        <v>122941.36079999998</v>
      </c>
      <c r="AKJ45" s="590"/>
      <c r="AKK45" s="588">
        <f>SUM(AKK26,AKK28:AKK35)</f>
        <v>177586.08999999997</v>
      </c>
      <c r="AKL45" s="1432">
        <f t="shared" si="1860"/>
        <v>1.4444779921453414</v>
      </c>
      <c r="AKM45" s="588">
        <f>SUM(AKM26,AKM28:AKM35)</f>
        <v>122941.36079999998</v>
      </c>
      <c r="AKN45" s="590"/>
      <c r="AKO45" s="588">
        <f>SUM(AKO26,AKO28:AKO35)</f>
        <v>219116.91999999998</v>
      </c>
      <c r="AKP45" s="1432">
        <f t="shared" si="1861"/>
        <v>1.7822880646038857</v>
      </c>
      <c r="AKQ45" s="588">
        <f>SUM(AKQ26,AKQ28:AKQ35)</f>
        <v>143431.58760000003</v>
      </c>
      <c r="AKR45" s="590"/>
      <c r="AKS45" s="588">
        <f>SUM(AKS26,AKS28:AKS35)</f>
        <v>254866.84000000003</v>
      </c>
      <c r="AKT45" s="1432">
        <f t="shared" si="1862"/>
        <v>1.7769226727850844</v>
      </c>
      <c r="AKU45" s="588">
        <f>SUM(AKU26,AKU28:AKU35)</f>
        <v>163921.81440000003</v>
      </c>
      <c r="AKV45" s="590"/>
      <c r="AKW45" s="588">
        <f>SUM(AKW26,AKW28:AKW35)</f>
        <v>185495.03999999998</v>
      </c>
      <c r="AKX45" s="1432">
        <f t="shared" si="1863"/>
        <v>1.1316068009554678</v>
      </c>
      <c r="AKY45" s="588">
        <f>SUM(AKY26,AKY28:AKY35)</f>
        <v>225392.49480000001</v>
      </c>
      <c r="AKZ45" s="590"/>
      <c r="ALA45" s="588">
        <f>SUM(ALA26,ALA28:ALA35)</f>
        <v>3363.6</v>
      </c>
      <c r="ALB45" s="1432">
        <f t="shared" si="1864"/>
        <v>1.4923300809038295E-2</v>
      </c>
      <c r="ALC45" s="588">
        <f>ALC43+ALC44</f>
        <v>1024511.3399999999</v>
      </c>
      <c r="ALD45" s="590"/>
      <c r="ALE45" s="590">
        <f t="shared" ref="ALE45" si="1922">ALE43+ALE44</f>
        <v>1215004.8599999999</v>
      </c>
      <c r="ALF45" s="1432">
        <f t="shared" si="1866"/>
        <v>1.1859359799765614</v>
      </c>
    </row>
    <row r="47" spans="1:994" ht="18.75">
      <c r="B47" s="1438" t="s">
        <v>487</v>
      </c>
      <c r="MQ47" s="588">
        <f>MQ41+MQ45</f>
        <v>328102.64400000003</v>
      </c>
      <c r="MR47" s="1450"/>
      <c r="MS47" s="590">
        <f>MS41+MS45</f>
        <v>237374.78</v>
      </c>
      <c r="MT47" s="1439">
        <f>MS47/MQ47</f>
        <v>0.72347719331393123</v>
      </c>
      <c r="MU47" s="588">
        <f>MU41+MU45</f>
        <v>328102.64400000003</v>
      </c>
      <c r="MV47" s="1450"/>
      <c r="MW47" s="590">
        <f>MW41+MW45</f>
        <v>238061.56</v>
      </c>
      <c r="MX47" s="1439">
        <f>MW47/MU47</f>
        <v>0.72557037973762861</v>
      </c>
      <c r="MY47" s="588">
        <f>MY41+MY45</f>
        <v>328102.64400000003</v>
      </c>
      <c r="MZ47" s="1450"/>
      <c r="NA47" s="590">
        <f>NA41+NA45</f>
        <v>210150.91</v>
      </c>
      <c r="NB47" s="1439">
        <f>NA47/MY47</f>
        <v>0.64050355534471093</v>
      </c>
      <c r="NC47" s="588">
        <f>NC41+NC45</f>
        <v>328102.64400000003</v>
      </c>
      <c r="ND47" s="1450"/>
      <c r="NE47" s="590">
        <f>NE41+NE45</f>
        <v>217539.20000000001</v>
      </c>
      <c r="NF47" s="1439">
        <f>NE47/NC47</f>
        <v>0.66302178290279179</v>
      </c>
      <c r="NG47" s="588">
        <f>NG41+NG45</f>
        <v>382786.41800000006</v>
      </c>
      <c r="NH47" s="1450"/>
      <c r="NI47" s="590">
        <f>NI41+NI45</f>
        <v>271977.33999999997</v>
      </c>
      <c r="NJ47" s="1439">
        <f>NI47/NG47</f>
        <v>0.71051982831846427</v>
      </c>
      <c r="NK47" s="588">
        <f>NK41+NK45</f>
        <v>437470.19200000004</v>
      </c>
      <c r="NL47" s="1450"/>
      <c r="NM47" s="590">
        <f>NM41+NM45</f>
        <v>322957.78000000003</v>
      </c>
      <c r="NN47" s="1439">
        <f>NM47/NK47</f>
        <v>0.73823950958468965</v>
      </c>
      <c r="NO47" s="588">
        <f>NO41+NO45</f>
        <v>601521.51399999997</v>
      </c>
      <c r="NP47" s="1450"/>
      <c r="NQ47" s="590">
        <f>NQ41+NQ45</f>
        <v>476201.71</v>
      </c>
      <c r="NR47" s="1439">
        <f>NQ47/NO47</f>
        <v>0.79166197536868155</v>
      </c>
      <c r="NS47" s="588">
        <f>NS41+NS45</f>
        <v>2734188.7</v>
      </c>
      <c r="NT47" s="1450"/>
      <c r="NU47" s="590">
        <f>NU41+NU45</f>
        <v>1974263.28</v>
      </c>
      <c r="NV47" s="1439">
        <f>NU47/NS47</f>
        <v>0.72206548143513283</v>
      </c>
      <c r="NW47" s="588">
        <f>NW41+NW45</f>
        <v>322114.80719999992</v>
      </c>
      <c r="NX47" s="1450"/>
      <c r="NY47" s="590">
        <f>NY41+NY45</f>
        <v>221723.49</v>
      </c>
      <c r="NZ47" s="1439">
        <f>NY47/NW47</f>
        <v>0.6883368446404039</v>
      </c>
      <c r="OA47" s="588">
        <f>OA41+OA45</f>
        <v>322114.80719999992</v>
      </c>
      <c r="OB47" s="1450"/>
      <c r="OC47" s="590">
        <f>OC41+OC45</f>
        <v>211008.66000000003</v>
      </c>
      <c r="OD47" s="1439">
        <f>OC47/OA47</f>
        <v>0.65507283516148795</v>
      </c>
      <c r="OE47" s="588">
        <f>OE41+OE45</f>
        <v>322114.80719999992</v>
      </c>
      <c r="OF47" s="1450"/>
      <c r="OG47" s="590">
        <f>OG41+OG45</f>
        <v>224774.32</v>
      </c>
      <c r="OH47" s="1439">
        <f>OG47/OE47</f>
        <v>0.69780809505114882</v>
      </c>
      <c r="OI47" s="588">
        <f>OI41+OI45</f>
        <v>322114.80719999992</v>
      </c>
      <c r="OJ47" s="1450"/>
      <c r="OK47" s="590">
        <f>OK41+OK45</f>
        <v>216886.81999999998</v>
      </c>
      <c r="OL47" s="1439">
        <f>OK47/OI47</f>
        <v>0.67332148399292846</v>
      </c>
      <c r="OM47" s="588">
        <f>OM41+OM45</f>
        <v>375800.60840000003</v>
      </c>
      <c r="ON47" s="1450"/>
      <c r="OO47" s="590">
        <f>OO41+OO45</f>
        <v>286974.99000000005</v>
      </c>
      <c r="OP47" s="1439">
        <f>OO47/OM47</f>
        <v>0.76363631028118373</v>
      </c>
      <c r="OQ47" s="588">
        <f>OQ41+OQ45</f>
        <v>429486.40959999996</v>
      </c>
      <c r="OR47" s="1450"/>
      <c r="OS47" s="590">
        <f>OS41+OS45</f>
        <v>373574.25999999995</v>
      </c>
      <c r="OT47" s="1439">
        <f>OS47/OQ47</f>
        <v>0.86981625413462205</v>
      </c>
      <c r="OU47" s="588">
        <f>OU41+OU45</f>
        <v>590543.81319999998</v>
      </c>
      <c r="OV47" s="1450"/>
      <c r="OW47" s="590">
        <f>OW41+OW45</f>
        <v>587973.33000000007</v>
      </c>
      <c r="OX47" s="1439">
        <f>OW47/OU47</f>
        <v>0.99564726080852306</v>
      </c>
      <c r="OY47" s="588">
        <f>OY41+OY45</f>
        <v>2684290.06</v>
      </c>
      <c r="OZ47" s="1450"/>
      <c r="PA47" s="590">
        <f>PA41+PA45</f>
        <v>2122915.8699999996</v>
      </c>
      <c r="PB47" s="1439">
        <f>PA47/OY47</f>
        <v>0.79086679254029635</v>
      </c>
      <c r="PC47" s="588">
        <f>PC41+PC45</f>
        <v>304901.04000000004</v>
      </c>
      <c r="PD47" s="1450"/>
      <c r="PE47" s="590">
        <f>PE41+PE45</f>
        <v>316725.74000000005</v>
      </c>
      <c r="PF47" s="1439">
        <f>PE47/PC47</f>
        <v>1.0387820913959493</v>
      </c>
      <c r="PG47" s="588">
        <f>PG41+PG45</f>
        <v>304901.04000000004</v>
      </c>
      <c r="PH47" s="1450"/>
      <c r="PI47" s="590">
        <f>PI41+PI45</f>
        <v>287561.2</v>
      </c>
      <c r="PJ47" s="1439">
        <f>PI47/PG47</f>
        <v>0.94312961346409308</v>
      </c>
      <c r="PK47" s="588">
        <f>PK41+PK45</f>
        <v>320481.24</v>
      </c>
      <c r="PL47" s="1450"/>
      <c r="PM47" s="590">
        <f>PM41+PM45</f>
        <v>253053.44999999998</v>
      </c>
      <c r="PN47" s="1439">
        <f>PM47/PK47</f>
        <v>0.78960456468528384</v>
      </c>
      <c r="PO47" s="588">
        <f>PO41+PO45</f>
        <v>320481.24</v>
      </c>
      <c r="PP47" s="1450"/>
      <c r="PQ47" s="590">
        <f>PQ41+PQ45</f>
        <v>238382.22000000003</v>
      </c>
      <c r="PR47" s="1439">
        <f>PQ47/PO47</f>
        <v>0.74382581645028589</v>
      </c>
      <c r="PS47" s="588">
        <f>PS41+PS45</f>
        <v>373894.78</v>
      </c>
      <c r="PT47" s="1450"/>
      <c r="PU47" s="590">
        <f>PU41+PU45</f>
        <v>258203.83</v>
      </c>
      <c r="PV47" s="1439">
        <f>PU47/PS47</f>
        <v>0.69057885750638182</v>
      </c>
      <c r="PW47" s="588">
        <f>PW41+PW45</f>
        <v>406534.72000000003</v>
      </c>
      <c r="PX47" s="1450"/>
      <c r="PY47" s="590">
        <f>PY41+PY45</f>
        <v>330389.65000000002</v>
      </c>
      <c r="PZ47" s="1439">
        <f>PY47/PW47</f>
        <v>0.8126972525249504</v>
      </c>
      <c r="QA47" s="588">
        <f>QA41+QA45</f>
        <v>558985.24</v>
      </c>
      <c r="QB47" s="1450"/>
      <c r="QC47" s="590">
        <f>QC41+QC45</f>
        <v>485737.29000000004</v>
      </c>
      <c r="QD47" s="1439">
        <f>QC47/QA47</f>
        <v>0.86896264022999969</v>
      </c>
      <c r="QE47" s="588">
        <f>QE41+QE45</f>
        <v>2540842</v>
      </c>
      <c r="QF47" s="1450"/>
      <c r="QG47" s="590">
        <f>QG41+QG45</f>
        <v>2170053.38</v>
      </c>
      <c r="QH47" s="1439">
        <f>QG47/QE47</f>
        <v>0.85406860402968776</v>
      </c>
      <c r="QI47" s="588">
        <f>QI41+QI45</f>
        <v>318980.72879999992</v>
      </c>
      <c r="QJ47" s="1450"/>
      <c r="QK47" s="590">
        <f>QK41+QK45</f>
        <v>248172.38</v>
      </c>
      <c r="QL47" s="1439">
        <f>QK47/QI47</f>
        <v>0.77801684425770889</v>
      </c>
      <c r="QM47" s="588">
        <f>QM41+QM45</f>
        <v>318980.72879999992</v>
      </c>
      <c r="QN47" s="1450"/>
      <c r="QO47" s="590">
        <f>QO41+QO45</f>
        <v>210194.22</v>
      </c>
      <c r="QP47" s="1439">
        <f>QO47/QM47</f>
        <v>0.65895585852708749</v>
      </c>
      <c r="QQ47" s="588">
        <f>QQ41+QQ45</f>
        <v>318980.72879999992</v>
      </c>
      <c r="QR47" s="1450"/>
      <c r="QS47" s="590">
        <f>QS41+QS45</f>
        <v>208129.99</v>
      </c>
      <c r="QT47" s="1439">
        <f>QS47/QQ47</f>
        <v>0.65248452714676985</v>
      </c>
      <c r="QU47" s="588">
        <f>QU41+QU45</f>
        <v>318980.72879999992</v>
      </c>
      <c r="QV47" s="1450"/>
      <c r="QW47" s="590">
        <f>QW41+QW45</f>
        <v>198442.49</v>
      </c>
      <c r="QX47" s="1439">
        <f>QW47/QU47</f>
        <v>0.62211435388757574</v>
      </c>
      <c r="QY47" s="588">
        <f>QY41+QY45</f>
        <v>372144.18359999999</v>
      </c>
      <c r="QZ47" s="1450"/>
      <c r="RA47" s="590">
        <f>RA41+RA45</f>
        <v>230834.99</v>
      </c>
      <c r="RB47" s="1439">
        <f>RA47/QY47</f>
        <v>0.62028375068764607</v>
      </c>
      <c r="RC47" s="588">
        <f>RC41+RC45</f>
        <v>425307.63840000005</v>
      </c>
      <c r="RD47" s="1450"/>
      <c r="RE47" s="590">
        <f>RE41+RE45</f>
        <v>315467.72000000003</v>
      </c>
      <c r="RF47" s="1439">
        <f>RE47/RC47</f>
        <v>0.74174007592900071</v>
      </c>
      <c r="RG47" s="588">
        <f>RG41+RG45</f>
        <v>584798.00280000002</v>
      </c>
      <c r="RH47" s="1450"/>
      <c r="RI47" s="590">
        <f>RI41+RI45</f>
        <v>489745.91</v>
      </c>
      <c r="RJ47" s="1439">
        <f>RI47/RG47</f>
        <v>0.83746166651580078</v>
      </c>
      <c r="RK47" s="588">
        <f>RK41+RK45</f>
        <v>2658172.7399999998</v>
      </c>
      <c r="RL47" s="1450"/>
      <c r="RM47" s="590">
        <f>RM41+RM45</f>
        <v>1900987.7</v>
      </c>
      <c r="RN47" s="1439">
        <f>RM47/RK47</f>
        <v>0.71514829393668378</v>
      </c>
      <c r="RO47" s="588">
        <f>RO41+RO45</f>
        <v>305745.49079999997</v>
      </c>
      <c r="RP47" s="1450"/>
      <c r="RQ47" s="590">
        <f>RQ41+RQ45</f>
        <v>240173.53999999998</v>
      </c>
      <c r="RR47" s="1439">
        <f>RQ47/RO47</f>
        <v>0.78553420157259768</v>
      </c>
      <c r="RS47" s="588">
        <f>RS41+RS45</f>
        <v>305745.49079999991</v>
      </c>
      <c r="RT47" s="1450"/>
      <c r="RU47" s="590">
        <f>RU41+RU45</f>
        <v>205357.80000000002</v>
      </c>
      <c r="RV47" s="1439">
        <f>RU47/RS47</f>
        <v>0.67166256307712024</v>
      </c>
      <c r="RW47" s="588">
        <f>RW41+RW45</f>
        <v>305745.49079999991</v>
      </c>
      <c r="RX47" s="1450"/>
      <c r="RY47" s="590">
        <f>RY41+RY45</f>
        <v>256966.08999999997</v>
      </c>
      <c r="RZ47" s="1439">
        <f>RY47/RW47</f>
        <v>0.84045749727210706</v>
      </c>
      <c r="SA47" s="588">
        <f>SA41+SA45</f>
        <v>305745.49079999991</v>
      </c>
      <c r="SB47" s="1450"/>
      <c r="SC47" s="590">
        <f>SC41+SC45</f>
        <v>285582.31</v>
      </c>
      <c r="SD47" s="1439">
        <f>SC47/SA47</f>
        <v>0.934052401730466</v>
      </c>
      <c r="SE47" s="588">
        <f>SE41+SE45</f>
        <v>356703.07260000007</v>
      </c>
      <c r="SF47" s="1450"/>
      <c r="SG47" s="590">
        <f>SG41+SG45</f>
        <v>269436.95</v>
      </c>
      <c r="SH47" s="1439">
        <f>SG47/SE47</f>
        <v>0.75535359994541285</v>
      </c>
      <c r="SI47" s="588">
        <f>SI41+SI45</f>
        <v>407660.6544</v>
      </c>
      <c r="SJ47" s="1450"/>
      <c r="SK47" s="590">
        <f>SK41+SK45</f>
        <v>340064.88999999996</v>
      </c>
      <c r="SL47" s="1439">
        <f>SK47/SI47</f>
        <v>0.83418619464395372</v>
      </c>
      <c r="SM47" s="588">
        <f>SM41+SM45</f>
        <v>560533.39980000001</v>
      </c>
      <c r="SN47" s="1450"/>
      <c r="SO47" s="590">
        <f>SO41+SO45</f>
        <v>458198.28</v>
      </c>
      <c r="SP47" s="1439">
        <f>SO47/SM47</f>
        <v>0.81743261001661371</v>
      </c>
      <c r="SQ47" s="588">
        <f>SQ41+SQ45</f>
        <v>2547879.09</v>
      </c>
      <c r="SR47" s="1450"/>
      <c r="SS47" s="590">
        <f>SS41+SS45</f>
        <v>2055779.86</v>
      </c>
      <c r="ST47" s="1439">
        <f>SS47/SQ47</f>
        <v>0.80685926897732041</v>
      </c>
      <c r="SU47" s="588">
        <f>SU41+SU45</f>
        <v>285319.1004</v>
      </c>
      <c r="SV47" s="1450"/>
      <c r="SW47" s="590">
        <f>SW41+SW45</f>
        <v>198782.65</v>
      </c>
      <c r="SX47" s="1439">
        <f>SW47/SU47</f>
        <v>0.69670291866656953</v>
      </c>
      <c r="SY47" s="588">
        <f>SY41+SY45</f>
        <v>285319.1004</v>
      </c>
      <c r="SZ47" s="1450"/>
      <c r="TA47" s="590">
        <f>TA41+TA45</f>
        <v>190183.44</v>
      </c>
      <c r="TB47" s="1439">
        <f>TA47/SY47</f>
        <v>0.66656399705934311</v>
      </c>
      <c r="TC47" s="588">
        <f>TC41+TC45</f>
        <v>285319.1004</v>
      </c>
      <c r="TD47" s="1450"/>
      <c r="TE47" s="590">
        <f>TE41+TE45</f>
        <v>192092.57</v>
      </c>
      <c r="TF47" s="1439">
        <f>TE47/TC47</f>
        <v>0.6732552069970007</v>
      </c>
      <c r="TG47" s="588">
        <f>TG41+TG45</f>
        <v>285319.1004</v>
      </c>
      <c r="TH47" s="1450"/>
      <c r="TI47" s="590">
        <f>TI41+TI45</f>
        <v>192795.18</v>
      </c>
      <c r="TJ47" s="1439">
        <f>TI47/TG47</f>
        <v>0.67571774805722051</v>
      </c>
      <c r="TK47" s="588">
        <f>TK41+TK45</f>
        <v>332872.28380000003</v>
      </c>
      <c r="TL47" s="1450"/>
      <c r="TM47" s="590">
        <f>TM41+TM45</f>
        <v>223768.97999999998</v>
      </c>
      <c r="TN47" s="1439">
        <f>TM47/TK47</f>
        <v>0.67223674331037819</v>
      </c>
      <c r="TO47" s="588">
        <f>TO41+TO45</f>
        <v>380425.46720000001</v>
      </c>
      <c r="TP47" s="1450"/>
      <c r="TQ47" s="590">
        <f>TQ41+TQ45</f>
        <v>304521.81999999995</v>
      </c>
      <c r="TR47" s="1439">
        <f>TQ47/TO47</f>
        <v>0.80047695608113567</v>
      </c>
      <c r="TS47" s="588">
        <f>TS41+TS45</f>
        <v>523085.01740000001</v>
      </c>
      <c r="TT47" s="1450"/>
      <c r="TU47" s="590">
        <f>TU41+TU45</f>
        <v>486547.88999999996</v>
      </c>
      <c r="TV47" s="1439">
        <f>TU47/TS47</f>
        <v>0.93015069026138764</v>
      </c>
      <c r="TW47" s="588">
        <f>TW41+TW45</f>
        <v>2377659.1700000004</v>
      </c>
      <c r="TX47" s="1450"/>
      <c r="TY47" s="590">
        <f>TY41+TY45</f>
        <v>1788692.5299999998</v>
      </c>
      <c r="TZ47" s="1439">
        <f>TY47/TW47</f>
        <v>0.7522913933875558</v>
      </c>
      <c r="UA47" s="588">
        <f>UA41+UA45</f>
        <v>364487.07000000007</v>
      </c>
      <c r="UB47" s="1450"/>
      <c r="UC47" s="590">
        <f>UC41+UC45</f>
        <v>209934.82</v>
      </c>
      <c r="UD47" s="1439">
        <f>UC47/UA47</f>
        <v>0.57597329858642166</v>
      </c>
      <c r="UE47" s="588">
        <f>UE41+UE45</f>
        <v>272777.53999999998</v>
      </c>
      <c r="UF47" s="1450"/>
      <c r="UG47" s="590">
        <f>UG41+UG45</f>
        <v>202296.86999999997</v>
      </c>
      <c r="UH47" s="1439">
        <f>UG47/UE47</f>
        <v>0.74161849982223604</v>
      </c>
      <c r="UI47" s="588">
        <f>UI41+UI45</f>
        <v>303207.71999999997</v>
      </c>
      <c r="UJ47" s="1450"/>
      <c r="UK47" s="590">
        <f>UK41+UK45</f>
        <v>213532.47</v>
      </c>
      <c r="UL47" s="1439">
        <f>UK47/UI47</f>
        <v>0.70424483255241666</v>
      </c>
      <c r="UM47" s="588">
        <f>UM41+UM45</f>
        <v>283128.54000000004</v>
      </c>
      <c r="UN47" s="1450"/>
      <c r="UO47" s="590">
        <f>UO41+UO45</f>
        <v>208684.68</v>
      </c>
      <c r="UP47" s="1439">
        <f>UO47/UM47</f>
        <v>0.73706691667325364</v>
      </c>
      <c r="UQ47" s="588">
        <f>UQ41+UQ45</f>
        <v>320560.46999999997</v>
      </c>
      <c r="UR47" s="1450"/>
      <c r="US47" s="590">
        <f>US41+US45</f>
        <v>247791.78000000003</v>
      </c>
      <c r="UT47" s="1439">
        <f>US47/UQ47</f>
        <v>0.77299543515143976</v>
      </c>
      <c r="UU47" s="588">
        <f>UU41+UU45</f>
        <v>423998.45999999996</v>
      </c>
      <c r="UV47" s="1450"/>
      <c r="UW47" s="590">
        <f>UW41+UW45</f>
        <v>370442.85</v>
      </c>
      <c r="UX47" s="1439">
        <f>UW47/UU47</f>
        <v>0.8736891402860284</v>
      </c>
      <c r="UY47" s="588">
        <f>UY41+UY45</f>
        <v>598765.69000000006</v>
      </c>
      <c r="UZ47" s="1450"/>
      <c r="VA47" s="590">
        <f>VA41+VA45</f>
        <v>497394.29999999993</v>
      </c>
      <c r="VB47" s="1439">
        <f>VA47/UY47</f>
        <v>0.83069940096267014</v>
      </c>
      <c r="VC47" s="588">
        <f>VC41+VC45</f>
        <v>2566925.4900000002</v>
      </c>
      <c r="VD47" s="1450"/>
      <c r="VE47" s="590">
        <f>VE41+VE45</f>
        <v>1950077.77</v>
      </c>
      <c r="VF47" s="1439">
        <f>VE47/VC47</f>
        <v>0.75969395200481638</v>
      </c>
      <c r="VG47" s="588">
        <f>VG41+VG45</f>
        <v>345071.57</v>
      </c>
      <c r="VH47" s="1450"/>
      <c r="VI47" s="590">
        <f>VI41+VI45</f>
        <v>223306.33000000002</v>
      </c>
      <c r="VJ47" s="1439">
        <f>VI47/VG47</f>
        <v>0.64713047788897826</v>
      </c>
      <c r="VK47" s="588">
        <f>VK41+VK45</f>
        <v>260327.46</v>
      </c>
      <c r="VL47" s="1450"/>
      <c r="VM47" s="590">
        <f>VM41+VM45</f>
        <v>204498.30000000002</v>
      </c>
      <c r="VN47" s="1439">
        <f>VM47/VK47</f>
        <v>0.7855425624327147</v>
      </c>
      <c r="VO47" s="588">
        <f>VO41+VO45</f>
        <v>238438.26999999996</v>
      </c>
      <c r="VP47" s="1450"/>
      <c r="VQ47" s="590">
        <f>VQ41+VQ45</f>
        <v>191243.38</v>
      </c>
      <c r="VR47" s="1439">
        <f>VQ47/VO47</f>
        <v>0.80206663133397182</v>
      </c>
      <c r="VS47" s="588">
        <f>VS41+VS45</f>
        <v>257668.86</v>
      </c>
      <c r="VT47" s="1450"/>
      <c r="VU47" s="590">
        <f>VU41+VU45</f>
        <v>207930.77000000002</v>
      </c>
      <c r="VV47" s="1439">
        <f>VU47/VS47</f>
        <v>0.80696895232120802</v>
      </c>
      <c r="VW47" s="588">
        <f>VW41+VW45</f>
        <v>289711.08</v>
      </c>
      <c r="VX47" s="1450"/>
      <c r="VY47" s="590">
        <f>VY41+VY45</f>
        <v>234534.44</v>
      </c>
      <c r="VZ47" s="1439">
        <f>VY47/VW47</f>
        <v>0.80954597939436757</v>
      </c>
      <c r="WA47" s="588">
        <f>WA41+WA45</f>
        <v>369526.1</v>
      </c>
      <c r="WB47" s="1450"/>
      <c r="WC47" s="590">
        <f>WC41+WC45</f>
        <v>334245.23</v>
      </c>
      <c r="WD47" s="1439">
        <f>WC47/WA47</f>
        <v>0.90452401061792387</v>
      </c>
      <c r="WE47" s="588">
        <f>WE41+WE45</f>
        <v>598399.29</v>
      </c>
      <c r="WF47" s="1450"/>
      <c r="WG47" s="590">
        <f>WG41+WG45</f>
        <v>530502.48</v>
      </c>
      <c r="WH47" s="1439">
        <f>WG47/WE47</f>
        <v>0.88653594492065646</v>
      </c>
      <c r="WI47" s="588">
        <f>WI41+WI45</f>
        <v>1101506.1599999999</v>
      </c>
      <c r="WJ47" s="1450"/>
      <c r="WK47" s="590">
        <f>WK41+WK45</f>
        <v>1926260.9300000002</v>
      </c>
      <c r="WL47" s="1439">
        <f>WK47/WI47</f>
        <v>1.7487518453823265</v>
      </c>
      <c r="WM47" s="588">
        <f>WM41+WM45</f>
        <v>317940.33999999997</v>
      </c>
      <c r="WN47" s="1450"/>
      <c r="WO47" s="590">
        <f>WO41+WO45</f>
        <v>251643.55</v>
      </c>
      <c r="WP47" s="1439">
        <f>WO47/WM47</f>
        <v>0.79148040792810381</v>
      </c>
      <c r="WQ47" s="588">
        <f>WQ41+WQ45</f>
        <v>298396.01</v>
      </c>
      <c r="WR47" s="1450"/>
      <c r="WS47" s="590">
        <f>WS41+WS45</f>
        <v>224637.71000000002</v>
      </c>
      <c r="WT47" s="1439">
        <f>WS47/WQ47</f>
        <v>0.75281740529975594</v>
      </c>
      <c r="WU47" s="588">
        <f>WU41+WU45</f>
        <v>308460.77</v>
      </c>
      <c r="WV47" s="1450"/>
      <c r="WW47" s="590">
        <f>WW41+WW45</f>
        <v>215592.24000000002</v>
      </c>
      <c r="WX47" s="1439">
        <f>WW47/WU47</f>
        <v>0.69892920256926028</v>
      </c>
      <c r="WY47" s="588">
        <f>WY41+WY45</f>
        <v>319010.33</v>
      </c>
      <c r="WZ47" s="1450"/>
      <c r="XA47" s="590">
        <f>XA41+XA45</f>
        <v>226472.09000000003</v>
      </c>
      <c r="XB47" s="1439">
        <f>XA47/WY47</f>
        <v>0.70992086682584865</v>
      </c>
      <c r="XC47" s="588">
        <f>XC41+XC45</f>
        <v>320150.90999999997</v>
      </c>
      <c r="XD47" s="1450"/>
      <c r="XE47" s="590">
        <f>XE41+XE45</f>
        <v>274400.46000000002</v>
      </c>
      <c r="XF47" s="1439">
        <f>XE47/XC47</f>
        <v>0.85709723580045438</v>
      </c>
      <c r="XG47" s="588">
        <f>XG41+XG45</f>
        <v>411717.78999999992</v>
      </c>
      <c r="XH47" s="1450"/>
      <c r="XI47" s="590">
        <f>XI41+XI45</f>
        <v>386173.97000000003</v>
      </c>
      <c r="XJ47" s="1439">
        <f>XI47/XG47</f>
        <v>0.93795793958769691</v>
      </c>
      <c r="XK47" s="588">
        <f>XK41+XK45</f>
        <v>640265.34</v>
      </c>
      <c r="XL47" s="1450"/>
      <c r="XM47" s="590">
        <f>XM41+XM45</f>
        <v>611075.55999999994</v>
      </c>
      <c r="XN47" s="1439">
        <f>XM47/XK47</f>
        <v>0.95440987013290457</v>
      </c>
      <c r="XO47" s="588">
        <f>XO41+XO45</f>
        <v>2615941.4900000002</v>
      </c>
      <c r="XP47" s="1450"/>
      <c r="XQ47" s="590">
        <f>XQ41+XQ45</f>
        <v>2189995.5799999996</v>
      </c>
      <c r="XR47" s="1439">
        <f>XQ47/XO47</f>
        <v>0.8371729980856718</v>
      </c>
      <c r="XS47" s="588">
        <f>XS41+XS45</f>
        <v>383289.44999999995</v>
      </c>
      <c r="XT47" s="1450"/>
      <c r="XU47" s="590">
        <f>XU41+XU45</f>
        <v>261841.08</v>
      </c>
      <c r="XV47" s="1439">
        <f>XU47/XS47</f>
        <v>0.68314189185222818</v>
      </c>
      <c r="XW47" s="588">
        <f>XW41+XW45</f>
        <v>272952.33000000007</v>
      </c>
      <c r="XX47" s="1450"/>
      <c r="XY47" s="590">
        <f>XY41+XY45</f>
        <v>241445.21999999997</v>
      </c>
      <c r="XZ47" s="1439">
        <f>XY47/XW47</f>
        <v>0.88456918466312384</v>
      </c>
      <c r="YA47" s="588">
        <f>YA41+YA45</f>
        <v>281244.18</v>
      </c>
      <c r="YB47" s="1450"/>
      <c r="YC47" s="590">
        <f>YC41+YC45</f>
        <v>219732.28999999998</v>
      </c>
      <c r="YD47" s="1439">
        <f>YC47/YA47</f>
        <v>0.78128653186707719</v>
      </c>
      <c r="YE47" s="588">
        <f>YE41+YE45</f>
        <v>286972.26</v>
      </c>
      <c r="YF47" s="1450"/>
      <c r="YG47" s="590">
        <f>YG41+YG45</f>
        <v>223103.09000000003</v>
      </c>
      <c r="YH47" s="1439">
        <f>YG47/YE47</f>
        <v>0.77743782622055535</v>
      </c>
      <c r="YI47" s="588">
        <f>YI41+YI45</f>
        <v>330528.88</v>
      </c>
      <c r="YJ47" s="1450"/>
      <c r="YK47" s="590">
        <f>YK41+YK45</f>
        <v>277841.99</v>
      </c>
      <c r="YL47" s="1439">
        <f>YK47/YI47</f>
        <v>0.84059822548637808</v>
      </c>
      <c r="YM47" s="588">
        <f>YM41+YM45</f>
        <v>444065.38</v>
      </c>
      <c r="YN47" s="1450"/>
      <c r="YO47" s="590">
        <f>YO41+YO45</f>
        <v>382987.76999999996</v>
      </c>
      <c r="YP47" s="1439">
        <f>YO47/YM47</f>
        <v>0.86245806867448205</v>
      </c>
      <c r="YQ47" s="588">
        <f>YQ41+YQ45</f>
        <v>712818.52</v>
      </c>
      <c r="YR47" s="1450"/>
      <c r="YS47" s="590">
        <f>YS41+YS45</f>
        <v>592976.60000000009</v>
      </c>
      <c r="YT47" s="1439">
        <f>YS47/YQ47</f>
        <v>0.83187597314390771</v>
      </c>
      <c r="YU47" s="588">
        <f>YU41+YU45</f>
        <v>2711871</v>
      </c>
      <c r="YV47" s="1450"/>
      <c r="YW47" s="590">
        <f>YW41+YW45</f>
        <v>2199928.04</v>
      </c>
      <c r="YX47" s="1439">
        <f>YW47/YU47</f>
        <v>0.81122149246774644</v>
      </c>
      <c r="YY47" s="588">
        <f>YY41+YY45</f>
        <v>388485.67999999993</v>
      </c>
      <c r="YZ47" s="1450"/>
      <c r="ZA47" s="590">
        <f>ZA41+ZA45</f>
        <v>304180.43</v>
      </c>
      <c r="ZB47" s="1439">
        <f>ZA47/YY47</f>
        <v>0.78299007057351522</v>
      </c>
      <c r="ZC47" s="588">
        <f>ZC41+ZC45</f>
        <v>334315.19</v>
      </c>
      <c r="ZD47" s="1450"/>
      <c r="ZE47" s="590">
        <f>ZE41+ZE45</f>
        <v>284699.51</v>
      </c>
      <c r="ZF47" s="1439">
        <f>ZE47/ZC47</f>
        <v>0.85159011171463672</v>
      </c>
      <c r="ZG47" s="588">
        <f>ZG41+ZG45</f>
        <v>399706.26000000007</v>
      </c>
      <c r="ZH47" s="1450"/>
      <c r="ZI47" s="590">
        <f>ZI41+ZI45</f>
        <v>336473.51</v>
      </c>
      <c r="ZJ47" s="1439">
        <f>ZI47/ZG47</f>
        <v>0.84180195226364474</v>
      </c>
      <c r="ZK47" s="588">
        <f>ZK41+ZK45</f>
        <v>523033.49</v>
      </c>
      <c r="ZL47" s="1450"/>
      <c r="ZM47" s="590">
        <f>ZM41+ZM45</f>
        <v>383834.18</v>
      </c>
      <c r="ZN47" s="1439">
        <f>ZM47/ZK47</f>
        <v>0.73386157356768877</v>
      </c>
      <c r="ZO47" s="588">
        <f>ZO41+ZO45</f>
        <v>611195.56999999995</v>
      </c>
      <c r="ZP47" s="1450"/>
      <c r="ZQ47" s="590">
        <f>ZQ41+ZQ45</f>
        <v>427267.4</v>
      </c>
      <c r="ZR47" s="1439">
        <f>ZQ47/ZO47</f>
        <v>0.69906822132235036</v>
      </c>
      <c r="ZS47" s="588">
        <f>ZS41+ZS45</f>
        <v>459467.52000000008</v>
      </c>
      <c r="ZT47" s="1450"/>
      <c r="ZU47" s="590">
        <f>ZU41+ZU45</f>
        <v>593200.30000000005</v>
      </c>
      <c r="ZV47" s="1439">
        <f>ZU47/ZS47</f>
        <v>1.2910603561270229</v>
      </c>
      <c r="ZW47" s="588">
        <f>ZW41+ZW45</f>
        <v>548279.99</v>
      </c>
      <c r="ZX47" s="1450"/>
      <c r="ZY47" s="590">
        <f>ZY41+ZY45</f>
        <v>858309.02</v>
      </c>
      <c r="ZZ47" s="1439">
        <f>ZY47/ZW47</f>
        <v>1.5654574955398246</v>
      </c>
      <c r="AAA47" s="588">
        <f>AAA41+AAA45</f>
        <v>3264483.7</v>
      </c>
      <c r="AAB47" s="1450"/>
      <c r="AAC47" s="590">
        <f>AAC41+AAC45</f>
        <v>3187964.35</v>
      </c>
      <c r="AAD47" s="1439">
        <f>AAC47/AAA47</f>
        <v>0.97656004531436313</v>
      </c>
      <c r="AAE47" s="588">
        <f>AAE41+AAE45</f>
        <v>345377.48</v>
      </c>
      <c r="AAF47" s="1450"/>
      <c r="AAG47" s="590">
        <f>AAG41+AAG45</f>
        <v>372071.46</v>
      </c>
      <c r="AAH47" s="1439">
        <f>AAG47/AAE47</f>
        <v>1.0772892893885266</v>
      </c>
      <c r="AAI47" s="588">
        <f>AAI41+AAI45</f>
        <v>275490.13</v>
      </c>
      <c r="AAJ47" s="1450"/>
      <c r="AAK47" s="590">
        <f>AAK41+AAK45</f>
        <v>294642.8</v>
      </c>
      <c r="AAL47" s="1439">
        <f>AAK47/AAI47</f>
        <v>1.0695221640063837</v>
      </c>
      <c r="AAM47" s="588">
        <f>AAM41+AAM45</f>
        <v>285743.38</v>
      </c>
      <c r="AAN47" s="1450"/>
      <c r="AAO47" s="590">
        <f>AAO41+AAO45</f>
        <v>214653.84</v>
      </c>
      <c r="AAP47" s="1439">
        <f>AAO47/AAM47</f>
        <v>0.75121194408773351</v>
      </c>
      <c r="AAQ47" s="588">
        <f>AAQ41+AAQ45</f>
        <v>236887.44999999998</v>
      </c>
      <c r="AAR47" s="1450"/>
      <c r="AAS47" s="590">
        <f>AAS41+AAS45</f>
        <v>221284.81</v>
      </c>
      <c r="AAT47" s="1439">
        <f>AAS47/AAQ47</f>
        <v>0.93413479692571311</v>
      </c>
      <c r="AAU47" s="588">
        <f>AAU41+AAU45</f>
        <v>284340.68</v>
      </c>
      <c r="AAV47" s="1450"/>
      <c r="AAW47" s="590">
        <f>AAW41+AAW45</f>
        <v>242359.90999999997</v>
      </c>
      <c r="AAX47" s="1439">
        <f>AAW47/AAU47</f>
        <v>0.85235749594465338</v>
      </c>
      <c r="AAY47" s="588">
        <f>AAY41+AAY45</f>
        <v>345975.08999999997</v>
      </c>
      <c r="AAZ47" s="1450"/>
      <c r="ABA47" s="590">
        <f>ABA41+ABA45</f>
        <v>334950.67000000004</v>
      </c>
      <c r="ABB47" s="1439">
        <f>ABA47/AAY47</f>
        <v>0.96813522037092348</v>
      </c>
      <c r="ABC47" s="588">
        <f>ABC41+ABC45</f>
        <v>628208.31999999995</v>
      </c>
      <c r="ABD47" s="1450"/>
      <c r="ABE47" s="590">
        <f>ABE41+ABE45</f>
        <v>561719.82999999996</v>
      </c>
      <c r="ABF47" s="1439">
        <f>ABE47/ABC47</f>
        <v>0.89416171692855007</v>
      </c>
      <c r="ABG47" s="588">
        <f>ABG41+ABG45</f>
        <v>2402022.5300000003</v>
      </c>
      <c r="ABH47" s="1450"/>
      <c r="ABI47" s="590">
        <f>ABI41+ABI45</f>
        <v>2241683.3200000003</v>
      </c>
      <c r="ABJ47" s="1439">
        <f>ABI47/ABG47</f>
        <v>0.9332482489246261</v>
      </c>
      <c r="ABK47" s="588">
        <f>ABK41+ABK45</f>
        <v>363457.28000000003</v>
      </c>
      <c r="ABL47" s="1450"/>
      <c r="ABM47" s="590">
        <f>ABM41+ABM45</f>
        <v>280516.06</v>
      </c>
      <c r="ABN47" s="1439">
        <f>ABM47/ABK47</f>
        <v>0.77179926069990945</v>
      </c>
      <c r="ABO47" s="588">
        <f>ABO41+ABO45</f>
        <v>258900.94999999995</v>
      </c>
      <c r="ABP47" s="1450"/>
      <c r="ABQ47" s="590">
        <f>ABQ41+ABQ45</f>
        <v>249006.32</v>
      </c>
      <c r="ABR47" s="1439">
        <f>ABQ47/ABO47</f>
        <v>0.96178217963279022</v>
      </c>
      <c r="ABS47" s="588">
        <f>ABS41+ABS45</f>
        <v>209907.00999999998</v>
      </c>
      <c r="ABT47" s="1450"/>
      <c r="ABU47" s="590">
        <f>ABU41+ABU45</f>
        <v>232323.06</v>
      </c>
      <c r="ABV47" s="1439">
        <f>ABU47/ABS47</f>
        <v>1.1067903830367554</v>
      </c>
      <c r="ABW47" s="588">
        <f>ABW41+ABW45</f>
        <v>265185.23</v>
      </c>
      <c r="ABX47" s="1450"/>
      <c r="ABY47" s="590">
        <f>ABY41+ABY45</f>
        <v>268081.68000000005</v>
      </c>
      <c r="ABZ47" s="1439">
        <f>ABY47/ABW47</f>
        <v>1.0109223654726174</v>
      </c>
      <c r="ACA47" s="588">
        <f>ACA41+ACA45</f>
        <v>383599.44000000006</v>
      </c>
      <c r="ACB47" s="1450"/>
      <c r="ACC47" s="590">
        <f>ACC41+ACC45</f>
        <v>290529.05</v>
      </c>
      <c r="ACD47" s="1439">
        <f>ACC47/ACA47</f>
        <v>0.75737610565854829</v>
      </c>
      <c r="ACE47" s="588">
        <f>ACE41+ACE45</f>
        <v>610953.37000000011</v>
      </c>
      <c r="ACF47" s="1450"/>
      <c r="ACG47" s="590">
        <f>ACG41+ACG45</f>
        <v>444596.76</v>
      </c>
      <c r="ACH47" s="1439">
        <f>ACG47/ACE47</f>
        <v>0.72770980868801804</v>
      </c>
      <c r="ACI47" s="588">
        <f>ACI41+ACI45</f>
        <v>995514.19000000006</v>
      </c>
      <c r="ACJ47" s="1450"/>
      <c r="ACK47" s="590">
        <f>ACK41+ACK45</f>
        <v>728907.8</v>
      </c>
      <c r="ACL47" s="1439">
        <f>ACK47/ACI47</f>
        <v>0.73219227543105136</v>
      </c>
      <c r="ACM47" s="588">
        <f>ACM41+ACM45</f>
        <v>3087517.4699999997</v>
      </c>
      <c r="ACN47" s="1450"/>
      <c r="ACO47" s="590">
        <f>ACO41+ACO45</f>
        <v>2493960.73</v>
      </c>
      <c r="ACP47" s="1439">
        <f>ACO47/ACM47</f>
        <v>0.80775598979849661</v>
      </c>
      <c r="ACQ47" s="588">
        <f>ACQ41+ACQ45</f>
        <v>685675.95</v>
      </c>
      <c r="ACR47" s="1450"/>
      <c r="ACS47" s="590">
        <f>ACS41+ACS45</f>
        <v>429584.64000000001</v>
      </c>
      <c r="ACT47" s="1439">
        <f>ACS47/ACQ47</f>
        <v>0.62651262597149582</v>
      </c>
      <c r="ACU47" s="588">
        <f>ACU41+ACU45</f>
        <v>700790.23</v>
      </c>
      <c r="ACV47" s="1450"/>
      <c r="ACW47" s="590">
        <f>ACW41+ACW45</f>
        <v>454306.05</v>
      </c>
      <c r="ACX47" s="1439">
        <f>ACW47/ACU47</f>
        <v>0.64827680317403968</v>
      </c>
      <c r="ACY47" s="588">
        <f>ACY41+ACY45</f>
        <v>358759.40999999992</v>
      </c>
      <c r="ACZ47" s="1450"/>
      <c r="ADA47" s="590">
        <f>ADA41+ADA45</f>
        <v>309517.29000000004</v>
      </c>
      <c r="ADB47" s="1439">
        <f>ADA47/ACY47</f>
        <v>0.86274333542916715</v>
      </c>
      <c r="ADC47" s="588">
        <f>ADC41+ADC45</f>
        <v>299666.23</v>
      </c>
      <c r="ADD47" s="1450"/>
      <c r="ADE47" s="590">
        <f>ADE41+ADE45</f>
        <v>278051.45000000007</v>
      </c>
      <c r="ADF47" s="1439">
        <f>ADE47/ADC47</f>
        <v>0.92787048443863729</v>
      </c>
      <c r="ADG47" s="588">
        <f>ADG41+ADG45</f>
        <v>381458.38</v>
      </c>
      <c r="ADH47" s="1450"/>
      <c r="ADI47" s="590">
        <f>ADI41+ADI45</f>
        <v>311510.79000000004</v>
      </c>
      <c r="ADJ47" s="1439">
        <f>ADI47/ADG47</f>
        <v>0.81663113548586885</v>
      </c>
      <c r="ADK47" s="588">
        <f>ADK41+ADK45</f>
        <v>493407.73</v>
      </c>
      <c r="ADL47" s="1450"/>
      <c r="ADM47" s="590">
        <f>ADM41+ADM45</f>
        <v>399303.82</v>
      </c>
      <c r="ADN47" s="1439">
        <f>ADM47/ADK47</f>
        <v>0.80927759279328682</v>
      </c>
      <c r="ADO47" s="588">
        <f>ADO41+ADO45</f>
        <v>735722.14999999991</v>
      </c>
      <c r="ADP47" s="1450"/>
      <c r="ADQ47" s="590">
        <f>ADQ41+ADQ45</f>
        <v>619950.19999999995</v>
      </c>
      <c r="ADR47" s="1439">
        <f>ADQ47/ADO47</f>
        <v>0.84264175001391495</v>
      </c>
      <c r="ADS47" s="588">
        <f>ADS41+ADS45</f>
        <v>3542452.5</v>
      </c>
      <c r="ADT47" s="1450"/>
      <c r="ADU47" s="590">
        <f>ADU41+ADU45</f>
        <v>2802224.24</v>
      </c>
      <c r="ADV47" s="1439">
        <f>ADU47/ADS47</f>
        <v>0.79104073801977592</v>
      </c>
      <c r="ADW47" s="588">
        <f>ADW41+ADW45</f>
        <v>451379.59</v>
      </c>
      <c r="ADX47" s="1450"/>
      <c r="ADY47" s="590">
        <f>ADY41+ADY45</f>
        <v>359536.37</v>
      </c>
      <c r="ADZ47" s="1439">
        <f>ADY47/ADW47</f>
        <v>0.79652775173108725</v>
      </c>
      <c r="AEA47" s="588">
        <f>AEA41+AEA45</f>
        <v>387918.55</v>
      </c>
      <c r="AEB47" s="1450"/>
      <c r="AEC47" s="590">
        <f>AEC41+AEC45</f>
        <v>340032</v>
      </c>
      <c r="AED47" s="1439">
        <f>AEC47/AEA47</f>
        <v>0.87655514282572977</v>
      </c>
      <c r="AEE47" s="588">
        <f>AEE41+AEE45</f>
        <v>375919.56</v>
      </c>
      <c r="AEF47" s="1450"/>
      <c r="AEG47" s="590">
        <f>AEG41+AEG45</f>
        <v>347310</v>
      </c>
      <c r="AEH47" s="1439">
        <f>AEG47/AEE47</f>
        <v>0.92389446295372335</v>
      </c>
      <c r="AEI47" s="588">
        <f>AEI41+AEI45</f>
        <v>351071.23000000004</v>
      </c>
      <c r="AEJ47" s="1450"/>
      <c r="AEK47" s="590">
        <f>AEK41+AEK45</f>
        <v>385527</v>
      </c>
      <c r="AEL47" s="1439">
        <f>AEK47/AEI47</f>
        <v>1.0981446699577175</v>
      </c>
      <c r="AEM47" s="588">
        <f>AEM41+AEM45</f>
        <v>484659.33000000007</v>
      </c>
      <c r="AEN47" s="1450"/>
      <c r="AEO47" s="590">
        <f>AEO41+AEO45</f>
        <v>370811</v>
      </c>
      <c r="AEP47" s="1439">
        <f>AEO47/AEM47</f>
        <v>0.76509617590566126</v>
      </c>
      <c r="AEQ47" s="588">
        <f>AEQ41+AEQ45</f>
        <v>688388.22</v>
      </c>
      <c r="AER47" s="1450"/>
      <c r="AES47" s="590">
        <f>AES41+AES45</f>
        <v>332486</v>
      </c>
      <c r="AET47" s="1439">
        <f>AES47/AEQ47</f>
        <v>0.48299199541793442</v>
      </c>
      <c r="AEU47" s="588">
        <f>AEU41+AEU45</f>
        <v>1051102.7600000002</v>
      </c>
      <c r="AEV47" s="1450"/>
      <c r="AEW47" s="590">
        <f>AEW41+AEW45</f>
        <v>801998</v>
      </c>
      <c r="AEX47" s="1439">
        <f>AEW47/AEU47</f>
        <v>0.7630062735255303</v>
      </c>
      <c r="AEY47" s="588">
        <f>AEY41+AEY45</f>
        <v>3720060.87</v>
      </c>
      <c r="AEZ47" s="1450"/>
      <c r="AFA47" s="590">
        <f>AFA41+AFA45</f>
        <v>2937700.37</v>
      </c>
      <c r="AFB47" s="1439">
        <f>AFA47/AEY47</f>
        <v>0.789691478892387</v>
      </c>
      <c r="AFC47" s="588">
        <f>AFC41+AFC45</f>
        <v>615976.46000000008</v>
      </c>
      <c r="AFD47" s="1450"/>
      <c r="AFE47" s="590">
        <f>AFE41+AFE45</f>
        <v>401289</v>
      </c>
      <c r="AFF47" s="1439">
        <f>AFE47/AFC47</f>
        <v>0.65146807720541777</v>
      </c>
      <c r="AFG47" s="588">
        <f>AFG41+AFG45</f>
        <v>558198.79</v>
      </c>
      <c r="AFH47" s="1450"/>
      <c r="AFI47" s="590">
        <f>AFI41+AFI45</f>
        <v>402807.07999999996</v>
      </c>
      <c r="AFJ47" s="1439">
        <f>AFI47/AFG47</f>
        <v>0.72161940730828156</v>
      </c>
      <c r="AFK47" s="588">
        <f>AFK41+AFK45</f>
        <v>536482.2799999998</v>
      </c>
      <c r="AFL47" s="1450"/>
      <c r="AFM47" s="590">
        <f>AFM41+AFM45</f>
        <v>465345.61</v>
      </c>
      <c r="AFN47" s="1439">
        <f>AFM47/AFK47</f>
        <v>0.86740164092651884</v>
      </c>
      <c r="AFO47" s="588">
        <f>AFO41+AFO45</f>
        <v>593387.11</v>
      </c>
      <c r="AFP47" s="1450"/>
      <c r="AFQ47" s="590">
        <f>AFQ41+AFQ45</f>
        <v>481009.14</v>
      </c>
      <c r="AFR47" s="1439">
        <f>AFQ47/AFO47</f>
        <v>0.81061609174489824</v>
      </c>
      <c r="AFS47" s="588">
        <f>AFS41+AFS45</f>
        <v>673041.32000000007</v>
      </c>
      <c r="AFT47" s="1450"/>
      <c r="AFU47" s="590">
        <f>AFU41+AFU45</f>
        <v>563507.08000000007</v>
      </c>
      <c r="AFV47" s="1439">
        <f>AFU47/AFS47</f>
        <v>0.83725480628737625</v>
      </c>
      <c r="AFW47" s="588">
        <f>AFW41+AFW45</f>
        <v>843030.45000000007</v>
      </c>
      <c r="AFX47" s="1450"/>
      <c r="AFY47" s="590">
        <f>AFY41+AFY45</f>
        <v>661066.01</v>
      </c>
      <c r="AFZ47" s="1439">
        <f>AFY47/AFW47</f>
        <v>0.78415436832679053</v>
      </c>
      <c r="AGA47" s="588">
        <f>AGA41+AGA45</f>
        <v>1327612.83</v>
      </c>
      <c r="AGB47" s="1450"/>
      <c r="AGC47" s="590">
        <f>AGC41+AGC45</f>
        <v>1094321.3200000003</v>
      </c>
      <c r="AGD47" s="1439">
        <f>AGC47/AGA47</f>
        <v>0.82427745143137876</v>
      </c>
      <c r="AGE47" s="588">
        <f>AGE41+AGE45</f>
        <v>5020596.5900000008</v>
      </c>
      <c r="AGF47" s="1450"/>
      <c r="AGG47" s="590">
        <f>AGG41+AGG45</f>
        <v>4069345.24</v>
      </c>
      <c r="AGH47" s="1439">
        <f>AGG47/AGE47</f>
        <v>0.8105302162904906</v>
      </c>
      <c r="AGI47" s="588">
        <f>AGI41+AGI45</f>
        <v>854986.58000000007</v>
      </c>
      <c r="AGJ47" s="1450"/>
      <c r="AGK47" s="590">
        <f>AGK41+AGK45</f>
        <v>545500.5</v>
      </c>
      <c r="AGL47" s="1439">
        <f>AGK47/AGI47</f>
        <v>0.6380222950399993</v>
      </c>
      <c r="AGM47" s="588">
        <f>AGM41+AGM45</f>
        <v>548081.71</v>
      </c>
      <c r="AGN47" s="1450"/>
      <c r="AGO47" s="590">
        <f>AGO41+AGO45</f>
        <v>519017.17000000004</v>
      </c>
      <c r="AGP47" s="1439">
        <f>AGO47/AGM47</f>
        <v>0.94697042526742969</v>
      </c>
      <c r="AGQ47" s="588">
        <f>AGQ41+AGQ45</f>
        <v>687361.04999999993</v>
      </c>
      <c r="AGR47" s="1450"/>
      <c r="AGS47" s="590">
        <f>AGS41+AGS45</f>
        <v>501876.86999999994</v>
      </c>
      <c r="AGT47" s="1439">
        <f>AGS47/AGQ47</f>
        <v>0.73015029001134113</v>
      </c>
      <c r="AGU47" s="588">
        <f>AGU41+AGU45</f>
        <v>742787.89999999991</v>
      </c>
      <c r="AGV47" s="1450"/>
      <c r="AGW47" s="590">
        <f>AGW41+AGW45</f>
        <v>580653.37</v>
      </c>
      <c r="AGX47" s="1439">
        <f>AGW47/AGU47</f>
        <v>0.78172163278373286</v>
      </c>
      <c r="AGY47" s="588">
        <f>AGY41+AGY45</f>
        <v>858645.84999999986</v>
      </c>
      <c r="AGZ47" s="1450"/>
      <c r="AHA47" s="590">
        <f>AHA41+AHA45</f>
        <v>593340.27999999991</v>
      </c>
      <c r="AHB47" s="1439">
        <f>AHA47/AGY47</f>
        <v>0.6910186312552492</v>
      </c>
      <c r="AHC47" s="588">
        <f>AHC41+AHC45</f>
        <v>1057609.9799999997</v>
      </c>
      <c r="AHD47" s="1450"/>
      <c r="AHE47" s="590">
        <f>AHE41+AHE45</f>
        <v>739040.69000000006</v>
      </c>
      <c r="AHF47" s="1439">
        <f>AHE47/AHC47</f>
        <v>0.69878377093226773</v>
      </c>
      <c r="AHG47" s="588">
        <f>AHG41+AHG45</f>
        <v>1433708.62</v>
      </c>
      <c r="AHH47" s="1450"/>
      <c r="AHI47" s="590">
        <f>AHI41+AHI45</f>
        <v>1113874.1299999999</v>
      </c>
      <c r="AHJ47" s="1439">
        <f>AHI47/AHG47</f>
        <v>0.77691806721508017</v>
      </c>
      <c r="AHK47" s="588">
        <f>AHK41+AHK45</f>
        <v>6000374.04</v>
      </c>
      <c r="AHL47" s="1450"/>
      <c r="AHM47" s="590">
        <f>AHM41+AHM45</f>
        <v>4593303.01</v>
      </c>
      <c r="AHN47" s="1439">
        <f>AHM47/AHK47</f>
        <v>0.7655027802233475</v>
      </c>
      <c r="AHO47" s="588">
        <f>AHO41+AHO45</f>
        <v>1038185.8600000001</v>
      </c>
      <c r="AHP47" s="1450"/>
      <c r="AHQ47" s="590">
        <f>AHQ41+AHQ45</f>
        <v>650204.38</v>
      </c>
      <c r="AHR47" s="1439">
        <f>AHQ47/AHO47</f>
        <v>0.62628899607629018</v>
      </c>
      <c r="AHS47" s="588">
        <f>AHS41+AHS45</f>
        <v>980715.53</v>
      </c>
      <c r="AHT47" s="1450"/>
      <c r="AHU47" s="590">
        <f>AHU41+AHU45</f>
        <v>685810.75</v>
      </c>
      <c r="AHV47" s="1439">
        <f>AHU47/AHS47</f>
        <v>0.69929630868596526</v>
      </c>
      <c r="AHW47" s="588">
        <f>AHW41+AHW45</f>
        <v>967939.58</v>
      </c>
      <c r="AHX47" s="1450"/>
      <c r="AHY47" s="590">
        <f>AHY41+AHY45</f>
        <v>686922.33000000007</v>
      </c>
      <c r="AHZ47" s="1439">
        <f>AHY47/AHW47</f>
        <v>0.70967480222267598</v>
      </c>
      <c r="AIA47" s="588">
        <f>AIA41+AIA45</f>
        <v>1029394.0900000001</v>
      </c>
      <c r="AIB47" s="1450"/>
      <c r="AIC47" s="590">
        <f>AIC41+AIC45</f>
        <v>816891.80999999994</v>
      </c>
      <c r="AID47" s="1439">
        <f>AIC47/AIA47</f>
        <v>0.79356566929580863</v>
      </c>
      <c r="AIE47" s="588">
        <f>AIE41+AIE45</f>
        <v>1015731.5100000001</v>
      </c>
      <c r="AIF47" s="1450"/>
      <c r="AIG47" s="590">
        <f>AIG41+AIG45</f>
        <v>868521.25</v>
      </c>
      <c r="AIH47" s="1439">
        <f>AIG47/AIE47</f>
        <v>0.85506971227071604</v>
      </c>
      <c r="AII47" s="588">
        <f>AII41+AII45</f>
        <v>1209938.27</v>
      </c>
      <c r="AIJ47" s="1450"/>
      <c r="AIK47" s="590">
        <f>AIK41+AIK45</f>
        <v>953184.05999999982</v>
      </c>
      <c r="AIL47" s="1439">
        <f>AIK47/AII47</f>
        <v>0.78779561208523452</v>
      </c>
      <c r="AIM47" s="588">
        <f>AIM41+AIM45</f>
        <v>1632577.5</v>
      </c>
      <c r="AIN47" s="1450"/>
      <c r="AIO47" s="590">
        <f>AIO41+AIO45</f>
        <v>1279192.81</v>
      </c>
      <c r="AIP47" s="1439">
        <f>AIO47/AIM47</f>
        <v>0.78354185942168142</v>
      </c>
      <c r="AIQ47" s="588">
        <f>AIQ41+AIQ45</f>
        <v>7668068.1000000006</v>
      </c>
      <c r="AIR47" s="1450"/>
      <c r="AIS47" s="590">
        <f>AIS41+AIS45</f>
        <v>5940727.3899999987</v>
      </c>
      <c r="AIT47" s="1439">
        <f>AIS47/AIQ47</f>
        <v>0.77473586730404731</v>
      </c>
      <c r="AIU47" s="588">
        <f>AIU41+AIU45</f>
        <v>857836.55039999995</v>
      </c>
      <c r="AIV47" s="1450"/>
      <c r="AIW47" s="590">
        <f>AIW41+AIW45</f>
        <v>1091719.3900000001</v>
      </c>
      <c r="AIX47" s="1439">
        <f>AIW47/AIU47</f>
        <v>1.2726426607620567</v>
      </c>
      <c r="AIY47" s="588">
        <f>AIY41+AIY45</f>
        <v>857836.55040000007</v>
      </c>
      <c r="AIZ47" s="1450"/>
      <c r="AJA47" s="590">
        <f>AJA41+AJA45</f>
        <v>1249526.8900000001</v>
      </c>
      <c r="AJB47" s="1439">
        <f>AJA47/AIY47</f>
        <v>1.4566025304206949</v>
      </c>
      <c r="AJC47" s="588">
        <f>AJC41+AJC45</f>
        <v>857836.55040000007</v>
      </c>
      <c r="AJD47" s="1450"/>
      <c r="AJE47" s="590">
        <f>AJE41+AJE45</f>
        <v>1412309.77</v>
      </c>
      <c r="AJF47" s="1439">
        <f>AJE47/AJC47</f>
        <v>1.6463623161562129</v>
      </c>
      <c r="AJG47" s="588">
        <f>AJG41+AJG45</f>
        <v>857836.55040000007</v>
      </c>
      <c r="AJH47" s="1450"/>
      <c r="AJI47" s="590">
        <f>AJI41+AJI45</f>
        <v>1490113.79</v>
      </c>
      <c r="AJJ47" s="1439">
        <f>AJI47/AJG47</f>
        <v>1.7370602701705538</v>
      </c>
      <c r="AJK47" s="588">
        <f>AJK41+AJK45</f>
        <v>1000809.3088</v>
      </c>
      <c r="AJL47" s="1450"/>
      <c r="AJM47" s="590">
        <f>AJM41+AJM45</f>
        <v>2020662.1500000001</v>
      </c>
      <c r="AJN47" s="1439">
        <f>AJM47/AJK47</f>
        <v>2.0190281327647059</v>
      </c>
      <c r="AJO47" s="588">
        <f>AJO41+AJO45</f>
        <v>1143782.0672000002</v>
      </c>
      <c r="AJP47" s="1450"/>
      <c r="AJQ47" s="590">
        <f>AJQ41+AJQ45</f>
        <v>1911458.5000000002</v>
      </c>
      <c r="AJR47" s="1439">
        <f>AJQ47/AJO47</f>
        <v>1.6711736919247968</v>
      </c>
      <c r="AJS47" s="588">
        <f>AJS41+AJS45</f>
        <v>1572700.3424</v>
      </c>
      <c r="AJT47" s="1450"/>
      <c r="AJU47" s="590">
        <f>AJU41+AJU45</f>
        <v>12562.96</v>
      </c>
      <c r="AJV47" s="1439">
        <f>AJU47/AJS47</f>
        <v>7.9881460322113549E-3</v>
      </c>
      <c r="AJW47" s="588">
        <f>AJW41+AJW45</f>
        <v>7148637.9200000009</v>
      </c>
      <c r="AJX47" s="1450"/>
      <c r="AJY47" s="590">
        <f>AJY41+AJY45</f>
        <v>9188353.4499999993</v>
      </c>
      <c r="AJZ47" s="1439">
        <f>AJY47/AJW47</f>
        <v>1.2853292547232549</v>
      </c>
      <c r="AKA47" s="588">
        <f>AKA41+AKA45</f>
        <v>307259.26199999999</v>
      </c>
      <c r="AKB47" s="1450"/>
      <c r="AKC47" s="590">
        <f>AKC41+AKC45</f>
        <v>348413.17999999993</v>
      </c>
      <c r="AKD47" s="1439">
        <f>AKC47/AKA47</f>
        <v>1.1339387386799098</v>
      </c>
      <c r="AKE47" s="588">
        <f>AKE41+AKE45</f>
        <v>307259.26199999999</v>
      </c>
      <c r="AKF47" s="1450"/>
      <c r="AKG47" s="590">
        <f>AKG41+AKG45</f>
        <v>419215.85</v>
      </c>
      <c r="AKH47" s="1439">
        <f>AKG47/AKE47</f>
        <v>1.364371727222335</v>
      </c>
      <c r="AKI47" s="588">
        <f>AKI41+AKI45</f>
        <v>307259.26199999999</v>
      </c>
      <c r="AKJ47" s="1450"/>
      <c r="AKK47" s="590">
        <f>AKK41+AKK45</f>
        <v>389931.76999999996</v>
      </c>
      <c r="AKL47" s="1439">
        <f>AKK47/AKI47</f>
        <v>1.2690643317368899</v>
      </c>
      <c r="AKM47" s="588">
        <f>AKM41+AKM45</f>
        <v>307259.26199999999</v>
      </c>
      <c r="AKN47" s="1450"/>
      <c r="AKO47" s="590">
        <f>AKO41+AKO45</f>
        <v>432618.6</v>
      </c>
      <c r="AKP47" s="1439">
        <f>AKO47/AKM47</f>
        <v>1.4079920559074961</v>
      </c>
      <c r="AKQ47" s="588">
        <f>AKQ41+AKQ45</f>
        <v>358469.13900000008</v>
      </c>
      <c r="AKR47" s="1450"/>
      <c r="AKS47" s="590">
        <f>AKS41+AKS45</f>
        <v>535961.16</v>
      </c>
      <c r="AKT47" s="1439">
        <f>AKS47/AKQ47</f>
        <v>1.4951389162680471</v>
      </c>
      <c r="AKU47" s="588">
        <f>AKU41+AKU45</f>
        <v>409679.01600000006</v>
      </c>
      <c r="AKV47" s="1450"/>
      <c r="AKW47" s="590">
        <f>AKW41+AKW45</f>
        <v>466509.88</v>
      </c>
      <c r="AKX47" s="1439">
        <f>AKW47/AKU47</f>
        <v>1.1387204659757333</v>
      </c>
      <c r="AKY47" s="588">
        <f>AKY41+AKY45</f>
        <v>563308.64699999988</v>
      </c>
      <c r="AKZ47" s="1450"/>
      <c r="ALA47" s="590">
        <f>ALA41+ALA45</f>
        <v>3363.6</v>
      </c>
      <c r="ALB47" s="1439">
        <f>ALA47/AKY47</f>
        <v>5.9711492410305586E-3</v>
      </c>
      <c r="ALC47" s="588">
        <f>ALC41+ALC45</f>
        <v>2560493.8499999996</v>
      </c>
      <c r="ALD47" s="1450"/>
      <c r="ALE47" s="590">
        <f>ALE41+ALE45</f>
        <v>2596014.04</v>
      </c>
      <c r="ALF47" s="1439">
        <f>ALE47/ALC47</f>
        <v>1.0138723980922666</v>
      </c>
    </row>
    <row r="49" spans="2:994">
      <c r="B49" s="692" t="s">
        <v>488</v>
      </c>
      <c r="AE49" s="693"/>
      <c r="AF49" s="693"/>
      <c r="AG49" s="693"/>
      <c r="AH49" s="693"/>
      <c r="AI49" s="693"/>
      <c r="AJ49" s="693"/>
      <c r="AK49" s="693"/>
      <c r="AL49" s="693"/>
      <c r="AM49" s="693"/>
      <c r="AN49" s="693"/>
      <c r="AO49" s="693"/>
      <c r="AP49" s="693"/>
      <c r="AQ49" s="693"/>
      <c r="AR49" s="693"/>
      <c r="AS49" s="693"/>
      <c r="AT49" s="693"/>
      <c r="AU49" s="693"/>
      <c r="AV49" s="693"/>
      <c r="AW49" s="693"/>
      <c r="AX49" s="693"/>
      <c r="AY49" s="693"/>
      <c r="AZ49" s="693"/>
      <c r="BA49" s="693"/>
      <c r="BB49" s="693"/>
      <c r="BC49" s="693"/>
      <c r="BD49" s="693"/>
      <c r="BE49" s="693"/>
      <c r="BF49" s="693"/>
      <c r="BG49" s="693"/>
      <c r="BH49" s="693"/>
      <c r="BI49" s="693"/>
      <c r="BJ49" s="693"/>
      <c r="BK49" s="693"/>
      <c r="BL49" s="693"/>
      <c r="BM49" s="693"/>
      <c r="BN49" s="693"/>
      <c r="BO49" s="693"/>
      <c r="BP49" s="693"/>
      <c r="BQ49" s="693"/>
      <c r="BR49" s="693"/>
      <c r="BS49" s="693"/>
      <c r="BT49" s="693"/>
      <c r="BU49" s="693"/>
      <c r="BV49" s="693"/>
      <c r="BW49" s="693"/>
      <c r="BX49" s="693"/>
      <c r="BY49" s="693"/>
      <c r="BZ49" s="693"/>
      <c r="CA49" s="693"/>
      <c r="CB49" s="693"/>
      <c r="CC49" s="693"/>
      <c r="CD49" s="693"/>
      <c r="CE49" s="693"/>
      <c r="CF49" s="693"/>
      <c r="CG49" s="693"/>
      <c r="CH49" s="693"/>
      <c r="CI49" s="693"/>
      <c r="CJ49" s="693"/>
      <c r="CK49" s="693"/>
      <c r="CL49" s="693"/>
      <c r="CM49" s="693"/>
      <c r="CN49" s="693"/>
      <c r="CO49" s="693"/>
      <c r="CP49" s="693"/>
      <c r="CQ49" s="693"/>
      <c r="CR49" s="693"/>
      <c r="CS49" s="693"/>
      <c r="CT49" s="693"/>
      <c r="CU49" s="693"/>
      <c r="CV49" s="693"/>
      <c r="CW49" s="693"/>
      <c r="CX49" s="693"/>
      <c r="CY49" s="693"/>
      <c r="CZ49" s="693"/>
      <c r="DA49" s="693"/>
      <c r="DB49" s="693"/>
      <c r="DC49" s="693"/>
      <c r="DD49" s="693"/>
      <c r="DE49" s="693"/>
      <c r="DF49" s="693"/>
      <c r="DG49" s="693"/>
      <c r="DH49" s="693"/>
      <c r="DI49" s="693"/>
      <c r="DJ49" s="693"/>
      <c r="DK49" s="693"/>
      <c r="DL49" s="693"/>
      <c r="DM49" s="693"/>
      <c r="DN49" s="693"/>
      <c r="DO49" s="693"/>
      <c r="DP49" s="693"/>
      <c r="DQ49" s="693"/>
      <c r="DR49" s="693"/>
      <c r="DS49" s="693"/>
      <c r="DT49" s="693"/>
      <c r="DU49" s="693"/>
      <c r="DV49" s="693"/>
      <c r="DW49" s="693"/>
      <c r="DX49" s="693"/>
      <c r="DY49" s="693"/>
      <c r="DZ49" s="693"/>
      <c r="EA49" s="693"/>
      <c r="EB49" s="693"/>
      <c r="EC49" s="693"/>
      <c r="ED49" s="693"/>
      <c r="EE49" s="693"/>
      <c r="EF49" s="693"/>
      <c r="EG49" s="693"/>
      <c r="EH49" s="693"/>
      <c r="EI49" s="693"/>
      <c r="EJ49" s="693"/>
      <c r="EK49" s="693"/>
      <c r="EL49" s="693"/>
      <c r="EM49" s="693"/>
      <c r="EN49" s="693"/>
      <c r="EO49" s="693"/>
      <c r="EP49" s="693"/>
      <c r="EQ49" s="693"/>
      <c r="ER49" s="693"/>
      <c r="ES49" s="693"/>
      <c r="ET49" s="693"/>
      <c r="EU49" s="693"/>
      <c r="EV49" s="693"/>
      <c r="EW49" s="693"/>
      <c r="EX49" s="693"/>
      <c r="EY49" s="693"/>
      <c r="EZ49" s="693"/>
      <c r="FA49" s="693"/>
      <c r="FB49" s="693"/>
      <c r="FC49" s="693"/>
      <c r="FD49" s="693"/>
      <c r="FE49" s="693"/>
      <c r="FF49" s="693"/>
      <c r="FG49" s="693"/>
      <c r="FH49" s="693"/>
      <c r="FI49" s="693"/>
      <c r="FJ49" s="693"/>
      <c r="FK49" s="693"/>
      <c r="FL49" s="693"/>
      <c r="FM49" s="693"/>
      <c r="FN49" s="693"/>
      <c r="FO49" s="693"/>
      <c r="FP49" s="693"/>
      <c r="FQ49" s="693"/>
      <c r="FR49" s="693"/>
      <c r="FS49" s="693"/>
      <c r="FT49" s="693"/>
      <c r="FU49" s="693"/>
      <c r="FV49" s="693"/>
      <c r="FW49" s="693"/>
      <c r="FX49" s="693"/>
      <c r="FY49" s="693"/>
      <c r="FZ49" s="693"/>
      <c r="GA49" s="693"/>
      <c r="GB49" s="693"/>
      <c r="GC49" s="693"/>
      <c r="GD49" s="693"/>
      <c r="GE49" s="693"/>
      <c r="GF49" s="693"/>
      <c r="GG49" s="693"/>
      <c r="GH49" s="693"/>
      <c r="GI49" s="693"/>
      <c r="GJ49" s="693"/>
      <c r="GK49" s="693"/>
      <c r="GL49" s="693"/>
      <c r="GM49" s="693"/>
      <c r="GN49" s="693"/>
      <c r="GO49" s="693"/>
      <c r="GP49" s="693"/>
      <c r="GQ49" s="693"/>
      <c r="GR49" s="693"/>
      <c r="GS49" s="693"/>
      <c r="GT49" s="693"/>
      <c r="GU49" s="693"/>
      <c r="GV49" s="693"/>
      <c r="GW49" s="693"/>
      <c r="GX49" s="693"/>
      <c r="GY49" s="693"/>
      <c r="GZ49" s="693"/>
      <c r="HA49" s="693"/>
      <c r="HB49" s="693"/>
      <c r="HC49" s="693"/>
      <c r="HD49" s="693"/>
      <c r="HE49" s="693"/>
      <c r="HF49" s="693"/>
      <c r="HG49" s="693"/>
      <c r="HH49" s="693"/>
      <c r="HI49" s="693"/>
      <c r="HJ49" s="693"/>
      <c r="HK49" s="693"/>
      <c r="HL49" s="693"/>
      <c r="HM49" s="693"/>
      <c r="HN49" s="693"/>
      <c r="HO49" s="693"/>
      <c r="HP49" s="693"/>
      <c r="HQ49" s="693"/>
      <c r="HR49" s="693"/>
      <c r="HS49" s="693"/>
      <c r="HT49" s="693"/>
      <c r="HU49" s="693"/>
      <c r="HV49" s="693"/>
      <c r="HW49" s="693"/>
      <c r="HX49" s="693"/>
      <c r="HY49" s="693"/>
      <c r="HZ49" s="693"/>
      <c r="IA49" s="693"/>
      <c r="IB49" s="693"/>
      <c r="IC49" s="693"/>
      <c r="ID49" s="693"/>
      <c r="IE49" s="693"/>
      <c r="IF49" s="693"/>
      <c r="IG49" s="693"/>
      <c r="IH49" s="693"/>
      <c r="II49" s="693"/>
      <c r="IJ49" s="693"/>
      <c r="IK49" s="693"/>
      <c r="IL49" s="693"/>
      <c r="IM49" s="693"/>
      <c r="IN49" s="693"/>
      <c r="IO49" s="693"/>
      <c r="IP49" s="693"/>
      <c r="IQ49" s="693"/>
      <c r="IR49" s="693"/>
      <c r="IS49" s="693"/>
      <c r="IT49" s="693"/>
      <c r="IU49" s="693"/>
      <c r="IV49" s="693"/>
      <c r="IW49" s="693"/>
      <c r="IX49" s="693"/>
      <c r="IY49" s="693"/>
      <c r="IZ49" s="693"/>
      <c r="JA49" s="693"/>
      <c r="JB49" s="693"/>
      <c r="JC49" s="693"/>
      <c r="JD49" s="693"/>
      <c r="JE49" s="693"/>
      <c r="JF49" s="693"/>
      <c r="JG49" s="693"/>
      <c r="JH49" s="693"/>
      <c r="JI49" s="693"/>
      <c r="JJ49" s="693"/>
      <c r="JK49" s="693"/>
      <c r="JL49" s="693"/>
      <c r="JM49" s="693"/>
      <c r="JN49" s="693"/>
      <c r="JO49" s="693"/>
      <c r="JP49" s="693"/>
      <c r="JQ49" s="693"/>
      <c r="JR49" s="693"/>
      <c r="JS49" s="693"/>
      <c r="JT49" s="693"/>
      <c r="JU49" s="693"/>
      <c r="JV49" s="693"/>
      <c r="JW49" s="693"/>
      <c r="JX49" s="693"/>
      <c r="JY49" s="693"/>
      <c r="JZ49" s="693"/>
      <c r="KA49" s="693"/>
      <c r="KB49" s="693"/>
      <c r="KC49" s="693"/>
      <c r="KD49" s="693"/>
      <c r="KE49" s="693"/>
      <c r="KF49" s="693"/>
      <c r="KG49" s="693"/>
      <c r="KH49" s="693"/>
      <c r="KI49" s="693"/>
      <c r="KJ49" s="693"/>
      <c r="KK49" s="693"/>
      <c r="KL49" s="693"/>
      <c r="KM49" s="693"/>
      <c r="KN49" s="693"/>
      <c r="KO49" s="693"/>
      <c r="KP49" s="693"/>
      <c r="KQ49" s="693"/>
      <c r="KR49" s="693"/>
      <c r="KS49" s="693"/>
      <c r="KT49" s="693"/>
      <c r="KU49" s="693"/>
      <c r="KV49" s="693"/>
      <c r="KW49" s="693"/>
      <c r="KX49" s="693"/>
      <c r="KY49" s="693"/>
      <c r="KZ49" s="693"/>
      <c r="LA49" s="693"/>
      <c r="LB49" s="693"/>
      <c r="LC49" s="693"/>
      <c r="LD49" s="693"/>
      <c r="LE49" s="693"/>
      <c r="LF49" s="693"/>
      <c r="LG49" s="693"/>
      <c r="LH49" s="693"/>
      <c r="LI49" s="693"/>
      <c r="LJ49" s="693"/>
      <c r="LK49" s="693"/>
      <c r="LL49" s="693"/>
      <c r="LM49" s="693"/>
      <c r="LN49" s="693"/>
      <c r="LO49" s="693"/>
      <c r="LP49" s="693"/>
      <c r="LQ49" s="693"/>
      <c r="LR49" s="693"/>
      <c r="LS49" s="693"/>
      <c r="LT49" s="693"/>
      <c r="LU49" s="693"/>
      <c r="LV49" s="693"/>
      <c r="LW49" s="693"/>
      <c r="LX49" s="693"/>
      <c r="LY49" s="693"/>
      <c r="LZ49" s="693"/>
      <c r="MA49" s="693"/>
      <c r="MB49" s="693"/>
      <c r="MC49" s="693"/>
      <c r="MD49" s="693"/>
      <c r="ME49" s="693"/>
      <c r="MF49" s="693"/>
      <c r="MG49" s="693"/>
      <c r="MH49" s="693"/>
      <c r="MI49" s="693"/>
      <c r="MJ49" s="693"/>
      <c r="MK49" s="693"/>
      <c r="ML49" s="693"/>
      <c r="MM49" s="693"/>
      <c r="MN49" s="693"/>
      <c r="MO49" s="693"/>
      <c r="MP49" s="693"/>
      <c r="MQ49" s="693"/>
      <c r="MR49" s="693"/>
      <c r="MS49" s="693"/>
      <c r="MT49" s="693"/>
      <c r="MU49" s="693"/>
      <c r="MV49" s="693"/>
      <c r="MW49" s="693"/>
      <c r="MX49" s="693"/>
      <c r="MY49" s="693"/>
      <c r="MZ49" s="693"/>
      <c r="NA49" s="693"/>
      <c r="NB49" s="693"/>
      <c r="NC49" s="693"/>
      <c r="ND49" s="693"/>
      <c r="NE49" s="693"/>
      <c r="NF49" s="693"/>
      <c r="NG49" s="693"/>
      <c r="NH49" s="693"/>
      <c r="NI49" s="693"/>
      <c r="NJ49" s="693"/>
      <c r="NK49" s="693"/>
      <c r="NL49" s="693"/>
      <c r="NM49" s="693"/>
      <c r="NN49" s="693"/>
      <c r="NO49" s="693"/>
      <c r="NP49" s="693"/>
      <c r="NQ49" s="693"/>
      <c r="NR49" s="693"/>
      <c r="NS49" s="693"/>
      <c r="NT49" s="693"/>
      <c r="NU49" s="693"/>
      <c r="NV49" s="693"/>
      <c r="NW49" s="693"/>
      <c r="NX49" s="693"/>
      <c r="NY49" s="693"/>
      <c r="NZ49" s="693"/>
      <c r="OA49" s="693"/>
      <c r="OB49" s="693"/>
      <c r="OC49" s="693"/>
      <c r="OD49" s="693"/>
      <c r="OE49" s="693"/>
      <c r="OF49" s="693"/>
      <c r="OG49" s="693"/>
      <c r="OH49" s="693"/>
      <c r="OI49" s="693"/>
      <c r="OJ49" s="693"/>
      <c r="OK49" s="693"/>
      <c r="OL49" s="693"/>
      <c r="OM49" s="693"/>
      <c r="ON49" s="693"/>
      <c r="OO49" s="693"/>
      <c r="OP49" s="693"/>
      <c r="OQ49" s="693"/>
      <c r="OR49" s="693"/>
      <c r="OS49" s="693"/>
      <c r="OT49" s="693"/>
      <c r="OU49" s="693"/>
      <c r="OV49" s="693"/>
      <c r="OW49" s="693"/>
      <c r="OX49" s="693"/>
      <c r="OY49" s="693"/>
      <c r="OZ49" s="693"/>
      <c r="PA49" s="693"/>
      <c r="PB49" s="693"/>
      <c r="PC49" s="693"/>
      <c r="PD49" s="693"/>
      <c r="PE49" s="693"/>
      <c r="PF49" s="693"/>
      <c r="PG49" s="693"/>
      <c r="PH49" s="693"/>
      <c r="PI49" s="693"/>
      <c r="PJ49" s="693"/>
      <c r="PK49" s="693"/>
      <c r="PL49" s="693"/>
      <c r="PM49" s="693"/>
      <c r="PN49" s="693"/>
      <c r="PO49" s="693"/>
      <c r="PP49" s="693"/>
      <c r="PQ49" s="693"/>
      <c r="PR49" s="693"/>
      <c r="PS49" s="693"/>
      <c r="PT49" s="693"/>
      <c r="PU49" s="693"/>
      <c r="PV49" s="693"/>
      <c r="PW49" s="693"/>
      <c r="PX49" s="693"/>
      <c r="PY49" s="693"/>
      <c r="PZ49" s="693"/>
      <c r="QA49" s="693"/>
      <c r="QB49" s="693"/>
      <c r="QC49" s="693"/>
      <c r="QD49" s="693"/>
      <c r="QE49" s="693"/>
      <c r="QF49" s="693"/>
      <c r="QG49" s="693"/>
      <c r="QH49" s="693"/>
      <c r="QI49" s="693"/>
      <c r="QJ49" s="693"/>
      <c r="QK49" s="693"/>
      <c r="QL49" s="693"/>
      <c r="QM49" s="693"/>
      <c r="QN49" s="693"/>
      <c r="QO49" s="693"/>
      <c r="QP49" s="693"/>
      <c r="QQ49" s="693"/>
      <c r="QR49" s="693"/>
      <c r="QS49" s="693"/>
      <c r="QT49" s="693"/>
      <c r="QU49" s="693"/>
      <c r="QV49" s="693"/>
      <c r="QW49" s="693"/>
      <c r="QX49" s="693"/>
      <c r="QY49" s="693"/>
      <c r="QZ49" s="693"/>
      <c r="RA49" s="693"/>
      <c r="RB49" s="693"/>
      <c r="RC49" s="693"/>
      <c r="RD49" s="693"/>
      <c r="RE49" s="693"/>
      <c r="RF49" s="693"/>
      <c r="RG49" s="693"/>
      <c r="RH49" s="693"/>
      <c r="RI49" s="693"/>
      <c r="RJ49" s="693"/>
      <c r="RK49" s="693"/>
      <c r="RL49" s="693"/>
      <c r="RM49" s="693"/>
      <c r="RN49" s="693"/>
      <c r="RO49" s="693"/>
      <c r="RP49" s="693"/>
      <c r="RQ49" s="693"/>
      <c r="RR49" s="693"/>
      <c r="RS49" s="693"/>
      <c r="RT49" s="693"/>
      <c r="RU49" s="693"/>
      <c r="RV49" s="693"/>
      <c r="RW49" s="693"/>
      <c r="RX49" s="693"/>
      <c r="RY49" s="693"/>
      <c r="RZ49" s="693"/>
      <c r="SA49" s="693"/>
      <c r="SB49" s="693"/>
      <c r="SC49" s="693"/>
      <c r="SD49" s="693"/>
      <c r="SE49" s="693"/>
      <c r="SF49" s="693"/>
      <c r="SG49" s="693"/>
      <c r="SH49" s="693"/>
      <c r="SI49" s="693"/>
      <c r="SJ49" s="693"/>
      <c r="SK49" s="693"/>
      <c r="SL49" s="693"/>
      <c r="SM49" s="693"/>
      <c r="SN49" s="693"/>
      <c r="SO49" s="693"/>
      <c r="SP49" s="693"/>
      <c r="SQ49" s="693"/>
      <c r="SR49" s="693"/>
      <c r="SS49" s="693"/>
      <c r="ST49" s="693"/>
      <c r="SU49" s="693"/>
      <c r="SV49" s="693"/>
      <c r="SW49" s="693"/>
      <c r="SX49" s="693"/>
      <c r="SY49" s="693"/>
      <c r="SZ49" s="693"/>
      <c r="TA49" s="693"/>
      <c r="TB49" s="693"/>
      <c r="TC49" s="693"/>
      <c r="TD49" s="693"/>
      <c r="TE49" s="693"/>
      <c r="TF49" s="693"/>
      <c r="TG49" s="693"/>
      <c r="TH49" s="693"/>
      <c r="TI49" s="693"/>
      <c r="TJ49" s="693"/>
      <c r="TK49" s="693"/>
      <c r="TL49" s="693"/>
      <c r="TM49" s="693"/>
      <c r="TN49" s="693"/>
      <c r="TO49" s="693"/>
      <c r="TP49" s="693"/>
      <c r="TQ49" s="693"/>
      <c r="TR49" s="693"/>
      <c r="TS49" s="693"/>
      <c r="TT49" s="693"/>
      <c r="TU49" s="693"/>
      <c r="TV49" s="693"/>
      <c r="TW49" s="693"/>
      <c r="TX49" s="693"/>
      <c r="TY49" s="693"/>
      <c r="TZ49" s="693"/>
      <c r="UA49" s="693"/>
      <c r="UB49" s="693"/>
      <c r="UC49" s="693"/>
      <c r="UD49" s="693"/>
      <c r="UE49" s="693"/>
      <c r="UF49" s="693"/>
      <c r="UG49" s="693"/>
      <c r="UH49" s="693"/>
      <c r="UI49" s="693"/>
      <c r="UJ49" s="693"/>
      <c r="UK49" s="693"/>
      <c r="UL49" s="693"/>
      <c r="UM49" s="693"/>
      <c r="UN49" s="693"/>
      <c r="UO49" s="693"/>
      <c r="UP49" s="693"/>
      <c r="UQ49" s="693"/>
      <c r="UR49" s="693"/>
      <c r="US49" s="693"/>
      <c r="UT49" s="693"/>
      <c r="UU49" s="693"/>
      <c r="UV49" s="693"/>
      <c r="UW49" s="693"/>
      <c r="UX49" s="693"/>
      <c r="UY49" s="693"/>
      <c r="UZ49" s="693"/>
      <c r="VA49" s="693"/>
      <c r="VB49" s="693"/>
      <c r="VC49" s="693"/>
      <c r="VD49" s="693"/>
      <c r="VE49" s="693"/>
      <c r="VF49" s="693"/>
      <c r="VG49" s="693"/>
      <c r="VH49" s="693"/>
      <c r="VI49" s="693"/>
      <c r="VJ49" s="693"/>
      <c r="VK49" s="693"/>
      <c r="VL49" s="693"/>
      <c r="VM49" s="693"/>
      <c r="VN49" s="693"/>
      <c r="VO49" s="693"/>
      <c r="VP49" s="693"/>
      <c r="VQ49" s="693"/>
      <c r="VR49" s="693"/>
      <c r="VS49" s="693"/>
      <c r="VT49" s="693"/>
      <c r="VU49" s="693"/>
      <c r="VV49" s="693"/>
      <c r="VW49" s="693"/>
      <c r="VX49" s="693"/>
      <c r="VY49" s="693"/>
      <c r="VZ49" s="693"/>
      <c r="WA49" s="693"/>
      <c r="WB49" s="693"/>
      <c r="WC49" s="693"/>
      <c r="WD49" s="693"/>
      <c r="WE49" s="693"/>
      <c r="WF49" s="693"/>
      <c r="WG49" s="693"/>
      <c r="WH49" s="693"/>
      <c r="WI49" s="693"/>
      <c r="WJ49" s="693"/>
      <c r="WK49" s="693"/>
      <c r="WL49" s="693"/>
      <c r="WM49" s="693"/>
      <c r="WN49" s="693"/>
      <c r="WO49" s="693"/>
      <c r="WP49" s="693"/>
      <c r="WQ49" s="693"/>
      <c r="WR49" s="693"/>
      <c r="WS49" s="693"/>
      <c r="WT49" s="693"/>
      <c r="WU49" s="693"/>
      <c r="WV49" s="693"/>
      <c r="WW49" s="693"/>
      <c r="WX49" s="693"/>
      <c r="WY49" s="693"/>
      <c r="WZ49" s="693"/>
      <c r="XA49" s="693"/>
      <c r="XB49" s="693"/>
      <c r="XC49" s="693"/>
      <c r="XD49" s="693"/>
      <c r="XE49" s="693"/>
      <c r="XF49" s="693"/>
      <c r="XG49" s="693"/>
      <c r="XH49" s="693"/>
      <c r="XI49" s="693"/>
      <c r="XJ49" s="693"/>
      <c r="XK49" s="693"/>
      <c r="XL49" s="693"/>
      <c r="XM49" s="693"/>
      <c r="XN49" s="693"/>
      <c r="XO49" s="693"/>
      <c r="XP49" s="693"/>
      <c r="XQ49" s="693"/>
      <c r="XR49" s="693"/>
      <c r="XS49" s="693"/>
      <c r="XT49" s="693"/>
      <c r="XU49" s="693"/>
      <c r="XV49" s="693"/>
      <c r="XW49" s="693"/>
      <c r="XX49" s="693"/>
      <c r="XY49" s="693"/>
      <c r="XZ49" s="693"/>
      <c r="YA49" s="693"/>
      <c r="YB49" s="693"/>
      <c r="YC49" s="693"/>
      <c r="YD49" s="693"/>
      <c r="YE49" s="693"/>
      <c r="YF49" s="693"/>
      <c r="YG49" s="693"/>
      <c r="YH49" s="693"/>
      <c r="YI49" s="693"/>
      <c r="YJ49" s="693"/>
      <c r="YK49" s="693"/>
      <c r="YL49" s="693"/>
      <c r="YM49" s="693"/>
      <c r="YN49" s="693"/>
      <c r="YO49" s="693"/>
      <c r="YP49" s="693"/>
      <c r="YQ49" s="693"/>
      <c r="YR49" s="693"/>
      <c r="YS49" s="693"/>
      <c r="YT49" s="693"/>
      <c r="YU49" s="693"/>
      <c r="YV49" s="693"/>
      <c r="YW49" s="693"/>
      <c r="YX49" s="693"/>
      <c r="YY49" s="693"/>
      <c r="YZ49" s="693"/>
      <c r="ZA49" s="693"/>
      <c r="ZB49" s="693"/>
      <c r="ZC49" s="693"/>
      <c r="ZD49" s="693"/>
      <c r="ZE49" s="693"/>
      <c r="ZF49" s="693"/>
      <c r="ZG49" s="693"/>
      <c r="ZH49" s="693"/>
      <c r="ZI49" s="693"/>
      <c r="ZJ49" s="693"/>
      <c r="ZK49" s="693"/>
      <c r="ZL49" s="693"/>
      <c r="ZM49" s="693"/>
      <c r="ZN49" s="693"/>
      <c r="ZO49" s="693"/>
      <c r="ZP49" s="693"/>
      <c r="ZQ49" s="693"/>
      <c r="ZR49" s="693"/>
      <c r="ZS49" s="693"/>
      <c r="ZT49" s="693"/>
      <c r="ZU49" s="693"/>
      <c r="ZV49" s="693"/>
      <c r="ZW49" s="693"/>
      <c r="ZX49" s="693"/>
      <c r="ZY49" s="693"/>
      <c r="ZZ49" s="693"/>
      <c r="AAA49" s="693"/>
      <c r="AAB49" s="693"/>
      <c r="AAC49" s="693"/>
      <c r="AAD49" s="693"/>
      <c r="AAE49" s="693"/>
      <c r="AAF49" s="693"/>
      <c r="AAG49" s="693"/>
      <c r="AAH49" s="693"/>
      <c r="AAI49" s="693"/>
      <c r="AAJ49" s="693"/>
      <c r="AAK49" s="693"/>
      <c r="AAL49" s="693"/>
      <c r="AAM49" s="693"/>
      <c r="AAN49" s="693"/>
      <c r="AAO49" s="693"/>
      <c r="AAP49" s="693"/>
      <c r="AAQ49" s="693"/>
      <c r="AAR49" s="693"/>
      <c r="AAS49" s="693"/>
      <c r="AAT49" s="693"/>
      <c r="AAU49" s="693"/>
      <c r="AAV49" s="693"/>
      <c r="AAW49" s="693"/>
      <c r="AAX49" s="693"/>
      <c r="AAY49" s="693"/>
      <c r="AAZ49" s="693"/>
      <c r="ABA49" s="693"/>
      <c r="ABB49" s="693"/>
      <c r="ABC49" s="693"/>
      <c r="ABD49" s="693"/>
      <c r="ABE49" s="693"/>
      <c r="ABF49" s="693"/>
      <c r="ABG49" s="693"/>
      <c r="ABH49" s="693"/>
      <c r="ABI49" s="693"/>
      <c r="ABJ49" s="693"/>
      <c r="ABK49" s="693"/>
      <c r="ABL49" s="693"/>
      <c r="ABM49" s="693"/>
      <c r="ABN49" s="693"/>
      <c r="ABO49" s="693"/>
      <c r="ABP49" s="693"/>
      <c r="ABQ49" s="693"/>
      <c r="ABR49" s="693"/>
      <c r="ABS49" s="693"/>
      <c r="ABT49" s="693"/>
      <c r="ABU49" s="693"/>
      <c r="ABV49" s="693"/>
      <c r="ABW49" s="693"/>
      <c r="ABX49" s="693"/>
      <c r="ABY49" s="693"/>
      <c r="ABZ49" s="693"/>
      <c r="ACA49" s="693"/>
      <c r="ACB49" s="693"/>
      <c r="ACC49" s="693"/>
      <c r="ACD49" s="693"/>
      <c r="ACE49" s="693"/>
      <c r="ACF49" s="693"/>
      <c r="ACG49" s="693"/>
      <c r="ACH49" s="693"/>
      <c r="ACI49" s="693"/>
      <c r="ACJ49" s="693"/>
      <c r="ACK49" s="693"/>
      <c r="ACL49" s="693"/>
      <c r="ACM49" s="693"/>
      <c r="ACN49" s="693"/>
      <c r="ACO49" s="693"/>
      <c r="ACP49" s="693"/>
      <c r="ACQ49" s="693"/>
      <c r="ACR49" s="693"/>
      <c r="ACS49" s="693"/>
      <c r="ACT49" s="693"/>
      <c r="ACU49" s="693"/>
      <c r="ACV49" s="693"/>
      <c r="ACW49" s="693"/>
      <c r="ACX49" s="693"/>
      <c r="ACY49" s="693"/>
      <c r="ACZ49" s="693"/>
      <c r="ADA49" s="693"/>
      <c r="ADB49" s="693"/>
      <c r="ADC49" s="693"/>
      <c r="ADD49" s="693"/>
      <c r="ADE49" s="693"/>
      <c r="ADF49" s="693"/>
      <c r="ADG49" s="693"/>
      <c r="ADH49" s="693"/>
      <c r="ADI49" s="693"/>
      <c r="ADJ49" s="693"/>
      <c r="ADK49" s="693"/>
      <c r="ADL49" s="693"/>
      <c r="ADM49" s="693"/>
      <c r="ADN49" s="693"/>
      <c r="ADO49" s="693"/>
      <c r="ADP49" s="693"/>
      <c r="ADQ49" s="693"/>
      <c r="ADR49" s="693"/>
      <c r="ADS49" s="693"/>
      <c r="ADT49" s="693"/>
      <c r="ADU49" s="693"/>
      <c r="ADV49" s="693"/>
      <c r="ADW49" s="693"/>
      <c r="ADX49" s="693"/>
      <c r="ADY49" s="693"/>
      <c r="ADZ49" s="693"/>
      <c r="AEA49" s="693"/>
      <c r="AEB49" s="693"/>
      <c r="AEC49" s="693"/>
      <c r="AED49" s="693"/>
      <c r="AEE49" s="693"/>
      <c r="AEF49" s="693"/>
      <c r="AEG49" s="693"/>
      <c r="AEH49" s="693"/>
      <c r="AEI49" s="693"/>
      <c r="AEJ49" s="693"/>
      <c r="AEK49" s="693"/>
      <c r="AEL49" s="693"/>
      <c r="AEM49" s="693"/>
      <c r="AEN49" s="693"/>
      <c r="AEO49" s="693"/>
      <c r="AEP49" s="693"/>
      <c r="AEQ49" s="693"/>
      <c r="AER49" s="693"/>
      <c r="AES49" s="693"/>
      <c r="AET49" s="693"/>
      <c r="AEU49" s="693"/>
      <c r="AEV49" s="693"/>
      <c r="AEW49" s="693"/>
      <c r="AEX49" s="693"/>
      <c r="AEY49" s="693"/>
      <c r="AEZ49" s="693"/>
      <c r="AFA49" s="693"/>
      <c r="AFB49" s="693"/>
      <c r="AFC49" s="693"/>
      <c r="AFD49" s="693"/>
      <c r="AFE49" s="693"/>
      <c r="AFF49" s="693"/>
      <c r="AFG49" s="693"/>
      <c r="AFH49" s="693"/>
      <c r="AFI49" s="693"/>
      <c r="AFJ49" s="693"/>
      <c r="AFK49" s="693"/>
      <c r="AFL49" s="693"/>
      <c r="AFM49" s="693"/>
      <c r="AFN49" s="693"/>
      <c r="AFO49" s="693"/>
      <c r="AFP49" s="693"/>
      <c r="AFQ49" s="693"/>
      <c r="AFR49" s="693"/>
      <c r="AFS49" s="693"/>
      <c r="AFT49" s="693"/>
      <c r="AFU49" s="693"/>
      <c r="AFV49" s="693"/>
      <c r="AFW49" s="693"/>
      <c r="AFX49" s="693"/>
      <c r="AFY49" s="693"/>
      <c r="AFZ49" s="693"/>
      <c r="AGA49" s="693"/>
      <c r="AGB49" s="693"/>
      <c r="AGC49" s="693"/>
      <c r="AGD49" s="693"/>
      <c r="AGE49" s="693"/>
      <c r="AGF49" s="693"/>
      <c r="AGG49" s="693"/>
      <c r="AGH49" s="693"/>
      <c r="AGI49" s="693"/>
      <c r="AGJ49" s="693"/>
      <c r="AGK49" s="693"/>
      <c r="AGL49" s="693"/>
      <c r="AGM49" s="693"/>
      <c r="AGN49" s="693"/>
      <c r="AGO49" s="693"/>
      <c r="AGP49" s="693"/>
      <c r="AGQ49" s="693"/>
      <c r="AGR49" s="693"/>
      <c r="AGS49" s="693"/>
      <c r="AGT49" s="693"/>
      <c r="AGU49" s="693"/>
      <c r="AGV49" s="693"/>
      <c r="AGW49" s="693"/>
      <c r="AGX49" s="693"/>
      <c r="AGY49" s="693"/>
      <c r="AGZ49" s="693"/>
      <c r="AHA49" s="693"/>
      <c r="AHB49" s="693"/>
      <c r="AHC49" s="693"/>
      <c r="AHD49" s="693"/>
      <c r="AHE49" s="693"/>
      <c r="AHF49" s="693"/>
      <c r="AHG49" s="693"/>
      <c r="AHH49" s="693"/>
      <c r="AHI49" s="693"/>
      <c r="AHJ49" s="693"/>
      <c r="AHK49" s="693"/>
      <c r="AHL49" s="693"/>
      <c r="AHM49" s="693"/>
      <c r="AHN49" s="693"/>
      <c r="AHO49" s="693"/>
      <c r="AHP49" s="693"/>
      <c r="AHQ49" s="693"/>
      <c r="AHR49" s="693"/>
      <c r="AHS49" s="693"/>
      <c r="AHT49" s="693"/>
      <c r="AHU49" s="693"/>
      <c r="AHV49" s="693"/>
      <c r="AHW49" s="693"/>
      <c r="AHX49" s="693"/>
      <c r="AHY49" s="693"/>
      <c r="AHZ49" s="693"/>
      <c r="AIA49" s="693"/>
      <c r="AIB49" s="693"/>
      <c r="AIC49" s="693"/>
      <c r="AID49" s="693"/>
      <c r="AIE49" s="693"/>
      <c r="AIF49" s="693"/>
      <c r="AIG49" s="693"/>
      <c r="AIH49" s="693"/>
      <c r="AII49" s="693"/>
      <c r="AIJ49" s="693"/>
      <c r="AIK49" s="693"/>
      <c r="AIL49" s="693"/>
      <c r="AIM49" s="693"/>
      <c r="AIN49" s="693"/>
      <c r="AIO49" s="693"/>
      <c r="AIP49" s="693"/>
      <c r="AIQ49" s="693"/>
      <c r="AIR49" s="693"/>
      <c r="AIS49" s="693"/>
      <c r="AIT49" s="693"/>
      <c r="AIU49" s="693"/>
      <c r="AIV49" s="693"/>
      <c r="AIW49" s="693"/>
      <c r="AIX49" s="693"/>
      <c r="AIY49" s="693"/>
      <c r="AIZ49" s="693"/>
      <c r="AJA49" s="693"/>
      <c r="AJB49" s="693"/>
      <c r="AJC49" s="693"/>
      <c r="AJD49" s="693"/>
      <c r="AJE49" s="693"/>
      <c r="AJF49" s="693"/>
      <c r="AJG49" s="693"/>
      <c r="AJH49" s="693"/>
      <c r="AJI49" s="693"/>
      <c r="AJJ49" s="693"/>
      <c r="AJK49" s="693"/>
      <c r="AJL49" s="693"/>
      <c r="AJM49" s="693"/>
      <c r="AJN49" s="693"/>
      <c r="AJO49" s="693"/>
      <c r="AJP49" s="693"/>
      <c r="AJQ49" s="693"/>
      <c r="AJR49" s="693"/>
      <c r="AJS49" s="693"/>
      <c r="AJT49" s="693"/>
      <c r="AJU49" s="693"/>
      <c r="AJV49" s="693"/>
      <c r="AJW49" s="693"/>
      <c r="AJX49" s="693"/>
      <c r="AJY49" s="693"/>
      <c r="AJZ49" s="693"/>
      <c r="AKA49" s="693"/>
      <c r="AKB49" s="693"/>
      <c r="AKC49" s="693"/>
      <c r="AKD49" s="693"/>
      <c r="AKE49" s="693"/>
      <c r="AKF49" s="693"/>
      <c r="AKG49" s="693"/>
      <c r="AKH49" s="693"/>
      <c r="AKI49" s="693"/>
      <c r="AKJ49" s="693"/>
      <c r="AKK49" s="693"/>
      <c r="AKL49" s="693"/>
      <c r="AKM49" s="693"/>
      <c r="AKN49" s="693"/>
      <c r="AKO49" s="693"/>
      <c r="AKP49" s="693"/>
      <c r="AKQ49" s="693"/>
      <c r="AKR49" s="693"/>
      <c r="AKS49" s="693"/>
      <c r="AKT49" s="693"/>
      <c r="AKU49" s="693"/>
      <c r="AKV49" s="693"/>
      <c r="AKW49" s="693"/>
      <c r="AKX49" s="693"/>
      <c r="AKY49" s="693"/>
      <c r="AKZ49" s="693"/>
      <c r="ALA49" s="693"/>
      <c r="ALB49" s="693"/>
      <c r="ALC49" s="693"/>
      <c r="ALD49" s="693"/>
      <c r="ALE49" s="693"/>
      <c r="ALF49" s="693"/>
    </row>
    <row r="50" spans="2:994">
      <c r="B50" s="689" t="s">
        <v>489</v>
      </c>
      <c r="AE50" s="484">
        <f>AE36*0.5</f>
        <v>1394628.5549999999</v>
      </c>
      <c r="AF50" s="484"/>
      <c r="AG50" s="484">
        <f>AG36*0.5</f>
        <v>1233713.19</v>
      </c>
      <c r="AH50" s="484"/>
      <c r="AI50" s="484">
        <f t="shared" ref="AI50:CT50" si="1923">AI36*0.5</f>
        <v>190331.23440000002</v>
      </c>
      <c r="AJ50" s="484"/>
      <c r="AK50" s="484">
        <f t="shared" ref="AK50:CV50" si="1924">AK36*0.5</f>
        <v>140422.87500000003</v>
      </c>
      <c r="AL50" s="484"/>
      <c r="AM50" s="484">
        <f t="shared" ref="AM50:CX50" si="1925">AM36*0.5</f>
        <v>190331.23440000002</v>
      </c>
      <c r="AN50" s="484"/>
      <c r="AO50" s="484">
        <f t="shared" ref="AO50:CZ50" si="1926">AO36*0.5</f>
        <v>139484.25999999995</v>
      </c>
      <c r="AP50" s="484"/>
      <c r="AQ50" s="484">
        <f t="shared" ref="AQ50:DB50" si="1927">AQ36*0.5</f>
        <v>190331.23440000002</v>
      </c>
      <c r="AR50" s="484"/>
      <c r="AS50" s="484">
        <f t="shared" ref="AS50:DD50" si="1928">AS36*0.5</f>
        <v>146586.88500000001</v>
      </c>
      <c r="AT50" s="484"/>
      <c r="AU50" s="484">
        <f t="shared" ref="AU50:DF50" si="1929">AU36*0.5</f>
        <v>190331.23440000002</v>
      </c>
      <c r="AV50" s="484"/>
      <c r="AW50" s="484">
        <f t="shared" ref="AW50:DH50" si="1930">AW36*0.5</f>
        <v>143002.18500000006</v>
      </c>
      <c r="AX50" s="484"/>
      <c r="AY50" s="484">
        <f t="shared" ref="AY50:DJ50" si="1931">AY36*0.5</f>
        <v>222053.10680000001</v>
      </c>
      <c r="AZ50" s="484"/>
      <c r="BA50" s="484">
        <f t="shared" ref="BA50:DL50" si="1932">BA36*0.5</f>
        <v>173412.78500000003</v>
      </c>
      <c r="BB50" s="484"/>
      <c r="BC50" s="484">
        <f t="shared" ref="BC50:DN50" si="1933">BC36*0.5</f>
        <v>253774.97920000003</v>
      </c>
      <c r="BD50" s="484"/>
      <c r="BE50" s="484">
        <f t="shared" ref="BE50:DP50" si="1934">BE36*0.5</f>
        <v>217307.66500000007</v>
      </c>
      <c r="BF50" s="484"/>
      <c r="BG50" s="484">
        <f t="shared" ref="BG50:DR50" si="1935">BG36*0.5</f>
        <v>348940.59639999992</v>
      </c>
      <c r="BH50" s="484"/>
      <c r="BI50" s="484">
        <f t="shared" ref="BI50:DT50" si="1936">BI36*0.5</f>
        <v>284738.11500000005</v>
      </c>
      <c r="BJ50" s="484"/>
      <c r="BK50" s="484">
        <f t="shared" ref="BK50:DV50" si="1937">BK36*0.5</f>
        <v>1586093.6199999999</v>
      </c>
      <c r="BL50" s="484"/>
      <c r="BM50" s="484">
        <f>BM36*0.5</f>
        <v>1244954.7700000003</v>
      </c>
      <c r="BN50" s="484"/>
      <c r="BO50" s="484">
        <f t="shared" ref="BO50:DZ50" si="1938">BO36*0.5</f>
        <v>200073.0594</v>
      </c>
      <c r="BP50" s="484"/>
      <c r="BQ50" s="484">
        <f t="shared" ref="BQ50:EB50" si="1939">BQ36*0.5</f>
        <v>164718.05499999999</v>
      </c>
      <c r="BR50" s="484"/>
      <c r="BS50" s="484">
        <f t="shared" ref="BS50:ED50" si="1940">BS36*0.5</f>
        <v>200073.0594</v>
      </c>
      <c r="BT50" s="484"/>
      <c r="BU50" s="484">
        <f t="shared" ref="BU50:EF50" si="1941">BU36*0.5</f>
        <v>137804.20499999999</v>
      </c>
      <c r="BV50" s="484"/>
      <c r="BW50" s="484">
        <f t="shared" ref="BW50:EH50" si="1942">BW36*0.5</f>
        <v>200073.0594</v>
      </c>
      <c r="BX50" s="484"/>
      <c r="BY50" s="484">
        <f t="shared" ref="BY50:EJ50" si="1943">BY36*0.5</f>
        <v>157123.16500000001</v>
      </c>
      <c r="BZ50" s="484"/>
      <c r="CA50" s="484">
        <f t="shared" ref="CA50:EL50" si="1944">CA36*0.5</f>
        <v>200073.0594</v>
      </c>
      <c r="CB50" s="484"/>
      <c r="CC50" s="484">
        <f t="shared" ref="CC50:EN50" si="1945">CC36*0.5</f>
        <v>161645.67500000002</v>
      </c>
      <c r="CD50" s="484"/>
      <c r="CE50" s="484">
        <f t="shared" ref="CE50:EP50" si="1946">CE36*0.5</f>
        <v>233418.56930000006</v>
      </c>
      <c r="CF50" s="484"/>
      <c r="CG50" s="484">
        <f t="shared" ref="CG50:ER50" si="1947">CG36*0.5</f>
        <v>181760.76999999996</v>
      </c>
      <c r="CH50" s="484"/>
      <c r="CI50" s="484">
        <f t="shared" ref="CI50:ET50" si="1948">CI36*0.5</f>
        <v>266764.07920000004</v>
      </c>
      <c r="CJ50" s="484"/>
      <c r="CK50" s="484">
        <f t="shared" ref="CK50:EV50" si="1949">CK36*0.5</f>
        <v>231849.99999999997</v>
      </c>
      <c r="CL50" s="484"/>
      <c r="CM50" s="484">
        <f t="shared" ref="CM50:EX50" si="1950">CM36*0.5</f>
        <v>366800.60890000005</v>
      </c>
      <c r="CN50" s="484"/>
      <c r="CO50" s="484">
        <f t="shared" ref="CO50:EZ50" si="1951">CO36*0.5</f>
        <v>325685.71499999997</v>
      </c>
      <c r="CP50" s="484"/>
      <c r="CQ50" s="484">
        <f t="shared" ref="CQ50:FB50" si="1952">CQ36*0.5</f>
        <v>1667275.4949999999</v>
      </c>
      <c r="CR50" s="484"/>
      <c r="CS50" s="484">
        <f>CS36*0.5</f>
        <v>1360587.585</v>
      </c>
      <c r="CT50" s="484"/>
      <c r="CU50" s="484">
        <f t="shared" ref="CU50:FF50" si="1953">CU36*0.5</f>
        <v>203710.49639999995</v>
      </c>
      <c r="CV50" s="484"/>
      <c r="CW50" s="484">
        <f t="shared" ref="CW50:FH50" si="1954">CW36*0.5</f>
        <v>154320.49999999997</v>
      </c>
      <c r="CX50" s="484"/>
      <c r="CY50" s="484">
        <f t="shared" ref="CY50:FJ50" si="1955">CY36*0.5</f>
        <v>203710.49639999995</v>
      </c>
      <c r="CZ50" s="484"/>
      <c r="DA50" s="484">
        <f t="shared" ref="DA50:FL50" si="1956">DA36*0.5</f>
        <v>129256.875</v>
      </c>
      <c r="DB50" s="484"/>
      <c r="DC50" s="484">
        <f t="shared" ref="DC50:FN50" si="1957">DC36*0.5</f>
        <v>203710.49639999995</v>
      </c>
      <c r="DD50" s="484"/>
      <c r="DE50" s="484">
        <f t="shared" ref="DE50:FP50" si="1958">DE36*0.5</f>
        <v>140451.99</v>
      </c>
      <c r="DF50" s="484"/>
      <c r="DG50" s="484">
        <f t="shared" ref="DG50:FR50" si="1959">DG36*0.5</f>
        <v>203710.49639999995</v>
      </c>
      <c r="DH50" s="484"/>
      <c r="DI50" s="484">
        <f t="shared" ref="DI50:FT50" si="1960">DI36*0.5</f>
        <v>144480.23000000004</v>
      </c>
      <c r="DJ50" s="484"/>
      <c r="DK50" s="484">
        <f t="shared" ref="DK50:FV50" si="1961">DK36*0.5</f>
        <v>237662.24580000006</v>
      </c>
      <c r="DL50" s="484"/>
      <c r="DM50" s="484">
        <f t="shared" ref="DM50:FX50" si="1962">DM36*0.5</f>
        <v>181522.69500000001</v>
      </c>
      <c r="DN50" s="484"/>
      <c r="DO50" s="484">
        <f t="shared" ref="DO50:FZ50" si="1963">DO36*0.5</f>
        <v>271613.9952</v>
      </c>
      <c r="DP50" s="484"/>
      <c r="DQ50" s="484">
        <f t="shared" ref="DQ50:GB50" si="1964">DQ36*0.5</f>
        <v>212559.58000000002</v>
      </c>
      <c r="DR50" s="484"/>
      <c r="DS50" s="484">
        <f t="shared" ref="DS50:GD50" si="1965">DS36*0.5</f>
        <v>373469.24340000004</v>
      </c>
      <c r="DT50" s="484"/>
      <c r="DU50" s="484">
        <f t="shared" ref="DU50:GF50" si="1966">DU36*0.5</f>
        <v>294578.70500000007</v>
      </c>
      <c r="DV50" s="484"/>
      <c r="DW50" s="484">
        <f t="shared" ref="DW50:GH50" si="1967">DW36*0.5</f>
        <v>1697587.4700000002</v>
      </c>
      <c r="DX50" s="484"/>
      <c r="DY50" s="484">
        <f>DY36*0.5</f>
        <v>1257170.575</v>
      </c>
      <c r="DZ50" s="484"/>
      <c r="EA50" s="484">
        <f t="shared" ref="EA50:GL50" si="1968">EA36*0.5</f>
        <v>194074.54980000004</v>
      </c>
      <c r="EB50" s="484"/>
      <c r="EC50" s="484">
        <f t="shared" ref="EC50:GN50" si="1969">EC36*0.5</f>
        <v>148281.06999999998</v>
      </c>
      <c r="ED50" s="484"/>
      <c r="EE50" s="484">
        <f t="shared" ref="EE50:GP50" si="1970">EE36*0.5</f>
        <v>194074.54980000004</v>
      </c>
      <c r="EF50" s="484"/>
      <c r="EG50" s="484">
        <f t="shared" ref="EG50:GR50" si="1971">EG36*0.5</f>
        <v>129411.32999999999</v>
      </c>
      <c r="EH50" s="484"/>
      <c r="EI50" s="484">
        <f t="shared" ref="EI50:GT50" si="1972">EI36*0.5</f>
        <v>194074.54980000004</v>
      </c>
      <c r="EJ50" s="484"/>
      <c r="EK50" s="484">
        <f t="shared" ref="EK50:GV50" si="1973">EK36*0.5</f>
        <v>157853.11500000005</v>
      </c>
      <c r="EL50" s="484"/>
      <c r="EM50" s="484">
        <f t="shared" ref="EM50:GX50" si="1974">EM36*0.5</f>
        <v>194074.54980000004</v>
      </c>
      <c r="EN50" s="484"/>
      <c r="EO50" s="484">
        <f t="shared" ref="EO50:GZ50" si="1975">EO36*0.5</f>
        <v>165131.76</v>
      </c>
      <c r="EP50" s="484"/>
      <c r="EQ50" s="484">
        <f t="shared" ref="EQ50:HB50" si="1976">EQ36*0.5</f>
        <v>226420.30809999999</v>
      </c>
      <c r="ER50" s="484"/>
      <c r="ES50" s="484">
        <f t="shared" ref="ES50:HD50" si="1977">ES36*0.5</f>
        <v>192824.12</v>
      </c>
      <c r="ET50" s="484"/>
      <c r="EU50" s="484">
        <f t="shared" ref="EU50:HF50" si="1978">EU36*0.5</f>
        <v>258766.06640000001</v>
      </c>
      <c r="EV50" s="484"/>
      <c r="EW50" s="484">
        <f t="shared" ref="EW50:HH50" si="1979">EW36*0.5</f>
        <v>232787.49000000002</v>
      </c>
      <c r="EX50" s="484"/>
      <c r="EY50" s="484">
        <f t="shared" ref="EY50:HJ50" si="1980">EY36*0.5</f>
        <v>355803.34130000003</v>
      </c>
      <c r="EZ50" s="484"/>
      <c r="FA50" s="484">
        <f t="shared" ref="FA50:HL50" si="1981">FA36*0.5</f>
        <v>297229.83499999996</v>
      </c>
      <c r="FB50" s="484"/>
      <c r="FC50" s="484">
        <f t="shared" ref="FC50:HN50" si="1982">FC36*0.5</f>
        <v>1617287.9149999996</v>
      </c>
      <c r="FD50" s="484"/>
      <c r="FE50" s="484">
        <f>FE36*0.5</f>
        <v>1323518.7200000002</v>
      </c>
      <c r="FF50" s="484"/>
      <c r="FG50" s="484">
        <f t="shared" ref="FG50:HN50" si="1983">FG36*0.5</f>
        <v>183975.52739999999</v>
      </c>
      <c r="FH50" s="484"/>
      <c r="FI50" s="484">
        <f t="shared" ref="FI50:HN50" si="1984">FI36*0.5</f>
        <v>166466.38999999998</v>
      </c>
      <c r="FJ50" s="484"/>
      <c r="FK50" s="484">
        <f t="shared" ref="FK50:HN50" si="1985">FK36*0.5</f>
        <v>183975.52739999999</v>
      </c>
      <c r="FL50" s="484"/>
      <c r="FM50" s="484">
        <f t="shared" ref="FM50:HN50" si="1986">FM36*0.5</f>
        <v>180755.80499999996</v>
      </c>
      <c r="FN50" s="484"/>
      <c r="FO50" s="484">
        <f t="shared" ref="FO50:HN50" si="1987">FO36*0.5</f>
        <v>183975.52739999999</v>
      </c>
      <c r="FP50" s="484"/>
      <c r="FQ50" s="484">
        <f t="shared" ref="FQ50:HN50" si="1988">FQ36*0.5</f>
        <v>157953.34499999997</v>
      </c>
      <c r="FR50" s="484"/>
      <c r="FS50" s="484">
        <f t="shared" ref="FS50:HN50" si="1989">FS36*0.5</f>
        <v>183975.52739999999</v>
      </c>
      <c r="FT50" s="484"/>
      <c r="FU50" s="484">
        <f t="shared" ref="FU50:HN50" si="1990">FU36*0.5</f>
        <v>171133.21000000002</v>
      </c>
      <c r="FV50" s="484"/>
      <c r="FW50" s="484">
        <f t="shared" ref="FW50:HN50" si="1991">FW36*0.5</f>
        <v>214638.1153</v>
      </c>
      <c r="FX50" s="484"/>
      <c r="FY50" s="484">
        <f t="shared" ref="FY50:HN50" si="1992">FY36*0.5</f>
        <v>178516.57500000001</v>
      </c>
      <c r="FZ50" s="484"/>
      <c r="GA50" s="484">
        <f t="shared" ref="GA50:HN50" si="1993">GA36*0.5</f>
        <v>245300.70319999996</v>
      </c>
      <c r="GB50" s="484"/>
      <c r="GC50" s="484">
        <f t="shared" ref="GC50:HN50" si="1994">GC36*0.5</f>
        <v>226287.51999999996</v>
      </c>
      <c r="GD50" s="484"/>
      <c r="GE50" s="484">
        <f t="shared" ref="GE50:HN50" si="1995">GE36*0.5</f>
        <v>337288.4669</v>
      </c>
      <c r="GF50" s="484"/>
      <c r="GG50" s="484">
        <f t="shared" ref="GG50:HN50" si="1996">GG36*0.5</f>
        <v>304520.71500000003</v>
      </c>
      <c r="GH50" s="484"/>
      <c r="GI50" s="484">
        <f t="shared" ref="GI50:HN50" si="1997">GI36*0.5</f>
        <v>1533129.3950000003</v>
      </c>
      <c r="GJ50" s="484"/>
      <c r="GK50" s="484">
        <f>GK36*0.5</f>
        <v>1385633.56</v>
      </c>
      <c r="GL50" s="484"/>
      <c r="GM50" s="484">
        <f t="shared" ref="GM50:HN50" si="1998">GM36*0.5</f>
        <v>190470.3774</v>
      </c>
      <c r="GN50" s="484"/>
      <c r="GO50" s="484">
        <f t="shared" ref="GO50:HN50" si="1999">GO36*0.5</f>
        <v>155872.29499999998</v>
      </c>
      <c r="GP50" s="484"/>
      <c r="GQ50" s="484">
        <f t="shared" ref="GQ50:HN50" si="2000">GQ36*0.5</f>
        <v>190470.3774</v>
      </c>
      <c r="GR50" s="484"/>
      <c r="GS50" s="484">
        <f t="shared" ref="GS50:HN50" si="2001">GS36*0.5</f>
        <v>149176.87</v>
      </c>
      <c r="GT50" s="484"/>
      <c r="GU50" s="484">
        <f t="shared" ref="GU50:HN50" si="2002">GU36*0.5</f>
        <v>190470.3774</v>
      </c>
      <c r="GV50" s="484"/>
      <c r="GW50" s="484">
        <f t="shared" ref="GW50:HN50" si="2003">GW36*0.5</f>
        <v>167262.41999999998</v>
      </c>
      <c r="GX50" s="484"/>
      <c r="GY50" s="484">
        <f t="shared" ref="GY50:HN50" si="2004">GY36*0.5</f>
        <v>190470.3774</v>
      </c>
      <c r="GZ50" s="484"/>
      <c r="HA50" s="484">
        <f t="shared" ref="HA50:HN50" si="2005">HA36*0.5</f>
        <v>170996.53499999997</v>
      </c>
      <c r="HB50" s="484"/>
      <c r="HC50" s="484">
        <f t="shared" ref="HC50:HN50" si="2006">HC36*0.5</f>
        <v>222215.44030000002</v>
      </c>
      <c r="HD50" s="484"/>
      <c r="HE50" s="484">
        <f t="shared" ref="HE50:HN50" si="2007">HE36*0.5</f>
        <v>225382.02000000005</v>
      </c>
      <c r="HF50" s="484"/>
      <c r="HG50" s="484">
        <f t="shared" ref="HG50:HN50" si="2008">HG36*0.5</f>
        <v>253960.50319999998</v>
      </c>
      <c r="HH50" s="484"/>
      <c r="HI50" s="484">
        <f t="shared" ref="HI50:HN50" si="2009">HI36*0.5</f>
        <v>246693.25</v>
      </c>
      <c r="HJ50" s="484"/>
      <c r="HK50" s="484">
        <f t="shared" ref="HK50:HN50" si="2010">HK36*0.5</f>
        <v>349195.69190000003</v>
      </c>
      <c r="HL50" s="484"/>
      <c r="HM50" s="484">
        <f t="shared" ref="HM50:HN50" si="2011">HM36*0.5</f>
        <v>297944.84500000003</v>
      </c>
      <c r="HN50" s="484"/>
      <c r="HO50" s="484">
        <f t="shared" ref="HO50:JZ50" si="2012">HO36*0.5</f>
        <v>1587253.1450000003</v>
      </c>
      <c r="HP50" s="484"/>
      <c r="HQ50" s="484">
        <f>HQ36*0.5</f>
        <v>1413328.2349999999</v>
      </c>
      <c r="HR50" s="484"/>
      <c r="HS50" s="484">
        <f t="shared" ref="HS50:KD50" si="2013">HS36*0.5</f>
        <v>177022.79459999996</v>
      </c>
      <c r="HT50" s="484"/>
      <c r="HU50" s="484">
        <f t="shared" ref="HU50:KF50" si="2014">HU36*0.5</f>
        <v>154803.58000000002</v>
      </c>
      <c r="HV50" s="484"/>
      <c r="HW50" s="484">
        <f t="shared" ref="HW50:KH50" si="2015">HW36*0.5</f>
        <v>177022.79459999996</v>
      </c>
      <c r="HX50" s="484"/>
      <c r="HY50" s="484">
        <f t="shared" ref="HY50:KJ50" si="2016">HY36*0.5</f>
        <v>162579.26</v>
      </c>
      <c r="HZ50" s="484"/>
      <c r="IA50" s="484">
        <f t="shared" ref="IA50:KL50" si="2017">IA36*0.5</f>
        <v>177022.79459999996</v>
      </c>
      <c r="IB50" s="484"/>
      <c r="IC50" s="484">
        <f t="shared" ref="IC50:KN50" si="2018">IC36*0.5</f>
        <v>147193.95000000001</v>
      </c>
      <c r="ID50" s="484"/>
      <c r="IE50" s="484">
        <f t="shared" ref="IE50:KP50" si="2019">IE36*0.5</f>
        <v>177022.79459999996</v>
      </c>
      <c r="IF50" s="484"/>
      <c r="IG50" s="484">
        <f t="shared" ref="IG50:KR50" si="2020">IG36*0.5</f>
        <v>165169.35</v>
      </c>
      <c r="IH50" s="484"/>
      <c r="II50" s="484">
        <f t="shared" ref="II50:KT50" si="2021">II36*0.5</f>
        <v>206526.59370000003</v>
      </c>
      <c r="IJ50" s="484"/>
      <c r="IK50" s="484">
        <f t="shared" ref="IK50:KV50" si="2022">IK36*0.5</f>
        <v>179899.24999999997</v>
      </c>
      <c r="IL50" s="484"/>
      <c r="IM50" s="484">
        <f t="shared" ref="IM50:KX50" si="2023">IM36*0.5</f>
        <v>236030.3928</v>
      </c>
      <c r="IN50" s="484"/>
      <c r="IO50" s="484">
        <f t="shared" ref="IO50:KZ50" si="2024">IO36*0.5</f>
        <v>213659.57499999998</v>
      </c>
      <c r="IP50" s="484"/>
      <c r="IQ50" s="484">
        <f t="shared" ref="IQ50:LB50" si="2025">IQ36*0.5</f>
        <v>324541.79009999993</v>
      </c>
      <c r="IR50" s="484"/>
      <c r="IS50" s="484">
        <f t="shared" ref="IS50:LD50" si="2026">IS36*0.5</f>
        <v>293988.39500000008</v>
      </c>
      <c r="IT50" s="484"/>
      <c r="IU50" s="484">
        <f t="shared" ref="IU50:LF50" si="2027">IU36*0.5</f>
        <v>1475189.9550000003</v>
      </c>
      <c r="IV50" s="484"/>
      <c r="IW50" s="484">
        <f>IW36*0.5</f>
        <v>1317293.3599999999</v>
      </c>
      <c r="IX50" s="484"/>
      <c r="IY50" s="484">
        <f t="shared" ref="IY50:LJ50" si="2028">IY36*0.5</f>
        <v>174095.98319999996</v>
      </c>
      <c r="IZ50" s="484"/>
      <c r="JA50" s="484">
        <f t="shared" ref="JA50:LL50" si="2029">JA36*0.5</f>
        <v>153559.36499999996</v>
      </c>
      <c r="JB50" s="484"/>
      <c r="JC50" s="484">
        <f t="shared" ref="JC50:LN50" si="2030">JC36*0.5</f>
        <v>174095.98319999996</v>
      </c>
      <c r="JD50" s="484"/>
      <c r="JE50" s="484">
        <f t="shared" ref="JE50:LP50" si="2031">JE36*0.5</f>
        <v>146156.59</v>
      </c>
      <c r="JF50" s="484"/>
      <c r="JG50" s="484">
        <f t="shared" ref="JG50:LR50" si="2032">JG36*0.5</f>
        <v>174095.98319999996</v>
      </c>
      <c r="JH50" s="484"/>
      <c r="JI50" s="484">
        <f t="shared" ref="JI50:LT50" si="2033">JI36*0.5</f>
        <v>143282.35999999996</v>
      </c>
      <c r="JJ50" s="484"/>
      <c r="JK50" s="484">
        <f t="shared" ref="JK50:LV50" si="2034">JK36*0.5</f>
        <v>174095.98319999996</v>
      </c>
      <c r="JL50" s="484"/>
      <c r="JM50" s="484">
        <f t="shared" ref="JM50:LX50" si="2035">JM36*0.5</f>
        <v>144222.40499999997</v>
      </c>
      <c r="JN50" s="484"/>
      <c r="JO50" s="484">
        <f t="shared" ref="JO50:LZ50" si="2036">JO36*0.5</f>
        <v>203111.9804</v>
      </c>
      <c r="JP50" s="484"/>
      <c r="JQ50" s="484">
        <f t="shared" ref="JQ50:MB50" si="2037">JQ36*0.5</f>
        <v>167703.81000000003</v>
      </c>
      <c r="JR50" s="484"/>
      <c r="JS50" s="484">
        <f t="shared" ref="JS50:MD50" si="2038">JS36*0.5</f>
        <v>232127.97760000001</v>
      </c>
      <c r="JT50" s="484"/>
      <c r="JU50" s="484">
        <f t="shared" ref="JU50:MF50" si="2039">JU36*0.5</f>
        <v>242840.80000000002</v>
      </c>
      <c r="JV50" s="484"/>
      <c r="JW50" s="484">
        <f t="shared" ref="JW50:MH50" si="2040">JW36*0.5</f>
        <v>319175.96919999993</v>
      </c>
      <c r="JX50" s="484"/>
      <c r="JY50" s="484">
        <f t="shared" ref="JY50:MJ50" si="2041">JY36*0.5</f>
        <v>298339.47499999992</v>
      </c>
      <c r="JZ50" s="484"/>
      <c r="KA50" s="484">
        <f t="shared" ref="KA50:ML50" si="2042">KA36*0.5</f>
        <v>1450799.86</v>
      </c>
      <c r="KB50" s="484"/>
      <c r="KC50" s="484">
        <f>KC36*0.5</f>
        <v>1296104.8050000002</v>
      </c>
      <c r="KD50" s="484"/>
      <c r="KE50" s="484">
        <f t="shared" ref="KE50:ML50" si="2043">KE36*0.5</f>
        <v>168190.97220000002</v>
      </c>
      <c r="KF50" s="484"/>
      <c r="KG50" s="484">
        <f t="shared" ref="KG50:ML50" si="2044">KG36*0.5</f>
        <v>136719.06999999998</v>
      </c>
      <c r="KH50" s="484"/>
      <c r="KI50" s="484">
        <f t="shared" ref="KI50:ML50" si="2045">KI36*0.5</f>
        <v>168190.97220000002</v>
      </c>
      <c r="KJ50" s="484"/>
      <c r="KK50" s="484">
        <f t="shared" ref="KK50:ML50" si="2046">KK36*0.5</f>
        <v>148792.23499999996</v>
      </c>
      <c r="KL50" s="484"/>
      <c r="KM50" s="484">
        <f t="shared" ref="KM50:ML50" si="2047">KM36*0.5</f>
        <v>168190.97220000002</v>
      </c>
      <c r="KN50" s="484"/>
      <c r="KO50" s="484">
        <f t="shared" ref="KO50:ML50" si="2048">KO36*0.5</f>
        <v>145473.74000000002</v>
      </c>
      <c r="KP50" s="484"/>
      <c r="KQ50" s="484">
        <f t="shared" ref="KQ50:ML50" si="2049">KQ36*0.5</f>
        <v>168190.97220000002</v>
      </c>
      <c r="KR50" s="484"/>
      <c r="KS50" s="484">
        <f t="shared" ref="KS50:ML50" si="2050">KS36*0.5</f>
        <v>148345.60999999999</v>
      </c>
      <c r="KT50" s="484"/>
      <c r="KU50" s="484">
        <f t="shared" ref="KU50:ML50" si="2051">KU36*0.5</f>
        <v>196222.80090000006</v>
      </c>
      <c r="KV50" s="484"/>
      <c r="KW50" s="484">
        <f t="shared" ref="KW50:ML50" si="2052">KW36*0.5</f>
        <v>164061.07999999999</v>
      </c>
      <c r="KX50" s="484"/>
      <c r="KY50" s="484">
        <f t="shared" ref="KY50:ML50" si="2053">KY36*0.5</f>
        <v>224254.62959999996</v>
      </c>
      <c r="KZ50" s="484"/>
      <c r="LA50" s="484">
        <f t="shared" ref="LA50:ML50" si="2054">LA36*0.5</f>
        <v>210570.47499999995</v>
      </c>
      <c r="LB50" s="484"/>
      <c r="LC50" s="484">
        <f t="shared" ref="LC50:ML50" si="2055">LC36*0.5</f>
        <v>308350.11570000008</v>
      </c>
      <c r="LD50" s="484"/>
      <c r="LE50" s="484">
        <f t="shared" ref="LE50:ML50" si="2056">LE36*0.5</f>
        <v>283945.91499999998</v>
      </c>
      <c r="LF50" s="484"/>
      <c r="LG50" s="484">
        <f t="shared" ref="LG50:ML50" si="2057">LG36*0.5</f>
        <v>1401591.4350000001</v>
      </c>
      <c r="LH50" s="484"/>
      <c r="LI50" s="484">
        <f>LI36*0.5</f>
        <v>1237908.1250000005</v>
      </c>
      <c r="LJ50" s="484"/>
      <c r="LK50" s="484">
        <f t="shared" ref="LK50:ML50" si="2058">LK36*0.5</f>
        <v>169388.55299999996</v>
      </c>
      <c r="LL50" s="484"/>
      <c r="LM50" s="484">
        <f t="shared" ref="LM50:ML50" si="2059">LM36*0.5</f>
        <v>149448.47</v>
      </c>
      <c r="LN50" s="484"/>
      <c r="LO50" s="484">
        <f t="shared" ref="LO50:ML50" si="2060">LO36*0.5</f>
        <v>169388.55299999996</v>
      </c>
      <c r="LP50" s="484"/>
      <c r="LQ50" s="484">
        <f t="shared" ref="LQ50:ML50" si="2061">LQ36*0.5</f>
        <v>134308.70499999999</v>
      </c>
      <c r="LR50" s="484"/>
      <c r="LS50" s="484">
        <f t="shared" ref="LS50:ML50" si="2062">LS36*0.5</f>
        <v>169388.55299999996</v>
      </c>
      <c r="LT50" s="484"/>
      <c r="LU50" s="484">
        <f t="shared" ref="LU50:ML50" si="2063">LU36*0.5</f>
        <v>137943.93999999997</v>
      </c>
      <c r="LV50" s="484"/>
      <c r="LW50" s="484">
        <f t="shared" ref="LW50:ML50" si="2064">LW36*0.5</f>
        <v>169388.55299999996</v>
      </c>
      <c r="LX50" s="484"/>
      <c r="LY50" s="484">
        <f t="shared" ref="LY50:ML50" si="2065">LY36*0.5</f>
        <v>129819.54500000001</v>
      </c>
      <c r="LZ50" s="484"/>
      <c r="MA50" s="484">
        <f t="shared" ref="MA50:ML50" si="2066">MA36*0.5</f>
        <v>197619.9785</v>
      </c>
      <c r="MB50" s="484"/>
      <c r="MC50" s="484">
        <f t="shared" ref="MC50:ML50" si="2067">MC36*0.5</f>
        <v>156445.22999999998</v>
      </c>
      <c r="MD50" s="484"/>
      <c r="ME50" s="484">
        <f t="shared" ref="ME50:ML50" si="2068">ME36*0.5</f>
        <v>225851.40400000001</v>
      </c>
      <c r="MF50" s="484"/>
      <c r="MG50" s="484">
        <f t="shared" ref="MG50:ML50" si="2069">MG36*0.5</f>
        <v>223872.70000000007</v>
      </c>
      <c r="MH50" s="484"/>
      <c r="MI50" s="484">
        <f t="shared" ref="MI50:ML50" si="2070">MI36*0.5</f>
        <v>310545.68050000002</v>
      </c>
      <c r="MJ50" s="484"/>
      <c r="MK50" s="484">
        <f t="shared" ref="MK50:ML50" si="2071">MK36*0.5</f>
        <v>307429.11</v>
      </c>
      <c r="ML50" s="484"/>
      <c r="MM50" s="484">
        <f t="shared" ref="MM50:OX50" si="2072">MM36*0.5</f>
        <v>1411571.2750000001</v>
      </c>
      <c r="MN50" s="484"/>
      <c r="MO50" s="484">
        <f>MO36*0.5</f>
        <v>1239267.7</v>
      </c>
      <c r="MP50" s="484"/>
      <c r="MQ50" s="484">
        <f t="shared" ref="MQ50:PB50" si="2073">MQ36*0.5</f>
        <v>180266.14619999999</v>
      </c>
      <c r="MR50" s="484"/>
      <c r="MS50" s="484">
        <f t="shared" ref="MS50:PD50" si="2074">MS36*0.5</f>
        <v>143143.65</v>
      </c>
      <c r="MT50" s="484"/>
      <c r="MU50" s="484">
        <f t="shared" ref="MU50:PF50" si="2075">MU36*0.5</f>
        <v>180266.14619999999</v>
      </c>
      <c r="MV50" s="484"/>
      <c r="MW50" s="484">
        <f t="shared" ref="MW50:PH50" si="2076">MW36*0.5</f>
        <v>137230.53500000003</v>
      </c>
      <c r="MX50" s="484"/>
      <c r="MY50" s="484">
        <f t="shared" ref="MY50:PJ50" si="2077">MY36*0.5</f>
        <v>180266.14619999999</v>
      </c>
      <c r="MZ50" s="484"/>
      <c r="NA50" s="484">
        <f t="shared" ref="NA50:PL50" si="2078">NA36*0.5</f>
        <v>124421.08500000001</v>
      </c>
      <c r="NB50" s="484"/>
      <c r="NC50" s="484">
        <f t="shared" ref="NC50:PN50" si="2079">NC36*0.5</f>
        <v>180266.14619999999</v>
      </c>
      <c r="ND50" s="484"/>
      <c r="NE50" s="484">
        <f t="shared" ref="NE50:PP50" si="2080">NE36*0.5</f>
        <v>131831.375</v>
      </c>
      <c r="NF50" s="484"/>
      <c r="NG50" s="484">
        <f t="shared" ref="NG50:PR50" si="2081">NG36*0.5</f>
        <v>210310.50390000007</v>
      </c>
      <c r="NH50" s="484"/>
      <c r="NI50" s="484">
        <f t="shared" ref="NI50:PT50" si="2082">NI36*0.5</f>
        <v>155503.745</v>
      </c>
      <c r="NJ50" s="484"/>
      <c r="NK50" s="484">
        <f t="shared" ref="NK50:PV50" si="2083">NK36*0.5</f>
        <v>240354.8616</v>
      </c>
      <c r="NL50" s="484"/>
      <c r="NM50" s="484">
        <f t="shared" ref="NM50:PX50" si="2084">NM36*0.5</f>
        <v>183778.02</v>
      </c>
      <c r="NN50" s="484"/>
      <c r="NO50" s="484">
        <f t="shared" ref="NO50:PZ50" si="2085">NO36*0.5</f>
        <v>330487.93470000004</v>
      </c>
      <c r="NP50" s="484"/>
      <c r="NQ50" s="484">
        <f t="shared" ref="NQ50:QB50" si="2086">NQ36*0.5</f>
        <v>278766.43000000005</v>
      </c>
      <c r="NR50" s="484"/>
      <c r="NS50" s="484">
        <f t="shared" ref="NS50:QD50" si="2087">NS36*0.5</f>
        <v>1502217.885</v>
      </c>
      <c r="NT50" s="484"/>
      <c r="NU50" s="484">
        <f>NU36*0.5</f>
        <v>1154674.8399999999</v>
      </c>
      <c r="NV50" s="484"/>
      <c r="NW50" s="484">
        <f t="shared" ref="NW50:QH50" si="2088">NW36*0.5</f>
        <v>176287.25819999998</v>
      </c>
      <c r="NX50" s="484"/>
      <c r="NY50" s="484">
        <f t="shared" ref="NY50:QJ50" si="2089">NY36*0.5</f>
        <v>135394.11500000002</v>
      </c>
      <c r="NZ50" s="484"/>
      <c r="OA50" s="484">
        <f t="shared" ref="OA50:QL50" si="2090">OA36*0.5</f>
        <v>176287.25819999998</v>
      </c>
      <c r="OB50" s="484"/>
      <c r="OC50" s="484">
        <f t="shared" ref="OC50:QN50" si="2091">OC36*0.5</f>
        <v>122494.09500000002</v>
      </c>
      <c r="OD50" s="484"/>
      <c r="OE50" s="484">
        <f t="shared" ref="OE50:QP50" si="2092">OE36*0.5</f>
        <v>176287.25819999998</v>
      </c>
      <c r="OF50" s="484"/>
      <c r="OG50" s="484">
        <f t="shared" ref="OG50:QR50" si="2093">OG36*0.5</f>
        <v>129152.42500000002</v>
      </c>
      <c r="OH50" s="484"/>
      <c r="OI50" s="484">
        <f t="shared" ref="OI50:QT50" si="2094">OI36*0.5</f>
        <v>176287.25819999998</v>
      </c>
      <c r="OJ50" s="484"/>
      <c r="OK50" s="484">
        <f t="shared" ref="OK50:QV50" si="2095">OK36*0.5</f>
        <v>128527.69499999999</v>
      </c>
      <c r="OL50" s="484"/>
      <c r="OM50" s="484">
        <f t="shared" ref="OM50:QX50" si="2096">OM36*0.5</f>
        <v>205668.46789999996</v>
      </c>
      <c r="ON50" s="484"/>
      <c r="OO50" s="484">
        <f t="shared" ref="OO50:QZ50" si="2097">OO36*0.5</f>
        <v>165575.35</v>
      </c>
      <c r="OP50" s="484"/>
      <c r="OQ50" s="484">
        <f t="shared" ref="OQ50:RB50" si="2098">OQ36*0.5</f>
        <v>235049.6776</v>
      </c>
      <c r="OR50" s="484"/>
      <c r="OS50" s="484">
        <f t="shared" ref="OS50:RD50" si="2099">OS36*0.5</f>
        <v>220747.21999999997</v>
      </c>
      <c r="OT50" s="484"/>
      <c r="OU50" s="484">
        <f t="shared" ref="OU50:RF50" si="2100">OU36*0.5</f>
        <v>323193.30670000007</v>
      </c>
      <c r="OV50" s="484"/>
      <c r="OW50" s="484">
        <f t="shared" ref="OW50:RH50" si="2101">OW36*0.5</f>
        <v>342953.005</v>
      </c>
      <c r="OX50" s="484"/>
      <c r="OY50" s="484">
        <f t="shared" ref="OY50:RJ50" si="2102">OY36*0.5</f>
        <v>1469060.4850000001</v>
      </c>
      <c r="OZ50" s="484"/>
      <c r="PA50" s="484">
        <f>PA36*0.5</f>
        <v>1244843.905</v>
      </c>
      <c r="PB50" s="484"/>
      <c r="PC50" s="484">
        <f t="shared" ref="PC50:RJ50" si="2103">PC36*0.5</f>
        <v>168679.62</v>
      </c>
      <c r="PD50" s="484"/>
      <c r="PE50" s="484">
        <f t="shared" ref="PE50:RJ50" si="2104">PE36*0.5</f>
        <v>198663.26499999998</v>
      </c>
      <c r="PF50" s="484"/>
      <c r="PG50" s="484">
        <f t="shared" ref="PG50:RJ50" si="2105">PG36*0.5</f>
        <v>168679.62</v>
      </c>
      <c r="PH50" s="484"/>
      <c r="PI50" s="484">
        <f t="shared" ref="PI50:RJ50" si="2106">PI36*0.5</f>
        <v>168170.25</v>
      </c>
      <c r="PJ50" s="484"/>
      <c r="PK50" s="484">
        <f t="shared" ref="PK50:RJ50" si="2107">PK36*0.5</f>
        <v>176469.72</v>
      </c>
      <c r="PL50" s="484"/>
      <c r="PM50" s="484">
        <f t="shared" ref="PM50:RJ50" si="2108">PM36*0.5</f>
        <v>145307.79999999996</v>
      </c>
      <c r="PN50" s="484"/>
      <c r="PO50" s="484">
        <f t="shared" ref="PO50:RJ50" si="2109">PO36*0.5</f>
        <v>176469.72</v>
      </c>
      <c r="PP50" s="484"/>
      <c r="PQ50" s="484">
        <f t="shared" ref="PQ50:RJ50" si="2110">PQ36*0.5</f>
        <v>138006.39499999996</v>
      </c>
      <c r="PR50" s="484"/>
      <c r="PS50" s="484">
        <f t="shared" ref="PS50:RJ50" si="2111">PS36*0.5</f>
        <v>205881.34000000003</v>
      </c>
      <c r="PT50" s="484"/>
      <c r="PU50" s="484">
        <f t="shared" ref="PU50:RJ50" si="2112">PU36*0.5</f>
        <v>149867.995</v>
      </c>
      <c r="PV50" s="484"/>
      <c r="PW50" s="484">
        <f t="shared" ref="PW50:RJ50" si="2113">PW36*0.5</f>
        <v>224906.16</v>
      </c>
      <c r="PX50" s="484"/>
      <c r="PY50" s="484">
        <f t="shared" ref="PY50:RJ50" si="2114">PY36*0.5</f>
        <v>192551.89</v>
      </c>
      <c r="PZ50" s="484"/>
      <c r="QA50" s="484">
        <f t="shared" ref="QA50:RJ50" si="2115">QA36*0.5</f>
        <v>309245.97000000003</v>
      </c>
      <c r="QB50" s="484"/>
      <c r="QC50" s="484">
        <f t="shared" ref="QC50:RJ50" si="2116">QC36*0.5</f>
        <v>283297.70499999996</v>
      </c>
      <c r="QD50" s="484"/>
      <c r="QE50" s="484">
        <f t="shared" ref="QE50:RJ50" si="2117">QE36*0.5</f>
        <v>1405663.5</v>
      </c>
      <c r="QF50" s="484"/>
      <c r="QG50" s="484">
        <f>QG36*0.5</f>
        <v>1275865.2999999998</v>
      </c>
      <c r="QH50" s="484"/>
      <c r="QI50" s="484">
        <f t="shared" ref="QI50:RJ50" si="2118">QI36*0.5</f>
        <v>174872.19779999997</v>
      </c>
      <c r="QJ50" s="484"/>
      <c r="QK50" s="484">
        <f t="shared" ref="QK50:RJ50" si="2119">QK36*0.5</f>
        <v>153929.06499999997</v>
      </c>
      <c r="QL50" s="484"/>
      <c r="QM50" s="484">
        <f t="shared" ref="QM50:RJ50" si="2120">QM36*0.5</f>
        <v>174872.19779999997</v>
      </c>
      <c r="QN50" s="484"/>
      <c r="QO50" s="484">
        <f t="shared" ref="QO50:RJ50" si="2121">QO36*0.5</f>
        <v>120770.55499999999</v>
      </c>
      <c r="QP50" s="484"/>
      <c r="QQ50" s="484">
        <f t="shared" ref="QQ50:RJ50" si="2122">QQ36*0.5</f>
        <v>174872.19779999997</v>
      </c>
      <c r="QR50" s="484"/>
      <c r="QS50" s="484">
        <f t="shared" ref="QS50:RJ50" si="2123">QS36*0.5</f>
        <v>119169.31999999998</v>
      </c>
      <c r="QT50" s="484"/>
      <c r="QU50" s="484">
        <f t="shared" ref="QU50:RJ50" si="2124">QU36*0.5</f>
        <v>174872.19779999997</v>
      </c>
      <c r="QV50" s="484"/>
      <c r="QW50" s="484">
        <f t="shared" ref="QW50:RJ50" si="2125">QW36*0.5</f>
        <v>115646.505</v>
      </c>
      <c r="QX50" s="484"/>
      <c r="QY50" s="484">
        <f t="shared" ref="QY50:RJ50" si="2126">QY36*0.5</f>
        <v>204017.56410000005</v>
      </c>
      <c r="QZ50" s="484"/>
      <c r="RA50" s="484">
        <f t="shared" ref="RA50:RJ50" si="2127">RA36*0.5</f>
        <v>131771.91499999998</v>
      </c>
      <c r="RB50" s="484"/>
      <c r="RC50" s="484">
        <f t="shared" ref="RC50:RJ50" si="2128">RC36*0.5</f>
        <v>233162.93040000001</v>
      </c>
      <c r="RD50" s="484"/>
      <c r="RE50" s="484">
        <f t="shared" ref="RE50:RJ50" si="2129">RE36*0.5</f>
        <v>181079.77500000002</v>
      </c>
      <c r="RF50" s="484"/>
      <c r="RG50" s="484">
        <f t="shared" ref="RG50:RJ50" si="2130">RG36*0.5</f>
        <v>320599.02929999994</v>
      </c>
      <c r="RH50" s="484"/>
      <c r="RI50" s="484">
        <f t="shared" ref="RI50:RJ50" si="2131">RI36*0.5</f>
        <v>279524.49000000005</v>
      </c>
      <c r="RJ50" s="484"/>
      <c r="RK50" s="484">
        <f t="shared" ref="RK50:RN50" si="2132">RK36*0.5</f>
        <v>1457268.3149999999</v>
      </c>
      <c r="RL50" s="484"/>
      <c r="RM50" s="484">
        <f>RM36*0.5</f>
        <v>1101891.6250000002</v>
      </c>
      <c r="RN50" s="484"/>
      <c r="RO50" s="484">
        <f t="shared" ref="RO50:TZ50" si="2133">RO36*0.5</f>
        <v>168007.82819999996</v>
      </c>
      <c r="RP50" s="484"/>
      <c r="RQ50" s="484">
        <f t="shared" ref="RQ50:UB50" si="2134">RQ36*0.5</f>
        <v>147074.84999999998</v>
      </c>
      <c r="RR50" s="484"/>
      <c r="RS50" s="484">
        <f t="shared" ref="RS50:UD50" si="2135">RS36*0.5</f>
        <v>168007.82819999996</v>
      </c>
      <c r="RT50" s="484"/>
      <c r="RU50" s="484">
        <f t="shared" ref="RU50:UF50" si="2136">RU36*0.5</f>
        <v>117861.21499999998</v>
      </c>
      <c r="RV50" s="484"/>
      <c r="RW50" s="484">
        <f t="shared" ref="RW50:UH50" si="2137">RW36*0.5</f>
        <v>168007.82819999996</v>
      </c>
      <c r="RX50" s="484"/>
      <c r="RY50" s="484">
        <f t="shared" ref="RY50:UJ50" si="2138">RY36*0.5</f>
        <v>147488.56000000003</v>
      </c>
      <c r="RZ50" s="484"/>
      <c r="SA50" s="484">
        <f t="shared" ref="SA50:UL50" si="2139">SA36*0.5</f>
        <v>168007.82819999996</v>
      </c>
      <c r="SB50" s="484"/>
      <c r="SC50" s="484">
        <f t="shared" ref="SC50:UN50" si="2140">SC36*0.5</f>
        <v>162692.41500000004</v>
      </c>
      <c r="SD50" s="484"/>
      <c r="SE50" s="484">
        <f t="shared" ref="SE50:UP50" si="2141">SE36*0.5</f>
        <v>196009.1329</v>
      </c>
      <c r="SF50" s="484"/>
      <c r="SG50" s="484">
        <f t="shared" ref="SG50:UR50" si="2142">SG36*0.5</f>
        <v>166257.60999999996</v>
      </c>
      <c r="SH50" s="484"/>
      <c r="SI50" s="484">
        <f t="shared" ref="SI50:UT50" si="2143">SI36*0.5</f>
        <v>224010.4376</v>
      </c>
      <c r="SJ50" s="484"/>
      <c r="SK50" s="484">
        <f t="shared" ref="SK50:UV50" si="2144">SK36*0.5</f>
        <v>195750.25000000003</v>
      </c>
      <c r="SL50" s="484"/>
      <c r="SM50" s="484">
        <f t="shared" ref="SM50:UX50" si="2145">SM36*0.5</f>
        <v>308014.3517</v>
      </c>
      <c r="SN50" s="484"/>
      <c r="SO50" s="484">
        <f t="shared" ref="SO50:UZ50" si="2146">SO36*0.5</f>
        <v>261556.43</v>
      </c>
      <c r="SP50" s="484"/>
      <c r="SQ50" s="484">
        <f t="shared" ref="SQ50:VB50" si="2147">SQ36*0.5</f>
        <v>1400065.2349999999</v>
      </c>
      <c r="SR50" s="484"/>
      <c r="SS50" s="484">
        <f>SS36*0.5</f>
        <v>1198681.3300000003</v>
      </c>
      <c r="ST50" s="484"/>
      <c r="SU50" s="484">
        <f t="shared" ref="SU50:TZ50" si="2148">SU36*0.5</f>
        <v>156342.68639999998</v>
      </c>
      <c r="SV50" s="484"/>
      <c r="SW50" s="484">
        <f t="shared" ref="SW50:UB50" si="2149">SW36*0.5</f>
        <v>122456.09</v>
      </c>
      <c r="SX50" s="484"/>
      <c r="SY50" s="484">
        <f t="shared" ref="SY50:VJ50" si="2150">SY36*0.5</f>
        <v>156342.68639999998</v>
      </c>
      <c r="SZ50" s="484"/>
      <c r="TA50" s="484">
        <f t="shared" ref="TA50:VL50" si="2151">TA36*0.5</f>
        <v>110185.91500000001</v>
      </c>
      <c r="TB50" s="484"/>
      <c r="TC50" s="484">
        <f t="shared" ref="TC50:VN50" si="2152">TC36*0.5</f>
        <v>156342.68639999998</v>
      </c>
      <c r="TD50" s="484"/>
      <c r="TE50" s="484">
        <f t="shared" ref="TE50:VP50" si="2153">TE36*0.5</f>
        <v>108762.15500000001</v>
      </c>
      <c r="TF50" s="484"/>
      <c r="TG50" s="484">
        <f t="shared" ref="TG50:VR50" si="2154">TG36*0.5</f>
        <v>156342.68639999998</v>
      </c>
      <c r="TH50" s="484"/>
      <c r="TI50" s="484">
        <f t="shared" ref="TI50:VT50" si="2155">TI36*0.5</f>
        <v>112915.50499999998</v>
      </c>
      <c r="TJ50" s="484"/>
      <c r="TK50" s="484">
        <f t="shared" ref="TK50:VV50" si="2156">TK36*0.5</f>
        <v>182399.8008</v>
      </c>
      <c r="TL50" s="484"/>
      <c r="TM50" s="484">
        <f t="shared" ref="TM50:VX50" si="2157">TM36*0.5</f>
        <v>127999.15000000001</v>
      </c>
      <c r="TN50" s="484"/>
      <c r="TO50" s="484">
        <f t="shared" ref="TO50:VZ50" si="2158">TO36*0.5</f>
        <v>208456.91519999999</v>
      </c>
      <c r="TP50" s="484"/>
      <c r="TQ50" s="484">
        <f t="shared" ref="TQ50:WB50" si="2159">TQ36*0.5</f>
        <v>171454.35</v>
      </c>
      <c r="TR50" s="484"/>
      <c r="TS50" s="484">
        <f t="shared" ref="TS50:WD50" si="2160">TS36*0.5</f>
        <v>286628.25840000005</v>
      </c>
      <c r="TT50" s="484"/>
      <c r="TU50" s="484">
        <f t="shared" ref="TU50:WF50" si="2161">TU36*0.5</f>
        <v>275403.39500000002</v>
      </c>
      <c r="TV50" s="484"/>
      <c r="TW50" s="484">
        <f>TW36*0.5</f>
        <v>1302855.72</v>
      </c>
      <c r="TX50" s="484"/>
      <c r="TY50" s="484">
        <f>TY36*0.5</f>
        <v>1029176.5600000003</v>
      </c>
      <c r="TZ50" s="484"/>
      <c r="UA50" s="484">
        <f>UA36*0.5</f>
        <v>207607.49</v>
      </c>
      <c r="UB50" s="484"/>
      <c r="UC50" s="484">
        <f>UC36*0.5</f>
        <v>127365.00499999999</v>
      </c>
      <c r="UD50" s="484"/>
      <c r="UE50" s="484">
        <f>UE36*0.5</f>
        <v>148421.91500000007</v>
      </c>
      <c r="UF50" s="484"/>
      <c r="UG50" s="484">
        <f>UG36*0.5</f>
        <v>114208.34999999999</v>
      </c>
      <c r="UH50" s="484"/>
      <c r="UI50" s="484">
        <f>UI36*0.5</f>
        <v>165001.80499999999</v>
      </c>
      <c r="UJ50" s="484"/>
      <c r="UK50" s="484">
        <f>UK36*0.5</f>
        <v>119667.37000000001</v>
      </c>
      <c r="UL50" s="484"/>
      <c r="UM50" s="484">
        <f>UM36*0.5</f>
        <v>153308.29500000001</v>
      </c>
      <c r="UN50" s="484"/>
      <c r="UO50" s="484">
        <f>UO36*0.5</f>
        <v>122823.875</v>
      </c>
      <c r="UP50" s="484"/>
      <c r="UQ50" s="484">
        <f>UQ36*0.5</f>
        <v>173038.155</v>
      </c>
      <c r="UR50" s="484"/>
      <c r="US50" s="484">
        <f>US36*0.5</f>
        <v>142711.63</v>
      </c>
      <c r="UT50" s="484"/>
      <c r="UU50" s="484">
        <f>UU36*0.5</f>
        <v>232563.67999999996</v>
      </c>
      <c r="UV50" s="484"/>
      <c r="UW50" s="484">
        <f>UW36*0.5</f>
        <v>209894.23</v>
      </c>
      <c r="UX50" s="484"/>
      <c r="UY50" s="484">
        <f>UY36*0.5</f>
        <v>330618.95000000007</v>
      </c>
      <c r="UZ50" s="484"/>
      <c r="VA50" s="484">
        <f>VA36*0.5</f>
        <v>285764.07</v>
      </c>
      <c r="VB50" s="484"/>
      <c r="VC50" s="484">
        <f>VC36*0.5</f>
        <v>1410560.29</v>
      </c>
      <c r="VD50" s="484"/>
      <c r="VE50" s="484">
        <f>VE36*0.5</f>
        <v>1122434.5299999996</v>
      </c>
      <c r="VF50" s="484"/>
      <c r="VG50" s="484">
        <f t="shared" ref="VG50:XR50" si="2162">VG36*0.5</f>
        <v>194940.74999999997</v>
      </c>
      <c r="VH50" s="484"/>
      <c r="VI50" s="484">
        <f t="shared" ref="VI50:XT50" si="2163">VI36*0.5</f>
        <v>140085.69</v>
      </c>
      <c r="VJ50" s="484"/>
      <c r="VK50" s="484">
        <f t="shared" ref="VK50:XV50" si="2164">VK36*0.5</f>
        <v>140300.285</v>
      </c>
      <c r="VL50" s="484"/>
      <c r="VM50" s="484">
        <f t="shared" ref="VM50:XX50" si="2165">VM36*0.5</f>
        <v>118566.77499999998</v>
      </c>
      <c r="VN50" s="484"/>
      <c r="VO50" s="484">
        <f t="shared" ref="VO50:XZ50" si="2166">VO36*0.5</f>
        <v>131607.935</v>
      </c>
      <c r="VP50" s="484"/>
      <c r="VQ50" s="484">
        <f t="shared" ref="VQ50:YB50" si="2167">VQ36*0.5</f>
        <v>110341.47499999999</v>
      </c>
      <c r="VR50" s="484"/>
      <c r="VS50" s="484">
        <f t="shared" ref="VS50:YD50" si="2168">VS36*0.5</f>
        <v>144885.73999999996</v>
      </c>
      <c r="VT50" s="484"/>
      <c r="VU50" s="484">
        <f t="shared" ref="VU50:YF50" si="2169">VU36*0.5</f>
        <v>123284.93500000001</v>
      </c>
      <c r="VV50" s="484"/>
      <c r="VW50" s="484">
        <f t="shared" ref="VW50:YH50" si="2170">VW36*0.5</f>
        <v>156535.54500000001</v>
      </c>
      <c r="VX50" s="484"/>
      <c r="VY50" s="484">
        <f t="shared" ref="VY50:YJ50" si="2171">VY36*0.5</f>
        <v>139297.33499999999</v>
      </c>
      <c r="VZ50" s="484"/>
      <c r="WA50" s="484">
        <f t="shared" ref="WA50:YL50" si="2172">WA36*0.5</f>
        <v>199424.5</v>
      </c>
      <c r="WB50" s="484"/>
      <c r="WC50" s="484">
        <f t="shared" ref="WC50:YN50" si="2173">WC36*0.5</f>
        <v>190182.67</v>
      </c>
      <c r="WD50" s="484"/>
      <c r="WE50" s="484">
        <f t="shared" ref="WE50:YP50" si="2174">WE36*0.5</f>
        <v>320377.47499999998</v>
      </c>
      <c r="WF50" s="484"/>
      <c r="WG50" s="484">
        <f t="shared" ref="WG50:YR50" si="2175">WG36*0.5</f>
        <v>304808.22000000003</v>
      </c>
      <c r="WH50" s="484"/>
      <c r="WI50" s="484">
        <f t="shared" ref="WI50:YT50" si="2176">WI36*0.5</f>
        <v>611734.71</v>
      </c>
      <c r="WJ50" s="484"/>
      <c r="WK50" s="484">
        <f t="shared" ref="WK50:YV50" si="2177">WK36*0.5</f>
        <v>1126567.0999999996</v>
      </c>
      <c r="WL50" s="484"/>
      <c r="WM50" s="484">
        <f t="shared" ref="WM50:YX50" si="2178">WM36*0.5</f>
        <v>174207.47000000003</v>
      </c>
      <c r="WN50" s="484"/>
      <c r="WO50" s="484">
        <f t="shared" ref="WO50:YZ50" si="2179">WO36*0.5</f>
        <v>152979.83500000002</v>
      </c>
      <c r="WP50" s="484"/>
      <c r="WQ50" s="484">
        <f t="shared" ref="WQ50:ZB50" si="2180">WQ36*0.5</f>
        <v>157193.08500000002</v>
      </c>
      <c r="WR50" s="484"/>
      <c r="WS50" s="484">
        <f t="shared" ref="WS50:ZD50" si="2181">WS36*0.5</f>
        <v>125964.48999999999</v>
      </c>
      <c r="WT50" s="484"/>
      <c r="WU50" s="484">
        <f t="shared" ref="WU50:ZF50" si="2182">WU36*0.5</f>
        <v>164432.22500000003</v>
      </c>
      <c r="WV50" s="484"/>
      <c r="WW50" s="484">
        <f t="shared" ref="WW50:ZH50" si="2183">WW36*0.5</f>
        <v>124520.88</v>
      </c>
      <c r="WX50" s="484"/>
      <c r="WY50" s="484">
        <f t="shared" ref="WY50:ZJ50" si="2184">WY36*0.5</f>
        <v>169315.50500000003</v>
      </c>
      <c r="WZ50" s="484"/>
      <c r="XA50" s="484">
        <f t="shared" ref="XA50:ZL50" si="2185">XA36*0.5</f>
        <v>130812.16000000002</v>
      </c>
      <c r="XB50" s="484"/>
      <c r="XC50" s="484">
        <f t="shared" ref="XC50:ZN50" si="2186">XC36*0.5</f>
        <v>171148.845</v>
      </c>
      <c r="XD50" s="484"/>
      <c r="XE50" s="484">
        <f t="shared" ref="XE50:ZP50" si="2187">XE36*0.5</f>
        <v>157731.535</v>
      </c>
      <c r="XF50" s="484"/>
      <c r="XG50" s="484">
        <f t="shared" ref="XG50:ZR50" si="2188">XG36*0.5</f>
        <v>218935.88999999996</v>
      </c>
      <c r="XH50" s="484"/>
      <c r="XI50" s="484">
        <f t="shared" ref="XI50:ZT50" si="2189">XI36*0.5</f>
        <v>218600.11</v>
      </c>
      <c r="XJ50" s="484"/>
      <c r="XK50" s="484">
        <f t="shared" ref="XK50:ZV50" si="2190">XK36*0.5</f>
        <v>344709.76999999996</v>
      </c>
      <c r="XL50" s="484"/>
      <c r="XM50" s="484">
        <f t="shared" ref="XM50:ZX50" si="2191">XM36*0.5</f>
        <v>347338.07</v>
      </c>
      <c r="XN50" s="484"/>
      <c r="XO50" s="484">
        <f t="shared" ref="XO50:ZZ50" si="2192">XO36*0.5</f>
        <v>1399942.79</v>
      </c>
      <c r="XP50" s="484"/>
      <c r="XQ50" s="484">
        <f t="shared" ref="XQ50:AAB50" si="2193">XQ36*0.5</f>
        <v>1257947.0799999998</v>
      </c>
      <c r="XR50" s="484"/>
      <c r="XS50" s="484">
        <f t="shared" ref="XS50:AAD50" si="2194">XS36*0.5</f>
        <v>223071.465</v>
      </c>
      <c r="XT50" s="484"/>
      <c r="XU50" s="484">
        <f t="shared" ref="XU50:AAF50" si="2195">XU36*0.5</f>
        <v>159970.90499999997</v>
      </c>
      <c r="XV50" s="484"/>
      <c r="XW50" s="484">
        <f t="shared" ref="XW50:AAH50" si="2196">XW36*0.5</f>
        <v>151776.50500000009</v>
      </c>
      <c r="XX50" s="484"/>
      <c r="XY50" s="484">
        <f t="shared" ref="XY50:AAJ50" si="2197">XY36*0.5</f>
        <v>135144.35499999998</v>
      </c>
      <c r="XZ50" s="484"/>
      <c r="YA50" s="484">
        <f t="shared" ref="YA50:AAL50" si="2198">YA36*0.5</f>
        <v>158807.66999999998</v>
      </c>
      <c r="YB50" s="484"/>
      <c r="YC50" s="484">
        <f t="shared" ref="YC50:AAN50" si="2199">YC36*0.5</f>
        <v>126753.61000000002</v>
      </c>
      <c r="YD50" s="484"/>
      <c r="YE50" s="484">
        <f t="shared" ref="YE50:AAP50" si="2200">YE36*0.5</f>
        <v>158935.83500000002</v>
      </c>
      <c r="YF50" s="484"/>
      <c r="YG50" s="484">
        <f t="shared" ref="YG50:AAR50" si="2201">YG36*0.5</f>
        <v>130870.41500000001</v>
      </c>
      <c r="YH50" s="484"/>
      <c r="YI50" s="484">
        <f t="shared" ref="YI50:AAT50" si="2202">YI36*0.5</f>
        <v>182717.46999999991</v>
      </c>
      <c r="YJ50" s="484"/>
      <c r="YK50" s="484">
        <f t="shared" ref="YK50:AAV50" si="2203">YK36*0.5</f>
        <v>159481.29</v>
      </c>
      <c r="YL50" s="484"/>
      <c r="YM50" s="484">
        <f t="shared" ref="YM50:AAX50" si="2204">YM36*0.5</f>
        <v>247663.83500000002</v>
      </c>
      <c r="YN50" s="484"/>
      <c r="YO50" s="484">
        <f t="shared" ref="YO50:AAZ50" si="2205">YO36*0.5</f>
        <v>220117.16999999995</v>
      </c>
      <c r="YP50" s="484"/>
      <c r="YQ50" s="484">
        <f t="shared" ref="YQ50:ABB50" si="2206">YQ36*0.5</f>
        <v>395283.36</v>
      </c>
      <c r="YR50" s="484"/>
      <c r="YS50" s="484">
        <f t="shared" ref="YS50:ABD50" si="2207">YS36*0.5</f>
        <v>346642.315</v>
      </c>
      <c r="YT50" s="484"/>
      <c r="YU50" s="484">
        <f t="shared" ref="YU50:ABF50" si="2208">YU36*0.5</f>
        <v>1518256.14</v>
      </c>
      <c r="YV50" s="484"/>
      <c r="YW50" s="484">
        <f t="shared" ref="YW50:ABH50" si="2209">YW36*0.5</f>
        <v>1278980.06</v>
      </c>
      <c r="YX50" s="484"/>
      <c r="YY50" s="484">
        <f t="shared" ref="YY50:ABJ50" si="2210">YY36*0.5</f>
        <v>221870.44500000001</v>
      </c>
      <c r="YZ50" s="484"/>
      <c r="ZA50" s="484">
        <f t="shared" ref="ZA50:ABL50" si="2211">ZA36*0.5</f>
        <v>184055.24000000008</v>
      </c>
      <c r="ZB50" s="484"/>
      <c r="ZC50" s="484">
        <f t="shared" ref="ZC50:ABN50" si="2212">ZC36*0.5</f>
        <v>183874.47000000003</v>
      </c>
      <c r="ZD50" s="484"/>
      <c r="ZE50" s="484">
        <f t="shared" ref="ZE50:ABP50" si="2213">ZE36*0.5</f>
        <v>160364.04499999995</v>
      </c>
      <c r="ZF50" s="484"/>
      <c r="ZG50" s="484">
        <f t="shared" ref="ZG50:ABR50" si="2214">ZG36*0.5</f>
        <v>218124.72000000003</v>
      </c>
      <c r="ZH50" s="484"/>
      <c r="ZI50" s="484">
        <f t="shared" ref="ZI50:ABT50" si="2215">ZI36*0.5</f>
        <v>191055.52</v>
      </c>
      <c r="ZJ50" s="484"/>
      <c r="ZK50" s="484">
        <f t="shared" ref="ZK50:ABV50" si="2216">ZK36*0.5</f>
        <v>284789.60000000009</v>
      </c>
      <c r="ZL50" s="484">
        <f t="shared" si="2216"/>
        <v>185026.22858999998</v>
      </c>
      <c r="ZM50" s="484">
        <f t="shared" ref="ZM50:ABX50" si="2217">ZM36*0.5</f>
        <v>217502.80499999999</v>
      </c>
      <c r="ZN50" s="484"/>
      <c r="ZO50" s="484">
        <f t="shared" ref="ZO50:ABZ50" si="2218">ZO36*0.5</f>
        <v>330463.46499999997</v>
      </c>
      <c r="ZP50" s="484">
        <f t="shared" ref="ZP50" si="2219">ZP36*0.5</f>
        <v>215863.93335499999</v>
      </c>
      <c r="ZQ50" s="484">
        <f t="shared" ref="ZQ50:ACB50" si="2220">ZQ36*0.5</f>
        <v>247296.5</v>
      </c>
      <c r="ZR50" s="484"/>
      <c r="ZS50" s="484">
        <f t="shared" ref="ZS50:ACD50" si="2221">ZS36*0.5</f>
        <v>256594.39500000005</v>
      </c>
      <c r="ZT50" s="484"/>
      <c r="ZU50" s="484">
        <f t="shared" ref="ZU50:ACF50" si="2222">ZU36*0.5</f>
        <v>339989.47499999998</v>
      </c>
      <c r="ZV50" s="484"/>
      <c r="ZW50" s="484">
        <f t="shared" ref="ZW50:ACH50" si="2223">ZW36*0.5</f>
        <v>303309.05500000005</v>
      </c>
      <c r="ZX50" s="484"/>
      <c r="ZY50" s="484">
        <f t="shared" ref="ZY50:ACJ50" si="2224">ZY36*0.5</f>
        <v>484223.52000000014</v>
      </c>
      <c r="ZZ50" s="484"/>
      <c r="AAA50" s="484">
        <f t="shared" ref="AAA50:ACL50" si="2225">AAA36*0.5</f>
        <v>1799026.1500000001</v>
      </c>
      <c r="AAB50" s="484"/>
      <c r="AAC50" s="484">
        <f t="shared" ref="AAC50:ACN50" si="2226">AAC36*0.5</f>
        <v>1824487.1049999997</v>
      </c>
      <c r="AAD50" s="484"/>
      <c r="AAE50" s="484">
        <f t="shared" ref="AAE50:ACP50" si="2227">AAE36*0.5</f>
        <v>196436.53000000006</v>
      </c>
      <c r="AAF50" s="484"/>
      <c r="AAG50" s="484">
        <f t="shared" ref="AAG50:ACR50" si="2228">AAG36*0.5</f>
        <v>216939.97999999998</v>
      </c>
      <c r="AAH50" s="484"/>
      <c r="AAI50" s="484">
        <f t="shared" ref="AAI50:ACT50" si="2229">AAI36*0.5</f>
        <v>153362.98499999996</v>
      </c>
      <c r="AAJ50" s="484"/>
      <c r="AAK50" s="484">
        <f t="shared" ref="AAK50:ACV50" si="2230">AAK36*0.5</f>
        <v>171906.57500000001</v>
      </c>
      <c r="AAL50" s="484"/>
      <c r="AAM50" s="484">
        <f t="shared" ref="AAM50:ACX50" si="2231">AAM36*0.5</f>
        <v>154446.28999999998</v>
      </c>
      <c r="AAN50" s="484"/>
      <c r="AAO50" s="484">
        <f t="shared" ref="AAO50:ACZ50" si="2232">AAO36*0.5</f>
        <v>128110.2</v>
      </c>
      <c r="AAP50" s="484"/>
      <c r="AAQ50" s="484">
        <f t="shared" ref="AAQ50:ADB50" si="2233">AAQ36*0.5</f>
        <v>132210.92499999999</v>
      </c>
      <c r="AAR50" s="484">
        <f>AAR36*0.5</f>
        <v>144605.728806</v>
      </c>
      <c r="AAS50" s="484">
        <f t="shared" ref="AAS50:ADD50" si="2234">AAS36*0.5</f>
        <v>124807.045</v>
      </c>
      <c r="AAT50" s="484"/>
      <c r="AAU50" s="484">
        <f t="shared" ref="AAU50:ADF50" si="2235">AAU36*0.5</f>
        <v>156191.73500000002</v>
      </c>
      <c r="AAV50" s="484">
        <f t="shared" ref="AAV50" si="2236">AAV36*0.5</f>
        <v>168706.68360700001</v>
      </c>
      <c r="AAW50" s="484">
        <f t="shared" ref="AAW50:ADH50" si="2237">AAW36*0.5</f>
        <v>134844.47000000003</v>
      </c>
      <c r="AAX50" s="484"/>
      <c r="AAY50" s="484">
        <f t="shared" ref="AAY50:ADJ50" si="2238">AAY36*0.5</f>
        <v>191652.02</v>
      </c>
      <c r="AAZ50" s="484"/>
      <c r="ABA50" s="484">
        <f t="shared" ref="ABA50:ADL50" si="2239">ABA36*0.5</f>
        <v>192575.98500000002</v>
      </c>
      <c r="ABB50" s="484"/>
      <c r="ABC50" s="484">
        <f t="shared" ref="ABC50:ADN50" si="2240">ABC36*0.5</f>
        <v>344951.74000000011</v>
      </c>
      <c r="ABD50" s="484"/>
      <c r="ABE50" s="484">
        <f t="shared" ref="ABE50:ADP50" si="2241">ABE36*0.5</f>
        <v>318058.47000000003</v>
      </c>
      <c r="ABF50" s="484"/>
      <c r="ABG50" s="484">
        <f t="shared" ref="ABG50:ADR50" si="2242">ABG36*0.5</f>
        <v>1329252.2249999999</v>
      </c>
      <c r="ABH50" s="484"/>
      <c r="ABI50" s="484">
        <f t="shared" ref="ABI50:ADT50" si="2243">ABI36*0.5</f>
        <v>1287242.7250000001</v>
      </c>
      <c r="ABJ50" s="484"/>
      <c r="ABK50" s="484">
        <f t="shared" ref="ABK50:ADV50" si="2244">ABK36*0.5</f>
        <v>202987.89999999997</v>
      </c>
      <c r="ABL50" s="484"/>
      <c r="ABM50" s="484">
        <f t="shared" ref="ABM50:ADX50" si="2245">ABM36*0.5</f>
        <v>168583.86500000002</v>
      </c>
      <c r="ABN50" s="484"/>
      <c r="ABO50" s="484">
        <f t="shared" ref="ABO50:ADZ50" si="2246">ABO36*0.5</f>
        <v>142367.935</v>
      </c>
      <c r="ABP50" s="484"/>
      <c r="ABQ50" s="484">
        <f t="shared" ref="ABQ50:AEB50" si="2247">ABQ36*0.5</f>
        <v>137732.73500000002</v>
      </c>
      <c r="ABR50" s="484"/>
      <c r="ABS50" s="484">
        <f t="shared" ref="ABS50:AED50" si="2248">ABS36*0.5</f>
        <v>114649.53999999996</v>
      </c>
      <c r="ABT50" s="484"/>
      <c r="ABU50" s="484">
        <f t="shared" ref="ABU50:AEF50" si="2249">ABU36*0.5</f>
        <v>128466.11500000001</v>
      </c>
      <c r="ABV50" s="484"/>
      <c r="ABW50" s="484">
        <f t="shared" ref="ABW50:AEH50" si="2250">ABW36*0.5</f>
        <v>149019.31499999997</v>
      </c>
      <c r="ABX50" s="484"/>
      <c r="ABY50" s="484">
        <f t="shared" ref="ABY50:AEJ50" si="2251">ABY36*0.5</f>
        <v>150533.39000000004</v>
      </c>
      <c r="ABZ50" s="484"/>
      <c r="ACA50" s="484">
        <f t="shared" ref="ACA50:AEL50" si="2252">ACA36*0.5</f>
        <v>210119.12000000002</v>
      </c>
      <c r="ACB50" s="484"/>
      <c r="ACC50" s="484">
        <f t="shared" ref="ACC50:AEN50" si="2253">ACC36*0.5</f>
        <v>168484.375</v>
      </c>
      <c r="ACD50" s="484"/>
      <c r="ACE50" s="484">
        <f t="shared" ref="ACE50:AEP50" si="2254">ACE36*0.5</f>
        <v>342269.3349999999</v>
      </c>
      <c r="ACF50" s="484"/>
      <c r="ACG50" s="484">
        <f t="shared" ref="ACG50:AER50" si="2255">ACG36*0.5</f>
        <v>249914.00500000003</v>
      </c>
      <c r="ACH50" s="484"/>
      <c r="ACI50" s="484">
        <f t="shared" ref="ACI50:AET50" si="2256">ACI36*0.5</f>
        <v>552679.05999999994</v>
      </c>
      <c r="ACJ50" s="484"/>
      <c r="ACK50" s="484">
        <f t="shared" ref="ACK50:AEV50" si="2257">ACK36*0.5</f>
        <v>415311.52000000008</v>
      </c>
      <c r="ACL50" s="484"/>
      <c r="ACM50" s="484">
        <f t="shared" ref="ACM50:AEX50" si="2258">ACM36*0.5</f>
        <v>1714092.2049999998</v>
      </c>
      <c r="ACN50" s="484"/>
      <c r="ACO50" s="484">
        <f t="shared" ref="ACO50:AEZ50" si="2259">ACO36*0.5</f>
        <v>1419026.0049999999</v>
      </c>
      <c r="ACP50" s="484"/>
      <c r="ACQ50" s="484">
        <f t="shared" ref="ACQ50:AFB50" si="2260">ACQ36*0.5</f>
        <v>385608.42000000004</v>
      </c>
      <c r="ACR50" s="484"/>
      <c r="ACS50" s="484">
        <f t="shared" ref="ACS50:AFD50" si="2261">ACS36*0.5</f>
        <v>261422.47500000003</v>
      </c>
      <c r="ACT50" s="484"/>
      <c r="ACU50" s="484">
        <f t="shared" ref="ACU50:AFF50" si="2262">ACU36*0.5</f>
        <v>388146.08999999991</v>
      </c>
      <c r="ACV50" s="484"/>
      <c r="ACW50" s="484">
        <f t="shared" ref="ACW50:AFH50" si="2263">ACW36*0.5</f>
        <v>272617.22499999998</v>
      </c>
      <c r="ACX50" s="484"/>
      <c r="ACY50" s="484">
        <f t="shared" ref="ACY50:AFJ50" si="2264">ACY36*0.5</f>
        <v>193637.98</v>
      </c>
      <c r="ACZ50" s="484"/>
      <c r="ADA50" s="484">
        <f t="shared" ref="ADA50:AFL50" si="2265">ADA36*0.5</f>
        <v>176697.67</v>
      </c>
      <c r="ADB50" s="484"/>
      <c r="ADC50" s="484">
        <f t="shared" ref="ADC50:AFN50" si="2266">ADC36*0.5</f>
        <v>165420.59</v>
      </c>
      <c r="ADD50" s="484"/>
      <c r="ADE50" s="484">
        <f t="shared" ref="ADE50:AFP50" si="2267">ADE36*0.5</f>
        <v>158192.33000000002</v>
      </c>
      <c r="ADF50" s="484"/>
      <c r="ADG50" s="484">
        <f t="shared" ref="ADG50:AFR50" si="2268">ADG36*0.5</f>
        <v>208077.36499999999</v>
      </c>
      <c r="ADH50" s="484"/>
      <c r="ADI50" s="484">
        <f t="shared" ref="ADI50:AFT50" si="2269">ADI36*0.5</f>
        <v>179369.02000000002</v>
      </c>
      <c r="ADJ50" s="484"/>
      <c r="ADK50" s="484">
        <f t="shared" ref="ADK50:AFV50" si="2270">ADK36*0.5</f>
        <v>266615.44500000001</v>
      </c>
      <c r="ADL50" s="484"/>
      <c r="ADM50" s="484">
        <f t="shared" ref="ADM50:AFX50" si="2271">ADM36*0.5</f>
        <v>230063.77</v>
      </c>
      <c r="ADN50" s="484"/>
      <c r="ADO50" s="484">
        <f t="shared" ref="ADO50:AET50" si="2272">ADO36*0.5</f>
        <v>403867.42499999999</v>
      </c>
      <c r="ADP50" s="484"/>
      <c r="ADQ50" s="484">
        <f t="shared" ref="ADQ50:AEV50" si="2273">ADQ36*0.5</f>
        <v>349841.435</v>
      </c>
      <c r="ADR50" s="484"/>
      <c r="ADS50" s="484">
        <f t="shared" ref="ADS50:AEX50" si="2274">ADS36*0.5</f>
        <v>1954859.5250000001</v>
      </c>
      <c r="ADT50" s="484"/>
      <c r="ADU50" s="484">
        <f t="shared" ref="ADU50:AEZ50" si="2275">ADU36*0.5</f>
        <v>1628203.9249999998</v>
      </c>
      <c r="ADV50" s="484"/>
      <c r="ADW50" s="484">
        <f t="shared" ref="ADW50:AFB50" si="2276">ADW36*0.5</f>
        <v>249742.14500000002</v>
      </c>
      <c r="ADX50" s="484"/>
      <c r="ADY50" s="484">
        <f t="shared" ref="ADY50:AFD50" si="2277">ADY36*0.5</f>
        <v>213488.01500000001</v>
      </c>
      <c r="ADZ50" s="484"/>
      <c r="AEA50" s="484">
        <f t="shared" ref="AEA50:AFF50" si="2278">AEA36*0.5</f>
        <v>217633.60999999996</v>
      </c>
      <c r="AEB50" s="484"/>
      <c r="AEC50" s="484">
        <f t="shared" ref="AEC50:AFH50" si="2279">AEC36*0.5</f>
        <v>190638</v>
      </c>
      <c r="AED50" s="484"/>
      <c r="AEE50" s="484">
        <f t="shared" ref="AEE50:AFJ50" si="2280">AEE36*0.5</f>
        <v>206697.40500000006</v>
      </c>
      <c r="AEF50" s="484"/>
      <c r="AEG50" s="484">
        <f t="shared" ref="AEG50:AFL50" si="2281">AEG36*0.5</f>
        <v>194844</v>
      </c>
      <c r="AEH50" s="484"/>
      <c r="AEI50" s="484">
        <f t="shared" ref="AEI50:AFN50" si="2282">AEI36*0.5</f>
        <v>194185.84000000003</v>
      </c>
      <c r="AEJ50" s="484"/>
      <c r="AEK50" s="484">
        <f t="shared" ref="AEK50:AFP50" si="2283">AEK36*0.5</f>
        <v>211498.5</v>
      </c>
      <c r="AEL50" s="484"/>
      <c r="AEM50" s="484">
        <f t="shared" ref="AEM50:AFR50" si="2284">AEM36*0.5</f>
        <v>259794.11500000002</v>
      </c>
      <c r="AEN50" s="484"/>
      <c r="AEO50" s="484">
        <f t="shared" ref="AEO50:AFT50" si="2285">AEO36*0.5</f>
        <v>215625</v>
      </c>
      <c r="AEP50" s="484"/>
      <c r="AEQ50" s="484">
        <f t="shared" ref="AEQ50:AFV50" si="2286">AEQ36*0.5</f>
        <v>375008.66000000003</v>
      </c>
      <c r="AER50" s="484"/>
      <c r="AES50" s="484">
        <f t="shared" ref="AES50:AFX50" si="2287">AES36*0.5</f>
        <v>189501.5</v>
      </c>
      <c r="AET50" s="484"/>
      <c r="AEU50" s="484">
        <f t="shared" ref="AEU50:AFZ50" si="2288">AEU36*0.5</f>
        <v>582260.64999999991</v>
      </c>
      <c r="AEV50" s="484"/>
      <c r="AEW50" s="484">
        <f t="shared" ref="AEW50:AGB50" si="2289">AEW36*0.5</f>
        <v>452718.5</v>
      </c>
      <c r="AEX50" s="484"/>
      <c r="AEY50" s="484">
        <f t="shared" ref="AEY50:AGD50" si="2290">AEY36*0.5</f>
        <v>2050133.2399999998</v>
      </c>
      <c r="AEZ50" s="484"/>
      <c r="AFA50" s="484">
        <f t="shared" ref="AFA50:AGF50" si="2291">AFA36*0.5</f>
        <v>1668313.5149999999</v>
      </c>
      <c r="AFB50" s="484"/>
      <c r="AFC50" s="484">
        <f t="shared" ref="AFC50:AGH50" si="2292">AFC36*0.5</f>
        <v>342133.43</v>
      </c>
      <c r="AFD50" s="484"/>
      <c r="AFE50" s="484">
        <f t="shared" ref="AFE50:AGJ50" si="2293">AFE36*0.5</f>
        <v>243804</v>
      </c>
      <c r="AFF50" s="484"/>
      <c r="AFG50" s="484">
        <f t="shared" ref="AFG50:AGL50" si="2294">AFG36*0.5</f>
        <v>306941.34499999997</v>
      </c>
      <c r="AFH50" s="484"/>
      <c r="AFI50" s="484">
        <f t="shared" ref="AFI50:AGN50" si="2295">AFI36*0.5</f>
        <v>231980.89500000002</v>
      </c>
      <c r="AFJ50" s="484"/>
      <c r="AFK50" s="484">
        <f t="shared" ref="AFK50:AGP50" si="2296">AFK36*0.5</f>
        <v>295311.255</v>
      </c>
      <c r="AFL50" s="484"/>
      <c r="AFM50" s="484">
        <f t="shared" ref="AFM50:AGR50" si="2297">AFM36*0.5</f>
        <v>264927.60499999998</v>
      </c>
      <c r="AFN50" s="484"/>
      <c r="AFO50" s="484">
        <f t="shared" ref="AFO50:AGT50" si="2298">AFO36*0.5</f>
        <v>327007.3</v>
      </c>
      <c r="AFP50" s="484"/>
      <c r="AFQ50" s="484">
        <f t="shared" ref="AFQ50:AGV50" si="2299">AFQ36*0.5</f>
        <v>274445.34499999997</v>
      </c>
      <c r="AFR50" s="484"/>
      <c r="AFS50" s="484">
        <f t="shared" ref="AFS50:AGX50" si="2300">AFS36*0.5</f>
        <v>370477.37500000006</v>
      </c>
      <c r="AFT50" s="484"/>
      <c r="AFU50" s="484">
        <f t="shared" ref="AFU50:AGZ50" si="2301">AFU36*0.5</f>
        <v>325151.375</v>
      </c>
      <c r="AFV50" s="484"/>
      <c r="AFW50" s="484">
        <f t="shared" ref="AFW50:AHB50" si="2302">AFW36*0.5</f>
        <v>464122.565</v>
      </c>
      <c r="AFX50" s="484"/>
      <c r="AFY50" s="484">
        <f t="shared" ref="AFY50:AHD50" si="2303">AFY36*0.5</f>
        <v>383800.56999999995</v>
      </c>
      <c r="AFZ50" s="484"/>
      <c r="AGA50" s="484">
        <f t="shared" ref="AGA50:AHF50" si="2304">AGA36*0.5</f>
        <v>724911.57</v>
      </c>
      <c r="AGB50" s="484"/>
      <c r="AGC50" s="484">
        <f t="shared" ref="AGC50:AHH50" si="2305">AGC36*0.5</f>
        <v>620787.19000000006</v>
      </c>
      <c r="AGD50" s="484"/>
      <c r="AGE50" s="484">
        <f t="shared" ref="AGE50:AHJ50" si="2306">AGE36*0.5</f>
        <v>2767338.5150000006</v>
      </c>
      <c r="AGF50" s="484"/>
      <c r="AGG50" s="484">
        <f t="shared" ref="AGG50:AHL50" si="2307">AGG36*0.5</f>
        <v>2344896.98</v>
      </c>
      <c r="AGH50" s="484"/>
      <c r="AGI50" s="484">
        <f t="shared" ref="AGI50:AHN50" si="2308">AGI36*0.5</f>
        <v>477903.25500000006</v>
      </c>
      <c r="AGJ50" s="484"/>
      <c r="AGK50" s="484">
        <f t="shared" ref="AGK50:AHP50" si="2309">AGK36*0.5</f>
        <v>329689.88500000001</v>
      </c>
      <c r="AGL50" s="484"/>
      <c r="AGM50" s="484">
        <f t="shared" ref="AGM50:AHR50" si="2310">AGM36*0.5</f>
        <v>310701.995</v>
      </c>
      <c r="AGN50" s="484"/>
      <c r="AGO50" s="484">
        <f t="shared" ref="AGO50:AHT50" si="2311">AGO36*0.5</f>
        <v>297680.96999999991</v>
      </c>
      <c r="AGP50" s="484"/>
      <c r="AGQ50" s="484">
        <f t="shared" ref="AGQ50:AHV50" si="2312">AGQ36*0.5</f>
        <v>381618.30499999999</v>
      </c>
      <c r="AGR50" s="484"/>
      <c r="AGS50" s="484">
        <f t="shared" ref="AGS50:AHX50" si="2313">AGS36*0.5</f>
        <v>286915.05499999999</v>
      </c>
      <c r="AGT50" s="484"/>
      <c r="AGU50" s="484">
        <f t="shared" ref="AGU50:AHZ50" si="2314">AGU36*0.5</f>
        <v>412638.69999999995</v>
      </c>
      <c r="AGV50" s="484"/>
      <c r="AGW50" s="484">
        <f t="shared" ref="AGW50:AIB50" si="2315">AGW36*0.5</f>
        <v>337301.86500000005</v>
      </c>
      <c r="AGX50" s="484"/>
      <c r="AGY50" s="484">
        <f t="shared" ref="AGY50:AID50" si="2316">AGY36*0.5</f>
        <v>476132.28499999997</v>
      </c>
      <c r="AGZ50" s="484"/>
      <c r="AHA50" s="484">
        <f t="shared" ref="AHA50:AIF50" si="2317">AHA36*0.5</f>
        <v>342932.2300000001</v>
      </c>
      <c r="AHB50" s="484"/>
      <c r="AHC50" s="484">
        <f t="shared" ref="AHC50:AIH50" si="2318">AHC36*0.5</f>
        <v>581322.65500000003</v>
      </c>
      <c r="AHD50" s="484"/>
      <c r="AHE50" s="484">
        <f t="shared" ref="AHE50:AIJ50" si="2319">AHE36*0.5</f>
        <v>427386.625</v>
      </c>
      <c r="AHF50" s="484"/>
      <c r="AHG50" s="484">
        <f t="shared" ref="AHG50:AIL50" si="2320">AHG36*0.5</f>
        <v>800804.70499999984</v>
      </c>
      <c r="AHH50" s="484"/>
      <c r="AHI50" s="484">
        <f t="shared" ref="AHI50:AIN50" si="2321">AHI36*0.5</f>
        <v>642983.4</v>
      </c>
      <c r="AHJ50" s="484"/>
      <c r="AHK50" s="484">
        <f t="shared" ref="AHK50:AIP50" si="2322">AHK36*0.5</f>
        <v>3349718.0750000002</v>
      </c>
      <c r="AHL50" s="484"/>
      <c r="AHM50" s="484">
        <f t="shared" ref="AHM50:AIR50" si="2323">AHM36*0.5</f>
        <v>2664890.0299999998</v>
      </c>
      <c r="AHN50" s="484"/>
      <c r="AHO50" s="484">
        <f t="shared" ref="AHO50:AIT50" si="2324">AHO36*0.5</f>
        <v>585628.23999999976</v>
      </c>
      <c r="AHP50" s="484"/>
      <c r="AHQ50" s="484">
        <f t="shared" ref="AHQ50:AIV50" si="2325">AHQ36*0.5</f>
        <v>404345.21499999985</v>
      </c>
      <c r="AHR50" s="484"/>
      <c r="AHS50" s="484">
        <f t="shared" ref="AHS50:AIX50" si="2326">AHS36*0.5</f>
        <v>541736.21499999997</v>
      </c>
      <c r="AHT50" s="484"/>
      <c r="AHU50" s="484">
        <f t="shared" ref="AHU50:AIZ50" si="2327">AHU36*0.5</f>
        <v>402654.53499999986</v>
      </c>
      <c r="AHV50" s="484"/>
      <c r="AHW50" s="484">
        <f t="shared" ref="AHW50:AJB50" si="2328">AHW36*0.5</f>
        <v>539951.47</v>
      </c>
      <c r="AHX50" s="484"/>
      <c r="AHY50" s="484">
        <f t="shared" ref="AHY50:AJD50" si="2329">AHY36*0.5</f>
        <v>400518.2049999999</v>
      </c>
      <c r="AHZ50" s="484"/>
      <c r="AIA50" s="484">
        <f t="shared" ref="AIA50:AJF50" si="2330">AIA36*0.5</f>
        <v>575213.73499999987</v>
      </c>
      <c r="AIB50" s="484"/>
      <c r="AIC50" s="484">
        <f t="shared" ref="AIC50:AJH50" si="2331">AIC36*0.5</f>
        <v>463363.58999999997</v>
      </c>
      <c r="AID50" s="484"/>
      <c r="AIE50" s="484">
        <f t="shared" ref="AIE50:AJJ50" si="2332">AIE36*0.5</f>
        <v>575684.41</v>
      </c>
      <c r="AIF50" s="484"/>
      <c r="AIG50" s="484">
        <f t="shared" ref="AIG50:AJL50" si="2333">AIG36*0.5</f>
        <v>506849.14999999997</v>
      </c>
      <c r="AIH50" s="484"/>
      <c r="AII50" s="484">
        <f t="shared" ref="AII50:AJN50" si="2334">AII36*0.5</f>
        <v>681854.31999999983</v>
      </c>
      <c r="AIJ50" s="484"/>
      <c r="AIK50" s="484">
        <f t="shared" ref="AIK50:AJP50" si="2335">AIK36*0.5</f>
        <v>542130.56999999995</v>
      </c>
      <c r="AIL50" s="484"/>
      <c r="AIM50" s="484">
        <f t="shared" ref="AIM50:AJR50" si="2336">AIM36*0.5</f>
        <v>923096.29499999993</v>
      </c>
      <c r="AIN50" s="484"/>
      <c r="AIO50" s="484">
        <f t="shared" ref="AIO50:AJT50" si="2337">AIO36*0.5</f>
        <v>744833.81</v>
      </c>
      <c r="AIP50" s="484"/>
      <c r="AIQ50" s="484">
        <f t="shared" ref="AIQ50:AJV50" si="2338">AIQ36*0.5</f>
        <v>4319957.5650000013</v>
      </c>
      <c r="AIR50" s="484"/>
      <c r="AIS50" s="484">
        <f t="shared" ref="AIS50:AJX50" si="2339">AIS36*0.5</f>
        <v>3464695.0750000002</v>
      </c>
      <c r="AIT50" s="484"/>
      <c r="AIU50" s="484">
        <f t="shared" ref="AIU50:AJZ50" si="2340">AIU36*0.5</f>
        <v>478943.32079999993</v>
      </c>
      <c r="AIV50" s="484"/>
      <c r="AIW50" s="484">
        <f t="shared" ref="AIW50:AKB50" si="2341">AIW36*0.5</f>
        <v>633883.61499999987</v>
      </c>
      <c r="AIX50" s="484"/>
      <c r="AIY50" s="484">
        <f t="shared" ref="AIY50:AKD50" si="2342">AIY36*0.5</f>
        <v>478943.32079999993</v>
      </c>
      <c r="AIZ50" s="484"/>
      <c r="AJA50" s="484">
        <f t="shared" ref="AJA50:AKF50" si="2343">AJA36*0.5</f>
        <v>733042.72500000009</v>
      </c>
      <c r="AJB50" s="484"/>
      <c r="AJC50" s="484">
        <f t="shared" ref="AJC50:AKH50" si="2344">AJC36*0.5</f>
        <v>478943.32079999993</v>
      </c>
      <c r="AJD50" s="484"/>
      <c r="AJE50" s="484">
        <f t="shared" ref="AJE50:AKJ50" si="2345">AJE36*0.5</f>
        <v>811979.495</v>
      </c>
      <c r="AJF50" s="484"/>
      <c r="AJG50" s="484">
        <f t="shared" ref="AJG50:AKL50" si="2346">AJG36*0.5</f>
        <v>478943.32079999993</v>
      </c>
      <c r="AJH50" s="484"/>
      <c r="AJI50" s="484">
        <f t="shared" ref="AJI50:AKN50" si="2347">AJI36*0.5</f>
        <v>864492.19499999995</v>
      </c>
      <c r="AJJ50" s="484"/>
      <c r="AJK50" s="484">
        <f t="shared" ref="AJK50:ALF50" si="2348">AJK36*0.5</f>
        <v>558767.20760000008</v>
      </c>
      <c r="AJL50" s="484"/>
      <c r="AJM50" s="484">
        <f t="shared" ref="AJM50:ALF50" si="2349">AJM36*0.5</f>
        <v>1151756.45</v>
      </c>
      <c r="AJN50" s="484"/>
      <c r="AJO50" s="484">
        <f t="shared" ref="AJO50:ALF50" si="2350">AJO36*0.5</f>
        <v>638591.09440000006</v>
      </c>
      <c r="AJP50" s="484"/>
      <c r="AJQ50" s="484">
        <f t="shared" ref="AJQ50:ALF50" si="2351">AJQ36*0.5</f>
        <v>1055181.29</v>
      </c>
      <c r="AJR50" s="484"/>
      <c r="AJS50" s="484">
        <f t="shared" ref="AJS50:ALF50" si="2352">AJS36*0.5</f>
        <v>878062.7548</v>
      </c>
      <c r="AJT50" s="484"/>
      <c r="AJU50" s="484">
        <f t="shared" ref="AJU50:ALF50" si="2353">AJU36*0.5</f>
        <v>6281.48</v>
      </c>
      <c r="AJV50" s="484"/>
      <c r="AJW50" s="484">
        <f t="shared" ref="AJW50:ALF50" si="2354">AJW36*0.5</f>
        <v>3991194.34</v>
      </c>
      <c r="AJX50" s="484"/>
      <c r="AJY50" s="484">
        <f t="shared" ref="AJY50:ALF50" si="2355">AJY36*0.5</f>
        <v>5256617.25</v>
      </c>
      <c r="AJZ50" s="484"/>
      <c r="AKA50" s="484">
        <f t="shared" ref="AKA50:ALF50" si="2356">AKA36*0.5</f>
        <v>172671.33720000001</v>
      </c>
      <c r="AKB50" s="484"/>
      <c r="AKC50" s="484">
        <f t="shared" ref="AKC50:ALF50" si="2357">AKC36*0.5</f>
        <v>210412.02499999999</v>
      </c>
      <c r="AKD50" s="484"/>
      <c r="AKE50" s="484">
        <f t="shared" ref="AKE50:ALF50" si="2358">AKE36*0.5</f>
        <v>172671.33720000001</v>
      </c>
      <c r="AKF50" s="484"/>
      <c r="AKG50" s="484">
        <f t="shared" ref="AKG50:ALF50" si="2359">AKG36*0.5</f>
        <v>245219.10499999995</v>
      </c>
      <c r="AKH50" s="484"/>
      <c r="AKI50" s="484">
        <f t="shared" ref="AKI50:ALF50" si="2360">AKI36*0.5</f>
        <v>172671.33720000001</v>
      </c>
      <c r="AKJ50" s="484"/>
      <c r="AKK50" s="484">
        <f t="shared" ref="AKK50:ALF50" si="2361">AKK36*0.5</f>
        <v>226208.87000000005</v>
      </c>
      <c r="AKL50" s="484"/>
      <c r="AKM50" s="484">
        <f t="shared" ref="AKM50:ALF50" si="2362">AKM36*0.5</f>
        <v>172671.33720000001</v>
      </c>
      <c r="AKN50" s="484"/>
      <c r="AKO50" s="484">
        <f t="shared" ref="AKO50:ALF50" si="2363">AKO36*0.5</f>
        <v>251503.01499999998</v>
      </c>
      <c r="AKP50" s="484"/>
      <c r="AKQ50" s="484">
        <f t="shared" ref="AKQ50:ALF50" si="2364">AKQ36*0.5</f>
        <v>201449.89340000003</v>
      </c>
      <c r="AKR50" s="484"/>
      <c r="AKS50" s="484">
        <f t="shared" ref="AKS50:ALF50" si="2365">AKS36*0.5</f>
        <v>309982.84000000003</v>
      </c>
      <c r="AKT50" s="484"/>
      <c r="AKU50" s="484">
        <f t="shared" ref="AKU50:ALF50" si="2366">AKU36*0.5</f>
        <v>230228.44959999999</v>
      </c>
      <c r="AKV50" s="484"/>
      <c r="AKW50" s="484">
        <f t="shared" ref="AKW50:ALF50" si="2367">AKW36*0.5</f>
        <v>258381.32</v>
      </c>
      <c r="AKX50" s="484"/>
      <c r="AKY50" s="484">
        <f t="shared" ref="AKY50:ALF50" si="2368">AKY36*0.5</f>
        <v>316564.11819999997</v>
      </c>
      <c r="AKZ50" s="484"/>
      <c r="ALA50" s="484">
        <f t="shared" ref="ALA50:ALF50" si="2369">ALA36*0.5</f>
        <v>1681.8</v>
      </c>
      <c r="ALB50" s="484"/>
      <c r="ALC50" s="484">
        <f t="shared" ref="ALC50:ALF50" si="2370">ALC36*0.5</f>
        <v>1438927.8099999998</v>
      </c>
      <c r="ALD50" s="484"/>
      <c r="ALE50" s="484">
        <f t="shared" ref="ALE50:ALF50" si="2371">ALE36*0.5</f>
        <v>1503388.9750000001</v>
      </c>
      <c r="ALF50" s="484"/>
    </row>
    <row r="51" spans="2:994">
      <c r="B51" s="690" t="s">
        <v>490</v>
      </c>
      <c r="AE51" s="486">
        <f t="shared" ref="AE51:CP51" si="2372">(AE47*0.5)*0.1</f>
        <v>0</v>
      </c>
      <c r="AF51" s="486"/>
      <c r="AG51" s="486">
        <f>$AG$50*0.1</f>
        <v>123371.319</v>
      </c>
      <c r="AH51" s="486"/>
      <c r="AI51" s="486">
        <f t="shared" ref="AI51:CT51" si="2373">(AI47*0.5)*0.1</f>
        <v>0</v>
      </c>
      <c r="AJ51" s="486"/>
      <c r="AK51" s="486">
        <f t="shared" ref="AK51:CV51" si="2374">(AK47*0.5)*0.1</f>
        <v>0</v>
      </c>
      <c r="AL51" s="486"/>
      <c r="AM51" s="486">
        <f t="shared" ref="AM51:CX51" si="2375">(AM47*0.5)*0.1</f>
        <v>0</v>
      </c>
      <c r="AN51" s="486"/>
      <c r="AO51" s="486">
        <f t="shared" ref="AO51:CZ51" si="2376">(AO47*0.5)*0.1</f>
        <v>0</v>
      </c>
      <c r="AP51" s="486"/>
      <c r="AQ51" s="486">
        <f t="shared" ref="AQ51:DB51" si="2377">(AQ47*0.5)*0.1</f>
        <v>0</v>
      </c>
      <c r="AR51" s="486"/>
      <c r="AS51" s="486">
        <f t="shared" ref="AS51:DD51" si="2378">(AS47*0.5)*0.1</f>
        <v>0</v>
      </c>
      <c r="AT51" s="486"/>
      <c r="AU51" s="486">
        <f t="shared" ref="AU51:DF51" si="2379">(AU47*0.5)*0.1</f>
        <v>0</v>
      </c>
      <c r="AV51" s="486"/>
      <c r="AW51" s="486">
        <f t="shared" ref="AW51:DH51" si="2380">(AW47*0.5)*0.1</f>
        <v>0</v>
      </c>
      <c r="AX51" s="486"/>
      <c r="AY51" s="486">
        <f t="shared" ref="AY51:DJ51" si="2381">(AY47*0.5)*0.1</f>
        <v>0</v>
      </c>
      <c r="AZ51" s="486"/>
      <c r="BA51" s="486">
        <f t="shared" ref="BA51:DL51" si="2382">(BA47*0.5)*0.1</f>
        <v>0</v>
      </c>
      <c r="BB51" s="486"/>
      <c r="BC51" s="486">
        <f t="shared" ref="BC51:DN51" si="2383">(BC47*0.5)*0.1</f>
        <v>0</v>
      </c>
      <c r="BD51" s="486"/>
      <c r="BE51" s="486">
        <f t="shared" ref="BE51:DP51" si="2384">(BE47*0.5)*0.1</f>
        <v>0</v>
      </c>
      <c r="BF51" s="486"/>
      <c r="BG51" s="486">
        <f t="shared" ref="BG51:DR51" si="2385">(BG47*0.5)*0.1</f>
        <v>0</v>
      </c>
      <c r="BH51" s="486"/>
      <c r="BI51" s="486">
        <f t="shared" ref="BI51:DT51" si="2386">(BI47*0.5)*0.1</f>
        <v>0</v>
      </c>
      <c r="BJ51" s="486"/>
      <c r="BK51" s="486">
        <f t="shared" ref="BK51:DV51" si="2387">(BK47*0.5)*0.1</f>
        <v>0</v>
      </c>
      <c r="BL51" s="486"/>
      <c r="BM51" s="486">
        <f>BM50*0.1</f>
        <v>124495.47700000003</v>
      </c>
      <c r="BN51" s="486"/>
      <c r="BO51" s="486">
        <f t="shared" ref="BO51:DZ51" si="2388">(BO47*0.5)*0.1</f>
        <v>0</v>
      </c>
      <c r="BP51" s="486"/>
      <c r="BQ51" s="486">
        <f t="shared" ref="BQ51:EB51" si="2389">(BQ47*0.5)*0.1</f>
        <v>0</v>
      </c>
      <c r="BR51" s="486"/>
      <c r="BS51" s="486">
        <f t="shared" ref="BS51:ED51" si="2390">(BS47*0.5)*0.1</f>
        <v>0</v>
      </c>
      <c r="BT51" s="486"/>
      <c r="BU51" s="486">
        <f t="shared" ref="BU51:EF51" si="2391">(BU47*0.5)*0.1</f>
        <v>0</v>
      </c>
      <c r="BV51" s="486"/>
      <c r="BW51" s="486">
        <f t="shared" ref="BW51:EH51" si="2392">(BW47*0.5)*0.1</f>
        <v>0</v>
      </c>
      <c r="BX51" s="486"/>
      <c r="BY51" s="486">
        <f t="shared" ref="BY51:EJ51" si="2393">(BY47*0.5)*0.1</f>
        <v>0</v>
      </c>
      <c r="BZ51" s="486"/>
      <c r="CA51" s="486">
        <f t="shared" ref="CA51:EL51" si="2394">(CA47*0.5)*0.1</f>
        <v>0</v>
      </c>
      <c r="CB51" s="486"/>
      <c r="CC51" s="486">
        <f t="shared" ref="CC51:EN51" si="2395">(CC47*0.5)*0.1</f>
        <v>0</v>
      </c>
      <c r="CD51" s="486"/>
      <c r="CE51" s="486">
        <f t="shared" ref="CE51:EP51" si="2396">(CE47*0.5)*0.1</f>
        <v>0</v>
      </c>
      <c r="CF51" s="486"/>
      <c r="CG51" s="486">
        <f t="shared" ref="CG51:ER51" si="2397">(CG47*0.5)*0.1</f>
        <v>0</v>
      </c>
      <c r="CH51" s="486"/>
      <c r="CI51" s="486">
        <f t="shared" ref="CI51:ET51" si="2398">(CI47*0.5)*0.1</f>
        <v>0</v>
      </c>
      <c r="CJ51" s="486"/>
      <c r="CK51" s="486">
        <f t="shared" ref="CK51:EV51" si="2399">(CK47*0.5)*0.1</f>
        <v>0</v>
      </c>
      <c r="CL51" s="486"/>
      <c r="CM51" s="486">
        <f t="shared" ref="CM51:EX51" si="2400">(CM47*0.5)*0.1</f>
        <v>0</v>
      </c>
      <c r="CN51" s="486"/>
      <c r="CO51" s="486">
        <f t="shared" ref="CO51:EZ51" si="2401">(CO47*0.5)*0.1</f>
        <v>0</v>
      </c>
      <c r="CP51" s="486"/>
      <c r="CQ51" s="486">
        <f t="shared" ref="CQ51:FB51" si="2402">(CQ47*0.5)*0.1</f>
        <v>0</v>
      </c>
      <c r="CR51" s="486"/>
      <c r="CS51" s="486">
        <f>CS50*0.1</f>
        <v>136058.7585</v>
      </c>
      <c r="CT51" s="486"/>
      <c r="CU51" s="486">
        <f t="shared" ref="CU51:FF51" si="2403">(CU47*0.5)*0.1</f>
        <v>0</v>
      </c>
      <c r="CV51" s="486"/>
      <c r="CW51" s="486">
        <f t="shared" ref="CW51:FH51" si="2404">(CW47*0.5)*0.1</f>
        <v>0</v>
      </c>
      <c r="CX51" s="486"/>
      <c r="CY51" s="486">
        <f t="shared" ref="CY51:FJ51" si="2405">(CY47*0.5)*0.1</f>
        <v>0</v>
      </c>
      <c r="CZ51" s="486"/>
      <c r="DA51" s="486">
        <f t="shared" ref="DA51:FL51" si="2406">(DA47*0.5)*0.1</f>
        <v>0</v>
      </c>
      <c r="DB51" s="486"/>
      <c r="DC51" s="486">
        <f t="shared" ref="DC51:FN51" si="2407">(DC47*0.5)*0.1</f>
        <v>0</v>
      </c>
      <c r="DD51" s="486"/>
      <c r="DE51" s="486">
        <f t="shared" ref="DE51:FP51" si="2408">(DE47*0.5)*0.1</f>
        <v>0</v>
      </c>
      <c r="DF51" s="486"/>
      <c r="DG51" s="486">
        <f t="shared" ref="DG51:FR51" si="2409">(DG47*0.5)*0.1</f>
        <v>0</v>
      </c>
      <c r="DH51" s="486"/>
      <c r="DI51" s="486">
        <f t="shared" ref="DI51:FT51" si="2410">(DI47*0.5)*0.1</f>
        <v>0</v>
      </c>
      <c r="DJ51" s="486"/>
      <c r="DK51" s="486">
        <f t="shared" ref="DK51:FV51" si="2411">(DK47*0.5)*0.1</f>
        <v>0</v>
      </c>
      <c r="DL51" s="486"/>
      <c r="DM51" s="486">
        <f t="shared" ref="DM51:FX51" si="2412">(DM47*0.5)*0.1</f>
        <v>0</v>
      </c>
      <c r="DN51" s="486"/>
      <c r="DO51" s="486">
        <f t="shared" ref="DO51:FZ51" si="2413">(DO47*0.5)*0.1</f>
        <v>0</v>
      </c>
      <c r="DP51" s="486"/>
      <c r="DQ51" s="486">
        <f t="shared" ref="DQ51:GB51" si="2414">(DQ47*0.5)*0.1</f>
        <v>0</v>
      </c>
      <c r="DR51" s="486"/>
      <c r="DS51" s="486">
        <f t="shared" ref="DS51:GD51" si="2415">(DS47*0.5)*0.1</f>
        <v>0</v>
      </c>
      <c r="DT51" s="486"/>
      <c r="DU51" s="486">
        <f t="shared" ref="DU51:GF51" si="2416">(DU47*0.5)*0.1</f>
        <v>0</v>
      </c>
      <c r="DV51" s="486"/>
      <c r="DW51" s="486">
        <f t="shared" ref="DW51:GH51" si="2417">(DW47*0.5)*0.1</f>
        <v>0</v>
      </c>
      <c r="DX51" s="486"/>
      <c r="DY51" s="486">
        <f>DY50*0.1</f>
        <v>125717.0575</v>
      </c>
      <c r="DZ51" s="486"/>
      <c r="EA51" s="486">
        <f t="shared" ref="EA51:GL51" si="2418">(EA47*0.5)*0.1</f>
        <v>0</v>
      </c>
      <c r="EB51" s="486"/>
      <c r="EC51" s="486">
        <f t="shared" ref="EC51:GN51" si="2419">(EC47*0.5)*0.1</f>
        <v>0</v>
      </c>
      <c r="ED51" s="486"/>
      <c r="EE51" s="486">
        <f t="shared" ref="EE51:GP51" si="2420">(EE47*0.5)*0.1</f>
        <v>0</v>
      </c>
      <c r="EF51" s="486"/>
      <c r="EG51" s="486">
        <f t="shared" ref="EG51:GR51" si="2421">(EG47*0.5)*0.1</f>
        <v>0</v>
      </c>
      <c r="EH51" s="486"/>
      <c r="EI51" s="486">
        <f t="shared" ref="EI51:GT51" si="2422">(EI47*0.5)*0.1</f>
        <v>0</v>
      </c>
      <c r="EJ51" s="486"/>
      <c r="EK51" s="486">
        <f t="shared" ref="EK51:GV51" si="2423">(EK47*0.5)*0.1</f>
        <v>0</v>
      </c>
      <c r="EL51" s="486"/>
      <c r="EM51" s="486">
        <f t="shared" ref="EM51:GX51" si="2424">(EM47*0.5)*0.1</f>
        <v>0</v>
      </c>
      <c r="EN51" s="486"/>
      <c r="EO51" s="486">
        <f t="shared" ref="EO51:GZ51" si="2425">(EO47*0.5)*0.1</f>
        <v>0</v>
      </c>
      <c r="EP51" s="486"/>
      <c r="EQ51" s="486">
        <f t="shared" ref="EQ51:HB51" si="2426">(EQ47*0.5)*0.1</f>
        <v>0</v>
      </c>
      <c r="ER51" s="486"/>
      <c r="ES51" s="486">
        <f t="shared" ref="ES51:HD51" si="2427">(ES47*0.5)*0.1</f>
        <v>0</v>
      </c>
      <c r="ET51" s="486"/>
      <c r="EU51" s="486">
        <f t="shared" ref="EU51:HF51" si="2428">(EU47*0.5)*0.1</f>
        <v>0</v>
      </c>
      <c r="EV51" s="486"/>
      <c r="EW51" s="486">
        <f t="shared" ref="EW51:HH51" si="2429">(EW47*0.5)*0.1</f>
        <v>0</v>
      </c>
      <c r="EX51" s="486"/>
      <c r="EY51" s="486">
        <f t="shared" ref="EY51:HJ51" si="2430">(EY47*0.5)*0.1</f>
        <v>0</v>
      </c>
      <c r="EZ51" s="486"/>
      <c r="FA51" s="486">
        <f t="shared" ref="FA51:HL51" si="2431">(FA47*0.5)*0.1</f>
        <v>0</v>
      </c>
      <c r="FB51" s="486"/>
      <c r="FC51" s="486">
        <f t="shared" ref="FC51:HN51" si="2432">(FC47*0.5)*0.1</f>
        <v>0</v>
      </c>
      <c r="FD51" s="486"/>
      <c r="FE51" s="486">
        <f>FE50*0.1</f>
        <v>132351.87200000003</v>
      </c>
      <c r="FF51" s="486"/>
      <c r="FG51" s="486">
        <f t="shared" ref="FG51:HN51" si="2433">(FG47*0.5)*0.1</f>
        <v>0</v>
      </c>
      <c r="FH51" s="486"/>
      <c r="FI51" s="486">
        <f t="shared" ref="FI51:HN51" si="2434">(FI47*0.5)*0.1</f>
        <v>0</v>
      </c>
      <c r="FJ51" s="486"/>
      <c r="FK51" s="486">
        <f t="shared" ref="FK51:HN51" si="2435">(FK47*0.5)*0.1</f>
        <v>0</v>
      </c>
      <c r="FL51" s="486"/>
      <c r="FM51" s="486">
        <f t="shared" ref="FM51:HN51" si="2436">(FM47*0.5)*0.1</f>
        <v>0</v>
      </c>
      <c r="FN51" s="486"/>
      <c r="FO51" s="486">
        <f t="shared" ref="FO51:HN51" si="2437">(FO47*0.5)*0.1</f>
        <v>0</v>
      </c>
      <c r="FP51" s="486"/>
      <c r="FQ51" s="486">
        <f t="shared" ref="FQ51:HN51" si="2438">(FQ47*0.5)*0.1</f>
        <v>0</v>
      </c>
      <c r="FR51" s="486"/>
      <c r="FS51" s="486">
        <f t="shared" ref="FS51:HN51" si="2439">(FS47*0.5)*0.1</f>
        <v>0</v>
      </c>
      <c r="FT51" s="486"/>
      <c r="FU51" s="486">
        <f t="shared" ref="FU51:HN51" si="2440">(FU47*0.5)*0.1</f>
        <v>0</v>
      </c>
      <c r="FV51" s="486"/>
      <c r="FW51" s="486">
        <f t="shared" ref="FW51:HN51" si="2441">(FW47*0.5)*0.1</f>
        <v>0</v>
      </c>
      <c r="FX51" s="486"/>
      <c r="FY51" s="486">
        <f t="shared" ref="FY51:HN51" si="2442">(FY47*0.5)*0.1</f>
        <v>0</v>
      </c>
      <c r="FZ51" s="486"/>
      <c r="GA51" s="486">
        <f t="shared" ref="GA51:HN51" si="2443">(GA47*0.5)*0.1</f>
        <v>0</v>
      </c>
      <c r="GB51" s="486"/>
      <c r="GC51" s="486">
        <f t="shared" ref="GC51:HN51" si="2444">(GC47*0.5)*0.1</f>
        <v>0</v>
      </c>
      <c r="GD51" s="486"/>
      <c r="GE51" s="486">
        <f t="shared" ref="GE51:HN51" si="2445">(GE47*0.5)*0.1</f>
        <v>0</v>
      </c>
      <c r="GF51" s="486"/>
      <c r="GG51" s="486">
        <f t="shared" ref="GG51:HN51" si="2446">(GG47*0.5)*0.1</f>
        <v>0</v>
      </c>
      <c r="GH51" s="486"/>
      <c r="GI51" s="486">
        <f t="shared" ref="GI51:HN51" si="2447">(GI47*0.5)*0.1</f>
        <v>0</v>
      </c>
      <c r="GJ51" s="486"/>
      <c r="GK51" s="486">
        <f>GK50*0.1</f>
        <v>138563.356</v>
      </c>
      <c r="GL51" s="486"/>
      <c r="GM51" s="486">
        <f t="shared" ref="GM51:HN51" si="2448">(GM47*0.5)*0.1</f>
        <v>0</v>
      </c>
      <c r="GN51" s="486"/>
      <c r="GO51" s="486">
        <f t="shared" ref="GO51:HN51" si="2449">(GO47*0.5)*0.1</f>
        <v>0</v>
      </c>
      <c r="GP51" s="486"/>
      <c r="GQ51" s="486">
        <f t="shared" ref="GQ51:HN51" si="2450">(GQ47*0.5)*0.1</f>
        <v>0</v>
      </c>
      <c r="GR51" s="486"/>
      <c r="GS51" s="486">
        <f t="shared" ref="GS51:HN51" si="2451">(GS47*0.5)*0.1</f>
        <v>0</v>
      </c>
      <c r="GT51" s="486"/>
      <c r="GU51" s="486">
        <f t="shared" ref="GU51:HN51" si="2452">(GU47*0.5)*0.1</f>
        <v>0</v>
      </c>
      <c r="GV51" s="486"/>
      <c r="GW51" s="486">
        <f t="shared" ref="GW51:HN51" si="2453">(GW47*0.5)*0.1</f>
        <v>0</v>
      </c>
      <c r="GX51" s="486"/>
      <c r="GY51" s="486">
        <f t="shared" ref="GY51:HN51" si="2454">(GY47*0.5)*0.1</f>
        <v>0</v>
      </c>
      <c r="GZ51" s="486"/>
      <c r="HA51" s="486">
        <f t="shared" ref="HA51:HN51" si="2455">(HA47*0.5)*0.1</f>
        <v>0</v>
      </c>
      <c r="HB51" s="486"/>
      <c r="HC51" s="486">
        <f t="shared" ref="HC51:HN51" si="2456">(HC47*0.5)*0.1</f>
        <v>0</v>
      </c>
      <c r="HD51" s="486"/>
      <c r="HE51" s="486">
        <f t="shared" ref="HE51:HN51" si="2457">(HE47*0.5)*0.1</f>
        <v>0</v>
      </c>
      <c r="HF51" s="486"/>
      <c r="HG51" s="486">
        <f t="shared" ref="HG51:HN51" si="2458">(HG47*0.5)*0.1</f>
        <v>0</v>
      </c>
      <c r="HH51" s="486"/>
      <c r="HI51" s="486">
        <f t="shared" ref="HI51:HN51" si="2459">(HI47*0.5)*0.1</f>
        <v>0</v>
      </c>
      <c r="HJ51" s="486"/>
      <c r="HK51" s="486">
        <f t="shared" ref="HK51:HN51" si="2460">(HK47*0.5)*0.1</f>
        <v>0</v>
      </c>
      <c r="HL51" s="486"/>
      <c r="HM51" s="486">
        <f t="shared" ref="HM51:HN51" si="2461">(HM47*0.5)*0.1</f>
        <v>0</v>
      </c>
      <c r="HN51" s="486"/>
      <c r="HO51" s="486">
        <f t="shared" ref="HO51:JZ51" si="2462">(HO47*0.5)*0.1</f>
        <v>0</v>
      </c>
      <c r="HP51" s="486"/>
      <c r="HQ51" s="486">
        <f>HQ50*0.1</f>
        <v>141332.8235</v>
      </c>
      <c r="HR51" s="486"/>
      <c r="HS51" s="486">
        <f t="shared" ref="HS51:KD51" si="2463">(HS47*0.5)*0.1</f>
        <v>0</v>
      </c>
      <c r="HT51" s="486"/>
      <c r="HU51" s="486">
        <f t="shared" ref="HU51:KF51" si="2464">(HU47*0.5)*0.1</f>
        <v>0</v>
      </c>
      <c r="HV51" s="486"/>
      <c r="HW51" s="486">
        <f t="shared" ref="HW51:KH51" si="2465">(HW47*0.5)*0.1</f>
        <v>0</v>
      </c>
      <c r="HX51" s="486"/>
      <c r="HY51" s="486">
        <f t="shared" ref="HY51:KJ51" si="2466">(HY47*0.5)*0.1</f>
        <v>0</v>
      </c>
      <c r="HZ51" s="486"/>
      <c r="IA51" s="486">
        <f t="shared" ref="IA51:KL51" si="2467">(IA47*0.5)*0.1</f>
        <v>0</v>
      </c>
      <c r="IB51" s="486"/>
      <c r="IC51" s="486">
        <f t="shared" ref="IC51:KN51" si="2468">(IC47*0.5)*0.1</f>
        <v>0</v>
      </c>
      <c r="ID51" s="486"/>
      <c r="IE51" s="486">
        <f t="shared" ref="IE51:KP51" si="2469">(IE47*0.5)*0.1</f>
        <v>0</v>
      </c>
      <c r="IF51" s="486"/>
      <c r="IG51" s="486">
        <f t="shared" ref="IG51:KR51" si="2470">(IG47*0.5)*0.1</f>
        <v>0</v>
      </c>
      <c r="IH51" s="486"/>
      <c r="II51" s="486">
        <f t="shared" ref="II51:KT51" si="2471">(II47*0.5)*0.1</f>
        <v>0</v>
      </c>
      <c r="IJ51" s="486"/>
      <c r="IK51" s="486">
        <f t="shared" ref="IK51:KV51" si="2472">(IK47*0.5)*0.1</f>
        <v>0</v>
      </c>
      <c r="IL51" s="486"/>
      <c r="IM51" s="486">
        <f t="shared" ref="IM51:KX51" si="2473">(IM47*0.5)*0.1</f>
        <v>0</v>
      </c>
      <c r="IN51" s="486"/>
      <c r="IO51" s="486">
        <f t="shared" ref="IO51:KZ51" si="2474">(IO47*0.5)*0.1</f>
        <v>0</v>
      </c>
      <c r="IP51" s="486"/>
      <c r="IQ51" s="486">
        <f t="shared" ref="IQ51:LB51" si="2475">(IQ47*0.5)*0.1</f>
        <v>0</v>
      </c>
      <c r="IR51" s="486"/>
      <c r="IS51" s="486">
        <f t="shared" ref="IS51:LD51" si="2476">(IS47*0.5)*0.1</f>
        <v>0</v>
      </c>
      <c r="IT51" s="486"/>
      <c r="IU51" s="486">
        <f t="shared" ref="IU51:LF51" si="2477">(IU47*0.5)*0.1</f>
        <v>0</v>
      </c>
      <c r="IV51" s="486"/>
      <c r="IW51" s="486">
        <f>IW50*0.1</f>
        <v>131729.33599999998</v>
      </c>
      <c r="IX51" s="486"/>
      <c r="IY51" s="486">
        <f t="shared" ref="IY51:LJ51" si="2478">(IY47*0.5)*0.1</f>
        <v>0</v>
      </c>
      <c r="IZ51" s="486"/>
      <c r="JA51" s="486">
        <f t="shared" ref="JA51:LL51" si="2479">(JA47*0.5)*0.1</f>
        <v>0</v>
      </c>
      <c r="JB51" s="486"/>
      <c r="JC51" s="486">
        <f t="shared" ref="JC51:LN51" si="2480">(JC47*0.5)*0.1</f>
        <v>0</v>
      </c>
      <c r="JD51" s="486"/>
      <c r="JE51" s="486">
        <f t="shared" ref="JE51:LP51" si="2481">(JE47*0.5)*0.1</f>
        <v>0</v>
      </c>
      <c r="JF51" s="486"/>
      <c r="JG51" s="486">
        <f t="shared" ref="JG51:LR51" si="2482">(JG47*0.5)*0.1</f>
        <v>0</v>
      </c>
      <c r="JH51" s="486"/>
      <c r="JI51" s="486">
        <f t="shared" ref="JI51:LT51" si="2483">(JI47*0.5)*0.1</f>
        <v>0</v>
      </c>
      <c r="JJ51" s="486"/>
      <c r="JK51" s="486">
        <f t="shared" ref="JK51:LV51" si="2484">(JK47*0.5)*0.1</f>
        <v>0</v>
      </c>
      <c r="JL51" s="486"/>
      <c r="JM51" s="486">
        <f t="shared" ref="JM51:LX51" si="2485">(JM47*0.5)*0.1</f>
        <v>0</v>
      </c>
      <c r="JN51" s="486"/>
      <c r="JO51" s="486">
        <f t="shared" ref="JO51:LZ51" si="2486">(JO47*0.5)*0.1</f>
        <v>0</v>
      </c>
      <c r="JP51" s="486"/>
      <c r="JQ51" s="486">
        <f t="shared" ref="JQ51:MB51" si="2487">(JQ47*0.5)*0.1</f>
        <v>0</v>
      </c>
      <c r="JR51" s="486"/>
      <c r="JS51" s="486">
        <f t="shared" ref="JS51:MD51" si="2488">(JS47*0.5)*0.1</f>
        <v>0</v>
      </c>
      <c r="JT51" s="486"/>
      <c r="JU51" s="486">
        <f t="shared" ref="JU51:MF51" si="2489">(JU47*0.5)*0.1</f>
        <v>0</v>
      </c>
      <c r="JV51" s="486"/>
      <c r="JW51" s="486">
        <f t="shared" ref="JW51:MH51" si="2490">(JW47*0.5)*0.1</f>
        <v>0</v>
      </c>
      <c r="JX51" s="486"/>
      <c r="JY51" s="486">
        <f t="shared" ref="JY51:MJ51" si="2491">(JY47*0.5)*0.1</f>
        <v>0</v>
      </c>
      <c r="JZ51" s="486"/>
      <c r="KA51" s="486">
        <f t="shared" ref="KA51:ML51" si="2492">(KA47*0.5)*0.1</f>
        <v>0</v>
      </c>
      <c r="KB51" s="486"/>
      <c r="KC51" s="486">
        <f>KC50*0.1</f>
        <v>129610.48050000002</v>
      </c>
      <c r="KD51" s="486"/>
      <c r="KE51" s="486">
        <f t="shared" ref="KE51:ML51" si="2493">(KE47*0.5)*0.1</f>
        <v>0</v>
      </c>
      <c r="KF51" s="486"/>
      <c r="KG51" s="486">
        <f t="shared" ref="KG51:ML51" si="2494">(KG47*0.5)*0.1</f>
        <v>0</v>
      </c>
      <c r="KH51" s="486"/>
      <c r="KI51" s="486">
        <f t="shared" ref="KI51:ML51" si="2495">(KI47*0.5)*0.1</f>
        <v>0</v>
      </c>
      <c r="KJ51" s="486"/>
      <c r="KK51" s="486">
        <f t="shared" ref="KK51:ML51" si="2496">(KK47*0.5)*0.1</f>
        <v>0</v>
      </c>
      <c r="KL51" s="486"/>
      <c r="KM51" s="486">
        <f t="shared" ref="KM51:ML51" si="2497">(KM47*0.5)*0.1</f>
        <v>0</v>
      </c>
      <c r="KN51" s="486"/>
      <c r="KO51" s="486">
        <f t="shared" ref="KO51:ML51" si="2498">(KO47*0.5)*0.1</f>
        <v>0</v>
      </c>
      <c r="KP51" s="486"/>
      <c r="KQ51" s="486">
        <f t="shared" ref="KQ51:ML51" si="2499">(KQ47*0.5)*0.1</f>
        <v>0</v>
      </c>
      <c r="KR51" s="486"/>
      <c r="KS51" s="486">
        <f t="shared" ref="KS51:ML51" si="2500">(KS47*0.5)*0.1</f>
        <v>0</v>
      </c>
      <c r="KT51" s="486"/>
      <c r="KU51" s="486">
        <f t="shared" ref="KU51:ML51" si="2501">(KU47*0.5)*0.1</f>
        <v>0</v>
      </c>
      <c r="KV51" s="486"/>
      <c r="KW51" s="486">
        <f t="shared" ref="KW51:ML51" si="2502">(KW47*0.5)*0.1</f>
        <v>0</v>
      </c>
      <c r="KX51" s="486"/>
      <c r="KY51" s="486">
        <f t="shared" ref="KY51:ML51" si="2503">(KY47*0.5)*0.1</f>
        <v>0</v>
      </c>
      <c r="KZ51" s="486"/>
      <c r="LA51" s="486">
        <f t="shared" ref="LA51:ML51" si="2504">(LA47*0.5)*0.1</f>
        <v>0</v>
      </c>
      <c r="LB51" s="486"/>
      <c r="LC51" s="486">
        <f t="shared" ref="LC51:ML51" si="2505">(LC47*0.5)*0.1</f>
        <v>0</v>
      </c>
      <c r="LD51" s="486"/>
      <c r="LE51" s="486">
        <f t="shared" ref="LE51:ML51" si="2506">(LE47*0.5)*0.1</f>
        <v>0</v>
      </c>
      <c r="LF51" s="486"/>
      <c r="LG51" s="486">
        <f t="shared" ref="LG51:ML51" si="2507">(LG47*0.5)*0.1</f>
        <v>0</v>
      </c>
      <c r="LH51" s="486"/>
      <c r="LI51" s="486">
        <f>LI50*0.1</f>
        <v>123790.81250000006</v>
      </c>
      <c r="LJ51" s="486"/>
      <c r="LK51" s="486">
        <f t="shared" ref="LK51:ML51" si="2508">(LK47*0.5)*0.1</f>
        <v>0</v>
      </c>
      <c r="LL51" s="486"/>
      <c r="LM51" s="486">
        <f t="shared" ref="LM51:ML51" si="2509">(LM47*0.5)*0.1</f>
        <v>0</v>
      </c>
      <c r="LN51" s="486"/>
      <c r="LO51" s="486">
        <f t="shared" ref="LO51:ML51" si="2510">(LO47*0.5)*0.1</f>
        <v>0</v>
      </c>
      <c r="LP51" s="486"/>
      <c r="LQ51" s="486">
        <f t="shared" ref="LQ51:ML51" si="2511">(LQ47*0.5)*0.1</f>
        <v>0</v>
      </c>
      <c r="LR51" s="486"/>
      <c r="LS51" s="486">
        <f t="shared" ref="LS51:ML51" si="2512">(LS47*0.5)*0.1</f>
        <v>0</v>
      </c>
      <c r="LT51" s="486"/>
      <c r="LU51" s="486">
        <f t="shared" ref="LU51:ML51" si="2513">(LU47*0.5)*0.1</f>
        <v>0</v>
      </c>
      <c r="LV51" s="486"/>
      <c r="LW51" s="486">
        <f t="shared" ref="LW51:ML51" si="2514">(LW47*0.5)*0.1</f>
        <v>0</v>
      </c>
      <c r="LX51" s="486"/>
      <c r="LY51" s="486">
        <f t="shared" ref="LY51:ML51" si="2515">(LY47*0.5)*0.1</f>
        <v>0</v>
      </c>
      <c r="LZ51" s="486"/>
      <c r="MA51" s="486">
        <f t="shared" ref="MA51:ML51" si="2516">(MA47*0.5)*0.1</f>
        <v>0</v>
      </c>
      <c r="MB51" s="486"/>
      <c r="MC51" s="486">
        <f t="shared" ref="MC51:ML51" si="2517">(MC47*0.5)*0.1</f>
        <v>0</v>
      </c>
      <c r="MD51" s="486"/>
      <c r="ME51" s="486">
        <f t="shared" ref="ME51:ML51" si="2518">(ME47*0.5)*0.1</f>
        <v>0</v>
      </c>
      <c r="MF51" s="486"/>
      <c r="MG51" s="486">
        <f t="shared" ref="MG51:ML51" si="2519">(MG47*0.5)*0.1</f>
        <v>0</v>
      </c>
      <c r="MH51" s="486"/>
      <c r="MI51" s="486">
        <f t="shared" ref="MI51:ML51" si="2520">(MI47*0.5)*0.1</f>
        <v>0</v>
      </c>
      <c r="MJ51" s="486"/>
      <c r="MK51" s="486">
        <f t="shared" ref="MK51:ML51" si="2521">(MK47*0.5)*0.1</f>
        <v>0</v>
      </c>
      <c r="ML51" s="486"/>
      <c r="MM51" s="486">
        <f t="shared" ref="MM51:OX51" si="2522">(MM47*0.5)*0.1</f>
        <v>0</v>
      </c>
      <c r="MN51" s="486"/>
      <c r="MO51" s="486">
        <f>MO50*0.1</f>
        <v>123926.77</v>
      </c>
      <c r="MP51" s="486"/>
      <c r="MQ51" s="486">
        <f t="shared" ref="MQ51:PB51" si="2523">(MQ47*0.5)*0.1</f>
        <v>16405.132200000004</v>
      </c>
      <c r="MR51" s="486"/>
      <c r="MS51" s="486">
        <f t="shared" ref="MS51:PD51" si="2524">(MS47*0.5)*0.1</f>
        <v>11868.739000000001</v>
      </c>
      <c r="MT51" s="486"/>
      <c r="MU51" s="486">
        <f t="shared" ref="MU51:PF51" si="2525">(MU47*0.5)*0.1</f>
        <v>16405.132200000004</v>
      </c>
      <c r="MV51" s="486"/>
      <c r="MW51" s="486">
        <f t="shared" ref="MW51:PH51" si="2526">(MW47*0.5)*0.1</f>
        <v>11903.078000000001</v>
      </c>
      <c r="MX51" s="486"/>
      <c r="MY51" s="486">
        <f t="shared" ref="MY51:PJ51" si="2527">(MY47*0.5)*0.1</f>
        <v>16405.132200000004</v>
      </c>
      <c r="MZ51" s="486"/>
      <c r="NA51" s="486">
        <f t="shared" ref="NA51:PL51" si="2528">(NA47*0.5)*0.1</f>
        <v>10507.5455</v>
      </c>
      <c r="NB51" s="486"/>
      <c r="NC51" s="486">
        <f t="shared" ref="NC51:PN51" si="2529">(NC47*0.5)*0.1</f>
        <v>16405.132200000004</v>
      </c>
      <c r="ND51" s="486"/>
      <c r="NE51" s="486">
        <f t="shared" ref="NE51:PP51" si="2530">(NE47*0.5)*0.1</f>
        <v>10876.960000000001</v>
      </c>
      <c r="NF51" s="486"/>
      <c r="NG51" s="486">
        <f t="shared" ref="NG51:PR51" si="2531">(NG47*0.5)*0.1</f>
        <v>19139.320900000002</v>
      </c>
      <c r="NH51" s="486"/>
      <c r="NI51" s="486">
        <f t="shared" ref="NI51:PT51" si="2532">(NI47*0.5)*0.1</f>
        <v>13598.866999999998</v>
      </c>
      <c r="NJ51" s="486"/>
      <c r="NK51" s="486">
        <f t="shared" ref="NK51:PV51" si="2533">(NK47*0.5)*0.1</f>
        <v>21873.509600000005</v>
      </c>
      <c r="NL51" s="486"/>
      <c r="NM51" s="486">
        <f t="shared" ref="NM51:PX51" si="2534">(NM47*0.5)*0.1</f>
        <v>16147.889000000003</v>
      </c>
      <c r="NN51" s="486"/>
      <c r="NO51" s="486">
        <f t="shared" ref="NO51:PZ51" si="2535">(NO47*0.5)*0.1</f>
        <v>30076.075700000001</v>
      </c>
      <c r="NP51" s="486"/>
      <c r="NQ51" s="486">
        <f t="shared" ref="NQ51:QB51" si="2536">(NQ47*0.5)*0.1</f>
        <v>23810.085500000001</v>
      </c>
      <c r="NR51" s="486"/>
      <c r="NS51" s="486">
        <f t="shared" ref="NS51:QD51" si="2537">(NS47*0.5)*0.1</f>
        <v>136709.43500000003</v>
      </c>
      <c r="NT51" s="486"/>
      <c r="NU51" s="486">
        <f>NU50*0.1</f>
        <v>115467.484</v>
      </c>
      <c r="NV51" s="486"/>
      <c r="NW51" s="486">
        <f t="shared" ref="NW51:QH51" si="2538">(NW47*0.5)*0.1</f>
        <v>16105.740359999996</v>
      </c>
      <c r="NX51" s="486"/>
      <c r="NY51" s="486">
        <f t="shared" ref="NY51:QJ51" si="2539">(NY47*0.5)*0.1</f>
        <v>11086.174500000001</v>
      </c>
      <c r="NZ51" s="486"/>
      <c r="OA51" s="486">
        <f t="shared" ref="OA51:QL51" si="2540">(OA47*0.5)*0.1</f>
        <v>16105.740359999996</v>
      </c>
      <c r="OB51" s="486"/>
      <c r="OC51" s="486">
        <f t="shared" ref="OC51:QN51" si="2541">(OC47*0.5)*0.1</f>
        <v>10550.433000000003</v>
      </c>
      <c r="OD51" s="486"/>
      <c r="OE51" s="486">
        <f t="shared" ref="OE51:QP51" si="2542">(OE47*0.5)*0.1</f>
        <v>16105.740359999996</v>
      </c>
      <c r="OF51" s="486"/>
      <c r="OG51" s="486">
        <f t="shared" ref="OG51:QR51" si="2543">(OG47*0.5)*0.1</f>
        <v>11238.716</v>
      </c>
      <c r="OH51" s="486"/>
      <c r="OI51" s="486">
        <f t="shared" ref="OI51:QT51" si="2544">(OI47*0.5)*0.1</f>
        <v>16105.740359999996</v>
      </c>
      <c r="OJ51" s="486"/>
      <c r="OK51" s="486">
        <f t="shared" ref="OK51:QV51" si="2545">(OK47*0.5)*0.1</f>
        <v>10844.341</v>
      </c>
      <c r="OL51" s="486"/>
      <c r="OM51" s="486">
        <f t="shared" ref="OM51:QX51" si="2546">(OM47*0.5)*0.1</f>
        <v>18790.030420000003</v>
      </c>
      <c r="ON51" s="486"/>
      <c r="OO51" s="486">
        <f t="shared" ref="OO51:QZ51" si="2547">(OO47*0.5)*0.1</f>
        <v>14348.749500000004</v>
      </c>
      <c r="OP51" s="486"/>
      <c r="OQ51" s="486">
        <f t="shared" ref="OQ51:RB51" si="2548">(OQ47*0.5)*0.1</f>
        <v>21474.320479999998</v>
      </c>
      <c r="OR51" s="486"/>
      <c r="OS51" s="486">
        <f t="shared" ref="OS51:RD51" si="2549">(OS47*0.5)*0.1</f>
        <v>18678.713</v>
      </c>
      <c r="OT51" s="486"/>
      <c r="OU51" s="486">
        <f t="shared" ref="OU51:RF51" si="2550">(OU47*0.5)*0.1</f>
        <v>29527.19066</v>
      </c>
      <c r="OV51" s="486"/>
      <c r="OW51" s="486">
        <f t="shared" ref="OW51:RH51" si="2551">(OW47*0.5)*0.1</f>
        <v>29398.666500000007</v>
      </c>
      <c r="OX51" s="486"/>
      <c r="OY51" s="486">
        <f t="shared" ref="OY51:RJ51" si="2552">(OY47*0.5)*0.1</f>
        <v>134214.503</v>
      </c>
      <c r="OZ51" s="486"/>
      <c r="PA51" s="486">
        <f>PA50*0.1</f>
        <v>124484.39050000001</v>
      </c>
      <c r="PB51" s="486"/>
      <c r="PC51" s="486">
        <f t="shared" ref="PC51:RJ51" si="2553">(PC47*0.5)*0.1</f>
        <v>15245.052000000003</v>
      </c>
      <c r="PD51" s="486"/>
      <c r="PE51" s="486">
        <f t="shared" ref="PE51:RJ51" si="2554">(PE47*0.5)*0.1</f>
        <v>15836.287000000004</v>
      </c>
      <c r="PF51" s="486"/>
      <c r="PG51" s="486">
        <f t="shared" ref="PG51:RJ51" si="2555">(PG47*0.5)*0.1</f>
        <v>15245.052000000003</v>
      </c>
      <c r="PH51" s="486"/>
      <c r="PI51" s="486">
        <f t="shared" ref="PI51:RJ51" si="2556">(PI47*0.5)*0.1</f>
        <v>14378.060000000001</v>
      </c>
      <c r="PJ51" s="486"/>
      <c r="PK51" s="486">
        <f t="shared" ref="PK51:RJ51" si="2557">(PK47*0.5)*0.1</f>
        <v>16024.062</v>
      </c>
      <c r="PL51" s="486"/>
      <c r="PM51" s="486">
        <f t="shared" ref="PM51:RJ51" si="2558">(PM47*0.5)*0.1</f>
        <v>12652.672500000001</v>
      </c>
      <c r="PN51" s="486"/>
      <c r="PO51" s="486">
        <f t="shared" ref="PO51:RJ51" si="2559">(PO47*0.5)*0.1</f>
        <v>16024.062</v>
      </c>
      <c r="PP51" s="486"/>
      <c r="PQ51" s="486">
        <f t="shared" ref="PQ51:RJ51" si="2560">(PQ47*0.5)*0.1</f>
        <v>11919.111000000003</v>
      </c>
      <c r="PR51" s="486"/>
      <c r="PS51" s="486">
        <f t="shared" ref="PS51:RJ51" si="2561">(PS47*0.5)*0.1</f>
        <v>18694.739000000001</v>
      </c>
      <c r="PT51" s="486"/>
      <c r="PU51" s="486">
        <f t="shared" ref="PU51:RJ51" si="2562">(PU47*0.5)*0.1</f>
        <v>12910.191500000001</v>
      </c>
      <c r="PV51" s="486"/>
      <c r="PW51" s="486">
        <f t="shared" ref="PW51:RJ51" si="2563">(PW47*0.5)*0.1</f>
        <v>20326.736000000004</v>
      </c>
      <c r="PX51" s="486"/>
      <c r="PY51" s="486">
        <f t="shared" ref="PY51:RJ51" si="2564">(PY47*0.5)*0.1</f>
        <v>16519.482500000002</v>
      </c>
      <c r="PZ51" s="486"/>
      <c r="QA51" s="486">
        <f t="shared" ref="QA51:RJ51" si="2565">(QA47*0.5)*0.1</f>
        <v>27949.262000000002</v>
      </c>
      <c r="QB51" s="486"/>
      <c r="QC51" s="486">
        <f t="shared" ref="QC51:RJ51" si="2566">(QC47*0.5)*0.1</f>
        <v>24286.864500000003</v>
      </c>
      <c r="QD51" s="486"/>
      <c r="QE51" s="486">
        <f t="shared" ref="QE51:RJ51" si="2567">(QE47*0.5)*0.1</f>
        <v>127042.1</v>
      </c>
      <c r="QF51" s="486"/>
      <c r="QG51" s="486">
        <f>QG50*0.1</f>
        <v>127586.52999999998</v>
      </c>
      <c r="QH51" s="486"/>
      <c r="QI51" s="486">
        <f t="shared" ref="QI51:RJ51" si="2568">(QI47*0.5)*0.1</f>
        <v>15949.036439999996</v>
      </c>
      <c r="QJ51" s="486"/>
      <c r="QK51" s="486">
        <f t="shared" ref="QK51:RJ51" si="2569">(QK47*0.5)*0.1</f>
        <v>12408.619000000001</v>
      </c>
      <c r="QL51" s="486"/>
      <c r="QM51" s="486">
        <f t="shared" ref="QM51:RJ51" si="2570">(QM47*0.5)*0.1</f>
        <v>15949.036439999996</v>
      </c>
      <c r="QN51" s="486"/>
      <c r="QO51" s="486">
        <f t="shared" ref="QO51:RJ51" si="2571">(QO47*0.5)*0.1</f>
        <v>10509.711000000001</v>
      </c>
      <c r="QP51" s="486"/>
      <c r="QQ51" s="486">
        <f t="shared" ref="QQ51:RJ51" si="2572">(QQ47*0.5)*0.1</f>
        <v>15949.036439999996</v>
      </c>
      <c r="QR51" s="486"/>
      <c r="QS51" s="486">
        <f t="shared" ref="QS51:RJ51" si="2573">(QS47*0.5)*0.1</f>
        <v>10406.4995</v>
      </c>
      <c r="QT51" s="486"/>
      <c r="QU51" s="486">
        <f t="shared" ref="QU51:RJ51" si="2574">(QU47*0.5)*0.1</f>
        <v>15949.036439999996</v>
      </c>
      <c r="QV51" s="486"/>
      <c r="QW51" s="486">
        <f t="shared" ref="QW51:RJ51" si="2575">(QW47*0.5)*0.1</f>
        <v>9922.1244999999999</v>
      </c>
      <c r="QX51" s="486"/>
      <c r="QY51" s="486">
        <f t="shared" ref="QY51:RJ51" si="2576">(QY47*0.5)*0.1</f>
        <v>18607.209180000002</v>
      </c>
      <c r="QZ51" s="486"/>
      <c r="RA51" s="486">
        <f t="shared" ref="RA51:RJ51" si="2577">(RA47*0.5)*0.1</f>
        <v>11541.7495</v>
      </c>
      <c r="RB51" s="486"/>
      <c r="RC51" s="486">
        <f t="shared" ref="RC51:RJ51" si="2578">(RC47*0.5)*0.1</f>
        <v>21265.381920000003</v>
      </c>
      <c r="RD51" s="486"/>
      <c r="RE51" s="486">
        <f t="shared" ref="RE51:RJ51" si="2579">(RE47*0.5)*0.1</f>
        <v>15773.386000000002</v>
      </c>
      <c r="RF51" s="486"/>
      <c r="RG51" s="486">
        <f t="shared" ref="RG51:RJ51" si="2580">(RG47*0.5)*0.1</f>
        <v>29239.900140000002</v>
      </c>
      <c r="RH51" s="486"/>
      <c r="RI51" s="486">
        <f t="shared" ref="RI51:RJ51" si="2581">(RI47*0.5)*0.1</f>
        <v>24487.2955</v>
      </c>
      <c r="RJ51" s="486"/>
      <c r="RK51" s="486">
        <f t="shared" ref="RK51:RN51" si="2582">(RK47*0.5)*0.1</f>
        <v>132908.63699999999</v>
      </c>
      <c r="RL51" s="486"/>
      <c r="RM51" s="486">
        <f>RM50*0.1</f>
        <v>110189.16250000003</v>
      </c>
      <c r="RN51" s="486"/>
      <c r="RO51" s="486">
        <f t="shared" ref="RO51:TZ51" si="2583">(RO47*0.5)*0.1</f>
        <v>15287.274539999999</v>
      </c>
      <c r="RP51" s="486"/>
      <c r="RQ51" s="486">
        <f t="shared" ref="RQ51:UB51" si="2584">(RQ47*0.5)*0.1</f>
        <v>12008.677</v>
      </c>
      <c r="RR51" s="486"/>
      <c r="RS51" s="486">
        <f t="shared" ref="RS51:UD51" si="2585">(RS47*0.5)*0.1</f>
        <v>15287.274539999997</v>
      </c>
      <c r="RT51" s="486"/>
      <c r="RU51" s="486">
        <f t="shared" ref="RU51:UF51" si="2586">(RU47*0.5)*0.1</f>
        <v>10267.890000000001</v>
      </c>
      <c r="RV51" s="486"/>
      <c r="RW51" s="486">
        <f t="shared" ref="RW51:UH51" si="2587">(RW47*0.5)*0.1</f>
        <v>15287.274539999997</v>
      </c>
      <c r="RX51" s="486"/>
      <c r="RY51" s="486">
        <f t="shared" ref="RY51:UJ51" si="2588">(RY47*0.5)*0.1</f>
        <v>12848.304499999998</v>
      </c>
      <c r="RZ51" s="486"/>
      <c r="SA51" s="486">
        <f t="shared" ref="SA51:UL51" si="2589">(SA47*0.5)*0.1</f>
        <v>15287.274539999997</v>
      </c>
      <c r="SB51" s="486"/>
      <c r="SC51" s="486">
        <f t="shared" ref="SC51:UN51" si="2590">(SC47*0.5)*0.1</f>
        <v>14279.1155</v>
      </c>
      <c r="SD51" s="486"/>
      <c r="SE51" s="486">
        <f t="shared" ref="SE51:UP51" si="2591">(SE47*0.5)*0.1</f>
        <v>17835.153630000004</v>
      </c>
      <c r="SF51" s="486"/>
      <c r="SG51" s="486">
        <f t="shared" ref="SG51:UR51" si="2592">(SG47*0.5)*0.1</f>
        <v>13471.847500000002</v>
      </c>
      <c r="SH51" s="486"/>
      <c r="SI51" s="486">
        <f t="shared" ref="SI51:UT51" si="2593">(SI47*0.5)*0.1</f>
        <v>20383.032720000003</v>
      </c>
      <c r="SJ51" s="486"/>
      <c r="SK51" s="486">
        <f t="shared" ref="SK51:UV51" si="2594">(SK47*0.5)*0.1</f>
        <v>17003.244499999997</v>
      </c>
      <c r="SL51" s="486"/>
      <c r="SM51" s="486">
        <f t="shared" ref="SM51:UX51" si="2595">(SM47*0.5)*0.1</f>
        <v>28026.669990000002</v>
      </c>
      <c r="SN51" s="486"/>
      <c r="SO51" s="486">
        <f t="shared" ref="SO51:UZ51" si="2596">(SO47*0.5)*0.1</f>
        <v>22909.914000000004</v>
      </c>
      <c r="SP51" s="486"/>
      <c r="SQ51" s="486">
        <f t="shared" ref="SQ51:VB51" si="2597">(SQ47*0.5)*0.1</f>
        <v>127393.95449999999</v>
      </c>
      <c r="SR51" s="486"/>
      <c r="SS51" s="486">
        <f>SS50*0.1</f>
        <v>119868.13300000003</v>
      </c>
      <c r="ST51" s="486"/>
      <c r="SU51" s="486">
        <f t="shared" ref="SU51:TZ51" si="2598">(SU47*0.5)*0.1</f>
        <v>14265.955020000001</v>
      </c>
      <c r="SV51" s="486"/>
      <c r="SW51" s="486">
        <f t="shared" ref="SW51:VH51" si="2599">(SW47*0.5)*0.1</f>
        <v>9939.1324999999997</v>
      </c>
      <c r="SX51" s="486"/>
      <c r="SY51" s="486">
        <f t="shared" ref="SY51:VJ51" si="2600">(SY47*0.5)*0.1</f>
        <v>14265.955020000001</v>
      </c>
      <c r="SZ51" s="486"/>
      <c r="TA51" s="486">
        <f t="shared" ref="TA51:VL51" si="2601">(TA47*0.5)*0.1</f>
        <v>9509.1720000000005</v>
      </c>
      <c r="TB51" s="486"/>
      <c r="TC51" s="486">
        <f t="shared" ref="TC51:VN51" si="2602">(TC47*0.5)*0.1</f>
        <v>14265.955020000001</v>
      </c>
      <c r="TD51" s="486"/>
      <c r="TE51" s="486">
        <f t="shared" ref="TE51:VP51" si="2603">(TE47*0.5)*0.1</f>
        <v>9604.6285000000007</v>
      </c>
      <c r="TF51" s="486"/>
      <c r="TG51" s="486">
        <f t="shared" ref="TG51:VR51" si="2604">(TG47*0.5)*0.1</f>
        <v>14265.955020000001</v>
      </c>
      <c r="TH51" s="486"/>
      <c r="TI51" s="486">
        <f t="shared" ref="TI51:VT51" si="2605">(TI47*0.5)*0.1</f>
        <v>9639.759</v>
      </c>
      <c r="TJ51" s="486"/>
      <c r="TK51" s="486">
        <f t="shared" ref="TK51:VV51" si="2606">(TK47*0.5)*0.1</f>
        <v>16643.614190000004</v>
      </c>
      <c r="TL51" s="486"/>
      <c r="TM51" s="486">
        <f t="shared" ref="TM51:VX51" si="2607">(TM47*0.5)*0.1</f>
        <v>11188.449000000001</v>
      </c>
      <c r="TN51" s="486"/>
      <c r="TO51" s="486">
        <f t="shared" ref="TO51:VZ51" si="2608">(TO47*0.5)*0.1</f>
        <v>19021.273360000003</v>
      </c>
      <c r="TP51" s="486"/>
      <c r="TQ51" s="486">
        <f t="shared" ref="TQ51:WB51" si="2609">(TQ47*0.5)*0.1</f>
        <v>15226.090999999999</v>
      </c>
      <c r="TR51" s="486"/>
      <c r="TS51" s="486">
        <f t="shared" ref="TS51:WD51" si="2610">(TS47*0.5)*0.1</f>
        <v>26154.250870000003</v>
      </c>
      <c r="TT51" s="486"/>
      <c r="TU51" s="486">
        <f t="shared" ref="TU51:WF51" si="2611">(TU47*0.5)*0.1</f>
        <v>24327.394499999999</v>
      </c>
      <c r="TV51" s="486"/>
      <c r="TW51" s="486">
        <f>TW50*0.1</f>
        <v>130285.572</v>
      </c>
      <c r="TX51" s="486"/>
      <c r="TY51" s="486">
        <f>TY50*0.1</f>
        <v>102917.65600000003</v>
      </c>
      <c r="TZ51" s="486"/>
      <c r="UA51" s="486">
        <f>UA50*0.1</f>
        <v>20760.749</v>
      </c>
      <c r="UB51" s="486"/>
      <c r="UC51" s="486">
        <f>UC50*0.1</f>
        <v>12736.5005</v>
      </c>
      <c r="UD51" s="486"/>
      <c r="UE51" s="486">
        <f>UE50*0.1</f>
        <v>14842.191500000008</v>
      </c>
      <c r="UF51" s="486"/>
      <c r="UG51" s="486">
        <f>UG50*0.1</f>
        <v>11420.834999999999</v>
      </c>
      <c r="UH51" s="486"/>
      <c r="UI51" s="486">
        <f>UI50*0.1</f>
        <v>16500.180499999999</v>
      </c>
      <c r="UJ51" s="486"/>
      <c r="UK51" s="486">
        <f>UK50*0.1</f>
        <v>11966.737000000001</v>
      </c>
      <c r="UL51" s="486"/>
      <c r="UM51" s="486">
        <f>UM50*0.1</f>
        <v>15330.829500000002</v>
      </c>
      <c r="UN51" s="486"/>
      <c r="UO51" s="486">
        <f>UO50*0.1</f>
        <v>12282.387500000001</v>
      </c>
      <c r="UP51" s="486"/>
      <c r="UQ51" s="486">
        <f>UQ50*0.1</f>
        <v>17303.815500000001</v>
      </c>
      <c r="UR51" s="486"/>
      <c r="US51" s="486">
        <f>US50*0.1</f>
        <v>14271.163</v>
      </c>
      <c r="UT51" s="486"/>
      <c r="UU51" s="486">
        <f>UU50*0.1</f>
        <v>23256.367999999999</v>
      </c>
      <c r="UV51" s="486"/>
      <c r="UW51" s="486">
        <f>UW50*0.1</f>
        <v>20989.423000000003</v>
      </c>
      <c r="UX51" s="486"/>
      <c r="UY51" s="486">
        <f>UY50*0.1</f>
        <v>33061.895000000011</v>
      </c>
      <c r="UZ51" s="486"/>
      <c r="VA51" s="486">
        <f>VA50*0.1</f>
        <v>28576.407000000003</v>
      </c>
      <c r="VB51" s="486"/>
      <c r="VC51" s="486">
        <f>VC50*0.1</f>
        <v>141056.02900000001</v>
      </c>
      <c r="VD51" s="486"/>
      <c r="VE51" s="486">
        <f>VE50*0.1</f>
        <v>112243.45299999996</v>
      </c>
      <c r="VF51" s="486"/>
      <c r="VG51" s="486">
        <f t="shared" ref="VG51" si="2612">VG50*0.1</f>
        <v>19494.074999999997</v>
      </c>
      <c r="VH51" s="486"/>
      <c r="VI51" s="486">
        <f t="shared" ref="VI51" si="2613">VI50*0.1</f>
        <v>14008.569000000001</v>
      </c>
      <c r="VJ51" s="486"/>
      <c r="VK51" s="486">
        <f t="shared" ref="VK51" si="2614">VK50*0.1</f>
        <v>14030.0285</v>
      </c>
      <c r="VL51" s="486"/>
      <c r="VM51" s="486">
        <f t="shared" ref="VM51" si="2615">VM50*0.1</f>
        <v>11856.677499999998</v>
      </c>
      <c r="VN51" s="486"/>
      <c r="VO51" s="486">
        <f t="shared" ref="VO51" si="2616">VO50*0.1</f>
        <v>13160.7935</v>
      </c>
      <c r="VP51" s="486"/>
      <c r="VQ51" s="486">
        <f t="shared" ref="VQ51" si="2617">VQ50*0.1</f>
        <v>11034.147499999999</v>
      </c>
      <c r="VR51" s="486"/>
      <c r="VS51" s="486">
        <f t="shared" ref="VS51" si="2618">VS50*0.1</f>
        <v>14488.573999999997</v>
      </c>
      <c r="VT51" s="486"/>
      <c r="VU51" s="486">
        <f t="shared" ref="VU51" si="2619">VU50*0.1</f>
        <v>12328.493500000002</v>
      </c>
      <c r="VV51" s="486"/>
      <c r="VW51" s="486">
        <f t="shared" ref="VW51" si="2620">VW50*0.1</f>
        <v>15653.554500000002</v>
      </c>
      <c r="VX51" s="486"/>
      <c r="VY51" s="486">
        <f t="shared" ref="VY51" si="2621">VY50*0.1</f>
        <v>13929.7335</v>
      </c>
      <c r="VZ51" s="486"/>
      <c r="WA51" s="486">
        <f t="shared" ref="WA51" si="2622">WA50*0.1</f>
        <v>19942.45</v>
      </c>
      <c r="WB51" s="486"/>
      <c r="WC51" s="486">
        <f t="shared" ref="WC51" si="2623">WC50*0.1</f>
        <v>19018.267000000003</v>
      </c>
      <c r="WD51" s="486"/>
      <c r="WE51" s="486">
        <f t="shared" ref="WE51" si="2624">WE50*0.1</f>
        <v>32037.747499999998</v>
      </c>
      <c r="WF51" s="486"/>
      <c r="WG51" s="486">
        <f t="shared" ref="WG51" si="2625">WG50*0.1</f>
        <v>30480.822000000004</v>
      </c>
      <c r="WH51" s="486"/>
      <c r="WI51" s="486">
        <f t="shared" ref="WI51" si="2626">WI50*0.1</f>
        <v>61173.470999999998</v>
      </c>
      <c r="WJ51" s="486"/>
      <c r="WK51" s="486">
        <f t="shared" ref="WK51" si="2627">WK50*0.1</f>
        <v>112656.70999999996</v>
      </c>
      <c r="WL51" s="486"/>
      <c r="WM51" s="486">
        <f t="shared" ref="WM51" si="2628">WM50*0.1</f>
        <v>17420.747000000003</v>
      </c>
      <c r="WN51" s="486"/>
      <c r="WO51" s="486">
        <f t="shared" ref="WO51" si="2629">WO50*0.1</f>
        <v>15297.983500000002</v>
      </c>
      <c r="WP51" s="486"/>
      <c r="WQ51" s="486">
        <f t="shared" ref="WQ51" si="2630">WQ50*0.1</f>
        <v>15719.308500000003</v>
      </c>
      <c r="WR51" s="486"/>
      <c r="WS51" s="486">
        <f t="shared" ref="WS51" si="2631">WS50*0.1</f>
        <v>12596.449000000001</v>
      </c>
      <c r="WT51" s="486"/>
      <c r="WU51" s="486">
        <f t="shared" ref="WU51" si="2632">WU50*0.1</f>
        <v>16443.222500000003</v>
      </c>
      <c r="WV51" s="486"/>
      <c r="WW51" s="486">
        <f t="shared" ref="WW51" si="2633">WW50*0.1</f>
        <v>12452.088000000002</v>
      </c>
      <c r="WX51" s="486"/>
      <c r="WY51" s="486">
        <f t="shared" ref="WY51" si="2634">WY50*0.1</f>
        <v>16931.550500000005</v>
      </c>
      <c r="WZ51" s="486"/>
      <c r="XA51" s="486">
        <f t="shared" ref="XA51" si="2635">XA50*0.1</f>
        <v>13081.216000000002</v>
      </c>
      <c r="XB51" s="486"/>
      <c r="XC51" s="486">
        <f t="shared" ref="XC51" si="2636">XC50*0.1</f>
        <v>17114.8845</v>
      </c>
      <c r="XD51" s="486"/>
      <c r="XE51" s="486">
        <f t="shared" ref="XE51" si="2637">XE50*0.1</f>
        <v>15773.1535</v>
      </c>
      <c r="XF51" s="486"/>
      <c r="XG51" s="486">
        <f t="shared" ref="XG51" si="2638">XG50*0.1</f>
        <v>21893.588999999996</v>
      </c>
      <c r="XH51" s="486"/>
      <c r="XI51" s="486">
        <f t="shared" ref="XI51" si="2639">XI50*0.1</f>
        <v>21860.010999999999</v>
      </c>
      <c r="XJ51" s="486"/>
      <c r="XK51" s="486">
        <f t="shared" ref="XK51" si="2640">XK50*0.1</f>
        <v>34470.976999999999</v>
      </c>
      <c r="XL51" s="486"/>
      <c r="XM51" s="486">
        <f t="shared" ref="XM51" si="2641">XM50*0.1</f>
        <v>34733.807000000001</v>
      </c>
      <c r="XN51" s="486"/>
      <c r="XO51" s="486">
        <f t="shared" ref="XO51" si="2642">XO50*0.1</f>
        <v>139994.27900000001</v>
      </c>
      <c r="XP51" s="486"/>
      <c r="XQ51" s="486">
        <f t="shared" ref="XQ51" si="2643">XQ50*0.1</f>
        <v>125794.70799999998</v>
      </c>
      <c r="XR51" s="486"/>
      <c r="XS51" s="486">
        <f t="shared" ref="XS51" si="2644">XS50*0.1</f>
        <v>22307.146500000003</v>
      </c>
      <c r="XT51" s="486"/>
      <c r="XU51" s="486">
        <f t="shared" ref="XU51" si="2645">XU50*0.1</f>
        <v>15997.090499999998</v>
      </c>
      <c r="XV51" s="486"/>
      <c r="XW51" s="486">
        <f t="shared" ref="XW51" si="2646">XW50*0.1</f>
        <v>15177.650500000011</v>
      </c>
      <c r="XX51" s="486"/>
      <c r="XY51" s="486">
        <f t="shared" ref="XY51" si="2647">XY50*0.1</f>
        <v>13514.4355</v>
      </c>
      <c r="XZ51" s="486"/>
      <c r="YA51" s="486">
        <f t="shared" ref="YA51" si="2648">YA50*0.1</f>
        <v>15880.767</v>
      </c>
      <c r="YB51" s="486"/>
      <c r="YC51" s="486">
        <f t="shared" ref="YC51" si="2649">YC50*0.1</f>
        <v>12675.361000000003</v>
      </c>
      <c r="YD51" s="486"/>
      <c r="YE51" s="486">
        <f t="shared" ref="YE51" si="2650">YE50*0.1</f>
        <v>15893.583500000002</v>
      </c>
      <c r="YF51" s="486"/>
      <c r="YG51" s="486">
        <f t="shared" ref="YG51" si="2651">YG50*0.1</f>
        <v>13087.041500000001</v>
      </c>
      <c r="YH51" s="486"/>
      <c r="YI51" s="486">
        <f t="shared" ref="YI51" si="2652">YI50*0.1</f>
        <v>18271.746999999992</v>
      </c>
      <c r="YJ51" s="486"/>
      <c r="YK51" s="486">
        <f t="shared" ref="YK51" si="2653">YK50*0.1</f>
        <v>15948.129000000001</v>
      </c>
      <c r="YL51" s="486"/>
      <c r="YM51" s="486">
        <f t="shared" ref="YM51" si="2654">YM50*0.1</f>
        <v>24766.383500000004</v>
      </c>
      <c r="YN51" s="486"/>
      <c r="YO51" s="486">
        <f t="shared" ref="YO51" si="2655">YO50*0.1</f>
        <v>22011.716999999997</v>
      </c>
      <c r="YP51" s="486"/>
      <c r="YQ51" s="486">
        <f t="shared" ref="YQ51" si="2656">YQ50*0.1</f>
        <v>39528.336000000003</v>
      </c>
      <c r="YR51" s="486"/>
      <c r="YS51" s="486">
        <f t="shared" ref="YS51" si="2657">YS50*0.1</f>
        <v>34664.231500000002</v>
      </c>
      <c r="YT51" s="486"/>
      <c r="YU51" s="486">
        <f t="shared" ref="YU51" si="2658">YU50*0.1</f>
        <v>151825.614</v>
      </c>
      <c r="YV51" s="486"/>
      <c r="YW51" s="486">
        <f t="shared" ref="YW51" si="2659">YW50*0.1</f>
        <v>127898.00600000001</v>
      </c>
      <c r="YX51" s="486"/>
      <c r="YY51" s="486">
        <f t="shared" ref="YY51" si="2660">YY50*0.1</f>
        <v>22187.044500000004</v>
      </c>
      <c r="YZ51" s="486"/>
      <c r="ZA51" s="486">
        <f t="shared" ref="ZA51" si="2661">ZA50*0.1</f>
        <v>18405.524000000009</v>
      </c>
      <c r="ZB51" s="486"/>
      <c r="ZC51" s="486">
        <f t="shared" ref="ZC51" si="2662">ZC50*0.1</f>
        <v>18387.447000000004</v>
      </c>
      <c r="ZD51" s="486"/>
      <c r="ZE51" s="486">
        <f t="shared" ref="ZE51" si="2663">ZE50*0.1</f>
        <v>16036.404499999997</v>
      </c>
      <c r="ZF51" s="486"/>
      <c r="ZG51" s="486">
        <f t="shared" ref="ZG51" si="2664">ZG50*0.1</f>
        <v>21812.472000000005</v>
      </c>
      <c r="ZH51" s="486"/>
      <c r="ZI51" s="486">
        <f t="shared" ref="ZI51" si="2665">ZI50*0.1</f>
        <v>19105.552</v>
      </c>
      <c r="ZJ51" s="486"/>
      <c r="ZK51" s="486">
        <f t="shared" ref="ZK51:ZL51" si="2666">ZK50*0.1</f>
        <v>28478.96000000001</v>
      </c>
      <c r="ZL51" s="486">
        <f t="shared" si="2666"/>
        <v>18502.622858999999</v>
      </c>
      <c r="ZM51" s="486">
        <f t="shared" ref="ZM51" si="2667">ZM50*0.1</f>
        <v>21750.280500000001</v>
      </c>
      <c r="ZN51" s="486"/>
      <c r="ZO51" s="486">
        <f t="shared" ref="ZO51:ZP51" si="2668">ZO50*0.1</f>
        <v>33046.3465</v>
      </c>
      <c r="ZP51" s="486">
        <f t="shared" si="2668"/>
        <v>21586.393335500001</v>
      </c>
      <c r="ZQ51" s="486">
        <f t="shared" ref="ZQ51" si="2669">ZQ50*0.1</f>
        <v>24729.65</v>
      </c>
      <c r="ZR51" s="486"/>
      <c r="ZS51" s="486">
        <f t="shared" ref="ZS51" si="2670">ZS50*0.1</f>
        <v>25659.439500000008</v>
      </c>
      <c r="ZT51" s="486"/>
      <c r="ZU51" s="486">
        <f t="shared" ref="ZU51" si="2671">ZU50*0.1</f>
        <v>33998.947500000002</v>
      </c>
      <c r="ZV51" s="486"/>
      <c r="ZW51" s="486">
        <f t="shared" ref="ZW51" si="2672">ZW50*0.1</f>
        <v>30330.905500000008</v>
      </c>
      <c r="ZX51" s="486"/>
      <c r="ZY51" s="486">
        <f t="shared" ref="ZY51" si="2673">ZY50*0.1</f>
        <v>48422.352000000014</v>
      </c>
      <c r="ZZ51" s="486"/>
      <c r="AAA51" s="486">
        <f t="shared" ref="AAA51" si="2674">AAA50*0.1</f>
        <v>179902.61500000002</v>
      </c>
      <c r="AAB51" s="486"/>
      <c r="AAC51" s="486">
        <f t="shared" ref="AAC51" si="2675">AAC50*0.1</f>
        <v>182448.71049999999</v>
      </c>
      <c r="AAD51" s="486"/>
      <c r="AAE51" s="486">
        <f t="shared" ref="AAE51" si="2676">AAE50*0.1</f>
        <v>19643.653000000006</v>
      </c>
      <c r="AAF51" s="486"/>
      <c r="AAG51" s="486">
        <f t="shared" ref="AAG51" si="2677">AAG50*0.1</f>
        <v>21693.998</v>
      </c>
      <c r="AAH51" s="486"/>
      <c r="AAI51" s="486">
        <f t="shared" ref="AAI51" si="2678">AAI50*0.1</f>
        <v>15336.298499999997</v>
      </c>
      <c r="AAJ51" s="486"/>
      <c r="AAK51" s="486">
        <f t="shared" ref="AAK51" si="2679">AAK50*0.1</f>
        <v>17190.657500000001</v>
      </c>
      <c r="AAL51" s="486"/>
      <c r="AAM51" s="486">
        <f t="shared" ref="AAM51" si="2680">AAM50*0.1</f>
        <v>15444.628999999999</v>
      </c>
      <c r="AAN51" s="486"/>
      <c r="AAO51" s="486">
        <f t="shared" ref="AAO51" si="2681">AAO50*0.1</f>
        <v>12811.02</v>
      </c>
      <c r="AAP51" s="486"/>
      <c r="AAQ51" s="486">
        <f t="shared" ref="AAQ51:AAR51" si="2682">AAQ50*0.1</f>
        <v>13221.092499999999</v>
      </c>
      <c r="AAR51" s="486">
        <f t="shared" si="2682"/>
        <v>14460.572880600001</v>
      </c>
      <c r="AAS51" s="486">
        <f t="shared" ref="AAS51" si="2683">AAS50*0.1</f>
        <v>12480.7045</v>
      </c>
      <c r="AAT51" s="486"/>
      <c r="AAU51" s="486">
        <f t="shared" ref="AAU51:AAV51" si="2684">AAU50*0.1</f>
        <v>15619.173500000003</v>
      </c>
      <c r="AAV51" s="486">
        <f t="shared" si="2684"/>
        <v>16870.668360700001</v>
      </c>
      <c r="AAW51" s="486">
        <f t="shared" ref="AAW51" si="2685">AAW50*0.1</f>
        <v>13484.447000000004</v>
      </c>
      <c r="AAX51" s="486"/>
      <c r="AAY51" s="486">
        <f t="shared" ref="AAY51" si="2686">AAY50*0.1</f>
        <v>19165.202000000001</v>
      </c>
      <c r="AAZ51" s="486"/>
      <c r="ABA51" s="486">
        <f t="shared" ref="ABA51" si="2687">ABA50*0.1</f>
        <v>19257.598500000004</v>
      </c>
      <c r="ABB51" s="486"/>
      <c r="ABC51" s="486">
        <f t="shared" ref="ABC51" si="2688">ABC50*0.1</f>
        <v>34495.174000000014</v>
      </c>
      <c r="ABD51" s="486"/>
      <c r="ABE51" s="486">
        <f t="shared" ref="ABE51" si="2689">ABE50*0.1</f>
        <v>31805.847000000005</v>
      </c>
      <c r="ABF51" s="486"/>
      <c r="ABG51" s="486">
        <f t="shared" ref="ABG51" si="2690">ABG50*0.1</f>
        <v>132925.2225</v>
      </c>
      <c r="ABH51" s="486"/>
      <c r="ABI51" s="486">
        <f t="shared" ref="ABI51" si="2691">ABI50*0.1</f>
        <v>128724.27250000002</v>
      </c>
      <c r="ABJ51" s="486"/>
      <c r="ABK51" s="486">
        <f t="shared" ref="ABK51" si="2692">ABK50*0.1</f>
        <v>20298.789999999997</v>
      </c>
      <c r="ABL51" s="486"/>
      <c r="ABM51" s="486">
        <f t="shared" ref="ABM51" si="2693">ABM50*0.1</f>
        <v>16858.386500000004</v>
      </c>
      <c r="ABN51" s="486"/>
      <c r="ABO51" s="486">
        <f t="shared" ref="ABO51" si="2694">ABO50*0.1</f>
        <v>14236.7935</v>
      </c>
      <c r="ABP51" s="486"/>
      <c r="ABQ51" s="486">
        <f t="shared" ref="ABQ51" si="2695">ABQ50*0.1</f>
        <v>13773.273500000003</v>
      </c>
      <c r="ABR51" s="486"/>
      <c r="ABS51" s="486">
        <f t="shared" ref="ABS51" si="2696">ABS50*0.1</f>
        <v>11464.953999999998</v>
      </c>
      <c r="ABT51" s="486"/>
      <c r="ABU51" s="486">
        <f t="shared" ref="ABU51" si="2697">ABU50*0.1</f>
        <v>12846.611500000001</v>
      </c>
      <c r="ABV51" s="486"/>
      <c r="ABW51" s="486">
        <f t="shared" ref="ABW51" si="2698">ABW50*0.1</f>
        <v>14901.931499999999</v>
      </c>
      <c r="ABX51" s="486"/>
      <c r="ABY51" s="486">
        <f t="shared" ref="ABY51" si="2699">ABY50*0.1</f>
        <v>15053.339000000005</v>
      </c>
      <c r="ABZ51" s="486"/>
      <c r="ACA51" s="486">
        <f t="shared" ref="ACA51" si="2700">ACA50*0.1</f>
        <v>21011.912000000004</v>
      </c>
      <c r="ACB51" s="486"/>
      <c r="ACC51" s="486">
        <f t="shared" ref="ACC51" si="2701">ACC50*0.1</f>
        <v>16848.4375</v>
      </c>
      <c r="ACD51" s="486"/>
      <c r="ACE51" s="486">
        <f t="shared" ref="ACE51" si="2702">ACE50*0.1</f>
        <v>34226.933499999992</v>
      </c>
      <c r="ACF51" s="486"/>
      <c r="ACG51" s="486">
        <f t="shared" ref="ACG51" si="2703">ACG50*0.1</f>
        <v>24991.400500000003</v>
      </c>
      <c r="ACH51" s="486"/>
      <c r="ACI51" s="486">
        <f t="shared" ref="ACI51" si="2704">ACI50*0.1</f>
        <v>55267.905999999995</v>
      </c>
      <c r="ACJ51" s="486"/>
      <c r="ACK51" s="486">
        <f t="shared" ref="ACK51" si="2705">ACK50*0.1</f>
        <v>41531.152000000009</v>
      </c>
      <c r="ACL51" s="486"/>
      <c r="ACM51" s="486">
        <f t="shared" ref="ACM51" si="2706">ACM50*0.1</f>
        <v>171409.2205</v>
      </c>
      <c r="ACN51" s="486"/>
      <c r="ACO51" s="486">
        <f t="shared" ref="ACO51" si="2707">ACO50*0.1</f>
        <v>141902.6005</v>
      </c>
      <c r="ACP51" s="486"/>
      <c r="ACQ51" s="486">
        <f t="shared" ref="ACQ51" si="2708">ACQ50*0.1</f>
        <v>38560.842000000004</v>
      </c>
      <c r="ACR51" s="486"/>
      <c r="ACS51" s="486">
        <f t="shared" ref="ACS51" si="2709">ACS50*0.1</f>
        <v>26142.247500000005</v>
      </c>
      <c r="ACT51" s="486"/>
      <c r="ACU51" s="486">
        <f t="shared" ref="ACU51" si="2710">ACU50*0.1</f>
        <v>38814.608999999989</v>
      </c>
      <c r="ACV51" s="486"/>
      <c r="ACW51" s="486">
        <f t="shared" ref="ACW51" si="2711">ACW50*0.1</f>
        <v>27261.7225</v>
      </c>
      <c r="ACX51" s="486"/>
      <c r="ACY51" s="486">
        <f t="shared" ref="ACY51" si="2712">ACY50*0.1</f>
        <v>19363.798000000003</v>
      </c>
      <c r="ACZ51" s="486"/>
      <c r="ADA51" s="486">
        <f t="shared" ref="ADA51" si="2713">ADA50*0.1</f>
        <v>17669.767000000003</v>
      </c>
      <c r="ADB51" s="486"/>
      <c r="ADC51" s="486">
        <f t="shared" ref="ADC51" si="2714">ADC50*0.1</f>
        <v>16542.059000000001</v>
      </c>
      <c r="ADD51" s="486"/>
      <c r="ADE51" s="486">
        <f t="shared" ref="ADE51" si="2715">ADE50*0.1</f>
        <v>15819.233000000002</v>
      </c>
      <c r="ADF51" s="486"/>
      <c r="ADG51" s="486">
        <f t="shared" ref="ADG51" si="2716">ADG50*0.1</f>
        <v>20807.736499999999</v>
      </c>
      <c r="ADH51" s="486"/>
      <c r="ADI51" s="486">
        <f t="shared" ref="ADI51" si="2717">ADI50*0.1</f>
        <v>17936.902000000002</v>
      </c>
      <c r="ADJ51" s="486"/>
      <c r="ADK51" s="486">
        <f t="shared" ref="ADK51" si="2718">ADK50*0.1</f>
        <v>26661.544500000004</v>
      </c>
      <c r="ADL51" s="486"/>
      <c r="ADM51" s="486">
        <f t="shared" ref="ADM51" si="2719">ADM50*0.1</f>
        <v>23006.377</v>
      </c>
      <c r="ADN51" s="486"/>
      <c r="ADO51" s="486">
        <f t="shared" ref="ADO51" si="2720">ADO50*0.1</f>
        <v>40386.7425</v>
      </c>
      <c r="ADP51" s="486"/>
      <c r="ADQ51" s="486">
        <f t="shared" ref="ADQ51" si="2721">ADQ50*0.1</f>
        <v>34984.143499999998</v>
      </c>
      <c r="ADR51" s="486"/>
      <c r="ADS51" s="486">
        <f t="shared" ref="ADS51" si="2722">ADS50*0.1</f>
        <v>195485.95250000001</v>
      </c>
      <c r="ADT51" s="486"/>
      <c r="ADU51" s="486">
        <f t="shared" ref="ADU51" si="2723">ADU50*0.1</f>
        <v>162820.39249999999</v>
      </c>
      <c r="ADV51" s="486"/>
      <c r="ADW51" s="486">
        <f t="shared" ref="ADW51" si="2724">ADW50*0.1</f>
        <v>24974.214500000002</v>
      </c>
      <c r="ADX51" s="486"/>
      <c r="ADY51" s="486">
        <f t="shared" ref="ADY51" si="2725">ADY50*0.1</f>
        <v>21348.801500000001</v>
      </c>
      <c r="ADZ51" s="486"/>
      <c r="AEA51" s="486">
        <f t="shared" ref="AEA51" si="2726">AEA50*0.1</f>
        <v>21763.360999999997</v>
      </c>
      <c r="AEB51" s="486"/>
      <c r="AEC51" s="486">
        <f t="shared" ref="AEC51" si="2727">AEC50*0.1</f>
        <v>19063.8</v>
      </c>
      <c r="AED51" s="486"/>
      <c r="AEE51" s="486">
        <f t="shared" ref="AEE51" si="2728">AEE50*0.1</f>
        <v>20669.740500000007</v>
      </c>
      <c r="AEF51" s="486"/>
      <c r="AEG51" s="486">
        <f t="shared" ref="AEG51" si="2729">AEG50*0.1</f>
        <v>19484.400000000001</v>
      </c>
      <c r="AEH51" s="486"/>
      <c r="AEI51" s="486">
        <f t="shared" ref="AEI51" si="2730">AEI50*0.1</f>
        <v>19418.584000000003</v>
      </c>
      <c r="AEJ51" s="486"/>
      <c r="AEK51" s="486">
        <f t="shared" ref="AEK51" si="2731">AEK50*0.1</f>
        <v>21149.850000000002</v>
      </c>
      <c r="AEL51" s="486"/>
      <c r="AEM51" s="486">
        <f t="shared" ref="AEM51" si="2732">AEM50*0.1</f>
        <v>25979.411500000002</v>
      </c>
      <c r="AEN51" s="486"/>
      <c r="AEO51" s="486">
        <f t="shared" ref="AEO51" si="2733">AEO50*0.1</f>
        <v>21562.5</v>
      </c>
      <c r="AEP51" s="486"/>
      <c r="AEQ51" s="486">
        <f t="shared" ref="AEQ51" si="2734">AEQ50*0.1</f>
        <v>37500.866000000002</v>
      </c>
      <c r="AER51" s="486"/>
      <c r="AES51" s="486">
        <f t="shared" ref="AES51" si="2735">AES50*0.1</f>
        <v>18950.150000000001</v>
      </c>
      <c r="AET51" s="486"/>
      <c r="AEU51" s="486">
        <f t="shared" ref="AEU51" si="2736">AEU50*0.1</f>
        <v>58226.064999999995</v>
      </c>
      <c r="AEV51" s="486"/>
      <c r="AEW51" s="486">
        <f t="shared" ref="AEW51" si="2737">AEW50*0.1</f>
        <v>45271.850000000006</v>
      </c>
      <c r="AEX51" s="486"/>
      <c r="AEY51" s="486">
        <f t="shared" ref="AEY51" si="2738">AEY50*0.1</f>
        <v>205013.32399999999</v>
      </c>
      <c r="AEZ51" s="486"/>
      <c r="AFA51" s="486">
        <f t="shared" ref="AFA51" si="2739">AFA50*0.1</f>
        <v>166831.35149999999</v>
      </c>
      <c r="AFB51" s="486"/>
      <c r="AFC51" s="486">
        <f t="shared" ref="AFC51" si="2740">AFC50*0.1</f>
        <v>34213.343000000001</v>
      </c>
      <c r="AFD51" s="486"/>
      <c r="AFE51" s="486">
        <f t="shared" ref="AFE51" si="2741">AFE50*0.1</f>
        <v>24380.400000000001</v>
      </c>
      <c r="AFF51" s="486"/>
      <c r="AFG51" s="486">
        <f t="shared" ref="AFG51" si="2742">AFG50*0.1</f>
        <v>30694.1345</v>
      </c>
      <c r="AFH51" s="486"/>
      <c r="AFI51" s="486">
        <f t="shared" ref="AFI51" si="2743">AFI50*0.1</f>
        <v>23198.089500000002</v>
      </c>
      <c r="AFJ51" s="486"/>
      <c r="AFK51" s="486">
        <f t="shared" ref="AFK51" si="2744">AFK50*0.1</f>
        <v>29531.125500000002</v>
      </c>
      <c r="AFL51" s="486"/>
      <c r="AFM51" s="486">
        <f t="shared" ref="AFM51" si="2745">AFM50*0.1</f>
        <v>26492.7605</v>
      </c>
      <c r="AFN51" s="486"/>
      <c r="AFO51" s="486">
        <f t="shared" ref="AFO51" si="2746">AFO50*0.1</f>
        <v>32700.73</v>
      </c>
      <c r="AFP51" s="486"/>
      <c r="AFQ51" s="486">
        <f t="shared" ref="AFQ51" si="2747">AFQ50*0.1</f>
        <v>27444.534499999998</v>
      </c>
      <c r="AFR51" s="486"/>
      <c r="AFS51" s="486">
        <f t="shared" ref="AFS51" si="2748">AFS50*0.1</f>
        <v>37047.73750000001</v>
      </c>
      <c r="AFT51" s="486"/>
      <c r="AFU51" s="486">
        <f t="shared" ref="AFU51" si="2749">AFU50*0.1</f>
        <v>32515.137500000001</v>
      </c>
      <c r="AFV51" s="486"/>
      <c r="AFW51" s="486">
        <f t="shared" ref="AFW51" si="2750">AFW50*0.1</f>
        <v>46412.256500000003</v>
      </c>
      <c r="AFX51" s="486"/>
      <c r="AFY51" s="486">
        <f t="shared" ref="AFY51" si="2751">AFY50*0.1</f>
        <v>38380.056999999993</v>
      </c>
      <c r="AFZ51" s="486"/>
      <c r="AGA51" s="486">
        <f t="shared" ref="AGA51" si="2752">AGA50*0.1</f>
        <v>72491.156999999992</v>
      </c>
      <c r="AGB51" s="486"/>
      <c r="AGC51" s="486">
        <f t="shared" ref="AGC51" si="2753">AGC50*0.1</f>
        <v>62078.719000000012</v>
      </c>
      <c r="AGD51" s="486"/>
      <c r="AGE51" s="486">
        <f t="shared" ref="AGE51" si="2754">AGE50*0.1</f>
        <v>276733.85150000005</v>
      </c>
      <c r="AGF51" s="486"/>
      <c r="AGG51" s="486">
        <f t="shared" ref="AGG51" si="2755">AGG50*0.1</f>
        <v>234489.698</v>
      </c>
      <c r="AGH51" s="486"/>
      <c r="AGI51" s="486">
        <f t="shared" ref="AGI51" si="2756">AGI50*0.1</f>
        <v>47790.325500000006</v>
      </c>
      <c r="AGJ51" s="486"/>
      <c r="AGK51" s="486">
        <f t="shared" ref="AGK51" si="2757">AGK50*0.1</f>
        <v>32968.988499999999</v>
      </c>
      <c r="AGL51" s="486"/>
      <c r="AGM51" s="486">
        <f t="shared" ref="AGM51" si="2758">AGM50*0.1</f>
        <v>31070.199500000002</v>
      </c>
      <c r="AGN51" s="486"/>
      <c r="AGO51" s="486">
        <f t="shared" ref="AGO51" si="2759">AGO50*0.1</f>
        <v>29768.096999999994</v>
      </c>
      <c r="AGP51" s="486"/>
      <c r="AGQ51" s="486">
        <f t="shared" ref="AGQ51" si="2760">AGQ50*0.1</f>
        <v>38161.830500000004</v>
      </c>
      <c r="AGR51" s="486"/>
      <c r="AGS51" s="486">
        <f t="shared" ref="AGS51" si="2761">AGS50*0.1</f>
        <v>28691.505499999999</v>
      </c>
      <c r="AGT51" s="486"/>
      <c r="AGU51" s="486">
        <f t="shared" ref="AGU51" si="2762">AGU50*0.1</f>
        <v>41263.869999999995</v>
      </c>
      <c r="AGV51" s="486"/>
      <c r="AGW51" s="486">
        <f t="shared" ref="AGW51" si="2763">AGW50*0.1</f>
        <v>33730.186500000003</v>
      </c>
      <c r="AGX51" s="486"/>
      <c r="AGY51" s="486">
        <f t="shared" ref="AGY51" si="2764">AGY50*0.1</f>
        <v>47613.228499999997</v>
      </c>
      <c r="AGZ51" s="486"/>
      <c r="AHA51" s="486">
        <f t="shared" ref="AHA51" si="2765">AHA50*0.1</f>
        <v>34293.223000000013</v>
      </c>
      <c r="AHB51" s="486"/>
      <c r="AHC51" s="486">
        <f t="shared" ref="AHC51" si="2766">AHC50*0.1</f>
        <v>58132.265500000009</v>
      </c>
      <c r="AHD51" s="486"/>
      <c r="AHE51" s="486">
        <f t="shared" ref="AHE51" si="2767">AHE50*0.1</f>
        <v>42738.662500000006</v>
      </c>
      <c r="AHF51" s="486"/>
      <c r="AHG51" s="486">
        <f t="shared" ref="AHG51" si="2768">AHG50*0.1</f>
        <v>80080.470499999996</v>
      </c>
      <c r="AHH51" s="486"/>
      <c r="AHI51" s="486">
        <f t="shared" ref="AHI51" si="2769">AHI50*0.1</f>
        <v>64298.340000000004</v>
      </c>
      <c r="AHJ51" s="486"/>
      <c r="AHK51" s="486">
        <f t="shared" ref="AHK51" si="2770">AHK50*0.1</f>
        <v>334971.80750000005</v>
      </c>
      <c r="AHL51" s="486"/>
      <c r="AHM51" s="486">
        <f t="shared" ref="AHM51" si="2771">AHM50*0.1</f>
        <v>266489.00299999997</v>
      </c>
      <c r="AHN51" s="486"/>
      <c r="AHO51" s="486">
        <f t="shared" ref="AHO51" si="2772">AHO50*0.1</f>
        <v>58562.823999999979</v>
      </c>
      <c r="AHP51" s="486"/>
      <c r="AHQ51" s="486">
        <f t="shared" ref="AHQ51" si="2773">AHQ50*0.1</f>
        <v>40434.521499999988</v>
      </c>
      <c r="AHR51" s="486"/>
      <c r="AHS51" s="486">
        <f t="shared" ref="AHS51" si="2774">AHS50*0.1</f>
        <v>54173.621500000001</v>
      </c>
      <c r="AHT51" s="486"/>
      <c r="AHU51" s="486">
        <f t="shared" ref="AHU51" si="2775">AHU50*0.1</f>
        <v>40265.453499999989</v>
      </c>
      <c r="AHV51" s="486"/>
      <c r="AHW51" s="486">
        <f t="shared" ref="AHW51" si="2776">AHW50*0.1</f>
        <v>53995.146999999997</v>
      </c>
      <c r="AHX51" s="486"/>
      <c r="AHY51" s="486">
        <f t="shared" ref="AHY51" si="2777">AHY50*0.1</f>
        <v>40051.820499999994</v>
      </c>
      <c r="AHZ51" s="486"/>
      <c r="AIA51" s="486">
        <f t="shared" ref="AIA51" si="2778">AIA50*0.1</f>
        <v>57521.373499999987</v>
      </c>
      <c r="AIB51" s="486"/>
      <c r="AIC51" s="486">
        <f t="shared" ref="AIC51" si="2779">AIC50*0.1</f>
        <v>46336.358999999997</v>
      </c>
      <c r="AID51" s="486"/>
      <c r="AIE51" s="486">
        <f t="shared" ref="AIE51" si="2780">AIE50*0.1</f>
        <v>57568.441000000006</v>
      </c>
      <c r="AIF51" s="486"/>
      <c r="AIG51" s="486">
        <f t="shared" ref="AIG51" si="2781">AIG50*0.1</f>
        <v>50684.915000000001</v>
      </c>
      <c r="AIH51" s="486"/>
      <c r="AII51" s="486">
        <f t="shared" ref="AII51" si="2782">AII50*0.1</f>
        <v>68185.431999999986</v>
      </c>
      <c r="AIJ51" s="486"/>
      <c r="AIK51" s="486">
        <f t="shared" ref="AIK51" si="2783">AIK50*0.1</f>
        <v>54213.057000000001</v>
      </c>
      <c r="AIL51" s="486"/>
      <c r="AIM51" s="486">
        <f t="shared" ref="AIM51" si="2784">AIM50*0.1</f>
        <v>92309.629499999995</v>
      </c>
      <c r="AIN51" s="486"/>
      <c r="AIO51" s="486">
        <f t="shared" ref="AIO51" si="2785">AIO50*0.1</f>
        <v>74483.381000000008</v>
      </c>
      <c r="AIP51" s="486"/>
      <c r="AIQ51" s="486">
        <f t="shared" ref="AIQ51" si="2786">AIQ50*0.1</f>
        <v>431995.75650000013</v>
      </c>
      <c r="AIR51" s="486"/>
      <c r="AIS51" s="486">
        <f t="shared" ref="AIS51" si="2787">AIS50*0.1</f>
        <v>346469.50750000007</v>
      </c>
      <c r="AIT51" s="486"/>
      <c r="AIU51" s="486">
        <f t="shared" ref="AIU51" si="2788">AIU50*0.1</f>
        <v>47894.332079999993</v>
      </c>
      <c r="AIV51" s="486"/>
      <c r="AIW51" s="486">
        <f t="shared" ref="AIW51" si="2789">AIW50*0.1</f>
        <v>63388.361499999992</v>
      </c>
      <c r="AIX51" s="486"/>
      <c r="AIY51" s="486">
        <f t="shared" ref="AIY51" si="2790">AIY50*0.1</f>
        <v>47894.332079999993</v>
      </c>
      <c r="AIZ51" s="486"/>
      <c r="AJA51" s="486">
        <f t="shared" ref="AJA51" si="2791">AJA50*0.1</f>
        <v>73304.272500000006</v>
      </c>
      <c r="AJB51" s="486"/>
      <c r="AJC51" s="486">
        <f t="shared" ref="AJC51" si="2792">AJC50*0.1</f>
        <v>47894.332079999993</v>
      </c>
      <c r="AJD51" s="486"/>
      <c r="AJE51" s="486">
        <f t="shared" ref="AJE51" si="2793">AJE50*0.1</f>
        <v>81197.949500000002</v>
      </c>
      <c r="AJF51" s="486"/>
      <c r="AJG51" s="486">
        <f t="shared" ref="AJG51" si="2794">AJG50*0.1</f>
        <v>47894.332079999993</v>
      </c>
      <c r="AJH51" s="486"/>
      <c r="AJI51" s="486">
        <f t="shared" ref="AJI51" si="2795">AJI50*0.1</f>
        <v>86449.219500000007</v>
      </c>
      <c r="AJJ51" s="486"/>
      <c r="AJK51" s="486">
        <f t="shared" ref="AJK51" si="2796">AJK50*0.1</f>
        <v>55876.720760000011</v>
      </c>
      <c r="AJL51" s="486"/>
      <c r="AJM51" s="486">
        <f t="shared" ref="AJM51" si="2797">AJM50*0.1</f>
        <v>115175.645</v>
      </c>
      <c r="AJN51" s="486"/>
      <c r="AJO51" s="486">
        <f t="shared" ref="AJO51" si="2798">AJO50*0.1</f>
        <v>63859.109440000007</v>
      </c>
      <c r="AJP51" s="486"/>
      <c r="AJQ51" s="486">
        <f t="shared" ref="AJQ51" si="2799">AJQ50*0.1</f>
        <v>105518.12900000002</v>
      </c>
      <c r="AJR51" s="486"/>
      <c r="AJS51" s="486">
        <f t="shared" ref="AJS51" si="2800">AJS50*0.1</f>
        <v>87806.275480000011</v>
      </c>
      <c r="AJT51" s="486"/>
      <c r="AJU51" s="486">
        <f t="shared" ref="AJU51" si="2801">AJU50*0.1</f>
        <v>628.14800000000002</v>
      </c>
      <c r="AJV51" s="486"/>
      <c r="AJW51" s="486">
        <f t="shared" ref="AJW51" si="2802">AJW50*0.1</f>
        <v>399119.43400000001</v>
      </c>
      <c r="AJX51" s="486"/>
      <c r="AJY51" s="486">
        <f t="shared" ref="AJY51" si="2803">AJY50*0.1</f>
        <v>525661.72499999998</v>
      </c>
      <c r="AJZ51" s="486"/>
      <c r="AKA51" s="486">
        <f t="shared" ref="AKA51" si="2804">AKA50*0.1</f>
        <v>17267.133720000002</v>
      </c>
      <c r="AKB51" s="486"/>
      <c r="AKC51" s="486">
        <f t="shared" ref="AKC51" si="2805">AKC50*0.1</f>
        <v>21041.202499999999</v>
      </c>
      <c r="AKD51" s="486"/>
      <c r="AKE51" s="486">
        <f t="shared" ref="AKE51" si="2806">AKE50*0.1</f>
        <v>17267.133720000002</v>
      </c>
      <c r="AKF51" s="486"/>
      <c r="AKG51" s="486">
        <f t="shared" ref="AKG51" si="2807">AKG50*0.1</f>
        <v>24521.910499999998</v>
      </c>
      <c r="AKH51" s="486"/>
      <c r="AKI51" s="486">
        <f t="shared" ref="AKI51" si="2808">AKI50*0.1</f>
        <v>17267.133720000002</v>
      </c>
      <c r="AKJ51" s="486"/>
      <c r="AKK51" s="486">
        <f t="shared" ref="AKK51" si="2809">AKK50*0.1</f>
        <v>22620.887000000006</v>
      </c>
      <c r="AKL51" s="486"/>
      <c r="AKM51" s="486">
        <f t="shared" ref="AKM51" si="2810">AKM50*0.1</f>
        <v>17267.133720000002</v>
      </c>
      <c r="AKN51" s="486"/>
      <c r="AKO51" s="486">
        <f t="shared" ref="AKO51" si="2811">AKO50*0.1</f>
        <v>25150.301500000001</v>
      </c>
      <c r="AKP51" s="486"/>
      <c r="AKQ51" s="486">
        <f t="shared" ref="AKQ51" si="2812">AKQ50*0.1</f>
        <v>20144.989340000004</v>
      </c>
      <c r="AKR51" s="486"/>
      <c r="AKS51" s="486">
        <f t="shared" ref="AKS51" si="2813">AKS50*0.1</f>
        <v>30998.284000000003</v>
      </c>
      <c r="AKT51" s="486"/>
      <c r="AKU51" s="486">
        <f t="shared" ref="AKU51" si="2814">AKU50*0.1</f>
        <v>23022.844960000002</v>
      </c>
      <c r="AKV51" s="486"/>
      <c r="AKW51" s="486">
        <f t="shared" ref="AKW51" si="2815">AKW50*0.1</f>
        <v>25838.132000000001</v>
      </c>
      <c r="AKX51" s="486"/>
      <c r="AKY51" s="486">
        <f t="shared" ref="AKY51" si="2816">AKY50*0.1</f>
        <v>31656.411819999998</v>
      </c>
      <c r="AKZ51" s="486"/>
      <c r="ALA51" s="486">
        <f t="shared" ref="ALA51" si="2817">ALA50*0.1</f>
        <v>168.18</v>
      </c>
      <c r="ALB51" s="486"/>
      <c r="ALC51" s="486">
        <f t="shared" ref="ALC51" si="2818">ALC50*0.1</f>
        <v>143892.78099999999</v>
      </c>
      <c r="ALD51" s="486"/>
      <c r="ALE51" s="486">
        <f t="shared" ref="ALE51" si="2819">ALE50*0.1</f>
        <v>150338.89750000002</v>
      </c>
      <c r="ALF51" s="486"/>
    </row>
    <row r="52" spans="2:994">
      <c r="B52" s="690" t="s">
        <v>491</v>
      </c>
      <c r="AE52" s="486">
        <f t="shared" ref="AE52:CP52" si="2820">(AE47*0.5)*0.15</f>
        <v>0</v>
      </c>
      <c r="AF52" s="486"/>
      <c r="AG52" s="486">
        <f>$AG$50*0.15</f>
        <v>185056.9785</v>
      </c>
      <c r="AH52" s="486"/>
      <c r="AI52" s="486">
        <f t="shared" ref="AI52:CT52" si="2821">(AI47*0.5)*0.15</f>
        <v>0</v>
      </c>
      <c r="AJ52" s="486"/>
      <c r="AK52" s="486">
        <f t="shared" ref="AK52:CV52" si="2822">(AK47*0.5)*0.15</f>
        <v>0</v>
      </c>
      <c r="AL52" s="486"/>
      <c r="AM52" s="486">
        <f t="shared" ref="AM52:CX52" si="2823">(AM47*0.5)*0.15</f>
        <v>0</v>
      </c>
      <c r="AN52" s="486"/>
      <c r="AO52" s="486">
        <f t="shared" ref="AO52:CZ52" si="2824">(AO47*0.5)*0.15</f>
        <v>0</v>
      </c>
      <c r="AP52" s="486"/>
      <c r="AQ52" s="486">
        <f t="shared" ref="AQ52:DB52" si="2825">(AQ47*0.5)*0.15</f>
        <v>0</v>
      </c>
      <c r="AR52" s="486"/>
      <c r="AS52" s="486">
        <f t="shared" ref="AS52:DD52" si="2826">(AS47*0.5)*0.15</f>
        <v>0</v>
      </c>
      <c r="AT52" s="486"/>
      <c r="AU52" s="486">
        <f t="shared" ref="AU52:DF52" si="2827">(AU47*0.5)*0.15</f>
        <v>0</v>
      </c>
      <c r="AV52" s="486"/>
      <c r="AW52" s="486">
        <f t="shared" ref="AW52:DH52" si="2828">(AW47*0.5)*0.15</f>
        <v>0</v>
      </c>
      <c r="AX52" s="486"/>
      <c r="AY52" s="486">
        <f t="shared" ref="AY52:DJ52" si="2829">(AY47*0.5)*0.15</f>
        <v>0</v>
      </c>
      <c r="AZ52" s="486"/>
      <c r="BA52" s="486">
        <f t="shared" ref="BA52:DL52" si="2830">(BA47*0.5)*0.15</f>
        <v>0</v>
      </c>
      <c r="BB52" s="486"/>
      <c r="BC52" s="486">
        <f t="shared" ref="BC52:DN52" si="2831">(BC47*0.5)*0.15</f>
        <v>0</v>
      </c>
      <c r="BD52" s="486"/>
      <c r="BE52" s="486">
        <f t="shared" ref="BE52:DP52" si="2832">(BE47*0.5)*0.15</f>
        <v>0</v>
      </c>
      <c r="BF52" s="486"/>
      <c r="BG52" s="486">
        <f t="shared" ref="BG52:DR52" si="2833">(BG47*0.5)*0.15</f>
        <v>0</v>
      </c>
      <c r="BH52" s="486"/>
      <c r="BI52" s="486">
        <f t="shared" ref="BI52:DT52" si="2834">(BI47*0.5)*0.15</f>
        <v>0</v>
      </c>
      <c r="BJ52" s="486"/>
      <c r="BK52" s="486">
        <f t="shared" ref="BK52:DV52" si="2835">(BK47*0.5)*0.15</f>
        <v>0</v>
      </c>
      <c r="BL52" s="486"/>
      <c r="BM52" s="486">
        <f>BM50*0.15</f>
        <v>186743.21550000002</v>
      </c>
      <c r="BN52" s="486"/>
      <c r="BO52" s="486">
        <f t="shared" ref="BO52:DZ52" si="2836">(BO47*0.5)*0.15</f>
        <v>0</v>
      </c>
      <c r="BP52" s="486"/>
      <c r="BQ52" s="486">
        <f t="shared" ref="BQ52:EB52" si="2837">(BQ47*0.5)*0.15</f>
        <v>0</v>
      </c>
      <c r="BR52" s="486"/>
      <c r="BS52" s="486">
        <f t="shared" ref="BS52:ED52" si="2838">(BS47*0.5)*0.15</f>
        <v>0</v>
      </c>
      <c r="BT52" s="486"/>
      <c r="BU52" s="486">
        <f t="shared" ref="BU52:EF52" si="2839">(BU47*0.5)*0.15</f>
        <v>0</v>
      </c>
      <c r="BV52" s="486"/>
      <c r="BW52" s="486">
        <f t="shared" ref="BW52:EH52" si="2840">(BW47*0.5)*0.15</f>
        <v>0</v>
      </c>
      <c r="BX52" s="486"/>
      <c r="BY52" s="486">
        <f t="shared" ref="BY52:EJ52" si="2841">(BY47*0.5)*0.15</f>
        <v>0</v>
      </c>
      <c r="BZ52" s="486"/>
      <c r="CA52" s="486">
        <f t="shared" ref="CA52:EL52" si="2842">(CA47*0.5)*0.15</f>
        <v>0</v>
      </c>
      <c r="CB52" s="486"/>
      <c r="CC52" s="486">
        <f t="shared" ref="CC52:EN52" si="2843">(CC47*0.5)*0.15</f>
        <v>0</v>
      </c>
      <c r="CD52" s="486"/>
      <c r="CE52" s="486">
        <f t="shared" ref="CE52:EP52" si="2844">(CE47*0.5)*0.15</f>
        <v>0</v>
      </c>
      <c r="CF52" s="486"/>
      <c r="CG52" s="486">
        <f t="shared" ref="CG52:ER52" si="2845">(CG47*0.5)*0.15</f>
        <v>0</v>
      </c>
      <c r="CH52" s="486"/>
      <c r="CI52" s="486">
        <f t="shared" ref="CI52:ET52" si="2846">(CI47*0.5)*0.15</f>
        <v>0</v>
      </c>
      <c r="CJ52" s="486"/>
      <c r="CK52" s="486">
        <f t="shared" ref="CK52:EV52" si="2847">(CK47*0.5)*0.15</f>
        <v>0</v>
      </c>
      <c r="CL52" s="486"/>
      <c r="CM52" s="486">
        <f t="shared" ref="CM52:EX52" si="2848">(CM47*0.5)*0.15</f>
        <v>0</v>
      </c>
      <c r="CN52" s="486"/>
      <c r="CO52" s="486">
        <f t="shared" ref="CO52:EZ52" si="2849">(CO47*0.5)*0.15</f>
        <v>0</v>
      </c>
      <c r="CP52" s="486"/>
      <c r="CQ52" s="486">
        <f t="shared" ref="CQ52:FB52" si="2850">(CQ47*0.5)*0.15</f>
        <v>0</v>
      </c>
      <c r="CR52" s="486"/>
      <c r="CS52" s="486">
        <f>CS50*0.15</f>
        <v>204088.13774999999</v>
      </c>
      <c r="CT52" s="486"/>
      <c r="CU52" s="486">
        <f t="shared" ref="CU52:FF52" si="2851">(CU47*0.5)*0.15</f>
        <v>0</v>
      </c>
      <c r="CV52" s="486"/>
      <c r="CW52" s="486">
        <f t="shared" ref="CW52:FH52" si="2852">(CW47*0.5)*0.15</f>
        <v>0</v>
      </c>
      <c r="CX52" s="486"/>
      <c r="CY52" s="486">
        <f t="shared" ref="CY52:FJ52" si="2853">(CY47*0.5)*0.15</f>
        <v>0</v>
      </c>
      <c r="CZ52" s="486"/>
      <c r="DA52" s="486">
        <f t="shared" ref="DA52:FL52" si="2854">(DA47*0.5)*0.15</f>
        <v>0</v>
      </c>
      <c r="DB52" s="486"/>
      <c r="DC52" s="486">
        <f t="shared" ref="DC52:FN52" si="2855">(DC47*0.5)*0.15</f>
        <v>0</v>
      </c>
      <c r="DD52" s="486"/>
      <c r="DE52" s="486">
        <f t="shared" ref="DE52:FP52" si="2856">(DE47*0.5)*0.15</f>
        <v>0</v>
      </c>
      <c r="DF52" s="486"/>
      <c r="DG52" s="486">
        <f t="shared" ref="DG52:FR52" si="2857">(DG47*0.5)*0.15</f>
        <v>0</v>
      </c>
      <c r="DH52" s="486"/>
      <c r="DI52" s="486">
        <f t="shared" ref="DI52:FT52" si="2858">(DI47*0.5)*0.15</f>
        <v>0</v>
      </c>
      <c r="DJ52" s="486"/>
      <c r="DK52" s="486">
        <f t="shared" ref="DK52:FV52" si="2859">(DK47*0.5)*0.15</f>
        <v>0</v>
      </c>
      <c r="DL52" s="486"/>
      <c r="DM52" s="486">
        <f t="shared" ref="DM52:FX52" si="2860">(DM47*0.5)*0.15</f>
        <v>0</v>
      </c>
      <c r="DN52" s="486"/>
      <c r="DO52" s="486">
        <f t="shared" ref="DO52:FZ52" si="2861">(DO47*0.5)*0.15</f>
        <v>0</v>
      </c>
      <c r="DP52" s="486"/>
      <c r="DQ52" s="486">
        <f t="shared" ref="DQ52:GB52" si="2862">(DQ47*0.5)*0.15</f>
        <v>0</v>
      </c>
      <c r="DR52" s="486"/>
      <c r="DS52" s="486">
        <f t="shared" ref="DS52:GD52" si="2863">(DS47*0.5)*0.15</f>
        <v>0</v>
      </c>
      <c r="DT52" s="486"/>
      <c r="DU52" s="486">
        <f t="shared" ref="DU52:GF52" si="2864">(DU47*0.5)*0.15</f>
        <v>0</v>
      </c>
      <c r="DV52" s="486"/>
      <c r="DW52" s="486">
        <f t="shared" ref="DW52:GH52" si="2865">(DW47*0.5)*0.15</f>
        <v>0</v>
      </c>
      <c r="DX52" s="486"/>
      <c r="DY52" s="486">
        <f>DY50*0.15</f>
        <v>188575.58624999999</v>
      </c>
      <c r="DZ52" s="486"/>
      <c r="EA52" s="486">
        <f t="shared" ref="EA52:GL52" si="2866">(EA47*0.5)*0.15</f>
        <v>0</v>
      </c>
      <c r="EB52" s="486"/>
      <c r="EC52" s="486">
        <f t="shared" ref="EC52:GN52" si="2867">(EC47*0.5)*0.15</f>
        <v>0</v>
      </c>
      <c r="ED52" s="486"/>
      <c r="EE52" s="486">
        <f t="shared" ref="EE52:GP52" si="2868">(EE47*0.5)*0.15</f>
        <v>0</v>
      </c>
      <c r="EF52" s="486"/>
      <c r="EG52" s="486">
        <f t="shared" ref="EG52:GR52" si="2869">(EG47*0.5)*0.15</f>
        <v>0</v>
      </c>
      <c r="EH52" s="486"/>
      <c r="EI52" s="486">
        <f t="shared" ref="EI52:GT52" si="2870">(EI47*0.5)*0.15</f>
        <v>0</v>
      </c>
      <c r="EJ52" s="486"/>
      <c r="EK52" s="486">
        <f t="shared" ref="EK52:GV52" si="2871">(EK47*0.5)*0.15</f>
        <v>0</v>
      </c>
      <c r="EL52" s="486"/>
      <c r="EM52" s="486">
        <f t="shared" ref="EM52:GX52" si="2872">(EM47*0.5)*0.15</f>
        <v>0</v>
      </c>
      <c r="EN52" s="486"/>
      <c r="EO52" s="486">
        <f t="shared" ref="EO52:GZ52" si="2873">(EO47*0.5)*0.15</f>
        <v>0</v>
      </c>
      <c r="EP52" s="486"/>
      <c r="EQ52" s="486">
        <f t="shared" ref="EQ52:HB52" si="2874">(EQ47*0.5)*0.15</f>
        <v>0</v>
      </c>
      <c r="ER52" s="486"/>
      <c r="ES52" s="486">
        <f t="shared" ref="ES52:HD52" si="2875">(ES47*0.5)*0.15</f>
        <v>0</v>
      </c>
      <c r="ET52" s="486"/>
      <c r="EU52" s="486">
        <f t="shared" ref="EU52:HF52" si="2876">(EU47*0.5)*0.15</f>
        <v>0</v>
      </c>
      <c r="EV52" s="486"/>
      <c r="EW52" s="486">
        <f t="shared" ref="EW52:HH52" si="2877">(EW47*0.5)*0.15</f>
        <v>0</v>
      </c>
      <c r="EX52" s="486"/>
      <c r="EY52" s="486">
        <f t="shared" ref="EY52:HJ52" si="2878">(EY47*0.5)*0.15</f>
        <v>0</v>
      </c>
      <c r="EZ52" s="486"/>
      <c r="FA52" s="486">
        <f t="shared" ref="FA52:HL52" si="2879">(FA47*0.5)*0.15</f>
        <v>0</v>
      </c>
      <c r="FB52" s="486"/>
      <c r="FC52" s="486">
        <f t="shared" ref="FC52:HN52" si="2880">(FC47*0.5)*0.15</f>
        <v>0</v>
      </c>
      <c r="FD52" s="486"/>
      <c r="FE52" s="486">
        <f>FE50*0.15</f>
        <v>198527.80800000002</v>
      </c>
      <c r="FF52" s="486"/>
      <c r="FG52" s="486">
        <f t="shared" ref="FG52:HN52" si="2881">(FG47*0.5)*0.15</f>
        <v>0</v>
      </c>
      <c r="FH52" s="486"/>
      <c r="FI52" s="486">
        <f t="shared" ref="FI52:HN52" si="2882">(FI47*0.5)*0.15</f>
        <v>0</v>
      </c>
      <c r="FJ52" s="486"/>
      <c r="FK52" s="486">
        <f t="shared" ref="FK52:HN52" si="2883">(FK47*0.5)*0.15</f>
        <v>0</v>
      </c>
      <c r="FL52" s="486"/>
      <c r="FM52" s="486">
        <f t="shared" ref="FM52:HN52" si="2884">(FM47*0.5)*0.15</f>
        <v>0</v>
      </c>
      <c r="FN52" s="486"/>
      <c r="FO52" s="486">
        <f t="shared" ref="FO52:HN52" si="2885">(FO47*0.5)*0.15</f>
        <v>0</v>
      </c>
      <c r="FP52" s="486"/>
      <c r="FQ52" s="486">
        <f t="shared" ref="FQ52:HN52" si="2886">(FQ47*0.5)*0.15</f>
        <v>0</v>
      </c>
      <c r="FR52" s="486"/>
      <c r="FS52" s="486">
        <f t="shared" ref="FS52:HN52" si="2887">(FS47*0.5)*0.15</f>
        <v>0</v>
      </c>
      <c r="FT52" s="486"/>
      <c r="FU52" s="486">
        <f t="shared" ref="FU52:HN52" si="2888">(FU47*0.5)*0.15</f>
        <v>0</v>
      </c>
      <c r="FV52" s="486"/>
      <c r="FW52" s="486">
        <f t="shared" ref="FW52:HN52" si="2889">(FW47*0.5)*0.15</f>
        <v>0</v>
      </c>
      <c r="FX52" s="486"/>
      <c r="FY52" s="486">
        <f t="shared" ref="FY52:HN52" si="2890">(FY47*0.5)*0.15</f>
        <v>0</v>
      </c>
      <c r="FZ52" s="486"/>
      <c r="GA52" s="486">
        <f t="shared" ref="GA52:HN52" si="2891">(GA47*0.5)*0.15</f>
        <v>0</v>
      </c>
      <c r="GB52" s="486"/>
      <c r="GC52" s="486">
        <f t="shared" ref="GC52:HN52" si="2892">(GC47*0.5)*0.15</f>
        <v>0</v>
      </c>
      <c r="GD52" s="486"/>
      <c r="GE52" s="486">
        <f t="shared" ref="GE52:HN52" si="2893">(GE47*0.5)*0.15</f>
        <v>0</v>
      </c>
      <c r="GF52" s="486"/>
      <c r="GG52" s="486">
        <f t="shared" ref="GG52:HN52" si="2894">(GG47*0.5)*0.15</f>
        <v>0</v>
      </c>
      <c r="GH52" s="486"/>
      <c r="GI52" s="486">
        <f t="shared" ref="GI52:HN52" si="2895">(GI47*0.5)*0.15</f>
        <v>0</v>
      </c>
      <c r="GJ52" s="486"/>
      <c r="GK52" s="486">
        <f>GK50*0.15</f>
        <v>207845.03400000001</v>
      </c>
      <c r="GL52" s="486"/>
      <c r="GM52" s="486">
        <f t="shared" ref="GM52:HN52" si="2896">(GM47*0.5)*0.15</f>
        <v>0</v>
      </c>
      <c r="GN52" s="486"/>
      <c r="GO52" s="486">
        <f t="shared" ref="GO52:HN52" si="2897">(GO47*0.5)*0.15</f>
        <v>0</v>
      </c>
      <c r="GP52" s="486"/>
      <c r="GQ52" s="486">
        <f t="shared" ref="GQ52:HN52" si="2898">(GQ47*0.5)*0.15</f>
        <v>0</v>
      </c>
      <c r="GR52" s="486"/>
      <c r="GS52" s="486">
        <f t="shared" ref="GS52:HN52" si="2899">(GS47*0.5)*0.15</f>
        <v>0</v>
      </c>
      <c r="GT52" s="486"/>
      <c r="GU52" s="486">
        <f t="shared" ref="GU52:HN52" si="2900">(GU47*0.5)*0.15</f>
        <v>0</v>
      </c>
      <c r="GV52" s="486"/>
      <c r="GW52" s="486">
        <f t="shared" ref="GW52:HN52" si="2901">(GW47*0.5)*0.15</f>
        <v>0</v>
      </c>
      <c r="GX52" s="486"/>
      <c r="GY52" s="486">
        <f t="shared" ref="GY52:HN52" si="2902">(GY47*0.5)*0.15</f>
        <v>0</v>
      </c>
      <c r="GZ52" s="486"/>
      <c r="HA52" s="486">
        <f t="shared" ref="HA52:HN52" si="2903">(HA47*0.5)*0.15</f>
        <v>0</v>
      </c>
      <c r="HB52" s="486"/>
      <c r="HC52" s="486">
        <f t="shared" ref="HC52:HN52" si="2904">(HC47*0.5)*0.15</f>
        <v>0</v>
      </c>
      <c r="HD52" s="486"/>
      <c r="HE52" s="486">
        <f t="shared" ref="HE52:HN52" si="2905">(HE47*0.5)*0.15</f>
        <v>0</v>
      </c>
      <c r="HF52" s="486"/>
      <c r="HG52" s="486">
        <f t="shared" ref="HG52:HN52" si="2906">(HG47*0.5)*0.15</f>
        <v>0</v>
      </c>
      <c r="HH52" s="486"/>
      <c r="HI52" s="486">
        <f t="shared" ref="HI52:HN52" si="2907">(HI47*0.5)*0.15</f>
        <v>0</v>
      </c>
      <c r="HJ52" s="486"/>
      <c r="HK52" s="486">
        <f t="shared" ref="HK52:HN52" si="2908">(HK47*0.5)*0.15</f>
        <v>0</v>
      </c>
      <c r="HL52" s="486"/>
      <c r="HM52" s="486">
        <f t="shared" ref="HM52:HN52" si="2909">(HM47*0.5)*0.15</f>
        <v>0</v>
      </c>
      <c r="HN52" s="486"/>
      <c r="HO52" s="486">
        <f t="shared" ref="HO52:JZ52" si="2910">(HO47*0.5)*0.15</f>
        <v>0</v>
      </c>
      <c r="HP52" s="486"/>
      <c r="HQ52" s="486">
        <f>HQ50*0.15</f>
        <v>211999.23524999997</v>
      </c>
      <c r="HR52" s="486"/>
      <c r="HS52" s="486">
        <f t="shared" ref="HS52:KD52" si="2911">(HS47*0.5)*0.15</f>
        <v>0</v>
      </c>
      <c r="HT52" s="486"/>
      <c r="HU52" s="486">
        <f t="shared" ref="HU52:KF52" si="2912">(HU47*0.5)*0.15</f>
        <v>0</v>
      </c>
      <c r="HV52" s="486"/>
      <c r="HW52" s="486">
        <f t="shared" ref="HW52:KH52" si="2913">(HW47*0.5)*0.15</f>
        <v>0</v>
      </c>
      <c r="HX52" s="486"/>
      <c r="HY52" s="486">
        <f t="shared" ref="HY52:KJ52" si="2914">(HY47*0.5)*0.15</f>
        <v>0</v>
      </c>
      <c r="HZ52" s="486"/>
      <c r="IA52" s="486">
        <f t="shared" ref="IA52:KL52" si="2915">(IA47*0.5)*0.15</f>
        <v>0</v>
      </c>
      <c r="IB52" s="486"/>
      <c r="IC52" s="486">
        <f t="shared" ref="IC52:KN52" si="2916">(IC47*0.5)*0.15</f>
        <v>0</v>
      </c>
      <c r="ID52" s="486"/>
      <c r="IE52" s="486">
        <f t="shared" ref="IE52:KP52" si="2917">(IE47*0.5)*0.15</f>
        <v>0</v>
      </c>
      <c r="IF52" s="486"/>
      <c r="IG52" s="486">
        <f t="shared" ref="IG52:KR52" si="2918">(IG47*0.5)*0.15</f>
        <v>0</v>
      </c>
      <c r="IH52" s="486"/>
      <c r="II52" s="486">
        <f t="shared" ref="II52:KT52" si="2919">(II47*0.5)*0.15</f>
        <v>0</v>
      </c>
      <c r="IJ52" s="486"/>
      <c r="IK52" s="486">
        <f t="shared" ref="IK52:KV52" si="2920">(IK47*0.5)*0.15</f>
        <v>0</v>
      </c>
      <c r="IL52" s="486"/>
      <c r="IM52" s="486">
        <f t="shared" ref="IM52:KX52" si="2921">(IM47*0.5)*0.15</f>
        <v>0</v>
      </c>
      <c r="IN52" s="486"/>
      <c r="IO52" s="486">
        <f t="shared" ref="IO52:KZ52" si="2922">(IO47*0.5)*0.15</f>
        <v>0</v>
      </c>
      <c r="IP52" s="486"/>
      <c r="IQ52" s="486">
        <f t="shared" ref="IQ52:LB52" si="2923">(IQ47*0.5)*0.15</f>
        <v>0</v>
      </c>
      <c r="IR52" s="486"/>
      <c r="IS52" s="486">
        <f t="shared" ref="IS52:LD52" si="2924">(IS47*0.5)*0.15</f>
        <v>0</v>
      </c>
      <c r="IT52" s="486"/>
      <c r="IU52" s="486">
        <f t="shared" ref="IU52:LF52" si="2925">(IU47*0.5)*0.15</f>
        <v>0</v>
      </c>
      <c r="IV52" s="486"/>
      <c r="IW52" s="486">
        <f>IW50*0.15</f>
        <v>197594.00399999999</v>
      </c>
      <c r="IX52" s="486"/>
      <c r="IY52" s="486">
        <f t="shared" ref="IY52:LJ52" si="2926">(IY47*0.5)*0.15</f>
        <v>0</v>
      </c>
      <c r="IZ52" s="486"/>
      <c r="JA52" s="486">
        <f t="shared" ref="JA52:LL52" si="2927">(JA47*0.5)*0.15</f>
        <v>0</v>
      </c>
      <c r="JB52" s="486"/>
      <c r="JC52" s="486">
        <f t="shared" ref="JC52:LN52" si="2928">(JC47*0.5)*0.15</f>
        <v>0</v>
      </c>
      <c r="JD52" s="486"/>
      <c r="JE52" s="486">
        <f t="shared" ref="JE52:LP52" si="2929">(JE47*0.5)*0.15</f>
        <v>0</v>
      </c>
      <c r="JF52" s="486"/>
      <c r="JG52" s="486">
        <f t="shared" ref="JG52:LR52" si="2930">(JG47*0.5)*0.15</f>
        <v>0</v>
      </c>
      <c r="JH52" s="486"/>
      <c r="JI52" s="486">
        <f t="shared" ref="JI52:LT52" si="2931">(JI47*0.5)*0.15</f>
        <v>0</v>
      </c>
      <c r="JJ52" s="486"/>
      <c r="JK52" s="486">
        <f t="shared" ref="JK52:LV52" si="2932">(JK47*0.5)*0.15</f>
        <v>0</v>
      </c>
      <c r="JL52" s="486"/>
      <c r="JM52" s="486">
        <f t="shared" ref="JM52:LX52" si="2933">(JM47*0.5)*0.15</f>
        <v>0</v>
      </c>
      <c r="JN52" s="486"/>
      <c r="JO52" s="486">
        <f t="shared" ref="JO52:LZ52" si="2934">(JO47*0.5)*0.15</f>
        <v>0</v>
      </c>
      <c r="JP52" s="486"/>
      <c r="JQ52" s="486">
        <f t="shared" ref="JQ52:MB52" si="2935">(JQ47*0.5)*0.15</f>
        <v>0</v>
      </c>
      <c r="JR52" s="486"/>
      <c r="JS52" s="486">
        <f t="shared" ref="JS52:MD52" si="2936">(JS47*0.5)*0.15</f>
        <v>0</v>
      </c>
      <c r="JT52" s="486"/>
      <c r="JU52" s="486">
        <f t="shared" ref="JU52:MF52" si="2937">(JU47*0.5)*0.15</f>
        <v>0</v>
      </c>
      <c r="JV52" s="486"/>
      <c r="JW52" s="486">
        <f t="shared" ref="JW52:MH52" si="2938">(JW47*0.5)*0.15</f>
        <v>0</v>
      </c>
      <c r="JX52" s="486"/>
      <c r="JY52" s="486">
        <f t="shared" ref="JY52:MJ52" si="2939">(JY47*0.5)*0.15</f>
        <v>0</v>
      </c>
      <c r="JZ52" s="486"/>
      <c r="KA52" s="486">
        <f t="shared" ref="KA52:ML52" si="2940">(KA47*0.5)*0.15</f>
        <v>0</v>
      </c>
      <c r="KB52" s="486"/>
      <c r="KC52" s="486">
        <f>KC50*0.15</f>
        <v>194415.72075000001</v>
      </c>
      <c r="KD52" s="486"/>
      <c r="KE52" s="486">
        <f t="shared" ref="KE52:ML52" si="2941">(KE47*0.5)*0.15</f>
        <v>0</v>
      </c>
      <c r="KF52" s="486"/>
      <c r="KG52" s="486">
        <f t="shared" ref="KG52:ML52" si="2942">(KG47*0.5)*0.15</f>
        <v>0</v>
      </c>
      <c r="KH52" s="486"/>
      <c r="KI52" s="486">
        <f t="shared" ref="KI52:ML52" si="2943">(KI47*0.5)*0.15</f>
        <v>0</v>
      </c>
      <c r="KJ52" s="486"/>
      <c r="KK52" s="486">
        <f t="shared" ref="KK52:ML52" si="2944">(KK47*0.5)*0.15</f>
        <v>0</v>
      </c>
      <c r="KL52" s="486"/>
      <c r="KM52" s="486">
        <f t="shared" ref="KM52:ML52" si="2945">(KM47*0.5)*0.15</f>
        <v>0</v>
      </c>
      <c r="KN52" s="486"/>
      <c r="KO52" s="486">
        <f t="shared" ref="KO52:ML52" si="2946">(KO47*0.5)*0.15</f>
        <v>0</v>
      </c>
      <c r="KP52" s="486"/>
      <c r="KQ52" s="486">
        <f t="shared" ref="KQ52:ML52" si="2947">(KQ47*0.5)*0.15</f>
        <v>0</v>
      </c>
      <c r="KR52" s="486"/>
      <c r="KS52" s="486">
        <f t="shared" ref="KS52:ML52" si="2948">(KS47*0.5)*0.15</f>
        <v>0</v>
      </c>
      <c r="KT52" s="486"/>
      <c r="KU52" s="486">
        <f t="shared" ref="KU52:ML52" si="2949">(KU47*0.5)*0.15</f>
        <v>0</v>
      </c>
      <c r="KV52" s="486"/>
      <c r="KW52" s="486">
        <f t="shared" ref="KW52:ML52" si="2950">(KW47*0.5)*0.15</f>
        <v>0</v>
      </c>
      <c r="KX52" s="486"/>
      <c r="KY52" s="486">
        <f t="shared" ref="KY52:ML52" si="2951">(KY47*0.5)*0.15</f>
        <v>0</v>
      </c>
      <c r="KZ52" s="486"/>
      <c r="LA52" s="486">
        <f t="shared" ref="LA52:ML52" si="2952">(LA47*0.5)*0.15</f>
        <v>0</v>
      </c>
      <c r="LB52" s="486"/>
      <c r="LC52" s="486">
        <f t="shared" ref="LC52:ML52" si="2953">(LC47*0.5)*0.15</f>
        <v>0</v>
      </c>
      <c r="LD52" s="486"/>
      <c r="LE52" s="486">
        <f t="shared" ref="LE52:ML52" si="2954">(LE47*0.5)*0.15</f>
        <v>0</v>
      </c>
      <c r="LF52" s="486"/>
      <c r="LG52" s="486">
        <f t="shared" ref="LG52:ML52" si="2955">(LG47*0.5)*0.15</f>
        <v>0</v>
      </c>
      <c r="LH52" s="486"/>
      <c r="LI52" s="486">
        <f>LI50*0.15</f>
        <v>185686.21875000006</v>
      </c>
      <c r="LJ52" s="486"/>
      <c r="LK52" s="486">
        <f t="shared" ref="LK52:ML52" si="2956">(LK47*0.5)*0.15</f>
        <v>0</v>
      </c>
      <c r="LL52" s="486"/>
      <c r="LM52" s="486">
        <f t="shared" ref="LM52:ML52" si="2957">(LM47*0.5)*0.15</f>
        <v>0</v>
      </c>
      <c r="LN52" s="486"/>
      <c r="LO52" s="486">
        <f t="shared" ref="LO52:ML52" si="2958">(LO47*0.5)*0.15</f>
        <v>0</v>
      </c>
      <c r="LP52" s="486"/>
      <c r="LQ52" s="486">
        <f t="shared" ref="LQ52:ML52" si="2959">(LQ47*0.5)*0.15</f>
        <v>0</v>
      </c>
      <c r="LR52" s="486"/>
      <c r="LS52" s="486">
        <f t="shared" ref="LS52:ML52" si="2960">(LS47*0.5)*0.15</f>
        <v>0</v>
      </c>
      <c r="LT52" s="486"/>
      <c r="LU52" s="486">
        <f t="shared" ref="LU52:ML52" si="2961">(LU47*0.5)*0.15</f>
        <v>0</v>
      </c>
      <c r="LV52" s="486"/>
      <c r="LW52" s="486">
        <f t="shared" ref="LW52:ML52" si="2962">(LW47*0.5)*0.15</f>
        <v>0</v>
      </c>
      <c r="LX52" s="486"/>
      <c r="LY52" s="486">
        <f t="shared" ref="LY52:ML52" si="2963">(LY47*0.5)*0.15</f>
        <v>0</v>
      </c>
      <c r="LZ52" s="486"/>
      <c r="MA52" s="486">
        <f t="shared" ref="MA52:ML52" si="2964">(MA47*0.5)*0.15</f>
        <v>0</v>
      </c>
      <c r="MB52" s="486"/>
      <c r="MC52" s="486">
        <f t="shared" ref="MC52:ML52" si="2965">(MC47*0.5)*0.15</f>
        <v>0</v>
      </c>
      <c r="MD52" s="486"/>
      <c r="ME52" s="486">
        <f t="shared" ref="ME52:ML52" si="2966">(ME47*0.5)*0.15</f>
        <v>0</v>
      </c>
      <c r="MF52" s="486"/>
      <c r="MG52" s="486">
        <f t="shared" ref="MG52:ML52" si="2967">(MG47*0.5)*0.15</f>
        <v>0</v>
      </c>
      <c r="MH52" s="486"/>
      <c r="MI52" s="486">
        <f t="shared" ref="MI52:ML52" si="2968">(MI47*0.5)*0.15</f>
        <v>0</v>
      </c>
      <c r="MJ52" s="486"/>
      <c r="MK52" s="486">
        <f t="shared" ref="MK52:ML52" si="2969">(MK47*0.5)*0.15</f>
        <v>0</v>
      </c>
      <c r="ML52" s="486"/>
      <c r="MM52" s="486">
        <f t="shared" ref="MM52:OX52" si="2970">(MM47*0.5)*0.15</f>
        <v>0</v>
      </c>
      <c r="MN52" s="486"/>
      <c r="MO52" s="486">
        <f>MO50*0.15</f>
        <v>185890.155</v>
      </c>
      <c r="MP52" s="486"/>
      <c r="MQ52" s="486">
        <f t="shared" ref="MQ52:PB52" si="2971">(MQ47*0.5)*0.15</f>
        <v>24607.6983</v>
      </c>
      <c r="MR52" s="486"/>
      <c r="MS52" s="486">
        <f t="shared" ref="MS52:PD52" si="2972">(MS47*0.5)*0.15</f>
        <v>17803.108499999998</v>
      </c>
      <c r="MT52" s="486"/>
      <c r="MU52" s="486">
        <f t="shared" ref="MU52:PF52" si="2973">(MU47*0.5)*0.15</f>
        <v>24607.6983</v>
      </c>
      <c r="MV52" s="486"/>
      <c r="MW52" s="486">
        <f t="shared" ref="MW52:PH52" si="2974">(MW47*0.5)*0.15</f>
        <v>17854.616999999998</v>
      </c>
      <c r="MX52" s="486"/>
      <c r="MY52" s="486">
        <f t="shared" ref="MY52:PJ52" si="2975">(MY47*0.5)*0.15</f>
        <v>24607.6983</v>
      </c>
      <c r="MZ52" s="486"/>
      <c r="NA52" s="486">
        <f t="shared" ref="NA52:PL52" si="2976">(NA47*0.5)*0.15</f>
        <v>15761.31825</v>
      </c>
      <c r="NB52" s="486"/>
      <c r="NC52" s="486">
        <f t="shared" ref="NC52:PN52" si="2977">(NC47*0.5)*0.15</f>
        <v>24607.6983</v>
      </c>
      <c r="ND52" s="486"/>
      <c r="NE52" s="486">
        <f t="shared" ref="NE52:PP52" si="2978">(NE47*0.5)*0.15</f>
        <v>16315.44</v>
      </c>
      <c r="NF52" s="486"/>
      <c r="NG52" s="486">
        <f t="shared" ref="NG52:PR52" si="2979">(NG47*0.5)*0.15</f>
        <v>28708.981350000005</v>
      </c>
      <c r="NH52" s="486"/>
      <c r="NI52" s="486">
        <f t="shared" ref="NI52:PT52" si="2980">(NI47*0.5)*0.15</f>
        <v>20398.300499999998</v>
      </c>
      <c r="NJ52" s="486"/>
      <c r="NK52" s="486">
        <f t="shared" ref="NK52:PV52" si="2981">(NK47*0.5)*0.15</f>
        <v>32810.2644</v>
      </c>
      <c r="NL52" s="486"/>
      <c r="NM52" s="486">
        <f t="shared" ref="NM52:PX52" si="2982">(NM47*0.5)*0.15</f>
        <v>24221.833500000001</v>
      </c>
      <c r="NN52" s="486"/>
      <c r="NO52" s="486">
        <f t="shared" ref="NO52:PZ52" si="2983">(NO47*0.5)*0.15</f>
        <v>45114.113549999995</v>
      </c>
      <c r="NP52" s="486"/>
      <c r="NQ52" s="486">
        <f t="shared" ref="NQ52:QB52" si="2984">(NQ47*0.5)*0.15</f>
        <v>35715.128250000002</v>
      </c>
      <c r="NR52" s="486"/>
      <c r="NS52" s="486">
        <f t="shared" ref="NS52:QD52" si="2985">(NS47*0.5)*0.15</f>
        <v>205064.1525</v>
      </c>
      <c r="NT52" s="486"/>
      <c r="NU52" s="486">
        <f>NU50*0.15</f>
        <v>173201.22599999997</v>
      </c>
      <c r="NV52" s="486"/>
      <c r="NW52" s="486">
        <f t="shared" ref="NW52:QH52" si="2986">(NW47*0.5)*0.15</f>
        <v>24158.610539999994</v>
      </c>
      <c r="NX52" s="486"/>
      <c r="NY52" s="486">
        <f t="shared" ref="NY52:QJ52" si="2987">(NY47*0.5)*0.15</f>
        <v>16629.261749999998</v>
      </c>
      <c r="NZ52" s="486"/>
      <c r="OA52" s="486">
        <f t="shared" ref="OA52:QL52" si="2988">(OA47*0.5)*0.15</f>
        <v>24158.610539999994</v>
      </c>
      <c r="OB52" s="486"/>
      <c r="OC52" s="486">
        <f t="shared" ref="OC52:QN52" si="2989">(OC47*0.5)*0.15</f>
        <v>15825.649500000001</v>
      </c>
      <c r="OD52" s="486"/>
      <c r="OE52" s="486">
        <f t="shared" ref="OE52:QP52" si="2990">(OE47*0.5)*0.15</f>
        <v>24158.610539999994</v>
      </c>
      <c r="OF52" s="486"/>
      <c r="OG52" s="486">
        <f t="shared" ref="OG52:QR52" si="2991">(OG47*0.5)*0.15</f>
        <v>16858.074000000001</v>
      </c>
      <c r="OH52" s="486"/>
      <c r="OI52" s="486">
        <f t="shared" ref="OI52:QT52" si="2992">(OI47*0.5)*0.15</f>
        <v>24158.610539999994</v>
      </c>
      <c r="OJ52" s="486"/>
      <c r="OK52" s="486">
        <f t="shared" ref="OK52:QV52" si="2993">(OK47*0.5)*0.15</f>
        <v>16266.511499999997</v>
      </c>
      <c r="OL52" s="486"/>
      <c r="OM52" s="486">
        <f t="shared" ref="OM52:QX52" si="2994">(OM47*0.5)*0.15</f>
        <v>28185.045630000001</v>
      </c>
      <c r="ON52" s="486"/>
      <c r="OO52" s="486">
        <f t="shared" ref="OO52:QZ52" si="2995">(OO47*0.5)*0.15</f>
        <v>21523.124250000004</v>
      </c>
      <c r="OP52" s="486"/>
      <c r="OQ52" s="486">
        <f t="shared" ref="OQ52:RB52" si="2996">(OQ47*0.5)*0.15</f>
        <v>32211.480719999996</v>
      </c>
      <c r="OR52" s="486"/>
      <c r="OS52" s="486">
        <f t="shared" ref="OS52:RD52" si="2997">(OS47*0.5)*0.15</f>
        <v>28018.069499999994</v>
      </c>
      <c r="OT52" s="486"/>
      <c r="OU52" s="486">
        <f t="shared" ref="OU52:RF52" si="2998">(OU47*0.5)*0.15</f>
        <v>44290.785989999997</v>
      </c>
      <c r="OV52" s="486"/>
      <c r="OW52" s="486">
        <f t="shared" ref="OW52:RH52" si="2999">(OW47*0.5)*0.15</f>
        <v>44097.999750000003</v>
      </c>
      <c r="OX52" s="486"/>
      <c r="OY52" s="486">
        <f t="shared" ref="OY52:RJ52" si="3000">(OY47*0.5)*0.15</f>
        <v>201321.75450000001</v>
      </c>
      <c r="OZ52" s="486"/>
      <c r="PA52" s="486">
        <f>PA50*0.15</f>
        <v>186726.58575</v>
      </c>
      <c r="PB52" s="486"/>
      <c r="PC52" s="486">
        <f t="shared" ref="PC52:RJ52" si="3001">(PC47*0.5)*0.15</f>
        <v>22867.578000000001</v>
      </c>
      <c r="PD52" s="486"/>
      <c r="PE52" s="486">
        <f t="shared" ref="PE52:RJ52" si="3002">(PE47*0.5)*0.15</f>
        <v>23754.430500000002</v>
      </c>
      <c r="PF52" s="486"/>
      <c r="PG52" s="486">
        <f t="shared" ref="PG52:RJ52" si="3003">(PG47*0.5)*0.15</f>
        <v>22867.578000000001</v>
      </c>
      <c r="PH52" s="486"/>
      <c r="PI52" s="486">
        <f t="shared" ref="PI52:RJ52" si="3004">(PI47*0.5)*0.15</f>
        <v>21567.09</v>
      </c>
      <c r="PJ52" s="486"/>
      <c r="PK52" s="486">
        <f t="shared" ref="PK52:RJ52" si="3005">(PK47*0.5)*0.15</f>
        <v>24036.092999999997</v>
      </c>
      <c r="PL52" s="486"/>
      <c r="PM52" s="486">
        <f t="shared" ref="PM52:RJ52" si="3006">(PM47*0.5)*0.15</f>
        <v>18979.008749999997</v>
      </c>
      <c r="PN52" s="486"/>
      <c r="PO52" s="486">
        <f t="shared" ref="PO52:RJ52" si="3007">(PO47*0.5)*0.15</f>
        <v>24036.092999999997</v>
      </c>
      <c r="PP52" s="486"/>
      <c r="PQ52" s="486">
        <f t="shared" ref="PQ52:RJ52" si="3008">(PQ47*0.5)*0.15</f>
        <v>17878.666500000003</v>
      </c>
      <c r="PR52" s="486"/>
      <c r="PS52" s="486">
        <f t="shared" ref="PS52:RJ52" si="3009">(PS47*0.5)*0.15</f>
        <v>28042.108500000002</v>
      </c>
      <c r="PT52" s="486"/>
      <c r="PU52" s="486">
        <f t="shared" ref="PU52:RJ52" si="3010">(PU47*0.5)*0.15</f>
        <v>19365.287249999998</v>
      </c>
      <c r="PV52" s="486"/>
      <c r="PW52" s="486">
        <f t="shared" ref="PW52:RJ52" si="3011">(PW47*0.5)*0.15</f>
        <v>30490.103999999999</v>
      </c>
      <c r="PX52" s="486"/>
      <c r="PY52" s="486">
        <f t="shared" ref="PY52:RJ52" si="3012">(PY47*0.5)*0.15</f>
        <v>24779.223750000001</v>
      </c>
      <c r="PZ52" s="486"/>
      <c r="QA52" s="486">
        <f t="shared" ref="QA52:RJ52" si="3013">(QA47*0.5)*0.15</f>
        <v>41923.892999999996</v>
      </c>
      <c r="QB52" s="486"/>
      <c r="QC52" s="486">
        <f t="shared" ref="QC52:RJ52" si="3014">(QC47*0.5)*0.15</f>
        <v>36430.296750000001</v>
      </c>
      <c r="QD52" s="486"/>
      <c r="QE52" s="486">
        <f t="shared" ref="QE52:RJ52" si="3015">(QE47*0.5)*0.15</f>
        <v>190563.15</v>
      </c>
      <c r="QF52" s="486"/>
      <c r="QG52" s="486">
        <f>QG50*0.15</f>
        <v>191379.79499999995</v>
      </c>
      <c r="QH52" s="486"/>
      <c r="QI52" s="486">
        <f t="shared" ref="QI52:RJ52" si="3016">(QI47*0.5)*0.15</f>
        <v>23923.554659999994</v>
      </c>
      <c r="QJ52" s="486"/>
      <c r="QK52" s="486">
        <f t="shared" ref="QK52:RJ52" si="3017">(QK47*0.5)*0.15</f>
        <v>18612.928499999998</v>
      </c>
      <c r="QL52" s="486"/>
      <c r="QM52" s="486">
        <f t="shared" ref="QM52:RJ52" si="3018">(QM47*0.5)*0.15</f>
        <v>23923.554659999994</v>
      </c>
      <c r="QN52" s="486"/>
      <c r="QO52" s="486">
        <f t="shared" ref="QO52:RJ52" si="3019">(QO47*0.5)*0.15</f>
        <v>15764.566499999999</v>
      </c>
      <c r="QP52" s="486"/>
      <c r="QQ52" s="486">
        <f t="shared" ref="QQ52:RJ52" si="3020">(QQ47*0.5)*0.15</f>
        <v>23923.554659999994</v>
      </c>
      <c r="QR52" s="486"/>
      <c r="QS52" s="486">
        <f t="shared" ref="QS52:RJ52" si="3021">(QS47*0.5)*0.15</f>
        <v>15609.749249999999</v>
      </c>
      <c r="QT52" s="486"/>
      <c r="QU52" s="486">
        <f t="shared" ref="QU52:RJ52" si="3022">(QU47*0.5)*0.15</f>
        <v>23923.554659999994</v>
      </c>
      <c r="QV52" s="486"/>
      <c r="QW52" s="486">
        <f t="shared" ref="QW52:RJ52" si="3023">(QW47*0.5)*0.15</f>
        <v>14883.186749999999</v>
      </c>
      <c r="QX52" s="486"/>
      <c r="QY52" s="486">
        <f t="shared" ref="QY52:RJ52" si="3024">(QY47*0.5)*0.15</f>
        <v>27910.813769999997</v>
      </c>
      <c r="QZ52" s="486"/>
      <c r="RA52" s="486">
        <f t="shared" ref="RA52:RJ52" si="3025">(RA47*0.5)*0.15</f>
        <v>17312.624249999997</v>
      </c>
      <c r="RB52" s="486"/>
      <c r="RC52" s="486">
        <f t="shared" ref="RC52:RJ52" si="3026">(RC47*0.5)*0.15</f>
        <v>31898.072880000003</v>
      </c>
      <c r="RD52" s="486"/>
      <c r="RE52" s="486">
        <f t="shared" ref="RE52:RJ52" si="3027">(RE47*0.5)*0.15</f>
        <v>23660.079000000002</v>
      </c>
      <c r="RF52" s="486"/>
      <c r="RG52" s="486">
        <f t="shared" ref="RG52:RJ52" si="3028">(RG47*0.5)*0.15</f>
        <v>43859.850209999997</v>
      </c>
      <c r="RH52" s="486"/>
      <c r="RI52" s="486">
        <f t="shared" ref="RI52:RJ52" si="3029">(RI47*0.5)*0.15</f>
        <v>36730.943249999997</v>
      </c>
      <c r="RJ52" s="486"/>
      <c r="RK52" s="486">
        <f t="shared" ref="RK52:RN52" si="3030">(RK47*0.5)*0.15</f>
        <v>199362.95549999998</v>
      </c>
      <c r="RL52" s="486"/>
      <c r="RM52" s="486">
        <f>RM50*0.15</f>
        <v>165283.74375000002</v>
      </c>
      <c r="RN52" s="486"/>
      <c r="RO52" s="1496">
        <f t="shared" ref="RO52:TZ52" si="3031">(RO47*0.5)*0.15</f>
        <v>22930.911809999998</v>
      </c>
      <c r="RP52" s="486"/>
      <c r="RQ52" s="486">
        <f t="shared" ref="RQ52:UB52" si="3032">(RQ47*0.5)*0.15</f>
        <v>18013.015499999998</v>
      </c>
      <c r="RR52" s="486"/>
      <c r="RS52" s="486">
        <f t="shared" ref="RS52:UD52" si="3033">(RS47*0.5)*0.15</f>
        <v>22930.911809999994</v>
      </c>
      <c r="RT52" s="486"/>
      <c r="RU52" s="486">
        <f t="shared" ref="RU52:UF52" si="3034">(RU47*0.5)*0.15</f>
        <v>15401.835000000001</v>
      </c>
      <c r="RV52" s="486"/>
      <c r="RW52" s="486">
        <f t="shared" ref="RW52:UH52" si="3035">(RW47*0.5)*0.15</f>
        <v>22930.911809999994</v>
      </c>
      <c r="RX52" s="486"/>
      <c r="RY52" s="486">
        <f t="shared" ref="RY52:UJ52" si="3036">(RY47*0.5)*0.15</f>
        <v>19272.456749999998</v>
      </c>
      <c r="RZ52" s="486"/>
      <c r="SA52" s="486">
        <f t="shared" ref="SA52:UL52" si="3037">(SA47*0.5)*0.15</f>
        <v>22930.911809999994</v>
      </c>
      <c r="SB52" s="486"/>
      <c r="SC52" s="486">
        <f t="shared" ref="SC52:UN52" si="3038">(SC47*0.5)*0.15</f>
        <v>21418.67325</v>
      </c>
      <c r="SD52" s="486"/>
      <c r="SE52" s="486">
        <f t="shared" ref="SE52:UP52" si="3039">(SE47*0.5)*0.15</f>
        <v>26752.730445000005</v>
      </c>
      <c r="SF52" s="486"/>
      <c r="SG52" s="486">
        <f t="shared" ref="SG52:UR52" si="3040">(SG47*0.5)*0.15</f>
        <v>20207.771250000002</v>
      </c>
      <c r="SH52" s="486"/>
      <c r="SI52" s="486">
        <f t="shared" ref="SI52:UT52" si="3041">(SI47*0.5)*0.15</f>
        <v>30574.549079999997</v>
      </c>
      <c r="SJ52" s="486"/>
      <c r="SK52" s="486">
        <f t="shared" ref="SK52:UV52" si="3042">(SK47*0.5)*0.15</f>
        <v>25504.866749999997</v>
      </c>
      <c r="SL52" s="486"/>
      <c r="SM52" s="486">
        <f t="shared" ref="SM52:UX52" si="3043">(SM47*0.5)*0.15</f>
        <v>42040.004985</v>
      </c>
      <c r="SN52" s="486"/>
      <c r="SO52" s="486">
        <f t="shared" ref="SO52:UZ52" si="3044">(SO47*0.5)*0.15</f>
        <v>34364.870999999999</v>
      </c>
      <c r="SP52" s="486"/>
      <c r="SQ52" s="486">
        <f t="shared" ref="SQ52:VB52" si="3045">(SQ47*0.5)*0.15</f>
        <v>191090.93174999999</v>
      </c>
      <c r="SR52" s="486"/>
      <c r="SS52" s="486">
        <f>SS50*0.15</f>
        <v>179802.19950000005</v>
      </c>
      <c r="ST52" s="486"/>
      <c r="SU52" s="486">
        <f t="shared" ref="SU52:TZ52" si="3046">(SU47*0.5)*0.15</f>
        <v>21398.932529999998</v>
      </c>
      <c r="SV52" s="486"/>
      <c r="SW52" s="486">
        <f t="shared" ref="SW52:VH52" si="3047">(SW47*0.5)*0.15</f>
        <v>14908.69875</v>
      </c>
      <c r="SX52" s="486"/>
      <c r="SY52" s="486">
        <f t="shared" ref="SY52:VJ52" si="3048">(SY47*0.5)*0.15</f>
        <v>21398.932529999998</v>
      </c>
      <c r="SZ52" s="486"/>
      <c r="TA52" s="486">
        <f t="shared" ref="TA52:VL52" si="3049">(TA47*0.5)*0.15</f>
        <v>14263.758</v>
      </c>
      <c r="TB52" s="486"/>
      <c r="TC52" s="486">
        <f t="shared" ref="TC52:VN52" si="3050">(TC47*0.5)*0.15</f>
        <v>21398.932529999998</v>
      </c>
      <c r="TD52" s="486"/>
      <c r="TE52" s="486">
        <f t="shared" ref="TE52:VP52" si="3051">(TE47*0.5)*0.15</f>
        <v>14406.94275</v>
      </c>
      <c r="TF52" s="486"/>
      <c r="TG52" s="486">
        <f t="shared" ref="TG52:VR52" si="3052">(TG47*0.5)*0.15</f>
        <v>21398.932529999998</v>
      </c>
      <c r="TH52" s="486"/>
      <c r="TI52" s="486">
        <f t="shared" ref="TI52:VT52" si="3053">(TI47*0.5)*0.15</f>
        <v>14459.638499999999</v>
      </c>
      <c r="TJ52" s="486"/>
      <c r="TK52" s="486">
        <f t="shared" ref="TK52:VV52" si="3054">(TK47*0.5)*0.15</f>
        <v>24965.421285</v>
      </c>
      <c r="TL52" s="486"/>
      <c r="TM52" s="486">
        <f t="shared" ref="TM52:VX52" si="3055">(TM47*0.5)*0.15</f>
        <v>16782.673499999997</v>
      </c>
      <c r="TN52" s="486"/>
      <c r="TO52" s="486">
        <f t="shared" ref="TO52:VZ52" si="3056">(TO47*0.5)*0.15</f>
        <v>28531.910039999999</v>
      </c>
      <c r="TP52" s="486"/>
      <c r="TQ52" s="486">
        <f t="shared" ref="TQ52:WB52" si="3057">(TQ47*0.5)*0.15</f>
        <v>22839.136499999997</v>
      </c>
      <c r="TR52" s="486"/>
      <c r="TS52" s="486">
        <f t="shared" ref="TS52:WD52" si="3058">(TS47*0.5)*0.15</f>
        <v>39231.376304999998</v>
      </c>
      <c r="TT52" s="486"/>
      <c r="TU52" s="486">
        <f t="shared" ref="TU52:WF52" si="3059">(TU47*0.5)*0.15</f>
        <v>36491.091749999992</v>
      </c>
      <c r="TV52" s="486"/>
      <c r="TW52" s="486">
        <f>TW50*0.15</f>
        <v>195428.35799999998</v>
      </c>
      <c r="TX52" s="486"/>
      <c r="TY52" s="486">
        <f>TY50*0.15</f>
        <v>154376.48400000003</v>
      </c>
      <c r="TZ52" s="486"/>
      <c r="UA52" s="486">
        <f>UA50*0.15</f>
        <v>31141.123499999998</v>
      </c>
      <c r="UB52" s="486"/>
      <c r="UC52" s="486">
        <f>UC50*0.15</f>
        <v>19104.750749999999</v>
      </c>
      <c r="UD52" s="486"/>
      <c r="UE52" s="486">
        <f>UE50*0.15</f>
        <v>22263.287250000008</v>
      </c>
      <c r="UF52" s="486"/>
      <c r="UG52" s="486">
        <f>UG50*0.15</f>
        <v>17131.252499999999</v>
      </c>
      <c r="UH52" s="486"/>
      <c r="UI52" s="486">
        <f>UI50*0.15</f>
        <v>24750.27075</v>
      </c>
      <c r="UJ52" s="486"/>
      <c r="UK52" s="486">
        <f>UK50*0.15</f>
        <v>17950.105500000001</v>
      </c>
      <c r="UL52" s="486"/>
      <c r="UM52" s="486">
        <f>UM50*0.15</f>
        <v>22996.24425</v>
      </c>
      <c r="UN52" s="486"/>
      <c r="UO52" s="486">
        <f>UO50*0.15</f>
        <v>18423.581249999999</v>
      </c>
      <c r="UP52" s="486"/>
      <c r="UQ52" s="486">
        <f>UQ50*0.15</f>
        <v>25955.723249999999</v>
      </c>
      <c r="UR52" s="486"/>
      <c r="US52" s="486">
        <f>US50*0.15</f>
        <v>21406.744500000001</v>
      </c>
      <c r="UT52" s="486"/>
      <c r="UU52" s="486">
        <f>UU50*0.15</f>
        <v>34884.551999999996</v>
      </c>
      <c r="UV52" s="486"/>
      <c r="UW52" s="486">
        <f>UW50*0.15</f>
        <v>31484.1345</v>
      </c>
      <c r="UX52" s="486"/>
      <c r="UY52" s="486">
        <f>UY50*0.15</f>
        <v>49592.842500000006</v>
      </c>
      <c r="UZ52" s="486"/>
      <c r="VA52" s="486">
        <f>VA50*0.15</f>
        <v>42864.610500000003</v>
      </c>
      <c r="VB52" s="486"/>
      <c r="VC52" s="486">
        <f>VC50*0.15</f>
        <v>211584.0435</v>
      </c>
      <c r="VD52" s="486"/>
      <c r="VE52" s="486">
        <f>VE50*0.15</f>
        <v>168365.17949999994</v>
      </c>
      <c r="VF52" s="486"/>
      <c r="VG52" s="486">
        <f t="shared" ref="VG52:XR52" si="3060">VG50*0.15</f>
        <v>29241.112499999996</v>
      </c>
      <c r="VH52" s="486"/>
      <c r="VI52" s="486">
        <f t="shared" ref="VI52:XT52" si="3061">VI50*0.15</f>
        <v>21012.853500000001</v>
      </c>
      <c r="VJ52" s="486"/>
      <c r="VK52" s="486">
        <f t="shared" ref="VK52:XV52" si="3062">VK50*0.15</f>
        <v>21045.042750000001</v>
      </c>
      <c r="VL52" s="486"/>
      <c r="VM52" s="486">
        <f t="shared" ref="VM52:XX52" si="3063">VM50*0.15</f>
        <v>17785.016249999997</v>
      </c>
      <c r="VN52" s="486"/>
      <c r="VO52" s="486">
        <f t="shared" ref="VO52:XZ52" si="3064">VO50*0.15</f>
        <v>19741.19025</v>
      </c>
      <c r="VP52" s="486"/>
      <c r="VQ52" s="486">
        <f t="shared" ref="VQ52:YB52" si="3065">VQ50*0.15</f>
        <v>16551.221249999999</v>
      </c>
      <c r="VR52" s="486"/>
      <c r="VS52" s="486">
        <f t="shared" ref="VS52:YD52" si="3066">VS50*0.15</f>
        <v>21732.860999999994</v>
      </c>
      <c r="VT52" s="486"/>
      <c r="VU52" s="486">
        <f t="shared" ref="VU52:YF52" si="3067">VU50*0.15</f>
        <v>18492.740250000003</v>
      </c>
      <c r="VV52" s="486"/>
      <c r="VW52" s="486">
        <f t="shared" ref="VW52:YH52" si="3068">VW50*0.15</f>
        <v>23480.331750000001</v>
      </c>
      <c r="VX52" s="486"/>
      <c r="VY52" s="486">
        <f t="shared" ref="VY52:YJ52" si="3069">VY50*0.15</f>
        <v>20894.60025</v>
      </c>
      <c r="VZ52" s="486"/>
      <c r="WA52" s="486">
        <f t="shared" ref="WA52:YL52" si="3070">WA50*0.15</f>
        <v>29913.674999999999</v>
      </c>
      <c r="WB52" s="486"/>
      <c r="WC52" s="486">
        <f t="shared" ref="WC52:YN52" si="3071">WC50*0.15</f>
        <v>28527.4005</v>
      </c>
      <c r="WD52" s="486"/>
      <c r="WE52" s="486">
        <f t="shared" ref="WE52:YP52" si="3072">WE50*0.15</f>
        <v>48056.621249999997</v>
      </c>
      <c r="WF52" s="486"/>
      <c r="WG52" s="486">
        <f t="shared" ref="WG52:YR52" si="3073">WG50*0.15</f>
        <v>45721.233</v>
      </c>
      <c r="WH52" s="486"/>
      <c r="WI52" s="486">
        <f t="shared" ref="WI52:YT52" si="3074">WI50*0.15</f>
        <v>91760.206499999986</v>
      </c>
      <c r="WJ52" s="486"/>
      <c r="WK52" s="486">
        <f t="shared" ref="WK52:YV52" si="3075">WK50*0.15</f>
        <v>168985.06499999994</v>
      </c>
      <c r="WL52" s="486"/>
      <c r="WM52" s="486">
        <f t="shared" ref="WM52:YX52" si="3076">WM50*0.15</f>
        <v>26131.120500000005</v>
      </c>
      <c r="WN52" s="486"/>
      <c r="WO52" s="486">
        <f t="shared" ref="WO52:YZ52" si="3077">WO50*0.15</f>
        <v>22946.975250000003</v>
      </c>
      <c r="WP52" s="486"/>
      <c r="WQ52" s="486">
        <f t="shared" ref="WQ52:ZB52" si="3078">WQ50*0.15</f>
        <v>23578.962750000002</v>
      </c>
      <c r="WR52" s="486"/>
      <c r="WS52" s="486">
        <f t="shared" ref="WS52:ZD52" si="3079">WS50*0.15</f>
        <v>18894.673499999997</v>
      </c>
      <c r="WT52" s="486"/>
      <c r="WU52" s="486">
        <f t="shared" ref="WU52:ZF52" si="3080">WU50*0.15</f>
        <v>24664.833750000005</v>
      </c>
      <c r="WV52" s="486"/>
      <c r="WW52" s="486">
        <f t="shared" ref="WW52:ZH52" si="3081">WW50*0.15</f>
        <v>18678.132000000001</v>
      </c>
      <c r="WX52" s="486"/>
      <c r="WY52" s="486">
        <f t="shared" ref="WY52:ZJ52" si="3082">WY50*0.15</f>
        <v>25397.325750000004</v>
      </c>
      <c r="WZ52" s="486"/>
      <c r="XA52" s="486">
        <f t="shared" ref="XA52:ZL52" si="3083">XA50*0.15</f>
        <v>19621.824000000001</v>
      </c>
      <c r="XB52" s="486"/>
      <c r="XC52" s="486">
        <f t="shared" ref="XC52:ZN52" si="3084">XC50*0.15</f>
        <v>25672.32675</v>
      </c>
      <c r="XD52" s="486"/>
      <c r="XE52" s="486">
        <f t="shared" ref="XE52:ZP52" si="3085">XE50*0.15</f>
        <v>23659.730250000001</v>
      </c>
      <c r="XF52" s="486"/>
      <c r="XG52" s="486">
        <f t="shared" ref="XG52:ZR52" si="3086">XG50*0.15</f>
        <v>32840.383499999989</v>
      </c>
      <c r="XH52" s="486"/>
      <c r="XI52" s="486">
        <f t="shared" ref="XI52:ZT52" si="3087">XI50*0.15</f>
        <v>32790.016499999998</v>
      </c>
      <c r="XJ52" s="486"/>
      <c r="XK52" s="486">
        <f t="shared" ref="XK52:ZV52" si="3088">XK50*0.15</f>
        <v>51706.465499999991</v>
      </c>
      <c r="XL52" s="486"/>
      <c r="XM52" s="486">
        <f t="shared" ref="XM52:ZX52" si="3089">XM50*0.15</f>
        <v>52100.710500000001</v>
      </c>
      <c r="XN52" s="486"/>
      <c r="XO52" s="486">
        <f t="shared" ref="XO52:ZZ52" si="3090">XO50*0.15</f>
        <v>209991.4185</v>
      </c>
      <c r="XP52" s="486"/>
      <c r="XQ52" s="486">
        <f t="shared" ref="XQ52:AAB52" si="3091">XQ50*0.15</f>
        <v>188692.06199999998</v>
      </c>
      <c r="XR52" s="486"/>
      <c r="XS52" s="486">
        <f t="shared" ref="XS52:AAD52" si="3092">XS50*0.15</f>
        <v>33460.719749999997</v>
      </c>
      <c r="XT52" s="486"/>
      <c r="XU52" s="486">
        <f t="shared" ref="XU52:AAF52" si="3093">XU50*0.15</f>
        <v>23995.635749999994</v>
      </c>
      <c r="XV52" s="486"/>
      <c r="XW52" s="486">
        <f t="shared" ref="XW52:AAH52" si="3094">XW50*0.15</f>
        <v>22766.475750000012</v>
      </c>
      <c r="XX52" s="486"/>
      <c r="XY52" s="486">
        <f t="shared" ref="XY52:AAJ52" si="3095">XY50*0.15</f>
        <v>20271.653249999996</v>
      </c>
      <c r="XZ52" s="486"/>
      <c r="YA52" s="486">
        <f t="shared" ref="YA52:AAL52" si="3096">YA50*0.15</f>
        <v>23821.150499999996</v>
      </c>
      <c r="YB52" s="486"/>
      <c r="YC52" s="486">
        <f t="shared" ref="YC52:AAN52" si="3097">YC50*0.15</f>
        <v>19013.041500000003</v>
      </c>
      <c r="YD52" s="486"/>
      <c r="YE52" s="486">
        <f t="shared" ref="YE52:AAP52" si="3098">YE50*0.15</f>
        <v>23840.375250000001</v>
      </c>
      <c r="YF52" s="486"/>
      <c r="YG52" s="486">
        <f t="shared" ref="YG52:AAR52" si="3099">YG50*0.15</f>
        <v>19630.562249999999</v>
      </c>
      <c r="YH52" s="486"/>
      <c r="YI52" s="486">
        <f t="shared" ref="YI52:AAT52" si="3100">YI50*0.15</f>
        <v>27407.620499999986</v>
      </c>
      <c r="YJ52" s="486"/>
      <c r="YK52" s="486">
        <f t="shared" ref="YK52:AAV52" si="3101">YK50*0.15</f>
        <v>23922.193500000001</v>
      </c>
      <c r="YL52" s="486"/>
      <c r="YM52" s="486">
        <f t="shared" ref="YM52:AAX52" si="3102">YM50*0.15</f>
        <v>37149.575250000002</v>
      </c>
      <c r="YN52" s="486"/>
      <c r="YO52" s="486">
        <f t="shared" ref="YO52:AAZ52" si="3103">YO50*0.15</f>
        <v>33017.575499999992</v>
      </c>
      <c r="YP52" s="486"/>
      <c r="YQ52" s="486">
        <f t="shared" ref="YQ52:ABB52" si="3104">YQ50*0.15</f>
        <v>59292.503999999994</v>
      </c>
      <c r="YR52" s="486"/>
      <c r="YS52" s="486">
        <f t="shared" ref="YS52:ABD52" si="3105">YS50*0.15</f>
        <v>51996.347249999999</v>
      </c>
      <c r="YT52" s="486"/>
      <c r="YU52" s="486">
        <f t="shared" ref="YU52:ABF52" si="3106">YU50*0.15</f>
        <v>227738.42099999997</v>
      </c>
      <c r="YV52" s="486"/>
      <c r="YW52" s="486">
        <f t="shared" ref="YW52:ABH52" si="3107">YW50*0.15</f>
        <v>191847.00899999999</v>
      </c>
      <c r="YX52" s="486"/>
      <c r="YY52" s="486">
        <f t="shared" ref="YY52:ABJ52" si="3108">YY50*0.15</f>
        <v>33280.566749999998</v>
      </c>
      <c r="YZ52" s="486"/>
      <c r="ZA52" s="486">
        <f t="shared" ref="ZA52:ABL52" si="3109">ZA50*0.15</f>
        <v>27608.286000000011</v>
      </c>
      <c r="ZB52" s="486"/>
      <c r="ZC52" s="486">
        <f t="shared" ref="ZC52:ABN52" si="3110">ZC50*0.15</f>
        <v>27581.170500000004</v>
      </c>
      <c r="ZD52" s="486"/>
      <c r="ZE52" s="486">
        <f t="shared" ref="ZE52:ABP52" si="3111">ZE50*0.15</f>
        <v>24054.606749999992</v>
      </c>
      <c r="ZF52" s="486"/>
      <c r="ZG52" s="486">
        <f t="shared" ref="ZG52:ABR52" si="3112">ZG50*0.15</f>
        <v>32718.708000000002</v>
      </c>
      <c r="ZH52" s="486"/>
      <c r="ZI52" s="486">
        <f t="shared" ref="ZI52:ABT52" si="3113">ZI50*0.15</f>
        <v>28658.327999999998</v>
      </c>
      <c r="ZJ52" s="486"/>
      <c r="ZK52" s="486">
        <f t="shared" ref="ZK52:ABV52" si="3114">ZK50*0.15</f>
        <v>42718.44000000001</v>
      </c>
      <c r="ZL52" s="486">
        <f t="shared" si="3114"/>
        <v>27753.934288499997</v>
      </c>
      <c r="ZM52" s="486">
        <f t="shared" ref="ZM52:ABX52" si="3115">ZM50*0.15</f>
        <v>32625.420749999997</v>
      </c>
      <c r="ZN52" s="486"/>
      <c r="ZO52" s="486">
        <f t="shared" ref="ZO52:ABZ52" si="3116">ZO50*0.15</f>
        <v>49569.519749999992</v>
      </c>
      <c r="ZP52" s="486">
        <f t="shared" ref="ZP52" si="3117">ZP50*0.15</f>
        <v>32379.590003249996</v>
      </c>
      <c r="ZQ52" s="486">
        <f t="shared" ref="ZQ52:ACB52" si="3118">ZQ50*0.15</f>
        <v>37094.474999999999</v>
      </c>
      <c r="ZR52" s="486"/>
      <c r="ZS52" s="486">
        <f t="shared" ref="ZS52:ACD52" si="3119">ZS50*0.15</f>
        <v>38489.159250000004</v>
      </c>
      <c r="ZT52" s="486"/>
      <c r="ZU52" s="486">
        <f t="shared" ref="ZU52:ACF52" si="3120">ZU50*0.15</f>
        <v>50998.421249999992</v>
      </c>
      <c r="ZV52" s="486"/>
      <c r="ZW52" s="486">
        <f t="shared" ref="ZW52:ACH52" si="3121">ZW50*0.15</f>
        <v>45496.358250000005</v>
      </c>
      <c r="ZX52" s="486"/>
      <c r="ZY52" s="486">
        <f t="shared" ref="ZY52:ACJ52" si="3122">ZY50*0.15</f>
        <v>72633.52800000002</v>
      </c>
      <c r="ZZ52" s="486"/>
      <c r="AAA52" s="486">
        <f t="shared" ref="AAA52:ACL52" si="3123">AAA50*0.15</f>
        <v>269853.92249999999</v>
      </c>
      <c r="AAB52" s="486"/>
      <c r="AAC52" s="486">
        <f t="shared" ref="AAC52:ACN52" si="3124">AAC50*0.15</f>
        <v>273673.06574999995</v>
      </c>
      <c r="AAD52" s="486"/>
      <c r="AAE52" s="486">
        <f t="shared" ref="AAE52:ACP52" si="3125">AAE50*0.15</f>
        <v>29465.479500000009</v>
      </c>
      <c r="AAF52" s="486"/>
      <c r="AAG52" s="486">
        <f t="shared" ref="AAG52:ACR52" si="3126">AAG50*0.15</f>
        <v>32540.996999999996</v>
      </c>
      <c r="AAH52" s="486"/>
      <c r="AAI52" s="486">
        <f t="shared" ref="AAI52:ACT52" si="3127">AAI50*0.15</f>
        <v>23004.447749999992</v>
      </c>
      <c r="AAJ52" s="486"/>
      <c r="AAK52" s="486">
        <f t="shared" ref="AAK52:ACV52" si="3128">AAK50*0.15</f>
        <v>25785.986250000002</v>
      </c>
      <c r="AAL52" s="486"/>
      <c r="AAM52" s="486">
        <f t="shared" ref="AAM52:ACX52" si="3129">AAM50*0.15</f>
        <v>23166.943499999998</v>
      </c>
      <c r="AAN52" s="486"/>
      <c r="AAO52" s="486">
        <f t="shared" ref="AAO52:ACZ52" si="3130">AAO50*0.15</f>
        <v>19216.53</v>
      </c>
      <c r="AAP52" s="486"/>
      <c r="AAQ52" s="486">
        <f t="shared" ref="AAQ52:ADB52" si="3131">AAQ50*0.15</f>
        <v>19831.638749999998</v>
      </c>
      <c r="AAR52" s="486">
        <f t="shared" ref="AAR52" si="3132">AAR50*0.15</f>
        <v>21690.859320899999</v>
      </c>
      <c r="AAS52" s="486">
        <f t="shared" ref="AAS52:ADD52" si="3133">AAS50*0.15</f>
        <v>18721.05675</v>
      </c>
      <c r="AAT52" s="486"/>
      <c r="AAU52" s="486">
        <f t="shared" ref="AAU52:ADF52" si="3134">AAU50*0.15</f>
        <v>23428.760250000003</v>
      </c>
      <c r="AAV52" s="486">
        <f t="shared" ref="AAV52" si="3135">AAV50*0.15</f>
        <v>25306.002541050002</v>
      </c>
      <c r="AAW52" s="486">
        <f t="shared" ref="AAW52:ADH52" si="3136">AAW50*0.15</f>
        <v>20226.670500000004</v>
      </c>
      <c r="AAX52" s="486"/>
      <c r="AAY52" s="486">
        <f t="shared" ref="AAY52:ADJ52" si="3137">AAY50*0.15</f>
        <v>28747.802999999996</v>
      </c>
      <c r="AAZ52" s="486"/>
      <c r="ABA52" s="486">
        <f t="shared" ref="ABA52:ADL52" si="3138">ABA50*0.15</f>
        <v>28886.39775</v>
      </c>
      <c r="ABB52" s="486"/>
      <c r="ABC52" s="486">
        <f t="shared" ref="ABC52:ADN52" si="3139">ABC50*0.15</f>
        <v>51742.761000000013</v>
      </c>
      <c r="ABD52" s="486"/>
      <c r="ABE52" s="486">
        <f t="shared" ref="ABE52:ADP52" si="3140">ABE50*0.15</f>
        <v>47708.770500000006</v>
      </c>
      <c r="ABF52" s="486"/>
      <c r="ABG52" s="486">
        <f t="shared" ref="ABG52:ADR52" si="3141">ABG50*0.15</f>
        <v>199387.83374999996</v>
      </c>
      <c r="ABH52" s="486"/>
      <c r="ABI52" s="486">
        <f t="shared" ref="ABI52:ADT52" si="3142">ABI50*0.15</f>
        <v>193086.40875</v>
      </c>
      <c r="ABJ52" s="486"/>
      <c r="ABK52" s="486">
        <f t="shared" ref="ABK52:ADV52" si="3143">ABK50*0.15</f>
        <v>30448.184999999994</v>
      </c>
      <c r="ABL52" s="486"/>
      <c r="ABM52" s="486">
        <f t="shared" ref="ABM52:ADX52" si="3144">ABM50*0.15</f>
        <v>25287.579750000001</v>
      </c>
      <c r="ABN52" s="486"/>
      <c r="ABO52" s="486">
        <f t="shared" ref="ABO52:ADZ52" si="3145">ABO50*0.15</f>
        <v>21355.19025</v>
      </c>
      <c r="ABP52" s="486"/>
      <c r="ABQ52" s="486">
        <f t="shared" ref="ABQ52:AEB52" si="3146">ABQ50*0.15</f>
        <v>20659.910250000001</v>
      </c>
      <c r="ABR52" s="486"/>
      <c r="ABS52" s="486">
        <f t="shared" ref="ABS52:AED52" si="3147">ABS50*0.15</f>
        <v>17197.430999999993</v>
      </c>
      <c r="ABT52" s="486"/>
      <c r="ABU52" s="486">
        <f t="shared" ref="ABU52:AEF52" si="3148">ABU50*0.15</f>
        <v>19269.917249999999</v>
      </c>
      <c r="ABV52" s="486"/>
      <c r="ABW52" s="486">
        <f t="shared" ref="ABW52:AEH52" si="3149">ABW50*0.15</f>
        <v>22352.897249999995</v>
      </c>
      <c r="ABX52" s="486"/>
      <c r="ABY52" s="486">
        <f t="shared" ref="ABY52:AEJ52" si="3150">ABY50*0.15</f>
        <v>22580.008500000007</v>
      </c>
      <c r="ABZ52" s="486"/>
      <c r="ACA52" s="486">
        <f t="shared" ref="ACA52:AEL52" si="3151">ACA50*0.15</f>
        <v>31517.868000000002</v>
      </c>
      <c r="ACB52" s="486"/>
      <c r="ACC52" s="486">
        <f t="shared" ref="ACC52:AEN52" si="3152">ACC50*0.15</f>
        <v>25272.65625</v>
      </c>
      <c r="ACD52" s="486"/>
      <c r="ACE52" s="486">
        <f t="shared" ref="ACE52:AEP52" si="3153">ACE50*0.15</f>
        <v>51340.400249999984</v>
      </c>
      <c r="ACF52" s="486"/>
      <c r="ACG52" s="486">
        <f t="shared" ref="ACG52:AER52" si="3154">ACG50*0.15</f>
        <v>37487.100750000005</v>
      </c>
      <c r="ACH52" s="486"/>
      <c r="ACI52" s="486">
        <f t="shared" ref="ACI52:AET52" si="3155">ACI50*0.15</f>
        <v>82901.858999999982</v>
      </c>
      <c r="ACJ52" s="486"/>
      <c r="ACK52" s="486">
        <f t="shared" ref="ACK52:AEV52" si="3156">ACK50*0.15</f>
        <v>62296.72800000001</v>
      </c>
      <c r="ACL52" s="486"/>
      <c r="ACM52" s="486">
        <f t="shared" ref="ACM52:AEX52" si="3157">ACM50*0.15</f>
        <v>257113.83074999996</v>
      </c>
      <c r="ACN52" s="486"/>
      <c r="ACO52" s="486">
        <f t="shared" ref="ACO52:AEZ52" si="3158">ACO50*0.15</f>
        <v>212853.90074999997</v>
      </c>
      <c r="ACP52" s="486"/>
      <c r="ACQ52" s="486">
        <f t="shared" ref="ACQ52:AFB52" si="3159">ACQ50*0.15</f>
        <v>57841.263000000006</v>
      </c>
      <c r="ACR52" s="486"/>
      <c r="ACS52" s="486">
        <f t="shared" ref="ACS52:AFD52" si="3160">ACS50*0.15</f>
        <v>39213.371250000004</v>
      </c>
      <c r="ACT52" s="486"/>
      <c r="ACU52" s="486">
        <f t="shared" ref="ACU52:AFF52" si="3161">ACU50*0.15</f>
        <v>58221.913499999988</v>
      </c>
      <c r="ACV52" s="486"/>
      <c r="ACW52" s="486">
        <f t="shared" ref="ACW52:AFH52" si="3162">ACW50*0.15</f>
        <v>40892.583749999998</v>
      </c>
      <c r="ACX52" s="486"/>
      <c r="ACY52" s="486">
        <f t="shared" ref="ACY52:AFJ52" si="3163">ACY50*0.15</f>
        <v>29045.697</v>
      </c>
      <c r="ACZ52" s="486"/>
      <c r="ADA52" s="486">
        <f t="shared" ref="ADA52:AFL52" si="3164">ADA50*0.15</f>
        <v>26504.6505</v>
      </c>
      <c r="ADB52" s="486"/>
      <c r="ADC52" s="486">
        <f t="shared" ref="ADC52:AFN52" si="3165">ADC50*0.15</f>
        <v>24813.088499999998</v>
      </c>
      <c r="ADD52" s="486"/>
      <c r="ADE52" s="486">
        <f t="shared" ref="ADE52:AFP52" si="3166">ADE50*0.15</f>
        <v>23728.8495</v>
      </c>
      <c r="ADF52" s="486"/>
      <c r="ADG52" s="486">
        <f t="shared" ref="ADG52:AFR52" si="3167">ADG50*0.15</f>
        <v>31211.604749999999</v>
      </c>
      <c r="ADH52" s="486"/>
      <c r="ADI52" s="486">
        <f t="shared" ref="ADI52:AFT52" si="3168">ADI50*0.15</f>
        <v>26905.353000000003</v>
      </c>
      <c r="ADJ52" s="486"/>
      <c r="ADK52" s="486">
        <f t="shared" ref="ADK52:AFV52" si="3169">ADK50*0.15</f>
        <v>39992.316749999998</v>
      </c>
      <c r="ADL52" s="486"/>
      <c r="ADM52" s="486">
        <f t="shared" ref="ADM52:AFX52" si="3170">ADM50*0.15</f>
        <v>34509.565499999997</v>
      </c>
      <c r="ADN52" s="486"/>
      <c r="ADO52" s="486">
        <f t="shared" ref="ADO52:AET52" si="3171">ADO50*0.15</f>
        <v>60580.113749999997</v>
      </c>
      <c r="ADP52" s="486"/>
      <c r="ADQ52" s="486">
        <f t="shared" ref="ADQ52:AEV52" si="3172">ADQ50*0.15</f>
        <v>52476.215250000001</v>
      </c>
      <c r="ADR52" s="486"/>
      <c r="ADS52" s="486">
        <f t="shared" ref="ADS52:AEX52" si="3173">ADS50*0.15</f>
        <v>293228.92875000002</v>
      </c>
      <c r="ADT52" s="486"/>
      <c r="ADU52" s="486">
        <f t="shared" ref="ADU52:AEZ52" si="3174">ADU50*0.15</f>
        <v>244230.58874999997</v>
      </c>
      <c r="ADV52" s="486"/>
      <c r="ADW52" s="486">
        <f t="shared" ref="ADW52:AFB52" si="3175">ADW50*0.15</f>
        <v>37461.321750000003</v>
      </c>
      <c r="ADX52" s="486"/>
      <c r="ADY52" s="486">
        <f t="shared" ref="ADY52:AFD52" si="3176">ADY50*0.15</f>
        <v>32023.202250000002</v>
      </c>
      <c r="ADZ52" s="486"/>
      <c r="AEA52" s="486">
        <f t="shared" ref="AEA52:AFF52" si="3177">AEA50*0.15</f>
        <v>32645.041499999992</v>
      </c>
      <c r="AEB52" s="486"/>
      <c r="AEC52" s="486">
        <f t="shared" ref="AEC52:AFH52" si="3178">AEC50*0.15</f>
        <v>28595.7</v>
      </c>
      <c r="AED52" s="486"/>
      <c r="AEE52" s="486">
        <f t="shared" ref="AEE52:AFJ52" si="3179">AEE50*0.15</f>
        <v>31004.610750000007</v>
      </c>
      <c r="AEF52" s="486"/>
      <c r="AEG52" s="486">
        <f t="shared" ref="AEG52:AFL52" si="3180">AEG50*0.15</f>
        <v>29226.6</v>
      </c>
      <c r="AEH52" s="486"/>
      <c r="AEI52" s="486">
        <f t="shared" ref="AEI52:AFN52" si="3181">AEI50*0.15</f>
        <v>29127.876000000004</v>
      </c>
      <c r="AEJ52" s="486"/>
      <c r="AEK52" s="486">
        <f t="shared" ref="AEK52:AFP52" si="3182">AEK50*0.15</f>
        <v>31724.774999999998</v>
      </c>
      <c r="AEL52" s="486"/>
      <c r="AEM52" s="486">
        <f t="shared" ref="AEM52:AFR52" si="3183">AEM50*0.15</f>
        <v>38969.117250000003</v>
      </c>
      <c r="AEN52" s="486"/>
      <c r="AEO52" s="486">
        <f t="shared" ref="AEO52:AFT52" si="3184">AEO50*0.15</f>
        <v>32343.75</v>
      </c>
      <c r="AEP52" s="486"/>
      <c r="AEQ52" s="486">
        <f t="shared" ref="AEQ52:AFV52" si="3185">AEQ50*0.15</f>
        <v>56251.299000000006</v>
      </c>
      <c r="AER52" s="486"/>
      <c r="AES52" s="486">
        <f t="shared" ref="AES52:AFX52" si="3186">AES50*0.15</f>
        <v>28425.224999999999</v>
      </c>
      <c r="AET52" s="486"/>
      <c r="AEU52" s="486">
        <f t="shared" ref="AEU52:AFZ52" si="3187">AEU50*0.15</f>
        <v>87339.097499999989</v>
      </c>
      <c r="AEV52" s="486"/>
      <c r="AEW52" s="486">
        <f t="shared" ref="AEW52:AGB52" si="3188">AEW50*0.15</f>
        <v>67907.774999999994</v>
      </c>
      <c r="AEX52" s="486"/>
      <c r="AEY52" s="486">
        <f t="shared" ref="AEY52:AGD52" si="3189">AEY50*0.15</f>
        <v>307519.98599999998</v>
      </c>
      <c r="AEZ52" s="486"/>
      <c r="AFA52" s="486">
        <f t="shared" ref="AFA52:AGF52" si="3190">AFA50*0.15</f>
        <v>250247.02724999998</v>
      </c>
      <c r="AFB52" s="486"/>
      <c r="AFC52" s="486">
        <f t="shared" ref="AFC52:AGH52" si="3191">AFC50*0.15</f>
        <v>51320.014499999997</v>
      </c>
      <c r="AFD52" s="486"/>
      <c r="AFE52" s="486">
        <f t="shared" ref="AFE52:AGJ52" si="3192">AFE50*0.15</f>
        <v>36570.6</v>
      </c>
      <c r="AFF52" s="486"/>
      <c r="AFG52" s="486">
        <f t="shared" ref="AFG52:AGL52" si="3193">AFG50*0.15</f>
        <v>46041.201749999993</v>
      </c>
      <c r="AFH52" s="486"/>
      <c r="AFI52" s="486">
        <f t="shared" ref="AFI52:AGN52" si="3194">AFI50*0.15</f>
        <v>34797.134250000003</v>
      </c>
      <c r="AFJ52" s="486"/>
      <c r="AFK52" s="486">
        <f t="shared" ref="AFK52:AGP52" si="3195">AFK50*0.15</f>
        <v>44296.688249999999</v>
      </c>
      <c r="AFL52" s="486"/>
      <c r="AFM52" s="486">
        <f t="shared" ref="AFM52:AGR52" si="3196">AFM50*0.15</f>
        <v>39739.140749999999</v>
      </c>
      <c r="AFN52" s="486"/>
      <c r="AFO52" s="486">
        <f t="shared" ref="AFO52:AGT52" si="3197">AFO50*0.15</f>
        <v>49051.094999999994</v>
      </c>
      <c r="AFP52" s="486"/>
      <c r="AFQ52" s="486">
        <f t="shared" ref="AFQ52:AGV52" si="3198">AFQ50*0.15</f>
        <v>41166.801749999991</v>
      </c>
      <c r="AFR52" s="486"/>
      <c r="AFS52" s="486">
        <f t="shared" ref="AFS52:AGX52" si="3199">AFS50*0.15</f>
        <v>55571.606250000004</v>
      </c>
      <c r="AFT52" s="486"/>
      <c r="AFU52" s="486">
        <f t="shared" ref="AFU52:AGZ52" si="3200">AFU50*0.15</f>
        <v>48772.706249999996</v>
      </c>
      <c r="AFV52" s="486"/>
      <c r="AFW52" s="486">
        <f t="shared" ref="AFW52:AHB52" si="3201">AFW50*0.15</f>
        <v>69618.384749999997</v>
      </c>
      <c r="AFX52" s="486"/>
      <c r="AFY52" s="486">
        <f t="shared" ref="AFY52:AHD52" si="3202">AFY50*0.15</f>
        <v>57570.085499999994</v>
      </c>
      <c r="AFZ52" s="486"/>
      <c r="AGA52" s="486">
        <f t="shared" ref="AGA52:AHF52" si="3203">AGA50*0.15</f>
        <v>108736.7355</v>
      </c>
      <c r="AGB52" s="486"/>
      <c r="AGC52" s="486">
        <f t="shared" ref="AGC52:AHH52" si="3204">AGC50*0.15</f>
        <v>93118.078500000003</v>
      </c>
      <c r="AGD52" s="486"/>
      <c r="AGE52" s="486">
        <f t="shared" ref="AGE52:AHJ52" si="3205">AGE50*0.15</f>
        <v>415100.7772500001</v>
      </c>
      <c r="AGF52" s="486"/>
      <c r="AGG52" s="486">
        <f t="shared" ref="AGG52:AHL52" si="3206">AGG50*0.15</f>
        <v>351734.54699999996</v>
      </c>
      <c r="AGH52" s="486"/>
      <c r="AGI52" s="486">
        <f t="shared" ref="AGI52:AHN52" si="3207">AGI50*0.15</f>
        <v>71685.488250000009</v>
      </c>
      <c r="AGJ52" s="486"/>
      <c r="AGK52" s="486">
        <f t="shared" ref="AGK52:AHP52" si="3208">AGK50*0.15</f>
        <v>49453.482750000003</v>
      </c>
      <c r="AGL52" s="486"/>
      <c r="AGM52" s="486">
        <f t="shared" ref="AGM52:AHR52" si="3209">AGM50*0.15</f>
        <v>46605.299249999996</v>
      </c>
      <c r="AGN52" s="486"/>
      <c r="AGO52" s="486">
        <f t="shared" ref="AGO52:AHT52" si="3210">AGO50*0.15</f>
        <v>44652.145499999984</v>
      </c>
      <c r="AGP52" s="486"/>
      <c r="AGQ52" s="486">
        <f t="shared" ref="AGQ52:AHV52" si="3211">AGQ50*0.15</f>
        <v>57242.745749999995</v>
      </c>
      <c r="AGR52" s="486"/>
      <c r="AGS52" s="486">
        <f t="shared" ref="AGS52:AHX52" si="3212">AGS50*0.15</f>
        <v>43037.258249999999</v>
      </c>
      <c r="AGT52" s="486"/>
      <c r="AGU52" s="486">
        <f t="shared" ref="AGU52:AHZ52" si="3213">AGU50*0.15</f>
        <v>61895.804999999993</v>
      </c>
      <c r="AGV52" s="486"/>
      <c r="AGW52" s="486">
        <f t="shared" ref="AGW52:AIB52" si="3214">AGW50*0.15</f>
        <v>50595.279750000009</v>
      </c>
      <c r="AGX52" s="486"/>
      <c r="AGY52" s="486">
        <f t="shared" ref="AGY52:AID52" si="3215">AGY50*0.15</f>
        <v>71419.842749999996</v>
      </c>
      <c r="AGZ52" s="486"/>
      <c r="AHA52" s="486">
        <f t="shared" ref="AHA52:AIF52" si="3216">AHA50*0.15</f>
        <v>51439.834500000012</v>
      </c>
      <c r="AHB52" s="486"/>
      <c r="AHC52" s="486">
        <f t="shared" ref="AHC52:AIH52" si="3217">AHC50*0.15</f>
        <v>87198.398249999998</v>
      </c>
      <c r="AHD52" s="486"/>
      <c r="AHE52" s="486">
        <f t="shared" ref="AHE52:AIJ52" si="3218">AHE50*0.15</f>
        <v>64107.993749999994</v>
      </c>
      <c r="AHF52" s="486"/>
      <c r="AHG52" s="486">
        <f t="shared" ref="AHG52:AIL52" si="3219">AHG50*0.15</f>
        <v>120120.70574999996</v>
      </c>
      <c r="AHH52" s="486"/>
      <c r="AHI52" s="486">
        <f t="shared" ref="AHI52:AIN52" si="3220">AHI50*0.15</f>
        <v>96447.51</v>
      </c>
      <c r="AHJ52" s="486"/>
      <c r="AHK52" s="486">
        <f t="shared" ref="AHK52:AIP52" si="3221">AHK50*0.15</f>
        <v>502457.71124999999</v>
      </c>
      <c r="AHL52" s="486"/>
      <c r="AHM52" s="486">
        <f t="shared" ref="AHM52:AIR52" si="3222">AHM50*0.15</f>
        <v>399733.50449999998</v>
      </c>
      <c r="AHN52" s="486"/>
      <c r="AHO52" s="486">
        <f t="shared" ref="AHO52:AIT52" si="3223">AHO50*0.15</f>
        <v>87844.235999999961</v>
      </c>
      <c r="AHP52" s="486"/>
      <c r="AHQ52" s="486">
        <f t="shared" ref="AHQ52:AIV52" si="3224">AHQ50*0.15</f>
        <v>60651.782249999975</v>
      </c>
      <c r="AHR52" s="486"/>
      <c r="AHS52" s="486">
        <f t="shared" ref="AHS52:AIX52" si="3225">AHS50*0.15</f>
        <v>81260.432249999998</v>
      </c>
      <c r="AHT52" s="486"/>
      <c r="AHU52" s="486">
        <f t="shared" ref="AHU52:AIZ52" si="3226">AHU50*0.15</f>
        <v>60398.180249999976</v>
      </c>
      <c r="AHV52" s="486"/>
      <c r="AHW52" s="486">
        <f t="shared" ref="AHW52:AJB52" si="3227">AHW50*0.15</f>
        <v>80992.720499999996</v>
      </c>
      <c r="AHX52" s="486"/>
      <c r="AHY52" s="486">
        <f t="shared" ref="AHY52:AJD52" si="3228">AHY50*0.15</f>
        <v>60077.730749999981</v>
      </c>
      <c r="AHZ52" s="486"/>
      <c r="AIA52" s="486">
        <f t="shared" ref="AIA52:AJF52" si="3229">AIA50*0.15</f>
        <v>86282.06024999998</v>
      </c>
      <c r="AIB52" s="486"/>
      <c r="AIC52" s="486">
        <f t="shared" ref="AIC52:AJH52" si="3230">AIC50*0.15</f>
        <v>69504.538499999995</v>
      </c>
      <c r="AID52" s="486"/>
      <c r="AIE52" s="486">
        <f t="shared" ref="AIE52:AJJ52" si="3231">AIE50*0.15</f>
        <v>86352.661500000002</v>
      </c>
      <c r="AIF52" s="486"/>
      <c r="AIG52" s="486">
        <f t="shared" ref="AIG52:AJL52" si="3232">AIG50*0.15</f>
        <v>76027.372499999998</v>
      </c>
      <c r="AIH52" s="486"/>
      <c r="AII52" s="486">
        <f t="shared" ref="AII52:AJN52" si="3233">AII50*0.15</f>
        <v>102278.14799999997</v>
      </c>
      <c r="AIJ52" s="486"/>
      <c r="AIK52" s="486">
        <f t="shared" ref="AIK52:AJP52" si="3234">AIK50*0.15</f>
        <v>81319.585499999986</v>
      </c>
      <c r="AIL52" s="486"/>
      <c r="AIM52" s="486">
        <f t="shared" ref="AIM52:AJR52" si="3235">AIM50*0.15</f>
        <v>138464.44424999997</v>
      </c>
      <c r="AIN52" s="486"/>
      <c r="AIO52" s="486">
        <f t="shared" ref="AIO52:AJT52" si="3236">AIO50*0.15</f>
        <v>111725.07150000001</v>
      </c>
      <c r="AIP52" s="486"/>
      <c r="AIQ52" s="486">
        <f t="shared" ref="AIQ52:AJV52" si="3237">AIQ50*0.15</f>
        <v>647993.6347500002</v>
      </c>
      <c r="AIR52" s="486"/>
      <c r="AIS52" s="486">
        <f t="shared" ref="AIS52:AJX52" si="3238">AIS50*0.15</f>
        <v>519704.26124999998</v>
      </c>
      <c r="AIT52" s="486"/>
      <c r="AIU52" s="486">
        <f t="shared" ref="AIU52:AJZ52" si="3239">AIU50*0.15</f>
        <v>71841.498119999989</v>
      </c>
      <c r="AIV52" s="486"/>
      <c r="AIW52" s="486">
        <f t="shared" ref="AIW52:AKB52" si="3240">AIW50*0.15</f>
        <v>95082.542249999984</v>
      </c>
      <c r="AIX52" s="486"/>
      <c r="AIY52" s="486">
        <f t="shared" ref="AIY52:AKD52" si="3241">AIY50*0.15</f>
        <v>71841.498119999989</v>
      </c>
      <c r="AIZ52" s="486"/>
      <c r="AJA52" s="486">
        <f t="shared" ref="AJA52:AKF52" si="3242">AJA50*0.15</f>
        <v>109956.40875000002</v>
      </c>
      <c r="AJB52" s="486"/>
      <c r="AJC52" s="486">
        <f t="shared" ref="AJC52:AKH52" si="3243">AJC50*0.15</f>
        <v>71841.498119999989</v>
      </c>
      <c r="AJD52" s="486"/>
      <c r="AJE52" s="486">
        <f t="shared" ref="AJE52:AKJ52" si="3244">AJE50*0.15</f>
        <v>121796.92425</v>
      </c>
      <c r="AJF52" s="486"/>
      <c r="AJG52" s="486">
        <f t="shared" ref="AJG52:AKL52" si="3245">AJG50*0.15</f>
        <v>71841.498119999989</v>
      </c>
      <c r="AJH52" s="486"/>
      <c r="AJI52" s="486">
        <f t="shared" ref="AJI52:AKN52" si="3246">AJI50*0.15</f>
        <v>129673.82924999998</v>
      </c>
      <c r="AJJ52" s="486"/>
      <c r="AJK52" s="486">
        <f t="shared" ref="AJK52:ALF52" si="3247">AJK50*0.15</f>
        <v>83815.081140000009</v>
      </c>
      <c r="AJL52" s="486"/>
      <c r="AJM52" s="486">
        <f t="shared" ref="AJM52:ALF52" si="3248">AJM50*0.15</f>
        <v>172763.4675</v>
      </c>
      <c r="AJN52" s="486"/>
      <c r="AJO52" s="486">
        <f t="shared" ref="AJO52:ALF52" si="3249">AJO50*0.15</f>
        <v>95788.66416</v>
      </c>
      <c r="AJP52" s="486"/>
      <c r="AJQ52" s="486">
        <f t="shared" ref="AJQ52:ALF52" si="3250">AJQ50*0.15</f>
        <v>158277.19349999999</v>
      </c>
      <c r="AJR52" s="486"/>
      <c r="AJS52" s="486">
        <f t="shared" ref="AJS52:ALF52" si="3251">AJS50*0.15</f>
        <v>131709.41321999999</v>
      </c>
      <c r="AJT52" s="486"/>
      <c r="AJU52" s="486">
        <f t="shared" ref="AJU52:ALF52" si="3252">AJU50*0.15</f>
        <v>942.22199999999987</v>
      </c>
      <c r="AJV52" s="486"/>
      <c r="AJW52" s="486">
        <f t="shared" ref="AJW52:ALF52" si="3253">AJW50*0.15</f>
        <v>598679.15099999995</v>
      </c>
      <c r="AJX52" s="486"/>
      <c r="AJY52" s="486">
        <f t="shared" ref="AJY52:ALF52" si="3254">AJY50*0.15</f>
        <v>788492.58750000002</v>
      </c>
      <c r="AJZ52" s="486"/>
      <c r="AKA52" s="486">
        <f t="shared" ref="AKA52:ALF52" si="3255">AKA50*0.15</f>
        <v>25900.700580000001</v>
      </c>
      <c r="AKB52" s="486"/>
      <c r="AKC52" s="486">
        <f t="shared" ref="AKC52:ALF52" si="3256">AKC50*0.15</f>
        <v>31561.803749999999</v>
      </c>
      <c r="AKD52" s="486"/>
      <c r="AKE52" s="486">
        <f t="shared" ref="AKE52:ALF52" si="3257">AKE50*0.15</f>
        <v>25900.700580000001</v>
      </c>
      <c r="AKF52" s="486"/>
      <c r="AKG52" s="486">
        <f t="shared" ref="AKG52:ALF52" si="3258">AKG50*0.15</f>
        <v>36782.86574999999</v>
      </c>
      <c r="AKH52" s="486"/>
      <c r="AKI52" s="486">
        <f t="shared" ref="AKI52:ALF52" si="3259">AKI50*0.15</f>
        <v>25900.700580000001</v>
      </c>
      <c r="AKJ52" s="486"/>
      <c r="AKK52" s="486">
        <f t="shared" ref="AKK52:ALF52" si="3260">AKK50*0.15</f>
        <v>33931.330500000004</v>
      </c>
      <c r="AKL52" s="486"/>
      <c r="AKM52" s="486">
        <f t="shared" ref="AKM52:ALF52" si="3261">AKM50*0.15</f>
        <v>25900.700580000001</v>
      </c>
      <c r="AKN52" s="486"/>
      <c r="AKO52" s="486">
        <f t="shared" ref="AKO52:ALF52" si="3262">AKO50*0.15</f>
        <v>37725.452249999995</v>
      </c>
      <c r="AKP52" s="486"/>
      <c r="AKQ52" s="486">
        <f t="shared" ref="AKQ52:ALF52" si="3263">AKQ50*0.15</f>
        <v>30217.484010000004</v>
      </c>
      <c r="AKR52" s="486"/>
      <c r="AKS52" s="486">
        <f t="shared" ref="AKS52:ALF52" si="3264">AKS50*0.15</f>
        <v>46497.425999999999</v>
      </c>
      <c r="AKT52" s="486"/>
      <c r="AKU52" s="486">
        <f t="shared" ref="AKU52:ALF52" si="3265">AKU50*0.15</f>
        <v>34534.267439999996</v>
      </c>
      <c r="AKV52" s="486"/>
      <c r="AKW52" s="486">
        <f t="shared" ref="AKW52:ALF52" si="3266">AKW50*0.15</f>
        <v>38757.197999999997</v>
      </c>
      <c r="AKX52" s="486"/>
      <c r="AKY52" s="486">
        <f t="shared" ref="AKY52:ALF52" si="3267">AKY50*0.15</f>
        <v>47484.617729999991</v>
      </c>
      <c r="AKZ52" s="486"/>
      <c r="ALA52" s="486">
        <f t="shared" ref="ALA52:ALF52" si="3268">ALA50*0.15</f>
        <v>252.26999999999998</v>
      </c>
      <c r="ALB52" s="486"/>
      <c r="ALC52" s="486">
        <f t="shared" ref="ALC52:ALF52" si="3269">ALC50*0.15</f>
        <v>215839.17149999997</v>
      </c>
      <c r="ALD52" s="486"/>
      <c r="ALE52" s="486">
        <f t="shared" ref="ALE52:ALF52" si="3270">ALE50*0.15</f>
        <v>225508.34625</v>
      </c>
      <c r="ALF52" s="486"/>
    </row>
    <row r="53" spans="2:994">
      <c r="B53" s="690" t="s">
        <v>248</v>
      </c>
      <c r="AE53" s="486">
        <f t="shared" ref="AE53:CP53" si="3271">(AE47*0.5)*0.65</f>
        <v>0</v>
      </c>
      <c r="AF53" s="486"/>
      <c r="AG53" s="486">
        <f>$AG$50*0.65</f>
        <v>801913.57349999994</v>
      </c>
      <c r="AH53" s="486"/>
      <c r="AI53" s="486">
        <f t="shared" ref="AI53:CT53" si="3272">(AI47*0.5)*0.65</f>
        <v>0</v>
      </c>
      <c r="AJ53" s="486"/>
      <c r="AK53" s="486">
        <f t="shared" ref="AK53:CV53" si="3273">(AK47*0.5)*0.65</f>
        <v>0</v>
      </c>
      <c r="AL53" s="486"/>
      <c r="AM53" s="486">
        <f t="shared" ref="AM53:CX53" si="3274">(AM47*0.5)*0.65</f>
        <v>0</v>
      </c>
      <c r="AN53" s="486"/>
      <c r="AO53" s="486">
        <f t="shared" ref="AO53:CZ53" si="3275">(AO47*0.5)*0.65</f>
        <v>0</v>
      </c>
      <c r="AP53" s="486"/>
      <c r="AQ53" s="486">
        <f t="shared" ref="AQ53:DB53" si="3276">(AQ47*0.5)*0.65</f>
        <v>0</v>
      </c>
      <c r="AR53" s="486"/>
      <c r="AS53" s="486">
        <f t="shared" ref="AS53:DD53" si="3277">(AS47*0.5)*0.65</f>
        <v>0</v>
      </c>
      <c r="AT53" s="486"/>
      <c r="AU53" s="486">
        <f t="shared" ref="AU53:DF53" si="3278">(AU47*0.5)*0.65</f>
        <v>0</v>
      </c>
      <c r="AV53" s="486"/>
      <c r="AW53" s="486">
        <f t="shared" ref="AW53:DH53" si="3279">(AW47*0.5)*0.65</f>
        <v>0</v>
      </c>
      <c r="AX53" s="486"/>
      <c r="AY53" s="486">
        <f t="shared" ref="AY53:DJ53" si="3280">(AY47*0.5)*0.65</f>
        <v>0</v>
      </c>
      <c r="AZ53" s="486"/>
      <c r="BA53" s="486">
        <f t="shared" ref="BA53:DL53" si="3281">(BA47*0.5)*0.65</f>
        <v>0</v>
      </c>
      <c r="BB53" s="486"/>
      <c r="BC53" s="486">
        <f t="shared" ref="BC53:DN53" si="3282">(BC47*0.5)*0.65</f>
        <v>0</v>
      </c>
      <c r="BD53" s="486"/>
      <c r="BE53" s="486">
        <f t="shared" ref="BE53:DP53" si="3283">(BE47*0.5)*0.65</f>
        <v>0</v>
      </c>
      <c r="BF53" s="486"/>
      <c r="BG53" s="486">
        <f t="shared" ref="BG53:DR53" si="3284">(BG47*0.5)*0.65</f>
        <v>0</v>
      </c>
      <c r="BH53" s="486"/>
      <c r="BI53" s="486">
        <f t="shared" ref="BI53:DT53" si="3285">(BI47*0.5)*0.65</f>
        <v>0</v>
      </c>
      <c r="BJ53" s="486"/>
      <c r="BK53" s="486">
        <f t="shared" ref="BK53:DV53" si="3286">(BK47*0.5)*0.65</f>
        <v>0</v>
      </c>
      <c r="BL53" s="486"/>
      <c r="BM53" s="486">
        <f>BM50*0.65</f>
        <v>809220.60050000018</v>
      </c>
      <c r="BN53" s="486"/>
      <c r="BO53" s="486">
        <f t="shared" ref="BO53:DZ53" si="3287">(BO47*0.5)*0.65</f>
        <v>0</v>
      </c>
      <c r="BP53" s="486"/>
      <c r="BQ53" s="486">
        <f t="shared" ref="BQ53:EB53" si="3288">(BQ47*0.5)*0.65</f>
        <v>0</v>
      </c>
      <c r="BR53" s="486"/>
      <c r="BS53" s="486">
        <f t="shared" ref="BS53:ED53" si="3289">(BS47*0.5)*0.65</f>
        <v>0</v>
      </c>
      <c r="BT53" s="486"/>
      <c r="BU53" s="486">
        <f t="shared" ref="BU53:EF53" si="3290">(BU47*0.5)*0.65</f>
        <v>0</v>
      </c>
      <c r="BV53" s="486"/>
      <c r="BW53" s="486">
        <f t="shared" ref="BW53:EH53" si="3291">(BW47*0.5)*0.65</f>
        <v>0</v>
      </c>
      <c r="BX53" s="486"/>
      <c r="BY53" s="486">
        <f t="shared" ref="BY53:EJ53" si="3292">(BY47*0.5)*0.65</f>
        <v>0</v>
      </c>
      <c r="BZ53" s="486"/>
      <c r="CA53" s="486">
        <f t="shared" ref="CA53:EL53" si="3293">(CA47*0.5)*0.65</f>
        <v>0</v>
      </c>
      <c r="CB53" s="486"/>
      <c r="CC53" s="486">
        <f t="shared" ref="CC53:EN53" si="3294">(CC47*0.5)*0.65</f>
        <v>0</v>
      </c>
      <c r="CD53" s="486"/>
      <c r="CE53" s="486">
        <f t="shared" ref="CE53:EP53" si="3295">(CE47*0.5)*0.65</f>
        <v>0</v>
      </c>
      <c r="CF53" s="486"/>
      <c r="CG53" s="486">
        <f t="shared" ref="CG53:ER53" si="3296">(CG47*0.5)*0.65</f>
        <v>0</v>
      </c>
      <c r="CH53" s="486"/>
      <c r="CI53" s="486">
        <f t="shared" ref="CI53:ET53" si="3297">(CI47*0.5)*0.65</f>
        <v>0</v>
      </c>
      <c r="CJ53" s="486"/>
      <c r="CK53" s="486">
        <f t="shared" ref="CK53:EV53" si="3298">(CK47*0.5)*0.65</f>
        <v>0</v>
      </c>
      <c r="CL53" s="486"/>
      <c r="CM53" s="486">
        <f t="shared" ref="CM53:EX53" si="3299">(CM47*0.5)*0.65</f>
        <v>0</v>
      </c>
      <c r="CN53" s="486"/>
      <c r="CO53" s="486">
        <f t="shared" ref="CO53:EZ53" si="3300">(CO47*0.5)*0.65</f>
        <v>0</v>
      </c>
      <c r="CP53" s="486"/>
      <c r="CQ53" s="486">
        <f t="shared" ref="CQ53:FB53" si="3301">(CQ47*0.5)*0.65</f>
        <v>0</v>
      </c>
      <c r="CR53" s="486"/>
      <c r="CS53" s="486">
        <f>CS50*0.65</f>
        <v>884381.93024999998</v>
      </c>
      <c r="CT53" s="486"/>
      <c r="CU53" s="486">
        <f t="shared" ref="CU53:FF53" si="3302">(CU47*0.5)*0.65</f>
        <v>0</v>
      </c>
      <c r="CV53" s="486"/>
      <c r="CW53" s="486">
        <f t="shared" ref="CW53:FH53" si="3303">(CW47*0.5)*0.65</f>
        <v>0</v>
      </c>
      <c r="CX53" s="486"/>
      <c r="CY53" s="486">
        <f t="shared" ref="CY53:FJ53" si="3304">(CY47*0.5)*0.65</f>
        <v>0</v>
      </c>
      <c r="CZ53" s="486"/>
      <c r="DA53" s="486">
        <f t="shared" ref="DA53:FL53" si="3305">(DA47*0.5)*0.65</f>
        <v>0</v>
      </c>
      <c r="DB53" s="486"/>
      <c r="DC53" s="486">
        <f t="shared" ref="DC53:FN53" si="3306">(DC47*0.5)*0.65</f>
        <v>0</v>
      </c>
      <c r="DD53" s="486"/>
      <c r="DE53" s="486">
        <f t="shared" ref="DE53:FP53" si="3307">(DE47*0.5)*0.65</f>
        <v>0</v>
      </c>
      <c r="DF53" s="486"/>
      <c r="DG53" s="486">
        <f t="shared" ref="DG53:FR53" si="3308">(DG47*0.5)*0.65</f>
        <v>0</v>
      </c>
      <c r="DH53" s="486"/>
      <c r="DI53" s="486">
        <f t="shared" ref="DI53:FT53" si="3309">(DI47*0.5)*0.65</f>
        <v>0</v>
      </c>
      <c r="DJ53" s="486"/>
      <c r="DK53" s="486">
        <f t="shared" ref="DK53:FV53" si="3310">(DK47*0.5)*0.65</f>
        <v>0</v>
      </c>
      <c r="DL53" s="486"/>
      <c r="DM53" s="486">
        <f t="shared" ref="DM53:FX53" si="3311">(DM47*0.5)*0.65</f>
        <v>0</v>
      </c>
      <c r="DN53" s="486"/>
      <c r="DO53" s="486">
        <f t="shared" ref="DO53:FZ53" si="3312">(DO47*0.5)*0.65</f>
        <v>0</v>
      </c>
      <c r="DP53" s="486"/>
      <c r="DQ53" s="486">
        <f t="shared" ref="DQ53:GB53" si="3313">(DQ47*0.5)*0.65</f>
        <v>0</v>
      </c>
      <c r="DR53" s="486"/>
      <c r="DS53" s="486">
        <f t="shared" ref="DS53:GD53" si="3314">(DS47*0.5)*0.65</f>
        <v>0</v>
      </c>
      <c r="DT53" s="486"/>
      <c r="DU53" s="486">
        <f t="shared" ref="DU53:GF53" si="3315">(DU47*0.5)*0.65</f>
        <v>0</v>
      </c>
      <c r="DV53" s="486"/>
      <c r="DW53" s="486">
        <f t="shared" ref="DW53:GH53" si="3316">(DW47*0.5)*0.65</f>
        <v>0</v>
      </c>
      <c r="DX53" s="486"/>
      <c r="DY53" s="486">
        <f>DY50*0.65</f>
        <v>817160.87375000003</v>
      </c>
      <c r="DZ53" s="486"/>
      <c r="EA53" s="486">
        <f t="shared" ref="EA53:GL53" si="3317">(EA47*0.5)*0.65</f>
        <v>0</v>
      </c>
      <c r="EB53" s="486"/>
      <c r="EC53" s="486">
        <f t="shared" ref="EC53:GN53" si="3318">(EC47*0.5)*0.65</f>
        <v>0</v>
      </c>
      <c r="ED53" s="486"/>
      <c r="EE53" s="486">
        <f t="shared" ref="EE53:GP53" si="3319">(EE47*0.5)*0.65</f>
        <v>0</v>
      </c>
      <c r="EF53" s="486"/>
      <c r="EG53" s="486">
        <f t="shared" ref="EG53:GR53" si="3320">(EG47*0.5)*0.65</f>
        <v>0</v>
      </c>
      <c r="EH53" s="486"/>
      <c r="EI53" s="486">
        <f t="shared" ref="EI53:GT53" si="3321">(EI47*0.5)*0.65</f>
        <v>0</v>
      </c>
      <c r="EJ53" s="486"/>
      <c r="EK53" s="486">
        <f t="shared" ref="EK53:GV53" si="3322">(EK47*0.5)*0.65</f>
        <v>0</v>
      </c>
      <c r="EL53" s="486"/>
      <c r="EM53" s="486">
        <f t="shared" ref="EM53:GX53" si="3323">(EM47*0.5)*0.65</f>
        <v>0</v>
      </c>
      <c r="EN53" s="486"/>
      <c r="EO53" s="486">
        <f t="shared" ref="EO53:GZ53" si="3324">(EO47*0.5)*0.65</f>
        <v>0</v>
      </c>
      <c r="EP53" s="486"/>
      <c r="EQ53" s="486">
        <f t="shared" ref="EQ53:HB53" si="3325">(EQ47*0.5)*0.65</f>
        <v>0</v>
      </c>
      <c r="ER53" s="486"/>
      <c r="ES53" s="486">
        <f t="shared" ref="ES53:HD53" si="3326">(ES47*0.5)*0.65</f>
        <v>0</v>
      </c>
      <c r="ET53" s="486"/>
      <c r="EU53" s="486">
        <f t="shared" ref="EU53:HF53" si="3327">(EU47*0.5)*0.65</f>
        <v>0</v>
      </c>
      <c r="EV53" s="486"/>
      <c r="EW53" s="486">
        <f t="shared" ref="EW53:HH53" si="3328">(EW47*0.5)*0.65</f>
        <v>0</v>
      </c>
      <c r="EX53" s="486"/>
      <c r="EY53" s="486">
        <f t="shared" ref="EY53:HJ53" si="3329">(EY47*0.5)*0.65</f>
        <v>0</v>
      </c>
      <c r="EZ53" s="486"/>
      <c r="FA53" s="486">
        <f t="shared" ref="FA53:HL53" si="3330">(FA47*0.5)*0.65</f>
        <v>0</v>
      </c>
      <c r="FB53" s="486"/>
      <c r="FC53" s="486">
        <f t="shared" ref="FC53:HN53" si="3331">(FC47*0.5)*0.65</f>
        <v>0</v>
      </c>
      <c r="FD53" s="486"/>
      <c r="FE53" s="486">
        <f>FE50*0.65</f>
        <v>860287.16800000018</v>
      </c>
      <c r="FF53" s="486"/>
      <c r="FG53" s="486">
        <f t="shared" ref="FG53:HN53" si="3332">(FG47*0.5)*0.65</f>
        <v>0</v>
      </c>
      <c r="FH53" s="486"/>
      <c r="FI53" s="486">
        <f t="shared" ref="FI53:HN53" si="3333">(FI47*0.5)*0.65</f>
        <v>0</v>
      </c>
      <c r="FJ53" s="486"/>
      <c r="FK53" s="486">
        <f t="shared" ref="FK53:HN53" si="3334">(FK47*0.5)*0.65</f>
        <v>0</v>
      </c>
      <c r="FL53" s="486"/>
      <c r="FM53" s="486">
        <f t="shared" ref="FM53:HN53" si="3335">(FM47*0.5)*0.65</f>
        <v>0</v>
      </c>
      <c r="FN53" s="486"/>
      <c r="FO53" s="486">
        <f t="shared" ref="FO53:HN53" si="3336">(FO47*0.5)*0.65</f>
        <v>0</v>
      </c>
      <c r="FP53" s="486"/>
      <c r="FQ53" s="486">
        <f t="shared" ref="FQ53:HN53" si="3337">(FQ47*0.5)*0.65</f>
        <v>0</v>
      </c>
      <c r="FR53" s="486"/>
      <c r="FS53" s="486">
        <f t="shared" ref="FS53:HN53" si="3338">(FS47*0.5)*0.65</f>
        <v>0</v>
      </c>
      <c r="FT53" s="486"/>
      <c r="FU53" s="486">
        <f t="shared" ref="FU53:HN53" si="3339">(FU47*0.5)*0.65</f>
        <v>0</v>
      </c>
      <c r="FV53" s="486"/>
      <c r="FW53" s="486">
        <f t="shared" ref="FW53:HN53" si="3340">(FW47*0.5)*0.65</f>
        <v>0</v>
      </c>
      <c r="FX53" s="486"/>
      <c r="FY53" s="486">
        <f t="shared" ref="FY53:HN53" si="3341">(FY47*0.5)*0.65</f>
        <v>0</v>
      </c>
      <c r="FZ53" s="486"/>
      <c r="GA53" s="486">
        <f t="shared" ref="GA53:HN53" si="3342">(GA47*0.5)*0.65</f>
        <v>0</v>
      </c>
      <c r="GB53" s="486"/>
      <c r="GC53" s="486">
        <f t="shared" ref="GC53:HN53" si="3343">(GC47*0.5)*0.65</f>
        <v>0</v>
      </c>
      <c r="GD53" s="486"/>
      <c r="GE53" s="486">
        <f t="shared" ref="GE53:HN53" si="3344">(GE47*0.5)*0.65</f>
        <v>0</v>
      </c>
      <c r="GF53" s="486"/>
      <c r="GG53" s="486">
        <f t="shared" ref="GG53:HN53" si="3345">(GG47*0.5)*0.65</f>
        <v>0</v>
      </c>
      <c r="GH53" s="486"/>
      <c r="GI53" s="486">
        <f t="shared" ref="GI53:HN53" si="3346">(GI47*0.5)*0.65</f>
        <v>0</v>
      </c>
      <c r="GJ53" s="486"/>
      <c r="GK53" s="486">
        <f>GK50*0.65</f>
        <v>900661.81400000001</v>
      </c>
      <c r="GL53" s="486"/>
      <c r="GM53" s="486">
        <f t="shared" ref="GM53:HN53" si="3347">(GM47*0.5)*0.65</f>
        <v>0</v>
      </c>
      <c r="GN53" s="486"/>
      <c r="GO53" s="486">
        <f t="shared" ref="GO53:HN53" si="3348">(GO47*0.5)*0.65</f>
        <v>0</v>
      </c>
      <c r="GP53" s="486"/>
      <c r="GQ53" s="486">
        <f t="shared" ref="GQ53:HN53" si="3349">(GQ47*0.5)*0.65</f>
        <v>0</v>
      </c>
      <c r="GR53" s="486"/>
      <c r="GS53" s="486">
        <f t="shared" ref="GS53:HN53" si="3350">(GS47*0.5)*0.65</f>
        <v>0</v>
      </c>
      <c r="GT53" s="486"/>
      <c r="GU53" s="486">
        <f t="shared" ref="GU53:HN53" si="3351">(GU47*0.5)*0.65</f>
        <v>0</v>
      </c>
      <c r="GV53" s="486"/>
      <c r="GW53" s="486">
        <f t="shared" ref="GW53:HN53" si="3352">(GW47*0.5)*0.65</f>
        <v>0</v>
      </c>
      <c r="GX53" s="486"/>
      <c r="GY53" s="486">
        <f t="shared" ref="GY53:HN53" si="3353">(GY47*0.5)*0.65</f>
        <v>0</v>
      </c>
      <c r="GZ53" s="486"/>
      <c r="HA53" s="486">
        <f t="shared" ref="HA53:HN53" si="3354">(HA47*0.5)*0.65</f>
        <v>0</v>
      </c>
      <c r="HB53" s="486"/>
      <c r="HC53" s="486">
        <f t="shared" ref="HC53:HN53" si="3355">(HC47*0.5)*0.65</f>
        <v>0</v>
      </c>
      <c r="HD53" s="486"/>
      <c r="HE53" s="486">
        <f t="shared" ref="HE53:HN53" si="3356">(HE47*0.5)*0.65</f>
        <v>0</v>
      </c>
      <c r="HF53" s="486"/>
      <c r="HG53" s="486">
        <f t="shared" ref="HG53:HN53" si="3357">(HG47*0.5)*0.65</f>
        <v>0</v>
      </c>
      <c r="HH53" s="486"/>
      <c r="HI53" s="486">
        <f t="shared" ref="HI53:HN53" si="3358">(HI47*0.5)*0.65</f>
        <v>0</v>
      </c>
      <c r="HJ53" s="486"/>
      <c r="HK53" s="486">
        <f t="shared" ref="HK53:HN53" si="3359">(HK47*0.5)*0.65</f>
        <v>0</v>
      </c>
      <c r="HL53" s="486"/>
      <c r="HM53" s="486">
        <f t="shared" ref="HM53:HN53" si="3360">(HM47*0.5)*0.65</f>
        <v>0</v>
      </c>
      <c r="HN53" s="486"/>
      <c r="HO53" s="486">
        <f t="shared" ref="HO53:JZ53" si="3361">(HO47*0.5)*0.65</f>
        <v>0</v>
      </c>
      <c r="HP53" s="486"/>
      <c r="HQ53" s="486">
        <f>HQ50*0.65</f>
        <v>918663.35274999996</v>
      </c>
      <c r="HR53" s="486"/>
      <c r="HS53" s="486">
        <f t="shared" ref="HS53:KD53" si="3362">(HS47*0.5)*0.65</f>
        <v>0</v>
      </c>
      <c r="HT53" s="486"/>
      <c r="HU53" s="486">
        <f t="shared" ref="HU53:KF53" si="3363">(HU47*0.5)*0.65</f>
        <v>0</v>
      </c>
      <c r="HV53" s="486"/>
      <c r="HW53" s="486">
        <f t="shared" ref="HW53:KH53" si="3364">(HW47*0.5)*0.65</f>
        <v>0</v>
      </c>
      <c r="HX53" s="486"/>
      <c r="HY53" s="486">
        <f t="shared" ref="HY53:KJ53" si="3365">(HY47*0.5)*0.65</f>
        <v>0</v>
      </c>
      <c r="HZ53" s="486"/>
      <c r="IA53" s="486">
        <f t="shared" ref="IA53:KL53" si="3366">(IA47*0.5)*0.65</f>
        <v>0</v>
      </c>
      <c r="IB53" s="486"/>
      <c r="IC53" s="486">
        <f t="shared" ref="IC53:KN53" si="3367">(IC47*0.5)*0.65</f>
        <v>0</v>
      </c>
      <c r="ID53" s="486"/>
      <c r="IE53" s="486">
        <f t="shared" ref="IE53:KP53" si="3368">(IE47*0.5)*0.65</f>
        <v>0</v>
      </c>
      <c r="IF53" s="486"/>
      <c r="IG53" s="486">
        <f t="shared" ref="IG53:KR53" si="3369">(IG47*0.5)*0.65</f>
        <v>0</v>
      </c>
      <c r="IH53" s="486"/>
      <c r="II53" s="486">
        <f t="shared" ref="II53:KT53" si="3370">(II47*0.5)*0.65</f>
        <v>0</v>
      </c>
      <c r="IJ53" s="486"/>
      <c r="IK53" s="486">
        <f t="shared" ref="IK53:KV53" si="3371">(IK47*0.5)*0.65</f>
        <v>0</v>
      </c>
      <c r="IL53" s="486"/>
      <c r="IM53" s="486">
        <f t="shared" ref="IM53:KX53" si="3372">(IM47*0.5)*0.65</f>
        <v>0</v>
      </c>
      <c r="IN53" s="486"/>
      <c r="IO53" s="486">
        <f t="shared" ref="IO53:KZ53" si="3373">(IO47*0.5)*0.65</f>
        <v>0</v>
      </c>
      <c r="IP53" s="486"/>
      <c r="IQ53" s="486">
        <f t="shared" ref="IQ53:LB53" si="3374">(IQ47*0.5)*0.65</f>
        <v>0</v>
      </c>
      <c r="IR53" s="486"/>
      <c r="IS53" s="486">
        <f t="shared" ref="IS53:LD53" si="3375">(IS47*0.5)*0.65</f>
        <v>0</v>
      </c>
      <c r="IT53" s="486"/>
      <c r="IU53" s="486">
        <f t="shared" ref="IU53:LF53" si="3376">(IU47*0.5)*0.65</f>
        <v>0</v>
      </c>
      <c r="IV53" s="486"/>
      <c r="IW53" s="486">
        <f>IW50*0.65</f>
        <v>856240.68399999989</v>
      </c>
      <c r="IX53" s="486"/>
      <c r="IY53" s="486">
        <f t="shared" ref="IY53:LJ53" si="3377">(IY47*0.5)*0.65</f>
        <v>0</v>
      </c>
      <c r="IZ53" s="486"/>
      <c r="JA53" s="486">
        <f t="shared" ref="JA53:LL53" si="3378">(JA47*0.5)*0.65</f>
        <v>0</v>
      </c>
      <c r="JB53" s="486"/>
      <c r="JC53" s="486">
        <f t="shared" ref="JC53:LN53" si="3379">(JC47*0.5)*0.65</f>
        <v>0</v>
      </c>
      <c r="JD53" s="486"/>
      <c r="JE53" s="486">
        <f t="shared" ref="JE53:LP53" si="3380">(JE47*0.5)*0.65</f>
        <v>0</v>
      </c>
      <c r="JF53" s="486"/>
      <c r="JG53" s="486">
        <f t="shared" ref="JG53:LR53" si="3381">(JG47*0.5)*0.65</f>
        <v>0</v>
      </c>
      <c r="JH53" s="486"/>
      <c r="JI53" s="486">
        <f t="shared" ref="JI53:LT53" si="3382">(JI47*0.5)*0.65</f>
        <v>0</v>
      </c>
      <c r="JJ53" s="486"/>
      <c r="JK53" s="486">
        <f t="shared" ref="JK53:LV53" si="3383">(JK47*0.5)*0.65</f>
        <v>0</v>
      </c>
      <c r="JL53" s="486"/>
      <c r="JM53" s="486">
        <f t="shared" ref="JM53:LX53" si="3384">(JM47*0.5)*0.65</f>
        <v>0</v>
      </c>
      <c r="JN53" s="486"/>
      <c r="JO53" s="486">
        <f t="shared" ref="JO53:LZ53" si="3385">(JO47*0.5)*0.65</f>
        <v>0</v>
      </c>
      <c r="JP53" s="486"/>
      <c r="JQ53" s="486">
        <f t="shared" ref="JQ53:MB53" si="3386">(JQ47*0.5)*0.65</f>
        <v>0</v>
      </c>
      <c r="JR53" s="486"/>
      <c r="JS53" s="486">
        <f t="shared" ref="JS53:MD53" si="3387">(JS47*0.5)*0.65</f>
        <v>0</v>
      </c>
      <c r="JT53" s="486"/>
      <c r="JU53" s="486">
        <f t="shared" ref="JU53:MF53" si="3388">(JU47*0.5)*0.65</f>
        <v>0</v>
      </c>
      <c r="JV53" s="486"/>
      <c r="JW53" s="486">
        <f t="shared" ref="JW53:MH53" si="3389">(JW47*0.5)*0.65</f>
        <v>0</v>
      </c>
      <c r="JX53" s="486"/>
      <c r="JY53" s="486">
        <f t="shared" ref="JY53:MJ53" si="3390">(JY47*0.5)*0.65</f>
        <v>0</v>
      </c>
      <c r="JZ53" s="486"/>
      <c r="KA53" s="486">
        <f t="shared" ref="KA53:ML53" si="3391">(KA47*0.5)*0.65</f>
        <v>0</v>
      </c>
      <c r="KB53" s="486"/>
      <c r="KC53" s="486">
        <f>KC50*0.65</f>
        <v>842468.12325000018</v>
      </c>
      <c r="KD53" s="486"/>
      <c r="KE53" s="486">
        <f t="shared" ref="KE53:ML53" si="3392">(KE47*0.5)*0.65</f>
        <v>0</v>
      </c>
      <c r="KF53" s="486"/>
      <c r="KG53" s="486">
        <f t="shared" ref="KG53:ML53" si="3393">(KG47*0.5)*0.65</f>
        <v>0</v>
      </c>
      <c r="KH53" s="486"/>
      <c r="KI53" s="486">
        <f t="shared" ref="KI53:ML53" si="3394">(KI47*0.5)*0.65</f>
        <v>0</v>
      </c>
      <c r="KJ53" s="486"/>
      <c r="KK53" s="486">
        <f t="shared" ref="KK53:ML53" si="3395">(KK47*0.5)*0.65</f>
        <v>0</v>
      </c>
      <c r="KL53" s="486"/>
      <c r="KM53" s="486">
        <f t="shared" ref="KM53:ML53" si="3396">(KM47*0.5)*0.65</f>
        <v>0</v>
      </c>
      <c r="KN53" s="486"/>
      <c r="KO53" s="486">
        <f t="shared" ref="KO53:ML53" si="3397">(KO47*0.5)*0.65</f>
        <v>0</v>
      </c>
      <c r="KP53" s="486"/>
      <c r="KQ53" s="486">
        <f t="shared" ref="KQ53:ML53" si="3398">(KQ47*0.5)*0.65</f>
        <v>0</v>
      </c>
      <c r="KR53" s="486"/>
      <c r="KS53" s="486">
        <f t="shared" ref="KS53:ML53" si="3399">(KS47*0.5)*0.65</f>
        <v>0</v>
      </c>
      <c r="KT53" s="486"/>
      <c r="KU53" s="486">
        <f t="shared" ref="KU53:ML53" si="3400">(KU47*0.5)*0.65</f>
        <v>0</v>
      </c>
      <c r="KV53" s="486"/>
      <c r="KW53" s="486">
        <f t="shared" ref="KW53:ML53" si="3401">(KW47*0.5)*0.65</f>
        <v>0</v>
      </c>
      <c r="KX53" s="486"/>
      <c r="KY53" s="486">
        <f t="shared" ref="KY53:ML53" si="3402">(KY47*0.5)*0.65</f>
        <v>0</v>
      </c>
      <c r="KZ53" s="486"/>
      <c r="LA53" s="486">
        <f t="shared" ref="LA53:ML53" si="3403">(LA47*0.5)*0.65</f>
        <v>0</v>
      </c>
      <c r="LB53" s="486"/>
      <c r="LC53" s="486">
        <f t="shared" ref="LC53:ML53" si="3404">(LC47*0.5)*0.65</f>
        <v>0</v>
      </c>
      <c r="LD53" s="486"/>
      <c r="LE53" s="486">
        <f t="shared" ref="LE53:ML53" si="3405">(LE47*0.5)*0.65</f>
        <v>0</v>
      </c>
      <c r="LF53" s="486"/>
      <c r="LG53" s="486">
        <f t="shared" ref="LG53:ML53" si="3406">(LG47*0.5)*0.65</f>
        <v>0</v>
      </c>
      <c r="LH53" s="486"/>
      <c r="LI53" s="486">
        <f>LI50*0.65</f>
        <v>804640.28125000035</v>
      </c>
      <c r="LJ53" s="486"/>
      <c r="LK53" s="486">
        <f t="shared" ref="LK53:ML53" si="3407">(LK47*0.5)*0.65</f>
        <v>0</v>
      </c>
      <c r="LL53" s="486"/>
      <c r="LM53" s="486">
        <f t="shared" ref="LM53:ML53" si="3408">(LM47*0.5)*0.65</f>
        <v>0</v>
      </c>
      <c r="LN53" s="486"/>
      <c r="LO53" s="486">
        <f t="shared" ref="LO53:ML53" si="3409">(LO47*0.5)*0.65</f>
        <v>0</v>
      </c>
      <c r="LP53" s="486"/>
      <c r="LQ53" s="486">
        <f t="shared" ref="LQ53:ML53" si="3410">(LQ47*0.5)*0.65</f>
        <v>0</v>
      </c>
      <c r="LR53" s="486"/>
      <c r="LS53" s="486">
        <f t="shared" ref="LS53:ML53" si="3411">(LS47*0.5)*0.65</f>
        <v>0</v>
      </c>
      <c r="LT53" s="486"/>
      <c r="LU53" s="486">
        <f t="shared" ref="LU53:ML53" si="3412">(LU47*0.5)*0.65</f>
        <v>0</v>
      </c>
      <c r="LV53" s="486"/>
      <c r="LW53" s="486">
        <f t="shared" ref="LW53:ML53" si="3413">(LW47*0.5)*0.65</f>
        <v>0</v>
      </c>
      <c r="LX53" s="486"/>
      <c r="LY53" s="486">
        <f t="shared" ref="LY53:ML53" si="3414">(LY47*0.5)*0.65</f>
        <v>0</v>
      </c>
      <c r="LZ53" s="486"/>
      <c r="MA53" s="486">
        <f t="shared" ref="MA53:ML53" si="3415">(MA47*0.5)*0.65</f>
        <v>0</v>
      </c>
      <c r="MB53" s="486"/>
      <c r="MC53" s="486">
        <f t="shared" ref="MC53:ML53" si="3416">(MC47*0.5)*0.65</f>
        <v>0</v>
      </c>
      <c r="MD53" s="486"/>
      <c r="ME53" s="486">
        <f t="shared" ref="ME53:ML53" si="3417">(ME47*0.5)*0.65</f>
        <v>0</v>
      </c>
      <c r="MF53" s="486"/>
      <c r="MG53" s="486">
        <f t="shared" ref="MG53:ML53" si="3418">(MG47*0.5)*0.65</f>
        <v>0</v>
      </c>
      <c r="MH53" s="486"/>
      <c r="MI53" s="486">
        <f t="shared" ref="MI53:ML53" si="3419">(MI47*0.5)*0.65</f>
        <v>0</v>
      </c>
      <c r="MJ53" s="486"/>
      <c r="MK53" s="486">
        <f t="shared" ref="MK53:ML53" si="3420">(MK47*0.5)*0.65</f>
        <v>0</v>
      </c>
      <c r="ML53" s="486"/>
      <c r="MM53" s="486">
        <f t="shared" ref="MM53:OX53" si="3421">(MM47*0.5)*0.65</f>
        <v>0</v>
      </c>
      <c r="MN53" s="486"/>
      <c r="MO53" s="486">
        <f>MO50*0.65</f>
        <v>805524.005</v>
      </c>
      <c r="MP53" s="486"/>
      <c r="MQ53" s="486">
        <f t="shared" ref="MQ53:PB53" si="3422">(MQ47*0.5)*0.65</f>
        <v>106633.35930000001</v>
      </c>
      <c r="MR53" s="486"/>
      <c r="MS53" s="486">
        <f t="shared" ref="MS53:PD53" si="3423">(MS47*0.5)*0.65</f>
        <v>77146.803500000009</v>
      </c>
      <c r="MT53" s="486"/>
      <c r="MU53" s="486">
        <f t="shared" ref="MU53:PF53" si="3424">(MU47*0.5)*0.65</f>
        <v>106633.35930000001</v>
      </c>
      <c r="MV53" s="486"/>
      <c r="MW53" s="486">
        <f t="shared" ref="MW53:PH53" si="3425">(MW47*0.5)*0.65</f>
        <v>77370.006999999998</v>
      </c>
      <c r="MX53" s="486"/>
      <c r="MY53" s="486">
        <f t="shared" ref="MY53:PJ53" si="3426">(MY47*0.5)*0.65</f>
        <v>106633.35930000001</v>
      </c>
      <c r="MZ53" s="486"/>
      <c r="NA53" s="486">
        <f t="shared" ref="NA53:PL53" si="3427">(NA47*0.5)*0.65</f>
        <v>68299.045750000005</v>
      </c>
      <c r="NB53" s="486"/>
      <c r="NC53" s="486">
        <f t="shared" ref="NC53:PN53" si="3428">(NC47*0.5)*0.65</f>
        <v>106633.35930000001</v>
      </c>
      <c r="ND53" s="486"/>
      <c r="NE53" s="486">
        <f t="shared" ref="NE53:PP53" si="3429">(NE47*0.5)*0.65</f>
        <v>70700.240000000005</v>
      </c>
      <c r="NF53" s="486"/>
      <c r="NG53" s="486">
        <f t="shared" ref="NG53:PR53" si="3430">(NG47*0.5)*0.65</f>
        <v>124405.58585000002</v>
      </c>
      <c r="NH53" s="486"/>
      <c r="NI53" s="486">
        <f t="shared" ref="NI53:PT53" si="3431">(NI47*0.5)*0.65</f>
        <v>88392.635499999989</v>
      </c>
      <c r="NJ53" s="486"/>
      <c r="NK53" s="486">
        <f t="shared" ref="NK53:PV53" si="3432">(NK47*0.5)*0.65</f>
        <v>142177.81240000002</v>
      </c>
      <c r="NL53" s="486"/>
      <c r="NM53" s="486">
        <f t="shared" ref="NM53:PX53" si="3433">(NM47*0.5)*0.65</f>
        <v>104961.27850000001</v>
      </c>
      <c r="NN53" s="486"/>
      <c r="NO53" s="486">
        <f t="shared" ref="NO53:PZ53" si="3434">(NO47*0.5)*0.65</f>
        <v>195494.49205</v>
      </c>
      <c r="NP53" s="486"/>
      <c r="NQ53" s="486">
        <f t="shared" ref="NQ53:QB53" si="3435">(NQ47*0.5)*0.65</f>
        <v>154765.55575</v>
      </c>
      <c r="NR53" s="486"/>
      <c r="NS53" s="486">
        <f t="shared" ref="NS53:QD53" si="3436">(NS47*0.5)*0.65</f>
        <v>888611.32750000013</v>
      </c>
      <c r="NT53" s="486"/>
      <c r="NU53" s="486">
        <f>NU50*0.65</f>
        <v>750538.64599999995</v>
      </c>
      <c r="NV53" s="486"/>
      <c r="NW53" s="486">
        <f t="shared" ref="NW53:QH53" si="3437">(NW47*0.5)*0.65</f>
        <v>104687.31233999997</v>
      </c>
      <c r="NX53" s="486"/>
      <c r="NY53" s="486">
        <f t="shared" ref="NY53:QJ53" si="3438">(NY47*0.5)*0.65</f>
        <v>72060.134250000003</v>
      </c>
      <c r="NZ53" s="486"/>
      <c r="OA53" s="486">
        <f t="shared" ref="OA53:QL53" si="3439">(OA47*0.5)*0.65</f>
        <v>104687.31233999997</v>
      </c>
      <c r="OB53" s="486"/>
      <c r="OC53" s="486">
        <f t="shared" ref="OC53:QN53" si="3440">(OC47*0.5)*0.65</f>
        <v>68577.814500000008</v>
      </c>
      <c r="OD53" s="486"/>
      <c r="OE53" s="486">
        <f t="shared" ref="OE53:QP53" si="3441">(OE47*0.5)*0.65</f>
        <v>104687.31233999997</v>
      </c>
      <c r="OF53" s="486"/>
      <c r="OG53" s="486">
        <f t="shared" ref="OG53:QR53" si="3442">(OG47*0.5)*0.65</f>
        <v>73051.65400000001</v>
      </c>
      <c r="OH53" s="486"/>
      <c r="OI53" s="486">
        <f t="shared" ref="OI53:QT53" si="3443">(OI47*0.5)*0.65</f>
        <v>104687.31233999997</v>
      </c>
      <c r="OJ53" s="486"/>
      <c r="OK53" s="486">
        <f t="shared" ref="OK53:QV53" si="3444">(OK47*0.5)*0.65</f>
        <v>70488.216499999995</v>
      </c>
      <c r="OL53" s="486"/>
      <c r="OM53" s="486">
        <f t="shared" ref="OM53:QX53" si="3445">(OM47*0.5)*0.65</f>
        <v>122135.19773000001</v>
      </c>
      <c r="ON53" s="486"/>
      <c r="OO53" s="486">
        <f t="shared" ref="OO53:QZ53" si="3446">(OO47*0.5)*0.65</f>
        <v>93266.87175000002</v>
      </c>
      <c r="OP53" s="486"/>
      <c r="OQ53" s="486">
        <f t="shared" ref="OQ53:RB53" si="3447">(OQ47*0.5)*0.65</f>
        <v>139583.08312</v>
      </c>
      <c r="OR53" s="486"/>
      <c r="OS53" s="486">
        <f t="shared" ref="OS53:RD53" si="3448">(OS47*0.5)*0.65</f>
        <v>121411.63449999999</v>
      </c>
      <c r="OT53" s="486"/>
      <c r="OU53" s="486">
        <f t="shared" ref="OU53:RF53" si="3449">(OU47*0.5)*0.65</f>
        <v>191926.73929</v>
      </c>
      <c r="OV53" s="486"/>
      <c r="OW53" s="486">
        <f t="shared" ref="OW53:RH53" si="3450">(OW47*0.5)*0.65</f>
        <v>191091.33225000004</v>
      </c>
      <c r="OX53" s="486"/>
      <c r="OY53" s="486">
        <f t="shared" ref="OY53:RJ53" si="3451">(OY47*0.5)*0.65</f>
        <v>872394.26950000005</v>
      </c>
      <c r="OZ53" s="486"/>
      <c r="PA53" s="486">
        <f>PA50*0.65</f>
        <v>809148.5382500001</v>
      </c>
      <c r="PB53" s="486"/>
      <c r="PC53" s="486">
        <f t="shared" ref="PC53:RJ53" si="3452">(PC47*0.5)*0.65</f>
        <v>99092.838000000018</v>
      </c>
      <c r="PD53" s="486"/>
      <c r="PE53" s="486">
        <f t="shared" ref="PE53:RJ53" si="3453">(PE47*0.5)*0.65</f>
        <v>102935.86550000001</v>
      </c>
      <c r="PF53" s="486"/>
      <c r="PG53" s="486">
        <f t="shared" ref="PG53:RJ53" si="3454">(PG47*0.5)*0.65</f>
        <v>99092.838000000018</v>
      </c>
      <c r="PH53" s="486"/>
      <c r="PI53" s="486">
        <f t="shared" ref="PI53:RJ53" si="3455">(PI47*0.5)*0.65</f>
        <v>93457.390000000014</v>
      </c>
      <c r="PJ53" s="486"/>
      <c r="PK53" s="486">
        <f t="shared" ref="PK53:RJ53" si="3456">(PK47*0.5)*0.65</f>
        <v>104156.40300000001</v>
      </c>
      <c r="PL53" s="486"/>
      <c r="PM53" s="486">
        <f t="shared" ref="PM53:RJ53" si="3457">(PM47*0.5)*0.65</f>
        <v>82242.371249999997</v>
      </c>
      <c r="PN53" s="486"/>
      <c r="PO53" s="486">
        <f t="shared" ref="PO53:RJ53" si="3458">(PO47*0.5)*0.65</f>
        <v>104156.40300000001</v>
      </c>
      <c r="PP53" s="486"/>
      <c r="PQ53" s="486">
        <f t="shared" ref="PQ53:RJ53" si="3459">(PQ47*0.5)*0.65</f>
        <v>77474.221500000014</v>
      </c>
      <c r="PR53" s="486"/>
      <c r="PS53" s="486">
        <f t="shared" ref="PS53:RJ53" si="3460">(PS47*0.5)*0.65</f>
        <v>121515.80350000001</v>
      </c>
      <c r="PT53" s="486"/>
      <c r="PU53" s="486">
        <f t="shared" ref="PU53:RJ53" si="3461">(PU47*0.5)*0.65</f>
        <v>83916.244749999998</v>
      </c>
      <c r="PV53" s="486"/>
      <c r="PW53" s="486">
        <f t="shared" ref="PW53:RJ53" si="3462">(PW47*0.5)*0.65</f>
        <v>132123.78400000001</v>
      </c>
      <c r="PX53" s="486"/>
      <c r="PY53" s="486">
        <f t="shared" ref="PY53:RJ53" si="3463">(PY47*0.5)*0.65</f>
        <v>107376.63625000001</v>
      </c>
      <c r="PZ53" s="486"/>
      <c r="QA53" s="486">
        <f t="shared" ref="QA53:RJ53" si="3464">(QA47*0.5)*0.65</f>
        <v>181670.20300000001</v>
      </c>
      <c r="QB53" s="486"/>
      <c r="QC53" s="486">
        <f t="shared" ref="QC53:RJ53" si="3465">(QC47*0.5)*0.65</f>
        <v>157864.61925000002</v>
      </c>
      <c r="QD53" s="486"/>
      <c r="QE53" s="486">
        <f t="shared" ref="QE53:RJ53" si="3466">(QE47*0.5)*0.65</f>
        <v>825773.65</v>
      </c>
      <c r="QF53" s="486"/>
      <c r="QG53" s="486">
        <f>QG50*0.65</f>
        <v>829312.44499999995</v>
      </c>
      <c r="QH53" s="486"/>
      <c r="QI53" s="486">
        <f t="shared" ref="QI53:RJ53" si="3467">(QI47*0.5)*0.65</f>
        <v>103668.73685999998</v>
      </c>
      <c r="QJ53" s="486"/>
      <c r="QK53" s="486">
        <f t="shared" ref="QK53:RJ53" si="3468">(QK47*0.5)*0.65</f>
        <v>80656.02350000001</v>
      </c>
      <c r="QL53" s="486"/>
      <c r="QM53" s="486">
        <f t="shared" ref="QM53:RJ53" si="3469">(QM47*0.5)*0.65</f>
        <v>103668.73685999998</v>
      </c>
      <c r="QN53" s="486"/>
      <c r="QO53" s="486">
        <f t="shared" ref="QO53:RJ53" si="3470">(QO47*0.5)*0.65</f>
        <v>68313.121500000008</v>
      </c>
      <c r="QP53" s="486"/>
      <c r="QQ53" s="486">
        <f t="shared" ref="QQ53:RJ53" si="3471">(QQ47*0.5)*0.65</f>
        <v>103668.73685999998</v>
      </c>
      <c r="QR53" s="486"/>
      <c r="QS53" s="486">
        <f t="shared" ref="QS53:RJ53" si="3472">(QS47*0.5)*0.65</f>
        <v>67642.246750000006</v>
      </c>
      <c r="QT53" s="486"/>
      <c r="QU53" s="486">
        <f t="shared" ref="QU53:RJ53" si="3473">(QU47*0.5)*0.65</f>
        <v>103668.73685999998</v>
      </c>
      <c r="QV53" s="486"/>
      <c r="QW53" s="486">
        <f t="shared" ref="QW53:RJ53" si="3474">(QW47*0.5)*0.65</f>
        <v>64493.809249999998</v>
      </c>
      <c r="QX53" s="486"/>
      <c r="QY53" s="486">
        <f t="shared" ref="QY53:RJ53" si="3475">(QY47*0.5)*0.65</f>
        <v>120946.85967000001</v>
      </c>
      <c r="QZ53" s="486"/>
      <c r="RA53" s="486">
        <f t="shared" ref="RA53:RJ53" si="3476">(RA47*0.5)*0.65</f>
        <v>75021.371750000006</v>
      </c>
      <c r="RB53" s="486"/>
      <c r="RC53" s="486">
        <f t="shared" ref="RC53:RJ53" si="3477">(RC47*0.5)*0.65</f>
        <v>138224.98248000004</v>
      </c>
      <c r="RD53" s="486"/>
      <c r="RE53" s="486">
        <f t="shared" ref="RE53:RJ53" si="3478">(RE47*0.5)*0.65</f>
        <v>102527.00900000002</v>
      </c>
      <c r="RF53" s="486"/>
      <c r="RG53" s="486">
        <f t="shared" ref="RG53:RJ53" si="3479">(RG47*0.5)*0.65</f>
        <v>190059.35091000001</v>
      </c>
      <c r="RH53" s="486"/>
      <c r="RI53" s="486">
        <f t="shared" ref="RI53:RJ53" si="3480">(RI47*0.5)*0.65</f>
        <v>159167.42074999999</v>
      </c>
      <c r="RJ53" s="486"/>
      <c r="RK53" s="486">
        <f t="shared" ref="RK53:RN53" si="3481">(RK47*0.5)*0.65</f>
        <v>863906.14049999998</v>
      </c>
      <c r="RL53" s="486"/>
      <c r="RM53" s="486">
        <f>RM50*0.65</f>
        <v>716229.55625000014</v>
      </c>
      <c r="RN53" s="486"/>
      <c r="RO53" s="486">
        <f t="shared" ref="RO53:TZ53" si="3482">(RO47*0.5)*0.65</f>
        <v>99367.284509999998</v>
      </c>
      <c r="RP53" s="486"/>
      <c r="RQ53" s="486">
        <f t="shared" ref="RQ53:UB53" si="3483">(RQ47*0.5)*0.65</f>
        <v>78056.400499999989</v>
      </c>
      <c r="RR53" s="486"/>
      <c r="RS53" s="486">
        <f t="shared" ref="RS53:UD53" si="3484">(RS47*0.5)*0.65</f>
        <v>99367.284509999969</v>
      </c>
      <c r="RT53" s="486"/>
      <c r="RU53" s="486">
        <f t="shared" ref="RU53:UF53" si="3485">(RU47*0.5)*0.65</f>
        <v>66741.285000000003</v>
      </c>
      <c r="RV53" s="486"/>
      <c r="RW53" s="486">
        <f t="shared" ref="RW53:UH53" si="3486">(RW47*0.5)*0.65</f>
        <v>99367.284509999969</v>
      </c>
      <c r="RX53" s="486"/>
      <c r="RY53" s="486">
        <f t="shared" ref="RY53:UJ53" si="3487">(RY47*0.5)*0.65</f>
        <v>83513.979249999989</v>
      </c>
      <c r="RZ53" s="486"/>
      <c r="SA53" s="486">
        <f t="shared" ref="SA53:UL53" si="3488">(SA47*0.5)*0.65</f>
        <v>99367.284509999969</v>
      </c>
      <c r="SB53" s="486"/>
      <c r="SC53" s="486">
        <f t="shared" ref="SC53:UN53" si="3489">(SC47*0.5)*0.65</f>
        <v>92814.250750000007</v>
      </c>
      <c r="SD53" s="486"/>
      <c r="SE53" s="486">
        <f t="shared" ref="SE53:UP53" si="3490">(SE47*0.5)*0.65</f>
        <v>115928.49859500003</v>
      </c>
      <c r="SF53" s="486"/>
      <c r="SG53" s="486">
        <f t="shared" ref="SG53:UR53" si="3491">(SG47*0.5)*0.65</f>
        <v>87567.008750000008</v>
      </c>
      <c r="SH53" s="486"/>
      <c r="SI53" s="486">
        <f t="shared" ref="SI53:UT53" si="3492">(SI47*0.5)*0.65</f>
        <v>132489.71268</v>
      </c>
      <c r="SJ53" s="486"/>
      <c r="SK53" s="486">
        <f t="shared" ref="SK53:UV53" si="3493">(SK47*0.5)*0.65</f>
        <v>110521.08924999999</v>
      </c>
      <c r="SL53" s="486"/>
      <c r="SM53" s="486">
        <f t="shared" ref="SM53:UX53" si="3494">(SM47*0.5)*0.65</f>
        <v>182173.35493500001</v>
      </c>
      <c r="SN53" s="486"/>
      <c r="SO53" s="486">
        <f t="shared" ref="SO53:UZ53" si="3495">(SO47*0.5)*0.65</f>
        <v>148914.44100000002</v>
      </c>
      <c r="SP53" s="486"/>
      <c r="SQ53" s="486">
        <f t="shared" ref="SQ53:VB53" si="3496">(SQ47*0.5)*0.65</f>
        <v>828060.70424999995</v>
      </c>
      <c r="SR53" s="486"/>
      <c r="SS53" s="486">
        <f>SS50*0.65</f>
        <v>779142.86450000026</v>
      </c>
      <c r="ST53" s="486"/>
      <c r="SU53" s="486">
        <f t="shared" ref="SU53:TZ53" si="3497">(SU47*0.5)*0.65</f>
        <v>92728.707630000004</v>
      </c>
      <c r="SV53" s="486"/>
      <c r="SW53" s="486">
        <f t="shared" ref="SW53:VH53" si="3498">(SW47*0.5)*0.65</f>
        <v>64604.361250000002</v>
      </c>
      <c r="SX53" s="486"/>
      <c r="SY53" s="486">
        <f t="shared" ref="SY53:VJ53" si="3499">(SY47*0.5)*0.65</f>
        <v>92728.707630000004</v>
      </c>
      <c r="SZ53" s="486"/>
      <c r="TA53" s="486">
        <f t="shared" ref="TA53:VL53" si="3500">(TA47*0.5)*0.65</f>
        <v>61809.618000000002</v>
      </c>
      <c r="TB53" s="486"/>
      <c r="TC53" s="486">
        <f t="shared" ref="TC53:VN53" si="3501">(TC47*0.5)*0.65</f>
        <v>92728.707630000004</v>
      </c>
      <c r="TD53" s="486"/>
      <c r="TE53" s="486">
        <f t="shared" ref="TE53:VP53" si="3502">(TE47*0.5)*0.65</f>
        <v>62430.085250000004</v>
      </c>
      <c r="TF53" s="486"/>
      <c r="TG53" s="486">
        <f t="shared" ref="TG53:VR53" si="3503">(TG47*0.5)*0.65</f>
        <v>92728.707630000004</v>
      </c>
      <c r="TH53" s="486"/>
      <c r="TI53" s="486">
        <f t="shared" ref="TI53:VT53" si="3504">(TI47*0.5)*0.65</f>
        <v>62658.433499999999</v>
      </c>
      <c r="TJ53" s="486"/>
      <c r="TK53" s="486">
        <f t="shared" ref="TK53:VV53" si="3505">(TK47*0.5)*0.65</f>
        <v>108183.49223500001</v>
      </c>
      <c r="TL53" s="486"/>
      <c r="TM53" s="486">
        <f t="shared" ref="TM53:VX53" si="3506">(TM47*0.5)*0.65</f>
        <v>72724.9185</v>
      </c>
      <c r="TN53" s="486"/>
      <c r="TO53" s="486">
        <f t="shared" ref="TO53:VZ53" si="3507">(TO47*0.5)*0.65</f>
        <v>123638.27684000001</v>
      </c>
      <c r="TP53" s="486"/>
      <c r="TQ53" s="486">
        <f t="shared" ref="TQ53:WB53" si="3508">(TQ47*0.5)*0.65</f>
        <v>98969.59149999998</v>
      </c>
      <c r="TR53" s="486"/>
      <c r="TS53" s="486">
        <f t="shared" ref="TS53:WD53" si="3509">(TS47*0.5)*0.65</f>
        <v>170002.63065500002</v>
      </c>
      <c r="TT53" s="486"/>
      <c r="TU53" s="486">
        <f t="shared" ref="TU53:WF53" si="3510">(TU47*0.5)*0.65</f>
        <v>158128.06425</v>
      </c>
      <c r="TV53" s="486"/>
      <c r="TW53" s="486">
        <f>TW50*0.65</f>
        <v>846856.21799999999</v>
      </c>
      <c r="TX53" s="486"/>
      <c r="TY53" s="486">
        <f>TY50*0.65</f>
        <v>668964.7640000002</v>
      </c>
      <c r="TZ53" s="486"/>
      <c r="UA53" s="486">
        <f>UA50*0.65</f>
        <v>134944.86850000001</v>
      </c>
      <c r="UB53" s="486"/>
      <c r="UC53" s="486">
        <f>UC50*0.65</f>
        <v>82787.253249999994</v>
      </c>
      <c r="UD53" s="486"/>
      <c r="UE53" s="486">
        <f>UE50*0.65</f>
        <v>96474.244750000042</v>
      </c>
      <c r="UF53" s="486"/>
      <c r="UG53" s="486">
        <f>UG50*0.65</f>
        <v>74235.427499999991</v>
      </c>
      <c r="UH53" s="486"/>
      <c r="UI53" s="486">
        <f>UI50*0.65</f>
        <v>107251.17324999999</v>
      </c>
      <c r="UJ53" s="486"/>
      <c r="UK53" s="486">
        <f>UK50*0.65</f>
        <v>77783.790500000003</v>
      </c>
      <c r="UL53" s="486"/>
      <c r="UM53" s="486">
        <f>UM50*0.65</f>
        <v>99650.39175000001</v>
      </c>
      <c r="UN53" s="486"/>
      <c r="UO53" s="486">
        <f>UO50*0.65</f>
        <v>79835.518750000003</v>
      </c>
      <c r="UP53" s="486"/>
      <c r="UQ53" s="486">
        <f>UQ50*0.65</f>
        <v>112474.80075000001</v>
      </c>
      <c r="UR53" s="486"/>
      <c r="US53" s="486">
        <f>US50*0.65</f>
        <v>92762.559500000003</v>
      </c>
      <c r="UT53" s="486"/>
      <c r="UU53" s="486">
        <f>UU50*0.65</f>
        <v>151166.39199999999</v>
      </c>
      <c r="UV53" s="486"/>
      <c r="UW53" s="486">
        <f>UW50*0.65</f>
        <v>136431.24950000001</v>
      </c>
      <c r="UX53" s="486"/>
      <c r="UY53" s="486">
        <f>UY50*0.65</f>
        <v>214902.31750000006</v>
      </c>
      <c r="UZ53" s="486"/>
      <c r="VA53" s="486">
        <f>VA50*0.65</f>
        <v>185746.64550000001</v>
      </c>
      <c r="VB53" s="486"/>
      <c r="VC53" s="486">
        <f>VC50*0.65</f>
        <v>916864.18850000005</v>
      </c>
      <c r="VD53" s="486"/>
      <c r="VE53" s="486">
        <f>VE50*0.65</f>
        <v>729582.44449999975</v>
      </c>
      <c r="VF53" s="486"/>
      <c r="VG53" s="486">
        <f t="shared" ref="VG53:XR53" si="3511">VG50*0.65</f>
        <v>126711.48749999999</v>
      </c>
      <c r="VH53" s="486"/>
      <c r="VI53" s="486">
        <f t="shared" ref="VI53:XT53" si="3512">VI50*0.65</f>
        <v>91055.698499999999</v>
      </c>
      <c r="VJ53" s="486"/>
      <c r="VK53" s="486">
        <f t="shared" ref="VK53:XV53" si="3513">VK50*0.65</f>
        <v>91195.18525000001</v>
      </c>
      <c r="VL53" s="486"/>
      <c r="VM53" s="486">
        <f t="shared" ref="VM53:XX53" si="3514">VM50*0.65</f>
        <v>77068.403749999983</v>
      </c>
      <c r="VN53" s="486"/>
      <c r="VO53" s="486">
        <f t="shared" ref="VO53:XZ53" si="3515">VO50*0.65</f>
        <v>85545.157749999998</v>
      </c>
      <c r="VP53" s="486"/>
      <c r="VQ53" s="486">
        <f t="shared" ref="VQ53:YB53" si="3516">VQ50*0.65</f>
        <v>71721.958749999991</v>
      </c>
      <c r="VR53" s="486"/>
      <c r="VS53" s="486">
        <f t="shared" ref="VS53:YD53" si="3517">VS50*0.65</f>
        <v>94175.730999999985</v>
      </c>
      <c r="VT53" s="486"/>
      <c r="VU53" s="486">
        <f t="shared" ref="VU53:YF53" si="3518">VU50*0.65</f>
        <v>80135.207750000016</v>
      </c>
      <c r="VV53" s="486"/>
      <c r="VW53" s="486">
        <f t="shared" ref="VW53:YH53" si="3519">VW50*0.65</f>
        <v>101748.10425000002</v>
      </c>
      <c r="VX53" s="486"/>
      <c r="VY53" s="486">
        <f t="shared" ref="VY53:YJ53" si="3520">VY50*0.65</f>
        <v>90543.267749999999</v>
      </c>
      <c r="VZ53" s="486"/>
      <c r="WA53" s="486">
        <f t="shared" ref="WA53:YL53" si="3521">WA50*0.65</f>
        <v>129625.925</v>
      </c>
      <c r="WB53" s="486"/>
      <c r="WC53" s="486">
        <f t="shared" ref="WC53:YN53" si="3522">WC50*0.65</f>
        <v>123618.73550000001</v>
      </c>
      <c r="WD53" s="486"/>
      <c r="WE53" s="486">
        <f t="shared" ref="WE53:YP53" si="3523">WE50*0.65</f>
        <v>208245.35874999998</v>
      </c>
      <c r="WF53" s="486"/>
      <c r="WG53" s="486">
        <f t="shared" ref="WG53:YR53" si="3524">WG50*0.65</f>
        <v>198125.34300000002</v>
      </c>
      <c r="WH53" s="486"/>
      <c r="WI53" s="486">
        <f t="shared" ref="WI53:YT53" si="3525">WI50*0.65</f>
        <v>397627.56150000001</v>
      </c>
      <c r="WJ53" s="486"/>
      <c r="WK53" s="486">
        <f t="shared" ref="WK53:YV53" si="3526">WK50*0.65</f>
        <v>732268.61499999976</v>
      </c>
      <c r="WL53" s="486"/>
      <c r="WM53" s="486">
        <f t="shared" ref="WM53:YX53" si="3527">WM50*0.65</f>
        <v>113234.85550000002</v>
      </c>
      <c r="WN53" s="486"/>
      <c r="WO53" s="486">
        <f t="shared" ref="WO53:YZ53" si="3528">WO50*0.65</f>
        <v>99436.892750000014</v>
      </c>
      <c r="WP53" s="486"/>
      <c r="WQ53" s="486">
        <f t="shared" ref="WQ53:ZB53" si="3529">WQ50*0.65</f>
        <v>102175.50525000002</v>
      </c>
      <c r="WR53" s="486"/>
      <c r="WS53" s="486">
        <f t="shared" ref="WS53:ZD53" si="3530">WS50*0.65</f>
        <v>81876.9185</v>
      </c>
      <c r="WT53" s="486"/>
      <c r="WU53" s="486">
        <f t="shared" ref="WU53:ZF53" si="3531">WU50*0.65</f>
        <v>106880.94625000002</v>
      </c>
      <c r="WV53" s="486"/>
      <c r="WW53" s="486">
        <f t="shared" ref="WW53:ZH53" si="3532">WW50*0.65</f>
        <v>80938.572</v>
      </c>
      <c r="WX53" s="486"/>
      <c r="WY53" s="486">
        <f t="shared" ref="WY53:ZJ53" si="3533">WY50*0.65</f>
        <v>110055.07825000002</v>
      </c>
      <c r="WZ53" s="486"/>
      <c r="XA53" s="486">
        <f t="shared" ref="XA53:ZL53" si="3534">XA50*0.65</f>
        <v>85027.90400000001</v>
      </c>
      <c r="XB53" s="486"/>
      <c r="XC53" s="486">
        <f t="shared" ref="XC53:ZN53" si="3535">XC50*0.65</f>
        <v>111246.74925000001</v>
      </c>
      <c r="XD53" s="486"/>
      <c r="XE53" s="486">
        <f t="shared" ref="XE53:ZP53" si="3536">XE50*0.65</f>
        <v>102525.49775000001</v>
      </c>
      <c r="XF53" s="486"/>
      <c r="XG53" s="486">
        <f t="shared" ref="XG53:ZR53" si="3537">XG50*0.65</f>
        <v>142308.32849999997</v>
      </c>
      <c r="XH53" s="486"/>
      <c r="XI53" s="486">
        <f t="shared" ref="XI53:ZT53" si="3538">XI50*0.65</f>
        <v>142090.07149999999</v>
      </c>
      <c r="XJ53" s="486"/>
      <c r="XK53" s="486">
        <f t="shared" ref="XK53:ZV53" si="3539">XK50*0.65</f>
        <v>224061.35049999997</v>
      </c>
      <c r="XL53" s="486"/>
      <c r="XM53" s="486">
        <f t="shared" ref="XM53:ZX53" si="3540">XM50*0.65</f>
        <v>225769.74550000002</v>
      </c>
      <c r="XN53" s="486"/>
      <c r="XO53" s="486">
        <f t="shared" ref="XO53:ZZ53" si="3541">XO50*0.65</f>
        <v>909962.81350000005</v>
      </c>
      <c r="XP53" s="486"/>
      <c r="XQ53" s="486">
        <f t="shared" ref="XQ53:AAB53" si="3542">XQ50*0.65</f>
        <v>817665.60199999996</v>
      </c>
      <c r="XR53" s="486"/>
      <c r="XS53" s="486">
        <f t="shared" ref="XS53:AAD53" si="3543">XS50*0.65</f>
        <v>144996.45225</v>
      </c>
      <c r="XT53" s="486"/>
      <c r="XU53" s="486">
        <f t="shared" ref="XU53:AAF53" si="3544">XU50*0.65</f>
        <v>103981.08824999999</v>
      </c>
      <c r="XV53" s="486"/>
      <c r="XW53" s="486">
        <f t="shared" ref="XW53:AAH53" si="3545">XW50*0.65</f>
        <v>98654.728250000058</v>
      </c>
      <c r="XX53" s="486"/>
      <c r="XY53" s="486">
        <f t="shared" ref="XY53:AAJ53" si="3546">XY50*0.65</f>
        <v>87843.830749999994</v>
      </c>
      <c r="XZ53" s="486"/>
      <c r="YA53" s="486">
        <f t="shared" ref="YA53:AAL53" si="3547">YA50*0.65</f>
        <v>103224.9855</v>
      </c>
      <c r="YB53" s="486"/>
      <c r="YC53" s="486">
        <f t="shared" ref="YC53:AAN53" si="3548">YC50*0.65</f>
        <v>82389.846500000014</v>
      </c>
      <c r="YD53" s="486"/>
      <c r="YE53" s="486">
        <f t="shared" ref="YE53:AAP53" si="3549">YE50*0.65</f>
        <v>103308.29275000002</v>
      </c>
      <c r="YF53" s="486"/>
      <c r="YG53" s="486">
        <f t="shared" ref="YG53:AAR53" si="3550">YG50*0.65</f>
        <v>85065.769750000007</v>
      </c>
      <c r="YH53" s="486"/>
      <c r="YI53" s="486">
        <f t="shared" ref="YI53:AAT53" si="3551">YI50*0.65</f>
        <v>118766.35549999995</v>
      </c>
      <c r="YJ53" s="486"/>
      <c r="YK53" s="486">
        <f t="shared" ref="YK53:AAV53" si="3552">YK50*0.65</f>
        <v>103662.83850000001</v>
      </c>
      <c r="YL53" s="486"/>
      <c r="YM53" s="486">
        <f t="shared" ref="YM53:AAX53" si="3553">YM50*0.65</f>
        <v>160981.49275</v>
      </c>
      <c r="YN53" s="486"/>
      <c r="YO53" s="486">
        <f t="shared" ref="YO53:AAZ53" si="3554">YO50*0.65</f>
        <v>143076.16049999997</v>
      </c>
      <c r="YP53" s="486"/>
      <c r="YQ53" s="486">
        <f t="shared" ref="YQ53:ABB53" si="3555">YQ50*0.65</f>
        <v>256934.18400000001</v>
      </c>
      <c r="YR53" s="486"/>
      <c r="YS53" s="486">
        <f t="shared" ref="YS53:ABD53" si="3556">YS50*0.65</f>
        <v>225317.50475000002</v>
      </c>
      <c r="YT53" s="486"/>
      <c r="YU53" s="486">
        <f t="shared" ref="YU53:ABF53" si="3557">YU50*0.65</f>
        <v>986866.49099999992</v>
      </c>
      <c r="YV53" s="486"/>
      <c r="YW53" s="486">
        <f t="shared" ref="YW53:ABH53" si="3558">YW50*0.65</f>
        <v>831337.03900000011</v>
      </c>
      <c r="YX53" s="486"/>
      <c r="YY53" s="486">
        <f t="shared" ref="YY53:ABJ53" si="3559">YY50*0.65</f>
        <v>144215.78925</v>
      </c>
      <c r="YZ53" s="486"/>
      <c r="ZA53" s="486">
        <f t="shared" ref="ZA53:ABL53" si="3560">ZA50*0.65</f>
        <v>119635.90600000006</v>
      </c>
      <c r="ZB53" s="486"/>
      <c r="ZC53" s="486">
        <f t="shared" ref="ZC53:ABN53" si="3561">ZC50*0.65</f>
        <v>119518.40550000002</v>
      </c>
      <c r="ZD53" s="486"/>
      <c r="ZE53" s="486">
        <f t="shared" ref="ZE53:ABP53" si="3562">ZE50*0.65</f>
        <v>104236.62924999997</v>
      </c>
      <c r="ZF53" s="486"/>
      <c r="ZG53" s="486">
        <f t="shared" ref="ZG53:ABR53" si="3563">ZG50*0.65</f>
        <v>141781.06800000003</v>
      </c>
      <c r="ZH53" s="486"/>
      <c r="ZI53" s="486">
        <f t="shared" ref="ZI53:ABT53" si="3564">ZI50*0.65</f>
        <v>124186.088</v>
      </c>
      <c r="ZJ53" s="486"/>
      <c r="ZK53" s="486">
        <f t="shared" ref="ZK53:ABV53" si="3565">ZK50*0.65</f>
        <v>185113.24000000008</v>
      </c>
      <c r="ZL53" s="486">
        <f t="shared" si="3565"/>
        <v>120267.0485835</v>
      </c>
      <c r="ZM53" s="486">
        <f t="shared" ref="ZM53:ABX53" si="3566">ZM50*0.65</f>
        <v>141376.82324999999</v>
      </c>
      <c r="ZN53" s="486"/>
      <c r="ZO53" s="486">
        <f t="shared" ref="ZO53:ABZ53" si="3567">ZO50*0.65</f>
        <v>214801.25224999999</v>
      </c>
      <c r="ZP53" s="486">
        <f t="shared" ref="ZP53" si="3568">ZP50*0.65</f>
        <v>140311.55668074999</v>
      </c>
      <c r="ZQ53" s="486">
        <f t="shared" ref="ZQ53:ACB53" si="3569">ZQ50*0.65</f>
        <v>160742.72500000001</v>
      </c>
      <c r="ZR53" s="486"/>
      <c r="ZS53" s="486">
        <f t="shared" ref="ZS53:ACD53" si="3570">ZS50*0.65</f>
        <v>166786.35675000004</v>
      </c>
      <c r="ZT53" s="486"/>
      <c r="ZU53" s="486">
        <f t="shared" ref="ZU53:ACF53" si="3571">ZU50*0.65</f>
        <v>220993.15875</v>
      </c>
      <c r="ZV53" s="486"/>
      <c r="ZW53" s="486">
        <f t="shared" ref="ZW53:ACH53" si="3572">ZW50*0.65</f>
        <v>197150.88575000004</v>
      </c>
      <c r="ZX53" s="486"/>
      <c r="ZY53" s="486">
        <f t="shared" ref="ZY53:ACJ53" si="3573">ZY50*0.65</f>
        <v>314745.28800000012</v>
      </c>
      <c r="ZZ53" s="486"/>
      <c r="AAA53" s="486">
        <f t="shared" ref="AAA53:ACL53" si="3574">AAA50*0.65</f>
        <v>1169366.9975000001</v>
      </c>
      <c r="AAB53" s="486"/>
      <c r="AAC53" s="486">
        <f t="shared" ref="AAC53:ACN53" si="3575">AAC50*0.65</f>
        <v>1185916.6182499998</v>
      </c>
      <c r="AAD53" s="486"/>
      <c r="AAE53" s="486">
        <f t="shared" ref="AAE53:ACP53" si="3576">AAE50*0.65</f>
        <v>127683.74450000004</v>
      </c>
      <c r="AAF53" s="486"/>
      <c r="AAG53" s="486">
        <f t="shared" ref="AAG53:ACR53" si="3577">AAG50*0.65</f>
        <v>141010.98699999999</v>
      </c>
      <c r="AAH53" s="486"/>
      <c r="AAI53" s="486">
        <f t="shared" ref="AAI53:ACT53" si="3578">AAI50*0.65</f>
        <v>99685.940249999971</v>
      </c>
      <c r="AAJ53" s="486"/>
      <c r="AAK53" s="486">
        <f t="shared" ref="AAK53:ACV53" si="3579">AAK50*0.65</f>
        <v>111739.27375000001</v>
      </c>
      <c r="AAL53" s="486"/>
      <c r="AAM53" s="486">
        <f t="shared" ref="AAM53:ACX53" si="3580">AAM50*0.65</f>
        <v>100390.08849999998</v>
      </c>
      <c r="AAN53" s="486"/>
      <c r="AAO53" s="486">
        <f t="shared" ref="AAO53:ACZ53" si="3581">AAO50*0.65</f>
        <v>83271.63</v>
      </c>
      <c r="AAP53" s="486"/>
      <c r="AAQ53" s="486">
        <f t="shared" ref="AAQ53:ADB53" si="3582">AAQ50*0.65</f>
        <v>85937.101249999992</v>
      </c>
      <c r="AAR53" s="486">
        <f t="shared" ref="AAR53" si="3583">AAR50*0.65</f>
        <v>93993.72372390001</v>
      </c>
      <c r="AAS53" s="486">
        <f t="shared" ref="AAS53:ADD53" si="3584">AAS50*0.65</f>
        <v>81124.579249999995</v>
      </c>
      <c r="AAT53" s="486"/>
      <c r="AAU53" s="486">
        <f t="shared" ref="AAU53:ADF53" si="3585">AAU50*0.65</f>
        <v>101524.62775000001</v>
      </c>
      <c r="AAV53" s="486">
        <f t="shared" ref="AAV53" si="3586">AAV50*0.65</f>
        <v>109659.34434455002</v>
      </c>
      <c r="AAW53" s="486">
        <f t="shared" ref="AAW53:ADH53" si="3587">AAW50*0.65</f>
        <v>87648.905500000023</v>
      </c>
      <c r="AAX53" s="486"/>
      <c r="AAY53" s="486">
        <f t="shared" ref="AAY53:ADJ53" si="3588">AAY50*0.65</f>
        <v>124573.81299999999</v>
      </c>
      <c r="AAZ53" s="486"/>
      <c r="ABA53" s="486">
        <f t="shared" ref="ABA53:ADL53" si="3589">ABA50*0.65</f>
        <v>125174.39025000001</v>
      </c>
      <c r="ABB53" s="486"/>
      <c r="ABC53" s="486">
        <f t="shared" ref="ABC53:ADN53" si="3590">ABC50*0.65</f>
        <v>224218.63100000008</v>
      </c>
      <c r="ABD53" s="486"/>
      <c r="ABE53" s="486">
        <f t="shared" ref="ABE53:ADP53" si="3591">ABE50*0.65</f>
        <v>206738.00550000003</v>
      </c>
      <c r="ABF53" s="486"/>
      <c r="ABG53" s="486">
        <f t="shared" ref="ABG53:ADR53" si="3592">ABG50*0.65</f>
        <v>864013.94624999992</v>
      </c>
      <c r="ABH53" s="486"/>
      <c r="ABI53" s="486">
        <f t="shared" ref="ABI53:ADT53" si="3593">ABI50*0.65</f>
        <v>836707.77125000011</v>
      </c>
      <c r="ABJ53" s="486"/>
      <c r="ABK53" s="486">
        <f t="shared" ref="ABK53:ADV53" si="3594">ABK50*0.65</f>
        <v>131942.13499999998</v>
      </c>
      <c r="ABL53" s="486"/>
      <c r="ABM53" s="486">
        <f t="shared" ref="ABM53:ADX53" si="3595">ABM50*0.65</f>
        <v>109579.51225000001</v>
      </c>
      <c r="ABN53" s="486"/>
      <c r="ABO53" s="486">
        <f t="shared" ref="ABO53:ADZ53" si="3596">ABO50*0.65</f>
        <v>92539.157749999998</v>
      </c>
      <c r="ABP53" s="486"/>
      <c r="ABQ53" s="486">
        <f t="shared" ref="ABQ53:AEB53" si="3597">ABQ50*0.65</f>
        <v>89526.277750000008</v>
      </c>
      <c r="ABR53" s="486"/>
      <c r="ABS53" s="486">
        <f t="shared" ref="ABS53:AED53" si="3598">ABS50*0.65</f>
        <v>74522.200999999986</v>
      </c>
      <c r="ABT53" s="486"/>
      <c r="ABU53" s="486">
        <f t="shared" ref="ABU53:AEF53" si="3599">ABU50*0.65</f>
        <v>83502.974750000008</v>
      </c>
      <c r="ABV53" s="486"/>
      <c r="ABW53" s="486">
        <f t="shared" ref="ABW53:AEH53" si="3600">ABW50*0.65</f>
        <v>96862.554749999981</v>
      </c>
      <c r="ABX53" s="486"/>
      <c r="ABY53" s="486">
        <f t="shared" ref="ABY53:AEJ53" si="3601">ABY50*0.65</f>
        <v>97846.703500000032</v>
      </c>
      <c r="ABZ53" s="486"/>
      <c r="ACA53" s="486">
        <f t="shared" ref="ACA53:AEL53" si="3602">ACA50*0.65</f>
        <v>136577.42800000001</v>
      </c>
      <c r="ACB53" s="486"/>
      <c r="ACC53" s="486">
        <f t="shared" ref="ACC53:AEN53" si="3603">ACC50*0.65</f>
        <v>109514.84375</v>
      </c>
      <c r="ACD53" s="486"/>
      <c r="ACE53" s="486">
        <f t="shared" ref="ACE53:AEP53" si="3604">ACE50*0.65</f>
        <v>222475.06774999996</v>
      </c>
      <c r="ACF53" s="486"/>
      <c r="ACG53" s="486">
        <f t="shared" ref="ACG53:AER53" si="3605">ACG50*0.65</f>
        <v>162444.10325000001</v>
      </c>
      <c r="ACH53" s="486"/>
      <c r="ACI53" s="486">
        <f t="shared" ref="ACI53:AET53" si="3606">ACI50*0.65</f>
        <v>359241.38899999997</v>
      </c>
      <c r="ACJ53" s="486"/>
      <c r="ACK53" s="486">
        <f t="shared" ref="ACK53:AEV53" si="3607">ACK50*0.65</f>
        <v>269952.48800000007</v>
      </c>
      <c r="ACL53" s="486"/>
      <c r="ACM53" s="486">
        <f t="shared" ref="ACM53:AEX53" si="3608">ACM50*0.65</f>
        <v>1114159.93325</v>
      </c>
      <c r="ACN53" s="486"/>
      <c r="ACO53" s="486">
        <f t="shared" ref="ACO53:AEZ53" si="3609">ACO50*0.65</f>
        <v>922366.90324999997</v>
      </c>
      <c r="ACP53" s="486"/>
      <c r="ACQ53" s="486">
        <f t="shared" ref="ACQ53:AFB53" si="3610">ACQ50*0.65</f>
        <v>250645.47300000003</v>
      </c>
      <c r="ACR53" s="486"/>
      <c r="ACS53" s="486">
        <f t="shared" ref="ACS53:AFD53" si="3611">ACS50*0.65</f>
        <v>169924.60875000001</v>
      </c>
      <c r="ACT53" s="486"/>
      <c r="ACU53" s="486">
        <f t="shared" ref="ACU53:AFF53" si="3612">ACU50*0.65</f>
        <v>252294.95849999995</v>
      </c>
      <c r="ACV53" s="486"/>
      <c r="ACW53" s="486">
        <f t="shared" ref="ACW53:AFH53" si="3613">ACW50*0.65</f>
        <v>177201.19624999998</v>
      </c>
      <c r="ACX53" s="486"/>
      <c r="ACY53" s="486">
        <f t="shared" ref="ACY53:AFJ53" si="3614">ACY50*0.65</f>
        <v>125864.68700000001</v>
      </c>
      <c r="ACZ53" s="486"/>
      <c r="ADA53" s="486">
        <f t="shared" ref="ADA53:AFL53" si="3615">ADA50*0.65</f>
        <v>114853.48550000001</v>
      </c>
      <c r="ADB53" s="486"/>
      <c r="ADC53" s="486">
        <f t="shared" ref="ADC53:AFN53" si="3616">ADC50*0.65</f>
        <v>107523.3835</v>
      </c>
      <c r="ADD53" s="486"/>
      <c r="ADE53" s="486">
        <f t="shared" ref="ADE53:AFP53" si="3617">ADE50*0.65</f>
        <v>102825.01450000002</v>
      </c>
      <c r="ADF53" s="486"/>
      <c r="ADG53" s="486">
        <f t="shared" ref="ADG53:AFR53" si="3618">ADG50*0.65</f>
        <v>135250.28724999999</v>
      </c>
      <c r="ADH53" s="486"/>
      <c r="ADI53" s="486">
        <f t="shared" ref="ADI53:AFT53" si="3619">ADI50*0.65</f>
        <v>116589.86300000001</v>
      </c>
      <c r="ADJ53" s="486"/>
      <c r="ADK53" s="486">
        <f t="shared" ref="ADK53:AFV53" si="3620">ADK50*0.65</f>
        <v>173300.03925</v>
      </c>
      <c r="ADL53" s="486"/>
      <c r="ADM53" s="486">
        <f t="shared" ref="ADM53:AFX53" si="3621">ADM50*0.65</f>
        <v>149541.45050000001</v>
      </c>
      <c r="ADN53" s="486"/>
      <c r="ADO53" s="486">
        <f t="shared" ref="ADO53:AET53" si="3622">ADO50*0.65</f>
        <v>262513.82624999998</v>
      </c>
      <c r="ADP53" s="486"/>
      <c r="ADQ53" s="486">
        <f t="shared" ref="ADQ53:AEV53" si="3623">ADQ50*0.65</f>
        <v>227396.93275000001</v>
      </c>
      <c r="ADR53" s="486"/>
      <c r="ADS53" s="486">
        <f t="shared" ref="ADS53:AEX53" si="3624">ADS50*0.65</f>
        <v>1270658.6912500001</v>
      </c>
      <c r="ADT53" s="486"/>
      <c r="ADU53" s="486">
        <f t="shared" ref="ADU53:AEZ53" si="3625">ADU50*0.65</f>
        <v>1058332.55125</v>
      </c>
      <c r="ADV53" s="486"/>
      <c r="ADW53" s="486">
        <f t="shared" ref="ADW53:AFB53" si="3626">ADW50*0.65</f>
        <v>162332.39425000001</v>
      </c>
      <c r="ADX53" s="486"/>
      <c r="ADY53" s="486">
        <f t="shared" ref="ADY53:AFD53" si="3627">ADY50*0.65</f>
        <v>138767.20975000001</v>
      </c>
      <c r="ADZ53" s="486"/>
      <c r="AEA53" s="486">
        <f t="shared" ref="AEA53:AFF53" si="3628">AEA50*0.65</f>
        <v>141461.84649999999</v>
      </c>
      <c r="AEB53" s="486"/>
      <c r="AEC53" s="486">
        <f t="shared" ref="AEC53:AFH53" si="3629">AEC50*0.65</f>
        <v>123914.7</v>
      </c>
      <c r="AED53" s="486"/>
      <c r="AEE53" s="486">
        <f t="shared" ref="AEE53:AFJ53" si="3630">AEE50*0.65</f>
        <v>134353.31325000004</v>
      </c>
      <c r="AEF53" s="486"/>
      <c r="AEG53" s="486">
        <f t="shared" ref="AEG53:AFL53" si="3631">AEG50*0.65</f>
        <v>126648.6</v>
      </c>
      <c r="AEH53" s="486"/>
      <c r="AEI53" s="486">
        <f t="shared" ref="AEI53:AFN53" si="3632">AEI50*0.65</f>
        <v>126220.79600000002</v>
      </c>
      <c r="AEJ53" s="486"/>
      <c r="AEK53" s="486">
        <f t="shared" ref="AEK53:AFP53" si="3633">AEK50*0.65</f>
        <v>137474.02499999999</v>
      </c>
      <c r="AEL53" s="486"/>
      <c r="AEM53" s="486">
        <f t="shared" ref="AEM53:AFR53" si="3634">AEM50*0.65</f>
        <v>168866.17475000001</v>
      </c>
      <c r="AEN53" s="486"/>
      <c r="AEO53" s="486">
        <f t="shared" ref="AEO53:AFT53" si="3635">AEO50*0.65</f>
        <v>140156.25</v>
      </c>
      <c r="AEP53" s="486"/>
      <c r="AEQ53" s="486">
        <f t="shared" ref="AEQ53:AFV53" si="3636">AEQ50*0.65</f>
        <v>243755.62900000002</v>
      </c>
      <c r="AER53" s="486"/>
      <c r="AES53" s="486">
        <f t="shared" ref="AES53:AFX53" si="3637">AES50*0.65</f>
        <v>123175.97500000001</v>
      </c>
      <c r="AET53" s="486"/>
      <c r="AEU53" s="486">
        <f t="shared" ref="AEU53:AFZ53" si="3638">AEU50*0.65</f>
        <v>378469.42249999993</v>
      </c>
      <c r="AEV53" s="486"/>
      <c r="AEW53" s="486">
        <f t="shared" ref="AEW53:AGB53" si="3639">AEW50*0.65</f>
        <v>294267.02500000002</v>
      </c>
      <c r="AEX53" s="486"/>
      <c r="AEY53" s="486">
        <f t="shared" ref="AEY53:AGD53" si="3640">AEY50*0.65</f>
        <v>1332586.6059999999</v>
      </c>
      <c r="AEZ53" s="486"/>
      <c r="AFA53" s="486">
        <f t="shared" ref="AFA53:AGF53" si="3641">AFA50*0.65</f>
        <v>1084403.7847499999</v>
      </c>
      <c r="AFB53" s="486"/>
      <c r="AFC53" s="486">
        <f t="shared" ref="AFC53:AGH53" si="3642">AFC50*0.65</f>
        <v>222386.72950000002</v>
      </c>
      <c r="AFD53" s="486"/>
      <c r="AFE53" s="486">
        <f t="shared" ref="AFE53:AGJ53" si="3643">AFE50*0.65</f>
        <v>158472.6</v>
      </c>
      <c r="AFF53" s="486"/>
      <c r="AFG53" s="486">
        <f t="shared" ref="AFG53:AGL53" si="3644">AFG50*0.65</f>
        <v>199511.87424999999</v>
      </c>
      <c r="AFH53" s="486"/>
      <c r="AFI53" s="486">
        <f t="shared" ref="AFI53:AGN53" si="3645">AFI50*0.65</f>
        <v>150787.58175000001</v>
      </c>
      <c r="AFJ53" s="486"/>
      <c r="AFK53" s="486">
        <f t="shared" ref="AFK53:AGP53" si="3646">AFK50*0.65</f>
        <v>191952.31575000001</v>
      </c>
      <c r="AFL53" s="486"/>
      <c r="AFM53" s="486">
        <f t="shared" ref="AFM53:AGR53" si="3647">AFM50*0.65</f>
        <v>172202.94324999998</v>
      </c>
      <c r="AFN53" s="486"/>
      <c r="AFO53" s="486">
        <f t="shared" ref="AFO53:AGT53" si="3648">AFO50*0.65</f>
        <v>212554.745</v>
      </c>
      <c r="AFP53" s="486"/>
      <c r="AFQ53" s="486">
        <f t="shared" ref="AFQ53:AGV53" si="3649">AFQ50*0.65</f>
        <v>178389.47425</v>
      </c>
      <c r="AFR53" s="486"/>
      <c r="AFS53" s="486">
        <f t="shared" ref="AFS53:AGX53" si="3650">AFS50*0.65</f>
        <v>240810.29375000004</v>
      </c>
      <c r="AFT53" s="486"/>
      <c r="AFU53" s="486">
        <f t="shared" ref="AFU53:AGZ53" si="3651">AFU50*0.65</f>
        <v>211348.39375000002</v>
      </c>
      <c r="AFV53" s="486"/>
      <c r="AFW53" s="486">
        <f t="shared" ref="AFW53:AHB53" si="3652">AFW50*0.65</f>
        <v>301679.66725</v>
      </c>
      <c r="AFX53" s="486"/>
      <c r="AFY53" s="486">
        <f t="shared" ref="AFY53:AHD53" si="3653">AFY50*0.65</f>
        <v>249470.37049999996</v>
      </c>
      <c r="AFZ53" s="486"/>
      <c r="AGA53" s="486">
        <f t="shared" ref="AGA53:AHF53" si="3654">AGA50*0.65</f>
        <v>471192.52049999998</v>
      </c>
      <c r="AGB53" s="486"/>
      <c r="AGC53" s="486">
        <f t="shared" ref="AGC53:AHH53" si="3655">AGC50*0.65</f>
        <v>403511.67350000003</v>
      </c>
      <c r="AGD53" s="486"/>
      <c r="AGE53" s="486">
        <f t="shared" ref="AGE53:AHJ53" si="3656">AGE50*0.65</f>
        <v>1798770.0347500003</v>
      </c>
      <c r="AGF53" s="486"/>
      <c r="AGG53" s="486">
        <f t="shared" ref="AGG53:AHL53" si="3657">AGG50*0.65</f>
        <v>1524183.037</v>
      </c>
      <c r="AGH53" s="486"/>
      <c r="AGI53" s="486">
        <f t="shared" ref="AGI53:AHN53" si="3658">AGI50*0.65</f>
        <v>310637.11575000006</v>
      </c>
      <c r="AGJ53" s="486"/>
      <c r="AGK53" s="486">
        <f t="shared" ref="AGK53:AHP53" si="3659">AGK50*0.65</f>
        <v>214298.42525</v>
      </c>
      <c r="AGL53" s="486"/>
      <c r="AGM53" s="486">
        <f t="shared" ref="AGM53:AHR53" si="3660">AGM50*0.65</f>
        <v>201956.29675000001</v>
      </c>
      <c r="AGN53" s="486"/>
      <c r="AGO53" s="486">
        <f t="shared" ref="AGO53:AHT53" si="3661">AGO50*0.65</f>
        <v>193492.63049999994</v>
      </c>
      <c r="AGP53" s="486"/>
      <c r="AGQ53" s="486">
        <f t="shared" ref="AGQ53:AHV53" si="3662">AGQ50*0.65</f>
        <v>248051.89825</v>
      </c>
      <c r="AGR53" s="486"/>
      <c r="AGS53" s="486">
        <f t="shared" ref="AGS53:AHX53" si="3663">AGS50*0.65</f>
        <v>186494.78575000001</v>
      </c>
      <c r="AGT53" s="486"/>
      <c r="AGU53" s="486">
        <f t="shared" ref="AGU53:AHZ53" si="3664">AGU50*0.65</f>
        <v>268215.15499999997</v>
      </c>
      <c r="AGV53" s="486"/>
      <c r="AGW53" s="486">
        <f t="shared" ref="AGW53:AIB53" si="3665">AGW50*0.65</f>
        <v>219246.21225000004</v>
      </c>
      <c r="AGX53" s="486"/>
      <c r="AGY53" s="486">
        <f t="shared" ref="AGY53:AID53" si="3666">AGY50*0.65</f>
        <v>309485.98524999997</v>
      </c>
      <c r="AGZ53" s="486"/>
      <c r="AHA53" s="486">
        <f t="shared" ref="AHA53:AIF53" si="3667">AHA50*0.65</f>
        <v>222905.94950000008</v>
      </c>
      <c r="AHB53" s="486"/>
      <c r="AHC53" s="486">
        <f t="shared" ref="AHC53:AIH53" si="3668">AHC50*0.65</f>
        <v>377859.72575000004</v>
      </c>
      <c r="AHD53" s="486"/>
      <c r="AHE53" s="486">
        <f t="shared" ref="AHE53:AIJ53" si="3669">AHE50*0.65</f>
        <v>277801.30625000002</v>
      </c>
      <c r="AHF53" s="486"/>
      <c r="AHG53" s="486">
        <f t="shared" ref="AHG53:AIL53" si="3670">AHG50*0.65</f>
        <v>520523.05824999994</v>
      </c>
      <c r="AHH53" s="486"/>
      <c r="AHI53" s="486">
        <f t="shared" ref="AHI53:AIN53" si="3671">AHI50*0.65</f>
        <v>417939.21</v>
      </c>
      <c r="AHJ53" s="486"/>
      <c r="AHK53" s="486">
        <f t="shared" ref="AHK53:AIP53" si="3672">AHK50*0.65</f>
        <v>2177316.7487500003</v>
      </c>
      <c r="AHL53" s="486"/>
      <c r="AHM53" s="486">
        <f t="shared" ref="AHM53:AIR53" si="3673">AHM50*0.65</f>
        <v>1732178.5194999999</v>
      </c>
      <c r="AHN53" s="486"/>
      <c r="AHO53" s="486">
        <f t="shared" ref="AHO53:AIT53" si="3674">AHO50*0.65</f>
        <v>380658.35599999985</v>
      </c>
      <c r="AHP53" s="486"/>
      <c r="AHQ53" s="486">
        <f t="shared" ref="AHQ53:AIV53" si="3675">AHQ50*0.65</f>
        <v>262824.38974999991</v>
      </c>
      <c r="AHR53" s="486"/>
      <c r="AHS53" s="486">
        <f t="shared" ref="AHS53:AIX53" si="3676">AHS50*0.65</f>
        <v>352128.53975</v>
      </c>
      <c r="AHT53" s="486"/>
      <c r="AHU53" s="486">
        <f t="shared" ref="AHU53:AIZ53" si="3677">AHU50*0.65</f>
        <v>261725.4477499999</v>
      </c>
      <c r="AHV53" s="486"/>
      <c r="AHW53" s="486">
        <f t="shared" ref="AHW53:AJB53" si="3678">AHW50*0.65</f>
        <v>350968.45549999998</v>
      </c>
      <c r="AHX53" s="486"/>
      <c r="AHY53" s="486">
        <f t="shared" ref="AHY53:AJD53" si="3679">AHY50*0.65</f>
        <v>260336.83324999994</v>
      </c>
      <c r="AHZ53" s="486"/>
      <c r="AIA53" s="486">
        <f t="shared" ref="AIA53:AJF53" si="3680">AIA50*0.65</f>
        <v>373888.92774999992</v>
      </c>
      <c r="AIB53" s="486"/>
      <c r="AIC53" s="486">
        <f t="shared" ref="AIC53:AJH53" si="3681">AIC50*0.65</f>
        <v>301186.33350000001</v>
      </c>
      <c r="AID53" s="486"/>
      <c r="AIE53" s="486">
        <f t="shared" ref="AIE53:AJJ53" si="3682">AIE50*0.65</f>
        <v>374194.86650000006</v>
      </c>
      <c r="AIF53" s="486"/>
      <c r="AIG53" s="486">
        <f t="shared" ref="AIG53:AJL53" si="3683">AIG50*0.65</f>
        <v>329451.94750000001</v>
      </c>
      <c r="AIH53" s="486"/>
      <c r="AII53" s="486">
        <f t="shared" ref="AII53:AJN53" si="3684">AII50*0.65</f>
        <v>443205.3079999999</v>
      </c>
      <c r="AIJ53" s="486"/>
      <c r="AIK53" s="486">
        <f t="shared" ref="AIK53:AJP53" si="3685">AIK50*0.65</f>
        <v>352384.87049999996</v>
      </c>
      <c r="AIL53" s="486"/>
      <c r="AIM53" s="486">
        <f t="shared" ref="AIM53:AJR53" si="3686">AIM50*0.65</f>
        <v>600012.59175000002</v>
      </c>
      <c r="AIN53" s="486"/>
      <c r="AIO53" s="486">
        <f t="shared" ref="AIO53:AJT53" si="3687">AIO50*0.65</f>
        <v>484141.97650000005</v>
      </c>
      <c r="AIP53" s="486"/>
      <c r="AIQ53" s="486">
        <f t="shared" ref="AIQ53:AJV53" si="3688">AIQ50*0.65</f>
        <v>2807972.4172500009</v>
      </c>
      <c r="AIR53" s="486"/>
      <c r="AIS53" s="486">
        <f t="shared" ref="AIS53:AJX53" si="3689">AIS50*0.65</f>
        <v>2252051.7987500001</v>
      </c>
      <c r="AIT53" s="486"/>
      <c r="AIU53" s="486">
        <f t="shared" ref="AIU53:AJZ53" si="3690">AIU50*0.65</f>
        <v>311313.15851999994</v>
      </c>
      <c r="AIV53" s="486"/>
      <c r="AIW53" s="486">
        <f t="shared" ref="AIW53:AKB53" si="3691">AIW50*0.65</f>
        <v>412024.34974999994</v>
      </c>
      <c r="AIX53" s="486"/>
      <c r="AIY53" s="486">
        <f t="shared" ref="AIY53:AKD53" si="3692">AIY50*0.65</f>
        <v>311313.15851999994</v>
      </c>
      <c r="AIZ53" s="486"/>
      <c r="AJA53" s="486">
        <f t="shared" ref="AJA53:AKF53" si="3693">AJA50*0.65</f>
        <v>476477.77125000005</v>
      </c>
      <c r="AJB53" s="486"/>
      <c r="AJC53" s="486">
        <f t="shared" ref="AJC53:AKH53" si="3694">AJC50*0.65</f>
        <v>311313.15851999994</v>
      </c>
      <c r="AJD53" s="486"/>
      <c r="AJE53" s="486">
        <f t="shared" ref="AJE53:AKJ53" si="3695">AJE50*0.65</f>
        <v>527786.67174999998</v>
      </c>
      <c r="AJF53" s="486"/>
      <c r="AJG53" s="486">
        <f t="shared" ref="AJG53:AKL53" si="3696">AJG50*0.65</f>
        <v>311313.15851999994</v>
      </c>
      <c r="AJH53" s="486"/>
      <c r="AJI53" s="486">
        <f t="shared" ref="AJI53:AKN53" si="3697">AJI50*0.65</f>
        <v>561919.92674999998</v>
      </c>
      <c r="AJJ53" s="486"/>
      <c r="AJK53" s="486">
        <f t="shared" ref="AJK53:ALF53" si="3698">AJK50*0.65</f>
        <v>363198.68494000006</v>
      </c>
      <c r="AJL53" s="486"/>
      <c r="AJM53" s="486">
        <f t="shared" ref="AJM53:ALF53" si="3699">AJM50*0.65</f>
        <v>748641.6925</v>
      </c>
      <c r="AJN53" s="486"/>
      <c r="AJO53" s="486">
        <f t="shared" ref="AJO53:ALF53" si="3700">AJO50*0.65</f>
        <v>415084.21136000007</v>
      </c>
      <c r="AJP53" s="486"/>
      <c r="AJQ53" s="486">
        <f t="shared" ref="AJQ53:ALF53" si="3701">AJQ50*0.65</f>
        <v>685867.83850000007</v>
      </c>
      <c r="AJR53" s="486"/>
      <c r="AJS53" s="486">
        <f t="shared" ref="AJS53:ALF53" si="3702">AJS50*0.65</f>
        <v>570740.79061999999</v>
      </c>
      <c r="AJT53" s="486"/>
      <c r="AJU53" s="486">
        <f t="shared" ref="AJU53:ALF53" si="3703">AJU50*0.65</f>
        <v>4082.962</v>
      </c>
      <c r="AJV53" s="486"/>
      <c r="AJW53" s="486">
        <f t="shared" ref="AJW53:ALF53" si="3704">AJW50*0.65</f>
        <v>2594276.321</v>
      </c>
      <c r="AJX53" s="486"/>
      <c r="AJY53" s="486">
        <f t="shared" ref="AJY53:ALF53" si="3705">AJY50*0.65</f>
        <v>3416801.2124999999</v>
      </c>
      <c r="AJZ53" s="486"/>
      <c r="AKA53" s="486">
        <f t="shared" ref="AKA53:ALF53" si="3706">AKA50*0.65</f>
        <v>112236.36918000001</v>
      </c>
      <c r="AKB53" s="486"/>
      <c r="AKC53" s="486">
        <f t="shared" ref="AKC53:ALF53" si="3707">AKC50*0.65</f>
        <v>136767.81625</v>
      </c>
      <c r="AKD53" s="486"/>
      <c r="AKE53" s="486">
        <f t="shared" ref="AKE53:ALF53" si="3708">AKE50*0.65</f>
        <v>112236.36918000001</v>
      </c>
      <c r="AKF53" s="486"/>
      <c r="AKG53" s="486">
        <f t="shared" ref="AKG53:ALF53" si="3709">AKG50*0.65</f>
        <v>159392.41824999999</v>
      </c>
      <c r="AKH53" s="486"/>
      <c r="AKI53" s="486">
        <f t="shared" ref="AKI53:ALF53" si="3710">AKI50*0.65</f>
        <v>112236.36918000001</v>
      </c>
      <c r="AKJ53" s="486"/>
      <c r="AKK53" s="486">
        <f t="shared" ref="AKK53:ALF53" si="3711">AKK50*0.65</f>
        <v>147035.76550000004</v>
      </c>
      <c r="AKL53" s="486"/>
      <c r="AKM53" s="486">
        <f t="shared" ref="AKM53:ALF53" si="3712">AKM50*0.65</f>
        <v>112236.36918000001</v>
      </c>
      <c r="AKN53" s="486"/>
      <c r="AKO53" s="486">
        <f t="shared" ref="AKO53:ALF53" si="3713">AKO50*0.65</f>
        <v>163476.95975000001</v>
      </c>
      <c r="AKP53" s="486"/>
      <c r="AKQ53" s="486">
        <f t="shared" ref="AKQ53:ALF53" si="3714">AKQ50*0.65</f>
        <v>130942.43071000003</v>
      </c>
      <c r="AKR53" s="486"/>
      <c r="AKS53" s="486">
        <f t="shared" ref="AKS53:ALF53" si="3715">AKS50*0.65</f>
        <v>201488.84600000002</v>
      </c>
      <c r="AKT53" s="486"/>
      <c r="AKU53" s="486">
        <f t="shared" ref="AKU53:ALF53" si="3716">AKU50*0.65</f>
        <v>149648.49223999999</v>
      </c>
      <c r="AKV53" s="486"/>
      <c r="AKW53" s="486">
        <f t="shared" ref="AKW53:ALF53" si="3717">AKW50*0.65</f>
        <v>167947.85800000001</v>
      </c>
      <c r="AKX53" s="486"/>
      <c r="AKY53" s="486">
        <f t="shared" ref="AKY53:ALF53" si="3718">AKY50*0.65</f>
        <v>205766.67682999998</v>
      </c>
      <c r="AKZ53" s="486"/>
      <c r="ALA53" s="486">
        <f t="shared" ref="ALA53:ALF53" si="3719">ALA50*0.65</f>
        <v>1093.17</v>
      </c>
      <c r="ALB53" s="486"/>
      <c r="ALC53" s="486">
        <f t="shared" ref="ALC53:ALF53" si="3720">ALC50*0.65</f>
        <v>935303.07649999997</v>
      </c>
      <c r="ALD53" s="486"/>
      <c r="ALE53" s="486">
        <f t="shared" ref="ALE53:ALF53" si="3721">ALE50*0.65</f>
        <v>977202.83375000011</v>
      </c>
      <c r="ALF53" s="486"/>
    </row>
    <row r="54" spans="2:994">
      <c r="B54" s="690" t="s">
        <v>492</v>
      </c>
      <c r="AE54" s="486">
        <f t="shared" ref="AE54:CP54" si="3722">(AE47*0.5)*0.1</f>
        <v>0</v>
      </c>
      <c r="AF54" s="486"/>
      <c r="AG54" s="486">
        <f t="shared" ref="AG52:AG54" si="3723">$AG$50*0.1</f>
        <v>123371.319</v>
      </c>
      <c r="AH54" s="486"/>
      <c r="AI54" s="486">
        <f t="shared" ref="AI54:CT54" si="3724">(AI47*0.5)*0.1</f>
        <v>0</v>
      </c>
      <c r="AJ54" s="486"/>
      <c r="AK54" s="486">
        <f t="shared" ref="AK54:CV54" si="3725">(AK47*0.5)*0.1</f>
        <v>0</v>
      </c>
      <c r="AL54" s="486"/>
      <c r="AM54" s="486">
        <f t="shared" ref="AM54:CX54" si="3726">(AM47*0.5)*0.1</f>
        <v>0</v>
      </c>
      <c r="AN54" s="486"/>
      <c r="AO54" s="486">
        <f t="shared" ref="AO54:CZ54" si="3727">(AO47*0.5)*0.1</f>
        <v>0</v>
      </c>
      <c r="AP54" s="486"/>
      <c r="AQ54" s="486">
        <f t="shared" ref="AQ54:DB54" si="3728">(AQ47*0.5)*0.1</f>
        <v>0</v>
      </c>
      <c r="AR54" s="486"/>
      <c r="AS54" s="486">
        <f t="shared" ref="AS54:DD54" si="3729">(AS47*0.5)*0.1</f>
        <v>0</v>
      </c>
      <c r="AT54" s="486"/>
      <c r="AU54" s="486">
        <f t="shared" ref="AU54:DF54" si="3730">(AU47*0.5)*0.1</f>
        <v>0</v>
      </c>
      <c r="AV54" s="486"/>
      <c r="AW54" s="486">
        <f t="shared" ref="AW54:DH54" si="3731">(AW47*0.5)*0.1</f>
        <v>0</v>
      </c>
      <c r="AX54" s="486"/>
      <c r="AY54" s="486">
        <f t="shared" ref="AY54:DJ54" si="3732">(AY47*0.5)*0.1</f>
        <v>0</v>
      </c>
      <c r="AZ54" s="486"/>
      <c r="BA54" s="486">
        <f t="shared" ref="BA54:DL54" si="3733">(BA47*0.5)*0.1</f>
        <v>0</v>
      </c>
      <c r="BB54" s="486"/>
      <c r="BC54" s="486">
        <f t="shared" ref="BC54:DN54" si="3734">(BC47*0.5)*0.1</f>
        <v>0</v>
      </c>
      <c r="BD54" s="486"/>
      <c r="BE54" s="486">
        <f t="shared" ref="BE54:DP54" si="3735">(BE47*0.5)*0.1</f>
        <v>0</v>
      </c>
      <c r="BF54" s="486"/>
      <c r="BG54" s="486">
        <f t="shared" ref="BG54:DR54" si="3736">(BG47*0.5)*0.1</f>
        <v>0</v>
      </c>
      <c r="BH54" s="486"/>
      <c r="BI54" s="486">
        <f t="shared" ref="BI54:DT54" si="3737">(BI47*0.5)*0.1</f>
        <v>0</v>
      </c>
      <c r="BJ54" s="486"/>
      <c r="BK54" s="486">
        <f t="shared" ref="BK54:DV54" si="3738">(BK47*0.5)*0.1</f>
        <v>0</v>
      </c>
      <c r="BL54" s="486"/>
      <c r="BM54" s="486">
        <f>BM50*0.1</f>
        <v>124495.47700000003</v>
      </c>
      <c r="BN54" s="486"/>
      <c r="BO54" s="486">
        <f t="shared" ref="BO54:DZ54" si="3739">(BO47*0.5)*0.1</f>
        <v>0</v>
      </c>
      <c r="BP54" s="486"/>
      <c r="BQ54" s="486">
        <f t="shared" ref="BQ54:EB54" si="3740">(BQ47*0.5)*0.1</f>
        <v>0</v>
      </c>
      <c r="BR54" s="486"/>
      <c r="BS54" s="486">
        <f t="shared" ref="BS54:ED54" si="3741">(BS47*0.5)*0.1</f>
        <v>0</v>
      </c>
      <c r="BT54" s="486"/>
      <c r="BU54" s="486">
        <f t="shared" ref="BU54:EF54" si="3742">(BU47*0.5)*0.1</f>
        <v>0</v>
      </c>
      <c r="BV54" s="486"/>
      <c r="BW54" s="486">
        <f t="shared" ref="BW54:EH54" si="3743">(BW47*0.5)*0.1</f>
        <v>0</v>
      </c>
      <c r="BX54" s="486"/>
      <c r="BY54" s="486">
        <f t="shared" ref="BY54:EJ54" si="3744">(BY47*0.5)*0.1</f>
        <v>0</v>
      </c>
      <c r="BZ54" s="486"/>
      <c r="CA54" s="486">
        <f t="shared" ref="CA54:EL54" si="3745">(CA47*0.5)*0.1</f>
        <v>0</v>
      </c>
      <c r="CB54" s="486"/>
      <c r="CC54" s="486">
        <f t="shared" ref="CC54:EN54" si="3746">(CC47*0.5)*0.1</f>
        <v>0</v>
      </c>
      <c r="CD54" s="486"/>
      <c r="CE54" s="486">
        <f t="shared" ref="CE54:EP54" si="3747">(CE47*0.5)*0.1</f>
        <v>0</v>
      </c>
      <c r="CF54" s="486"/>
      <c r="CG54" s="486">
        <f t="shared" ref="CG54:ER54" si="3748">(CG47*0.5)*0.1</f>
        <v>0</v>
      </c>
      <c r="CH54" s="486"/>
      <c r="CI54" s="486">
        <f t="shared" ref="CI54:ET54" si="3749">(CI47*0.5)*0.1</f>
        <v>0</v>
      </c>
      <c r="CJ54" s="486"/>
      <c r="CK54" s="486">
        <f t="shared" ref="CK54:EV54" si="3750">(CK47*0.5)*0.1</f>
        <v>0</v>
      </c>
      <c r="CL54" s="486"/>
      <c r="CM54" s="486">
        <f t="shared" ref="CM54:EX54" si="3751">(CM47*0.5)*0.1</f>
        <v>0</v>
      </c>
      <c r="CN54" s="486"/>
      <c r="CO54" s="486">
        <f t="shared" ref="CO54:EZ54" si="3752">(CO47*0.5)*0.1</f>
        <v>0</v>
      </c>
      <c r="CP54" s="486"/>
      <c r="CQ54" s="486">
        <f t="shared" ref="CQ54:FB54" si="3753">(CQ47*0.5)*0.1</f>
        <v>0</v>
      </c>
      <c r="CR54" s="486"/>
      <c r="CS54" s="486">
        <f>CS50*0.1</f>
        <v>136058.7585</v>
      </c>
      <c r="CT54" s="486"/>
      <c r="CU54" s="486">
        <f t="shared" ref="CU54:FF54" si="3754">(CU47*0.5)*0.1</f>
        <v>0</v>
      </c>
      <c r="CV54" s="486"/>
      <c r="CW54" s="486">
        <f t="shared" ref="CW54:FH54" si="3755">(CW47*0.5)*0.1</f>
        <v>0</v>
      </c>
      <c r="CX54" s="486"/>
      <c r="CY54" s="486">
        <f t="shared" ref="CY54:FJ54" si="3756">(CY47*0.5)*0.1</f>
        <v>0</v>
      </c>
      <c r="CZ54" s="486"/>
      <c r="DA54" s="486">
        <f t="shared" ref="DA54:FL54" si="3757">(DA47*0.5)*0.1</f>
        <v>0</v>
      </c>
      <c r="DB54" s="486"/>
      <c r="DC54" s="486">
        <f t="shared" ref="DC54:FN54" si="3758">(DC47*0.5)*0.1</f>
        <v>0</v>
      </c>
      <c r="DD54" s="486"/>
      <c r="DE54" s="486">
        <f t="shared" ref="DE54:FP54" si="3759">(DE47*0.5)*0.1</f>
        <v>0</v>
      </c>
      <c r="DF54" s="486"/>
      <c r="DG54" s="486">
        <f t="shared" ref="DG54:FR54" si="3760">(DG47*0.5)*0.1</f>
        <v>0</v>
      </c>
      <c r="DH54" s="486"/>
      <c r="DI54" s="486">
        <f t="shared" ref="DI54:FT54" si="3761">(DI47*0.5)*0.1</f>
        <v>0</v>
      </c>
      <c r="DJ54" s="486"/>
      <c r="DK54" s="486">
        <f t="shared" ref="DK54:FV54" si="3762">(DK47*0.5)*0.1</f>
        <v>0</v>
      </c>
      <c r="DL54" s="486"/>
      <c r="DM54" s="486">
        <f t="shared" ref="DM54:FX54" si="3763">(DM47*0.5)*0.1</f>
        <v>0</v>
      </c>
      <c r="DN54" s="486"/>
      <c r="DO54" s="486">
        <f t="shared" ref="DO54:FZ54" si="3764">(DO47*0.5)*0.1</f>
        <v>0</v>
      </c>
      <c r="DP54" s="486"/>
      <c r="DQ54" s="486">
        <f t="shared" ref="DQ54:GB54" si="3765">(DQ47*0.5)*0.1</f>
        <v>0</v>
      </c>
      <c r="DR54" s="486"/>
      <c r="DS54" s="486">
        <f t="shared" ref="DS54:GD54" si="3766">(DS47*0.5)*0.1</f>
        <v>0</v>
      </c>
      <c r="DT54" s="486"/>
      <c r="DU54" s="486">
        <f t="shared" ref="DU54:GF54" si="3767">(DU47*0.5)*0.1</f>
        <v>0</v>
      </c>
      <c r="DV54" s="486"/>
      <c r="DW54" s="486">
        <f t="shared" ref="DW54:GH54" si="3768">(DW47*0.5)*0.1</f>
        <v>0</v>
      </c>
      <c r="DX54" s="486"/>
      <c r="DY54" s="486">
        <f>DY50*0.1</f>
        <v>125717.0575</v>
      </c>
      <c r="DZ54" s="486"/>
      <c r="EA54" s="486">
        <f t="shared" ref="EA54:GL54" si="3769">(EA47*0.5)*0.1</f>
        <v>0</v>
      </c>
      <c r="EB54" s="486"/>
      <c r="EC54" s="486">
        <f t="shared" ref="EC54:GN54" si="3770">(EC47*0.5)*0.1</f>
        <v>0</v>
      </c>
      <c r="ED54" s="486"/>
      <c r="EE54" s="486">
        <f t="shared" ref="EE54:GP54" si="3771">(EE47*0.5)*0.1</f>
        <v>0</v>
      </c>
      <c r="EF54" s="486"/>
      <c r="EG54" s="486">
        <f t="shared" ref="EG54:GR54" si="3772">(EG47*0.5)*0.1</f>
        <v>0</v>
      </c>
      <c r="EH54" s="486"/>
      <c r="EI54" s="486">
        <f t="shared" ref="EI54:GT54" si="3773">(EI47*0.5)*0.1</f>
        <v>0</v>
      </c>
      <c r="EJ54" s="486"/>
      <c r="EK54" s="486">
        <f t="shared" ref="EK54:GV54" si="3774">(EK47*0.5)*0.1</f>
        <v>0</v>
      </c>
      <c r="EL54" s="486"/>
      <c r="EM54" s="486">
        <f t="shared" ref="EM54:GX54" si="3775">(EM47*0.5)*0.1</f>
        <v>0</v>
      </c>
      <c r="EN54" s="486"/>
      <c r="EO54" s="486">
        <f t="shared" ref="EO54:GZ54" si="3776">(EO47*0.5)*0.1</f>
        <v>0</v>
      </c>
      <c r="EP54" s="486"/>
      <c r="EQ54" s="486">
        <f t="shared" ref="EQ54:HB54" si="3777">(EQ47*0.5)*0.1</f>
        <v>0</v>
      </c>
      <c r="ER54" s="486"/>
      <c r="ES54" s="486">
        <f t="shared" ref="ES54:HD54" si="3778">(ES47*0.5)*0.1</f>
        <v>0</v>
      </c>
      <c r="ET54" s="486"/>
      <c r="EU54" s="486">
        <f t="shared" ref="EU54:HF54" si="3779">(EU47*0.5)*0.1</f>
        <v>0</v>
      </c>
      <c r="EV54" s="486"/>
      <c r="EW54" s="486">
        <f t="shared" ref="EW54:HH54" si="3780">(EW47*0.5)*0.1</f>
        <v>0</v>
      </c>
      <c r="EX54" s="486"/>
      <c r="EY54" s="486">
        <f t="shared" ref="EY54:HJ54" si="3781">(EY47*0.5)*0.1</f>
        <v>0</v>
      </c>
      <c r="EZ54" s="486"/>
      <c r="FA54" s="486">
        <f t="shared" ref="FA54:HL54" si="3782">(FA47*0.5)*0.1</f>
        <v>0</v>
      </c>
      <c r="FB54" s="486"/>
      <c r="FC54" s="486">
        <f t="shared" ref="FC54:HN54" si="3783">(FC47*0.5)*0.1</f>
        <v>0</v>
      </c>
      <c r="FD54" s="486"/>
      <c r="FE54" s="486">
        <f>FE50*0.1</f>
        <v>132351.87200000003</v>
      </c>
      <c r="FF54" s="486"/>
      <c r="FG54" s="486">
        <f t="shared" ref="FG54:HN54" si="3784">(FG47*0.5)*0.1</f>
        <v>0</v>
      </c>
      <c r="FH54" s="486"/>
      <c r="FI54" s="486">
        <f t="shared" ref="FI54:HN54" si="3785">(FI47*0.5)*0.1</f>
        <v>0</v>
      </c>
      <c r="FJ54" s="486"/>
      <c r="FK54" s="486">
        <f t="shared" ref="FK54:HN54" si="3786">(FK47*0.5)*0.1</f>
        <v>0</v>
      </c>
      <c r="FL54" s="486"/>
      <c r="FM54" s="486">
        <f t="shared" ref="FM54:HN54" si="3787">(FM47*0.5)*0.1</f>
        <v>0</v>
      </c>
      <c r="FN54" s="486"/>
      <c r="FO54" s="486">
        <f t="shared" ref="FO54:HN54" si="3788">(FO47*0.5)*0.1</f>
        <v>0</v>
      </c>
      <c r="FP54" s="486"/>
      <c r="FQ54" s="486">
        <f t="shared" ref="FQ54:HN54" si="3789">(FQ47*0.5)*0.1</f>
        <v>0</v>
      </c>
      <c r="FR54" s="486"/>
      <c r="FS54" s="486">
        <f t="shared" ref="FS54:HN54" si="3790">(FS47*0.5)*0.1</f>
        <v>0</v>
      </c>
      <c r="FT54" s="486"/>
      <c r="FU54" s="486">
        <f t="shared" ref="FU54:HN54" si="3791">(FU47*0.5)*0.1</f>
        <v>0</v>
      </c>
      <c r="FV54" s="486"/>
      <c r="FW54" s="486">
        <f t="shared" ref="FW54:HN54" si="3792">(FW47*0.5)*0.1</f>
        <v>0</v>
      </c>
      <c r="FX54" s="486"/>
      <c r="FY54" s="486">
        <f t="shared" ref="FY54:HN54" si="3793">(FY47*0.5)*0.1</f>
        <v>0</v>
      </c>
      <c r="FZ54" s="486"/>
      <c r="GA54" s="486">
        <f t="shared" ref="GA54:HN54" si="3794">(GA47*0.5)*0.1</f>
        <v>0</v>
      </c>
      <c r="GB54" s="486"/>
      <c r="GC54" s="486">
        <f t="shared" ref="GC54:HN54" si="3795">(GC47*0.5)*0.1</f>
        <v>0</v>
      </c>
      <c r="GD54" s="486"/>
      <c r="GE54" s="486">
        <f t="shared" ref="GE54:HN54" si="3796">(GE47*0.5)*0.1</f>
        <v>0</v>
      </c>
      <c r="GF54" s="486"/>
      <c r="GG54" s="486">
        <f t="shared" ref="GG54:HN54" si="3797">(GG47*0.5)*0.1</f>
        <v>0</v>
      </c>
      <c r="GH54" s="486"/>
      <c r="GI54" s="486">
        <f t="shared" ref="GI54:HN54" si="3798">(GI47*0.5)*0.1</f>
        <v>0</v>
      </c>
      <c r="GJ54" s="486"/>
      <c r="GK54" s="486">
        <f>GK50*0.1</f>
        <v>138563.356</v>
      </c>
      <c r="GL54" s="486"/>
      <c r="GM54" s="486">
        <f t="shared" ref="GM54:HN54" si="3799">(GM47*0.5)*0.1</f>
        <v>0</v>
      </c>
      <c r="GN54" s="486"/>
      <c r="GO54" s="486">
        <f t="shared" ref="GO54:HN54" si="3800">(GO47*0.5)*0.1</f>
        <v>0</v>
      </c>
      <c r="GP54" s="486"/>
      <c r="GQ54" s="486">
        <f t="shared" ref="GQ54:HN54" si="3801">(GQ47*0.5)*0.1</f>
        <v>0</v>
      </c>
      <c r="GR54" s="486"/>
      <c r="GS54" s="486">
        <f t="shared" ref="GS54:HN54" si="3802">(GS47*0.5)*0.1</f>
        <v>0</v>
      </c>
      <c r="GT54" s="486"/>
      <c r="GU54" s="486">
        <f t="shared" ref="GU54:HN54" si="3803">(GU47*0.5)*0.1</f>
        <v>0</v>
      </c>
      <c r="GV54" s="486"/>
      <c r="GW54" s="486">
        <f t="shared" ref="GW54:HN54" si="3804">(GW47*0.5)*0.1</f>
        <v>0</v>
      </c>
      <c r="GX54" s="486"/>
      <c r="GY54" s="486">
        <f t="shared" ref="GY54:HN54" si="3805">(GY47*0.5)*0.1</f>
        <v>0</v>
      </c>
      <c r="GZ54" s="486"/>
      <c r="HA54" s="486">
        <f t="shared" ref="HA54:HN54" si="3806">(HA47*0.5)*0.1</f>
        <v>0</v>
      </c>
      <c r="HB54" s="486"/>
      <c r="HC54" s="486">
        <f t="shared" ref="HC54:HN54" si="3807">(HC47*0.5)*0.1</f>
        <v>0</v>
      </c>
      <c r="HD54" s="486"/>
      <c r="HE54" s="486">
        <f t="shared" ref="HE54:HN54" si="3808">(HE47*0.5)*0.1</f>
        <v>0</v>
      </c>
      <c r="HF54" s="486"/>
      <c r="HG54" s="486">
        <f t="shared" ref="HG54:HN54" si="3809">(HG47*0.5)*0.1</f>
        <v>0</v>
      </c>
      <c r="HH54" s="486"/>
      <c r="HI54" s="486">
        <f t="shared" ref="HI54:HN54" si="3810">(HI47*0.5)*0.1</f>
        <v>0</v>
      </c>
      <c r="HJ54" s="486"/>
      <c r="HK54" s="486">
        <f t="shared" ref="HK54:HN54" si="3811">(HK47*0.5)*0.1</f>
        <v>0</v>
      </c>
      <c r="HL54" s="486"/>
      <c r="HM54" s="486">
        <f t="shared" ref="HM54:HN54" si="3812">(HM47*0.5)*0.1</f>
        <v>0</v>
      </c>
      <c r="HN54" s="486"/>
      <c r="HO54" s="486">
        <f t="shared" ref="HO54:JZ54" si="3813">(HO47*0.5)*0.1</f>
        <v>0</v>
      </c>
      <c r="HP54" s="486"/>
      <c r="HQ54" s="486">
        <f>HQ50*0.1</f>
        <v>141332.8235</v>
      </c>
      <c r="HR54" s="486"/>
      <c r="HS54" s="486">
        <f t="shared" ref="HS54:KD54" si="3814">(HS47*0.5)*0.1</f>
        <v>0</v>
      </c>
      <c r="HT54" s="486"/>
      <c r="HU54" s="486">
        <f t="shared" ref="HU54:KF54" si="3815">(HU47*0.5)*0.1</f>
        <v>0</v>
      </c>
      <c r="HV54" s="486"/>
      <c r="HW54" s="486">
        <f t="shared" ref="HW54:KH54" si="3816">(HW47*0.5)*0.1</f>
        <v>0</v>
      </c>
      <c r="HX54" s="486"/>
      <c r="HY54" s="486">
        <f t="shared" ref="HY54:KJ54" si="3817">(HY47*0.5)*0.1</f>
        <v>0</v>
      </c>
      <c r="HZ54" s="486"/>
      <c r="IA54" s="486">
        <f t="shared" ref="IA54:KL54" si="3818">(IA47*0.5)*0.1</f>
        <v>0</v>
      </c>
      <c r="IB54" s="486"/>
      <c r="IC54" s="486">
        <f t="shared" ref="IC54:KN54" si="3819">(IC47*0.5)*0.1</f>
        <v>0</v>
      </c>
      <c r="ID54" s="486"/>
      <c r="IE54" s="486">
        <f t="shared" ref="IE54:KP54" si="3820">(IE47*0.5)*0.1</f>
        <v>0</v>
      </c>
      <c r="IF54" s="486"/>
      <c r="IG54" s="486">
        <f t="shared" ref="IG54:KR54" si="3821">(IG47*0.5)*0.1</f>
        <v>0</v>
      </c>
      <c r="IH54" s="486"/>
      <c r="II54" s="486">
        <f t="shared" ref="II54:KT54" si="3822">(II47*0.5)*0.1</f>
        <v>0</v>
      </c>
      <c r="IJ54" s="486"/>
      <c r="IK54" s="486">
        <f t="shared" ref="IK54:KV54" si="3823">(IK47*0.5)*0.1</f>
        <v>0</v>
      </c>
      <c r="IL54" s="486"/>
      <c r="IM54" s="486">
        <f t="shared" ref="IM54:KX54" si="3824">(IM47*0.5)*0.1</f>
        <v>0</v>
      </c>
      <c r="IN54" s="486"/>
      <c r="IO54" s="486">
        <f t="shared" ref="IO54:KZ54" si="3825">(IO47*0.5)*0.1</f>
        <v>0</v>
      </c>
      <c r="IP54" s="486"/>
      <c r="IQ54" s="486">
        <f t="shared" ref="IQ54:LB54" si="3826">(IQ47*0.5)*0.1</f>
        <v>0</v>
      </c>
      <c r="IR54" s="486"/>
      <c r="IS54" s="486">
        <f t="shared" ref="IS54:LD54" si="3827">(IS47*0.5)*0.1</f>
        <v>0</v>
      </c>
      <c r="IT54" s="486"/>
      <c r="IU54" s="486">
        <f t="shared" ref="IU54:LF54" si="3828">(IU47*0.5)*0.1</f>
        <v>0</v>
      </c>
      <c r="IV54" s="486"/>
      <c r="IW54" s="486">
        <f>IW50*0.1</f>
        <v>131729.33599999998</v>
      </c>
      <c r="IX54" s="486"/>
      <c r="IY54" s="486">
        <f t="shared" ref="IY54:LJ54" si="3829">(IY47*0.5)*0.1</f>
        <v>0</v>
      </c>
      <c r="IZ54" s="486"/>
      <c r="JA54" s="486">
        <f t="shared" ref="JA54:LL54" si="3830">(JA47*0.5)*0.1</f>
        <v>0</v>
      </c>
      <c r="JB54" s="486"/>
      <c r="JC54" s="486">
        <f t="shared" ref="JC54:LN54" si="3831">(JC47*0.5)*0.1</f>
        <v>0</v>
      </c>
      <c r="JD54" s="486"/>
      <c r="JE54" s="486">
        <f t="shared" ref="JE54:LP54" si="3832">(JE47*0.5)*0.1</f>
        <v>0</v>
      </c>
      <c r="JF54" s="486"/>
      <c r="JG54" s="486">
        <f t="shared" ref="JG54:LR54" si="3833">(JG47*0.5)*0.1</f>
        <v>0</v>
      </c>
      <c r="JH54" s="486"/>
      <c r="JI54" s="486">
        <f t="shared" ref="JI54:LT54" si="3834">(JI47*0.5)*0.1</f>
        <v>0</v>
      </c>
      <c r="JJ54" s="486"/>
      <c r="JK54" s="486">
        <f t="shared" ref="JK54:LV54" si="3835">(JK47*0.5)*0.1</f>
        <v>0</v>
      </c>
      <c r="JL54" s="486"/>
      <c r="JM54" s="486">
        <f t="shared" ref="JM54:LX54" si="3836">(JM47*0.5)*0.1</f>
        <v>0</v>
      </c>
      <c r="JN54" s="486"/>
      <c r="JO54" s="486">
        <f t="shared" ref="JO54:LZ54" si="3837">(JO47*0.5)*0.1</f>
        <v>0</v>
      </c>
      <c r="JP54" s="486"/>
      <c r="JQ54" s="486">
        <f t="shared" ref="JQ54:MB54" si="3838">(JQ47*0.5)*0.1</f>
        <v>0</v>
      </c>
      <c r="JR54" s="486"/>
      <c r="JS54" s="486">
        <f t="shared" ref="JS54:MD54" si="3839">(JS47*0.5)*0.1</f>
        <v>0</v>
      </c>
      <c r="JT54" s="486"/>
      <c r="JU54" s="486">
        <f t="shared" ref="JU54:MF54" si="3840">(JU47*0.5)*0.1</f>
        <v>0</v>
      </c>
      <c r="JV54" s="486"/>
      <c r="JW54" s="486">
        <f t="shared" ref="JW54:MH54" si="3841">(JW47*0.5)*0.1</f>
        <v>0</v>
      </c>
      <c r="JX54" s="486"/>
      <c r="JY54" s="486">
        <f t="shared" ref="JY54:MJ54" si="3842">(JY47*0.5)*0.1</f>
        <v>0</v>
      </c>
      <c r="JZ54" s="486"/>
      <c r="KA54" s="486">
        <f t="shared" ref="KA54:ML54" si="3843">(KA47*0.5)*0.1</f>
        <v>0</v>
      </c>
      <c r="KB54" s="486"/>
      <c r="KC54" s="486">
        <f>KC50*0.1</f>
        <v>129610.48050000002</v>
      </c>
      <c r="KD54" s="486"/>
      <c r="KE54" s="486">
        <f t="shared" ref="KE54:ML54" si="3844">(KE47*0.5)*0.1</f>
        <v>0</v>
      </c>
      <c r="KF54" s="486"/>
      <c r="KG54" s="486">
        <f t="shared" ref="KG54:ML54" si="3845">(KG47*0.5)*0.1</f>
        <v>0</v>
      </c>
      <c r="KH54" s="486"/>
      <c r="KI54" s="486">
        <f t="shared" ref="KI54:ML54" si="3846">(KI47*0.5)*0.1</f>
        <v>0</v>
      </c>
      <c r="KJ54" s="486"/>
      <c r="KK54" s="486">
        <f t="shared" ref="KK54:ML54" si="3847">(KK47*0.5)*0.1</f>
        <v>0</v>
      </c>
      <c r="KL54" s="486"/>
      <c r="KM54" s="486">
        <f t="shared" ref="KM54:ML54" si="3848">(KM47*0.5)*0.1</f>
        <v>0</v>
      </c>
      <c r="KN54" s="486"/>
      <c r="KO54" s="486">
        <f t="shared" ref="KO54:ML54" si="3849">(KO47*0.5)*0.1</f>
        <v>0</v>
      </c>
      <c r="KP54" s="486"/>
      <c r="KQ54" s="486">
        <f t="shared" ref="KQ54:ML54" si="3850">(KQ47*0.5)*0.1</f>
        <v>0</v>
      </c>
      <c r="KR54" s="486"/>
      <c r="KS54" s="486">
        <f t="shared" ref="KS54:ML54" si="3851">(KS47*0.5)*0.1</f>
        <v>0</v>
      </c>
      <c r="KT54" s="486"/>
      <c r="KU54" s="486">
        <f t="shared" ref="KU54:ML54" si="3852">(KU47*0.5)*0.1</f>
        <v>0</v>
      </c>
      <c r="KV54" s="486"/>
      <c r="KW54" s="486">
        <f t="shared" ref="KW54:ML54" si="3853">(KW47*0.5)*0.1</f>
        <v>0</v>
      </c>
      <c r="KX54" s="486"/>
      <c r="KY54" s="486">
        <f t="shared" ref="KY54:ML54" si="3854">(KY47*0.5)*0.1</f>
        <v>0</v>
      </c>
      <c r="KZ54" s="486"/>
      <c r="LA54" s="486">
        <f t="shared" ref="LA54:ML54" si="3855">(LA47*0.5)*0.1</f>
        <v>0</v>
      </c>
      <c r="LB54" s="486"/>
      <c r="LC54" s="486">
        <f t="shared" ref="LC54:ML54" si="3856">(LC47*0.5)*0.1</f>
        <v>0</v>
      </c>
      <c r="LD54" s="486"/>
      <c r="LE54" s="486">
        <f t="shared" ref="LE54:ML54" si="3857">(LE47*0.5)*0.1</f>
        <v>0</v>
      </c>
      <c r="LF54" s="486"/>
      <c r="LG54" s="486">
        <f t="shared" ref="LG54:ML54" si="3858">(LG47*0.5)*0.1</f>
        <v>0</v>
      </c>
      <c r="LH54" s="486"/>
      <c r="LI54" s="486">
        <f>LI50*0.1</f>
        <v>123790.81250000006</v>
      </c>
      <c r="LJ54" s="486"/>
      <c r="LK54" s="486">
        <f t="shared" ref="LK54:ML54" si="3859">(LK47*0.5)*0.1</f>
        <v>0</v>
      </c>
      <c r="LL54" s="486"/>
      <c r="LM54" s="486">
        <f t="shared" ref="LM54:ML54" si="3860">(LM47*0.5)*0.1</f>
        <v>0</v>
      </c>
      <c r="LN54" s="486"/>
      <c r="LO54" s="486">
        <f t="shared" ref="LO54:ML54" si="3861">(LO47*0.5)*0.1</f>
        <v>0</v>
      </c>
      <c r="LP54" s="486"/>
      <c r="LQ54" s="486">
        <f t="shared" ref="LQ54:ML54" si="3862">(LQ47*0.5)*0.1</f>
        <v>0</v>
      </c>
      <c r="LR54" s="486"/>
      <c r="LS54" s="486">
        <f t="shared" ref="LS54:ML54" si="3863">(LS47*0.5)*0.1</f>
        <v>0</v>
      </c>
      <c r="LT54" s="486"/>
      <c r="LU54" s="486">
        <f t="shared" ref="LU54:ML54" si="3864">(LU47*0.5)*0.1</f>
        <v>0</v>
      </c>
      <c r="LV54" s="486"/>
      <c r="LW54" s="486">
        <f t="shared" ref="LW54:ML54" si="3865">(LW47*0.5)*0.1</f>
        <v>0</v>
      </c>
      <c r="LX54" s="486"/>
      <c r="LY54" s="486">
        <f t="shared" ref="LY54:ML54" si="3866">(LY47*0.5)*0.1</f>
        <v>0</v>
      </c>
      <c r="LZ54" s="486"/>
      <c r="MA54" s="486">
        <f t="shared" ref="MA54:ML54" si="3867">(MA47*0.5)*0.1</f>
        <v>0</v>
      </c>
      <c r="MB54" s="486"/>
      <c r="MC54" s="486">
        <f t="shared" ref="MC54:ML54" si="3868">(MC47*0.5)*0.1</f>
        <v>0</v>
      </c>
      <c r="MD54" s="486"/>
      <c r="ME54" s="486">
        <f t="shared" ref="ME54:ML54" si="3869">(ME47*0.5)*0.1</f>
        <v>0</v>
      </c>
      <c r="MF54" s="486"/>
      <c r="MG54" s="486">
        <f t="shared" ref="MG54:ML54" si="3870">(MG47*0.5)*0.1</f>
        <v>0</v>
      </c>
      <c r="MH54" s="486"/>
      <c r="MI54" s="486">
        <f t="shared" ref="MI54:ML54" si="3871">(MI47*0.5)*0.1</f>
        <v>0</v>
      </c>
      <c r="MJ54" s="486"/>
      <c r="MK54" s="486">
        <f t="shared" ref="MK54:ML54" si="3872">(MK47*0.5)*0.1</f>
        <v>0</v>
      </c>
      <c r="ML54" s="486"/>
      <c r="MM54" s="486">
        <f t="shared" ref="MM54:OX54" si="3873">(MM47*0.5)*0.1</f>
        <v>0</v>
      </c>
      <c r="MN54" s="486"/>
      <c r="MO54" s="486">
        <f>MO50*0.1</f>
        <v>123926.77</v>
      </c>
      <c r="MP54" s="486"/>
      <c r="MQ54" s="486">
        <f t="shared" ref="MQ54:PB54" si="3874">(MQ47*0.5)*0.1</f>
        <v>16405.132200000004</v>
      </c>
      <c r="MR54" s="486"/>
      <c r="MS54" s="486">
        <f t="shared" ref="MS54:PD54" si="3875">(MS47*0.5)*0.1</f>
        <v>11868.739000000001</v>
      </c>
      <c r="MT54" s="486"/>
      <c r="MU54" s="486">
        <f t="shared" ref="MU54:PF54" si="3876">(MU47*0.5)*0.1</f>
        <v>16405.132200000004</v>
      </c>
      <c r="MV54" s="486"/>
      <c r="MW54" s="486">
        <f t="shared" ref="MW54:PH54" si="3877">(MW47*0.5)*0.1</f>
        <v>11903.078000000001</v>
      </c>
      <c r="MX54" s="486"/>
      <c r="MY54" s="486">
        <f t="shared" ref="MY54:PJ54" si="3878">(MY47*0.5)*0.1</f>
        <v>16405.132200000004</v>
      </c>
      <c r="MZ54" s="486"/>
      <c r="NA54" s="486">
        <f t="shared" ref="NA54:PL54" si="3879">(NA47*0.5)*0.1</f>
        <v>10507.5455</v>
      </c>
      <c r="NB54" s="486"/>
      <c r="NC54" s="486">
        <f t="shared" ref="NC54:PN54" si="3880">(NC47*0.5)*0.1</f>
        <v>16405.132200000004</v>
      </c>
      <c r="ND54" s="486"/>
      <c r="NE54" s="486">
        <f t="shared" ref="NE54:PP54" si="3881">(NE47*0.5)*0.1</f>
        <v>10876.960000000001</v>
      </c>
      <c r="NF54" s="486"/>
      <c r="NG54" s="486">
        <f t="shared" ref="NG54:PR54" si="3882">(NG47*0.5)*0.1</f>
        <v>19139.320900000002</v>
      </c>
      <c r="NH54" s="486"/>
      <c r="NI54" s="486">
        <f t="shared" ref="NI54:PT54" si="3883">(NI47*0.5)*0.1</f>
        <v>13598.866999999998</v>
      </c>
      <c r="NJ54" s="486"/>
      <c r="NK54" s="486">
        <f t="shared" ref="NK54:PV54" si="3884">(NK47*0.5)*0.1</f>
        <v>21873.509600000005</v>
      </c>
      <c r="NL54" s="486"/>
      <c r="NM54" s="486">
        <f t="shared" ref="NM54:PX54" si="3885">(NM47*0.5)*0.1</f>
        <v>16147.889000000003</v>
      </c>
      <c r="NN54" s="486"/>
      <c r="NO54" s="486">
        <f t="shared" ref="NO54:PZ54" si="3886">(NO47*0.5)*0.1</f>
        <v>30076.075700000001</v>
      </c>
      <c r="NP54" s="486"/>
      <c r="NQ54" s="486">
        <f t="shared" ref="NQ54:QB54" si="3887">(NQ47*0.5)*0.1</f>
        <v>23810.085500000001</v>
      </c>
      <c r="NR54" s="486"/>
      <c r="NS54" s="486">
        <f t="shared" ref="NS54:QD54" si="3888">(NS47*0.5)*0.1</f>
        <v>136709.43500000003</v>
      </c>
      <c r="NT54" s="486"/>
      <c r="NU54" s="486">
        <f>NU50*0.1</f>
        <v>115467.484</v>
      </c>
      <c r="NV54" s="486"/>
      <c r="NW54" s="486">
        <f t="shared" ref="NW54:QH54" si="3889">(NW47*0.5)*0.1</f>
        <v>16105.740359999996</v>
      </c>
      <c r="NX54" s="486"/>
      <c r="NY54" s="486">
        <f t="shared" ref="NY54:QJ54" si="3890">(NY47*0.5)*0.1</f>
        <v>11086.174500000001</v>
      </c>
      <c r="NZ54" s="486"/>
      <c r="OA54" s="486">
        <f t="shared" ref="OA54:QL54" si="3891">(OA47*0.5)*0.1</f>
        <v>16105.740359999996</v>
      </c>
      <c r="OB54" s="486"/>
      <c r="OC54" s="486">
        <f t="shared" ref="OC54:QN54" si="3892">(OC47*0.5)*0.1</f>
        <v>10550.433000000003</v>
      </c>
      <c r="OD54" s="486"/>
      <c r="OE54" s="486">
        <f t="shared" ref="OE54:QP54" si="3893">(OE47*0.5)*0.1</f>
        <v>16105.740359999996</v>
      </c>
      <c r="OF54" s="486"/>
      <c r="OG54" s="486">
        <f t="shared" ref="OG54:QR54" si="3894">(OG47*0.5)*0.1</f>
        <v>11238.716</v>
      </c>
      <c r="OH54" s="486"/>
      <c r="OI54" s="486">
        <f t="shared" ref="OI54:QT54" si="3895">(OI47*0.5)*0.1</f>
        <v>16105.740359999996</v>
      </c>
      <c r="OJ54" s="486"/>
      <c r="OK54" s="486">
        <f t="shared" ref="OK54:QV54" si="3896">(OK47*0.5)*0.1</f>
        <v>10844.341</v>
      </c>
      <c r="OL54" s="486"/>
      <c r="OM54" s="486">
        <f t="shared" ref="OM54:QX54" si="3897">(OM47*0.5)*0.1</f>
        <v>18790.030420000003</v>
      </c>
      <c r="ON54" s="486"/>
      <c r="OO54" s="486">
        <f t="shared" ref="OO54:QZ54" si="3898">(OO47*0.5)*0.1</f>
        <v>14348.749500000004</v>
      </c>
      <c r="OP54" s="486"/>
      <c r="OQ54" s="486">
        <f t="shared" ref="OQ54:RB54" si="3899">(OQ47*0.5)*0.1</f>
        <v>21474.320479999998</v>
      </c>
      <c r="OR54" s="486"/>
      <c r="OS54" s="486">
        <f t="shared" ref="OS54:RD54" si="3900">(OS47*0.5)*0.1</f>
        <v>18678.713</v>
      </c>
      <c r="OT54" s="486"/>
      <c r="OU54" s="486">
        <f t="shared" ref="OU54:RF54" si="3901">(OU47*0.5)*0.1</f>
        <v>29527.19066</v>
      </c>
      <c r="OV54" s="486"/>
      <c r="OW54" s="486">
        <f t="shared" ref="OW54:RH54" si="3902">(OW47*0.5)*0.1</f>
        <v>29398.666500000007</v>
      </c>
      <c r="OX54" s="486"/>
      <c r="OY54" s="486">
        <f t="shared" ref="OY54:RJ54" si="3903">(OY47*0.5)*0.1</f>
        <v>134214.503</v>
      </c>
      <c r="OZ54" s="486"/>
      <c r="PA54" s="486">
        <f>PA50*0.1</f>
        <v>124484.39050000001</v>
      </c>
      <c r="PB54" s="486"/>
      <c r="PC54" s="486">
        <f t="shared" ref="PC54:RJ54" si="3904">(PC47*0.5)*0.1</f>
        <v>15245.052000000003</v>
      </c>
      <c r="PD54" s="486"/>
      <c r="PE54" s="486">
        <f t="shared" ref="PE54:RJ54" si="3905">(PE47*0.5)*0.1</f>
        <v>15836.287000000004</v>
      </c>
      <c r="PF54" s="486"/>
      <c r="PG54" s="486">
        <f t="shared" ref="PG54:RJ54" si="3906">(PG47*0.5)*0.1</f>
        <v>15245.052000000003</v>
      </c>
      <c r="PH54" s="486"/>
      <c r="PI54" s="486">
        <f t="shared" ref="PI54:RJ54" si="3907">(PI47*0.5)*0.1</f>
        <v>14378.060000000001</v>
      </c>
      <c r="PJ54" s="486"/>
      <c r="PK54" s="486">
        <f t="shared" ref="PK54:RJ54" si="3908">(PK47*0.5)*0.1</f>
        <v>16024.062</v>
      </c>
      <c r="PL54" s="486"/>
      <c r="PM54" s="486">
        <f t="shared" ref="PM54:RJ54" si="3909">(PM47*0.5)*0.1</f>
        <v>12652.672500000001</v>
      </c>
      <c r="PN54" s="486"/>
      <c r="PO54" s="486">
        <f t="shared" ref="PO54:RJ54" si="3910">(PO47*0.5)*0.1</f>
        <v>16024.062</v>
      </c>
      <c r="PP54" s="486"/>
      <c r="PQ54" s="486">
        <f t="shared" ref="PQ54:RJ54" si="3911">(PQ47*0.5)*0.1</f>
        <v>11919.111000000003</v>
      </c>
      <c r="PR54" s="486"/>
      <c r="PS54" s="486">
        <f t="shared" ref="PS54:RJ54" si="3912">(PS47*0.5)*0.1</f>
        <v>18694.739000000001</v>
      </c>
      <c r="PT54" s="486"/>
      <c r="PU54" s="486">
        <f t="shared" ref="PU54:RJ54" si="3913">(PU47*0.5)*0.1</f>
        <v>12910.191500000001</v>
      </c>
      <c r="PV54" s="486"/>
      <c r="PW54" s="486">
        <f t="shared" ref="PW54:RJ54" si="3914">(PW47*0.5)*0.1</f>
        <v>20326.736000000004</v>
      </c>
      <c r="PX54" s="486"/>
      <c r="PY54" s="486">
        <f t="shared" ref="PY54:RJ54" si="3915">(PY47*0.5)*0.1</f>
        <v>16519.482500000002</v>
      </c>
      <c r="PZ54" s="486"/>
      <c r="QA54" s="486">
        <f t="shared" ref="QA54:RJ54" si="3916">(QA47*0.5)*0.1</f>
        <v>27949.262000000002</v>
      </c>
      <c r="QB54" s="486"/>
      <c r="QC54" s="486">
        <f t="shared" ref="QC54:RJ54" si="3917">(QC47*0.5)*0.1</f>
        <v>24286.864500000003</v>
      </c>
      <c r="QD54" s="486"/>
      <c r="QE54" s="486">
        <f t="shared" ref="QE54:RJ54" si="3918">(QE47*0.5)*0.1</f>
        <v>127042.1</v>
      </c>
      <c r="QF54" s="486"/>
      <c r="QG54" s="486">
        <f>QG50*0.1</f>
        <v>127586.52999999998</v>
      </c>
      <c r="QH54" s="486"/>
      <c r="QI54" s="486">
        <f t="shared" ref="QI54:RJ54" si="3919">(QI47*0.5)*0.1</f>
        <v>15949.036439999996</v>
      </c>
      <c r="QJ54" s="486"/>
      <c r="QK54" s="486">
        <f t="shared" ref="QK54:RJ54" si="3920">(QK47*0.5)*0.1</f>
        <v>12408.619000000001</v>
      </c>
      <c r="QL54" s="486"/>
      <c r="QM54" s="486">
        <f t="shared" ref="QM54:RJ54" si="3921">(QM47*0.5)*0.1</f>
        <v>15949.036439999996</v>
      </c>
      <c r="QN54" s="486"/>
      <c r="QO54" s="486">
        <f t="shared" ref="QO54:RJ54" si="3922">(QO47*0.5)*0.1</f>
        <v>10509.711000000001</v>
      </c>
      <c r="QP54" s="486"/>
      <c r="QQ54" s="486">
        <f t="shared" ref="QQ54:RJ54" si="3923">(QQ47*0.5)*0.1</f>
        <v>15949.036439999996</v>
      </c>
      <c r="QR54" s="486"/>
      <c r="QS54" s="486">
        <f t="shared" ref="QS54:RJ54" si="3924">(QS47*0.5)*0.1</f>
        <v>10406.4995</v>
      </c>
      <c r="QT54" s="486"/>
      <c r="QU54" s="486">
        <f t="shared" ref="QU54:RJ54" si="3925">(QU47*0.5)*0.1</f>
        <v>15949.036439999996</v>
      </c>
      <c r="QV54" s="486"/>
      <c r="QW54" s="486">
        <f t="shared" ref="QW54:RJ54" si="3926">(QW47*0.5)*0.1</f>
        <v>9922.1244999999999</v>
      </c>
      <c r="QX54" s="486"/>
      <c r="QY54" s="486">
        <f t="shared" ref="QY54:RJ54" si="3927">(QY47*0.5)*0.1</f>
        <v>18607.209180000002</v>
      </c>
      <c r="QZ54" s="486"/>
      <c r="RA54" s="486">
        <f t="shared" ref="RA54:RJ54" si="3928">(RA47*0.5)*0.1</f>
        <v>11541.7495</v>
      </c>
      <c r="RB54" s="486"/>
      <c r="RC54" s="486">
        <f t="shared" ref="RC54:RJ54" si="3929">(RC47*0.5)*0.1</f>
        <v>21265.381920000003</v>
      </c>
      <c r="RD54" s="486"/>
      <c r="RE54" s="486">
        <f t="shared" ref="RE54:RJ54" si="3930">(RE47*0.5)*0.1</f>
        <v>15773.386000000002</v>
      </c>
      <c r="RF54" s="486"/>
      <c r="RG54" s="486">
        <f t="shared" ref="RG54:RJ54" si="3931">(RG47*0.5)*0.1</f>
        <v>29239.900140000002</v>
      </c>
      <c r="RH54" s="486"/>
      <c r="RI54" s="486">
        <f t="shared" ref="RI54:RJ54" si="3932">(RI47*0.5)*0.1</f>
        <v>24487.2955</v>
      </c>
      <c r="RJ54" s="486"/>
      <c r="RK54" s="486">
        <f t="shared" ref="RK54:RN54" si="3933">(RK47*0.5)*0.1</f>
        <v>132908.63699999999</v>
      </c>
      <c r="RL54" s="486"/>
      <c r="RM54" s="486">
        <f>RM50*0.1</f>
        <v>110189.16250000003</v>
      </c>
      <c r="RN54" s="486"/>
      <c r="RO54" s="486">
        <f t="shared" ref="RO54:TZ54" si="3934">(RO47*0.5)*0.1</f>
        <v>15287.274539999999</v>
      </c>
      <c r="RP54" s="486"/>
      <c r="RQ54" s="486">
        <f t="shared" ref="RQ54:UB54" si="3935">(RQ47*0.5)*0.1</f>
        <v>12008.677</v>
      </c>
      <c r="RR54" s="486"/>
      <c r="RS54" s="486">
        <f t="shared" ref="RS54:UD54" si="3936">(RS47*0.5)*0.1</f>
        <v>15287.274539999997</v>
      </c>
      <c r="RT54" s="486"/>
      <c r="RU54" s="486">
        <f t="shared" ref="RU54:UF54" si="3937">(RU47*0.5)*0.1</f>
        <v>10267.890000000001</v>
      </c>
      <c r="RV54" s="486"/>
      <c r="RW54" s="486">
        <f t="shared" ref="RW54:UH54" si="3938">(RW47*0.5)*0.1</f>
        <v>15287.274539999997</v>
      </c>
      <c r="RX54" s="486"/>
      <c r="RY54" s="486">
        <f t="shared" ref="RY54:UJ54" si="3939">(RY47*0.5)*0.1</f>
        <v>12848.304499999998</v>
      </c>
      <c r="RZ54" s="486"/>
      <c r="SA54" s="486">
        <f t="shared" ref="SA54:UL54" si="3940">(SA47*0.5)*0.1</f>
        <v>15287.274539999997</v>
      </c>
      <c r="SB54" s="486"/>
      <c r="SC54" s="486">
        <f t="shared" ref="SC54:UN54" si="3941">(SC47*0.5)*0.1</f>
        <v>14279.1155</v>
      </c>
      <c r="SD54" s="486"/>
      <c r="SE54" s="486">
        <f t="shared" ref="SE54:UP54" si="3942">(SE47*0.5)*0.1</f>
        <v>17835.153630000004</v>
      </c>
      <c r="SF54" s="486"/>
      <c r="SG54" s="486">
        <f t="shared" ref="SG54:UR54" si="3943">(SG47*0.5)*0.1</f>
        <v>13471.847500000002</v>
      </c>
      <c r="SH54" s="486"/>
      <c r="SI54" s="486">
        <f t="shared" ref="SI54:UT54" si="3944">(SI47*0.5)*0.1</f>
        <v>20383.032720000003</v>
      </c>
      <c r="SJ54" s="486"/>
      <c r="SK54" s="486">
        <f t="shared" ref="SK54:UV54" si="3945">(SK47*0.5)*0.1</f>
        <v>17003.244499999997</v>
      </c>
      <c r="SL54" s="486"/>
      <c r="SM54" s="486">
        <f t="shared" ref="SM54:UX54" si="3946">(SM47*0.5)*0.1</f>
        <v>28026.669990000002</v>
      </c>
      <c r="SN54" s="486"/>
      <c r="SO54" s="486">
        <f t="shared" ref="SO54:UZ54" si="3947">(SO47*0.5)*0.1</f>
        <v>22909.914000000004</v>
      </c>
      <c r="SP54" s="486"/>
      <c r="SQ54" s="486">
        <f t="shared" ref="SQ54:VB54" si="3948">(SQ47*0.5)*0.1</f>
        <v>127393.95449999999</v>
      </c>
      <c r="SR54" s="486"/>
      <c r="SS54" s="486">
        <f>SS50*0.1</f>
        <v>119868.13300000003</v>
      </c>
      <c r="ST54" s="486"/>
      <c r="SU54" s="486">
        <f t="shared" ref="SU54:TZ54" si="3949">(SU47*0.5)*0.1</f>
        <v>14265.955020000001</v>
      </c>
      <c r="SV54" s="486"/>
      <c r="SW54" s="486">
        <f t="shared" ref="SW54:VH54" si="3950">(SW47*0.5)*0.1</f>
        <v>9939.1324999999997</v>
      </c>
      <c r="SX54" s="486"/>
      <c r="SY54" s="486">
        <f t="shared" ref="SY54:VJ54" si="3951">(SY47*0.5)*0.1</f>
        <v>14265.955020000001</v>
      </c>
      <c r="SZ54" s="486"/>
      <c r="TA54" s="486">
        <f t="shared" ref="TA54:VL54" si="3952">(TA47*0.5)*0.1</f>
        <v>9509.1720000000005</v>
      </c>
      <c r="TB54" s="486"/>
      <c r="TC54" s="486">
        <f t="shared" ref="TC54:VN54" si="3953">(TC47*0.5)*0.1</f>
        <v>14265.955020000001</v>
      </c>
      <c r="TD54" s="486"/>
      <c r="TE54" s="486">
        <f t="shared" ref="TE54:VP54" si="3954">(TE47*0.5)*0.1</f>
        <v>9604.6285000000007</v>
      </c>
      <c r="TF54" s="486"/>
      <c r="TG54" s="486">
        <f t="shared" ref="TG54:VR54" si="3955">(TG47*0.5)*0.1</f>
        <v>14265.955020000001</v>
      </c>
      <c r="TH54" s="486"/>
      <c r="TI54" s="486">
        <f t="shared" ref="TI54:VT54" si="3956">(TI47*0.5)*0.1</f>
        <v>9639.759</v>
      </c>
      <c r="TJ54" s="486"/>
      <c r="TK54" s="486">
        <f t="shared" ref="TK54:VV54" si="3957">(TK47*0.5)*0.1</f>
        <v>16643.614190000004</v>
      </c>
      <c r="TL54" s="486"/>
      <c r="TM54" s="486">
        <f t="shared" ref="TM54:VX54" si="3958">(TM47*0.5)*0.1</f>
        <v>11188.449000000001</v>
      </c>
      <c r="TN54" s="486"/>
      <c r="TO54" s="486">
        <f t="shared" ref="TO54:VZ54" si="3959">(TO47*0.5)*0.1</f>
        <v>19021.273360000003</v>
      </c>
      <c r="TP54" s="486"/>
      <c r="TQ54" s="486">
        <f t="shared" ref="TQ54:WB54" si="3960">(TQ47*0.5)*0.1</f>
        <v>15226.090999999999</v>
      </c>
      <c r="TR54" s="486"/>
      <c r="TS54" s="486">
        <f t="shared" ref="TS54:WD54" si="3961">(TS47*0.5)*0.1</f>
        <v>26154.250870000003</v>
      </c>
      <c r="TT54" s="486"/>
      <c r="TU54" s="486">
        <f t="shared" ref="TU54:WF54" si="3962">(TU47*0.5)*0.1</f>
        <v>24327.394499999999</v>
      </c>
      <c r="TV54" s="486"/>
      <c r="TW54" s="486">
        <f>TW50*0.1</f>
        <v>130285.572</v>
      </c>
      <c r="TX54" s="486"/>
      <c r="TY54" s="486">
        <f>TY50*0.1</f>
        <v>102917.65600000003</v>
      </c>
      <c r="TZ54" s="486"/>
      <c r="UA54" s="486">
        <f>UA50*0.1</f>
        <v>20760.749</v>
      </c>
      <c r="UB54" s="486"/>
      <c r="UC54" s="486">
        <f>UC50*0.1</f>
        <v>12736.5005</v>
      </c>
      <c r="UD54" s="486"/>
      <c r="UE54" s="486">
        <f>UE50*0.1</f>
        <v>14842.191500000008</v>
      </c>
      <c r="UF54" s="486"/>
      <c r="UG54" s="486">
        <f>UG50*0.1</f>
        <v>11420.834999999999</v>
      </c>
      <c r="UH54" s="486"/>
      <c r="UI54" s="486">
        <f>UI50*0.1</f>
        <v>16500.180499999999</v>
      </c>
      <c r="UJ54" s="486"/>
      <c r="UK54" s="486">
        <f>UK50*0.1</f>
        <v>11966.737000000001</v>
      </c>
      <c r="UL54" s="486"/>
      <c r="UM54" s="486">
        <f>UM50*0.1</f>
        <v>15330.829500000002</v>
      </c>
      <c r="UN54" s="486"/>
      <c r="UO54" s="486">
        <f>UO50*0.1</f>
        <v>12282.387500000001</v>
      </c>
      <c r="UP54" s="486"/>
      <c r="UQ54" s="486">
        <f>UQ50*0.1</f>
        <v>17303.815500000001</v>
      </c>
      <c r="UR54" s="486"/>
      <c r="US54" s="486">
        <f>US50*0.1</f>
        <v>14271.163</v>
      </c>
      <c r="UT54" s="486"/>
      <c r="UU54" s="486">
        <f>UU50*0.1</f>
        <v>23256.367999999999</v>
      </c>
      <c r="UV54" s="486"/>
      <c r="UW54" s="486">
        <f>UW50*0.1</f>
        <v>20989.423000000003</v>
      </c>
      <c r="UX54" s="486"/>
      <c r="UY54" s="486">
        <f>UY50*0.1</f>
        <v>33061.895000000011</v>
      </c>
      <c r="UZ54" s="486"/>
      <c r="VA54" s="486">
        <f>VA50*0.1</f>
        <v>28576.407000000003</v>
      </c>
      <c r="VB54" s="486"/>
      <c r="VC54" s="486">
        <f>VC50*0.1</f>
        <v>141056.02900000001</v>
      </c>
      <c r="VD54" s="486"/>
      <c r="VE54" s="486">
        <f>VE50*0.1</f>
        <v>112243.45299999996</v>
      </c>
      <c r="VF54" s="486"/>
      <c r="VG54" s="486">
        <f t="shared" ref="VG54:XR54" si="3963">VG50*0.1</f>
        <v>19494.074999999997</v>
      </c>
      <c r="VH54" s="486"/>
      <c r="VI54" s="486">
        <f t="shared" ref="VI54:XT54" si="3964">VI50*0.1</f>
        <v>14008.569000000001</v>
      </c>
      <c r="VJ54" s="486"/>
      <c r="VK54" s="486">
        <f t="shared" ref="VK54:XV54" si="3965">VK50*0.1</f>
        <v>14030.0285</v>
      </c>
      <c r="VL54" s="486"/>
      <c r="VM54" s="486">
        <f t="shared" ref="VM54:XX54" si="3966">VM50*0.1</f>
        <v>11856.677499999998</v>
      </c>
      <c r="VN54" s="486"/>
      <c r="VO54" s="486">
        <f t="shared" ref="VO54:XZ54" si="3967">VO50*0.1</f>
        <v>13160.7935</v>
      </c>
      <c r="VP54" s="486"/>
      <c r="VQ54" s="486">
        <f t="shared" ref="VQ54:YB54" si="3968">VQ50*0.1</f>
        <v>11034.147499999999</v>
      </c>
      <c r="VR54" s="486"/>
      <c r="VS54" s="486">
        <f t="shared" ref="VS54:YD54" si="3969">VS50*0.1</f>
        <v>14488.573999999997</v>
      </c>
      <c r="VT54" s="486"/>
      <c r="VU54" s="486">
        <f t="shared" ref="VU54:YF54" si="3970">VU50*0.1</f>
        <v>12328.493500000002</v>
      </c>
      <c r="VV54" s="486"/>
      <c r="VW54" s="486">
        <f t="shared" ref="VW54:YH54" si="3971">VW50*0.1</f>
        <v>15653.554500000002</v>
      </c>
      <c r="VX54" s="486"/>
      <c r="VY54" s="486">
        <f t="shared" ref="VY54:YJ54" si="3972">VY50*0.1</f>
        <v>13929.7335</v>
      </c>
      <c r="VZ54" s="486"/>
      <c r="WA54" s="486">
        <f t="shared" ref="WA54:YL54" si="3973">WA50*0.1</f>
        <v>19942.45</v>
      </c>
      <c r="WB54" s="486"/>
      <c r="WC54" s="486">
        <f t="shared" ref="WC54:YN54" si="3974">WC50*0.1</f>
        <v>19018.267000000003</v>
      </c>
      <c r="WD54" s="486"/>
      <c r="WE54" s="486">
        <f t="shared" ref="WE54:YP54" si="3975">WE50*0.1</f>
        <v>32037.747499999998</v>
      </c>
      <c r="WF54" s="486"/>
      <c r="WG54" s="486">
        <f t="shared" ref="WG54:YR54" si="3976">WG50*0.1</f>
        <v>30480.822000000004</v>
      </c>
      <c r="WH54" s="486"/>
      <c r="WI54" s="486">
        <f t="shared" ref="WI54:YT54" si="3977">WI50*0.1</f>
        <v>61173.470999999998</v>
      </c>
      <c r="WJ54" s="486"/>
      <c r="WK54" s="486">
        <f t="shared" ref="WK54:YV54" si="3978">WK50*0.1</f>
        <v>112656.70999999996</v>
      </c>
      <c r="WL54" s="486"/>
      <c r="WM54" s="486">
        <f t="shared" ref="WM54:YX54" si="3979">WM50*0.1</f>
        <v>17420.747000000003</v>
      </c>
      <c r="WN54" s="486"/>
      <c r="WO54" s="486">
        <f t="shared" ref="WO54:YZ54" si="3980">WO50*0.1</f>
        <v>15297.983500000002</v>
      </c>
      <c r="WP54" s="486"/>
      <c r="WQ54" s="486">
        <f t="shared" ref="WQ54:ZB54" si="3981">WQ50*0.1</f>
        <v>15719.308500000003</v>
      </c>
      <c r="WR54" s="486"/>
      <c r="WS54" s="486">
        <f t="shared" ref="WS54:ZD54" si="3982">WS50*0.1</f>
        <v>12596.449000000001</v>
      </c>
      <c r="WT54" s="486"/>
      <c r="WU54" s="486">
        <f t="shared" ref="WU54:ZF54" si="3983">WU50*0.1</f>
        <v>16443.222500000003</v>
      </c>
      <c r="WV54" s="486"/>
      <c r="WW54" s="486">
        <f t="shared" ref="WW54:ZH54" si="3984">WW50*0.1</f>
        <v>12452.088000000002</v>
      </c>
      <c r="WX54" s="486"/>
      <c r="WY54" s="486">
        <f t="shared" ref="WY54:ZJ54" si="3985">WY50*0.1</f>
        <v>16931.550500000005</v>
      </c>
      <c r="WZ54" s="486"/>
      <c r="XA54" s="486">
        <f t="shared" ref="XA54:ZL54" si="3986">XA50*0.1</f>
        <v>13081.216000000002</v>
      </c>
      <c r="XB54" s="486"/>
      <c r="XC54" s="486">
        <f t="shared" ref="XC54:ZN54" si="3987">XC50*0.1</f>
        <v>17114.8845</v>
      </c>
      <c r="XD54" s="486"/>
      <c r="XE54" s="486">
        <f t="shared" ref="XE54:ZP54" si="3988">XE50*0.1</f>
        <v>15773.1535</v>
      </c>
      <c r="XF54" s="486"/>
      <c r="XG54" s="486">
        <f t="shared" ref="XG54:ZR54" si="3989">XG50*0.1</f>
        <v>21893.588999999996</v>
      </c>
      <c r="XH54" s="486"/>
      <c r="XI54" s="486">
        <f t="shared" ref="XI54:ZT54" si="3990">XI50*0.1</f>
        <v>21860.010999999999</v>
      </c>
      <c r="XJ54" s="486"/>
      <c r="XK54" s="486">
        <f t="shared" ref="XK54:ZV54" si="3991">XK50*0.1</f>
        <v>34470.976999999999</v>
      </c>
      <c r="XL54" s="486"/>
      <c r="XM54" s="486">
        <f t="shared" ref="XM54:ZX54" si="3992">XM50*0.1</f>
        <v>34733.807000000001</v>
      </c>
      <c r="XN54" s="486"/>
      <c r="XO54" s="486">
        <f t="shared" ref="XO54:ZZ54" si="3993">XO50*0.1</f>
        <v>139994.27900000001</v>
      </c>
      <c r="XP54" s="486"/>
      <c r="XQ54" s="486">
        <f t="shared" ref="XQ54:AAB54" si="3994">XQ50*0.1</f>
        <v>125794.70799999998</v>
      </c>
      <c r="XR54" s="486"/>
      <c r="XS54" s="486">
        <f t="shared" ref="XS54:AAD54" si="3995">XS50*0.1</f>
        <v>22307.146500000003</v>
      </c>
      <c r="XT54" s="486"/>
      <c r="XU54" s="486">
        <f t="shared" ref="XU54:AAF54" si="3996">XU50*0.1</f>
        <v>15997.090499999998</v>
      </c>
      <c r="XV54" s="486"/>
      <c r="XW54" s="486">
        <f t="shared" ref="XW54:AAH54" si="3997">XW50*0.1</f>
        <v>15177.650500000011</v>
      </c>
      <c r="XX54" s="486"/>
      <c r="XY54" s="486">
        <f t="shared" ref="XY54:AAJ54" si="3998">XY50*0.1</f>
        <v>13514.4355</v>
      </c>
      <c r="XZ54" s="486"/>
      <c r="YA54" s="486">
        <f t="shared" ref="YA54:AAL54" si="3999">YA50*0.1</f>
        <v>15880.767</v>
      </c>
      <c r="YB54" s="486"/>
      <c r="YC54" s="486">
        <f t="shared" ref="YC54:AAN54" si="4000">YC50*0.1</f>
        <v>12675.361000000003</v>
      </c>
      <c r="YD54" s="486"/>
      <c r="YE54" s="486">
        <f t="shared" ref="YE54:AAP54" si="4001">YE50*0.1</f>
        <v>15893.583500000002</v>
      </c>
      <c r="YF54" s="486"/>
      <c r="YG54" s="486">
        <f t="shared" ref="YG54:AAR54" si="4002">YG50*0.1</f>
        <v>13087.041500000001</v>
      </c>
      <c r="YH54" s="486"/>
      <c r="YI54" s="486">
        <f t="shared" ref="YI54:AAT54" si="4003">YI50*0.1</f>
        <v>18271.746999999992</v>
      </c>
      <c r="YJ54" s="486"/>
      <c r="YK54" s="486">
        <f t="shared" ref="YK54:AAV54" si="4004">YK50*0.1</f>
        <v>15948.129000000001</v>
      </c>
      <c r="YL54" s="486"/>
      <c r="YM54" s="486">
        <f t="shared" ref="YM54:AAX54" si="4005">YM50*0.1</f>
        <v>24766.383500000004</v>
      </c>
      <c r="YN54" s="486"/>
      <c r="YO54" s="486">
        <f t="shared" ref="YO54:AAZ54" si="4006">YO50*0.1</f>
        <v>22011.716999999997</v>
      </c>
      <c r="YP54" s="486"/>
      <c r="YQ54" s="486">
        <f t="shared" ref="YQ54:ABB54" si="4007">YQ50*0.1</f>
        <v>39528.336000000003</v>
      </c>
      <c r="YR54" s="486"/>
      <c r="YS54" s="486">
        <f t="shared" ref="YS54:ABD54" si="4008">YS50*0.1</f>
        <v>34664.231500000002</v>
      </c>
      <c r="YT54" s="486"/>
      <c r="YU54" s="486">
        <f t="shared" ref="YU54:ABF54" si="4009">YU50*0.1</f>
        <v>151825.614</v>
      </c>
      <c r="YV54" s="486"/>
      <c r="YW54" s="486">
        <f t="shared" ref="YW54:ABH54" si="4010">YW50*0.1</f>
        <v>127898.00600000001</v>
      </c>
      <c r="YX54" s="486"/>
      <c r="YY54" s="486">
        <f t="shared" ref="YY54:ABJ54" si="4011">YY50*0.1</f>
        <v>22187.044500000004</v>
      </c>
      <c r="YZ54" s="486"/>
      <c r="ZA54" s="486">
        <f t="shared" ref="ZA54:ABL54" si="4012">ZA50*0.1</f>
        <v>18405.524000000009</v>
      </c>
      <c r="ZB54" s="486"/>
      <c r="ZC54" s="486">
        <f t="shared" ref="ZC54:ABN54" si="4013">ZC50*0.1</f>
        <v>18387.447000000004</v>
      </c>
      <c r="ZD54" s="486"/>
      <c r="ZE54" s="486">
        <f t="shared" ref="ZE54:ABP54" si="4014">ZE50*0.1</f>
        <v>16036.404499999997</v>
      </c>
      <c r="ZF54" s="486"/>
      <c r="ZG54" s="486">
        <f t="shared" ref="ZG54:ABR54" si="4015">ZG50*0.1</f>
        <v>21812.472000000005</v>
      </c>
      <c r="ZH54" s="486"/>
      <c r="ZI54" s="486">
        <f t="shared" ref="ZI54:ABT54" si="4016">ZI50*0.1</f>
        <v>19105.552</v>
      </c>
      <c r="ZJ54" s="486"/>
      <c r="ZK54" s="486">
        <f t="shared" ref="ZK54:ABV54" si="4017">ZK50*0.1</f>
        <v>28478.96000000001</v>
      </c>
      <c r="ZL54" s="486">
        <f t="shared" si="4017"/>
        <v>18502.622858999999</v>
      </c>
      <c r="ZM54" s="486">
        <f t="shared" ref="ZM54:ABX54" si="4018">ZM50*0.1</f>
        <v>21750.280500000001</v>
      </c>
      <c r="ZN54" s="486"/>
      <c r="ZO54" s="486">
        <f t="shared" ref="ZO54:ABZ54" si="4019">ZO50*0.1</f>
        <v>33046.3465</v>
      </c>
      <c r="ZP54" s="486">
        <f t="shared" ref="ZP54" si="4020">ZP50*0.1</f>
        <v>21586.393335500001</v>
      </c>
      <c r="ZQ54" s="486">
        <f t="shared" ref="ZQ54:ACB54" si="4021">ZQ50*0.1</f>
        <v>24729.65</v>
      </c>
      <c r="ZR54" s="486"/>
      <c r="ZS54" s="486">
        <f t="shared" ref="ZS54:ACD54" si="4022">ZS50*0.1</f>
        <v>25659.439500000008</v>
      </c>
      <c r="ZT54" s="486"/>
      <c r="ZU54" s="486">
        <f t="shared" ref="ZU54:ACF54" si="4023">ZU50*0.1</f>
        <v>33998.947500000002</v>
      </c>
      <c r="ZV54" s="486"/>
      <c r="ZW54" s="486">
        <f t="shared" ref="ZW54:ACH54" si="4024">ZW50*0.1</f>
        <v>30330.905500000008</v>
      </c>
      <c r="ZX54" s="486"/>
      <c r="ZY54" s="486">
        <f t="shared" ref="ZY54:ACJ54" si="4025">ZY50*0.1</f>
        <v>48422.352000000014</v>
      </c>
      <c r="ZZ54" s="486"/>
      <c r="AAA54" s="486">
        <f t="shared" ref="AAA54:ACL54" si="4026">AAA50*0.1</f>
        <v>179902.61500000002</v>
      </c>
      <c r="AAB54" s="486"/>
      <c r="AAC54" s="486">
        <f t="shared" ref="AAC54:ACN54" si="4027">AAC50*0.1</f>
        <v>182448.71049999999</v>
      </c>
      <c r="AAD54" s="486"/>
      <c r="AAE54" s="486">
        <f t="shared" ref="AAE54:ACP54" si="4028">AAE50*0.1</f>
        <v>19643.653000000006</v>
      </c>
      <c r="AAF54" s="486"/>
      <c r="AAG54" s="486">
        <f t="shared" ref="AAG54:ACR54" si="4029">AAG50*0.1</f>
        <v>21693.998</v>
      </c>
      <c r="AAH54" s="486"/>
      <c r="AAI54" s="486">
        <f t="shared" ref="AAI54:ACT54" si="4030">AAI50*0.1</f>
        <v>15336.298499999997</v>
      </c>
      <c r="AAJ54" s="486"/>
      <c r="AAK54" s="486">
        <f t="shared" ref="AAK54:ACV54" si="4031">AAK50*0.1</f>
        <v>17190.657500000001</v>
      </c>
      <c r="AAL54" s="486"/>
      <c r="AAM54" s="486">
        <f t="shared" ref="AAM54:ACX54" si="4032">AAM50*0.1</f>
        <v>15444.628999999999</v>
      </c>
      <c r="AAN54" s="486"/>
      <c r="AAO54" s="486">
        <f t="shared" ref="AAO54:ACZ54" si="4033">AAO50*0.1</f>
        <v>12811.02</v>
      </c>
      <c r="AAP54" s="486"/>
      <c r="AAQ54" s="486">
        <f t="shared" ref="AAQ54:ADB54" si="4034">AAQ50*0.1</f>
        <v>13221.092499999999</v>
      </c>
      <c r="AAR54" s="486">
        <f t="shared" ref="AAR54" si="4035">AAR50*0.1</f>
        <v>14460.572880600001</v>
      </c>
      <c r="AAS54" s="486">
        <f t="shared" ref="AAS54:ADD54" si="4036">AAS50*0.1</f>
        <v>12480.7045</v>
      </c>
      <c r="AAT54" s="486"/>
      <c r="AAU54" s="486">
        <f t="shared" ref="AAU54:ADF54" si="4037">AAU50*0.1</f>
        <v>15619.173500000003</v>
      </c>
      <c r="AAV54" s="486">
        <f t="shared" ref="AAV54" si="4038">AAV50*0.1</f>
        <v>16870.668360700001</v>
      </c>
      <c r="AAW54" s="486">
        <f t="shared" ref="AAW54:ADH54" si="4039">AAW50*0.1</f>
        <v>13484.447000000004</v>
      </c>
      <c r="AAX54" s="486"/>
      <c r="AAY54" s="486">
        <f t="shared" ref="AAY54:ADJ54" si="4040">AAY50*0.1</f>
        <v>19165.202000000001</v>
      </c>
      <c r="AAZ54" s="486"/>
      <c r="ABA54" s="486">
        <f t="shared" ref="ABA54:ADL54" si="4041">ABA50*0.1</f>
        <v>19257.598500000004</v>
      </c>
      <c r="ABB54" s="486"/>
      <c r="ABC54" s="486">
        <f t="shared" ref="ABC54:ADN54" si="4042">ABC50*0.1</f>
        <v>34495.174000000014</v>
      </c>
      <c r="ABD54" s="486"/>
      <c r="ABE54" s="486">
        <f t="shared" ref="ABE54:ADP54" si="4043">ABE50*0.1</f>
        <v>31805.847000000005</v>
      </c>
      <c r="ABF54" s="486"/>
      <c r="ABG54" s="486">
        <f t="shared" ref="ABG54:ADR54" si="4044">ABG50*0.1</f>
        <v>132925.2225</v>
      </c>
      <c r="ABH54" s="486"/>
      <c r="ABI54" s="486">
        <f t="shared" ref="ABI54:ADT54" si="4045">ABI50*0.1</f>
        <v>128724.27250000002</v>
      </c>
      <c r="ABJ54" s="486"/>
      <c r="ABK54" s="486">
        <f t="shared" ref="ABK54:ADV54" si="4046">ABK50*0.1</f>
        <v>20298.789999999997</v>
      </c>
      <c r="ABL54" s="486"/>
      <c r="ABM54" s="486">
        <f t="shared" ref="ABM54:ADX54" si="4047">ABM50*0.1</f>
        <v>16858.386500000004</v>
      </c>
      <c r="ABN54" s="486"/>
      <c r="ABO54" s="486">
        <f t="shared" ref="ABO54:ADZ54" si="4048">ABO50*0.1</f>
        <v>14236.7935</v>
      </c>
      <c r="ABP54" s="486"/>
      <c r="ABQ54" s="486">
        <f t="shared" ref="ABQ54:AEB54" si="4049">ABQ50*0.1</f>
        <v>13773.273500000003</v>
      </c>
      <c r="ABR54" s="486"/>
      <c r="ABS54" s="486">
        <f t="shared" ref="ABS54:AED54" si="4050">ABS50*0.1</f>
        <v>11464.953999999998</v>
      </c>
      <c r="ABT54" s="486"/>
      <c r="ABU54" s="486">
        <f t="shared" ref="ABU54:AEF54" si="4051">ABU50*0.1</f>
        <v>12846.611500000001</v>
      </c>
      <c r="ABV54" s="486"/>
      <c r="ABW54" s="486">
        <f t="shared" ref="ABW54:AEH54" si="4052">ABW50*0.1</f>
        <v>14901.931499999999</v>
      </c>
      <c r="ABX54" s="486"/>
      <c r="ABY54" s="486">
        <f t="shared" ref="ABY54:AEJ54" si="4053">ABY50*0.1</f>
        <v>15053.339000000005</v>
      </c>
      <c r="ABZ54" s="486"/>
      <c r="ACA54" s="486">
        <f t="shared" ref="ACA54:AEL54" si="4054">ACA50*0.1</f>
        <v>21011.912000000004</v>
      </c>
      <c r="ACB54" s="486"/>
      <c r="ACC54" s="486">
        <f t="shared" ref="ACC54:AEN54" si="4055">ACC50*0.1</f>
        <v>16848.4375</v>
      </c>
      <c r="ACD54" s="486"/>
      <c r="ACE54" s="486">
        <f t="shared" ref="ACE54:AEP54" si="4056">ACE50*0.1</f>
        <v>34226.933499999992</v>
      </c>
      <c r="ACF54" s="486"/>
      <c r="ACG54" s="486">
        <f t="shared" ref="ACG54:AER54" si="4057">ACG50*0.1</f>
        <v>24991.400500000003</v>
      </c>
      <c r="ACH54" s="486"/>
      <c r="ACI54" s="486">
        <f t="shared" ref="ACI54:AET54" si="4058">ACI50*0.1</f>
        <v>55267.905999999995</v>
      </c>
      <c r="ACJ54" s="486"/>
      <c r="ACK54" s="486">
        <f t="shared" ref="ACK54:AEV54" si="4059">ACK50*0.1</f>
        <v>41531.152000000009</v>
      </c>
      <c r="ACL54" s="486"/>
      <c r="ACM54" s="486">
        <f t="shared" ref="ACM54:AEX54" si="4060">ACM50*0.1</f>
        <v>171409.2205</v>
      </c>
      <c r="ACN54" s="486"/>
      <c r="ACO54" s="486">
        <f t="shared" ref="ACO54:AEZ54" si="4061">ACO50*0.1</f>
        <v>141902.6005</v>
      </c>
      <c r="ACP54" s="486"/>
      <c r="ACQ54" s="486">
        <f t="shared" ref="ACQ54:AFB54" si="4062">ACQ50*0.1</f>
        <v>38560.842000000004</v>
      </c>
      <c r="ACR54" s="486"/>
      <c r="ACS54" s="486">
        <f t="shared" ref="ACS54:AFD54" si="4063">ACS50*0.1</f>
        <v>26142.247500000005</v>
      </c>
      <c r="ACT54" s="486"/>
      <c r="ACU54" s="486">
        <f t="shared" ref="ACU54:AFF54" si="4064">ACU50*0.1</f>
        <v>38814.608999999989</v>
      </c>
      <c r="ACV54" s="486"/>
      <c r="ACW54" s="486">
        <f t="shared" ref="ACW54:AFH54" si="4065">ACW50*0.1</f>
        <v>27261.7225</v>
      </c>
      <c r="ACX54" s="486"/>
      <c r="ACY54" s="486">
        <f t="shared" ref="ACY54:AFJ54" si="4066">ACY50*0.1</f>
        <v>19363.798000000003</v>
      </c>
      <c r="ACZ54" s="486"/>
      <c r="ADA54" s="486">
        <f t="shared" ref="ADA54:AFL54" si="4067">ADA50*0.1</f>
        <v>17669.767000000003</v>
      </c>
      <c r="ADB54" s="486"/>
      <c r="ADC54" s="486">
        <f t="shared" ref="ADC54:AFN54" si="4068">ADC50*0.1</f>
        <v>16542.059000000001</v>
      </c>
      <c r="ADD54" s="486"/>
      <c r="ADE54" s="486">
        <f t="shared" ref="ADE54:AFP54" si="4069">ADE50*0.1</f>
        <v>15819.233000000002</v>
      </c>
      <c r="ADF54" s="486"/>
      <c r="ADG54" s="486">
        <f t="shared" ref="ADG54:AFR54" si="4070">ADG50*0.1</f>
        <v>20807.736499999999</v>
      </c>
      <c r="ADH54" s="486"/>
      <c r="ADI54" s="486">
        <f t="shared" ref="ADI54:AFT54" si="4071">ADI50*0.1</f>
        <v>17936.902000000002</v>
      </c>
      <c r="ADJ54" s="486"/>
      <c r="ADK54" s="486">
        <f t="shared" ref="ADK54:AFV54" si="4072">ADK50*0.1</f>
        <v>26661.544500000004</v>
      </c>
      <c r="ADL54" s="486"/>
      <c r="ADM54" s="486">
        <f t="shared" ref="ADM54:AFX54" si="4073">ADM50*0.1</f>
        <v>23006.377</v>
      </c>
      <c r="ADN54" s="486"/>
      <c r="ADO54" s="486">
        <f t="shared" ref="ADO54:AET54" si="4074">ADO50*0.1</f>
        <v>40386.7425</v>
      </c>
      <c r="ADP54" s="486"/>
      <c r="ADQ54" s="486">
        <f t="shared" ref="ADQ54:AEV54" si="4075">ADQ50*0.1</f>
        <v>34984.143499999998</v>
      </c>
      <c r="ADR54" s="486"/>
      <c r="ADS54" s="486">
        <f t="shared" ref="ADS54:AEX54" si="4076">ADS50*0.1</f>
        <v>195485.95250000001</v>
      </c>
      <c r="ADT54" s="486"/>
      <c r="ADU54" s="486">
        <f t="shared" ref="ADU54:AEZ54" si="4077">ADU50*0.1</f>
        <v>162820.39249999999</v>
      </c>
      <c r="ADV54" s="486"/>
      <c r="ADW54" s="486">
        <f t="shared" ref="ADW54:AFB54" si="4078">ADW50*0.1</f>
        <v>24974.214500000002</v>
      </c>
      <c r="ADX54" s="486"/>
      <c r="ADY54" s="486">
        <f t="shared" ref="ADY54:AFD54" si="4079">ADY50*0.1</f>
        <v>21348.801500000001</v>
      </c>
      <c r="ADZ54" s="486"/>
      <c r="AEA54" s="486">
        <f t="shared" ref="AEA54:AFF54" si="4080">AEA50*0.1</f>
        <v>21763.360999999997</v>
      </c>
      <c r="AEB54" s="486"/>
      <c r="AEC54" s="486">
        <f t="shared" ref="AEC54:AFH54" si="4081">AEC50*0.1</f>
        <v>19063.8</v>
      </c>
      <c r="AED54" s="486"/>
      <c r="AEE54" s="486">
        <f t="shared" ref="AEE54:AFJ54" si="4082">AEE50*0.1</f>
        <v>20669.740500000007</v>
      </c>
      <c r="AEF54" s="486"/>
      <c r="AEG54" s="486">
        <f t="shared" ref="AEG54:AFL54" si="4083">AEG50*0.1</f>
        <v>19484.400000000001</v>
      </c>
      <c r="AEH54" s="486"/>
      <c r="AEI54" s="486">
        <f t="shared" ref="AEI54:AFN54" si="4084">AEI50*0.1</f>
        <v>19418.584000000003</v>
      </c>
      <c r="AEJ54" s="486"/>
      <c r="AEK54" s="486">
        <f t="shared" ref="AEK54:AFP54" si="4085">AEK50*0.1</f>
        <v>21149.850000000002</v>
      </c>
      <c r="AEL54" s="486"/>
      <c r="AEM54" s="486">
        <f t="shared" ref="AEM54:AFR54" si="4086">AEM50*0.1</f>
        <v>25979.411500000002</v>
      </c>
      <c r="AEN54" s="486"/>
      <c r="AEO54" s="486">
        <f t="shared" ref="AEO54:AFT54" si="4087">AEO50*0.1</f>
        <v>21562.5</v>
      </c>
      <c r="AEP54" s="486"/>
      <c r="AEQ54" s="486">
        <f t="shared" ref="AEQ54:AFV54" si="4088">AEQ50*0.1</f>
        <v>37500.866000000002</v>
      </c>
      <c r="AER54" s="486"/>
      <c r="AES54" s="486">
        <f t="shared" ref="AES54:AFX54" si="4089">AES50*0.1</f>
        <v>18950.150000000001</v>
      </c>
      <c r="AET54" s="486"/>
      <c r="AEU54" s="486">
        <f t="shared" ref="AEU54:AFZ54" si="4090">AEU50*0.1</f>
        <v>58226.064999999995</v>
      </c>
      <c r="AEV54" s="486"/>
      <c r="AEW54" s="486">
        <f t="shared" ref="AEW54:AGB54" si="4091">AEW50*0.1</f>
        <v>45271.850000000006</v>
      </c>
      <c r="AEX54" s="486"/>
      <c r="AEY54" s="486">
        <f t="shared" ref="AEY54:AGD54" si="4092">AEY50*0.1</f>
        <v>205013.32399999999</v>
      </c>
      <c r="AEZ54" s="486"/>
      <c r="AFA54" s="486">
        <f t="shared" ref="AFA54:AGF54" si="4093">AFA50*0.1</f>
        <v>166831.35149999999</v>
      </c>
      <c r="AFB54" s="486"/>
      <c r="AFC54" s="486">
        <f t="shared" ref="AFC54:AGH54" si="4094">AFC50*0.1</f>
        <v>34213.343000000001</v>
      </c>
      <c r="AFD54" s="486"/>
      <c r="AFE54" s="486">
        <f t="shared" ref="AFE54:AGJ54" si="4095">AFE50*0.1</f>
        <v>24380.400000000001</v>
      </c>
      <c r="AFF54" s="486"/>
      <c r="AFG54" s="486">
        <f t="shared" ref="AFG54:AGL54" si="4096">AFG50*0.1</f>
        <v>30694.1345</v>
      </c>
      <c r="AFH54" s="486"/>
      <c r="AFI54" s="486">
        <f t="shared" ref="AFI54:AGN54" si="4097">AFI50*0.1</f>
        <v>23198.089500000002</v>
      </c>
      <c r="AFJ54" s="486"/>
      <c r="AFK54" s="486">
        <f t="shared" ref="AFK54:AGP54" si="4098">AFK50*0.1</f>
        <v>29531.125500000002</v>
      </c>
      <c r="AFL54" s="486"/>
      <c r="AFM54" s="486">
        <f t="shared" ref="AFM54:AGR54" si="4099">AFM50*0.1</f>
        <v>26492.7605</v>
      </c>
      <c r="AFN54" s="486"/>
      <c r="AFO54" s="486">
        <f t="shared" ref="AFO54:AGT54" si="4100">AFO50*0.1</f>
        <v>32700.73</v>
      </c>
      <c r="AFP54" s="486"/>
      <c r="AFQ54" s="486">
        <f t="shared" ref="AFQ54:AGV54" si="4101">AFQ50*0.1</f>
        <v>27444.534499999998</v>
      </c>
      <c r="AFR54" s="486"/>
      <c r="AFS54" s="486">
        <f t="shared" ref="AFS54:AGX54" si="4102">AFS50*0.1</f>
        <v>37047.73750000001</v>
      </c>
      <c r="AFT54" s="486"/>
      <c r="AFU54" s="486">
        <f t="shared" ref="AFU54:AGZ54" si="4103">AFU50*0.1</f>
        <v>32515.137500000001</v>
      </c>
      <c r="AFV54" s="486"/>
      <c r="AFW54" s="486">
        <f t="shared" ref="AFW54:AHB54" si="4104">AFW50*0.1</f>
        <v>46412.256500000003</v>
      </c>
      <c r="AFX54" s="486"/>
      <c r="AFY54" s="486">
        <f t="shared" ref="AFY54:AHD54" si="4105">AFY50*0.1</f>
        <v>38380.056999999993</v>
      </c>
      <c r="AFZ54" s="486"/>
      <c r="AGA54" s="486">
        <f t="shared" ref="AGA54:AHF54" si="4106">AGA50*0.1</f>
        <v>72491.156999999992</v>
      </c>
      <c r="AGB54" s="486"/>
      <c r="AGC54" s="486">
        <f t="shared" ref="AGC54:AHH54" si="4107">AGC50*0.1</f>
        <v>62078.719000000012</v>
      </c>
      <c r="AGD54" s="486"/>
      <c r="AGE54" s="486">
        <f t="shared" ref="AGE54:AHJ54" si="4108">AGE50*0.1</f>
        <v>276733.85150000005</v>
      </c>
      <c r="AGF54" s="486"/>
      <c r="AGG54" s="486">
        <f t="shared" ref="AGG54:AHL54" si="4109">AGG50*0.1</f>
        <v>234489.698</v>
      </c>
      <c r="AGH54" s="486"/>
      <c r="AGI54" s="486">
        <f t="shared" ref="AGI54:AHN54" si="4110">AGI50*0.1</f>
        <v>47790.325500000006</v>
      </c>
      <c r="AGJ54" s="486"/>
      <c r="AGK54" s="486">
        <f t="shared" ref="AGK54:AHP54" si="4111">AGK50*0.1</f>
        <v>32968.988499999999</v>
      </c>
      <c r="AGL54" s="486"/>
      <c r="AGM54" s="486">
        <f t="shared" ref="AGM54:AHR54" si="4112">AGM50*0.1</f>
        <v>31070.199500000002</v>
      </c>
      <c r="AGN54" s="486"/>
      <c r="AGO54" s="486">
        <f t="shared" ref="AGO54:AHT54" si="4113">AGO50*0.1</f>
        <v>29768.096999999994</v>
      </c>
      <c r="AGP54" s="486"/>
      <c r="AGQ54" s="486">
        <f t="shared" ref="AGQ54:AHV54" si="4114">AGQ50*0.1</f>
        <v>38161.830500000004</v>
      </c>
      <c r="AGR54" s="486"/>
      <c r="AGS54" s="486">
        <f t="shared" ref="AGS54:AHX54" si="4115">AGS50*0.1</f>
        <v>28691.505499999999</v>
      </c>
      <c r="AGT54" s="486"/>
      <c r="AGU54" s="486">
        <f t="shared" ref="AGU54:AHZ54" si="4116">AGU50*0.1</f>
        <v>41263.869999999995</v>
      </c>
      <c r="AGV54" s="486"/>
      <c r="AGW54" s="486">
        <f t="shared" ref="AGW54:AIB54" si="4117">AGW50*0.1</f>
        <v>33730.186500000003</v>
      </c>
      <c r="AGX54" s="486"/>
      <c r="AGY54" s="486">
        <f t="shared" ref="AGY54:AID54" si="4118">AGY50*0.1</f>
        <v>47613.228499999997</v>
      </c>
      <c r="AGZ54" s="486"/>
      <c r="AHA54" s="486">
        <f t="shared" ref="AHA54:AIF54" si="4119">AHA50*0.1</f>
        <v>34293.223000000013</v>
      </c>
      <c r="AHB54" s="486"/>
      <c r="AHC54" s="486">
        <f t="shared" ref="AHC54:AIH54" si="4120">AHC50*0.1</f>
        <v>58132.265500000009</v>
      </c>
      <c r="AHD54" s="486"/>
      <c r="AHE54" s="486">
        <f t="shared" ref="AHE54:AIJ54" si="4121">AHE50*0.1</f>
        <v>42738.662500000006</v>
      </c>
      <c r="AHF54" s="486"/>
      <c r="AHG54" s="486">
        <f t="shared" ref="AHG54:AIL54" si="4122">AHG50*0.1</f>
        <v>80080.470499999996</v>
      </c>
      <c r="AHH54" s="486"/>
      <c r="AHI54" s="486">
        <f t="shared" ref="AHI54:AIN54" si="4123">AHI50*0.1</f>
        <v>64298.340000000004</v>
      </c>
      <c r="AHJ54" s="486"/>
      <c r="AHK54" s="486">
        <f t="shared" ref="AHK54:AIP54" si="4124">AHK50*0.1</f>
        <v>334971.80750000005</v>
      </c>
      <c r="AHL54" s="486"/>
      <c r="AHM54" s="486">
        <f t="shared" ref="AHM54:AIR54" si="4125">AHM50*0.1</f>
        <v>266489.00299999997</v>
      </c>
      <c r="AHN54" s="486"/>
      <c r="AHO54" s="486">
        <f t="shared" ref="AHO54:AIT54" si="4126">AHO50*0.1</f>
        <v>58562.823999999979</v>
      </c>
      <c r="AHP54" s="486"/>
      <c r="AHQ54" s="486">
        <f t="shared" ref="AHQ54:AIV54" si="4127">AHQ50*0.1</f>
        <v>40434.521499999988</v>
      </c>
      <c r="AHR54" s="486"/>
      <c r="AHS54" s="486">
        <f t="shared" ref="AHS54:AIX54" si="4128">AHS50*0.1</f>
        <v>54173.621500000001</v>
      </c>
      <c r="AHT54" s="486"/>
      <c r="AHU54" s="486">
        <f t="shared" ref="AHU54:AIZ54" si="4129">AHU50*0.1</f>
        <v>40265.453499999989</v>
      </c>
      <c r="AHV54" s="486"/>
      <c r="AHW54" s="486">
        <f t="shared" ref="AHW54:AJB54" si="4130">AHW50*0.1</f>
        <v>53995.146999999997</v>
      </c>
      <c r="AHX54" s="486"/>
      <c r="AHY54" s="486">
        <f t="shared" ref="AHY54:AJD54" si="4131">AHY50*0.1</f>
        <v>40051.820499999994</v>
      </c>
      <c r="AHZ54" s="486"/>
      <c r="AIA54" s="486">
        <f t="shared" ref="AIA54:AJF54" si="4132">AIA50*0.1</f>
        <v>57521.373499999987</v>
      </c>
      <c r="AIB54" s="486"/>
      <c r="AIC54" s="486">
        <f t="shared" ref="AIC54:AJH54" si="4133">AIC50*0.1</f>
        <v>46336.358999999997</v>
      </c>
      <c r="AID54" s="486"/>
      <c r="AIE54" s="486">
        <f t="shared" ref="AIE54:AJJ54" si="4134">AIE50*0.1</f>
        <v>57568.441000000006</v>
      </c>
      <c r="AIF54" s="486"/>
      <c r="AIG54" s="486">
        <f t="shared" ref="AIG54:AJL54" si="4135">AIG50*0.1</f>
        <v>50684.915000000001</v>
      </c>
      <c r="AIH54" s="486"/>
      <c r="AII54" s="486">
        <f t="shared" ref="AII54:AJN54" si="4136">AII50*0.1</f>
        <v>68185.431999999986</v>
      </c>
      <c r="AIJ54" s="486"/>
      <c r="AIK54" s="486">
        <f t="shared" ref="AIK54:AJP54" si="4137">AIK50*0.1</f>
        <v>54213.057000000001</v>
      </c>
      <c r="AIL54" s="486"/>
      <c r="AIM54" s="486">
        <f t="shared" ref="AIM54:AJR54" si="4138">AIM50*0.1</f>
        <v>92309.629499999995</v>
      </c>
      <c r="AIN54" s="486"/>
      <c r="AIO54" s="486">
        <f t="shared" ref="AIO54:AJT54" si="4139">AIO50*0.1</f>
        <v>74483.381000000008</v>
      </c>
      <c r="AIP54" s="486"/>
      <c r="AIQ54" s="486">
        <f t="shared" ref="AIQ54:AJV54" si="4140">AIQ50*0.1</f>
        <v>431995.75650000013</v>
      </c>
      <c r="AIR54" s="486"/>
      <c r="AIS54" s="486">
        <f t="shared" ref="AIS54:AJX54" si="4141">AIS50*0.1</f>
        <v>346469.50750000007</v>
      </c>
      <c r="AIT54" s="486"/>
      <c r="AIU54" s="486">
        <f t="shared" ref="AIU54:AJZ54" si="4142">AIU50*0.1</f>
        <v>47894.332079999993</v>
      </c>
      <c r="AIV54" s="486"/>
      <c r="AIW54" s="486">
        <f t="shared" ref="AIW54:AKB54" si="4143">AIW50*0.1</f>
        <v>63388.361499999992</v>
      </c>
      <c r="AIX54" s="486"/>
      <c r="AIY54" s="486">
        <f t="shared" ref="AIY54:AKD54" si="4144">AIY50*0.1</f>
        <v>47894.332079999993</v>
      </c>
      <c r="AIZ54" s="486"/>
      <c r="AJA54" s="486">
        <f t="shared" ref="AJA54:AKF54" si="4145">AJA50*0.1</f>
        <v>73304.272500000006</v>
      </c>
      <c r="AJB54" s="486"/>
      <c r="AJC54" s="486">
        <f t="shared" ref="AJC54:AKH54" si="4146">AJC50*0.1</f>
        <v>47894.332079999993</v>
      </c>
      <c r="AJD54" s="486"/>
      <c r="AJE54" s="486">
        <f t="shared" ref="AJE54:AKJ54" si="4147">AJE50*0.1</f>
        <v>81197.949500000002</v>
      </c>
      <c r="AJF54" s="486"/>
      <c r="AJG54" s="486">
        <f t="shared" ref="AJG54:AKL54" si="4148">AJG50*0.1</f>
        <v>47894.332079999993</v>
      </c>
      <c r="AJH54" s="486"/>
      <c r="AJI54" s="486">
        <f t="shared" ref="AJI54:AKN54" si="4149">AJI50*0.1</f>
        <v>86449.219500000007</v>
      </c>
      <c r="AJJ54" s="486"/>
      <c r="AJK54" s="486">
        <f t="shared" ref="AJK54:ALF54" si="4150">AJK50*0.1</f>
        <v>55876.720760000011</v>
      </c>
      <c r="AJL54" s="486"/>
      <c r="AJM54" s="486">
        <f t="shared" ref="AJM54:ALF54" si="4151">AJM50*0.1</f>
        <v>115175.645</v>
      </c>
      <c r="AJN54" s="486"/>
      <c r="AJO54" s="486">
        <f t="shared" ref="AJO54:ALF54" si="4152">AJO50*0.1</f>
        <v>63859.109440000007</v>
      </c>
      <c r="AJP54" s="486"/>
      <c r="AJQ54" s="486">
        <f t="shared" ref="AJQ54:ALF54" si="4153">AJQ50*0.1</f>
        <v>105518.12900000002</v>
      </c>
      <c r="AJR54" s="486"/>
      <c r="AJS54" s="486">
        <f t="shared" ref="AJS54:ALF54" si="4154">AJS50*0.1</f>
        <v>87806.275480000011</v>
      </c>
      <c r="AJT54" s="486"/>
      <c r="AJU54" s="486">
        <f t="shared" ref="AJU54:ALF54" si="4155">AJU50*0.1</f>
        <v>628.14800000000002</v>
      </c>
      <c r="AJV54" s="486"/>
      <c r="AJW54" s="486">
        <f t="shared" ref="AJW54:ALF54" si="4156">AJW50*0.1</f>
        <v>399119.43400000001</v>
      </c>
      <c r="AJX54" s="486"/>
      <c r="AJY54" s="486">
        <f t="shared" ref="AJY54:ALF54" si="4157">AJY50*0.1</f>
        <v>525661.72499999998</v>
      </c>
      <c r="AJZ54" s="486"/>
      <c r="AKA54" s="486">
        <f t="shared" ref="AKA54:ALF54" si="4158">AKA50*0.1</f>
        <v>17267.133720000002</v>
      </c>
      <c r="AKB54" s="486"/>
      <c r="AKC54" s="486">
        <f t="shared" ref="AKC54:ALF54" si="4159">AKC50*0.1</f>
        <v>21041.202499999999</v>
      </c>
      <c r="AKD54" s="486"/>
      <c r="AKE54" s="486">
        <f t="shared" ref="AKE54:ALF54" si="4160">AKE50*0.1</f>
        <v>17267.133720000002</v>
      </c>
      <c r="AKF54" s="486"/>
      <c r="AKG54" s="486">
        <f t="shared" ref="AKG54:ALF54" si="4161">AKG50*0.1</f>
        <v>24521.910499999998</v>
      </c>
      <c r="AKH54" s="486"/>
      <c r="AKI54" s="486">
        <f t="shared" ref="AKI54:ALF54" si="4162">AKI50*0.1</f>
        <v>17267.133720000002</v>
      </c>
      <c r="AKJ54" s="486"/>
      <c r="AKK54" s="486">
        <f t="shared" ref="AKK54:ALF54" si="4163">AKK50*0.1</f>
        <v>22620.887000000006</v>
      </c>
      <c r="AKL54" s="486"/>
      <c r="AKM54" s="486">
        <f t="shared" ref="AKM54:ALF54" si="4164">AKM50*0.1</f>
        <v>17267.133720000002</v>
      </c>
      <c r="AKN54" s="486"/>
      <c r="AKO54" s="486">
        <f t="shared" ref="AKO54:ALF54" si="4165">AKO50*0.1</f>
        <v>25150.301500000001</v>
      </c>
      <c r="AKP54" s="486"/>
      <c r="AKQ54" s="486">
        <f t="shared" ref="AKQ54:ALF54" si="4166">AKQ50*0.1</f>
        <v>20144.989340000004</v>
      </c>
      <c r="AKR54" s="486"/>
      <c r="AKS54" s="486">
        <f t="shared" ref="AKS54:ALF54" si="4167">AKS50*0.1</f>
        <v>30998.284000000003</v>
      </c>
      <c r="AKT54" s="486"/>
      <c r="AKU54" s="486">
        <f t="shared" ref="AKU54:ALF54" si="4168">AKU50*0.1</f>
        <v>23022.844960000002</v>
      </c>
      <c r="AKV54" s="486"/>
      <c r="AKW54" s="486">
        <f t="shared" ref="AKW54:ALF54" si="4169">AKW50*0.1</f>
        <v>25838.132000000001</v>
      </c>
      <c r="AKX54" s="486"/>
      <c r="AKY54" s="486">
        <f t="shared" ref="AKY54:ALF54" si="4170">AKY50*0.1</f>
        <v>31656.411819999998</v>
      </c>
      <c r="AKZ54" s="486"/>
      <c r="ALA54" s="486">
        <f t="shared" ref="ALA54:ALF54" si="4171">ALA50*0.1</f>
        <v>168.18</v>
      </c>
      <c r="ALB54" s="486"/>
      <c r="ALC54" s="486">
        <f t="shared" ref="ALC54:ALF54" si="4172">ALC50*0.1</f>
        <v>143892.78099999999</v>
      </c>
      <c r="ALD54" s="486"/>
      <c r="ALE54" s="486">
        <f t="shared" ref="ALE54:ALF54" si="4173">ALE50*0.1</f>
        <v>150338.89750000002</v>
      </c>
      <c r="ALF54" s="486"/>
    </row>
    <row r="55" spans="2:994">
      <c r="B55" s="694" t="s">
        <v>38</v>
      </c>
      <c r="AE55" s="691">
        <f t="shared" ref="AE55:CP55" si="4174">SUM(AE50:AE54)</f>
        <v>1394628.5549999999</v>
      </c>
      <c r="AF55" s="691"/>
      <c r="AG55" s="691">
        <f t="shared" ref="AG55:CR55" si="4175">SUM(AG50:AG54)</f>
        <v>2467426.38</v>
      </c>
      <c r="AH55" s="691"/>
      <c r="AI55" s="691">
        <f t="shared" ref="AI55:CT55" si="4176">SUM(AI50:AI54)</f>
        <v>190331.23440000002</v>
      </c>
      <c r="AJ55" s="691"/>
      <c r="AK55" s="691">
        <f t="shared" ref="AK55:CV55" si="4177">SUM(AK50:AK54)</f>
        <v>140422.87500000003</v>
      </c>
      <c r="AL55" s="691"/>
      <c r="AM55" s="691">
        <f t="shared" ref="AM55:CX55" si="4178">SUM(AM50:AM54)</f>
        <v>190331.23440000002</v>
      </c>
      <c r="AN55" s="691"/>
      <c r="AO55" s="691">
        <f t="shared" ref="AO55:CZ55" si="4179">SUM(AO50:AO54)</f>
        <v>139484.25999999995</v>
      </c>
      <c r="AP55" s="691"/>
      <c r="AQ55" s="691">
        <f t="shared" ref="AQ55:DB55" si="4180">SUM(AQ50:AQ54)</f>
        <v>190331.23440000002</v>
      </c>
      <c r="AR55" s="691"/>
      <c r="AS55" s="691">
        <f t="shared" ref="AS55:DD55" si="4181">SUM(AS50:AS54)</f>
        <v>146586.88500000001</v>
      </c>
      <c r="AT55" s="691"/>
      <c r="AU55" s="691">
        <f t="shared" ref="AU55:DF55" si="4182">SUM(AU50:AU54)</f>
        <v>190331.23440000002</v>
      </c>
      <c r="AV55" s="691"/>
      <c r="AW55" s="691">
        <f t="shared" ref="AW55:DH55" si="4183">SUM(AW50:AW54)</f>
        <v>143002.18500000006</v>
      </c>
      <c r="AX55" s="691"/>
      <c r="AY55" s="691">
        <f t="shared" ref="AY55:DJ55" si="4184">SUM(AY50:AY54)</f>
        <v>222053.10680000001</v>
      </c>
      <c r="AZ55" s="691"/>
      <c r="BA55" s="691">
        <f t="shared" ref="BA55:DL55" si="4185">SUM(BA50:BA54)</f>
        <v>173412.78500000003</v>
      </c>
      <c r="BB55" s="691"/>
      <c r="BC55" s="691">
        <f t="shared" ref="BC55:DN55" si="4186">SUM(BC50:BC54)</f>
        <v>253774.97920000003</v>
      </c>
      <c r="BD55" s="691"/>
      <c r="BE55" s="691">
        <f t="shared" ref="BE55:DP55" si="4187">SUM(BE50:BE54)</f>
        <v>217307.66500000007</v>
      </c>
      <c r="BF55" s="691"/>
      <c r="BG55" s="691">
        <f t="shared" ref="BG55:DR55" si="4188">SUM(BG50:BG54)</f>
        <v>348940.59639999992</v>
      </c>
      <c r="BH55" s="691"/>
      <c r="BI55" s="691">
        <f t="shared" ref="BI55:DT55" si="4189">SUM(BI50:BI54)</f>
        <v>284738.11500000005</v>
      </c>
      <c r="BJ55" s="691"/>
      <c r="BK55" s="691">
        <f t="shared" ref="BK55:DV55" si="4190">SUM(BK50:BK54)</f>
        <v>1586093.6199999999</v>
      </c>
      <c r="BL55" s="691"/>
      <c r="BM55" s="691">
        <f t="shared" ref="BM55:DX55" si="4191">SUM(BM50:BM54)</f>
        <v>2489909.54</v>
      </c>
      <c r="BN55" s="691"/>
      <c r="BO55" s="691">
        <f t="shared" ref="BO55:DZ55" si="4192">SUM(BO50:BO54)</f>
        <v>200073.0594</v>
      </c>
      <c r="BP55" s="691"/>
      <c r="BQ55" s="691">
        <f t="shared" ref="BQ55:EB55" si="4193">SUM(BQ50:BQ54)</f>
        <v>164718.05499999999</v>
      </c>
      <c r="BR55" s="691"/>
      <c r="BS55" s="691">
        <f t="shared" ref="BS55:ED55" si="4194">SUM(BS50:BS54)</f>
        <v>200073.0594</v>
      </c>
      <c r="BT55" s="691"/>
      <c r="BU55" s="691">
        <f t="shared" ref="BU55:EF55" si="4195">SUM(BU50:BU54)</f>
        <v>137804.20499999999</v>
      </c>
      <c r="BV55" s="691"/>
      <c r="BW55" s="691">
        <f t="shared" ref="BW55:EH55" si="4196">SUM(BW50:BW54)</f>
        <v>200073.0594</v>
      </c>
      <c r="BX55" s="691"/>
      <c r="BY55" s="691">
        <f t="shared" ref="BY55:EJ55" si="4197">SUM(BY50:BY54)</f>
        <v>157123.16500000001</v>
      </c>
      <c r="BZ55" s="691"/>
      <c r="CA55" s="691">
        <f t="shared" ref="CA55:EL55" si="4198">SUM(CA50:CA54)</f>
        <v>200073.0594</v>
      </c>
      <c r="CB55" s="691"/>
      <c r="CC55" s="691">
        <f t="shared" ref="CC55:EN55" si="4199">SUM(CC50:CC54)</f>
        <v>161645.67500000002</v>
      </c>
      <c r="CD55" s="691"/>
      <c r="CE55" s="691">
        <f t="shared" ref="CE55:EP55" si="4200">SUM(CE50:CE54)</f>
        <v>233418.56930000006</v>
      </c>
      <c r="CF55" s="691"/>
      <c r="CG55" s="691">
        <f t="shared" ref="CG55:ER55" si="4201">SUM(CG50:CG54)</f>
        <v>181760.76999999996</v>
      </c>
      <c r="CH55" s="691"/>
      <c r="CI55" s="691">
        <f t="shared" ref="CI55:ET55" si="4202">SUM(CI50:CI54)</f>
        <v>266764.07920000004</v>
      </c>
      <c r="CJ55" s="691"/>
      <c r="CK55" s="691">
        <f t="shared" ref="CK55:EV55" si="4203">SUM(CK50:CK54)</f>
        <v>231849.99999999997</v>
      </c>
      <c r="CL55" s="691"/>
      <c r="CM55" s="691">
        <f t="shared" ref="CM55:EX55" si="4204">SUM(CM50:CM54)</f>
        <v>366800.60890000005</v>
      </c>
      <c r="CN55" s="691"/>
      <c r="CO55" s="691">
        <f t="shared" ref="CO55:EZ55" si="4205">SUM(CO50:CO54)</f>
        <v>325685.71499999997</v>
      </c>
      <c r="CP55" s="691"/>
      <c r="CQ55" s="691">
        <f t="shared" ref="CQ55:FB55" si="4206">SUM(CQ50:CQ54)</f>
        <v>1667275.4949999999</v>
      </c>
      <c r="CR55" s="691"/>
      <c r="CS55" s="691">
        <f t="shared" ref="CS55:FD55" si="4207">SUM(CS50:CS54)</f>
        <v>2721175.17</v>
      </c>
      <c r="CT55" s="691"/>
      <c r="CU55" s="691">
        <f t="shared" ref="CU55:FF55" si="4208">SUM(CU50:CU54)</f>
        <v>203710.49639999995</v>
      </c>
      <c r="CV55" s="691"/>
      <c r="CW55" s="691">
        <f t="shared" ref="CW55:FH55" si="4209">SUM(CW50:CW54)</f>
        <v>154320.49999999997</v>
      </c>
      <c r="CX55" s="691"/>
      <c r="CY55" s="691">
        <f t="shared" ref="CY55:FJ55" si="4210">SUM(CY50:CY54)</f>
        <v>203710.49639999995</v>
      </c>
      <c r="CZ55" s="691"/>
      <c r="DA55" s="691">
        <f t="shared" ref="DA55:FL55" si="4211">SUM(DA50:DA54)</f>
        <v>129256.875</v>
      </c>
      <c r="DB55" s="691"/>
      <c r="DC55" s="691">
        <f t="shared" ref="DC55:FN55" si="4212">SUM(DC50:DC54)</f>
        <v>203710.49639999995</v>
      </c>
      <c r="DD55" s="691"/>
      <c r="DE55" s="691">
        <f t="shared" ref="DE55:FP55" si="4213">SUM(DE50:DE54)</f>
        <v>140451.99</v>
      </c>
      <c r="DF55" s="691"/>
      <c r="DG55" s="691">
        <f t="shared" ref="DG55:FR55" si="4214">SUM(DG50:DG54)</f>
        <v>203710.49639999995</v>
      </c>
      <c r="DH55" s="691"/>
      <c r="DI55" s="691">
        <f t="shared" ref="DI55:FT55" si="4215">SUM(DI50:DI54)</f>
        <v>144480.23000000004</v>
      </c>
      <c r="DJ55" s="691"/>
      <c r="DK55" s="691">
        <f t="shared" ref="DK55:FV55" si="4216">SUM(DK50:DK54)</f>
        <v>237662.24580000006</v>
      </c>
      <c r="DL55" s="691"/>
      <c r="DM55" s="691">
        <f t="shared" ref="DM55:FX55" si="4217">SUM(DM50:DM54)</f>
        <v>181522.69500000001</v>
      </c>
      <c r="DN55" s="691"/>
      <c r="DO55" s="691">
        <f t="shared" ref="DO55:FZ55" si="4218">SUM(DO50:DO54)</f>
        <v>271613.9952</v>
      </c>
      <c r="DP55" s="691"/>
      <c r="DQ55" s="691">
        <f t="shared" ref="DQ55:GB55" si="4219">SUM(DQ50:DQ54)</f>
        <v>212559.58000000002</v>
      </c>
      <c r="DR55" s="691"/>
      <c r="DS55" s="691">
        <f t="shared" ref="DS55:GD55" si="4220">SUM(DS50:DS54)</f>
        <v>373469.24340000004</v>
      </c>
      <c r="DT55" s="691"/>
      <c r="DU55" s="691">
        <f t="shared" ref="DU55:GF55" si="4221">SUM(DU50:DU54)</f>
        <v>294578.70500000007</v>
      </c>
      <c r="DV55" s="691"/>
      <c r="DW55" s="691">
        <f t="shared" ref="DW55:GH55" si="4222">SUM(DW50:DW54)</f>
        <v>1697587.4700000002</v>
      </c>
      <c r="DX55" s="691"/>
      <c r="DY55" s="691">
        <f t="shared" ref="DY55:GJ55" si="4223">SUM(DY50:DY54)</f>
        <v>2514341.15</v>
      </c>
      <c r="DZ55" s="691"/>
      <c r="EA55" s="691">
        <f t="shared" ref="EA55:GL55" si="4224">SUM(EA50:EA54)</f>
        <v>194074.54980000004</v>
      </c>
      <c r="EB55" s="691"/>
      <c r="EC55" s="691">
        <f t="shared" ref="EC55:GN55" si="4225">SUM(EC50:EC54)</f>
        <v>148281.06999999998</v>
      </c>
      <c r="ED55" s="691"/>
      <c r="EE55" s="691">
        <f t="shared" ref="EE55:GP55" si="4226">SUM(EE50:EE54)</f>
        <v>194074.54980000004</v>
      </c>
      <c r="EF55" s="691"/>
      <c r="EG55" s="691">
        <f t="shared" ref="EG55:GR55" si="4227">SUM(EG50:EG54)</f>
        <v>129411.32999999999</v>
      </c>
      <c r="EH55" s="691"/>
      <c r="EI55" s="691">
        <f t="shared" ref="EI55:GT55" si="4228">SUM(EI50:EI54)</f>
        <v>194074.54980000004</v>
      </c>
      <c r="EJ55" s="691"/>
      <c r="EK55" s="691">
        <f t="shared" ref="EK55:GV55" si="4229">SUM(EK50:EK54)</f>
        <v>157853.11500000005</v>
      </c>
      <c r="EL55" s="691"/>
      <c r="EM55" s="691">
        <f t="shared" ref="EM55:GX55" si="4230">SUM(EM50:EM54)</f>
        <v>194074.54980000004</v>
      </c>
      <c r="EN55" s="691"/>
      <c r="EO55" s="691">
        <f t="shared" ref="EO55:GZ55" si="4231">SUM(EO50:EO54)</f>
        <v>165131.76</v>
      </c>
      <c r="EP55" s="691"/>
      <c r="EQ55" s="691">
        <f t="shared" ref="EQ55:HB55" si="4232">SUM(EQ50:EQ54)</f>
        <v>226420.30809999999</v>
      </c>
      <c r="ER55" s="691"/>
      <c r="ES55" s="691">
        <f t="shared" ref="ES55:HD55" si="4233">SUM(ES50:ES54)</f>
        <v>192824.12</v>
      </c>
      <c r="ET55" s="691"/>
      <c r="EU55" s="691">
        <f t="shared" ref="EU55:HF55" si="4234">SUM(EU50:EU54)</f>
        <v>258766.06640000001</v>
      </c>
      <c r="EV55" s="691"/>
      <c r="EW55" s="691">
        <f t="shared" ref="EW55:HH55" si="4235">SUM(EW50:EW54)</f>
        <v>232787.49000000002</v>
      </c>
      <c r="EX55" s="691"/>
      <c r="EY55" s="691">
        <f t="shared" ref="EY55:HJ55" si="4236">SUM(EY50:EY54)</f>
        <v>355803.34130000003</v>
      </c>
      <c r="EZ55" s="691"/>
      <c r="FA55" s="691">
        <f t="shared" ref="FA55:HL55" si="4237">SUM(FA50:FA54)</f>
        <v>297229.83499999996</v>
      </c>
      <c r="FB55" s="691"/>
      <c r="FC55" s="691">
        <f t="shared" ref="FC55:HN55" si="4238">SUM(FC50:FC54)</f>
        <v>1617287.9149999996</v>
      </c>
      <c r="FD55" s="691"/>
      <c r="FE55" s="691">
        <f t="shared" ref="FE55:HN55" si="4239">SUM(FE50:FE54)</f>
        <v>2647037.4400000004</v>
      </c>
      <c r="FF55" s="691"/>
      <c r="FG55" s="691">
        <f t="shared" ref="FG55:HN55" si="4240">SUM(FG50:FG54)</f>
        <v>183975.52739999999</v>
      </c>
      <c r="FH55" s="691"/>
      <c r="FI55" s="691">
        <f t="shared" ref="FI55:HN55" si="4241">SUM(FI50:FI54)</f>
        <v>166466.38999999998</v>
      </c>
      <c r="FJ55" s="691"/>
      <c r="FK55" s="691">
        <f t="shared" ref="FK55:HN55" si="4242">SUM(FK50:FK54)</f>
        <v>183975.52739999999</v>
      </c>
      <c r="FL55" s="691"/>
      <c r="FM55" s="691">
        <f t="shared" ref="FM55:HN55" si="4243">SUM(FM50:FM54)</f>
        <v>180755.80499999996</v>
      </c>
      <c r="FN55" s="691"/>
      <c r="FO55" s="691">
        <f t="shared" ref="FO55:HN55" si="4244">SUM(FO50:FO54)</f>
        <v>183975.52739999999</v>
      </c>
      <c r="FP55" s="691"/>
      <c r="FQ55" s="691">
        <f t="shared" ref="FQ55:HN55" si="4245">SUM(FQ50:FQ54)</f>
        <v>157953.34499999997</v>
      </c>
      <c r="FR55" s="691"/>
      <c r="FS55" s="691">
        <f t="shared" ref="FS55:HN55" si="4246">SUM(FS50:FS54)</f>
        <v>183975.52739999999</v>
      </c>
      <c r="FT55" s="691"/>
      <c r="FU55" s="691">
        <f t="shared" ref="FU55:HN55" si="4247">SUM(FU50:FU54)</f>
        <v>171133.21000000002</v>
      </c>
      <c r="FV55" s="691"/>
      <c r="FW55" s="691">
        <f t="shared" ref="FW55:HN55" si="4248">SUM(FW50:FW54)</f>
        <v>214638.1153</v>
      </c>
      <c r="FX55" s="691"/>
      <c r="FY55" s="691">
        <f t="shared" ref="FY55:HN55" si="4249">SUM(FY50:FY54)</f>
        <v>178516.57500000001</v>
      </c>
      <c r="FZ55" s="691"/>
      <c r="GA55" s="691">
        <f t="shared" ref="GA55:HN55" si="4250">SUM(GA50:GA54)</f>
        <v>245300.70319999996</v>
      </c>
      <c r="GB55" s="691"/>
      <c r="GC55" s="691">
        <f t="shared" ref="GC55:HN55" si="4251">SUM(GC50:GC54)</f>
        <v>226287.51999999996</v>
      </c>
      <c r="GD55" s="691"/>
      <c r="GE55" s="691">
        <f t="shared" ref="GE55:HN55" si="4252">SUM(GE50:GE54)</f>
        <v>337288.4669</v>
      </c>
      <c r="GF55" s="691"/>
      <c r="GG55" s="691">
        <f t="shared" ref="GG55:HN55" si="4253">SUM(GG50:GG54)</f>
        <v>304520.71500000003</v>
      </c>
      <c r="GH55" s="691"/>
      <c r="GI55" s="691">
        <f t="shared" ref="GI55:HN55" si="4254">SUM(GI50:GI54)</f>
        <v>1533129.3950000003</v>
      </c>
      <c r="GJ55" s="691"/>
      <c r="GK55" s="691">
        <f t="shared" ref="GK55:HN55" si="4255">SUM(GK50:GK54)</f>
        <v>2771267.12</v>
      </c>
      <c r="GL55" s="691"/>
      <c r="GM55" s="691">
        <f t="shared" ref="GM55:HN55" si="4256">SUM(GM50:GM54)</f>
        <v>190470.3774</v>
      </c>
      <c r="GN55" s="691"/>
      <c r="GO55" s="691">
        <f t="shared" ref="GO55:HN55" si="4257">SUM(GO50:GO54)</f>
        <v>155872.29499999998</v>
      </c>
      <c r="GP55" s="691"/>
      <c r="GQ55" s="691">
        <f t="shared" ref="GQ55:HN55" si="4258">SUM(GQ50:GQ54)</f>
        <v>190470.3774</v>
      </c>
      <c r="GR55" s="691"/>
      <c r="GS55" s="691">
        <f t="shared" ref="GS55:HN55" si="4259">SUM(GS50:GS54)</f>
        <v>149176.87</v>
      </c>
      <c r="GT55" s="691"/>
      <c r="GU55" s="691">
        <f t="shared" ref="GU55:HN55" si="4260">SUM(GU50:GU54)</f>
        <v>190470.3774</v>
      </c>
      <c r="GV55" s="691"/>
      <c r="GW55" s="691">
        <f t="shared" ref="GW55:HN55" si="4261">SUM(GW50:GW54)</f>
        <v>167262.41999999998</v>
      </c>
      <c r="GX55" s="691"/>
      <c r="GY55" s="691">
        <f t="shared" ref="GY55:HN55" si="4262">SUM(GY50:GY54)</f>
        <v>190470.3774</v>
      </c>
      <c r="GZ55" s="691"/>
      <c r="HA55" s="691">
        <f t="shared" ref="HA55:HN55" si="4263">SUM(HA50:HA54)</f>
        <v>170996.53499999997</v>
      </c>
      <c r="HB55" s="691"/>
      <c r="HC55" s="691">
        <f t="shared" ref="HC55:HN55" si="4264">SUM(HC50:HC54)</f>
        <v>222215.44030000002</v>
      </c>
      <c r="HD55" s="691"/>
      <c r="HE55" s="691">
        <f t="shared" ref="HE55:HN55" si="4265">SUM(HE50:HE54)</f>
        <v>225382.02000000005</v>
      </c>
      <c r="HF55" s="691"/>
      <c r="HG55" s="691">
        <f t="shared" ref="HG55:HN55" si="4266">SUM(HG50:HG54)</f>
        <v>253960.50319999998</v>
      </c>
      <c r="HH55" s="691"/>
      <c r="HI55" s="691">
        <f t="shared" ref="HI55:HN55" si="4267">SUM(HI50:HI54)</f>
        <v>246693.25</v>
      </c>
      <c r="HJ55" s="691"/>
      <c r="HK55" s="691">
        <f t="shared" ref="HK55:HN55" si="4268">SUM(HK50:HK54)</f>
        <v>349195.69190000003</v>
      </c>
      <c r="HL55" s="691"/>
      <c r="HM55" s="691">
        <f t="shared" ref="HM55:HN55" si="4269">SUM(HM50:HM54)</f>
        <v>297944.84500000003</v>
      </c>
      <c r="HN55" s="691"/>
      <c r="HO55" s="691">
        <f t="shared" ref="HO55:JZ55" si="4270">SUM(HO50:HO54)</f>
        <v>1587253.1450000003</v>
      </c>
      <c r="HP55" s="691"/>
      <c r="HQ55" s="691">
        <f t="shared" ref="HQ55:KB55" si="4271">SUM(HQ50:HQ54)</f>
        <v>2826656.4699999997</v>
      </c>
      <c r="HR55" s="691"/>
      <c r="HS55" s="691">
        <f t="shared" ref="HS55:KD55" si="4272">SUM(HS50:HS54)</f>
        <v>177022.79459999996</v>
      </c>
      <c r="HT55" s="691"/>
      <c r="HU55" s="691">
        <f t="shared" ref="HU55:KF55" si="4273">SUM(HU50:HU54)</f>
        <v>154803.58000000002</v>
      </c>
      <c r="HV55" s="691"/>
      <c r="HW55" s="691">
        <f t="shared" ref="HW55:KH55" si="4274">SUM(HW50:HW54)</f>
        <v>177022.79459999996</v>
      </c>
      <c r="HX55" s="691"/>
      <c r="HY55" s="691">
        <f t="shared" ref="HY55:KJ55" si="4275">SUM(HY50:HY54)</f>
        <v>162579.26</v>
      </c>
      <c r="HZ55" s="691"/>
      <c r="IA55" s="691">
        <f t="shared" ref="IA55:KL55" si="4276">SUM(IA50:IA54)</f>
        <v>177022.79459999996</v>
      </c>
      <c r="IB55" s="691"/>
      <c r="IC55" s="691">
        <f t="shared" ref="IC55:KN55" si="4277">SUM(IC50:IC54)</f>
        <v>147193.95000000001</v>
      </c>
      <c r="ID55" s="691"/>
      <c r="IE55" s="691">
        <f t="shared" ref="IE55:KP55" si="4278">SUM(IE50:IE54)</f>
        <v>177022.79459999996</v>
      </c>
      <c r="IF55" s="691"/>
      <c r="IG55" s="691">
        <f t="shared" ref="IG55:KR55" si="4279">SUM(IG50:IG54)</f>
        <v>165169.35</v>
      </c>
      <c r="IH55" s="691"/>
      <c r="II55" s="691">
        <f t="shared" ref="II55:KT55" si="4280">SUM(II50:II54)</f>
        <v>206526.59370000003</v>
      </c>
      <c r="IJ55" s="691"/>
      <c r="IK55" s="691">
        <f t="shared" ref="IK55:KV55" si="4281">SUM(IK50:IK54)</f>
        <v>179899.24999999997</v>
      </c>
      <c r="IL55" s="691"/>
      <c r="IM55" s="691">
        <f t="shared" ref="IM55:KX55" si="4282">SUM(IM50:IM54)</f>
        <v>236030.3928</v>
      </c>
      <c r="IN55" s="691"/>
      <c r="IO55" s="691">
        <f t="shared" ref="IO55:KZ55" si="4283">SUM(IO50:IO54)</f>
        <v>213659.57499999998</v>
      </c>
      <c r="IP55" s="691"/>
      <c r="IQ55" s="691">
        <f t="shared" ref="IQ55:LB55" si="4284">SUM(IQ50:IQ54)</f>
        <v>324541.79009999993</v>
      </c>
      <c r="IR55" s="691"/>
      <c r="IS55" s="691">
        <f t="shared" ref="IS55:LD55" si="4285">SUM(IS50:IS54)</f>
        <v>293988.39500000008</v>
      </c>
      <c r="IT55" s="691"/>
      <c r="IU55" s="691">
        <f t="shared" ref="IU55:LF55" si="4286">SUM(IU50:IU54)</f>
        <v>1475189.9550000003</v>
      </c>
      <c r="IV55" s="691"/>
      <c r="IW55" s="691">
        <f t="shared" ref="IW55:LH55" si="4287">SUM(IW50:IW54)</f>
        <v>2634586.7199999997</v>
      </c>
      <c r="IX55" s="691"/>
      <c r="IY55" s="691">
        <f t="shared" ref="IY55:LJ55" si="4288">SUM(IY50:IY54)</f>
        <v>174095.98319999996</v>
      </c>
      <c r="IZ55" s="691"/>
      <c r="JA55" s="691">
        <f t="shared" ref="JA55:LL55" si="4289">SUM(JA50:JA54)</f>
        <v>153559.36499999996</v>
      </c>
      <c r="JB55" s="691"/>
      <c r="JC55" s="691">
        <f t="shared" ref="JC55:LN55" si="4290">SUM(JC50:JC54)</f>
        <v>174095.98319999996</v>
      </c>
      <c r="JD55" s="691"/>
      <c r="JE55" s="691">
        <f t="shared" ref="JE55:LP55" si="4291">SUM(JE50:JE54)</f>
        <v>146156.59</v>
      </c>
      <c r="JF55" s="691"/>
      <c r="JG55" s="691">
        <f t="shared" ref="JG55:LR55" si="4292">SUM(JG50:JG54)</f>
        <v>174095.98319999996</v>
      </c>
      <c r="JH55" s="691"/>
      <c r="JI55" s="691">
        <f t="shared" ref="JI55:LT55" si="4293">SUM(JI50:JI54)</f>
        <v>143282.35999999996</v>
      </c>
      <c r="JJ55" s="691"/>
      <c r="JK55" s="691">
        <f t="shared" ref="JK55:LV55" si="4294">SUM(JK50:JK54)</f>
        <v>174095.98319999996</v>
      </c>
      <c r="JL55" s="691"/>
      <c r="JM55" s="691">
        <f t="shared" ref="JM55:LX55" si="4295">SUM(JM50:JM54)</f>
        <v>144222.40499999997</v>
      </c>
      <c r="JN55" s="691"/>
      <c r="JO55" s="691">
        <f t="shared" ref="JO55:LZ55" si="4296">SUM(JO50:JO54)</f>
        <v>203111.9804</v>
      </c>
      <c r="JP55" s="691"/>
      <c r="JQ55" s="691">
        <f t="shared" ref="JQ55:MB55" si="4297">SUM(JQ50:JQ54)</f>
        <v>167703.81000000003</v>
      </c>
      <c r="JR55" s="691"/>
      <c r="JS55" s="691">
        <f t="shared" ref="JS55:MD55" si="4298">SUM(JS50:JS54)</f>
        <v>232127.97760000001</v>
      </c>
      <c r="JT55" s="691"/>
      <c r="JU55" s="691">
        <f t="shared" ref="JU55:MF55" si="4299">SUM(JU50:JU54)</f>
        <v>242840.80000000002</v>
      </c>
      <c r="JV55" s="691"/>
      <c r="JW55" s="691">
        <f t="shared" ref="JW55:MH55" si="4300">SUM(JW50:JW54)</f>
        <v>319175.96919999993</v>
      </c>
      <c r="JX55" s="691"/>
      <c r="JY55" s="691">
        <f t="shared" ref="JY55:MJ55" si="4301">SUM(JY50:JY54)</f>
        <v>298339.47499999992</v>
      </c>
      <c r="JZ55" s="691"/>
      <c r="KA55" s="691">
        <f t="shared" ref="KA55:ML55" si="4302">SUM(KA50:KA54)</f>
        <v>1450799.86</v>
      </c>
      <c r="KB55" s="691"/>
      <c r="KC55" s="691">
        <f t="shared" ref="KC55:ML55" si="4303">SUM(KC50:KC54)</f>
        <v>2592209.6100000008</v>
      </c>
      <c r="KD55" s="691"/>
      <c r="KE55" s="691">
        <f t="shared" ref="KE55:ML55" si="4304">SUM(KE50:KE54)</f>
        <v>168190.97220000002</v>
      </c>
      <c r="KF55" s="691"/>
      <c r="KG55" s="691">
        <f t="shared" ref="KG55:ML55" si="4305">SUM(KG50:KG54)</f>
        <v>136719.06999999998</v>
      </c>
      <c r="KH55" s="691"/>
      <c r="KI55" s="691">
        <f t="shared" ref="KI55:ML55" si="4306">SUM(KI50:KI54)</f>
        <v>168190.97220000002</v>
      </c>
      <c r="KJ55" s="691"/>
      <c r="KK55" s="691">
        <f t="shared" ref="KK55:ML55" si="4307">SUM(KK50:KK54)</f>
        <v>148792.23499999996</v>
      </c>
      <c r="KL55" s="691"/>
      <c r="KM55" s="691">
        <f t="shared" ref="KM55:ML55" si="4308">SUM(KM50:KM54)</f>
        <v>168190.97220000002</v>
      </c>
      <c r="KN55" s="691"/>
      <c r="KO55" s="691">
        <f t="shared" ref="KO55:ML55" si="4309">SUM(KO50:KO54)</f>
        <v>145473.74000000002</v>
      </c>
      <c r="KP55" s="691"/>
      <c r="KQ55" s="691">
        <f t="shared" ref="KQ55:ML55" si="4310">SUM(KQ50:KQ54)</f>
        <v>168190.97220000002</v>
      </c>
      <c r="KR55" s="691"/>
      <c r="KS55" s="691">
        <f t="shared" ref="KS55:ML55" si="4311">SUM(KS50:KS54)</f>
        <v>148345.60999999999</v>
      </c>
      <c r="KT55" s="691"/>
      <c r="KU55" s="691">
        <f t="shared" ref="KU55:ML55" si="4312">SUM(KU50:KU54)</f>
        <v>196222.80090000006</v>
      </c>
      <c r="KV55" s="691"/>
      <c r="KW55" s="691">
        <f t="shared" ref="KW55:ML55" si="4313">SUM(KW50:KW54)</f>
        <v>164061.07999999999</v>
      </c>
      <c r="KX55" s="691"/>
      <c r="KY55" s="691">
        <f t="shared" ref="KY55:ML55" si="4314">SUM(KY50:KY54)</f>
        <v>224254.62959999996</v>
      </c>
      <c r="KZ55" s="691"/>
      <c r="LA55" s="691">
        <f t="shared" ref="LA55:ML55" si="4315">SUM(LA50:LA54)</f>
        <v>210570.47499999995</v>
      </c>
      <c r="LB55" s="691"/>
      <c r="LC55" s="691">
        <f t="shared" ref="LC55:ML55" si="4316">SUM(LC50:LC54)</f>
        <v>308350.11570000008</v>
      </c>
      <c r="LD55" s="691"/>
      <c r="LE55" s="691">
        <f t="shared" ref="LE55:ML55" si="4317">SUM(LE50:LE54)</f>
        <v>283945.91499999998</v>
      </c>
      <c r="LF55" s="691"/>
      <c r="LG55" s="691">
        <f t="shared" ref="LG55:ML55" si="4318">SUM(LG50:LG54)</f>
        <v>1401591.4350000001</v>
      </c>
      <c r="LH55" s="691"/>
      <c r="LI55" s="691">
        <f t="shared" ref="LI55:ML55" si="4319">SUM(LI50:LI54)</f>
        <v>2475816.2500000009</v>
      </c>
      <c r="LJ55" s="691"/>
      <c r="LK55" s="691">
        <f t="shared" ref="LK55:ML55" si="4320">SUM(LK50:LK54)</f>
        <v>169388.55299999996</v>
      </c>
      <c r="LL55" s="691"/>
      <c r="LM55" s="691">
        <f t="shared" ref="LM55:ML55" si="4321">SUM(LM50:LM54)</f>
        <v>149448.47</v>
      </c>
      <c r="LN55" s="691"/>
      <c r="LO55" s="691">
        <f t="shared" ref="LO55:ML55" si="4322">SUM(LO50:LO54)</f>
        <v>169388.55299999996</v>
      </c>
      <c r="LP55" s="691"/>
      <c r="LQ55" s="691">
        <f t="shared" ref="LQ55:ML55" si="4323">SUM(LQ50:LQ54)</f>
        <v>134308.70499999999</v>
      </c>
      <c r="LR55" s="691"/>
      <c r="LS55" s="691">
        <f t="shared" ref="LS55:ML55" si="4324">SUM(LS50:LS54)</f>
        <v>169388.55299999996</v>
      </c>
      <c r="LT55" s="691"/>
      <c r="LU55" s="691">
        <f t="shared" ref="LU55:ML55" si="4325">SUM(LU50:LU54)</f>
        <v>137943.93999999997</v>
      </c>
      <c r="LV55" s="691"/>
      <c r="LW55" s="691">
        <f t="shared" ref="LW55:ML55" si="4326">SUM(LW50:LW54)</f>
        <v>169388.55299999996</v>
      </c>
      <c r="LX55" s="691"/>
      <c r="LY55" s="691">
        <f t="shared" ref="LY55:ML55" si="4327">SUM(LY50:LY54)</f>
        <v>129819.54500000001</v>
      </c>
      <c r="LZ55" s="691"/>
      <c r="MA55" s="691">
        <f t="shared" ref="MA55:ML55" si="4328">SUM(MA50:MA54)</f>
        <v>197619.9785</v>
      </c>
      <c r="MB55" s="691"/>
      <c r="MC55" s="691">
        <f t="shared" ref="MC55:ML55" si="4329">SUM(MC50:MC54)</f>
        <v>156445.22999999998</v>
      </c>
      <c r="MD55" s="691"/>
      <c r="ME55" s="691">
        <f t="shared" ref="ME55:ML55" si="4330">SUM(ME50:ME54)</f>
        <v>225851.40400000001</v>
      </c>
      <c r="MF55" s="691"/>
      <c r="MG55" s="691">
        <f t="shared" ref="MG55:ML55" si="4331">SUM(MG50:MG54)</f>
        <v>223872.70000000007</v>
      </c>
      <c r="MH55" s="691"/>
      <c r="MI55" s="691">
        <f t="shared" ref="MI55:ML55" si="4332">SUM(MI50:MI54)</f>
        <v>310545.68050000002</v>
      </c>
      <c r="MJ55" s="691"/>
      <c r="MK55" s="691">
        <f t="shared" ref="MK55:ML55" si="4333">SUM(MK50:MK54)</f>
        <v>307429.11</v>
      </c>
      <c r="ML55" s="691"/>
      <c r="MM55" s="691">
        <f t="shared" ref="LK55:NV55" si="4334">SUM(MM50:MM54)</f>
        <v>1411571.2750000001</v>
      </c>
      <c r="MN55" s="691"/>
      <c r="MO55" s="691">
        <f t="shared" ref="LI55:NT55" si="4335">SUM(MO50:MO54)</f>
        <v>2478535.4</v>
      </c>
      <c r="MP55" s="691"/>
      <c r="MQ55" s="691">
        <f t="shared" si="4334"/>
        <v>344317.4682</v>
      </c>
      <c r="MR55" s="691"/>
      <c r="MS55" s="691">
        <f t="shared" si="4335"/>
        <v>261831.04000000001</v>
      </c>
      <c r="MT55" s="691"/>
      <c r="MU55" s="691">
        <f t="shared" si="4334"/>
        <v>344317.4682</v>
      </c>
      <c r="MV55" s="691"/>
      <c r="MW55" s="691">
        <f t="shared" si="4335"/>
        <v>256261.31500000003</v>
      </c>
      <c r="MX55" s="691"/>
      <c r="MY55" s="691">
        <f t="shared" si="4334"/>
        <v>344317.4682</v>
      </c>
      <c r="MZ55" s="691"/>
      <c r="NA55" s="691">
        <f t="shared" si="4335"/>
        <v>229496.54000000004</v>
      </c>
      <c r="NB55" s="691"/>
      <c r="NC55" s="691">
        <f t="shared" si="4334"/>
        <v>344317.4682</v>
      </c>
      <c r="ND55" s="691"/>
      <c r="NE55" s="691">
        <f t="shared" si="4335"/>
        <v>240600.97500000001</v>
      </c>
      <c r="NF55" s="691"/>
      <c r="NG55" s="691">
        <f t="shared" si="4334"/>
        <v>401703.7129000001</v>
      </c>
      <c r="NH55" s="691"/>
      <c r="NI55" s="691">
        <f t="shared" si="4335"/>
        <v>291492.41499999992</v>
      </c>
      <c r="NJ55" s="691"/>
      <c r="NK55" s="691">
        <f t="shared" si="4334"/>
        <v>459089.95759999997</v>
      </c>
      <c r="NL55" s="691"/>
      <c r="NM55" s="691">
        <f t="shared" si="4335"/>
        <v>345256.91000000003</v>
      </c>
      <c r="NN55" s="691"/>
      <c r="NO55" s="691">
        <f t="shared" si="4334"/>
        <v>631248.69170000008</v>
      </c>
      <c r="NP55" s="691"/>
      <c r="NQ55" s="691">
        <f t="shared" si="4335"/>
        <v>516867.28500000003</v>
      </c>
      <c r="NR55" s="691"/>
      <c r="NS55" s="691">
        <f t="shared" si="4334"/>
        <v>2869312.2350000003</v>
      </c>
      <c r="NT55" s="691"/>
      <c r="NU55" s="691">
        <f t="shared" ref="NU55:QF55" si="4336">SUM(NU50:NU54)</f>
        <v>2309349.6799999997</v>
      </c>
      <c r="NV55" s="691"/>
      <c r="NW55" s="691">
        <f t="shared" ref="NW55:QH55" si="4337">SUM(NW50:NW54)</f>
        <v>337344.66179999994</v>
      </c>
      <c r="NX55" s="691"/>
      <c r="NY55" s="691">
        <f t="shared" si="4336"/>
        <v>246255.86000000002</v>
      </c>
      <c r="NZ55" s="691"/>
      <c r="OA55" s="691">
        <f t="shared" si="4337"/>
        <v>337344.66179999994</v>
      </c>
      <c r="OB55" s="691"/>
      <c r="OC55" s="691">
        <f t="shared" si="4336"/>
        <v>227998.42500000002</v>
      </c>
      <c r="OD55" s="691"/>
      <c r="OE55" s="691">
        <f t="shared" si="4337"/>
        <v>337344.66179999994</v>
      </c>
      <c r="OF55" s="691"/>
      <c r="OG55" s="691">
        <f t="shared" si="4336"/>
        <v>241539.58500000002</v>
      </c>
      <c r="OH55" s="691"/>
      <c r="OI55" s="691">
        <f t="shared" si="4337"/>
        <v>337344.66179999994</v>
      </c>
      <c r="OJ55" s="691"/>
      <c r="OK55" s="691">
        <f t="shared" si="4336"/>
        <v>236971.10499999998</v>
      </c>
      <c r="OL55" s="691"/>
      <c r="OM55" s="691">
        <f t="shared" si="4337"/>
        <v>393568.7721</v>
      </c>
      <c r="ON55" s="691"/>
      <c r="OO55" s="691">
        <f t="shared" si="4336"/>
        <v>309062.84500000003</v>
      </c>
      <c r="OP55" s="691"/>
      <c r="OQ55" s="691">
        <f t="shared" si="4337"/>
        <v>449792.8824</v>
      </c>
      <c r="OR55" s="691"/>
      <c r="OS55" s="691">
        <f t="shared" si="4336"/>
        <v>407534.34999999992</v>
      </c>
      <c r="OT55" s="691"/>
      <c r="OU55" s="691">
        <f t="shared" si="4337"/>
        <v>618465.21330000006</v>
      </c>
      <c r="OV55" s="691"/>
      <c r="OW55" s="691">
        <f t="shared" si="4336"/>
        <v>636939.67000000016</v>
      </c>
      <c r="OX55" s="691"/>
      <c r="OY55" s="691">
        <f t="shared" si="4337"/>
        <v>2811205.5150000001</v>
      </c>
      <c r="OZ55" s="691"/>
      <c r="PA55" s="691">
        <f t="shared" si="4336"/>
        <v>2489687.8100000005</v>
      </c>
      <c r="PB55" s="691"/>
      <c r="PC55" s="691">
        <f t="shared" si="4337"/>
        <v>321130.14</v>
      </c>
      <c r="PD55" s="691"/>
      <c r="PE55" s="691">
        <f t="shared" si="4336"/>
        <v>357026.13500000001</v>
      </c>
      <c r="PF55" s="691"/>
      <c r="PG55" s="691">
        <f t="shared" si="4337"/>
        <v>321130.14</v>
      </c>
      <c r="PH55" s="691"/>
      <c r="PI55" s="691">
        <f t="shared" si="4336"/>
        <v>311950.85000000003</v>
      </c>
      <c r="PJ55" s="691"/>
      <c r="PK55" s="691">
        <f t="shared" si="4337"/>
        <v>336710.33999999997</v>
      </c>
      <c r="PL55" s="691"/>
      <c r="PM55" s="691">
        <f t="shared" si="4336"/>
        <v>271834.52499999997</v>
      </c>
      <c r="PN55" s="691"/>
      <c r="PO55" s="691">
        <f t="shared" si="4337"/>
        <v>336710.33999999997</v>
      </c>
      <c r="PP55" s="691"/>
      <c r="PQ55" s="691">
        <f t="shared" si="4336"/>
        <v>257197.50499999998</v>
      </c>
      <c r="PR55" s="691"/>
      <c r="PS55" s="691">
        <f t="shared" si="4337"/>
        <v>392828.73000000004</v>
      </c>
      <c r="PT55" s="691"/>
      <c r="PU55" s="691">
        <f t="shared" si="4336"/>
        <v>278969.91000000003</v>
      </c>
      <c r="PV55" s="691"/>
      <c r="PW55" s="691">
        <f t="shared" si="4337"/>
        <v>428173.52</v>
      </c>
      <c r="PX55" s="691"/>
      <c r="PY55" s="691">
        <f t="shared" si="4336"/>
        <v>357746.71500000003</v>
      </c>
      <c r="PZ55" s="691"/>
      <c r="QA55" s="691">
        <f t="shared" si="4337"/>
        <v>588738.59</v>
      </c>
      <c r="QB55" s="691"/>
      <c r="QC55" s="691">
        <f t="shared" si="4336"/>
        <v>526166.35</v>
      </c>
      <c r="QD55" s="691"/>
      <c r="QE55" s="691">
        <f t="shared" si="4337"/>
        <v>2676084.5</v>
      </c>
      <c r="QF55" s="691"/>
      <c r="QG55" s="691">
        <f t="shared" ref="QG55:RJ55" si="4338">SUM(QG50:QG54)</f>
        <v>2551730.5999999996</v>
      </c>
      <c r="QH55" s="691"/>
      <c r="QI55" s="691">
        <f t="shared" ref="QI55:RJ55" si="4339">SUM(QI50:QI54)</f>
        <v>334362.56219999993</v>
      </c>
      <c r="QJ55" s="691"/>
      <c r="QK55" s="691">
        <f t="shared" si="4338"/>
        <v>278015.255</v>
      </c>
      <c r="QL55" s="691"/>
      <c r="QM55" s="691">
        <f t="shared" si="4339"/>
        <v>334362.56219999993</v>
      </c>
      <c r="QN55" s="691"/>
      <c r="QO55" s="691">
        <f t="shared" si="4338"/>
        <v>225867.66500000001</v>
      </c>
      <c r="QP55" s="691"/>
      <c r="QQ55" s="691">
        <f t="shared" si="4339"/>
        <v>334362.56219999993</v>
      </c>
      <c r="QR55" s="691"/>
      <c r="QS55" s="691">
        <f t="shared" si="4338"/>
        <v>223234.31499999997</v>
      </c>
      <c r="QT55" s="691"/>
      <c r="QU55" s="691">
        <f t="shared" si="4339"/>
        <v>334362.56219999993</v>
      </c>
      <c r="QV55" s="691"/>
      <c r="QW55" s="691">
        <f t="shared" si="4338"/>
        <v>214867.75</v>
      </c>
      <c r="QX55" s="691"/>
      <c r="QY55" s="691">
        <f t="shared" si="4339"/>
        <v>390089.65590000007</v>
      </c>
      <c r="QZ55" s="691"/>
      <c r="RA55" s="691">
        <f t="shared" si="4338"/>
        <v>247189.41</v>
      </c>
      <c r="RB55" s="691"/>
      <c r="RC55" s="691">
        <f t="shared" si="4339"/>
        <v>445816.74960000004</v>
      </c>
      <c r="RD55" s="691"/>
      <c r="RE55" s="691">
        <f t="shared" si="4338"/>
        <v>338813.63500000007</v>
      </c>
      <c r="RF55" s="691"/>
      <c r="RG55" s="691">
        <f t="shared" si="4339"/>
        <v>612998.0307</v>
      </c>
      <c r="RH55" s="691"/>
      <c r="RI55" s="691">
        <f t="shared" si="4338"/>
        <v>524397.44500000007</v>
      </c>
      <c r="RJ55" s="691"/>
      <c r="RK55" s="691">
        <f t="shared" ref="RK55" si="4340">SUM(RK50:RK54)</f>
        <v>2786354.6850000001</v>
      </c>
      <c r="RL55" s="691"/>
      <c r="RM55" s="691">
        <f t="shared" ref="RM55" si="4341">SUM(RM50:RM54)</f>
        <v>2203783.2500000005</v>
      </c>
      <c r="RN55" s="691"/>
      <c r="RO55" s="691">
        <f t="shared" ref="RO55" si="4342">SUM(RO50:RO54)</f>
        <v>320880.57359999995</v>
      </c>
      <c r="RP55" s="691"/>
      <c r="RQ55" s="691">
        <f t="shared" ref="RQ55" si="4343">SUM(RQ50:RQ54)</f>
        <v>267161.62</v>
      </c>
      <c r="RR55" s="691"/>
      <c r="RS55" s="691">
        <f t="shared" ref="RS55" si="4344">SUM(RS50:RS54)</f>
        <v>320880.57359999989</v>
      </c>
      <c r="RT55" s="691"/>
      <c r="RU55" s="691">
        <f t="shared" ref="RU55" si="4345">SUM(RU50:RU54)</f>
        <v>220540.11499999999</v>
      </c>
      <c r="RV55" s="691"/>
      <c r="RW55" s="691">
        <f t="shared" ref="RW55" si="4346">SUM(RW50:RW54)</f>
        <v>320880.57359999989</v>
      </c>
      <c r="RX55" s="691"/>
      <c r="RY55" s="691">
        <f t="shared" ref="RY55" si="4347">SUM(RY50:RY54)</f>
        <v>275971.60499999998</v>
      </c>
      <c r="RZ55" s="691"/>
      <c r="SA55" s="691">
        <f t="shared" ref="SA55" si="4348">SUM(SA50:SA54)</f>
        <v>320880.57359999989</v>
      </c>
      <c r="SB55" s="691"/>
      <c r="SC55" s="691">
        <f t="shared" ref="SC55" si="4349">SUM(SC50:SC54)</f>
        <v>305483.57000000007</v>
      </c>
      <c r="SD55" s="691"/>
      <c r="SE55" s="691">
        <f t="shared" ref="SE55" si="4350">SUM(SE50:SE54)</f>
        <v>374360.66920000006</v>
      </c>
      <c r="SF55" s="691"/>
      <c r="SG55" s="691">
        <f t="shared" ref="SG55" si="4351">SUM(SG50:SG54)</f>
        <v>300976.0849999999</v>
      </c>
      <c r="SH55" s="691"/>
      <c r="SI55" s="691">
        <f t="shared" ref="SI55" si="4352">SUM(SI50:SI54)</f>
        <v>427840.7648</v>
      </c>
      <c r="SJ55" s="691"/>
      <c r="SK55" s="691">
        <f t="shared" ref="SK55" si="4353">SUM(SK50:SK54)</f>
        <v>365782.69500000001</v>
      </c>
      <c r="SL55" s="691"/>
      <c r="SM55" s="691">
        <f t="shared" ref="SM55" si="4354">SUM(SM50:SM54)</f>
        <v>588281.05160000001</v>
      </c>
      <c r="SN55" s="691"/>
      <c r="SO55" s="691">
        <f t="shared" ref="SO55" si="4355">SUM(SO50:SO54)</f>
        <v>490655.56999999995</v>
      </c>
      <c r="SP55" s="691"/>
      <c r="SQ55" s="691">
        <f t="shared" ref="SQ55" si="4356">SUM(SQ50:SQ54)</f>
        <v>2674004.7799999998</v>
      </c>
      <c r="SR55" s="691"/>
      <c r="SS55" s="691">
        <f t="shared" ref="SS55" si="4357">SUM(SS50:SS54)</f>
        <v>2397362.6600000006</v>
      </c>
      <c r="ST55" s="691"/>
      <c r="SU55" s="691">
        <f t="shared" ref="SU55" si="4358">SUM(SU50:SU54)</f>
        <v>299002.23659999995</v>
      </c>
      <c r="SV55" s="691"/>
      <c r="SW55" s="691">
        <f t="shared" ref="SW55" si="4359">SUM(SW50:SW54)</f>
        <v>221847.41500000004</v>
      </c>
      <c r="SX55" s="691"/>
      <c r="SY55" s="691">
        <f t="shared" ref="SY55" si="4360">SUM(SY50:SY54)</f>
        <v>299002.23659999995</v>
      </c>
      <c r="SZ55" s="691"/>
      <c r="TA55" s="691">
        <f t="shared" ref="TA55" si="4361">SUM(TA50:TA54)</f>
        <v>205277.63499999998</v>
      </c>
      <c r="TB55" s="691"/>
      <c r="TC55" s="691">
        <f t="shared" ref="TC55" si="4362">SUM(TC50:TC54)</f>
        <v>299002.23659999995</v>
      </c>
      <c r="TD55" s="691"/>
      <c r="TE55" s="691">
        <f t="shared" ref="TE55" si="4363">SUM(TE50:TE54)</f>
        <v>204808.44</v>
      </c>
      <c r="TF55" s="691"/>
      <c r="TG55" s="691">
        <f t="shared" ref="TG55" si="4364">SUM(TG50:TG54)</f>
        <v>299002.23659999995</v>
      </c>
      <c r="TH55" s="691"/>
      <c r="TI55" s="691">
        <f t="shared" ref="TI55" si="4365">SUM(TI50:TI54)</f>
        <v>209313.09499999994</v>
      </c>
      <c r="TJ55" s="691"/>
      <c r="TK55" s="691">
        <f t="shared" ref="TK55" si="4366">SUM(TK50:TK54)</f>
        <v>348835.94270000001</v>
      </c>
      <c r="TL55" s="691"/>
      <c r="TM55" s="691">
        <f t="shared" ref="TM55" si="4367">SUM(TM50:TM54)</f>
        <v>239883.64</v>
      </c>
      <c r="TN55" s="691"/>
      <c r="TO55" s="691">
        <f t="shared" ref="TO55" si="4368">SUM(TO50:TO54)</f>
        <v>398669.64879999997</v>
      </c>
      <c r="TP55" s="691"/>
      <c r="TQ55" s="691">
        <f t="shared" ref="TQ55" si="4369">SUM(TQ50:TQ54)</f>
        <v>323715.26</v>
      </c>
      <c r="TR55" s="691"/>
      <c r="TS55" s="691">
        <f t="shared" ref="TS55" si="4370">SUM(TS50:TS54)</f>
        <v>548170.76710000006</v>
      </c>
      <c r="TT55" s="691"/>
      <c r="TU55" s="691">
        <f t="shared" ref="TU55" si="4371">SUM(TU50:TU54)</f>
        <v>518677.33999999997</v>
      </c>
      <c r="TV55" s="691"/>
      <c r="TW55" s="691">
        <f t="shared" ref="TW55" si="4372">SUM(TW50:TW54)</f>
        <v>2605711.44</v>
      </c>
      <c r="TX55" s="691"/>
      <c r="TY55" s="691">
        <f t="shared" ref="TY55" si="4373">SUM(TY50:TY54)</f>
        <v>2058353.1200000003</v>
      </c>
      <c r="TZ55" s="691"/>
      <c r="UA55" s="691">
        <f t="shared" ref="UA55" si="4374">SUM(UA50:UA54)</f>
        <v>415214.98000000004</v>
      </c>
      <c r="UB55" s="691"/>
      <c r="UC55" s="691">
        <f t="shared" ref="UC55" si="4375">SUM(UC50:UC54)</f>
        <v>254730.00999999998</v>
      </c>
      <c r="UD55" s="691"/>
      <c r="UE55" s="691">
        <f t="shared" ref="UE55" si="4376">SUM(UE50:UE54)</f>
        <v>296843.83000000013</v>
      </c>
      <c r="UF55" s="691"/>
      <c r="UG55" s="691">
        <f t="shared" ref="UG55" si="4377">SUM(UG50:UG54)</f>
        <v>228416.69999999998</v>
      </c>
      <c r="UH55" s="691"/>
      <c r="UI55" s="691">
        <f t="shared" ref="UI55" si="4378">SUM(UI50:UI54)</f>
        <v>330003.61</v>
      </c>
      <c r="UJ55" s="691"/>
      <c r="UK55" s="691">
        <f t="shared" ref="UK55" si="4379">SUM(UK50:UK54)</f>
        <v>239334.74000000002</v>
      </c>
      <c r="UL55" s="691"/>
      <c r="UM55" s="691">
        <f t="shared" ref="UM55" si="4380">SUM(UM50:UM54)</f>
        <v>306616.58999999997</v>
      </c>
      <c r="UN55" s="691"/>
      <c r="UO55" s="691">
        <f t="shared" ref="UO55" si="4381">SUM(UO50:UO54)</f>
        <v>245647.75</v>
      </c>
      <c r="UP55" s="691"/>
      <c r="UQ55" s="691">
        <f t="shared" ref="UQ55" si="4382">SUM(UQ50:UQ54)</f>
        <v>346076.31000000006</v>
      </c>
      <c r="UR55" s="691"/>
      <c r="US55" s="691">
        <f t="shared" ref="US55" si="4383">SUM(US50:US54)</f>
        <v>285423.26</v>
      </c>
      <c r="UT55" s="691"/>
      <c r="UU55" s="691">
        <f t="shared" ref="UU55" si="4384">SUM(UU50:UU54)</f>
        <v>465127.36</v>
      </c>
      <c r="UV55" s="691"/>
      <c r="UW55" s="691">
        <f t="shared" ref="UW55" si="4385">SUM(UW50:UW54)</f>
        <v>419788.46</v>
      </c>
      <c r="UX55" s="691"/>
      <c r="UY55" s="691">
        <f t="shared" ref="UY55" si="4386">SUM(UY50:UY54)</f>
        <v>661237.90000000014</v>
      </c>
      <c r="UZ55" s="691"/>
      <c r="VA55" s="691">
        <f t="shared" ref="VA55" si="4387">SUM(VA50:VA54)</f>
        <v>571528.14</v>
      </c>
      <c r="VB55" s="691"/>
      <c r="VC55" s="691">
        <f t="shared" ref="VC55" si="4388">SUM(VC50:VC54)</f>
        <v>2821120.58</v>
      </c>
      <c r="VD55" s="691"/>
      <c r="VE55" s="691">
        <f t="shared" ref="VE55" si="4389">SUM(VE50:VE54)</f>
        <v>2244869.0599999987</v>
      </c>
      <c r="VF55" s="691"/>
      <c r="VG55" s="691">
        <f t="shared" ref="VG55:XR55" si="4390">SUM(VG50:VG54)</f>
        <v>389881.49999999994</v>
      </c>
      <c r="VH55" s="691"/>
      <c r="VI55" s="691">
        <f t="shared" ref="VI55:XT55" si="4391">SUM(VI50:VI54)</f>
        <v>280171.38</v>
      </c>
      <c r="VJ55" s="691"/>
      <c r="VK55" s="691">
        <f t="shared" ref="VK55:XV55" si="4392">SUM(VK50:VK54)</f>
        <v>280600.57</v>
      </c>
      <c r="VL55" s="691"/>
      <c r="VM55" s="691">
        <f t="shared" ref="VM55:XX55" si="4393">SUM(VM50:VM54)</f>
        <v>237133.54999999993</v>
      </c>
      <c r="VN55" s="691"/>
      <c r="VO55" s="691">
        <f t="shared" ref="VO55:XZ55" si="4394">SUM(VO50:VO54)</f>
        <v>263215.87</v>
      </c>
      <c r="VP55" s="691"/>
      <c r="VQ55" s="691">
        <f t="shared" ref="VQ55:YB55" si="4395">SUM(VQ50:VQ54)</f>
        <v>220682.94999999998</v>
      </c>
      <c r="VR55" s="691"/>
      <c r="VS55" s="691">
        <f t="shared" ref="VS55:YD55" si="4396">SUM(VS50:VS54)</f>
        <v>289771.48</v>
      </c>
      <c r="VT55" s="691"/>
      <c r="VU55" s="691">
        <f t="shared" ref="VU55:YF55" si="4397">SUM(VU50:VU54)</f>
        <v>246569.87000000002</v>
      </c>
      <c r="VV55" s="691"/>
      <c r="VW55" s="691">
        <f t="shared" ref="VW55:YH55" si="4398">SUM(VW50:VW54)</f>
        <v>313071.09000000008</v>
      </c>
      <c r="VX55" s="691"/>
      <c r="VY55" s="691">
        <f t="shared" ref="VY55:YJ55" si="4399">SUM(VY50:VY54)</f>
        <v>278594.66999999993</v>
      </c>
      <c r="VZ55" s="691"/>
      <c r="WA55" s="691">
        <f t="shared" ref="WA55:YL55" si="4400">SUM(WA50:WA54)</f>
        <v>398849</v>
      </c>
      <c r="WB55" s="691"/>
      <c r="WC55" s="691">
        <f t="shared" ref="WC55:YN55" si="4401">SUM(WC50:WC54)</f>
        <v>380365.33999999997</v>
      </c>
      <c r="WD55" s="691"/>
      <c r="WE55" s="691">
        <f t="shared" ref="WE55:YP55" si="4402">SUM(WE50:WE54)</f>
        <v>640754.94999999995</v>
      </c>
      <c r="WF55" s="691"/>
      <c r="WG55" s="691">
        <f t="shared" ref="WG55:YR55" si="4403">SUM(WG50:WG54)</f>
        <v>609616.44000000006</v>
      </c>
      <c r="WH55" s="691"/>
      <c r="WI55" s="691">
        <f t="shared" ref="WI55:YT55" si="4404">SUM(WI50:WI54)</f>
        <v>1223469.42</v>
      </c>
      <c r="WJ55" s="691"/>
      <c r="WK55" s="691">
        <f t="shared" ref="WK55:YV55" si="4405">SUM(WK50:WK54)</f>
        <v>2253134.1999999993</v>
      </c>
      <c r="WL55" s="691"/>
      <c r="WM55" s="691">
        <f t="shared" si="4390"/>
        <v>348414.94000000006</v>
      </c>
      <c r="WN55" s="691"/>
      <c r="WO55" s="691">
        <f t="shared" si="4391"/>
        <v>305959.67000000004</v>
      </c>
      <c r="WP55" s="691"/>
      <c r="WQ55" s="691">
        <f t="shared" si="4392"/>
        <v>314386.17000000004</v>
      </c>
      <c r="WR55" s="691"/>
      <c r="WS55" s="691">
        <f t="shared" si="4393"/>
        <v>251928.97999999998</v>
      </c>
      <c r="WT55" s="691"/>
      <c r="WU55" s="691">
        <f t="shared" si="4394"/>
        <v>328864.45000000007</v>
      </c>
      <c r="WV55" s="691"/>
      <c r="WW55" s="691">
        <f t="shared" si="4395"/>
        <v>249041.76</v>
      </c>
      <c r="WX55" s="691"/>
      <c r="WY55" s="691">
        <f t="shared" si="4396"/>
        <v>338631.01000000007</v>
      </c>
      <c r="WZ55" s="691"/>
      <c r="XA55" s="691">
        <f t="shared" si="4397"/>
        <v>261624.32000000004</v>
      </c>
      <c r="XB55" s="691"/>
      <c r="XC55" s="691">
        <f t="shared" si="4398"/>
        <v>342297.69</v>
      </c>
      <c r="XD55" s="691"/>
      <c r="XE55" s="691">
        <f t="shared" si="4399"/>
        <v>315463.07</v>
      </c>
      <c r="XF55" s="691"/>
      <c r="XG55" s="691">
        <f t="shared" si="4400"/>
        <v>437871.77999999985</v>
      </c>
      <c r="XH55" s="691"/>
      <c r="XI55" s="691">
        <f t="shared" si="4401"/>
        <v>437200.21999999991</v>
      </c>
      <c r="XJ55" s="691"/>
      <c r="XK55" s="691">
        <f t="shared" si="4402"/>
        <v>689419.53999999992</v>
      </c>
      <c r="XL55" s="691"/>
      <c r="XM55" s="691">
        <f t="shared" si="4403"/>
        <v>694676.14</v>
      </c>
      <c r="XN55" s="691"/>
      <c r="XO55" s="691">
        <f t="shared" si="4404"/>
        <v>2799885.58</v>
      </c>
      <c r="XP55" s="691"/>
      <c r="XQ55" s="691">
        <f t="shared" si="4405"/>
        <v>2515894.1599999997</v>
      </c>
      <c r="XR55" s="691"/>
      <c r="XS55" s="691">
        <f t="shared" ref="XS55:AAD55" si="4406">SUM(XS50:XS54)</f>
        <v>446142.93000000005</v>
      </c>
      <c r="XT55" s="691"/>
      <c r="XU55" s="691">
        <f t="shared" ref="XU55:AAF55" si="4407">SUM(XU50:XU54)</f>
        <v>319941.80999999994</v>
      </c>
      <c r="XV55" s="691"/>
      <c r="XW55" s="691">
        <f t="shared" ref="XW55:AAH55" si="4408">SUM(XW50:XW54)</f>
        <v>303553.01000000018</v>
      </c>
      <c r="XX55" s="691"/>
      <c r="XY55" s="691">
        <f t="shared" ref="XY55:AAJ55" si="4409">SUM(XY50:XY54)</f>
        <v>270288.70999999996</v>
      </c>
      <c r="XZ55" s="691"/>
      <c r="YA55" s="691">
        <f t="shared" ref="YA55:AAL55" si="4410">SUM(YA50:YA54)</f>
        <v>317615.33999999997</v>
      </c>
      <c r="YB55" s="691"/>
      <c r="YC55" s="691">
        <f t="shared" ref="YC55:AAN55" si="4411">SUM(YC50:YC54)</f>
        <v>253507.22000000003</v>
      </c>
      <c r="YD55" s="691"/>
      <c r="YE55" s="691">
        <f t="shared" ref="YE55:AAP55" si="4412">SUM(YE50:YE54)</f>
        <v>317871.6700000001</v>
      </c>
      <c r="YF55" s="691"/>
      <c r="YG55" s="691">
        <f t="shared" ref="YG55:AAR55" si="4413">SUM(YG50:YG54)</f>
        <v>261740.83</v>
      </c>
      <c r="YH55" s="691"/>
      <c r="YI55" s="691">
        <f t="shared" ref="YI55:AAT55" si="4414">SUM(YI50:YI54)</f>
        <v>365434.93999999983</v>
      </c>
      <c r="YJ55" s="691"/>
      <c r="YK55" s="691">
        <f t="shared" ref="YK55:AAV55" si="4415">SUM(YK50:YK54)</f>
        <v>318962.58</v>
      </c>
      <c r="YL55" s="691"/>
      <c r="YM55" s="691">
        <f t="shared" ref="YM55:AAX55" si="4416">SUM(YM50:YM54)</f>
        <v>495327.67000000004</v>
      </c>
      <c r="YN55" s="691"/>
      <c r="YO55" s="691">
        <f t="shared" ref="YO55:AAZ55" si="4417">SUM(YO50:YO54)</f>
        <v>440234.33999999991</v>
      </c>
      <c r="YP55" s="691"/>
      <c r="YQ55" s="691">
        <f t="shared" ref="YQ55:ABB55" si="4418">SUM(YQ50:YQ54)</f>
        <v>790566.72000000009</v>
      </c>
      <c r="YR55" s="691"/>
      <c r="YS55" s="691">
        <f t="shared" ref="YS55:ABD55" si="4419">SUM(YS50:YS54)</f>
        <v>693284.63</v>
      </c>
      <c r="YT55" s="691"/>
      <c r="YU55" s="691">
        <f t="shared" ref="YU55:ABF55" si="4420">SUM(YU50:YU54)</f>
        <v>3036512.28</v>
      </c>
      <c r="YV55" s="691"/>
      <c r="YW55" s="691">
        <f t="shared" ref="YW55:ABH55" si="4421">SUM(YW50:YW54)</f>
        <v>2557960.12</v>
      </c>
      <c r="YX55" s="691"/>
      <c r="YY55" s="691">
        <f t="shared" si="4406"/>
        <v>443740.89000000007</v>
      </c>
      <c r="YZ55" s="691"/>
      <c r="ZA55" s="691">
        <f t="shared" si="4407"/>
        <v>368110.48000000021</v>
      </c>
      <c r="ZB55" s="691"/>
      <c r="ZC55" s="691">
        <f t="shared" si="4408"/>
        <v>367748.94000000006</v>
      </c>
      <c r="ZD55" s="691"/>
      <c r="ZE55" s="691">
        <f t="shared" si="4409"/>
        <v>320728.08999999991</v>
      </c>
      <c r="ZF55" s="691"/>
      <c r="ZG55" s="691">
        <f t="shared" si="4410"/>
        <v>436249.44000000006</v>
      </c>
      <c r="ZH55" s="691"/>
      <c r="ZI55" s="691">
        <f t="shared" si="4411"/>
        <v>382111.04000000004</v>
      </c>
      <c r="ZJ55" s="691"/>
      <c r="ZK55" s="691">
        <f t="shared" si="4412"/>
        <v>569579.20000000019</v>
      </c>
      <c r="ZL55" s="691"/>
      <c r="ZM55" s="691">
        <f t="shared" si="4413"/>
        <v>435005.61</v>
      </c>
      <c r="ZN55" s="691"/>
      <c r="ZO55" s="691">
        <f t="shared" si="4414"/>
        <v>660926.92999999993</v>
      </c>
      <c r="ZP55" s="691"/>
      <c r="ZQ55" s="691">
        <f t="shared" si="4415"/>
        <v>494593</v>
      </c>
      <c r="ZR55" s="691"/>
      <c r="ZS55" s="691">
        <f t="shared" si="4416"/>
        <v>513188.79000000015</v>
      </c>
      <c r="ZT55" s="691"/>
      <c r="ZU55" s="691">
        <f t="shared" si="4417"/>
        <v>679978.95</v>
      </c>
      <c r="ZV55" s="691"/>
      <c r="ZW55" s="691">
        <f t="shared" si="4418"/>
        <v>606618.1100000001</v>
      </c>
      <c r="ZX55" s="691"/>
      <c r="ZY55" s="691">
        <f t="shared" si="4419"/>
        <v>968447.04000000027</v>
      </c>
      <c r="ZZ55" s="691"/>
      <c r="AAA55" s="691">
        <f t="shared" si="4420"/>
        <v>3598052.3000000003</v>
      </c>
      <c r="AAB55" s="691"/>
      <c r="AAC55" s="691">
        <f t="shared" si="4421"/>
        <v>3648974.2099999995</v>
      </c>
      <c r="AAD55" s="691"/>
      <c r="AAE55" s="691">
        <f t="shared" ref="AAE55:ACP55" si="4422">SUM(AAE50:AAE54)</f>
        <v>392873.06000000011</v>
      </c>
      <c r="AAF55" s="691"/>
      <c r="AAG55" s="691">
        <f t="shared" ref="AAG55:ACR55" si="4423">SUM(AAG50:AAG54)</f>
        <v>433879.95999999996</v>
      </c>
      <c r="AAH55" s="691"/>
      <c r="AAI55" s="691">
        <f t="shared" ref="AAI55:ACT55" si="4424">SUM(AAI50:AAI54)</f>
        <v>306725.96999999991</v>
      </c>
      <c r="AAJ55" s="691"/>
      <c r="AAK55" s="691">
        <f t="shared" ref="AAK55:ACV55" si="4425">SUM(AAK50:AAK54)</f>
        <v>343813.15</v>
      </c>
      <c r="AAL55" s="691"/>
      <c r="AAM55" s="691">
        <f t="shared" ref="AAM55:ACX55" si="4426">SUM(AAM50:AAM54)</f>
        <v>308892.57999999996</v>
      </c>
      <c r="AAN55" s="691"/>
      <c r="AAO55" s="691">
        <f t="shared" ref="AAO55:ACZ55" si="4427">SUM(AAO50:AAO54)</f>
        <v>256220.4</v>
      </c>
      <c r="AAP55" s="691"/>
      <c r="AAQ55" s="691">
        <f t="shared" ref="AAQ55:ADB55" si="4428">SUM(AAQ50:AAQ54)</f>
        <v>264421.84999999998</v>
      </c>
      <c r="AAR55" s="691">
        <f t="shared" ref="AAR55" si="4429">SUM(AAR50:AAR54)</f>
        <v>289211.457612</v>
      </c>
      <c r="AAS55" s="691">
        <f t="shared" ref="AAS55:ADD55" si="4430">SUM(AAS50:AAS54)</f>
        <v>249614.08999999997</v>
      </c>
      <c r="AAT55" s="691"/>
      <c r="AAU55" s="691">
        <f t="shared" ref="AAU55:ADF55" si="4431">SUM(AAU50:AAU54)</f>
        <v>312383.47000000003</v>
      </c>
      <c r="AAV55" s="691">
        <f t="shared" ref="AAV55" si="4432">SUM(AAV50:AAV54)</f>
        <v>337413.36721400003</v>
      </c>
      <c r="AAW55" s="691">
        <f t="shared" ref="AAW55:ADH55" si="4433">SUM(AAW50:AAW54)</f>
        <v>269688.94000000006</v>
      </c>
      <c r="AAX55" s="691"/>
      <c r="AAY55" s="691">
        <f t="shared" ref="AAY55:ADJ55" si="4434">SUM(AAY50:AAY54)</f>
        <v>383304.04</v>
      </c>
      <c r="AAZ55" s="691"/>
      <c r="ABA55" s="691">
        <f t="shared" ref="ABA55:ADL55" si="4435">SUM(ABA50:ABA54)</f>
        <v>385151.97000000003</v>
      </c>
      <c r="ABB55" s="691"/>
      <c r="ABC55" s="691">
        <f t="shared" ref="ABC55:ADN55" si="4436">SUM(ABC50:ABC54)</f>
        <v>689903.48000000021</v>
      </c>
      <c r="ABD55" s="691"/>
      <c r="ABE55" s="691">
        <f t="shared" ref="ABE55:ADP55" si="4437">SUM(ABE50:ABE54)</f>
        <v>636116.94000000006</v>
      </c>
      <c r="ABF55" s="691"/>
      <c r="ABG55" s="691">
        <f t="shared" ref="ABG55:ADR55" si="4438">SUM(ABG50:ABG54)</f>
        <v>2658504.4499999997</v>
      </c>
      <c r="ABH55" s="691"/>
      <c r="ABI55" s="691">
        <f t="shared" ref="ABI55:ADT55" si="4439">SUM(ABI50:ABI54)</f>
        <v>2574485.4500000002</v>
      </c>
      <c r="ABJ55" s="691"/>
      <c r="ABK55" s="691">
        <f t="shared" si="4422"/>
        <v>405975.79999999993</v>
      </c>
      <c r="ABL55" s="691"/>
      <c r="ABM55" s="691">
        <f t="shared" si="4423"/>
        <v>337167.73000000004</v>
      </c>
      <c r="ABN55" s="691"/>
      <c r="ABO55" s="691">
        <f t="shared" si="4424"/>
        <v>284735.87</v>
      </c>
      <c r="ABP55" s="691"/>
      <c r="ABQ55" s="691">
        <f t="shared" si="4425"/>
        <v>275465.47000000003</v>
      </c>
      <c r="ABR55" s="691"/>
      <c r="ABS55" s="691">
        <f t="shared" si="4426"/>
        <v>229299.07999999993</v>
      </c>
      <c r="ABT55" s="691"/>
      <c r="ABU55" s="691">
        <f t="shared" si="4427"/>
        <v>256932.23000000004</v>
      </c>
      <c r="ABV55" s="691"/>
      <c r="ABW55" s="691">
        <f t="shared" si="4428"/>
        <v>298038.62999999995</v>
      </c>
      <c r="ABX55" s="691"/>
      <c r="ABY55" s="691">
        <f t="shared" si="4430"/>
        <v>301066.78000000009</v>
      </c>
      <c r="ABZ55" s="691"/>
      <c r="ACA55" s="691">
        <f t="shared" si="4431"/>
        <v>420238.24000000005</v>
      </c>
      <c r="ACB55" s="691"/>
      <c r="ACC55" s="691">
        <f t="shared" si="4433"/>
        <v>336968.75</v>
      </c>
      <c r="ACD55" s="691"/>
      <c r="ACE55" s="691">
        <f t="shared" si="4434"/>
        <v>684538.66999999993</v>
      </c>
      <c r="ACF55" s="691"/>
      <c r="ACG55" s="691">
        <f t="shared" si="4435"/>
        <v>499828.01</v>
      </c>
      <c r="ACH55" s="691"/>
      <c r="ACI55" s="691">
        <f t="shared" si="4436"/>
        <v>1105358.1199999996</v>
      </c>
      <c r="ACJ55" s="691"/>
      <c r="ACK55" s="691">
        <f t="shared" si="4437"/>
        <v>830623.04000000015</v>
      </c>
      <c r="ACL55" s="691"/>
      <c r="ACM55" s="691">
        <f t="shared" si="4438"/>
        <v>3428184.4099999992</v>
      </c>
      <c r="ACN55" s="691"/>
      <c r="ACO55" s="691">
        <f t="shared" si="4439"/>
        <v>2838052.0100000002</v>
      </c>
      <c r="ACP55" s="691"/>
      <c r="ACQ55" s="691">
        <f t="shared" ref="ACQ55:AFB55" si="4440">SUM(ACQ50:ACQ54)</f>
        <v>771216.84000000008</v>
      </c>
      <c r="ACR55" s="691"/>
      <c r="ACS55" s="691">
        <f t="shared" ref="ACS55:AFD55" si="4441">SUM(ACS50:ACS54)</f>
        <v>522844.95000000007</v>
      </c>
      <c r="ACT55" s="691"/>
      <c r="ACU55" s="691">
        <f t="shared" ref="ACU55:AFF55" si="4442">SUM(ACU50:ACU54)</f>
        <v>776292.1799999997</v>
      </c>
      <c r="ACV55" s="691"/>
      <c r="ACW55" s="691">
        <f t="shared" ref="ACW55:AFH55" si="4443">SUM(ACW50:ACW54)</f>
        <v>545234.44999999995</v>
      </c>
      <c r="ACX55" s="691"/>
      <c r="ACY55" s="691">
        <f t="shared" ref="ACY55:AFJ55" si="4444">SUM(ACY50:ACY54)</f>
        <v>387275.96</v>
      </c>
      <c r="ACZ55" s="691"/>
      <c r="ADA55" s="691">
        <f t="shared" ref="ADA55:AFL55" si="4445">SUM(ADA50:ADA54)</f>
        <v>353395.33999999997</v>
      </c>
      <c r="ADB55" s="691"/>
      <c r="ADC55" s="691">
        <f t="shared" ref="ADC55:AFN55" si="4446">SUM(ADC50:ADC54)</f>
        <v>330841.18</v>
      </c>
      <c r="ADD55" s="691"/>
      <c r="ADE55" s="691">
        <f t="shared" ref="ADE55:AFP55" si="4447">SUM(ADE50:ADE54)</f>
        <v>316384.66000000003</v>
      </c>
      <c r="ADF55" s="691"/>
      <c r="ADG55" s="691">
        <f t="shared" ref="ADG55:AFR55" si="4448">SUM(ADG50:ADG54)</f>
        <v>416154.73</v>
      </c>
      <c r="ADH55" s="691"/>
      <c r="ADI55" s="691">
        <f t="shared" ref="ADI55:AFT55" si="4449">SUM(ADI50:ADI54)</f>
        <v>358738.04000000004</v>
      </c>
      <c r="ADJ55" s="691"/>
      <c r="ADK55" s="691">
        <f t="shared" ref="ADK55:AFV55" si="4450">SUM(ADK50:ADK54)</f>
        <v>533230.89</v>
      </c>
      <c r="ADL55" s="691"/>
      <c r="ADM55" s="691">
        <f t="shared" ref="ADM55:AFX55" si="4451">SUM(ADM50:ADM54)</f>
        <v>460127.54000000004</v>
      </c>
      <c r="ADN55" s="691"/>
      <c r="ADO55" s="691">
        <f t="shared" ref="ADO55:AFZ55" si="4452">SUM(ADO50:ADO54)</f>
        <v>807734.85</v>
      </c>
      <c r="ADP55" s="691"/>
      <c r="ADQ55" s="691">
        <f t="shared" ref="ADQ55:AGB55" si="4453">SUM(ADQ50:ADQ54)</f>
        <v>699682.87</v>
      </c>
      <c r="ADR55" s="691"/>
      <c r="ADS55" s="691">
        <f t="shared" ref="ADS55:AGD55" si="4454">SUM(ADS50:ADS54)</f>
        <v>3909719.0500000003</v>
      </c>
      <c r="ADT55" s="691"/>
      <c r="ADU55" s="691">
        <f t="shared" ref="ADU55:AGF55" si="4455">SUM(ADU50:ADU54)</f>
        <v>3256407.8499999996</v>
      </c>
      <c r="ADV55" s="691"/>
      <c r="ADW55" s="691">
        <f t="shared" si="4440"/>
        <v>499484.29000000004</v>
      </c>
      <c r="ADX55" s="691"/>
      <c r="ADY55" s="691">
        <f t="shared" si="4441"/>
        <v>426976.03000000009</v>
      </c>
      <c r="ADZ55" s="691"/>
      <c r="AEA55" s="691">
        <f t="shared" si="4442"/>
        <v>435267.21999999991</v>
      </c>
      <c r="AEB55" s="691"/>
      <c r="AEC55" s="691">
        <f t="shared" si="4443"/>
        <v>381276</v>
      </c>
      <c r="AED55" s="691"/>
      <c r="AEE55" s="691">
        <f t="shared" si="4444"/>
        <v>413394.81000000011</v>
      </c>
      <c r="AEF55" s="691"/>
      <c r="AEG55" s="691">
        <f t="shared" si="4445"/>
        <v>389688</v>
      </c>
      <c r="AEH55" s="691"/>
      <c r="AEI55" s="691">
        <f t="shared" si="4446"/>
        <v>388371.68000000005</v>
      </c>
      <c r="AEJ55" s="691"/>
      <c r="AEK55" s="691">
        <f t="shared" si="4447"/>
        <v>422997</v>
      </c>
      <c r="AEL55" s="691"/>
      <c r="AEM55" s="691">
        <f t="shared" si="4448"/>
        <v>519588.23000000004</v>
      </c>
      <c r="AEN55" s="691"/>
      <c r="AEO55" s="691">
        <f t="shared" si="4449"/>
        <v>431250</v>
      </c>
      <c r="AEP55" s="691"/>
      <c r="AEQ55" s="691">
        <f t="shared" si="4450"/>
        <v>750017.32000000007</v>
      </c>
      <c r="AER55" s="691"/>
      <c r="AES55" s="691">
        <f t="shared" si="4451"/>
        <v>379003</v>
      </c>
      <c r="AET55" s="691"/>
      <c r="AEU55" s="691">
        <f t="shared" si="4452"/>
        <v>1164521.2999999998</v>
      </c>
      <c r="AEV55" s="691"/>
      <c r="AEW55" s="691">
        <f t="shared" si="4453"/>
        <v>905437</v>
      </c>
      <c r="AEX55" s="691"/>
      <c r="AEY55" s="691">
        <f t="shared" si="4454"/>
        <v>4100266.4799999995</v>
      </c>
      <c r="AEZ55" s="691"/>
      <c r="AFA55" s="691">
        <f t="shared" si="4455"/>
        <v>3336627.03</v>
      </c>
      <c r="AFB55" s="691"/>
      <c r="AFC55" s="691">
        <f t="shared" ref="AFC55:AHN55" si="4456">SUM(AFC50:AFC54)</f>
        <v>684266.86</v>
      </c>
      <c r="AFD55" s="691"/>
      <c r="AFE55" s="691">
        <f t="shared" ref="AFE55:AHP55" si="4457">SUM(AFE50:AFE54)</f>
        <v>487608</v>
      </c>
      <c r="AFF55" s="691"/>
      <c r="AFG55" s="691">
        <f t="shared" ref="AFG55:AHR55" si="4458">SUM(AFG50:AFG54)</f>
        <v>613882.69000000006</v>
      </c>
      <c r="AFH55" s="691"/>
      <c r="AFI55" s="691">
        <f t="shared" ref="AFI55:AHT55" si="4459">SUM(AFI50:AFI54)</f>
        <v>463961.79000000004</v>
      </c>
      <c r="AFJ55" s="691"/>
      <c r="AFK55" s="691">
        <f t="shared" ref="AFK55:AHV55" si="4460">SUM(AFK50:AFK54)</f>
        <v>590622.51</v>
      </c>
      <c r="AFL55" s="691"/>
      <c r="AFM55" s="691">
        <f t="shared" ref="AFM55:AHX55" si="4461">SUM(AFM50:AFM54)</f>
        <v>529855.21</v>
      </c>
      <c r="AFN55" s="691"/>
      <c r="AFO55" s="691">
        <f t="shared" ref="AFO55:AHZ55" si="4462">SUM(AFO50:AFO54)</f>
        <v>654014.59999999986</v>
      </c>
      <c r="AFP55" s="691"/>
      <c r="AFQ55" s="691">
        <f t="shared" ref="AFQ55:AIB55" si="4463">SUM(AFQ50:AFQ54)</f>
        <v>548890.68999999994</v>
      </c>
      <c r="AFR55" s="691"/>
      <c r="AFS55" s="691">
        <f t="shared" ref="AFS55:AID55" si="4464">SUM(AFS50:AFS54)</f>
        <v>740954.75000000012</v>
      </c>
      <c r="AFT55" s="691"/>
      <c r="AFU55" s="691">
        <f t="shared" ref="AFU55:AIF55" si="4465">SUM(AFU50:AFU54)</f>
        <v>650302.75</v>
      </c>
      <c r="AFV55" s="691"/>
      <c r="AFW55" s="691">
        <f t="shared" ref="AFW55:AIH55" si="4466">SUM(AFW50:AFW54)</f>
        <v>928245.13</v>
      </c>
      <c r="AFX55" s="691"/>
      <c r="AFY55" s="691">
        <f t="shared" ref="AFY55:AIJ55" si="4467">SUM(AFY50:AFY54)</f>
        <v>767601.1399999999</v>
      </c>
      <c r="AFZ55" s="691"/>
      <c r="AGA55" s="691">
        <f t="shared" ref="AGA55:AIL55" si="4468">SUM(AGA50:AGA54)</f>
        <v>1449823.14</v>
      </c>
      <c r="AGB55" s="691"/>
      <c r="AGC55" s="691">
        <f t="shared" ref="AGC55:AIN55" si="4469">SUM(AGC50:AGC54)</f>
        <v>1241574.3800000001</v>
      </c>
      <c r="AGD55" s="691"/>
      <c r="AGE55" s="691">
        <f t="shared" ref="AGE55:AIP55" si="4470">SUM(AGE50:AGE54)</f>
        <v>5534677.0300000012</v>
      </c>
      <c r="AGF55" s="691"/>
      <c r="AGG55" s="691">
        <f t="shared" ref="AGG55:AIR55" si="4471">SUM(AGG50:AGG54)</f>
        <v>4689793.96</v>
      </c>
      <c r="AGH55" s="691"/>
      <c r="AGI55" s="691">
        <f t="shared" si="4456"/>
        <v>955806.51000000024</v>
      </c>
      <c r="AGJ55" s="691"/>
      <c r="AGK55" s="691">
        <f t="shared" si="4457"/>
        <v>659379.77</v>
      </c>
      <c r="AGL55" s="691"/>
      <c r="AGM55" s="691">
        <f t="shared" si="4458"/>
        <v>621403.99</v>
      </c>
      <c r="AGN55" s="691"/>
      <c r="AGO55" s="691">
        <f t="shared" si="4459"/>
        <v>595361.93999999983</v>
      </c>
      <c r="AGP55" s="691"/>
      <c r="AGQ55" s="691">
        <f t="shared" si="4460"/>
        <v>763236.61</v>
      </c>
      <c r="AGR55" s="691"/>
      <c r="AGS55" s="691">
        <f t="shared" si="4461"/>
        <v>573830.11</v>
      </c>
      <c r="AGT55" s="691"/>
      <c r="AGU55" s="691">
        <f t="shared" si="4462"/>
        <v>825277.39999999991</v>
      </c>
      <c r="AGV55" s="691"/>
      <c r="AGW55" s="691">
        <f t="shared" si="4463"/>
        <v>674603.7300000001</v>
      </c>
      <c r="AGX55" s="691"/>
      <c r="AGY55" s="691">
        <f t="shared" si="4464"/>
        <v>952264.56999999983</v>
      </c>
      <c r="AGZ55" s="691"/>
      <c r="AHA55" s="691">
        <f t="shared" si="4465"/>
        <v>685864.4600000002</v>
      </c>
      <c r="AHB55" s="691"/>
      <c r="AHC55" s="691">
        <f t="shared" si="4466"/>
        <v>1162645.31</v>
      </c>
      <c r="AHD55" s="691"/>
      <c r="AHE55" s="691">
        <f t="shared" si="4467"/>
        <v>854773.25</v>
      </c>
      <c r="AHF55" s="691"/>
      <c r="AHG55" s="691">
        <f t="shared" si="4468"/>
        <v>1601609.41</v>
      </c>
      <c r="AHH55" s="691"/>
      <c r="AHI55" s="691">
        <f t="shared" si="4469"/>
        <v>1285966.8</v>
      </c>
      <c r="AHJ55" s="691"/>
      <c r="AHK55" s="691">
        <f t="shared" si="4470"/>
        <v>6699436.1500000013</v>
      </c>
      <c r="AHL55" s="691"/>
      <c r="AHM55" s="691">
        <f t="shared" si="4471"/>
        <v>5329780.0599999996</v>
      </c>
      <c r="AHN55" s="691"/>
      <c r="AHO55" s="691">
        <f t="shared" ref="AHO55:AJZ55" si="4472">SUM(AHO50:AHO54)</f>
        <v>1171256.4799999995</v>
      </c>
      <c r="AHP55" s="691"/>
      <c r="AHQ55" s="691">
        <f t="shared" ref="AHQ55:AKB55" si="4473">SUM(AHQ50:AHQ54)</f>
        <v>808690.4299999997</v>
      </c>
      <c r="AHR55" s="691"/>
      <c r="AHS55" s="691">
        <f t="shared" ref="AHS55:AKD55" si="4474">SUM(AHS50:AHS54)</f>
        <v>1083472.43</v>
      </c>
      <c r="AHT55" s="691"/>
      <c r="AHU55" s="691">
        <f t="shared" ref="AHU55:AKF55" si="4475">SUM(AHU50:AHU54)</f>
        <v>805309.06999999972</v>
      </c>
      <c r="AHV55" s="691"/>
      <c r="AHW55" s="691">
        <f t="shared" ref="AHW55:AKH55" si="4476">SUM(AHW50:AHW54)</f>
        <v>1079902.94</v>
      </c>
      <c r="AHX55" s="691"/>
      <c r="AHY55" s="691">
        <f t="shared" ref="AHY55:AKJ55" si="4477">SUM(AHY50:AHY54)</f>
        <v>801036.4099999998</v>
      </c>
      <c r="AHZ55" s="691"/>
      <c r="AIA55" s="691">
        <f t="shared" ref="AIA55:AKL55" si="4478">SUM(AIA50:AIA54)</f>
        <v>1150427.4699999997</v>
      </c>
      <c r="AIB55" s="691"/>
      <c r="AIC55" s="691">
        <f t="shared" ref="AIC55:AKN55" si="4479">SUM(AIC50:AIC54)</f>
        <v>926727.17999999993</v>
      </c>
      <c r="AID55" s="691"/>
      <c r="AIE55" s="691">
        <f t="shared" ref="AIE55:AKP55" si="4480">SUM(AIE50:AIE54)</f>
        <v>1151368.8200000003</v>
      </c>
      <c r="AIF55" s="691"/>
      <c r="AIG55" s="691">
        <f t="shared" ref="AIG55:AKR55" si="4481">SUM(AIG50:AIG54)</f>
        <v>1013698.3</v>
      </c>
      <c r="AIH55" s="691"/>
      <c r="AII55" s="691">
        <f t="shared" ref="AII55:AKT55" si="4482">SUM(AII50:AII54)</f>
        <v>1363708.6399999997</v>
      </c>
      <c r="AIJ55" s="691"/>
      <c r="AIK55" s="691">
        <f t="shared" ref="AIK55:AKV55" si="4483">SUM(AIK50:AIK54)</f>
        <v>1084261.1399999999</v>
      </c>
      <c r="AIL55" s="691"/>
      <c r="AIM55" s="691">
        <f t="shared" ref="AIM55:AKX55" si="4484">SUM(AIM50:AIM54)</f>
        <v>1846192.59</v>
      </c>
      <c r="AIN55" s="691"/>
      <c r="AIO55" s="691">
        <f t="shared" ref="AIO55:AKZ55" si="4485">SUM(AIO50:AIO54)</f>
        <v>1489667.62</v>
      </c>
      <c r="AIP55" s="691"/>
      <c r="AIQ55" s="691">
        <f t="shared" ref="AIQ55:ALB55" si="4486">SUM(AIQ50:AIQ54)</f>
        <v>8639915.1300000027</v>
      </c>
      <c r="AIR55" s="691"/>
      <c r="AIS55" s="691">
        <f t="shared" ref="AIS55:ALD55" si="4487">SUM(AIS50:AIS54)</f>
        <v>6929390.1500000004</v>
      </c>
      <c r="AIT55" s="691"/>
      <c r="AIU55" s="691">
        <f t="shared" si="4472"/>
        <v>957886.64159999986</v>
      </c>
      <c r="AIV55" s="691"/>
      <c r="AIW55" s="691">
        <f t="shared" si="4473"/>
        <v>1267767.2299999997</v>
      </c>
      <c r="AIX55" s="691"/>
      <c r="AIY55" s="691">
        <f t="shared" si="4474"/>
        <v>957886.64159999986</v>
      </c>
      <c r="AIZ55" s="691"/>
      <c r="AJA55" s="691">
        <f t="shared" si="4475"/>
        <v>1466085.4500000002</v>
      </c>
      <c r="AJB55" s="691"/>
      <c r="AJC55" s="691">
        <f t="shared" si="4476"/>
        <v>957886.64159999986</v>
      </c>
      <c r="AJD55" s="691"/>
      <c r="AJE55" s="691">
        <f t="shared" si="4477"/>
        <v>1623958.9900000002</v>
      </c>
      <c r="AJF55" s="691"/>
      <c r="AJG55" s="691">
        <f t="shared" si="4478"/>
        <v>957886.64159999986</v>
      </c>
      <c r="AJH55" s="691"/>
      <c r="AJI55" s="691">
        <f t="shared" si="4479"/>
        <v>1728984.3900000001</v>
      </c>
      <c r="AJJ55" s="691"/>
      <c r="AJK55" s="691">
        <f t="shared" si="4480"/>
        <v>1117534.4152000002</v>
      </c>
      <c r="AJL55" s="691"/>
      <c r="AJM55" s="691">
        <f t="shared" si="4481"/>
        <v>2303512.9</v>
      </c>
      <c r="AJN55" s="691"/>
      <c r="AJO55" s="691">
        <f t="shared" si="4482"/>
        <v>1277182.1888000004</v>
      </c>
      <c r="AJP55" s="691"/>
      <c r="AJQ55" s="691">
        <f t="shared" si="4483"/>
        <v>2110362.58</v>
      </c>
      <c r="AJR55" s="691"/>
      <c r="AJS55" s="691">
        <f t="shared" si="4484"/>
        <v>1756125.5096000002</v>
      </c>
      <c r="AJT55" s="691"/>
      <c r="AJU55" s="691">
        <f t="shared" si="4485"/>
        <v>12562.96</v>
      </c>
      <c r="AJV55" s="691"/>
      <c r="AJW55" s="691">
        <f t="shared" si="4486"/>
        <v>7982388.6799999997</v>
      </c>
      <c r="AJX55" s="691"/>
      <c r="AJY55" s="691">
        <f t="shared" si="4487"/>
        <v>10513234.5</v>
      </c>
      <c r="AJZ55" s="691"/>
      <c r="AKA55" s="691">
        <f t="shared" ref="AKA55:ALF55" si="4488">SUM(AKA50:AKA54)</f>
        <v>345342.67440000002</v>
      </c>
      <c r="AKB55" s="691"/>
      <c r="AKC55" s="691">
        <f t="shared" ref="AKC55:ALF55" si="4489">SUM(AKC50:AKC54)</f>
        <v>420824.05000000005</v>
      </c>
      <c r="AKD55" s="691"/>
      <c r="AKE55" s="691">
        <f t="shared" ref="AKE55:ALF55" si="4490">SUM(AKE50:AKE54)</f>
        <v>345342.67440000002</v>
      </c>
      <c r="AKF55" s="691"/>
      <c r="AKG55" s="691">
        <f t="shared" ref="AKG55:ALF55" si="4491">SUM(AKG50:AKG54)</f>
        <v>490438.20999999996</v>
      </c>
      <c r="AKH55" s="691"/>
      <c r="AKI55" s="691">
        <f t="shared" ref="AKI55:ALF55" si="4492">SUM(AKI50:AKI54)</f>
        <v>345342.67440000002</v>
      </c>
      <c r="AKJ55" s="691"/>
      <c r="AKK55" s="691">
        <f t="shared" ref="AKK55:ALF55" si="4493">SUM(AKK50:AKK54)</f>
        <v>452417.74000000011</v>
      </c>
      <c r="AKL55" s="691"/>
      <c r="AKM55" s="691">
        <f t="shared" ref="AKM55:ALF55" si="4494">SUM(AKM50:AKM54)</f>
        <v>345342.67440000002</v>
      </c>
      <c r="AKN55" s="691"/>
      <c r="AKO55" s="691">
        <f t="shared" ref="AKO55:ALF55" si="4495">SUM(AKO50:AKO54)</f>
        <v>503006.02999999997</v>
      </c>
      <c r="AKP55" s="691"/>
      <c r="AKQ55" s="691">
        <f t="shared" ref="AKQ55:ALF55" si="4496">SUM(AKQ50:AKQ54)</f>
        <v>402899.78680000012</v>
      </c>
      <c r="AKR55" s="691"/>
      <c r="AKS55" s="691">
        <f t="shared" ref="AKS55:ALF55" si="4497">SUM(AKS50:AKS54)</f>
        <v>619965.67999999993</v>
      </c>
      <c r="AKT55" s="691"/>
      <c r="AKU55" s="691">
        <f t="shared" ref="AKU55:ALF55" si="4498">SUM(AKU50:AKU54)</f>
        <v>460456.89920000004</v>
      </c>
      <c r="AKV55" s="691"/>
      <c r="AKW55" s="691">
        <f t="shared" ref="AKW55:ALF55" si="4499">SUM(AKW50:AKW54)</f>
        <v>516762.63999999996</v>
      </c>
      <c r="AKX55" s="691"/>
      <c r="AKY55" s="691">
        <f t="shared" ref="AKY55:ALF55" si="4500">SUM(AKY50:AKY54)</f>
        <v>633128.23639999994</v>
      </c>
      <c r="AKZ55" s="691"/>
      <c r="ALA55" s="691">
        <f t="shared" ref="ALA55:ALF55" si="4501">SUM(ALA50:ALA54)</f>
        <v>3363.6</v>
      </c>
      <c r="ALB55" s="691"/>
      <c r="ALC55" s="691">
        <f t="shared" ref="ALC55:ALF55" si="4502">SUM(ALC50:ALC54)</f>
        <v>2877855.6199999996</v>
      </c>
      <c r="ALD55" s="691"/>
      <c r="ALE55" s="691">
        <f t="shared" ref="ALE55:ALF55" si="4503">SUM(ALE50:ALE54)</f>
        <v>3006777.95</v>
      </c>
      <c r="ALF55" s="691"/>
    </row>
  </sheetData>
  <mergeCells count="286">
    <mergeCell ref="ALD4:ALD6"/>
    <mergeCell ref="AKE4:AKG4"/>
    <mergeCell ref="AKI4:AKK4"/>
    <mergeCell ref="AKM4:AKO4"/>
    <mergeCell ref="AKQ4:AKS4"/>
    <mergeCell ref="AKU4:AKW4"/>
    <mergeCell ref="AJK4:AJM4"/>
    <mergeCell ref="AJO4:AJQ4"/>
    <mergeCell ref="AJS4:AJU4"/>
    <mergeCell ref="AJX4:AJX6"/>
    <mergeCell ref="AKA4:AKC4"/>
    <mergeCell ref="AIY4:AJA4"/>
    <mergeCell ref="AJC4:AJE4"/>
    <mergeCell ref="AJG4:AJI4"/>
    <mergeCell ref="AHW4:AHY4"/>
    <mergeCell ref="AIA4:AIC4"/>
    <mergeCell ref="AIE4:AIG4"/>
    <mergeCell ref="AII4:AIK4"/>
    <mergeCell ref="AIM4:AIO4"/>
    <mergeCell ref="AKY4:ALA4"/>
    <mergeCell ref="AHO4:AHQ4"/>
    <mergeCell ref="AHS4:AHU4"/>
    <mergeCell ref="AGI4:AGK4"/>
    <mergeCell ref="AGM4:AGO4"/>
    <mergeCell ref="AGQ4:AGS4"/>
    <mergeCell ref="AGU4:AGW4"/>
    <mergeCell ref="AGY4:AHA4"/>
    <mergeCell ref="AIR4:AIR6"/>
    <mergeCell ref="AIU4:AIW4"/>
    <mergeCell ref="AEU4:AEW4"/>
    <mergeCell ref="AEZ4:AEZ6"/>
    <mergeCell ref="AFC2:ALF2"/>
    <mergeCell ref="AFC3:AGH3"/>
    <mergeCell ref="AGI3:AHN3"/>
    <mergeCell ref="AHO3:AIT3"/>
    <mergeCell ref="AIU3:AJZ3"/>
    <mergeCell ref="AKA3:ALF3"/>
    <mergeCell ref="AFC4:AFE4"/>
    <mergeCell ref="AFG4:AFI4"/>
    <mergeCell ref="AFK4:AFM4"/>
    <mergeCell ref="AFO4:AFQ4"/>
    <mergeCell ref="AFS4:AFU4"/>
    <mergeCell ref="AFW4:AFY4"/>
    <mergeCell ref="AGA4:AGC4"/>
    <mergeCell ref="AGF4:AGF6"/>
    <mergeCell ref="AAE2:AFB2"/>
    <mergeCell ref="AAE3:ABJ3"/>
    <mergeCell ref="ABK3:ACP3"/>
    <mergeCell ref="ACQ3:ADV3"/>
    <mergeCell ref="ADW3:AFB3"/>
    <mergeCell ref="AHC4:AHE4"/>
    <mergeCell ref="AHG4:AHI4"/>
    <mergeCell ref="AHL4:AHL6"/>
    <mergeCell ref="AEA4:AEC4"/>
    <mergeCell ref="AEE4:AEG4"/>
    <mergeCell ref="AEI4:AEK4"/>
    <mergeCell ref="AEM4:AEO4"/>
    <mergeCell ref="AEQ4:AES4"/>
    <mergeCell ref="ADG4:ADI4"/>
    <mergeCell ref="ADK4:ADM4"/>
    <mergeCell ref="ADO4:ADQ4"/>
    <mergeCell ref="ADT4:ADT6"/>
    <mergeCell ref="ADW4:ADY4"/>
    <mergeCell ref="ACN4:ACN6"/>
    <mergeCell ref="ACQ4:ACS4"/>
    <mergeCell ref="ACU4:ACW4"/>
    <mergeCell ref="ACY4:ADA4"/>
    <mergeCell ref="ADC4:ADE4"/>
    <mergeCell ref="ABS4:ABU4"/>
    <mergeCell ref="ABW4:ABY4"/>
    <mergeCell ref="ACA4:ACC4"/>
    <mergeCell ref="ACE4:ACG4"/>
    <mergeCell ref="ACI4:ACK4"/>
    <mergeCell ref="YY4:ZA4"/>
    <mergeCell ref="ZC4:ZE4"/>
    <mergeCell ref="ZG4:ZI4"/>
    <mergeCell ref="AAY4:ABA4"/>
    <mergeCell ref="ABC4:ABE4"/>
    <mergeCell ref="ABH4:ABH6"/>
    <mergeCell ref="ABK4:ABM4"/>
    <mergeCell ref="ABO4:ABQ4"/>
    <mergeCell ref="AAE4:AAG4"/>
    <mergeCell ref="AAI4:AAK4"/>
    <mergeCell ref="AAM4:AAO4"/>
    <mergeCell ref="AAQ4:AAS4"/>
    <mergeCell ref="AAU4:AAW4"/>
    <mergeCell ref="UQ4:US4"/>
    <mergeCell ref="UU4:UW4"/>
    <mergeCell ref="UY4:VA4"/>
    <mergeCell ref="VD4:VD6"/>
    <mergeCell ref="XW4:XY4"/>
    <mergeCell ref="YA4:YC4"/>
    <mergeCell ref="YE4:YG4"/>
    <mergeCell ref="YI4:YK4"/>
    <mergeCell ref="YM4:YO4"/>
    <mergeCell ref="XC4:XE4"/>
    <mergeCell ref="XG4:XI4"/>
    <mergeCell ref="XK4:XM4"/>
    <mergeCell ref="XP4:XP6"/>
    <mergeCell ref="XS4:XU4"/>
    <mergeCell ref="VG2:AAD2"/>
    <mergeCell ref="VG3:WL3"/>
    <mergeCell ref="WM3:XR3"/>
    <mergeCell ref="XS3:YX3"/>
    <mergeCell ref="YY3:AAD3"/>
    <mergeCell ref="VG4:VI4"/>
    <mergeCell ref="VK4:VM4"/>
    <mergeCell ref="VO4:VQ4"/>
    <mergeCell ref="VS4:VU4"/>
    <mergeCell ref="VW4:VY4"/>
    <mergeCell ref="WA4:WC4"/>
    <mergeCell ref="WE4:WG4"/>
    <mergeCell ref="WJ4:WJ6"/>
    <mergeCell ref="WM4:WO4"/>
    <mergeCell ref="WQ4:WS4"/>
    <mergeCell ref="WU4:WW4"/>
    <mergeCell ref="WY4:XA4"/>
    <mergeCell ref="ZK4:ZM4"/>
    <mergeCell ref="ZO4:ZQ4"/>
    <mergeCell ref="ZS4:ZU4"/>
    <mergeCell ref="ZW4:ZY4"/>
    <mergeCell ref="AAB4:AAB6"/>
    <mergeCell ref="YQ4:YS4"/>
    <mergeCell ref="YV4:YV6"/>
    <mergeCell ref="TX4:TX6"/>
    <mergeCell ref="UA4:UC4"/>
    <mergeCell ref="UE4:UG4"/>
    <mergeCell ref="UI4:UK4"/>
    <mergeCell ref="UM4:UO4"/>
    <mergeCell ref="TC4:TE4"/>
    <mergeCell ref="TG4:TI4"/>
    <mergeCell ref="TK4:TM4"/>
    <mergeCell ref="TO4:TQ4"/>
    <mergeCell ref="TS4:TU4"/>
    <mergeCell ref="QM4:QO4"/>
    <mergeCell ref="QQ4:QS4"/>
    <mergeCell ref="SI4:SK4"/>
    <mergeCell ref="SM4:SO4"/>
    <mergeCell ref="SR4:SR6"/>
    <mergeCell ref="SU4:SW4"/>
    <mergeCell ref="SY4:TA4"/>
    <mergeCell ref="RO4:RQ4"/>
    <mergeCell ref="RS4:RU4"/>
    <mergeCell ref="RW4:RY4"/>
    <mergeCell ref="SA4:SC4"/>
    <mergeCell ref="SE4:SG4"/>
    <mergeCell ref="OM4:OO4"/>
    <mergeCell ref="OQ4:OS4"/>
    <mergeCell ref="OU4:OW4"/>
    <mergeCell ref="OZ4:OZ6"/>
    <mergeCell ref="PC2:VF2"/>
    <mergeCell ref="PC3:QH3"/>
    <mergeCell ref="QI3:RN3"/>
    <mergeCell ref="RO3:ST3"/>
    <mergeCell ref="SU3:TZ3"/>
    <mergeCell ref="UA3:VF3"/>
    <mergeCell ref="PC4:PE4"/>
    <mergeCell ref="PG4:PI4"/>
    <mergeCell ref="PK4:PM4"/>
    <mergeCell ref="PO4:PQ4"/>
    <mergeCell ref="PS4:PU4"/>
    <mergeCell ref="PW4:PY4"/>
    <mergeCell ref="QU4:QW4"/>
    <mergeCell ref="QY4:RA4"/>
    <mergeCell ref="RC4:RE4"/>
    <mergeCell ref="RG4:RI4"/>
    <mergeCell ref="RL4:RL6"/>
    <mergeCell ref="QA4:QC4"/>
    <mergeCell ref="QF4:QF6"/>
    <mergeCell ref="QI4:QK4"/>
    <mergeCell ref="NT4:NT6"/>
    <mergeCell ref="NW4:NY4"/>
    <mergeCell ref="OA4:OC4"/>
    <mergeCell ref="OE4:OG4"/>
    <mergeCell ref="OI4:OK4"/>
    <mergeCell ref="MY4:NA4"/>
    <mergeCell ref="NC4:NE4"/>
    <mergeCell ref="NG4:NI4"/>
    <mergeCell ref="NK4:NM4"/>
    <mergeCell ref="NO4:NQ4"/>
    <mergeCell ref="IQ4:IS4"/>
    <mergeCell ref="IV4:IV6"/>
    <mergeCell ref="ME4:MG4"/>
    <mergeCell ref="MI4:MK4"/>
    <mergeCell ref="MN4:MN6"/>
    <mergeCell ref="MQ4:MS4"/>
    <mergeCell ref="MU4:MW4"/>
    <mergeCell ref="LK4:LM4"/>
    <mergeCell ref="LO4:LQ4"/>
    <mergeCell ref="LS4:LU4"/>
    <mergeCell ref="LW4:LY4"/>
    <mergeCell ref="MA4:MC4"/>
    <mergeCell ref="HG4:HI4"/>
    <mergeCell ref="HK4:HM4"/>
    <mergeCell ref="FG2:KD2"/>
    <mergeCell ref="KE2:PB2"/>
    <mergeCell ref="KE3:LJ3"/>
    <mergeCell ref="LK3:MP3"/>
    <mergeCell ref="MQ3:NV3"/>
    <mergeCell ref="NW3:PB3"/>
    <mergeCell ref="KE4:KG4"/>
    <mergeCell ref="KI4:KK4"/>
    <mergeCell ref="KM4:KO4"/>
    <mergeCell ref="KQ4:KS4"/>
    <mergeCell ref="KU4:KW4"/>
    <mergeCell ref="KY4:LA4"/>
    <mergeCell ref="LC4:LE4"/>
    <mergeCell ref="LH4:LH6"/>
    <mergeCell ref="JS4:JU4"/>
    <mergeCell ref="JW4:JY4"/>
    <mergeCell ref="KB4:KB6"/>
    <mergeCell ref="IY4:JA4"/>
    <mergeCell ref="JC4:JE4"/>
    <mergeCell ref="JG4:JI4"/>
    <mergeCell ref="JK4:JM4"/>
    <mergeCell ref="JO4:JQ4"/>
    <mergeCell ref="GJ4:GJ6"/>
    <mergeCell ref="GM4:GO4"/>
    <mergeCell ref="GQ4:GS4"/>
    <mergeCell ref="FG3:GL3"/>
    <mergeCell ref="GM3:HR3"/>
    <mergeCell ref="HS3:IX3"/>
    <mergeCell ref="IY3:KD3"/>
    <mergeCell ref="FG4:FI4"/>
    <mergeCell ref="FK4:FM4"/>
    <mergeCell ref="FO4:FQ4"/>
    <mergeCell ref="FS4:FU4"/>
    <mergeCell ref="FW4:FY4"/>
    <mergeCell ref="GA4:GC4"/>
    <mergeCell ref="GE4:GG4"/>
    <mergeCell ref="HW4:HY4"/>
    <mergeCell ref="IA4:IC4"/>
    <mergeCell ref="IE4:IG4"/>
    <mergeCell ref="II4:IK4"/>
    <mergeCell ref="IM4:IO4"/>
    <mergeCell ref="HP4:HP6"/>
    <mergeCell ref="HS4:HU4"/>
    <mergeCell ref="GU4:GW4"/>
    <mergeCell ref="GY4:HA4"/>
    <mergeCell ref="HC4:HE4"/>
    <mergeCell ref="FD4:FD6"/>
    <mergeCell ref="C2:FF2"/>
    <mergeCell ref="EA3:FF3"/>
    <mergeCell ref="EA4:EC4"/>
    <mergeCell ref="EE4:EG4"/>
    <mergeCell ref="EI4:EK4"/>
    <mergeCell ref="EM4:EO4"/>
    <mergeCell ref="EQ4:ES4"/>
    <mergeCell ref="EU4:EW4"/>
    <mergeCell ref="EY4:FA4"/>
    <mergeCell ref="DO4:DQ4"/>
    <mergeCell ref="DS4:DU4"/>
    <mergeCell ref="CU4:CW4"/>
    <mergeCell ref="CY4:DA4"/>
    <mergeCell ref="DC4:DE4"/>
    <mergeCell ref="DG4:DI4"/>
    <mergeCell ref="DK4:DM4"/>
    <mergeCell ref="BO3:CT3"/>
    <mergeCell ref="CU3:DZ3"/>
    <mergeCell ref="BO4:BQ4"/>
    <mergeCell ref="BS4:BU4"/>
    <mergeCell ref="BW4:BY4"/>
    <mergeCell ref="CA4:CC4"/>
    <mergeCell ref="CE4:CG4"/>
    <mergeCell ref="CI4:CK4"/>
    <mergeCell ref="CM4:CO4"/>
    <mergeCell ref="CR4:CR6"/>
    <mergeCell ref="DX4:DX6"/>
    <mergeCell ref="AI3:BN3"/>
    <mergeCell ref="AI4:AK4"/>
    <mergeCell ref="AM4:AO4"/>
    <mergeCell ref="AQ4:AS4"/>
    <mergeCell ref="AU4:AW4"/>
    <mergeCell ref="AY4:BA4"/>
    <mergeCell ref="BC4:BE4"/>
    <mergeCell ref="BG4:BI4"/>
    <mergeCell ref="BL4:BL6"/>
    <mergeCell ref="C3:AH3"/>
    <mergeCell ref="C4:E4"/>
    <mergeCell ref="G4:I4"/>
    <mergeCell ref="K4:M4"/>
    <mergeCell ref="O4:Q4"/>
    <mergeCell ref="S4:U4"/>
    <mergeCell ref="W4:Y4"/>
    <mergeCell ref="AA4:AC4"/>
    <mergeCell ref="AF4:AF6"/>
  </mergeCells>
  <phoneticPr fontId="45" type="noConversion"/>
  <pageMargins left="0.7" right="0.7" top="0.75" bottom="0.75" header="0.3" footer="0.3"/>
  <ignoredErrors>
    <ignoredError sqref="BB17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LI78"/>
  <sheetViews>
    <sheetView tabSelected="1" zoomScale="90" zoomScaleNormal="90" workbookViewId="0">
      <pane xSplit="2" ySplit="5" topLeftCell="W31" activePane="bottomRight" state="frozen"/>
      <selection pane="bottomRight" activeCell="LG20" sqref="LG20"/>
      <selection pane="bottomLeft" activeCell="A9" sqref="A9"/>
      <selection pane="topRight" activeCell="D1" sqref="D1"/>
    </sheetView>
  </sheetViews>
  <sheetFormatPr defaultColWidth="9.140625" defaultRowHeight="15" outlineLevelRow="1" outlineLevelCol="1"/>
  <cols>
    <col min="1" max="1" width="2.140625" customWidth="1"/>
    <col min="2" max="2" width="12" style="421" customWidth="1"/>
    <col min="3" max="4" width="15.7109375" hidden="1" customWidth="1" outlineLevel="1"/>
    <col min="5" max="5" width="12.85546875" hidden="1" customWidth="1" outlineLevel="1"/>
    <col min="6" max="6" width="17.42578125" hidden="1" customWidth="1" outlineLevel="1"/>
    <col min="7" max="7" width="10.5703125" hidden="1" customWidth="1" outlineLevel="1"/>
    <col min="8" max="9" width="19.85546875" hidden="1" customWidth="1" outlineLevel="1"/>
    <col min="10" max="10" width="11.85546875" hidden="1" customWidth="1" outlineLevel="1"/>
    <col min="11" max="11" width="15.7109375" hidden="1" customWidth="1" outlineLevel="1"/>
    <col min="12" max="12" width="9.140625" hidden="1" customWidth="1" outlineLevel="1"/>
    <col min="13" max="13" width="16.42578125" hidden="1" customWidth="1" outlineLevel="1"/>
    <col min="14" max="14" width="15.7109375" hidden="1" customWidth="1" outlineLevel="1"/>
    <col min="15" max="15" width="12.28515625" hidden="1" customWidth="1" outlineLevel="1"/>
    <col min="16" max="16" width="15.7109375" hidden="1" customWidth="1" outlineLevel="1"/>
    <col min="17" max="17" width="10.5703125" hidden="1" customWidth="1" outlineLevel="1"/>
    <col min="18" max="19" width="15.7109375" hidden="1" customWidth="1" outlineLevel="1"/>
    <col min="20" max="20" width="13.5703125" hidden="1" customWidth="1" outlineLevel="1"/>
    <col min="21" max="21" width="15.7109375" hidden="1" customWidth="1" outlineLevel="1"/>
    <col min="22" max="22" width="9.85546875" hidden="1" customWidth="1" outlineLevel="1"/>
    <col min="23" max="23" width="16.140625" customWidth="1" collapsed="1"/>
    <col min="24" max="24" width="15.42578125" customWidth="1"/>
    <col min="25" max="25" width="15.28515625" customWidth="1"/>
    <col min="26" max="26" width="9.140625" customWidth="1"/>
    <col min="27" max="28" width="15.7109375" hidden="1" customWidth="1" outlineLevel="1"/>
    <col min="29" max="29" width="9.140625" hidden="1" customWidth="1" outlineLevel="1"/>
    <col min="30" max="30" width="16.85546875" hidden="1" customWidth="1" outlineLevel="1"/>
    <col min="31" max="31" width="9.140625" hidden="1" customWidth="1" outlineLevel="1"/>
    <col min="32" max="33" width="15.7109375" hidden="1" customWidth="1" outlineLevel="1"/>
    <col min="34" max="34" width="11.5703125" hidden="1" customWidth="1" outlineLevel="1"/>
    <col min="35" max="35" width="15.7109375" hidden="1" customWidth="1" outlineLevel="1"/>
    <col min="36" max="36" width="9.140625" hidden="1" customWidth="1" outlineLevel="1"/>
    <col min="37" max="38" width="15.7109375" hidden="1" customWidth="1" outlineLevel="1"/>
    <col min="39" max="39" width="12.28515625" hidden="1" customWidth="1" outlineLevel="1"/>
    <col min="40" max="40" width="15.7109375" hidden="1" customWidth="1" outlineLevel="1"/>
    <col min="41" max="41" width="10" hidden="1" customWidth="1" outlineLevel="1"/>
    <col min="42" max="43" width="15.7109375" hidden="1" customWidth="1" outlineLevel="1"/>
    <col min="44" max="44" width="12.140625" hidden="1" customWidth="1" outlineLevel="1"/>
    <col min="45" max="45" width="15.7109375" hidden="1" customWidth="1" outlineLevel="1"/>
    <col min="46" max="46" width="11.85546875" hidden="1" customWidth="1" outlineLevel="1"/>
    <col min="47" max="47" width="17" customWidth="1" collapsed="1"/>
    <col min="48" max="48" width="17" customWidth="1"/>
    <col min="49" max="49" width="17.7109375" customWidth="1"/>
    <col min="50" max="50" width="9.140625" customWidth="1"/>
    <col min="51" max="51" width="16.42578125" hidden="1" customWidth="1" outlineLevel="1"/>
    <col min="52" max="52" width="15.7109375" hidden="1" customWidth="1" outlineLevel="1"/>
    <col min="53" max="53" width="11.42578125" hidden="1" customWidth="1" outlineLevel="1"/>
    <col min="54" max="54" width="19.85546875" hidden="1" customWidth="1" outlineLevel="1"/>
    <col min="55" max="55" width="9.140625" hidden="1" customWidth="1" outlineLevel="1"/>
    <col min="56" max="57" width="15.7109375" hidden="1" customWidth="1" outlineLevel="1"/>
    <col min="58" max="58" width="9.140625" hidden="1" customWidth="1" outlineLevel="1"/>
    <col min="59" max="59" width="15.7109375" hidden="1" customWidth="1" outlineLevel="1"/>
    <col min="60" max="60" width="9.140625" hidden="1" customWidth="1" outlineLevel="1"/>
    <col min="61" max="62" width="15.7109375" hidden="1" customWidth="1" outlineLevel="1"/>
    <col min="63" max="63" width="10.28515625" hidden="1" customWidth="1" outlineLevel="1"/>
    <col min="64" max="64" width="19.85546875" hidden="1" customWidth="1" outlineLevel="1"/>
    <col min="65" max="65" width="9.140625" hidden="1" customWidth="1" outlineLevel="1"/>
    <col min="66" max="67" width="15.7109375" hidden="1" customWidth="1" outlineLevel="1"/>
    <col min="68" max="68" width="7" style="421" hidden="1" customWidth="1" outlineLevel="1"/>
    <col min="69" max="69" width="17.5703125" hidden="1" customWidth="1" outlineLevel="1"/>
    <col min="70" max="70" width="14.28515625" hidden="1" customWidth="1" outlineLevel="1"/>
    <col min="71" max="71" width="17.28515625" hidden="1" customWidth="1" outlineLevel="1"/>
    <col min="72" max="72" width="18.5703125" hidden="1" customWidth="1" outlineLevel="1"/>
    <col min="73" max="73" width="8.28515625" hidden="1" customWidth="1" outlineLevel="1"/>
    <col min="74" max="74" width="18.5703125" hidden="1" customWidth="1" outlineLevel="1"/>
    <col min="75" max="75" width="12.140625" hidden="1" customWidth="1" outlineLevel="1"/>
    <col min="76" max="76" width="16.7109375" bestFit="1" customWidth="1" collapsed="1"/>
    <col min="77" max="78" width="16.7109375" bestFit="1" customWidth="1"/>
    <col min="79" max="79" width="6.7109375" bestFit="1" customWidth="1"/>
    <col min="80" max="80" width="17.28515625" hidden="1" customWidth="1" outlineLevel="1"/>
    <col min="81" max="81" width="18.42578125" hidden="1" customWidth="1" outlineLevel="1"/>
    <col min="82" max="82" width="13.7109375" hidden="1" customWidth="1" outlineLevel="1"/>
    <col min="83" max="83" width="8.140625" hidden="1" customWidth="1" outlineLevel="1"/>
    <col min="84" max="84" width="13.85546875" hidden="1" customWidth="1" outlineLevel="1"/>
    <col min="85" max="86" width="17.28515625" hidden="1" customWidth="1" outlineLevel="1"/>
    <col min="87" max="87" width="12" hidden="1" customWidth="1" outlineLevel="1"/>
    <col min="88" max="88" width="8.140625" hidden="1" customWidth="1" outlineLevel="1"/>
    <col min="89" max="89" width="12.140625" hidden="1" customWidth="1" outlineLevel="1"/>
    <col min="90" max="90" width="19.28515625" hidden="1" customWidth="1" outlineLevel="1"/>
    <col min="91" max="91" width="17" hidden="1" customWidth="1" outlineLevel="1"/>
    <col min="92" max="92" width="9.140625" hidden="1" customWidth="1" outlineLevel="1"/>
    <col min="93" max="93" width="8.140625" hidden="1" customWidth="1" outlineLevel="1"/>
    <col min="94" max="94" width="12.140625" hidden="1" customWidth="1" outlineLevel="1"/>
    <col min="95" max="96" width="17.28515625" hidden="1" customWidth="1" outlineLevel="1"/>
    <col min="97" max="97" width="8.28515625" hidden="1" customWidth="1" outlineLevel="1"/>
    <col min="98" max="98" width="9.85546875" hidden="1" customWidth="1" outlineLevel="1"/>
    <col min="99" max="99" width="12.5703125" hidden="1" customWidth="1" outlineLevel="1"/>
    <col min="100" max="100" width="15.140625" bestFit="1" customWidth="1" collapsed="1"/>
    <col min="101" max="101" width="16.7109375" bestFit="1" customWidth="1"/>
    <col min="102" max="102" width="15.140625" bestFit="1" customWidth="1"/>
    <col min="103" max="103" width="6.7109375" bestFit="1" customWidth="1"/>
    <col min="104" max="105" width="17.28515625" hidden="1" customWidth="1" outlineLevel="1"/>
    <col min="106" max="106" width="9.140625" hidden="1" customWidth="1" outlineLevel="1"/>
    <col min="107" max="107" width="8.140625" hidden="1" customWidth="1" outlineLevel="1"/>
    <col min="108" max="108" width="12.140625" hidden="1" customWidth="1" outlineLevel="1"/>
    <col min="109" max="109" width="17.140625" hidden="1" customWidth="1" outlineLevel="1"/>
    <col min="110" max="110" width="17.28515625" hidden="1" customWidth="1" outlineLevel="1"/>
    <col min="111" max="111" width="10.28515625" hidden="1" customWidth="1" outlineLevel="1"/>
    <col min="112" max="112" width="8.140625" hidden="1" customWidth="1" outlineLevel="1"/>
    <col min="113" max="113" width="12.140625" hidden="1" customWidth="1" outlineLevel="1"/>
    <col min="114" max="115" width="17.28515625" hidden="1" customWidth="1" outlineLevel="1"/>
    <col min="116" max="116" width="8.28515625" hidden="1" customWidth="1" outlineLevel="1"/>
    <col min="117" max="117" width="8.140625" hidden="1" customWidth="1" outlineLevel="1"/>
    <col min="118" max="118" width="12.140625" hidden="1" customWidth="1" outlineLevel="1"/>
    <col min="119" max="120" width="17.28515625" hidden="1" customWidth="1" outlineLevel="1"/>
    <col min="121" max="121" width="9.140625" hidden="1" customWidth="1" outlineLevel="1"/>
    <col min="122" max="122" width="8.140625" hidden="1" customWidth="1" outlineLevel="1"/>
    <col min="123" max="123" width="12.140625" hidden="1" customWidth="1" outlineLevel="1"/>
    <col min="124" max="124" width="18.5703125" customWidth="1" collapsed="1"/>
    <col min="125" max="125" width="18.5703125" customWidth="1"/>
    <col min="126" max="126" width="19.28515625" customWidth="1"/>
    <col min="127" max="127" width="6.7109375" bestFit="1" customWidth="1"/>
    <col min="128" max="129" width="17.28515625" hidden="1" customWidth="1" outlineLevel="1"/>
    <col min="130" max="130" width="9.140625" hidden="1" customWidth="1" outlineLevel="1"/>
    <col min="131" max="131" width="8.140625" hidden="1" customWidth="1" outlineLevel="1"/>
    <col min="132" max="132" width="12.140625" hidden="1" customWidth="1" outlineLevel="1"/>
    <col min="133" max="134" width="17.28515625" hidden="1" customWidth="1" outlineLevel="1"/>
    <col min="135" max="135" width="9.140625" hidden="1" customWidth="1" outlineLevel="1"/>
    <col min="136" max="136" width="8.140625" hidden="1" customWidth="1" outlineLevel="1"/>
    <col min="137" max="137" width="11.85546875" hidden="1" customWidth="1" outlineLevel="1"/>
    <col min="138" max="139" width="17.28515625" hidden="1" customWidth="1" outlineLevel="1"/>
    <col min="140" max="140" width="9.140625" hidden="1" customWidth="1" outlineLevel="1"/>
    <col min="141" max="141" width="8.140625" hidden="1" customWidth="1" outlineLevel="1"/>
    <col min="142" max="142" width="12.140625" hidden="1" customWidth="1" outlineLevel="1"/>
    <col min="143" max="143" width="17.140625" hidden="1" customWidth="1" outlineLevel="1"/>
    <col min="144" max="144" width="17.28515625" hidden="1" customWidth="1" outlineLevel="1"/>
    <col min="145" max="145" width="9.140625" hidden="1" customWidth="1" outlineLevel="1"/>
    <col min="146" max="146" width="15.140625" hidden="1" customWidth="1" outlineLevel="1"/>
    <col min="147" max="147" width="12.140625" hidden="1" customWidth="1" outlineLevel="1"/>
    <col min="148" max="149" width="17.28515625" hidden="1" customWidth="1" outlineLevel="1"/>
    <col min="150" max="150" width="10.28515625" hidden="1" customWidth="1" outlineLevel="1"/>
    <col min="151" max="151" width="15.140625" hidden="1" customWidth="1" outlineLevel="1"/>
    <col min="152" max="152" width="12.140625" hidden="1" customWidth="1" outlineLevel="1"/>
    <col min="153" max="153" width="19.85546875" customWidth="1" collapsed="1"/>
    <col min="154" max="154" width="19.85546875" customWidth="1"/>
    <col min="155" max="155" width="19.7109375" customWidth="1"/>
    <col min="156" max="156" width="6.7109375" bestFit="1" customWidth="1"/>
    <col min="157" max="158" width="15.42578125" hidden="1" customWidth="1" outlineLevel="1"/>
    <col min="159" max="159" width="8.7109375" hidden="1" customWidth="1" outlineLevel="1"/>
    <col min="160" max="160" width="8.140625" hidden="1" customWidth="1" outlineLevel="1"/>
    <col min="161" max="161" width="12.5703125" hidden="1" customWidth="1" outlineLevel="1"/>
    <col min="162" max="163" width="15.42578125" hidden="1" customWidth="1" outlineLevel="1"/>
    <col min="164" max="164" width="8.7109375" hidden="1" customWidth="1" outlineLevel="1"/>
    <col min="165" max="165" width="15.140625" hidden="1" customWidth="1" outlineLevel="1"/>
    <col min="166" max="166" width="12.140625" hidden="1" customWidth="1" outlineLevel="1"/>
    <col min="167" max="168" width="15.42578125" hidden="1" customWidth="1" outlineLevel="1"/>
    <col min="169" max="169" width="8.7109375" hidden="1" customWidth="1" outlineLevel="1"/>
    <col min="170" max="170" width="15.140625" hidden="1" customWidth="1" outlineLevel="1"/>
    <col min="171" max="171" width="12.140625" hidden="1" customWidth="1" outlineLevel="1"/>
    <col min="172" max="173" width="15.42578125" hidden="1" customWidth="1" outlineLevel="1"/>
    <col min="174" max="174" width="8.7109375" hidden="1" customWidth="1" outlineLevel="1"/>
    <col min="175" max="175" width="15.140625" hidden="1" customWidth="1" outlineLevel="1"/>
    <col min="176" max="176" width="11.42578125" hidden="1" customWidth="1" outlineLevel="1"/>
    <col min="177" max="177" width="16.7109375" bestFit="1" customWidth="1" collapsed="1"/>
    <col min="178" max="178" width="16.7109375" bestFit="1" customWidth="1"/>
    <col min="179" max="179" width="20.5703125" customWidth="1"/>
    <col min="180" max="180" width="9.140625" customWidth="1"/>
    <col min="181" max="182" width="15.42578125" hidden="1" customWidth="1" outlineLevel="1"/>
    <col min="183" max="183" width="8.7109375" hidden="1" customWidth="1" outlineLevel="1"/>
    <col min="184" max="184" width="15.140625" hidden="1" customWidth="1" outlineLevel="1"/>
    <col min="185" max="185" width="11.5703125" hidden="1" customWidth="1" outlineLevel="1"/>
    <col min="186" max="186" width="15.42578125" hidden="1" customWidth="1" outlineLevel="1"/>
    <col min="187" max="187" width="15.7109375" hidden="1" customWidth="1" outlineLevel="1"/>
    <col min="188" max="188" width="8.7109375" hidden="1" customWidth="1" outlineLevel="1"/>
    <col min="189" max="189" width="15.140625" hidden="1" customWidth="1" outlineLevel="1"/>
    <col min="190" max="190" width="11.5703125" hidden="1" customWidth="1" outlineLevel="1"/>
    <col min="191" max="192" width="15.7109375" hidden="1" customWidth="1" outlineLevel="1"/>
    <col min="193" max="193" width="11.28515625" hidden="1" customWidth="1" outlineLevel="1"/>
    <col min="194" max="194" width="8.140625" hidden="1" customWidth="1" outlineLevel="1"/>
    <col min="195" max="195" width="11.85546875" hidden="1" customWidth="1" outlineLevel="1"/>
    <col min="196" max="197" width="15.7109375" hidden="1" customWidth="1" outlineLevel="1"/>
    <col min="198" max="198" width="9.140625" hidden="1" customWidth="1" outlineLevel="1"/>
    <col min="199" max="199" width="15.140625" hidden="1" customWidth="1" outlineLevel="1"/>
    <col min="200" max="200" width="11.7109375" hidden="1" customWidth="1" outlineLevel="1"/>
    <col min="201" max="201" width="15.140625" bestFit="1" customWidth="1" collapsed="1"/>
    <col min="202" max="202" width="16.7109375" bestFit="1" customWidth="1"/>
    <col min="203" max="203" width="15.140625" bestFit="1" customWidth="1"/>
    <col min="204" max="204" width="6.7109375" bestFit="1" customWidth="1"/>
    <col min="205" max="206" width="15.7109375" hidden="1" customWidth="1" outlineLevel="1"/>
    <col min="207" max="207" width="9.140625" hidden="1" customWidth="1" outlineLevel="1"/>
    <col min="208" max="208" width="15.140625" hidden="1" customWidth="1" outlineLevel="1"/>
    <col min="209" max="209" width="10.7109375" hidden="1" customWidth="1" outlineLevel="1"/>
    <col min="210" max="211" width="15.7109375" hidden="1" customWidth="1" outlineLevel="1"/>
    <col min="212" max="212" width="9.140625" hidden="1" customWidth="1" outlineLevel="1"/>
    <col min="213" max="213" width="8.140625" hidden="1" customWidth="1" outlineLevel="1"/>
    <col min="214" max="214" width="10.5703125" hidden="1" customWidth="1" outlineLevel="1"/>
    <col min="215" max="216" width="15.7109375" hidden="1" customWidth="1" outlineLevel="1"/>
    <col min="217" max="217" width="9.140625" hidden="1" customWidth="1" outlineLevel="1"/>
    <col min="218" max="218" width="8.140625" hidden="1" customWidth="1" outlineLevel="1"/>
    <col min="219" max="219" width="10.28515625" hidden="1" customWidth="1" outlineLevel="1"/>
    <col min="220" max="221" width="15.7109375" hidden="1" customWidth="1" outlineLevel="1"/>
    <col min="222" max="222" width="9.140625" hidden="1" customWidth="1" outlineLevel="1"/>
    <col min="223" max="223" width="8.140625" hidden="1" customWidth="1" outlineLevel="1"/>
    <col min="224" max="224" width="9.140625" hidden="1" customWidth="1" outlineLevel="1"/>
    <col min="225" max="226" width="15.7109375" hidden="1" customWidth="1" outlineLevel="1"/>
    <col min="227" max="227" width="9.140625" hidden="1" customWidth="1" outlineLevel="1"/>
    <col min="228" max="228" width="8.140625" hidden="1" customWidth="1" outlineLevel="1"/>
    <col min="229" max="229" width="17" hidden="1" customWidth="1" outlineLevel="1"/>
    <col min="230" max="230" width="16.7109375" bestFit="1" customWidth="1" collapsed="1"/>
    <col min="231" max="232" width="16.7109375" bestFit="1" customWidth="1"/>
    <col min="233" max="233" width="9.140625" customWidth="1"/>
    <col min="234" max="235" width="15.7109375" hidden="1" customWidth="1" outlineLevel="1"/>
    <col min="236" max="236" width="9.140625" hidden="1" customWidth="1" outlineLevel="1"/>
    <col min="237" max="237" width="15.140625" hidden="1" customWidth="1" outlineLevel="1"/>
    <col min="238" max="238" width="9.140625" hidden="1" customWidth="1" outlineLevel="1"/>
    <col min="239" max="240" width="15.7109375" hidden="1" customWidth="1" outlineLevel="1"/>
    <col min="241" max="241" width="9.140625" hidden="1" customWidth="1" outlineLevel="1"/>
    <col min="242" max="242" width="8.140625" hidden="1" customWidth="1" outlineLevel="1"/>
    <col min="243" max="243" width="9.140625" hidden="1" customWidth="1" outlineLevel="1"/>
    <col min="244" max="245" width="15.7109375" hidden="1" customWidth="1" outlineLevel="1"/>
    <col min="246" max="246" width="9.140625" hidden="1" customWidth="1" outlineLevel="1"/>
    <col min="247" max="247" width="8.140625" hidden="1" customWidth="1" outlineLevel="1"/>
    <col min="248" max="248" width="9.140625" hidden="1" customWidth="1" outlineLevel="1"/>
    <col min="249" max="250" width="15.7109375" hidden="1" customWidth="1" outlineLevel="1"/>
    <col min="251" max="251" width="9.140625" hidden="1" customWidth="1" outlineLevel="1"/>
    <col min="252" max="252" width="8.140625" hidden="1" customWidth="1" outlineLevel="1"/>
    <col min="253" max="253" width="9.5703125" hidden="1" customWidth="1" outlineLevel="1"/>
    <col min="254" max="254" width="16.7109375" bestFit="1" customWidth="1" collapsed="1"/>
    <col min="255" max="255" width="17.42578125" customWidth="1"/>
    <col min="256" max="256" width="16.7109375" bestFit="1" customWidth="1"/>
    <col min="257" max="257" width="6.7109375" bestFit="1" customWidth="1"/>
    <col min="258" max="259" width="15.7109375" hidden="1" customWidth="1" outlineLevel="1"/>
    <col min="260" max="260" width="9.140625" hidden="1" customWidth="1" outlineLevel="1"/>
    <col min="261" max="261" width="8.140625" hidden="1" customWidth="1" outlineLevel="1"/>
    <col min="262" max="262" width="9.140625" hidden="1" customWidth="1" outlineLevel="1"/>
    <col min="263" max="264" width="15.7109375" hidden="1" customWidth="1" outlineLevel="1"/>
    <col min="265" max="265" width="9.140625" hidden="1" customWidth="1" outlineLevel="1"/>
    <col min="266" max="266" width="8.140625" hidden="1" customWidth="1" outlineLevel="1"/>
    <col min="267" max="267" width="9.140625" hidden="1" customWidth="1" outlineLevel="1"/>
    <col min="268" max="269" width="15.7109375" hidden="1" customWidth="1" outlineLevel="1"/>
    <col min="270" max="270" width="9.140625" hidden="1" customWidth="1" outlineLevel="1"/>
    <col min="271" max="271" width="8.140625" hidden="1" customWidth="1" outlineLevel="1"/>
    <col min="272" max="272" width="9.140625" hidden="1" customWidth="1" outlineLevel="1"/>
    <col min="273" max="274" width="15.7109375" hidden="1" customWidth="1" outlineLevel="1"/>
    <col min="275" max="275" width="9.140625" hidden="1" customWidth="1" outlineLevel="1"/>
    <col min="276" max="276" width="8.140625" hidden="1" customWidth="1" outlineLevel="1"/>
    <col min="277" max="277" width="0.28515625" hidden="1" customWidth="1" outlineLevel="1"/>
    <col min="278" max="278" width="8.5703125" hidden="1" customWidth="1" outlineLevel="1"/>
    <col min="279" max="279" width="16.42578125" bestFit="1" customWidth="1" collapsed="1"/>
    <col min="280" max="280" width="20" customWidth="1"/>
    <col min="281" max="281" width="17.42578125" customWidth="1"/>
    <col min="282" max="282" width="9.140625" customWidth="1"/>
    <col min="283" max="284" width="15.7109375" hidden="1" customWidth="1" outlineLevel="1"/>
    <col min="285" max="285" width="9.140625" hidden="1" customWidth="1" outlineLevel="1"/>
    <col min="286" max="286" width="8.140625" hidden="1" customWidth="1" outlineLevel="1"/>
    <col min="287" max="287" width="9.140625" hidden="1" customWidth="1" outlineLevel="1"/>
    <col min="288" max="289" width="15.7109375" hidden="1" customWidth="1" outlineLevel="1"/>
    <col min="290" max="290" width="9.140625" hidden="1" customWidth="1" outlineLevel="1"/>
    <col min="291" max="291" width="8.140625" hidden="1" customWidth="1" outlineLevel="1"/>
    <col min="292" max="292" width="9.140625" hidden="1" customWidth="1" outlineLevel="1"/>
    <col min="293" max="294" width="15.7109375" hidden="1" customWidth="1" outlineLevel="1"/>
    <col min="295" max="295" width="9.140625" hidden="1" customWidth="1" outlineLevel="1"/>
    <col min="296" max="296" width="13.42578125" hidden="1" customWidth="1" outlineLevel="1"/>
    <col min="297" max="297" width="9.140625" hidden="1" customWidth="1" outlineLevel="1"/>
    <col min="298" max="298" width="15.7109375" hidden="1" customWidth="1" outlineLevel="1"/>
    <col min="299" max="299" width="18.28515625" hidden="1" customWidth="1" outlineLevel="1"/>
    <col min="300" max="300" width="11" hidden="1" customWidth="1" outlineLevel="1"/>
    <col min="301" max="301" width="11.7109375" hidden="1" customWidth="1" outlineLevel="1"/>
    <col min="302" max="302" width="12" hidden="1" customWidth="1" outlineLevel="1"/>
    <col min="303" max="304" width="17.42578125" hidden="1" customWidth="1" outlineLevel="1"/>
    <col min="305" max="305" width="9.140625" hidden="1" customWidth="1" outlineLevel="1"/>
    <col min="306" max="306" width="10.7109375" hidden="1" customWidth="1" outlineLevel="1"/>
    <col min="307" max="307" width="12" hidden="1" customWidth="1" outlineLevel="1"/>
    <col min="308" max="308" width="16.7109375" bestFit="1" customWidth="1" collapsed="1"/>
    <col min="309" max="309" width="17.7109375" customWidth="1"/>
    <col min="310" max="310" width="20.7109375" customWidth="1"/>
    <col min="311" max="311" width="11.5703125" customWidth="1"/>
    <col min="312" max="312" width="18.140625" bestFit="1" customWidth="1"/>
    <col min="313" max="314" width="21" hidden="1" customWidth="1"/>
    <col min="315" max="315" width="21.5703125" customWidth="1"/>
    <col min="316" max="316" width="20.5703125" hidden="1" customWidth="1"/>
    <col min="317" max="317" width="9.140625" customWidth="1"/>
    <col min="318" max="318" width="10.42578125" hidden="1" customWidth="1"/>
    <col min="319" max="319" width="15" customWidth="1"/>
    <col min="320" max="320" width="21.85546875" bestFit="1" customWidth="1"/>
  </cols>
  <sheetData>
    <row r="2" spans="1:318" s="682" customFormat="1" ht="19.5" customHeight="1">
      <c r="A2" s="680"/>
      <c r="B2" s="681"/>
      <c r="C2" s="1831" t="s">
        <v>48</v>
      </c>
      <c r="D2" s="1832"/>
      <c r="E2" s="1832"/>
      <c r="F2" s="1832"/>
      <c r="G2" s="1832"/>
      <c r="H2" s="1832"/>
      <c r="I2" s="1832"/>
      <c r="J2" s="1832"/>
      <c r="K2" s="1832"/>
      <c r="L2" s="1832"/>
      <c r="M2" s="1832"/>
      <c r="N2" s="1832"/>
      <c r="O2" s="1832"/>
      <c r="P2" s="1832"/>
      <c r="Q2" s="1832"/>
      <c r="R2" s="1832"/>
      <c r="S2" s="1832"/>
      <c r="T2" s="1832"/>
      <c r="U2" s="1832"/>
      <c r="V2" s="1832"/>
      <c r="W2" s="1832"/>
      <c r="X2" s="1832"/>
      <c r="Y2" s="1832"/>
      <c r="Z2" s="1833"/>
      <c r="AA2" s="1834" t="s">
        <v>49</v>
      </c>
      <c r="AB2" s="1835"/>
      <c r="AC2" s="1835"/>
      <c r="AD2" s="1835"/>
      <c r="AE2" s="1835"/>
      <c r="AF2" s="1835"/>
      <c r="AG2" s="1835"/>
      <c r="AH2" s="1835"/>
      <c r="AI2" s="1835"/>
      <c r="AJ2" s="1835"/>
      <c r="AK2" s="1835"/>
      <c r="AL2" s="1835"/>
      <c r="AM2" s="1835"/>
      <c r="AN2" s="1835"/>
      <c r="AO2" s="1835"/>
      <c r="AP2" s="1835"/>
      <c r="AQ2" s="1835"/>
      <c r="AR2" s="1835"/>
      <c r="AS2" s="1835"/>
      <c r="AT2" s="1835"/>
      <c r="AU2" s="1835"/>
      <c r="AV2" s="1835"/>
      <c r="AW2" s="1835"/>
      <c r="AX2" s="1836"/>
      <c r="AY2" s="1848" t="s">
        <v>50</v>
      </c>
      <c r="AZ2" s="1848"/>
      <c r="BA2" s="1848"/>
      <c r="BB2" s="1848"/>
      <c r="BC2" s="1848"/>
      <c r="BD2" s="1848"/>
      <c r="BE2" s="1848"/>
      <c r="BF2" s="1848"/>
      <c r="BG2" s="1848"/>
      <c r="BH2" s="1848"/>
      <c r="BI2" s="1848"/>
      <c r="BJ2" s="1848"/>
      <c r="BK2" s="1848"/>
      <c r="BL2" s="1848"/>
      <c r="BM2" s="1848"/>
      <c r="BN2" s="1848"/>
      <c r="BO2" s="1848"/>
      <c r="BP2" s="1848"/>
      <c r="BQ2" s="1848"/>
      <c r="BR2" s="1848"/>
      <c r="BS2" s="1848"/>
      <c r="BT2" s="1848"/>
      <c r="BU2" s="1848"/>
      <c r="BV2" s="1848"/>
      <c r="BW2" s="1848"/>
      <c r="BX2" s="1848"/>
      <c r="BY2" s="1848"/>
      <c r="BZ2" s="1848"/>
      <c r="CA2" s="1849"/>
      <c r="CB2" s="1834" t="s">
        <v>51</v>
      </c>
      <c r="CC2" s="1835"/>
      <c r="CD2" s="1835"/>
      <c r="CE2" s="1835"/>
      <c r="CF2" s="1835"/>
      <c r="CG2" s="1835"/>
      <c r="CH2" s="1835"/>
      <c r="CI2" s="1835"/>
      <c r="CJ2" s="1835"/>
      <c r="CK2" s="1835"/>
      <c r="CL2" s="1835"/>
      <c r="CM2" s="1835"/>
      <c r="CN2" s="1835"/>
      <c r="CO2" s="1835"/>
      <c r="CP2" s="1835"/>
      <c r="CQ2" s="1835"/>
      <c r="CR2" s="1835"/>
      <c r="CS2" s="1835"/>
      <c r="CT2" s="1835"/>
      <c r="CU2" s="1835"/>
      <c r="CV2" s="1835"/>
      <c r="CW2" s="1835"/>
      <c r="CX2" s="1835"/>
      <c r="CY2" s="1836"/>
      <c r="CZ2" s="1831" t="s">
        <v>52</v>
      </c>
      <c r="DA2" s="1832"/>
      <c r="DB2" s="1832"/>
      <c r="DC2" s="1832"/>
      <c r="DD2" s="1832"/>
      <c r="DE2" s="1832"/>
      <c r="DF2" s="1832"/>
      <c r="DG2" s="1832"/>
      <c r="DH2" s="1832"/>
      <c r="DI2" s="1832"/>
      <c r="DJ2" s="1832"/>
      <c r="DK2" s="1832"/>
      <c r="DL2" s="1832"/>
      <c r="DM2" s="1832"/>
      <c r="DN2" s="1832"/>
      <c r="DO2" s="1832"/>
      <c r="DP2" s="1832"/>
      <c r="DQ2" s="1832"/>
      <c r="DR2" s="1832"/>
      <c r="DS2" s="1832"/>
      <c r="DT2" s="1832"/>
      <c r="DU2" s="1832"/>
      <c r="DV2" s="1832"/>
      <c r="DW2" s="1833"/>
      <c r="DX2" s="1851" t="s">
        <v>53</v>
      </c>
      <c r="DY2" s="1852"/>
      <c r="DZ2" s="1852"/>
      <c r="EA2" s="1852"/>
      <c r="EB2" s="1852"/>
      <c r="EC2" s="1852"/>
      <c r="ED2" s="1852"/>
      <c r="EE2" s="1852"/>
      <c r="EF2" s="1852"/>
      <c r="EG2" s="1852"/>
      <c r="EH2" s="1852"/>
      <c r="EI2" s="1852"/>
      <c r="EJ2" s="1852"/>
      <c r="EK2" s="1852"/>
      <c r="EL2" s="1852"/>
      <c r="EM2" s="1852"/>
      <c r="EN2" s="1852"/>
      <c r="EO2" s="1852"/>
      <c r="EP2" s="1852"/>
      <c r="EQ2" s="1852"/>
      <c r="ER2" s="1852"/>
      <c r="ES2" s="1852"/>
      <c r="ET2" s="1852"/>
      <c r="EU2" s="1852"/>
      <c r="EV2" s="1852"/>
      <c r="EW2" s="1852"/>
      <c r="EX2" s="1852"/>
      <c r="EY2" s="1852"/>
      <c r="EZ2" s="1853"/>
      <c r="FA2" s="1831" t="s">
        <v>54</v>
      </c>
      <c r="FB2" s="1832"/>
      <c r="FC2" s="1832"/>
      <c r="FD2" s="1832"/>
      <c r="FE2" s="1832"/>
      <c r="FF2" s="1832"/>
      <c r="FG2" s="1832"/>
      <c r="FH2" s="1832"/>
      <c r="FI2" s="1832"/>
      <c r="FJ2" s="1832"/>
      <c r="FK2" s="1832"/>
      <c r="FL2" s="1832"/>
      <c r="FM2" s="1832"/>
      <c r="FN2" s="1832"/>
      <c r="FO2" s="1832"/>
      <c r="FP2" s="1832"/>
      <c r="FQ2" s="1832"/>
      <c r="FR2" s="1832"/>
      <c r="FS2" s="1832"/>
      <c r="FT2" s="1832"/>
      <c r="FU2" s="1832"/>
      <c r="FV2" s="1832"/>
      <c r="FW2" s="1832"/>
      <c r="FX2" s="1833"/>
      <c r="FY2" s="1834" t="s">
        <v>55</v>
      </c>
      <c r="FZ2" s="1835"/>
      <c r="GA2" s="1835"/>
      <c r="GB2" s="1835"/>
      <c r="GC2" s="1835"/>
      <c r="GD2" s="1835"/>
      <c r="GE2" s="1835"/>
      <c r="GF2" s="1835"/>
      <c r="GG2" s="1835"/>
      <c r="GH2" s="1835"/>
      <c r="GI2" s="1835"/>
      <c r="GJ2" s="1835"/>
      <c r="GK2" s="1835"/>
      <c r="GL2" s="1835"/>
      <c r="GM2" s="1835"/>
      <c r="GN2" s="1835"/>
      <c r="GO2" s="1835"/>
      <c r="GP2" s="1835"/>
      <c r="GQ2" s="1835"/>
      <c r="GR2" s="1835"/>
      <c r="GS2" s="1835"/>
      <c r="GT2" s="1835"/>
      <c r="GU2" s="1835"/>
      <c r="GV2" s="1836"/>
      <c r="GW2" s="1848" t="s">
        <v>56</v>
      </c>
      <c r="GX2" s="1848"/>
      <c r="GY2" s="1848"/>
      <c r="GZ2" s="1848"/>
      <c r="HA2" s="1848"/>
      <c r="HB2" s="1848"/>
      <c r="HC2" s="1848"/>
      <c r="HD2" s="1848"/>
      <c r="HE2" s="1848"/>
      <c r="HF2" s="1848"/>
      <c r="HG2" s="1848"/>
      <c r="HH2" s="1848"/>
      <c r="HI2" s="1848"/>
      <c r="HJ2" s="1848"/>
      <c r="HK2" s="1848"/>
      <c r="HL2" s="1848"/>
      <c r="HM2" s="1848"/>
      <c r="HN2" s="1848"/>
      <c r="HO2" s="1848"/>
      <c r="HP2" s="1848"/>
      <c r="HQ2" s="1848"/>
      <c r="HR2" s="1848"/>
      <c r="HS2" s="1848"/>
      <c r="HT2" s="1848"/>
      <c r="HU2" s="1848"/>
      <c r="HV2" s="1848"/>
      <c r="HW2" s="1848"/>
      <c r="HX2" s="1848"/>
      <c r="HY2" s="1849"/>
      <c r="HZ2" s="1834" t="s">
        <v>57</v>
      </c>
      <c r="IA2" s="1835"/>
      <c r="IB2" s="1835"/>
      <c r="IC2" s="1835"/>
      <c r="ID2" s="1835"/>
      <c r="IE2" s="1835"/>
      <c r="IF2" s="1835"/>
      <c r="IG2" s="1835"/>
      <c r="IH2" s="1835"/>
      <c r="II2" s="1835"/>
      <c r="IJ2" s="1835"/>
      <c r="IK2" s="1835"/>
      <c r="IL2" s="1835"/>
      <c r="IM2" s="1835"/>
      <c r="IN2" s="1835"/>
      <c r="IO2" s="1835"/>
      <c r="IP2" s="1835"/>
      <c r="IQ2" s="1835"/>
      <c r="IR2" s="1835"/>
      <c r="IS2" s="1835"/>
      <c r="IT2" s="1835"/>
      <c r="IU2" s="1835"/>
      <c r="IV2" s="1835"/>
      <c r="IW2" s="1836"/>
      <c r="IX2" s="1831" t="s">
        <v>58</v>
      </c>
      <c r="IY2" s="1832"/>
      <c r="IZ2" s="1832"/>
      <c r="JA2" s="1832"/>
      <c r="JB2" s="1832"/>
      <c r="JC2" s="1832"/>
      <c r="JD2" s="1832"/>
      <c r="JE2" s="1832"/>
      <c r="JF2" s="1832"/>
      <c r="JG2" s="1832"/>
      <c r="JH2" s="1832"/>
      <c r="JI2" s="1832"/>
      <c r="JJ2" s="1832"/>
      <c r="JK2" s="1832"/>
      <c r="JL2" s="1832"/>
      <c r="JM2" s="1832"/>
      <c r="JN2" s="1832"/>
      <c r="JO2" s="1832"/>
      <c r="JP2" s="1832"/>
      <c r="JQ2" s="1832"/>
      <c r="JR2" s="1832"/>
      <c r="JS2" s="1832"/>
      <c r="JT2" s="1832"/>
      <c r="JU2" s="1832"/>
      <c r="JV2" s="1832"/>
      <c r="JW2" s="1861" t="s">
        <v>59</v>
      </c>
      <c r="JX2" s="1862"/>
      <c r="JY2" s="1862"/>
      <c r="JZ2" s="1862"/>
      <c r="KA2" s="1862"/>
      <c r="KB2" s="1862"/>
      <c r="KC2" s="1862"/>
      <c r="KD2" s="1862"/>
      <c r="KE2" s="1862"/>
      <c r="KF2" s="1862"/>
      <c r="KG2" s="1862"/>
      <c r="KH2" s="1862"/>
      <c r="KI2" s="1862"/>
      <c r="KJ2" s="1862"/>
      <c r="KK2" s="1862"/>
      <c r="KL2" s="1862"/>
      <c r="KM2" s="1862"/>
      <c r="KN2" s="1862"/>
      <c r="KO2" s="1862"/>
      <c r="KP2" s="1862"/>
      <c r="KQ2" s="1862"/>
      <c r="KR2" s="1862"/>
      <c r="KS2" s="1862"/>
      <c r="KT2" s="1862"/>
      <c r="KU2" s="1862"/>
      <c r="KV2" s="1862"/>
      <c r="KW2" s="1862"/>
      <c r="KX2" s="1862"/>
      <c r="KY2" s="1862"/>
      <c r="KZ2" s="1814" t="s">
        <v>493</v>
      </c>
      <c r="LA2" s="1815"/>
      <c r="LB2" s="1815"/>
      <c r="LC2" s="1815"/>
      <c r="LD2" s="1815"/>
      <c r="LE2" s="1815"/>
      <c r="LF2" s="1816"/>
    </row>
    <row r="3" spans="1:318" ht="19.5" customHeight="1">
      <c r="A3" s="1495"/>
      <c r="B3" s="418"/>
      <c r="C3" s="1829" t="s">
        <v>175</v>
      </c>
      <c r="D3" s="1780"/>
      <c r="E3" s="1780"/>
      <c r="F3" s="1780"/>
      <c r="G3" s="1780"/>
      <c r="H3" s="1850">
        <f>'Proy 2021 vs 2019 Sem'!FU35</f>
        <v>10234173.684720002</v>
      </c>
      <c r="I3" s="1791"/>
      <c r="J3" s="1791"/>
      <c r="K3" s="1791"/>
      <c r="L3" s="1791"/>
      <c r="M3" s="1780" t="s">
        <v>177</v>
      </c>
      <c r="N3" s="1780"/>
      <c r="O3" s="1780"/>
      <c r="P3" s="1780"/>
      <c r="Q3" s="1780"/>
      <c r="R3" s="1791" t="s">
        <v>178</v>
      </c>
      <c r="S3" s="1791"/>
      <c r="T3" s="1791"/>
      <c r="U3" s="1791"/>
      <c r="V3" s="1791"/>
      <c r="W3" s="1830" t="s">
        <v>494</v>
      </c>
      <c r="X3" s="1830"/>
      <c r="Y3" s="1830"/>
      <c r="Z3" s="1846"/>
      <c r="AA3" s="1829" t="s">
        <v>179</v>
      </c>
      <c r="AB3" s="1780"/>
      <c r="AC3" s="1780"/>
      <c r="AD3" s="1780"/>
      <c r="AE3" s="1780"/>
      <c r="AF3" s="1791" t="s">
        <v>180</v>
      </c>
      <c r="AG3" s="1791"/>
      <c r="AH3" s="1791"/>
      <c r="AI3" s="1791"/>
      <c r="AJ3" s="1791"/>
      <c r="AK3" s="1780" t="s">
        <v>181</v>
      </c>
      <c r="AL3" s="1780"/>
      <c r="AM3" s="1780"/>
      <c r="AN3" s="1780"/>
      <c r="AO3" s="1780"/>
      <c r="AP3" s="1791" t="s">
        <v>182</v>
      </c>
      <c r="AQ3" s="1791"/>
      <c r="AR3" s="1791"/>
      <c r="AS3" s="1791"/>
      <c r="AT3" s="1791"/>
      <c r="AU3" s="1828" t="s">
        <v>495</v>
      </c>
      <c r="AV3" s="1828"/>
      <c r="AW3" s="1828"/>
      <c r="AX3" s="1847"/>
      <c r="AY3" s="1829" t="s">
        <v>183</v>
      </c>
      <c r="AZ3" s="1780"/>
      <c r="BA3" s="1780"/>
      <c r="BB3" s="1780"/>
      <c r="BC3" s="1780"/>
      <c r="BD3" s="1791" t="s">
        <v>184</v>
      </c>
      <c r="BE3" s="1791"/>
      <c r="BF3" s="1791"/>
      <c r="BG3" s="1791"/>
      <c r="BH3" s="1791"/>
      <c r="BI3" s="1780" t="s">
        <v>185</v>
      </c>
      <c r="BJ3" s="1780"/>
      <c r="BK3" s="1780"/>
      <c r="BL3" s="1780"/>
      <c r="BM3" s="1780"/>
      <c r="BN3" s="1791" t="s">
        <v>186</v>
      </c>
      <c r="BO3" s="1791"/>
      <c r="BP3" s="1791"/>
      <c r="BQ3" s="1791"/>
      <c r="BR3" s="1791"/>
      <c r="BS3" s="1780" t="s">
        <v>187</v>
      </c>
      <c r="BT3" s="1780"/>
      <c r="BU3" s="1780"/>
      <c r="BV3" s="1780"/>
      <c r="BW3" s="1780"/>
      <c r="BX3" s="1830" t="s">
        <v>496</v>
      </c>
      <c r="BY3" s="1830"/>
      <c r="BZ3" s="1830"/>
      <c r="CA3" s="1830"/>
      <c r="CB3" s="1829" t="s">
        <v>188</v>
      </c>
      <c r="CC3" s="1780"/>
      <c r="CD3" s="1780"/>
      <c r="CE3" s="1780"/>
      <c r="CF3" s="1780"/>
      <c r="CG3" s="1791" t="s">
        <v>189</v>
      </c>
      <c r="CH3" s="1791"/>
      <c r="CI3" s="1791"/>
      <c r="CJ3" s="1791"/>
      <c r="CK3" s="1791"/>
      <c r="CL3" s="1780" t="s">
        <v>190</v>
      </c>
      <c r="CM3" s="1780"/>
      <c r="CN3" s="1780"/>
      <c r="CO3" s="1780"/>
      <c r="CP3" s="1780"/>
      <c r="CQ3" s="1791" t="s">
        <v>191</v>
      </c>
      <c r="CR3" s="1791"/>
      <c r="CS3" s="1791"/>
      <c r="CT3" s="1791"/>
      <c r="CU3" s="1791"/>
      <c r="CV3" s="1828" t="s">
        <v>497</v>
      </c>
      <c r="CW3" s="1828"/>
      <c r="CX3" s="1828"/>
      <c r="CY3" s="1828"/>
      <c r="CZ3" s="1829" t="s">
        <v>192</v>
      </c>
      <c r="DA3" s="1780"/>
      <c r="DB3" s="1780"/>
      <c r="DC3" s="1780"/>
      <c r="DD3" s="1780"/>
      <c r="DE3" s="1791" t="s">
        <v>193</v>
      </c>
      <c r="DF3" s="1791"/>
      <c r="DG3" s="1791"/>
      <c r="DH3" s="1791"/>
      <c r="DI3" s="1791"/>
      <c r="DJ3" s="1780" t="s">
        <v>194</v>
      </c>
      <c r="DK3" s="1780"/>
      <c r="DL3" s="1780"/>
      <c r="DM3" s="1780"/>
      <c r="DN3" s="1780"/>
      <c r="DO3" s="1791" t="s">
        <v>195</v>
      </c>
      <c r="DP3" s="1791"/>
      <c r="DQ3" s="1791"/>
      <c r="DR3" s="1791"/>
      <c r="DS3" s="1791"/>
      <c r="DT3" s="1830" t="s">
        <v>498</v>
      </c>
      <c r="DU3" s="1830"/>
      <c r="DV3" s="1830"/>
      <c r="DW3" s="1830"/>
      <c r="DX3" s="1829" t="s">
        <v>196</v>
      </c>
      <c r="DY3" s="1780"/>
      <c r="DZ3" s="1780"/>
      <c r="EA3" s="1780"/>
      <c r="EB3" s="1780"/>
      <c r="EC3" s="1791" t="s">
        <v>197</v>
      </c>
      <c r="ED3" s="1791"/>
      <c r="EE3" s="1791"/>
      <c r="EF3" s="1791"/>
      <c r="EG3" s="1791"/>
      <c r="EH3" s="1780" t="s">
        <v>198</v>
      </c>
      <c r="EI3" s="1780"/>
      <c r="EJ3" s="1780"/>
      <c r="EK3" s="1780"/>
      <c r="EL3" s="1780"/>
      <c r="EM3" s="1791" t="s">
        <v>199</v>
      </c>
      <c r="EN3" s="1791"/>
      <c r="EO3" s="1791"/>
      <c r="EP3" s="1791"/>
      <c r="EQ3" s="1791"/>
      <c r="ER3" s="1780" t="s">
        <v>200</v>
      </c>
      <c r="ES3" s="1780"/>
      <c r="ET3" s="1780"/>
      <c r="EU3" s="1780"/>
      <c r="EV3" s="1780"/>
      <c r="EW3" s="807">
        <f>AVERAGE(DZ35,EE35,EJ35,EO35,ET35)</f>
        <v>0.81539351101059032</v>
      </c>
      <c r="EX3" s="1854" t="s">
        <v>499</v>
      </c>
      <c r="EY3" s="1854"/>
      <c r="EZ3" s="1855"/>
      <c r="FA3" s="1780" t="s">
        <v>201</v>
      </c>
      <c r="FB3" s="1780"/>
      <c r="FC3" s="1780"/>
      <c r="FD3" s="1780"/>
      <c r="FE3" s="1780"/>
      <c r="FF3" s="1791" t="s">
        <v>202</v>
      </c>
      <c r="FG3" s="1791"/>
      <c r="FH3" s="1791"/>
      <c r="FI3" s="1791"/>
      <c r="FJ3" s="1791"/>
      <c r="FK3" s="1780" t="s">
        <v>203</v>
      </c>
      <c r="FL3" s="1780"/>
      <c r="FM3" s="1780"/>
      <c r="FN3" s="1780"/>
      <c r="FO3" s="1780"/>
      <c r="FP3" s="1791" t="s">
        <v>204</v>
      </c>
      <c r="FQ3" s="1791"/>
      <c r="FR3" s="1791"/>
      <c r="FS3" s="1791"/>
      <c r="FT3" s="1791"/>
      <c r="FU3" s="952">
        <f>AVERAGE(FC35,FH35,FM35,FR35)</f>
        <v>0.84692886068341444</v>
      </c>
      <c r="FV3" s="1830" t="s">
        <v>500</v>
      </c>
      <c r="FW3" s="1830"/>
      <c r="FX3" s="1846"/>
      <c r="FY3" s="1829" t="s">
        <v>205</v>
      </c>
      <c r="FZ3" s="1780"/>
      <c r="GA3" s="1780"/>
      <c r="GB3" s="1780"/>
      <c r="GC3" s="1780"/>
      <c r="GD3" s="1791" t="s">
        <v>206</v>
      </c>
      <c r="GE3" s="1791"/>
      <c r="GF3" s="1791"/>
      <c r="GG3" s="1791"/>
      <c r="GH3" s="1791"/>
      <c r="GI3" s="1780" t="s">
        <v>207</v>
      </c>
      <c r="GJ3" s="1780"/>
      <c r="GK3" s="1780"/>
      <c r="GL3" s="1780"/>
      <c r="GM3" s="1780"/>
      <c r="GN3" s="1791" t="s">
        <v>208</v>
      </c>
      <c r="GO3" s="1791"/>
      <c r="GP3" s="1791"/>
      <c r="GQ3" s="1791"/>
      <c r="GR3" s="1791"/>
      <c r="GS3" s="953">
        <f>AVERAGE(GA35,GF35,GK35,GP35)</f>
        <v>0.82477526448609451</v>
      </c>
      <c r="GT3" s="1828" t="s">
        <v>501</v>
      </c>
      <c r="GU3" s="1828"/>
      <c r="GV3" s="1847"/>
      <c r="GW3" s="1829" t="s">
        <v>209</v>
      </c>
      <c r="GX3" s="1780"/>
      <c r="GY3" s="1780"/>
      <c r="GZ3" s="1780"/>
      <c r="HA3" s="1780"/>
      <c r="HB3" s="1791" t="s">
        <v>210</v>
      </c>
      <c r="HC3" s="1791"/>
      <c r="HD3" s="1791"/>
      <c r="HE3" s="1791"/>
      <c r="HF3" s="1791"/>
      <c r="HG3" s="1780" t="s">
        <v>211</v>
      </c>
      <c r="HH3" s="1780"/>
      <c r="HI3" s="1780"/>
      <c r="HJ3" s="1780"/>
      <c r="HK3" s="1780"/>
      <c r="HL3" s="1791" t="s">
        <v>212</v>
      </c>
      <c r="HM3" s="1791"/>
      <c r="HN3" s="1791"/>
      <c r="HO3" s="1791"/>
      <c r="HP3" s="1791"/>
      <c r="HQ3" s="1780" t="s">
        <v>213</v>
      </c>
      <c r="HR3" s="1780"/>
      <c r="HS3" s="1780"/>
      <c r="HT3" s="1780"/>
      <c r="HU3" s="1780"/>
      <c r="HV3" s="952">
        <f>AVERAGE(GY35,HD35,HI35,HN35,HS35)</f>
        <v>0.79461826585195716</v>
      </c>
      <c r="HW3" s="1856" t="s">
        <v>502</v>
      </c>
      <c r="HX3" s="1856"/>
      <c r="HY3" s="1857"/>
      <c r="HZ3" s="1829" t="s">
        <v>214</v>
      </c>
      <c r="IA3" s="1780"/>
      <c r="IB3" s="1780"/>
      <c r="IC3" s="1780"/>
      <c r="ID3" s="1780"/>
      <c r="IE3" s="1791" t="s">
        <v>215</v>
      </c>
      <c r="IF3" s="1791"/>
      <c r="IG3" s="1791"/>
      <c r="IH3" s="1791"/>
      <c r="II3" s="1791"/>
      <c r="IJ3" s="1829" t="s">
        <v>216</v>
      </c>
      <c r="IK3" s="1780"/>
      <c r="IL3" s="1780"/>
      <c r="IM3" s="1780"/>
      <c r="IN3" s="1780"/>
      <c r="IO3" s="1791" t="s">
        <v>217</v>
      </c>
      <c r="IP3" s="1791"/>
      <c r="IQ3" s="1791"/>
      <c r="IR3" s="1791"/>
      <c r="IS3" s="1791"/>
      <c r="IT3" s="953">
        <f>AVERAGE(IB35,IG35,IL35,IQ35)</f>
        <v>0.8272751580942812</v>
      </c>
      <c r="IU3" s="1859" t="s">
        <v>503</v>
      </c>
      <c r="IV3" s="1859"/>
      <c r="IW3" s="1860"/>
      <c r="IX3" s="1829" t="s">
        <v>218</v>
      </c>
      <c r="IY3" s="1780"/>
      <c r="IZ3" s="1780"/>
      <c r="JA3" s="1780"/>
      <c r="JB3" s="1780"/>
      <c r="JC3" s="1791" t="s">
        <v>219</v>
      </c>
      <c r="JD3" s="1791"/>
      <c r="JE3" s="1791"/>
      <c r="JF3" s="1791"/>
      <c r="JG3" s="1791"/>
      <c r="JH3" s="1829" t="s">
        <v>220</v>
      </c>
      <c r="JI3" s="1780"/>
      <c r="JJ3" s="1780"/>
      <c r="JK3" s="1780"/>
      <c r="JL3" s="1780"/>
      <c r="JM3" s="1791" t="s">
        <v>221</v>
      </c>
      <c r="JN3" s="1791"/>
      <c r="JO3" s="1791"/>
      <c r="JP3" s="1791"/>
      <c r="JQ3" s="1791"/>
      <c r="JR3" s="1560"/>
      <c r="JS3" s="952">
        <f>AVERAGE(IZ35,JE35,JJ35,JO35)</f>
        <v>0.90217239802489813</v>
      </c>
      <c r="JT3" s="1856" t="s">
        <v>504</v>
      </c>
      <c r="JU3" s="1856"/>
      <c r="JV3" s="1857"/>
      <c r="JW3" s="1863" t="s">
        <v>222</v>
      </c>
      <c r="JX3" s="1864"/>
      <c r="JY3" s="1864"/>
      <c r="JZ3" s="1864"/>
      <c r="KA3" s="1864"/>
      <c r="KB3" s="1865" t="s">
        <v>223</v>
      </c>
      <c r="KC3" s="1865"/>
      <c r="KD3" s="1865"/>
      <c r="KE3" s="1865"/>
      <c r="KF3" s="1865"/>
      <c r="KG3" s="1863" t="s">
        <v>224</v>
      </c>
      <c r="KH3" s="1864"/>
      <c r="KI3" s="1864"/>
      <c r="KJ3" s="1864"/>
      <c r="KK3" s="1864"/>
      <c r="KL3" s="1865" t="s">
        <v>225</v>
      </c>
      <c r="KM3" s="1865"/>
      <c r="KN3" s="1865"/>
      <c r="KO3" s="1865"/>
      <c r="KP3" s="1865"/>
      <c r="KQ3" s="1863" t="s">
        <v>226</v>
      </c>
      <c r="KR3" s="1864"/>
      <c r="KS3" s="1864"/>
      <c r="KT3" s="1864"/>
      <c r="KU3" s="1864"/>
      <c r="KV3" s="1572">
        <f>AVERAGE(JY35,KD35,KI35,KN35,KS35)</f>
        <v>0.95962035322184069</v>
      </c>
      <c r="KW3" s="1858" t="s">
        <v>505</v>
      </c>
      <c r="KX3" s="1858"/>
      <c r="KY3" s="1858"/>
      <c r="KZ3" s="1817"/>
      <c r="LA3" s="1818"/>
      <c r="LB3" s="1818"/>
      <c r="LC3" s="1818"/>
      <c r="LD3" s="1818"/>
      <c r="LE3" s="1818"/>
      <c r="LF3" s="1819"/>
    </row>
    <row r="4" spans="1:318" s="644" customFormat="1" ht="15" customHeight="1">
      <c r="A4" s="643"/>
      <c r="B4" s="1837"/>
      <c r="C4" s="668" t="s">
        <v>62</v>
      </c>
      <c r="D4" s="1563" t="s">
        <v>63</v>
      </c>
      <c r="E4" s="1820" t="s">
        <v>506</v>
      </c>
      <c r="F4" s="1563" t="s">
        <v>62</v>
      </c>
      <c r="G4" s="1820" t="s">
        <v>507</v>
      </c>
      <c r="H4" s="1561" t="s">
        <v>62</v>
      </c>
      <c r="I4" s="1561" t="s">
        <v>63</v>
      </c>
      <c r="J4" s="1824" t="s">
        <v>506</v>
      </c>
      <c r="K4" s="1561" t="s">
        <v>62</v>
      </c>
      <c r="L4" s="1824" t="s">
        <v>507</v>
      </c>
      <c r="M4" s="1563" t="s">
        <v>62</v>
      </c>
      <c r="N4" s="1563" t="s">
        <v>63</v>
      </c>
      <c r="O4" s="1820" t="s">
        <v>506</v>
      </c>
      <c r="P4" s="1563" t="s">
        <v>62</v>
      </c>
      <c r="Q4" s="1820" t="s">
        <v>507</v>
      </c>
      <c r="R4" s="1561" t="s">
        <v>62</v>
      </c>
      <c r="S4" s="1561" t="s">
        <v>63</v>
      </c>
      <c r="T4" s="1824" t="s">
        <v>506</v>
      </c>
      <c r="U4" s="1561" t="s">
        <v>62</v>
      </c>
      <c r="V4" s="1824" t="s">
        <v>507</v>
      </c>
      <c r="W4" s="669" t="s">
        <v>63</v>
      </c>
      <c r="X4" s="669" t="s">
        <v>1</v>
      </c>
      <c r="Y4" s="669" t="s">
        <v>1</v>
      </c>
      <c r="Z4" s="670" t="s">
        <v>1</v>
      </c>
      <c r="AA4" s="668" t="s">
        <v>62</v>
      </c>
      <c r="AB4" s="1563" t="s">
        <v>63</v>
      </c>
      <c r="AC4" s="1820" t="s">
        <v>506</v>
      </c>
      <c r="AD4" s="1563" t="s">
        <v>62</v>
      </c>
      <c r="AE4" s="1820" t="s">
        <v>507</v>
      </c>
      <c r="AF4" s="1561" t="s">
        <v>62</v>
      </c>
      <c r="AG4" s="1561" t="s">
        <v>63</v>
      </c>
      <c r="AH4" s="1824" t="s">
        <v>506</v>
      </c>
      <c r="AI4" s="1561" t="s">
        <v>62</v>
      </c>
      <c r="AJ4" s="1824" t="s">
        <v>507</v>
      </c>
      <c r="AK4" s="1563" t="s">
        <v>62</v>
      </c>
      <c r="AL4" s="1563" t="s">
        <v>63</v>
      </c>
      <c r="AM4" s="1820" t="s">
        <v>506</v>
      </c>
      <c r="AN4" s="1563" t="s">
        <v>62</v>
      </c>
      <c r="AO4" s="1820" t="s">
        <v>507</v>
      </c>
      <c r="AP4" s="1561" t="s">
        <v>62</v>
      </c>
      <c r="AQ4" s="1561" t="s">
        <v>63</v>
      </c>
      <c r="AR4" s="1824" t="s">
        <v>506</v>
      </c>
      <c r="AS4" s="1561" t="s">
        <v>62</v>
      </c>
      <c r="AT4" s="1824" t="s">
        <v>507</v>
      </c>
      <c r="AU4" s="671" t="s">
        <v>63</v>
      </c>
      <c r="AV4" s="671" t="s">
        <v>1</v>
      </c>
      <c r="AW4" s="671" t="s">
        <v>1</v>
      </c>
      <c r="AX4" s="672" t="s">
        <v>1</v>
      </c>
      <c r="AY4" s="668" t="s">
        <v>62</v>
      </c>
      <c r="AZ4" s="1563" t="s">
        <v>63</v>
      </c>
      <c r="BA4" s="1820" t="s">
        <v>506</v>
      </c>
      <c r="BB4" s="1563" t="s">
        <v>62</v>
      </c>
      <c r="BC4" s="1820" t="s">
        <v>507</v>
      </c>
      <c r="BD4" s="1561" t="s">
        <v>62</v>
      </c>
      <c r="BE4" s="1561" t="s">
        <v>63</v>
      </c>
      <c r="BF4" s="1824" t="s">
        <v>506</v>
      </c>
      <c r="BG4" s="1561" t="s">
        <v>62</v>
      </c>
      <c r="BH4" s="1824" t="s">
        <v>507</v>
      </c>
      <c r="BI4" s="1563" t="s">
        <v>62</v>
      </c>
      <c r="BJ4" s="1563" t="s">
        <v>63</v>
      </c>
      <c r="BK4" s="1820" t="s">
        <v>506</v>
      </c>
      <c r="BL4" s="1563" t="s">
        <v>62</v>
      </c>
      <c r="BM4" s="1822" t="s">
        <v>507</v>
      </c>
      <c r="BN4" s="1561" t="s">
        <v>62</v>
      </c>
      <c r="BO4" s="1561" t="s">
        <v>63</v>
      </c>
      <c r="BP4" s="1824" t="s">
        <v>506</v>
      </c>
      <c r="BQ4" s="1561" t="s">
        <v>62</v>
      </c>
      <c r="BR4" s="1824" t="s">
        <v>507</v>
      </c>
      <c r="BS4" s="1563" t="s">
        <v>62</v>
      </c>
      <c r="BT4" s="1563" t="s">
        <v>63</v>
      </c>
      <c r="BU4" s="1820" t="s">
        <v>506</v>
      </c>
      <c r="BV4" s="1563" t="s">
        <v>62</v>
      </c>
      <c r="BW4" s="1822" t="s">
        <v>507</v>
      </c>
      <c r="BX4" s="669" t="s">
        <v>63</v>
      </c>
      <c r="BY4" s="669" t="s">
        <v>1</v>
      </c>
      <c r="BZ4" s="669" t="s">
        <v>1</v>
      </c>
      <c r="CA4" s="670" t="s">
        <v>1</v>
      </c>
      <c r="CB4" s="668" t="s">
        <v>62</v>
      </c>
      <c r="CC4" s="1563" t="s">
        <v>63</v>
      </c>
      <c r="CD4" s="1820" t="s">
        <v>506</v>
      </c>
      <c r="CE4" s="1563" t="s">
        <v>62</v>
      </c>
      <c r="CF4" s="1820" t="s">
        <v>507</v>
      </c>
      <c r="CG4" s="1561" t="s">
        <v>62</v>
      </c>
      <c r="CH4" s="1561" t="s">
        <v>63</v>
      </c>
      <c r="CI4" s="1824" t="s">
        <v>506</v>
      </c>
      <c r="CJ4" s="1561" t="s">
        <v>62</v>
      </c>
      <c r="CK4" s="1824" t="s">
        <v>507</v>
      </c>
      <c r="CL4" s="1563" t="s">
        <v>62</v>
      </c>
      <c r="CM4" s="1563" t="s">
        <v>63</v>
      </c>
      <c r="CN4" s="1820" t="s">
        <v>506</v>
      </c>
      <c r="CO4" s="1563" t="s">
        <v>62</v>
      </c>
      <c r="CP4" s="1820" t="s">
        <v>507</v>
      </c>
      <c r="CQ4" s="1561" t="s">
        <v>62</v>
      </c>
      <c r="CR4" s="1561" t="s">
        <v>63</v>
      </c>
      <c r="CS4" s="1824" t="s">
        <v>506</v>
      </c>
      <c r="CT4" s="1561" t="s">
        <v>62</v>
      </c>
      <c r="CU4" s="1824" t="s">
        <v>507</v>
      </c>
      <c r="CV4" s="671" t="s">
        <v>63</v>
      </c>
      <c r="CW4" s="671" t="s">
        <v>1</v>
      </c>
      <c r="CX4" s="671" t="s">
        <v>1</v>
      </c>
      <c r="CY4" s="672" t="s">
        <v>1</v>
      </c>
      <c r="CZ4" s="668" t="s">
        <v>62</v>
      </c>
      <c r="DA4" s="1563" t="s">
        <v>63</v>
      </c>
      <c r="DB4" s="1820" t="s">
        <v>506</v>
      </c>
      <c r="DC4" s="1563" t="s">
        <v>62</v>
      </c>
      <c r="DD4" s="1820" t="s">
        <v>507</v>
      </c>
      <c r="DE4" s="1561" t="s">
        <v>62</v>
      </c>
      <c r="DF4" s="1561" t="s">
        <v>63</v>
      </c>
      <c r="DG4" s="1824" t="s">
        <v>506</v>
      </c>
      <c r="DH4" s="1561" t="s">
        <v>62</v>
      </c>
      <c r="DI4" s="1824" t="s">
        <v>507</v>
      </c>
      <c r="DJ4" s="1563" t="s">
        <v>62</v>
      </c>
      <c r="DK4" s="1563" t="s">
        <v>63</v>
      </c>
      <c r="DL4" s="1820" t="s">
        <v>506</v>
      </c>
      <c r="DM4" s="1563" t="s">
        <v>62</v>
      </c>
      <c r="DN4" s="1820" t="s">
        <v>507</v>
      </c>
      <c r="DO4" s="1561" t="s">
        <v>62</v>
      </c>
      <c r="DP4" s="1561" t="s">
        <v>63</v>
      </c>
      <c r="DQ4" s="1824" t="s">
        <v>506</v>
      </c>
      <c r="DR4" s="1561" t="s">
        <v>62</v>
      </c>
      <c r="DS4" s="1824" t="s">
        <v>507</v>
      </c>
      <c r="DT4" s="669" t="s">
        <v>63</v>
      </c>
      <c r="DU4" s="669" t="s">
        <v>1</v>
      </c>
      <c r="DV4" s="669" t="s">
        <v>1</v>
      </c>
      <c r="DW4" s="670" t="s">
        <v>1</v>
      </c>
      <c r="DX4" s="668" t="s">
        <v>62</v>
      </c>
      <c r="DY4" s="1563" t="s">
        <v>63</v>
      </c>
      <c r="DZ4" s="1822" t="s">
        <v>506</v>
      </c>
      <c r="EA4" s="1563" t="s">
        <v>62</v>
      </c>
      <c r="EB4" s="1822" t="s">
        <v>507</v>
      </c>
      <c r="EC4" s="1561" t="s">
        <v>62</v>
      </c>
      <c r="ED4" s="1561" t="s">
        <v>63</v>
      </c>
      <c r="EE4" s="1826" t="s">
        <v>506</v>
      </c>
      <c r="EF4" s="1561" t="s">
        <v>62</v>
      </c>
      <c r="EG4" s="1826" t="s">
        <v>507</v>
      </c>
      <c r="EH4" s="1563" t="s">
        <v>62</v>
      </c>
      <c r="EI4" s="1563" t="s">
        <v>63</v>
      </c>
      <c r="EJ4" s="1822" t="s">
        <v>506</v>
      </c>
      <c r="EK4" s="1563" t="s">
        <v>62</v>
      </c>
      <c r="EL4" s="1822" t="s">
        <v>507</v>
      </c>
      <c r="EM4" s="1561" t="s">
        <v>62</v>
      </c>
      <c r="EN4" s="1561" t="s">
        <v>63</v>
      </c>
      <c r="EO4" s="1826" t="s">
        <v>506</v>
      </c>
      <c r="EP4" s="1561" t="s">
        <v>62</v>
      </c>
      <c r="EQ4" s="1826" t="s">
        <v>507</v>
      </c>
      <c r="ER4" s="1563" t="s">
        <v>62</v>
      </c>
      <c r="ES4" s="1563" t="s">
        <v>63</v>
      </c>
      <c r="ET4" s="1822" t="s">
        <v>506</v>
      </c>
      <c r="EU4" s="1563" t="s">
        <v>62</v>
      </c>
      <c r="EV4" s="1822" t="s">
        <v>507</v>
      </c>
      <c r="EW4" s="805" t="s">
        <v>63</v>
      </c>
      <c r="EX4" s="805" t="s">
        <v>1</v>
      </c>
      <c r="EY4" s="805" t="s">
        <v>1</v>
      </c>
      <c r="EZ4" s="806" t="s">
        <v>1</v>
      </c>
      <c r="FA4" s="668" t="s">
        <v>62</v>
      </c>
      <c r="FB4" s="1563" t="s">
        <v>63</v>
      </c>
      <c r="FC4" s="1820" t="s">
        <v>506</v>
      </c>
      <c r="FD4" s="1563" t="s">
        <v>62</v>
      </c>
      <c r="FE4" s="1820" t="s">
        <v>507</v>
      </c>
      <c r="FF4" s="1561" t="s">
        <v>62</v>
      </c>
      <c r="FG4" s="1561" t="s">
        <v>63</v>
      </c>
      <c r="FH4" s="1824" t="s">
        <v>506</v>
      </c>
      <c r="FI4" s="1561" t="s">
        <v>62</v>
      </c>
      <c r="FJ4" s="1824" t="s">
        <v>507</v>
      </c>
      <c r="FK4" s="1563" t="s">
        <v>62</v>
      </c>
      <c r="FL4" s="1563" t="s">
        <v>63</v>
      </c>
      <c r="FM4" s="1820" t="s">
        <v>506</v>
      </c>
      <c r="FN4" s="1563" t="s">
        <v>62</v>
      </c>
      <c r="FO4" s="1820" t="s">
        <v>507</v>
      </c>
      <c r="FP4" s="1561" t="s">
        <v>62</v>
      </c>
      <c r="FQ4" s="1561" t="s">
        <v>63</v>
      </c>
      <c r="FR4" s="1824" t="s">
        <v>506</v>
      </c>
      <c r="FS4" s="1561" t="s">
        <v>62</v>
      </c>
      <c r="FT4" s="1824" t="s">
        <v>507</v>
      </c>
      <c r="FU4" s="669" t="s">
        <v>63</v>
      </c>
      <c r="FV4" s="669" t="s">
        <v>1</v>
      </c>
      <c r="FW4" s="669" t="s">
        <v>1</v>
      </c>
      <c r="FX4" s="670" t="s">
        <v>1</v>
      </c>
      <c r="FY4" s="668" t="s">
        <v>62</v>
      </c>
      <c r="FZ4" s="1563" t="s">
        <v>63</v>
      </c>
      <c r="GA4" s="1820" t="s">
        <v>506</v>
      </c>
      <c r="GB4" s="1563" t="s">
        <v>62</v>
      </c>
      <c r="GC4" s="1820" t="s">
        <v>507</v>
      </c>
      <c r="GD4" s="1561" t="s">
        <v>62</v>
      </c>
      <c r="GE4" s="1561" t="s">
        <v>63</v>
      </c>
      <c r="GF4" s="1824" t="s">
        <v>506</v>
      </c>
      <c r="GG4" s="1561" t="s">
        <v>62</v>
      </c>
      <c r="GH4" s="1824" t="s">
        <v>507</v>
      </c>
      <c r="GI4" s="1563" t="s">
        <v>62</v>
      </c>
      <c r="GJ4" s="1563" t="s">
        <v>63</v>
      </c>
      <c r="GK4" s="1820" t="s">
        <v>506</v>
      </c>
      <c r="GL4" s="1563" t="s">
        <v>62</v>
      </c>
      <c r="GM4" s="1822" t="s">
        <v>507</v>
      </c>
      <c r="GN4" s="1561" t="s">
        <v>62</v>
      </c>
      <c r="GO4" s="1561" t="s">
        <v>63</v>
      </c>
      <c r="GP4" s="1824" t="s">
        <v>506</v>
      </c>
      <c r="GQ4" s="1561" t="s">
        <v>62</v>
      </c>
      <c r="GR4" s="1824" t="s">
        <v>507</v>
      </c>
      <c r="GS4" s="671" t="s">
        <v>63</v>
      </c>
      <c r="GT4" s="671" t="s">
        <v>1</v>
      </c>
      <c r="GU4" s="671" t="s">
        <v>1</v>
      </c>
      <c r="GV4" s="672" t="s">
        <v>1</v>
      </c>
      <c r="GW4" s="668" t="s">
        <v>62</v>
      </c>
      <c r="GX4" s="1563" t="s">
        <v>63</v>
      </c>
      <c r="GY4" s="1820" t="s">
        <v>506</v>
      </c>
      <c r="GZ4" s="1563" t="s">
        <v>62</v>
      </c>
      <c r="HA4" s="1820" t="s">
        <v>507</v>
      </c>
      <c r="HB4" s="1561" t="s">
        <v>62</v>
      </c>
      <c r="HC4" s="1561" t="s">
        <v>63</v>
      </c>
      <c r="HD4" s="1824" t="s">
        <v>506</v>
      </c>
      <c r="HE4" s="1561" t="s">
        <v>62</v>
      </c>
      <c r="HF4" s="1824" t="s">
        <v>507</v>
      </c>
      <c r="HG4" s="1563" t="s">
        <v>62</v>
      </c>
      <c r="HH4" s="1563" t="s">
        <v>63</v>
      </c>
      <c r="HI4" s="1820" t="s">
        <v>506</v>
      </c>
      <c r="HJ4" s="1563" t="s">
        <v>62</v>
      </c>
      <c r="HK4" s="1822" t="s">
        <v>507</v>
      </c>
      <c r="HL4" s="1561" t="s">
        <v>62</v>
      </c>
      <c r="HM4" s="1561" t="s">
        <v>63</v>
      </c>
      <c r="HN4" s="1824" t="s">
        <v>506</v>
      </c>
      <c r="HO4" s="1561" t="s">
        <v>62</v>
      </c>
      <c r="HP4" s="1824" t="s">
        <v>507</v>
      </c>
      <c r="HQ4" s="1563" t="s">
        <v>62</v>
      </c>
      <c r="HR4" s="1563" t="s">
        <v>63</v>
      </c>
      <c r="HS4" s="1820" t="s">
        <v>506</v>
      </c>
      <c r="HT4" s="1563" t="s">
        <v>62</v>
      </c>
      <c r="HU4" s="1822" t="s">
        <v>507</v>
      </c>
      <c r="HV4" s="669" t="s">
        <v>63</v>
      </c>
      <c r="HW4" s="669" t="s">
        <v>1</v>
      </c>
      <c r="HX4" s="669" t="s">
        <v>1</v>
      </c>
      <c r="HY4" s="670" t="s">
        <v>1</v>
      </c>
      <c r="HZ4" s="668" t="s">
        <v>62</v>
      </c>
      <c r="IA4" s="1563" t="s">
        <v>63</v>
      </c>
      <c r="IB4" s="1820" t="s">
        <v>506</v>
      </c>
      <c r="IC4" s="1563" t="s">
        <v>62</v>
      </c>
      <c r="ID4" s="1820" t="s">
        <v>507</v>
      </c>
      <c r="IE4" s="1561" t="s">
        <v>62</v>
      </c>
      <c r="IF4" s="1561" t="s">
        <v>63</v>
      </c>
      <c r="IG4" s="1824" t="s">
        <v>506</v>
      </c>
      <c r="IH4" s="1561" t="s">
        <v>62</v>
      </c>
      <c r="II4" s="1824" t="s">
        <v>507</v>
      </c>
      <c r="IJ4" s="1563" t="s">
        <v>62</v>
      </c>
      <c r="IK4" s="1563" t="s">
        <v>63</v>
      </c>
      <c r="IL4" s="1820" t="s">
        <v>506</v>
      </c>
      <c r="IM4" s="1563" t="s">
        <v>62</v>
      </c>
      <c r="IN4" s="1822" t="s">
        <v>507</v>
      </c>
      <c r="IO4" s="1561" t="s">
        <v>62</v>
      </c>
      <c r="IP4" s="1561" t="s">
        <v>63</v>
      </c>
      <c r="IQ4" s="1824" t="s">
        <v>506</v>
      </c>
      <c r="IR4" s="1561" t="s">
        <v>62</v>
      </c>
      <c r="IS4" s="1824" t="s">
        <v>507</v>
      </c>
      <c r="IT4" s="671" t="s">
        <v>63</v>
      </c>
      <c r="IU4" s="671" t="s">
        <v>1</v>
      </c>
      <c r="IV4" s="671" t="s">
        <v>1</v>
      </c>
      <c r="IW4" s="672" t="s">
        <v>1</v>
      </c>
      <c r="IX4" s="668" t="s">
        <v>62</v>
      </c>
      <c r="IY4" s="1563" t="s">
        <v>63</v>
      </c>
      <c r="IZ4" s="1820" t="s">
        <v>506</v>
      </c>
      <c r="JA4" s="1563" t="s">
        <v>62</v>
      </c>
      <c r="JB4" s="1820" t="s">
        <v>507</v>
      </c>
      <c r="JC4" s="1561" t="s">
        <v>62</v>
      </c>
      <c r="JD4" s="1561" t="s">
        <v>63</v>
      </c>
      <c r="JE4" s="1824" t="s">
        <v>506</v>
      </c>
      <c r="JF4" s="1561" t="s">
        <v>62</v>
      </c>
      <c r="JG4" s="1824" t="s">
        <v>507</v>
      </c>
      <c r="JH4" s="1563" t="s">
        <v>62</v>
      </c>
      <c r="JI4" s="1563" t="s">
        <v>63</v>
      </c>
      <c r="JJ4" s="1820" t="s">
        <v>506</v>
      </c>
      <c r="JK4" s="1563" t="s">
        <v>62</v>
      </c>
      <c r="JL4" s="1820" t="s">
        <v>507</v>
      </c>
      <c r="JM4" s="1561" t="s">
        <v>62</v>
      </c>
      <c r="JN4" s="1561" t="s">
        <v>63</v>
      </c>
      <c r="JO4" s="1824" t="s">
        <v>506</v>
      </c>
      <c r="JP4" s="1561" t="s">
        <v>62</v>
      </c>
      <c r="JQ4" s="1824" t="s">
        <v>507</v>
      </c>
      <c r="JR4" s="1824" t="s">
        <v>507</v>
      </c>
      <c r="JS4" s="669" t="s">
        <v>63</v>
      </c>
      <c r="JT4" s="669" t="s">
        <v>1</v>
      </c>
      <c r="JU4" s="669" t="s">
        <v>1</v>
      </c>
      <c r="JV4" s="670" t="s">
        <v>1</v>
      </c>
      <c r="JW4" s="668" t="s">
        <v>62</v>
      </c>
      <c r="JX4" s="1563" t="s">
        <v>63</v>
      </c>
      <c r="JY4" s="1820" t="s">
        <v>506</v>
      </c>
      <c r="JZ4" s="1563" t="s">
        <v>62</v>
      </c>
      <c r="KA4" s="1820" t="s">
        <v>507</v>
      </c>
      <c r="KB4" s="1561" t="s">
        <v>62</v>
      </c>
      <c r="KC4" s="1561" t="s">
        <v>63</v>
      </c>
      <c r="KD4" s="1824" t="s">
        <v>506</v>
      </c>
      <c r="KE4" s="1561" t="s">
        <v>62</v>
      </c>
      <c r="KF4" s="1824" t="s">
        <v>507</v>
      </c>
      <c r="KG4" s="1563" t="s">
        <v>62</v>
      </c>
      <c r="KH4" s="1563" t="s">
        <v>63</v>
      </c>
      <c r="KI4" s="1820" t="s">
        <v>506</v>
      </c>
      <c r="KJ4" s="1563" t="s">
        <v>62</v>
      </c>
      <c r="KK4" s="1822" t="s">
        <v>507</v>
      </c>
      <c r="KL4" s="1561" t="s">
        <v>62</v>
      </c>
      <c r="KM4" s="1561" t="s">
        <v>63</v>
      </c>
      <c r="KN4" s="1824" t="s">
        <v>506</v>
      </c>
      <c r="KO4" s="1561" t="s">
        <v>62</v>
      </c>
      <c r="KP4" s="1824" t="s">
        <v>507</v>
      </c>
      <c r="KQ4" s="1563" t="s">
        <v>62</v>
      </c>
      <c r="KR4" s="1563" t="s">
        <v>63</v>
      </c>
      <c r="KS4" s="1820" t="s">
        <v>506</v>
      </c>
      <c r="KT4" s="1563" t="s">
        <v>62</v>
      </c>
      <c r="KU4" s="1822" t="s">
        <v>507</v>
      </c>
      <c r="KV4" s="671" t="s">
        <v>63</v>
      </c>
      <c r="KW4" s="671" t="s">
        <v>1</v>
      </c>
      <c r="KX4" s="671" t="s">
        <v>1</v>
      </c>
      <c r="KY4" s="673" t="s">
        <v>1</v>
      </c>
      <c r="KZ4" s="1843" t="s">
        <v>508</v>
      </c>
      <c r="LA4" s="1844" t="s">
        <v>509</v>
      </c>
      <c r="LB4" s="1839" t="s">
        <v>510</v>
      </c>
      <c r="LC4" s="1839" t="s">
        <v>68</v>
      </c>
      <c r="LD4" s="1839" t="s">
        <v>511</v>
      </c>
      <c r="LE4" s="1839" t="s">
        <v>300</v>
      </c>
      <c r="LF4" s="1812" t="s">
        <v>512</v>
      </c>
    </row>
    <row r="5" spans="1:318" s="644" customFormat="1" ht="15.75" customHeight="1">
      <c r="A5" s="643"/>
      <c r="B5" s="1838"/>
      <c r="C5" s="674">
        <v>2019</v>
      </c>
      <c r="D5" s="1564">
        <v>2020</v>
      </c>
      <c r="E5" s="1821"/>
      <c r="F5" s="1564">
        <v>2021</v>
      </c>
      <c r="G5" s="1821"/>
      <c r="H5" s="1562">
        <v>2019</v>
      </c>
      <c r="I5" s="1562">
        <v>2020</v>
      </c>
      <c r="J5" s="1825"/>
      <c r="K5" s="1562">
        <v>2021</v>
      </c>
      <c r="L5" s="1825"/>
      <c r="M5" s="1564">
        <v>2019</v>
      </c>
      <c r="N5" s="1564">
        <v>2020</v>
      </c>
      <c r="O5" s="1821"/>
      <c r="P5" s="1564">
        <v>2021</v>
      </c>
      <c r="Q5" s="1821"/>
      <c r="R5" s="1562">
        <v>2019</v>
      </c>
      <c r="S5" s="1562">
        <v>2020</v>
      </c>
      <c r="T5" s="1825"/>
      <c r="U5" s="1562">
        <v>2021</v>
      </c>
      <c r="V5" s="1825"/>
      <c r="W5" s="675">
        <v>2021</v>
      </c>
      <c r="X5" s="675">
        <v>2019</v>
      </c>
      <c r="Y5" s="675">
        <v>2021</v>
      </c>
      <c r="Z5" s="676" t="s">
        <v>5</v>
      </c>
      <c r="AA5" s="674">
        <v>2019</v>
      </c>
      <c r="AB5" s="1564">
        <v>2020</v>
      </c>
      <c r="AC5" s="1821"/>
      <c r="AD5" s="1564">
        <v>2021</v>
      </c>
      <c r="AE5" s="1821"/>
      <c r="AF5" s="1562">
        <v>2019</v>
      </c>
      <c r="AG5" s="1562">
        <v>2020</v>
      </c>
      <c r="AH5" s="1825"/>
      <c r="AI5" s="1562">
        <v>2021</v>
      </c>
      <c r="AJ5" s="1825"/>
      <c r="AK5" s="1564">
        <v>2019</v>
      </c>
      <c r="AL5" s="1564">
        <v>2020</v>
      </c>
      <c r="AM5" s="1821"/>
      <c r="AN5" s="1564">
        <v>2021</v>
      </c>
      <c r="AO5" s="1821"/>
      <c r="AP5" s="1562">
        <v>2019</v>
      </c>
      <c r="AQ5" s="1562">
        <v>2020</v>
      </c>
      <c r="AR5" s="1825"/>
      <c r="AS5" s="1562">
        <v>2021</v>
      </c>
      <c r="AT5" s="1825"/>
      <c r="AU5" s="677">
        <v>2021</v>
      </c>
      <c r="AV5" s="677">
        <v>2019</v>
      </c>
      <c r="AW5" s="677">
        <v>2021</v>
      </c>
      <c r="AX5" s="678" t="s">
        <v>5</v>
      </c>
      <c r="AY5" s="674">
        <v>2019</v>
      </c>
      <c r="AZ5" s="1564">
        <v>2020</v>
      </c>
      <c r="BA5" s="1821"/>
      <c r="BB5" s="1564">
        <v>2021</v>
      </c>
      <c r="BC5" s="1821"/>
      <c r="BD5" s="1562">
        <v>2019</v>
      </c>
      <c r="BE5" s="1562">
        <v>2020</v>
      </c>
      <c r="BF5" s="1825"/>
      <c r="BG5" s="1562">
        <v>2021</v>
      </c>
      <c r="BH5" s="1825"/>
      <c r="BI5" s="1564">
        <v>2019</v>
      </c>
      <c r="BJ5" s="1564">
        <v>2020</v>
      </c>
      <c r="BK5" s="1821"/>
      <c r="BL5" s="1564">
        <v>2021</v>
      </c>
      <c r="BM5" s="1823"/>
      <c r="BN5" s="1562">
        <v>2019</v>
      </c>
      <c r="BO5" s="1562">
        <v>2020</v>
      </c>
      <c r="BP5" s="1825"/>
      <c r="BQ5" s="1562">
        <v>2021</v>
      </c>
      <c r="BR5" s="1825"/>
      <c r="BS5" s="1564">
        <v>2019</v>
      </c>
      <c r="BT5" s="1564">
        <v>2020</v>
      </c>
      <c r="BU5" s="1821"/>
      <c r="BV5" s="1564">
        <v>2021</v>
      </c>
      <c r="BW5" s="1823"/>
      <c r="BX5" s="675">
        <v>2021</v>
      </c>
      <c r="BY5" s="675">
        <v>2019</v>
      </c>
      <c r="BZ5" s="675">
        <v>2021</v>
      </c>
      <c r="CA5" s="676" t="s">
        <v>5</v>
      </c>
      <c r="CB5" s="674">
        <v>2019</v>
      </c>
      <c r="CC5" s="1564">
        <v>2021</v>
      </c>
      <c r="CD5" s="1821"/>
      <c r="CE5" s="1564">
        <v>2021</v>
      </c>
      <c r="CF5" s="1821"/>
      <c r="CG5" s="1562">
        <v>2019</v>
      </c>
      <c r="CH5" s="1562">
        <v>2021</v>
      </c>
      <c r="CI5" s="1825"/>
      <c r="CJ5" s="1562">
        <v>2021</v>
      </c>
      <c r="CK5" s="1825"/>
      <c r="CL5" s="1564">
        <v>2019</v>
      </c>
      <c r="CM5" s="1564">
        <v>2021</v>
      </c>
      <c r="CN5" s="1821"/>
      <c r="CO5" s="1564">
        <v>2021</v>
      </c>
      <c r="CP5" s="1821"/>
      <c r="CQ5" s="1562">
        <v>2019</v>
      </c>
      <c r="CR5" s="1562">
        <v>2021</v>
      </c>
      <c r="CS5" s="1825"/>
      <c r="CT5" s="1562">
        <v>2021</v>
      </c>
      <c r="CU5" s="1825"/>
      <c r="CV5" s="677">
        <v>2021</v>
      </c>
      <c r="CW5" s="677">
        <v>2019</v>
      </c>
      <c r="CX5" s="677">
        <v>2021</v>
      </c>
      <c r="CY5" s="678" t="s">
        <v>5</v>
      </c>
      <c r="CZ5" s="674">
        <v>2019</v>
      </c>
      <c r="DA5" s="1564">
        <v>2021</v>
      </c>
      <c r="DB5" s="1821"/>
      <c r="DC5" s="1564">
        <v>2021</v>
      </c>
      <c r="DD5" s="1821"/>
      <c r="DE5" s="1562">
        <v>2019</v>
      </c>
      <c r="DF5" s="1562">
        <v>2021</v>
      </c>
      <c r="DG5" s="1825"/>
      <c r="DH5" s="1562">
        <v>2021</v>
      </c>
      <c r="DI5" s="1825"/>
      <c r="DJ5" s="1564">
        <v>2019</v>
      </c>
      <c r="DK5" s="1564">
        <v>2021</v>
      </c>
      <c r="DL5" s="1821"/>
      <c r="DM5" s="1564">
        <v>2021</v>
      </c>
      <c r="DN5" s="1821"/>
      <c r="DO5" s="1562">
        <v>2019</v>
      </c>
      <c r="DP5" s="1562">
        <v>2020</v>
      </c>
      <c r="DQ5" s="1825"/>
      <c r="DR5" s="1562">
        <v>2021</v>
      </c>
      <c r="DS5" s="1825"/>
      <c r="DT5" s="675">
        <v>2021</v>
      </c>
      <c r="DU5" s="675">
        <v>2019</v>
      </c>
      <c r="DV5" s="675">
        <v>2021</v>
      </c>
      <c r="DW5" s="676" t="s">
        <v>5</v>
      </c>
      <c r="DX5" s="674">
        <v>2019</v>
      </c>
      <c r="DY5" s="1564">
        <v>2021</v>
      </c>
      <c r="DZ5" s="1823"/>
      <c r="EA5" s="1564">
        <v>2021</v>
      </c>
      <c r="EB5" s="1823"/>
      <c r="EC5" s="1562">
        <v>2019</v>
      </c>
      <c r="ED5" s="1562">
        <v>2021</v>
      </c>
      <c r="EE5" s="1827"/>
      <c r="EF5" s="1562">
        <v>2021</v>
      </c>
      <c r="EG5" s="1827"/>
      <c r="EH5" s="1564">
        <v>2019</v>
      </c>
      <c r="EI5" s="1564">
        <v>2020</v>
      </c>
      <c r="EJ5" s="1823"/>
      <c r="EK5" s="1564">
        <v>2021</v>
      </c>
      <c r="EL5" s="1823"/>
      <c r="EM5" s="1562">
        <v>2019</v>
      </c>
      <c r="EN5" s="1562">
        <v>2020</v>
      </c>
      <c r="EO5" s="1827"/>
      <c r="EP5" s="1562">
        <v>2021</v>
      </c>
      <c r="EQ5" s="1827"/>
      <c r="ER5" s="1564">
        <v>2019</v>
      </c>
      <c r="ES5" s="1564">
        <v>2021</v>
      </c>
      <c r="ET5" s="1823"/>
      <c r="EU5" s="1564">
        <v>2021</v>
      </c>
      <c r="EV5" s="1823"/>
      <c r="EW5" s="955">
        <v>2021</v>
      </c>
      <c r="EX5" s="955">
        <v>2019</v>
      </c>
      <c r="EY5" s="955">
        <v>2021</v>
      </c>
      <c r="EZ5" s="678" t="s">
        <v>5</v>
      </c>
      <c r="FA5" s="674">
        <v>2019</v>
      </c>
      <c r="FB5" s="1564">
        <v>2021</v>
      </c>
      <c r="FC5" s="1821"/>
      <c r="FD5" s="1564">
        <v>2021</v>
      </c>
      <c r="FE5" s="1821"/>
      <c r="FF5" s="1562">
        <v>2019</v>
      </c>
      <c r="FG5" s="1562">
        <v>2021</v>
      </c>
      <c r="FH5" s="1825"/>
      <c r="FI5" s="1562">
        <v>2021</v>
      </c>
      <c r="FJ5" s="1825"/>
      <c r="FK5" s="1564">
        <v>2019</v>
      </c>
      <c r="FL5" s="1564">
        <v>2021</v>
      </c>
      <c r="FM5" s="1821"/>
      <c r="FN5" s="1564">
        <v>2021</v>
      </c>
      <c r="FO5" s="1821"/>
      <c r="FP5" s="1562">
        <v>2019</v>
      </c>
      <c r="FQ5" s="1562">
        <v>2021</v>
      </c>
      <c r="FR5" s="1825"/>
      <c r="FS5" s="1562">
        <v>2021</v>
      </c>
      <c r="FT5" s="1825"/>
      <c r="FU5" s="675">
        <v>2021</v>
      </c>
      <c r="FV5" s="675">
        <v>2019</v>
      </c>
      <c r="FW5" s="675">
        <v>2021</v>
      </c>
      <c r="FX5" s="676" t="s">
        <v>5</v>
      </c>
      <c r="FY5" s="674">
        <v>2019</v>
      </c>
      <c r="FZ5" s="1564">
        <v>2020</v>
      </c>
      <c r="GA5" s="1821"/>
      <c r="GB5" s="1564">
        <v>2020</v>
      </c>
      <c r="GC5" s="1821"/>
      <c r="GD5" s="1562">
        <v>2019</v>
      </c>
      <c r="GE5" s="1562">
        <v>2021</v>
      </c>
      <c r="GF5" s="1825"/>
      <c r="GG5" s="1562">
        <v>2021</v>
      </c>
      <c r="GH5" s="1825"/>
      <c r="GI5" s="1564">
        <v>2019</v>
      </c>
      <c r="GJ5" s="1564">
        <v>2021</v>
      </c>
      <c r="GK5" s="1821"/>
      <c r="GL5" s="1564">
        <v>2021</v>
      </c>
      <c r="GM5" s="1823"/>
      <c r="GN5" s="1562">
        <v>2019</v>
      </c>
      <c r="GO5" s="1562">
        <v>2021</v>
      </c>
      <c r="GP5" s="1825"/>
      <c r="GQ5" s="1562">
        <v>2021</v>
      </c>
      <c r="GR5" s="1825"/>
      <c r="GS5" s="677">
        <v>2021</v>
      </c>
      <c r="GT5" s="677">
        <v>2019</v>
      </c>
      <c r="GU5" s="677">
        <v>2021</v>
      </c>
      <c r="GV5" s="678" t="s">
        <v>5</v>
      </c>
      <c r="GW5" s="674">
        <v>2019</v>
      </c>
      <c r="GX5" s="1564">
        <v>2021</v>
      </c>
      <c r="GY5" s="1821"/>
      <c r="GZ5" s="1564">
        <v>2021</v>
      </c>
      <c r="HA5" s="1821"/>
      <c r="HB5" s="1562">
        <v>2019</v>
      </c>
      <c r="HC5" s="1562">
        <v>2021</v>
      </c>
      <c r="HD5" s="1825"/>
      <c r="HE5" s="1562">
        <v>2021</v>
      </c>
      <c r="HF5" s="1825"/>
      <c r="HG5" s="1564">
        <v>2019</v>
      </c>
      <c r="HH5" s="1564">
        <v>2021</v>
      </c>
      <c r="HI5" s="1821"/>
      <c r="HJ5" s="1564">
        <v>2021</v>
      </c>
      <c r="HK5" s="1823"/>
      <c r="HL5" s="1562">
        <v>2019</v>
      </c>
      <c r="HM5" s="1562">
        <v>2021</v>
      </c>
      <c r="HN5" s="1825"/>
      <c r="HO5" s="1562">
        <v>2021</v>
      </c>
      <c r="HP5" s="1825"/>
      <c r="HQ5" s="1564">
        <v>2019</v>
      </c>
      <c r="HR5" s="1564">
        <v>2020</v>
      </c>
      <c r="HS5" s="1821"/>
      <c r="HT5" s="1564">
        <v>2021</v>
      </c>
      <c r="HU5" s="1823"/>
      <c r="HV5" s="675">
        <v>2021</v>
      </c>
      <c r="HW5" s="675">
        <v>2019</v>
      </c>
      <c r="HX5" s="675">
        <v>2021</v>
      </c>
      <c r="HY5" s="676" t="s">
        <v>5</v>
      </c>
      <c r="HZ5" s="674">
        <v>2019</v>
      </c>
      <c r="IA5" s="1564">
        <v>2021</v>
      </c>
      <c r="IB5" s="1821"/>
      <c r="IC5" s="1564">
        <v>2021</v>
      </c>
      <c r="ID5" s="1821"/>
      <c r="IE5" s="1562">
        <v>2019</v>
      </c>
      <c r="IF5" s="1562">
        <v>2021</v>
      </c>
      <c r="IG5" s="1825"/>
      <c r="IH5" s="1562">
        <v>2021</v>
      </c>
      <c r="II5" s="1825"/>
      <c r="IJ5" s="1564">
        <v>2019</v>
      </c>
      <c r="IK5" s="1564">
        <v>2021</v>
      </c>
      <c r="IL5" s="1821"/>
      <c r="IM5" s="1564">
        <v>2021</v>
      </c>
      <c r="IN5" s="1823"/>
      <c r="IO5" s="1562">
        <v>2019</v>
      </c>
      <c r="IP5" s="1562">
        <v>2021</v>
      </c>
      <c r="IQ5" s="1825"/>
      <c r="IR5" s="1562">
        <v>2021</v>
      </c>
      <c r="IS5" s="1825"/>
      <c r="IT5" s="677">
        <v>2021</v>
      </c>
      <c r="IU5" s="677">
        <v>2019</v>
      </c>
      <c r="IV5" s="677">
        <v>2021</v>
      </c>
      <c r="IW5" s="678" t="s">
        <v>5</v>
      </c>
      <c r="IX5" s="674">
        <v>2019</v>
      </c>
      <c r="IY5" s="1564">
        <v>2021</v>
      </c>
      <c r="IZ5" s="1821"/>
      <c r="JA5" s="1564">
        <v>2021</v>
      </c>
      <c r="JB5" s="1821"/>
      <c r="JC5" s="1562">
        <v>2019</v>
      </c>
      <c r="JD5" s="1562">
        <v>2021</v>
      </c>
      <c r="JE5" s="1825"/>
      <c r="JF5" s="1562">
        <v>2021</v>
      </c>
      <c r="JG5" s="1825"/>
      <c r="JH5" s="1564">
        <v>2019</v>
      </c>
      <c r="JI5" s="1564">
        <v>2021</v>
      </c>
      <c r="JJ5" s="1821"/>
      <c r="JK5" s="1564">
        <v>2021</v>
      </c>
      <c r="JL5" s="1821"/>
      <c r="JM5" s="1562">
        <v>2019</v>
      </c>
      <c r="JN5" s="1562">
        <v>2021</v>
      </c>
      <c r="JO5" s="1825"/>
      <c r="JP5" s="1562">
        <v>2021</v>
      </c>
      <c r="JQ5" s="1825"/>
      <c r="JR5" s="1825"/>
      <c r="JS5" s="675">
        <v>2021</v>
      </c>
      <c r="JT5" s="675">
        <v>2019</v>
      </c>
      <c r="JU5" s="675">
        <v>2021</v>
      </c>
      <c r="JV5" s="676" t="s">
        <v>5</v>
      </c>
      <c r="JW5" s="674">
        <v>2019</v>
      </c>
      <c r="JX5" s="1564">
        <v>2021</v>
      </c>
      <c r="JY5" s="1821"/>
      <c r="JZ5" s="1564">
        <v>2021</v>
      </c>
      <c r="KA5" s="1821"/>
      <c r="KB5" s="1562">
        <v>2019</v>
      </c>
      <c r="KC5" s="1562">
        <v>2021</v>
      </c>
      <c r="KD5" s="1825"/>
      <c r="KE5" s="1562">
        <v>2021</v>
      </c>
      <c r="KF5" s="1825"/>
      <c r="KG5" s="1564">
        <v>2019</v>
      </c>
      <c r="KH5" s="1564">
        <v>2021</v>
      </c>
      <c r="KI5" s="1821"/>
      <c r="KJ5" s="1564">
        <v>2021</v>
      </c>
      <c r="KK5" s="1823"/>
      <c r="KL5" s="1562">
        <v>2019</v>
      </c>
      <c r="KM5" s="1562">
        <v>2021</v>
      </c>
      <c r="KN5" s="1841"/>
      <c r="KO5" s="1562">
        <v>2021</v>
      </c>
      <c r="KP5" s="1825"/>
      <c r="KQ5" s="1564">
        <v>2019</v>
      </c>
      <c r="KR5" s="1564">
        <v>2021</v>
      </c>
      <c r="KS5" s="1842"/>
      <c r="KT5" s="1564">
        <v>2021</v>
      </c>
      <c r="KU5" s="1823"/>
      <c r="KV5" s="677">
        <v>2021</v>
      </c>
      <c r="KW5" s="677">
        <v>2019</v>
      </c>
      <c r="KX5" s="677">
        <v>2021</v>
      </c>
      <c r="KY5" s="679" t="s">
        <v>5</v>
      </c>
      <c r="KZ5" s="1840"/>
      <c r="LA5" s="1845"/>
      <c r="LB5" s="1840"/>
      <c r="LC5" s="1840"/>
      <c r="LD5" s="1840"/>
      <c r="LE5" s="1840"/>
      <c r="LF5" s="1813"/>
    </row>
    <row r="6" spans="1:318" outlineLevel="1">
      <c r="A6" s="1495"/>
      <c r="B6" s="686" t="s">
        <v>469</v>
      </c>
      <c r="C6" s="645">
        <v>79409.39</v>
      </c>
      <c r="D6" s="639">
        <v>83379.86</v>
      </c>
      <c r="E6" s="633">
        <v>1.05</v>
      </c>
      <c r="F6" s="635">
        <v>62517.27</v>
      </c>
      <c r="G6" s="636">
        <f>F6/C6</f>
        <v>0.78727805364075953</v>
      </c>
      <c r="H6" s="639">
        <v>65453.27</v>
      </c>
      <c r="I6" s="639">
        <v>68725.94</v>
      </c>
      <c r="J6" s="633">
        <v>1.05</v>
      </c>
      <c r="K6" s="635">
        <v>47598.84</v>
      </c>
      <c r="L6" s="636">
        <f>K6/H6</f>
        <v>0.72721867066381862</v>
      </c>
      <c r="M6" s="639">
        <v>53232.959999999999</v>
      </c>
      <c r="N6" s="639">
        <v>55894.61</v>
      </c>
      <c r="O6" s="633">
        <v>1.05</v>
      </c>
      <c r="P6" s="635">
        <v>51830.51</v>
      </c>
      <c r="Q6" s="636">
        <f>P6/M6</f>
        <v>0.97365448023179635</v>
      </c>
      <c r="R6" s="639">
        <v>59990.86</v>
      </c>
      <c r="S6" s="639">
        <v>62990.400000000001</v>
      </c>
      <c r="T6" s="633">
        <v>1.05</v>
      </c>
      <c r="U6" s="635">
        <v>52299.79</v>
      </c>
      <c r="V6" s="636">
        <f>U6/R6</f>
        <v>0.87179597025280187</v>
      </c>
      <c r="W6" s="639">
        <f t="shared" ref="W6:W16" si="0">D6+I6+N6+S6</f>
        <v>270990.81</v>
      </c>
      <c r="X6" s="639">
        <f t="shared" ref="X6:X16" si="1">C6+H6+M6+R6</f>
        <v>258086.47999999998</v>
      </c>
      <c r="Y6" s="666">
        <f>F6+K6+P6+U6</f>
        <v>214246.41</v>
      </c>
      <c r="Z6" s="646">
        <f>Y6/X6</f>
        <v>0.83013418602942712</v>
      </c>
      <c r="AA6" s="645">
        <v>71299.3</v>
      </c>
      <c r="AB6" s="639">
        <v>74864.27</v>
      </c>
      <c r="AC6" s="633">
        <v>1.05</v>
      </c>
      <c r="AD6" s="635">
        <v>63020.54</v>
      </c>
      <c r="AE6" s="636">
        <f>AD6/AA6</f>
        <v>0.88388721908910739</v>
      </c>
      <c r="AF6" s="639">
        <v>87525.97</v>
      </c>
      <c r="AG6" s="639">
        <v>91902.27</v>
      </c>
      <c r="AH6" s="633">
        <v>1.05</v>
      </c>
      <c r="AI6" s="635">
        <v>55712.38</v>
      </c>
      <c r="AJ6" s="636">
        <f>AI6/AF6</f>
        <v>0.63652399396430559</v>
      </c>
      <c r="AK6" s="639">
        <v>59682.559999999998</v>
      </c>
      <c r="AL6" s="639">
        <v>62666.68</v>
      </c>
      <c r="AM6" s="633">
        <v>1.05</v>
      </c>
      <c r="AN6" s="635">
        <v>62366.06</v>
      </c>
      <c r="AO6" s="636">
        <f>AN6/AK6</f>
        <v>1.0449628836296567</v>
      </c>
      <c r="AP6" s="639">
        <v>64439.33</v>
      </c>
      <c r="AQ6" s="639">
        <v>67661.289999999994</v>
      </c>
      <c r="AR6" s="633">
        <v>1.05</v>
      </c>
      <c r="AS6" s="635">
        <v>53298.74</v>
      </c>
      <c r="AT6" s="636">
        <v>0.82</v>
      </c>
      <c r="AU6" s="639">
        <f>AB6+AG6+AL6+AQ6</f>
        <v>297094.51</v>
      </c>
      <c r="AV6" s="639">
        <f>AA6+AF6+AK6+AP6</f>
        <v>282947.16000000003</v>
      </c>
      <c r="AW6" s="778">
        <f>AD6+AI6+AN6+AS6</f>
        <v>234397.71999999997</v>
      </c>
      <c r="AX6" s="665">
        <f>AW6/AV6</f>
        <v>0.828415171228437</v>
      </c>
      <c r="AY6" s="645">
        <v>59326.86</v>
      </c>
      <c r="AZ6" s="639">
        <v>62293.2</v>
      </c>
      <c r="BA6" s="633">
        <v>1.05</v>
      </c>
      <c r="BB6" s="635">
        <v>44138.85</v>
      </c>
      <c r="BC6" s="636">
        <f>BB6/AY6</f>
        <v>0.74399437286921977</v>
      </c>
      <c r="BD6" s="639">
        <v>67611.31</v>
      </c>
      <c r="BE6" s="639">
        <v>68963.53</v>
      </c>
      <c r="BF6" s="633">
        <v>1.02</v>
      </c>
      <c r="BG6" s="635">
        <v>49999.63</v>
      </c>
      <c r="BH6" s="636">
        <f>BG6/BD6</f>
        <v>0.73951577036445526</v>
      </c>
      <c r="BI6" s="639">
        <v>74292.39</v>
      </c>
      <c r="BJ6" s="639">
        <v>29716.959999999999</v>
      </c>
      <c r="BK6" s="633">
        <v>0.4</v>
      </c>
      <c r="BL6" s="635">
        <v>60682.47</v>
      </c>
      <c r="BM6" s="636">
        <f>BL6/BI6</f>
        <v>0.81680600126069447</v>
      </c>
      <c r="BN6" s="639">
        <v>80157.62</v>
      </c>
      <c r="BO6" s="639">
        <f>BN6*BP6</f>
        <v>52102.453000000001</v>
      </c>
      <c r="BP6" s="633">
        <v>0.65</v>
      </c>
      <c r="BQ6" s="635">
        <v>66924.59</v>
      </c>
      <c r="BR6" s="636">
        <f>BQ6/BN6</f>
        <v>0.83491238886583707</v>
      </c>
      <c r="BS6" s="639">
        <v>83065.11</v>
      </c>
      <c r="BT6" s="639">
        <f>BS6*BU6</f>
        <v>53992.321500000005</v>
      </c>
      <c r="BU6" s="633">
        <v>0.65</v>
      </c>
      <c r="BV6" s="635">
        <v>65700.59</v>
      </c>
      <c r="BW6" s="636">
        <f>BV6/BS6</f>
        <v>0.7909529042939929</v>
      </c>
      <c r="BX6" s="661">
        <f>AZ6+BE6+BJ6+BO6+BT6</f>
        <v>267068.4645</v>
      </c>
      <c r="BY6" s="661">
        <f>BN6+AY6+BD6+BI6+BS6</f>
        <v>364453.29</v>
      </c>
      <c r="BZ6" s="663">
        <f>BV6+BQ6+BL6+BG6+BB6</f>
        <v>287446.13</v>
      </c>
      <c r="CA6" s="651">
        <f>BZ6/BY6</f>
        <v>0.78870499426689222</v>
      </c>
      <c r="CB6" s="645">
        <v>80170.649999999994</v>
      </c>
      <c r="CC6" s="639">
        <f>CB6*CD6</f>
        <v>65739.93299999999</v>
      </c>
      <c r="CD6" s="633">
        <v>0.82</v>
      </c>
      <c r="CE6" s="635">
        <v>72977.289999999994</v>
      </c>
      <c r="CF6" s="636">
        <f>CE6/CB6</f>
        <v>0.91027439592918358</v>
      </c>
      <c r="CG6" s="639">
        <v>88136.87</v>
      </c>
      <c r="CH6" s="639">
        <f>CG6*CI6</f>
        <v>66102.652499999997</v>
      </c>
      <c r="CI6" s="633">
        <v>0.75</v>
      </c>
      <c r="CJ6" s="635">
        <v>69157.78</v>
      </c>
      <c r="CK6" s="636">
        <f>CJ6/CG6</f>
        <v>0.78466344448129377</v>
      </c>
      <c r="CL6" s="639">
        <v>80212.5</v>
      </c>
      <c r="CM6" s="639">
        <f>CL6*CN6</f>
        <v>56148.75</v>
      </c>
      <c r="CN6" s="633">
        <v>0.7</v>
      </c>
      <c r="CO6" s="635">
        <v>51834.62</v>
      </c>
      <c r="CP6" s="636">
        <f>CO6/CL6</f>
        <v>0.6462162381175004</v>
      </c>
      <c r="CQ6" s="639">
        <v>128953.09</v>
      </c>
      <c r="CR6" s="639">
        <f>CQ6*CS6</f>
        <v>51581.236000000004</v>
      </c>
      <c r="CS6" s="633">
        <v>0.4</v>
      </c>
      <c r="CT6" s="635">
        <v>107671.06</v>
      </c>
      <c r="CU6" s="636">
        <f>CT6/CQ6</f>
        <v>0.83496300864135942</v>
      </c>
      <c r="CV6" s="656">
        <f>CR6+CM6+CH6+CC6</f>
        <v>239572.57149999999</v>
      </c>
      <c r="CW6" s="656">
        <f>CB6+CG6+CL6+CQ6</f>
        <v>377473.11</v>
      </c>
      <c r="CX6" s="657">
        <f>CT6+CO6+CE6+CJ6</f>
        <v>301640.75</v>
      </c>
      <c r="CY6" s="654">
        <f>CX6/CW6</f>
        <v>0.79910526606782672</v>
      </c>
      <c r="CZ6" s="645">
        <v>120869.78</v>
      </c>
      <c r="DA6" s="639">
        <f>CZ6*DB6</f>
        <v>60434.89</v>
      </c>
      <c r="DB6" s="633">
        <v>0.5</v>
      </c>
      <c r="DC6" s="635">
        <v>88555.98</v>
      </c>
      <c r="DD6" s="636">
        <f>DC6/CZ6</f>
        <v>0.73265608657515546</v>
      </c>
      <c r="DE6" s="639">
        <v>88488.4</v>
      </c>
      <c r="DF6" s="639">
        <f>DE6*DG6</f>
        <v>53093.039999999994</v>
      </c>
      <c r="DG6" s="633">
        <v>0.6</v>
      </c>
      <c r="DH6" s="635">
        <v>85985.84</v>
      </c>
      <c r="DI6" s="636">
        <f>DH6/DE6</f>
        <v>0.97171877895859804</v>
      </c>
      <c r="DJ6" s="639">
        <v>97144.66</v>
      </c>
      <c r="DK6" s="639">
        <f>DJ6*DL6</f>
        <v>72858.494999999995</v>
      </c>
      <c r="DL6" s="633">
        <v>0.75</v>
      </c>
      <c r="DM6" s="635">
        <v>74172.62</v>
      </c>
      <c r="DN6" s="636">
        <f>DM6/DJ6</f>
        <v>0.76352750629833888</v>
      </c>
      <c r="DO6" s="639">
        <v>70528.62</v>
      </c>
      <c r="DP6" s="639">
        <f>DO6*DQ6</f>
        <v>53850.541351263142</v>
      </c>
      <c r="DQ6" s="633">
        <v>0.76352750629833888</v>
      </c>
      <c r="DR6" s="635">
        <v>64407.39</v>
      </c>
      <c r="DS6" s="636">
        <f>DR6/DO6</f>
        <v>0.91320927589395628</v>
      </c>
      <c r="DT6" s="656">
        <f>DP6+DK6+DF6+DA6</f>
        <v>240236.96635126317</v>
      </c>
      <c r="DU6" s="656">
        <f>CZ6+DE6+DJ6+DO6</f>
        <v>377031.45999999996</v>
      </c>
      <c r="DV6" s="657">
        <f>DR6+DM6+DC6+DH6</f>
        <v>313121.82999999996</v>
      </c>
      <c r="DW6" s="654">
        <f>DV6/DU6</f>
        <v>0.83049258011519778</v>
      </c>
      <c r="DX6" s="645">
        <v>73656.45</v>
      </c>
      <c r="DY6" s="639">
        <f>DX6*DZ6</f>
        <v>67027.369500000001</v>
      </c>
      <c r="DZ6" s="633">
        <v>0.91</v>
      </c>
      <c r="EA6" s="635">
        <f>'Vtas Diarias 2021'!AG7</f>
        <v>64935.76999999999</v>
      </c>
      <c r="EB6" s="636">
        <f>EA6/DX6</f>
        <v>0.8816033083321283</v>
      </c>
      <c r="EC6" s="639">
        <v>82925.789999999994</v>
      </c>
      <c r="ED6" s="639">
        <f>EC6*EE6</f>
        <v>73107.650810055318</v>
      </c>
      <c r="EE6" s="633">
        <v>0.8816033083321283</v>
      </c>
      <c r="EF6" s="635">
        <f>'Vtas Diarias 2021'!BM7</f>
        <v>76492.58</v>
      </c>
      <c r="EG6" s="636">
        <f>EF6/EC6</f>
        <v>0.92242208364852485</v>
      </c>
      <c r="EH6" s="639">
        <v>103441.4</v>
      </c>
      <c r="EI6" s="639">
        <f>EH6*EJ6</f>
        <v>72408.98</v>
      </c>
      <c r="EJ6" s="633">
        <v>0.7</v>
      </c>
      <c r="EK6" s="635">
        <f>'Vtas Diarias 2021'!CS7</f>
        <v>80358.66</v>
      </c>
      <c r="EL6" s="636">
        <f>EK6/EH6</f>
        <v>0.77685201476391474</v>
      </c>
      <c r="EM6" s="639">
        <v>100805.66</v>
      </c>
      <c r="EN6" s="639">
        <f>EM6*EO6</f>
        <v>70563.962</v>
      </c>
      <c r="EO6" s="633">
        <v>0.7</v>
      </c>
      <c r="EP6" s="635">
        <f>'Vtas Diarias 2021'!DY7</f>
        <v>80473</v>
      </c>
      <c r="EQ6" s="636">
        <f>EP6/EM6</f>
        <v>0.79829842887790226</v>
      </c>
      <c r="ER6" s="639">
        <v>86502.45</v>
      </c>
      <c r="ES6" s="639">
        <f>ER6*ET6</f>
        <v>51901.469999999994</v>
      </c>
      <c r="ET6" s="633">
        <v>0.6</v>
      </c>
      <c r="EU6" s="635">
        <f>'Vtas Diarias 2021'!FE7</f>
        <v>99907.74</v>
      </c>
      <c r="EV6" s="636">
        <f>EU6/ER6</f>
        <v>1.1549700615416096</v>
      </c>
      <c r="EW6" s="956">
        <f>ES6+EN6+EI6+ED6+DY6</f>
        <v>335009.43231005536</v>
      </c>
      <c r="EX6" s="956">
        <f>DX6+EC6+EH6+EM6+ER6</f>
        <v>447331.75</v>
      </c>
      <c r="EY6" s="957">
        <f>EU6+EP6+EK6+EF6+EA6</f>
        <v>402167.75</v>
      </c>
      <c r="EZ6" s="654">
        <f>EY6/EX6</f>
        <v>0.89903690046592932</v>
      </c>
      <c r="FA6" s="645">
        <v>81083.179999999993</v>
      </c>
      <c r="FB6" s="639">
        <f>FA6*FC6</f>
        <v>56758.225999999995</v>
      </c>
      <c r="FC6" s="633">
        <v>0.7</v>
      </c>
      <c r="FD6" s="635">
        <f>'Vtas Diarias 2021'!GK7</f>
        <v>79904.73</v>
      </c>
      <c r="FE6" s="636">
        <f>FD6/FA6</f>
        <v>0.98546615956601602</v>
      </c>
      <c r="FF6" s="639">
        <v>83830.95</v>
      </c>
      <c r="FG6" s="639">
        <f>FF6*FH6</f>
        <v>63711.521999999997</v>
      </c>
      <c r="FH6" s="633">
        <v>0.76</v>
      </c>
      <c r="FI6" s="635">
        <f>'Vtas Diarias 2021'!HQ7</f>
        <v>73313.919999999998</v>
      </c>
      <c r="FJ6" s="636">
        <f>FI6/FF6</f>
        <v>0.87454478328111518</v>
      </c>
      <c r="FK6" s="639">
        <v>81212.63</v>
      </c>
      <c r="FL6" s="639">
        <f>FK6*FM6</f>
        <v>64157.977700000003</v>
      </c>
      <c r="FM6" s="633">
        <v>0.79</v>
      </c>
      <c r="FN6" s="635">
        <f>'Vtas Diarias 2021'!IW7</f>
        <v>75510.170000000013</v>
      </c>
      <c r="FO6" s="636">
        <f>FN6/FK6</f>
        <v>0.92978358169166553</v>
      </c>
      <c r="FP6" s="639">
        <v>75337.14</v>
      </c>
      <c r="FQ6" s="639">
        <f>FP6*FR6</f>
        <v>57256.2264</v>
      </c>
      <c r="FR6" s="633">
        <v>0.76</v>
      </c>
      <c r="FS6" s="635">
        <f>'Vtas Diarias 2021'!KC7</f>
        <v>72935.72</v>
      </c>
      <c r="FT6" s="636">
        <f>FS6/FP6</f>
        <v>0.9681243540702501</v>
      </c>
      <c r="FU6" s="661">
        <f>FQ6+FL6+FG6+FB6</f>
        <v>241883.95209999999</v>
      </c>
      <c r="FV6" s="661">
        <f>FA6+FF6+FK6+FP6</f>
        <v>321463.90000000002</v>
      </c>
      <c r="FW6" s="663">
        <f>FS6+FN6+FD6+FI6</f>
        <v>301664.53999999998</v>
      </c>
      <c r="FX6" s="651">
        <f>IFERROR(FW6/FV6,0)</f>
        <v>0.9384087606726601</v>
      </c>
      <c r="FY6" s="645">
        <v>85050.38</v>
      </c>
      <c r="FZ6" s="639">
        <f>FY6*GA6</f>
        <v>63787.785000000003</v>
      </c>
      <c r="GA6" s="633">
        <v>0.75</v>
      </c>
      <c r="GB6" s="635">
        <f>'Vtas Diarias 2021'!LI7</f>
        <v>66427.87</v>
      </c>
      <c r="GC6" s="636">
        <f>GB6/FY6</f>
        <v>0.78104142509416175</v>
      </c>
      <c r="GD6" s="639">
        <v>79767.03</v>
      </c>
      <c r="GE6" s="639">
        <f>GD6*GF6</f>
        <v>64611.294300000001</v>
      </c>
      <c r="GF6" s="633">
        <v>0.81</v>
      </c>
      <c r="GG6" s="635">
        <f>'Vtas Diarias 2021'!MO7</f>
        <v>78497.590000000011</v>
      </c>
      <c r="GH6" s="636">
        <f>GG6/GD6</f>
        <v>0.98408565543934645</v>
      </c>
      <c r="GI6" s="639">
        <v>76993.95</v>
      </c>
      <c r="GJ6" s="639">
        <f>GI6*GK6</f>
        <v>61595.16</v>
      </c>
      <c r="GK6" s="633">
        <v>0.8</v>
      </c>
      <c r="GL6" s="635">
        <f>'Vtas Diarias 2021'!NU7</f>
        <v>65176.930000000008</v>
      </c>
      <c r="GM6" s="636">
        <f>GL6/GI6</f>
        <v>0.84652014866103131</v>
      </c>
      <c r="GN6" s="639">
        <v>81629.11</v>
      </c>
      <c r="GO6" s="639">
        <f>GN6*GP6</f>
        <v>59589.2503</v>
      </c>
      <c r="GP6" s="633">
        <v>0.73</v>
      </c>
      <c r="GQ6" s="635">
        <f>'Vtas Diarias 2021'!PA7</f>
        <v>79285.72</v>
      </c>
      <c r="GR6" s="636">
        <f>GQ6/GN6</f>
        <v>0.97129222651086111</v>
      </c>
      <c r="GS6" s="661">
        <f>GO6+GJ6+GE6+FZ6</f>
        <v>249583.4896</v>
      </c>
      <c r="GT6" s="661">
        <f>FY6+GD6+GI6+GN6</f>
        <v>323440.46999999997</v>
      </c>
      <c r="GU6" s="662">
        <f>GQ6+GL6+GB6+GG6</f>
        <v>289388.11000000004</v>
      </c>
      <c r="GV6" s="1598">
        <f>IFERROR(GU6/GT6,0)</f>
        <v>0.89471830782338424</v>
      </c>
      <c r="GW6" s="645">
        <v>73996</v>
      </c>
      <c r="GX6" s="639">
        <f>GW6*GY6</f>
        <v>56236.959999999999</v>
      </c>
      <c r="GY6" s="633">
        <v>0.76</v>
      </c>
      <c r="GZ6" s="635">
        <f>'Vtas Diarias 2021'!QG7</f>
        <v>77836.600000000006</v>
      </c>
      <c r="HA6" s="636">
        <f>GZ6/GW6</f>
        <v>1.0519028055570572</v>
      </c>
      <c r="HB6" s="639">
        <v>75792.03</v>
      </c>
      <c r="HC6" s="639">
        <f>HB6*HD6</f>
        <v>59117.7834</v>
      </c>
      <c r="HD6" s="633">
        <v>0.78</v>
      </c>
      <c r="HE6" s="635">
        <f>'Vtas Diarias 2021'!RM7</f>
        <v>57863.67</v>
      </c>
      <c r="HF6" s="636">
        <f>HE6/HB6</f>
        <v>0.76345322852547948</v>
      </c>
      <c r="HG6" s="639">
        <v>73379.460000000006</v>
      </c>
      <c r="HH6" s="639">
        <f>HG6*HI6</f>
        <v>56502.184200000003</v>
      </c>
      <c r="HI6" s="633">
        <v>0.77</v>
      </c>
      <c r="HJ6" s="635">
        <f>'Vtas Diarias 2021'!SS7</f>
        <v>67189.399999999994</v>
      </c>
      <c r="HK6" s="636">
        <f>HJ6/HG6</f>
        <v>0.91564315136688101</v>
      </c>
      <c r="HL6" s="639">
        <v>68735.490000000005</v>
      </c>
      <c r="HM6" s="639">
        <f>HL6*HN6</f>
        <v>52238.972400000006</v>
      </c>
      <c r="HN6" s="633">
        <v>0.76</v>
      </c>
      <c r="HO6" s="635">
        <f>'Vtas Diarias 2021'!TY7</f>
        <v>58680.18</v>
      </c>
      <c r="HP6" s="636">
        <f>HO6/HL6</f>
        <v>0.85371007029992796</v>
      </c>
      <c r="HQ6" s="639">
        <v>68708.41</v>
      </c>
      <c r="HR6" s="639">
        <f>HQ6*HS6</f>
        <v>52218.391600000003</v>
      </c>
      <c r="HS6" s="633">
        <v>0.76</v>
      </c>
      <c r="HT6" s="635">
        <f>'Vtas Diarias 2021'!VE7</f>
        <v>53678.649999999994</v>
      </c>
      <c r="HU6" s="636">
        <f>HT6/HQ6</f>
        <v>0.78125297907490499</v>
      </c>
      <c r="HV6" s="661">
        <f>HR6+HM6+HH6+HC6+GX6</f>
        <v>276314.29160000006</v>
      </c>
      <c r="HW6" s="661">
        <f>GW6+HB6+HG6+HL6+HQ6</f>
        <v>360611.39</v>
      </c>
      <c r="HX6" s="663">
        <f>HT6+HO6+HJ6+HE6+GZ6</f>
        <v>315248.5</v>
      </c>
      <c r="HY6" s="651">
        <f>IFERROR(HX6/HW6,0)</f>
        <v>0.87420560953440762</v>
      </c>
      <c r="HZ6" s="645">
        <v>78814.69</v>
      </c>
      <c r="IA6" s="639">
        <f>HZ6*IB6</f>
        <v>61475.458200000001</v>
      </c>
      <c r="IB6" s="633">
        <v>0.78</v>
      </c>
      <c r="IC6" s="635">
        <f>'Vtas Diarias 2021'!WK7</f>
        <v>59800.200000000004</v>
      </c>
      <c r="ID6" s="636">
        <f>IC6/HZ6</f>
        <v>0.75874434068065233</v>
      </c>
      <c r="IE6" s="639">
        <v>83942.2</v>
      </c>
      <c r="IF6" s="639">
        <f>IE6*IG6</f>
        <v>67153.759999999995</v>
      </c>
      <c r="IG6" s="633">
        <v>0.8</v>
      </c>
      <c r="IH6" s="635">
        <f>'Vtas Diarias 2021'!XQ7</f>
        <v>63710.149999999994</v>
      </c>
      <c r="II6" s="636">
        <f>IH6/IE6</f>
        <v>0.75897641472346444</v>
      </c>
      <c r="IJ6" s="639">
        <v>84827.64</v>
      </c>
      <c r="IK6" s="639">
        <f>IJ6*IL6</f>
        <v>70406.941200000001</v>
      </c>
      <c r="IL6" s="633">
        <v>0.83</v>
      </c>
      <c r="IM6" s="635">
        <f>'Vtas Diarias 2021'!YW7</f>
        <v>68944.319999999992</v>
      </c>
      <c r="IN6" s="636">
        <f>IM6/IJ6</f>
        <v>0.81275772849509897</v>
      </c>
      <c r="IO6" s="639">
        <v>118188.23</v>
      </c>
      <c r="IP6" s="639">
        <f>IO6*IQ6</f>
        <v>101641.8778</v>
      </c>
      <c r="IQ6" s="633">
        <v>0.86</v>
      </c>
      <c r="IR6" s="635">
        <f>'Vtas Diarias 2021'!AAC7</f>
        <v>115644.41</v>
      </c>
      <c r="IS6" s="636">
        <f>IR6/IO6</f>
        <v>0.97847653696142167</v>
      </c>
      <c r="IT6" s="1577">
        <f>IP6+IK6+IF6+IA6</f>
        <v>300678.03720000002</v>
      </c>
      <c r="IU6" s="1577">
        <f>HZ6+IE6+IJ6+IO6</f>
        <v>365772.76</v>
      </c>
      <c r="IV6" s="1578">
        <f>IC6+IH6+IM6+IR6</f>
        <v>308099.07999999996</v>
      </c>
      <c r="IW6" s="654">
        <f>IFERROR(IV6/IU6,0)</f>
        <v>0.84232374220540629</v>
      </c>
      <c r="IX6" s="645">
        <v>75583.22</v>
      </c>
      <c r="IY6" s="639">
        <f>IX6*IZ6</f>
        <v>67269.065799999997</v>
      </c>
      <c r="IZ6" s="633">
        <v>0.89</v>
      </c>
      <c r="JA6" s="635">
        <f>'Vtas Diarias 2021'!ABI7</f>
        <v>124234.48</v>
      </c>
      <c r="JB6" s="636">
        <f>JA6/IX6</f>
        <v>1.643678054467645</v>
      </c>
      <c r="JC6" s="639">
        <v>83311.3</v>
      </c>
      <c r="JD6" s="639">
        <f>JC6*JE6</f>
        <v>74147.057000000001</v>
      </c>
      <c r="JE6" s="633">
        <v>0.89</v>
      </c>
      <c r="JF6" s="635">
        <f>'Vtas Diarias 2021'!ACO7</f>
        <v>82259.91</v>
      </c>
      <c r="JG6" s="636">
        <f>JF6/JC6</f>
        <v>0.98737998326757592</v>
      </c>
      <c r="JH6" s="639">
        <v>99472.82</v>
      </c>
      <c r="JI6" s="639">
        <f>JH6*JJ6</f>
        <v>89525.538000000015</v>
      </c>
      <c r="JJ6" s="633">
        <v>0.9</v>
      </c>
      <c r="JK6" s="635">
        <f>'Vtas Diarias 2021'!ADU7</f>
        <v>98677.73</v>
      </c>
      <c r="JL6" s="636">
        <f>JK6/JH6</f>
        <v>0.99200696230387342</v>
      </c>
      <c r="JM6" s="639">
        <v>120724.92</v>
      </c>
      <c r="JN6" s="639">
        <f>JM6*JO6</f>
        <v>108652.428</v>
      </c>
      <c r="JO6" s="633">
        <v>0.9</v>
      </c>
      <c r="JP6" s="635">
        <f>'Vtas Diarias 2021'!AFA7</f>
        <v>123794.6</v>
      </c>
      <c r="JQ6" s="636">
        <f>JP6/JM6</f>
        <v>1.025427061786415</v>
      </c>
      <c r="JR6" s="636">
        <f>JQ6/JN6</f>
        <v>9.4376819797015028E-6</v>
      </c>
      <c r="JS6" s="1577">
        <f>JN6+JI6+JD6+IY6</f>
        <v>339594.08880000003</v>
      </c>
      <c r="JT6" s="1577">
        <f>IX6+JC6+JH6+JM6</f>
        <v>379092.26</v>
      </c>
      <c r="JU6" s="1582">
        <f>JP6+JK6+JA6+JF6</f>
        <v>428966.72</v>
      </c>
      <c r="JV6" s="651">
        <f>IFERROR(JU6/JT6,0)</f>
        <v>1.1315628549103058</v>
      </c>
      <c r="JW6" s="645">
        <v>179343.27</v>
      </c>
      <c r="JX6" s="639">
        <f>JW6*JY6</f>
        <v>188310.43349999998</v>
      </c>
      <c r="JY6" s="633">
        <v>1.05</v>
      </c>
      <c r="JZ6" s="635">
        <f>'Vtas Diarias 2021'!AGG7</f>
        <v>134248.29999999999</v>
      </c>
      <c r="KA6" s="636">
        <f>JZ6/JW6</f>
        <v>0.74855499177638496</v>
      </c>
      <c r="KB6" s="639">
        <v>233524.31</v>
      </c>
      <c r="KC6" s="639">
        <f>KB6*KD6</f>
        <v>245200.52550000002</v>
      </c>
      <c r="KD6" s="633">
        <v>1.05</v>
      </c>
      <c r="KE6" s="635">
        <f>'Vtas Diarias 2021'!AHM7</f>
        <v>153260.48000000001</v>
      </c>
      <c r="KF6" s="636">
        <f>KE6/KB6</f>
        <v>0.65629347111656178</v>
      </c>
      <c r="KG6" s="639">
        <v>259631.66</v>
      </c>
      <c r="KH6" s="639">
        <f>KG6*KI6</f>
        <v>275209.55960000004</v>
      </c>
      <c r="KI6" s="633">
        <v>1.06</v>
      </c>
      <c r="KJ6" s="635">
        <f>'Vtas Diarias 2021'!AIS7</f>
        <v>183573.99</v>
      </c>
      <c r="KK6" s="636">
        <f>KJ6/KG6</f>
        <v>0.70705548776293303</v>
      </c>
      <c r="KL6" s="639">
        <v>244801.73</v>
      </c>
      <c r="KM6" s="1601">
        <f>KL6*KN6</f>
        <v>435747.07940000005</v>
      </c>
      <c r="KN6" s="1615">
        <v>1.78</v>
      </c>
      <c r="KO6" s="1602">
        <f>'Vtas Diarias 2021'!AJY7</f>
        <v>291522.82</v>
      </c>
      <c r="KP6" s="804">
        <f>KO6/KL6</f>
        <v>1.1908527770616653</v>
      </c>
      <c r="KQ6" s="639">
        <v>65668.12</v>
      </c>
      <c r="KR6" s="1601">
        <f>KQ6*KS6</f>
        <v>68951.525999999998</v>
      </c>
      <c r="KS6" s="1616">
        <v>1.05</v>
      </c>
      <c r="KT6" s="1602">
        <f>'Vtas Diarias 2021'!ALE7</f>
        <v>67974.790000000008</v>
      </c>
      <c r="KU6" s="636">
        <f>KT6/KQ6</f>
        <v>1.035126176902887</v>
      </c>
      <c r="KV6" s="1577">
        <f>KR6+KM6+KH6+KC6+JX6</f>
        <v>1213419.1240000001</v>
      </c>
      <c r="KW6" s="1577">
        <f t="shared" ref="KW6:KW24" si="2">JW6+KB6+KG6+KL6+KQ6</f>
        <v>982969.09</v>
      </c>
      <c r="KX6" s="1578">
        <f t="shared" ref="KX6:KX34" si="3">KT6+KO6+KJ6+KE6+JZ6</f>
        <v>830580.37999999989</v>
      </c>
      <c r="KY6" s="959">
        <f>IFERROR(KX6/KW6,0)</f>
        <v>0.84497100514116874</v>
      </c>
      <c r="KZ6" s="1510">
        <f>C6+H6+M6+R6+AA6+AF6+AK6+AP6+AY6+BD6+BI6+BN6+BS6+CB6+CG6+CL6+CQ6+CZ6+DE6+DJ6+DO6+DX6+EC6+EH6+EM6+ER6+FA6+FF6+FK6+FP6+FY6+GD6+GI6+GN6+GW6+HB6+HG6+HL6+HQ6+HZ6+IE6+IJ6+IO6+IX6+JC6+JH6+JM6+JW6+KB6+KG6++KL6+KQ6</f>
        <v>4840673.120000001</v>
      </c>
      <c r="LA6" s="1592">
        <f>Y6+AW6+BZ6+CX6+DV6+EY6+FW6+GU6+HV6+IT6+JS6+KV6</f>
        <v>4474078.7816000003</v>
      </c>
      <c r="LB6" s="1510">
        <f>X6+AV6+BY6+CW6+DU6+EX6+FV6+GT6+HW6+IU6+JT6+KW6</f>
        <v>4840673.12</v>
      </c>
      <c r="LC6" s="1510">
        <f>Y6+AW6+BZ6+CX6+DV6+EY6+FW6+GU6+HX6+IV6+JU6+KX6</f>
        <v>4226967.92</v>
      </c>
      <c r="LD6" s="1593">
        <f t="shared" ref="LD6:LD35" si="4">LC6-LB6</f>
        <v>-613705.20000000019</v>
      </c>
      <c r="LE6" s="1594">
        <f>LC6/KZ6</f>
        <v>0.87321903694253145</v>
      </c>
      <c r="LF6" s="1008">
        <f>LA6/KZ6</f>
        <v>0.9242679004939709</v>
      </c>
    </row>
    <row r="7" spans="1:318" outlineLevel="1">
      <c r="A7" s="1495"/>
      <c r="B7" s="687" t="s">
        <v>470</v>
      </c>
      <c r="C7" s="645">
        <v>62961.45</v>
      </c>
      <c r="D7" s="639">
        <v>66109.52</v>
      </c>
      <c r="E7" s="633">
        <v>1.05</v>
      </c>
      <c r="F7" s="635">
        <v>58026.39</v>
      </c>
      <c r="G7" s="636">
        <f t="shared" ref="G7:G31" si="5">F7/C7</f>
        <v>0.92161775181480099</v>
      </c>
      <c r="H7" s="639">
        <v>67534.77</v>
      </c>
      <c r="I7" s="639">
        <v>70911.509999999995</v>
      </c>
      <c r="J7" s="633">
        <v>1.05</v>
      </c>
      <c r="K7" s="635">
        <v>43414.65</v>
      </c>
      <c r="L7" s="636">
        <f t="shared" ref="L7:L32" si="6">K7/H7</f>
        <v>0.64284886140872322</v>
      </c>
      <c r="M7" s="639">
        <v>65390.81</v>
      </c>
      <c r="N7" s="639">
        <v>68660.350000000006</v>
      </c>
      <c r="O7" s="633">
        <v>1.05</v>
      </c>
      <c r="P7" s="635">
        <v>44097.599999999999</v>
      </c>
      <c r="Q7" s="636">
        <f t="shared" ref="Q7:Q32" si="7">P7/M7</f>
        <v>0.67436999174654666</v>
      </c>
      <c r="R7" s="639">
        <v>73884.25</v>
      </c>
      <c r="S7" s="639">
        <v>77578.460000000006</v>
      </c>
      <c r="T7" s="633">
        <v>1.05</v>
      </c>
      <c r="U7" s="635">
        <v>46126.1</v>
      </c>
      <c r="V7" s="636">
        <f t="shared" ref="V7:V32" si="8">U7/R7</f>
        <v>0.62430220243150603</v>
      </c>
      <c r="W7" s="639">
        <f t="shared" si="0"/>
        <v>283259.84000000003</v>
      </c>
      <c r="X7" s="639">
        <f t="shared" si="1"/>
        <v>269771.28000000003</v>
      </c>
      <c r="Y7" s="666">
        <f t="shared" ref="Y7:Y34" si="9">F7+K7+P7+U7</f>
        <v>191664.74000000002</v>
      </c>
      <c r="Z7" s="646">
        <f t="shared" ref="Z7:Z31" si="10">Y7/X7</f>
        <v>0.71047125550206824</v>
      </c>
      <c r="AA7" s="645">
        <v>74074.41</v>
      </c>
      <c r="AB7" s="639">
        <v>77778.13</v>
      </c>
      <c r="AC7" s="633">
        <v>1.05</v>
      </c>
      <c r="AD7" s="635">
        <v>45511.91</v>
      </c>
      <c r="AE7" s="636">
        <f t="shared" ref="AE7:AE32" si="11">AD7/AA7</f>
        <v>0.61440799865972606</v>
      </c>
      <c r="AF7" s="639">
        <v>92857.51</v>
      </c>
      <c r="AG7" s="639">
        <v>97500.38</v>
      </c>
      <c r="AH7" s="633">
        <v>1.05</v>
      </c>
      <c r="AI7" s="635">
        <v>58825.17</v>
      </c>
      <c r="AJ7" s="636">
        <f t="shared" ref="AJ7:AJ32" si="12">AI7/AF7</f>
        <v>0.63349932601035719</v>
      </c>
      <c r="AK7" s="639">
        <v>76111.28</v>
      </c>
      <c r="AL7" s="639">
        <v>79916.850000000006</v>
      </c>
      <c r="AM7" s="633">
        <v>1.05</v>
      </c>
      <c r="AN7" s="635">
        <v>50469.21</v>
      </c>
      <c r="AO7" s="636">
        <f t="shared" ref="AO7:AO32" si="13">AN7/AK7</f>
        <v>0.66309763808991251</v>
      </c>
      <c r="AP7" s="639">
        <v>74105.95</v>
      </c>
      <c r="AQ7" s="639">
        <v>77811.25</v>
      </c>
      <c r="AR7" s="633">
        <v>1.05</v>
      </c>
      <c r="AS7" s="635">
        <v>44068.63</v>
      </c>
      <c r="AT7" s="636">
        <v>0.91</v>
      </c>
      <c r="AU7" s="639">
        <f t="shared" ref="AU7:AU34" si="14">AB7+AG7+AL7+AQ7</f>
        <v>333006.61</v>
      </c>
      <c r="AV7" s="639">
        <f t="shared" ref="AV7:AV32" si="15">AA7+AF7+AK7+AP7</f>
        <v>317149.14999999997</v>
      </c>
      <c r="AW7" s="778">
        <f t="shared" ref="AW7:AW34" si="16">AD7+AI7+AN7+AS7</f>
        <v>198874.92</v>
      </c>
      <c r="AX7" s="665">
        <f t="shared" ref="AX7:AX34" si="17">AW7/AV7</f>
        <v>0.62707063853079859</v>
      </c>
      <c r="AY7" s="645">
        <v>79168.539999999994</v>
      </c>
      <c r="AZ7" s="639">
        <v>83126.960000000006</v>
      </c>
      <c r="BA7" s="633">
        <v>1.05</v>
      </c>
      <c r="BB7" s="635">
        <v>45022.720000000001</v>
      </c>
      <c r="BC7" s="636">
        <f t="shared" ref="BC7:BC32" si="18">BB7/AY7</f>
        <v>0.56869458499550463</v>
      </c>
      <c r="BD7" s="639">
        <v>83720.649999999994</v>
      </c>
      <c r="BE7" s="639">
        <v>85395.06</v>
      </c>
      <c r="BF7" s="633">
        <v>1.02</v>
      </c>
      <c r="BG7" s="635">
        <v>54553.07</v>
      </c>
      <c r="BH7" s="636">
        <f t="shared" ref="BH7:BH32" si="19">BG7/BD7</f>
        <v>0.65160829496665407</v>
      </c>
      <c r="BI7" s="639">
        <v>91129.23</v>
      </c>
      <c r="BJ7" s="639">
        <v>36451.69</v>
      </c>
      <c r="BK7" s="633">
        <v>0.4</v>
      </c>
      <c r="BL7" s="635">
        <v>57919.45</v>
      </c>
      <c r="BM7" s="636">
        <f t="shared" ref="BM7:BM32" si="20">BL7/BI7</f>
        <v>0.63557488634546788</v>
      </c>
      <c r="BN7" s="639">
        <v>93421.77</v>
      </c>
      <c r="BO7" s="639">
        <f t="shared" ref="BO7:BO32" si="21">BN7*BP7</f>
        <v>60724.150500000003</v>
      </c>
      <c r="BP7" s="633">
        <v>0.65</v>
      </c>
      <c r="BQ7" s="635">
        <v>60420.56</v>
      </c>
      <c r="BR7" s="636">
        <f t="shared" ref="BR7:BR32" si="22">BQ7/BN7</f>
        <v>0.64675032382709075</v>
      </c>
      <c r="BS7" s="639">
        <v>86547.25</v>
      </c>
      <c r="BT7" s="639">
        <f t="shared" ref="BT7:BT32" si="23">BS7*BU7</f>
        <v>56255.712500000001</v>
      </c>
      <c r="BU7" s="633">
        <v>0.65</v>
      </c>
      <c r="BV7" s="635">
        <v>65036.65</v>
      </c>
      <c r="BW7" s="636">
        <f t="shared" ref="BW7:BW32" si="24">BV7/BS7</f>
        <v>0.75145830745633169</v>
      </c>
      <c r="BX7" s="661">
        <f t="shared" ref="BX7:BX32" si="25">AZ7+BE7+BJ7+BO7+BT7</f>
        <v>321953.57300000003</v>
      </c>
      <c r="BY7" s="661">
        <f t="shared" ref="BY7:BY32" si="26">BN7+AY7+BD7+BI7+BS7</f>
        <v>433987.44</v>
      </c>
      <c r="BZ7" s="663">
        <f t="shared" ref="BZ7:BZ32" si="27">BV7+BQ7+BL7+BG7+BB7</f>
        <v>282952.44999999995</v>
      </c>
      <c r="CA7" s="651">
        <f t="shared" ref="CA7:CA35" si="28">BZ7/BY7</f>
        <v>0.65198303895615028</v>
      </c>
      <c r="CB7" s="645">
        <v>95478.28</v>
      </c>
      <c r="CC7" s="639">
        <f t="shared" ref="CC7:CC32" si="29">CB7*CD7</f>
        <v>78292.189599999998</v>
      </c>
      <c r="CD7" s="633">
        <v>0.82</v>
      </c>
      <c r="CE7" s="635">
        <v>60289.73</v>
      </c>
      <c r="CF7" s="636">
        <f t="shared" ref="CF7:CF32" si="30">CE7/CB7</f>
        <v>0.63144968677692981</v>
      </c>
      <c r="CG7" s="639">
        <v>101257.7</v>
      </c>
      <c r="CH7" s="639">
        <f t="shared" ref="CH7:CH32" si="31">CG7*CI7</f>
        <v>75943.274999999994</v>
      </c>
      <c r="CI7" s="633">
        <v>0.75</v>
      </c>
      <c r="CJ7" s="635">
        <v>59429.55</v>
      </c>
      <c r="CK7" s="636">
        <f t="shared" ref="CK7:CK32" si="32">CJ7/CG7</f>
        <v>0.58691388407992684</v>
      </c>
      <c r="CL7" s="639">
        <v>101856.65</v>
      </c>
      <c r="CM7" s="639">
        <f t="shared" ref="CM7:CM32" si="33">CL7*CN7</f>
        <v>71299.654999999984</v>
      </c>
      <c r="CN7" s="633">
        <v>0.7</v>
      </c>
      <c r="CO7" s="635">
        <v>44222.55</v>
      </c>
      <c r="CP7" s="636">
        <f t="shared" ref="CP7:CP32" si="34">CO7/CL7</f>
        <v>0.43416458326481389</v>
      </c>
      <c r="CQ7" s="639">
        <v>135310.23000000001</v>
      </c>
      <c r="CR7" s="639">
        <f t="shared" ref="CR7:CR32" si="35">CQ7*CS7</f>
        <v>54124.092000000004</v>
      </c>
      <c r="CS7" s="633">
        <v>0.4</v>
      </c>
      <c r="CT7" s="635">
        <v>72120.08</v>
      </c>
      <c r="CU7" s="636">
        <f t="shared" ref="CU7:CU33" si="36">CT7/CQ7</f>
        <v>0.53299798544426391</v>
      </c>
      <c r="CV7" s="656">
        <f t="shared" ref="CV7:CV34" si="37">CR7+CM7+CH7+CC7</f>
        <v>279659.21159999998</v>
      </c>
      <c r="CW7" s="656">
        <f t="shared" ref="CW7:CW32" si="38">CB7+CG7+CL7+CQ7</f>
        <v>433902.86</v>
      </c>
      <c r="CX7" s="657">
        <f t="shared" ref="CX7:CX34" si="39">CT7+CO7+CE7+CJ7</f>
        <v>236061.91000000003</v>
      </c>
      <c r="CY7" s="654">
        <f t="shared" ref="CY7:CY32" si="40">CX7/CW7</f>
        <v>0.54404322202439515</v>
      </c>
      <c r="CZ7" s="645">
        <v>141841.79999999999</v>
      </c>
      <c r="DA7" s="639">
        <f t="shared" ref="DA7:DA32" si="41">CZ7*DB7</f>
        <v>70920.899999999994</v>
      </c>
      <c r="DB7" s="633">
        <v>0.5</v>
      </c>
      <c r="DC7" s="635">
        <v>78931.27</v>
      </c>
      <c r="DD7" s="636">
        <f t="shared" ref="DD7:DD32" si="42">DC7/CZ7</f>
        <v>0.55647397311652846</v>
      </c>
      <c r="DE7" s="639">
        <v>107933.62</v>
      </c>
      <c r="DF7" s="639">
        <f t="shared" ref="DF7:DF32" si="43">DE7*DG7</f>
        <v>64760.171999999991</v>
      </c>
      <c r="DG7" s="633">
        <v>0.6</v>
      </c>
      <c r="DH7" s="635">
        <v>88523.55</v>
      </c>
      <c r="DI7" s="636">
        <f t="shared" ref="DI7:DI33" si="44">DH7/DE7</f>
        <v>0.82016659869278918</v>
      </c>
      <c r="DJ7" s="639">
        <v>105925.81</v>
      </c>
      <c r="DK7" s="639">
        <f t="shared" ref="DK7:DK32" si="45">DJ7*DL7</f>
        <v>79444.357499999998</v>
      </c>
      <c r="DL7" s="633">
        <v>0.75</v>
      </c>
      <c r="DM7" s="635">
        <v>70856.289999999994</v>
      </c>
      <c r="DN7" s="636">
        <f t="shared" ref="DN7:DN32" si="46">DM7/DJ7</f>
        <v>0.66892374955641121</v>
      </c>
      <c r="DO7" s="639">
        <v>113117.3</v>
      </c>
      <c r="DP7" s="639">
        <f t="shared" ref="DP7:DP32" si="47">DO7*DQ7</f>
        <v>75666.848455697429</v>
      </c>
      <c r="DQ7" s="633">
        <v>0.66892374955641121</v>
      </c>
      <c r="DR7" s="635">
        <v>70433.5</v>
      </c>
      <c r="DS7" s="636">
        <f t="shared" ref="DS7:DS32" si="48">DR7/DO7</f>
        <v>0.62265895667594606</v>
      </c>
      <c r="DT7" s="656">
        <f t="shared" ref="DT7:DT34" si="49">DP7+DK7+DF7+DA7</f>
        <v>290792.27795569738</v>
      </c>
      <c r="DU7" s="656">
        <f t="shared" ref="DU7:DU33" si="50">CZ7+DE7+DJ7+DO7</f>
        <v>468818.52999999997</v>
      </c>
      <c r="DV7" s="657">
        <f t="shared" ref="DV7:DV34" si="51">DR7+DM7+DC7+DH7</f>
        <v>308744.61</v>
      </c>
      <c r="DW7" s="654">
        <f t="shared" ref="DW7:DW33" si="52">DV7/DU7</f>
        <v>0.6585588884466661</v>
      </c>
      <c r="DX7" s="645">
        <v>111915.94</v>
      </c>
      <c r="DY7" s="639">
        <f t="shared" ref="DY7:DY32" si="53">DX7*DZ7</f>
        <v>69685.462435807785</v>
      </c>
      <c r="DZ7" s="633">
        <v>0.62265895667594606</v>
      </c>
      <c r="EA7" s="635">
        <f>'Vtas Diarias 2021'!AG8</f>
        <v>70634.399999999994</v>
      </c>
      <c r="EB7" s="636">
        <f t="shared" ref="EB7:EB33" si="54">EA7/DX7</f>
        <v>0.63113797730689647</v>
      </c>
      <c r="EC7" s="639">
        <v>110709.27</v>
      </c>
      <c r="ED7" s="639">
        <f t="shared" ref="ED7:ED15" si="55">EC7*EE7</f>
        <v>66425.562000000005</v>
      </c>
      <c r="EE7" s="633">
        <v>0.6</v>
      </c>
      <c r="EF7" s="635">
        <f>'Vtas Diarias 2021'!BM8</f>
        <v>82333.400000000009</v>
      </c>
      <c r="EG7" s="636">
        <f t="shared" ref="EG7:EG33" si="56">EF7/EC7</f>
        <v>0.7436902076944415</v>
      </c>
      <c r="EH7" s="639">
        <v>139120.74</v>
      </c>
      <c r="EI7" s="639">
        <f t="shared" ref="EI7:EI15" si="57">EH7*EJ7</f>
        <v>97384.517999999982</v>
      </c>
      <c r="EJ7" s="633">
        <v>0.7</v>
      </c>
      <c r="EK7" s="635">
        <f>'Vtas Diarias 2021'!CS8</f>
        <v>83636.44</v>
      </c>
      <c r="EL7" s="636">
        <f t="shared" ref="EL7:EL33" si="58">EK7/EH7</f>
        <v>0.60117880339049379</v>
      </c>
      <c r="EM7" s="639">
        <v>117201.14</v>
      </c>
      <c r="EN7" s="639">
        <f t="shared" ref="EN7:EN15" si="59">EM7*EO7</f>
        <v>82040.797999999995</v>
      </c>
      <c r="EO7" s="633">
        <v>0.7</v>
      </c>
      <c r="EP7" s="635">
        <f>'Vtas Diarias 2021'!DY8</f>
        <v>76467.070000000007</v>
      </c>
      <c r="EQ7" s="636">
        <f t="shared" ref="EQ7:EQ33" si="60">EP7/EM7</f>
        <v>0.65244305644125988</v>
      </c>
      <c r="ER7" s="639">
        <v>106412.72</v>
      </c>
      <c r="ES7" s="639">
        <f t="shared" ref="ES7:ES15" si="61">ER7*ET7</f>
        <v>63847.631999999998</v>
      </c>
      <c r="ET7" s="633">
        <v>0.6</v>
      </c>
      <c r="EU7" s="635">
        <f>'Vtas Diarias 2021'!FE8</f>
        <v>70614.320000000007</v>
      </c>
      <c r="EV7" s="636">
        <f t="shared" ref="EV7:EV33" si="62">EU7/ER7</f>
        <v>0.66358908972536368</v>
      </c>
      <c r="EW7" s="661">
        <f t="shared" ref="EW7:EW34" si="63">ES7+EN7+EI7+ED7+DY7</f>
        <v>379383.97243580781</v>
      </c>
      <c r="EX7" s="956">
        <f t="shared" ref="EX7:EX34" si="64">DX7+EC7+EH7+EM7+ER7</f>
        <v>585359.81000000006</v>
      </c>
      <c r="EY7" s="662">
        <f t="shared" ref="EY7:EY34" si="65">EU7+EP7+EK7+EF7+EA7</f>
        <v>383685.63</v>
      </c>
      <c r="EZ7" s="654">
        <f t="shared" ref="EZ7:EZ32" si="66">EY7/EX7</f>
        <v>0.65546971870173321</v>
      </c>
      <c r="FA7" s="645">
        <v>101302.6</v>
      </c>
      <c r="FB7" s="639">
        <f t="shared" ref="FB7:FB15" si="67">FA7*FC7</f>
        <v>70911.819999999992</v>
      </c>
      <c r="FC7" s="633">
        <v>0.7</v>
      </c>
      <c r="FD7" s="635">
        <f>'Vtas Diarias 2021'!GK8</f>
        <v>85842.22</v>
      </c>
      <c r="FE7" s="636">
        <f t="shared" ref="FE7:FE33" si="68">FD7/FA7</f>
        <v>0.84738417375269737</v>
      </c>
      <c r="FF7" s="639">
        <v>115742.48</v>
      </c>
      <c r="FG7" s="639">
        <f t="shared" ref="FG7:FG15" si="69">FF7*FH7</f>
        <v>87964.284799999994</v>
      </c>
      <c r="FH7" s="633">
        <v>0.76</v>
      </c>
      <c r="FI7" s="635">
        <f>'Vtas Diarias 2021'!HQ8</f>
        <v>66959.950000000012</v>
      </c>
      <c r="FJ7" s="636">
        <f t="shared" ref="FJ7:FJ33" si="70">FI7/FF7</f>
        <v>0.5785252743849969</v>
      </c>
      <c r="FK7" s="639">
        <v>94609.08</v>
      </c>
      <c r="FL7" s="639">
        <f t="shared" ref="FL7:FL15" si="71">FK7*FM7</f>
        <v>74741.173200000005</v>
      </c>
      <c r="FM7" s="633">
        <v>0.79</v>
      </c>
      <c r="FN7" s="635">
        <f>'Vtas Diarias 2021'!IW8</f>
        <v>79246.62999999999</v>
      </c>
      <c r="FO7" s="636">
        <f t="shared" ref="FO7:FO33" si="72">FN7/FK7</f>
        <v>0.83762182234517013</v>
      </c>
      <c r="FP7" s="639">
        <v>109312.74</v>
      </c>
      <c r="FQ7" s="639">
        <f t="shared" ref="FQ7:FQ15" si="73">FP7*FR7</f>
        <v>83077.682400000005</v>
      </c>
      <c r="FR7" s="633">
        <v>0.76</v>
      </c>
      <c r="FS7" s="635">
        <f>'Vtas Diarias 2021'!KC8</f>
        <v>63570.3</v>
      </c>
      <c r="FT7" s="636">
        <f t="shared" ref="FT7:FT33" si="74">FS7/FP7</f>
        <v>0.58154520689903111</v>
      </c>
      <c r="FU7" s="661">
        <f t="shared" ref="FU7:FU34" si="75">FQ7+FL7+FG7+FB7</f>
        <v>316694.96039999998</v>
      </c>
      <c r="FV7" s="661">
        <f t="shared" ref="FV7:FV34" si="76">FA7+FF7+FK7+FP7</f>
        <v>420966.9</v>
      </c>
      <c r="FW7" s="663">
        <f t="shared" ref="FW7:FW34" si="77">FS7+FN7+FD7+FI7</f>
        <v>295619.09999999998</v>
      </c>
      <c r="FX7" s="651">
        <f t="shared" ref="FX7:FX34" si="78">IFERROR(FW7/FV7,0)</f>
        <v>0.70223834700542953</v>
      </c>
      <c r="FY7" s="645">
        <v>95936.46</v>
      </c>
      <c r="FZ7" s="639">
        <f t="shared" ref="FZ7:FZ15" si="79">FY7*GA7</f>
        <v>71952.345000000001</v>
      </c>
      <c r="GA7" s="633">
        <v>0.75</v>
      </c>
      <c r="GB7" s="635">
        <f>'Vtas Diarias 2021'!LI8</f>
        <v>58005.86</v>
      </c>
      <c r="GC7" s="636">
        <f t="shared" ref="GC7:GC33" si="80">GB7/FY7</f>
        <v>0.60462789642227777</v>
      </c>
      <c r="GD7" s="639">
        <v>92966.86</v>
      </c>
      <c r="GE7" s="639">
        <f t="shared" ref="GE7:GE15" si="81">GD7*GF7</f>
        <v>75303.156600000002</v>
      </c>
      <c r="GF7" s="633">
        <v>0.81</v>
      </c>
      <c r="GG7" s="635">
        <f>'Vtas Diarias 2021'!MO8</f>
        <v>55792.119999999995</v>
      </c>
      <c r="GH7" s="636">
        <f t="shared" ref="GH7:GH33" si="82">GG7/GD7</f>
        <v>0.60012912128042184</v>
      </c>
      <c r="GI7" s="639">
        <v>94006.01</v>
      </c>
      <c r="GJ7" s="639">
        <f t="shared" ref="GJ7:GJ15" si="83">GI7*GK7</f>
        <v>75204.808000000005</v>
      </c>
      <c r="GK7" s="633">
        <v>0.8</v>
      </c>
      <c r="GL7" s="635">
        <f>'Vtas Diarias 2021'!NU8</f>
        <v>53566.68</v>
      </c>
      <c r="GM7" s="636">
        <f t="shared" ref="GM7:GM34" si="84">GL7/GI7</f>
        <v>0.56982186564454762</v>
      </c>
      <c r="GN7" s="639">
        <v>89026.66</v>
      </c>
      <c r="GO7" s="639">
        <f t="shared" ref="GO7:GO15" si="85">GN7*GP7</f>
        <v>64989.461800000005</v>
      </c>
      <c r="GP7" s="633">
        <v>0.73</v>
      </c>
      <c r="GQ7" s="635">
        <f>'Vtas Diarias 2021'!PA8</f>
        <v>58791.539999999994</v>
      </c>
      <c r="GR7" s="636">
        <f>GQ7/GN7</f>
        <v>0.66038128353911052</v>
      </c>
      <c r="GS7" s="661">
        <f t="shared" ref="GS7:GS34" si="86">GO7+GJ7+GE7+FZ7</f>
        <v>287449.77139999997</v>
      </c>
      <c r="GT7" s="661">
        <f t="shared" ref="GT7:GT34" si="87">FY7+GD7+GI7+GN7</f>
        <v>371935.99</v>
      </c>
      <c r="GU7" s="662">
        <f t="shared" ref="GU7:GU34" si="88">GQ7+GL7+GB7+GG7</f>
        <v>226156.2</v>
      </c>
      <c r="GV7" s="1598">
        <f t="shared" ref="GV7:GV34" si="89">IFERROR(GU7/GT7,0)</f>
        <v>0.60805140153282833</v>
      </c>
      <c r="GW7" s="645">
        <v>83326</v>
      </c>
      <c r="GX7" s="639">
        <f t="shared" ref="GX7:GX15" si="90">GW7*GY7</f>
        <v>63327.76</v>
      </c>
      <c r="GY7" s="633">
        <v>0.76</v>
      </c>
      <c r="GZ7" s="635">
        <f>'Vtas Diarias 2021'!QG8</f>
        <v>59796.2</v>
      </c>
      <c r="HA7" s="636">
        <f t="shared" ref="HA7:HA34" si="91">GZ7/GW7</f>
        <v>0.71761755034443031</v>
      </c>
      <c r="HB7" s="639">
        <v>85485.83</v>
      </c>
      <c r="HC7" s="639">
        <f t="shared" ref="HC7:HC15" si="92">HB7*HD7</f>
        <v>66678.947400000005</v>
      </c>
      <c r="HD7" s="633">
        <v>0.78</v>
      </c>
      <c r="HE7" s="635">
        <f>'Vtas Diarias 2021'!RM8</f>
        <v>48360.210000000006</v>
      </c>
      <c r="HF7" s="636">
        <f t="shared" ref="HF7:HF34" si="93">HE7/HB7</f>
        <v>0.56571024694969918</v>
      </c>
      <c r="HG7" s="639">
        <v>84357.78</v>
      </c>
      <c r="HH7" s="639">
        <f t="shared" ref="HH7:HH15" si="94">HG7*HI7</f>
        <v>64955.490599999997</v>
      </c>
      <c r="HI7" s="633">
        <v>0.77</v>
      </c>
      <c r="HJ7" s="635">
        <f>'Vtas Diarias 2021'!SS8</f>
        <v>53881.58</v>
      </c>
      <c r="HK7" s="636">
        <f t="shared" ref="HK7:HK33" si="95">HJ7/HG7</f>
        <v>0.63872686075901952</v>
      </c>
      <c r="HL7" s="639">
        <v>79543.8</v>
      </c>
      <c r="HM7" s="639">
        <f t="shared" ref="HM7:HM15" si="96">HL7*HN7</f>
        <v>60453.288</v>
      </c>
      <c r="HN7" s="633">
        <v>0.76</v>
      </c>
      <c r="HO7" s="635">
        <f>'Vtas Diarias 2021'!TY8</f>
        <v>43835.71</v>
      </c>
      <c r="HP7" s="808">
        <f t="shared" ref="HP7:HP34" si="97">HO7/HL7</f>
        <v>0.55108895979322081</v>
      </c>
      <c r="HQ7" s="639">
        <v>90085.49</v>
      </c>
      <c r="HR7" s="639">
        <f t="shared" ref="HR7:HR15" si="98">HQ7*HS7</f>
        <v>68464.972399999999</v>
      </c>
      <c r="HS7" s="633">
        <v>0.76</v>
      </c>
      <c r="HT7" s="635">
        <f>'Vtas Diarias 2021'!VE8</f>
        <v>54948.26</v>
      </c>
      <c r="HU7" s="636">
        <f t="shared" ref="HU7:HU33" si="99">HT7/HQ7</f>
        <v>0.60995683100574793</v>
      </c>
      <c r="HV7" s="661">
        <f t="shared" ref="HV7:HV34" si="100">HR7+HM7+HH7+HC7+GX7</f>
        <v>323880.4584</v>
      </c>
      <c r="HW7" s="661">
        <f t="shared" ref="HW7:HW34" si="101">GW7+HB7+HG7+HL7+HQ7</f>
        <v>422798.9</v>
      </c>
      <c r="HX7" s="663">
        <f t="shared" ref="HX7:HX34" si="102">HT7+HO7+HJ7+HE7+GZ7</f>
        <v>260821.96000000002</v>
      </c>
      <c r="HY7" s="651">
        <f t="shared" ref="HY7:HY34" si="103">IFERROR(HX7/HW7,0)</f>
        <v>0.61689365795417161</v>
      </c>
      <c r="HZ7" s="645">
        <v>76707.34</v>
      </c>
      <c r="IA7" s="639">
        <f t="shared" ref="IA7:IA15" si="104">HZ7*IB7</f>
        <v>46791.477399999996</v>
      </c>
      <c r="IB7" s="633">
        <v>0.61</v>
      </c>
      <c r="IC7" s="635">
        <f>'Vtas Diarias 2021'!WK8</f>
        <v>56797.69</v>
      </c>
      <c r="ID7" s="636">
        <f>IC7/HZ7</f>
        <v>0.74044661175840543</v>
      </c>
      <c r="IE7" s="639">
        <v>83315.600000000006</v>
      </c>
      <c r="IF7" s="639">
        <f t="shared" ref="IF7:IF15" si="105">IE7*IG7</f>
        <v>52488.828000000001</v>
      </c>
      <c r="IG7" s="633">
        <v>0.63</v>
      </c>
      <c r="IH7" s="635">
        <f>'Vtas Diarias 2021'!XQ8</f>
        <v>53595.360000000001</v>
      </c>
      <c r="II7" s="636">
        <f t="shared" ref="II7:II33" si="106">IH7/IE7</f>
        <v>0.64328121024153939</v>
      </c>
      <c r="IJ7" s="639">
        <v>88061.57</v>
      </c>
      <c r="IK7" s="639">
        <f t="shared" ref="IK7:IK15" si="107">IJ7*IL7</f>
        <v>58120.636200000008</v>
      </c>
      <c r="IL7" s="633">
        <v>0.66</v>
      </c>
      <c r="IM7" s="635">
        <f>'Vtas Diarias 2021'!YW8</f>
        <v>59737.250000000007</v>
      </c>
      <c r="IN7" s="636">
        <f t="shared" ref="IN7:IN33" si="108">IM7/IJ7</f>
        <v>0.67835776718493668</v>
      </c>
      <c r="IO7" s="639">
        <v>116200.44</v>
      </c>
      <c r="IP7" s="639">
        <f t="shared" ref="IP7:IP15" si="109">IO7*IQ7</f>
        <v>80178.303599999999</v>
      </c>
      <c r="IQ7" s="633">
        <v>0.69</v>
      </c>
      <c r="IR7" s="635">
        <f>'Vtas Diarias 2021'!AAC8</f>
        <v>89233.89</v>
      </c>
      <c r="IS7" s="636">
        <f t="shared" ref="IS7:IS33" si="110">IR7/IO7</f>
        <v>0.7679307410539925</v>
      </c>
      <c r="IT7" s="1577">
        <f t="shared" ref="IT7:IT34" si="111">IP7+IK7+IF7+IA7</f>
        <v>237579.2452</v>
      </c>
      <c r="IU7" s="1577">
        <f t="shared" ref="IU7:IU34" si="112">HZ7+IE7+IJ7+IO7</f>
        <v>364284.95</v>
      </c>
      <c r="IV7" s="1578">
        <f t="shared" ref="IV7:IV34" si="113">IC7+IH7+IM7+IR7</f>
        <v>259364.19</v>
      </c>
      <c r="IW7" s="654">
        <f t="shared" ref="IW7:IW34" si="114">IFERROR(IV7/IU7,0)</f>
        <v>0.71198162317713098</v>
      </c>
      <c r="IX7" s="645">
        <v>95311.47</v>
      </c>
      <c r="IY7" s="639">
        <f t="shared" ref="IY7:IY15" si="115">IX7*IZ7</f>
        <v>76249.176000000007</v>
      </c>
      <c r="IZ7" s="633">
        <v>0.8</v>
      </c>
      <c r="JA7" s="635">
        <f>'Vtas Diarias 2021'!ABI8</f>
        <v>65173.56</v>
      </c>
      <c r="JB7" s="636">
        <f t="shared" ref="JB7:JB33" si="116">JA7/IX7</f>
        <v>0.68379555996775621</v>
      </c>
      <c r="JC7" s="639">
        <v>105983.64</v>
      </c>
      <c r="JD7" s="639">
        <f t="shared" ref="JD7:JD15" si="117">JC7*JE7</f>
        <v>84786.912000000011</v>
      </c>
      <c r="JE7" s="633">
        <v>0.8</v>
      </c>
      <c r="JF7" s="635">
        <f>'Vtas Diarias 2021'!ACO8</f>
        <v>72948.47</v>
      </c>
      <c r="JG7" s="636">
        <f t="shared" ref="JG7:JG33" si="118">JF7/JC7</f>
        <v>0.68829934506872947</v>
      </c>
      <c r="JH7" s="639">
        <v>127377.7</v>
      </c>
      <c r="JI7" s="639">
        <f t="shared" ref="JI7:JI15" si="119">JH7*JJ7</f>
        <v>101902.16</v>
      </c>
      <c r="JJ7" s="633">
        <v>0.8</v>
      </c>
      <c r="JK7" s="635">
        <f>'Vtas Diarias 2021'!ADU8</f>
        <v>79131.239999999991</v>
      </c>
      <c r="JL7" s="636">
        <f t="shared" ref="JL7:JL33" si="120">JK7/JH7</f>
        <v>0.62123307297902219</v>
      </c>
      <c r="JM7" s="639">
        <v>127000.51</v>
      </c>
      <c r="JN7" s="639">
        <f t="shared" ref="JN7:JN15" si="121">JM7*JO7</f>
        <v>82550.3315</v>
      </c>
      <c r="JO7" s="633">
        <v>0.65</v>
      </c>
      <c r="JP7" s="635">
        <f>'Vtas Diarias 2021'!AFA8</f>
        <v>94490.14</v>
      </c>
      <c r="JQ7" s="636">
        <f t="shared" ref="JQ7:JR33" si="122">JP7/JM7</f>
        <v>0.7440138626214966</v>
      </c>
      <c r="JR7" s="636">
        <f t="shared" si="122"/>
        <v>9.0128513005607566E-6</v>
      </c>
      <c r="JS7" s="1577">
        <f t="shared" ref="JS7:JS34" si="123">JN7+JI7+JD7+IY7</f>
        <v>345488.57949999999</v>
      </c>
      <c r="JT7" s="1577">
        <f t="shared" ref="JT7:JT34" si="124">IX7+JC7+JH7+JM7</f>
        <v>455673.32</v>
      </c>
      <c r="JU7" s="1582">
        <f t="shared" ref="JU7:JU34" si="125">JP7+JK7+JA7+JF7</f>
        <v>311743.41000000003</v>
      </c>
      <c r="JV7" s="651">
        <f t="shared" ref="JV7:JV34" si="126">IFERROR(JU7/JT7,0)</f>
        <v>0.68413794777363757</v>
      </c>
      <c r="JW7" s="645">
        <v>174798.36</v>
      </c>
      <c r="JX7" s="639">
        <f t="shared" ref="JX7:JX15" si="127">JW7*JY7</f>
        <v>113618.93399999999</v>
      </c>
      <c r="JY7" s="633">
        <v>0.65</v>
      </c>
      <c r="JZ7" s="635">
        <f>'Vtas Diarias 2021'!AGG8</f>
        <v>122321.46000000002</v>
      </c>
      <c r="KA7" s="636">
        <f t="shared" ref="KA7:KA34" si="128">JZ7/JW7</f>
        <v>0.69978608494953864</v>
      </c>
      <c r="KB7" s="639">
        <v>188422.17</v>
      </c>
      <c r="KC7" s="639">
        <f t="shared" ref="KC7:KC15" si="129">KB7*KD7</f>
        <v>124358.63220000001</v>
      </c>
      <c r="KD7" s="633">
        <v>0.66</v>
      </c>
      <c r="KE7" s="635">
        <f>'Vtas Diarias 2021'!AHM8</f>
        <v>127467.86</v>
      </c>
      <c r="KF7" s="636">
        <f t="shared" ref="KF7:KF34" si="130">KE7/KB7</f>
        <v>0.67650139046801128</v>
      </c>
      <c r="KG7" s="639">
        <v>260291.18</v>
      </c>
      <c r="KH7" s="639">
        <f t="shared" ref="KH7:KH15" si="131">KG7*KI7</f>
        <v>171792.17879999999</v>
      </c>
      <c r="KI7" s="633">
        <v>0.66</v>
      </c>
      <c r="KJ7" s="635">
        <f>'Vtas Diarias 2021'!AIS8</f>
        <v>136186.95000000001</v>
      </c>
      <c r="KK7" s="636">
        <f t="shared" ref="KK7:KK34" si="132">KJ7/KG7</f>
        <v>0.52321000657801775</v>
      </c>
      <c r="KL7" s="639">
        <v>268158.44</v>
      </c>
      <c r="KM7" s="1601">
        <f t="shared" ref="KM7:KM15" si="133">KL7*KN7</f>
        <v>305700.62159999995</v>
      </c>
      <c r="KN7" s="1615">
        <v>1.1399999999999999</v>
      </c>
      <c r="KO7" s="1602">
        <f>'Vtas Diarias 2021'!AJY8</f>
        <v>280077.43</v>
      </c>
      <c r="KP7" s="636">
        <f t="shared" ref="KP7:KP34" si="134">KO7/KL7</f>
        <v>1.0444475661478341</v>
      </c>
      <c r="KQ7" s="639">
        <v>91862.36</v>
      </c>
      <c r="KR7" s="1601">
        <f t="shared" ref="KR7:KR15" si="135">KQ7*KS7</f>
        <v>68896.77</v>
      </c>
      <c r="KS7" s="1616">
        <v>0.75</v>
      </c>
      <c r="KT7" s="1602">
        <f>'Vtas Diarias 2021'!ALE8</f>
        <v>83869.109999999986</v>
      </c>
      <c r="KU7" s="636">
        <f t="shared" ref="KU7:KU33" si="136">KT7/KQ7</f>
        <v>0.91298666831551012</v>
      </c>
      <c r="KV7" s="1577">
        <f t="shared" ref="KV7:KV34" si="137">KR7+KM7+KH7+KC7+JX7</f>
        <v>784367.13659999997</v>
      </c>
      <c r="KW7" s="1577">
        <f t="shared" si="2"/>
        <v>983532.50999999989</v>
      </c>
      <c r="KX7" s="1578">
        <f t="shared" si="3"/>
        <v>749922.81</v>
      </c>
      <c r="KY7" s="959">
        <f t="shared" ref="KY7:KY34" si="138">IFERROR(KX7/KW7,0)</f>
        <v>0.76247892405712159</v>
      </c>
      <c r="KZ7" s="1508">
        <f>C7+H7+M7+R7+AA7+AF7+AK7+AP7+AY7+BD7+BI7+BN7+BS7+CB7+CG7+CL7+CQ7+CZ7+DE7+DJ7+DO7+DX7+EC7+EH7+EM7+ER7+FA7+FF7+FK7+FP7+FY7+GD7+GI7+GN7+GW7+HB7+HG7+HL7+HQ7+HZ7+IE7+IJ7+IO7+IX7+JC7+JH7+JM7+JW7+KB7+KG7++KL7+KQ7</f>
        <v>5528181.6400000006</v>
      </c>
      <c r="LA7" s="811">
        <f>Y7+AW7+BZ7+CX7+DV7+EY7+FW7+GU7+HV7+IT7+JS7+KV7</f>
        <v>3815074.9797</v>
      </c>
      <c r="LB7" s="1509">
        <f t="shared" ref="LB6:LB34" si="139">X7+AV7+BY7+CW7+DU7+EX7+FV7+GT7+HW7+IU7+JT7+KW7</f>
        <v>5528181.6399999997</v>
      </c>
      <c r="LC7" s="811">
        <f t="shared" ref="LC6:LC34" si="140">Y7+AW7+BZ7+CX7+DV7+EY7+FW7+GU7+HX7+IV7+JU7+KX7</f>
        <v>3705611.93</v>
      </c>
      <c r="LD7" s="1575">
        <f t="shared" si="4"/>
        <v>-1822569.7099999995</v>
      </c>
      <c r="LE7" s="1594">
        <f t="shared" ref="LE7:LE34" si="141">LC7/KZ7</f>
        <v>0.67031298378249371</v>
      </c>
      <c r="LF7" s="1008">
        <f>LA7/KZ7</f>
        <v>0.69011389786750921</v>
      </c>
    </row>
    <row r="8" spans="1:318" outlineLevel="1">
      <c r="A8" s="1495"/>
      <c r="B8" s="687" t="s">
        <v>471</v>
      </c>
      <c r="C8" s="645">
        <v>48302.400000000001</v>
      </c>
      <c r="D8" s="639">
        <v>50717.52</v>
      </c>
      <c r="E8" s="633">
        <v>1.05</v>
      </c>
      <c r="F8" s="635">
        <v>43169.3</v>
      </c>
      <c r="G8" s="636">
        <f t="shared" si="5"/>
        <v>0.89372991818211933</v>
      </c>
      <c r="H8" s="639">
        <v>45414.19</v>
      </c>
      <c r="I8" s="639">
        <v>47684.9</v>
      </c>
      <c r="J8" s="633">
        <v>1.05</v>
      </c>
      <c r="K8" s="635">
        <v>36952.089999999997</v>
      </c>
      <c r="L8" s="636">
        <f t="shared" si="6"/>
        <v>0.81366837105318834</v>
      </c>
      <c r="M8" s="639">
        <v>54193.78</v>
      </c>
      <c r="N8" s="639">
        <v>56903.47</v>
      </c>
      <c r="O8" s="633">
        <v>1.05</v>
      </c>
      <c r="P8" s="635">
        <v>36998.49</v>
      </c>
      <c r="Q8" s="636">
        <f t="shared" si="7"/>
        <v>0.68270731438183496</v>
      </c>
      <c r="R8" s="639">
        <v>53522.42</v>
      </c>
      <c r="S8" s="639">
        <v>56198.54</v>
      </c>
      <c r="T8" s="633">
        <v>1.05</v>
      </c>
      <c r="U8" s="635">
        <v>30968.18</v>
      </c>
      <c r="V8" s="636">
        <f t="shared" si="8"/>
        <v>0.57860201388502241</v>
      </c>
      <c r="W8" s="639">
        <f t="shared" si="0"/>
        <v>211504.43000000002</v>
      </c>
      <c r="X8" s="639">
        <f t="shared" si="1"/>
        <v>201432.78999999998</v>
      </c>
      <c r="Y8" s="666">
        <f t="shared" si="9"/>
        <v>148088.06</v>
      </c>
      <c r="Z8" s="646">
        <f t="shared" si="10"/>
        <v>0.73517355342196278</v>
      </c>
      <c r="AA8" s="645">
        <v>62581.75</v>
      </c>
      <c r="AB8" s="639">
        <v>65710.84</v>
      </c>
      <c r="AC8" s="633">
        <v>1.05</v>
      </c>
      <c r="AD8" s="635">
        <v>46920.81</v>
      </c>
      <c r="AE8" s="636">
        <f t="shared" si="11"/>
        <v>0.74975228401251159</v>
      </c>
      <c r="AF8" s="639">
        <v>74318.320000000007</v>
      </c>
      <c r="AG8" s="639">
        <v>78034.23</v>
      </c>
      <c r="AH8" s="633">
        <v>1.05</v>
      </c>
      <c r="AI8" s="635">
        <v>51089.96</v>
      </c>
      <c r="AJ8" s="636">
        <f t="shared" si="12"/>
        <v>0.68744772486783867</v>
      </c>
      <c r="AK8" s="639">
        <v>55093.03</v>
      </c>
      <c r="AL8" s="639">
        <v>57847.68</v>
      </c>
      <c r="AM8" s="633">
        <v>1.05</v>
      </c>
      <c r="AN8" s="635">
        <v>34738.32</v>
      </c>
      <c r="AO8" s="636">
        <f t="shared" si="13"/>
        <v>0.63053928963427863</v>
      </c>
      <c r="AP8" s="639">
        <v>61718.02</v>
      </c>
      <c r="AQ8" s="639">
        <v>64803.92</v>
      </c>
      <c r="AR8" s="633">
        <v>1.05</v>
      </c>
      <c r="AS8" s="635">
        <v>44974.400000000001</v>
      </c>
      <c r="AT8" s="636">
        <v>0.88</v>
      </c>
      <c r="AU8" s="639">
        <f t="shared" si="14"/>
        <v>266396.67</v>
      </c>
      <c r="AV8" s="639">
        <f t="shared" si="15"/>
        <v>253711.12</v>
      </c>
      <c r="AW8" s="778">
        <f t="shared" si="16"/>
        <v>177723.49</v>
      </c>
      <c r="AX8" s="665">
        <f t="shared" si="17"/>
        <v>0.70049546902004134</v>
      </c>
      <c r="AY8" s="645">
        <v>63163.09</v>
      </c>
      <c r="AZ8" s="639">
        <v>66321.240000000005</v>
      </c>
      <c r="BA8" s="633">
        <v>1.05</v>
      </c>
      <c r="BB8" s="635">
        <v>36962.82</v>
      </c>
      <c r="BC8" s="636">
        <f t="shared" si="18"/>
        <v>0.58519651271019202</v>
      </c>
      <c r="BD8" s="639">
        <v>67007.66</v>
      </c>
      <c r="BE8" s="639">
        <v>68347.820000000007</v>
      </c>
      <c r="BF8" s="633">
        <v>1.02</v>
      </c>
      <c r="BG8" s="635">
        <v>45259.1</v>
      </c>
      <c r="BH8" s="636">
        <f t="shared" si="19"/>
        <v>0.67543173422262459</v>
      </c>
      <c r="BI8" s="639">
        <v>76327.710000000006</v>
      </c>
      <c r="BJ8" s="639">
        <v>30531.08</v>
      </c>
      <c r="BK8" s="633">
        <v>0.4</v>
      </c>
      <c r="BL8" s="635">
        <v>50014.37</v>
      </c>
      <c r="BM8" s="636">
        <f t="shared" si="20"/>
        <v>0.65525835898915341</v>
      </c>
      <c r="BN8" s="639">
        <v>72273.08</v>
      </c>
      <c r="BO8" s="639">
        <f t="shared" si="21"/>
        <v>46977.502</v>
      </c>
      <c r="BP8" s="633">
        <v>0.65</v>
      </c>
      <c r="BQ8" s="635">
        <v>50053.14</v>
      </c>
      <c r="BR8" s="636">
        <f t="shared" si="22"/>
        <v>0.69255578979061083</v>
      </c>
      <c r="BS8" s="639">
        <v>71815.039999999994</v>
      </c>
      <c r="BT8" s="639">
        <f t="shared" si="23"/>
        <v>46679.775999999998</v>
      </c>
      <c r="BU8" s="633">
        <v>0.65</v>
      </c>
      <c r="BV8" s="635">
        <v>58979.51</v>
      </c>
      <c r="BW8" s="636">
        <f t="shared" si="24"/>
        <v>0.8212696114908522</v>
      </c>
      <c r="BX8" s="661">
        <f t="shared" si="25"/>
        <v>258857.41800000001</v>
      </c>
      <c r="BY8" s="661">
        <f t="shared" si="26"/>
        <v>350586.57999999996</v>
      </c>
      <c r="BZ8" s="663">
        <f t="shared" si="27"/>
        <v>241268.94</v>
      </c>
      <c r="CA8" s="651">
        <f t="shared" si="28"/>
        <v>0.6881864673770457</v>
      </c>
      <c r="CB8" s="645">
        <v>74694.81</v>
      </c>
      <c r="CC8" s="639">
        <f t="shared" si="29"/>
        <v>61249.744199999994</v>
      </c>
      <c r="CD8" s="633">
        <v>0.82</v>
      </c>
      <c r="CE8" s="635">
        <v>55889.59</v>
      </c>
      <c r="CF8" s="636">
        <f t="shared" si="30"/>
        <v>0.74823926856497791</v>
      </c>
      <c r="CG8" s="639">
        <v>73546.87</v>
      </c>
      <c r="CH8" s="639">
        <f t="shared" si="31"/>
        <v>55160.152499999997</v>
      </c>
      <c r="CI8" s="633">
        <v>0.75</v>
      </c>
      <c r="CJ8" s="635">
        <v>51226.8</v>
      </c>
      <c r="CK8" s="636">
        <f t="shared" si="32"/>
        <v>0.69651910407608109</v>
      </c>
      <c r="CL8" s="639">
        <v>77311.91</v>
      </c>
      <c r="CM8" s="639">
        <f t="shared" si="33"/>
        <v>54118.337</v>
      </c>
      <c r="CN8" s="633">
        <v>0.7</v>
      </c>
      <c r="CO8" s="635">
        <v>45036.68</v>
      </c>
      <c r="CP8" s="636">
        <f t="shared" si="34"/>
        <v>0.58253223856453684</v>
      </c>
      <c r="CQ8" s="639">
        <v>111360.03</v>
      </c>
      <c r="CR8" s="639">
        <f t="shared" si="35"/>
        <v>44544.012000000002</v>
      </c>
      <c r="CS8" s="633">
        <v>0.4</v>
      </c>
      <c r="CT8" s="635">
        <v>68356.39</v>
      </c>
      <c r="CU8" s="636">
        <f t="shared" si="36"/>
        <v>0.61383235977935713</v>
      </c>
      <c r="CV8" s="656">
        <f t="shared" si="37"/>
        <v>215072.2457</v>
      </c>
      <c r="CW8" s="656">
        <f t="shared" si="38"/>
        <v>336913.62</v>
      </c>
      <c r="CX8" s="657">
        <f t="shared" si="39"/>
        <v>220509.46000000002</v>
      </c>
      <c r="CY8" s="654">
        <f t="shared" si="40"/>
        <v>0.65449850320684577</v>
      </c>
      <c r="CZ8" s="645">
        <v>100649.29</v>
      </c>
      <c r="DA8" s="639">
        <f t="shared" si="41"/>
        <v>50324.644999999997</v>
      </c>
      <c r="DB8" s="633">
        <v>0.5</v>
      </c>
      <c r="DC8" s="635">
        <v>65359.68</v>
      </c>
      <c r="DD8" s="636">
        <f t="shared" si="42"/>
        <v>0.64938043775569609</v>
      </c>
      <c r="DE8" s="639">
        <v>79315.570000000007</v>
      </c>
      <c r="DF8" s="639">
        <f t="shared" si="43"/>
        <v>47589.342000000004</v>
      </c>
      <c r="DG8" s="633">
        <v>0.6</v>
      </c>
      <c r="DH8" s="635">
        <v>83423.850000000006</v>
      </c>
      <c r="DI8" s="636">
        <f t="shared" si="44"/>
        <v>1.0517966396761695</v>
      </c>
      <c r="DJ8" s="639">
        <v>74267.03</v>
      </c>
      <c r="DK8" s="639">
        <f t="shared" si="45"/>
        <v>55700.272499999999</v>
      </c>
      <c r="DL8" s="633">
        <v>0.75</v>
      </c>
      <c r="DM8" s="635">
        <v>65098.21</v>
      </c>
      <c r="DN8" s="636">
        <f t="shared" si="46"/>
        <v>0.87654252499393071</v>
      </c>
      <c r="DO8" s="639">
        <v>75494.490000000005</v>
      </c>
      <c r="DP8" s="639">
        <f t="shared" si="47"/>
        <v>66174.130887729058</v>
      </c>
      <c r="DQ8" s="633">
        <v>0.87654252499393071</v>
      </c>
      <c r="DR8" s="635">
        <v>61513.95</v>
      </c>
      <c r="DS8" s="636">
        <f t="shared" si="48"/>
        <v>0.81481376985260767</v>
      </c>
      <c r="DT8" s="656">
        <f t="shared" si="49"/>
        <v>219788.39038772904</v>
      </c>
      <c r="DU8" s="656">
        <f t="shared" si="50"/>
        <v>329726.38</v>
      </c>
      <c r="DV8" s="657">
        <f t="shared" si="51"/>
        <v>275395.69</v>
      </c>
      <c r="DW8" s="654">
        <f t="shared" si="52"/>
        <v>0.83522492194892017</v>
      </c>
      <c r="DX8" s="645">
        <v>75895.5</v>
      </c>
      <c r="DY8" s="639">
        <f t="shared" si="53"/>
        <v>61840.698469848583</v>
      </c>
      <c r="DZ8" s="633">
        <v>0.81481376985260767</v>
      </c>
      <c r="EA8" s="635">
        <f>'Vtas Diarias 2021'!AG9</f>
        <v>63516.75</v>
      </c>
      <c r="EB8" s="636">
        <f t="shared" si="54"/>
        <v>0.83689744451252046</v>
      </c>
      <c r="EC8" s="639">
        <v>81562.39</v>
      </c>
      <c r="ED8" s="639">
        <f t="shared" si="55"/>
        <v>65249.912000000004</v>
      </c>
      <c r="EE8" s="633">
        <v>0.8</v>
      </c>
      <c r="EF8" s="635">
        <f>'Vtas Diarias 2021'!BM9</f>
        <v>70690.350000000006</v>
      </c>
      <c r="EG8" s="636">
        <f t="shared" si="56"/>
        <v>0.86670277808190765</v>
      </c>
      <c r="EH8" s="639">
        <v>89530.03</v>
      </c>
      <c r="EI8" s="639">
        <f t="shared" si="57"/>
        <v>62671.020999999993</v>
      </c>
      <c r="EJ8" s="633">
        <v>0.7</v>
      </c>
      <c r="EK8" s="635">
        <f>'Vtas Diarias 2021'!CS9</f>
        <v>67564.009999999995</v>
      </c>
      <c r="EL8" s="636">
        <f t="shared" si="58"/>
        <v>0.75465193075440717</v>
      </c>
      <c r="EM8" s="639">
        <v>95229.55</v>
      </c>
      <c r="EN8" s="639">
        <f t="shared" si="59"/>
        <v>66660.684999999998</v>
      </c>
      <c r="EO8" s="633">
        <v>0.7</v>
      </c>
      <c r="EP8" s="635">
        <f>'Vtas Diarias 2021'!DY9</f>
        <v>62504.2</v>
      </c>
      <c r="EQ8" s="636">
        <f t="shared" si="60"/>
        <v>0.65635299127214186</v>
      </c>
      <c r="ER8" s="639">
        <v>89454.57</v>
      </c>
      <c r="ES8" s="639">
        <f t="shared" si="61"/>
        <v>53672.742000000006</v>
      </c>
      <c r="ET8" s="633">
        <v>0.6</v>
      </c>
      <c r="EU8" s="635">
        <f>'Vtas Diarias 2021'!FE9</f>
        <v>57016.510000000009</v>
      </c>
      <c r="EV8" s="636">
        <f t="shared" si="62"/>
        <v>0.63737951006863047</v>
      </c>
      <c r="EW8" s="661">
        <f t="shared" si="63"/>
        <v>310095.05846984859</v>
      </c>
      <c r="EX8" s="956">
        <f t="shared" si="64"/>
        <v>431672.04000000004</v>
      </c>
      <c r="EY8" s="662">
        <f t="shared" si="65"/>
        <v>321291.82</v>
      </c>
      <c r="EZ8" s="654">
        <f t="shared" si="66"/>
        <v>0.74429610961136139</v>
      </c>
      <c r="FA8" s="645">
        <v>74493.119999999995</v>
      </c>
      <c r="FB8" s="639">
        <f t="shared" si="67"/>
        <v>52145.183999999994</v>
      </c>
      <c r="FC8" s="633">
        <v>0.7</v>
      </c>
      <c r="FD8" s="635">
        <f>'Vtas Diarias 2021'!GK9</f>
        <v>70646.53</v>
      </c>
      <c r="FE8" s="636">
        <f t="shared" si="68"/>
        <v>0.94836315085205192</v>
      </c>
      <c r="FF8" s="639">
        <v>75574.460000000006</v>
      </c>
      <c r="FG8" s="639">
        <f t="shared" si="69"/>
        <v>57436.589600000007</v>
      </c>
      <c r="FH8" s="633">
        <v>0.76</v>
      </c>
      <c r="FI8" s="635">
        <f>'Vtas Diarias 2021'!HQ9</f>
        <v>68218.05</v>
      </c>
      <c r="FJ8" s="636">
        <f t="shared" si="70"/>
        <v>0.90266010501431304</v>
      </c>
      <c r="FK8" s="639">
        <v>86863.84</v>
      </c>
      <c r="FL8" s="639">
        <f t="shared" si="71"/>
        <v>68622.433600000004</v>
      </c>
      <c r="FM8" s="633">
        <v>0.79</v>
      </c>
      <c r="FN8" s="635">
        <f>'Vtas Diarias 2021'!IW9</f>
        <v>56289.84</v>
      </c>
      <c r="FO8" s="636">
        <f t="shared" si="72"/>
        <v>0.64802384974000693</v>
      </c>
      <c r="FP8" s="639">
        <v>75127.259999999995</v>
      </c>
      <c r="FQ8" s="639">
        <f t="shared" si="73"/>
        <v>57096.717599999996</v>
      </c>
      <c r="FR8" s="633">
        <v>0.76</v>
      </c>
      <c r="FS8" s="635">
        <f>'Vtas Diarias 2021'!KC9</f>
        <v>60178.95</v>
      </c>
      <c r="FT8" s="636">
        <f t="shared" si="74"/>
        <v>0.80102681769573392</v>
      </c>
      <c r="FU8" s="661">
        <f t="shared" si="75"/>
        <v>235300.92479999998</v>
      </c>
      <c r="FV8" s="661">
        <f t="shared" si="76"/>
        <v>312058.68</v>
      </c>
      <c r="FW8" s="663">
        <f t="shared" si="77"/>
        <v>255333.37</v>
      </c>
      <c r="FX8" s="651">
        <f t="shared" si="78"/>
        <v>0.81822229716539208</v>
      </c>
      <c r="FY8" s="645">
        <v>73478.61</v>
      </c>
      <c r="FZ8" s="639">
        <f t="shared" si="79"/>
        <v>55108.957500000004</v>
      </c>
      <c r="GA8" s="633">
        <v>0.75</v>
      </c>
      <c r="GB8" s="635">
        <f>'Vtas Diarias 2021'!LI9</f>
        <v>55940.23</v>
      </c>
      <c r="GC8" s="636">
        <f t="shared" si="80"/>
        <v>0.76131312228143677</v>
      </c>
      <c r="GD8" s="639">
        <v>63909.4</v>
      </c>
      <c r="GE8" s="639">
        <f t="shared" si="81"/>
        <v>51766.614000000001</v>
      </c>
      <c r="GF8" s="633">
        <v>0.81</v>
      </c>
      <c r="GG8" s="635">
        <f>'Vtas Diarias 2021'!MO9</f>
        <v>59924.66</v>
      </c>
      <c r="GH8" s="636">
        <f t="shared" si="82"/>
        <v>0.93765017352689906</v>
      </c>
      <c r="GI8" s="639">
        <v>54450.37</v>
      </c>
      <c r="GJ8" s="639">
        <f t="shared" si="83"/>
        <v>43560.296000000002</v>
      </c>
      <c r="GK8" s="633">
        <v>0.8</v>
      </c>
      <c r="GL8" s="635">
        <f>'Vtas Diarias 2021'!NU9</f>
        <v>49562.98</v>
      </c>
      <c r="GM8" s="636">
        <f t="shared" si="84"/>
        <v>0.91024138127987009</v>
      </c>
      <c r="GN8" s="639">
        <v>62096.69</v>
      </c>
      <c r="GO8" s="639">
        <f t="shared" si="85"/>
        <v>45330.583700000003</v>
      </c>
      <c r="GP8" s="633">
        <v>0.73</v>
      </c>
      <c r="GQ8" s="635">
        <f>'Vtas Diarias 2021'!PA9</f>
        <v>59920.270000000004</v>
      </c>
      <c r="GR8" s="636">
        <f>GQ8/GN8</f>
        <v>0.96495111092072705</v>
      </c>
      <c r="GS8" s="661">
        <f t="shared" si="86"/>
        <v>195766.45120000001</v>
      </c>
      <c r="GT8" s="661">
        <f t="shared" si="87"/>
        <v>253935.07</v>
      </c>
      <c r="GU8" s="662">
        <f t="shared" si="88"/>
        <v>225348.14</v>
      </c>
      <c r="GV8" s="1598">
        <f t="shared" si="89"/>
        <v>0.88742425376691769</v>
      </c>
      <c r="GW8" s="645">
        <v>57493</v>
      </c>
      <c r="GX8" s="639">
        <f t="shared" si="90"/>
        <v>43694.68</v>
      </c>
      <c r="GY8" s="633">
        <v>0.76</v>
      </c>
      <c r="GZ8" s="635">
        <f>'Vtas Diarias 2021'!QG9</f>
        <v>60051.75</v>
      </c>
      <c r="HA8" s="636">
        <f t="shared" si="91"/>
        <v>1.0445054180508933</v>
      </c>
      <c r="HB8" s="639">
        <v>63632.28</v>
      </c>
      <c r="HC8" s="639">
        <f t="shared" si="92"/>
        <v>49633.178400000004</v>
      </c>
      <c r="HD8" s="633">
        <v>0.78</v>
      </c>
      <c r="HE8" s="635">
        <f>'Vtas Diarias 2021'!RM9</f>
        <v>57124.69</v>
      </c>
      <c r="HF8" s="636">
        <f t="shared" si="93"/>
        <v>0.89773130870055262</v>
      </c>
      <c r="HG8" s="639">
        <v>57026.51</v>
      </c>
      <c r="HH8" s="639">
        <f t="shared" si="94"/>
        <v>43910.412700000001</v>
      </c>
      <c r="HI8" s="633">
        <v>0.77</v>
      </c>
      <c r="HJ8" s="635">
        <f>'Vtas Diarias 2021'!SS9</f>
        <v>56547.19</v>
      </c>
      <c r="HK8" s="636">
        <f t="shared" si="95"/>
        <v>0.99159478635462706</v>
      </c>
      <c r="HL8" s="639">
        <v>58895.65</v>
      </c>
      <c r="HM8" s="639">
        <f t="shared" si="96"/>
        <v>44760.694000000003</v>
      </c>
      <c r="HN8" s="633">
        <v>0.76</v>
      </c>
      <c r="HO8" s="635">
        <f>'Vtas Diarias 2021'!TY9</f>
        <v>49420.74</v>
      </c>
      <c r="HP8" s="636">
        <f t="shared" si="97"/>
        <v>0.83912377229897284</v>
      </c>
      <c r="HQ8" s="639">
        <v>60029.38</v>
      </c>
      <c r="HR8" s="639">
        <f t="shared" si="98"/>
        <v>45622.328799999996</v>
      </c>
      <c r="HS8" s="633">
        <v>0.76</v>
      </c>
      <c r="HT8" s="635">
        <f>'Vtas Diarias 2021'!VE9</f>
        <v>50927.24</v>
      </c>
      <c r="HU8" s="636">
        <f t="shared" si="99"/>
        <v>0.84837191388616706</v>
      </c>
      <c r="HV8" s="661">
        <f t="shared" si="100"/>
        <v>227621.29390000002</v>
      </c>
      <c r="HW8" s="661">
        <f t="shared" si="101"/>
        <v>297076.82</v>
      </c>
      <c r="HX8" s="663">
        <f t="shared" si="102"/>
        <v>274071.61</v>
      </c>
      <c r="HY8" s="651">
        <f t="shared" si="103"/>
        <v>0.92256141021032867</v>
      </c>
      <c r="HZ8" s="645">
        <v>58638.2</v>
      </c>
      <c r="IA8" s="639">
        <f t="shared" si="104"/>
        <v>49842.469999999994</v>
      </c>
      <c r="IB8" s="633">
        <v>0.85</v>
      </c>
      <c r="IC8" s="635">
        <f>'Vtas Diarias 2021'!WK9</f>
        <v>52211.220000000008</v>
      </c>
      <c r="ID8" s="636">
        <f t="shared" ref="ID7:ID34" si="142">IC8/HZ8</f>
        <v>0.89039602170598708</v>
      </c>
      <c r="IE8" s="639">
        <v>67061.02</v>
      </c>
      <c r="IF8" s="639">
        <f t="shared" si="105"/>
        <v>58343.087400000004</v>
      </c>
      <c r="IG8" s="633">
        <v>0.87</v>
      </c>
      <c r="IH8" s="635">
        <f>'Vtas Diarias 2021'!XQ9</f>
        <v>52514.569999999992</v>
      </c>
      <c r="II8" s="636">
        <f t="shared" si="106"/>
        <v>0.78308635925907466</v>
      </c>
      <c r="IJ8" s="639">
        <v>74652.92</v>
      </c>
      <c r="IK8" s="639">
        <f t="shared" si="107"/>
        <v>67187.627999999997</v>
      </c>
      <c r="IL8" s="633">
        <v>0.9</v>
      </c>
      <c r="IM8" s="635">
        <f>'Vtas Diarias 2021'!YW9</f>
        <v>62009.26</v>
      </c>
      <c r="IN8" s="636">
        <f t="shared" si="108"/>
        <v>0.83063408638268943</v>
      </c>
      <c r="IO8" s="639">
        <v>91792.25</v>
      </c>
      <c r="IP8" s="639">
        <f t="shared" si="109"/>
        <v>85366.79250000001</v>
      </c>
      <c r="IQ8" s="633">
        <v>0.93</v>
      </c>
      <c r="IR8" s="635">
        <f>'Vtas Diarias 2021'!AAC9</f>
        <v>110414.37</v>
      </c>
      <c r="IS8" s="636">
        <f t="shared" si="110"/>
        <v>1.2028724647233291</v>
      </c>
      <c r="IT8" s="1577">
        <f t="shared" si="111"/>
        <v>260739.97790000003</v>
      </c>
      <c r="IU8" s="1577">
        <f t="shared" si="112"/>
        <v>292144.39</v>
      </c>
      <c r="IV8" s="1578">
        <f t="shared" si="113"/>
        <v>277149.42000000004</v>
      </c>
      <c r="IW8" s="654">
        <f t="shared" si="114"/>
        <v>0.94867274363885623</v>
      </c>
      <c r="IX8" s="645">
        <v>67344.61</v>
      </c>
      <c r="IY8" s="639">
        <f t="shared" si="115"/>
        <v>63977.379499999995</v>
      </c>
      <c r="IZ8" s="633">
        <v>0.95</v>
      </c>
      <c r="JA8" s="635">
        <f>'Vtas Diarias 2021'!ABI9</f>
        <v>60680.12</v>
      </c>
      <c r="JB8" s="636">
        <f t="shared" si="116"/>
        <v>0.90103899926066844</v>
      </c>
      <c r="JC8" s="639">
        <v>71220.73</v>
      </c>
      <c r="JD8" s="639">
        <f t="shared" si="117"/>
        <v>68371.900799999989</v>
      </c>
      <c r="JE8" s="633">
        <v>0.96</v>
      </c>
      <c r="JF8" s="635">
        <f>'Vtas Diarias 2021'!ACO9</f>
        <v>54369.31</v>
      </c>
      <c r="JG8" s="636">
        <f t="shared" si="118"/>
        <v>0.76339164173127683</v>
      </c>
      <c r="JH8" s="639">
        <v>109688.12</v>
      </c>
      <c r="JI8" s="639">
        <f t="shared" si="119"/>
        <v>105300.5952</v>
      </c>
      <c r="JJ8" s="633">
        <v>0.96</v>
      </c>
      <c r="JK8" s="635">
        <f>'Vtas Diarias 2021'!ADU9</f>
        <v>78270.02</v>
      </c>
      <c r="JL8" s="636">
        <f t="shared" si="120"/>
        <v>0.71356879851710475</v>
      </c>
      <c r="JM8" s="639">
        <v>102855.74</v>
      </c>
      <c r="JN8" s="639">
        <f t="shared" si="121"/>
        <v>82284.592000000004</v>
      </c>
      <c r="JO8" s="633">
        <v>0.8</v>
      </c>
      <c r="JP8" s="635">
        <f>'Vtas Diarias 2021'!AFA9</f>
        <v>91120.489999999991</v>
      </c>
      <c r="JQ8" s="636">
        <f t="shared" si="122"/>
        <v>0.88590573554767083</v>
      </c>
      <c r="JR8" s="636">
        <f t="shared" si="122"/>
        <v>1.0766362377389812E-5</v>
      </c>
      <c r="JS8" s="1577">
        <f t="shared" si="123"/>
        <v>319934.46749999997</v>
      </c>
      <c r="JT8" s="1577">
        <f t="shared" si="124"/>
        <v>351109.2</v>
      </c>
      <c r="JU8" s="1582">
        <f t="shared" si="125"/>
        <v>284439.94</v>
      </c>
      <c r="JV8" s="651">
        <f t="shared" si="126"/>
        <v>0.81011816266848036</v>
      </c>
      <c r="JW8" s="645">
        <v>128437.18</v>
      </c>
      <c r="JX8" s="639">
        <f t="shared" si="127"/>
        <v>102749.74400000001</v>
      </c>
      <c r="JY8" s="633">
        <v>0.8</v>
      </c>
      <c r="JZ8" s="635">
        <f>'Vtas Diarias 2021'!AGG9</f>
        <v>119933.93</v>
      </c>
      <c r="KA8" s="636">
        <f t="shared" si="128"/>
        <v>0.93379448225194606</v>
      </c>
      <c r="KB8" s="639">
        <v>145963.01</v>
      </c>
      <c r="KC8" s="639">
        <f t="shared" si="129"/>
        <v>118230.03810000002</v>
      </c>
      <c r="KD8" s="633">
        <v>0.81</v>
      </c>
      <c r="KE8" s="635">
        <f>'Vtas Diarias 2021'!AHM9</f>
        <v>139797.13999999998</v>
      </c>
      <c r="KF8" s="636">
        <f t="shared" si="130"/>
        <v>0.95775731125303576</v>
      </c>
      <c r="KG8" s="639">
        <v>177693.63</v>
      </c>
      <c r="KH8" s="639">
        <f t="shared" si="131"/>
        <v>143931.84030000001</v>
      </c>
      <c r="KI8" s="633">
        <v>0.81</v>
      </c>
      <c r="KJ8" s="635">
        <f>'Vtas Diarias 2021'!AIS9</f>
        <v>151462.62</v>
      </c>
      <c r="KK8" s="636">
        <f t="shared" si="132"/>
        <v>0.85238069592027577</v>
      </c>
      <c r="KL8" s="639">
        <v>194010.34</v>
      </c>
      <c r="KM8" s="1601">
        <f t="shared" si="133"/>
        <v>269674.3726</v>
      </c>
      <c r="KN8" s="1615">
        <v>1.39</v>
      </c>
      <c r="KO8" s="1602">
        <f>'Vtas Diarias 2021'!AJY9</f>
        <v>257456.44</v>
      </c>
      <c r="KP8" s="636">
        <f t="shared" si="134"/>
        <v>1.3270243225180678</v>
      </c>
      <c r="KQ8" s="639">
        <v>58782.82</v>
      </c>
      <c r="KR8" s="1601">
        <f t="shared" si="135"/>
        <v>49965.396999999997</v>
      </c>
      <c r="KS8" s="1616">
        <v>0.85</v>
      </c>
      <c r="KT8" s="1602">
        <f>'Vtas Diarias 2021'!ALE9</f>
        <v>62877.700000000004</v>
      </c>
      <c r="KU8" s="636">
        <f t="shared" si="136"/>
        <v>1.069661169709109</v>
      </c>
      <c r="KV8" s="1577">
        <f t="shared" si="137"/>
        <v>684551.39199999999</v>
      </c>
      <c r="KW8" s="1577">
        <f t="shared" si="2"/>
        <v>704886.98</v>
      </c>
      <c r="KX8" s="1578">
        <f t="shared" si="3"/>
        <v>731527.83000000007</v>
      </c>
      <c r="KY8" s="959">
        <f t="shared" si="138"/>
        <v>1.0377944986301209</v>
      </c>
      <c r="KZ8" s="1508">
        <f t="shared" ref="KZ8:KZ34" si="143">C8+H8+M8+R8+AA8+AF8+AK8+AP8+AY8+BD8+BI8+BN8+BS8+CB8+CG8+CL8+CQ8+CZ8+DE8+DJ8+DO8+DX8+EC8+EH8+EM8+ER8+FA8+FF8+FK8+FP8+FY8+GD8+GI8+GN8+GW8+HB8+HG8+HL8+HQ8+HZ8+IE8+IJ8+IO8+IX8+JC8+JH8+JM8+JW8+KB8+KG8++KL8+KQ8</f>
        <v>4115253.6699999995</v>
      </c>
      <c r="LA8" s="811">
        <f t="shared" ref="LA7:LA34" si="144">Y8+AW8+BZ8+CX8+DV8+EY8+FW8+GU8+HV8+IT8+JS8+KV8</f>
        <v>3357806.1012999997</v>
      </c>
      <c r="LB8" s="1509">
        <f t="shared" si="139"/>
        <v>4115253.67</v>
      </c>
      <c r="LC8" s="811">
        <f t="shared" si="140"/>
        <v>3432147.77</v>
      </c>
      <c r="LD8" s="1575">
        <f t="shared" si="4"/>
        <v>-683105.89999999991</v>
      </c>
      <c r="LE8" s="1594">
        <f t="shared" si="141"/>
        <v>0.83400636879815981</v>
      </c>
      <c r="LF8" s="1008">
        <f t="shared" ref="LF7:LF34" si="145">LA8/KZ8</f>
        <v>0.81594146328772976</v>
      </c>
    </row>
    <row r="9" spans="1:318" outlineLevel="1">
      <c r="A9" s="1495"/>
      <c r="B9" s="687" t="s">
        <v>472</v>
      </c>
      <c r="C9" s="645">
        <v>58888.28</v>
      </c>
      <c r="D9" s="639">
        <v>61832.69</v>
      </c>
      <c r="E9" s="633">
        <v>1.05</v>
      </c>
      <c r="F9" s="635">
        <v>36771.550000000003</v>
      </c>
      <c r="G9" s="636">
        <f t="shared" si="5"/>
        <v>0.62442900353007424</v>
      </c>
      <c r="H9" s="639">
        <v>59609.72</v>
      </c>
      <c r="I9" s="639">
        <v>62590.2</v>
      </c>
      <c r="J9" s="633">
        <v>1.05</v>
      </c>
      <c r="K9" s="635">
        <v>30455.99</v>
      </c>
      <c r="L9" s="636">
        <f t="shared" si="6"/>
        <v>0.51092321856234191</v>
      </c>
      <c r="M9" s="639">
        <v>49699.6</v>
      </c>
      <c r="N9" s="639">
        <v>52184.58</v>
      </c>
      <c r="O9" s="633">
        <v>1.05</v>
      </c>
      <c r="P9" s="635">
        <v>30776.34</v>
      </c>
      <c r="Q9" s="636">
        <f t="shared" si="7"/>
        <v>0.61924723740231313</v>
      </c>
      <c r="R9" s="639">
        <v>50568.75</v>
      </c>
      <c r="S9" s="639">
        <v>53097.19</v>
      </c>
      <c r="T9" s="633">
        <v>1.05</v>
      </c>
      <c r="U9" s="635">
        <v>37343.18</v>
      </c>
      <c r="V9" s="636">
        <f t="shared" si="8"/>
        <v>0.73846357681374364</v>
      </c>
      <c r="W9" s="639">
        <f t="shared" si="0"/>
        <v>229704.66</v>
      </c>
      <c r="X9" s="639">
        <f t="shared" si="1"/>
        <v>218766.35</v>
      </c>
      <c r="Y9" s="666">
        <f t="shared" si="9"/>
        <v>135347.06</v>
      </c>
      <c r="Z9" s="646">
        <f t="shared" si="10"/>
        <v>0.61868317499469183</v>
      </c>
      <c r="AA9" s="645">
        <v>47279.95</v>
      </c>
      <c r="AB9" s="639">
        <v>49643.95</v>
      </c>
      <c r="AC9" s="633">
        <v>1.05</v>
      </c>
      <c r="AD9" s="635">
        <v>37119.760000000002</v>
      </c>
      <c r="AE9" s="636">
        <f t="shared" si="11"/>
        <v>0.78510573720995902</v>
      </c>
      <c r="AF9" s="639">
        <v>71609.490000000005</v>
      </c>
      <c r="AG9" s="639">
        <v>75189.960000000006</v>
      </c>
      <c r="AH9" s="633">
        <v>1.05</v>
      </c>
      <c r="AI9" s="635">
        <v>36357.9</v>
      </c>
      <c r="AJ9" s="636">
        <f t="shared" si="12"/>
        <v>0.5077246046578463</v>
      </c>
      <c r="AK9" s="639">
        <v>42511.69</v>
      </c>
      <c r="AL9" s="639">
        <v>44637.279999999999</v>
      </c>
      <c r="AM9" s="633">
        <v>1.05</v>
      </c>
      <c r="AN9" s="635">
        <v>28736.89</v>
      </c>
      <c r="AO9" s="636">
        <f t="shared" si="13"/>
        <v>0.67597618443303475</v>
      </c>
      <c r="AP9" s="639">
        <v>66854.47</v>
      </c>
      <c r="AQ9" s="639">
        <v>70197.2</v>
      </c>
      <c r="AR9" s="633">
        <v>1.05</v>
      </c>
      <c r="AS9" s="635">
        <v>26598.85</v>
      </c>
      <c r="AT9" s="636">
        <v>0.9</v>
      </c>
      <c r="AU9" s="639">
        <f t="shared" si="14"/>
        <v>239668.39</v>
      </c>
      <c r="AV9" s="639">
        <f t="shared" si="15"/>
        <v>228255.6</v>
      </c>
      <c r="AW9" s="778">
        <f t="shared" si="16"/>
        <v>128813.4</v>
      </c>
      <c r="AX9" s="665">
        <f t="shared" si="17"/>
        <v>0.56433839958362464</v>
      </c>
      <c r="AY9" s="645">
        <v>53473.58</v>
      </c>
      <c r="AZ9" s="639">
        <v>56147.26</v>
      </c>
      <c r="BA9" s="633">
        <v>1.05</v>
      </c>
      <c r="BB9" s="635">
        <v>31465.65</v>
      </c>
      <c r="BC9" s="636">
        <f t="shared" si="18"/>
        <v>0.58843357785283879</v>
      </c>
      <c r="BD9" s="639">
        <v>62641.46</v>
      </c>
      <c r="BE9" s="639">
        <v>63894.29</v>
      </c>
      <c r="BF9" s="633">
        <v>1.02</v>
      </c>
      <c r="BG9" s="635">
        <v>30224.19</v>
      </c>
      <c r="BH9" s="636">
        <f t="shared" si="19"/>
        <v>0.48249498016170117</v>
      </c>
      <c r="BI9" s="639">
        <v>59827.42</v>
      </c>
      <c r="BJ9" s="639">
        <v>23930.97</v>
      </c>
      <c r="BK9" s="633">
        <v>0.4</v>
      </c>
      <c r="BL9" s="635">
        <v>28867.35</v>
      </c>
      <c r="BM9" s="636">
        <f t="shared" si="20"/>
        <v>0.48251036063397018</v>
      </c>
      <c r="BN9" s="639">
        <v>58302.32</v>
      </c>
      <c r="BO9" s="639">
        <f t="shared" si="21"/>
        <v>37896.508000000002</v>
      </c>
      <c r="BP9" s="633">
        <v>0.65</v>
      </c>
      <c r="BQ9" s="635">
        <v>31517.17</v>
      </c>
      <c r="BR9" s="636">
        <f t="shared" si="22"/>
        <v>0.54058174700423578</v>
      </c>
      <c r="BS9" s="639">
        <v>71239.89</v>
      </c>
      <c r="BT9" s="639">
        <f t="shared" si="23"/>
        <v>46305.928500000002</v>
      </c>
      <c r="BU9" s="633">
        <v>0.65</v>
      </c>
      <c r="BV9" s="635">
        <v>42881.81</v>
      </c>
      <c r="BW9" s="636">
        <f t="shared" si="24"/>
        <v>0.60193537637410721</v>
      </c>
      <c r="BX9" s="661">
        <f t="shared" si="25"/>
        <v>228174.95650000003</v>
      </c>
      <c r="BY9" s="661">
        <f t="shared" si="26"/>
        <v>305484.67</v>
      </c>
      <c r="BZ9" s="663">
        <f t="shared" si="27"/>
        <v>164956.16999999998</v>
      </c>
      <c r="CA9" s="651">
        <f t="shared" si="28"/>
        <v>0.53998182625661706</v>
      </c>
      <c r="CB9" s="645">
        <v>70373.490000000005</v>
      </c>
      <c r="CC9" s="639">
        <f t="shared" si="29"/>
        <v>57706.2618</v>
      </c>
      <c r="CD9" s="633">
        <v>0.82</v>
      </c>
      <c r="CE9" s="635">
        <v>36261.040000000001</v>
      </c>
      <c r="CF9" s="636">
        <f t="shared" si="30"/>
        <v>0.51526562061935532</v>
      </c>
      <c r="CG9" s="639">
        <v>76334.3</v>
      </c>
      <c r="CH9" s="639">
        <f t="shared" si="31"/>
        <v>57250.725000000006</v>
      </c>
      <c r="CI9" s="633">
        <v>0.75</v>
      </c>
      <c r="CJ9" s="635">
        <v>34176.17</v>
      </c>
      <c r="CK9" s="636">
        <f t="shared" si="32"/>
        <v>0.44771708131207066</v>
      </c>
      <c r="CL9" s="639">
        <v>80839.63</v>
      </c>
      <c r="CM9" s="639">
        <f t="shared" si="33"/>
        <v>56587.741000000002</v>
      </c>
      <c r="CN9" s="633">
        <v>0.7</v>
      </c>
      <c r="CO9" s="635">
        <v>27323.39</v>
      </c>
      <c r="CP9" s="636">
        <f t="shared" si="34"/>
        <v>0.33799499082318907</v>
      </c>
      <c r="CQ9" s="639">
        <v>68381.83</v>
      </c>
      <c r="CR9" s="639">
        <f t="shared" si="35"/>
        <v>27352.732000000004</v>
      </c>
      <c r="CS9" s="633">
        <v>0.4</v>
      </c>
      <c r="CT9" s="635">
        <v>48426.43</v>
      </c>
      <c r="CU9" s="636">
        <f t="shared" si="36"/>
        <v>0.70817686511168243</v>
      </c>
      <c r="CV9" s="656">
        <f t="shared" si="37"/>
        <v>198897.45980000001</v>
      </c>
      <c r="CW9" s="656">
        <f t="shared" si="38"/>
        <v>295929.25</v>
      </c>
      <c r="CX9" s="657">
        <f t="shared" si="39"/>
        <v>146187.03000000003</v>
      </c>
      <c r="CY9" s="654">
        <f t="shared" si="40"/>
        <v>0.49399317573372697</v>
      </c>
      <c r="CZ9" s="645">
        <v>100453.22</v>
      </c>
      <c r="DA9" s="639">
        <f t="shared" si="41"/>
        <v>50226.61</v>
      </c>
      <c r="DB9" s="633">
        <v>0.5</v>
      </c>
      <c r="DC9" s="635">
        <v>39468</v>
      </c>
      <c r="DD9" s="636">
        <f t="shared" si="42"/>
        <v>0.39289930178445248</v>
      </c>
      <c r="DE9" s="639">
        <v>71013.850000000006</v>
      </c>
      <c r="DF9" s="639">
        <f t="shared" si="43"/>
        <v>42608.310000000005</v>
      </c>
      <c r="DG9" s="633">
        <v>0.6</v>
      </c>
      <c r="DH9" s="635">
        <v>49446.76</v>
      </c>
      <c r="DI9" s="636">
        <f t="shared" si="44"/>
        <v>0.69629741240617149</v>
      </c>
      <c r="DJ9" s="639">
        <v>66236.69</v>
      </c>
      <c r="DK9" s="639">
        <f t="shared" si="45"/>
        <v>49677.517500000002</v>
      </c>
      <c r="DL9" s="633">
        <v>0.75</v>
      </c>
      <c r="DM9" s="635">
        <v>36156.129999999997</v>
      </c>
      <c r="DN9" s="636">
        <f t="shared" si="46"/>
        <v>0.54586257254098891</v>
      </c>
      <c r="DO9" s="639">
        <v>62406.31</v>
      </c>
      <c r="DP9" s="639">
        <f t="shared" si="47"/>
        <v>34065.268919390437</v>
      </c>
      <c r="DQ9" s="633">
        <v>0.54586257254098891</v>
      </c>
      <c r="DR9" s="635">
        <v>40493.9</v>
      </c>
      <c r="DS9" s="636">
        <f t="shared" si="48"/>
        <v>0.6488750897144856</v>
      </c>
      <c r="DT9" s="656">
        <f t="shared" si="49"/>
        <v>176577.70641939045</v>
      </c>
      <c r="DU9" s="656">
        <f t="shared" si="50"/>
        <v>300110.07</v>
      </c>
      <c r="DV9" s="657">
        <f t="shared" si="51"/>
        <v>165564.79</v>
      </c>
      <c r="DW9" s="654">
        <f t="shared" si="52"/>
        <v>0.55168022185993293</v>
      </c>
      <c r="DX9" s="645">
        <v>55832.37</v>
      </c>
      <c r="DY9" s="639">
        <f t="shared" si="53"/>
        <v>36228.234092722356</v>
      </c>
      <c r="DZ9" s="633">
        <v>0.6488750897144856</v>
      </c>
      <c r="EA9" s="635">
        <f>'Vtas Diarias 2021'!AG10</f>
        <v>38701.11</v>
      </c>
      <c r="EB9" s="636">
        <f t="shared" si="54"/>
        <v>0.69316616865807412</v>
      </c>
      <c r="EC9" s="639">
        <v>75161.259999999995</v>
      </c>
      <c r="ED9" s="639">
        <f>EC9*EE9</f>
        <v>52099.242625713356</v>
      </c>
      <c r="EE9" s="633">
        <v>0.69316616865807412</v>
      </c>
      <c r="EF9" s="635">
        <f>'Vtas Diarias 2021'!BM10</f>
        <v>38555.33</v>
      </c>
      <c r="EG9" s="636">
        <f t="shared" si="56"/>
        <v>0.51296811681975529</v>
      </c>
      <c r="EH9" s="639">
        <v>82576.58</v>
      </c>
      <c r="EI9" s="639">
        <f t="shared" si="57"/>
        <v>57803.606</v>
      </c>
      <c r="EJ9" s="633">
        <v>0.7</v>
      </c>
      <c r="EK9" s="635">
        <f>'Vtas Diarias 2021'!CS10</f>
        <v>47820.2</v>
      </c>
      <c r="EL9" s="636">
        <f t="shared" si="58"/>
        <v>0.57910124153846032</v>
      </c>
      <c r="EM9" s="639">
        <v>78758.289999999994</v>
      </c>
      <c r="EN9" s="639">
        <f t="shared" si="59"/>
        <v>55130.802999999993</v>
      </c>
      <c r="EO9" s="633">
        <v>0.7</v>
      </c>
      <c r="EP9" s="635">
        <f>'Vtas Diarias 2021'!DY10</f>
        <v>45720.87</v>
      </c>
      <c r="EQ9" s="636">
        <f t="shared" si="60"/>
        <v>0.58052136479855021</v>
      </c>
      <c r="ER9" s="639">
        <v>73485.84</v>
      </c>
      <c r="ES9" s="639">
        <f t="shared" si="61"/>
        <v>44091.503999999994</v>
      </c>
      <c r="ET9" s="633">
        <v>0.6</v>
      </c>
      <c r="EU9" s="635">
        <f>'Vtas Diarias 2021'!FE10</f>
        <v>43467.599999999991</v>
      </c>
      <c r="EV9" s="636">
        <f t="shared" si="62"/>
        <v>0.59150987455542448</v>
      </c>
      <c r="EW9" s="661">
        <f t="shared" si="63"/>
        <v>245353.3897184357</v>
      </c>
      <c r="EX9" s="956">
        <f t="shared" si="64"/>
        <v>365814.33999999997</v>
      </c>
      <c r="EY9" s="662">
        <f t="shared" si="65"/>
        <v>214265.11</v>
      </c>
      <c r="EZ9" s="654">
        <f t="shared" si="66"/>
        <v>0.58572091515056524</v>
      </c>
      <c r="FA9" s="645">
        <v>67561.45</v>
      </c>
      <c r="FB9" s="639">
        <f t="shared" si="67"/>
        <v>47293.014999999992</v>
      </c>
      <c r="FC9" s="633">
        <v>0.7</v>
      </c>
      <c r="FD9" s="635">
        <f>'Vtas Diarias 2021'!GK10</f>
        <v>49172.83</v>
      </c>
      <c r="FE9" s="636">
        <f t="shared" si="68"/>
        <v>0.72782378116514679</v>
      </c>
      <c r="FF9" s="639">
        <v>84983.49</v>
      </c>
      <c r="FG9" s="639">
        <f t="shared" si="69"/>
        <v>64587.452400000002</v>
      </c>
      <c r="FH9" s="633">
        <v>0.76</v>
      </c>
      <c r="FI9" s="635">
        <f>'Vtas Diarias 2021'!HQ10</f>
        <v>48242.879999999997</v>
      </c>
      <c r="FJ9" s="636">
        <f t="shared" si="70"/>
        <v>0.56767355635782901</v>
      </c>
      <c r="FK9" s="639">
        <v>73284.58</v>
      </c>
      <c r="FL9" s="639">
        <f t="shared" si="71"/>
        <v>57894.818200000002</v>
      </c>
      <c r="FM9" s="633">
        <v>0.79</v>
      </c>
      <c r="FN9" s="635">
        <f>'Vtas Diarias 2021'!IW10</f>
        <v>48963.83</v>
      </c>
      <c r="FO9" s="636">
        <f t="shared" si="72"/>
        <v>0.66813277772759294</v>
      </c>
      <c r="FP9" s="639">
        <v>81673.19</v>
      </c>
      <c r="FQ9" s="639">
        <f t="shared" si="73"/>
        <v>62071.624400000001</v>
      </c>
      <c r="FR9" s="633">
        <v>0.76</v>
      </c>
      <c r="FS9" s="635">
        <f>'Vtas Diarias 2021'!KC10</f>
        <v>53023.1</v>
      </c>
      <c r="FT9" s="636">
        <f t="shared" si="74"/>
        <v>0.64921059162743611</v>
      </c>
      <c r="FU9" s="661">
        <f t="shared" si="75"/>
        <v>231846.91</v>
      </c>
      <c r="FV9" s="661">
        <f t="shared" si="76"/>
        <v>307502.71000000002</v>
      </c>
      <c r="FW9" s="663">
        <f t="shared" si="77"/>
        <v>199402.64</v>
      </c>
      <c r="FX9" s="651">
        <f t="shared" si="78"/>
        <v>0.64845815505170668</v>
      </c>
      <c r="FY9" s="645">
        <v>75288.11</v>
      </c>
      <c r="FZ9" s="639">
        <f t="shared" si="79"/>
        <v>56466.082500000004</v>
      </c>
      <c r="GA9" s="633">
        <v>0.75</v>
      </c>
      <c r="GB9" s="635">
        <f>'Vtas Diarias 2021'!LI10</f>
        <v>43223.39</v>
      </c>
      <c r="GC9" s="636">
        <f t="shared" si="80"/>
        <v>0.57410645585338771</v>
      </c>
      <c r="GD9" s="639">
        <v>59636.59</v>
      </c>
      <c r="GE9" s="639">
        <f t="shared" si="81"/>
        <v>48305.637900000002</v>
      </c>
      <c r="GF9" s="633">
        <v>0.81</v>
      </c>
      <c r="GG9" s="635">
        <f>'Vtas Diarias 2021'!MO10</f>
        <v>42599.65</v>
      </c>
      <c r="GH9" s="636">
        <f t="shared" si="82"/>
        <v>0.71432068802055926</v>
      </c>
      <c r="GI9" s="639">
        <v>62490.6</v>
      </c>
      <c r="GJ9" s="639">
        <f t="shared" si="83"/>
        <v>49992.480000000003</v>
      </c>
      <c r="GK9" s="633">
        <v>0.8</v>
      </c>
      <c r="GL9" s="635">
        <f>'Vtas Diarias 2021'!NU10</f>
        <v>42436.09</v>
      </c>
      <c r="GM9" s="636">
        <f t="shared" si="84"/>
        <v>0.67907957356786453</v>
      </c>
      <c r="GN9" s="639">
        <v>56382.33</v>
      </c>
      <c r="GO9" s="639">
        <f t="shared" si="85"/>
        <v>41159.100899999998</v>
      </c>
      <c r="GP9" s="633">
        <v>0.73</v>
      </c>
      <c r="GQ9" s="635">
        <f>'Vtas Diarias 2021'!PA10</f>
        <v>43717.32</v>
      </c>
      <c r="GR9" s="636">
        <f>GQ9/GN9</f>
        <v>0.77537270985431073</v>
      </c>
      <c r="GS9" s="661">
        <f t="shared" si="86"/>
        <v>195923.30129999999</v>
      </c>
      <c r="GT9" s="661">
        <f t="shared" si="87"/>
        <v>253797.63</v>
      </c>
      <c r="GU9" s="662">
        <f t="shared" si="88"/>
        <v>171976.45</v>
      </c>
      <c r="GV9" s="1598">
        <f t="shared" si="89"/>
        <v>0.67761251356050889</v>
      </c>
      <c r="GW9" s="645">
        <v>50217</v>
      </c>
      <c r="GX9" s="639">
        <f t="shared" si="90"/>
        <v>38164.92</v>
      </c>
      <c r="GY9" s="633">
        <v>0.76</v>
      </c>
      <c r="GZ9" s="635">
        <f>'Vtas Diarias 2021'!QG10</f>
        <v>49486.64</v>
      </c>
      <c r="HA9" s="636">
        <f t="shared" si="91"/>
        <v>0.98545592130155124</v>
      </c>
      <c r="HB9" s="639">
        <v>55622.57</v>
      </c>
      <c r="HC9" s="639">
        <f t="shared" si="92"/>
        <v>43385.604599999999</v>
      </c>
      <c r="HD9" s="633">
        <v>0.78</v>
      </c>
      <c r="HE9" s="635">
        <f>'Vtas Diarias 2021'!RM10</f>
        <v>44261</v>
      </c>
      <c r="HF9" s="636">
        <f t="shared" si="93"/>
        <v>0.79573813291978424</v>
      </c>
      <c r="HG9" s="639">
        <v>57367.71</v>
      </c>
      <c r="HH9" s="639">
        <f t="shared" si="94"/>
        <v>44173.136700000003</v>
      </c>
      <c r="HI9" s="633">
        <v>0.77</v>
      </c>
      <c r="HJ9" s="635">
        <f>'Vtas Diarias 2021'!SS10</f>
        <v>42131.280000000006</v>
      </c>
      <c r="HK9" s="636">
        <f t="shared" si="95"/>
        <v>0.73440756132674645</v>
      </c>
      <c r="HL9" s="639">
        <v>49524.61</v>
      </c>
      <c r="HM9" s="639">
        <f t="shared" si="96"/>
        <v>37638.703600000001</v>
      </c>
      <c r="HN9" s="633">
        <v>0.76</v>
      </c>
      <c r="HO9" s="635">
        <f>'Vtas Diarias 2021'!TY10</f>
        <v>39852.199999999997</v>
      </c>
      <c r="HP9" s="636">
        <f t="shared" si="97"/>
        <v>0.8046948779606744</v>
      </c>
      <c r="HQ9" s="639">
        <v>51655.92</v>
      </c>
      <c r="HR9" s="639">
        <f t="shared" si="98"/>
        <v>39258.499199999998</v>
      </c>
      <c r="HS9" s="633">
        <v>0.76</v>
      </c>
      <c r="HT9" s="635">
        <f>'Vtas Diarias 2021'!VE10</f>
        <v>44250.960000000006</v>
      </c>
      <c r="HU9" s="636">
        <f t="shared" si="99"/>
        <v>0.8566483764106807</v>
      </c>
      <c r="HV9" s="661">
        <f t="shared" si="100"/>
        <v>202620.86410000001</v>
      </c>
      <c r="HW9" s="661">
        <f t="shared" si="101"/>
        <v>264387.81</v>
      </c>
      <c r="HX9" s="663">
        <f t="shared" si="102"/>
        <v>219982.08000000002</v>
      </c>
      <c r="HY9" s="651">
        <f t="shared" si="103"/>
        <v>0.83204320199180148</v>
      </c>
      <c r="HZ9" s="645">
        <v>55084.69</v>
      </c>
      <c r="IA9" s="639">
        <f t="shared" si="104"/>
        <v>47372.833400000003</v>
      </c>
      <c r="IB9" s="633">
        <v>0.86</v>
      </c>
      <c r="IC9" s="635">
        <f>'Vtas Diarias 2021'!WK10</f>
        <v>39599.159999999996</v>
      </c>
      <c r="ID9" s="636">
        <f t="shared" si="142"/>
        <v>0.71887778618705112</v>
      </c>
      <c r="IE9" s="639">
        <v>53649.05</v>
      </c>
      <c r="IF9" s="639">
        <f t="shared" si="105"/>
        <v>47211.164000000004</v>
      </c>
      <c r="IG9" s="633">
        <v>0.88</v>
      </c>
      <c r="IH9" s="635">
        <f>'Vtas Diarias 2021'!XQ10</f>
        <v>46896.319999999992</v>
      </c>
      <c r="II9" s="636">
        <f t="shared" si="106"/>
        <v>0.87413141518815318</v>
      </c>
      <c r="IJ9" s="639">
        <v>67527.72</v>
      </c>
      <c r="IK9" s="639">
        <f t="shared" si="107"/>
        <v>61450.225200000001</v>
      </c>
      <c r="IL9" s="633">
        <v>0.91</v>
      </c>
      <c r="IM9" s="635">
        <f>'Vtas Diarias 2021'!YW10</f>
        <v>41868.649999999994</v>
      </c>
      <c r="IN9" s="636">
        <f t="shared" si="108"/>
        <v>0.62002167406214803</v>
      </c>
      <c r="IO9" s="639">
        <v>78039.37</v>
      </c>
      <c r="IP9" s="639">
        <f t="shared" si="109"/>
        <v>73357.007799999992</v>
      </c>
      <c r="IQ9" s="633">
        <v>0.94</v>
      </c>
      <c r="IR9" s="635">
        <f>'Vtas Diarias 2021'!AAC10</f>
        <v>69151.929999999993</v>
      </c>
      <c r="IS9" s="636">
        <f t="shared" si="110"/>
        <v>0.8861159437858096</v>
      </c>
      <c r="IT9" s="1577">
        <f t="shared" si="111"/>
        <v>229391.2304</v>
      </c>
      <c r="IU9" s="1577">
        <f t="shared" si="112"/>
        <v>254300.83000000002</v>
      </c>
      <c r="IV9" s="1578">
        <f t="shared" si="113"/>
        <v>197516.05999999997</v>
      </c>
      <c r="IW9" s="654">
        <f t="shared" si="114"/>
        <v>0.77670238040512862</v>
      </c>
      <c r="IX9" s="645">
        <v>61501.65</v>
      </c>
      <c r="IY9" s="639">
        <f t="shared" si="115"/>
        <v>52276.402499999997</v>
      </c>
      <c r="IZ9" s="633">
        <v>0.85</v>
      </c>
      <c r="JA9" s="635">
        <f>'Vtas Diarias 2021'!ABI10</f>
        <v>49212.880000000005</v>
      </c>
      <c r="JB9" s="636">
        <f t="shared" si="116"/>
        <v>0.80018796243678025</v>
      </c>
      <c r="JC9" s="639">
        <v>70528.53</v>
      </c>
      <c r="JD9" s="639">
        <f t="shared" si="117"/>
        <v>59949.250499999995</v>
      </c>
      <c r="JE9" s="633">
        <v>0.85</v>
      </c>
      <c r="JF9" s="635">
        <f>'Vtas Diarias 2021'!ACO10</f>
        <v>48116.189999999995</v>
      </c>
      <c r="JG9" s="636">
        <f t="shared" si="118"/>
        <v>0.68222306632507435</v>
      </c>
      <c r="JH9" s="639">
        <v>81707.7</v>
      </c>
      <c r="JI9" s="639">
        <f t="shared" si="119"/>
        <v>73536.929999999993</v>
      </c>
      <c r="JJ9" s="633">
        <v>0.9</v>
      </c>
      <c r="JK9" s="635">
        <f>'Vtas Diarias 2021'!ADU10</f>
        <v>53160.270000000004</v>
      </c>
      <c r="JL9" s="636">
        <f t="shared" si="120"/>
        <v>0.65061518069900393</v>
      </c>
      <c r="JM9" s="639">
        <v>71261.990000000005</v>
      </c>
      <c r="JN9" s="639">
        <f t="shared" si="121"/>
        <v>53446.492500000008</v>
      </c>
      <c r="JO9" s="633">
        <v>0.75</v>
      </c>
      <c r="JP9" s="635">
        <f>'Vtas Diarias 2021'!AFA10</f>
        <v>69507.290000000008</v>
      </c>
      <c r="JQ9" s="636">
        <f t="shared" si="122"/>
        <v>0.97537677519249744</v>
      </c>
      <c r="JR9" s="636">
        <f t="shared" si="122"/>
        <v>1.8249593744481872E-5</v>
      </c>
      <c r="JS9" s="1577">
        <f t="shared" si="123"/>
        <v>239209.07550000001</v>
      </c>
      <c r="JT9" s="1577">
        <f t="shared" si="124"/>
        <v>284999.87</v>
      </c>
      <c r="JU9" s="1582">
        <f t="shared" si="125"/>
        <v>219996.63</v>
      </c>
      <c r="JV9" s="651">
        <f t="shared" si="126"/>
        <v>0.771918352103108</v>
      </c>
      <c r="JW9" s="645">
        <v>91207.19</v>
      </c>
      <c r="JX9" s="639">
        <f t="shared" si="127"/>
        <v>63845.032999999996</v>
      </c>
      <c r="JY9" s="633">
        <v>0.7</v>
      </c>
      <c r="JZ9" s="635">
        <f>'Vtas Diarias 2021'!AGG10</f>
        <v>76397.31</v>
      </c>
      <c r="KA9" s="636">
        <f t="shared" si="128"/>
        <v>0.83762376628421509</v>
      </c>
      <c r="KB9" s="639">
        <v>131321.75</v>
      </c>
      <c r="KC9" s="639">
        <f t="shared" si="129"/>
        <v>91925.224999999991</v>
      </c>
      <c r="KD9" s="633">
        <v>0.7</v>
      </c>
      <c r="KE9" s="635">
        <f>'Vtas Diarias 2021'!AHM10</f>
        <v>77675.05</v>
      </c>
      <c r="KF9" s="636">
        <f t="shared" si="130"/>
        <v>0.5914865587764403</v>
      </c>
      <c r="KG9" s="639">
        <v>196444.2</v>
      </c>
      <c r="KH9" s="639">
        <f t="shared" si="131"/>
        <v>137510.94</v>
      </c>
      <c r="KI9" s="633">
        <v>0.7</v>
      </c>
      <c r="KJ9" s="635">
        <f>'Vtas Diarias 2021'!AIS10</f>
        <v>134928.02000000002</v>
      </c>
      <c r="KK9" s="636">
        <f t="shared" si="132"/>
        <v>0.68685163522262305</v>
      </c>
      <c r="KL9" s="639">
        <v>195587.53</v>
      </c>
      <c r="KM9" s="1601">
        <f t="shared" si="133"/>
        <v>236660.91129999998</v>
      </c>
      <c r="KN9" s="1615">
        <v>1.21</v>
      </c>
      <c r="KO9" s="1602">
        <f>'Vtas Diarias 2021'!AJY10</f>
        <v>257369.13</v>
      </c>
      <c r="KP9" s="636">
        <f t="shared" si="134"/>
        <v>1.3158769886812314</v>
      </c>
      <c r="KQ9" s="639">
        <v>71890.91</v>
      </c>
      <c r="KR9" s="1601">
        <f t="shared" si="135"/>
        <v>57512.728000000003</v>
      </c>
      <c r="KS9" s="1616">
        <v>0.8</v>
      </c>
      <c r="KT9" s="1602">
        <f>'Vtas Diarias 2021'!ALE10</f>
        <v>65277.21</v>
      </c>
      <c r="KU9" s="636">
        <f t="shared" si="136"/>
        <v>0.90800366833581603</v>
      </c>
      <c r="KV9" s="1577">
        <f t="shared" si="137"/>
        <v>587454.83730000001</v>
      </c>
      <c r="KW9" s="1577">
        <f t="shared" si="2"/>
        <v>686451.58000000007</v>
      </c>
      <c r="KX9" s="1578">
        <f t="shared" si="3"/>
        <v>611646.71999999997</v>
      </c>
      <c r="KY9" s="959">
        <f t="shared" si="138"/>
        <v>0.8910267494759061</v>
      </c>
      <c r="KZ9" s="1508">
        <f t="shared" si="143"/>
        <v>3765800.7100000004</v>
      </c>
      <c r="LA9" s="811">
        <f t="shared" si="144"/>
        <v>2585188.6573000001</v>
      </c>
      <c r="LB9" s="1509">
        <f t="shared" si="139"/>
        <v>3765800.71</v>
      </c>
      <c r="LC9" s="811">
        <f t="shared" si="140"/>
        <v>2575654.1399999997</v>
      </c>
      <c r="LD9" s="1575">
        <f t="shared" si="4"/>
        <v>-1190146.5700000003</v>
      </c>
      <c r="LE9" s="1594">
        <f t="shared" si="141"/>
        <v>0.68395922629692196</v>
      </c>
      <c r="LF9" s="1008">
        <f t="shared" si="145"/>
        <v>0.68649109615256299</v>
      </c>
    </row>
    <row r="10" spans="1:318" outlineLevel="1">
      <c r="A10" s="1495"/>
      <c r="B10" s="687" t="s">
        <v>473</v>
      </c>
      <c r="C10" s="645">
        <v>61018.46</v>
      </c>
      <c r="D10" s="639">
        <v>64069.38</v>
      </c>
      <c r="E10" s="633">
        <v>1.05</v>
      </c>
      <c r="F10" s="635">
        <v>45913.03</v>
      </c>
      <c r="G10" s="636">
        <f t="shared" si="5"/>
        <v>0.75244491585005591</v>
      </c>
      <c r="H10" s="639">
        <v>71646.53</v>
      </c>
      <c r="I10" s="639">
        <v>75228.86</v>
      </c>
      <c r="J10" s="633">
        <v>1.05</v>
      </c>
      <c r="K10" s="635">
        <v>46116.84</v>
      </c>
      <c r="L10" s="636">
        <f t="shared" si="6"/>
        <v>0.64367164746150296</v>
      </c>
      <c r="M10" s="639">
        <v>68143.48</v>
      </c>
      <c r="N10" s="639">
        <v>71550.649999999994</v>
      </c>
      <c r="O10" s="633">
        <v>1.05</v>
      </c>
      <c r="P10" s="635">
        <v>33943.360000000001</v>
      </c>
      <c r="Q10" s="636">
        <f t="shared" si="7"/>
        <v>0.49811603399180676</v>
      </c>
      <c r="R10" s="639">
        <v>73492.399999999994</v>
      </c>
      <c r="S10" s="639">
        <v>77167.02</v>
      </c>
      <c r="T10" s="633">
        <v>1.05</v>
      </c>
      <c r="U10" s="635">
        <v>41264.1</v>
      </c>
      <c r="V10" s="636">
        <f t="shared" si="8"/>
        <v>0.56147438374580227</v>
      </c>
      <c r="W10" s="639">
        <f t="shared" si="0"/>
        <v>288015.90999999997</v>
      </c>
      <c r="X10" s="639">
        <f t="shared" si="1"/>
        <v>274300.87</v>
      </c>
      <c r="Y10" s="666">
        <f t="shared" si="9"/>
        <v>167237.32999999999</v>
      </c>
      <c r="Z10" s="646">
        <f t="shared" si="10"/>
        <v>0.60968574397886521</v>
      </c>
      <c r="AA10" s="645">
        <v>77159.570000000007</v>
      </c>
      <c r="AB10" s="639">
        <v>81017.55</v>
      </c>
      <c r="AC10" s="633">
        <v>1.05</v>
      </c>
      <c r="AD10" s="635">
        <v>41409.050000000003</v>
      </c>
      <c r="AE10" s="636">
        <f t="shared" si="11"/>
        <v>0.53666771341519914</v>
      </c>
      <c r="AF10" s="639">
        <v>103439.89</v>
      </c>
      <c r="AG10" s="639">
        <v>108611.88</v>
      </c>
      <c r="AH10" s="633">
        <v>1.05</v>
      </c>
      <c r="AI10" s="635">
        <v>50661.39</v>
      </c>
      <c r="AJ10" s="636">
        <f t="shared" si="12"/>
        <v>0.48976647210278357</v>
      </c>
      <c r="AK10" s="639">
        <v>62751.87</v>
      </c>
      <c r="AL10" s="639">
        <v>65889.460000000006</v>
      </c>
      <c r="AM10" s="633">
        <v>1.05</v>
      </c>
      <c r="AN10" s="635">
        <v>38067.629999999997</v>
      </c>
      <c r="AO10" s="636">
        <f t="shared" si="13"/>
        <v>0.60663737989003352</v>
      </c>
      <c r="AP10" s="639">
        <v>77538.179999999993</v>
      </c>
      <c r="AQ10" s="639">
        <v>81415.09</v>
      </c>
      <c r="AR10" s="633">
        <v>1.05</v>
      </c>
      <c r="AS10" s="635">
        <v>42713.17</v>
      </c>
      <c r="AT10" s="636">
        <v>0.61</v>
      </c>
      <c r="AU10" s="639">
        <f t="shared" si="14"/>
        <v>336933.98</v>
      </c>
      <c r="AV10" s="639">
        <f t="shared" si="15"/>
        <v>320889.51</v>
      </c>
      <c r="AW10" s="778">
        <f t="shared" si="16"/>
        <v>172851.24</v>
      </c>
      <c r="AX10" s="665">
        <f t="shared" si="17"/>
        <v>0.5386627939317804</v>
      </c>
      <c r="AY10" s="645">
        <v>72580.86</v>
      </c>
      <c r="AZ10" s="639">
        <v>76209.91</v>
      </c>
      <c r="BA10" s="633">
        <v>1.05</v>
      </c>
      <c r="BB10" s="635">
        <v>47069.59</v>
      </c>
      <c r="BC10" s="636">
        <f t="shared" si="18"/>
        <v>0.64851243151431381</v>
      </c>
      <c r="BD10" s="639">
        <v>80958</v>
      </c>
      <c r="BE10" s="639">
        <v>82577.16</v>
      </c>
      <c r="BF10" s="633">
        <v>1.02</v>
      </c>
      <c r="BG10" s="635">
        <v>51461.86</v>
      </c>
      <c r="BH10" s="636">
        <f t="shared" si="19"/>
        <v>0.63566120704562856</v>
      </c>
      <c r="BI10" s="639">
        <v>81048.149999999994</v>
      </c>
      <c r="BJ10" s="639">
        <v>32419.26</v>
      </c>
      <c r="BK10" s="633">
        <v>0.4</v>
      </c>
      <c r="BL10" s="635">
        <v>57452.82</v>
      </c>
      <c r="BM10" s="636">
        <f t="shared" si="20"/>
        <v>0.7088726886424922</v>
      </c>
      <c r="BN10" s="639">
        <v>85462.03</v>
      </c>
      <c r="BO10" s="639">
        <f t="shared" si="21"/>
        <v>55550.319499999998</v>
      </c>
      <c r="BP10" s="633">
        <v>0.65</v>
      </c>
      <c r="BQ10" s="635">
        <v>48520.55</v>
      </c>
      <c r="BR10" s="636">
        <f t="shared" si="22"/>
        <v>0.56774394429900632</v>
      </c>
      <c r="BS10" s="639">
        <v>88157.07</v>
      </c>
      <c r="BT10" s="639">
        <f t="shared" si="23"/>
        <v>57302.095500000003</v>
      </c>
      <c r="BU10" s="633">
        <v>0.65</v>
      </c>
      <c r="BV10" s="635">
        <v>60604.86</v>
      </c>
      <c r="BW10" s="636">
        <f t="shared" si="24"/>
        <v>0.68746454481756247</v>
      </c>
      <c r="BX10" s="661">
        <f t="shared" si="25"/>
        <v>304058.745</v>
      </c>
      <c r="BY10" s="661">
        <f t="shared" si="26"/>
        <v>408206.11000000004</v>
      </c>
      <c r="BZ10" s="663">
        <f t="shared" si="27"/>
        <v>265109.68000000005</v>
      </c>
      <c r="CA10" s="651">
        <f t="shared" si="28"/>
        <v>0.64945054350117404</v>
      </c>
      <c r="CB10" s="645">
        <v>85240.6</v>
      </c>
      <c r="CC10" s="639">
        <f t="shared" si="29"/>
        <v>69897.292000000001</v>
      </c>
      <c r="CD10" s="633">
        <v>0.82</v>
      </c>
      <c r="CE10" s="635">
        <v>55818.47</v>
      </c>
      <c r="CF10" s="636">
        <f t="shared" si="30"/>
        <v>0.65483431604188613</v>
      </c>
      <c r="CG10" s="639">
        <v>85612.56</v>
      </c>
      <c r="CH10" s="639">
        <f t="shared" si="31"/>
        <v>64209.42</v>
      </c>
      <c r="CI10" s="633">
        <v>0.75</v>
      </c>
      <c r="CJ10" s="635">
        <v>51668.09</v>
      </c>
      <c r="CK10" s="636">
        <f t="shared" si="32"/>
        <v>0.60351062974871905</v>
      </c>
      <c r="CL10" s="639">
        <v>86824.26</v>
      </c>
      <c r="CM10" s="639">
        <f t="shared" si="33"/>
        <v>60776.981999999989</v>
      </c>
      <c r="CN10" s="633">
        <v>0.7</v>
      </c>
      <c r="CO10" s="635">
        <v>38180.97</v>
      </c>
      <c r="CP10" s="636">
        <f t="shared" si="34"/>
        <v>0.43975001917666795</v>
      </c>
      <c r="CQ10" s="639">
        <v>124409.63</v>
      </c>
      <c r="CR10" s="639">
        <f t="shared" si="35"/>
        <v>49763.852000000006</v>
      </c>
      <c r="CS10" s="633">
        <v>0.4</v>
      </c>
      <c r="CT10" s="635">
        <v>82769.23</v>
      </c>
      <c r="CU10" s="636">
        <f t="shared" si="36"/>
        <v>0.6652960064265121</v>
      </c>
      <c r="CV10" s="656">
        <f t="shared" si="37"/>
        <v>244647.54600000003</v>
      </c>
      <c r="CW10" s="656">
        <f t="shared" si="38"/>
        <v>382087.05</v>
      </c>
      <c r="CX10" s="657">
        <f t="shared" si="39"/>
        <v>228436.75999999998</v>
      </c>
      <c r="CY10" s="654">
        <f t="shared" si="40"/>
        <v>0.59786574813252635</v>
      </c>
      <c r="CZ10" s="645">
        <v>131977.91</v>
      </c>
      <c r="DA10" s="639">
        <f t="shared" si="41"/>
        <v>65988.955000000002</v>
      </c>
      <c r="DB10" s="633">
        <v>0.5</v>
      </c>
      <c r="DC10" s="635">
        <v>74002.58</v>
      </c>
      <c r="DD10" s="636">
        <f t="shared" si="42"/>
        <v>0.56071944160958453</v>
      </c>
      <c r="DE10" s="639">
        <v>104899.34</v>
      </c>
      <c r="DF10" s="639">
        <f t="shared" si="43"/>
        <v>62939.603999999992</v>
      </c>
      <c r="DG10" s="633">
        <v>0.6</v>
      </c>
      <c r="DH10" s="635">
        <v>76638.97</v>
      </c>
      <c r="DI10" s="636">
        <f t="shared" si="44"/>
        <v>0.73059534978961738</v>
      </c>
      <c r="DJ10" s="639">
        <v>98413.68</v>
      </c>
      <c r="DK10" s="639">
        <f t="shared" si="45"/>
        <v>73810.259999999995</v>
      </c>
      <c r="DL10" s="633">
        <v>0.75</v>
      </c>
      <c r="DM10" s="635">
        <v>58655.4</v>
      </c>
      <c r="DN10" s="636">
        <f t="shared" si="46"/>
        <v>0.59600860368192721</v>
      </c>
      <c r="DO10" s="639">
        <v>88818.53</v>
      </c>
      <c r="DP10" s="639">
        <f t="shared" si="47"/>
        <v>52936.608046381363</v>
      </c>
      <c r="DQ10" s="633">
        <v>0.59600860368192721</v>
      </c>
      <c r="DR10" s="635">
        <v>55981.78</v>
      </c>
      <c r="DS10" s="636">
        <f t="shared" si="48"/>
        <v>0.63029392627867176</v>
      </c>
      <c r="DT10" s="656">
        <f t="shared" si="49"/>
        <v>255675.42704638134</v>
      </c>
      <c r="DU10" s="656">
        <f t="shared" si="50"/>
        <v>424109.45999999996</v>
      </c>
      <c r="DV10" s="657">
        <f t="shared" si="51"/>
        <v>265278.73</v>
      </c>
      <c r="DW10" s="654">
        <f t="shared" si="52"/>
        <v>0.62549590381690612</v>
      </c>
      <c r="DX10" s="645">
        <v>92821.29</v>
      </c>
      <c r="DY10" s="639">
        <f t="shared" si="53"/>
        <v>58504.695316351208</v>
      </c>
      <c r="DZ10" s="633">
        <v>0.63029392627867176</v>
      </c>
      <c r="EA10" s="635">
        <f>'Vtas Diarias 2021'!AG11</f>
        <v>59894.970000000016</v>
      </c>
      <c r="EB10" s="636">
        <f t="shared" si="54"/>
        <v>0.64527189828971365</v>
      </c>
      <c r="EC10" s="639">
        <v>88469.68</v>
      </c>
      <c r="ED10" s="639">
        <f t="shared" si="55"/>
        <v>53081.807999999997</v>
      </c>
      <c r="EE10" s="633">
        <v>0.6</v>
      </c>
      <c r="EF10" s="635">
        <f>'Vtas Diarias 2021'!BM11</f>
        <v>66064.72</v>
      </c>
      <c r="EG10" s="636">
        <f t="shared" si="56"/>
        <v>0.74674984695321611</v>
      </c>
      <c r="EH10" s="639">
        <v>93299.5</v>
      </c>
      <c r="EI10" s="639">
        <f t="shared" si="57"/>
        <v>65309.649999999994</v>
      </c>
      <c r="EJ10" s="633">
        <v>0.7</v>
      </c>
      <c r="EK10" s="635">
        <f>'Vtas Diarias 2021'!CS11</f>
        <v>59269.319999999992</v>
      </c>
      <c r="EL10" s="636">
        <f t="shared" si="58"/>
        <v>0.63525870985375044</v>
      </c>
      <c r="EM10" s="639">
        <v>104280.28</v>
      </c>
      <c r="EN10" s="639">
        <f t="shared" si="59"/>
        <v>72996.195999999996</v>
      </c>
      <c r="EO10" s="633">
        <v>0.7</v>
      </c>
      <c r="EP10" s="635">
        <f>'Vtas Diarias 2021'!DY11</f>
        <v>57877.83</v>
      </c>
      <c r="EQ10" s="636">
        <f t="shared" si="60"/>
        <v>0.55502181236951031</v>
      </c>
      <c r="ER10" s="639">
        <v>98466.77</v>
      </c>
      <c r="ES10" s="639">
        <f t="shared" si="61"/>
        <v>64003.400500000003</v>
      </c>
      <c r="ET10" s="633">
        <v>0.65</v>
      </c>
      <c r="EU10" s="635">
        <f>'Vtas Diarias 2021'!FE11</f>
        <v>67062.459999999992</v>
      </c>
      <c r="EV10" s="636">
        <f t="shared" si="62"/>
        <v>0.68106692237391342</v>
      </c>
      <c r="EW10" s="661">
        <f t="shared" si="63"/>
        <v>313895.74981635116</v>
      </c>
      <c r="EX10" s="956">
        <f t="shared" si="64"/>
        <v>477337.52</v>
      </c>
      <c r="EY10" s="662">
        <f t="shared" si="65"/>
        <v>310169.3</v>
      </c>
      <c r="EZ10" s="654">
        <f t="shared" si="66"/>
        <v>0.64979032027484451</v>
      </c>
      <c r="FA10" s="645">
        <v>86066.23</v>
      </c>
      <c r="FB10" s="639">
        <f t="shared" si="67"/>
        <v>60246.36099999999</v>
      </c>
      <c r="FC10" s="633">
        <v>0.7</v>
      </c>
      <c r="FD10" s="635">
        <f>'Vtas Diarias 2021'!GK11</f>
        <v>60792.37999999999</v>
      </c>
      <c r="FE10" s="636">
        <f t="shared" si="68"/>
        <v>0.70634417238910074</v>
      </c>
      <c r="FF10" s="639">
        <v>89186.39</v>
      </c>
      <c r="FG10" s="639">
        <f t="shared" si="69"/>
        <v>67781.656400000007</v>
      </c>
      <c r="FH10" s="633">
        <v>0.76</v>
      </c>
      <c r="FI10" s="635">
        <f>'Vtas Diarias 2021'!HQ11</f>
        <v>59429.11</v>
      </c>
      <c r="FJ10" s="636">
        <f t="shared" si="70"/>
        <v>0.66634729805747273</v>
      </c>
      <c r="FK10" s="639">
        <v>78953.61</v>
      </c>
      <c r="FL10" s="639">
        <f t="shared" si="71"/>
        <v>62373.351900000001</v>
      </c>
      <c r="FM10" s="633">
        <v>0.79</v>
      </c>
      <c r="FN10" s="635">
        <f>'Vtas Diarias 2021'!IW11</f>
        <v>53589.120000000003</v>
      </c>
      <c r="FO10" s="636">
        <f t="shared" si="72"/>
        <v>0.67874185866865366</v>
      </c>
      <c r="FP10" s="639">
        <v>86793.72</v>
      </c>
      <c r="FQ10" s="639">
        <f t="shared" si="73"/>
        <v>65963.227200000008</v>
      </c>
      <c r="FR10" s="633">
        <v>0.76</v>
      </c>
      <c r="FS10" s="635">
        <f>'Vtas Diarias 2021'!KC11</f>
        <v>50247.67</v>
      </c>
      <c r="FT10" s="636">
        <f t="shared" si="74"/>
        <v>0.5789320932436125</v>
      </c>
      <c r="FU10" s="661">
        <f t="shared" si="75"/>
        <v>256364.59649999999</v>
      </c>
      <c r="FV10" s="661">
        <f t="shared" si="76"/>
        <v>340999.94999999995</v>
      </c>
      <c r="FW10" s="663">
        <f t="shared" si="77"/>
        <v>224058.27999999997</v>
      </c>
      <c r="FX10" s="651">
        <f t="shared" si="78"/>
        <v>0.6570625010355573</v>
      </c>
      <c r="FY10" s="645">
        <v>93142.88</v>
      </c>
      <c r="FZ10" s="639">
        <f t="shared" si="79"/>
        <v>69857.16</v>
      </c>
      <c r="GA10" s="633">
        <v>0.75</v>
      </c>
      <c r="GB10" s="635">
        <f>'Vtas Diarias 2021'!LI11</f>
        <v>62084.17</v>
      </c>
      <c r="GC10" s="636">
        <f t="shared" si="80"/>
        <v>0.66654767385333147</v>
      </c>
      <c r="GD10" s="639">
        <v>98355.16</v>
      </c>
      <c r="GE10" s="639">
        <f t="shared" si="81"/>
        <v>79667.679600000003</v>
      </c>
      <c r="GF10" s="633">
        <v>0.81</v>
      </c>
      <c r="GG10" s="635">
        <f>'Vtas Diarias 2021'!MO11</f>
        <v>52032.86</v>
      </c>
      <c r="GH10" s="636">
        <f t="shared" si="82"/>
        <v>0.52903030201974155</v>
      </c>
      <c r="GI10" s="639">
        <v>83229.61</v>
      </c>
      <c r="GJ10" s="639">
        <f t="shared" si="83"/>
        <v>66583.688000000009</v>
      </c>
      <c r="GK10" s="633">
        <v>0.8</v>
      </c>
      <c r="GL10" s="635">
        <f>'Vtas Diarias 2021'!NU11</f>
        <v>59059.630000000005</v>
      </c>
      <c r="GM10" s="636">
        <f t="shared" si="84"/>
        <v>0.7095987834137395</v>
      </c>
      <c r="GN10" s="639">
        <v>94636.160000000003</v>
      </c>
      <c r="GO10" s="639">
        <f t="shared" si="85"/>
        <v>69084.396800000002</v>
      </c>
      <c r="GP10" s="633">
        <v>0.73</v>
      </c>
      <c r="GQ10" s="635">
        <f>'Vtas Diarias 2021'!PA11</f>
        <v>59469.06</v>
      </c>
      <c r="GR10" s="636">
        <f>GQ10/GN10</f>
        <v>0.62839679885574384</v>
      </c>
      <c r="GS10" s="661">
        <f t="shared" si="86"/>
        <v>285192.92440000002</v>
      </c>
      <c r="GT10" s="661">
        <f t="shared" si="87"/>
        <v>369363.81000000006</v>
      </c>
      <c r="GU10" s="662">
        <f t="shared" si="88"/>
        <v>232645.71999999997</v>
      </c>
      <c r="GV10" s="1598">
        <f t="shared" si="89"/>
        <v>0.62985520969149611</v>
      </c>
      <c r="GW10" s="645">
        <v>83009</v>
      </c>
      <c r="GX10" s="639">
        <f t="shared" si="90"/>
        <v>63086.840000000004</v>
      </c>
      <c r="GY10" s="633">
        <v>0.76</v>
      </c>
      <c r="GZ10" s="635">
        <f>'Vtas Diarias 2021'!QG11</f>
        <v>69558.25</v>
      </c>
      <c r="HA10" s="636">
        <f t="shared" si="91"/>
        <v>0.83796034164970068</v>
      </c>
      <c r="HB10" s="639">
        <v>76126.64</v>
      </c>
      <c r="HC10" s="639">
        <f t="shared" si="92"/>
        <v>59378.779200000004</v>
      </c>
      <c r="HD10" s="633">
        <v>0.78</v>
      </c>
      <c r="HE10" s="635">
        <f>'Vtas Diarias 2021'!RM11</f>
        <v>52634.240000000005</v>
      </c>
      <c r="HF10" s="636">
        <f t="shared" si="93"/>
        <v>0.69140369258383139</v>
      </c>
      <c r="HG10" s="639">
        <v>57477.43</v>
      </c>
      <c r="HH10" s="639">
        <f t="shared" si="94"/>
        <v>44257.621100000004</v>
      </c>
      <c r="HI10" s="633">
        <v>0.77</v>
      </c>
      <c r="HJ10" s="635">
        <f>'Vtas Diarias 2021'!SS11</f>
        <v>50816.56</v>
      </c>
      <c r="HK10" s="636">
        <f t="shared" si="95"/>
        <v>0.88411329455753318</v>
      </c>
      <c r="HL10" s="639">
        <v>69655.320000000007</v>
      </c>
      <c r="HM10" s="639">
        <f t="shared" si="96"/>
        <v>52938.043200000007</v>
      </c>
      <c r="HN10" s="633">
        <v>0.76</v>
      </c>
      <c r="HO10" s="635">
        <f>'Vtas Diarias 2021'!TY11</f>
        <v>46449.56</v>
      </c>
      <c r="HP10" s="808">
        <f t="shared" si="97"/>
        <v>0.66684870588492007</v>
      </c>
      <c r="HQ10" s="639">
        <v>68848.38</v>
      </c>
      <c r="HR10" s="639">
        <f t="shared" si="98"/>
        <v>52324.768800000005</v>
      </c>
      <c r="HS10" s="633">
        <v>0.76</v>
      </c>
      <c r="HT10" s="635">
        <f>'Vtas Diarias 2021'!VE11</f>
        <v>51316.270000000004</v>
      </c>
      <c r="HU10" s="636">
        <f t="shared" si="99"/>
        <v>0.74535188772778682</v>
      </c>
      <c r="HV10" s="661">
        <f t="shared" si="100"/>
        <v>271986.05230000004</v>
      </c>
      <c r="HW10" s="661">
        <f t="shared" si="101"/>
        <v>355116.77</v>
      </c>
      <c r="HX10" s="663">
        <f t="shared" si="102"/>
        <v>270774.88</v>
      </c>
      <c r="HY10" s="651">
        <f t="shared" si="103"/>
        <v>0.76249533357717802</v>
      </c>
      <c r="HZ10" s="645">
        <v>64573.760000000002</v>
      </c>
      <c r="IA10" s="639">
        <f t="shared" si="104"/>
        <v>48430.32</v>
      </c>
      <c r="IB10" s="633">
        <v>0.75</v>
      </c>
      <c r="IC10" s="635">
        <f>'Vtas Diarias 2021'!WK11</f>
        <v>46351.590000000004</v>
      </c>
      <c r="ID10" s="636">
        <f t="shared" si="142"/>
        <v>0.71780844107575592</v>
      </c>
      <c r="IE10" s="639">
        <v>87070.74</v>
      </c>
      <c r="IF10" s="639">
        <f t="shared" si="105"/>
        <v>67044.469800000006</v>
      </c>
      <c r="IG10" s="633">
        <v>0.77</v>
      </c>
      <c r="IH10" s="635">
        <f>'Vtas Diarias 2021'!XQ11</f>
        <v>59796.689999999995</v>
      </c>
      <c r="II10" s="636">
        <f t="shared" si="106"/>
        <v>0.68675986904441133</v>
      </c>
      <c r="IJ10" s="639">
        <v>77295.31</v>
      </c>
      <c r="IK10" s="639">
        <f t="shared" si="107"/>
        <v>61836.248</v>
      </c>
      <c r="IL10" s="633">
        <v>0.8</v>
      </c>
      <c r="IM10" s="635">
        <f>'Vtas Diarias 2021'!YW11</f>
        <v>54808.05</v>
      </c>
      <c r="IN10" s="636">
        <f t="shared" si="108"/>
        <v>0.70907342243662652</v>
      </c>
      <c r="IO10" s="639">
        <v>110367.25</v>
      </c>
      <c r="IP10" s="639">
        <f t="shared" si="109"/>
        <v>91604.81749999999</v>
      </c>
      <c r="IQ10" s="633">
        <v>0.83</v>
      </c>
      <c r="IR10" s="635">
        <f>'Vtas Diarias 2021'!AAC11</f>
        <v>104358.69</v>
      </c>
      <c r="IS10" s="636">
        <f t="shared" si="110"/>
        <v>0.94555848768543205</v>
      </c>
      <c r="IT10" s="1577">
        <f t="shared" si="111"/>
        <v>268915.8553</v>
      </c>
      <c r="IU10" s="1577">
        <f t="shared" si="112"/>
        <v>339307.06</v>
      </c>
      <c r="IV10" s="1578">
        <f t="shared" si="113"/>
        <v>265315.02</v>
      </c>
      <c r="IW10" s="654">
        <f t="shared" si="114"/>
        <v>0.78193191736122447</v>
      </c>
      <c r="IX10" s="645">
        <v>83647.73</v>
      </c>
      <c r="IY10" s="639">
        <f t="shared" si="115"/>
        <v>69427.61589999999</v>
      </c>
      <c r="IZ10" s="633">
        <v>0.83</v>
      </c>
      <c r="JA10" s="635">
        <f>'Vtas Diarias 2021'!ABI11</f>
        <v>66090.67</v>
      </c>
      <c r="JB10" s="636">
        <f t="shared" si="116"/>
        <v>0.79010715532866227</v>
      </c>
      <c r="JC10" s="639">
        <v>90560.36</v>
      </c>
      <c r="JD10" s="639">
        <f t="shared" si="117"/>
        <v>77881.909599999999</v>
      </c>
      <c r="JE10" s="633">
        <v>0.86</v>
      </c>
      <c r="JF10" s="635">
        <f>'Vtas Diarias 2021'!ACO11</f>
        <v>55718.119999999995</v>
      </c>
      <c r="JG10" s="636">
        <f t="shared" si="118"/>
        <v>0.6152594799755654</v>
      </c>
      <c r="JH10" s="639">
        <v>118895.1</v>
      </c>
      <c r="JI10" s="639">
        <f t="shared" si="119"/>
        <v>102249.78600000001</v>
      </c>
      <c r="JJ10" s="633">
        <v>0.86</v>
      </c>
      <c r="JK10" s="635">
        <f>'Vtas Diarias 2021'!ADU11</f>
        <v>63855.619999999995</v>
      </c>
      <c r="JL10" s="636">
        <f t="shared" si="120"/>
        <v>0.53707528737517352</v>
      </c>
      <c r="JM10" s="639">
        <v>118557.61</v>
      </c>
      <c r="JN10" s="639">
        <f t="shared" si="121"/>
        <v>77062.446500000005</v>
      </c>
      <c r="JO10" s="633">
        <v>0.65</v>
      </c>
      <c r="JP10" s="635">
        <f>'Vtas Diarias 2021'!AFA11</f>
        <v>83993.17</v>
      </c>
      <c r="JQ10" s="636">
        <f t="shared" si="122"/>
        <v>0.7084586978431836</v>
      </c>
      <c r="JR10" s="636">
        <f t="shared" si="122"/>
        <v>9.1933065976977983E-6</v>
      </c>
      <c r="JS10" s="1577">
        <f t="shared" si="123"/>
        <v>326621.75799999997</v>
      </c>
      <c r="JT10" s="1577">
        <f t="shared" si="124"/>
        <v>411660.79999999999</v>
      </c>
      <c r="JU10" s="1582">
        <f t="shared" si="125"/>
        <v>269657.57999999996</v>
      </c>
      <c r="JV10" s="651">
        <f t="shared" si="126"/>
        <v>0.65504799096732058</v>
      </c>
      <c r="JW10" s="645">
        <v>150186.12</v>
      </c>
      <c r="JX10" s="639">
        <f t="shared" si="127"/>
        <v>97620.978000000003</v>
      </c>
      <c r="JY10" s="633">
        <v>0.65</v>
      </c>
      <c r="JZ10" s="635">
        <f>'Vtas Diarias 2021'!AGG11</f>
        <v>111985.45</v>
      </c>
      <c r="KA10" s="636">
        <f t="shared" si="128"/>
        <v>0.74564447100704112</v>
      </c>
      <c r="KB10" s="639">
        <v>174273.21</v>
      </c>
      <c r="KC10" s="639">
        <f t="shared" si="129"/>
        <v>113277.5865</v>
      </c>
      <c r="KD10" s="633">
        <v>0.65</v>
      </c>
      <c r="KE10" s="635">
        <f>'Vtas Diarias 2021'!AHM11</f>
        <v>122729.38</v>
      </c>
      <c r="KF10" s="636">
        <f t="shared" si="130"/>
        <v>0.70423549322354262</v>
      </c>
      <c r="KG10" s="639">
        <v>239820.51</v>
      </c>
      <c r="KH10" s="639">
        <f t="shared" si="131"/>
        <v>160679.74170000001</v>
      </c>
      <c r="KI10" s="633">
        <v>0.67</v>
      </c>
      <c r="KJ10" s="635">
        <f>'Vtas Diarias 2021'!AIS11</f>
        <v>140667.81</v>
      </c>
      <c r="KK10" s="636">
        <f t="shared" si="132"/>
        <v>0.58655454447995292</v>
      </c>
      <c r="KL10" s="639">
        <v>227927.25</v>
      </c>
      <c r="KM10" s="1601">
        <f t="shared" si="133"/>
        <v>255278.52000000002</v>
      </c>
      <c r="KN10" s="1615">
        <v>1.1200000000000001</v>
      </c>
      <c r="KO10" s="1602">
        <f>'Vtas Diarias 2021'!AJY11</f>
        <v>246858.49</v>
      </c>
      <c r="KP10" s="636">
        <f t="shared" si="134"/>
        <v>1.0830582565270277</v>
      </c>
      <c r="KQ10" s="639">
        <v>66032.73</v>
      </c>
      <c r="KR10" s="1601">
        <f t="shared" si="135"/>
        <v>49524.547500000001</v>
      </c>
      <c r="KS10" s="1616">
        <v>0.75</v>
      </c>
      <c r="KT10" s="1602">
        <f>'Vtas Diarias 2021'!ALE11</f>
        <v>63902.110000000008</v>
      </c>
      <c r="KU10" s="636">
        <f t="shared" si="136"/>
        <v>0.96773387985018966</v>
      </c>
      <c r="KV10" s="1577">
        <f t="shared" si="137"/>
        <v>676381.3737</v>
      </c>
      <c r="KW10" s="1577">
        <f t="shared" si="2"/>
        <v>858239.82</v>
      </c>
      <c r="KX10" s="1578">
        <f t="shared" si="3"/>
        <v>686143.24</v>
      </c>
      <c r="KY10" s="959">
        <f t="shared" si="138"/>
        <v>0.79947728363384496</v>
      </c>
      <c r="KZ10" s="1508">
        <f t="shared" si="143"/>
        <v>4961618.7300000004</v>
      </c>
      <c r="LA10" s="811">
        <f t="shared" si="144"/>
        <v>3409692.0792999999</v>
      </c>
      <c r="LB10" s="1509">
        <f t="shared" si="139"/>
        <v>4961618.7299999995</v>
      </c>
      <c r="LC10" s="811">
        <f t="shared" si="140"/>
        <v>3357677.76</v>
      </c>
      <c r="LD10" s="1575">
        <f t="shared" si="4"/>
        <v>-1603940.9699999997</v>
      </c>
      <c r="LE10" s="1594">
        <f t="shared" si="141"/>
        <v>0.67673030571617487</v>
      </c>
      <c r="LF10" s="1008">
        <f t="shared" si="145"/>
        <v>0.68721364233079629</v>
      </c>
    </row>
    <row r="11" spans="1:318" outlineLevel="1">
      <c r="A11" s="1495"/>
      <c r="B11" s="687" t="s">
        <v>474</v>
      </c>
      <c r="C11" s="645">
        <v>79969.960000000006</v>
      </c>
      <c r="D11" s="639">
        <v>83968.46</v>
      </c>
      <c r="E11" s="633">
        <v>1.05</v>
      </c>
      <c r="F11" s="635">
        <v>74049.98</v>
      </c>
      <c r="G11" s="636">
        <f t="shared" si="5"/>
        <v>0.92597245265597217</v>
      </c>
      <c r="H11" s="639">
        <v>88914.68</v>
      </c>
      <c r="I11" s="639">
        <v>93360.42</v>
      </c>
      <c r="J11" s="633">
        <v>1.05</v>
      </c>
      <c r="K11" s="635">
        <v>54270.86</v>
      </c>
      <c r="L11" s="636">
        <f t="shared" si="6"/>
        <v>0.61037007612241312</v>
      </c>
      <c r="M11" s="639">
        <v>82082.13</v>
      </c>
      <c r="N11" s="639">
        <v>86186.240000000005</v>
      </c>
      <c r="O11" s="633">
        <v>1.05</v>
      </c>
      <c r="P11" s="635">
        <v>61593.03</v>
      </c>
      <c r="Q11" s="636">
        <f t="shared" si="7"/>
        <v>0.75038293962400826</v>
      </c>
      <c r="R11" s="639">
        <v>94513.49</v>
      </c>
      <c r="S11" s="639">
        <v>99239.16</v>
      </c>
      <c r="T11" s="633">
        <v>1.05</v>
      </c>
      <c r="U11" s="635">
        <v>69356.42</v>
      </c>
      <c r="V11" s="636">
        <f t="shared" si="8"/>
        <v>0.73382561579304706</v>
      </c>
      <c r="W11" s="639">
        <f t="shared" si="0"/>
        <v>362754.28</v>
      </c>
      <c r="X11" s="639">
        <f t="shared" si="1"/>
        <v>345480.26</v>
      </c>
      <c r="Y11" s="666">
        <f t="shared" si="9"/>
        <v>259270.28999999998</v>
      </c>
      <c r="Z11" s="646">
        <f t="shared" si="10"/>
        <v>0.75046339840082321</v>
      </c>
      <c r="AA11" s="645">
        <v>85840.14</v>
      </c>
      <c r="AB11" s="639">
        <v>90132.15</v>
      </c>
      <c r="AC11" s="633">
        <v>1.05</v>
      </c>
      <c r="AD11" s="635">
        <v>74114.960000000006</v>
      </c>
      <c r="AE11" s="636">
        <f t="shared" si="11"/>
        <v>0.86340679313896751</v>
      </c>
      <c r="AF11" s="639">
        <v>123037.15</v>
      </c>
      <c r="AG11" s="639">
        <v>129189.01</v>
      </c>
      <c r="AH11" s="633">
        <v>1.05</v>
      </c>
      <c r="AI11" s="635">
        <v>80033.23</v>
      </c>
      <c r="AJ11" s="636">
        <f t="shared" si="12"/>
        <v>0.65048020049229038</v>
      </c>
      <c r="AK11" s="639">
        <v>78117.56</v>
      </c>
      <c r="AL11" s="639">
        <v>82023.44</v>
      </c>
      <c r="AM11" s="633">
        <v>1.05</v>
      </c>
      <c r="AN11" s="635">
        <v>52983.44</v>
      </c>
      <c r="AO11" s="636">
        <f t="shared" si="13"/>
        <v>0.6782526233538273</v>
      </c>
      <c r="AP11" s="639">
        <v>101341.96</v>
      </c>
      <c r="AQ11" s="639">
        <v>106409.05</v>
      </c>
      <c r="AR11" s="633">
        <v>1.05</v>
      </c>
      <c r="AS11" s="635">
        <v>87012.63</v>
      </c>
      <c r="AT11" s="636">
        <v>1.05</v>
      </c>
      <c r="AU11" s="639">
        <f t="shared" si="14"/>
        <v>407753.64999999997</v>
      </c>
      <c r="AV11" s="639">
        <f t="shared" si="15"/>
        <v>388336.81</v>
      </c>
      <c r="AW11" s="778">
        <f t="shared" si="16"/>
        <v>294144.26</v>
      </c>
      <c r="AX11" s="665">
        <f t="shared" si="17"/>
        <v>0.75744624878594435</v>
      </c>
      <c r="AY11" s="645">
        <v>103306.08</v>
      </c>
      <c r="AZ11" s="639">
        <v>108471.39</v>
      </c>
      <c r="BA11" s="633">
        <v>1.05</v>
      </c>
      <c r="BB11" s="635">
        <v>68400.92</v>
      </c>
      <c r="BC11" s="636">
        <f t="shared" si="18"/>
        <v>0.66211901564748166</v>
      </c>
      <c r="BD11" s="639">
        <v>102573.8</v>
      </c>
      <c r="BE11" s="639">
        <v>104625.28</v>
      </c>
      <c r="BF11" s="633">
        <v>1.02</v>
      </c>
      <c r="BG11" s="635">
        <v>70441.16</v>
      </c>
      <c r="BH11" s="636">
        <f t="shared" si="19"/>
        <v>0.68673637907535845</v>
      </c>
      <c r="BI11" s="639">
        <v>129783.27</v>
      </c>
      <c r="BJ11" s="639">
        <v>51913.31</v>
      </c>
      <c r="BK11" s="633">
        <v>0.4</v>
      </c>
      <c r="BL11" s="635">
        <v>59807.85</v>
      </c>
      <c r="BM11" s="636">
        <f t="shared" si="20"/>
        <v>0.46082865688312519</v>
      </c>
      <c r="BN11" s="639">
        <v>112120.35</v>
      </c>
      <c r="BO11" s="639">
        <f t="shared" si="21"/>
        <v>72878.227500000008</v>
      </c>
      <c r="BP11" s="633">
        <v>0.65</v>
      </c>
      <c r="BQ11" s="635">
        <v>84945.58</v>
      </c>
      <c r="BR11" s="636">
        <f t="shared" si="22"/>
        <v>0.75762856608992035</v>
      </c>
      <c r="BS11" s="639">
        <v>115154.49</v>
      </c>
      <c r="BT11" s="639">
        <f t="shared" si="23"/>
        <v>74850.4185</v>
      </c>
      <c r="BU11" s="633">
        <v>0.65</v>
      </c>
      <c r="BV11" s="635">
        <v>77549.64</v>
      </c>
      <c r="BW11" s="636">
        <f t="shared" si="24"/>
        <v>0.67344000220920608</v>
      </c>
      <c r="BX11" s="661">
        <f t="shared" si="25"/>
        <v>412738.62600000005</v>
      </c>
      <c r="BY11" s="661">
        <f t="shared" si="26"/>
        <v>562937.99</v>
      </c>
      <c r="BZ11" s="663">
        <f t="shared" si="27"/>
        <v>361145.14999999997</v>
      </c>
      <c r="CA11" s="651">
        <f t="shared" si="28"/>
        <v>0.64153629070228491</v>
      </c>
      <c r="CB11" s="645">
        <v>116398.85</v>
      </c>
      <c r="CC11" s="639">
        <f t="shared" si="29"/>
        <v>95447.057000000001</v>
      </c>
      <c r="CD11" s="633">
        <v>0.82</v>
      </c>
      <c r="CE11" s="635">
        <v>67853.320000000007</v>
      </c>
      <c r="CF11" s="636">
        <f t="shared" si="30"/>
        <v>0.58293806167328976</v>
      </c>
      <c r="CG11" s="639">
        <v>133417.65</v>
      </c>
      <c r="CH11" s="639">
        <f t="shared" si="31"/>
        <v>100063.23749999999</v>
      </c>
      <c r="CI11" s="633">
        <v>0.75</v>
      </c>
      <c r="CJ11" s="635">
        <v>81725.179999999993</v>
      </c>
      <c r="CK11" s="636">
        <f t="shared" si="32"/>
        <v>0.61255148775293222</v>
      </c>
      <c r="CL11" s="639">
        <v>125711.2</v>
      </c>
      <c r="CM11" s="639">
        <f t="shared" si="33"/>
        <v>87997.84</v>
      </c>
      <c r="CN11" s="633">
        <v>0.7</v>
      </c>
      <c r="CO11" s="635">
        <v>63307.45</v>
      </c>
      <c r="CP11" s="636">
        <f t="shared" si="34"/>
        <v>0.50359434958858085</v>
      </c>
      <c r="CQ11" s="639">
        <v>165883.18</v>
      </c>
      <c r="CR11" s="639">
        <f t="shared" si="35"/>
        <v>66353.271999999997</v>
      </c>
      <c r="CS11" s="633">
        <v>0.4</v>
      </c>
      <c r="CT11" s="635">
        <v>89154.74</v>
      </c>
      <c r="CU11" s="636">
        <f t="shared" si="36"/>
        <v>0.53745497283088017</v>
      </c>
      <c r="CV11" s="656">
        <f t="shared" si="37"/>
        <v>349861.40649999998</v>
      </c>
      <c r="CW11" s="656">
        <f t="shared" si="38"/>
        <v>541410.88</v>
      </c>
      <c r="CX11" s="657">
        <f t="shared" si="39"/>
        <v>302040.69</v>
      </c>
      <c r="CY11" s="654">
        <f t="shared" si="40"/>
        <v>0.55787702308457487</v>
      </c>
      <c r="CZ11" s="645">
        <v>189454.69</v>
      </c>
      <c r="DA11" s="639">
        <f t="shared" si="41"/>
        <v>94727.345000000001</v>
      </c>
      <c r="DB11" s="633">
        <v>0.5</v>
      </c>
      <c r="DC11" s="635">
        <v>89001.97</v>
      </c>
      <c r="DD11" s="636">
        <f t="shared" si="42"/>
        <v>0.46977971355578474</v>
      </c>
      <c r="DE11" s="639">
        <v>133036.97</v>
      </c>
      <c r="DF11" s="639">
        <f t="shared" si="43"/>
        <v>79822.182000000001</v>
      </c>
      <c r="DG11" s="633">
        <v>0.6</v>
      </c>
      <c r="DH11" s="635">
        <v>115734.52</v>
      </c>
      <c r="DI11" s="636">
        <f t="shared" si="44"/>
        <v>0.86994254303897633</v>
      </c>
      <c r="DJ11" s="639">
        <v>109147</v>
      </c>
      <c r="DK11" s="639">
        <f t="shared" si="45"/>
        <v>76402.899999999994</v>
      </c>
      <c r="DL11" s="633">
        <v>0.7</v>
      </c>
      <c r="DM11" s="635">
        <v>103447.79</v>
      </c>
      <c r="DN11" s="636">
        <f t="shared" si="46"/>
        <v>0.94778408934739378</v>
      </c>
      <c r="DO11" s="639">
        <v>119670.93</v>
      </c>
      <c r="DP11" s="639">
        <f t="shared" si="47"/>
        <v>113422.2034114057</v>
      </c>
      <c r="DQ11" s="633">
        <v>0.94778408934739378</v>
      </c>
      <c r="DR11" s="635">
        <v>82771.05</v>
      </c>
      <c r="DS11" s="636">
        <f t="shared" si="48"/>
        <v>0.69165544213619801</v>
      </c>
      <c r="DT11" s="656">
        <f t="shared" si="49"/>
        <v>364374.6304114057</v>
      </c>
      <c r="DU11" s="656">
        <f t="shared" si="50"/>
        <v>551309.59000000008</v>
      </c>
      <c r="DV11" s="657">
        <f t="shared" si="51"/>
        <v>390955.33</v>
      </c>
      <c r="DW11" s="654">
        <f t="shared" si="52"/>
        <v>0.70913936033653968</v>
      </c>
      <c r="DX11" s="645">
        <v>133085.25</v>
      </c>
      <c r="DY11" s="639">
        <f t="shared" si="53"/>
        <v>92049.137430556439</v>
      </c>
      <c r="DZ11" s="633">
        <v>0.69165544213619801</v>
      </c>
      <c r="EA11" s="635">
        <f>'Vtas Diarias 2021'!AG12</f>
        <v>86750.97</v>
      </c>
      <c r="EB11" s="636">
        <f t="shared" si="54"/>
        <v>0.65184511431582393</v>
      </c>
      <c r="EC11" s="639">
        <v>130802.37</v>
      </c>
      <c r="ED11" s="639">
        <f t="shared" si="55"/>
        <v>78481.421999999991</v>
      </c>
      <c r="EE11" s="633">
        <v>0.6</v>
      </c>
      <c r="EF11" s="635">
        <f>'Vtas Diarias 2021'!BM12</f>
        <v>92320.57</v>
      </c>
      <c r="EG11" s="636">
        <f t="shared" si="56"/>
        <v>0.7058019667380645</v>
      </c>
      <c r="EH11" s="639">
        <v>143575.72</v>
      </c>
      <c r="EI11" s="639">
        <f t="shared" si="57"/>
        <v>100503.004</v>
      </c>
      <c r="EJ11" s="633">
        <v>0.7</v>
      </c>
      <c r="EK11" s="635">
        <f>'Vtas Diarias 2021'!CS12</f>
        <v>105325.20000000001</v>
      </c>
      <c r="EL11" s="636">
        <f t="shared" si="58"/>
        <v>0.73358643090907016</v>
      </c>
      <c r="EM11" s="639">
        <v>133954.01</v>
      </c>
      <c r="EN11" s="639">
        <f t="shared" si="59"/>
        <v>93767.807000000001</v>
      </c>
      <c r="EO11" s="633">
        <v>0.7</v>
      </c>
      <c r="EP11" s="635">
        <f>'Vtas Diarias 2021'!DY12</f>
        <v>88636.209999999992</v>
      </c>
      <c r="EQ11" s="636">
        <f t="shared" si="60"/>
        <v>0.661691352128988</v>
      </c>
      <c r="ER11" s="639">
        <v>133015.85</v>
      </c>
      <c r="ES11" s="639">
        <f t="shared" si="61"/>
        <v>86460.302500000005</v>
      </c>
      <c r="ET11" s="633">
        <v>0.65</v>
      </c>
      <c r="EU11" s="635">
        <f>'Vtas Diarias 2021'!FE12</f>
        <v>89261.38</v>
      </c>
      <c r="EV11" s="636">
        <f t="shared" si="62"/>
        <v>0.67105822351246114</v>
      </c>
      <c r="EW11" s="661">
        <f t="shared" si="63"/>
        <v>451261.67293055647</v>
      </c>
      <c r="EX11" s="956">
        <f t="shared" si="64"/>
        <v>674433.2</v>
      </c>
      <c r="EY11" s="662">
        <f t="shared" si="65"/>
        <v>462294.33000000007</v>
      </c>
      <c r="EZ11" s="654">
        <f>EY11/EX11</f>
        <v>0.68545606888866106</v>
      </c>
      <c r="FA11" s="645">
        <v>133119.56</v>
      </c>
      <c r="FB11" s="639">
        <f t="shared" si="67"/>
        <v>93183.691999999995</v>
      </c>
      <c r="FC11" s="633">
        <v>0.7</v>
      </c>
      <c r="FD11" s="635">
        <f>'Vtas Diarias 2021'!GK12</f>
        <v>95306.23000000001</v>
      </c>
      <c r="FE11" s="636">
        <f t="shared" si="68"/>
        <v>0.71594459897553753</v>
      </c>
      <c r="FF11" s="639">
        <v>131844.51</v>
      </c>
      <c r="FG11" s="639">
        <f t="shared" si="69"/>
        <v>100201.8276</v>
      </c>
      <c r="FH11" s="633">
        <v>0.76</v>
      </c>
      <c r="FI11" s="635">
        <f>'Vtas Diarias 2021'!HQ12</f>
        <v>111874.43000000001</v>
      </c>
      <c r="FJ11" s="636">
        <f t="shared" si="70"/>
        <v>0.84853309402113142</v>
      </c>
      <c r="FK11" s="639">
        <v>128117.69</v>
      </c>
      <c r="FL11" s="639">
        <f t="shared" si="71"/>
        <v>101212.97510000001</v>
      </c>
      <c r="FM11" s="633">
        <v>0.79</v>
      </c>
      <c r="FN11" s="635">
        <f>'Vtas Diarias 2021'!IW12</f>
        <v>106839.32</v>
      </c>
      <c r="FO11" s="636">
        <f t="shared" si="72"/>
        <v>0.83391544134147289</v>
      </c>
      <c r="FP11" s="639">
        <v>104301.81</v>
      </c>
      <c r="FQ11" s="639">
        <f t="shared" si="73"/>
        <v>79269.375599999999</v>
      </c>
      <c r="FR11" s="633">
        <v>0.76</v>
      </c>
      <c r="FS11" s="635">
        <f>'Vtas Diarias 2021'!KC12</f>
        <v>91007.66</v>
      </c>
      <c r="FT11" s="636">
        <f t="shared" si="74"/>
        <v>0.87254152157091047</v>
      </c>
      <c r="FU11" s="661">
        <f t="shared" si="75"/>
        <v>373867.87030000001</v>
      </c>
      <c r="FV11" s="661">
        <f t="shared" si="76"/>
        <v>497383.57</v>
      </c>
      <c r="FW11" s="663">
        <f t="shared" si="77"/>
        <v>405027.64</v>
      </c>
      <c r="FX11" s="651">
        <f t="shared" si="78"/>
        <v>0.8143164841572873</v>
      </c>
      <c r="FY11" s="645">
        <v>108434.37</v>
      </c>
      <c r="FZ11" s="639">
        <f t="shared" si="79"/>
        <v>81325.777499999997</v>
      </c>
      <c r="GA11" s="633">
        <v>0.75</v>
      </c>
      <c r="GB11" s="635">
        <f>'Vtas Diarias 2021'!LI12</f>
        <v>84746.049999999988</v>
      </c>
      <c r="GC11" s="636">
        <f t="shared" si="80"/>
        <v>0.78154232832265258</v>
      </c>
      <c r="GD11" s="639">
        <v>120524.24</v>
      </c>
      <c r="GE11" s="639">
        <f t="shared" si="81"/>
        <v>97624.63440000001</v>
      </c>
      <c r="GF11" s="633">
        <v>0.81</v>
      </c>
      <c r="GG11" s="635">
        <f>'Vtas Diarias 2021'!MO12</f>
        <v>89608.9</v>
      </c>
      <c r="GH11" s="636">
        <f t="shared" si="82"/>
        <v>0.74349276129017694</v>
      </c>
      <c r="GI11" s="639">
        <v>117220.13</v>
      </c>
      <c r="GJ11" s="639">
        <f t="shared" si="83"/>
        <v>93776.104000000007</v>
      </c>
      <c r="GK11" s="633">
        <v>0.8</v>
      </c>
      <c r="GL11" s="635">
        <f>'Vtas Diarias 2021'!NU12</f>
        <v>89726.11</v>
      </c>
      <c r="GM11" s="636">
        <f t="shared" si="84"/>
        <v>0.76544967148560572</v>
      </c>
      <c r="GN11" s="639">
        <v>101493.59</v>
      </c>
      <c r="GO11" s="639">
        <f t="shared" si="85"/>
        <v>74090.320699999997</v>
      </c>
      <c r="GP11" s="633">
        <v>0.73</v>
      </c>
      <c r="GQ11" s="635">
        <f>'Vtas Diarias 2021'!PA12</f>
        <v>96073.209999999992</v>
      </c>
      <c r="GR11" s="636">
        <f>GQ11/GN11</f>
        <v>0.94659386863741835</v>
      </c>
      <c r="GS11" s="661">
        <f t="shared" si="86"/>
        <v>346816.83660000004</v>
      </c>
      <c r="GT11" s="661">
        <f t="shared" si="87"/>
        <v>447672.32999999996</v>
      </c>
      <c r="GU11" s="662">
        <f t="shared" si="88"/>
        <v>360154.27</v>
      </c>
      <c r="GV11" s="1598">
        <f t="shared" si="89"/>
        <v>0.80450420065050721</v>
      </c>
      <c r="GW11" s="645">
        <v>116431</v>
      </c>
      <c r="GX11" s="639">
        <f t="shared" si="90"/>
        <v>88487.56</v>
      </c>
      <c r="GY11" s="633">
        <v>0.76</v>
      </c>
      <c r="GZ11" s="635">
        <f>'Vtas Diarias 2021'!QG12</f>
        <v>94044.15</v>
      </c>
      <c r="HA11" s="636">
        <f t="shared" si="91"/>
        <v>0.80772431740687611</v>
      </c>
      <c r="HB11" s="639">
        <v>117575.93</v>
      </c>
      <c r="HC11" s="639">
        <f t="shared" si="92"/>
        <v>94060.744000000006</v>
      </c>
      <c r="HD11" s="633">
        <v>0.8</v>
      </c>
      <c r="HE11" s="635">
        <f>'Vtas Diarias 2021'!RM12</f>
        <v>78005.429999999993</v>
      </c>
      <c r="HF11" s="636">
        <f t="shared" si="93"/>
        <v>0.66344727190335639</v>
      </c>
      <c r="HG11" s="639">
        <v>108049.88</v>
      </c>
      <c r="HH11" s="639">
        <f t="shared" si="94"/>
        <v>84278.906400000007</v>
      </c>
      <c r="HI11" s="633">
        <v>0.78</v>
      </c>
      <c r="HJ11" s="635">
        <f>'Vtas Diarias 2021'!SS12</f>
        <v>80432.740000000005</v>
      </c>
      <c r="HK11" s="636">
        <f t="shared" si="95"/>
        <v>0.74440378832442944</v>
      </c>
      <c r="HL11" s="639">
        <v>105989.38</v>
      </c>
      <c r="HM11" s="639">
        <f t="shared" si="96"/>
        <v>80551.928800000009</v>
      </c>
      <c r="HN11" s="633">
        <v>0.76</v>
      </c>
      <c r="HO11" s="635">
        <f>'Vtas Diarias 2021'!TY12</f>
        <v>72263.489999999991</v>
      </c>
      <c r="HP11" s="808">
        <f t="shared" si="97"/>
        <v>0.68179934631186623</v>
      </c>
      <c r="HQ11" s="639">
        <v>117742.49</v>
      </c>
      <c r="HR11" s="639">
        <f t="shared" si="98"/>
        <v>89484.292400000006</v>
      </c>
      <c r="HS11" s="633">
        <v>0.76</v>
      </c>
      <c r="HT11" s="635">
        <f>'Vtas Diarias 2021'!VE12</f>
        <v>69448.76999999999</v>
      </c>
      <c r="HU11" s="636">
        <f t="shared" si="99"/>
        <v>0.58983609060756215</v>
      </c>
      <c r="HV11" s="661">
        <f t="shared" si="100"/>
        <v>436863.43160000007</v>
      </c>
      <c r="HW11" s="661">
        <f t="shared" si="101"/>
        <v>565788.68000000005</v>
      </c>
      <c r="HX11" s="663">
        <f t="shared" si="102"/>
        <v>394194.57999999996</v>
      </c>
      <c r="HY11" s="651">
        <f t="shared" si="103"/>
        <v>0.69671697920856235</v>
      </c>
      <c r="HZ11" s="645">
        <v>121649.21</v>
      </c>
      <c r="IA11" s="639">
        <f t="shared" si="104"/>
        <v>71773.033899999995</v>
      </c>
      <c r="IB11" s="633">
        <v>0.59</v>
      </c>
      <c r="IC11" s="635">
        <f>'Vtas Diarias 2021'!WK12</f>
        <v>80706.12</v>
      </c>
      <c r="ID11" s="636">
        <f t="shared" si="142"/>
        <v>0.66343316162924515</v>
      </c>
      <c r="IE11" s="639">
        <v>133272.38</v>
      </c>
      <c r="IF11" s="639">
        <f t="shared" si="105"/>
        <v>81296.151800000007</v>
      </c>
      <c r="IG11" s="633">
        <v>0.61</v>
      </c>
      <c r="IH11" s="635">
        <f>'Vtas Diarias 2021'!XQ12</f>
        <v>86293.23</v>
      </c>
      <c r="II11" s="636">
        <f t="shared" si="106"/>
        <v>0.64749522744322563</v>
      </c>
      <c r="IJ11" s="639">
        <v>124109.5</v>
      </c>
      <c r="IK11" s="639">
        <f t="shared" si="107"/>
        <v>79430.080000000002</v>
      </c>
      <c r="IL11" s="633">
        <v>0.64</v>
      </c>
      <c r="IM11" s="635">
        <f>'Vtas Diarias 2021'!YW12</f>
        <v>113564.31999999999</v>
      </c>
      <c r="IN11" s="636">
        <f t="shared" si="108"/>
        <v>0.91503325692231452</v>
      </c>
      <c r="IO11" s="639">
        <v>175084.6</v>
      </c>
      <c r="IP11" s="639">
        <f t="shared" si="109"/>
        <v>117306.68200000002</v>
      </c>
      <c r="IQ11" s="633">
        <v>0.67</v>
      </c>
      <c r="IR11" s="635">
        <f>'Vtas Diarias 2021'!AAC12</f>
        <v>138257.85</v>
      </c>
      <c r="IS11" s="636">
        <f t="shared" si="110"/>
        <v>0.78966311143298729</v>
      </c>
      <c r="IT11" s="1577">
        <f t="shared" si="111"/>
        <v>349805.94770000002</v>
      </c>
      <c r="IU11" s="1577">
        <f t="shared" si="112"/>
        <v>554115.69000000006</v>
      </c>
      <c r="IV11" s="1578">
        <f t="shared" si="113"/>
        <v>418821.52</v>
      </c>
      <c r="IW11" s="654">
        <f t="shared" si="114"/>
        <v>0.75583768436515486</v>
      </c>
      <c r="IX11" s="645">
        <v>113078.27</v>
      </c>
      <c r="IY11" s="639">
        <f t="shared" si="115"/>
        <v>90462.616000000009</v>
      </c>
      <c r="IZ11" s="633">
        <v>0.8</v>
      </c>
      <c r="JA11" s="635">
        <f>'Vtas Diarias 2021'!ABI12</f>
        <v>81958.59</v>
      </c>
      <c r="JB11" s="636">
        <f t="shared" si="116"/>
        <v>0.72479522369770955</v>
      </c>
      <c r="JC11" s="639">
        <v>136471.04000000001</v>
      </c>
      <c r="JD11" s="639">
        <f t="shared" si="117"/>
        <v>109176.83200000001</v>
      </c>
      <c r="JE11" s="633">
        <v>0.8</v>
      </c>
      <c r="JF11" s="635">
        <f>'Vtas Diarias 2021'!ACO12</f>
        <v>98019.239999999991</v>
      </c>
      <c r="JG11" s="636">
        <f t="shared" si="118"/>
        <v>0.7182420534056162</v>
      </c>
      <c r="JH11" s="639">
        <v>153690.03</v>
      </c>
      <c r="JI11" s="639">
        <f t="shared" si="119"/>
        <v>130636.52549999999</v>
      </c>
      <c r="JJ11" s="633">
        <v>0.85</v>
      </c>
      <c r="JK11" s="635">
        <f>'Vtas Diarias 2021'!ADU12</f>
        <v>109240.39000000001</v>
      </c>
      <c r="JL11" s="636">
        <f t="shared" si="120"/>
        <v>0.71078384199677769</v>
      </c>
      <c r="JM11" s="639">
        <v>185609.87</v>
      </c>
      <c r="JN11" s="639">
        <f t="shared" si="121"/>
        <v>139207.4025</v>
      </c>
      <c r="JO11" s="633">
        <v>0.75</v>
      </c>
      <c r="JP11" s="635">
        <f>'Vtas Diarias 2021'!AFA12</f>
        <v>137251.76</v>
      </c>
      <c r="JQ11" s="636">
        <f t="shared" si="122"/>
        <v>0.73946369339087414</v>
      </c>
      <c r="JR11" s="636">
        <f t="shared" si="122"/>
        <v>5.3119566927547133E-6</v>
      </c>
      <c r="JS11" s="1577">
        <f t="shared" si="123"/>
        <v>469483.37599999993</v>
      </c>
      <c r="JT11" s="1577">
        <f t="shared" si="124"/>
        <v>588849.21</v>
      </c>
      <c r="JU11" s="1582">
        <f t="shared" si="125"/>
        <v>426469.98</v>
      </c>
      <c r="JV11" s="651">
        <f t="shared" si="126"/>
        <v>0.72424310461416774</v>
      </c>
      <c r="JW11" s="645">
        <v>291057.09999999998</v>
      </c>
      <c r="JX11" s="639">
        <f t="shared" si="127"/>
        <v>203739.96999999997</v>
      </c>
      <c r="JY11" s="633">
        <v>0.7</v>
      </c>
      <c r="JZ11" s="635">
        <f>'Vtas Diarias 2021'!AGG12</f>
        <v>196497.5</v>
      </c>
      <c r="KA11" s="636">
        <f t="shared" si="128"/>
        <v>0.67511666954697214</v>
      </c>
      <c r="KB11" s="639">
        <v>352945.49</v>
      </c>
      <c r="KC11" s="639">
        <f t="shared" si="129"/>
        <v>247061.84299999996</v>
      </c>
      <c r="KD11" s="633">
        <v>0.7</v>
      </c>
      <c r="KE11" s="635">
        <f>'Vtas Diarias 2021'!AHM12</f>
        <v>200836.32</v>
      </c>
      <c r="KF11" s="636">
        <f t="shared" si="130"/>
        <v>0.56902928551374887</v>
      </c>
      <c r="KG11" s="639">
        <v>459461.37</v>
      </c>
      <c r="KH11" s="639">
        <f t="shared" si="131"/>
        <v>321622.95899999997</v>
      </c>
      <c r="KI11" s="633">
        <v>0.7</v>
      </c>
      <c r="KJ11" s="635">
        <f>'Vtas Diarias 2021'!AIS12</f>
        <v>253395.95999999996</v>
      </c>
      <c r="KK11" s="636">
        <f t="shared" si="132"/>
        <v>0.55150656082360083</v>
      </c>
      <c r="KL11" s="639">
        <v>338002.66</v>
      </c>
      <c r="KM11" s="1601">
        <f t="shared" si="133"/>
        <v>408983.21859999996</v>
      </c>
      <c r="KN11" s="1615">
        <v>1.21</v>
      </c>
      <c r="KO11" s="1602">
        <f>'Vtas Diarias 2021'!AJY12</f>
        <v>343035.65</v>
      </c>
      <c r="KP11" s="636">
        <f t="shared" si="134"/>
        <v>1.0148903857738873</v>
      </c>
      <c r="KQ11" s="639">
        <v>114348.62</v>
      </c>
      <c r="KR11" s="1601">
        <f t="shared" si="135"/>
        <v>91478.896000000008</v>
      </c>
      <c r="KS11" s="1616">
        <v>0.8</v>
      </c>
      <c r="KT11" s="1602">
        <f>'Vtas Diarias 2021'!ALE12</f>
        <v>82712.460000000006</v>
      </c>
      <c r="KU11" s="636">
        <f t="shared" si="136"/>
        <v>0.72333588284668415</v>
      </c>
      <c r="KV11" s="1577">
        <f t="shared" si="137"/>
        <v>1272886.8865999999</v>
      </c>
      <c r="KW11" s="1577">
        <f t="shared" si="2"/>
        <v>1555815.2399999998</v>
      </c>
      <c r="KX11" s="1578">
        <f t="shared" si="3"/>
        <v>1076477.8900000001</v>
      </c>
      <c r="KY11" s="959">
        <f t="shared" si="138"/>
        <v>0.69190599392765961</v>
      </c>
      <c r="KZ11" s="1508">
        <f t="shared" si="143"/>
        <v>7273533.4500000002</v>
      </c>
      <c r="LA11" s="811">
        <f t="shared" si="144"/>
        <v>5364071.6019000001</v>
      </c>
      <c r="LB11" s="1509">
        <f t="shared" si="139"/>
        <v>7273533.4500000011</v>
      </c>
      <c r="LC11" s="811">
        <f t="shared" si="140"/>
        <v>5150995.93</v>
      </c>
      <c r="LD11" s="1575">
        <f t="shared" si="4"/>
        <v>-2122537.5200000014</v>
      </c>
      <c r="LE11" s="1594">
        <f t="shared" si="141"/>
        <v>0.70818343868343658</v>
      </c>
      <c r="LF11" s="1008">
        <f t="shared" si="145"/>
        <v>0.73747809627520167</v>
      </c>
    </row>
    <row r="12" spans="1:318" outlineLevel="1">
      <c r="A12" s="1495"/>
      <c r="B12" s="687" t="s">
        <v>475</v>
      </c>
      <c r="C12" s="645">
        <v>34289.550000000003</v>
      </c>
      <c r="D12" s="639">
        <v>85723.89</v>
      </c>
      <c r="E12" s="633">
        <v>2.5</v>
      </c>
      <c r="F12" s="635">
        <v>56835.12</v>
      </c>
      <c r="G12" s="636">
        <f t="shared" si="5"/>
        <v>1.6575055665647405</v>
      </c>
      <c r="H12" s="639">
        <v>41017.94</v>
      </c>
      <c r="I12" s="639">
        <v>102544.85</v>
      </c>
      <c r="J12" s="633">
        <v>2.5</v>
      </c>
      <c r="K12" s="635">
        <v>56459.72</v>
      </c>
      <c r="L12" s="636">
        <f t="shared" si="6"/>
        <v>1.376464054508832</v>
      </c>
      <c r="M12" s="639">
        <v>34417.33</v>
      </c>
      <c r="N12" s="639">
        <v>86043.33</v>
      </c>
      <c r="O12" s="633">
        <v>2.5</v>
      </c>
      <c r="P12" s="635">
        <v>44981.94</v>
      </c>
      <c r="Q12" s="636">
        <f t="shared" si="7"/>
        <v>1.3069561177464957</v>
      </c>
      <c r="R12" s="639">
        <v>30809.31</v>
      </c>
      <c r="S12" s="639">
        <v>61618.61</v>
      </c>
      <c r="T12" s="633">
        <v>2</v>
      </c>
      <c r="U12" s="635">
        <v>50849.5</v>
      </c>
      <c r="V12" s="636">
        <f t="shared" si="8"/>
        <v>1.6504589034937815</v>
      </c>
      <c r="W12" s="639">
        <f t="shared" si="0"/>
        <v>335930.68</v>
      </c>
      <c r="X12" s="639">
        <f t="shared" si="1"/>
        <v>140534.13</v>
      </c>
      <c r="Y12" s="666">
        <f t="shared" si="9"/>
        <v>209126.28</v>
      </c>
      <c r="Z12" s="646">
        <f t="shared" si="10"/>
        <v>1.4880817919461984</v>
      </c>
      <c r="AA12" s="645">
        <v>39368.129999999997</v>
      </c>
      <c r="AB12" s="639">
        <v>59052.2</v>
      </c>
      <c r="AC12" s="633">
        <v>1.5</v>
      </c>
      <c r="AD12" s="635">
        <v>57420.34</v>
      </c>
      <c r="AE12" s="636">
        <f t="shared" si="11"/>
        <v>1.4585488312500492</v>
      </c>
      <c r="AF12" s="639">
        <v>45827.39</v>
      </c>
      <c r="AG12" s="639">
        <v>68741.08</v>
      </c>
      <c r="AH12" s="633">
        <v>1.5</v>
      </c>
      <c r="AI12" s="635">
        <v>68123.649999999994</v>
      </c>
      <c r="AJ12" s="636">
        <f t="shared" si="12"/>
        <v>1.4865269438211515</v>
      </c>
      <c r="AK12" s="639">
        <v>35125.25</v>
      </c>
      <c r="AL12" s="639">
        <v>52687.87</v>
      </c>
      <c r="AM12" s="633">
        <v>1.5</v>
      </c>
      <c r="AN12" s="635">
        <v>59891.37</v>
      </c>
      <c r="AO12" s="636">
        <f t="shared" si="13"/>
        <v>1.7050802485391563</v>
      </c>
      <c r="AP12" s="639">
        <v>36876.78</v>
      </c>
      <c r="AQ12" s="639">
        <v>55315.16</v>
      </c>
      <c r="AR12" s="633">
        <v>1.5</v>
      </c>
      <c r="AS12" s="635">
        <v>63886.66</v>
      </c>
      <c r="AT12" s="636">
        <v>2.0499999999999998</v>
      </c>
      <c r="AU12" s="639">
        <f t="shared" si="14"/>
        <v>235796.31</v>
      </c>
      <c r="AV12" s="639">
        <f t="shared" si="15"/>
        <v>157197.54999999999</v>
      </c>
      <c r="AW12" s="778">
        <f t="shared" si="16"/>
        <v>249322.02</v>
      </c>
      <c r="AX12" s="665">
        <f t="shared" si="17"/>
        <v>1.5860426577895139</v>
      </c>
      <c r="AY12" s="645">
        <v>40893.269999999997</v>
      </c>
      <c r="AZ12" s="639">
        <v>61339.91</v>
      </c>
      <c r="BA12" s="633">
        <v>1.5</v>
      </c>
      <c r="BB12" s="635">
        <v>69039.17</v>
      </c>
      <c r="BC12" s="636">
        <f t="shared" si="18"/>
        <v>1.6882770685738755</v>
      </c>
      <c r="BD12" s="639">
        <v>45447</v>
      </c>
      <c r="BE12" s="639">
        <v>46355.94</v>
      </c>
      <c r="BF12" s="633">
        <v>1.02</v>
      </c>
      <c r="BG12" s="635">
        <v>65856.399999999994</v>
      </c>
      <c r="BH12" s="636">
        <f t="shared" si="19"/>
        <v>1.4490813475036854</v>
      </c>
      <c r="BI12" s="639">
        <v>48509.65</v>
      </c>
      <c r="BJ12" s="639">
        <v>19403.86</v>
      </c>
      <c r="BK12" s="633">
        <v>0.4</v>
      </c>
      <c r="BL12" s="635">
        <v>70242.69</v>
      </c>
      <c r="BM12" s="636">
        <f t="shared" si="20"/>
        <v>1.4480147764413884</v>
      </c>
      <c r="BN12" s="639">
        <v>42119.85</v>
      </c>
      <c r="BO12" s="639">
        <f t="shared" si="21"/>
        <v>27377.9025</v>
      </c>
      <c r="BP12" s="633">
        <v>0.65</v>
      </c>
      <c r="BQ12" s="635">
        <v>66468.320000000007</v>
      </c>
      <c r="BR12" s="636">
        <f t="shared" si="22"/>
        <v>1.5780758953320111</v>
      </c>
      <c r="BS12" s="639">
        <v>50103.839999999997</v>
      </c>
      <c r="BT12" s="639">
        <f t="shared" si="23"/>
        <v>32567.495999999999</v>
      </c>
      <c r="BU12" s="633">
        <v>0.65</v>
      </c>
      <c r="BV12" s="635">
        <v>83428.95</v>
      </c>
      <c r="BW12" s="636">
        <f t="shared" si="24"/>
        <v>1.6651208769627239</v>
      </c>
      <c r="BX12" s="661">
        <f t="shared" si="25"/>
        <v>187045.10850000003</v>
      </c>
      <c r="BY12" s="661">
        <f t="shared" si="26"/>
        <v>227073.61</v>
      </c>
      <c r="BZ12" s="663">
        <f t="shared" si="27"/>
        <v>355035.52999999997</v>
      </c>
      <c r="CA12" s="651">
        <f t="shared" si="28"/>
        <v>1.5635261622871983</v>
      </c>
      <c r="CB12" s="645">
        <v>56924.67</v>
      </c>
      <c r="CC12" s="639">
        <f t="shared" si="29"/>
        <v>46678.229399999997</v>
      </c>
      <c r="CD12" s="633">
        <v>0.82</v>
      </c>
      <c r="CE12" s="635">
        <v>62628.72</v>
      </c>
      <c r="CF12" s="636">
        <f t="shared" si="30"/>
        <v>1.1002034794404605</v>
      </c>
      <c r="CG12" s="639">
        <v>42353.53</v>
      </c>
      <c r="CH12" s="639">
        <f t="shared" si="31"/>
        <v>31765.147499999999</v>
      </c>
      <c r="CI12" s="633">
        <v>0.75</v>
      </c>
      <c r="CJ12" s="635">
        <v>63375.81</v>
      </c>
      <c r="CK12" s="636">
        <f t="shared" si="32"/>
        <v>1.4963524882105459</v>
      </c>
      <c r="CL12" s="639">
        <v>44008.01</v>
      </c>
      <c r="CM12" s="639">
        <f t="shared" si="33"/>
        <v>30805.607</v>
      </c>
      <c r="CN12" s="633">
        <v>0.7</v>
      </c>
      <c r="CO12" s="635">
        <v>56317.64</v>
      </c>
      <c r="CP12" s="636">
        <f t="shared" si="34"/>
        <v>1.2797133976292043</v>
      </c>
      <c r="CQ12" s="639">
        <v>76869.63</v>
      </c>
      <c r="CR12" s="639">
        <f t="shared" si="35"/>
        <v>30747.852000000003</v>
      </c>
      <c r="CS12" s="633">
        <v>0.4</v>
      </c>
      <c r="CT12" s="635">
        <v>76241.009999999995</v>
      </c>
      <c r="CU12" s="636">
        <f t="shared" si="36"/>
        <v>0.99182225802309687</v>
      </c>
      <c r="CV12" s="656">
        <f t="shared" si="37"/>
        <v>139996.83590000001</v>
      </c>
      <c r="CW12" s="656">
        <f t="shared" si="38"/>
        <v>220155.84</v>
      </c>
      <c r="CX12" s="657">
        <f t="shared" si="39"/>
        <v>258563.18</v>
      </c>
      <c r="CY12" s="654">
        <f>CX12/CW12</f>
        <v>1.1744552404333222</v>
      </c>
      <c r="CZ12" s="645">
        <v>72541.05</v>
      </c>
      <c r="DA12" s="639">
        <f t="shared" si="41"/>
        <v>36270.525000000001</v>
      </c>
      <c r="DB12" s="633">
        <v>0.5</v>
      </c>
      <c r="DC12" s="635">
        <v>84034.09</v>
      </c>
      <c r="DD12" s="636">
        <f t="shared" si="42"/>
        <v>1.1584349826753264</v>
      </c>
      <c r="DE12" s="639">
        <v>55611.21</v>
      </c>
      <c r="DF12" s="639">
        <f t="shared" si="43"/>
        <v>33366.725999999995</v>
      </c>
      <c r="DG12" s="633">
        <v>0.6</v>
      </c>
      <c r="DH12" s="635">
        <v>92596.98</v>
      </c>
      <c r="DI12" s="636">
        <f t="shared" si="44"/>
        <v>1.6650775985633113</v>
      </c>
      <c r="DJ12" s="639">
        <v>43094.22</v>
      </c>
      <c r="DK12" s="639">
        <f t="shared" si="45"/>
        <v>30165.953999999998</v>
      </c>
      <c r="DL12" s="633">
        <v>0.7</v>
      </c>
      <c r="DM12" s="635">
        <v>72756.7</v>
      </c>
      <c r="DN12" s="636">
        <f t="shared" si="46"/>
        <v>1.688316901895428</v>
      </c>
      <c r="DO12" s="639">
        <v>44063.360000000001</v>
      </c>
      <c r="DP12" s="639">
        <f t="shared" si="47"/>
        <v>74392.915442302925</v>
      </c>
      <c r="DQ12" s="633">
        <v>1.688316901895428</v>
      </c>
      <c r="DR12" s="635">
        <v>85005.99</v>
      </c>
      <c r="DS12" s="636">
        <f t="shared" si="48"/>
        <v>1.929176304303621</v>
      </c>
      <c r="DT12" s="656">
        <f t="shared" si="49"/>
        <v>174196.12044230293</v>
      </c>
      <c r="DU12" s="656">
        <f t="shared" si="50"/>
        <v>215309.84000000003</v>
      </c>
      <c r="DV12" s="657">
        <f t="shared" si="51"/>
        <v>334393.76</v>
      </c>
      <c r="DW12" s="654">
        <f t="shared" si="52"/>
        <v>1.5530816427154466</v>
      </c>
      <c r="DX12" s="645">
        <v>17342.18</v>
      </c>
      <c r="DY12" s="639">
        <f>DX12*DZ12</f>
        <v>33456.122720968167</v>
      </c>
      <c r="DZ12" s="633">
        <v>1.929176304303621</v>
      </c>
      <c r="EA12" s="635">
        <f>'Vtas Diarias 2021'!AG13</f>
        <v>79366.25</v>
      </c>
      <c r="EB12" s="636">
        <f t="shared" si="54"/>
        <v>4.5764863471605066</v>
      </c>
      <c r="EC12" s="639">
        <v>35003.050000000003</v>
      </c>
      <c r="ED12" s="639">
        <f t="shared" si="55"/>
        <v>160190.9804339766</v>
      </c>
      <c r="EE12" s="633">
        <v>4.5764863471605066</v>
      </c>
      <c r="EF12" s="635">
        <f>'Vtas Diarias 2021'!BM13</f>
        <v>89124.359999999986</v>
      </c>
      <c r="EG12" s="636">
        <f t="shared" si="56"/>
        <v>2.5461884035819731</v>
      </c>
      <c r="EH12" s="639">
        <v>150931.76</v>
      </c>
      <c r="EI12" s="639">
        <f t="shared" si="57"/>
        <v>105652.232</v>
      </c>
      <c r="EJ12" s="633">
        <v>0.7</v>
      </c>
      <c r="EK12" s="635">
        <f>'Vtas Diarias 2021'!CS13</f>
        <v>96043.19</v>
      </c>
      <c r="EL12" s="636">
        <f t="shared" si="58"/>
        <v>0.63633518882970685</v>
      </c>
      <c r="EM12" s="639">
        <v>158360</v>
      </c>
      <c r="EN12" s="639">
        <f t="shared" si="59"/>
        <v>110852</v>
      </c>
      <c r="EO12" s="633">
        <v>0.7</v>
      </c>
      <c r="EP12" s="635">
        <f>'Vtas Diarias 2021'!DY13</f>
        <v>83082.42</v>
      </c>
      <c r="EQ12" s="636">
        <f t="shared" si="60"/>
        <v>0.52464271280626418</v>
      </c>
      <c r="ER12" s="639">
        <v>148627.56</v>
      </c>
      <c r="ES12" s="639">
        <f t="shared" si="61"/>
        <v>96607.914000000004</v>
      </c>
      <c r="ET12" s="633">
        <v>0.65</v>
      </c>
      <c r="EU12" s="635">
        <f>'Vtas Diarias 2021'!FE13</f>
        <v>98902</v>
      </c>
      <c r="EV12" s="636">
        <f t="shared" si="62"/>
        <v>0.66543513194995596</v>
      </c>
      <c r="EW12" s="661">
        <f t="shared" si="63"/>
        <v>506759.24915494473</v>
      </c>
      <c r="EX12" s="956">
        <f t="shared" si="64"/>
        <v>510264.55</v>
      </c>
      <c r="EY12" s="662">
        <f t="shared" si="65"/>
        <v>446518.22</v>
      </c>
      <c r="EZ12" s="654">
        <f>EY12/EX12</f>
        <v>0.87507199941677305</v>
      </c>
      <c r="FA12" s="645">
        <v>142292.91</v>
      </c>
      <c r="FB12" s="639">
        <f t="shared" si="67"/>
        <v>99605.036999999997</v>
      </c>
      <c r="FC12" s="633">
        <v>0.7</v>
      </c>
      <c r="FD12" s="635">
        <f>'Vtas Diarias 2021'!GK13</f>
        <v>94563.81</v>
      </c>
      <c r="FE12" s="636">
        <f t="shared" si="68"/>
        <v>0.66457148146032008</v>
      </c>
      <c r="FF12" s="639">
        <v>141490.71</v>
      </c>
      <c r="FG12" s="639">
        <f t="shared" si="69"/>
        <v>107532.9396</v>
      </c>
      <c r="FH12" s="633">
        <v>0.76</v>
      </c>
      <c r="FI12" s="635">
        <f>'Vtas Diarias 2021'!HQ13</f>
        <v>99091.22</v>
      </c>
      <c r="FJ12" s="636">
        <f t="shared" si="70"/>
        <v>0.70033728716182153</v>
      </c>
      <c r="FK12" s="639">
        <v>130944.16</v>
      </c>
      <c r="FL12" s="639">
        <f t="shared" si="71"/>
        <v>103445.8864</v>
      </c>
      <c r="FM12" s="633">
        <v>0.79</v>
      </c>
      <c r="FN12" s="635">
        <f>'Vtas Diarias 2021'!IW13</f>
        <v>90538.170000000013</v>
      </c>
      <c r="FO12" s="636">
        <f t="shared" si="72"/>
        <v>0.69142579554521566</v>
      </c>
      <c r="FP12" s="639">
        <v>134128.51</v>
      </c>
      <c r="FQ12" s="639">
        <f t="shared" si="73"/>
        <v>101937.66760000002</v>
      </c>
      <c r="FR12" s="633">
        <v>0.76</v>
      </c>
      <c r="FS12" s="635">
        <f>'Vtas Diarias 2021'!KC13</f>
        <v>96049.78</v>
      </c>
      <c r="FT12" s="636">
        <f t="shared" si="74"/>
        <v>0.71610263917790473</v>
      </c>
      <c r="FU12" s="661">
        <f t="shared" si="75"/>
        <v>412521.5306</v>
      </c>
      <c r="FV12" s="661">
        <f t="shared" si="76"/>
        <v>548856.29</v>
      </c>
      <c r="FW12" s="663">
        <f t="shared" si="77"/>
        <v>380242.98</v>
      </c>
      <c r="FX12" s="651">
        <f t="shared" si="78"/>
        <v>0.69279151378587633</v>
      </c>
      <c r="FY12" s="645">
        <v>130880.26</v>
      </c>
      <c r="FZ12" s="639">
        <f t="shared" si="79"/>
        <v>98160.194999999992</v>
      </c>
      <c r="GA12" s="633">
        <v>0.75</v>
      </c>
      <c r="GB12" s="635">
        <f>'Vtas Diarias 2021'!LI13</f>
        <v>92230.31</v>
      </c>
      <c r="GC12" s="636">
        <f t="shared" si="80"/>
        <v>0.70469228896702985</v>
      </c>
      <c r="GD12" s="639">
        <v>117966.75</v>
      </c>
      <c r="GE12" s="639">
        <f t="shared" si="81"/>
        <v>95553.067500000005</v>
      </c>
      <c r="GF12" s="633">
        <v>0.81</v>
      </c>
      <c r="GG12" s="635">
        <f>'Vtas Diarias 2021'!MO13</f>
        <v>91749.360000000015</v>
      </c>
      <c r="GH12" s="636">
        <f t="shared" si="82"/>
        <v>0.77775610500416448</v>
      </c>
      <c r="GI12" s="639">
        <v>110216.25</v>
      </c>
      <c r="GJ12" s="639">
        <f t="shared" si="83"/>
        <v>88173</v>
      </c>
      <c r="GK12" s="633">
        <v>0.8</v>
      </c>
      <c r="GL12" s="635">
        <f>'Vtas Diarias 2021'!NU13</f>
        <v>88275.420000000013</v>
      </c>
      <c r="GM12" s="636">
        <f t="shared" si="84"/>
        <v>0.80092926406042675</v>
      </c>
      <c r="GN12" s="639">
        <v>105301.12</v>
      </c>
      <c r="GO12" s="639">
        <f t="shared" si="85"/>
        <v>76869.817599999995</v>
      </c>
      <c r="GP12" s="633">
        <v>0.73</v>
      </c>
      <c r="GQ12" s="635">
        <f>'Vtas Diarias 2021'!PA13</f>
        <v>87274.989999999991</v>
      </c>
      <c r="GR12" s="636">
        <f>GQ12/GN12</f>
        <v>0.82881350169874735</v>
      </c>
      <c r="GS12" s="661">
        <f t="shared" si="86"/>
        <v>358756.08010000002</v>
      </c>
      <c r="GT12" s="661">
        <f t="shared" si="87"/>
        <v>464364.38</v>
      </c>
      <c r="GU12" s="662">
        <f t="shared" si="88"/>
        <v>359530.07999999996</v>
      </c>
      <c r="GV12" s="1598">
        <f t="shared" si="89"/>
        <v>0.77424129731914393</v>
      </c>
      <c r="GW12" s="645">
        <v>100737</v>
      </c>
      <c r="GX12" s="639">
        <f t="shared" si="90"/>
        <v>76560.12</v>
      </c>
      <c r="GY12" s="633">
        <v>0.76</v>
      </c>
      <c r="GZ12" s="635">
        <f>'Vtas Diarias 2021'!QG13</f>
        <v>92064.77</v>
      </c>
      <c r="HA12" s="636">
        <f t="shared" si="91"/>
        <v>0.91391216732680147</v>
      </c>
      <c r="HB12" s="639">
        <v>115518.02</v>
      </c>
      <c r="HC12" s="639">
        <f t="shared" si="92"/>
        <v>90104.055600000007</v>
      </c>
      <c r="HD12" s="633">
        <v>0.78</v>
      </c>
      <c r="HE12" s="635">
        <f>'Vtas Diarias 2021'!RM13</f>
        <v>79835.31</v>
      </c>
      <c r="HF12" s="636">
        <f t="shared" si="93"/>
        <v>0.69110698053862063</v>
      </c>
      <c r="HG12" s="639">
        <v>93146.72</v>
      </c>
      <c r="HH12" s="639">
        <f t="shared" si="94"/>
        <v>71722.974400000006</v>
      </c>
      <c r="HI12" s="633">
        <v>0.77</v>
      </c>
      <c r="HJ12" s="635">
        <f>'Vtas Diarias 2021'!SS13</f>
        <v>84419.489999999991</v>
      </c>
      <c r="HK12" s="636">
        <f t="shared" si="95"/>
        <v>0.90630663108695608</v>
      </c>
      <c r="HL12" s="639">
        <v>88742.83</v>
      </c>
      <c r="HM12" s="639">
        <f t="shared" si="96"/>
        <v>67444.550799999997</v>
      </c>
      <c r="HN12" s="633">
        <v>0.76</v>
      </c>
      <c r="HO12" s="635">
        <f>'Vtas Diarias 2021'!TY13</f>
        <v>63227.130000000005</v>
      </c>
      <c r="HP12" s="636">
        <f t="shared" si="97"/>
        <v>0.71247592622412426</v>
      </c>
      <c r="HQ12" s="639">
        <v>102576.36</v>
      </c>
      <c r="HR12" s="639">
        <f t="shared" si="98"/>
        <v>77958.033599999995</v>
      </c>
      <c r="HS12" s="633">
        <v>0.76</v>
      </c>
      <c r="HT12" s="635">
        <f>'Vtas Diarias 2021'!VE13</f>
        <v>82178.049999999988</v>
      </c>
      <c r="HU12" s="636">
        <f t="shared" si="99"/>
        <v>0.80114024322953148</v>
      </c>
      <c r="HV12" s="661">
        <f t="shared" si="100"/>
        <v>383789.73440000002</v>
      </c>
      <c r="HW12" s="661">
        <f t="shared" si="101"/>
        <v>500720.93</v>
      </c>
      <c r="HX12" s="663">
        <f t="shared" si="102"/>
        <v>401724.75</v>
      </c>
      <c r="HY12" s="651">
        <f t="shared" si="103"/>
        <v>0.80229270623858284</v>
      </c>
      <c r="HZ12" s="645">
        <v>87984.3</v>
      </c>
      <c r="IA12" s="639">
        <f t="shared" si="104"/>
        <v>70387.44</v>
      </c>
      <c r="IB12" s="633">
        <v>0.8</v>
      </c>
      <c r="IC12" s="635">
        <f>'Vtas Diarias 2021'!WK13</f>
        <v>94090.06</v>
      </c>
      <c r="ID12" s="636">
        <f t="shared" si="142"/>
        <v>1.0693960172439856</v>
      </c>
      <c r="IE12" s="639">
        <v>98620.24</v>
      </c>
      <c r="IF12" s="639">
        <f t="shared" si="105"/>
        <v>80868.596799999999</v>
      </c>
      <c r="IG12" s="633">
        <v>0.82</v>
      </c>
      <c r="IH12" s="635">
        <f>'Vtas Diarias 2021'!XQ13</f>
        <v>112612.78</v>
      </c>
      <c r="II12" s="636">
        <f t="shared" si="106"/>
        <v>1.141883045508711</v>
      </c>
      <c r="IJ12" s="639">
        <v>100208</v>
      </c>
      <c r="IK12" s="639">
        <f t="shared" si="107"/>
        <v>85176.8</v>
      </c>
      <c r="IL12" s="633">
        <v>0.85</v>
      </c>
      <c r="IM12" s="635">
        <f>'Vtas Diarias 2021'!YW13</f>
        <v>103187.90999999999</v>
      </c>
      <c r="IN12" s="636">
        <f t="shared" si="108"/>
        <v>1.0297372465272232</v>
      </c>
      <c r="IO12" s="639">
        <v>149655.66</v>
      </c>
      <c r="IP12" s="639">
        <f t="shared" si="109"/>
        <v>131696.98079999999</v>
      </c>
      <c r="IQ12" s="633">
        <v>0.88</v>
      </c>
      <c r="IR12" s="635">
        <f>'Vtas Diarias 2021'!AAC13</f>
        <v>131932.07999999999</v>
      </c>
      <c r="IS12" s="636">
        <f>IR12/IO12</f>
        <v>0.88157093423663346</v>
      </c>
      <c r="IT12" s="1577">
        <f t="shared" si="111"/>
        <v>368129.81760000001</v>
      </c>
      <c r="IU12" s="1577">
        <f t="shared" si="112"/>
        <v>436468.20000000007</v>
      </c>
      <c r="IV12" s="1578">
        <f t="shared" si="113"/>
        <v>441822.82999999996</v>
      </c>
      <c r="IW12" s="654">
        <f t="shared" si="114"/>
        <v>1.0122680873429035</v>
      </c>
      <c r="IX12" s="645">
        <v>97796.49</v>
      </c>
      <c r="IY12" s="639">
        <f t="shared" si="115"/>
        <v>92906.665500000003</v>
      </c>
      <c r="IZ12" s="633">
        <v>0.95</v>
      </c>
      <c r="JA12" s="635">
        <f>'Vtas Diarias 2021'!ABI13</f>
        <v>90959.55</v>
      </c>
      <c r="JB12" s="636">
        <f t="shared" si="116"/>
        <v>0.93009012900156229</v>
      </c>
      <c r="JC12" s="639">
        <v>139454.65</v>
      </c>
      <c r="JD12" s="639">
        <f t="shared" si="117"/>
        <v>132481.91749999998</v>
      </c>
      <c r="JE12" s="633">
        <v>0.95</v>
      </c>
      <c r="JF12" s="635">
        <f>'Vtas Diarias 2021'!ACO13</f>
        <v>101692.09999999999</v>
      </c>
      <c r="JG12" s="636">
        <f t="shared" si="118"/>
        <v>0.72921268670496109</v>
      </c>
      <c r="JH12" s="639">
        <v>166259.6</v>
      </c>
      <c r="JI12" s="639">
        <f t="shared" si="119"/>
        <v>157946.62</v>
      </c>
      <c r="JJ12" s="633">
        <v>0.95</v>
      </c>
      <c r="JK12" s="635">
        <f>'Vtas Diarias 2021'!ADU13</f>
        <v>129004.79999999999</v>
      </c>
      <c r="JL12" s="636">
        <f t="shared" si="120"/>
        <v>0.77592391657383986</v>
      </c>
      <c r="JM12" s="639">
        <v>154907.73000000001</v>
      </c>
      <c r="JN12" s="639">
        <f t="shared" si="121"/>
        <v>131671.5705</v>
      </c>
      <c r="JO12" s="633">
        <v>0.85</v>
      </c>
      <c r="JP12" s="635">
        <f>'Vtas Diarias 2021'!AFA13</f>
        <v>134244.58000000002</v>
      </c>
      <c r="JQ12" s="636">
        <f t="shared" si="122"/>
        <v>0.86660994903224009</v>
      </c>
      <c r="JR12" s="636">
        <f t="shared" si="122"/>
        <v>6.581602586962689E-6</v>
      </c>
      <c r="JS12" s="1577">
        <f t="shared" si="123"/>
        <v>515006.77350000001</v>
      </c>
      <c r="JT12" s="1577">
        <f t="shared" si="124"/>
        <v>558418.47</v>
      </c>
      <c r="JU12" s="1582">
        <f t="shared" si="125"/>
        <v>455901.02999999997</v>
      </c>
      <c r="JV12" s="651">
        <f t="shared" si="126"/>
        <v>0.81641466837585086</v>
      </c>
      <c r="JW12" s="645">
        <v>203343.71</v>
      </c>
      <c r="JX12" s="639">
        <f t="shared" si="127"/>
        <v>168775.27929999999</v>
      </c>
      <c r="JY12" s="633">
        <v>0.83</v>
      </c>
      <c r="JZ12" s="635">
        <f>'Vtas Diarias 2021'!AGG13</f>
        <v>178712.37</v>
      </c>
      <c r="KA12" s="636">
        <f t="shared" si="128"/>
        <v>0.87886844397596564</v>
      </c>
      <c r="KB12" s="639">
        <v>261941.07</v>
      </c>
      <c r="KC12" s="639">
        <f>KB12*KD12</f>
        <v>217411.08809999999</v>
      </c>
      <c r="KD12" s="633">
        <v>0.83</v>
      </c>
      <c r="KE12" s="635">
        <f>'Vtas Diarias 2021'!AHM13</f>
        <v>231078.49</v>
      </c>
      <c r="KF12" s="636">
        <f t="shared" si="130"/>
        <v>0.88217739203707146</v>
      </c>
      <c r="KG12" s="639">
        <v>353257.18</v>
      </c>
      <c r="KH12" s="639">
        <f>KG12*KI12</f>
        <v>293203.45939999999</v>
      </c>
      <c r="KI12" s="633">
        <v>0.83</v>
      </c>
      <c r="KJ12" s="635">
        <f>'Vtas Diarias 2021'!AIS13</f>
        <v>309183.89</v>
      </c>
      <c r="KK12" s="636">
        <f t="shared" si="132"/>
        <v>0.87523738371007775</v>
      </c>
      <c r="KL12" s="639">
        <v>320072.05</v>
      </c>
      <c r="KM12" s="1601">
        <f t="shared" si="133"/>
        <v>454502.31099999999</v>
      </c>
      <c r="KN12" s="1615">
        <v>1.42</v>
      </c>
      <c r="KO12" s="1602">
        <f>'Vtas Diarias 2021'!AJY13</f>
        <v>423738.01999999996</v>
      </c>
      <c r="KP12" s="636">
        <f t="shared" si="134"/>
        <v>1.3238832319160638</v>
      </c>
      <c r="KQ12" s="639">
        <v>107792.5</v>
      </c>
      <c r="KR12" s="1601">
        <f t="shared" si="135"/>
        <v>97013.25</v>
      </c>
      <c r="KS12" s="1616">
        <v>0.9</v>
      </c>
      <c r="KT12" s="1602">
        <f>'Vtas Diarias 2021'!ALE13</f>
        <v>93823.37</v>
      </c>
      <c r="KU12" s="636">
        <f t="shared" si="136"/>
        <v>0.87040721757079564</v>
      </c>
      <c r="KV12" s="1577">
        <f t="shared" si="137"/>
        <v>1230905.3878000001</v>
      </c>
      <c r="KW12" s="1577">
        <f t="shared" si="2"/>
        <v>1246406.51</v>
      </c>
      <c r="KX12" s="1578">
        <f t="shared" si="3"/>
        <v>1236536.1400000001</v>
      </c>
      <c r="KY12" s="959">
        <f t="shared" si="138"/>
        <v>0.99208093834490652</v>
      </c>
      <c r="KZ12" s="1508">
        <f t="shared" si="143"/>
        <v>5225770.3</v>
      </c>
      <c r="LA12" s="811">
        <f t="shared" si="144"/>
        <v>5090563.7632999998</v>
      </c>
      <c r="LB12" s="1509">
        <f t="shared" si="139"/>
        <v>5225770.3</v>
      </c>
      <c r="LC12" s="811">
        <f t="shared" si="140"/>
        <v>5128716.8</v>
      </c>
      <c r="LD12" s="1575">
        <f t="shared" si="4"/>
        <v>-97053.5</v>
      </c>
      <c r="LE12" s="1594">
        <f t="shared" si="141"/>
        <v>0.98142790547070158</v>
      </c>
      <c r="LF12" s="1008">
        <f t="shared" si="145"/>
        <v>0.97412696522462916</v>
      </c>
    </row>
    <row r="13" spans="1:318" outlineLevel="1">
      <c r="A13" s="1495"/>
      <c r="B13" s="687" t="s">
        <v>476</v>
      </c>
      <c r="C13" s="645">
        <v>70997.960000000006</v>
      </c>
      <c r="D13" s="639">
        <v>74547.86</v>
      </c>
      <c r="E13" s="633">
        <v>1.05</v>
      </c>
      <c r="F13" s="635">
        <v>51721.08</v>
      </c>
      <c r="G13" s="636">
        <f t="shared" si="5"/>
        <v>0.72848684666432661</v>
      </c>
      <c r="H13" s="639">
        <v>57371.67</v>
      </c>
      <c r="I13" s="639">
        <v>60240.26</v>
      </c>
      <c r="J13" s="633">
        <v>1.05</v>
      </c>
      <c r="K13" s="635">
        <v>50082.720000000001</v>
      </c>
      <c r="L13" s="636">
        <f t="shared" si="6"/>
        <v>0.87295210336390772</v>
      </c>
      <c r="M13" s="639">
        <v>57817.84</v>
      </c>
      <c r="N13" s="639">
        <v>60708.73</v>
      </c>
      <c r="O13" s="633">
        <v>1.05</v>
      </c>
      <c r="P13" s="635">
        <v>38425.56</v>
      </c>
      <c r="Q13" s="636">
        <f t="shared" si="7"/>
        <v>0.66459694793164181</v>
      </c>
      <c r="R13" s="639">
        <v>68623.45</v>
      </c>
      <c r="S13" s="639">
        <v>72054.62</v>
      </c>
      <c r="T13" s="633">
        <v>1.05</v>
      </c>
      <c r="U13" s="635">
        <v>44055.360000000001</v>
      </c>
      <c r="V13" s="636">
        <f t="shared" si="8"/>
        <v>0.64198695926829685</v>
      </c>
      <c r="W13" s="639">
        <f t="shared" si="0"/>
        <v>267551.46999999997</v>
      </c>
      <c r="X13" s="639">
        <f t="shared" si="1"/>
        <v>254810.91999999998</v>
      </c>
      <c r="Y13" s="666">
        <f t="shared" si="9"/>
        <v>184284.71999999997</v>
      </c>
      <c r="Z13" s="646">
        <f t="shared" si="10"/>
        <v>0.72322143807651562</v>
      </c>
      <c r="AA13" s="645">
        <v>66540.289999999994</v>
      </c>
      <c r="AB13" s="639">
        <v>69867.31</v>
      </c>
      <c r="AC13" s="633">
        <v>1.05</v>
      </c>
      <c r="AD13" s="635">
        <v>54047.56</v>
      </c>
      <c r="AE13" s="636">
        <f t="shared" si="11"/>
        <v>0.81225314767939849</v>
      </c>
      <c r="AF13" s="639">
        <v>83753.02</v>
      </c>
      <c r="AG13" s="639">
        <v>87940.67</v>
      </c>
      <c r="AH13" s="633">
        <v>1.05</v>
      </c>
      <c r="AI13" s="635">
        <v>72476.800000000003</v>
      </c>
      <c r="AJ13" s="636">
        <f t="shared" si="12"/>
        <v>0.86536342211898742</v>
      </c>
      <c r="AK13" s="639">
        <v>60929.42</v>
      </c>
      <c r="AL13" s="639">
        <v>63975.89</v>
      </c>
      <c r="AM13" s="633">
        <v>1.05</v>
      </c>
      <c r="AN13" s="635">
        <v>48314.3</v>
      </c>
      <c r="AO13" s="636">
        <f t="shared" si="13"/>
        <v>0.79295519307421614</v>
      </c>
      <c r="AP13" s="639">
        <v>58574.02</v>
      </c>
      <c r="AQ13" s="639">
        <v>61502.73</v>
      </c>
      <c r="AR13" s="633">
        <v>1.05</v>
      </c>
      <c r="AS13" s="635">
        <v>50863.38</v>
      </c>
      <c r="AT13" s="636">
        <v>0.94</v>
      </c>
      <c r="AU13" s="639">
        <f t="shared" si="14"/>
        <v>283286.59999999998</v>
      </c>
      <c r="AV13" s="639">
        <f t="shared" si="15"/>
        <v>269796.75</v>
      </c>
      <c r="AW13" s="778">
        <f t="shared" si="16"/>
        <v>225702.04</v>
      </c>
      <c r="AX13" s="665">
        <f t="shared" si="17"/>
        <v>0.83656322768899183</v>
      </c>
      <c r="AY13" s="645">
        <v>71064.84</v>
      </c>
      <c r="AZ13" s="639">
        <v>74618.080000000002</v>
      </c>
      <c r="BA13" s="633">
        <v>1.05</v>
      </c>
      <c r="BB13" s="635">
        <v>43320.61</v>
      </c>
      <c r="BC13" s="636">
        <f t="shared" si="18"/>
        <v>0.60959273249612611</v>
      </c>
      <c r="BD13" s="639">
        <v>77797.350000000006</v>
      </c>
      <c r="BE13" s="639">
        <v>79353.3</v>
      </c>
      <c r="BF13" s="633">
        <v>1.02</v>
      </c>
      <c r="BG13" s="635">
        <v>54639.02</v>
      </c>
      <c r="BH13" s="636">
        <f t="shared" si="19"/>
        <v>0.70232495065705958</v>
      </c>
      <c r="BI13" s="639">
        <v>74376.17</v>
      </c>
      <c r="BJ13" s="639">
        <v>29750.47</v>
      </c>
      <c r="BK13" s="633">
        <v>0.4</v>
      </c>
      <c r="BL13" s="635">
        <v>58366.39</v>
      </c>
      <c r="BM13" s="636">
        <f t="shared" si="20"/>
        <v>0.78474583996460157</v>
      </c>
      <c r="BN13" s="639">
        <v>73929.14</v>
      </c>
      <c r="BO13" s="639">
        <f t="shared" si="21"/>
        <v>48053.940999999999</v>
      </c>
      <c r="BP13" s="633">
        <v>0.65</v>
      </c>
      <c r="BQ13" s="635">
        <v>53702.22</v>
      </c>
      <c r="BR13" s="636">
        <f t="shared" si="22"/>
        <v>0.72640125395750577</v>
      </c>
      <c r="BS13" s="639">
        <v>87206.35</v>
      </c>
      <c r="BT13" s="639">
        <f t="shared" si="23"/>
        <v>56684.127500000002</v>
      </c>
      <c r="BU13" s="633">
        <v>0.65</v>
      </c>
      <c r="BV13" s="635">
        <v>50176.94</v>
      </c>
      <c r="BW13" s="636">
        <f t="shared" si="24"/>
        <v>0.57538172392262721</v>
      </c>
      <c r="BX13" s="661">
        <f t="shared" si="25"/>
        <v>288459.91850000003</v>
      </c>
      <c r="BY13" s="661">
        <f t="shared" si="26"/>
        <v>384373.85</v>
      </c>
      <c r="BZ13" s="663">
        <f t="shared" si="27"/>
        <v>260205.18</v>
      </c>
      <c r="CA13" s="651">
        <f t="shared" si="28"/>
        <v>0.6769585912257039</v>
      </c>
      <c r="CB13" s="645">
        <v>90199.66</v>
      </c>
      <c r="CC13" s="639">
        <f t="shared" si="29"/>
        <v>73963.7212</v>
      </c>
      <c r="CD13" s="633">
        <v>0.82</v>
      </c>
      <c r="CE13" s="635">
        <v>60778.48</v>
      </c>
      <c r="CF13" s="636">
        <f t="shared" si="30"/>
        <v>0.67382160864021001</v>
      </c>
      <c r="CG13" s="639">
        <v>86978.98</v>
      </c>
      <c r="CH13" s="639">
        <f t="shared" si="31"/>
        <v>65234.235000000001</v>
      </c>
      <c r="CI13" s="633">
        <v>0.75</v>
      </c>
      <c r="CJ13" s="635">
        <v>75400.100000000006</v>
      </c>
      <c r="CK13" s="636">
        <f t="shared" si="32"/>
        <v>0.86687726160964418</v>
      </c>
      <c r="CL13" s="639">
        <v>82302.8</v>
      </c>
      <c r="CM13" s="639">
        <f t="shared" si="33"/>
        <v>57611.96</v>
      </c>
      <c r="CN13" s="633">
        <v>0.7</v>
      </c>
      <c r="CO13" s="635">
        <v>54284.98</v>
      </c>
      <c r="CP13" s="636">
        <f t="shared" si="34"/>
        <v>0.65957634491171624</v>
      </c>
      <c r="CQ13" s="639">
        <v>106222.58</v>
      </c>
      <c r="CR13" s="639">
        <f t="shared" si="35"/>
        <v>42489.032000000007</v>
      </c>
      <c r="CS13" s="633">
        <v>0.4</v>
      </c>
      <c r="CT13" s="635">
        <v>81839.960000000006</v>
      </c>
      <c r="CU13" s="636">
        <f t="shared" si="36"/>
        <v>0.77045727942213427</v>
      </c>
      <c r="CV13" s="656">
        <f t="shared" si="37"/>
        <v>239298.94820000001</v>
      </c>
      <c r="CW13" s="656">
        <f t="shared" si="38"/>
        <v>365704.02</v>
      </c>
      <c r="CX13" s="657">
        <f t="shared" si="39"/>
        <v>272303.52</v>
      </c>
      <c r="CY13" s="654">
        <f t="shared" si="40"/>
        <v>0.74460083867822946</v>
      </c>
      <c r="CZ13" s="645">
        <v>119414.52</v>
      </c>
      <c r="DA13" s="639">
        <f t="shared" si="41"/>
        <v>59707.26</v>
      </c>
      <c r="DB13" s="633">
        <v>0.5</v>
      </c>
      <c r="DC13" s="635">
        <v>84644.67</v>
      </c>
      <c r="DD13" s="636">
        <f t="shared" si="42"/>
        <v>0.70883063466653795</v>
      </c>
      <c r="DE13" s="639">
        <v>96966.06</v>
      </c>
      <c r="DF13" s="639">
        <f t="shared" si="43"/>
        <v>58179.635999999999</v>
      </c>
      <c r="DG13" s="633">
        <v>0.6</v>
      </c>
      <c r="DH13" s="635">
        <v>82740.84</v>
      </c>
      <c r="DI13" s="636">
        <f t="shared" si="44"/>
        <v>0.85329691646747319</v>
      </c>
      <c r="DJ13" s="639">
        <v>90696.58</v>
      </c>
      <c r="DK13" s="639">
        <f t="shared" si="45"/>
        <v>63487.606</v>
      </c>
      <c r="DL13" s="633">
        <v>0.7</v>
      </c>
      <c r="DM13" s="635">
        <v>76654.55</v>
      </c>
      <c r="DN13" s="636">
        <f t="shared" si="46"/>
        <v>0.8451757497360981</v>
      </c>
      <c r="DO13" s="639">
        <v>88928.08</v>
      </c>
      <c r="DP13" s="639">
        <f t="shared" si="47"/>
        <v>75159.856686591709</v>
      </c>
      <c r="DQ13" s="633">
        <v>0.8451757497360981</v>
      </c>
      <c r="DR13" s="635">
        <v>75645.600000000006</v>
      </c>
      <c r="DS13" s="636">
        <f t="shared" si="48"/>
        <v>0.85063795372620221</v>
      </c>
      <c r="DT13" s="656">
        <f t="shared" si="49"/>
        <v>256534.35868659173</v>
      </c>
      <c r="DU13" s="656">
        <f t="shared" si="50"/>
        <v>396005.24000000005</v>
      </c>
      <c r="DV13" s="657">
        <f t="shared" si="51"/>
        <v>319685.66000000003</v>
      </c>
      <c r="DW13" s="654">
        <f t="shared" si="52"/>
        <v>0.80727633806057719</v>
      </c>
      <c r="DX13" s="645">
        <v>94904.85</v>
      </c>
      <c r="DY13" s="639">
        <f t="shared" si="53"/>
        <v>80729.667402692168</v>
      </c>
      <c r="DZ13" s="633">
        <v>0.85063795372620221</v>
      </c>
      <c r="EA13" s="635">
        <f>'Vtas Diarias 2021'!AG14</f>
        <v>76648.97</v>
      </c>
      <c r="EB13" s="636">
        <f t="shared" si="54"/>
        <v>0.80764017855778703</v>
      </c>
      <c r="EC13" s="639">
        <v>89340.37</v>
      </c>
      <c r="ED13" s="639">
        <f t="shared" si="55"/>
        <v>62538.258999999991</v>
      </c>
      <c r="EE13" s="633">
        <v>0.7</v>
      </c>
      <c r="EF13" s="635">
        <f>'Vtas Diarias 2021'!BM14</f>
        <v>70713.199999999983</v>
      </c>
      <c r="EG13" s="636">
        <f t="shared" si="56"/>
        <v>0.7915033259880162</v>
      </c>
      <c r="EH13" s="639">
        <v>101201.98</v>
      </c>
      <c r="EI13" s="639">
        <f t="shared" si="57"/>
        <v>70841.385999999999</v>
      </c>
      <c r="EJ13" s="633">
        <v>0.7</v>
      </c>
      <c r="EK13" s="635">
        <f>'Vtas Diarias 2021'!CS14</f>
        <v>82295.280000000013</v>
      </c>
      <c r="EL13" s="636">
        <f t="shared" si="58"/>
        <v>0.81317855638792857</v>
      </c>
      <c r="EM13" s="639">
        <v>103993.3</v>
      </c>
      <c r="EN13" s="639">
        <f t="shared" si="59"/>
        <v>72795.31</v>
      </c>
      <c r="EO13" s="633">
        <v>0.7</v>
      </c>
      <c r="EP13" s="635">
        <f>'Vtas Diarias 2021'!DY14</f>
        <v>90375.62999999999</v>
      </c>
      <c r="EQ13" s="636">
        <f t="shared" si="60"/>
        <v>0.86905242933919769</v>
      </c>
      <c r="ER13" s="639">
        <v>91907.03</v>
      </c>
      <c r="ES13" s="639">
        <f t="shared" si="61"/>
        <v>59739.569499999998</v>
      </c>
      <c r="ET13" s="633">
        <v>0.65</v>
      </c>
      <c r="EU13" s="635">
        <f>'Vtas Diarias 2021'!FE14</f>
        <v>76781.38</v>
      </c>
      <c r="EV13" s="636">
        <f t="shared" si="62"/>
        <v>0.83542445012095379</v>
      </c>
      <c r="EW13" s="661">
        <f t="shared" si="63"/>
        <v>346644.19190269208</v>
      </c>
      <c r="EX13" s="956">
        <f t="shared" si="64"/>
        <v>481347.53</v>
      </c>
      <c r="EY13" s="662">
        <f t="shared" si="65"/>
        <v>396814.45999999996</v>
      </c>
      <c r="EZ13" s="654">
        <f t="shared" si="66"/>
        <v>0.82438245813788624</v>
      </c>
      <c r="FA13" s="645">
        <v>91166.17</v>
      </c>
      <c r="FB13" s="639">
        <f t="shared" si="67"/>
        <v>63816.318999999996</v>
      </c>
      <c r="FC13" s="633">
        <v>0.7</v>
      </c>
      <c r="FD13" s="635">
        <f>'Vtas Diarias 2021'!GK14</f>
        <v>81843.67</v>
      </c>
      <c r="FE13" s="636">
        <f t="shared" si="68"/>
        <v>0.89774167325445398</v>
      </c>
      <c r="FF13" s="639">
        <v>80343.92</v>
      </c>
      <c r="FG13" s="639">
        <f t="shared" si="69"/>
        <v>61061.379199999996</v>
      </c>
      <c r="FH13" s="633">
        <v>0.76</v>
      </c>
      <c r="FI13" s="635">
        <f>'Vtas Diarias 2021'!HQ14</f>
        <v>72431.72</v>
      </c>
      <c r="FJ13" s="636">
        <f t="shared" si="70"/>
        <v>0.90152086181505708</v>
      </c>
      <c r="FK13" s="639">
        <v>73076.92</v>
      </c>
      <c r="FL13" s="639">
        <f t="shared" si="71"/>
        <v>57730.766799999998</v>
      </c>
      <c r="FM13" s="633">
        <v>0.79</v>
      </c>
      <c r="FN13" s="635">
        <f>'Vtas Diarias 2021'!IW14</f>
        <v>74463.010000000009</v>
      </c>
      <c r="FO13" s="636">
        <f t="shared" si="72"/>
        <v>1.0189675481670548</v>
      </c>
      <c r="FP13" s="639">
        <v>88139.73</v>
      </c>
      <c r="FQ13" s="639">
        <f t="shared" si="73"/>
        <v>66986.194799999997</v>
      </c>
      <c r="FR13" s="633">
        <v>0.76</v>
      </c>
      <c r="FS13" s="635">
        <f>'Vtas Diarias 2021'!KC14</f>
        <v>66022.570000000007</v>
      </c>
      <c r="FT13" s="636">
        <f t="shared" si="74"/>
        <v>0.74906707792274851</v>
      </c>
      <c r="FU13" s="661">
        <f t="shared" si="75"/>
        <v>249594.65979999999</v>
      </c>
      <c r="FV13" s="661">
        <f t="shared" si="76"/>
        <v>332726.74</v>
      </c>
      <c r="FW13" s="663">
        <f t="shared" si="77"/>
        <v>294760.96999999997</v>
      </c>
      <c r="FX13" s="651">
        <f t="shared" si="78"/>
        <v>0.88589504408332187</v>
      </c>
      <c r="FY13" s="645">
        <v>66486.25</v>
      </c>
      <c r="FZ13" s="639">
        <f t="shared" si="79"/>
        <v>49864.6875</v>
      </c>
      <c r="GA13" s="633">
        <v>0.75</v>
      </c>
      <c r="GB13" s="635">
        <f>'Vtas Diarias 2021'!LI14</f>
        <v>64594.899999999994</v>
      </c>
      <c r="GC13" s="636">
        <f t="shared" si="80"/>
        <v>0.97155276466938645</v>
      </c>
      <c r="GD13" s="639">
        <v>72966.14</v>
      </c>
      <c r="GE13" s="639">
        <f t="shared" si="81"/>
        <v>59102.573400000001</v>
      </c>
      <c r="GF13" s="633">
        <v>0.81</v>
      </c>
      <c r="GG13" s="635">
        <f>'Vtas Diarias 2021'!MO14</f>
        <v>60694.92</v>
      </c>
      <c r="GH13" s="636">
        <f t="shared" si="82"/>
        <v>0.83182308944943506</v>
      </c>
      <c r="GI13" s="639">
        <v>68853.960000000006</v>
      </c>
      <c r="GJ13" s="639">
        <f t="shared" si="83"/>
        <v>55083.168000000005</v>
      </c>
      <c r="GK13" s="633">
        <v>0.8</v>
      </c>
      <c r="GL13" s="635">
        <f>'Vtas Diarias 2021'!NU14</f>
        <v>59128.43</v>
      </c>
      <c r="GM13" s="636">
        <f t="shared" si="84"/>
        <v>0.85875133398282388</v>
      </c>
      <c r="GN13" s="639">
        <v>73721.2</v>
      </c>
      <c r="GO13" s="639">
        <f t="shared" si="85"/>
        <v>53816.475999999995</v>
      </c>
      <c r="GP13" s="633">
        <v>0.73</v>
      </c>
      <c r="GQ13" s="635">
        <f>'Vtas Diarias 2021'!PA14</f>
        <v>59553.189999999995</v>
      </c>
      <c r="GR13" s="636">
        <f>GQ13/GN13</f>
        <v>0.80781634048279194</v>
      </c>
      <c r="GS13" s="661">
        <f t="shared" si="86"/>
        <v>217866.90489999999</v>
      </c>
      <c r="GT13" s="661">
        <f t="shared" si="87"/>
        <v>282027.55000000005</v>
      </c>
      <c r="GU13" s="662">
        <f t="shared" si="88"/>
        <v>243971.44</v>
      </c>
      <c r="GV13" s="1598">
        <f t="shared" si="89"/>
        <v>0.86506243804904859</v>
      </c>
      <c r="GW13" s="645">
        <v>70834</v>
      </c>
      <c r="GX13" s="639">
        <f t="shared" si="90"/>
        <v>53833.840000000004</v>
      </c>
      <c r="GY13" s="633">
        <v>0.76</v>
      </c>
      <c r="GZ13" s="635">
        <f>'Vtas Diarias 2021'!QG14</f>
        <v>67714.209999999992</v>
      </c>
      <c r="HA13" s="636">
        <f t="shared" si="91"/>
        <v>0.9559563204111019</v>
      </c>
      <c r="HB13" s="639">
        <v>66467.94</v>
      </c>
      <c r="HC13" s="639">
        <f t="shared" si="92"/>
        <v>51844.993200000004</v>
      </c>
      <c r="HD13" s="633">
        <v>0.78</v>
      </c>
      <c r="HE13" s="635">
        <f>'Vtas Diarias 2021'!RM14</f>
        <v>75031.19</v>
      </c>
      <c r="HF13" s="636">
        <f t="shared" si="93"/>
        <v>1.1288327876567259</v>
      </c>
      <c r="HG13" s="639">
        <v>95920.49</v>
      </c>
      <c r="HH13" s="639">
        <f t="shared" si="94"/>
        <v>73858.777300000002</v>
      </c>
      <c r="HI13" s="633">
        <v>0.77</v>
      </c>
      <c r="HJ13" s="635">
        <f>'Vtas Diarias 2021'!SS14</f>
        <v>61424.829999999994</v>
      </c>
      <c r="HK13" s="636">
        <f t="shared" si="95"/>
        <v>0.64037235422796512</v>
      </c>
      <c r="HL13" s="639">
        <v>78908.34</v>
      </c>
      <c r="HM13" s="639">
        <f t="shared" si="96"/>
        <v>59970.338400000001</v>
      </c>
      <c r="HN13" s="633">
        <v>0.76</v>
      </c>
      <c r="HO13" s="635">
        <f>'Vtas Diarias 2021'!TY14</f>
        <v>71101.3</v>
      </c>
      <c r="HP13" s="636">
        <f t="shared" si="97"/>
        <v>0.90106191563528015</v>
      </c>
      <c r="HQ13" s="639">
        <v>78367.070000000007</v>
      </c>
      <c r="HR13" s="639">
        <f t="shared" si="98"/>
        <v>59558.973200000008</v>
      </c>
      <c r="HS13" s="633">
        <v>0.76</v>
      </c>
      <c r="HT13" s="635">
        <f>'Vtas Diarias 2021'!VE14</f>
        <v>52744.91</v>
      </c>
      <c r="HU13" s="636">
        <f t="shared" si="99"/>
        <v>0.67304940710428496</v>
      </c>
      <c r="HV13" s="661">
        <f t="shared" si="100"/>
        <v>299066.92210000003</v>
      </c>
      <c r="HW13" s="661">
        <f t="shared" si="101"/>
        <v>390497.84</v>
      </c>
      <c r="HX13" s="663">
        <f t="shared" si="102"/>
        <v>328016.44</v>
      </c>
      <c r="HY13" s="651">
        <f t="shared" si="103"/>
        <v>0.83999552980882042</v>
      </c>
      <c r="HZ13" s="645">
        <v>77097.94</v>
      </c>
      <c r="IA13" s="639">
        <f t="shared" si="104"/>
        <v>51655.619800000008</v>
      </c>
      <c r="IB13" s="633">
        <v>0.67</v>
      </c>
      <c r="IC13" s="635">
        <f>'Vtas Diarias 2021'!WK14</f>
        <v>57179.71</v>
      </c>
      <c r="ID13" s="636">
        <f t="shared" si="142"/>
        <v>0.74165029571477525</v>
      </c>
      <c r="IE13" s="639">
        <v>95947.13</v>
      </c>
      <c r="IF13" s="639">
        <f t="shared" si="105"/>
        <v>66203.519700000004</v>
      </c>
      <c r="IG13" s="633">
        <v>0.69</v>
      </c>
      <c r="IH13" s="635">
        <f>'Vtas Diarias 2021'!XQ14</f>
        <v>70621.83</v>
      </c>
      <c r="II13" s="636">
        <f t="shared" si="106"/>
        <v>0.73604942638721971</v>
      </c>
      <c r="IJ13" s="639">
        <v>110828.49</v>
      </c>
      <c r="IK13" s="639">
        <f t="shared" si="107"/>
        <v>79796.512799999997</v>
      </c>
      <c r="IL13" s="633">
        <v>0.72</v>
      </c>
      <c r="IM13" s="635">
        <f>'Vtas Diarias 2021'!YW14</f>
        <v>67685.19</v>
      </c>
      <c r="IN13" s="636">
        <f t="shared" si="108"/>
        <v>0.61072013161958627</v>
      </c>
      <c r="IO13" s="639">
        <v>104557.95</v>
      </c>
      <c r="IP13" s="639">
        <f t="shared" si="109"/>
        <v>78418.462499999994</v>
      </c>
      <c r="IQ13" s="633">
        <v>0.75</v>
      </c>
      <c r="IR13" s="635">
        <f>'Vtas Diarias 2021'!AAC14</f>
        <v>100069.45</v>
      </c>
      <c r="IS13" s="636">
        <f t="shared" si="110"/>
        <v>0.95707165260986848</v>
      </c>
      <c r="IT13" s="1577">
        <f t="shared" si="111"/>
        <v>276074.11479999998</v>
      </c>
      <c r="IU13" s="1577">
        <f t="shared" si="112"/>
        <v>388431.51</v>
      </c>
      <c r="IV13" s="1578">
        <f t="shared" si="113"/>
        <v>295556.18</v>
      </c>
      <c r="IW13" s="654">
        <f t="shared" si="114"/>
        <v>0.76089650914262852</v>
      </c>
      <c r="IX13" s="645">
        <v>65736.149999999994</v>
      </c>
      <c r="IY13" s="639">
        <f t="shared" si="115"/>
        <v>55875.727499999994</v>
      </c>
      <c r="IZ13" s="633">
        <v>0.85</v>
      </c>
      <c r="JA13" s="635">
        <f>'Vtas Diarias 2021'!ABI14</f>
        <v>66830.45</v>
      </c>
      <c r="JB13" s="636">
        <f t="shared" si="116"/>
        <v>1.016646852606975</v>
      </c>
      <c r="JC13" s="639">
        <v>83021.17</v>
      </c>
      <c r="JD13" s="639">
        <f t="shared" si="117"/>
        <v>70567.994500000001</v>
      </c>
      <c r="JE13" s="633">
        <v>0.85</v>
      </c>
      <c r="JF13" s="635">
        <f>'Vtas Diarias 2021'!ACO14</f>
        <v>97768.52</v>
      </c>
      <c r="JG13" s="636">
        <f t="shared" si="118"/>
        <v>1.177633608391691</v>
      </c>
      <c r="JH13" s="639">
        <v>108777.69</v>
      </c>
      <c r="JI13" s="639">
        <f t="shared" si="119"/>
        <v>94636.590299999996</v>
      </c>
      <c r="JJ13" s="633">
        <v>0.87</v>
      </c>
      <c r="JK13" s="635">
        <f>'Vtas Diarias 2021'!ADU14</f>
        <v>89635.54</v>
      </c>
      <c r="JL13" s="636">
        <f t="shared" si="120"/>
        <v>0.8240250367515618</v>
      </c>
      <c r="JM13" s="639">
        <v>112940.71</v>
      </c>
      <c r="JN13" s="639">
        <f t="shared" si="121"/>
        <v>98258.417700000005</v>
      </c>
      <c r="JO13" s="633">
        <v>0.87</v>
      </c>
      <c r="JP13" s="635">
        <f>'Vtas Diarias 2021'!AFA14</f>
        <v>80428.320000000007</v>
      </c>
      <c r="JQ13" s="636">
        <f t="shared" si="122"/>
        <v>0.71212869123985501</v>
      </c>
      <c r="JR13" s="636">
        <f t="shared" si="122"/>
        <v>7.2475082329750864E-6</v>
      </c>
      <c r="JS13" s="1577">
        <f t="shared" si="123"/>
        <v>319338.73</v>
      </c>
      <c r="JT13" s="1577">
        <f t="shared" si="124"/>
        <v>370475.72000000003</v>
      </c>
      <c r="JU13" s="1582">
        <f t="shared" si="125"/>
        <v>334662.83</v>
      </c>
      <c r="JV13" s="651">
        <f t="shared" si="126"/>
        <v>0.9033326934353485</v>
      </c>
      <c r="JW13" s="645">
        <v>128248.59</v>
      </c>
      <c r="JX13" s="639">
        <f t="shared" si="127"/>
        <v>121836.1605</v>
      </c>
      <c r="JY13" s="633">
        <v>0.95</v>
      </c>
      <c r="JZ13" s="635">
        <f>'Vtas Diarias 2021'!AGG14</f>
        <v>126356.63</v>
      </c>
      <c r="KA13" s="636">
        <f t="shared" si="128"/>
        <v>0.9852477130547791</v>
      </c>
      <c r="KB13" s="639">
        <v>180081.08</v>
      </c>
      <c r="KC13" s="639">
        <f t="shared" si="129"/>
        <v>171077.02599999998</v>
      </c>
      <c r="KD13" s="633">
        <v>0.95</v>
      </c>
      <c r="KE13" s="635">
        <f>'Vtas Diarias 2021'!AHM14</f>
        <v>127104.72</v>
      </c>
      <c r="KF13" s="636">
        <f t="shared" si="130"/>
        <v>0.7058194009054144</v>
      </c>
      <c r="KG13" s="639">
        <v>231869.45</v>
      </c>
      <c r="KH13" s="639">
        <f t="shared" si="131"/>
        <v>220275.97750000001</v>
      </c>
      <c r="KI13" s="633">
        <v>0.95</v>
      </c>
      <c r="KJ13" s="635">
        <f>'Vtas Diarias 2021'!AIS14</f>
        <v>155408.78</v>
      </c>
      <c r="KK13" s="636">
        <f t="shared" si="132"/>
        <v>0.67024258693846905</v>
      </c>
      <c r="KL13" s="639">
        <v>226983.42</v>
      </c>
      <c r="KM13" s="1601">
        <f t="shared" si="133"/>
        <v>367713.14040000003</v>
      </c>
      <c r="KN13" s="1615">
        <v>1.62</v>
      </c>
      <c r="KO13" s="1602">
        <f>'Vtas Diarias 2021'!AJY14</f>
        <v>289701.73</v>
      </c>
      <c r="KP13" s="636">
        <f t="shared" si="134"/>
        <v>1.2763122962901869</v>
      </c>
      <c r="KQ13" s="639">
        <v>64920.2</v>
      </c>
      <c r="KR13" s="1601">
        <f t="shared" si="135"/>
        <v>61674.189999999995</v>
      </c>
      <c r="KS13" s="1616">
        <v>0.95</v>
      </c>
      <c r="KT13" s="1602">
        <f>'Vtas Diarias 2021'!ALE14</f>
        <v>61586.299999999996</v>
      </c>
      <c r="KU13" s="636">
        <f t="shared" si="136"/>
        <v>0.94864618408446055</v>
      </c>
      <c r="KV13" s="1577">
        <f t="shared" si="137"/>
        <v>942576.49439999997</v>
      </c>
      <c r="KW13" s="1577">
        <f t="shared" si="2"/>
        <v>832102.74</v>
      </c>
      <c r="KX13" s="1578">
        <f t="shared" si="3"/>
        <v>760158.15999999992</v>
      </c>
      <c r="KY13" s="959">
        <f t="shared" si="138"/>
        <v>0.91353882574644563</v>
      </c>
      <c r="KZ13" s="1508">
        <f t="shared" si="143"/>
        <v>4748300.41</v>
      </c>
      <c r="LA13" s="811">
        <f t="shared" si="144"/>
        <v>4034784.2513000006</v>
      </c>
      <c r="LB13" s="1509">
        <f t="shared" si="139"/>
        <v>4748300.4099999992</v>
      </c>
      <c r="LC13" s="811">
        <f t="shared" si="140"/>
        <v>3916121.6000000006</v>
      </c>
      <c r="LD13" s="1575">
        <f t="shared" si="4"/>
        <v>-832178.80999999866</v>
      </c>
      <c r="LE13" s="1594">
        <f t="shared" si="141"/>
        <v>0.82474175217570123</v>
      </c>
      <c r="LF13" s="1008">
        <f t="shared" si="145"/>
        <v>0.84973230480587902</v>
      </c>
    </row>
    <row r="14" spans="1:318" outlineLevel="1">
      <c r="A14" s="1495"/>
      <c r="B14" s="687" t="s">
        <v>17</v>
      </c>
      <c r="C14" s="645">
        <v>106311.15</v>
      </c>
      <c r="D14" s="639">
        <v>111626.71</v>
      </c>
      <c r="E14" s="633">
        <v>1.05</v>
      </c>
      <c r="F14" s="635">
        <v>107351.45</v>
      </c>
      <c r="G14" s="636">
        <f t="shared" si="5"/>
        <v>1.0097854270224713</v>
      </c>
      <c r="H14" s="639">
        <v>100008.3</v>
      </c>
      <c r="I14" s="639">
        <v>105008.72</v>
      </c>
      <c r="J14" s="633">
        <v>1.05</v>
      </c>
      <c r="K14" s="635">
        <v>90910.26</v>
      </c>
      <c r="L14" s="636">
        <f t="shared" si="6"/>
        <v>0.90902715074648799</v>
      </c>
      <c r="M14" s="639">
        <v>105126.13</v>
      </c>
      <c r="N14" s="639">
        <v>110382.44</v>
      </c>
      <c r="O14" s="633">
        <v>1.05</v>
      </c>
      <c r="P14" s="635">
        <v>98882.32</v>
      </c>
      <c r="Q14" s="636">
        <f t="shared" si="7"/>
        <v>0.94060648860563978</v>
      </c>
      <c r="R14" s="639">
        <v>107017.87</v>
      </c>
      <c r="S14" s="639">
        <v>112368.77</v>
      </c>
      <c r="T14" s="633">
        <v>1.05</v>
      </c>
      <c r="U14" s="635">
        <v>91921.25</v>
      </c>
      <c r="V14" s="636">
        <f t="shared" si="8"/>
        <v>0.85893365285629408</v>
      </c>
      <c r="W14" s="639">
        <f t="shared" si="0"/>
        <v>439386.64</v>
      </c>
      <c r="X14" s="639">
        <f t="shared" si="1"/>
        <v>418463.45</v>
      </c>
      <c r="Y14" s="666">
        <f t="shared" si="9"/>
        <v>389065.28</v>
      </c>
      <c r="Z14" s="646">
        <f t="shared" si="10"/>
        <v>0.92974734113576707</v>
      </c>
      <c r="AA14" s="645">
        <v>126743.57</v>
      </c>
      <c r="AB14" s="639">
        <v>133080.75</v>
      </c>
      <c r="AC14" s="633">
        <v>1.05</v>
      </c>
      <c r="AD14" s="635">
        <v>100037.71</v>
      </c>
      <c r="AE14" s="636">
        <f t="shared" si="11"/>
        <v>0.78929219052295907</v>
      </c>
      <c r="AF14" s="639">
        <v>170553.65</v>
      </c>
      <c r="AG14" s="639">
        <v>179081.34</v>
      </c>
      <c r="AH14" s="633">
        <v>1.05</v>
      </c>
      <c r="AI14" s="635">
        <v>116948.96</v>
      </c>
      <c r="AJ14" s="636">
        <f t="shared" si="12"/>
        <v>0.68570188911231167</v>
      </c>
      <c r="AK14" s="639">
        <v>98038.63</v>
      </c>
      <c r="AL14" s="639">
        <v>102940.56</v>
      </c>
      <c r="AM14" s="633">
        <v>1.05</v>
      </c>
      <c r="AN14" s="635">
        <v>87842.45</v>
      </c>
      <c r="AO14" s="636">
        <f t="shared" si="13"/>
        <v>0.89599834269409917</v>
      </c>
      <c r="AP14" s="639">
        <v>132708.14000000001</v>
      </c>
      <c r="AQ14" s="639">
        <v>139343.54999999999</v>
      </c>
      <c r="AR14" s="633">
        <v>1.05</v>
      </c>
      <c r="AS14" s="635">
        <v>83963.59</v>
      </c>
      <c r="AT14" s="636">
        <v>0.75</v>
      </c>
      <c r="AU14" s="639">
        <f t="shared" si="14"/>
        <v>554446.19999999995</v>
      </c>
      <c r="AV14" s="639">
        <f t="shared" si="15"/>
        <v>528043.99</v>
      </c>
      <c r="AW14" s="778">
        <f t="shared" si="16"/>
        <v>388792.70999999996</v>
      </c>
      <c r="AX14" s="665">
        <f t="shared" si="17"/>
        <v>0.73628848611646913</v>
      </c>
      <c r="AY14" s="645">
        <v>122200.13</v>
      </c>
      <c r="AZ14" s="639">
        <v>128310.14</v>
      </c>
      <c r="BA14" s="633">
        <v>1.05</v>
      </c>
      <c r="BB14" s="635">
        <v>86941.43</v>
      </c>
      <c r="BC14" s="636">
        <f t="shared" si="18"/>
        <v>0.711467573725167</v>
      </c>
      <c r="BD14" s="639">
        <v>127416.55</v>
      </c>
      <c r="BE14" s="639">
        <v>129964.88</v>
      </c>
      <c r="BF14" s="633">
        <v>1.02</v>
      </c>
      <c r="BG14" s="635">
        <v>87527.11</v>
      </c>
      <c r="BH14" s="636">
        <f t="shared" si="19"/>
        <v>0.68693674408858185</v>
      </c>
      <c r="BI14" s="639">
        <v>145283.23000000001</v>
      </c>
      <c r="BJ14" s="639">
        <v>58113.29</v>
      </c>
      <c r="BK14" s="633">
        <v>0.4</v>
      </c>
      <c r="BL14" s="635">
        <v>107760.54</v>
      </c>
      <c r="BM14" s="636">
        <f t="shared" si="20"/>
        <v>0.74172731429498084</v>
      </c>
      <c r="BN14" s="639">
        <v>161472.4</v>
      </c>
      <c r="BO14" s="639">
        <f t="shared" si="21"/>
        <v>104957.06</v>
      </c>
      <c r="BP14" s="633">
        <v>0.65</v>
      </c>
      <c r="BQ14" s="635">
        <v>99716.43</v>
      </c>
      <c r="BR14" s="636">
        <f t="shared" si="22"/>
        <v>0.61754473210282379</v>
      </c>
      <c r="BS14" s="639">
        <v>131803.97</v>
      </c>
      <c r="BT14" s="639">
        <f t="shared" si="23"/>
        <v>85672.580500000011</v>
      </c>
      <c r="BU14" s="633">
        <v>0.65</v>
      </c>
      <c r="BV14" s="635">
        <v>119030.15</v>
      </c>
      <c r="BW14" s="636">
        <f t="shared" si="24"/>
        <v>0.90308470981564515</v>
      </c>
      <c r="BX14" s="661">
        <f t="shared" si="25"/>
        <v>507017.95050000004</v>
      </c>
      <c r="BY14" s="661">
        <f t="shared" si="26"/>
        <v>688176.28</v>
      </c>
      <c r="BZ14" s="663">
        <f t="shared" si="27"/>
        <v>500975.66</v>
      </c>
      <c r="CA14" s="651">
        <f t="shared" si="28"/>
        <v>0.72797577388165713</v>
      </c>
      <c r="CB14" s="645">
        <v>146884.56</v>
      </c>
      <c r="CC14" s="639">
        <f t="shared" si="29"/>
        <v>120445.33919999999</v>
      </c>
      <c r="CD14" s="633">
        <v>0.82</v>
      </c>
      <c r="CE14" s="635">
        <v>124002.27</v>
      </c>
      <c r="CF14" s="636">
        <f t="shared" si="30"/>
        <v>0.84421582499889714</v>
      </c>
      <c r="CG14" s="639">
        <v>169188.59</v>
      </c>
      <c r="CH14" s="639">
        <f t="shared" si="31"/>
        <v>126891.4425</v>
      </c>
      <c r="CI14" s="633">
        <v>0.75</v>
      </c>
      <c r="CJ14" s="635">
        <v>119365.2</v>
      </c>
      <c r="CK14" s="636">
        <f t="shared" si="32"/>
        <v>0.70551566154668</v>
      </c>
      <c r="CL14" s="639">
        <v>162191.96</v>
      </c>
      <c r="CM14" s="639">
        <f t="shared" si="33"/>
        <v>113534.37199999999</v>
      </c>
      <c r="CN14" s="633">
        <v>0.7</v>
      </c>
      <c r="CO14" s="635">
        <v>87959.35</v>
      </c>
      <c r="CP14" s="636">
        <f t="shared" si="34"/>
        <v>0.54231633923161182</v>
      </c>
      <c r="CQ14" s="639">
        <v>220777.25</v>
      </c>
      <c r="CR14" s="639">
        <f t="shared" si="35"/>
        <v>88310.900000000009</v>
      </c>
      <c r="CS14" s="633">
        <v>0.4</v>
      </c>
      <c r="CT14" s="635">
        <v>154508.94</v>
      </c>
      <c r="CU14" s="636">
        <f t="shared" si="36"/>
        <v>0.69984085769706794</v>
      </c>
      <c r="CV14" s="656">
        <f t="shared" si="37"/>
        <v>449182.05369999999</v>
      </c>
      <c r="CW14" s="656">
        <f t="shared" si="38"/>
        <v>699042.36</v>
      </c>
      <c r="CX14" s="657">
        <f t="shared" si="39"/>
        <v>485835.76</v>
      </c>
      <c r="CY14" s="654">
        <f t="shared" si="40"/>
        <v>0.695001888011479</v>
      </c>
      <c r="CZ14" s="645">
        <v>264137.76</v>
      </c>
      <c r="DA14" s="639">
        <f t="shared" si="41"/>
        <v>132068.88</v>
      </c>
      <c r="DB14" s="633">
        <v>0.5</v>
      </c>
      <c r="DC14" s="635">
        <v>163482.10999999999</v>
      </c>
      <c r="DD14" s="636">
        <f t="shared" si="42"/>
        <v>0.61892744907051522</v>
      </c>
      <c r="DE14" s="639">
        <v>156508.62</v>
      </c>
      <c r="DF14" s="639">
        <f t="shared" si="43"/>
        <v>93905.171999999991</v>
      </c>
      <c r="DG14" s="633">
        <v>0.6</v>
      </c>
      <c r="DH14" s="635">
        <v>196957.2</v>
      </c>
      <c r="DI14" s="636">
        <f t="shared" si="44"/>
        <v>1.258443145176285</v>
      </c>
      <c r="DJ14" s="639">
        <v>174479.42</v>
      </c>
      <c r="DK14" s="639">
        <f t="shared" si="45"/>
        <v>122135.594</v>
      </c>
      <c r="DL14" s="633">
        <v>0.7</v>
      </c>
      <c r="DM14" s="635">
        <v>137899.57</v>
      </c>
      <c r="DN14" s="636">
        <f t="shared" si="46"/>
        <v>0.79034862678933704</v>
      </c>
      <c r="DO14" s="639">
        <v>143149.32999999999</v>
      </c>
      <c r="DP14" s="639">
        <f t="shared" si="47"/>
        <v>113137.87639131364</v>
      </c>
      <c r="DQ14" s="633">
        <v>0.79034862678933704</v>
      </c>
      <c r="DR14" s="635">
        <v>141582.51</v>
      </c>
      <c r="DS14" s="636">
        <f t="shared" si="48"/>
        <v>0.98905464664067955</v>
      </c>
      <c r="DT14" s="656">
        <f t="shared" si="49"/>
        <v>461247.52239131363</v>
      </c>
      <c r="DU14" s="656">
        <f t="shared" si="50"/>
        <v>738275.13</v>
      </c>
      <c r="DV14" s="657">
        <f t="shared" si="51"/>
        <v>639921.39</v>
      </c>
      <c r="DW14" s="654">
        <f t="shared" si="52"/>
        <v>0.86677901502655252</v>
      </c>
      <c r="DX14" s="645">
        <v>151563.57999999999</v>
      </c>
      <c r="DY14" s="639">
        <f t="shared" si="53"/>
        <v>149904.66306049636</v>
      </c>
      <c r="DZ14" s="633">
        <v>0.98905464664067955</v>
      </c>
      <c r="EA14" s="635">
        <f>'Vtas Diarias 2021'!AG15</f>
        <v>122120.17</v>
      </c>
      <c r="EB14" s="636">
        <f t="shared" si="54"/>
        <v>0.8057355863460075</v>
      </c>
      <c r="EC14" s="639">
        <v>189458.56</v>
      </c>
      <c r="ED14" s="639">
        <f t="shared" si="55"/>
        <v>132620.992</v>
      </c>
      <c r="EE14" s="633">
        <v>0.7</v>
      </c>
      <c r="EF14" s="635">
        <f>'Vtas Diarias 2021'!BM15</f>
        <v>131925.49000000002</v>
      </c>
      <c r="EG14" s="636">
        <f t="shared" si="56"/>
        <v>0.6963290019727798</v>
      </c>
      <c r="EH14" s="639">
        <v>196592.15</v>
      </c>
      <c r="EI14" s="639">
        <f t="shared" si="57"/>
        <v>137614.50499999998</v>
      </c>
      <c r="EJ14" s="633">
        <v>0.7</v>
      </c>
      <c r="EK14" s="635">
        <f>'Vtas Diarias 2021'!CS15</f>
        <v>146077.25</v>
      </c>
      <c r="EL14" s="636">
        <f t="shared" si="58"/>
        <v>0.74304721729733358</v>
      </c>
      <c r="EM14" s="639">
        <v>195778.36</v>
      </c>
      <c r="EN14" s="639">
        <f t="shared" si="59"/>
        <v>137044.85199999998</v>
      </c>
      <c r="EO14" s="633">
        <v>0.7</v>
      </c>
      <c r="EP14" s="635">
        <f>'Vtas Diarias 2021'!DY15</f>
        <v>133280.62</v>
      </c>
      <c r="EQ14" s="636">
        <f t="shared" si="60"/>
        <v>0.68077299247986345</v>
      </c>
      <c r="ER14" s="639">
        <v>194223.96</v>
      </c>
      <c r="ES14" s="639">
        <f t="shared" si="61"/>
        <v>126245.57399999999</v>
      </c>
      <c r="ET14" s="633">
        <v>0.65</v>
      </c>
      <c r="EU14" s="635">
        <f>'Vtas Diarias 2021'!FE15</f>
        <v>131941.97</v>
      </c>
      <c r="EV14" s="636">
        <f t="shared" si="62"/>
        <v>0.6793290076054469</v>
      </c>
      <c r="EW14" s="661">
        <f t="shared" si="63"/>
        <v>683430.58606049628</v>
      </c>
      <c r="EX14" s="956">
        <f t="shared" si="64"/>
        <v>927616.61</v>
      </c>
      <c r="EY14" s="662">
        <f t="shared" si="65"/>
        <v>665345.5</v>
      </c>
      <c r="EZ14" s="654">
        <f t="shared" si="66"/>
        <v>0.71726346081707182</v>
      </c>
      <c r="FA14" s="645">
        <v>188053.64</v>
      </c>
      <c r="FB14" s="639">
        <f t="shared" si="67"/>
        <v>141040.23000000001</v>
      </c>
      <c r="FC14" s="633">
        <v>0.75</v>
      </c>
      <c r="FD14" s="635">
        <f>'Vtas Diarias 2021'!GK15</f>
        <v>144116.06</v>
      </c>
      <c r="FE14" s="636">
        <f t="shared" si="68"/>
        <v>0.7663561311549193</v>
      </c>
      <c r="FF14" s="639">
        <v>167766.63</v>
      </c>
      <c r="FG14" s="639">
        <f t="shared" si="69"/>
        <v>127502.6388</v>
      </c>
      <c r="FH14" s="633">
        <v>0.76</v>
      </c>
      <c r="FI14" s="635">
        <f>'Vtas Diarias 2021'!HQ15</f>
        <v>150345.57999999999</v>
      </c>
      <c r="FJ14" s="636">
        <f t="shared" si="70"/>
        <v>0.89615902757300414</v>
      </c>
      <c r="FK14" s="639">
        <v>171473.74</v>
      </c>
      <c r="FL14" s="639">
        <f t="shared" si="71"/>
        <v>140608.46679999999</v>
      </c>
      <c r="FM14" s="633">
        <v>0.82</v>
      </c>
      <c r="FN14" s="635">
        <f>'Vtas Diarias 2021'!IW15</f>
        <v>128547.17000000001</v>
      </c>
      <c r="FO14" s="636">
        <f t="shared" si="72"/>
        <v>0.74966096849581765</v>
      </c>
      <c r="FP14" s="639">
        <v>182784.66</v>
      </c>
      <c r="FQ14" s="639">
        <f t="shared" si="73"/>
        <v>149883.42119999998</v>
      </c>
      <c r="FR14" s="633">
        <v>0.82</v>
      </c>
      <c r="FS14" s="635">
        <f>'Vtas Diarias 2021'!KC15</f>
        <v>143311.16</v>
      </c>
      <c r="FT14" s="636">
        <f t="shared" si="74"/>
        <v>0.78404369381982053</v>
      </c>
      <c r="FU14" s="661">
        <f t="shared" si="75"/>
        <v>559034.75679999997</v>
      </c>
      <c r="FV14" s="661">
        <f t="shared" si="76"/>
        <v>710078.67</v>
      </c>
      <c r="FW14" s="663">
        <f t="shared" si="77"/>
        <v>566319.97</v>
      </c>
      <c r="FX14" s="651">
        <f t="shared" si="78"/>
        <v>0.79754539028752958</v>
      </c>
      <c r="FY14" s="645">
        <v>148383.93</v>
      </c>
      <c r="FZ14" s="639">
        <f t="shared" si="79"/>
        <v>121674.82259999998</v>
      </c>
      <c r="GA14" s="633">
        <v>0.82</v>
      </c>
      <c r="GB14" s="635">
        <f>'Vtas Diarias 2021'!LI15</f>
        <v>114445.15</v>
      </c>
      <c r="GC14" s="636">
        <f t="shared" si="80"/>
        <v>0.77127725354086529</v>
      </c>
      <c r="GD14" s="639">
        <v>170185.27</v>
      </c>
      <c r="GE14" s="639">
        <f t="shared" si="81"/>
        <v>148061.18489999999</v>
      </c>
      <c r="GF14" s="633">
        <v>0.87</v>
      </c>
      <c r="GG14" s="635">
        <f>'Vtas Diarias 2021'!MO15</f>
        <v>116583.01000000001</v>
      </c>
      <c r="GH14" s="636">
        <f t="shared" si="82"/>
        <v>0.68503584358387781</v>
      </c>
      <c r="GI14" s="639">
        <v>172363.79</v>
      </c>
      <c r="GJ14" s="639">
        <f t="shared" si="83"/>
        <v>146509.22150000001</v>
      </c>
      <c r="GK14" s="633">
        <v>0.85</v>
      </c>
      <c r="GL14" s="635">
        <f>'Vtas Diarias 2021'!NU15</f>
        <v>118295.75</v>
      </c>
      <c r="GM14" s="636">
        <f t="shared" si="84"/>
        <v>0.68631439352778212</v>
      </c>
      <c r="GN14" s="639">
        <v>159536.66</v>
      </c>
      <c r="GO14" s="639">
        <f t="shared" si="85"/>
        <v>127629.32800000001</v>
      </c>
      <c r="GP14" s="633">
        <v>0.8</v>
      </c>
      <c r="GQ14" s="635">
        <f>'Vtas Diarias 2021'!PA15</f>
        <v>154746.34</v>
      </c>
      <c r="GR14" s="636">
        <f>GQ14/GN14</f>
        <v>0.96997354714584094</v>
      </c>
      <c r="GS14" s="661">
        <f t="shared" si="86"/>
        <v>543874.55700000003</v>
      </c>
      <c r="GT14" s="661">
        <f t="shared" si="87"/>
        <v>650469.65</v>
      </c>
      <c r="GU14" s="662">
        <f t="shared" si="88"/>
        <v>504070.25</v>
      </c>
      <c r="GV14" s="1598">
        <f t="shared" si="89"/>
        <v>0.77493277357367862</v>
      </c>
      <c r="GW14" s="645">
        <v>158832</v>
      </c>
      <c r="GX14" s="639">
        <f t="shared" si="90"/>
        <v>131830.56</v>
      </c>
      <c r="GY14" s="633">
        <v>0.83</v>
      </c>
      <c r="GZ14" s="635">
        <f>'Vtas Diarias 2021'!QG15</f>
        <v>164654.98000000001</v>
      </c>
      <c r="HA14" s="636">
        <f t="shared" si="91"/>
        <v>1.0366612521406267</v>
      </c>
      <c r="HB14" s="639">
        <v>141963.26</v>
      </c>
      <c r="HC14" s="639">
        <f t="shared" si="92"/>
        <v>120668.77100000001</v>
      </c>
      <c r="HD14" s="633">
        <v>0.85</v>
      </c>
      <c r="HE14" s="635">
        <f>'Vtas Diarias 2021'!RM15</f>
        <v>112456.22</v>
      </c>
      <c r="HF14" s="636">
        <f t="shared" si="93"/>
        <v>0.79215016617679812</v>
      </c>
      <c r="HG14" s="639">
        <v>133017.35</v>
      </c>
      <c r="HH14" s="639">
        <f t="shared" si="94"/>
        <v>111734.57400000001</v>
      </c>
      <c r="HI14" s="633">
        <v>0.84</v>
      </c>
      <c r="HJ14" s="635">
        <f>'Vtas Diarias 2021'!SS15</f>
        <v>135294.84</v>
      </c>
      <c r="HK14" s="636">
        <f t="shared" si="95"/>
        <v>1.0171217514106241</v>
      </c>
      <c r="HL14" s="639">
        <v>133351.43</v>
      </c>
      <c r="HM14" s="639">
        <f t="shared" si="96"/>
        <v>110681.68689999999</v>
      </c>
      <c r="HN14" s="633">
        <v>0.83</v>
      </c>
      <c r="HO14" s="635">
        <f>'Vtas Diarias 2021'!TY15</f>
        <v>106681.9</v>
      </c>
      <c r="HP14" s="636">
        <f t="shared" si="97"/>
        <v>0.80000566923054373</v>
      </c>
      <c r="HQ14" s="639">
        <v>149254.29999999999</v>
      </c>
      <c r="HR14" s="639">
        <f t="shared" si="98"/>
        <v>123881.06899999999</v>
      </c>
      <c r="HS14" s="633">
        <v>0.83</v>
      </c>
      <c r="HT14" s="635">
        <f>'Vtas Diarias 2021'!VE15</f>
        <v>121727.04000000001</v>
      </c>
      <c r="HU14" s="636">
        <f t="shared" si="99"/>
        <v>0.81556806068568888</v>
      </c>
      <c r="HV14" s="661">
        <f t="shared" si="100"/>
        <v>598796.66090000002</v>
      </c>
      <c r="HW14" s="661">
        <f t="shared" si="101"/>
        <v>716418.34000000008</v>
      </c>
      <c r="HX14" s="663">
        <f t="shared" si="102"/>
        <v>640814.98</v>
      </c>
      <c r="HY14" s="651">
        <f t="shared" si="103"/>
        <v>0.89447037327380519</v>
      </c>
      <c r="HZ14" s="645">
        <v>135685.54</v>
      </c>
      <c r="IA14" s="639">
        <f t="shared" si="104"/>
        <v>111262.1428</v>
      </c>
      <c r="IB14" s="633">
        <v>0.82</v>
      </c>
      <c r="IC14" s="635">
        <f>'Vtas Diarias 2021'!WK15</f>
        <v>105355.20999999999</v>
      </c>
      <c r="ID14" s="636">
        <f t="shared" si="142"/>
        <v>0.77646601104288626</v>
      </c>
      <c r="IE14" s="639">
        <v>158173.69</v>
      </c>
      <c r="IF14" s="639">
        <f t="shared" si="105"/>
        <v>132865.8996</v>
      </c>
      <c r="IG14" s="633">
        <v>0.84</v>
      </c>
      <c r="IH14" s="635">
        <f>'Vtas Diarias 2021'!XQ15</f>
        <v>132090.78</v>
      </c>
      <c r="II14" s="636">
        <f t="shared" si="106"/>
        <v>0.83509956681164865</v>
      </c>
      <c r="IJ14" s="639">
        <v>158127.92000000001</v>
      </c>
      <c r="IK14" s="639">
        <f t="shared" si="107"/>
        <v>137571.2904</v>
      </c>
      <c r="IL14" s="633">
        <v>0.87</v>
      </c>
      <c r="IM14" s="635">
        <f>'Vtas Diarias 2021'!YW15</f>
        <v>141103.15</v>
      </c>
      <c r="IN14" s="636">
        <f t="shared" si="108"/>
        <v>0.89233545853256013</v>
      </c>
      <c r="IO14" s="639">
        <v>203616.69</v>
      </c>
      <c r="IP14" s="639">
        <f t="shared" si="109"/>
        <v>183255.02100000001</v>
      </c>
      <c r="IQ14" s="633">
        <v>0.9</v>
      </c>
      <c r="IR14" s="635">
        <f>'Vtas Diarias 2021'!AAC15</f>
        <v>254244.81</v>
      </c>
      <c r="IS14" s="636">
        <f t="shared" si="110"/>
        <v>1.2486442540638492</v>
      </c>
      <c r="IT14" s="1577">
        <f t="shared" si="111"/>
        <v>564954.35380000004</v>
      </c>
      <c r="IU14" s="1577">
        <f t="shared" si="112"/>
        <v>655603.84000000008</v>
      </c>
      <c r="IV14" s="1578">
        <f t="shared" si="113"/>
        <v>632793.94999999995</v>
      </c>
      <c r="IW14" s="654">
        <f t="shared" si="114"/>
        <v>0.96520781513421261</v>
      </c>
      <c r="IX14" s="645">
        <v>132576.09</v>
      </c>
      <c r="IY14" s="639">
        <f t="shared" si="115"/>
        <v>125947.28549999998</v>
      </c>
      <c r="IZ14" s="633">
        <v>0.95</v>
      </c>
      <c r="JA14" s="635">
        <f>'Vtas Diarias 2021'!ABI15</f>
        <v>128345.36000000002</v>
      </c>
      <c r="JB14" s="636">
        <f t="shared" si="116"/>
        <v>0.96808828801633851</v>
      </c>
      <c r="JC14" s="639">
        <v>193131.73</v>
      </c>
      <c r="JD14" s="639">
        <f t="shared" si="117"/>
        <v>183475.14350000001</v>
      </c>
      <c r="JE14" s="633">
        <v>0.95</v>
      </c>
      <c r="JF14" s="635">
        <f>'Vtas Diarias 2021'!ACO15</f>
        <v>141790.37</v>
      </c>
      <c r="JG14" s="636">
        <f t="shared" si="118"/>
        <v>0.73416403405074859</v>
      </c>
      <c r="JH14" s="639">
        <v>235699.8</v>
      </c>
      <c r="JI14" s="639">
        <f t="shared" si="119"/>
        <v>228628.80599999998</v>
      </c>
      <c r="JJ14" s="633">
        <v>0.97</v>
      </c>
      <c r="JK14" s="635">
        <f>'Vtas Diarias 2021'!ADU15</f>
        <v>202560.36</v>
      </c>
      <c r="JL14" s="636">
        <f t="shared" si="120"/>
        <v>0.85939979584199899</v>
      </c>
      <c r="JM14" s="639">
        <v>267771.24</v>
      </c>
      <c r="JN14" s="639">
        <f t="shared" si="121"/>
        <v>254382.67799999999</v>
      </c>
      <c r="JO14" s="633">
        <v>0.95</v>
      </c>
      <c r="JP14" s="635">
        <f>'Vtas Diarias 2021'!AFA15</f>
        <v>238187.28</v>
      </c>
      <c r="JQ14" s="636">
        <f t="shared" si="122"/>
        <v>0.88951778391137148</v>
      </c>
      <c r="JR14" s="636">
        <f t="shared" si="122"/>
        <v>3.4967702632306258E-6</v>
      </c>
      <c r="JS14" s="1577">
        <f t="shared" si="123"/>
        <v>792433.91299999994</v>
      </c>
      <c r="JT14" s="1577">
        <f t="shared" si="124"/>
        <v>829178.86</v>
      </c>
      <c r="JU14" s="1582">
        <f t="shared" si="125"/>
        <v>710883.37</v>
      </c>
      <c r="JV14" s="651">
        <f t="shared" si="126"/>
        <v>0.85733417033811021</v>
      </c>
      <c r="JW14" s="645">
        <v>414049.24</v>
      </c>
      <c r="JX14" s="639">
        <f t="shared" si="127"/>
        <v>351941.85399999999</v>
      </c>
      <c r="JY14" s="633">
        <v>0.85</v>
      </c>
      <c r="JZ14" s="635">
        <f>'Vtas Diarias 2021'!AGG15</f>
        <v>388400.39</v>
      </c>
      <c r="KA14" s="636">
        <f t="shared" si="128"/>
        <v>0.93805362376706702</v>
      </c>
      <c r="KB14" s="639">
        <v>546396.24</v>
      </c>
      <c r="KC14" s="639">
        <f t="shared" si="129"/>
        <v>469900.76639999996</v>
      </c>
      <c r="KD14" s="633">
        <v>0.86</v>
      </c>
      <c r="KE14" s="635">
        <f>'Vtas Diarias 2021'!AHM15</f>
        <v>402519.99</v>
      </c>
      <c r="KF14" s="636">
        <f t="shared" si="130"/>
        <v>0.73668147862803746</v>
      </c>
      <c r="KG14" s="639">
        <v>707920.35</v>
      </c>
      <c r="KH14" s="639">
        <f t="shared" si="131"/>
        <v>608811.50099999993</v>
      </c>
      <c r="KI14" s="633">
        <v>0.86</v>
      </c>
      <c r="KJ14" s="635">
        <f>'Vtas Diarias 2021'!AIS15</f>
        <v>473295.12</v>
      </c>
      <c r="KK14" s="636">
        <f t="shared" si="132"/>
        <v>0.66857114645736626</v>
      </c>
      <c r="KL14" s="639">
        <v>547032.98</v>
      </c>
      <c r="KM14" s="1601">
        <f t="shared" si="133"/>
        <v>804138.48060000001</v>
      </c>
      <c r="KN14" s="1615">
        <v>1.47</v>
      </c>
      <c r="KO14" s="1602">
        <f>'Vtas Diarias 2021'!AJY15</f>
        <v>823635.54</v>
      </c>
      <c r="KP14" s="636">
        <f t="shared" si="134"/>
        <v>1.5056414697336897</v>
      </c>
      <c r="KQ14" s="639">
        <v>136597.69</v>
      </c>
      <c r="KR14" s="1601">
        <f t="shared" si="135"/>
        <v>129767.8055</v>
      </c>
      <c r="KS14" s="1616">
        <v>0.95</v>
      </c>
      <c r="KT14" s="1602">
        <f>'Vtas Diarias 2021'!ALE15</f>
        <v>131421.99</v>
      </c>
      <c r="KU14" s="636">
        <f t="shared" si="136"/>
        <v>0.9621099009800238</v>
      </c>
      <c r="KV14" s="1577">
        <f t="shared" si="137"/>
        <v>2364560.4074999997</v>
      </c>
      <c r="KW14" s="1577">
        <f t="shared" si="2"/>
        <v>2351996.5</v>
      </c>
      <c r="KX14" s="1578">
        <f t="shared" si="3"/>
        <v>2219273.0299999998</v>
      </c>
      <c r="KY14" s="959">
        <f t="shared" si="138"/>
        <v>0.94356986925788355</v>
      </c>
      <c r="KZ14" s="1508">
        <f t="shared" si="143"/>
        <v>9913363.6799999997</v>
      </c>
      <c r="LA14" s="811">
        <f t="shared" si="144"/>
        <v>8461071.8552000001</v>
      </c>
      <c r="LB14" s="1509">
        <f t="shared" si="139"/>
        <v>9913363.6799999997</v>
      </c>
      <c r="LC14" s="811">
        <f t="shared" si="140"/>
        <v>8344091.8499999996</v>
      </c>
      <c r="LD14" s="1575">
        <f t="shared" si="4"/>
        <v>-1569271.83</v>
      </c>
      <c r="LE14" s="1594">
        <f t="shared" si="141"/>
        <v>0.841701375975344</v>
      </c>
      <c r="LF14" s="1008">
        <f t="shared" si="145"/>
        <v>0.85350160937503305</v>
      </c>
    </row>
    <row r="15" spans="1:318" outlineLevel="1">
      <c r="A15" s="1495"/>
      <c r="B15" s="687" t="s">
        <v>18</v>
      </c>
      <c r="C15" s="645">
        <v>93021.67</v>
      </c>
      <c r="D15" s="639">
        <v>97672.75</v>
      </c>
      <c r="E15" s="633">
        <v>1.05</v>
      </c>
      <c r="F15" s="635">
        <v>77264.78</v>
      </c>
      <c r="G15" s="636">
        <f t="shared" si="5"/>
        <v>0.83061054483326302</v>
      </c>
      <c r="H15" s="639">
        <v>84153.75</v>
      </c>
      <c r="I15" s="639">
        <v>88361.44</v>
      </c>
      <c r="J15" s="633">
        <v>1.05</v>
      </c>
      <c r="K15" s="635">
        <v>59840.46</v>
      </c>
      <c r="L15" s="636">
        <f t="shared" si="6"/>
        <v>0.71108488926518421</v>
      </c>
      <c r="M15" s="639">
        <v>89329.12</v>
      </c>
      <c r="N15" s="639">
        <v>93795.57</v>
      </c>
      <c r="O15" s="633">
        <v>1.05</v>
      </c>
      <c r="P15" s="635">
        <v>61322.84</v>
      </c>
      <c r="Q15" s="636">
        <f t="shared" si="7"/>
        <v>0.68648207885625645</v>
      </c>
      <c r="R15" s="639">
        <v>93656.04</v>
      </c>
      <c r="S15" s="639">
        <v>98338.84</v>
      </c>
      <c r="T15" s="633">
        <v>1.05</v>
      </c>
      <c r="U15" s="635">
        <v>62052.79</v>
      </c>
      <c r="V15" s="636">
        <f t="shared" si="8"/>
        <v>0.66256047127339579</v>
      </c>
      <c r="W15" s="639">
        <f t="shared" si="0"/>
        <v>378168.6</v>
      </c>
      <c r="X15" s="639">
        <f t="shared" si="1"/>
        <v>360160.57999999996</v>
      </c>
      <c r="Y15" s="666">
        <f t="shared" si="9"/>
        <v>260480.87</v>
      </c>
      <c r="Z15" s="646">
        <f t="shared" si="10"/>
        <v>0.72323536906787533</v>
      </c>
      <c r="AA15" s="645">
        <v>95706.87</v>
      </c>
      <c r="AB15" s="639">
        <v>100492.21</v>
      </c>
      <c r="AC15" s="633">
        <v>1.05</v>
      </c>
      <c r="AD15" s="635">
        <v>70218.649999999994</v>
      </c>
      <c r="AE15" s="636">
        <f t="shared" si="11"/>
        <v>0.73368453069251971</v>
      </c>
      <c r="AF15" s="639">
        <v>123395.73</v>
      </c>
      <c r="AG15" s="639">
        <v>129565.51</v>
      </c>
      <c r="AH15" s="633">
        <v>1.05</v>
      </c>
      <c r="AI15" s="635">
        <v>83112.92</v>
      </c>
      <c r="AJ15" s="636">
        <f t="shared" si="12"/>
        <v>0.67354777997585491</v>
      </c>
      <c r="AK15" s="639">
        <v>88862.14</v>
      </c>
      <c r="AL15" s="639">
        <v>93305.25</v>
      </c>
      <c r="AM15" s="633">
        <v>1.05</v>
      </c>
      <c r="AN15" s="635">
        <v>53103.64</v>
      </c>
      <c r="AO15" s="636">
        <f t="shared" si="13"/>
        <v>0.59759578151055104</v>
      </c>
      <c r="AP15" s="639">
        <v>94488.97</v>
      </c>
      <c r="AQ15" s="639">
        <v>99213.42</v>
      </c>
      <c r="AR15" s="633">
        <v>1.05</v>
      </c>
      <c r="AS15" s="635">
        <v>54886.84</v>
      </c>
      <c r="AT15" s="636">
        <v>0.82</v>
      </c>
      <c r="AU15" s="639">
        <f t="shared" si="14"/>
        <v>422576.38999999996</v>
      </c>
      <c r="AV15" s="639">
        <f t="shared" si="15"/>
        <v>402453.70999999996</v>
      </c>
      <c r="AW15" s="778">
        <f t="shared" si="16"/>
        <v>261322.05000000002</v>
      </c>
      <c r="AX15" s="665">
        <f t="shared" si="17"/>
        <v>0.64932200525620709</v>
      </c>
      <c r="AY15" s="645">
        <v>99417.75</v>
      </c>
      <c r="AZ15" s="639">
        <v>104388.64</v>
      </c>
      <c r="BA15" s="633">
        <v>1.05</v>
      </c>
      <c r="BB15" s="635">
        <v>58020.73</v>
      </c>
      <c r="BC15" s="636">
        <f t="shared" si="18"/>
        <v>0.58360534210440296</v>
      </c>
      <c r="BD15" s="639">
        <v>100361.41</v>
      </c>
      <c r="BE15" s="639">
        <v>102368.64</v>
      </c>
      <c r="BF15" s="633">
        <v>1.02</v>
      </c>
      <c r="BG15" s="635">
        <v>59138.46</v>
      </c>
      <c r="BH15" s="636">
        <f t="shared" si="19"/>
        <v>0.58925497359991252</v>
      </c>
      <c r="BI15" s="639">
        <v>109253.08</v>
      </c>
      <c r="BJ15" s="639">
        <v>43701.23</v>
      </c>
      <c r="BK15" s="633">
        <v>0.4</v>
      </c>
      <c r="BL15" s="635">
        <v>76704.600000000006</v>
      </c>
      <c r="BM15" s="636">
        <f t="shared" si="20"/>
        <v>0.70208180858608293</v>
      </c>
      <c r="BN15" s="639">
        <v>112495.73</v>
      </c>
      <c r="BO15" s="639">
        <f t="shared" si="21"/>
        <v>73122.224499999997</v>
      </c>
      <c r="BP15" s="633">
        <v>0.65</v>
      </c>
      <c r="BQ15" s="635">
        <v>62443.82</v>
      </c>
      <c r="BR15" s="636">
        <f t="shared" si="22"/>
        <v>0.55507724604302766</v>
      </c>
      <c r="BS15" s="639">
        <v>109690.64</v>
      </c>
      <c r="BT15" s="639">
        <f t="shared" si="23"/>
        <v>71298.915999999997</v>
      </c>
      <c r="BU15" s="633">
        <v>0.65</v>
      </c>
      <c r="BV15" s="635">
        <v>74411.149999999994</v>
      </c>
      <c r="BW15" s="636">
        <f t="shared" si="24"/>
        <v>0.67837283108203206</v>
      </c>
      <c r="BX15" s="661">
        <f t="shared" si="25"/>
        <v>394879.65049999999</v>
      </c>
      <c r="BY15" s="661">
        <f t="shared" si="26"/>
        <v>531218.61</v>
      </c>
      <c r="BZ15" s="663">
        <f t="shared" si="27"/>
        <v>330718.76</v>
      </c>
      <c r="CA15" s="651">
        <f t="shared" si="28"/>
        <v>0.62256621619487318</v>
      </c>
      <c r="CB15" s="645">
        <v>102492.15</v>
      </c>
      <c r="CC15" s="639">
        <f t="shared" si="29"/>
        <v>84043.562999999995</v>
      </c>
      <c r="CD15" s="633">
        <v>0.82</v>
      </c>
      <c r="CE15" s="635">
        <v>81947.039999999994</v>
      </c>
      <c r="CF15" s="636">
        <f t="shared" si="30"/>
        <v>0.79954455048508588</v>
      </c>
      <c r="CG15" s="639">
        <v>117532.81</v>
      </c>
      <c r="CH15" s="639">
        <f t="shared" si="31"/>
        <v>88149.607499999998</v>
      </c>
      <c r="CI15" s="633">
        <v>0.75</v>
      </c>
      <c r="CJ15" s="635">
        <v>62552.44</v>
      </c>
      <c r="CK15" s="636">
        <f t="shared" si="32"/>
        <v>0.53221257961925694</v>
      </c>
      <c r="CL15" s="639">
        <v>141640.93</v>
      </c>
      <c r="CM15" s="639">
        <f t="shared" si="33"/>
        <v>99148.650999999983</v>
      </c>
      <c r="CN15" s="633">
        <v>0.7</v>
      </c>
      <c r="CO15" s="635">
        <v>49089.7</v>
      </c>
      <c r="CP15" s="636">
        <f t="shared" si="34"/>
        <v>0.34657849253037237</v>
      </c>
      <c r="CQ15" s="639">
        <v>138885.68</v>
      </c>
      <c r="CR15" s="639">
        <f t="shared" si="35"/>
        <v>34721.42</v>
      </c>
      <c r="CS15" s="633">
        <v>0.25</v>
      </c>
      <c r="CT15" s="635">
        <v>102031.32</v>
      </c>
      <c r="CU15" s="636">
        <f t="shared" si="36"/>
        <v>0.73464247717979281</v>
      </c>
      <c r="CV15" s="656">
        <f t="shared" si="37"/>
        <v>306063.2415</v>
      </c>
      <c r="CW15" s="656">
        <f t="shared" si="38"/>
        <v>500551.57</v>
      </c>
      <c r="CX15" s="657">
        <f t="shared" si="39"/>
        <v>295620.5</v>
      </c>
      <c r="CY15" s="654">
        <f t="shared" si="40"/>
        <v>0.59058949710216668</v>
      </c>
      <c r="CZ15" s="645">
        <v>159565.76000000001</v>
      </c>
      <c r="DA15" s="639">
        <f t="shared" si="41"/>
        <v>79782.880000000005</v>
      </c>
      <c r="DB15" s="633">
        <v>0.5</v>
      </c>
      <c r="DC15" s="635">
        <v>80182.02</v>
      </c>
      <c r="DD15" s="636">
        <f t="shared" si="42"/>
        <v>0.50250141383715408</v>
      </c>
      <c r="DE15" s="639">
        <v>118085.69</v>
      </c>
      <c r="DF15" s="639">
        <f t="shared" si="43"/>
        <v>70851.414000000004</v>
      </c>
      <c r="DG15" s="633">
        <v>0.6</v>
      </c>
      <c r="DH15" s="635">
        <v>98027.66</v>
      </c>
      <c r="DI15" s="636">
        <f t="shared" si="44"/>
        <v>0.83014004491145377</v>
      </c>
      <c r="DJ15" s="639">
        <v>108647.73</v>
      </c>
      <c r="DK15" s="639">
        <f t="shared" si="45"/>
        <v>65188.637999999992</v>
      </c>
      <c r="DL15" s="633">
        <v>0.6</v>
      </c>
      <c r="DM15" s="635">
        <v>68408.19</v>
      </c>
      <c r="DN15" s="636">
        <f t="shared" si="46"/>
        <v>0.62963294309048157</v>
      </c>
      <c r="DO15" s="639">
        <v>106212.25</v>
      </c>
      <c r="DP15" s="639">
        <f t="shared" si="47"/>
        <v>66874.731559762004</v>
      </c>
      <c r="DQ15" s="633">
        <v>0.62963294309048157</v>
      </c>
      <c r="DR15" s="635">
        <v>78188.58</v>
      </c>
      <c r="DS15" s="636">
        <f t="shared" si="48"/>
        <v>0.73615406885740586</v>
      </c>
      <c r="DT15" s="656">
        <f t="shared" si="49"/>
        <v>282697.663559762</v>
      </c>
      <c r="DU15" s="656">
        <f t="shared" si="50"/>
        <v>492511.43</v>
      </c>
      <c r="DV15" s="657">
        <f t="shared" si="51"/>
        <v>324806.45000000007</v>
      </c>
      <c r="DW15" s="654">
        <f t="shared" si="52"/>
        <v>0.65949017670513777</v>
      </c>
      <c r="DX15" s="645">
        <v>108335.06</v>
      </c>
      <c r="DY15" s="639">
        <f t="shared" si="53"/>
        <v>79751.295218911197</v>
      </c>
      <c r="DZ15" s="633">
        <v>0.73615406885740586</v>
      </c>
      <c r="EA15" s="635">
        <f>'Vtas Diarias 2021'!AG16</f>
        <v>73665.02</v>
      </c>
      <c r="EB15" s="636">
        <f t="shared" si="54"/>
        <v>0.67997396226115536</v>
      </c>
      <c r="EC15" s="639">
        <v>124081.82</v>
      </c>
      <c r="ED15" s="639">
        <f t="shared" si="55"/>
        <v>80653.183000000005</v>
      </c>
      <c r="EE15" s="633">
        <v>0.65</v>
      </c>
      <c r="EF15" s="635">
        <f>'Vtas Diarias 2021'!BM16</f>
        <v>80117.7</v>
      </c>
      <c r="EG15" s="636">
        <f t="shared" si="56"/>
        <v>0.64568443628567018</v>
      </c>
      <c r="EH15" s="639">
        <v>123219.95</v>
      </c>
      <c r="EI15" s="639">
        <f t="shared" si="57"/>
        <v>86253.964999999997</v>
      </c>
      <c r="EJ15" s="633">
        <v>0.7</v>
      </c>
      <c r="EK15" s="635">
        <f>'Vtas Diarias 2021'!CS16</f>
        <v>92434.15</v>
      </c>
      <c r="EL15" s="636">
        <f t="shared" si="58"/>
        <v>0.75015571747919063</v>
      </c>
      <c r="EM15" s="639">
        <v>112480.87</v>
      </c>
      <c r="EN15" s="639">
        <f t="shared" si="59"/>
        <v>78736.608999999997</v>
      </c>
      <c r="EO15" s="633">
        <v>0.7</v>
      </c>
      <c r="EP15" s="635">
        <f>'Vtas Diarias 2021'!DY16</f>
        <v>90004.22</v>
      </c>
      <c r="EQ15" s="636">
        <f t="shared" si="60"/>
        <v>0.8001735761823322</v>
      </c>
      <c r="ER15" s="639">
        <v>113002.93</v>
      </c>
      <c r="ES15" s="639">
        <f t="shared" si="61"/>
        <v>73451.904500000004</v>
      </c>
      <c r="ET15" s="633">
        <v>0.65</v>
      </c>
      <c r="EU15" s="635">
        <f>'Vtas Diarias 2021'!FE16</f>
        <v>94173.89</v>
      </c>
      <c r="EV15" s="636">
        <f t="shared" si="62"/>
        <v>0.83337564787036944</v>
      </c>
      <c r="EW15" s="661">
        <f t="shared" si="63"/>
        <v>398846.95671891118</v>
      </c>
      <c r="EX15" s="956">
        <f t="shared" si="64"/>
        <v>581120.63</v>
      </c>
      <c r="EY15" s="662">
        <f t="shared" si="65"/>
        <v>430394.98000000004</v>
      </c>
      <c r="EZ15" s="654">
        <f t="shared" si="66"/>
        <v>0.74062932510243185</v>
      </c>
      <c r="FA15" s="645">
        <v>108264.23</v>
      </c>
      <c r="FB15" s="639">
        <f t="shared" si="67"/>
        <v>75784.960999999996</v>
      </c>
      <c r="FC15" s="633">
        <v>0.7</v>
      </c>
      <c r="FD15" s="635">
        <f>'Vtas Diarias 2021'!GK16</f>
        <v>101465.25</v>
      </c>
      <c r="FE15" s="636">
        <f t="shared" si="68"/>
        <v>0.93720012602500391</v>
      </c>
      <c r="FF15" s="639">
        <v>124416.59</v>
      </c>
      <c r="FG15" s="639">
        <f t="shared" si="69"/>
        <v>94556.608399999997</v>
      </c>
      <c r="FH15" s="633">
        <v>0.76</v>
      </c>
      <c r="FI15" s="635">
        <f>'Vtas Diarias 2021'!HQ16</f>
        <v>90440.49</v>
      </c>
      <c r="FJ15" s="636">
        <f t="shared" si="70"/>
        <v>0.72691664351193042</v>
      </c>
      <c r="FK15" s="639">
        <v>112650.96</v>
      </c>
      <c r="FL15" s="639">
        <f t="shared" si="71"/>
        <v>88994.258400000006</v>
      </c>
      <c r="FM15" s="633">
        <v>0.79</v>
      </c>
      <c r="FN15" s="635">
        <f>'Vtas Diarias 2021'!IW16</f>
        <v>92492.65</v>
      </c>
      <c r="FO15" s="636">
        <f t="shared" si="72"/>
        <v>0.82105514236185817</v>
      </c>
      <c r="FP15" s="639">
        <v>104162.65</v>
      </c>
      <c r="FQ15" s="639">
        <f t="shared" si="73"/>
        <v>79163.614000000001</v>
      </c>
      <c r="FR15" s="633">
        <v>0.76</v>
      </c>
      <c r="FS15" s="635">
        <f>'Vtas Diarias 2021'!KC16</f>
        <v>82897.679999999993</v>
      </c>
      <c r="FT15" s="636">
        <f t="shared" si="74"/>
        <v>0.79584841591491762</v>
      </c>
      <c r="FU15" s="661">
        <f t="shared" si="75"/>
        <v>338499.44180000003</v>
      </c>
      <c r="FV15" s="661">
        <f t="shared" si="76"/>
        <v>449494.43000000005</v>
      </c>
      <c r="FW15" s="663">
        <f t="shared" si="77"/>
        <v>367296.06999999995</v>
      </c>
      <c r="FX15" s="651">
        <f t="shared" si="78"/>
        <v>0.81713152708032422</v>
      </c>
      <c r="FY15" s="645">
        <v>121778.12</v>
      </c>
      <c r="FZ15" s="639">
        <f t="shared" si="79"/>
        <v>91333.59</v>
      </c>
      <c r="GA15" s="633">
        <v>0.75</v>
      </c>
      <c r="GB15" s="635">
        <f>'Vtas Diarias 2021'!LI16</f>
        <v>89482.03</v>
      </c>
      <c r="GC15" s="636">
        <f t="shared" si="80"/>
        <v>0.73479562666922438</v>
      </c>
      <c r="GD15" s="639">
        <v>112146.73</v>
      </c>
      <c r="GE15" s="639">
        <f t="shared" si="81"/>
        <v>90838.851300000009</v>
      </c>
      <c r="GF15" s="633">
        <v>0.81</v>
      </c>
      <c r="GG15" s="635">
        <f>'Vtas Diarias 2021'!MO16</f>
        <v>83412.84</v>
      </c>
      <c r="GH15" s="636">
        <f t="shared" si="82"/>
        <v>0.74378307775893238</v>
      </c>
      <c r="GI15" s="639">
        <v>96666.66</v>
      </c>
      <c r="GJ15" s="639">
        <f t="shared" si="83"/>
        <v>77333.328000000009</v>
      </c>
      <c r="GK15" s="633">
        <v>0.8</v>
      </c>
      <c r="GL15" s="635">
        <f>'Vtas Diarias 2021'!NU16</f>
        <v>78108.72</v>
      </c>
      <c r="GM15" s="636">
        <f t="shared" si="84"/>
        <v>0.80802129710491699</v>
      </c>
      <c r="GN15" s="639">
        <v>94795.09</v>
      </c>
      <c r="GO15" s="639">
        <f t="shared" si="85"/>
        <v>69200.415699999998</v>
      </c>
      <c r="GP15" s="633">
        <v>0.73</v>
      </c>
      <c r="GQ15" s="635">
        <f>'Vtas Diarias 2021'!PA16</f>
        <v>101609.27999999998</v>
      </c>
      <c r="GR15" s="636">
        <f>GQ15/GN15</f>
        <v>1.0718833644231995</v>
      </c>
      <c r="GS15" s="661">
        <f t="shared" si="86"/>
        <v>328706.185</v>
      </c>
      <c r="GT15" s="661">
        <f t="shared" si="87"/>
        <v>425386.6</v>
      </c>
      <c r="GU15" s="662">
        <f t="shared" si="88"/>
        <v>352612.87</v>
      </c>
      <c r="GV15" s="1598">
        <f t="shared" si="89"/>
        <v>0.82892331352233473</v>
      </c>
      <c r="GW15" s="645">
        <v>101141</v>
      </c>
      <c r="GX15" s="639">
        <f t="shared" si="90"/>
        <v>76867.16</v>
      </c>
      <c r="GY15" s="633">
        <v>0.76</v>
      </c>
      <c r="GZ15" s="635">
        <f>'Vtas Diarias 2021'!QG16</f>
        <v>93873.04</v>
      </c>
      <c r="HA15" s="636">
        <f t="shared" si="91"/>
        <v>0.92814031896065885</v>
      </c>
      <c r="HB15" s="639">
        <v>95774.96</v>
      </c>
      <c r="HC15" s="639">
        <f t="shared" si="92"/>
        <v>76619.968000000008</v>
      </c>
      <c r="HD15" s="633">
        <v>0.8</v>
      </c>
      <c r="HE15" s="635">
        <f>'Vtas Diarias 2021'!RM16</f>
        <v>77345.510000000009</v>
      </c>
      <c r="HF15" s="636">
        <f t="shared" si="93"/>
        <v>0.80757548737164708</v>
      </c>
      <c r="HG15" s="639">
        <v>86340.73</v>
      </c>
      <c r="HH15" s="639">
        <f t="shared" si="94"/>
        <v>67345.769400000005</v>
      </c>
      <c r="HI15" s="633">
        <v>0.78</v>
      </c>
      <c r="HJ15" s="635">
        <f>'Vtas Diarias 2021'!SS16</f>
        <v>84118.430000000008</v>
      </c>
      <c r="HK15" s="636">
        <f t="shared" si="95"/>
        <v>0.97426127854142552</v>
      </c>
      <c r="HL15" s="639">
        <v>91243.92</v>
      </c>
      <c r="HM15" s="639">
        <f t="shared" si="96"/>
        <v>69345.379199999996</v>
      </c>
      <c r="HN15" s="633">
        <v>0.76</v>
      </c>
      <c r="HO15" s="635">
        <f>'Vtas Diarias 2021'!TY16</f>
        <v>68036.160000000003</v>
      </c>
      <c r="HP15" s="636">
        <f t="shared" si="97"/>
        <v>0.74565143628200103</v>
      </c>
      <c r="HQ15" s="639">
        <v>91435.29</v>
      </c>
      <c r="HR15" s="639">
        <f t="shared" si="98"/>
        <v>69490.820399999997</v>
      </c>
      <c r="HS15" s="633">
        <v>0.76</v>
      </c>
      <c r="HT15" s="635">
        <f>'Vtas Diarias 2021'!VE16</f>
        <v>72603.78</v>
      </c>
      <c r="HU15" s="636">
        <f t="shared" si="99"/>
        <v>0.79404549381316558</v>
      </c>
      <c r="HV15" s="661">
        <f t="shared" si="100"/>
        <v>359669.09699999995</v>
      </c>
      <c r="HW15" s="661">
        <f t="shared" si="101"/>
        <v>465935.89999999997</v>
      </c>
      <c r="HX15" s="663">
        <f t="shared" si="102"/>
        <v>395976.92</v>
      </c>
      <c r="HY15" s="651">
        <f t="shared" si="103"/>
        <v>0.84985278017856103</v>
      </c>
      <c r="HZ15" s="645">
        <v>81270.38</v>
      </c>
      <c r="IA15" s="639">
        <f>HZ15*IB15</f>
        <v>64203.600200000008</v>
      </c>
      <c r="IB15" s="633">
        <v>0.79</v>
      </c>
      <c r="IC15" s="635">
        <f>'Vtas Diarias 2021'!WK16</f>
        <v>78314.89</v>
      </c>
      <c r="ID15" s="636">
        <f t="shared" si="142"/>
        <v>0.96363386020835629</v>
      </c>
      <c r="IE15" s="639">
        <v>105627.51</v>
      </c>
      <c r="IF15" s="639">
        <f>IE15*IG15</f>
        <v>85558.283100000001</v>
      </c>
      <c r="IG15" s="633">
        <v>0.81</v>
      </c>
      <c r="IH15" s="635">
        <f>'Vtas Diarias 2021'!XQ16</f>
        <v>76152.319999999992</v>
      </c>
      <c r="II15" s="636">
        <f t="shared" si="106"/>
        <v>0.72095157786072961</v>
      </c>
      <c r="IJ15" s="639">
        <v>107079.67</v>
      </c>
      <c r="IK15" s="639">
        <f>IJ15*IL15</f>
        <v>89946.9228</v>
      </c>
      <c r="IL15" s="633">
        <v>0.84</v>
      </c>
      <c r="IM15" s="635">
        <f>'Vtas Diarias 2021'!YW16</f>
        <v>90472.86</v>
      </c>
      <c r="IN15" s="636">
        <f t="shared" si="108"/>
        <v>0.84491164382557404</v>
      </c>
      <c r="IO15" s="639">
        <v>153520.97</v>
      </c>
      <c r="IP15" s="639">
        <f>IO15*IQ15</f>
        <v>133563.2439</v>
      </c>
      <c r="IQ15" s="633">
        <v>0.87</v>
      </c>
      <c r="IR15" s="635">
        <f>'Vtas Diarias 2021'!AAC16</f>
        <v>141244.76999999999</v>
      </c>
      <c r="IS15" s="636">
        <f t="shared" si="110"/>
        <v>0.92003567981624912</v>
      </c>
      <c r="IT15" s="1577">
        <f t="shared" si="111"/>
        <v>373272.05</v>
      </c>
      <c r="IU15" s="1577">
        <f t="shared" si="112"/>
        <v>447498.53</v>
      </c>
      <c r="IV15" s="1578">
        <f t="shared" si="113"/>
        <v>386184.83999999997</v>
      </c>
      <c r="IW15" s="654">
        <f t="shared" si="114"/>
        <v>0.86298571751732889</v>
      </c>
      <c r="IX15" s="645">
        <v>103864.61</v>
      </c>
      <c r="IY15" s="639">
        <f>IX15*IZ15</f>
        <v>90362.210699999996</v>
      </c>
      <c r="IZ15" s="633">
        <v>0.87</v>
      </c>
      <c r="JA15" s="635">
        <f>'Vtas Diarias 2021'!ABI16</f>
        <v>96795.16</v>
      </c>
      <c r="JB15" s="636">
        <f t="shared" si="116"/>
        <v>0.93193591156795375</v>
      </c>
      <c r="JC15" s="639">
        <v>122498.23</v>
      </c>
      <c r="JD15" s="639">
        <f>JC15*JE15</f>
        <v>110248.40699999999</v>
      </c>
      <c r="JE15" s="633">
        <v>0.9</v>
      </c>
      <c r="JF15" s="635">
        <f>'Vtas Diarias 2021'!ACO16</f>
        <v>94649.07</v>
      </c>
      <c r="JG15" s="636">
        <f t="shared" si="118"/>
        <v>0.77265663348768399</v>
      </c>
      <c r="JH15" s="639">
        <v>152656.26</v>
      </c>
      <c r="JI15" s="639">
        <f>JH15*JJ15</f>
        <v>137390.63400000002</v>
      </c>
      <c r="JJ15" s="633">
        <v>0.9</v>
      </c>
      <c r="JK15" s="635">
        <f>'Vtas Diarias 2021'!ADU16</f>
        <v>105248.09</v>
      </c>
      <c r="JL15" s="636">
        <f t="shared" si="120"/>
        <v>0.6894449660957237</v>
      </c>
      <c r="JM15" s="639">
        <v>135485.01999999999</v>
      </c>
      <c r="JN15" s="639">
        <f>JM15*JO15</f>
        <v>108388.016</v>
      </c>
      <c r="JO15" s="633">
        <v>0.8</v>
      </c>
      <c r="JP15" s="635">
        <f>'Vtas Diarias 2021'!AFA16</f>
        <v>105001.85</v>
      </c>
      <c r="JQ15" s="636">
        <f t="shared" si="122"/>
        <v>0.77500708196374779</v>
      </c>
      <c r="JR15" s="636">
        <f t="shared" si="122"/>
        <v>7.15030231722064E-6</v>
      </c>
      <c r="JS15" s="1577">
        <f t="shared" si="123"/>
        <v>446389.26770000003</v>
      </c>
      <c r="JT15" s="1577">
        <f t="shared" si="124"/>
        <v>514504.12</v>
      </c>
      <c r="JU15" s="1582">
        <f t="shared" si="125"/>
        <v>401694.17</v>
      </c>
      <c r="JV15" s="651">
        <f t="shared" si="126"/>
        <v>0.78074043410964322</v>
      </c>
      <c r="JW15" s="645">
        <v>207250.54</v>
      </c>
      <c r="JX15" s="639">
        <f>JW15*JY15</f>
        <v>155437.905</v>
      </c>
      <c r="JY15" s="633">
        <v>0.75</v>
      </c>
      <c r="JZ15" s="635">
        <f>'Vtas Diarias 2021'!AGG16</f>
        <v>159381.39000000001</v>
      </c>
      <c r="KA15" s="636">
        <f t="shared" si="128"/>
        <v>0.7690276223164485</v>
      </c>
      <c r="KB15" s="639">
        <v>221890.38</v>
      </c>
      <c r="KC15" s="639">
        <f>KB15*KD15</f>
        <v>166417.785</v>
      </c>
      <c r="KD15" s="633">
        <v>0.75</v>
      </c>
      <c r="KE15" s="635">
        <f>'Vtas Diarias 2021'!AHM16</f>
        <v>182811.68</v>
      </c>
      <c r="KF15" s="636">
        <f t="shared" si="130"/>
        <v>0.82388285603008116</v>
      </c>
      <c r="KG15" s="639">
        <v>529448.23</v>
      </c>
      <c r="KH15" s="639">
        <f>KG15*KI15</f>
        <v>397086.17249999999</v>
      </c>
      <c r="KI15" s="633">
        <v>0.75</v>
      </c>
      <c r="KJ15" s="635">
        <f>'Vtas Diarias 2021'!AIS16</f>
        <v>236084.42</v>
      </c>
      <c r="KK15" s="636">
        <f t="shared" si="132"/>
        <v>0.44590652423184041</v>
      </c>
      <c r="KL15" s="639">
        <v>336184.14</v>
      </c>
      <c r="KM15" s="1601">
        <f>KL15*KN15</f>
        <v>433677.54060000001</v>
      </c>
      <c r="KN15" s="1615">
        <v>1.29</v>
      </c>
      <c r="KO15" s="1602">
        <f>'Vtas Diarias 2021'!AJY16</f>
        <v>387460.71</v>
      </c>
      <c r="KP15" s="636">
        <f t="shared" si="134"/>
        <v>1.1525252500013832</v>
      </c>
      <c r="KQ15" s="639">
        <v>107939.88</v>
      </c>
      <c r="KR15" s="1601">
        <f>KQ15*KS15</f>
        <v>91748.898000000001</v>
      </c>
      <c r="KS15" s="1616">
        <v>0.85</v>
      </c>
      <c r="KT15" s="1602">
        <f>'Vtas Diarias 2021'!ALE16</f>
        <v>96837.75</v>
      </c>
      <c r="KU15" s="636">
        <f t="shared" si="136"/>
        <v>0.89714524418593011</v>
      </c>
      <c r="KV15" s="1577">
        <f t="shared" si="137"/>
        <v>1244368.3011</v>
      </c>
      <c r="KW15" s="1577">
        <f t="shared" si="2"/>
        <v>1402713.17</v>
      </c>
      <c r="KX15" s="1578">
        <f t="shared" si="3"/>
        <v>1062575.9500000002</v>
      </c>
      <c r="KY15" s="959">
        <f t="shared" si="138"/>
        <v>0.75751477402896294</v>
      </c>
      <c r="KZ15" s="1508">
        <f t="shared" si="143"/>
        <v>6573549.2799999993</v>
      </c>
      <c r="LA15" s="811">
        <f t="shared" si="144"/>
        <v>5046951.2658000002</v>
      </c>
      <c r="LB15" s="1509">
        <f t="shared" si="139"/>
        <v>6573549.2800000003</v>
      </c>
      <c r="LC15" s="811">
        <f t="shared" si="140"/>
        <v>4869684.43</v>
      </c>
      <c r="LD15" s="1575">
        <f t="shared" si="4"/>
        <v>-1703864.8500000006</v>
      </c>
      <c r="LE15" s="1594">
        <f t="shared" si="141"/>
        <v>0.74079986664373199</v>
      </c>
      <c r="LF15" s="1008">
        <f t="shared" si="145"/>
        <v>0.76776655210531874</v>
      </c>
    </row>
    <row r="16" spans="1:318" outlineLevel="1">
      <c r="A16" s="1495">
        <f>DP14*0.8</f>
        <v>90510.301113050911</v>
      </c>
      <c r="B16" s="687" t="s">
        <v>19</v>
      </c>
      <c r="C16" s="645">
        <v>37817.599999999999</v>
      </c>
      <c r="D16" s="639">
        <v>151270.39000000001</v>
      </c>
      <c r="E16" s="633">
        <v>4</v>
      </c>
      <c r="F16" s="635">
        <v>69323.11</v>
      </c>
      <c r="G16" s="636">
        <f t="shared" si="5"/>
        <v>1.8330912062108649</v>
      </c>
      <c r="H16" s="639">
        <v>47452.04</v>
      </c>
      <c r="I16" s="639">
        <v>189808.17</v>
      </c>
      <c r="J16" s="633">
        <v>4</v>
      </c>
      <c r="K16" s="635">
        <v>46577.63</v>
      </c>
      <c r="L16" s="636">
        <f t="shared" si="6"/>
        <v>0.98157276273053795</v>
      </c>
      <c r="M16" s="639">
        <v>35778.870000000003</v>
      </c>
      <c r="N16" s="639">
        <v>143115.5</v>
      </c>
      <c r="O16" s="633">
        <v>4</v>
      </c>
      <c r="P16" s="635">
        <v>54813.97</v>
      </c>
      <c r="Q16" s="636">
        <f t="shared" si="7"/>
        <v>1.5320207150197866</v>
      </c>
      <c r="R16" s="639">
        <v>43576.46</v>
      </c>
      <c r="S16" s="639">
        <v>130729.37</v>
      </c>
      <c r="T16" s="633">
        <v>3</v>
      </c>
      <c r="U16" s="635">
        <v>62325.1</v>
      </c>
      <c r="V16" s="636">
        <f t="shared" si="8"/>
        <v>1.4302469727921909</v>
      </c>
      <c r="W16" s="639">
        <f t="shared" si="0"/>
        <v>614923.43000000005</v>
      </c>
      <c r="X16" s="639">
        <f t="shared" si="1"/>
        <v>164624.97</v>
      </c>
      <c r="Y16" s="666">
        <f t="shared" si="9"/>
        <v>233039.81</v>
      </c>
      <c r="Z16" s="646">
        <f t="shared" si="10"/>
        <v>1.4155799694299109</v>
      </c>
      <c r="AA16" s="645">
        <v>36693.550000000003</v>
      </c>
      <c r="AB16" s="639">
        <v>73387.100000000006</v>
      </c>
      <c r="AC16" s="633">
        <v>2</v>
      </c>
      <c r="AD16" s="635">
        <v>99709.04</v>
      </c>
      <c r="AE16" s="636">
        <f t="shared" si="11"/>
        <v>2.7173451464903229</v>
      </c>
      <c r="AF16" s="639">
        <v>48403.94</v>
      </c>
      <c r="AG16" s="639">
        <v>96807.88</v>
      </c>
      <c r="AH16" s="633">
        <v>2</v>
      </c>
      <c r="AI16" s="635">
        <v>114111.83</v>
      </c>
      <c r="AJ16" s="636">
        <f t="shared" si="12"/>
        <v>2.357490526597628</v>
      </c>
      <c r="AK16" s="639">
        <v>39454.959999999999</v>
      </c>
      <c r="AL16" s="639">
        <v>78909.919999999998</v>
      </c>
      <c r="AM16" s="633">
        <v>2</v>
      </c>
      <c r="AN16" s="635">
        <v>71546.34</v>
      </c>
      <c r="AO16" s="636">
        <f t="shared" si="13"/>
        <v>1.813367444802884</v>
      </c>
      <c r="AP16" s="639">
        <v>50088.21</v>
      </c>
      <c r="AQ16" s="639">
        <v>100176.42</v>
      </c>
      <c r="AR16" s="633">
        <v>2</v>
      </c>
      <c r="AS16" s="635">
        <v>88165.05</v>
      </c>
      <c r="AT16" s="636">
        <v>3.25</v>
      </c>
      <c r="AU16" s="639">
        <f t="shared" si="14"/>
        <v>349281.32</v>
      </c>
      <c r="AV16" s="639">
        <f t="shared" si="15"/>
        <v>174640.66</v>
      </c>
      <c r="AW16" s="778">
        <f t="shared" si="16"/>
        <v>373532.25999999995</v>
      </c>
      <c r="AX16" s="665">
        <f t="shared" si="17"/>
        <v>2.1388619351301119</v>
      </c>
      <c r="AY16" s="645">
        <v>39811.9</v>
      </c>
      <c r="AZ16" s="639">
        <v>79623.8</v>
      </c>
      <c r="BA16" s="633">
        <v>2</v>
      </c>
      <c r="BB16" s="635">
        <v>85413.4</v>
      </c>
      <c r="BC16" s="636">
        <f t="shared" si="18"/>
        <v>2.1454238556813414</v>
      </c>
      <c r="BD16" s="639">
        <v>40918.61</v>
      </c>
      <c r="BE16" s="639">
        <v>81837.210000000006</v>
      </c>
      <c r="BF16" s="633">
        <v>2</v>
      </c>
      <c r="BG16" s="635">
        <v>71795.19</v>
      </c>
      <c r="BH16" s="636">
        <f t="shared" si="19"/>
        <v>1.7545852608385279</v>
      </c>
      <c r="BI16" s="639">
        <v>56359.45</v>
      </c>
      <c r="BJ16" s="639">
        <v>22543.78</v>
      </c>
      <c r="BK16" s="633">
        <v>0.4</v>
      </c>
      <c r="BL16" s="635">
        <v>93270.93</v>
      </c>
      <c r="BM16" s="636">
        <f t="shared" si="20"/>
        <v>1.6549297411525485</v>
      </c>
      <c r="BN16" s="639">
        <v>49157.95</v>
      </c>
      <c r="BO16" s="639">
        <f t="shared" si="21"/>
        <v>79144.299499999994</v>
      </c>
      <c r="BP16" s="633">
        <v>1.61</v>
      </c>
      <c r="BQ16" s="635">
        <v>78816.88</v>
      </c>
      <c r="BR16" s="636">
        <f t="shared" si="22"/>
        <v>1.6033394395006304</v>
      </c>
      <c r="BS16" s="639">
        <v>50103.839999999997</v>
      </c>
      <c r="BT16" s="639">
        <f t="shared" si="23"/>
        <v>80667.182400000005</v>
      </c>
      <c r="BU16" s="633">
        <v>1.61</v>
      </c>
      <c r="BV16" s="635">
        <v>91501.94</v>
      </c>
      <c r="BW16" s="636">
        <f t="shared" si="24"/>
        <v>1.8262460521987938</v>
      </c>
      <c r="BX16" s="661">
        <f t="shared" si="25"/>
        <v>343816.27189999999</v>
      </c>
      <c r="BY16" s="661">
        <f t="shared" si="26"/>
        <v>236351.75</v>
      </c>
      <c r="BZ16" s="663">
        <f t="shared" si="27"/>
        <v>420798.33999999997</v>
      </c>
      <c r="CA16" s="651">
        <f t="shared" si="28"/>
        <v>1.7803902023149816</v>
      </c>
      <c r="CB16" s="645">
        <v>62189.19</v>
      </c>
      <c r="CC16" s="639">
        <f t="shared" si="29"/>
        <v>100124.59590000001</v>
      </c>
      <c r="CD16" s="633">
        <v>1.61</v>
      </c>
      <c r="CE16" s="635">
        <v>87186.45</v>
      </c>
      <c r="CF16" s="636">
        <f t="shared" si="30"/>
        <v>1.4019550664673393</v>
      </c>
      <c r="CG16" s="639">
        <v>63464.5</v>
      </c>
      <c r="CH16" s="639">
        <f t="shared" si="31"/>
        <v>88850.299999999988</v>
      </c>
      <c r="CI16" s="633">
        <v>1.4</v>
      </c>
      <c r="CJ16" s="635">
        <v>74821.100000000006</v>
      </c>
      <c r="CK16" s="636">
        <f t="shared" si="32"/>
        <v>1.178944134122226</v>
      </c>
      <c r="CL16" s="639">
        <v>74587.789999999994</v>
      </c>
      <c r="CM16" s="639">
        <f t="shared" si="33"/>
        <v>82046.569000000003</v>
      </c>
      <c r="CN16" s="633">
        <v>1.1000000000000001</v>
      </c>
      <c r="CO16" s="635">
        <v>54618.57</v>
      </c>
      <c r="CP16" s="636">
        <f t="shared" si="34"/>
        <v>0.73227226601029483</v>
      </c>
      <c r="CQ16" s="639">
        <v>83528.27</v>
      </c>
      <c r="CR16" s="639">
        <f t="shared" si="35"/>
        <v>33411.308000000005</v>
      </c>
      <c r="CS16" s="633">
        <v>0.4</v>
      </c>
      <c r="CT16" s="635">
        <v>88591.92</v>
      </c>
      <c r="CU16" s="636">
        <f t="shared" si="36"/>
        <v>1.0606219906146745</v>
      </c>
      <c r="CV16" s="656">
        <f t="shared" si="37"/>
        <v>304432.77289999998</v>
      </c>
      <c r="CW16" s="656">
        <f t="shared" si="38"/>
        <v>283769.75</v>
      </c>
      <c r="CX16" s="657">
        <f t="shared" si="39"/>
        <v>305218.04000000004</v>
      </c>
      <c r="CY16" s="654">
        <f t="shared" si="40"/>
        <v>1.0755834263518222</v>
      </c>
      <c r="CZ16" s="645">
        <v>72173.61</v>
      </c>
      <c r="DA16" s="639">
        <f t="shared" si="41"/>
        <v>93825.692999999999</v>
      </c>
      <c r="DB16" s="633">
        <v>1.3</v>
      </c>
      <c r="DC16" s="635">
        <v>104994.21</v>
      </c>
      <c r="DD16" s="636">
        <f t="shared" si="42"/>
        <v>1.4547451623938445</v>
      </c>
      <c r="DE16" s="639">
        <v>61084.13</v>
      </c>
      <c r="DF16" s="639">
        <f t="shared" si="43"/>
        <v>61084.13</v>
      </c>
      <c r="DG16" s="633">
        <v>1</v>
      </c>
      <c r="DH16" s="635">
        <v>108506.47</v>
      </c>
      <c r="DI16" s="636">
        <f t="shared" si="44"/>
        <v>1.7763446905112672</v>
      </c>
      <c r="DJ16" s="639">
        <v>47732.97</v>
      </c>
      <c r="DK16" s="639">
        <f t="shared" si="45"/>
        <v>57279.563999999998</v>
      </c>
      <c r="DL16" s="633">
        <v>1.2</v>
      </c>
      <c r="DM16" s="635">
        <v>102965.48</v>
      </c>
      <c r="DN16" s="636">
        <f t="shared" si="46"/>
        <v>2.1571144640695938</v>
      </c>
      <c r="DO16" s="639">
        <v>36009.97</v>
      </c>
      <c r="DP16" s="639">
        <f>DO16*DQ16</f>
        <v>77677.627137712159</v>
      </c>
      <c r="DQ16" s="633">
        <v>2.1571144640695938</v>
      </c>
      <c r="DR16" s="635">
        <v>105440.3</v>
      </c>
      <c r="DS16" s="636">
        <f t="shared" si="48"/>
        <v>2.9280863049872021</v>
      </c>
      <c r="DT16" s="656">
        <f t="shared" si="49"/>
        <v>289867.01413771219</v>
      </c>
      <c r="DU16" s="656">
        <f t="shared" si="50"/>
        <v>217000.68</v>
      </c>
      <c r="DV16" s="657">
        <f t="shared" si="51"/>
        <v>421906.45999999996</v>
      </c>
      <c r="DW16" s="654">
        <f t="shared" si="52"/>
        <v>1.9442633082993104</v>
      </c>
      <c r="DX16" s="645">
        <v>4248.16</v>
      </c>
      <c r="DY16" s="639">
        <f>DY14*0.8</f>
        <v>119923.73044839709</v>
      </c>
      <c r="DZ16" s="633">
        <v>2.9280863049872021</v>
      </c>
      <c r="EA16" s="635">
        <f>'Vtas Diarias 2021'!AG17</f>
        <v>112151.54</v>
      </c>
      <c r="EB16" s="636">
        <f t="shared" si="54"/>
        <v>26.400027305939513</v>
      </c>
      <c r="EC16" s="639">
        <v>0</v>
      </c>
      <c r="ED16" s="639">
        <f>ED14*0.8</f>
        <v>106096.7936</v>
      </c>
      <c r="EE16" s="633">
        <v>26.400027305939513</v>
      </c>
      <c r="EF16" s="635">
        <f>'Vtas Diarias 2021'!BM17</f>
        <v>107145.62999999999</v>
      </c>
      <c r="EG16" s="636">
        <f>EF16/ED16</f>
        <v>1.0098856559601062</v>
      </c>
      <c r="EH16" s="639">
        <v>0</v>
      </c>
      <c r="EI16" s="639">
        <f>EI14*0.8</f>
        <v>110091.60399999999</v>
      </c>
      <c r="EJ16" s="633">
        <v>1.7</v>
      </c>
      <c r="EK16" s="635">
        <f>'Vtas Diarias 2021'!CS17</f>
        <v>123918.9</v>
      </c>
      <c r="EL16" s="636">
        <f>EK16/EI16</f>
        <v>1.1255980973807957</v>
      </c>
      <c r="EM16" s="639">
        <v>0</v>
      </c>
      <c r="EN16" s="639">
        <f>EN14*0.8</f>
        <v>109635.88159999999</v>
      </c>
      <c r="EO16" s="633">
        <v>1.61</v>
      </c>
      <c r="EP16" s="635">
        <f>'Vtas Diarias 2021'!DY17</f>
        <v>97519.76999999999</v>
      </c>
      <c r="EQ16" s="1340">
        <f>EP16/EN16</f>
        <v>0.889487716765895</v>
      </c>
      <c r="ER16" s="639">
        <v>0</v>
      </c>
      <c r="ES16" s="639">
        <f>ES14*0.8</f>
        <v>100996.4592</v>
      </c>
      <c r="ET16" s="633">
        <v>1.61</v>
      </c>
      <c r="EU16" s="635">
        <f>'Vtas Diarias 2021'!FE17</f>
        <v>115750.87</v>
      </c>
      <c r="EV16" s="636">
        <f>EU16/ES16</f>
        <v>1.146088396730645</v>
      </c>
      <c r="EW16" s="661">
        <f t="shared" si="63"/>
        <v>546744.46884839714</v>
      </c>
      <c r="EX16" s="956">
        <f t="shared" si="64"/>
        <v>4248.16</v>
      </c>
      <c r="EY16" s="662">
        <f t="shared" si="65"/>
        <v>556486.71</v>
      </c>
      <c r="EZ16" s="654">
        <f>EY16/EW16</f>
        <v>1.0178186368709368</v>
      </c>
      <c r="FA16" s="645">
        <v>0</v>
      </c>
      <c r="FB16" s="639">
        <f>FB14*0.8</f>
        <v>112832.18400000001</v>
      </c>
      <c r="FC16" s="633">
        <v>0.85</v>
      </c>
      <c r="FD16" s="635">
        <f>'Vtas Diarias 2021'!GK17</f>
        <v>117971.01000000001</v>
      </c>
      <c r="FE16" s="636">
        <f>FD16/FB16</f>
        <v>1.0455439735173433</v>
      </c>
      <c r="FF16" s="639">
        <v>0</v>
      </c>
      <c r="FG16" s="639">
        <f>FG14*0.8</f>
        <v>102002.11104</v>
      </c>
      <c r="FH16" s="633">
        <v>0.85</v>
      </c>
      <c r="FI16" s="635">
        <f>'Vtas Diarias 2021'!HQ17</f>
        <v>102807.07</v>
      </c>
      <c r="FJ16" s="636">
        <f>FI16/FG16</f>
        <v>1.0078915911817192</v>
      </c>
      <c r="FK16" s="639">
        <v>0</v>
      </c>
      <c r="FL16" s="639">
        <f>FL14*0.8</f>
        <v>112486.77344</v>
      </c>
      <c r="FM16" s="633">
        <v>0.79</v>
      </c>
      <c r="FN16" s="635">
        <f>'Vtas Diarias 2021'!IW17</f>
        <v>99439.9</v>
      </c>
      <c r="FO16" s="636">
        <f>FN16/FL16</f>
        <v>0.88401415525569182</v>
      </c>
      <c r="FP16" s="639">
        <v>0</v>
      </c>
      <c r="FQ16" s="639">
        <f>FQ14*0.8</f>
        <v>119906.73695999999</v>
      </c>
      <c r="FR16" s="633">
        <v>0.76</v>
      </c>
      <c r="FS16" s="635">
        <f>'Vtas Diarias 2021'!KC17</f>
        <v>100453.23999999999</v>
      </c>
      <c r="FT16" s="636">
        <f>FS16/FQ16</f>
        <v>0.83776143481838261</v>
      </c>
      <c r="FU16" s="661">
        <f t="shared" si="75"/>
        <v>447227.80544000003</v>
      </c>
      <c r="FV16" s="661">
        <f t="shared" si="76"/>
        <v>0</v>
      </c>
      <c r="FW16" s="663">
        <f t="shared" si="77"/>
        <v>420671.22000000003</v>
      </c>
      <c r="FX16" s="651">
        <f>IFERROR(FW16/FU16,0)</f>
        <v>0.94061955648336182</v>
      </c>
      <c r="FY16" s="645">
        <v>0</v>
      </c>
      <c r="FZ16" s="639">
        <f>FZ14*0.8</f>
        <v>97339.858079999991</v>
      </c>
      <c r="GA16" s="633">
        <v>0.75</v>
      </c>
      <c r="GB16" s="635">
        <f>'Vtas Diarias 2021'!LI17</f>
        <v>109197.55</v>
      </c>
      <c r="GC16" s="636">
        <f>GB16/FZ16</f>
        <v>1.1218174358776507</v>
      </c>
      <c r="GD16" s="639">
        <v>30823.119999999999</v>
      </c>
      <c r="GE16" s="639">
        <f>GE14*0.8</f>
        <v>118448.94792000001</v>
      </c>
      <c r="GF16" s="633">
        <v>0.81</v>
      </c>
      <c r="GG16" s="635">
        <f>'Vtas Diarias 2021'!MO17</f>
        <v>109007.63</v>
      </c>
      <c r="GH16" s="636">
        <f>GG16/GE16</f>
        <v>0.92029209135418721</v>
      </c>
      <c r="GI16" s="639">
        <v>250560.15</v>
      </c>
      <c r="GJ16" s="639">
        <f>GJ14*0.8</f>
        <v>117207.37720000002</v>
      </c>
      <c r="GK16" s="633">
        <v>0.8</v>
      </c>
      <c r="GL16" s="635">
        <f>'Vtas Diarias 2021'!NU17</f>
        <v>94026.5</v>
      </c>
      <c r="GM16" s="808">
        <f t="shared" si="84"/>
        <v>0.37526518083581928</v>
      </c>
      <c r="GN16" s="639">
        <v>216881.94</v>
      </c>
      <c r="GO16" s="639">
        <f>GO14*0.8</f>
        <v>102103.46240000002</v>
      </c>
      <c r="GP16" s="633">
        <v>0.73</v>
      </c>
      <c r="GQ16" s="635">
        <f>'Vtas Diarias 2021'!PA17</f>
        <v>102123.45000000001</v>
      </c>
      <c r="GR16" s="636">
        <f>GQ16/GN16</f>
        <v>0.47087115690684073</v>
      </c>
      <c r="GS16" s="661">
        <f t="shared" si="86"/>
        <v>435099.64559999999</v>
      </c>
      <c r="GT16" s="661">
        <f t="shared" si="87"/>
        <v>498265.21</v>
      </c>
      <c r="GU16" s="662">
        <f t="shared" si="88"/>
        <v>414355.13</v>
      </c>
      <c r="GV16" s="1598">
        <f t="shared" si="89"/>
        <v>0.83159554727892804</v>
      </c>
      <c r="GW16" s="645">
        <v>219659</v>
      </c>
      <c r="GX16" s="639">
        <f>GX14*0.8</f>
        <v>105464.448</v>
      </c>
      <c r="GY16" s="633">
        <v>0.76</v>
      </c>
      <c r="GZ16" s="635">
        <f>'Vtas Diarias 2021'!QG17</f>
        <v>104158.36</v>
      </c>
      <c r="HA16" s="636">
        <f t="shared" si="91"/>
        <v>0.47418207312243066</v>
      </c>
      <c r="HB16" s="639">
        <v>254701.11</v>
      </c>
      <c r="HC16" s="639">
        <f>HC14*0.8</f>
        <v>96535.016800000012</v>
      </c>
      <c r="HD16" s="633">
        <v>0.78</v>
      </c>
      <c r="HE16" s="635">
        <f>'Vtas Diarias 2021'!RM17</f>
        <v>78966.06</v>
      </c>
      <c r="HF16" s="636">
        <f t="shared" si="93"/>
        <v>0.31003422010999482</v>
      </c>
      <c r="HG16" s="639">
        <v>194393.86</v>
      </c>
      <c r="HH16" s="639">
        <f>HH14*0.8</f>
        <v>89387.659200000009</v>
      </c>
      <c r="HI16" s="633">
        <v>0.77</v>
      </c>
      <c r="HJ16" s="635">
        <f>'Vtas Diarias 2021'!SS17</f>
        <v>77745.790000000008</v>
      </c>
      <c r="HK16" s="636">
        <f t="shared" si="95"/>
        <v>0.39993953512729269</v>
      </c>
      <c r="HL16" s="639">
        <v>195877.8</v>
      </c>
      <c r="HM16" s="639">
        <f>HM14*0.8</f>
        <v>88545.349519999989</v>
      </c>
      <c r="HN16" s="633">
        <v>0.76</v>
      </c>
      <c r="HO16" s="635">
        <f>'Vtas Diarias 2021'!TY17</f>
        <v>67884.91</v>
      </c>
      <c r="HP16" s="636">
        <f t="shared" si="97"/>
        <v>0.34656765595692829</v>
      </c>
      <c r="HQ16" s="639">
        <v>212126.1</v>
      </c>
      <c r="HR16" s="639">
        <f>HR14*0.8</f>
        <v>99104.855199999991</v>
      </c>
      <c r="HS16" s="633">
        <v>0.76</v>
      </c>
      <c r="HT16" s="635">
        <f>'Vtas Diarias 2021'!VE17</f>
        <v>68366.31</v>
      </c>
      <c r="HU16" s="636">
        <f t="shared" si="99"/>
        <v>0.32229089206844419</v>
      </c>
      <c r="HV16" s="661">
        <f t="shared" si="100"/>
        <v>479037.32871999999</v>
      </c>
      <c r="HW16" s="661">
        <f>GW16+HB16+HG16+HL16+HQ16</f>
        <v>1076757.8700000001</v>
      </c>
      <c r="HX16" s="663">
        <f t="shared" si="102"/>
        <v>397121.43</v>
      </c>
      <c r="HY16" s="651">
        <f t="shared" si="103"/>
        <v>0.36881219173257584</v>
      </c>
      <c r="HZ16" s="645">
        <v>183752.17</v>
      </c>
      <c r="IA16" s="639">
        <f>HZ16*IB16</f>
        <v>58800.694400000008</v>
      </c>
      <c r="IB16" s="633">
        <v>0.32</v>
      </c>
      <c r="IC16" s="635">
        <f>'Vtas Diarias 2021'!WK17</f>
        <v>78430.740000000005</v>
      </c>
      <c r="ID16" s="636">
        <f t="shared" si="142"/>
        <v>0.42682891853739741</v>
      </c>
      <c r="IE16" s="639">
        <v>191781.51</v>
      </c>
      <c r="IF16" s="639">
        <f>IE16*IG16</f>
        <v>65205.713400000008</v>
      </c>
      <c r="IG16" s="633">
        <v>0.34</v>
      </c>
      <c r="IH16" s="635">
        <f>'Vtas Diarias 2021'!XQ17</f>
        <v>107434.31</v>
      </c>
      <c r="II16" s="636">
        <f t="shared" si="106"/>
        <v>0.56019117797122353</v>
      </c>
      <c r="IJ16" s="639">
        <v>214416.6</v>
      </c>
      <c r="IK16" s="639">
        <f>IJ16*IL16</f>
        <v>79334.142000000007</v>
      </c>
      <c r="IL16" s="633">
        <v>0.37</v>
      </c>
      <c r="IM16" s="635">
        <f>'Vtas Diarias 2021'!YW17</f>
        <v>108030.59999999999</v>
      </c>
      <c r="IN16" s="636">
        <f t="shared" si="108"/>
        <v>0.50383505754685032</v>
      </c>
      <c r="IO16" s="639">
        <v>231966.58</v>
      </c>
      <c r="IP16" s="639">
        <f>IO16*IQ16</f>
        <v>92786.631999999998</v>
      </c>
      <c r="IQ16" s="633">
        <v>0.4</v>
      </c>
      <c r="IR16" s="635">
        <f>'Vtas Diarias 2021'!AAC17</f>
        <v>157390.38</v>
      </c>
      <c r="IS16" s="636">
        <f t="shared" si="110"/>
        <v>0.67850455009510424</v>
      </c>
      <c r="IT16" s="1577">
        <f t="shared" si="111"/>
        <v>296127.18180000002</v>
      </c>
      <c r="IU16" s="1577">
        <f t="shared" si="112"/>
        <v>821916.86</v>
      </c>
      <c r="IV16" s="1578">
        <f t="shared" si="113"/>
        <v>451286.02999999997</v>
      </c>
      <c r="IW16" s="654">
        <f t="shared" si="114"/>
        <v>0.54906530327167147</v>
      </c>
      <c r="IX16" s="645">
        <v>171459.01</v>
      </c>
      <c r="IY16" s="639">
        <f>IX16*IZ16</f>
        <v>102875.406</v>
      </c>
      <c r="IZ16" s="633">
        <v>0.6</v>
      </c>
      <c r="JA16" s="635">
        <f>'Vtas Diarias 2021'!ABI17</f>
        <v>94367.260000000009</v>
      </c>
      <c r="JB16" s="636">
        <f t="shared" si="116"/>
        <v>0.55037795914020504</v>
      </c>
      <c r="JC16" s="639">
        <v>204462.03</v>
      </c>
      <c r="JD16" s="639">
        <f>JC16*JE16</f>
        <v>122677.21799999999</v>
      </c>
      <c r="JE16" s="633">
        <v>0.6</v>
      </c>
      <c r="JF16" s="635">
        <f>'Vtas Diarias 2021'!ACO17</f>
        <v>132671.49</v>
      </c>
      <c r="JG16" s="636">
        <f t="shared" si="118"/>
        <v>0.64888082153933413</v>
      </c>
      <c r="JH16" s="639">
        <v>275759.34000000003</v>
      </c>
      <c r="JI16" s="639">
        <f>JH16*JJ16</f>
        <v>179243.57100000003</v>
      </c>
      <c r="JJ16" s="633">
        <v>0.65</v>
      </c>
      <c r="JK16" s="635">
        <f>'Vtas Diarias 2021'!ADU17</f>
        <v>171449.78999999998</v>
      </c>
      <c r="JL16" s="636">
        <f t="shared" si="120"/>
        <v>0.62173701895283029</v>
      </c>
      <c r="JM16" s="639">
        <v>327968.62</v>
      </c>
      <c r="JN16" s="639">
        <f>JM16*JO16</f>
        <v>213179.603</v>
      </c>
      <c r="JO16" s="633">
        <v>0.65</v>
      </c>
      <c r="JP16" s="635">
        <f>'Vtas Diarias 2021'!AFA17</f>
        <v>174709.8</v>
      </c>
      <c r="JQ16" s="636">
        <f t="shared" si="122"/>
        <v>0.53270279333431347</v>
      </c>
      <c r="JR16" s="636">
        <f t="shared" si="122"/>
        <v>2.4988450388206862E-6</v>
      </c>
      <c r="JS16" s="1577">
        <f t="shared" si="123"/>
        <v>617975.79799999995</v>
      </c>
      <c r="JT16" s="1577">
        <f t="shared" si="124"/>
        <v>979649.00000000012</v>
      </c>
      <c r="JU16" s="1582">
        <f t="shared" si="125"/>
        <v>573198.34</v>
      </c>
      <c r="JV16" s="651">
        <f t="shared" si="126"/>
        <v>0.58510582872028649</v>
      </c>
      <c r="JW16" s="645">
        <v>422082.59</v>
      </c>
      <c r="JX16" s="639">
        <f>JW16*JY16</f>
        <v>253249.554</v>
      </c>
      <c r="JY16" s="633">
        <v>0.6</v>
      </c>
      <c r="JZ16" s="635">
        <f>'Vtas Diarias 2021'!AGG17</f>
        <v>266270.25</v>
      </c>
      <c r="KA16" s="636">
        <f t="shared" si="128"/>
        <v>0.63084869243244546</v>
      </c>
      <c r="KB16" s="639">
        <v>531225.99</v>
      </c>
      <c r="KC16" s="639">
        <f>KB16*KD16</f>
        <v>329360.11379999999</v>
      </c>
      <c r="KD16" s="633">
        <v>0.62</v>
      </c>
      <c r="KE16" s="635">
        <f>'Vtas Diarias 2021'!AHM17</f>
        <v>297886.78999999998</v>
      </c>
      <c r="KF16" s="636">
        <f t="shared" si="130"/>
        <v>0.56075341870980366</v>
      </c>
      <c r="KG16" s="639">
        <v>649827.46</v>
      </c>
      <c r="KH16" s="639">
        <f>KG16*KI16</f>
        <v>422387.84899999999</v>
      </c>
      <c r="KI16" s="633">
        <v>0.65</v>
      </c>
      <c r="KJ16" s="635">
        <f>'Vtas Diarias 2021'!AIS17</f>
        <v>343424.22</v>
      </c>
      <c r="KK16" s="636">
        <f t="shared" si="132"/>
        <v>0.52848523822000382</v>
      </c>
      <c r="KL16" s="639">
        <v>452994.96</v>
      </c>
      <c r="KM16" s="1601">
        <f>KL16*KN16</f>
        <v>484704.60720000003</v>
      </c>
      <c r="KN16" s="1615">
        <v>1.07</v>
      </c>
      <c r="KO16" s="1602">
        <f>'Vtas Diarias 2021'!AJY17</f>
        <v>591780.67999999993</v>
      </c>
      <c r="KP16" s="636">
        <f t="shared" si="134"/>
        <v>1.3063736514861002</v>
      </c>
      <c r="KQ16" s="639">
        <v>151612.17000000001</v>
      </c>
      <c r="KR16" s="1601">
        <f>KQ16*KS16</f>
        <v>113709.1275</v>
      </c>
      <c r="KS16" s="1616">
        <v>0.75</v>
      </c>
      <c r="KT16" s="1602">
        <f>'Vtas Diarias 2021'!ALE17</f>
        <v>86601.400000000023</v>
      </c>
      <c r="KU16" s="636">
        <f t="shared" si="136"/>
        <v>0.57120348584153913</v>
      </c>
      <c r="KV16" s="1577">
        <f t="shared" si="137"/>
        <v>1603411.2515</v>
      </c>
      <c r="KW16" s="1577">
        <f t="shared" si="2"/>
        <v>2207743.17</v>
      </c>
      <c r="KX16" s="1578">
        <f t="shared" si="3"/>
        <v>1585963.3399999999</v>
      </c>
      <c r="KY16" s="959">
        <f t="shared" si="138"/>
        <v>0.71836405681191617</v>
      </c>
      <c r="KZ16" s="1508">
        <f t="shared" si="143"/>
        <v>6664968.0799999991</v>
      </c>
      <c r="LA16" s="811">
        <f t="shared" si="144"/>
        <v>6142559.5300200004</v>
      </c>
      <c r="LB16" s="1509">
        <f t="shared" si="139"/>
        <v>6664968.0800000001</v>
      </c>
      <c r="LC16" s="811">
        <f t="shared" si="140"/>
        <v>6153577.1100000003</v>
      </c>
      <c r="LD16" s="1575">
        <f t="shared" si="4"/>
        <v>-511390.96999999974</v>
      </c>
      <c r="LE16" s="1594">
        <f t="shared" si="141"/>
        <v>0.92327180507667206</v>
      </c>
      <c r="LF16" s="1008"/>
    </row>
    <row r="17" spans="1:320" outlineLevel="1">
      <c r="A17" s="1495"/>
      <c r="B17" s="687" t="s">
        <v>20</v>
      </c>
      <c r="C17" s="645">
        <v>54893.11</v>
      </c>
      <c r="D17" s="639">
        <v>82339.66</v>
      </c>
      <c r="E17" s="633">
        <v>1.5</v>
      </c>
      <c r="F17" s="635">
        <v>46120.959999999999</v>
      </c>
      <c r="G17" s="636">
        <f t="shared" si="5"/>
        <v>0.84019579142081768</v>
      </c>
      <c r="H17" s="639">
        <v>45145.84</v>
      </c>
      <c r="I17" s="639">
        <v>67718.759999999995</v>
      </c>
      <c r="J17" s="633">
        <v>1.5</v>
      </c>
      <c r="K17" s="635">
        <v>39205.96</v>
      </c>
      <c r="L17" s="636">
        <f t="shared" si="6"/>
        <v>0.86842907342071829</v>
      </c>
      <c r="M17" s="639">
        <v>44241.3</v>
      </c>
      <c r="N17" s="639">
        <v>66361.95</v>
      </c>
      <c r="O17" s="633">
        <v>1.5</v>
      </c>
      <c r="P17" s="635">
        <v>49639.95</v>
      </c>
      <c r="Q17" s="636">
        <f t="shared" si="7"/>
        <v>1.1220273816546982</v>
      </c>
      <c r="R17" s="639">
        <v>45500.34</v>
      </c>
      <c r="S17" s="639">
        <v>68250.509999999995</v>
      </c>
      <c r="T17" s="633">
        <v>1.5</v>
      </c>
      <c r="U17" s="635">
        <v>55744.51</v>
      </c>
      <c r="V17" s="636">
        <f t="shared" si="8"/>
        <v>1.2251449110050607</v>
      </c>
      <c r="W17" s="639">
        <f>D17+I17+N17+S17</f>
        <v>284670.88</v>
      </c>
      <c r="X17" s="639">
        <f>C17+H17+M17+R17</f>
        <v>189780.59</v>
      </c>
      <c r="Y17" s="666">
        <f t="shared" si="9"/>
        <v>190711.38</v>
      </c>
      <c r="Z17" s="646">
        <f t="shared" si="10"/>
        <v>1.0049045584693357</v>
      </c>
      <c r="AA17" s="645">
        <v>51333.18</v>
      </c>
      <c r="AB17" s="639">
        <v>64166.48</v>
      </c>
      <c r="AC17" s="633">
        <v>1.25</v>
      </c>
      <c r="AD17" s="635">
        <v>50662.84</v>
      </c>
      <c r="AE17" s="636">
        <f t="shared" si="11"/>
        <v>0.98694138956518951</v>
      </c>
      <c r="AF17" s="639">
        <v>62809.63</v>
      </c>
      <c r="AG17" s="639">
        <v>78512.039999999994</v>
      </c>
      <c r="AH17" s="633">
        <v>1.25</v>
      </c>
      <c r="AI17" s="635">
        <v>63551.18</v>
      </c>
      <c r="AJ17" s="636">
        <f t="shared" si="12"/>
        <v>1.0118063105928183</v>
      </c>
      <c r="AK17" s="639">
        <v>44084.41</v>
      </c>
      <c r="AL17" s="639">
        <v>55105.51</v>
      </c>
      <c r="AM17" s="633">
        <v>1.25</v>
      </c>
      <c r="AN17" s="635">
        <v>42953.89</v>
      </c>
      <c r="AO17" s="636">
        <f t="shared" si="13"/>
        <v>0.97435556016287839</v>
      </c>
      <c r="AP17" s="639">
        <v>53684.86</v>
      </c>
      <c r="AQ17" s="639">
        <v>67106.080000000002</v>
      </c>
      <c r="AR17" s="633">
        <v>1.25</v>
      </c>
      <c r="AS17" s="635">
        <v>37845.43</v>
      </c>
      <c r="AT17" s="636">
        <v>1.1000000000000001</v>
      </c>
      <c r="AU17" s="639">
        <f t="shared" si="14"/>
        <v>264890.11</v>
      </c>
      <c r="AV17" s="639">
        <f t="shared" si="15"/>
        <v>211912.08000000002</v>
      </c>
      <c r="AW17" s="778">
        <f t="shared" si="16"/>
        <v>195013.33999999997</v>
      </c>
      <c r="AX17" s="665">
        <f t="shared" si="17"/>
        <v>0.92025589102801475</v>
      </c>
      <c r="AY17" s="645">
        <v>53638.97</v>
      </c>
      <c r="AZ17" s="639">
        <v>67048.710000000006</v>
      </c>
      <c r="BA17" s="633">
        <v>1.25</v>
      </c>
      <c r="BB17" s="635">
        <v>40620.49</v>
      </c>
      <c r="BC17" s="636">
        <f t="shared" si="18"/>
        <v>0.75729437011933665</v>
      </c>
      <c r="BD17" s="639">
        <v>50252.41</v>
      </c>
      <c r="BE17" s="639">
        <v>62815.519999999997</v>
      </c>
      <c r="BF17" s="633">
        <v>1.25</v>
      </c>
      <c r="BG17" s="635">
        <v>49769.22</v>
      </c>
      <c r="BH17" s="636">
        <f t="shared" si="19"/>
        <v>0.99038473975675989</v>
      </c>
      <c r="BI17" s="639">
        <v>50830.84</v>
      </c>
      <c r="BJ17" s="639">
        <v>20332.330000000002</v>
      </c>
      <c r="BK17" s="633">
        <v>0.4</v>
      </c>
      <c r="BL17" s="635">
        <v>54148.11</v>
      </c>
      <c r="BM17" s="636">
        <f t="shared" si="20"/>
        <v>1.0652609714889623</v>
      </c>
      <c r="BN17" s="639">
        <v>56514.01</v>
      </c>
      <c r="BO17" s="639">
        <f t="shared" si="21"/>
        <v>36734.106500000002</v>
      </c>
      <c r="BP17" s="633">
        <v>0.65</v>
      </c>
      <c r="BQ17" s="635">
        <v>52550.16</v>
      </c>
      <c r="BR17" s="636">
        <f t="shared" si="22"/>
        <v>0.92986075488184261</v>
      </c>
      <c r="BS17" s="639">
        <v>61610.26</v>
      </c>
      <c r="BT17" s="639">
        <f t="shared" si="23"/>
        <v>40046.669000000002</v>
      </c>
      <c r="BU17" s="633">
        <v>0.65</v>
      </c>
      <c r="BV17" s="635">
        <v>70331.350000000006</v>
      </c>
      <c r="BW17" s="636">
        <f t="shared" si="24"/>
        <v>1.1415525595899125</v>
      </c>
      <c r="BX17" s="661">
        <f t="shared" si="25"/>
        <v>226977.33549999999</v>
      </c>
      <c r="BY17" s="661">
        <f t="shared" si="26"/>
        <v>272846.49</v>
      </c>
      <c r="BZ17" s="663">
        <f t="shared" si="27"/>
        <v>267419.33</v>
      </c>
      <c r="CA17" s="651">
        <f t="shared" si="28"/>
        <v>0.980109108238849</v>
      </c>
      <c r="CB17" s="645">
        <v>61838.62</v>
      </c>
      <c r="CC17" s="639">
        <f t="shared" si="29"/>
        <v>50707.668400000002</v>
      </c>
      <c r="CD17" s="633">
        <v>0.82</v>
      </c>
      <c r="CE17" s="635">
        <v>53233.71</v>
      </c>
      <c r="CF17" s="636">
        <f t="shared" si="30"/>
        <v>0.86084893226918702</v>
      </c>
      <c r="CG17" s="639">
        <v>62599.86</v>
      </c>
      <c r="CH17" s="639">
        <f t="shared" si="31"/>
        <v>46949.895000000004</v>
      </c>
      <c r="CI17" s="633">
        <v>0.75</v>
      </c>
      <c r="CJ17" s="635">
        <v>59042.86</v>
      </c>
      <c r="CK17" s="636">
        <f t="shared" si="32"/>
        <v>0.9431787866618232</v>
      </c>
      <c r="CL17" s="639">
        <v>62093.32</v>
      </c>
      <c r="CM17" s="639">
        <f t="shared" si="33"/>
        <v>43465.324000000001</v>
      </c>
      <c r="CN17" s="633">
        <v>0.7</v>
      </c>
      <c r="CO17" s="635">
        <v>39683.089999999997</v>
      </c>
      <c r="CP17" s="636">
        <f t="shared" si="34"/>
        <v>0.63908790832894746</v>
      </c>
      <c r="CQ17" s="639">
        <v>78715.929999999993</v>
      </c>
      <c r="CR17" s="639">
        <f t="shared" si="35"/>
        <v>31486.371999999999</v>
      </c>
      <c r="CS17" s="633">
        <v>0.4</v>
      </c>
      <c r="CT17" s="635">
        <v>67128.53</v>
      </c>
      <c r="CU17" s="636">
        <f t="shared" si="36"/>
        <v>0.85279472655661959</v>
      </c>
      <c r="CV17" s="656">
        <f t="shared" si="37"/>
        <v>172609.25940000001</v>
      </c>
      <c r="CW17" s="656">
        <f t="shared" si="38"/>
        <v>265247.73</v>
      </c>
      <c r="CX17" s="657">
        <f t="shared" si="39"/>
        <v>219088.19</v>
      </c>
      <c r="CY17" s="654">
        <f t="shared" si="40"/>
        <v>0.82597573973583116</v>
      </c>
      <c r="CZ17" s="645">
        <v>79734.55</v>
      </c>
      <c r="DA17" s="639">
        <f t="shared" si="41"/>
        <v>39867.275000000001</v>
      </c>
      <c r="DB17" s="633">
        <v>0.5</v>
      </c>
      <c r="DC17" s="635">
        <v>74686.09</v>
      </c>
      <c r="DD17" s="636">
        <f t="shared" si="42"/>
        <v>0.93668416012882738</v>
      </c>
      <c r="DE17" s="639">
        <v>72469.009999999995</v>
      </c>
      <c r="DF17" s="639">
        <f t="shared" si="43"/>
        <v>43481.405999999995</v>
      </c>
      <c r="DG17" s="633">
        <v>0.6</v>
      </c>
      <c r="DH17" s="635">
        <v>83243.66</v>
      </c>
      <c r="DI17" s="636">
        <f t="shared" si="44"/>
        <v>1.1486794148284902</v>
      </c>
      <c r="DJ17" s="639">
        <v>55190.22</v>
      </c>
      <c r="DK17" s="639">
        <f t="shared" si="45"/>
        <v>38633.153999999995</v>
      </c>
      <c r="DL17" s="633">
        <v>0.7</v>
      </c>
      <c r="DM17" s="635">
        <v>55259.91</v>
      </c>
      <c r="DN17" s="636">
        <f t="shared" si="46"/>
        <v>1.0012627237217029</v>
      </c>
      <c r="DO17" s="639">
        <v>55906.78</v>
      </c>
      <c r="DP17" s="639">
        <f t="shared" si="47"/>
        <v>55977.374817310025</v>
      </c>
      <c r="DQ17" s="633">
        <v>1.0012627237217029</v>
      </c>
      <c r="DR17" s="635">
        <v>57042.33</v>
      </c>
      <c r="DS17" s="636">
        <f t="shared" si="48"/>
        <v>1.0203114899480887</v>
      </c>
      <c r="DT17" s="656">
        <f t="shared" si="49"/>
        <v>177959.20981731001</v>
      </c>
      <c r="DU17" s="656">
        <f t="shared" si="50"/>
        <v>263300.56</v>
      </c>
      <c r="DV17" s="657">
        <f t="shared" si="51"/>
        <v>270231.99</v>
      </c>
      <c r="DW17" s="654">
        <f t="shared" si="52"/>
        <v>1.0263251623923626</v>
      </c>
      <c r="DX17" s="645">
        <v>65382.67</v>
      </c>
      <c r="DY17" s="639">
        <f t="shared" si="53"/>
        <v>66710.689444484204</v>
      </c>
      <c r="DZ17" s="633">
        <v>1.0203114899480887</v>
      </c>
      <c r="EA17" s="635">
        <f>'Vtas Diarias 2021'!AG18</f>
        <v>68999.450000000012</v>
      </c>
      <c r="EB17" s="636">
        <f t="shared" si="54"/>
        <v>1.0553171046700909</v>
      </c>
      <c r="EC17" s="639">
        <v>58942.16</v>
      </c>
      <c r="ED17" s="639">
        <f t="shared" ref="ED17:ED32" si="146">EC17*EE17</f>
        <v>58942.16</v>
      </c>
      <c r="EE17" s="633">
        <v>1</v>
      </c>
      <c r="EF17" s="635">
        <f>'Vtas Diarias 2021'!BM18</f>
        <v>73702.12</v>
      </c>
      <c r="EG17" s="636">
        <f t="shared" si="56"/>
        <v>1.2504143044639013</v>
      </c>
      <c r="EH17" s="639">
        <v>77523.27</v>
      </c>
      <c r="EI17" s="639">
        <f t="shared" ref="EI17:EI32" si="147">EH17*EJ17</f>
        <v>54266.288999999997</v>
      </c>
      <c r="EJ17" s="633">
        <v>0.7</v>
      </c>
      <c r="EK17" s="635">
        <f>'Vtas Diarias 2021'!CS18</f>
        <v>81043.56</v>
      </c>
      <c r="EL17" s="636">
        <f t="shared" si="58"/>
        <v>1.0454094622169574</v>
      </c>
      <c r="EM17" s="639">
        <v>61059.53</v>
      </c>
      <c r="EN17" s="639">
        <f t="shared" ref="EN17:EN32" si="148">EM17*EO17</f>
        <v>48847.624000000003</v>
      </c>
      <c r="EO17" s="633">
        <v>0.8</v>
      </c>
      <c r="EP17" s="635">
        <f>'Vtas Diarias 2021'!DY18</f>
        <v>65384.72</v>
      </c>
      <c r="EQ17" s="636">
        <f t="shared" si="60"/>
        <v>1.0708356254953157</v>
      </c>
      <c r="ER17" s="639">
        <v>64918.33</v>
      </c>
      <c r="ES17" s="639">
        <f t="shared" ref="ES17:ES32" si="149">ER17*ET17</f>
        <v>42196.914499999999</v>
      </c>
      <c r="ET17" s="633">
        <v>0.65</v>
      </c>
      <c r="EU17" s="635">
        <f>'Vtas Diarias 2021'!FE18</f>
        <v>56154.3</v>
      </c>
      <c r="EV17" s="636">
        <f t="shared" si="62"/>
        <v>0.86499914584987014</v>
      </c>
      <c r="EW17" s="661">
        <f t="shared" si="63"/>
        <v>270963.67694448418</v>
      </c>
      <c r="EX17" s="956">
        <f t="shared" si="64"/>
        <v>327825.96000000002</v>
      </c>
      <c r="EY17" s="662">
        <f t="shared" si="65"/>
        <v>345284.15</v>
      </c>
      <c r="EZ17" s="654">
        <f t="shared" si="66"/>
        <v>1.0532544463531808</v>
      </c>
      <c r="FA17" s="645">
        <v>53292.44</v>
      </c>
      <c r="FB17" s="639">
        <f t="shared" ref="FB17:FB32" si="150">FA17*FC17</f>
        <v>37304.707999999999</v>
      </c>
      <c r="FC17" s="633">
        <v>0.7</v>
      </c>
      <c r="FD17" s="635">
        <f>'Vtas Diarias 2021'!GK18</f>
        <v>67386.820000000007</v>
      </c>
      <c r="FE17" s="636">
        <f t="shared" si="68"/>
        <v>1.2644724092197694</v>
      </c>
      <c r="FF17" s="639">
        <v>65664.429999999993</v>
      </c>
      <c r="FG17" s="639">
        <f t="shared" ref="FG17:FG32" si="151">FF17*FH17</f>
        <v>47278.389599999995</v>
      </c>
      <c r="FH17" s="633">
        <v>0.72</v>
      </c>
      <c r="FI17" s="635">
        <f>'Vtas Diarias 2021'!HQ18</f>
        <v>64301.42</v>
      </c>
      <c r="FJ17" s="636">
        <f t="shared" si="70"/>
        <v>0.97924279552872084</v>
      </c>
      <c r="FK17" s="639">
        <v>57561.120000000003</v>
      </c>
      <c r="FL17" s="639">
        <f t="shared" ref="FL17:FL32" si="152">FK17*FM17</f>
        <v>45473.284800000001</v>
      </c>
      <c r="FM17" s="633">
        <v>0.79</v>
      </c>
      <c r="FN17" s="635">
        <f>'Vtas Diarias 2021'!IW18</f>
        <v>60814.299999999996</v>
      </c>
      <c r="FO17" s="636">
        <f t="shared" si="72"/>
        <v>1.056516968398113</v>
      </c>
      <c r="FP17" s="639">
        <v>54284.79</v>
      </c>
      <c r="FQ17" s="639">
        <f t="shared" ref="FQ17:FQ32" si="153">FP17*FR17</f>
        <v>41256.440399999999</v>
      </c>
      <c r="FR17" s="633">
        <v>0.76</v>
      </c>
      <c r="FS17" s="635">
        <f>'Vtas Diarias 2021'!KC18</f>
        <v>64826.049999999996</v>
      </c>
      <c r="FT17" s="636">
        <f t="shared" si="74"/>
        <v>1.1941844115082696</v>
      </c>
      <c r="FU17" s="661">
        <f t="shared" si="75"/>
        <v>171312.82279999997</v>
      </c>
      <c r="FV17" s="661">
        <f t="shared" si="76"/>
        <v>230802.78</v>
      </c>
      <c r="FW17" s="663">
        <f t="shared" si="77"/>
        <v>257328.58999999997</v>
      </c>
      <c r="FX17" s="651">
        <f t="shared" si="78"/>
        <v>1.1149284683659355</v>
      </c>
      <c r="FY17" s="645">
        <v>62623.75</v>
      </c>
      <c r="FZ17" s="639">
        <f t="shared" ref="FZ17:FZ32" si="154">FY17*GA17</f>
        <v>46967.8125</v>
      </c>
      <c r="GA17" s="633">
        <v>0.75</v>
      </c>
      <c r="GB17" s="635">
        <f>'Vtas Diarias 2021'!LI18</f>
        <v>52940.920000000006</v>
      </c>
      <c r="GC17" s="636">
        <f t="shared" si="80"/>
        <v>0.84538086588554673</v>
      </c>
      <c r="GD17" s="639">
        <v>51500.58</v>
      </c>
      <c r="GE17" s="639">
        <f t="shared" ref="GE17:GE32" si="155">GD17*GF17</f>
        <v>41715.469800000006</v>
      </c>
      <c r="GF17" s="633">
        <v>0.81</v>
      </c>
      <c r="GG17" s="635">
        <f>'Vtas Diarias 2021'!MO18</f>
        <v>59707</v>
      </c>
      <c r="GH17" s="808">
        <f t="shared" si="82"/>
        <v>1.1593461665868616</v>
      </c>
      <c r="GI17" s="639">
        <v>59362.38</v>
      </c>
      <c r="GJ17" s="639">
        <f t="shared" ref="GJ17:GJ32" si="156">GI17*GK17</f>
        <v>47489.904000000002</v>
      </c>
      <c r="GK17" s="633">
        <v>0.8</v>
      </c>
      <c r="GL17" s="635">
        <f>'Vtas Diarias 2021'!NU18</f>
        <v>52762.590000000004</v>
      </c>
      <c r="GM17" s="636">
        <f t="shared" si="84"/>
        <v>0.88882201151638474</v>
      </c>
      <c r="GN17" s="639">
        <v>53544.35</v>
      </c>
      <c r="GO17" s="639">
        <f>GO14*0.5</f>
        <v>63814.664000000004</v>
      </c>
      <c r="GP17" s="633">
        <v>0.73</v>
      </c>
      <c r="GQ17" s="635">
        <f>'Vtas Diarias 2021'!PA18</f>
        <v>64874.79</v>
      </c>
      <c r="GR17" s="636">
        <f>GQ17/GN17</f>
        <v>1.2116085077136991</v>
      </c>
      <c r="GS17" s="661">
        <f t="shared" si="86"/>
        <v>199987.85029999999</v>
      </c>
      <c r="GT17" s="661">
        <f t="shared" si="87"/>
        <v>227031.06</v>
      </c>
      <c r="GU17" s="662">
        <f t="shared" si="88"/>
        <v>230285.30000000002</v>
      </c>
      <c r="GV17" s="1598">
        <f t="shared" si="89"/>
        <v>1.0143338977494973</v>
      </c>
      <c r="GW17" s="645">
        <v>49241</v>
      </c>
      <c r="GX17" s="639">
        <f>GX14*0.5</f>
        <v>65915.28</v>
      </c>
      <c r="GY17" s="633">
        <v>0.76</v>
      </c>
      <c r="GZ17" s="635">
        <f>'Vtas Diarias 2021'!QG18</f>
        <v>62393.68</v>
      </c>
      <c r="HA17" s="636">
        <f t="shared" si="91"/>
        <v>1.2671083040555635</v>
      </c>
      <c r="HB17" s="639">
        <v>51878.92</v>
      </c>
      <c r="HC17" s="639">
        <f>HC14*0.5</f>
        <v>60334.385500000004</v>
      </c>
      <c r="HD17" s="633">
        <v>0.78</v>
      </c>
      <c r="HE17" s="635">
        <f>'Vtas Diarias 2021'!RM18</f>
        <v>51979.97</v>
      </c>
      <c r="HF17" s="636">
        <f t="shared" si="93"/>
        <v>1.0019478046189088</v>
      </c>
      <c r="HG17" s="639">
        <v>48666.03</v>
      </c>
      <c r="HH17" s="639">
        <f>HH14*0.5</f>
        <v>55867.287000000004</v>
      </c>
      <c r="HI17" s="633">
        <v>0.77</v>
      </c>
      <c r="HJ17" s="635">
        <f>'Vtas Diarias 2021'!SS18</f>
        <v>47724.479999999996</v>
      </c>
      <c r="HK17" s="636">
        <f t="shared" si="95"/>
        <v>0.98065282908838047</v>
      </c>
      <c r="HL17" s="639">
        <v>38665.15</v>
      </c>
      <c r="HM17" s="639">
        <f>HM14*0.5</f>
        <v>55340.843449999993</v>
      </c>
      <c r="HN17" s="633">
        <v>0.76</v>
      </c>
      <c r="HO17" s="635">
        <f>'Vtas Diarias 2021'!TY18</f>
        <v>40680.329999999994</v>
      </c>
      <c r="HP17" s="636">
        <f t="shared" si="97"/>
        <v>1.0521187684516935</v>
      </c>
      <c r="HQ17" s="639">
        <v>40617.85</v>
      </c>
      <c r="HR17" s="639">
        <f>HR14*0.5</f>
        <v>61940.534499999994</v>
      </c>
      <c r="HS17" s="633">
        <v>0.76</v>
      </c>
      <c r="HT17" s="635">
        <f>'Vtas Diarias 2021'!VE18</f>
        <v>45675.94</v>
      </c>
      <c r="HU17" s="636">
        <f t="shared" si="99"/>
        <v>1.1245287478288488</v>
      </c>
      <c r="HV17" s="661">
        <f t="shared" si="100"/>
        <v>299398.33045000001</v>
      </c>
      <c r="HW17" s="661">
        <f t="shared" si="101"/>
        <v>229068.95</v>
      </c>
      <c r="HX17" s="663">
        <f t="shared" si="102"/>
        <v>248454.39999999999</v>
      </c>
      <c r="HY17" s="651">
        <f t="shared" si="103"/>
        <v>1.0846271395577618</v>
      </c>
      <c r="HZ17" s="645">
        <v>27010.49</v>
      </c>
      <c r="IA17" s="639">
        <f>IA14*0.5</f>
        <v>55631.071400000001</v>
      </c>
      <c r="IB17" s="633"/>
      <c r="IC17" s="635">
        <f>'Vtas Diarias 2021'!WK18</f>
        <v>54492.08</v>
      </c>
      <c r="ID17" s="636">
        <f t="shared" si="142"/>
        <v>2.0174413718521951</v>
      </c>
      <c r="IE17" s="639">
        <v>13152.24</v>
      </c>
      <c r="IF17" s="639">
        <f>IF14*0.5</f>
        <v>66432.949800000002</v>
      </c>
      <c r="IG17" s="633">
        <v>0.34</v>
      </c>
      <c r="IH17" s="635">
        <f>'Vtas Diarias 2021'!XQ18</f>
        <v>59491.340000000004</v>
      </c>
      <c r="II17" s="636">
        <f t="shared" si="106"/>
        <v>4.5232857672913518</v>
      </c>
      <c r="IJ17" s="1484">
        <v>107623.25</v>
      </c>
      <c r="IK17" s="639">
        <f>IK14*0.5</f>
        <v>68785.645199999999</v>
      </c>
      <c r="IL17" s="633"/>
      <c r="IM17" s="635">
        <f>'Vtas Diarias 2021'!YW18</f>
        <v>69695.649999999994</v>
      </c>
      <c r="IN17" s="636">
        <f t="shared" si="108"/>
        <v>0.64758915940561168</v>
      </c>
      <c r="IO17" s="639">
        <v>80000</v>
      </c>
      <c r="IP17" s="639">
        <f>IP14*0.5</f>
        <v>91627.510500000004</v>
      </c>
      <c r="IQ17" s="633"/>
      <c r="IR17" s="635">
        <f>'Vtas Diarias 2021'!AAC18</f>
        <v>89873.32</v>
      </c>
      <c r="IS17" s="636">
        <f t="shared" si="110"/>
        <v>1.1234165</v>
      </c>
      <c r="IT17" s="1577">
        <f t="shared" si="111"/>
        <v>282477.17690000002</v>
      </c>
      <c r="IU17" s="1577">
        <f t="shared" si="112"/>
        <v>227785.98</v>
      </c>
      <c r="IV17" s="1578">
        <f t="shared" si="113"/>
        <v>273552.39</v>
      </c>
      <c r="IW17" s="654">
        <f t="shared" si="114"/>
        <v>1.2009184674140174</v>
      </c>
      <c r="IX17" s="645">
        <v>96304.36</v>
      </c>
      <c r="IY17" s="639">
        <f>IX17*IZ17</f>
        <v>101119.57800000001</v>
      </c>
      <c r="IZ17" s="633">
        <v>1.05</v>
      </c>
      <c r="JA17" s="635">
        <f>'Vtas Diarias 2021'!ABI18</f>
        <v>65804.299999999988</v>
      </c>
      <c r="JB17" s="636">
        <f t="shared" si="116"/>
        <v>0.68329512807104464</v>
      </c>
      <c r="JC17" s="639">
        <v>106634.21</v>
      </c>
      <c r="JD17" s="639">
        <f>JC17*JE17</f>
        <v>111965.92050000001</v>
      </c>
      <c r="JE17" s="633">
        <v>1.05</v>
      </c>
      <c r="JF17" s="635">
        <f>'Vtas Diarias 2021'!ACO18</f>
        <v>73266.959999999992</v>
      </c>
      <c r="JG17" s="636">
        <f t="shared" si="118"/>
        <v>0.68708681763572865</v>
      </c>
      <c r="JH17" s="639">
        <v>121209.7</v>
      </c>
      <c r="JI17" s="639">
        <f>JH17*JJ17</f>
        <v>127270.185</v>
      </c>
      <c r="JJ17" s="633">
        <v>1.05</v>
      </c>
      <c r="JK17" s="635">
        <f>'Vtas Diarias 2021'!ADU18</f>
        <v>88989.06</v>
      </c>
      <c r="JL17" s="636">
        <f t="shared" si="120"/>
        <v>0.73417441013384244</v>
      </c>
      <c r="JM17" s="639">
        <v>144598.25</v>
      </c>
      <c r="JN17" s="639">
        <f>JM17*JO17</f>
        <v>108448.6875</v>
      </c>
      <c r="JO17" s="633">
        <v>0.75</v>
      </c>
      <c r="JP17" s="635">
        <f>'Vtas Diarias 2021'!AFA18</f>
        <v>81289.350000000006</v>
      </c>
      <c r="JQ17" s="636">
        <f t="shared" si="122"/>
        <v>0.56217381607315442</v>
      </c>
      <c r="JR17" s="636">
        <f t="shared" si="122"/>
        <v>5.1837770380868321E-6</v>
      </c>
      <c r="JS17" s="1577">
        <f t="shared" si="123"/>
        <v>448804.37100000004</v>
      </c>
      <c r="JT17" s="1577">
        <f t="shared" si="124"/>
        <v>468746.52</v>
      </c>
      <c r="JU17" s="1582">
        <f t="shared" si="125"/>
        <v>309349.67</v>
      </c>
      <c r="JV17" s="651">
        <f t="shared" si="126"/>
        <v>0.65995086214186716</v>
      </c>
      <c r="JW17" s="645">
        <v>196235.89</v>
      </c>
      <c r="JX17" s="639">
        <f>JW17*JY17</f>
        <v>127553.32850000002</v>
      </c>
      <c r="JY17" s="633">
        <v>0.65</v>
      </c>
      <c r="JZ17" s="635">
        <f>'Vtas Diarias 2021'!AGG18</f>
        <v>132954.46000000002</v>
      </c>
      <c r="KA17" s="636">
        <f t="shared" si="128"/>
        <v>0.67752366807111586</v>
      </c>
      <c r="KB17" s="639">
        <v>285789.34000000003</v>
      </c>
      <c r="KC17" s="639">
        <f>KB17*KD17</f>
        <v>185763.07100000003</v>
      </c>
      <c r="KD17" s="633">
        <v>0.65</v>
      </c>
      <c r="KE17" s="635">
        <f>'Vtas Diarias 2021'!AHM18</f>
        <v>165710.60999999999</v>
      </c>
      <c r="KF17" s="636">
        <f t="shared" si="130"/>
        <v>0.57983481819160909</v>
      </c>
      <c r="KG17" s="639">
        <v>385764.64</v>
      </c>
      <c r="KH17" s="639">
        <f>KG17*KI17</f>
        <v>250747.016</v>
      </c>
      <c r="KI17" s="633">
        <v>0.65</v>
      </c>
      <c r="KJ17" s="635">
        <f>'Vtas Diarias 2021'!AIS18</f>
        <v>211232.78000000003</v>
      </c>
      <c r="KK17" s="636">
        <f t="shared" si="132"/>
        <v>0.54756905661441657</v>
      </c>
      <c r="KL17" s="639">
        <v>316324.24</v>
      </c>
      <c r="KM17" s="1601">
        <f>KL17*KN17</f>
        <v>354283.14880000002</v>
      </c>
      <c r="KN17" s="1615">
        <v>1.1200000000000001</v>
      </c>
      <c r="KO17" s="1602">
        <f>'Vtas Diarias 2021'!AJY18</f>
        <v>317130.87</v>
      </c>
      <c r="KP17" s="636">
        <f t="shared" si="134"/>
        <v>1.0025500100782665</v>
      </c>
      <c r="KQ17" s="639">
        <v>100445.93</v>
      </c>
      <c r="KR17" s="1601">
        <f>KQ17*KS17</f>
        <v>65289.854500000001</v>
      </c>
      <c r="KS17" s="1616">
        <v>0.65</v>
      </c>
      <c r="KT17" s="1602">
        <f>'Vtas Diarias 2021'!ALE18</f>
        <v>64448.87</v>
      </c>
      <c r="KU17" s="636">
        <f t="shared" si="136"/>
        <v>0.64162749053147305</v>
      </c>
      <c r="KV17" s="1577">
        <f t="shared" si="137"/>
        <v>983636.4188000001</v>
      </c>
      <c r="KW17" s="1577">
        <f t="shared" si="2"/>
        <v>1284560.04</v>
      </c>
      <c r="KX17" s="1578">
        <f t="shared" si="3"/>
        <v>891477.59000000008</v>
      </c>
      <c r="KY17" s="959">
        <f t="shared" si="138"/>
        <v>0.69399449012908732</v>
      </c>
      <c r="KZ17" s="1508">
        <f t="shared" si="143"/>
        <v>4198908.74</v>
      </c>
      <c r="LA17" s="811">
        <f t="shared" si="144"/>
        <v>3989678.5671499996</v>
      </c>
      <c r="LB17" s="1509">
        <f t="shared" si="139"/>
        <v>4198908.74</v>
      </c>
      <c r="LC17" s="811">
        <f t="shared" si="140"/>
        <v>3698196.3200000003</v>
      </c>
      <c r="LD17" s="1575">
        <f t="shared" si="4"/>
        <v>-500712.41999999993</v>
      </c>
      <c r="LE17" s="1594">
        <f t="shared" si="141"/>
        <v>0.88075177361439871</v>
      </c>
      <c r="LF17" s="1008">
        <f t="shared" si="145"/>
        <v>0.95017034524784627</v>
      </c>
    </row>
    <row r="18" spans="1:320" outlineLevel="1">
      <c r="A18" s="1495"/>
      <c r="B18" s="687" t="s">
        <v>21</v>
      </c>
      <c r="C18" s="645">
        <v>65118.98</v>
      </c>
      <c r="D18" s="639">
        <v>68374.929999999993</v>
      </c>
      <c r="E18" s="633">
        <v>1.05</v>
      </c>
      <c r="F18" s="635">
        <v>39206.94</v>
      </c>
      <c r="G18" s="636">
        <f t="shared" si="5"/>
        <v>0.60208160508656616</v>
      </c>
      <c r="H18" s="639">
        <v>62974.09</v>
      </c>
      <c r="I18" s="639">
        <v>66122.789999999994</v>
      </c>
      <c r="J18" s="633">
        <v>1.05</v>
      </c>
      <c r="K18" s="635">
        <v>39515.72</v>
      </c>
      <c r="L18" s="636">
        <f t="shared" si="6"/>
        <v>0.62749171921340985</v>
      </c>
      <c r="M18" s="639">
        <v>58035.4</v>
      </c>
      <c r="N18" s="639">
        <v>60937.17</v>
      </c>
      <c r="O18" s="633">
        <v>1.05</v>
      </c>
      <c r="P18" s="635">
        <v>34446.379999999997</v>
      </c>
      <c r="Q18" s="636">
        <f t="shared" si="7"/>
        <v>0.59354083886731202</v>
      </c>
      <c r="R18" s="639">
        <v>61708.25</v>
      </c>
      <c r="S18" s="639">
        <v>64793.66</v>
      </c>
      <c r="T18" s="633">
        <v>1.05</v>
      </c>
      <c r="U18" s="635">
        <v>35818.78</v>
      </c>
      <c r="V18" s="636">
        <f t="shared" si="8"/>
        <v>0.58045366705424317</v>
      </c>
      <c r="W18" s="639">
        <f t="shared" ref="W18:W34" si="157">D18+I18+N18+S18</f>
        <v>260228.54999999996</v>
      </c>
      <c r="X18" s="639">
        <f t="shared" ref="X18:X31" si="158">C18+H18+M18+R18</f>
        <v>247836.72</v>
      </c>
      <c r="Y18" s="666">
        <f t="shared" si="9"/>
        <v>148987.82</v>
      </c>
      <c r="Z18" s="646">
        <f t="shared" si="10"/>
        <v>0.60115313017376926</v>
      </c>
      <c r="AA18" s="645">
        <v>59976.43</v>
      </c>
      <c r="AB18" s="639">
        <v>62975.25</v>
      </c>
      <c r="AC18" s="633">
        <v>1.05</v>
      </c>
      <c r="AD18" s="635">
        <v>42184.89</v>
      </c>
      <c r="AE18" s="636">
        <f t="shared" si="11"/>
        <v>0.70335780239003887</v>
      </c>
      <c r="AF18" s="639">
        <v>75225.320000000007</v>
      </c>
      <c r="AG18" s="639">
        <v>78986.59</v>
      </c>
      <c r="AH18" s="633">
        <v>1.05</v>
      </c>
      <c r="AI18" s="635">
        <v>50367.61</v>
      </c>
      <c r="AJ18" s="636">
        <f t="shared" si="12"/>
        <v>0.66955660673826312</v>
      </c>
      <c r="AK18" s="639">
        <v>57198.38</v>
      </c>
      <c r="AL18" s="639">
        <v>60058.3</v>
      </c>
      <c r="AM18" s="633">
        <v>1.05</v>
      </c>
      <c r="AN18" s="635">
        <v>31427.16</v>
      </c>
      <c r="AO18" s="636">
        <f t="shared" si="13"/>
        <v>0.54944143522945932</v>
      </c>
      <c r="AP18" s="639">
        <v>71706.13</v>
      </c>
      <c r="AQ18" s="639">
        <v>75291.44</v>
      </c>
      <c r="AR18" s="633">
        <v>1.05</v>
      </c>
      <c r="AS18" s="635">
        <v>40941.86</v>
      </c>
      <c r="AT18" s="636">
        <v>0.94</v>
      </c>
      <c r="AU18" s="639">
        <f t="shared" si="14"/>
        <v>277311.58</v>
      </c>
      <c r="AV18" s="639">
        <f t="shared" si="15"/>
        <v>264106.26</v>
      </c>
      <c r="AW18" s="778">
        <f t="shared" si="16"/>
        <v>164921.52000000002</v>
      </c>
      <c r="AX18" s="665">
        <f t="shared" si="17"/>
        <v>0.62445138559002733</v>
      </c>
      <c r="AY18" s="645">
        <v>78381.350000000006</v>
      </c>
      <c r="AZ18" s="639">
        <v>82300.42</v>
      </c>
      <c r="BA18" s="633">
        <v>1.05</v>
      </c>
      <c r="BB18" s="635">
        <v>42105.33</v>
      </c>
      <c r="BC18" s="636">
        <f t="shared" si="18"/>
        <v>0.53718556774028514</v>
      </c>
      <c r="BD18" s="639">
        <v>88506.29</v>
      </c>
      <c r="BE18" s="639">
        <v>90276.41</v>
      </c>
      <c r="BF18" s="633">
        <v>1.02</v>
      </c>
      <c r="BG18" s="635">
        <v>40564.69</v>
      </c>
      <c r="BH18" s="636">
        <f t="shared" si="19"/>
        <v>0.45832550432291314</v>
      </c>
      <c r="BI18" s="639">
        <v>89542.49</v>
      </c>
      <c r="BJ18" s="639">
        <v>35817</v>
      </c>
      <c r="BK18" s="633">
        <v>0.4</v>
      </c>
      <c r="BL18" s="635">
        <v>63449.31</v>
      </c>
      <c r="BM18" s="636">
        <f t="shared" si="20"/>
        <v>0.70859443377105102</v>
      </c>
      <c r="BN18" s="639">
        <v>77821.649999999994</v>
      </c>
      <c r="BO18" s="639">
        <f t="shared" si="21"/>
        <v>50584.072499999995</v>
      </c>
      <c r="BP18" s="633">
        <v>0.65</v>
      </c>
      <c r="BQ18" s="635">
        <v>41541.839999999997</v>
      </c>
      <c r="BR18" s="636">
        <f t="shared" si="22"/>
        <v>0.53380826543770277</v>
      </c>
      <c r="BS18" s="639">
        <v>83667.929999999993</v>
      </c>
      <c r="BT18" s="639">
        <f t="shared" si="23"/>
        <v>54384.154499999997</v>
      </c>
      <c r="BU18" s="633">
        <v>0.65</v>
      </c>
      <c r="BV18" s="635">
        <v>70355.31</v>
      </c>
      <c r="BW18" s="636">
        <f t="shared" si="24"/>
        <v>0.84088742245684822</v>
      </c>
      <c r="BX18" s="661">
        <f t="shared" si="25"/>
        <v>313362.05700000003</v>
      </c>
      <c r="BY18" s="661">
        <f t="shared" si="26"/>
        <v>417919.70999999996</v>
      </c>
      <c r="BZ18" s="663">
        <f t="shared" si="27"/>
        <v>258016.47999999998</v>
      </c>
      <c r="CA18" s="651">
        <f t="shared" si="28"/>
        <v>0.61738289395348211</v>
      </c>
      <c r="CB18" s="645">
        <v>89858.42</v>
      </c>
      <c r="CC18" s="639">
        <f t="shared" si="29"/>
        <v>73683.904399999999</v>
      </c>
      <c r="CD18" s="633">
        <v>0.82</v>
      </c>
      <c r="CE18" s="635">
        <v>64447.95</v>
      </c>
      <c r="CF18" s="636">
        <f t="shared" si="30"/>
        <v>0.71721659472757249</v>
      </c>
      <c r="CG18" s="639">
        <v>93657.62</v>
      </c>
      <c r="CH18" s="639">
        <f t="shared" si="31"/>
        <v>70243.214999999997</v>
      </c>
      <c r="CI18" s="633">
        <v>0.75</v>
      </c>
      <c r="CJ18" s="635">
        <v>73141.37</v>
      </c>
      <c r="CK18" s="636">
        <f>CJ18/CG18</f>
        <v>0.78094414528150513</v>
      </c>
      <c r="CL18" s="639">
        <v>101073.33</v>
      </c>
      <c r="CM18" s="639">
        <f t="shared" si="33"/>
        <v>70751.330999999991</v>
      </c>
      <c r="CN18" s="633">
        <v>0.7</v>
      </c>
      <c r="CO18" s="635">
        <v>47052.43</v>
      </c>
      <c r="CP18" s="636">
        <f t="shared" si="34"/>
        <v>0.46552765205222779</v>
      </c>
      <c r="CQ18" s="639">
        <v>124332.84</v>
      </c>
      <c r="CR18" s="639">
        <f t="shared" si="35"/>
        <v>57880.375078185309</v>
      </c>
      <c r="CS18" s="633">
        <v>0.46552765205222779</v>
      </c>
      <c r="CT18" s="635">
        <v>66092.36</v>
      </c>
      <c r="CU18" s="636">
        <f t="shared" si="36"/>
        <v>0.53157605022132526</v>
      </c>
      <c r="CV18" s="656">
        <f t="shared" si="37"/>
        <v>272558.82547818532</v>
      </c>
      <c r="CW18" s="656">
        <f t="shared" si="38"/>
        <v>408922.20999999996</v>
      </c>
      <c r="CX18" s="657">
        <f t="shared" si="39"/>
        <v>250734.11</v>
      </c>
      <c r="CY18" s="654">
        <f t="shared" si="40"/>
        <v>0.61315845378024347</v>
      </c>
      <c r="CZ18" s="645">
        <v>130399.38</v>
      </c>
      <c r="DA18" s="639">
        <f t="shared" si="41"/>
        <v>65199.69</v>
      </c>
      <c r="DB18" s="633">
        <v>0.5</v>
      </c>
      <c r="DC18" s="635">
        <v>74875.350000000006</v>
      </c>
      <c r="DD18" s="636">
        <f t="shared" si="42"/>
        <v>0.57420019941812606</v>
      </c>
      <c r="DE18" s="639">
        <v>111392.63</v>
      </c>
      <c r="DF18" s="639">
        <f t="shared" si="43"/>
        <v>66835.577999999994</v>
      </c>
      <c r="DG18" s="633">
        <v>0.6</v>
      </c>
      <c r="DH18" s="635">
        <v>82679.95</v>
      </c>
      <c r="DI18" s="636">
        <f t="shared" si="44"/>
        <v>0.74223896141064261</v>
      </c>
      <c r="DJ18" s="639">
        <v>91629.88</v>
      </c>
      <c r="DK18" s="639">
        <f t="shared" si="45"/>
        <v>64140.915999999997</v>
      </c>
      <c r="DL18" s="633">
        <v>0.7</v>
      </c>
      <c r="DM18" s="635">
        <v>63522.59</v>
      </c>
      <c r="DN18" s="636">
        <f t="shared" si="46"/>
        <v>0.6932519173876468</v>
      </c>
      <c r="DO18" s="639">
        <v>102653.38</v>
      </c>
      <c r="DP18" s="639">
        <f t="shared" si="47"/>
        <v>71164.652511322711</v>
      </c>
      <c r="DQ18" s="633">
        <v>0.6932519173876468</v>
      </c>
      <c r="DR18" s="635">
        <v>81120.02</v>
      </c>
      <c r="DS18" s="636">
        <f t="shared" si="48"/>
        <v>0.79023233331430487</v>
      </c>
      <c r="DT18" s="656">
        <f t="shared" si="49"/>
        <v>267340.8365113227</v>
      </c>
      <c r="DU18" s="656">
        <f t="shared" si="50"/>
        <v>436075.27</v>
      </c>
      <c r="DV18" s="657">
        <f t="shared" si="51"/>
        <v>302197.90999999997</v>
      </c>
      <c r="DW18" s="654">
        <f t="shared" si="52"/>
        <v>0.69299483550167829</v>
      </c>
      <c r="DX18" s="645">
        <v>92677.14</v>
      </c>
      <c r="DY18" s="639">
        <f t="shared" si="53"/>
        <v>73236.47258709649</v>
      </c>
      <c r="DZ18" s="633">
        <v>0.79023233331430487</v>
      </c>
      <c r="EA18" s="635">
        <f>'Vtas Diarias 2021'!AG19</f>
        <v>76496.5</v>
      </c>
      <c r="EB18" s="636">
        <f t="shared" si="54"/>
        <v>0.82540850958499579</v>
      </c>
      <c r="EC18" s="639">
        <v>107391.84</v>
      </c>
      <c r="ED18" s="639">
        <f t="shared" si="146"/>
        <v>83765.635200000004</v>
      </c>
      <c r="EE18" s="633">
        <v>0.78</v>
      </c>
      <c r="EF18" s="635">
        <f>'Vtas Diarias 2021'!BM19</f>
        <v>78730.62</v>
      </c>
      <c r="EG18" s="636">
        <f t="shared" si="56"/>
        <v>0.73311547693009071</v>
      </c>
      <c r="EH18" s="639">
        <v>102508.13</v>
      </c>
      <c r="EI18" s="639">
        <f t="shared" si="147"/>
        <v>71755.690999999992</v>
      </c>
      <c r="EJ18" s="633">
        <v>0.7</v>
      </c>
      <c r="EK18" s="635">
        <f>'Vtas Diarias 2021'!CS19</f>
        <v>80372.61</v>
      </c>
      <c r="EL18" s="636">
        <f t="shared" si="58"/>
        <v>0.78406083497962553</v>
      </c>
      <c r="EM18" s="639">
        <v>81081.67</v>
      </c>
      <c r="EN18" s="639">
        <f t="shared" si="148"/>
        <v>56757.168999999994</v>
      </c>
      <c r="EO18" s="633">
        <v>0.7</v>
      </c>
      <c r="EP18" s="635">
        <f>'Vtas Diarias 2021'!DY19</f>
        <v>80932.429999999993</v>
      </c>
      <c r="EQ18" s="636">
        <f t="shared" si="60"/>
        <v>0.99815938670232118</v>
      </c>
      <c r="ER18" s="639">
        <v>113271.78</v>
      </c>
      <c r="ES18" s="639">
        <f t="shared" si="149"/>
        <v>73626.657000000007</v>
      </c>
      <c r="ET18" s="633">
        <v>0.65</v>
      </c>
      <c r="EU18" s="635">
        <f>'Vtas Diarias 2021'!FE19</f>
        <v>68267.61</v>
      </c>
      <c r="EV18" s="636">
        <f t="shared" si="62"/>
        <v>0.60268859551778919</v>
      </c>
      <c r="EW18" s="661">
        <f t="shared" si="63"/>
        <v>359141.62478709652</v>
      </c>
      <c r="EX18" s="956">
        <f t="shared" si="64"/>
        <v>496930.55999999994</v>
      </c>
      <c r="EY18" s="662">
        <f t="shared" si="65"/>
        <v>384799.76999999996</v>
      </c>
      <c r="EZ18" s="654">
        <f t="shared" si="66"/>
        <v>0.77435320138089314</v>
      </c>
      <c r="FA18" s="645">
        <v>90007.31</v>
      </c>
      <c r="FB18" s="639">
        <f t="shared" si="150"/>
        <v>63005.116999999991</v>
      </c>
      <c r="FC18" s="633">
        <v>0.7</v>
      </c>
      <c r="FD18" s="635">
        <f>'Vtas Diarias 2021'!GK19</f>
        <v>77028.290000000008</v>
      </c>
      <c r="FE18" s="636">
        <f t="shared" si="68"/>
        <v>0.85580037888033778</v>
      </c>
      <c r="FF18" s="639">
        <v>94157.35</v>
      </c>
      <c r="FG18" s="639">
        <f t="shared" si="151"/>
        <v>67793.292000000001</v>
      </c>
      <c r="FH18" s="633">
        <v>0.72</v>
      </c>
      <c r="FI18" s="635">
        <f>'Vtas Diarias 2021'!HQ19</f>
        <v>81534</v>
      </c>
      <c r="FJ18" s="636">
        <f t="shared" si="70"/>
        <v>0.86593346138140037</v>
      </c>
      <c r="FK18" s="639">
        <v>90780.45</v>
      </c>
      <c r="FL18" s="639">
        <f t="shared" si="152"/>
        <v>71716.555500000002</v>
      </c>
      <c r="FM18" s="633">
        <v>0.79</v>
      </c>
      <c r="FN18" s="635">
        <f>'Vtas Diarias 2021'!IW19</f>
        <v>70762.509999999995</v>
      </c>
      <c r="FO18" s="636">
        <f t="shared" si="72"/>
        <v>0.77949062821345338</v>
      </c>
      <c r="FP18" s="639">
        <v>87494.05</v>
      </c>
      <c r="FQ18" s="639">
        <f t="shared" si="153"/>
        <v>66495.478000000003</v>
      </c>
      <c r="FR18" s="633">
        <v>0.76</v>
      </c>
      <c r="FS18" s="635">
        <f>'Vtas Diarias 2021'!KC19</f>
        <v>74213.070000000007</v>
      </c>
      <c r="FT18" s="636">
        <f t="shared" si="74"/>
        <v>0.84820704950793802</v>
      </c>
      <c r="FU18" s="661">
        <f t="shared" si="75"/>
        <v>269010.4425</v>
      </c>
      <c r="FV18" s="661">
        <f t="shared" si="76"/>
        <v>362439.16</v>
      </c>
      <c r="FW18" s="663">
        <f t="shared" si="77"/>
        <v>303537.87</v>
      </c>
      <c r="FX18" s="651">
        <f t="shared" si="78"/>
        <v>0.83748640737386104</v>
      </c>
      <c r="FY18" s="645">
        <v>74083.12</v>
      </c>
      <c r="FZ18" s="639">
        <f t="shared" si="154"/>
        <v>55562.34</v>
      </c>
      <c r="GA18" s="633">
        <v>0.75</v>
      </c>
      <c r="GB18" s="635">
        <f>'Vtas Diarias 2021'!LI19</f>
        <v>71495.09</v>
      </c>
      <c r="GC18" s="636">
        <f t="shared" si="80"/>
        <v>0.96506586115703552</v>
      </c>
      <c r="GD18" s="639">
        <v>82731.199999999997</v>
      </c>
      <c r="GE18" s="639">
        <f t="shared" si="155"/>
        <v>67012.271999999997</v>
      </c>
      <c r="GF18" s="633">
        <v>0.81</v>
      </c>
      <c r="GG18" s="635">
        <f>'Vtas Diarias 2021'!MO19</f>
        <v>58915.77</v>
      </c>
      <c r="GH18" s="636">
        <f t="shared" si="82"/>
        <v>0.71213484151082063</v>
      </c>
      <c r="GI18" s="639">
        <v>67196.98</v>
      </c>
      <c r="GJ18" s="639">
        <f t="shared" si="156"/>
        <v>53757.584000000003</v>
      </c>
      <c r="GK18" s="633">
        <v>0.8</v>
      </c>
      <c r="GL18" s="635">
        <f>'Vtas Diarias 2021'!NU19</f>
        <v>59561.289999999994</v>
      </c>
      <c r="GM18" s="636">
        <f t="shared" si="84"/>
        <v>0.88636855406299508</v>
      </c>
      <c r="GN18" s="639">
        <v>76727.25</v>
      </c>
      <c r="GO18" s="639">
        <f t="shared" ref="GO17:GO32" si="159">GN18*GP18</f>
        <v>56010.892500000002</v>
      </c>
      <c r="GP18" s="633">
        <v>0.73</v>
      </c>
      <c r="GQ18" s="635">
        <f>'Vtas Diarias 2021'!PA19</f>
        <v>64380.94</v>
      </c>
      <c r="GR18" s="636">
        <f>GQ18/GN18</f>
        <v>0.83908832911384157</v>
      </c>
      <c r="GS18" s="661">
        <f t="shared" si="86"/>
        <v>232343.08849999998</v>
      </c>
      <c r="GT18" s="661">
        <f t="shared" si="87"/>
        <v>300738.55</v>
      </c>
      <c r="GU18" s="662">
        <f t="shared" si="88"/>
        <v>254353.09</v>
      </c>
      <c r="GV18" s="1598">
        <f t="shared" si="89"/>
        <v>0.84576150945730111</v>
      </c>
      <c r="GW18" s="645">
        <v>79788</v>
      </c>
      <c r="GX18" s="639">
        <f t="shared" ref="GX17:GX32" si="160">GW18*GY18</f>
        <v>60638.879999999997</v>
      </c>
      <c r="GY18" s="633">
        <v>0.76</v>
      </c>
      <c r="GZ18" s="635">
        <f>'Vtas Diarias 2021'!QG19</f>
        <v>62790.36</v>
      </c>
      <c r="HA18" s="636">
        <f t="shared" si="91"/>
        <v>0.78696495713641146</v>
      </c>
      <c r="HB18" s="639">
        <v>78594.259999999995</v>
      </c>
      <c r="HC18" s="639">
        <f t="shared" ref="HC17:HC32" si="161">HB18*HD18</f>
        <v>62875.407999999996</v>
      </c>
      <c r="HD18" s="633">
        <v>0.8</v>
      </c>
      <c r="HE18" s="635">
        <f>'Vtas Diarias 2021'!RM19</f>
        <v>57055.39</v>
      </c>
      <c r="HF18" s="636">
        <f t="shared" si="93"/>
        <v>0.72594856163796184</v>
      </c>
      <c r="HG18" s="639">
        <v>76441.509999999995</v>
      </c>
      <c r="HH18" s="639">
        <f t="shared" ref="HH17:HH32" si="162">HG18*HI18</f>
        <v>58859.962699999996</v>
      </c>
      <c r="HI18" s="633">
        <v>0.77</v>
      </c>
      <c r="HJ18" s="635">
        <f>'Vtas Diarias 2021'!SS19</f>
        <v>56453.79</v>
      </c>
      <c r="HK18" s="636">
        <f t="shared" si="95"/>
        <v>0.73852269532613901</v>
      </c>
      <c r="HL18" s="639">
        <v>61919.51</v>
      </c>
      <c r="HM18" s="639">
        <f t="shared" ref="HM17:HM32" si="163">HL18*HN18</f>
        <v>47058.827600000004</v>
      </c>
      <c r="HN18" s="633">
        <v>0.76</v>
      </c>
      <c r="HO18" s="635">
        <f>'Vtas Diarias 2021'!TY19</f>
        <v>48513.179999999993</v>
      </c>
      <c r="HP18" s="636">
        <f t="shared" si="97"/>
        <v>0.78348778922830609</v>
      </c>
      <c r="HQ18" s="639">
        <v>72345.509999999995</v>
      </c>
      <c r="HR18" s="639">
        <f t="shared" ref="HR17:HR32" si="164">HQ18*HS18</f>
        <v>54982.587599999999</v>
      </c>
      <c r="HS18" s="633">
        <v>0.76</v>
      </c>
      <c r="HT18" s="635">
        <f>'Vtas Diarias 2021'!VE19</f>
        <v>53804.959999999999</v>
      </c>
      <c r="HU18" s="636">
        <f t="shared" si="99"/>
        <v>0.74372217432705923</v>
      </c>
      <c r="HV18" s="661">
        <f t="shared" si="100"/>
        <v>284415.66589999996</v>
      </c>
      <c r="HW18" s="661">
        <f t="shared" si="101"/>
        <v>369088.79000000004</v>
      </c>
      <c r="HX18" s="663">
        <f t="shared" si="102"/>
        <v>278617.68</v>
      </c>
      <c r="HY18" s="651">
        <f t="shared" si="103"/>
        <v>0.75487982173611923</v>
      </c>
      <c r="HZ18" s="645">
        <v>70207.3</v>
      </c>
      <c r="IA18" s="639">
        <f t="shared" ref="IA17:IA34" si="165">HZ18*IB18</f>
        <v>51953.402000000002</v>
      </c>
      <c r="IB18" s="633">
        <v>0.74</v>
      </c>
      <c r="IC18" s="635">
        <f>'Vtas Diarias 2021'!WK19</f>
        <v>53383.6</v>
      </c>
      <c r="ID18" s="636">
        <f t="shared" si="142"/>
        <v>0.76037107252379732</v>
      </c>
      <c r="IE18" s="639">
        <v>65152.42</v>
      </c>
      <c r="IF18" s="639">
        <f t="shared" ref="IF18:IF34" si="166">IE18*IG18</f>
        <v>49515.839200000002</v>
      </c>
      <c r="IG18" s="633">
        <v>0.76</v>
      </c>
      <c r="IH18" s="635">
        <f>'Vtas Diarias 2021'!XQ19</f>
        <v>56113.600000000006</v>
      </c>
      <c r="II18" s="636">
        <f t="shared" si="106"/>
        <v>0.8612665500375889</v>
      </c>
      <c r="IJ18" s="639">
        <v>73445.59</v>
      </c>
      <c r="IK18" s="639">
        <f t="shared" ref="IK18:IK34" si="167">IJ18*IL18</f>
        <v>58022.016100000001</v>
      </c>
      <c r="IL18" s="633">
        <v>0.79</v>
      </c>
      <c r="IM18" s="635">
        <f>'Vtas Diarias 2021'!YW19</f>
        <v>51823.97</v>
      </c>
      <c r="IN18" s="636">
        <f t="shared" si="108"/>
        <v>0.7056103708881637</v>
      </c>
      <c r="IO18" s="639">
        <v>107844.62</v>
      </c>
      <c r="IP18" s="639">
        <f t="shared" ref="IP18:IP34" si="168">IO18*IQ18</f>
        <v>88432.588399999993</v>
      </c>
      <c r="IQ18" s="633">
        <v>0.82</v>
      </c>
      <c r="IR18" s="635">
        <f>'Vtas Diarias 2021'!AAC19</f>
        <v>104500.79</v>
      </c>
      <c r="IS18" s="636">
        <f t="shared" si="110"/>
        <v>0.96899400266791236</v>
      </c>
      <c r="IT18" s="1577">
        <f t="shared" si="111"/>
        <v>247923.84570000001</v>
      </c>
      <c r="IU18" s="1577">
        <f t="shared" si="112"/>
        <v>316649.93</v>
      </c>
      <c r="IV18" s="1578">
        <f t="shared" si="113"/>
        <v>265821.96000000002</v>
      </c>
      <c r="IW18" s="654">
        <f t="shared" si="114"/>
        <v>0.83948213726117049</v>
      </c>
      <c r="IX18" s="645">
        <v>80299.45</v>
      </c>
      <c r="IY18" s="639">
        <f t="shared" ref="IY18:IY34" si="169">IX18*IZ18</f>
        <v>65845.548999999999</v>
      </c>
      <c r="IZ18" s="633">
        <v>0.82</v>
      </c>
      <c r="JA18" s="635">
        <f>'Vtas Diarias 2021'!ABI19</f>
        <v>56256.800000000003</v>
      </c>
      <c r="JB18" s="636">
        <f t="shared" si="116"/>
        <v>0.70058761299112271</v>
      </c>
      <c r="JC18" s="639">
        <v>95763.58</v>
      </c>
      <c r="JD18" s="639">
        <f t="shared" ref="JD18:JD34" si="170">JC18*JE18</f>
        <v>81399.043000000005</v>
      </c>
      <c r="JE18" s="633">
        <v>0.85</v>
      </c>
      <c r="JF18" s="635">
        <f>'Vtas Diarias 2021'!ACO19</f>
        <v>68870.12</v>
      </c>
      <c r="JG18" s="636">
        <f t="shared" si="118"/>
        <v>0.71916818481514577</v>
      </c>
      <c r="JH18" s="639">
        <v>110096.38</v>
      </c>
      <c r="JI18" s="639">
        <f t="shared" ref="JI18:JI34" si="171">JH18*JJ18</f>
        <v>93581.922999999995</v>
      </c>
      <c r="JJ18" s="633">
        <v>0.85</v>
      </c>
      <c r="JK18" s="635">
        <f>'Vtas Diarias 2021'!ADU19</f>
        <v>70071.03</v>
      </c>
      <c r="JL18" s="636">
        <f t="shared" si="120"/>
        <v>0.63645171621446583</v>
      </c>
      <c r="JM18" s="639">
        <v>131324.28</v>
      </c>
      <c r="JN18" s="639">
        <f t="shared" ref="JN18:JN34" si="172">JM18*JO18</f>
        <v>91926.995999999999</v>
      </c>
      <c r="JO18" s="633">
        <v>0.7</v>
      </c>
      <c r="JP18" s="635">
        <f>'Vtas Diarias 2021'!AFA19</f>
        <v>96895.679999999993</v>
      </c>
      <c r="JQ18" s="636">
        <f t="shared" si="122"/>
        <v>0.73783522742329133</v>
      </c>
      <c r="JR18" s="636">
        <f t="shared" si="122"/>
        <v>8.026317181334756E-6</v>
      </c>
      <c r="JS18" s="1577">
        <f t="shared" si="123"/>
        <v>332753.511</v>
      </c>
      <c r="JT18" s="1577">
        <f t="shared" si="124"/>
        <v>417483.69000000006</v>
      </c>
      <c r="JU18" s="1582">
        <f t="shared" si="125"/>
        <v>292093.63</v>
      </c>
      <c r="JV18" s="651">
        <f t="shared" si="126"/>
        <v>0.69965279362171007</v>
      </c>
      <c r="JW18" s="645">
        <v>156091.46</v>
      </c>
      <c r="JX18" s="639">
        <f t="shared" ref="JX18:JX34" si="173">JW18*JY18</f>
        <v>109264.02199999998</v>
      </c>
      <c r="JY18" s="633">
        <v>0.7</v>
      </c>
      <c r="JZ18" s="635">
        <f>'Vtas Diarias 2021'!AGG19</f>
        <v>113292.87</v>
      </c>
      <c r="KA18" s="636">
        <f t="shared" si="128"/>
        <v>0.7258108162996233</v>
      </c>
      <c r="KB18" s="639">
        <v>169396.69</v>
      </c>
      <c r="KC18" s="639">
        <f t="shared" ref="KC18:KC34" si="174">KB18*KD18</f>
        <v>118577.68299999999</v>
      </c>
      <c r="KD18" s="633">
        <v>0.7</v>
      </c>
      <c r="KE18" s="635">
        <f>'Vtas Diarias 2021'!AHM19</f>
        <v>129670.69</v>
      </c>
      <c r="KF18" s="636">
        <f t="shared" si="130"/>
        <v>0.76548538227045637</v>
      </c>
      <c r="KG18" s="639">
        <v>223427.18</v>
      </c>
      <c r="KH18" s="639">
        <f t="shared" ref="KH18:KH34" si="175">KG18*KI18</f>
        <v>156399.02599999998</v>
      </c>
      <c r="KI18" s="633">
        <v>0.7</v>
      </c>
      <c r="KJ18" s="635">
        <f>'Vtas Diarias 2021'!AIS19</f>
        <v>138946.85999999999</v>
      </c>
      <c r="KK18" s="636">
        <f t="shared" si="132"/>
        <v>0.62188879616168447</v>
      </c>
      <c r="KL18" s="639">
        <v>241208.79</v>
      </c>
      <c r="KM18" s="1601">
        <f t="shared" ref="KM18:KM34" si="176">KL18*KN18</f>
        <v>291862.63589999999</v>
      </c>
      <c r="KN18" s="1615">
        <v>1.21</v>
      </c>
      <c r="KO18" s="1602">
        <f>'Vtas Diarias 2021'!AJY19</f>
        <v>255275.65999999997</v>
      </c>
      <c r="KP18" s="636">
        <f t="shared" si="134"/>
        <v>1.0583182312717541</v>
      </c>
      <c r="KQ18" s="639">
        <v>74757.62</v>
      </c>
      <c r="KR18" s="1601">
        <f t="shared" ref="KR18:KR34" si="177">KQ18*KS18</f>
        <v>65786.705600000001</v>
      </c>
      <c r="KS18" s="1616">
        <v>0.88</v>
      </c>
      <c r="KT18" s="1602">
        <f>'Vtas Diarias 2021'!ALE19</f>
        <v>77995.099999999991</v>
      </c>
      <c r="KU18" s="636">
        <f t="shared" si="136"/>
        <v>1.0433063545896726</v>
      </c>
      <c r="KV18" s="1577">
        <f t="shared" si="137"/>
        <v>741890.07249999989</v>
      </c>
      <c r="KW18" s="1577">
        <f t="shared" si="2"/>
        <v>864881.74000000011</v>
      </c>
      <c r="KX18" s="1578">
        <f t="shared" si="3"/>
        <v>715181.17999999993</v>
      </c>
      <c r="KY18" s="959">
        <f t="shared" si="138"/>
        <v>0.8269121047693756</v>
      </c>
      <c r="KZ18" s="1508">
        <f t="shared" si="143"/>
        <v>4903072.5899999989</v>
      </c>
      <c r="LA18" s="811">
        <f t="shared" si="144"/>
        <v>3674531.6650999999</v>
      </c>
      <c r="LB18" s="1509">
        <f t="shared" si="139"/>
        <v>4903072.59</v>
      </c>
      <c r="LC18" s="811">
        <f t="shared" si="140"/>
        <v>3619263.0199999996</v>
      </c>
      <c r="LD18" s="1575">
        <f t="shared" si="4"/>
        <v>-1283809.5700000003</v>
      </c>
      <c r="LE18" s="1594">
        <f t="shared" si="141"/>
        <v>0.73816223471413067</v>
      </c>
      <c r="LF18" s="1008">
        <f t="shared" si="145"/>
        <v>0.74943448167468407</v>
      </c>
    </row>
    <row r="19" spans="1:320" outlineLevel="1">
      <c r="A19" s="1495"/>
      <c r="B19" s="687" t="s">
        <v>22</v>
      </c>
      <c r="C19" s="645">
        <v>59623.17</v>
      </c>
      <c r="D19" s="639">
        <v>62604.33</v>
      </c>
      <c r="E19" s="633">
        <v>1.05</v>
      </c>
      <c r="F19" s="635">
        <v>76349.02</v>
      </c>
      <c r="G19" s="636">
        <f t="shared" si="5"/>
        <v>1.2805260102741938</v>
      </c>
      <c r="H19" s="639">
        <v>57713.45</v>
      </c>
      <c r="I19" s="639">
        <v>60599.12</v>
      </c>
      <c r="J19" s="633">
        <v>1.05</v>
      </c>
      <c r="K19" s="635">
        <v>62088.04</v>
      </c>
      <c r="L19" s="636">
        <f t="shared" si="6"/>
        <v>1.0757984490617005</v>
      </c>
      <c r="M19" s="639">
        <v>68528.7</v>
      </c>
      <c r="N19" s="639">
        <v>71955.13</v>
      </c>
      <c r="O19" s="633">
        <v>1.05</v>
      </c>
      <c r="P19" s="635">
        <v>59087.16</v>
      </c>
      <c r="Q19" s="636">
        <f t="shared" si="7"/>
        <v>0.86222502396806022</v>
      </c>
      <c r="R19" s="639">
        <v>66627.75</v>
      </c>
      <c r="S19" s="639">
        <v>69959.14</v>
      </c>
      <c r="T19" s="633">
        <v>1.05</v>
      </c>
      <c r="U19" s="635">
        <v>58836.52</v>
      </c>
      <c r="V19" s="636">
        <f t="shared" si="8"/>
        <v>0.88306328819448343</v>
      </c>
      <c r="W19" s="639">
        <f t="shared" si="157"/>
        <v>265117.72000000003</v>
      </c>
      <c r="X19" s="639">
        <f t="shared" si="158"/>
        <v>252493.07</v>
      </c>
      <c r="Y19" s="666">
        <f t="shared" si="9"/>
        <v>256360.74</v>
      </c>
      <c r="Z19" s="646">
        <f t="shared" si="10"/>
        <v>1.0153179253592979</v>
      </c>
      <c r="AA19" s="645">
        <v>72451.759999999995</v>
      </c>
      <c r="AB19" s="639">
        <v>76074.350000000006</v>
      </c>
      <c r="AC19" s="633">
        <v>1.05</v>
      </c>
      <c r="AD19" s="635">
        <v>68894.31</v>
      </c>
      <c r="AE19" s="636">
        <f t="shared" si="11"/>
        <v>0.95089905338393443</v>
      </c>
      <c r="AF19" s="639">
        <v>102634.2</v>
      </c>
      <c r="AG19" s="639">
        <v>107765.91</v>
      </c>
      <c r="AH19" s="633">
        <v>1.05</v>
      </c>
      <c r="AI19" s="635">
        <v>73515.02</v>
      </c>
      <c r="AJ19" s="636">
        <f t="shared" si="12"/>
        <v>0.71628190213398657</v>
      </c>
      <c r="AK19" s="639">
        <v>86762.45</v>
      </c>
      <c r="AL19" s="639">
        <v>91100.57</v>
      </c>
      <c r="AM19" s="633">
        <v>1.05</v>
      </c>
      <c r="AN19" s="635">
        <v>53527.08</v>
      </c>
      <c r="AO19" s="636">
        <f t="shared" si="13"/>
        <v>0.61693831836237911</v>
      </c>
      <c r="AP19" s="639">
        <v>98404.81</v>
      </c>
      <c r="AQ19" s="639">
        <v>103325.05</v>
      </c>
      <c r="AR19" s="633">
        <v>1.05</v>
      </c>
      <c r="AS19" s="635">
        <v>57956.57</v>
      </c>
      <c r="AT19" s="636">
        <v>1.18</v>
      </c>
      <c r="AU19" s="639">
        <f t="shared" si="14"/>
        <v>378265.88</v>
      </c>
      <c r="AV19" s="639">
        <f t="shared" si="15"/>
        <v>360253.22</v>
      </c>
      <c r="AW19" s="778">
        <f t="shared" si="16"/>
        <v>253892.98000000004</v>
      </c>
      <c r="AX19" s="665">
        <f t="shared" si="17"/>
        <v>0.70476255562684509</v>
      </c>
      <c r="AY19" s="645">
        <v>95156.07</v>
      </c>
      <c r="AZ19" s="639">
        <v>99913.88</v>
      </c>
      <c r="BA19" s="633">
        <v>1.05</v>
      </c>
      <c r="BB19" s="635">
        <v>65475.08</v>
      </c>
      <c r="BC19" s="636">
        <f t="shared" si="18"/>
        <v>0.68808096004805575</v>
      </c>
      <c r="BD19" s="639">
        <v>106045.66</v>
      </c>
      <c r="BE19" s="639">
        <v>108166.58</v>
      </c>
      <c r="BF19" s="633">
        <v>1.02</v>
      </c>
      <c r="BG19" s="635">
        <v>65283.26</v>
      </c>
      <c r="BH19" s="636">
        <f t="shared" si="19"/>
        <v>0.61561463241399983</v>
      </c>
      <c r="BI19" s="639">
        <v>102267.44</v>
      </c>
      <c r="BJ19" s="639">
        <v>40906.980000000003</v>
      </c>
      <c r="BK19" s="633">
        <v>0.4</v>
      </c>
      <c r="BL19" s="635">
        <v>83378.149999999994</v>
      </c>
      <c r="BM19" s="636">
        <f t="shared" si="20"/>
        <v>0.81529517117080463</v>
      </c>
      <c r="BN19" s="639">
        <v>90487.34</v>
      </c>
      <c r="BO19" s="639">
        <f t="shared" si="21"/>
        <v>58816.771000000001</v>
      </c>
      <c r="BP19" s="633">
        <v>0.65</v>
      </c>
      <c r="BQ19" s="635">
        <v>81915.56</v>
      </c>
      <c r="BR19" s="636">
        <f t="shared" si="22"/>
        <v>0.90527094729494761</v>
      </c>
      <c r="BS19" s="639">
        <v>107925.91</v>
      </c>
      <c r="BT19" s="639">
        <f t="shared" si="23"/>
        <v>70151.84150000001</v>
      </c>
      <c r="BU19" s="633">
        <v>0.65</v>
      </c>
      <c r="BV19" s="635">
        <v>87829.35</v>
      </c>
      <c r="BW19" s="636">
        <f t="shared" si="24"/>
        <v>0.81379299928997595</v>
      </c>
      <c r="BX19" s="661">
        <f t="shared" si="25"/>
        <v>377956.05249999999</v>
      </c>
      <c r="BY19" s="661">
        <f t="shared" si="26"/>
        <v>501882.42000000004</v>
      </c>
      <c r="BZ19" s="663">
        <f t="shared" si="27"/>
        <v>383881.4</v>
      </c>
      <c r="CA19" s="651">
        <f t="shared" si="28"/>
        <v>0.76488313736910729</v>
      </c>
      <c r="CB19" s="645">
        <v>118866.64</v>
      </c>
      <c r="CC19" s="639">
        <f t="shared" si="29"/>
        <v>97470.644799999995</v>
      </c>
      <c r="CD19" s="633">
        <v>0.82</v>
      </c>
      <c r="CE19" s="635">
        <v>82018.259999999995</v>
      </c>
      <c r="CF19" s="636">
        <f t="shared" si="30"/>
        <v>0.69000234212054778</v>
      </c>
      <c r="CG19" s="639">
        <v>136694.71</v>
      </c>
      <c r="CH19" s="639">
        <f t="shared" si="31"/>
        <v>102521.0325</v>
      </c>
      <c r="CI19" s="633">
        <v>0.75</v>
      </c>
      <c r="CJ19" s="635">
        <v>84821.21</v>
      </c>
      <c r="CK19" s="636">
        <f t="shared" si="32"/>
        <v>0.62051567321076295</v>
      </c>
      <c r="CL19" s="639">
        <v>106468.75</v>
      </c>
      <c r="CM19" s="639">
        <f t="shared" si="33"/>
        <v>74528.125</v>
      </c>
      <c r="CN19" s="633">
        <v>0.7</v>
      </c>
      <c r="CO19" s="635">
        <v>65721.7</v>
      </c>
      <c r="CP19" s="636">
        <f t="shared" si="34"/>
        <v>0.61728629292632808</v>
      </c>
      <c r="CQ19" s="639">
        <v>131458.74</v>
      </c>
      <c r="CR19" s="639">
        <f t="shared" si="35"/>
        <v>52583.495999999999</v>
      </c>
      <c r="CS19" s="633">
        <v>0.4</v>
      </c>
      <c r="CT19" s="635">
        <v>113262.62</v>
      </c>
      <c r="CU19" s="636">
        <f t="shared" si="36"/>
        <v>0.86158303358148725</v>
      </c>
      <c r="CV19" s="656">
        <f t="shared" si="37"/>
        <v>327103.29830000002</v>
      </c>
      <c r="CW19" s="656">
        <f t="shared" si="38"/>
        <v>493488.83999999997</v>
      </c>
      <c r="CX19" s="657">
        <f t="shared" si="39"/>
        <v>345823.79000000004</v>
      </c>
      <c r="CY19" s="654">
        <f t="shared" si="40"/>
        <v>0.70077327381912036</v>
      </c>
      <c r="CZ19" s="645">
        <v>150708.93</v>
      </c>
      <c r="DA19" s="639">
        <f t="shared" si="41"/>
        <v>75354.464999999997</v>
      </c>
      <c r="DB19" s="633">
        <v>0.5</v>
      </c>
      <c r="DC19" s="635">
        <v>112577.7</v>
      </c>
      <c r="DD19" s="636">
        <f t="shared" si="42"/>
        <v>0.74698758726506786</v>
      </c>
      <c r="DE19" s="639">
        <v>111348.62</v>
      </c>
      <c r="DF19" s="639">
        <f t="shared" si="43"/>
        <v>66809.171999999991</v>
      </c>
      <c r="DG19" s="633">
        <v>0.6</v>
      </c>
      <c r="DH19" s="635">
        <v>106404.92</v>
      </c>
      <c r="DI19" s="636">
        <f t="shared" si="44"/>
        <v>0.95560160512092562</v>
      </c>
      <c r="DJ19" s="639">
        <v>109071.71</v>
      </c>
      <c r="DK19" s="639">
        <f t="shared" si="45"/>
        <v>76350.197</v>
      </c>
      <c r="DL19" s="633">
        <v>0.7</v>
      </c>
      <c r="DM19" s="635">
        <v>83214.080000000002</v>
      </c>
      <c r="DN19" s="636">
        <f t="shared" si="46"/>
        <v>0.76293000265605071</v>
      </c>
      <c r="DO19" s="639">
        <v>110243.23</v>
      </c>
      <c r="DP19" s="639">
        <f t="shared" si="47"/>
        <v>84107.86775671161</v>
      </c>
      <c r="DQ19" s="633">
        <v>0.76293000265605071</v>
      </c>
      <c r="DR19" s="635">
        <v>73640.36</v>
      </c>
      <c r="DS19" s="636">
        <f t="shared" si="48"/>
        <v>0.66798079120141896</v>
      </c>
      <c r="DT19" s="656">
        <f t="shared" si="49"/>
        <v>302621.70175671158</v>
      </c>
      <c r="DU19" s="656">
        <f t="shared" si="50"/>
        <v>481372.49</v>
      </c>
      <c r="DV19" s="657">
        <f t="shared" si="51"/>
        <v>375837.06</v>
      </c>
      <c r="DW19" s="654">
        <f t="shared" si="52"/>
        <v>0.78076140163306795</v>
      </c>
      <c r="DX19" s="645">
        <v>92281.77</v>
      </c>
      <c r="DY19" s="639">
        <f t="shared" si="53"/>
        <v>61642.449738067371</v>
      </c>
      <c r="DZ19" s="633">
        <v>0.66798079120141896</v>
      </c>
      <c r="EA19" s="635">
        <f>'Vtas Diarias 2021'!AG20</f>
        <v>81757.94</v>
      </c>
      <c r="EB19" s="636">
        <f t="shared" si="54"/>
        <v>0.88595981633208809</v>
      </c>
      <c r="EC19" s="639">
        <v>124658.56</v>
      </c>
      <c r="ED19" s="639">
        <f t="shared" si="146"/>
        <v>110442.47492182258</v>
      </c>
      <c r="EE19" s="633">
        <v>0.88595981633208809</v>
      </c>
      <c r="EF19" s="635">
        <f>'Vtas Diarias 2021'!BM20</f>
        <v>83312.94</v>
      </c>
      <c r="EG19" s="636">
        <f t="shared" si="56"/>
        <v>0.6683290742328486</v>
      </c>
      <c r="EH19" s="639">
        <v>107608.88</v>
      </c>
      <c r="EI19" s="639">
        <f t="shared" si="147"/>
        <v>75326.216</v>
      </c>
      <c r="EJ19" s="633">
        <v>0.7</v>
      </c>
      <c r="EK19" s="635">
        <f>'Vtas Diarias 2021'!CS20</f>
        <v>78906.22</v>
      </c>
      <c r="EL19" s="636">
        <f t="shared" si="58"/>
        <v>0.73326866704680871</v>
      </c>
      <c r="EM19" s="639">
        <v>91925.71</v>
      </c>
      <c r="EN19" s="639">
        <f t="shared" si="148"/>
        <v>64347.997000000003</v>
      </c>
      <c r="EO19" s="633">
        <v>0.7</v>
      </c>
      <c r="EP19" s="635">
        <f>'Vtas Diarias 2021'!DY20</f>
        <v>75215.960000000006</v>
      </c>
      <c r="EQ19" s="636">
        <f t="shared" si="60"/>
        <v>0.81822549969970315</v>
      </c>
      <c r="ER19" s="639">
        <v>100603.97</v>
      </c>
      <c r="ES19" s="639">
        <f t="shared" si="149"/>
        <v>65392.580500000004</v>
      </c>
      <c r="ET19" s="633">
        <v>0.65</v>
      </c>
      <c r="EU19" s="635">
        <f>'Vtas Diarias 2021'!FE20</f>
        <v>75809.55</v>
      </c>
      <c r="EV19" s="636">
        <f t="shared" si="62"/>
        <v>0.75354431838027869</v>
      </c>
      <c r="EW19" s="661">
        <f t="shared" si="63"/>
        <v>377151.71815988992</v>
      </c>
      <c r="EX19" s="956">
        <f t="shared" si="64"/>
        <v>517078.89</v>
      </c>
      <c r="EY19" s="662">
        <f t="shared" si="65"/>
        <v>395002.61000000004</v>
      </c>
      <c r="EZ19" s="654">
        <f t="shared" si="66"/>
        <v>0.7639116924692092</v>
      </c>
      <c r="FA19" s="645">
        <v>91837.51</v>
      </c>
      <c r="FB19" s="639">
        <f t="shared" si="150"/>
        <v>64286.256999999991</v>
      </c>
      <c r="FC19" s="633">
        <v>0.7</v>
      </c>
      <c r="FD19" s="635">
        <f>'Vtas Diarias 2021'!GK20</f>
        <v>89571.739999999991</v>
      </c>
      <c r="FE19" s="636">
        <f t="shared" si="68"/>
        <v>0.97532849050458792</v>
      </c>
      <c r="FF19" s="639">
        <v>97629.87</v>
      </c>
      <c r="FG19" s="639">
        <f t="shared" si="151"/>
        <v>70293.506399999998</v>
      </c>
      <c r="FH19" s="633">
        <v>0.72</v>
      </c>
      <c r="FI19" s="635">
        <f>'Vtas Diarias 2021'!HQ20</f>
        <v>89164.780000000013</v>
      </c>
      <c r="FJ19" s="636">
        <f t="shared" si="70"/>
        <v>0.91329405641941364</v>
      </c>
      <c r="FK19" s="639">
        <v>100005.12</v>
      </c>
      <c r="FL19" s="639">
        <f t="shared" si="152"/>
        <v>79004.044800000003</v>
      </c>
      <c r="FM19" s="633">
        <v>0.79</v>
      </c>
      <c r="FN19" s="635">
        <f>'Vtas Diarias 2021'!IW20</f>
        <v>73546.91</v>
      </c>
      <c r="FO19" s="636">
        <f t="shared" si="72"/>
        <v>0.73543144590996945</v>
      </c>
      <c r="FP19" s="639">
        <v>94681.27</v>
      </c>
      <c r="FQ19" s="639">
        <f t="shared" si="153"/>
        <v>71957.765200000009</v>
      </c>
      <c r="FR19" s="633">
        <v>0.76</v>
      </c>
      <c r="FS19" s="635">
        <f>'Vtas Diarias 2021'!KC20</f>
        <v>77447.520000000004</v>
      </c>
      <c r="FT19" s="636">
        <f t="shared" si="74"/>
        <v>0.81798142335860091</v>
      </c>
      <c r="FU19" s="661">
        <f t="shared" si="75"/>
        <v>285541.57339999999</v>
      </c>
      <c r="FV19" s="661">
        <f t="shared" si="76"/>
        <v>384153.77</v>
      </c>
      <c r="FW19" s="663">
        <f t="shared" si="77"/>
        <v>329730.95</v>
      </c>
      <c r="FX19" s="651">
        <f t="shared" si="78"/>
        <v>0.85833063671352228</v>
      </c>
      <c r="FY19" s="645">
        <v>97293.75</v>
      </c>
      <c r="FZ19" s="639">
        <f t="shared" si="154"/>
        <v>72970.3125</v>
      </c>
      <c r="GA19" s="633">
        <v>0.75</v>
      </c>
      <c r="GB19" s="635">
        <f>'Vtas Diarias 2021'!LI20</f>
        <v>73600.67</v>
      </c>
      <c r="GC19" s="636">
        <f t="shared" si="80"/>
        <v>0.75647891051583471</v>
      </c>
      <c r="GD19" s="639">
        <v>89454.41</v>
      </c>
      <c r="GE19" s="639">
        <f t="shared" si="155"/>
        <v>72458.072100000005</v>
      </c>
      <c r="GF19" s="633">
        <v>0.81</v>
      </c>
      <c r="GG19" s="635">
        <f>'Vtas Diarias 2021'!MO20</f>
        <v>67491.850000000006</v>
      </c>
      <c r="GH19" s="636">
        <f t="shared" si="82"/>
        <v>0.75448320546745551</v>
      </c>
      <c r="GI19" s="639">
        <v>83867.37</v>
      </c>
      <c r="GJ19" s="639">
        <f t="shared" si="156"/>
        <v>67093.895999999993</v>
      </c>
      <c r="GK19" s="633">
        <v>0.8</v>
      </c>
      <c r="GL19" s="635">
        <f>'Vtas Diarias 2021'!NU20</f>
        <v>75077.59</v>
      </c>
      <c r="GM19" s="636">
        <f t="shared" si="84"/>
        <v>0.89519428116083766</v>
      </c>
      <c r="GN19" s="639">
        <v>98788.46</v>
      </c>
      <c r="GO19" s="639">
        <f t="shared" si="159"/>
        <v>72115.575800000006</v>
      </c>
      <c r="GP19" s="633">
        <v>0.73</v>
      </c>
      <c r="GQ19" s="635">
        <f>'Vtas Diarias 2021'!PA20</f>
        <v>82301.929999999993</v>
      </c>
      <c r="GR19" s="636">
        <f>GQ19/GN19</f>
        <v>0.83311279475355715</v>
      </c>
      <c r="GS19" s="661">
        <f t="shared" si="86"/>
        <v>284637.85639999999</v>
      </c>
      <c r="GT19" s="661">
        <f t="shared" si="87"/>
        <v>369403.99000000005</v>
      </c>
      <c r="GU19" s="662">
        <f t="shared" si="88"/>
        <v>298472.04000000004</v>
      </c>
      <c r="GV19" s="1598">
        <f t="shared" si="89"/>
        <v>0.80798271832418489</v>
      </c>
      <c r="GW19" s="645">
        <v>92118</v>
      </c>
      <c r="GX19" s="639">
        <f t="shared" si="160"/>
        <v>70009.680000000008</v>
      </c>
      <c r="GY19" s="633">
        <v>0.76</v>
      </c>
      <c r="GZ19" s="635">
        <f>'Vtas Diarias 2021'!QG20</f>
        <v>92683.14</v>
      </c>
      <c r="HA19" s="636">
        <f t="shared" si="91"/>
        <v>1.0061349573373282</v>
      </c>
      <c r="HB19" s="639">
        <v>88719.21</v>
      </c>
      <c r="HC19" s="639">
        <f t="shared" si="161"/>
        <v>69200.983800000002</v>
      </c>
      <c r="HD19" s="633">
        <v>0.78</v>
      </c>
      <c r="HE19" s="635">
        <f>'Vtas Diarias 2021'!RM20</f>
        <v>69728.929999999993</v>
      </c>
      <c r="HF19" s="636">
        <f t="shared" si="93"/>
        <v>0.78595075407005976</v>
      </c>
      <c r="HG19" s="639">
        <v>97943.87</v>
      </c>
      <c r="HH19" s="639">
        <f t="shared" si="162"/>
        <v>75416.779899999994</v>
      </c>
      <c r="HI19" s="633">
        <v>0.77</v>
      </c>
      <c r="HJ19" s="635">
        <f>'Vtas Diarias 2021'!SS20</f>
        <v>73482.8</v>
      </c>
      <c r="HK19" s="636">
        <f t="shared" si="95"/>
        <v>0.7502542017177799</v>
      </c>
      <c r="HL19" s="639">
        <v>81372.17</v>
      </c>
      <c r="HM19" s="639">
        <f t="shared" si="163"/>
        <v>61842.849199999997</v>
      </c>
      <c r="HN19" s="633">
        <v>0.76</v>
      </c>
      <c r="HO19" s="635">
        <f>'Vtas Diarias 2021'!TY20</f>
        <v>66712.39</v>
      </c>
      <c r="HP19" s="636">
        <f t="shared" si="97"/>
        <v>0.8198428283281618</v>
      </c>
      <c r="HQ19" s="639">
        <v>95865.279999999999</v>
      </c>
      <c r="HR19" s="639">
        <f t="shared" si="164"/>
        <v>72857.612800000003</v>
      </c>
      <c r="HS19" s="633">
        <v>0.76</v>
      </c>
      <c r="HT19" s="635">
        <f>'Vtas Diarias 2021'!VE20</f>
        <v>74556.740000000005</v>
      </c>
      <c r="HU19" s="636">
        <f t="shared" si="99"/>
        <v>0.77772411450735868</v>
      </c>
      <c r="HV19" s="661">
        <f t="shared" si="100"/>
        <v>349327.9057</v>
      </c>
      <c r="HW19" s="661">
        <f t="shared" si="101"/>
        <v>456018.53</v>
      </c>
      <c r="HX19" s="663">
        <f t="shared" si="102"/>
        <v>377164</v>
      </c>
      <c r="HY19" s="651">
        <f t="shared" si="103"/>
        <v>0.82708042587655373</v>
      </c>
      <c r="HZ19" s="645">
        <v>87839.58</v>
      </c>
      <c r="IA19" s="639">
        <f t="shared" si="165"/>
        <v>68514.872400000007</v>
      </c>
      <c r="IB19" s="633">
        <v>0.78</v>
      </c>
      <c r="IC19" s="635">
        <f>'Vtas Diarias 2021'!WK20</f>
        <v>70556.290000000008</v>
      </c>
      <c r="ID19" s="636">
        <f t="shared" si="142"/>
        <v>0.80324029327098334</v>
      </c>
      <c r="IE19" s="639">
        <v>100476.13</v>
      </c>
      <c r="IF19" s="639">
        <f t="shared" si="166"/>
        <v>80380.90400000001</v>
      </c>
      <c r="IG19" s="633">
        <v>0.8</v>
      </c>
      <c r="IH19" s="635">
        <f>'Vtas Diarias 2021'!XQ20</f>
        <v>69905.47</v>
      </c>
      <c r="II19" s="636">
        <f t="shared" si="106"/>
        <v>0.69574206331394328</v>
      </c>
      <c r="IJ19" s="639">
        <v>113624.53</v>
      </c>
      <c r="IK19" s="639">
        <f t="shared" si="167"/>
        <v>94308.359899999996</v>
      </c>
      <c r="IL19" s="633">
        <v>0.83</v>
      </c>
      <c r="IM19" s="635">
        <f>'Vtas Diarias 2021'!YW20</f>
        <v>79820.81</v>
      </c>
      <c r="IN19" s="636">
        <f t="shared" si="108"/>
        <v>0.70249628315294244</v>
      </c>
      <c r="IO19" s="639">
        <v>139039.4</v>
      </c>
      <c r="IP19" s="639">
        <f t="shared" si="168"/>
        <v>119573.88399999999</v>
      </c>
      <c r="IQ19" s="633">
        <v>0.86</v>
      </c>
      <c r="IR19" s="635">
        <f>'Vtas Diarias 2021'!AAC20</f>
        <v>130239.57</v>
      </c>
      <c r="IS19" s="636">
        <f t="shared" si="110"/>
        <v>0.93670981031276035</v>
      </c>
      <c r="IT19" s="1577">
        <f t="shared" si="111"/>
        <v>362778.02029999997</v>
      </c>
      <c r="IU19" s="1577">
        <f t="shared" si="112"/>
        <v>440979.64</v>
      </c>
      <c r="IV19" s="1578">
        <f t="shared" si="113"/>
        <v>350522.14</v>
      </c>
      <c r="IW19" s="654">
        <f t="shared" si="114"/>
        <v>0.79487148204846825</v>
      </c>
      <c r="IX19" s="645">
        <v>108727.71</v>
      </c>
      <c r="IY19" s="639">
        <f t="shared" si="169"/>
        <v>93505.830600000001</v>
      </c>
      <c r="IZ19" s="633">
        <v>0.86</v>
      </c>
      <c r="JA19" s="635">
        <f>'Vtas Diarias 2021'!ABI20</f>
        <v>96538.829999999987</v>
      </c>
      <c r="JB19" s="636">
        <f t="shared" si="116"/>
        <v>0.88789536724354801</v>
      </c>
      <c r="JC19" s="639">
        <v>126629.41</v>
      </c>
      <c r="JD19" s="639">
        <f t="shared" si="170"/>
        <v>112700.1749</v>
      </c>
      <c r="JE19" s="633">
        <v>0.89</v>
      </c>
      <c r="JF19" s="635">
        <f>'Vtas Diarias 2021'!ACO20</f>
        <v>89915.54</v>
      </c>
      <c r="JG19" s="636">
        <f t="shared" si="118"/>
        <v>0.7100683798495151</v>
      </c>
      <c r="JH19" s="639">
        <v>139550.35999999999</v>
      </c>
      <c r="JI19" s="639">
        <f t="shared" si="171"/>
        <v>124199.82039999998</v>
      </c>
      <c r="JJ19" s="633">
        <v>0.89</v>
      </c>
      <c r="JK19" s="635">
        <f>'Vtas Diarias 2021'!ADU20</f>
        <v>95781.900000000009</v>
      </c>
      <c r="JL19" s="636">
        <f t="shared" si="120"/>
        <v>0.6863608234332037</v>
      </c>
      <c r="JM19" s="639">
        <v>174375.36</v>
      </c>
      <c r="JN19" s="639">
        <f t="shared" si="172"/>
        <v>139500.288</v>
      </c>
      <c r="JO19" s="633">
        <v>0.8</v>
      </c>
      <c r="JP19" s="635">
        <f>'Vtas Diarias 2021'!AFA20</f>
        <v>128532.94</v>
      </c>
      <c r="JQ19" s="636">
        <f t="shared" si="122"/>
        <v>0.73710494418477479</v>
      </c>
      <c r="JR19" s="636">
        <f t="shared" si="122"/>
        <v>5.2838955012392148E-6</v>
      </c>
      <c r="JS19" s="1577">
        <f t="shared" si="123"/>
        <v>469906.11389999994</v>
      </c>
      <c r="JT19" s="1577">
        <f t="shared" si="124"/>
        <v>549282.84</v>
      </c>
      <c r="JU19" s="1582">
        <f t="shared" si="125"/>
        <v>410769.21</v>
      </c>
      <c r="JV19" s="651">
        <f t="shared" si="126"/>
        <v>0.7478282227058104</v>
      </c>
      <c r="JW19" s="645">
        <v>215333.98</v>
      </c>
      <c r="JX19" s="639">
        <f t="shared" si="173"/>
        <v>150733.78599999999</v>
      </c>
      <c r="JY19" s="633">
        <v>0.7</v>
      </c>
      <c r="JZ19" s="635">
        <f>'Vtas Diarias 2021'!AGG20</f>
        <v>165001.21000000002</v>
      </c>
      <c r="KA19" s="636">
        <f t="shared" si="128"/>
        <v>0.76625718802020937</v>
      </c>
      <c r="KB19" s="639">
        <v>253302.64</v>
      </c>
      <c r="KC19" s="639">
        <f t="shared" si="174"/>
        <v>177311.848</v>
      </c>
      <c r="KD19" s="633">
        <v>0.7</v>
      </c>
      <c r="KE19" s="635">
        <f>'Vtas Diarias 2021'!AHM20</f>
        <v>173305.53</v>
      </c>
      <c r="KF19" s="636">
        <f t="shared" si="130"/>
        <v>0.68418367056892893</v>
      </c>
      <c r="KG19" s="639">
        <v>359387.86</v>
      </c>
      <c r="KH19" s="639">
        <f t="shared" si="175"/>
        <v>251571.50199999998</v>
      </c>
      <c r="KI19" s="633">
        <v>0.7</v>
      </c>
      <c r="KJ19" s="635">
        <f>'Vtas Diarias 2021'!AIS20</f>
        <v>238516.21999999997</v>
      </c>
      <c r="KK19" s="636">
        <f t="shared" si="132"/>
        <v>0.66367355870061939</v>
      </c>
      <c r="KL19" s="639">
        <v>307136.87</v>
      </c>
      <c r="KM19" s="1601">
        <f t="shared" si="176"/>
        <v>371635.6127</v>
      </c>
      <c r="KN19" s="1615">
        <v>1.21</v>
      </c>
      <c r="KO19" s="1602">
        <f>'Vtas Diarias 2021'!AJY20</f>
        <v>402043.93000000005</v>
      </c>
      <c r="KP19" s="636">
        <f t="shared" si="134"/>
        <v>1.3090057536889013</v>
      </c>
      <c r="KQ19" s="639">
        <v>101469.39</v>
      </c>
      <c r="KR19" s="1601">
        <f t="shared" si="177"/>
        <v>91322.451000000001</v>
      </c>
      <c r="KS19" s="1616">
        <v>0.9</v>
      </c>
      <c r="KT19" s="1602">
        <f>'Vtas Diarias 2021'!ALE20</f>
        <v>79248.36</v>
      </c>
      <c r="KU19" s="636">
        <f t="shared" si="136"/>
        <v>0.78100755311527936</v>
      </c>
      <c r="KV19" s="1577">
        <f t="shared" si="137"/>
        <v>1042575.1996999999</v>
      </c>
      <c r="KW19" s="1577">
        <f t="shared" si="2"/>
        <v>1236630.74</v>
      </c>
      <c r="KX19" s="1578">
        <f t="shared" si="3"/>
        <v>1058115.25</v>
      </c>
      <c r="KY19" s="959">
        <f t="shared" si="138"/>
        <v>0.85564365802519193</v>
      </c>
      <c r="KZ19" s="1508">
        <f t="shared" si="143"/>
        <v>6043038.4400000013</v>
      </c>
      <c r="LA19" s="811">
        <f t="shared" si="144"/>
        <v>4863588.8096000003</v>
      </c>
      <c r="LB19" s="1509">
        <f t="shared" si="139"/>
        <v>6043038.4399999995</v>
      </c>
      <c r="LC19" s="811">
        <f t="shared" si="140"/>
        <v>4835572.17</v>
      </c>
      <c r="LD19" s="1575">
        <f t="shared" si="4"/>
        <v>-1207466.2699999996</v>
      </c>
      <c r="LE19" s="1594">
        <f t="shared" si="141"/>
        <v>0.8001888814726783</v>
      </c>
      <c r="LF19" s="1008">
        <f t="shared" si="145"/>
        <v>0.8048250657164443</v>
      </c>
    </row>
    <row r="20" spans="1:320" outlineLevel="1">
      <c r="A20" s="1495"/>
      <c r="B20" s="687" t="s">
        <v>23</v>
      </c>
      <c r="C20" s="645">
        <v>60752.31</v>
      </c>
      <c r="D20" s="639">
        <v>63789.919999999998</v>
      </c>
      <c r="E20" s="633">
        <v>1.05</v>
      </c>
      <c r="F20" s="635">
        <v>45777.68</v>
      </c>
      <c r="G20" s="636">
        <f t="shared" si="5"/>
        <v>0.75351340549849055</v>
      </c>
      <c r="H20" s="639">
        <v>60921.52</v>
      </c>
      <c r="I20" s="639">
        <v>63967.59</v>
      </c>
      <c r="J20" s="633">
        <v>1.05</v>
      </c>
      <c r="K20" s="635">
        <v>29483.53</v>
      </c>
      <c r="L20" s="636">
        <f t="shared" si="6"/>
        <v>0.48395919865426862</v>
      </c>
      <c r="M20" s="639">
        <v>65939.86</v>
      </c>
      <c r="N20" s="639">
        <v>69236.850000000006</v>
      </c>
      <c r="O20" s="633">
        <v>1.05</v>
      </c>
      <c r="P20" s="635">
        <v>41181.33</v>
      </c>
      <c r="Q20" s="636">
        <f t="shared" si="7"/>
        <v>0.62452862350632832</v>
      </c>
      <c r="R20" s="639">
        <v>61062.559999999998</v>
      </c>
      <c r="S20" s="639">
        <v>64115.69</v>
      </c>
      <c r="T20" s="633">
        <v>1.05</v>
      </c>
      <c r="U20" s="635">
        <v>46701.77</v>
      </c>
      <c r="V20" s="636">
        <f t="shared" si="8"/>
        <v>0.76481840918559585</v>
      </c>
      <c r="W20" s="639">
        <f t="shared" si="157"/>
        <v>261110.05</v>
      </c>
      <c r="X20" s="639">
        <f t="shared" si="158"/>
        <v>248676.25</v>
      </c>
      <c r="Y20" s="666">
        <f t="shared" si="9"/>
        <v>163144.31</v>
      </c>
      <c r="Z20" s="646">
        <f t="shared" si="10"/>
        <v>0.65605103020493516</v>
      </c>
      <c r="AA20" s="645">
        <v>58266.74</v>
      </c>
      <c r="AB20" s="639">
        <v>61180.08</v>
      </c>
      <c r="AC20" s="633">
        <v>1.05</v>
      </c>
      <c r="AD20" s="635">
        <v>51645.56</v>
      </c>
      <c r="AE20" s="636">
        <f t="shared" si="11"/>
        <v>0.88636433066274167</v>
      </c>
      <c r="AF20" s="639">
        <v>95654.43</v>
      </c>
      <c r="AG20" s="639">
        <v>100437.15</v>
      </c>
      <c r="AH20" s="633">
        <v>1.05</v>
      </c>
      <c r="AI20" s="635">
        <v>54344.31</v>
      </c>
      <c r="AJ20" s="636">
        <f t="shared" si="12"/>
        <v>0.56813165893100825</v>
      </c>
      <c r="AK20" s="639">
        <v>72941.95</v>
      </c>
      <c r="AL20" s="639">
        <v>76589.039999999994</v>
      </c>
      <c r="AM20" s="633">
        <v>1.05</v>
      </c>
      <c r="AN20" s="635">
        <v>43283.06</v>
      </c>
      <c r="AO20" s="636">
        <f t="shared" si="13"/>
        <v>0.59339049751206263</v>
      </c>
      <c r="AP20" s="639">
        <v>71035.28</v>
      </c>
      <c r="AQ20" s="639">
        <v>74587.039999999994</v>
      </c>
      <c r="AR20" s="633">
        <v>1.05</v>
      </c>
      <c r="AS20" s="635">
        <v>55169.98</v>
      </c>
      <c r="AT20" s="636">
        <v>1.1399999999999999</v>
      </c>
      <c r="AU20" s="639">
        <f t="shared" si="14"/>
        <v>312793.30999999994</v>
      </c>
      <c r="AV20" s="639">
        <f t="shared" si="15"/>
        <v>297898.40000000002</v>
      </c>
      <c r="AW20" s="778">
        <f t="shared" si="16"/>
        <v>204442.91</v>
      </c>
      <c r="AX20" s="665">
        <f t="shared" si="17"/>
        <v>0.68628401495274893</v>
      </c>
      <c r="AY20" s="645">
        <v>78854.39</v>
      </c>
      <c r="AZ20" s="639">
        <v>82797.11</v>
      </c>
      <c r="BA20" s="633">
        <v>1.05</v>
      </c>
      <c r="BB20" s="635">
        <v>54038.720000000001</v>
      </c>
      <c r="BC20" s="636">
        <f t="shared" si="18"/>
        <v>0.68529754652848118</v>
      </c>
      <c r="BD20" s="639">
        <v>86154.81</v>
      </c>
      <c r="BE20" s="639">
        <v>87877.91</v>
      </c>
      <c r="BF20" s="633">
        <v>1.02</v>
      </c>
      <c r="BG20" s="635">
        <v>45444.24</v>
      </c>
      <c r="BH20" s="636">
        <f t="shared" si="19"/>
        <v>0.52747188462257644</v>
      </c>
      <c r="BI20" s="639">
        <v>96156.59</v>
      </c>
      <c r="BJ20" s="639">
        <v>38462.639999999999</v>
      </c>
      <c r="BK20" s="633">
        <v>0.4</v>
      </c>
      <c r="BL20" s="635">
        <v>54805.91</v>
      </c>
      <c r="BM20" s="636">
        <f t="shared" si="20"/>
        <v>0.5699651994730679</v>
      </c>
      <c r="BN20" s="639">
        <v>81478.5</v>
      </c>
      <c r="BO20" s="639">
        <f t="shared" si="21"/>
        <v>52961.025000000001</v>
      </c>
      <c r="BP20" s="633">
        <v>0.65</v>
      </c>
      <c r="BQ20" s="635">
        <v>51367.53</v>
      </c>
      <c r="BR20" s="636">
        <f t="shared" si="22"/>
        <v>0.63044275483716561</v>
      </c>
      <c r="BS20" s="639">
        <v>92815.59</v>
      </c>
      <c r="BT20" s="639">
        <f t="shared" si="23"/>
        <v>60330.133499999996</v>
      </c>
      <c r="BU20" s="633">
        <v>0.65</v>
      </c>
      <c r="BV20" s="635">
        <v>57616.52</v>
      </c>
      <c r="BW20" s="636">
        <f t="shared" si="24"/>
        <v>0.62076338684050814</v>
      </c>
      <c r="BX20" s="661">
        <f t="shared" si="25"/>
        <v>322428.81850000005</v>
      </c>
      <c r="BY20" s="661">
        <f t="shared" si="26"/>
        <v>435459.88</v>
      </c>
      <c r="BZ20" s="663">
        <f t="shared" si="27"/>
        <v>263272.92</v>
      </c>
      <c r="CA20" s="651">
        <f t="shared" si="28"/>
        <v>0.60458593797435478</v>
      </c>
      <c r="CB20" s="645">
        <v>97831.66</v>
      </c>
      <c r="CC20" s="639">
        <f t="shared" si="29"/>
        <v>80221.961200000005</v>
      </c>
      <c r="CD20" s="633">
        <v>0.82</v>
      </c>
      <c r="CE20" s="635">
        <v>52425.99</v>
      </c>
      <c r="CF20" s="636">
        <f t="shared" si="30"/>
        <v>0.53587959153509201</v>
      </c>
      <c r="CG20" s="639">
        <v>92258.7</v>
      </c>
      <c r="CH20" s="639">
        <f t="shared" si="31"/>
        <v>69194.024999999994</v>
      </c>
      <c r="CI20" s="633">
        <v>0.75</v>
      </c>
      <c r="CJ20" s="635">
        <v>57368.639999999999</v>
      </c>
      <c r="CK20" s="636">
        <f t="shared" si="32"/>
        <v>0.62182363289315801</v>
      </c>
      <c r="CL20" s="639">
        <v>91658.05</v>
      </c>
      <c r="CM20" s="639">
        <f t="shared" si="33"/>
        <v>64160.634999999995</v>
      </c>
      <c r="CN20" s="633">
        <v>0.7</v>
      </c>
      <c r="CO20" s="635">
        <v>47216.82</v>
      </c>
      <c r="CP20" s="636">
        <f t="shared" si="34"/>
        <v>0.51514100507265859</v>
      </c>
      <c r="CQ20" s="639">
        <v>127196.24</v>
      </c>
      <c r="CR20" s="639">
        <f t="shared" si="35"/>
        <v>50878.496000000006</v>
      </c>
      <c r="CS20" s="633">
        <v>0.4</v>
      </c>
      <c r="CT20" s="635">
        <v>78311.25</v>
      </c>
      <c r="CU20" s="636">
        <f t="shared" si="36"/>
        <v>0.61567268026161781</v>
      </c>
      <c r="CV20" s="656">
        <f t="shared" si="37"/>
        <v>264455.11719999998</v>
      </c>
      <c r="CW20" s="656">
        <f t="shared" si="38"/>
        <v>408944.64999999997</v>
      </c>
      <c r="CX20" s="657">
        <f t="shared" si="39"/>
        <v>235322.7</v>
      </c>
      <c r="CY20" s="654">
        <f t="shared" si="40"/>
        <v>0.57543899889630545</v>
      </c>
      <c r="CZ20" s="645">
        <v>129493.84</v>
      </c>
      <c r="DA20" s="639">
        <f t="shared" si="41"/>
        <v>64746.92</v>
      </c>
      <c r="DB20" s="633">
        <v>0.5</v>
      </c>
      <c r="DC20" s="635">
        <v>71140.320000000007</v>
      </c>
      <c r="DD20" s="636">
        <f t="shared" si="42"/>
        <v>0.5493722326868985</v>
      </c>
      <c r="DE20" s="639">
        <v>95329.84</v>
      </c>
      <c r="DF20" s="639">
        <f t="shared" si="43"/>
        <v>57197.903999999995</v>
      </c>
      <c r="DG20" s="633">
        <v>0.6</v>
      </c>
      <c r="DH20" s="635">
        <v>81000.25</v>
      </c>
      <c r="DI20" s="636">
        <f t="shared" si="44"/>
        <v>0.84968410730575028</v>
      </c>
      <c r="DJ20" s="639">
        <v>92184.21</v>
      </c>
      <c r="DK20" s="639">
        <f t="shared" si="45"/>
        <v>64528.947</v>
      </c>
      <c r="DL20" s="633">
        <v>0.7</v>
      </c>
      <c r="DM20" s="635">
        <v>63989</v>
      </c>
      <c r="DN20" s="636">
        <f t="shared" si="46"/>
        <v>0.69414273876187682</v>
      </c>
      <c r="DO20" s="639">
        <v>90910.45</v>
      </c>
      <c r="DP20" s="639">
        <f t="shared" si="47"/>
        <v>63104.828745074665</v>
      </c>
      <c r="DQ20" s="633">
        <v>0.69414273876187682</v>
      </c>
      <c r="DR20" s="635">
        <v>63933.37</v>
      </c>
      <c r="DS20" s="636">
        <f t="shared" si="48"/>
        <v>0.70325655631448314</v>
      </c>
      <c r="DT20" s="656">
        <f t="shared" si="49"/>
        <v>249578.59974507464</v>
      </c>
      <c r="DU20" s="656">
        <f t="shared" si="50"/>
        <v>407918.34</v>
      </c>
      <c r="DV20" s="657">
        <f t="shared" si="51"/>
        <v>280062.94</v>
      </c>
      <c r="DW20" s="654">
        <f t="shared" si="52"/>
        <v>0.68656618871316255</v>
      </c>
      <c r="DX20" s="645">
        <v>92676.37</v>
      </c>
      <c r="DY20" s="639">
        <f t="shared" si="53"/>
        <v>65175.264817926873</v>
      </c>
      <c r="DZ20" s="633">
        <v>0.70325655631448314</v>
      </c>
      <c r="EA20" s="635">
        <f>'Vtas Diarias 2021'!AG21</f>
        <v>67206.58</v>
      </c>
      <c r="EB20" s="636">
        <f t="shared" si="54"/>
        <v>0.72517492862527966</v>
      </c>
      <c r="EC20" s="639">
        <v>101457.88</v>
      </c>
      <c r="ED20" s="639">
        <f t="shared" si="146"/>
        <v>73574.710887472189</v>
      </c>
      <c r="EE20" s="633">
        <v>0.72517492862527966</v>
      </c>
      <c r="EF20" s="635">
        <f>'Vtas Diarias 2021'!BM21</f>
        <v>58772.92</v>
      </c>
      <c r="EG20" s="636">
        <f t="shared" si="56"/>
        <v>0.57928393536312794</v>
      </c>
      <c r="EH20" s="639">
        <v>102583.69</v>
      </c>
      <c r="EI20" s="639">
        <f t="shared" si="147"/>
        <v>71808.582999999999</v>
      </c>
      <c r="EJ20" s="633">
        <v>0.7</v>
      </c>
      <c r="EK20" s="635">
        <f>'Vtas Diarias 2021'!CS21</f>
        <v>79086.87000000001</v>
      </c>
      <c r="EL20" s="636">
        <f t="shared" si="58"/>
        <v>0.77094974844441655</v>
      </c>
      <c r="EM20" s="639">
        <v>104877.4</v>
      </c>
      <c r="EN20" s="639">
        <f t="shared" si="148"/>
        <v>78658.049999999988</v>
      </c>
      <c r="EO20" s="633">
        <v>0.75</v>
      </c>
      <c r="EP20" s="635">
        <f>'Vtas Diarias 2021'!DY21</f>
        <v>71194.03</v>
      </c>
      <c r="EQ20" s="636">
        <f t="shared" si="60"/>
        <v>0.6788309969545393</v>
      </c>
      <c r="ER20" s="639">
        <v>111722.5</v>
      </c>
      <c r="ES20" s="639">
        <f t="shared" si="149"/>
        <v>72619.625</v>
      </c>
      <c r="ET20" s="633">
        <v>0.65</v>
      </c>
      <c r="EU20" s="635">
        <f>'Vtas Diarias 2021'!FE21</f>
        <v>67036.05</v>
      </c>
      <c r="EV20" s="636">
        <f t="shared" si="62"/>
        <v>0.60002282440869126</v>
      </c>
      <c r="EW20" s="661">
        <f t="shared" si="63"/>
        <v>361836.23370539903</v>
      </c>
      <c r="EX20" s="956">
        <f t="shared" si="64"/>
        <v>513317.83999999997</v>
      </c>
      <c r="EY20" s="662">
        <f t="shared" si="65"/>
        <v>343296.45</v>
      </c>
      <c r="EZ20" s="654">
        <f t="shared" si="66"/>
        <v>0.66877950316318646</v>
      </c>
      <c r="FA20" s="645">
        <v>97503.29</v>
      </c>
      <c r="FB20" s="639">
        <f t="shared" si="150"/>
        <v>68252.302999999985</v>
      </c>
      <c r="FC20" s="633">
        <v>0.7</v>
      </c>
      <c r="FD20" s="635">
        <f>'Vtas Diarias 2021'!GK21</f>
        <v>69763.840000000011</v>
      </c>
      <c r="FE20" s="636">
        <f t="shared" si="68"/>
        <v>0.71550242048242696</v>
      </c>
      <c r="FF20" s="639">
        <v>110031.85</v>
      </c>
      <c r="FG20" s="639">
        <f t="shared" si="151"/>
        <v>79222.932000000001</v>
      </c>
      <c r="FH20" s="633">
        <v>0.72</v>
      </c>
      <c r="FI20" s="635">
        <f>'Vtas Diarias 2021'!HQ21</f>
        <v>68923.539999999994</v>
      </c>
      <c r="FJ20" s="636">
        <f t="shared" si="70"/>
        <v>0.62639626617202193</v>
      </c>
      <c r="FK20" s="639">
        <v>99897.42</v>
      </c>
      <c r="FL20" s="639">
        <f t="shared" si="152"/>
        <v>78918.961800000005</v>
      </c>
      <c r="FM20" s="633">
        <v>0.79</v>
      </c>
      <c r="FN20" s="635">
        <f>'Vtas Diarias 2021'!IW21</f>
        <v>78690.17</v>
      </c>
      <c r="FO20" s="636">
        <f t="shared" si="72"/>
        <v>0.787709732643746</v>
      </c>
      <c r="FP20" s="639">
        <v>94310.78</v>
      </c>
      <c r="FQ20" s="639">
        <f t="shared" si="153"/>
        <v>71676.192800000004</v>
      </c>
      <c r="FR20" s="633">
        <v>0.76</v>
      </c>
      <c r="FS20" s="635">
        <f>'Vtas Diarias 2021'!KC21</f>
        <v>65793.89</v>
      </c>
      <c r="FT20" s="636">
        <f t="shared" si="74"/>
        <v>0.69762852136309339</v>
      </c>
      <c r="FU20" s="661">
        <f t="shared" si="75"/>
        <v>298070.38959999999</v>
      </c>
      <c r="FV20" s="661">
        <f t="shared" si="76"/>
        <v>401743.33999999997</v>
      </c>
      <c r="FW20" s="663">
        <f t="shared" si="77"/>
        <v>283171.44</v>
      </c>
      <c r="FX20" s="651">
        <f t="shared" si="78"/>
        <v>0.70485658828843312</v>
      </c>
      <c r="FY20" s="645">
        <v>98510.96</v>
      </c>
      <c r="FZ20" s="639">
        <f t="shared" si="154"/>
        <v>73883.22</v>
      </c>
      <c r="GA20" s="633">
        <v>0.75</v>
      </c>
      <c r="GB20" s="635">
        <f>'Vtas Diarias 2021'!LI21</f>
        <v>67254.670000000013</v>
      </c>
      <c r="GC20" s="636">
        <f t="shared" si="80"/>
        <v>0.6827125631503338</v>
      </c>
      <c r="GD20" s="639">
        <v>95254.19</v>
      </c>
      <c r="GE20" s="639">
        <f t="shared" si="155"/>
        <v>77155.89390000001</v>
      </c>
      <c r="GF20" s="633">
        <v>0.81</v>
      </c>
      <c r="GG20" s="635">
        <f>'Vtas Diarias 2021'!MO21</f>
        <v>67307.739999999991</v>
      </c>
      <c r="GH20" s="636">
        <f t="shared" si="82"/>
        <v>0.70661185612937327</v>
      </c>
      <c r="GI20" s="639">
        <v>85007.67</v>
      </c>
      <c r="GJ20" s="639">
        <f t="shared" si="156"/>
        <v>68006.135999999999</v>
      </c>
      <c r="GK20" s="633">
        <v>0.8</v>
      </c>
      <c r="GL20" s="635">
        <f>'Vtas Diarias 2021'!NU21</f>
        <v>67156.41</v>
      </c>
      <c r="GM20" s="636">
        <f t="shared" si="84"/>
        <v>0.79000412551008636</v>
      </c>
      <c r="GN20" s="639">
        <v>87846.76</v>
      </c>
      <c r="GO20" s="639">
        <f t="shared" si="159"/>
        <v>64128.134799999993</v>
      </c>
      <c r="GP20" s="633">
        <v>0.73</v>
      </c>
      <c r="GQ20" s="635">
        <f>'Vtas Diarias 2021'!PA21</f>
        <v>70045.320000000007</v>
      </c>
      <c r="GR20" s="636">
        <f>GQ20/GN20</f>
        <v>0.79735803574315101</v>
      </c>
      <c r="GS20" s="661">
        <f t="shared" si="86"/>
        <v>283173.38470000005</v>
      </c>
      <c r="GT20" s="661">
        <f t="shared" si="87"/>
        <v>366619.58</v>
      </c>
      <c r="GU20" s="662">
        <f t="shared" si="88"/>
        <v>271764.14</v>
      </c>
      <c r="GV20" s="1598">
        <f t="shared" si="89"/>
        <v>0.74127011983375246</v>
      </c>
      <c r="GW20" s="645">
        <v>87633</v>
      </c>
      <c r="GX20" s="639">
        <f t="shared" si="160"/>
        <v>66601.08</v>
      </c>
      <c r="GY20" s="633">
        <v>0.76</v>
      </c>
      <c r="GZ20" s="635">
        <f>'Vtas Diarias 2021'!QG21</f>
        <v>75819.8</v>
      </c>
      <c r="HA20" s="636">
        <f t="shared" si="91"/>
        <v>0.86519690071091948</v>
      </c>
      <c r="HB20" s="639">
        <v>97274.02</v>
      </c>
      <c r="HC20" s="639">
        <f t="shared" si="161"/>
        <v>75873.7356</v>
      </c>
      <c r="HD20" s="633">
        <v>0.78</v>
      </c>
      <c r="HE20" s="635">
        <f>'Vtas Diarias 2021'!RM21</f>
        <v>68681.540000000008</v>
      </c>
      <c r="HF20" s="636">
        <f t="shared" si="93"/>
        <v>0.70606252316908469</v>
      </c>
      <c r="HG20" s="639">
        <v>78761.13</v>
      </c>
      <c r="HH20" s="639">
        <f t="shared" si="162"/>
        <v>60646.070100000004</v>
      </c>
      <c r="HI20" s="633">
        <v>0.77</v>
      </c>
      <c r="HJ20" s="635">
        <f>'Vtas Diarias 2021'!SS21</f>
        <v>66043.5</v>
      </c>
      <c r="HK20" s="636">
        <f t="shared" si="95"/>
        <v>0.83852910693383897</v>
      </c>
      <c r="HL20" s="639">
        <v>77411.100000000006</v>
      </c>
      <c r="HM20" s="639">
        <f t="shared" si="163"/>
        <v>58832.436000000002</v>
      </c>
      <c r="HN20" s="633">
        <v>0.76</v>
      </c>
      <c r="HO20" s="635">
        <f>'Vtas Diarias 2021'!TY21</f>
        <v>53686.479999999996</v>
      </c>
      <c r="HP20" s="808">
        <f t="shared" si="97"/>
        <v>0.69352431369661449</v>
      </c>
      <c r="HQ20" s="639">
        <v>86505.279999999999</v>
      </c>
      <c r="HR20" s="639">
        <f t="shared" si="164"/>
        <v>65744.012799999997</v>
      </c>
      <c r="HS20" s="633">
        <v>0.76</v>
      </c>
      <c r="HT20" s="635">
        <f>'Vtas Diarias 2021'!VE21</f>
        <v>61669.49</v>
      </c>
      <c r="HU20" s="636">
        <f t="shared" si="99"/>
        <v>0.71289856526676754</v>
      </c>
      <c r="HV20" s="661">
        <f t="shared" si="100"/>
        <v>327697.3345</v>
      </c>
      <c r="HW20" s="661">
        <f t="shared" si="101"/>
        <v>427584.53</v>
      </c>
      <c r="HX20" s="663">
        <f t="shared" si="102"/>
        <v>325900.81</v>
      </c>
      <c r="HY20" s="651">
        <f t="shared" si="103"/>
        <v>0.76219036736431967</v>
      </c>
      <c r="HZ20" s="645">
        <v>79513.820000000007</v>
      </c>
      <c r="IA20" s="639">
        <f t="shared" si="165"/>
        <v>56454.8122</v>
      </c>
      <c r="IB20" s="633">
        <v>0.71</v>
      </c>
      <c r="IC20" s="635">
        <f>'Vtas Diarias 2021'!WK21</f>
        <v>72039.87</v>
      </c>
      <c r="ID20" s="636">
        <f t="shared" si="142"/>
        <v>0.90600439018022261</v>
      </c>
      <c r="IE20" s="639">
        <v>88248.57</v>
      </c>
      <c r="IF20" s="639">
        <f t="shared" si="166"/>
        <v>64421.456100000003</v>
      </c>
      <c r="IG20" s="633">
        <v>0.73</v>
      </c>
      <c r="IH20" s="635">
        <f>'Vtas Diarias 2021'!XQ21</f>
        <v>79103.679999999993</v>
      </c>
      <c r="II20" s="636">
        <f t="shared" si="106"/>
        <v>0.8963735049757745</v>
      </c>
      <c r="IJ20" s="639">
        <v>92199.84</v>
      </c>
      <c r="IK20" s="639">
        <f t="shared" si="167"/>
        <v>70071.878400000001</v>
      </c>
      <c r="IL20" s="633">
        <v>0.76</v>
      </c>
      <c r="IM20" s="635">
        <f>'Vtas Diarias 2021'!YW21</f>
        <v>75680.59</v>
      </c>
      <c r="IN20" s="636">
        <f t="shared" si="108"/>
        <v>0.82083211858068295</v>
      </c>
      <c r="IO20" s="639">
        <v>129860.18</v>
      </c>
      <c r="IP20" s="639">
        <f t="shared" si="168"/>
        <v>102589.5422</v>
      </c>
      <c r="IQ20" s="633">
        <v>0.79</v>
      </c>
      <c r="IR20" s="635">
        <f>'Vtas Diarias 2021'!AAC21</f>
        <v>118339.47</v>
      </c>
      <c r="IS20" s="636">
        <f t="shared" si="110"/>
        <v>0.91128373609215707</v>
      </c>
      <c r="IT20" s="1577">
        <f t="shared" si="111"/>
        <v>293537.68890000001</v>
      </c>
      <c r="IU20" s="1577">
        <f t="shared" si="112"/>
        <v>389822.41000000003</v>
      </c>
      <c r="IV20" s="1578">
        <f t="shared" si="113"/>
        <v>345163.61</v>
      </c>
      <c r="IW20" s="654">
        <f t="shared" si="114"/>
        <v>0.88543808961624337</v>
      </c>
      <c r="IX20" s="645">
        <v>74861.77</v>
      </c>
      <c r="IY20" s="639">
        <f t="shared" si="169"/>
        <v>59889.416000000005</v>
      </c>
      <c r="IZ20" s="633">
        <v>0.8</v>
      </c>
      <c r="JA20" s="635">
        <f>'Vtas Diarias 2021'!ABI21</f>
        <v>87482.06</v>
      </c>
      <c r="JB20" s="636">
        <f t="shared" si="116"/>
        <v>1.1685812397970285</v>
      </c>
      <c r="JC20" s="639">
        <v>117992.46</v>
      </c>
      <c r="JD20" s="639">
        <f t="shared" si="170"/>
        <v>96753.817200000005</v>
      </c>
      <c r="JE20" s="633">
        <v>0.82</v>
      </c>
      <c r="JF20" s="635">
        <f>'Vtas Diarias 2021'!ACO21</f>
        <v>79565.290000000008</v>
      </c>
      <c r="JG20" s="636">
        <f t="shared" si="118"/>
        <v>0.67432520688186348</v>
      </c>
      <c r="JH20" s="639">
        <v>122236.75</v>
      </c>
      <c r="JI20" s="639">
        <f t="shared" si="171"/>
        <v>100234.13499999999</v>
      </c>
      <c r="JJ20" s="633">
        <v>0.82</v>
      </c>
      <c r="JK20" s="635">
        <f>'Vtas Diarias 2021'!ADU21</f>
        <v>97508.05</v>
      </c>
      <c r="JL20" s="636">
        <f t="shared" si="120"/>
        <v>0.79769831904071409</v>
      </c>
      <c r="JM20" s="639">
        <v>164305.46</v>
      </c>
      <c r="JN20" s="639">
        <f t="shared" si="172"/>
        <v>134730.47719999999</v>
      </c>
      <c r="JO20" s="633">
        <v>0.82</v>
      </c>
      <c r="JP20" s="635">
        <f>'Vtas Diarias 2021'!AFA21</f>
        <v>105242.26000000001</v>
      </c>
      <c r="JQ20" s="636">
        <f t="shared" si="122"/>
        <v>0.64052807496476394</v>
      </c>
      <c r="JR20" s="636">
        <f t="shared" si="122"/>
        <v>4.7541438899079619E-6</v>
      </c>
      <c r="JS20" s="1577">
        <f t="shared" si="123"/>
        <v>391607.84539999999</v>
      </c>
      <c r="JT20" s="1577">
        <f t="shared" si="124"/>
        <v>479396.43999999994</v>
      </c>
      <c r="JU20" s="1582">
        <f t="shared" si="125"/>
        <v>369797.66000000003</v>
      </c>
      <c r="JV20" s="651">
        <f t="shared" si="126"/>
        <v>0.77138173992280812</v>
      </c>
      <c r="JW20" s="645">
        <v>171933.75</v>
      </c>
      <c r="JX20" s="639">
        <f t="shared" si="173"/>
        <v>128950.3125</v>
      </c>
      <c r="JY20" s="633">
        <v>0.75</v>
      </c>
      <c r="JZ20" s="635">
        <f>'Vtas Diarias 2021'!AGG21</f>
        <v>135730.89000000001</v>
      </c>
      <c r="KA20" s="636">
        <f t="shared" si="128"/>
        <v>0.78943715239154622</v>
      </c>
      <c r="KB20" s="639">
        <v>211476.74</v>
      </c>
      <c r="KC20" s="639">
        <f t="shared" si="174"/>
        <v>158607.55499999999</v>
      </c>
      <c r="KD20" s="633">
        <v>0.75</v>
      </c>
      <c r="KE20" s="635">
        <f>'Vtas Diarias 2021'!AHM21</f>
        <v>139233.83000000002</v>
      </c>
      <c r="KF20" s="636">
        <f t="shared" si="130"/>
        <v>0.65838838824544021</v>
      </c>
      <c r="KG20" s="639">
        <v>258210.2</v>
      </c>
      <c r="KH20" s="639">
        <f t="shared" si="175"/>
        <v>193657.65000000002</v>
      </c>
      <c r="KI20" s="633">
        <v>0.75</v>
      </c>
      <c r="KJ20" s="635">
        <f>'Vtas Diarias 2021'!AIS21</f>
        <v>168422.39</v>
      </c>
      <c r="KK20" s="636">
        <f t="shared" si="132"/>
        <v>0.65226853935282192</v>
      </c>
      <c r="KL20" s="639">
        <v>226078.91</v>
      </c>
      <c r="KM20" s="1601">
        <f t="shared" si="176"/>
        <v>291641.79389999999</v>
      </c>
      <c r="KN20" s="1615">
        <v>1.29</v>
      </c>
      <c r="KO20" s="1602">
        <f>'Vtas Diarias 2021'!AJY21</f>
        <v>326862.76</v>
      </c>
      <c r="KP20" s="636">
        <f t="shared" si="134"/>
        <v>1.4457905870122958</v>
      </c>
      <c r="KQ20" s="639">
        <v>79297.100000000006</v>
      </c>
      <c r="KR20" s="1601">
        <f t="shared" si="177"/>
        <v>68988.476999999999</v>
      </c>
      <c r="KS20" s="1616">
        <v>0.87</v>
      </c>
      <c r="KT20" s="1602">
        <f>'Vtas Diarias 2021'!ALE21</f>
        <v>76651</v>
      </c>
      <c r="KU20" s="636">
        <f t="shared" si="136"/>
        <v>0.96663055773792472</v>
      </c>
      <c r="KV20" s="1577">
        <f t="shared" si="137"/>
        <v>841845.78839999996</v>
      </c>
      <c r="KW20" s="1577">
        <f t="shared" si="2"/>
        <v>946996.7</v>
      </c>
      <c r="KX20" s="1578">
        <f t="shared" si="3"/>
        <v>846900.87</v>
      </c>
      <c r="KY20" s="959">
        <f t="shared" si="138"/>
        <v>0.89430181752481297</v>
      </c>
      <c r="KZ20" s="1508">
        <f t="shared" si="143"/>
        <v>5324378.3599999994</v>
      </c>
      <c r="LA20" s="811">
        <f t="shared" si="144"/>
        <v>3899166.4671999994</v>
      </c>
      <c r="LB20" s="1509">
        <f t="shared" si="139"/>
        <v>5324378.3600000003</v>
      </c>
      <c r="LC20" s="811">
        <f t="shared" si="140"/>
        <v>3932240.76</v>
      </c>
      <c r="LD20" s="1575">
        <f>LC20-LB20</f>
        <v>-1392137.6000000006</v>
      </c>
      <c r="LE20" s="1594">
        <f t="shared" si="141"/>
        <v>0.73853518554229869</v>
      </c>
      <c r="LF20" s="1008">
        <f t="shared" si="145"/>
        <v>0.7323233255722269</v>
      </c>
    </row>
    <row r="21" spans="1:320" outlineLevel="1">
      <c r="A21" s="1495"/>
      <c r="B21" s="687" t="s">
        <v>24</v>
      </c>
      <c r="C21" s="645">
        <v>86355.6</v>
      </c>
      <c r="D21" s="639">
        <v>90673.38</v>
      </c>
      <c r="E21" s="633">
        <v>1.05</v>
      </c>
      <c r="F21" s="635">
        <v>77741.210000000006</v>
      </c>
      <c r="G21" s="636">
        <f t="shared" si="5"/>
        <v>0.90024514912756093</v>
      </c>
      <c r="H21" s="639">
        <v>84833.07</v>
      </c>
      <c r="I21" s="639">
        <v>89074.73</v>
      </c>
      <c r="J21" s="633">
        <v>1.05</v>
      </c>
      <c r="K21" s="635">
        <v>60518.84</v>
      </c>
      <c r="L21" s="636">
        <f t="shared" si="6"/>
        <v>0.71338736179181061</v>
      </c>
      <c r="M21" s="639">
        <v>82390.25</v>
      </c>
      <c r="N21" s="639">
        <v>86509.759999999995</v>
      </c>
      <c r="O21" s="633">
        <v>1.05</v>
      </c>
      <c r="P21" s="635">
        <v>62562.04</v>
      </c>
      <c r="Q21" s="636">
        <f t="shared" si="7"/>
        <v>0.75933790709458948</v>
      </c>
      <c r="R21" s="639">
        <v>88074.63</v>
      </c>
      <c r="S21" s="639">
        <v>92478.36</v>
      </c>
      <c r="T21" s="633">
        <v>1.05</v>
      </c>
      <c r="U21" s="635">
        <v>59562.89</v>
      </c>
      <c r="V21" s="636">
        <f t="shared" si="8"/>
        <v>0.67627749330312259</v>
      </c>
      <c r="W21" s="639">
        <f t="shared" si="157"/>
        <v>358736.23</v>
      </c>
      <c r="X21" s="639">
        <f t="shared" si="158"/>
        <v>341653.55000000005</v>
      </c>
      <c r="Y21" s="666">
        <f t="shared" si="9"/>
        <v>260384.97999999998</v>
      </c>
      <c r="Z21" s="646">
        <f t="shared" si="10"/>
        <v>0.76213163890730817</v>
      </c>
      <c r="AA21" s="645">
        <v>101302.3</v>
      </c>
      <c r="AB21" s="639">
        <v>106367.42</v>
      </c>
      <c r="AC21" s="633">
        <v>1.05</v>
      </c>
      <c r="AD21" s="635">
        <v>69155.199999999997</v>
      </c>
      <c r="AE21" s="636">
        <f t="shared" si="11"/>
        <v>0.68266169672356891</v>
      </c>
      <c r="AF21" s="639">
        <v>138577.74</v>
      </c>
      <c r="AG21" s="639">
        <v>145506.63</v>
      </c>
      <c r="AH21" s="633">
        <v>1.05</v>
      </c>
      <c r="AI21" s="635">
        <v>77467.61</v>
      </c>
      <c r="AJ21" s="636">
        <f t="shared" si="12"/>
        <v>0.55901914694235888</v>
      </c>
      <c r="AK21" s="639">
        <v>105919.93</v>
      </c>
      <c r="AL21" s="639">
        <v>111215.92</v>
      </c>
      <c r="AM21" s="633">
        <v>1.05</v>
      </c>
      <c r="AN21" s="635">
        <v>65010.16</v>
      </c>
      <c r="AO21" s="636">
        <f t="shared" si="13"/>
        <v>0.61376702193817545</v>
      </c>
      <c r="AP21" s="639">
        <v>114721.95</v>
      </c>
      <c r="AQ21" s="639">
        <v>120458.05</v>
      </c>
      <c r="AR21" s="633">
        <v>1.05</v>
      </c>
      <c r="AS21" s="635">
        <v>69980.539999999994</v>
      </c>
      <c r="AT21" s="636">
        <v>0.87</v>
      </c>
      <c r="AU21" s="639">
        <f t="shared" si="14"/>
        <v>483548.01999999996</v>
      </c>
      <c r="AV21" s="639">
        <f t="shared" si="15"/>
        <v>460521.92</v>
      </c>
      <c r="AW21" s="778">
        <f t="shared" si="16"/>
        <v>281613.51</v>
      </c>
      <c r="AX21" s="665">
        <f t="shared" si="17"/>
        <v>0.61150945865942719</v>
      </c>
      <c r="AY21" s="645">
        <v>121685.07</v>
      </c>
      <c r="AZ21" s="639">
        <v>127769.33</v>
      </c>
      <c r="BA21" s="633">
        <v>1.05</v>
      </c>
      <c r="BB21" s="635">
        <v>58879.7</v>
      </c>
      <c r="BC21" s="636">
        <f t="shared" si="18"/>
        <v>0.48386954948540517</v>
      </c>
      <c r="BD21" s="639">
        <v>123370.9</v>
      </c>
      <c r="BE21" s="639">
        <v>125838.32</v>
      </c>
      <c r="BF21" s="633">
        <v>1.02</v>
      </c>
      <c r="BG21" s="635">
        <v>60893.919999999998</v>
      </c>
      <c r="BH21" s="636">
        <f t="shared" si="19"/>
        <v>0.49358414342442181</v>
      </c>
      <c r="BI21" s="639">
        <v>126371.65</v>
      </c>
      <c r="BJ21" s="639">
        <v>50548.66</v>
      </c>
      <c r="BK21" s="633">
        <v>0.4</v>
      </c>
      <c r="BL21" s="635">
        <v>74267.92</v>
      </c>
      <c r="BM21" s="636">
        <f t="shared" si="20"/>
        <v>0.58769447103048822</v>
      </c>
      <c r="BN21" s="639">
        <v>128797.93</v>
      </c>
      <c r="BO21" s="639">
        <f t="shared" si="21"/>
        <v>83718.654500000004</v>
      </c>
      <c r="BP21" s="633">
        <v>0.65</v>
      </c>
      <c r="BQ21" s="635">
        <v>80008.53</v>
      </c>
      <c r="BR21" s="636">
        <f t="shared" si="22"/>
        <v>0.62119422260901247</v>
      </c>
      <c r="BS21" s="639">
        <v>136642.93</v>
      </c>
      <c r="BT21" s="639">
        <f t="shared" si="23"/>
        <v>88817.904500000004</v>
      </c>
      <c r="BU21" s="633">
        <v>0.65</v>
      </c>
      <c r="BV21" s="635">
        <v>90053.17</v>
      </c>
      <c r="BW21" s="636">
        <f t="shared" si="24"/>
        <v>0.65904009815948772</v>
      </c>
      <c r="BX21" s="661">
        <f t="shared" si="25"/>
        <v>476692.86900000006</v>
      </c>
      <c r="BY21" s="661">
        <f t="shared" si="26"/>
        <v>636868.48</v>
      </c>
      <c r="BZ21" s="663">
        <f t="shared" si="27"/>
        <v>364103.24</v>
      </c>
      <c r="CA21" s="651">
        <f t="shared" si="28"/>
        <v>0.57170868308634148</v>
      </c>
      <c r="CB21" s="645">
        <v>128843.65</v>
      </c>
      <c r="CC21" s="639">
        <f t="shared" si="29"/>
        <v>105651.79299999999</v>
      </c>
      <c r="CD21" s="633">
        <v>0.82</v>
      </c>
      <c r="CE21" s="635">
        <v>70622.98</v>
      </c>
      <c r="CF21" s="636">
        <f t="shared" si="30"/>
        <v>0.54812930245301184</v>
      </c>
      <c r="CG21" s="639">
        <v>134527.21</v>
      </c>
      <c r="CH21" s="639">
        <f t="shared" si="31"/>
        <v>100895.4075</v>
      </c>
      <c r="CI21" s="633">
        <v>0.75</v>
      </c>
      <c r="CJ21" s="635">
        <v>74379.289999999994</v>
      </c>
      <c r="CK21" s="636">
        <f t="shared" si="32"/>
        <v>0.55289402047362757</v>
      </c>
      <c r="CL21" s="639">
        <v>129816.97</v>
      </c>
      <c r="CM21" s="639">
        <f t="shared" si="33"/>
        <v>90871.879000000001</v>
      </c>
      <c r="CN21" s="633">
        <v>0.7</v>
      </c>
      <c r="CO21" s="635">
        <v>54618.05</v>
      </c>
      <c r="CP21" s="636">
        <f t="shared" si="34"/>
        <v>0.4207312033241879</v>
      </c>
      <c r="CQ21" s="639">
        <v>155526.89000000001</v>
      </c>
      <c r="CR21" s="639">
        <f t="shared" si="35"/>
        <v>65435.01557896861</v>
      </c>
      <c r="CS21" s="633">
        <v>0.4207312033241879</v>
      </c>
      <c r="CT21" s="635">
        <v>93676.91</v>
      </c>
      <c r="CU21" s="636">
        <f t="shared" si="36"/>
        <v>0.60231970175704019</v>
      </c>
      <c r="CV21" s="656">
        <f t="shared" si="37"/>
        <v>362854.09507896862</v>
      </c>
      <c r="CW21" s="656">
        <f t="shared" si="38"/>
        <v>548714.72</v>
      </c>
      <c r="CX21" s="657">
        <f t="shared" si="39"/>
        <v>293297.23</v>
      </c>
      <c r="CY21" s="654">
        <f t="shared" si="40"/>
        <v>0.53451678861467389</v>
      </c>
      <c r="CZ21" s="645">
        <v>173293.67</v>
      </c>
      <c r="DA21" s="639">
        <f t="shared" si="41"/>
        <v>86646.835000000006</v>
      </c>
      <c r="DB21" s="633">
        <v>0.5</v>
      </c>
      <c r="DC21" s="635">
        <v>90867.71</v>
      </c>
      <c r="DD21" s="636">
        <f t="shared" si="42"/>
        <v>0.5243567754090499</v>
      </c>
      <c r="DE21" s="639">
        <v>136921.97</v>
      </c>
      <c r="DF21" s="639">
        <f t="shared" si="43"/>
        <v>82153.182000000001</v>
      </c>
      <c r="DG21" s="633">
        <v>0.6</v>
      </c>
      <c r="DH21" s="635">
        <v>95929.18</v>
      </c>
      <c r="DI21" s="636">
        <f t="shared" si="44"/>
        <v>0.7006120347231346</v>
      </c>
      <c r="DJ21" s="639">
        <v>112056.34</v>
      </c>
      <c r="DK21" s="639">
        <f t="shared" si="45"/>
        <v>78439.437999999995</v>
      </c>
      <c r="DL21" s="633">
        <v>0.7</v>
      </c>
      <c r="DM21" s="635">
        <v>83488.91</v>
      </c>
      <c r="DN21" s="636">
        <f t="shared" si="46"/>
        <v>0.74506190368166592</v>
      </c>
      <c r="DO21" s="639">
        <v>118401.18</v>
      </c>
      <c r="DP21" s="639">
        <f t="shared" si="47"/>
        <v>88216.208568955582</v>
      </c>
      <c r="DQ21" s="633">
        <v>0.74506190368166592</v>
      </c>
      <c r="DR21" s="635">
        <v>82112.73</v>
      </c>
      <c r="DS21" s="636">
        <f t="shared" si="48"/>
        <v>0.69351276735586587</v>
      </c>
      <c r="DT21" s="656">
        <f t="shared" si="49"/>
        <v>335455.66356895556</v>
      </c>
      <c r="DU21" s="656">
        <f t="shared" si="50"/>
        <v>540673.15999999992</v>
      </c>
      <c r="DV21" s="657">
        <f t="shared" si="51"/>
        <v>352398.53</v>
      </c>
      <c r="DW21" s="654">
        <f t="shared" si="52"/>
        <v>0.65177736952949561</v>
      </c>
      <c r="DX21" s="645">
        <v>131974.10999999999</v>
      </c>
      <c r="DY21" s="639">
        <f t="shared" si="53"/>
        <v>91525.730245427447</v>
      </c>
      <c r="DZ21" s="633">
        <v>0.69351276735586587</v>
      </c>
      <c r="EA21" s="635">
        <f>'Vtas Diarias 2021'!AG22</f>
        <v>100699.40000000001</v>
      </c>
      <c r="EB21" s="636">
        <f t="shared" si="54"/>
        <v>0.76302389915719093</v>
      </c>
      <c r="EC21" s="639">
        <v>140027.07999999999</v>
      </c>
      <c r="ED21" s="639">
        <f t="shared" si="146"/>
        <v>106844.0085691959</v>
      </c>
      <c r="EE21" s="633">
        <v>0.76302389915719093</v>
      </c>
      <c r="EF21" s="635">
        <f>'Vtas Diarias 2021'!BM22</f>
        <v>100229.20999999999</v>
      </c>
      <c r="EG21" s="636">
        <f t="shared" si="56"/>
        <v>0.71578447540290069</v>
      </c>
      <c r="EH21" s="639">
        <v>157648.82999999999</v>
      </c>
      <c r="EI21" s="639">
        <f t="shared" si="147"/>
        <v>110354.18099999998</v>
      </c>
      <c r="EJ21" s="633">
        <v>0.7</v>
      </c>
      <c r="EK21" s="635">
        <f>'Vtas Diarias 2021'!CS22</f>
        <v>99095.01</v>
      </c>
      <c r="EL21" s="636">
        <f t="shared" si="58"/>
        <v>0.62858068784906307</v>
      </c>
      <c r="EM21" s="639">
        <v>138517.1</v>
      </c>
      <c r="EN21" s="639">
        <f t="shared" si="148"/>
        <v>110813.68000000001</v>
      </c>
      <c r="EO21" s="633">
        <v>0.8</v>
      </c>
      <c r="EP21" s="635">
        <f>'Vtas Diarias 2021'!DY22</f>
        <v>101192.60999999999</v>
      </c>
      <c r="EQ21" s="636">
        <f t="shared" si="60"/>
        <v>0.73054236624936542</v>
      </c>
      <c r="ER21" s="639">
        <v>138371.54</v>
      </c>
      <c r="ES21" s="639">
        <f t="shared" si="149"/>
        <v>89941.501000000004</v>
      </c>
      <c r="ET21" s="633">
        <v>0.65</v>
      </c>
      <c r="EU21" s="635">
        <f>'Vtas Diarias 2021'!FE22</f>
        <v>87271.599999999991</v>
      </c>
      <c r="EV21" s="636">
        <f t="shared" si="62"/>
        <v>0.63070484002707483</v>
      </c>
      <c r="EW21" s="661">
        <f t="shared" si="63"/>
        <v>509479.10081462329</v>
      </c>
      <c r="EX21" s="956">
        <f t="shared" si="64"/>
        <v>706538.65999999992</v>
      </c>
      <c r="EY21" s="662">
        <f t="shared" si="65"/>
        <v>488487.82999999996</v>
      </c>
      <c r="EZ21" s="654">
        <f t="shared" si="66"/>
        <v>0.69138160111436797</v>
      </c>
      <c r="FA21" s="645">
        <v>127343.02</v>
      </c>
      <c r="FB21" s="639">
        <f t="shared" si="150"/>
        <v>89140.114000000001</v>
      </c>
      <c r="FC21" s="633">
        <v>0.7</v>
      </c>
      <c r="FD21" s="635">
        <f>'Vtas Diarias 2021'!GK22</f>
        <v>84960.12000000001</v>
      </c>
      <c r="FE21" s="636">
        <f t="shared" si="68"/>
        <v>0.66717531907127703</v>
      </c>
      <c r="FF21" s="639">
        <v>132512.92000000001</v>
      </c>
      <c r="FG21" s="639">
        <f t="shared" si="151"/>
        <v>95409.3024</v>
      </c>
      <c r="FH21" s="633">
        <v>0.72</v>
      </c>
      <c r="FI21" s="635">
        <f>'Vtas Diarias 2021'!HQ22</f>
        <v>83799.89</v>
      </c>
      <c r="FJ21" s="636">
        <f t="shared" si="70"/>
        <v>0.63239033597629568</v>
      </c>
      <c r="FK21" s="639">
        <v>117173.63</v>
      </c>
      <c r="FL21" s="639">
        <f t="shared" si="152"/>
        <v>92567.167700000005</v>
      </c>
      <c r="FM21" s="633">
        <v>0.79</v>
      </c>
      <c r="FN21" s="635">
        <f>'Vtas Diarias 2021'!IW22</f>
        <v>79568.600000000006</v>
      </c>
      <c r="FO21" s="636">
        <f t="shared" si="72"/>
        <v>0.6790657590790693</v>
      </c>
      <c r="FP21" s="639">
        <v>122831.97</v>
      </c>
      <c r="FQ21" s="639">
        <f t="shared" si="153"/>
        <v>93352.297200000001</v>
      </c>
      <c r="FR21" s="633">
        <v>0.76</v>
      </c>
      <c r="FS21" s="635">
        <f>'Vtas Diarias 2021'!KC22</f>
        <v>73515.539999999994</v>
      </c>
      <c r="FT21" s="636">
        <f t="shared" si="74"/>
        <v>0.59850493320265064</v>
      </c>
      <c r="FU21" s="661">
        <f t="shared" si="75"/>
        <v>370468.88130000001</v>
      </c>
      <c r="FV21" s="661">
        <f t="shared" si="76"/>
        <v>499861.54000000004</v>
      </c>
      <c r="FW21" s="663">
        <f t="shared" si="77"/>
        <v>321844.15000000002</v>
      </c>
      <c r="FX21" s="651">
        <f t="shared" si="78"/>
        <v>0.64386659953874426</v>
      </c>
      <c r="FY21" s="645">
        <v>122543.58</v>
      </c>
      <c r="FZ21" s="639">
        <f t="shared" si="154"/>
        <v>91907.684999999998</v>
      </c>
      <c r="GA21" s="633">
        <v>0.75</v>
      </c>
      <c r="GB21" s="635">
        <f>'Vtas Diarias 2021'!LI22</f>
        <v>78753.429999999993</v>
      </c>
      <c r="GC21" s="636">
        <f t="shared" si="80"/>
        <v>0.64265651452324135</v>
      </c>
      <c r="GD21" s="639">
        <v>112445.57</v>
      </c>
      <c r="GE21" s="639">
        <f t="shared" si="155"/>
        <v>91080.911700000011</v>
      </c>
      <c r="GF21" s="633">
        <v>0.81</v>
      </c>
      <c r="GG21" s="635">
        <f>'Vtas Diarias 2021'!MO22</f>
        <v>75304.87</v>
      </c>
      <c r="GH21" s="636">
        <f t="shared" si="82"/>
        <v>0.6697006382732551</v>
      </c>
      <c r="GI21" s="639">
        <v>102620.84</v>
      </c>
      <c r="GJ21" s="639">
        <f t="shared" si="156"/>
        <v>82096.672000000006</v>
      </c>
      <c r="GK21" s="633">
        <v>0.8</v>
      </c>
      <c r="GL21" s="635">
        <f>'Vtas Diarias 2021'!NU22</f>
        <v>74648.78</v>
      </c>
      <c r="GM21" s="636">
        <f t="shared" si="84"/>
        <v>0.72742320175901898</v>
      </c>
      <c r="GN21" s="639">
        <v>111048.57</v>
      </c>
      <c r="GO21" s="639">
        <f t="shared" si="159"/>
        <v>81065.45610000001</v>
      </c>
      <c r="GP21" s="633">
        <v>0.73</v>
      </c>
      <c r="GQ21" s="635">
        <f>'Vtas Diarias 2021'!PA22</f>
        <v>76365.570000000007</v>
      </c>
      <c r="GR21" s="636">
        <f>GQ21/GN21</f>
        <v>0.68767720286717782</v>
      </c>
      <c r="GS21" s="661">
        <f t="shared" si="86"/>
        <v>346150.72480000003</v>
      </c>
      <c r="GT21" s="661">
        <f t="shared" si="87"/>
        <v>448658.56</v>
      </c>
      <c r="GU21" s="662">
        <f t="shared" si="88"/>
        <v>305072.65000000002</v>
      </c>
      <c r="GV21" s="1598">
        <f t="shared" si="89"/>
        <v>0.67996618631326244</v>
      </c>
      <c r="GW21" s="645">
        <v>104441</v>
      </c>
      <c r="GX21" s="639">
        <f t="shared" si="160"/>
        <v>79375.16</v>
      </c>
      <c r="GY21" s="633">
        <v>0.76</v>
      </c>
      <c r="GZ21" s="635">
        <f>'Vtas Diarias 2021'!QG22</f>
        <v>94604.9</v>
      </c>
      <c r="HA21" s="636">
        <f t="shared" si="91"/>
        <v>0.90582146858034673</v>
      </c>
      <c r="HB21" s="639">
        <v>117841.22</v>
      </c>
      <c r="HC21" s="639">
        <f t="shared" si="161"/>
        <v>91916.151599999997</v>
      </c>
      <c r="HD21" s="633">
        <v>0.78</v>
      </c>
      <c r="HE21" s="635">
        <f>'Vtas Diarias 2021'!RM22</f>
        <v>76822.87</v>
      </c>
      <c r="HF21" s="636">
        <f t="shared" si="93"/>
        <v>0.65191848828448984</v>
      </c>
      <c r="HG21" s="639">
        <v>111537.37</v>
      </c>
      <c r="HH21" s="639">
        <f t="shared" si="162"/>
        <v>85883.774900000004</v>
      </c>
      <c r="HI21" s="633">
        <v>0.77</v>
      </c>
      <c r="HJ21" s="635">
        <f>'Vtas Diarias 2021'!SS22</f>
        <v>75385.319999999992</v>
      </c>
      <c r="HK21" s="636">
        <f t="shared" si="95"/>
        <v>0.67587500045948723</v>
      </c>
      <c r="HL21" s="639">
        <v>98428.25</v>
      </c>
      <c r="HM21" s="639">
        <f t="shared" si="163"/>
        <v>74805.47</v>
      </c>
      <c r="HN21" s="633">
        <v>0.76</v>
      </c>
      <c r="HO21" s="635">
        <f>'Vtas Diarias 2021'!TY22</f>
        <v>67268.47</v>
      </c>
      <c r="HP21" s="808">
        <f t="shared" si="97"/>
        <v>0.68342645531135626</v>
      </c>
      <c r="HQ21" s="639">
        <v>112469.06</v>
      </c>
      <c r="HR21" s="639">
        <f t="shared" si="164"/>
        <v>85476.4856</v>
      </c>
      <c r="HS21" s="633">
        <v>0.76</v>
      </c>
      <c r="HT21" s="635">
        <f>'Vtas Diarias 2021'!VE22</f>
        <v>74003.210000000006</v>
      </c>
      <c r="HU21" s="636">
        <f t="shared" si="99"/>
        <v>0.65798727223291464</v>
      </c>
      <c r="HV21" s="661">
        <f t="shared" si="100"/>
        <v>417457.04209999996</v>
      </c>
      <c r="HW21" s="661">
        <f t="shared" si="101"/>
        <v>544716.89999999991</v>
      </c>
      <c r="HX21" s="663">
        <f t="shared" si="102"/>
        <v>388084.77</v>
      </c>
      <c r="HY21" s="651">
        <f t="shared" si="103"/>
        <v>0.71245222977293354</v>
      </c>
      <c r="HZ21" s="645">
        <v>92538.92</v>
      </c>
      <c r="IA21" s="639">
        <f t="shared" si="165"/>
        <v>61075.6872</v>
      </c>
      <c r="IB21" s="633">
        <v>0.66</v>
      </c>
      <c r="IC21" s="635">
        <f>'Vtas Diarias 2021'!WK22</f>
        <v>70089.180000000008</v>
      </c>
      <c r="ID21" s="636">
        <f t="shared" si="142"/>
        <v>0.75740218277887839</v>
      </c>
      <c r="IE21" s="639">
        <v>109222.75</v>
      </c>
      <c r="IF21" s="639">
        <f t="shared" si="166"/>
        <v>74271.47</v>
      </c>
      <c r="IG21" s="633">
        <v>0.68</v>
      </c>
      <c r="IH21" s="635">
        <f>'Vtas Diarias 2021'!XQ22</f>
        <v>88180.459999999992</v>
      </c>
      <c r="II21" s="636">
        <f t="shared" si="106"/>
        <v>0.80734517305231734</v>
      </c>
      <c r="IJ21" s="639">
        <v>124635.68</v>
      </c>
      <c r="IK21" s="639">
        <f t="shared" si="167"/>
        <v>88491.332799999989</v>
      </c>
      <c r="IL21" s="633">
        <v>0.71</v>
      </c>
      <c r="IM21" s="635">
        <f>'Vtas Diarias 2021'!YW22</f>
        <v>86420.11</v>
      </c>
      <c r="IN21" s="636">
        <f t="shared" si="108"/>
        <v>0.69338178280890361</v>
      </c>
      <c r="IO21" s="639">
        <v>156087.54</v>
      </c>
      <c r="IP21" s="639">
        <f t="shared" si="168"/>
        <v>115504.77960000001</v>
      </c>
      <c r="IQ21" s="633">
        <v>0.74</v>
      </c>
      <c r="IR21" s="635">
        <f>'Vtas Diarias 2021'!AAC22</f>
        <v>142772.96</v>
      </c>
      <c r="IS21" s="636">
        <f t="shared" si="110"/>
        <v>0.91469799575289601</v>
      </c>
      <c r="IT21" s="1577">
        <f t="shared" si="111"/>
        <v>339343.26959999994</v>
      </c>
      <c r="IU21" s="1577">
        <f t="shared" si="112"/>
        <v>482484.89</v>
      </c>
      <c r="IV21" s="1578">
        <f t="shared" si="113"/>
        <v>387462.70999999996</v>
      </c>
      <c r="IW21" s="654">
        <f t="shared" si="114"/>
        <v>0.80305667188872998</v>
      </c>
      <c r="IX21" s="645">
        <v>107050.76</v>
      </c>
      <c r="IY21" s="639">
        <f t="shared" si="169"/>
        <v>79217.562399999995</v>
      </c>
      <c r="IZ21" s="633">
        <v>0.74</v>
      </c>
      <c r="JA21" s="635">
        <f>'Vtas Diarias 2021'!ABI22</f>
        <v>89239.13</v>
      </c>
      <c r="JB21" s="636">
        <f t="shared" si="116"/>
        <v>0.83361509997687089</v>
      </c>
      <c r="JC21" s="639">
        <v>139677.28</v>
      </c>
      <c r="JD21" s="639">
        <f t="shared" si="170"/>
        <v>107551.5056</v>
      </c>
      <c r="JE21" s="633">
        <v>0.77</v>
      </c>
      <c r="JF21" s="635">
        <f>'Vtas Diarias 2021'!ACO22</f>
        <v>98707.900000000009</v>
      </c>
      <c r="JG21" s="636">
        <f t="shared" si="118"/>
        <v>0.70668543946445694</v>
      </c>
      <c r="JH21" s="639">
        <v>149406.42000000001</v>
      </c>
      <c r="JI21" s="639">
        <f t="shared" si="171"/>
        <v>119525.13600000001</v>
      </c>
      <c r="JJ21" s="633">
        <v>0.8</v>
      </c>
      <c r="JK21" s="635">
        <f>'Vtas Diarias 2021'!ADU22</f>
        <v>122299.23000000001</v>
      </c>
      <c r="JL21" s="636">
        <f t="shared" si="120"/>
        <v>0.81856743505399565</v>
      </c>
      <c r="JM21" s="639">
        <v>161176.97</v>
      </c>
      <c r="JN21" s="639">
        <f t="shared" si="172"/>
        <v>128941.576</v>
      </c>
      <c r="JO21" s="633">
        <v>0.8</v>
      </c>
      <c r="JP21" s="635">
        <f>'Vtas Diarias 2021'!AFA22</f>
        <v>122647.07</v>
      </c>
      <c r="JQ21" s="636">
        <f t="shared" si="122"/>
        <v>0.76094661662891416</v>
      </c>
      <c r="JR21" s="636">
        <f t="shared" si="122"/>
        <v>5.9014837590391645E-6</v>
      </c>
      <c r="JS21" s="1577">
        <f t="shared" si="123"/>
        <v>435235.77999999997</v>
      </c>
      <c r="JT21" s="1577">
        <f t="shared" si="124"/>
        <v>557311.42999999993</v>
      </c>
      <c r="JU21" s="1582">
        <f t="shared" si="125"/>
        <v>432893.33000000007</v>
      </c>
      <c r="JV21" s="651">
        <f t="shared" si="126"/>
        <v>0.776753008636482</v>
      </c>
      <c r="JW21" s="645">
        <v>230310.38</v>
      </c>
      <c r="JX21" s="639">
        <f t="shared" si="173"/>
        <v>179642.09640000001</v>
      </c>
      <c r="JY21" s="633">
        <v>0.78</v>
      </c>
      <c r="JZ21" s="635">
        <f>'Vtas Diarias 2021'!AGG22</f>
        <v>181035.87000000002</v>
      </c>
      <c r="KA21" s="636">
        <f t="shared" si="128"/>
        <v>0.78605171855476086</v>
      </c>
      <c r="KB21" s="639">
        <v>246290.31</v>
      </c>
      <c r="KC21" s="639">
        <f t="shared" si="174"/>
        <v>192106.4418</v>
      </c>
      <c r="KD21" s="633">
        <v>0.78</v>
      </c>
      <c r="KE21" s="635">
        <f>'Vtas Diarias 2021'!AHM22</f>
        <v>214604.08000000002</v>
      </c>
      <c r="KF21" s="636">
        <f t="shared" si="130"/>
        <v>0.87134601438440684</v>
      </c>
      <c r="KG21" s="639">
        <v>291645.84999999998</v>
      </c>
      <c r="KH21" s="639">
        <f t="shared" si="175"/>
        <v>233316.68</v>
      </c>
      <c r="KI21" s="633">
        <v>0.8</v>
      </c>
      <c r="KJ21" s="635">
        <f>'Vtas Diarias 2021'!AIS22</f>
        <v>249895.27999999997</v>
      </c>
      <c r="KK21" s="636">
        <f t="shared" si="132"/>
        <v>0.85684497139252969</v>
      </c>
      <c r="KL21" s="639">
        <v>288091.98</v>
      </c>
      <c r="KM21" s="1601">
        <f t="shared" si="176"/>
        <v>386043.25319999998</v>
      </c>
      <c r="KN21" s="1615">
        <v>1.34</v>
      </c>
      <c r="KO21" s="1602">
        <f>'Vtas Diarias 2021'!AJY22</f>
        <v>438800.61</v>
      </c>
      <c r="KP21" s="636">
        <f t="shared" si="134"/>
        <v>1.5231267805511282</v>
      </c>
      <c r="KQ21" s="639">
        <v>105766.15</v>
      </c>
      <c r="KR21" s="1601">
        <f t="shared" si="177"/>
        <v>86728.242999999988</v>
      </c>
      <c r="KS21" s="1616">
        <v>0.82</v>
      </c>
      <c r="KT21" s="1602">
        <f>'Vtas Diarias 2021'!ALE22</f>
        <v>104226.75</v>
      </c>
      <c r="KU21" s="636">
        <f t="shared" si="136"/>
        <v>0.98544524878706474</v>
      </c>
      <c r="KV21" s="1577">
        <f t="shared" si="137"/>
        <v>1077836.7143999999</v>
      </c>
      <c r="KW21" s="1577">
        <f t="shared" si="2"/>
        <v>1162104.67</v>
      </c>
      <c r="KX21" s="1578">
        <f t="shared" si="3"/>
        <v>1188562.5900000001</v>
      </c>
      <c r="KY21" s="959">
        <f t="shared" si="138"/>
        <v>1.0227672435048387</v>
      </c>
      <c r="KZ21" s="1508">
        <f t="shared" si="143"/>
        <v>6930108.4799999986</v>
      </c>
      <c r="LA21" s="811">
        <f t="shared" si="144"/>
        <v>4937074.9260999989</v>
      </c>
      <c r="LB21" s="1509">
        <f t="shared" si="139"/>
        <v>6930108.4799999995</v>
      </c>
      <c r="LC21" s="811">
        <f t="shared" si="140"/>
        <v>5064205.5199999996</v>
      </c>
      <c r="LD21" s="1575">
        <f t="shared" si="4"/>
        <v>-1865902.96</v>
      </c>
      <c r="LE21" s="1594">
        <f t="shared" si="141"/>
        <v>0.7307541483102441</v>
      </c>
      <c r="LF21" s="1008">
        <f t="shared" si="145"/>
        <v>0.71240947242719066</v>
      </c>
    </row>
    <row r="22" spans="1:320" outlineLevel="1">
      <c r="A22" s="1495"/>
      <c r="B22" s="687" t="s">
        <v>25</v>
      </c>
      <c r="C22" s="645">
        <v>69387.899999999994</v>
      </c>
      <c r="D22" s="639">
        <v>72857.3</v>
      </c>
      <c r="E22" s="633">
        <v>1.05</v>
      </c>
      <c r="F22" s="635">
        <v>68898.91</v>
      </c>
      <c r="G22" s="636">
        <f t="shared" si="5"/>
        <v>0.99295280589267021</v>
      </c>
      <c r="H22" s="639">
        <v>93871.24</v>
      </c>
      <c r="I22" s="639">
        <v>98564.800000000003</v>
      </c>
      <c r="J22" s="633">
        <v>1.05</v>
      </c>
      <c r="K22" s="635">
        <v>41441.870000000003</v>
      </c>
      <c r="L22" s="636">
        <f t="shared" si="6"/>
        <v>0.44147568520454189</v>
      </c>
      <c r="M22" s="639">
        <v>77388.350000000006</v>
      </c>
      <c r="N22" s="639">
        <v>81257.77</v>
      </c>
      <c r="O22" s="633">
        <v>1.05</v>
      </c>
      <c r="P22" s="635">
        <v>53601.09</v>
      </c>
      <c r="Q22" s="636">
        <f t="shared" si="7"/>
        <v>0.692624794300434</v>
      </c>
      <c r="R22" s="639">
        <v>94944.77</v>
      </c>
      <c r="S22" s="639">
        <v>99692.01</v>
      </c>
      <c r="T22" s="633">
        <v>1.05</v>
      </c>
      <c r="U22" s="635">
        <v>55616.36</v>
      </c>
      <c r="V22" s="636">
        <f t="shared" si="8"/>
        <v>0.58577592004277856</v>
      </c>
      <c r="W22" s="639">
        <f t="shared" si="157"/>
        <v>352371.88</v>
      </c>
      <c r="X22" s="639">
        <f t="shared" si="158"/>
        <v>335592.26</v>
      </c>
      <c r="Y22" s="666">
        <f t="shared" si="9"/>
        <v>219558.22999999998</v>
      </c>
      <c r="Z22" s="646">
        <f t="shared" si="10"/>
        <v>0.65424104238876057</v>
      </c>
      <c r="AA22" s="645">
        <v>82783.25</v>
      </c>
      <c r="AB22" s="639">
        <v>86922.41</v>
      </c>
      <c r="AC22" s="633">
        <v>1.05</v>
      </c>
      <c r="AD22" s="635">
        <v>70205.350000000006</v>
      </c>
      <c r="AE22" s="636">
        <f t="shared" si="11"/>
        <v>0.84806225897147069</v>
      </c>
      <c r="AF22" s="639">
        <v>114454.58</v>
      </c>
      <c r="AG22" s="639">
        <v>120177.31</v>
      </c>
      <c r="AH22" s="633">
        <v>1.05</v>
      </c>
      <c r="AI22" s="635">
        <v>78758.850000000006</v>
      </c>
      <c r="AJ22" s="636">
        <f t="shared" si="12"/>
        <v>0.68812318388656879</v>
      </c>
      <c r="AK22" s="639">
        <v>78892.600000000006</v>
      </c>
      <c r="AL22" s="639">
        <v>82837.23</v>
      </c>
      <c r="AM22" s="633">
        <v>1.05</v>
      </c>
      <c r="AN22" s="635">
        <v>36939.089999999997</v>
      </c>
      <c r="AO22" s="636">
        <f t="shared" si="13"/>
        <v>0.46821995979344061</v>
      </c>
      <c r="AP22" s="639">
        <v>103507.86</v>
      </c>
      <c r="AQ22" s="639">
        <v>108683.25</v>
      </c>
      <c r="AR22" s="633">
        <v>1.05</v>
      </c>
      <c r="AS22" s="635">
        <v>64451.13</v>
      </c>
      <c r="AT22" s="636">
        <v>1.01</v>
      </c>
      <c r="AU22" s="639">
        <f t="shared" si="14"/>
        <v>398620.2</v>
      </c>
      <c r="AV22" s="639">
        <f t="shared" si="15"/>
        <v>379638.29000000004</v>
      </c>
      <c r="AW22" s="778">
        <f t="shared" si="16"/>
        <v>250354.42</v>
      </c>
      <c r="AX22" s="665">
        <f t="shared" si="17"/>
        <v>0.65945513557128288</v>
      </c>
      <c r="AY22" s="645">
        <v>106909.55</v>
      </c>
      <c r="AZ22" s="639">
        <v>112255.02</v>
      </c>
      <c r="BA22" s="633">
        <v>1.05</v>
      </c>
      <c r="BB22" s="635">
        <v>59414.61</v>
      </c>
      <c r="BC22" s="636">
        <f t="shared" si="18"/>
        <v>0.55574651656470353</v>
      </c>
      <c r="BD22" s="639">
        <v>100777.97</v>
      </c>
      <c r="BE22" s="639">
        <v>102793.53</v>
      </c>
      <c r="BF22" s="633">
        <v>1.02</v>
      </c>
      <c r="BG22" s="635">
        <v>50559.82</v>
      </c>
      <c r="BH22" s="636">
        <f t="shared" si="19"/>
        <v>0.50169516214704468</v>
      </c>
      <c r="BI22" s="639">
        <v>129617.83</v>
      </c>
      <c r="BJ22" s="639">
        <v>51847.13</v>
      </c>
      <c r="BK22" s="633">
        <v>0.4</v>
      </c>
      <c r="BL22" s="635">
        <v>68750.19</v>
      </c>
      <c r="BM22" s="636">
        <f t="shared" si="20"/>
        <v>0.53040688923738344</v>
      </c>
      <c r="BN22" s="639">
        <v>135123.39000000001</v>
      </c>
      <c r="BO22" s="639">
        <f t="shared" si="21"/>
        <v>87830.203500000018</v>
      </c>
      <c r="BP22" s="633">
        <v>0.65</v>
      </c>
      <c r="BQ22" s="635">
        <v>63997.07</v>
      </c>
      <c r="BR22" s="636">
        <f t="shared" si="22"/>
        <v>0.47361948216367272</v>
      </c>
      <c r="BS22" s="639">
        <v>138597.99</v>
      </c>
      <c r="BT22" s="639">
        <f t="shared" si="23"/>
        <v>90088.693499999994</v>
      </c>
      <c r="BU22" s="633">
        <v>0.65</v>
      </c>
      <c r="BV22" s="635">
        <v>72586.28</v>
      </c>
      <c r="BW22" s="636">
        <f t="shared" si="24"/>
        <v>0.52371812895699288</v>
      </c>
      <c r="BX22" s="661">
        <f t="shared" si="25"/>
        <v>444814.57699999999</v>
      </c>
      <c r="BY22" s="661">
        <f t="shared" si="26"/>
        <v>611026.73</v>
      </c>
      <c r="BZ22" s="663">
        <f t="shared" si="27"/>
        <v>315307.97000000003</v>
      </c>
      <c r="CA22" s="651">
        <f t="shared" si="28"/>
        <v>0.51602974881311658</v>
      </c>
      <c r="CB22" s="645">
        <v>147428.20000000001</v>
      </c>
      <c r="CC22" s="639">
        <f t="shared" si="29"/>
        <v>120891.124</v>
      </c>
      <c r="CD22" s="633">
        <v>0.82</v>
      </c>
      <c r="CE22" s="635">
        <v>94177.87</v>
      </c>
      <c r="CF22" s="636">
        <f t="shared" si="30"/>
        <v>0.63880499117536527</v>
      </c>
      <c r="CG22" s="639">
        <v>148591.32999999999</v>
      </c>
      <c r="CH22" s="639">
        <f t="shared" si="31"/>
        <v>111443.4975</v>
      </c>
      <c r="CI22" s="633">
        <v>0.75</v>
      </c>
      <c r="CJ22" s="635">
        <v>79775.63</v>
      </c>
      <c r="CK22" s="636">
        <f t="shared" si="32"/>
        <v>0.53687943973581775</v>
      </c>
      <c r="CL22" s="639">
        <v>147317.97</v>
      </c>
      <c r="CM22" s="639">
        <f t="shared" si="33"/>
        <v>103122.579</v>
      </c>
      <c r="CN22" s="633">
        <v>0.7</v>
      </c>
      <c r="CO22" s="635">
        <v>61973.52</v>
      </c>
      <c r="CP22" s="636">
        <f t="shared" si="34"/>
        <v>0.42067861782238786</v>
      </c>
      <c r="CQ22" s="639">
        <v>164568.13</v>
      </c>
      <c r="CR22" s="639">
        <f t="shared" si="35"/>
        <v>49370.438999999998</v>
      </c>
      <c r="CS22" s="633">
        <v>0.3</v>
      </c>
      <c r="CT22" s="635">
        <v>87221.61</v>
      </c>
      <c r="CU22" s="636">
        <f>CT22/CQ22</f>
        <v>0.53000304493950312</v>
      </c>
      <c r="CV22" s="656">
        <f t="shared" si="37"/>
        <v>384827.63949999999</v>
      </c>
      <c r="CW22" s="656">
        <f t="shared" si="38"/>
        <v>607905.63</v>
      </c>
      <c r="CX22" s="657">
        <f t="shared" si="39"/>
        <v>323148.63</v>
      </c>
      <c r="CY22" s="654">
        <f t="shared" si="40"/>
        <v>0.53157696532601617</v>
      </c>
      <c r="CZ22" s="645">
        <v>178285.37</v>
      </c>
      <c r="DA22" s="639">
        <f t="shared" si="41"/>
        <v>89142.684999999998</v>
      </c>
      <c r="DB22" s="633">
        <v>0.5</v>
      </c>
      <c r="DC22" s="635">
        <v>92683.13</v>
      </c>
      <c r="DD22" s="636">
        <f t="shared" si="42"/>
        <v>0.51985830357252538</v>
      </c>
      <c r="DE22" s="639">
        <v>135095.56</v>
      </c>
      <c r="DF22" s="639">
        <f t="shared" si="43"/>
        <v>81057.335999999996</v>
      </c>
      <c r="DG22" s="633">
        <v>0.6</v>
      </c>
      <c r="DH22" s="635">
        <v>112091.5</v>
      </c>
      <c r="DI22" s="636">
        <f t="shared" si="44"/>
        <v>0.82972008850623957</v>
      </c>
      <c r="DJ22" s="639">
        <v>117239.8</v>
      </c>
      <c r="DK22" s="639">
        <f t="shared" si="45"/>
        <v>82067.86</v>
      </c>
      <c r="DL22" s="633">
        <v>0.7</v>
      </c>
      <c r="DM22" s="635">
        <v>97654.61</v>
      </c>
      <c r="DN22" s="636">
        <f t="shared" si="46"/>
        <v>0.83294759970590193</v>
      </c>
      <c r="DO22" s="639">
        <v>141919.60999999999</v>
      </c>
      <c r="DP22" s="639">
        <f t="shared" si="47"/>
        <v>118211.5985006977</v>
      </c>
      <c r="DQ22" s="633">
        <v>0.83294759970590193</v>
      </c>
      <c r="DR22" s="635">
        <v>112626.34</v>
      </c>
      <c r="DS22" s="636">
        <f t="shared" si="48"/>
        <v>0.79359251339543568</v>
      </c>
      <c r="DT22" s="656">
        <f t="shared" si="49"/>
        <v>370479.47950069769</v>
      </c>
      <c r="DU22" s="656">
        <f t="shared" si="50"/>
        <v>572540.34</v>
      </c>
      <c r="DV22" s="657">
        <f t="shared" si="51"/>
        <v>415055.58</v>
      </c>
      <c r="DW22" s="654">
        <f t="shared" si="52"/>
        <v>0.72493683152526867</v>
      </c>
      <c r="DX22" s="645">
        <v>144918.06</v>
      </c>
      <c r="DY22" s="639">
        <f t="shared" si="53"/>
        <v>115005.88747179056</v>
      </c>
      <c r="DZ22" s="633">
        <v>0.79359251339543568</v>
      </c>
      <c r="EA22" s="635">
        <f>'Vtas Diarias 2021'!AG23</f>
        <v>85332.19</v>
      </c>
      <c r="EB22" s="636">
        <f t="shared" si="54"/>
        <v>0.58883061227841449</v>
      </c>
      <c r="EC22" s="639">
        <v>174975.64</v>
      </c>
      <c r="ED22" s="639">
        <f t="shared" si="146"/>
        <v>103031.01323500744</v>
      </c>
      <c r="EE22" s="633">
        <v>0.58883061227841449</v>
      </c>
      <c r="EF22" s="635">
        <f>'Vtas Diarias 2021'!BM23</f>
        <v>101903.51000000001</v>
      </c>
      <c r="EG22" s="636">
        <f t="shared" si="56"/>
        <v>0.58238683967665439</v>
      </c>
      <c r="EH22" s="639">
        <v>157266.5</v>
      </c>
      <c r="EI22" s="639">
        <f t="shared" si="147"/>
        <v>110086.54999999999</v>
      </c>
      <c r="EJ22" s="633">
        <v>0.7</v>
      </c>
      <c r="EK22" s="635">
        <f>'Vtas Diarias 2021'!CS23</f>
        <v>113528.72</v>
      </c>
      <c r="EL22" s="636">
        <f t="shared" si="58"/>
        <v>0.72188749670145902</v>
      </c>
      <c r="EM22" s="639">
        <v>158441.85</v>
      </c>
      <c r="EN22" s="639">
        <f t="shared" si="148"/>
        <v>126753.48000000001</v>
      </c>
      <c r="EO22" s="633">
        <v>0.8</v>
      </c>
      <c r="EP22" s="635">
        <f>'Vtas Diarias 2021'!DY23</f>
        <v>99788.849999999991</v>
      </c>
      <c r="EQ22" s="636">
        <f t="shared" si="60"/>
        <v>0.6298137139903377</v>
      </c>
      <c r="ER22" s="639">
        <v>146791.74</v>
      </c>
      <c r="ES22" s="639">
        <f t="shared" si="149"/>
        <v>95414.630999999994</v>
      </c>
      <c r="ET22" s="633">
        <v>0.65</v>
      </c>
      <c r="EU22" s="635">
        <f>'Vtas Diarias 2021'!FE23</f>
        <v>90605.119999999995</v>
      </c>
      <c r="EV22" s="636">
        <f t="shared" si="62"/>
        <v>0.61723581994463717</v>
      </c>
      <c r="EW22" s="661">
        <f t="shared" si="63"/>
        <v>550291.56170679792</v>
      </c>
      <c r="EX22" s="956">
        <f t="shared" si="64"/>
        <v>782393.79</v>
      </c>
      <c r="EY22" s="662">
        <f t="shared" si="65"/>
        <v>491158.38999999996</v>
      </c>
      <c r="EZ22" s="654">
        <f t="shared" si="66"/>
        <v>0.62776366105871051</v>
      </c>
      <c r="FA22" s="645">
        <v>159965.01999999999</v>
      </c>
      <c r="FB22" s="639">
        <f t="shared" si="150"/>
        <v>111975.51399999998</v>
      </c>
      <c r="FC22" s="633">
        <v>0.7</v>
      </c>
      <c r="FD22" s="635">
        <f>'Vtas Diarias 2021'!GK23</f>
        <v>88798.93</v>
      </c>
      <c r="FE22" s="636">
        <f t="shared" si="68"/>
        <v>0.55511467444570073</v>
      </c>
      <c r="FF22" s="639">
        <v>163701.04</v>
      </c>
      <c r="FG22" s="639">
        <f t="shared" si="151"/>
        <v>117864.7488</v>
      </c>
      <c r="FH22" s="633">
        <v>0.72</v>
      </c>
      <c r="FI22" s="635">
        <f>'Vtas Diarias 2021'!HQ23</f>
        <v>91837.35</v>
      </c>
      <c r="FJ22" s="636">
        <f t="shared" si="70"/>
        <v>0.56100651529153389</v>
      </c>
      <c r="FK22" s="639">
        <v>144640.89000000001</v>
      </c>
      <c r="FL22" s="639">
        <f t="shared" si="152"/>
        <v>114266.30310000002</v>
      </c>
      <c r="FM22" s="633">
        <v>0.79</v>
      </c>
      <c r="FN22" s="635">
        <f>'Vtas Diarias 2021'!IW23</f>
        <v>86184.58</v>
      </c>
      <c r="FO22" s="636">
        <f t="shared" si="72"/>
        <v>0.59585211346528633</v>
      </c>
      <c r="FP22" s="639">
        <v>120866.51</v>
      </c>
      <c r="FQ22" s="639">
        <f t="shared" si="153"/>
        <v>91858.547599999991</v>
      </c>
      <c r="FR22" s="633">
        <v>0.76</v>
      </c>
      <c r="FS22" s="635">
        <f>'Vtas Diarias 2021'!KC23</f>
        <v>83385.55</v>
      </c>
      <c r="FT22" s="636">
        <f t="shared" si="74"/>
        <v>0.6898978881743173</v>
      </c>
      <c r="FU22" s="661">
        <f t="shared" si="75"/>
        <v>435965.11349999998</v>
      </c>
      <c r="FV22" s="661">
        <f t="shared" si="76"/>
        <v>589173.46</v>
      </c>
      <c r="FW22" s="663">
        <f t="shared" si="77"/>
        <v>350206.41000000003</v>
      </c>
      <c r="FX22" s="651">
        <f t="shared" si="78"/>
        <v>0.59440289452277784</v>
      </c>
      <c r="FY22" s="645">
        <v>126790.09</v>
      </c>
      <c r="FZ22" s="639">
        <f t="shared" si="154"/>
        <v>95092.567500000005</v>
      </c>
      <c r="GA22" s="633">
        <v>0.75</v>
      </c>
      <c r="GB22" s="635">
        <f>'Vtas Diarias 2021'!LI23</f>
        <v>89187.160000000018</v>
      </c>
      <c r="GC22" s="636">
        <f t="shared" si="80"/>
        <v>0.70342374549935271</v>
      </c>
      <c r="GD22" s="639">
        <v>135410.28</v>
      </c>
      <c r="GE22" s="639">
        <f t="shared" si="155"/>
        <v>109682.32680000001</v>
      </c>
      <c r="GF22" s="633">
        <v>0.81</v>
      </c>
      <c r="GG22" s="635">
        <f>'Vtas Diarias 2021'!MO23</f>
        <v>92967.58</v>
      </c>
      <c r="GH22" s="636">
        <f t="shared" si="82"/>
        <v>0.68656220192440343</v>
      </c>
      <c r="GI22" s="639">
        <v>127403.62</v>
      </c>
      <c r="GJ22" s="639">
        <f t="shared" si="156"/>
        <v>101922.89600000001</v>
      </c>
      <c r="GK22" s="633">
        <v>0.8</v>
      </c>
      <c r="GL22" s="635">
        <f>'Vtas Diarias 2021'!NU23</f>
        <v>92584.12</v>
      </c>
      <c r="GM22" s="636">
        <f t="shared" si="84"/>
        <v>0.72669928845035958</v>
      </c>
      <c r="GN22" s="639">
        <v>128015.27</v>
      </c>
      <c r="GO22" s="639">
        <f t="shared" si="159"/>
        <v>93451.147100000002</v>
      </c>
      <c r="GP22" s="633">
        <v>0.73</v>
      </c>
      <c r="GQ22" s="635">
        <f>'Vtas Diarias 2021'!PA23</f>
        <v>112849.14</v>
      </c>
      <c r="GR22" s="636">
        <f>GQ22/GN22</f>
        <v>0.88152874262578207</v>
      </c>
      <c r="GS22" s="661">
        <f t="shared" si="86"/>
        <v>400148.93740000005</v>
      </c>
      <c r="GT22" s="661">
        <f t="shared" si="87"/>
        <v>517619.26</v>
      </c>
      <c r="GU22" s="662">
        <f t="shared" si="88"/>
        <v>387588.00000000006</v>
      </c>
      <c r="GV22" s="1598">
        <f t="shared" si="89"/>
        <v>0.74878975716630025</v>
      </c>
      <c r="GW22" s="645">
        <v>129761</v>
      </c>
      <c r="GX22" s="639">
        <f t="shared" si="160"/>
        <v>98618.36</v>
      </c>
      <c r="GY22" s="633">
        <v>0.76</v>
      </c>
      <c r="GZ22" s="635">
        <f>'Vtas Diarias 2021'!QG23</f>
        <v>92031.77</v>
      </c>
      <c r="HA22" s="636">
        <f t="shared" si="91"/>
        <v>0.70924060387943988</v>
      </c>
      <c r="HB22" s="639">
        <v>119313.95</v>
      </c>
      <c r="HC22" s="639">
        <f t="shared" si="161"/>
        <v>95451.16</v>
      </c>
      <c r="HD22" s="633">
        <v>0.8</v>
      </c>
      <c r="HE22" s="635">
        <f>'Vtas Diarias 2021'!RM23</f>
        <v>75868.789999999994</v>
      </c>
      <c r="HF22" s="636">
        <f t="shared" si="93"/>
        <v>0.63587526856666798</v>
      </c>
      <c r="HG22" s="639">
        <v>127089.44</v>
      </c>
      <c r="HH22" s="639">
        <f t="shared" si="162"/>
        <v>99129.763200000001</v>
      </c>
      <c r="HI22" s="633">
        <v>0.78</v>
      </c>
      <c r="HJ22" s="635">
        <f>'Vtas Diarias 2021'!SS23</f>
        <v>85047.53</v>
      </c>
      <c r="HK22" s="636">
        <f t="shared" si="95"/>
        <v>0.66919430914165645</v>
      </c>
      <c r="HL22" s="639">
        <v>124277.6</v>
      </c>
      <c r="HM22" s="639">
        <f t="shared" si="163"/>
        <v>94450.97600000001</v>
      </c>
      <c r="HN22" s="633">
        <v>0.76</v>
      </c>
      <c r="HO22" s="635">
        <f>'Vtas Diarias 2021'!TY23</f>
        <v>77238.02</v>
      </c>
      <c r="HP22" s="808">
        <f t="shared" si="97"/>
        <v>0.62149590915820707</v>
      </c>
      <c r="HQ22" s="639">
        <v>117130.46</v>
      </c>
      <c r="HR22" s="639">
        <f t="shared" si="164"/>
        <v>89019.149600000004</v>
      </c>
      <c r="HS22" s="633">
        <v>0.76</v>
      </c>
      <c r="HT22" s="635">
        <f>'Vtas Diarias 2021'!VE23</f>
        <v>83250.98</v>
      </c>
      <c r="HU22" s="636">
        <f t="shared" si="99"/>
        <v>0.71075431617019169</v>
      </c>
      <c r="HV22" s="661">
        <f t="shared" si="100"/>
        <v>476669.40879999998</v>
      </c>
      <c r="HW22" s="661">
        <f t="shared" si="101"/>
        <v>617572.44999999995</v>
      </c>
      <c r="HX22" s="663">
        <f t="shared" si="102"/>
        <v>413437.09</v>
      </c>
      <c r="HY22" s="651">
        <f t="shared" si="103"/>
        <v>0.66945520319113982</v>
      </c>
      <c r="HZ22" s="645">
        <v>106068.18</v>
      </c>
      <c r="IA22" s="639">
        <f t="shared" si="165"/>
        <v>75308.407799999986</v>
      </c>
      <c r="IB22" s="633">
        <v>0.71</v>
      </c>
      <c r="IC22" s="635">
        <f>'Vtas Diarias 2021'!WK23</f>
        <v>72891.7</v>
      </c>
      <c r="ID22" s="636">
        <f t="shared" si="142"/>
        <v>0.68721552495762628</v>
      </c>
      <c r="IE22" s="639">
        <v>102397.35</v>
      </c>
      <c r="IF22" s="639">
        <f t="shared" si="166"/>
        <v>74750.065499999997</v>
      </c>
      <c r="IG22" s="633">
        <v>0.73</v>
      </c>
      <c r="IH22" s="635">
        <f>'Vtas Diarias 2021'!XQ23</f>
        <v>92071.19</v>
      </c>
      <c r="II22" s="636">
        <f t="shared" si="106"/>
        <v>0.89915598401716446</v>
      </c>
      <c r="IJ22" s="639">
        <v>152945.03</v>
      </c>
      <c r="IK22" s="639">
        <f t="shared" si="167"/>
        <v>116238.2228</v>
      </c>
      <c r="IL22" s="633">
        <v>0.76</v>
      </c>
      <c r="IM22" s="635">
        <f>'Vtas Diarias 2021'!YW23</f>
        <v>114899.79000000001</v>
      </c>
      <c r="IN22" s="636">
        <f t="shared" si="108"/>
        <v>0.75124892910871321</v>
      </c>
      <c r="IO22" s="639">
        <v>150792.4</v>
      </c>
      <c r="IP22" s="639">
        <f t="shared" si="168"/>
        <v>119125.996</v>
      </c>
      <c r="IQ22" s="633">
        <v>0.79</v>
      </c>
      <c r="IR22" s="635">
        <f>'Vtas Diarias 2021'!AAC23</f>
        <v>149239.28</v>
      </c>
      <c r="IS22" s="636">
        <f t="shared" si="110"/>
        <v>0.98970027667176863</v>
      </c>
      <c r="IT22" s="1577">
        <f t="shared" si="111"/>
        <v>385422.69209999999</v>
      </c>
      <c r="IU22" s="1577">
        <f t="shared" si="112"/>
        <v>512202.95999999996</v>
      </c>
      <c r="IV22" s="1578">
        <f t="shared" si="113"/>
        <v>429101.96000000008</v>
      </c>
      <c r="IW22" s="654">
        <f t="shared" si="114"/>
        <v>0.83775767324733952</v>
      </c>
      <c r="IX22" s="645">
        <v>119068.96</v>
      </c>
      <c r="IY22" s="639">
        <f t="shared" si="169"/>
        <v>98827.236799999999</v>
      </c>
      <c r="IZ22" s="633">
        <v>0.83</v>
      </c>
      <c r="JA22" s="635">
        <f>'Vtas Diarias 2021'!ABI23</f>
        <v>106349.63</v>
      </c>
      <c r="JB22" s="636">
        <f t="shared" si="116"/>
        <v>0.89317677755814784</v>
      </c>
      <c r="JC22" s="639">
        <v>164657.48000000001</v>
      </c>
      <c r="JD22" s="639">
        <f t="shared" si="170"/>
        <v>136665.7084</v>
      </c>
      <c r="JE22" s="633">
        <v>0.83</v>
      </c>
      <c r="JF22" s="635">
        <f>'Vtas Diarias 2021'!ACO23</f>
        <v>117753.41999999998</v>
      </c>
      <c r="JG22" s="636">
        <f t="shared" si="118"/>
        <v>0.71514163826629662</v>
      </c>
      <c r="JH22" s="639">
        <v>201285.34</v>
      </c>
      <c r="JI22" s="639">
        <f t="shared" si="171"/>
        <v>169079.6856</v>
      </c>
      <c r="JJ22" s="633">
        <v>0.84</v>
      </c>
      <c r="JK22" s="635">
        <f>'Vtas Diarias 2021'!ADU23</f>
        <v>139810.70000000001</v>
      </c>
      <c r="JL22" s="636">
        <f t="shared" si="120"/>
        <v>0.69458958113889468</v>
      </c>
      <c r="JM22" s="639">
        <v>181465.8</v>
      </c>
      <c r="JN22" s="639">
        <f t="shared" si="172"/>
        <v>145172.63999999998</v>
      </c>
      <c r="JO22" s="633">
        <v>0.8</v>
      </c>
      <c r="JP22" s="635">
        <f>'Vtas Diarias 2021'!AFA23</f>
        <v>218706.18</v>
      </c>
      <c r="JQ22" s="636">
        <f t="shared" si="122"/>
        <v>1.2052198265458285</v>
      </c>
      <c r="JR22" s="636">
        <f t="shared" si="122"/>
        <v>8.3019763679012005E-6</v>
      </c>
      <c r="JS22" s="1577">
        <f t="shared" si="123"/>
        <v>549745.27079999994</v>
      </c>
      <c r="JT22" s="1577">
        <f t="shared" si="124"/>
        <v>666477.58000000007</v>
      </c>
      <c r="JU22" s="1582">
        <f t="shared" si="125"/>
        <v>582619.92999999993</v>
      </c>
      <c r="JV22" s="651">
        <f t="shared" si="126"/>
        <v>0.87417783806020877</v>
      </c>
      <c r="JW22" s="645">
        <v>252754.23</v>
      </c>
      <c r="JX22" s="639">
        <f t="shared" si="173"/>
        <v>189565.67250000002</v>
      </c>
      <c r="JY22" s="633">
        <v>0.75</v>
      </c>
      <c r="JZ22" s="635">
        <f>'Vtas Diarias 2021'!AGG23</f>
        <v>248045.67000000004</v>
      </c>
      <c r="KA22" s="636">
        <f t="shared" si="128"/>
        <v>0.98137099426585273</v>
      </c>
      <c r="KB22" s="639">
        <v>345734.98</v>
      </c>
      <c r="KC22" s="639">
        <f t="shared" si="174"/>
        <v>259301.23499999999</v>
      </c>
      <c r="KD22" s="633">
        <v>0.75</v>
      </c>
      <c r="KE22" s="635">
        <f>'Vtas Diarias 2021'!AHM23</f>
        <v>308898.25</v>
      </c>
      <c r="KF22" s="636">
        <f t="shared" si="130"/>
        <v>0.89345385300613789</v>
      </c>
      <c r="KG22" s="639">
        <v>399441.79</v>
      </c>
      <c r="KH22" s="639">
        <f t="shared" si="175"/>
        <v>307570.17829999997</v>
      </c>
      <c r="KI22" s="633">
        <v>0.77</v>
      </c>
      <c r="KJ22" s="635">
        <f>'Vtas Diarias 2021'!AIS23</f>
        <v>390888.19000000006</v>
      </c>
      <c r="KK22" s="636">
        <f t="shared" si="132"/>
        <v>0.97858611639007542</v>
      </c>
      <c r="KL22" s="639">
        <v>292679.69</v>
      </c>
      <c r="KM22" s="1601">
        <f t="shared" si="176"/>
        <v>377556.80009999999</v>
      </c>
      <c r="KN22" s="1615">
        <v>1.29</v>
      </c>
      <c r="KO22" s="1602">
        <f>'Vtas Diarias 2021'!AJY23</f>
        <v>527584.19000000006</v>
      </c>
      <c r="KP22" s="636">
        <f t="shared" si="134"/>
        <v>1.8025992510788844</v>
      </c>
      <c r="KQ22" s="639">
        <v>80091.42</v>
      </c>
      <c r="KR22" s="1601">
        <f t="shared" si="177"/>
        <v>74485.020600000003</v>
      </c>
      <c r="KS22" s="1616">
        <v>0.93</v>
      </c>
      <c r="KT22" s="1602">
        <f>'Vtas Diarias 2021'!ALE23</f>
        <v>87906.3</v>
      </c>
      <c r="KU22" s="636">
        <f t="shared" si="136"/>
        <v>1.0975744967438461</v>
      </c>
      <c r="KV22" s="1577">
        <f t="shared" si="137"/>
        <v>1208478.9065</v>
      </c>
      <c r="KW22" s="1577">
        <f t="shared" si="2"/>
        <v>1370702.1099999999</v>
      </c>
      <c r="KX22" s="1578">
        <f t="shared" si="3"/>
        <v>1563322.6</v>
      </c>
      <c r="KY22" s="959">
        <f t="shared" si="138"/>
        <v>1.1405268793231815</v>
      </c>
      <c r="KZ22" s="1508">
        <f t="shared" si="143"/>
        <v>7562844.8599999994</v>
      </c>
      <c r="LA22" s="811">
        <f t="shared" si="144"/>
        <v>5372693.9081999995</v>
      </c>
      <c r="LB22" s="1509">
        <f t="shared" si="139"/>
        <v>7562844.8599999994</v>
      </c>
      <c r="LC22" s="811">
        <f t="shared" si="140"/>
        <v>5740859.209999999</v>
      </c>
      <c r="LD22" s="1575">
        <f t="shared" si="4"/>
        <v>-1821985.6500000004</v>
      </c>
      <c r="LE22" s="1594">
        <f t="shared" si="141"/>
        <v>0.75908726362529133</v>
      </c>
      <c r="LF22" s="1008">
        <f t="shared" si="145"/>
        <v>0.71040646841987443</v>
      </c>
    </row>
    <row r="23" spans="1:320" outlineLevel="1">
      <c r="A23" s="1495"/>
      <c r="B23" s="687" t="s">
        <v>26</v>
      </c>
      <c r="C23" s="645">
        <v>51107.45</v>
      </c>
      <c r="D23" s="639">
        <v>53662.83</v>
      </c>
      <c r="E23" s="633">
        <v>1.05</v>
      </c>
      <c r="F23" s="635">
        <v>38382.82</v>
      </c>
      <c r="G23" s="636">
        <f t="shared" si="5"/>
        <v>0.75102201342465735</v>
      </c>
      <c r="H23" s="639">
        <v>56579.88</v>
      </c>
      <c r="I23" s="639">
        <v>59408.87</v>
      </c>
      <c r="J23" s="633">
        <v>1.05</v>
      </c>
      <c r="K23" s="635">
        <v>35876.82</v>
      </c>
      <c r="L23" s="636">
        <f t="shared" si="6"/>
        <v>0.63409148269667592</v>
      </c>
      <c r="M23" s="639">
        <v>49516.160000000003</v>
      </c>
      <c r="N23" s="639">
        <v>51991.96</v>
      </c>
      <c r="O23" s="633">
        <v>1.05</v>
      </c>
      <c r="P23" s="635">
        <v>43448.41</v>
      </c>
      <c r="Q23" s="636">
        <f t="shared" si="7"/>
        <v>0.87745919715906884</v>
      </c>
      <c r="R23" s="639">
        <v>54070.15</v>
      </c>
      <c r="S23" s="639">
        <v>56773.66</v>
      </c>
      <c r="T23" s="633">
        <v>1.05</v>
      </c>
      <c r="U23" s="635">
        <v>45799.28</v>
      </c>
      <c r="V23" s="636">
        <f t="shared" si="8"/>
        <v>0.84703445431536617</v>
      </c>
      <c r="W23" s="639">
        <f t="shared" si="157"/>
        <v>221837.32</v>
      </c>
      <c r="X23" s="639">
        <f t="shared" si="158"/>
        <v>211273.63999999998</v>
      </c>
      <c r="Y23" s="666">
        <f t="shared" si="9"/>
        <v>163507.33000000002</v>
      </c>
      <c r="Z23" s="646">
        <f t="shared" si="10"/>
        <v>0.7739125903259868</v>
      </c>
      <c r="AA23" s="645">
        <v>58195.05</v>
      </c>
      <c r="AB23" s="639">
        <v>61104.800000000003</v>
      </c>
      <c r="AC23" s="633">
        <v>1.05</v>
      </c>
      <c r="AD23" s="635">
        <v>44379.7</v>
      </c>
      <c r="AE23" s="636">
        <f t="shared" si="11"/>
        <v>0.76260266122290465</v>
      </c>
      <c r="AF23" s="639">
        <v>88265</v>
      </c>
      <c r="AG23" s="639">
        <v>92678.25</v>
      </c>
      <c r="AH23" s="633">
        <v>1.05</v>
      </c>
      <c r="AI23" s="635">
        <v>59061.919999999998</v>
      </c>
      <c r="AJ23" s="636">
        <f t="shared" si="12"/>
        <v>0.66914314847334733</v>
      </c>
      <c r="AK23" s="639">
        <v>47804.81</v>
      </c>
      <c r="AL23" s="639">
        <v>50195.05</v>
      </c>
      <c r="AM23" s="633">
        <v>1.05</v>
      </c>
      <c r="AN23" s="635">
        <v>51325.36</v>
      </c>
      <c r="AO23" s="636">
        <f t="shared" si="13"/>
        <v>1.0736442629936194</v>
      </c>
      <c r="AP23" s="639">
        <v>59954.1</v>
      </c>
      <c r="AQ23" s="639">
        <v>62951.81</v>
      </c>
      <c r="AR23" s="633">
        <v>1.05</v>
      </c>
      <c r="AS23" s="635">
        <v>45682.14</v>
      </c>
      <c r="AT23" s="636">
        <v>0.92</v>
      </c>
      <c r="AU23" s="639">
        <f t="shared" si="14"/>
        <v>266929.90999999997</v>
      </c>
      <c r="AV23" s="639">
        <f t="shared" si="15"/>
        <v>254218.96</v>
      </c>
      <c r="AW23" s="778">
        <f t="shared" si="16"/>
        <v>200449.12</v>
      </c>
      <c r="AX23" s="665">
        <f t="shared" si="17"/>
        <v>0.78849004810656143</v>
      </c>
      <c r="AY23" s="645">
        <v>56068.42</v>
      </c>
      <c r="AZ23" s="639">
        <v>58871.85</v>
      </c>
      <c r="BA23" s="633">
        <v>1.05</v>
      </c>
      <c r="BB23" s="635">
        <v>51810.02</v>
      </c>
      <c r="BC23" s="636">
        <f t="shared" si="18"/>
        <v>0.92404993755843301</v>
      </c>
      <c r="BD23" s="639">
        <v>52270.76</v>
      </c>
      <c r="BE23" s="639">
        <v>53316.18</v>
      </c>
      <c r="BF23" s="633">
        <v>1.02</v>
      </c>
      <c r="BG23" s="635">
        <v>54824.53</v>
      </c>
      <c r="BH23" s="636">
        <f t="shared" si="19"/>
        <v>1.0488565691411411</v>
      </c>
      <c r="BI23" s="639">
        <v>66129.66</v>
      </c>
      <c r="BJ23" s="639">
        <v>26451.86</v>
      </c>
      <c r="BK23" s="633">
        <v>0.4</v>
      </c>
      <c r="BL23" s="635">
        <v>51295.82</v>
      </c>
      <c r="BM23" s="636">
        <f t="shared" si="20"/>
        <v>0.77568552446814332</v>
      </c>
      <c r="BN23" s="639">
        <v>73765.53</v>
      </c>
      <c r="BO23" s="639">
        <f t="shared" si="21"/>
        <v>47947.594499999999</v>
      </c>
      <c r="BP23" s="633">
        <v>0.65</v>
      </c>
      <c r="BQ23" s="635">
        <v>45748.76</v>
      </c>
      <c r="BR23" s="636">
        <f t="shared" si="22"/>
        <v>0.6201915718629013</v>
      </c>
      <c r="BS23" s="639">
        <v>64561.7</v>
      </c>
      <c r="BT23" s="639">
        <f t="shared" si="23"/>
        <v>41965.104999999996</v>
      </c>
      <c r="BU23" s="633">
        <v>0.65</v>
      </c>
      <c r="BV23" s="635">
        <v>53670.06</v>
      </c>
      <c r="BW23" s="636">
        <f t="shared" si="24"/>
        <v>0.83129874213349397</v>
      </c>
      <c r="BX23" s="661">
        <f t="shared" si="25"/>
        <v>228552.5895</v>
      </c>
      <c r="BY23" s="661">
        <f t="shared" si="26"/>
        <v>312796.07</v>
      </c>
      <c r="BZ23" s="663">
        <f t="shared" si="27"/>
        <v>257349.19</v>
      </c>
      <c r="CA23" s="651">
        <f t="shared" si="28"/>
        <v>0.82273792634287257</v>
      </c>
      <c r="CB23" s="645">
        <v>67449.97</v>
      </c>
      <c r="CC23" s="639">
        <f t="shared" si="29"/>
        <v>55308.975399999996</v>
      </c>
      <c r="CD23" s="633">
        <v>0.82</v>
      </c>
      <c r="CE23" s="635">
        <v>50182.03</v>
      </c>
      <c r="CF23" s="636">
        <f t="shared" si="30"/>
        <v>0.74398891504325348</v>
      </c>
      <c r="CG23" s="639">
        <v>77513.100000000006</v>
      </c>
      <c r="CH23" s="639">
        <f t="shared" si="31"/>
        <v>58134.825000000004</v>
      </c>
      <c r="CI23" s="633">
        <v>0.75</v>
      </c>
      <c r="CJ23" s="635">
        <v>48572.81</v>
      </c>
      <c r="CK23" s="636">
        <f t="shared" si="32"/>
        <v>0.62664001310746176</v>
      </c>
      <c r="CL23" s="639">
        <v>75186.070000000007</v>
      </c>
      <c r="CM23" s="639">
        <f t="shared" si="33"/>
        <v>52630.249000000003</v>
      </c>
      <c r="CN23" s="633">
        <v>0.7</v>
      </c>
      <c r="CO23" s="635">
        <v>33803.43</v>
      </c>
      <c r="CP23" s="636">
        <f t="shared" si="34"/>
        <v>0.44959697986608421</v>
      </c>
      <c r="CQ23" s="639">
        <v>96073.2</v>
      </c>
      <c r="CR23" s="639">
        <f t="shared" si="35"/>
        <v>28821.96</v>
      </c>
      <c r="CS23" s="633">
        <v>0.3</v>
      </c>
      <c r="CT23" s="635">
        <v>83541.69</v>
      </c>
      <c r="CU23" s="636">
        <f t="shared" si="36"/>
        <v>0.86956289579195867</v>
      </c>
      <c r="CV23" s="656">
        <f t="shared" si="37"/>
        <v>194896.00940000001</v>
      </c>
      <c r="CW23" s="656">
        <f t="shared" si="38"/>
        <v>316222.34000000003</v>
      </c>
      <c r="CX23" s="657">
        <f t="shared" si="39"/>
        <v>216099.96</v>
      </c>
      <c r="CY23" s="654">
        <f t="shared" si="40"/>
        <v>0.68337980169269497</v>
      </c>
      <c r="CZ23" s="645">
        <v>97442.63</v>
      </c>
      <c r="DA23" s="639">
        <f t="shared" si="41"/>
        <v>48721.315000000002</v>
      </c>
      <c r="DB23" s="633">
        <v>0.5</v>
      </c>
      <c r="DC23" s="635">
        <v>67802.94</v>
      </c>
      <c r="DD23" s="636">
        <f t="shared" si="42"/>
        <v>0.69582419932631123</v>
      </c>
      <c r="DE23" s="639">
        <v>83784.52</v>
      </c>
      <c r="DF23" s="639">
        <f t="shared" si="43"/>
        <v>50270.712</v>
      </c>
      <c r="DG23" s="633">
        <v>0.6</v>
      </c>
      <c r="DH23" s="635">
        <v>76634.94</v>
      </c>
      <c r="DI23" s="636">
        <f t="shared" si="44"/>
        <v>0.91466705305466922</v>
      </c>
      <c r="DJ23" s="639">
        <v>66438.03</v>
      </c>
      <c r="DK23" s="639">
        <f t="shared" si="45"/>
        <v>46506.620999999999</v>
      </c>
      <c r="DL23" s="633">
        <v>0.7</v>
      </c>
      <c r="DM23" s="635">
        <v>53804.84</v>
      </c>
      <c r="DN23" s="636">
        <f t="shared" si="46"/>
        <v>0.8098500211400006</v>
      </c>
      <c r="DO23" s="639">
        <v>69728.33</v>
      </c>
      <c r="DP23" s="639">
        <f t="shared" si="47"/>
        <v>56469.489524556942</v>
      </c>
      <c r="DQ23" s="633">
        <v>0.8098500211400006</v>
      </c>
      <c r="DR23" s="635">
        <v>57226.79</v>
      </c>
      <c r="DS23" s="636">
        <f t="shared" si="48"/>
        <v>0.82071074984873438</v>
      </c>
      <c r="DT23" s="656">
        <f t="shared" si="49"/>
        <v>201968.13752455695</v>
      </c>
      <c r="DU23" s="656">
        <f t="shared" si="50"/>
        <v>317393.51</v>
      </c>
      <c r="DV23" s="657">
        <f t="shared" si="51"/>
        <v>255469.51</v>
      </c>
      <c r="DW23" s="654">
        <f t="shared" si="52"/>
        <v>0.80489834212426081</v>
      </c>
      <c r="DX23" s="645">
        <v>95723.29</v>
      </c>
      <c r="DY23" s="639">
        <f t="shared" si="53"/>
        <v>78561.133113887845</v>
      </c>
      <c r="DZ23" s="633">
        <v>0.82071074984873438</v>
      </c>
      <c r="EA23" s="635">
        <f>'Vtas Diarias 2021'!AG24</f>
        <v>66442.929999999993</v>
      </c>
      <c r="EB23" s="636">
        <f t="shared" si="54"/>
        <v>0.69411456710273955</v>
      </c>
      <c r="EC23" s="639">
        <v>79155.33</v>
      </c>
      <c r="ED23" s="639">
        <f t="shared" si="146"/>
        <v>54942.867616824493</v>
      </c>
      <c r="EE23" s="633">
        <v>0.69411456710273955</v>
      </c>
      <c r="EF23" s="635">
        <f>'Vtas Diarias 2021'!BM24</f>
        <v>54939.049999999996</v>
      </c>
      <c r="EG23" s="636">
        <f t="shared" si="56"/>
        <v>0.69406633766797499</v>
      </c>
      <c r="EH23" s="639">
        <v>80270.45</v>
      </c>
      <c r="EI23" s="639">
        <f t="shared" si="147"/>
        <v>56189.314999999995</v>
      </c>
      <c r="EJ23" s="633">
        <v>0.7</v>
      </c>
      <c r="EK23" s="635">
        <f>'Vtas Diarias 2021'!CS24</f>
        <v>68467.959999999992</v>
      </c>
      <c r="EL23" s="636">
        <f t="shared" si="58"/>
        <v>0.85296594201228459</v>
      </c>
      <c r="EM23" s="639">
        <v>79668</v>
      </c>
      <c r="EN23" s="639">
        <f t="shared" si="148"/>
        <v>55767.6</v>
      </c>
      <c r="EO23" s="633">
        <v>0.7</v>
      </c>
      <c r="EP23" s="635">
        <f>'Vtas Diarias 2021'!DY24</f>
        <v>69324.639999999985</v>
      </c>
      <c r="EQ23" s="636">
        <f t="shared" si="60"/>
        <v>0.87016920218908456</v>
      </c>
      <c r="ER23" s="639">
        <v>73337.350000000006</v>
      </c>
      <c r="ES23" s="639">
        <f t="shared" si="149"/>
        <v>47669.277500000004</v>
      </c>
      <c r="ET23" s="633">
        <v>0.65</v>
      </c>
      <c r="EU23" s="635">
        <f>'Vtas Diarias 2021'!FE24</f>
        <v>67116.75</v>
      </c>
      <c r="EV23" s="636">
        <f t="shared" si="62"/>
        <v>0.91517828228044773</v>
      </c>
      <c r="EW23" s="661">
        <f t="shared" si="63"/>
        <v>293130.19323071232</v>
      </c>
      <c r="EX23" s="956">
        <f t="shared" si="64"/>
        <v>408154.42000000004</v>
      </c>
      <c r="EY23" s="662">
        <f t="shared" si="65"/>
        <v>326291.32999999996</v>
      </c>
      <c r="EZ23" s="654">
        <f t="shared" si="66"/>
        <v>0.79943108297099885</v>
      </c>
      <c r="FA23" s="645">
        <v>69337.19</v>
      </c>
      <c r="FB23" s="639">
        <f t="shared" si="150"/>
        <v>48536.032999999996</v>
      </c>
      <c r="FC23" s="633">
        <v>0.7</v>
      </c>
      <c r="FD23" s="635">
        <f>'Vtas Diarias 2021'!GK24</f>
        <v>58595.12000000001</v>
      </c>
      <c r="FE23" s="636">
        <f t="shared" si="68"/>
        <v>0.84507491578473271</v>
      </c>
      <c r="FF23" s="639">
        <v>74113.850000000006</v>
      </c>
      <c r="FG23" s="639">
        <f t="shared" si="151"/>
        <v>53361.972000000002</v>
      </c>
      <c r="FH23" s="633">
        <v>0.72</v>
      </c>
      <c r="FI23" s="635">
        <f>'Vtas Diarias 2021'!HQ24</f>
        <v>59004.84</v>
      </c>
      <c r="FJ23" s="636">
        <f t="shared" si="70"/>
        <v>0.7961378338866486</v>
      </c>
      <c r="FK23" s="639">
        <v>66658.289999999994</v>
      </c>
      <c r="FL23" s="639">
        <f t="shared" si="152"/>
        <v>52660.049099999997</v>
      </c>
      <c r="FM23" s="633">
        <v>0.79</v>
      </c>
      <c r="FN23" s="635">
        <f>'Vtas Diarias 2021'!IW24</f>
        <v>56134.090000000004</v>
      </c>
      <c r="FO23" s="636">
        <f t="shared" si="72"/>
        <v>0.84211716202140807</v>
      </c>
      <c r="FP23" s="639">
        <v>63156.03</v>
      </c>
      <c r="FQ23" s="639">
        <f t="shared" si="153"/>
        <v>47998.582799999996</v>
      </c>
      <c r="FR23" s="633">
        <v>0.76</v>
      </c>
      <c r="FS23" s="635">
        <f>'Vtas Diarias 2021'!KC24</f>
        <v>65443.009999999995</v>
      </c>
      <c r="FT23" s="636">
        <f t="shared" si="74"/>
        <v>1.0362115858137377</v>
      </c>
      <c r="FU23" s="661">
        <f t="shared" si="75"/>
        <v>202556.63689999998</v>
      </c>
      <c r="FV23" s="661">
        <f t="shared" si="76"/>
        <v>273265.36</v>
      </c>
      <c r="FW23" s="663">
        <f t="shared" si="77"/>
        <v>239177.06000000003</v>
      </c>
      <c r="FX23" s="651">
        <f t="shared" si="78"/>
        <v>0.87525568553584709</v>
      </c>
      <c r="FY23" s="645">
        <v>62109.36</v>
      </c>
      <c r="FZ23" s="639">
        <f t="shared" si="154"/>
        <v>46582.020000000004</v>
      </c>
      <c r="GA23" s="633">
        <v>0.75</v>
      </c>
      <c r="GB23" s="635">
        <f>'Vtas Diarias 2021'!LI24</f>
        <v>56177.599999999999</v>
      </c>
      <c r="GC23" s="636">
        <f t="shared" si="80"/>
        <v>0.90449491026795314</v>
      </c>
      <c r="GD23" s="639">
        <v>64561.82</v>
      </c>
      <c r="GE23" s="639">
        <f t="shared" si="155"/>
        <v>52295.074200000003</v>
      </c>
      <c r="GF23" s="633">
        <v>0.81</v>
      </c>
      <c r="GG23" s="635">
        <f>'Vtas Diarias 2021'!MO24</f>
        <v>66593.929999999993</v>
      </c>
      <c r="GH23" s="636">
        <f t="shared" si="82"/>
        <v>1.0314754137971947</v>
      </c>
      <c r="GI23" s="639">
        <v>56922.49</v>
      </c>
      <c r="GJ23" s="639">
        <f t="shared" si="156"/>
        <v>45537.991999999998</v>
      </c>
      <c r="GK23" s="633">
        <v>0.8</v>
      </c>
      <c r="GL23" s="635">
        <f>'Vtas Diarias 2021'!NU24</f>
        <v>58768.880000000005</v>
      </c>
      <c r="GM23" s="636">
        <f t="shared" si="84"/>
        <v>1.0324369155319806</v>
      </c>
      <c r="GN23" s="639">
        <v>66518.86</v>
      </c>
      <c r="GO23" s="639">
        <f t="shared" si="159"/>
        <v>48558.767800000001</v>
      </c>
      <c r="GP23" s="633">
        <v>0.73</v>
      </c>
      <c r="GQ23" s="635">
        <f>'Vtas Diarias 2021'!PA24</f>
        <v>53264.44999999999</v>
      </c>
      <c r="GR23" s="636">
        <f>GQ23/GN23</f>
        <v>0.80074207525504781</v>
      </c>
      <c r="GS23" s="661">
        <f t="shared" si="86"/>
        <v>192973.85399999999</v>
      </c>
      <c r="GT23" s="661">
        <f t="shared" si="87"/>
        <v>250112.52999999997</v>
      </c>
      <c r="GU23" s="662">
        <f t="shared" si="88"/>
        <v>234804.86</v>
      </c>
      <c r="GV23" s="1598">
        <f t="shared" si="89"/>
        <v>0.93879686875343671</v>
      </c>
      <c r="GW23" s="645">
        <v>70724</v>
      </c>
      <c r="GX23" s="639">
        <f t="shared" si="160"/>
        <v>53750.239999999998</v>
      </c>
      <c r="GY23" s="633">
        <v>0.76</v>
      </c>
      <c r="GZ23" s="635">
        <f>'Vtas Diarias 2021'!QG24</f>
        <v>62060.08</v>
      </c>
      <c r="HA23" s="636">
        <f t="shared" si="91"/>
        <v>0.87749674792149768</v>
      </c>
      <c r="HB23" s="639">
        <v>70755.83</v>
      </c>
      <c r="HC23" s="639">
        <f t="shared" si="161"/>
        <v>55189.547400000003</v>
      </c>
      <c r="HD23" s="633">
        <v>0.78</v>
      </c>
      <c r="HE23" s="635">
        <f>'Vtas Diarias 2021'!RM24</f>
        <v>51402.989999999991</v>
      </c>
      <c r="HF23" s="636">
        <f t="shared" si="93"/>
        <v>0.72648416391977866</v>
      </c>
      <c r="HG23" s="639">
        <v>61553.66</v>
      </c>
      <c r="HH23" s="639">
        <f t="shared" si="162"/>
        <v>47396.318200000002</v>
      </c>
      <c r="HI23" s="633">
        <v>0.77</v>
      </c>
      <c r="HJ23" s="635">
        <f>'Vtas Diarias 2021'!SS24</f>
        <v>71062.789999999994</v>
      </c>
      <c r="HK23" s="636">
        <f t="shared" si="95"/>
        <v>1.1544852085156267</v>
      </c>
      <c r="HL23" s="639">
        <v>72401.710000000006</v>
      </c>
      <c r="HM23" s="639">
        <f t="shared" si="163"/>
        <v>55025.299600000006</v>
      </c>
      <c r="HN23" s="633">
        <v>0.76</v>
      </c>
      <c r="HO23" s="635">
        <f>'Vtas Diarias 2021'!TY24</f>
        <v>52467.57</v>
      </c>
      <c r="HP23" s="636">
        <f t="shared" si="97"/>
        <v>0.72467307747289389</v>
      </c>
      <c r="HQ23" s="639">
        <v>66163.350000000006</v>
      </c>
      <c r="HR23" s="639">
        <f t="shared" si="164"/>
        <v>50284.146000000008</v>
      </c>
      <c r="HS23" s="633">
        <v>0.76</v>
      </c>
      <c r="HT23" s="635">
        <f>'Vtas Diarias 2021'!VE24</f>
        <v>62773.659999999989</v>
      </c>
      <c r="HU23" s="636">
        <f t="shared" si="99"/>
        <v>0.94876786015218373</v>
      </c>
      <c r="HV23" s="661">
        <f t="shared" si="100"/>
        <v>261645.55120000002</v>
      </c>
      <c r="HW23" s="661">
        <f t="shared" si="101"/>
        <v>341598.55000000005</v>
      </c>
      <c r="HX23" s="663">
        <f t="shared" si="102"/>
        <v>299767.08999999997</v>
      </c>
      <c r="HY23" s="651">
        <f t="shared" si="103"/>
        <v>0.87754204460176988</v>
      </c>
      <c r="HZ23" s="645">
        <v>66377.02</v>
      </c>
      <c r="IA23" s="639">
        <f t="shared" si="165"/>
        <v>63058.169000000002</v>
      </c>
      <c r="IB23" s="633">
        <v>0.95</v>
      </c>
      <c r="IC23" s="635">
        <f>'Vtas Diarias 2021'!WK24</f>
        <v>58528.59</v>
      </c>
      <c r="ID23" s="636">
        <f t="shared" si="142"/>
        <v>0.8817598319418376</v>
      </c>
      <c r="IE23" s="639">
        <v>78814.5</v>
      </c>
      <c r="IF23" s="639">
        <f t="shared" si="166"/>
        <v>76450.065000000002</v>
      </c>
      <c r="IG23" s="633">
        <v>0.97</v>
      </c>
      <c r="IH23" s="635">
        <f>'Vtas Diarias 2021'!XQ24</f>
        <v>69797.790000000008</v>
      </c>
      <c r="II23" s="636">
        <f t="shared" si="106"/>
        <v>0.88559579772757557</v>
      </c>
      <c r="IJ23" s="639">
        <v>81916.27</v>
      </c>
      <c r="IK23" s="639">
        <f t="shared" si="167"/>
        <v>81916.27</v>
      </c>
      <c r="IL23" s="633">
        <v>1</v>
      </c>
      <c r="IM23" s="635">
        <f>'Vtas Diarias 2021'!YW24</f>
        <v>81184.509999999995</v>
      </c>
      <c r="IN23" s="636">
        <f t="shared" si="108"/>
        <v>0.99106697607203054</v>
      </c>
      <c r="IO23" s="639">
        <v>109693.29</v>
      </c>
      <c r="IP23" s="639">
        <f t="shared" si="168"/>
        <v>112984.08869999999</v>
      </c>
      <c r="IQ23" s="633">
        <v>1.03</v>
      </c>
      <c r="IR23" s="635">
        <f>'Vtas Diarias 2021'!AAC24</f>
        <v>119312.2</v>
      </c>
      <c r="IS23" s="636">
        <f t="shared" si="110"/>
        <v>1.0876891375944691</v>
      </c>
      <c r="IT23" s="1577">
        <f t="shared" si="111"/>
        <v>334408.59269999998</v>
      </c>
      <c r="IU23" s="1577">
        <f t="shared" si="112"/>
        <v>336801.08</v>
      </c>
      <c r="IV23" s="1578">
        <f t="shared" si="113"/>
        <v>328823.09000000003</v>
      </c>
      <c r="IW23" s="654">
        <f t="shared" si="114"/>
        <v>0.97631245719283322</v>
      </c>
      <c r="IX23" s="645">
        <v>67620</v>
      </c>
      <c r="IY23" s="639">
        <f t="shared" si="169"/>
        <v>69648.600000000006</v>
      </c>
      <c r="IZ23" s="633">
        <v>1.03</v>
      </c>
      <c r="JA23" s="635">
        <f>'Vtas Diarias 2021'!ABI24</f>
        <v>77149.709999999992</v>
      </c>
      <c r="JB23" s="636">
        <f t="shared" si="116"/>
        <v>1.1409303460514639</v>
      </c>
      <c r="JC23" s="639">
        <v>74487.91</v>
      </c>
      <c r="JD23" s="639">
        <f t="shared" si="170"/>
        <v>78957.184600000008</v>
      </c>
      <c r="JE23" s="633">
        <v>1.06</v>
      </c>
      <c r="JF23" s="635">
        <f>'Vtas Diarias 2021'!ACO24</f>
        <v>60363.37</v>
      </c>
      <c r="JG23" s="636">
        <f t="shared" si="118"/>
        <v>0.81037808686000179</v>
      </c>
      <c r="JH23" s="639">
        <v>115559.65</v>
      </c>
      <c r="JI23" s="639">
        <f t="shared" si="171"/>
        <v>122493.22900000001</v>
      </c>
      <c r="JJ23" s="633">
        <v>1.06</v>
      </c>
      <c r="JK23" s="635">
        <f>'Vtas Diarias 2021'!ADU24</f>
        <v>75799.69</v>
      </c>
      <c r="JL23" s="636">
        <f t="shared" si="120"/>
        <v>0.65593561420443902</v>
      </c>
      <c r="JM23" s="639">
        <v>129284.73</v>
      </c>
      <c r="JN23" s="639">
        <f t="shared" si="172"/>
        <v>103427.784</v>
      </c>
      <c r="JO23" s="633">
        <v>0.8</v>
      </c>
      <c r="JP23" s="635">
        <f>'Vtas Diarias 2021'!AFA24</f>
        <v>80732.44</v>
      </c>
      <c r="JQ23" s="636">
        <f t="shared" si="122"/>
        <v>0.6244545662894605</v>
      </c>
      <c r="JR23" s="636">
        <f t="shared" si="122"/>
        <v>6.0375901149488081E-6</v>
      </c>
      <c r="JS23" s="1577">
        <f t="shared" si="123"/>
        <v>374526.79760000005</v>
      </c>
      <c r="JT23" s="1577">
        <f t="shared" si="124"/>
        <v>386952.29</v>
      </c>
      <c r="JU23" s="1582">
        <f t="shared" si="125"/>
        <v>294045.21000000002</v>
      </c>
      <c r="JV23" s="651">
        <f t="shared" si="126"/>
        <v>0.75990042596724272</v>
      </c>
      <c r="JW23" s="645">
        <v>150931.04999999999</v>
      </c>
      <c r="JX23" s="639">
        <f t="shared" si="173"/>
        <v>113198.28749999999</v>
      </c>
      <c r="JY23" s="633">
        <v>0.75</v>
      </c>
      <c r="JZ23" s="635">
        <f>'Vtas Diarias 2021'!AGG24</f>
        <v>131414.51999999999</v>
      </c>
      <c r="KA23" s="636">
        <f t="shared" si="128"/>
        <v>0.87069241219749016</v>
      </c>
      <c r="KB23" s="639">
        <v>180037.85</v>
      </c>
      <c r="KC23" s="639">
        <f t="shared" si="174"/>
        <v>135028.38750000001</v>
      </c>
      <c r="KD23" s="633">
        <v>0.75</v>
      </c>
      <c r="KE23" s="635">
        <f>'Vtas Diarias 2021'!AHM24</f>
        <v>156979.68</v>
      </c>
      <c r="KF23" s="636">
        <f t="shared" si="130"/>
        <v>0.87192598667446863</v>
      </c>
      <c r="KG23" s="639">
        <v>200717.13</v>
      </c>
      <c r="KH23" s="639">
        <f t="shared" si="175"/>
        <v>150537.8475</v>
      </c>
      <c r="KI23" s="633">
        <v>0.75</v>
      </c>
      <c r="KJ23" s="635">
        <f>'Vtas Diarias 2021'!AIS24</f>
        <v>195395.18</v>
      </c>
      <c r="KK23" s="636">
        <f t="shared" si="132"/>
        <v>0.97348532235390173</v>
      </c>
      <c r="KL23" s="639">
        <v>210731.22</v>
      </c>
      <c r="KM23" s="1601">
        <f t="shared" si="176"/>
        <v>271843.27380000002</v>
      </c>
      <c r="KN23" s="1615">
        <v>1.29</v>
      </c>
      <c r="KO23" s="1602">
        <f>'Vtas Diarias 2021'!AJY24</f>
        <v>297458.31</v>
      </c>
      <c r="KP23" s="636">
        <f t="shared" si="134"/>
        <v>1.4115531149110228</v>
      </c>
      <c r="KQ23" s="639">
        <v>57152.83</v>
      </c>
      <c r="KR23" s="1601">
        <f t="shared" si="177"/>
        <v>55438.2451</v>
      </c>
      <c r="KS23" s="1616">
        <v>0.97</v>
      </c>
      <c r="KT23" s="1602">
        <f>'Vtas Diarias 2021'!ALE24</f>
        <v>58097.479999999996</v>
      </c>
      <c r="KU23" s="636">
        <f t="shared" si="136"/>
        <v>1.016528490365219</v>
      </c>
      <c r="KV23" s="1577">
        <f t="shared" si="137"/>
        <v>726046.0414000001</v>
      </c>
      <c r="KW23" s="1577">
        <f t="shared" si="2"/>
        <v>799570.08</v>
      </c>
      <c r="KX23" s="1578">
        <f t="shared" si="3"/>
        <v>839345.16999999993</v>
      </c>
      <c r="KY23" s="959">
        <f t="shared" si="138"/>
        <v>1.0497455957831738</v>
      </c>
      <c r="KZ23" s="1508">
        <f t="shared" si="143"/>
        <v>4208358.83</v>
      </c>
      <c r="LA23" s="811">
        <f t="shared" si="144"/>
        <v>3589775.3429</v>
      </c>
      <c r="LB23" s="1509">
        <f t="shared" si="139"/>
        <v>4208358.83</v>
      </c>
      <c r="LC23" s="811">
        <f t="shared" si="140"/>
        <v>3655128.9199999995</v>
      </c>
      <c r="LD23" s="1575">
        <f t="shared" si="4"/>
        <v>-553229.91000000061</v>
      </c>
      <c r="LE23" s="1594">
        <f t="shared" si="141"/>
        <v>0.86854022379075491</v>
      </c>
      <c r="LF23" s="1008">
        <f t="shared" si="145"/>
        <v>0.8530107550025624</v>
      </c>
    </row>
    <row r="24" spans="1:320" ht="15" customHeight="1" outlineLevel="1">
      <c r="A24" s="1495"/>
      <c r="B24" s="688" t="s">
        <v>27</v>
      </c>
      <c r="C24" s="645">
        <v>45014.45</v>
      </c>
      <c r="D24" s="639">
        <v>47265.17</v>
      </c>
      <c r="E24" s="633">
        <v>1.05</v>
      </c>
      <c r="F24" s="635">
        <v>80177.56</v>
      </c>
      <c r="G24" s="636">
        <f t="shared" si="5"/>
        <v>1.7811516079836587</v>
      </c>
      <c r="H24" s="639">
        <v>47618.81</v>
      </c>
      <c r="I24" s="639">
        <v>49999.75</v>
      </c>
      <c r="J24" s="633">
        <v>1.05</v>
      </c>
      <c r="K24" s="635">
        <v>54697.21</v>
      </c>
      <c r="L24" s="636">
        <f t="shared" si="6"/>
        <v>1.1486471417492374</v>
      </c>
      <c r="M24" s="639">
        <v>54045.35</v>
      </c>
      <c r="N24" s="639">
        <v>56747.62</v>
      </c>
      <c r="O24" s="633">
        <v>1.05</v>
      </c>
      <c r="P24" s="635">
        <v>73384.240000000005</v>
      </c>
      <c r="Q24" s="636">
        <f t="shared" si="7"/>
        <v>1.3578270841062183</v>
      </c>
      <c r="R24" s="639">
        <v>51302.46</v>
      </c>
      <c r="S24" s="639">
        <v>53867.58</v>
      </c>
      <c r="T24" s="633">
        <v>1.05</v>
      </c>
      <c r="U24" s="635">
        <v>76564.5</v>
      </c>
      <c r="V24" s="636">
        <f t="shared" si="8"/>
        <v>1.4924138140744128</v>
      </c>
      <c r="W24" s="639">
        <f t="shared" si="157"/>
        <v>207880.12</v>
      </c>
      <c r="X24" s="639">
        <f t="shared" si="158"/>
        <v>197981.06999999998</v>
      </c>
      <c r="Y24" s="666">
        <f t="shared" si="9"/>
        <v>284823.51</v>
      </c>
      <c r="Z24" s="646">
        <f t="shared" si="10"/>
        <v>1.4386401184719328</v>
      </c>
      <c r="AA24" s="645">
        <v>48985.13</v>
      </c>
      <c r="AB24" s="639">
        <v>51434.39</v>
      </c>
      <c r="AC24" s="633">
        <v>1.05</v>
      </c>
      <c r="AD24" s="635">
        <v>89097.81</v>
      </c>
      <c r="AE24" s="636">
        <f t="shared" si="11"/>
        <v>1.8188746258303286</v>
      </c>
      <c r="AF24" s="639">
        <v>63819.8</v>
      </c>
      <c r="AG24" s="639">
        <v>67010.789999999994</v>
      </c>
      <c r="AH24" s="633">
        <v>1.05</v>
      </c>
      <c r="AI24" s="635">
        <v>107508.87</v>
      </c>
      <c r="AJ24" s="636">
        <f t="shared" si="12"/>
        <v>1.6845692089288902</v>
      </c>
      <c r="AK24" s="639">
        <v>44089.42</v>
      </c>
      <c r="AL24" s="639">
        <v>46293.89</v>
      </c>
      <c r="AM24" s="633">
        <v>1.05</v>
      </c>
      <c r="AN24" s="635">
        <v>66441.89</v>
      </c>
      <c r="AO24" s="636">
        <f t="shared" si="13"/>
        <v>1.5069803594603877</v>
      </c>
      <c r="AP24" s="639">
        <v>56252.68</v>
      </c>
      <c r="AQ24" s="639">
        <v>59065.32</v>
      </c>
      <c r="AR24" s="633">
        <v>1.05</v>
      </c>
      <c r="AS24" s="635">
        <v>83650.27</v>
      </c>
      <c r="AT24" s="636">
        <v>0.63</v>
      </c>
      <c r="AU24" s="639">
        <f t="shared" si="14"/>
        <v>223804.39</v>
      </c>
      <c r="AV24" s="639">
        <f t="shared" si="15"/>
        <v>213147.02999999997</v>
      </c>
      <c r="AW24" s="778">
        <f t="shared" si="16"/>
        <v>346698.84</v>
      </c>
      <c r="AX24" s="665">
        <f t="shared" si="17"/>
        <v>1.6265712921263791</v>
      </c>
      <c r="AY24" s="645">
        <v>53000.43</v>
      </c>
      <c r="AZ24" s="639">
        <v>55650.45</v>
      </c>
      <c r="BA24" s="633">
        <v>1.05</v>
      </c>
      <c r="BB24" s="635">
        <v>74838.289999999994</v>
      </c>
      <c r="BC24" s="636">
        <f t="shared" si="18"/>
        <v>1.412031751440507</v>
      </c>
      <c r="BD24" s="639">
        <v>53389.42</v>
      </c>
      <c r="BE24" s="639">
        <v>54457.21</v>
      </c>
      <c r="BF24" s="633">
        <v>1.02</v>
      </c>
      <c r="BG24" s="635">
        <v>72754.429999999993</v>
      </c>
      <c r="BH24" s="636">
        <f t="shared" si="19"/>
        <v>1.362712499967222</v>
      </c>
      <c r="BI24" s="639">
        <v>57075.3</v>
      </c>
      <c r="BJ24" s="639">
        <v>22830.12</v>
      </c>
      <c r="BK24" s="633">
        <v>0.4</v>
      </c>
      <c r="BL24" s="635">
        <v>96165.65</v>
      </c>
      <c r="BM24" s="636">
        <f t="shared" si="20"/>
        <v>1.6848908371922704</v>
      </c>
      <c r="BN24" s="639">
        <v>51210.94</v>
      </c>
      <c r="BO24" s="639">
        <f t="shared" si="21"/>
        <v>77840.628800000006</v>
      </c>
      <c r="BP24" s="633">
        <v>1.52</v>
      </c>
      <c r="BQ24" s="635">
        <v>72987.77</v>
      </c>
      <c r="BR24" s="636">
        <f t="shared" si="22"/>
        <v>1.4252378495688616</v>
      </c>
      <c r="BS24" s="639">
        <v>67560.41</v>
      </c>
      <c r="BT24" s="639">
        <f t="shared" si="23"/>
        <v>102691.82320000001</v>
      </c>
      <c r="BU24" s="633">
        <v>1.52</v>
      </c>
      <c r="BV24" s="635">
        <v>92811.14</v>
      </c>
      <c r="BW24" s="636">
        <f t="shared" si="24"/>
        <v>1.3737503961269624</v>
      </c>
      <c r="BX24" s="661">
        <f t="shared" si="25"/>
        <v>313470.23200000002</v>
      </c>
      <c r="BY24" s="661">
        <f t="shared" si="26"/>
        <v>282236.5</v>
      </c>
      <c r="BZ24" s="663">
        <f t="shared" si="27"/>
        <v>409557.27999999997</v>
      </c>
      <c r="CA24" s="651">
        <f t="shared" si="28"/>
        <v>1.4511137999514589</v>
      </c>
      <c r="CB24" s="645">
        <v>68411.8</v>
      </c>
      <c r="CC24" s="639">
        <f t="shared" si="29"/>
        <v>99197.11</v>
      </c>
      <c r="CD24" s="633">
        <v>1.45</v>
      </c>
      <c r="CE24" s="635">
        <v>65986.69</v>
      </c>
      <c r="CF24" s="636">
        <f t="shared" si="30"/>
        <v>0.96455129085917923</v>
      </c>
      <c r="CG24" s="639">
        <v>76097.83</v>
      </c>
      <c r="CH24" s="639">
        <f t="shared" si="31"/>
        <v>110341.8535</v>
      </c>
      <c r="CI24" s="633">
        <v>1.45</v>
      </c>
      <c r="CJ24" s="635">
        <v>73072.44</v>
      </c>
      <c r="CK24" s="636">
        <f t="shared" si="32"/>
        <v>0.96024341298562654</v>
      </c>
      <c r="CL24" s="639">
        <v>77433.679999999993</v>
      </c>
      <c r="CM24" s="639">
        <f t="shared" si="33"/>
        <v>112278.83599999998</v>
      </c>
      <c r="CN24" s="633">
        <v>1.45</v>
      </c>
      <c r="CO24" s="635">
        <v>62840.04</v>
      </c>
      <c r="CP24" s="636">
        <f t="shared" si="34"/>
        <v>0.81153368921637203</v>
      </c>
      <c r="CQ24" s="639">
        <v>96203.04</v>
      </c>
      <c r="CR24" s="639">
        <f t="shared" si="35"/>
        <v>57721.823999999993</v>
      </c>
      <c r="CS24" s="633">
        <v>0.6</v>
      </c>
      <c r="CT24" s="635">
        <v>127309.91</v>
      </c>
      <c r="CU24" s="636">
        <f t="shared" si="36"/>
        <v>1.3233460190031419</v>
      </c>
      <c r="CV24" s="656">
        <f t="shared" si="37"/>
        <v>379539.62349999999</v>
      </c>
      <c r="CW24" s="656">
        <f t="shared" si="38"/>
        <v>318146.34999999998</v>
      </c>
      <c r="CX24" s="657">
        <f t="shared" si="39"/>
        <v>329209.08</v>
      </c>
      <c r="CY24" s="654">
        <f t="shared" si="40"/>
        <v>1.0347724561353604</v>
      </c>
      <c r="CZ24" s="645">
        <v>107914.09</v>
      </c>
      <c r="DA24" s="639">
        <f t="shared" si="41"/>
        <v>107914.09</v>
      </c>
      <c r="DB24" s="633">
        <v>1</v>
      </c>
      <c r="DC24" s="635">
        <v>103456.54</v>
      </c>
      <c r="DD24" s="636">
        <f t="shared" si="42"/>
        <v>0.95869353112276623</v>
      </c>
      <c r="DE24" s="639">
        <v>73594.44</v>
      </c>
      <c r="DF24" s="639">
        <f t="shared" si="43"/>
        <v>88313.327999999994</v>
      </c>
      <c r="DG24" s="633">
        <v>1.2</v>
      </c>
      <c r="DH24" s="635">
        <v>99468.88</v>
      </c>
      <c r="DI24" s="636">
        <f t="shared" si="44"/>
        <v>1.3515814509900477</v>
      </c>
      <c r="DJ24" s="639">
        <v>63595.61</v>
      </c>
      <c r="DK24" s="639">
        <f t="shared" si="45"/>
        <v>76314.732000000004</v>
      </c>
      <c r="DL24" s="633">
        <v>1.2</v>
      </c>
      <c r="DM24" s="635">
        <v>94721.75</v>
      </c>
      <c r="DN24" s="636">
        <f t="shared" si="46"/>
        <v>1.4894385005505884</v>
      </c>
      <c r="DO24" s="639">
        <v>71688.240000000005</v>
      </c>
      <c r="DP24" s="639">
        <f t="shared" si="47"/>
        <v>106775.22469271072</v>
      </c>
      <c r="DQ24" s="633">
        <v>1.4894385005505884</v>
      </c>
      <c r="DR24" s="635">
        <v>102390.66</v>
      </c>
      <c r="DS24" s="636">
        <f t="shared" si="48"/>
        <v>1.4282769391465042</v>
      </c>
      <c r="DT24" s="656">
        <f t="shared" si="49"/>
        <v>379317.3746927107</v>
      </c>
      <c r="DU24" s="656">
        <f t="shared" si="50"/>
        <v>316792.38</v>
      </c>
      <c r="DV24" s="657">
        <f t="shared" si="51"/>
        <v>400037.83</v>
      </c>
      <c r="DW24" s="654">
        <f t="shared" si="52"/>
        <v>1.2627760490956255</v>
      </c>
      <c r="DX24" s="645">
        <v>65216.37</v>
      </c>
      <c r="DY24" s="639">
        <f t="shared" si="53"/>
        <v>93147.0373258459</v>
      </c>
      <c r="DZ24" s="633">
        <v>1.4282769391465042</v>
      </c>
      <c r="EA24" s="635">
        <f>'Vtas Diarias 2021'!AG25</f>
        <v>104847.77</v>
      </c>
      <c r="EB24" s="636">
        <f t="shared" si="54"/>
        <v>1.6076909831074622</v>
      </c>
      <c r="EC24" s="639">
        <v>82778.399999999994</v>
      </c>
      <c r="ED24" s="639">
        <f>ED14*0.85</f>
        <v>112727.84319999999</v>
      </c>
      <c r="EE24" s="633">
        <v>1.6076909831074622</v>
      </c>
      <c r="EF24" s="635">
        <f>'Vtas Diarias 2021'!BM25</f>
        <v>94526.15</v>
      </c>
      <c r="EG24" s="636">
        <f t="shared" si="56"/>
        <v>1.1419180607501473</v>
      </c>
      <c r="EH24" s="639">
        <v>88802.28</v>
      </c>
      <c r="EI24" s="639">
        <f>EI14*0.85</f>
        <v>116972.32924999998</v>
      </c>
      <c r="EJ24" s="633">
        <v>1.65</v>
      </c>
      <c r="EK24" s="635">
        <f>'Vtas Diarias 2021'!CS25</f>
        <v>128115.85999999999</v>
      </c>
      <c r="EL24" s="636">
        <f t="shared" si="58"/>
        <v>1.4427091286394897</v>
      </c>
      <c r="EM24" s="639">
        <v>116917</v>
      </c>
      <c r="EN24" s="639">
        <f>EN14*0.85</f>
        <v>116488.12419999998</v>
      </c>
      <c r="EO24" s="633">
        <v>1.52</v>
      </c>
      <c r="EP24" s="635">
        <f>'Vtas Diarias 2021'!DY25</f>
        <v>104174</v>
      </c>
      <c r="EQ24" s="636">
        <f t="shared" si="60"/>
        <v>0.89100815108153653</v>
      </c>
      <c r="ER24" s="639">
        <v>78122.259999999995</v>
      </c>
      <c r="ES24" s="639">
        <f>ES14*0.85</f>
        <v>107308.73789999999</v>
      </c>
      <c r="ET24" s="633">
        <v>1.52</v>
      </c>
      <c r="EU24" s="635">
        <f>'Vtas Diarias 2021'!FE25</f>
        <v>102538.76000000001</v>
      </c>
      <c r="EV24" s="636">
        <f t="shared" si="62"/>
        <v>1.3125421614786876</v>
      </c>
      <c r="EW24" s="661">
        <f t="shared" si="63"/>
        <v>546644.0718758459</v>
      </c>
      <c r="EX24" s="956">
        <f t="shared" si="64"/>
        <v>431836.31</v>
      </c>
      <c r="EY24" s="662">
        <f t="shared" si="65"/>
        <v>534202.54</v>
      </c>
      <c r="EZ24" s="654">
        <f t="shared" si="66"/>
        <v>1.2370486863413594</v>
      </c>
      <c r="FA24" s="645">
        <v>68379.460000000006</v>
      </c>
      <c r="FB24" s="639">
        <f>FB14*0.85</f>
        <v>119884.1955</v>
      </c>
      <c r="FC24" s="633">
        <v>1.52</v>
      </c>
      <c r="FD24" s="635">
        <f>'Vtas Diarias 2021'!GK25</f>
        <v>115349.56</v>
      </c>
      <c r="FE24" s="636">
        <f t="shared" si="68"/>
        <v>1.6869036403621787</v>
      </c>
      <c r="FF24" s="639">
        <v>77471.64</v>
      </c>
      <c r="FG24" s="639">
        <f>FG14*0.85</f>
        <v>108377.24298</v>
      </c>
      <c r="FH24" s="633">
        <v>1.52</v>
      </c>
      <c r="FI24" s="635">
        <f>'Vtas Diarias 2021'!HQ25</f>
        <v>110653.47</v>
      </c>
      <c r="FJ24" s="636">
        <f t="shared" si="70"/>
        <v>1.4283093787610537</v>
      </c>
      <c r="FK24" s="639">
        <v>72303.070000000007</v>
      </c>
      <c r="FL24" s="639">
        <f>FL14*0.85</f>
        <v>119517.19678</v>
      </c>
      <c r="FM24" s="633">
        <v>1.52</v>
      </c>
      <c r="FN24" s="635">
        <f>'Vtas Diarias 2021'!IW25</f>
        <v>97035.87</v>
      </c>
      <c r="FO24" s="636">
        <f t="shared" si="72"/>
        <v>1.3420712287873804</v>
      </c>
      <c r="FP24" s="639">
        <v>72432.490000000005</v>
      </c>
      <c r="FQ24" s="639">
        <f>FQ14*0.85</f>
        <v>127400.90801999999</v>
      </c>
      <c r="FR24" s="633">
        <v>0.76</v>
      </c>
      <c r="FS24" s="635">
        <f>'Vtas Diarias 2021'!KC25</f>
        <v>102492.8</v>
      </c>
      <c r="FT24" s="636">
        <f t="shared" si="74"/>
        <v>1.4150114126961533</v>
      </c>
      <c r="FU24" s="661">
        <f t="shared" si="75"/>
        <v>475179.54327999998</v>
      </c>
      <c r="FV24" s="661">
        <f t="shared" si="76"/>
        <v>290586.66000000003</v>
      </c>
      <c r="FW24" s="663">
        <f t="shared" si="77"/>
        <v>425531.69999999995</v>
      </c>
      <c r="FX24" s="651">
        <f t="shared" si="78"/>
        <v>1.4643882826555077</v>
      </c>
      <c r="FY24" s="645">
        <v>80918.39</v>
      </c>
      <c r="FZ24" s="639">
        <f>FZ14*0.85</f>
        <v>103423.59920999999</v>
      </c>
      <c r="GA24" s="633">
        <v>0.75</v>
      </c>
      <c r="GB24" s="635">
        <f>'Vtas Diarias 2021'!LI25</f>
        <v>88769.139999999985</v>
      </c>
      <c r="GC24" s="636">
        <f t="shared" si="80"/>
        <v>1.0970205907458117</v>
      </c>
      <c r="GD24" s="639">
        <v>55703.26</v>
      </c>
      <c r="GE24" s="639">
        <f>GE14*0.85</f>
        <v>125852.00716499999</v>
      </c>
      <c r="GF24" s="633">
        <v>0.81</v>
      </c>
      <c r="GG24" s="635">
        <f>'Vtas Diarias 2021'!MO25</f>
        <v>104139</v>
      </c>
      <c r="GH24" s="808">
        <f t="shared" si="82"/>
        <v>1.8695315139544795</v>
      </c>
      <c r="GI24" s="639">
        <v>62811.41</v>
      </c>
      <c r="GJ24" s="639">
        <f>GJ14*0.85</f>
        <v>124532.838275</v>
      </c>
      <c r="GK24" s="633">
        <v>0.8</v>
      </c>
      <c r="GL24" s="635">
        <f>'Vtas Diarias 2021'!NU25</f>
        <v>101900.73000000001</v>
      </c>
      <c r="GM24" s="636">
        <f t="shared" si="84"/>
        <v>1.6223283317473689</v>
      </c>
      <c r="GN24" s="639">
        <v>48944.2</v>
      </c>
      <c r="GO24" s="639">
        <f>GO14*0.85</f>
        <v>108484.92880000001</v>
      </c>
      <c r="GP24" s="633">
        <v>0.73</v>
      </c>
      <c r="GQ24" s="635">
        <f>'Vtas Diarias 2021'!PA25</f>
        <v>118590.1</v>
      </c>
      <c r="GR24" s="636">
        <f>GQ24/GN24</f>
        <v>2.4229653360357308</v>
      </c>
      <c r="GS24" s="661">
        <f t="shared" si="86"/>
        <v>462293.37344999996</v>
      </c>
      <c r="GT24" s="661">
        <f t="shared" si="87"/>
        <v>248377.26</v>
      </c>
      <c r="GU24" s="662">
        <f t="shared" si="88"/>
        <v>413398.97</v>
      </c>
      <c r="GV24" s="1598">
        <f t="shared" si="89"/>
        <v>1.6643994301249638</v>
      </c>
      <c r="GW24" s="645">
        <v>58384</v>
      </c>
      <c r="GX24" s="639">
        <f>GX14*0.85</f>
        <v>112055.976</v>
      </c>
      <c r="GY24" s="633">
        <v>0.76</v>
      </c>
      <c r="GZ24" s="635">
        <f>'Vtas Diarias 2021'!QG25</f>
        <v>145073.64000000001</v>
      </c>
      <c r="HA24" s="636">
        <f t="shared" si="91"/>
        <v>2.4848184434091536</v>
      </c>
      <c r="HB24" s="639">
        <v>51318.02</v>
      </c>
      <c r="HC24" s="639">
        <f>HC14*0.85</f>
        <v>102568.45535</v>
      </c>
      <c r="HD24" s="633">
        <v>0.78</v>
      </c>
      <c r="HE24" s="635">
        <f>'Vtas Diarias 2021'!RM25</f>
        <v>83206.05</v>
      </c>
      <c r="HF24" s="636">
        <f t="shared" si="93"/>
        <v>1.6213807547524244</v>
      </c>
      <c r="HG24" s="639">
        <v>55000</v>
      </c>
      <c r="HH24" s="639">
        <f>HH14*0.85</f>
        <v>94974.387900000002</v>
      </c>
      <c r="HI24" s="633">
        <v>0.77</v>
      </c>
      <c r="HJ24" s="635">
        <f>'Vtas Diarias 2021'!SS25</f>
        <v>86779.819999999992</v>
      </c>
      <c r="HK24" s="636">
        <f t="shared" si="95"/>
        <v>1.577814909090909</v>
      </c>
      <c r="HL24" s="639">
        <v>46197.03</v>
      </c>
      <c r="HM24" s="639">
        <f>HM14*0.85</f>
        <v>94079.433864999985</v>
      </c>
      <c r="HN24" s="633">
        <v>0.76</v>
      </c>
      <c r="HO24" s="635">
        <f>'Vtas Diarias 2021'!TY25</f>
        <v>71677.88</v>
      </c>
      <c r="HP24" s="636">
        <f t="shared" si="97"/>
        <v>1.5515690077911937</v>
      </c>
      <c r="HQ24" s="639">
        <v>48548.22</v>
      </c>
      <c r="HR24" s="639">
        <f>HR14*0.85</f>
        <v>105298.90864999998</v>
      </c>
      <c r="HS24" s="633">
        <v>0.76</v>
      </c>
      <c r="HT24" s="635">
        <f>'Vtas Diarias 2021'!VE25</f>
        <v>75453.14</v>
      </c>
      <c r="HU24" s="636">
        <f t="shared" si="99"/>
        <v>1.5541896283736045</v>
      </c>
      <c r="HV24" s="661">
        <f t="shared" si="100"/>
        <v>508977.16176499997</v>
      </c>
      <c r="HW24" s="661">
        <f t="shared" si="101"/>
        <v>259447.27</v>
      </c>
      <c r="HX24" s="663">
        <f t="shared" si="102"/>
        <v>462190.53</v>
      </c>
      <c r="HY24" s="651">
        <f t="shared" si="103"/>
        <v>1.7814430269395398</v>
      </c>
      <c r="HZ24" s="645">
        <v>46198.13</v>
      </c>
      <c r="IA24" s="639">
        <f t="shared" si="165"/>
        <v>71607.101500000004</v>
      </c>
      <c r="IB24" s="633">
        <v>1.55</v>
      </c>
      <c r="IC24" s="635">
        <f>'Vtas Diarias 2021'!WK25</f>
        <v>88945.94</v>
      </c>
      <c r="ID24" s="636">
        <f t="shared" si="142"/>
        <v>1.9253147259423706</v>
      </c>
      <c r="IE24" s="639">
        <v>50955.22</v>
      </c>
      <c r="IF24" s="639">
        <f t="shared" si="166"/>
        <v>79999.695400000011</v>
      </c>
      <c r="IG24" s="633">
        <v>1.57</v>
      </c>
      <c r="IH24" s="635">
        <f>'Vtas Diarias 2021'!XQ25</f>
        <v>88298.950000000012</v>
      </c>
      <c r="II24" s="636">
        <f t="shared" si="106"/>
        <v>1.7328734916658197</v>
      </c>
      <c r="IJ24" s="639">
        <v>57224.480000000003</v>
      </c>
      <c r="IK24" s="639">
        <f t="shared" si="167"/>
        <v>91559.168000000005</v>
      </c>
      <c r="IL24" s="633">
        <v>1.6</v>
      </c>
      <c r="IM24" s="635">
        <f>'Vtas Diarias 2021'!YW25</f>
        <v>111912.45000000001</v>
      </c>
      <c r="IN24" s="636">
        <f t="shared" si="108"/>
        <v>1.9556743897017501</v>
      </c>
      <c r="IO24" s="639">
        <v>64148.19</v>
      </c>
      <c r="IP24" s="639">
        <f t="shared" si="168"/>
        <v>104561.5497</v>
      </c>
      <c r="IQ24" s="633">
        <v>1.63</v>
      </c>
      <c r="IR24" s="635">
        <f>'Vtas Diarias 2021'!AAC25</f>
        <v>159964.59999999998</v>
      </c>
      <c r="IS24" s="636">
        <f t="shared" si="110"/>
        <v>2.4936728534351471</v>
      </c>
      <c r="IT24" s="1577">
        <f t="shared" si="111"/>
        <v>347727.51459999999</v>
      </c>
      <c r="IU24" s="1577">
        <f t="shared" si="112"/>
        <v>218526.02000000002</v>
      </c>
      <c r="IV24" s="1578">
        <f t="shared" si="113"/>
        <v>449121.94</v>
      </c>
      <c r="IW24" s="654">
        <f t="shared" si="114"/>
        <v>2.0552332395016388</v>
      </c>
      <c r="IX24" s="645">
        <v>43030.62</v>
      </c>
      <c r="IY24" s="639">
        <f t="shared" si="169"/>
        <v>70139.910600000003</v>
      </c>
      <c r="IZ24" s="633">
        <v>1.63</v>
      </c>
      <c r="JA24" s="635">
        <f>'Vtas Diarias 2021'!ABI25</f>
        <v>97387.199999999997</v>
      </c>
      <c r="JB24" s="636">
        <f t="shared" si="116"/>
        <v>2.2632069907428707</v>
      </c>
      <c r="JC24" s="639">
        <v>50000</v>
      </c>
      <c r="JD24" s="639">
        <f t="shared" si="170"/>
        <v>83000</v>
      </c>
      <c r="JE24" s="633">
        <v>1.66</v>
      </c>
      <c r="JF24" s="635">
        <f>'Vtas Diarias 2021'!ACO25</f>
        <v>97745.65</v>
      </c>
      <c r="JG24" s="636">
        <f t="shared" si="118"/>
        <v>1.9549129999999999</v>
      </c>
      <c r="JH24" s="639">
        <v>42000</v>
      </c>
      <c r="JI24" s="639">
        <f t="shared" si="171"/>
        <v>69720</v>
      </c>
      <c r="JJ24" s="633">
        <v>1.66</v>
      </c>
      <c r="JK24" s="635">
        <f>'Vtas Diarias 2021'!ADU25</f>
        <v>137225.75</v>
      </c>
      <c r="JL24" s="636">
        <f t="shared" si="120"/>
        <v>3.2672797619047618</v>
      </c>
      <c r="JM24" s="639">
        <v>68464.34</v>
      </c>
      <c r="JN24" s="639">
        <f t="shared" si="172"/>
        <v>113650.80439999999</v>
      </c>
      <c r="JO24" s="633">
        <v>1.66</v>
      </c>
      <c r="JP24" s="635">
        <f>'Vtas Diarias 2021'!AFA25</f>
        <v>135459.74</v>
      </c>
      <c r="JQ24" s="636">
        <f t="shared" si="122"/>
        <v>1.9785444510237007</v>
      </c>
      <c r="JR24" s="636">
        <f t="shared" si="122"/>
        <v>1.7408978858258751E-5</v>
      </c>
      <c r="JS24" s="1577">
        <f t="shared" si="123"/>
        <v>336510.71500000003</v>
      </c>
      <c r="JT24" s="1577">
        <f t="shared" si="124"/>
        <v>203494.96</v>
      </c>
      <c r="JU24" s="1582">
        <f t="shared" si="125"/>
        <v>467818.33999999997</v>
      </c>
      <c r="JV24" s="651">
        <f t="shared" si="126"/>
        <v>2.2989185579829594</v>
      </c>
      <c r="JW24" s="645">
        <v>106577.11</v>
      </c>
      <c r="JX24" s="639">
        <f t="shared" si="173"/>
        <v>191838.79800000001</v>
      </c>
      <c r="JY24" s="633">
        <v>1.8</v>
      </c>
      <c r="JZ24" s="635">
        <f>'Vtas Diarias 2021'!AGG25</f>
        <v>245051.91000000003</v>
      </c>
      <c r="KA24" s="636">
        <f t="shared" si="128"/>
        <v>2.2992921275497151</v>
      </c>
      <c r="KB24" s="639">
        <v>117332.14</v>
      </c>
      <c r="KC24" s="639">
        <f t="shared" si="174"/>
        <v>211197.85200000001</v>
      </c>
      <c r="KD24" s="633">
        <v>1.8</v>
      </c>
      <c r="KE24" s="635">
        <f>'Vtas Diarias 2021'!AHM25</f>
        <v>264210.55</v>
      </c>
      <c r="KF24" s="636">
        <f t="shared" si="130"/>
        <v>2.2518173622333997</v>
      </c>
      <c r="KG24" s="639">
        <v>202758.54</v>
      </c>
      <c r="KH24" s="639">
        <f t="shared" si="175"/>
        <v>364965.37200000003</v>
      </c>
      <c r="KI24" s="633">
        <v>1.8</v>
      </c>
      <c r="KJ24" s="635">
        <f>'Vtas Diarias 2021'!AIS25</f>
        <v>344937.70999999996</v>
      </c>
      <c r="KK24" s="636">
        <f t="shared" si="132"/>
        <v>1.7012240766776086</v>
      </c>
      <c r="KL24" s="639">
        <v>167534.21</v>
      </c>
      <c r="KM24" s="1601">
        <f t="shared" si="176"/>
        <v>505953.31419999996</v>
      </c>
      <c r="KN24" s="1615">
        <v>3.02</v>
      </c>
      <c r="KO24" s="1602">
        <f>'Vtas Diarias 2021'!AJY25</f>
        <v>471120.91000000003</v>
      </c>
      <c r="KP24" s="636">
        <f t="shared" si="134"/>
        <v>2.8120878117967671</v>
      </c>
      <c r="KQ24" s="639">
        <v>51000.35</v>
      </c>
      <c r="KR24" s="1601">
        <f t="shared" si="177"/>
        <v>91800.63</v>
      </c>
      <c r="KS24" s="1616">
        <v>1.8</v>
      </c>
      <c r="KT24" s="1602">
        <f>'Vtas Diarias 2021'!ALE25</f>
        <v>97035.67</v>
      </c>
      <c r="KU24" s="636">
        <f t="shared" si="136"/>
        <v>1.902647138696107</v>
      </c>
      <c r="KV24" s="1577">
        <f t="shared" si="137"/>
        <v>1365755.9661999999</v>
      </c>
      <c r="KW24" s="1577">
        <f t="shared" si="2"/>
        <v>645202.35</v>
      </c>
      <c r="KX24" s="1578">
        <f t="shared" si="3"/>
        <v>1422356.75</v>
      </c>
      <c r="KY24" s="959">
        <f t="shared" si="138"/>
        <v>2.2045126618029212</v>
      </c>
      <c r="KZ24" s="1508">
        <f t="shared" si="143"/>
        <v>3625774.16</v>
      </c>
      <c r="LA24" s="811">
        <f t="shared" si="144"/>
        <v>5702431.1075649997</v>
      </c>
      <c r="LB24" s="1509">
        <f t="shared" si="139"/>
        <v>3625774.1600000006</v>
      </c>
      <c r="LC24" s="811">
        <f t="shared" si="140"/>
        <v>5944947.3100000005</v>
      </c>
      <c r="LD24" s="1575">
        <f t="shared" si="4"/>
        <v>2319173.15</v>
      </c>
      <c r="LE24" s="1594">
        <f t="shared" si="141"/>
        <v>1.6396353020509145</v>
      </c>
      <c r="LF24" s="1008"/>
      <c r="LG24" s="1630">
        <f>SUM(LC6:LC24)</f>
        <v>87351660.469999999</v>
      </c>
    </row>
    <row r="25" spans="1:320">
      <c r="A25" s="1495"/>
      <c r="B25" s="684" t="s">
        <v>477</v>
      </c>
      <c r="C25" s="645">
        <v>121103.93</v>
      </c>
      <c r="D25" s="639">
        <v>127159.13</v>
      </c>
      <c r="E25" s="633">
        <v>1.05</v>
      </c>
      <c r="F25" s="635">
        <v>128000.92</v>
      </c>
      <c r="G25" s="636">
        <f t="shared" si="5"/>
        <v>1.056951000681811</v>
      </c>
      <c r="H25" s="639">
        <v>121881.21</v>
      </c>
      <c r="I25" s="639">
        <v>127975.27</v>
      </c>
      <c r="J25" s="633">
        <v>1.05</v>
      </c>
      <c r="K25" s="638">
        <v>110741.69</v>
      </c>
      <c r="L25" s="636">
        <f t="shared" si="6"/>
        <v>0.90860346726127839</v>
      </c>
      <c r="M25" s="639">
        <v>137368.57</v>
      </c>
      <c r="N25" s="639">
        <v>144236.99</v>
      </c>
      <c r="O25" s="633">
        <v>1.05</v>
      </c>
      <c r="P25" s="635">
        <v>106989.57</v>
      </c>
      <c r="Q25" s="636">
        <f t="shared" si="7"/>
        <v>0.77885043136140963</v>
      </c>
      <c r="R25" s="639">
        <v>129538.13</v>
      </c>
      <c r="S25" s="639">
        <v>136015.03</v>
      </c>
      <c r="T25" s="633">
        <v>1.05</v>
      </c>
      <c r="U25" s="638">
        <v>110480.23</v>
      </c>
      <c r="V25" s="636">
        <f t="shared" si="8"/>
        <v>0.85287806763923479</v>
      </c>
      <c r="W25" s="639">
        <f t="shared" si="157"/>
        <v>535386.42000000004</v>
      </c>
      <c r="X25" s="639">
        <f t="shared" si="158"/>
        <v>509891.84000000003</v>
      </c>
      <c r="Y25" s="666">
        <f t="shared" si="9"/>
        <v>456212.41</v>
      </c>
      <c r="Z25" s="646">
        <f t="shared" si="10"/>
        <v>0.89472388889376997</v>
      </c>
      <c r="AA25" s="645">
        <v>128992.53</v>
      </c>
      <c r="AB25" s="639">
        <v>135442.16</v>
      </c>
      <c r="AC25" s="633">
        <v>1.05</v>
      </c>
      <c r="AD25" s="635">
        <v>114015.42</v>
      </c>
      <c r="AE25" s="636">
        <f t="shared" si="11"/>
        <v>0.88389164860941949</v>
      </c>
      <c r="AF25" s="639">
        <v>161671.63</v>
      </c>
      <c r="AG25" s="639">
        <v>169755.21</v>
      </c>
      <c r="AH25" s="633">
        <v>1.05</v>
      </c>
      <c r="AI25" s="635">
        <v>144155.81</v>
      </c>
      <c r="AJ25" s="636">
        <f t="shared" si="12"/>
        <v>0.89165804785910796</v>
      </c>
      <c r="AK25" s="639">
        <v>116650.72</v>
      </c>
      <c r="AL25" s="639">
        <v>122483.25</v>
      </c>
      <c r="AM25" s="633">
        <v>1.05</v>
      </c>
      <c r="AN25" s="635">
        <v>106579.34</v>
      </c>
      <c r="AO25" s="636">
        <f t="shared" si="13"/>
        <v>0.91366208455464304</v>
      </c>
      <c r="AP25" s="639">
        <v>124479.63</v>
      </c>
      <c r="AQ25" s="639">
        <v>130703.61</v>
      </c>
      <c r="AR25" s="633">
        <v>1.05</v>
      </c>
      <c r="AS25" s="638">
        <v>49260.47</v>
      </c>
      <c r="AT25" s="636">
        <v>0.87</v>
      </c>
      <c r="AU25" s="639">
        <f t="shared" si="14"/>
        <v>558384.23</v>
      </c>
      <c r="AV25" s="639">
        <f t="shared" si="15"/>
        <v>531794.51</v>
      </c>
      <c r="AW25" s="778">
        <f t="shared" si="16"/>
        <v>414011.03999999992</v>
      </c>
      <c r="AX25" s="665">
        <f t="shared" si="17"/>
        <v>0.77851695009036459</v>
      </c>
      <c r="AY25" s="645">
        <v>130464.78</v>
      </c>
      <c r="AZ25" s="639">
        <v>136988.01999999999</v>
      </c>
      <c r="BA25" s="633">
        <v>1.05</v>
      </c>
      <c r="BB25" s="635">
        <v>120137.09</v>
      </c>
      <c r="BC25" s="636">
        <f t="shared" si="18"/>
        <v>0.92083924872291201</v>
      </c>
      <c r="BD25" s="639">
        <v>153458.66</v>
      </c>
      <c r="BE25" s="639">
        <v>161131.59</v>
      </c>
      <c r="BF25" s="633">
        <v>1.05</v>
      </c>
      <c r="BG25" s="638">
        <v>125687.13</v>
      </c>
      <c r="BH25" s="636">
        <f t="shared" si="19"/>
        <v>0.81902924214247674</v>
      </c>
      <c r="BI25" s="639">
        <v>167563.95000000001</v>
      </c>
      <c r="BJ25" s="639">
        <v>67025.58</v>
      </c>
      <c r="BK25" s="633">
        <v>0.4</v>
      </c>
      <c r="BL25" s="635">
        <v>118266.87</v>
      </c>
      <c r="BM25" s="636">
        <f t="shared" si="20"/>
        <v>0.70580139701886946</v>
      </c>
      <c r="BN25" s="639">
        <v>147881.54</v>
      </c>
      <c r="BO25" s="639">
        <f t="shared" si="21"/>
        <v>96123.001000000004</v>
      </c>
      <c r="BP25" s="633">
        <v>0.65</v>
      </c>
      <c r="BQ25" s="638">
        <v>138984.95999999999</v>
      </c>
      <c r="BR25" s="636">
        <f t="shared" si="22"/>
        <v>0.93983982044006298</v>
      </c>
      <c r="BS25" s="639">
        <v>153017.04999999999</v>
      </c>
      <c r="BT25" s="639">
        <f t="shared" si="23"/>
        <v>99461.08249999999</v>
      </c>
      <c r="BU25" s="633">
        <v>0.65</v>
      </c>
      <c r="BV25" s="635">
        <v>127069.22</v>
      </c>
      <c r="BW25" s="636">
        <f t="shared" si="24"/>
        <v>0.83042523692621184</v>
      </c>
      <c r="BX25" s="661">
        <f t="shared" si="25"/>
        <v>560729.27350000001</v>
      </c>
      <c r="BY25" s="661">
        <f t="shared" si="26"/>
        <v>752385.98</v>
      </c>
      <c r="BZ25" s="663">
        <f t="shared" si="27"/>
        <v>630145.27</v>
      </c>
      <c r="CA25" s="651">
        <f t="shared" si="28"/>
        <v>0.83752925592792149</v>
      </c>
      <c r="CB25" s="645">
        <v>172764.87</v>
      </c>
      <c r="CC25" s="639">
        <f t="shared" si="29"/>
        <v>141667.19339999999</v>
      </c>
      <c r="CD25" s="633">
        <v>0.82</v>
      </c>
      <c r="CE25" s="635">
        <v>126869.19</v>
      </c>
      <c r="CF25" s="636">
        <f t="shared" si="30"/>
        <v>0.73434599290932234</v>
      </c>
      <c r="CG25" s="639">
        <v>173146.3</v>
      </c>
      <c r="CH25" s="639">
        <f t="shared" si="31"/>
        <v>129859.72499999999</v>
      </c>
      <c r="CI25" s="633">
        <v>0.75</v>
      </c>
      <c r="CJ25" s="635">
        <v>101262.58</v>
      </c>
      <c r="CK25" s="636">
        <f t="shared" si="32"/>
        <v>0.58483825527891731</v>
      </c>
      <c r="CL25" s="639">
        <v>175330.75</v>
      </c>
      <c r="CM25" s="639">
        <f t="shared" si="33"/>
        <v>122731.52499999999</v>
      </c>
      <c r="CN25" s="633">
        <v>0.7</v>
      </c>
      <c r="CO25" s="635">
        <v>79063.009999999995</v>
      </c>
      <c r="CP25" s="636">
        <f t="shared" si="34"/>
        <v>0.450936358853196</v>
      </c>
      <c r="CQ25" s="639">
        <v>169264.91</v>
      </c>
      <c r="CR25" s="639">
        <f t="shared" si="35"/>
        <v>76327.702197013932</v>
      </c>
      <c r="CS25" s="633">
        <v>0.450936358853196</v>
      </c>
      <c r="CT25" s="638">
        <v>78624.59</v>
      </c>
      <c r="CU25" s="636">
        <f t="shared" si="36"/>
        <v>0.46450614010901609</v>
      </c>
      <c r="CV25" s="656">
        <f t="shared" si="37"/>
        <v>470586.14559701388</v>
      </c>
      <c r="CW25" s="656">
        <f t="shared" si="38"/>
        <v>690506.83</v>
      </c>
      <c r="CX25" s="657">
        <f t="shared" si="39"/>
        <v>385819.37</v>
      </c>
      <c r="CY25" s="654">
        <f t="shared" si="40"/>
        <v>0.558748086532323</v>
      </c>
      <c r="CZ25" s="645">
        <v>271420.05</v>
      </c>
      <c r="DA25" s="639">
        <f t="shared" si="41"/>
        <v>135710.02499999999</v>
      </c>
      <c r="DB25" s="633">
        <v>0.5</v>
      </c>
      <c r="DC25" s="635">
        <v>167487</v>
      </c>
      <c r="DD25" s="636">
        <f t="shared" si="42"/>
        <v>0.61707674138295976</v>
      </c>
      <c r="DE25" s="639">
        <v>173873.43</v>
      </c>
      <c r="DF25" s="639">
        <f t="shared" si="43"/>
        <v>104324.05799999999</v>
      </c>
      <c r="DG25" s="633">
        <v>0.6</v>
      </c>
      <c r="DH25" s="635">
        <v>175088.27</v>
      </c>
      <c r="DI25" s="636">
        <f t="shared" si="44"/>
        <v>1.0069869214635037</v>
      </c>
      <c r="DJ25" s="639">
        <v>152813.03</v>
      </c>
      <c r="DK25" s="639">
        <f t="shared" si="45"/>
        <v>106969.121</v>
      </c>
      <c r="DL25" s="633">
        <v>0.7</v>
      </c>
      <c r="DM25" s="635">
        <v>134349.49</v>
      </c>
      <c r="DN25" s="636">
        <f t="shared" si="46"/>
        <v>0.87917561741953543</v>
      </c>
      <c r="DO25" s="639">
        <v>149860.54999999999</v>
      </c>
      <c r="DP25" s="639">
        <f t="shared" si="47"/>
        <v>131753.74157308115</v>
      </c>
      <c r="DQ25" s="633">
        <v>0.87917561741953543</v>
      </c>
      <c r="DR25" s="635">
        <v>144744.21</v>
      </c>
      <c r="DS25" s="636">
        <f t="shared" si="48"/>
        <v>0.96585932722120671</v>
      </c>
      <c r="DT25" s="656">
        <f t="shared" si="49"/>
        <v>478756.94557308115</v>
      </c>
      <c r="DU25" s="656">
        <f t="shared" si="50"/>
        <v>747967.06</v>
      </c>
      <c r="DV25" s="657">
        <f t="shared" si="51"/>
        <v>621668.97</v>
      </c>
      <c r="DW25" s="654">
        <f t="shared" si="52"/>
        <v>0.83114485014888217</v>
      </c>
      <c r="DX25" s="645">
        <v>174455.74</v>
      </c>
      <c r="DY25" s="639">
        <f t="shared" si="53"/>
        <v>168499.70366627775</v>
      </c>
      <c r="DZ25" s="633">
        <v>0.96585932722120671</v>
      </c>
      <c r="EA25" s="635">
        <f>'Vtas Diarias 2021'!AG26</f>
        <v>127870.63</v>
      </c>
      <c r="EB25" s="636">
        <f t="shared" si="54"/>
        <v>0.73296888941573379</v>
      </c>
      <c r="EC25" s="639">
        <v>233482.34</v>
      </c>
      <c r="ED25" s="639">
        <f t="shared" si="146"/>
        <v>171135.29144798676</v>
      </c>
      <c r="EE25" s="633">
        <v>0.73296888941573379</v>
      </c>
      <c r="EF25" s="635">
        <f>'Vtas Diarias 2021'!BM26</f>
        <v>135396.59000000003</v>
      </c>
      <c r="EG25" s="636">
        <f t="shared" si="56"/>
        <v>0.57990077536485207</v>
      </c>
      <c r="EH25" s="639">
        <v>228321.31</v>
      </c>
      <c r="EI25" s="639">
        <f t="shared" si="147"/>
        <v>159824.91699999999</v>
      </c>
      <c r="EJ25" s="633">
        <v>0.7</v>
      </c>
      <c r="EK25" s="635">
        <f>'Vtas Diarias 2021'!CS26</f>
        <v>138373.15999999997</v>
      </c>
      <c r="EL25" s="636">
        <f t="shared" si="58"/>
        <v>0.60604575192740429</v>
      </c>
      <c r="EM25" s="639">
        <v>256327.18</v>
      </c>
      <c r="EN25" s="639">
        <f t="shared" si="148"/>
        <v>205061.74400000001</v>
      </c>
      <c r="EO25" s="633">
        <v>0.8</v>
      </c>
      <c r="EP25" s="635">
        <f>'Vtas Diarias 2021'!DY26</f>
        <v>137225.79999999999</v>
      </c>
      <c r="EQ25" s="636">
        <f t="shared" si="60"/>
        <v>0.53535407364915411</v>
      </c>
      <c r="ER25" s="639">
        <v>238275.06</v>
      </c>
      <c r="ES25" s="639">
        <f t="shared" si="149"/>
        <v>142965.03599999999</v>
      </c>
      <c r="ET25" s="633">
        <v>0.6</v>
      </c>
      <c r="EU25" s="635">
        <f>'Vtas Diarias 2021'!FE26</f>
        <v>167311.54999999999</v>
      </c>
      <c r="EV25" s="636">
        <f t="shared" si="62"/>
        <v>0.70217818851876479</v>
      </c>
      <c r="EW25" s="661">
        <f t="shared" si="63"/>
        <v>847486.69211426447</v>
      </c>
      <c r="EX25" s="956">
        <f t="shared" si="64"/>
        <v>1130861.6299999999</v>
      </c>
      <c r="EY25" s="662">
        <f t="shared" si="65"/>
        <v>706177.73</v>
      </c>
      <c r="EZ25" s="654">
        <f t="shared" si="66"/>
        <v>0.62445989081794206</v>
      </c>
      <c r="FA25" s="645">
        <v>206352.72</v>
      </c>
      <c r="FB25" s="639">
        <f t="shared" si="150"/>
        <v>144446.90399999998</v>
      </c>
      <c r="FC25" s="633">
        <v>0.7</v>
      </c>
      <c r="FD25" s="635">
        <f>'Vtas Diarias 2021'!GK26</f>
        <v>166799.67999999999</v>
      </c>
      <c r="FE25" s="636">
        <f t="shared" si="68"/>
        <v>0.80832314689140028</v>
      </c>
      <c r="FF25" s="639">
        <v>206240.45</v>
      </c>
      <c r="FG25" s="639">
        <f t="shared" si="151"/>
        <v>156742.742</v>
      </c>
      <c r="FH25" s="633">
        <v>0.76</v>
      </c>
      <c r="FI25" s="635">
        <f>'Vtas Diarias 2021'!HQ26</f>
        <v>179424.48</v>
      </c>
      <c r="FJ25" s="636">
        <f t="shared" si="70"/>
        <v>0.86997715530585784</v>
      </c>
      <c r="FK25" s="639">
        <v>195310.72</v>
      </c>
      <c r="FL25" s="639">
        <f t="shared" si="152"/>
        <v>148436.14720000001</v>
      </c>
      <c r="FM25" s="633">
        <v>0.76</v>
      </c>
      <c r="FN25" s="635">
        <f>'Vtas Diarias 2021'!IW26</f>
        <v>187910.51</v>
      </c>
      <c r="FO25" s="636">
        <f t="shared" si="72"/>
        <v>0.96211057949097734</v>
      </c>
      <c r="FP25" s="639">
        <v>181174.77</v>
      </c>
      <c r="FQ25" s="639">
        <f t="shared" si="153"/>
        <v>141316.32060000001</v>
      </c>
      <c r="FR25" s="633">
        <v>0.78</v>
      </c>
      <c r="FS25" s="635">
        <f>'Vtas Diarias 2021'!KC26</f>
        <v>166728.01</v>
      </c>
      <c r="FT25" s="636">
        <f t="shared" si="74"/>
        <v>0.9202606411477714</v>
      </c>
      <c r="FU25" s="661">
        <f t="shared" si="75"/>
        <v>590942.11379999993</v>
      </c>
      <c r="FV25" s="661">
        <f t="shared" si="76"/>
        <v>789078.66</v>
      </c>
      <c r="FW25" s="663">
        <f t="shared" si="77"/>
        <v>700862.68</v>
      </c>
      <c r="FX25" s="651">
        <f t="shared" si="78"/>
        <v>0.88820381988279851</v>
      </c>
      <c r="FY25" s="645">
        <v>159914.85999999999</v>
      </c>
      <c r="FZ25" s="639">
        <f t="shared" si="154"/>
        <v>131130.18519999998</v>
      </c>
      <c r="GA25" s="633">
        <v>0.82</v>
      </c>
      <c r="GB25" s="635">
        <f>'Vtas Diarias 2021'!LI26</f>
        <v>164837.89000000001</v>
      </c>
      <c r="GC25" s="636">
        <f t="shared" si="80"/>
        <v>1.0307853191379464</v>
      </c>
      <c r="GD25" s="639">
        <v>158907.26</v>
      </c>
      <c r="GE25" s="639">
        <f t="shared" si="155"/>
        <v>130303.9532</v>
      </c>
      <c r="GF25" s="633">
        <v>0.82</v>
      </c>
      <c r="GG25" s="635">
        <f>'Vtas Diarias 2021'!MO26</f>
        <v>130207.35</v>
      </c>
      <c r="GH25" s="636">
        <f t="shared" si="82"/>
        <v>0.8193920781215408</v>
      </c>
      <c r="GI25" s="639">
        <v>162442.04999999999</v>
      </c>
      <c r="GJ25" s="639">
        <f>GI25*GK25</f>
        <v>138075.74249999999</v>
      </c>
      <c r="GK25" s="633">
        <v>0.85</v>
      </c>
      <c r="GL25" s="635">
        <f>'Vtas Diarias 2021'!NU26</f>
        <v>134007.70000000001</v>
      </c>
      <c r="GM25" s="636">
        <f t="shared" si="84"/>
        <v>0.8249569615749125</v>
      </c>
      <c r="GN25" s="639">
        <v>156707.76999999999</v>
      </c>
      <c r="GO25" s="639">
        <f t="shared" si="159"/>
        <v>125366.216</v>
      </c>
      <c r="GP25" s="633">
        <v>0.8</v>
      </c>
      <c r="GQ25" s="635">
        <f>'Vtas Diarias 2021'!PA26</f>
        <v>121269.01</v>
      </c>
      <c r="GR25" s="636">
        <f>GQ25/GN25</f>
        <v>0.77385448085950048</v>
      </c>
      <c r="GS25" s="661">
        <f t="shared" si="86"/>
        <v>524876.0969</v>
      </c>
      <c r="GT25" s="661">
        <f t="shared" si="87"/>
        <v>637971.93999999994</v>
      </c>
      <c r="GU25" s="662">
        <f t="shared" si="88"/>
        <v>550321.95000000007</v>
      </c>
      <c r="GV25" s="1598">
        <f t="shared" si="89"/>
        <v>0.86261152802425778</v>
      </c>
      <c r="GW25" s="645">
        <v>167102</v>
      </c>
      <c r="GX25" s="639">
        <f t="shared" si="160"/>
        <v>140365.68</v>
      </c>
      <c r="GY25" s="633">
        <v>0.84</v>
      </c>
      <c r="GZ25" s="635">
        <f>'Vtas Diarias 2021'!QG26</f>
        <v>131739.38</v>
      </c>
      <c r="HA25" s="636">
        <f t="shared" si="91"/>
        <v>0.78837703917367841</v>
      </c>
      <c r="HB25" s="639">
        <v>143073.84</v>
      </c>
      <c r="HC25" s="639">
        <f t="shared" si="161"/>
        <v>121612.764</v>
      </c>
      <c r="HD25" s="633">
        <v>0.85</v>
      </c>
      <c r="HE25" s="635">
        <f>'Vtas Diarias 2021'!RM26</f>
        <v>121521.31</v>
      </c>
      <c r="HF25" s="636">
        <f t="shared" si="93"/>
        <v>0.84936079160243405</v>
      </c>
      <c r="HG25" s="639">
        <v>152038</v>
      </c>
      <c r="HH25" s="639">
        <f t="shared" si="162"/>
        <v>127711.92</v>
      </c>
      <c r="HI25" s="633">
        <v>0.84</v>
      </c>
      <c r="HJ25" s="635">
        <f>'Vtas Diarias 2021'!SS26</f>
        <v>131807.07999999999</v>
      </c>
      <c r="HK25" s="636">
        <f t="shared" si="95"/>
        <v>0.86693510832818099</v>
      </c>
      <c r="HL25" s="639">
        <v>156540.47</v>
      </c>
      <c r="HM25" s="639">
        <f t="shared" si="163"/>
        <v>131493.99479999999</v>
      </c>
      <c r="HN25" s="633">
        <v>0.84</v>
      </c>
      <c r="HO25" s="635">
        <f>'Vtas Diarias 2021'!TY26</f>
        <v>125818.8</v>
      </c>
      <c r="HP25" s="636">
        <f t="shared" si="97"/>
        <v>0.80374614947815093</v>
      </c>
      <c r="HQ25" s="639">
        <v>145588.29999999999</v>
      </c>
      <c r="HR25" s="639">
        <f t="shared" si="164"/>
        <v>122294.17199999999</v>
      </c>
      <c r="HS25" s="633">
        <v>0.84</v>
      </c>
      <c r="HT25" s="635">
        <f>'Vtas Diarias 2021'!VE26</f>
        <v>121266.33</v>
      </c>
      <c r="HU25" s="636">
        <f t="shared" si="99"/>
        <v>0.8329400782892582</v>
      </c>
      <c r="HV25" s="661">
        <f t="shared" si="100"/>
        <v>643478.53080000007</v>
      </c>
      <c r="HW25" s="661">
        <f t="shared" si="101"/>
        <v>764342.60999999987</v>
      </c>
      <c r="HX25" s="663">
        <f t="shared" si="102"/>
        <v>632152.89999999991</v>
      </c>
      <c r="HY25" s="651">
        <f t="shared" si="103"/>
        <v>0.82705437552408601</v>
      </c>
      <c r="HZ25" s="645">
        <v>144677.98000000001</v>
      </c>
      <c r="IA25" s="639">
        <f t="shared" si="165"/>
        <v>120082.7234</v>
      </c>
      <c r="IB25" s="633">
        <v>0.83</v>
      </c>
      <c r="IC25" s="635">
        <f>'Vtas Diarias 2021'!WK26</f>
        <v>139458.85</v>
      </c>
      <c r="ID25" s="636">
        <f t="shared" si="142"/>
        <v>0.96392588561161829</v>
      </c>
      <c r="IE25" s="639">
        <v>167624.41</v>
      </c>
      <c r="IF25" s="639">
        <f t="shared" si="166"/>
        <v>142480.74849999999</v>
      </c>
      <c r="IG25" s="633">
        <v>0.85</v>
      </c>
      <c r="IH25" s="635">
        <f>'Vtas Diarias 2021'!XQ26</f>
        <v>145327.69</v>
      </c>
      <c r="II25" s="636">
        <f t="shared" si="106"/>
        <v>0.86698405083126018</v>
      </c>
      <c r="IJ25" s="639">
        <v>151570.98000000001</v>
      </c>
      <c r="IK25" s="639">
        <f t="shared" si="167"/>
        <v>133382.46240000002</v>
      </c>
      <c r="IL25" s="633">
        <v>0.88</v>
      </c>
      <c r="IM25" s="635">
        <f>'Vtas Diarias 2021'!YW26</f>
        <v>129771.56</v>
      </c>
      <c r="IN25" s="636">
        <f t="shared" si="108"/>
        <v>0.85617682223866332</v>
      </c>
      <c r="IO25" s="639">
        <v>161119.88</v>
      </c>
      <c r="IP25" s="639">
        <f t="shared" si="168"/>
        <v>146619.09080000001</v>
      </c>
      <c r="IQ25" s="633">
        <v>0.91</v>
      </c>
      <c r="IR25" s="635">
        <f>'Vtas Diarias 2021'!AAC26</f>
        <v>183314.15</v>
      </c>
      <c r="IS25" s="636">
        <f t="shared" si="110"/>
        <v>1.1377500405288286</v>
      </c>
      <c r="IT25" s="1577">
        <f t="shared" si="111"/>
        <v>542565.02509999997</v>
      </c>
      <c r="IU25" s="1577">
        <f t="shared" si="112"/>
        <v>624993.25</v>
      </c>
      <c r="IV25" s="1578">
        <f t="shared" si="113"/>
        <v>597872.25</v>
      </c>
      <c r="IW25" s="654">
        <f t="shared" si="114"/>
        <v>0.95660593134405847</v>
      </c>
      <c r="IX25" s="645">
        <v>128935.06</v>
      </c>
      <c r="IY25" s="639">
        <f t="shared" si="169"/>
        <v>123777.65759999999</v>
      </c>
      <c r="IZ25" s="633">
        <v>0.96</v>
      </c>
      <c r="JA25" s="635">
        <f>'Vtas Diarias 2021'!ABI26</f>
        <v>118725.72</v>
      </c>
      <c r="JB25" s="636">
        <f t="shared" si="116"/>
        <v>0.92081796836329854</v>
      </c>
      <c r="JC25" s="639">
        <v>179674.86</v>
      </c>
      <c r="JD25" s="639">
        <f t="shared" si="170"/>
        <v>172487.86559999999</v>
      </c>
      <c r="JE25" s="633">
        <v>0.96</v>
      </c>
      <c r="JF25" s="635">
        <f>'Vtas Diarias 2021'!ACO26</f>
        <v>171308.47999999998</v>
      </c>
      <c r="JG25" s="636">
        <f t="shared" si="118"/>
        <v>0.95343600100759784</v>
      </c>
      <c r="JH25" s="639">
        <v>224434.32</v>
      </c>
      <c r="JI25" s="639">
        <f t="shared" si="171"/>
        <v>219945.6336</v>
      </c>
      <c r="JJ25" s="633">
        <v>0.98</v>
      </c>
      <c r="JK25" s="635">
        <f>'Vtas Diarias 2021'!ADU26</f>
        <v>152421</v>
      </c>
      <c r="JL25" s="636">
        <f t="shared" si="120"/>
        <v>0.67913410034615029</v>
      </c>
      <c r="JM25" s="639">
        <v>244501.19</v>
      </c>
      <c r="JN25" s="639">
        <f t="shared" si="172"/>
        <v>220051.071</v>
      </c>
      <c r="JO25" s="633">
        <v>0.9</v>
      </c>
      <c r="JP25" s="635">
        <f>'Vtas Diarias 2021'!AFA26</f>
        <v>126903.45</v>
      </c>
      <c r="JQ25" s="636">
        <f t="shared" si="122"/>
        <v>0.51902998917919374</v>
      </c>
      <c r="JR25" s="636">
        <f t="shared" si="122"/>
        <v>2.3586796774972014E-6</v>
      </c>
      <c r="JS25" s="1577">
        <f t="shared" si="123"/>
        <v>736262.22779999999</v>
      </c>
      <c r="JT25" s="1577">
        <f t="shared" si="124"/>
        <v>777545.42999999993</v>
      </c>
      <c r="JU25" s="1582">
        <f t="shared" si="125"/>
        <v>569358.65</v>
      </c>
      <c r="JV25" s="651">
        <f t="shared" si="126"/>
        <v>0.73225129752225548</v>
      </c>
      <c r="JW25" s="645">
        <v>336927.38</v>
      </c>
      <c r="JX25" s="639">
        <f t="shared" si="173"/>
        <v>252695.535</v>
      </c>
      <c r="JY25" s="633">
        <v>0.75</v>
      </c>
      <c r="JZ25" s="635">
        <f>'Vtas Diarias 2021'!AGG26</f>
        <v>219051.02</v>
      </c>
      <c r="KA25" s="636">
        <f t="shared" si="128"/>
        <v>0.65014312579761246</v>
      </c>
      <c r="KB25" s="639">
        <v>330520.94</v>
      </c>
      <c r="KC25" s="639">
        <f t="shared" si="174"/>
        <v>247890.70500000002</v>
      </c>
      <c r="KD25" s="633">
        <v>0.75</v>
      </c>
      <c r="KE25" s="635">
        <f>'Vtas Diarias 2021'!AHM26</f>
        <v>223902.37999999998</v>
      </c>
      <c r="KF25" s="636">
        <f t="shared" si="130"/>
        <v>0.67742267706245773</v>
      </c>
      <c r="KG25" s="639">
        <v>417303.14</v>
      </c>
      <c r="KH25" s="639">
        <f t="shared" si="175"/>
        <v>321323.4178</v>
      </c>
      <c r="KI25" s="633">
        <v>0.77</v>
      </c>
      <c r="KJ25" s="635">
        <f>'Vtas Diarias 2021'!AIS26</f>
        <v>314748.13999999996</v>
      </c>
      <c r="KK25" s="636">
        <f t="shared" si="132"/>
        <v>0.75424340205060514</v>
      </c>
      <c r="KL25" s="639">
        <v>405678.87</v>
      </c>
      <c r="KM25" s="1601">
        <f t="shared" si="176"/>
        <v>523325.74229999998</v>
      </c>
      <c r="KN25" s="1615">
        <v>1.29</v>
      </c>
      <c r="KO25" s="1603">
        <f>'Vtas Diarias 2021'!AJY26</f>
        <v>429730.79000000004</v>
      </c>
      <c r="KP25" s="636">
        <f t="shared" si="134"/>
        <v>1.0592880767982815</v>
      </c>
      <c r="KQ25" s="639">
        <v>169258.55</v>
      </c>
      <c r="KR25" s="1601">
        <f t="shared" si="177"/>
        <v>160795.62249999997</v>
      </c>
      <c r="KS25" s="1616">
        <v>0.95</v>
      </c>
      <c r="KT25" s="1602">
        <f>'Vtas Diarias 2021'!ALE26</f>
        <v>194065.11000000002</v>
      </c>
      <c r="KU25" s="636">
        <f t="shared" si="136"/>
        <v>1.1465601589993535</v>
      </c>
      <c r="KV25" s="1577">
        <f t="shared" si="137"/>
        <v>1506031.0226</v>
      </c>
      <c r="KW25" s="1577">
        <f>JW25+KB25+KG25+KL25+KQ25</f>
        <v>1659688.8800000001</v>
      </c>
      <c r="KX25" s="1578">
        <f t="shared" si="3"/>
        <v>1381497.44</v>
      </c>
      <c r="KY25" s="959">
        <f t="shared" si="138"/>
        <v>0.83238338019111136</v>
      </c>
      <c r="KZ25" s="1508">
        <f t="shared" si="143"/>
        <v>9617028.6199999992</v>
      </c>
      <c r="LA25" s="811">
        <f t="shared" si="144"/>
        <v>7893556.2263000002</v>
      </c>
      <c r="LB25" s="1509">
        <f>X25+AV25+BY25+CW25+DU25+EX25+FV25+GT25+HW25+IU25+JT25+KW25</f>
        <v>9617028.6199999992</v>
      </c>
      <c r="LC25" s="811">
        <f>Y25+AW25+BZ25+CX25+DV25+EY25+FW25+GU25+HX25+IV25+JU25+KX25</f>
        <v>7646100.6600000001</v>
      </c>
      <c r="LD25" s="1575">
        <f t="shared" si="4"/>
        <v>-1970927.959999999</v>
      </c>
      <c r="LE25" s="1594">
        <f t="shared" si="141"/>
        <v>0.79505853233074819</v>
      </c>
      <c r="LF25" s="1008">
        <f>LA25/KZ25</f>
        <v>0.8207895118336459</v>
      </c>
    </row>
    <row r="26" spans="1:320" ht="14.25" customHeight="1">
      <c r="A26" s="1495"/>
      <c r="B26" s="685" t="s">
        <v>478</v>
      </c>
      <c r="C26" s="645">
        <v>119193.88</v>
      </c>
      <c r="D26" s="639">
        <v>125153.58</v>
      </c>
      <c r="E26" s="633">
        <v>1.05</v>
      </c>
      <c r="F26" s="635"/>
      <c r="G26" s="636">
        <f t="shared" si="5"/>
        <v>0</v>
      </c>
      <c r="H26" s="639">
        <v>127461.43</v>
      </c>
      <c r="I26" s="639">
        <v>133834.5</v>
      </c>
      <c r="J26" s="633">
        <v>1.05</v>
      </c>
      <c r="K26" s="638"/>
      <c r="L26" s="636">
        <f t="shared" si="6"/>
        <v>0</v>
      </c>
      <c r="M26" s="639">
        <v>131450.59</v>
      </c>
      <c r="N26" s="639">
        <v>138023.12</v>
      </c>
      <c r="O26" s="633">
        <v>1.05</v>
      </c>
      <c r="P26" s="635"/>
      <c r="Q26" s="636">
        <f t="shared" si="7"/>
        <v>0</v>
      </c>
      <c r="R26" s="639">
        <v>125389.51</v>
      </c>
      <c r="S26" s="639">
        <v>131658.98000000001</v>
      </c>
      <c r="T26" s="633">
        <v>1.05</v>
      </c>
      <c r="U26" s="638"/>
      <c r="V26" s="636">
        <f t="shared" si="8"/>
        <v>0</v>
      </c>
      <c r="W26" s="639">
        <f t="shared" si="157"/>
        <v>528670.18000000005</v>
      </c>
      <c r="X26" s="639">
        <f t="shared" si="158"/>
        <v>503495.41000000003</v>
      </c>
      <c r="Y26" s="666">
        <f t="shared" si="9"/>
        <v>0</v>
      </c>
      <c r="Z26" s="646">
        <f t="shared" si="10"/>
        <v>0</v>
      </c>
      <c r="AA26" s="645">
        <v>132716.53</v>
      </c>
      <c r="AB26" s="639">
        <v>139352.35999999999</v>
      </c>
      <c r="AC26" s="633">
        <v>1.05</v>
      </c>
      <c r="AD26" s="635"/>
      <c r="AE26" s="636">
        <f t="shared" si="11"/>
        <v>0</v>
      </c>
      <c r="AF26" s="639">
        <v>140900.89000000001</v>
      </c>
      <c r="AG26" s="639">
        <v>147945.93</v>
      </c>
      <c r="AH26" s="633">
        <v>1.05</v>
      </c>
      <c r="AI26" s="638"/>
      <c r="AJ26" s="636">
        <f t="shared" si="12"/>
        <v>0</v>
      </c>
      <c r="AK26" s="639">
        <v>123489.61</v>
      </c>
      <c r="AL26" s="639">
        <v>129664.09</v>
      </c>
      <c r="AM26" s="633">
        <v>1.05</v>
      </c>
      <c r="AN26" s="635"/>
      <c r="AO26" s="636">
        <f t="shared" si="13"/>
        <v>0</v>
      </c>
      <c r="AP26" s="639">
        <v>127384.29</v>
      </c>
      <c r="AQ26" s="639">
        <v>133753.51</v>
      </c>
      <c r="AR26" s="633">
        <v>1.05</v>
      </c>
      <c r="AS26" s="638">
        <v>8046.49</v>
      </c>
      <c r="AT26" s="636">
        <v>0.96</v>
      </c>
      <c r="AU26" s="639">
        <f t="shared" si="14"/>
        <v>550715.89</v>
      </c>
      <c r="AV26" s="639">
        <f t="shared" si="15"/>
        <v>524491.32000000007</v>
      </c>
      <c r="AW26" s="778">
        <f t="shared" si="16"/>
        <v>8046.49</v>
      </c>
      <c r="AX26" s="665">
        <f t="shared" si="17"/>
        <v>1.5341512229411153E-2</v>
      </c>
      <c r="AY26" s="645">
        <v>128755.87</v>
      </c>
      <c r="AZ26" s="639">
        <v>135193.67000000001</v>
      </c>
      <c r="BA26" s="633">
        <v>1.05</v>
      </c>
      <c r="BB26" s="635">
        <v>238828.13</v>
      </c>
      <c r="BC26" s="636">
        <f t="shared" si="18"/>
        <v>1.8548911983585681</v>
      </c>
      <c r="BD26" s="639">
        <v>143627.54999999999</v>
      </c>
      <c r="BE26" s="639">
        <v>150808.93</v>
      </c>
      <c r="BF26" s="633">
        <v>1.05</v>
      </c>
      <c r="BG26" s="638">
        <v>203299.52</v>
      </c>
      <c r="BH26" s="636">
        <f t="shared" si="19"/>
        <v>1.4154632589638967</v>
      </c>
      <c r="BI26" s="639">
        <v>154270.59</v>
      </c>
      <c r="BJ26" s="639">
        <v>61708.24</v>
      </c>
      <c r="BK26" s="633">
        <v>0.4</v>
      </c>
      <c r="BL26" s="635">
        <v>214711.35</v>
      </c>
      <c r="BM26" s="636">
        <f t="shared" si="20"/>
        <v>1.3917840723886516</v>
      </c>
      <c r="BN26" s="639">
        <v>139111.99</v>
      </c>
      <c r="BO26" s="639">
        <f t="shared" si="21"/>
        <v>250401.58199999999</v>
      </c>
      <c r="BP26" s="633">
        <v>1.8</v>
      </c>
      <c r="BQ26" s="638">
        <v>176398.71</v>
      </c>
      <c r="BR26" s="636">
        <f t="shared" si="22"/>
        <v>1.2680338337479033</v>
      </c>
      <c r="BS26" s="639">
        <v>148078.07</v>
      </c>
      <c r="BT26" s="639">
        <f>BS26*BU26</f>
        <v>266540.52600000001</v>
      </c>
      <c r="BU26" s="633">
        <v>1.8</v>
      </c>
      <c r="BV26" s="635">
        <v>195416.74</v>
      </c>
      <c r="BW26" s="636">
        <f t="shared" si="24"/>
        <v>1.3196872433575071</v>
      </c>
      <c r="BX26" s="661">
        <f t="shared" si="25"/>
        <v>864652.94800000009</v>
      </c>
      <c r="BY26" s="661">
        <f t="shared" si="26"/>
        <v>713844.07000000007</v>
      </c>
      <c r="BZ26" s="663">
        <f t="shared" si="27"/>
        <v>1028654.45</v>
      </c>
      <c r="CA26" s="651">
        <f t="shared" si="28"/>
        <v>1.4410072076384972</v>
      </c>
      <c r="CB26" s="645">
        <v>149025.81</v>
      </c>
      <c r="CC26" s="639">
        <f t="shared" si="29"/>
        <v>268246.45799999998</v>
      </c>
      <c r="CD26" s="633">
        <v>1.8</v>
      </c>
      <c r="CE26" s="635">
        <v>180667.34</v>
      </c>
      <c r="CF26" s="636">
        <f t="shared" si="30"/>
        <v>1.2123224829309769</v>
      </c>
      <c r="CG26" s="639">
        <v>196405.63</v>
      </c>
      <c r="CH26" s="639">
        <f t="shared" si="31"/>
        <v>314249.00800000003</v>
      </c>
      <c r="CI26" s="633">
        <v>1.6</v>
      </c>
      <c r="CJ26" s="635">
        <v>142213.51999999999</v>
      </c>
      <c r="CK26" s="636">
        <f t="shared" si="32"/>
        <v>0.72408066917430003</v>
      </c>
      <c r="CL26" s="639">
        <v>148492.71</v>
      </c>
      <c r="CM26" s="639">
        <f t="shared" si="33"/>
        <v>222739.065</v>
      </c>
      <c r="CN26" s="633">
        <v>1.5</v>
      </c>
      <c r="CO26" s="635">
        <v>107656.88</v>
      </c>
      <c r="CP26" s="636">
        <f t="shared" si="34"/>
        <v>0.72499774568057929</v>
      </c>
      <c r="CQ26" s="639">
        <v>149866.09</v>
      </c>
      <c r="CR26" s="639">
        <f t="shared" si="35"/>
        <v>44959.826999999997</v>
      </c>
      <c r="CS26" s="633">
        <v>0.3</v>
      </c>
      <c r="CT26" s="638">
        <v>84090.87</v>
      </c>
      <c r="CU26" s="636">
        <f t="shared" si="36"/>
        <v>0.56110671867131512</v>
      </c>
      <c r="CV26" s="656">
        <f t="shared" si="37"/>
        <v>850194.35800000001</v>
      </c>
      <c r="CW26" s="656">
        <f t="shared" si="38"/>
        <v>643790.24</v>
      </c>
      <c r="CX26" s="657">
        <f t="shared" si="39"/>
        <v>514628.61</v>
      </c>
      <c r="CY26" s="654">
        <f t="shared" si="40"/>
        <v>0.79937311569060132</v>
      </c>
      <c r="CZ26" s="645">
        <v>188967.19</v>
      </c>
      <c r="DA26" s="639">
        <f t="shared" si="41"/>
        <v>226760.628</v>
      </c>
      <c r="DB26" s="633">
        <v>1.2</v>
      </c>
      <c r="DC26" s="635">
        <v>184740.01</v>
      </c>
      <c r="DD26" s="636">
        <f t="shared" si="42"/>
        <v>0.9776300848840479</v>
      </c>
      <c r="DE26" s="639">
        <v>133164.63</v>
      </c>
      <c r="DF26" s="639">
        <f t="shared" si="43"/>
        <v>146481.09300000002</v>
      </c>
      <c r="DG26" s="633">
        <v>1.1000000000000001</v>
      </c>
      <c r="DH26" s="635">
        <v>196338.05</v>
      </c>
      <c r="DI26" s="636">
        <f t="shared" si="44"/>
        <v>1.4744008975957053</v>
      </c>
      <c r="DJ26" s="639">
        <v>128641.03</v>
      </c>
      <c r="DK26" s="639">
        <f t="shared" si="45"/>
        <v>167233.33900000001</v>
      </c>
      <c r="DL26" s="633">
        <v>1.3</v>
      </c>
      <c r="DM26" s="635">
        <v>168951.75</v>
      </c>
      <c r="DN26" s="636">
        <f t="shared" si="46"/>
        <v>1.3133581875082934</v>
      </c>
      <c r="DO26" s="639">
        <v>136691.07999999999</v>
      </c>
      <c r="DP26" s="639">
        <f t="shared" si="47"/>
        <v>179524.3490773511</v>
      </c>
      <c r="DQ26" s="633">
        <v>1.3133581875082934</v>
      </c>
      <c r="DR26" s="635">
        <v>164547.16</v>
      </c>
      <c r="DS26" s="636">
        <f t="shared" si="48"/>
        <v>1.2037885720121606</v>
      </c>
      <c r="DT26" s="656">
        <f t="shared" si="49"/>
        <v>719999.4090773511</v>
      </c>
      <c r="DU26" s="656">
        <f t="shared" si="50"/>
        <v>587463.92999999993</v>
      </c>
      <c r="DV26" s="657">
        <f t="shared" si="51"/>
        <v>714576.97</v>
      </c>
      <c r="DW26" s="654">
        <f t="shared" si="52"/>
        <v>1.2163759058364656</v>
      </c>
      <c r="DX26" s="645">
        <v>145621.82</v>
      </c>
      <c r="DY26" s="639">
        <f>DX26*DZ26</f>
        <v>175297.88275161191</v>
      </c>
      <c r="DZ26" s="633">
        <v>1.2037885720121606</v>
      </c>
      <c r="EA26" s="635">
        <f>'Vtas Diarias 2021'!AG27</f>
        <v>181594.55000000002</v>
      </c>
      <c r="EB26" s="636">
        <f>EA26/DX26</f>
        <v>1.2470284329642358</v>
      </c>
      <c r="EC26" s="639">
        <v>157633</v>
      </c>
      <c r="ED26" s="639">
        <f>ED29</f>
        <v>223051.584</v>
      </c>
      <c r="EE26" s="633">
        <v>1.2470284329642358</v>
      </c>
      <c r="EF26" s="635">
        <f>'Vtas Diarias 2021'!BM27</f>
        <v>182946.25000000003</v>
      </c>
      <c r="EG26" s="636">
        <f t="shared" si="56"/>
        <v>1.1605834438220426</v>
      </c>
      <c r="EH26" s="639">
        <v>157299.03</v>
      </c>
      <c r="EI26" s="639">
        <f>EI29</f>
        <v>195077.90400000001</v>
      </c>
      <c r="EJ26" s="633">
        <v>1.8</v>
      </c>
      <c r="EK26" s="635">
        <f>'Vtas Diarias 2021'!CS27</f>
        <v>190059.45</v>
      </c>
      <c r="EL26" s="636">
        <f t="shared" si="58"/>
        <v>1.2082684171669718</v>
      </c>
      <c r="EM26" s="639">
        <v>167441.47</v>
      </c>
      <c r="EN26" s="639">
        <f>EN29</f>
        <v>194472.28499999997</v>
      </c>
      <c r="EO26" s="633">
        <v>1.8</v>
      </c>
      <c r="EP26" s="635">
        <f>'Vtas Diarias 2021'!DY27</f>
        <v>169835.43</v>
      </c>
      <c r="EQ26" s="636">
        <f t="shared" si="60"/>
        <v>1.0142972944516073</v>
      </c>
      <c r="ER26" s="639">
        <v>164956.09</v>
      </c>
      <c r="ES26" s="639">
        <f>ES29</f>
        <v>149034.70199999999</v>
      </c>
      <c r="ET26" s="633">
        <v>1.8</v>
      </c>
      <c r="EU26" s="635">
        <f>'Vtas Diarias 2021'!FE27</f>
        <v>189918.72999999998</v>
      </c>
      <c r="EV26" s="636">
        <f t="shared" si="62"/>
        <v>1.1513289991294047</v>
      </c>
      <c r="EW26" s="661">
        <f t="shared" si="63"/>
        <v>936934.35775161185</v>
      </c>
      <c r="EX26" s="956">
        <f t="shared" si="64"/>
        <v>792951.40999999992</v>
      </c>
      <c r="EY26" s="662">
        <f t="shared" si="65"/>
        <v>914354.41</v>
      </c>
      <c r="EZ26" s="654">
        <f t="shared" si="66"/>
        <v>1.1531026976797987</v>
      </c>
      <c r="FA26" s="645">
        <v>162394.10999999999</v>
      </c>
      <c r="FB26" s="639">
        <f>FB29</f>
        <v>178712.85599999997</v>
      </c>
      <c r="FC26" s="808">
        <v>1.4</v>
      </c>
      <c r="FD26" s="635">
        <f>'Vtas Diarias 2021'!GK27</f>
        <v>210254.59999999998</v>
      </c>
      <c r="FE26" s="636">
        <f t="shared" si="68"/>
        <v>1.2947181397157814</v>
      </c>
      <c r="FF26" s="639">
        <v>152810.1</v>
      </c>
      <c r="FG26" s="639">
        <f>FG29</f>
        <v>208611.5716</v>
      </c>
      <c r="FH26" s="944">
        <v>1.4</v>
      </c>
      <c r="FI26" s="635">
        <f>'Vtas Diarias 2021'!HQ27</f>
        <v>232567.24000000002</v>
      </c>
      <c r="FJ26" s="636">
        <f t="shared" si="70"/>
        <v>1.5219363118013798</v>
      </c>
      <c r="FK26" s="639">
        <v>174012.94</v>
      </c>
      <c r="FL26" s="639">
        <f>FL29</f>
        <v>178506.46679999999</v>
      </c>
      <c r="FM26" s="944">
        <v>1.4</v>
      </c>
      <c r="FN26" s="635">
        <f>'Vtas Diarias 2021'!IW27</f>
        <v>192336.63999999996</v>
      </c>
      <c r="FO26" s="636">
        <f t="shared" si="72"/>
        <v>1.1053007896998921</v>
      </c>
      <c r="FP26" s="639">
        <v>152542.37</v>
      </c>
      <c r="FQ26" s="639">
        <f>FQ29</f>
        <v>195429.4111</v>
      </c>
      <c r="FR26" s="944">
        <v>1.4</v>
      </c>
      <c r="FS26" s="635">
        <f>'Vtas Diarias 2021'!KC27</f>
        <v>208595.76</v>
      </c>
      <c r="FT26" s="636">
        <f t="shared" si="74"/>
        <v>1.3674611191631545</v>
      </c>
      <c r="FU26" s="661">
        <f t="shared" si="75"/>
        <v>761260.30550000002</v>
      </c>
      <c r="FV26" s="661">
        <f t="shared" si="76"/>
        <v>641759.52</v>
      </c>
      <c r="FW26" s="663">
        <f t="shared" si="77"/>
        <v>843754.24</v>
      </c>
      <c r="FX26" s="651">
        <f t="shared" si="78"/>
        <v>1.3147514196595012</v>
      </c>
      <c r="FY26" s="645">
        <v>152624.67000000001</v>
      </c>
      <c r="FZ26" s="639">
        <f>FZ29</f>
        <v>203999.864</v>
      </c>
      <c r="GA26" s="944">
        <v>1.4</v>
      </c>
      <c r="GB26" s="635">
        <f>'Vtas Diarias 2021'!LI27</f>
        <v>191509.09000000003</v>
      </c>
      <c r="GC26" s="636">
        <f t="shared" si="80"/>
        <v>1.2547715254683269</v>
      </c>
      <c r="GD26" s="639">
        <v>164418.75</v>
      </c>
      <c r="GE26" s="639">
        <f>GE29</f>
        <v>210337.11200000002</v>
      </c>
      <c r="GF26" s="812">
        <v>0.8</v>
      </c>
      <c r="GG26" s="635">
        <f>'Vtas Diarias 2021'!MO27</f>
        <v>217861.19</v>
      </c>
      <c r="GH26" s="636">
        <f t="shared" si="82"/>
        <v>1.3250385980917627</v>
      </c>
      <c r="GI26" s="639">
        <v>148073.28</v>
      </c>
      <c r="GJ26" s="639">
        <f>GJ29</f>
        <v>185873.03200000001</v>
      </c>
      <c r="GK26" s="633">
        <v>0.8</v>
      </c>
      <c r="GL26" s="635">
        <f>'Vtas Diarias 2021'!NU27</f>
        <v>180423.08000000002</v>
      </c>
      <c r="GM26" s="636">
        <f t="shared" si="84"/>
        <v>1.2184715567859374</v>
      </c>
      <c r="GN26" s="639">
        <v>151342.35999999999</v>
      </c>
      <c r="GO26" s="639">
        <f>GO29</f>
        <v>158567.02240000002</v>
      </c>
      <c r="GP26" s="812">
        <v>0.74</v>
      </c>
      <c r="GQ26" s="635">
        <f>'Vtas Diarias 2021'!PA27</f>
        <v>183307.05000000002</v>
      </c>
      <c r="GR26" s="636">
        <f>GQ26/GN26</f>
        <v>1.211207820467449</v>
      </c>
      <c r="GS26" s="661">
        <f t="shared" si="86"/>
        <v>758777.03040000005</v>
      </c>
      <c r="GT26" s="661">
        <f t="shared" si="87"/>
        <v>616459.06000000006</v>
      </c>
      <c r="GU26" s="662">
        <f t="shared" si="88"/>
        <v>773100.40999999992</v>
      </c>
      <c r="GV26" s="1598">
        <f t="shared" si="89"/>
        <v>1.2540985446787007</v>
      </c>
      <c r="GW26" s="645">
        <v>162860</v>
      </c>
      <c r="GX26" s="639">
        <f>GX29</f>
        <v>170416.5</v>
      </c>
      <c r="GY26" s="633">
        <v>0.79</v>
      </c>
      <c r="GZ26" s="635">
        <f>'Vtas Diarias 2021'!QG27</f>
        <v>174209.90000000002</v>
      </c>
      <c r="HA26" s="636">
        <f t="shared" si="91"/>
        <v>1.0696911457693725</v>
      </c>
      <c r="HB26" s="639">
        <v>153166.95000000001</v>
      </c>
      <c r="HC26" s="639">
        <f>HC29</f>
        <v>176627.36979999999</v>
      </c>
      <c r="HD26" s="633">
        <v>0.8</v>
      </c>
      <c r="HE26" s="635">
        <f>'Vtas Diarias 2021'!RM27</f>
        <v>167609.53</v>
      </c>
      <c r="HF26" s="636">
        <f t="shared" si="93"/>
        <v>1.0942930573469014</v>
      </c>
      <c r="HG26" s="639">
        <v>148585.35</v>
      </c>
      <c r="HH26" s="639">
        <f>HH29</f>
        <v>172498.21759999997</v>
      </c>
      <c r="HI26" s="633">
        <v>0.8</v>
      </c>
      <c r="HJ26" s="635">
        <f>'Vtas Diarias 2021'!SS27</f>
        <v>207078.5</v>
      </c>
      <c r="HK26" s="636">
        <f t="shared" si="95"/>
        <v>1.3936670068751731</v>
      </c>
      <c r="HL26" s="639">
        <v>143190.09</v>
      </c>
      <c r="HM26" s="639">
        <f>HM29</f>
        <v>186803.01919999998</v>
      </c>
      <c r="HN26" s="633">
        <v>0.79</v>
      </c>
      <c r="HO26" s="635">
        <f>'Vtas Diarias 2021'!TY27</f>
        <v>157302.38</v>
      </c>
      <c r="HP26" s="636">
        <f t="shared" si="97"/>
        <v>1.0985563316567508</v>
      </c>
      <c r="HQ26" s="639">
        <v>158277.73000000001</v>
      </c>
      <c r="HR26" s="639">
        <f>HR29</f>
        <v>188415.22940000001</v>
      </c>
      <c r="HS26" s="633">
        <v>0.79</v>
      </c>
      <c r="HT26" s="635">
        <f>'Vtas Diarias 2021'!VE27</f>
        <v>173662.21</v>
      </c>
      <c r="HU26" s="636">
        <f t="shared" si="99"/>
        <v>1.0971992711798431</v>
      </c>
      <c r="HV26" s="661">
        <f t="shared" si="100"/>
        <v>894760.33599999989</v>
      </c>
      <c r="HW26" s="661">
        <f t="shared" si="101"/>
        <v>766080.12</v>
      </c>
      <c r="HX26" s="663">
        <f t="shared" si="102"/>
        <v>879862.52</v>
      </c>
      <c r="HY26" s="651">
        <f t="shared" si="103"/>
        <v>1.1485254571023198</v>
      </c>
      <c r="HZ26" s="645">
        <v>143793.21</v>
      </c>
      <c r="IA26" s="639">
        <f t="shared" si="165"/>
        <v>158172.53100000002</v>
      </c>
      <c r="IB26" s="633">
        <v>1.1000000000000001</v>
      </c>
      <c r="IC26" s="635">
        <f>'Vtas Diarias 2021'!WK27</f>
        <v>183435.25</v>
      </c>
      <c r="ID26" s="636">
        <f t="shared" si="142"/>
        <v>1.2756878436749552</v>
      </c>
      <c r="IE26" s="639">
        <v>129827.55</v>
      </c>
      <c r="IF26" s="639">
        <f t="shared" si="166"/>
        <v>145406.85600000003</v>
      </c>
      <c r="IG26" s="633">
        <v>1.1200000000000001</v>
      </c>
      <c r="IH26" s="635">
        <f>'Vtas Diarias 2021'!XQ27</f>
        <v>178108.28999999998</v>
      </c>
      <c r="II26" s="636">
        <f t="shared" si="106"/>
        <v>1.3718836256249154</v>
      </c>
      <c r="IJ26" s="639">
        <v>149802.63</v>
      </c>
      <c r="IK26" s="639">
        <f t="shared" si="167"/>
        <v>172273.0245</v>
      </c>
      <c r="IL26" s="633">
        <v>1.1499999999999999</v>
      </c>
      <c r="IM26" s="635">
        <f>'Vtas Diarias 2021'!YW27</f>
        <v>176423.98</v>
      </c>
      <c r="IN26" s="636">
        <f t="shared" si="108"/>
        <v>1.1777094968225859</v>
      </c>
      <c r="IO26" s="639">
        <v>145502.92000000001</v>
      </c>
      <c r="IP26" s="639">
        <f t="shared" si="168"/>
        <v>171693.44560000001</v>
      </c>
      <c r="IQ26" s="633">
        <v>1.18</v>
      </c>
      <c r="IR26" s="635">
        <f>'Vtas Diarias 2021'!AAC27</f>
        <v>211171.94</v>
      </c>
      <c r="IS26" s="636">
        <f t="shared" si="110"/>
        <v>1.4513244132832521</v>
      </c>
      <c r="IT26" s="1577">
        <f t="shared" si="111"/>
        <v>647545.85710000014</v>
      </c>
      <c r="IU26" s="1577">
        <f t="shared" si="112"/>
        <v>568926.31000000006</v>
      </c>
      <c r="IV26" s="1578">
        <f t="shared" si="113"/>
        <v>749139.46</v>
      </c>
      <c r="IW26" s="654">
        <f t="shared" si="114"/>
        <v>1.3167600914782793</v>
      </c>
      <c r="IX26" s="645">
        <v>117146.94</v>
      </c>
      <c r="IY26" s="639">
        <f t="shared" si="169"/>
        <v>138233.38920000001</v>
      </c>
      <c r="IZ26" s="633">
        <v>1.18</v>
      </c>
      <c r="JA26" s="635">
        <f>'Vtas Diarias 2021'!ABI27</f>
        <v>169610.63</v>
      </c>
      <c r="JB26" s="636">
        <f t="shared" si="116"/>
        <v>1.4478451592504251</v>
      </c>
      <c r="JC26" s="639">
        <v>170344.68</v>
      </c>
      <c r="JD26" s="639">
        <f t="shared" si="170"/>
        <v>206117.06279999999</v>
      </c>
      <c r="JE26" s="633">
        <v>1.21</v>
      </c>
      <c r="JF26" s="635">
        <f>'Vtas Diarias 2021'!ACO27</f>
        <v>173078.67</v>
      </c>
      <c r="JG26" s="636">
        <f t="shared" si="118"/>
        <v>1.0160497527718506</v>
      </c>
      <c r="JH26" s="639">
        <v>179656.87</v>
      </c>
      <c r="JI26" s="639">
        <f t="shared" si="171"/>
        <v>217384.81269999998</v>
      </c>
      <c r="JJ26" s="633">
        <v>1.21</v>
      </c>
      <c r="JK26" s="635">
        <f>'Vtas Diarias 2021'!ADU27</f>
        <v>227968.8</v>
      </c>
      <c r="JL26" s="636">
        <f t="shared" si="120"/>
        <v>1.2689122325241444</v>
      </c>
      <c r="JM26" s="639">
        <v>167143.01999999999</v>
      </c>
      <c r="JN26" s="639">
        <f t="shared" si="172"/>
        <v>202243.05419999998</v>
      </c>
      <c r="JO26" s="633">
        <v>1.21</v>
      </c>
      <c r="JP26" s="635">
        <f>'Vtas Diarias 2021'!AFA27</f>
        <v>182177.57</v>
      </c>
      <c r="JQ26" s="636">
        <f t="shared" si="122"/>
        <v>1.0899502115015034</v>
      </c>
      <c r="JR26" s="636">
        <f t="shared" si="122"/>
        <v>5.3893085021532646E-6</v>
      </c>
      <c r="JS26" s="1577">
        <f t="shared" si="123"/>
        <v>763978.31889999995</v>
      </c>
      <c r="JT26" s="1577">
        <f t="shared" si="124"/>
        <v>634291.51</v>
      </c>
      <c r="JU26" s="1582">
        <f t="shared" si="125"/>
        <v>752835.67</v>
      </c>
      <c r="JV26" s="651">
        <f t="shared" si="126"/>
        <v>1.1868922382391656</v>
      </c>
      <c r="JW26" s="645">
        <v>207850.36</v>
      </c>
      <c r="JX26" s="639">
        <f t="shared" si="173"/>
        <v>239027.91399999996</v>
      </c>
      <c r="JY26" s="633">
        <v>1.1499999999999999</v>
      </c>
      <c r="JZ26" s="635">
        <f>'Vtas Diarias 2021'!AGG27</f>
        <v>242442.35</v>
      </c>
      <c r="KA26" s="636">
        <f t="shared" si="128"/>
        <v>1.1664273759256421</v>
      </c>
      <c r="KB26" s="639">
        <v>294580.45</v>
      </c>
      <c r="KC26" s="639">
        <f t="shared" si="174"/>
        <v>338767.51750000002</v>
      </c>
      <c r="KD26" s="633">
        <v>1.1499999999999999</v>
      </c>
      <c r="KE26" s="635">
        <f>'Vtas Diarias 2021'!AHM27</f>
        <v>306555.89</v>
      </c>
      <c r="KF26" s="636">
        <f t="shared" si="130"/>
        <v>1.0406525280275727</v>
      </c>
      <c r="KG26" s="639">
        <v>391924.1</v>
      </c>
      <c r="KH26" s="639">
        <f t="shared" si="175"/>
        <v>458551.19699999993</v>
      </c>
      <c r="KI26" s="633">
        <v>1.17</v>
      </c>
      <c r="KJ26" s="635">
        <f>'Vtas Diarias 2021'!AIS27</f>
        <v>432492.27</v>
      </c>
      <c r="KK26" s="636">
        <f t="shared" si="132"/>
        <v>1.1035102715041001</v>
      </c>
      <c r="KL26" s="639">
        <v>349892.31</v>
      </c>
      <c r="KM26" s="1601">
        <f t="shared" si="176"/>
        <v>682290.00449999992</v>
      </c>
      <c r="KN26" s="1615">
        <v>1.95</v>
      </c>
      <c r="KO26" s="1603">
        <f>'Vtas Diarias 2021'!AJY27</f>
        <v>536629.27</v>
      </c>
      <c r="KP26" s="636">
        <f t="shared" si="134"/>
        <v>1.5336983827966955</v>
      </c>
      <c r="KQ26" s="639">
        <v>165915.49</v>
      </c>
      <c r="KR26" s="1601">
        <f t="shared" si="177"/>
        <v>209053.51739999998</v>
      </c>
      <c r="KS26" s="1616">
        <v>1.26</v>
      </c>
      <c r="KT26" s="1602">
        <f>'Vtas Diarias 2021'!ALE27</f>
        <v>249279.37000000002</v>
      </c>
      <c r="KU26" s="636">
        <f t="shared" si="136"/>
        <v>1.502447842573349</v>
      </c>
      <c r="KV26" s="1577">
        <f t="shared" si="137"/>
        <v>1927690.1503999997</v>
      </c>
      <c r="KW26" s="1577">
        <f t="shared" ref="KW26:KW34" si="178">JW26+KB26+KG26+KL26+KQ26</f>
        <v>1410162.71</v>
      </c>
      <c r="KX26" s="1578">
        <f t="shared" si="3"/>
        <v>1767399.1500000004</v>
      </c>
      <c r="KY26" s="959">
        <f t="shared" si="138"/>
        <v>1.2533299437481229</v>
      </c>
      <c r="KZ26" s="1508">
        <f t="shared" si="143"/>
        <v>8403715.6099999994</v>
      </c>
      <c r="LA26" s="811">
        <f t="shared" si="144"/>
        <v>9031090.2423999999</v>
      </c>
      <c r="LB26" s="1509">
        <f t="shared" si="139"/>
        <v>8403715.6099999994</v>
      </c>
      <c r="LC26" s="811">
        <f t="shared" si="140"/>
        <v>8946352.379999999</v>
      </c>
      <c r="LD26" s="1575">
        <f t="shared" si="4"/>
        <v>542636.76999999955</v>
      </c>
      <c r="LE26" s="1594">
        <f t="shared" si="141"/>
        <v>1.0645710534700019</v>
      </c>
      <c r="LF26" s="1008"/>
      <c r="LH26" s="566">
        <f>LG24/LC35</f>
        <v>0.6204475956866774</v>
      </c>
    </row>
    <row r="27" spans="1:320" ht="15" customHeight="1">
      <c r="A27" s="1495"/>
      <c r="B27" s="685" t="s">
        <v>479</v>
      </c>
      <c r="C27" s="645">
        <v>85530.71</v>
      </c>
      <c r="D27" s="639">
        <v>89807.25</v>
      </c>
      <c r="E27" s="633">
        <v>1.05</v>
      </c>
      <c r="F27" s="635">
        <v>97043.74</v>
      </c>
      <c r="G27" s="636">
        <f t="shared" si="5"/>
        <v>1.1346069733315671</v>
      </c>
      <c r="H27" s="639">
        <v>94340.58</v>
      </c>
      <c r="I27" s="639">
        <v>99057.61</v>
      </c>
      <c r="J27" s="633">
        <v>1.05</v>
      </c>
      <c r="K27" s="638">
        <v>81012.240000000005</v>
      </c>
      <c r="L27" s="636">
        <f t="shared" si="6"/>
        <v>0.85872102969899067</v>
      </c>
      <c r="M27" s="639">
        <v>101217.22</v>
      </c>
      <c r="N27" s="639">
        <v>106278.08</v>
      </c>
      <c r="O27" s="633">
        <v>1.05</v>
      </c>
      <c r="P27" s="635">
        <v>79000.56</v>
      </c>
      <c r="Q27" s="636">
        <f t="shared" si="7"/>
        <v>0.78050513539099375</v>
      </c>
      <c r="R27" s="639">
        <v>96848.22</v>
      </c>
      <c r="S27" s="639">
        <v>101690.64</v>
      </c>
      <c r="T27" s="633">
        <v>1.05</v>
      </c>
      <c r="U27" s="638">
        <v>83351.14</v>
      </c>
      <c r="V27" s="636">
        <f t="shared" si="8"/>
        <v>0.86063677783649506</v>
      </c>
      <c r="W27" s="639">
        <f t="shared" si="157"/>
        <v>396833.58</v>
      </c>
      <c r="X27" s="639">
        <f t="shared" si="158"/>
        <v>377936.73</v>
      </c>
      <c r="Y27" s="666">
        <f t="shared" si="9"/>
        <v>340407.68</v>
      </c>
      <c r="Z27" s="646">
        <f t="shared" si="10"/>
        <v>0.9007001780430286</v>
      </c>
      <c r="AA27" s="645">
        <v>90793.65</v>
      </c>
      <c r="AB27" s="639">
        <v>95333.33</v>
      </c>
      <c r="AC27" s="633">
        <v>1.05</v>
      </c>
      <c r="AD27" s="635">
        <v>87365.71</v>
      </c>
      <c r="AE27" s="636">
        <f t="shared" si="11"/>
        <v>0.96224471645318821</v>
      </c>
      <c r="AF27" s="639">
        <v>130370.72</v>
      </c>
      <c r="AG27" s="639">
        <v>136889.25</v>
      </c>
      <c r="AH27" s="633">
        <v>1.05</v>
      </c>
      <c r="AI27" s="638">
        <v>92581.78</v>
      </c>
      <c r="AJ27" s="636">
        <f t="shared" si="12"/>
        <v>0.71014243075439021</v>
      </c>
      <c r="AK27" s="639">
        <v>87661.02</v>
      </c>
      <c r="AL27" s="639">
        <v>92044.08</v>
      </c>
      <c r="AM27" s="633">
        <v>1.05</v>
      </c>
      <c r="AN27" s="635">
        <v>74808.740000000005</v>
      </c>
      <c r="AO27" s="636">
        <f t="shared" si="13"/>
        <v>0.8533866021636527</v>
      </c>
      <c r="AP27" s="639">
        <v>99122.44</v>
      </c>
      <c r="AQ27" s="639">
        <v>104078.56</v>
      </c>
      <c r="AR27" s="633">
        <v>1.05</v>
      </c>
      <c r="AS27" s="638">
        <v>2038.33</v>
      </c>
      <c r="AT27" s="636">
        <v>1.07</v>
      </c>
      <c r="AU27" s="639">
        <f t="shared" si="14"/>
        <v>428345.22000000003</v>
      </c>
      <c r="AV27" s="639">
        <f t="shared" si="15"/>
        <v>407947.83</v>
      </c>
      <c r="AW27" s="778">
        <f t="shared" si="16"/>
        <v>256794.55999999997</v>
      </c>
      <c r="AX27" s="665">
        <f t="shared" si="17"/>
        <v>0.62947892136109651</v>
      </c>
      <c r="AY27" s="645">
        <v>92595.87</v>
      </c>
      <c r="AZ27" s="639">
        <v>97225.67</v>
      </c>
      <c r="BA27" s="633">
        <v>1.05</v>
      </c>
      <c r="BB27" s="635">
        <v>95284.3</v>
      </c>
      <c r="BC27" s="636">
        <f t="shared" si="18"/>
        <v>1.0290340163119587</v>
      </c>
      <c r="BD27" s="639">
        <v>94527.84</v>
      </c>
      <c r="BE27" s="639">
        <v>99254.24</v>
      </c>
      <c r="BF27" s="633">
        <v>1.05</v>
      </c>
      <c r="BG27" s="638">
        <v>101041.7</v>
      </c>
      <c r="BH27" s="636">
        <f t="shared" si="19"/>
        <v>1.0689094345115682</v>
      </c>
      <c r="BI27" s="639">
        <v>114660.98</v>
      </c>
      <c r="BJ27" s="639">
        <v>45864.39</v>
      </c>
      <c r="BK27" s="633">
        <v>0.4</v>
      </c>
      <c r="BL27" s="635">
        <v>111955</v>
      </c>
      <c r="BM27" s="636">
        <f t="shared" si="20"/>
        <v>0.97640016682222674</v>
      </c>
      <c r="BN27" s="639">
        <v>99294.94</v>
      </c>
      <c r="BO27" s="639">
        <f t="shared" si="21"/>
        <v>64541.711000000003</v>
      </c>
      <c r="BP27" s="633">
        <v>0.65</v>
      </c>
      <c r="BQ27" s="638">
        <v>108309.68</v>
      </c>
      <c r="BR27" s="636">
        <f t="shared" si="22"/>
        <v>1.0907875063925714</v>
      </c>
      <c r="BS27" s="639">
        <v>109308.97</v>
      </c>
      <c r="BT27" s="639">
        <f t="shared" si="23"/>
        <v>71050.830499999996</v>
      </c>
      <c r="BU27" s="633">
        <v>0.65</v>
      </c>
      <c r="BV27" s="635">
        <v>110415.4</v>
      </c>
      <c r="BW27" s="636">
        <f t="shared" si="24"/>
        <v>1.010122042134328</v>
      </c>
      <c r="BX27" s="661">
        <f t="shared" si="25"/>
        <v>377936.84149999998</v>
      </c>
      <c r="BY27" s="661">
        <f t="shared" si="26"/>
        <v>510388.6</v>
      </c>
      <c r="BZ27" s="663">
        <f t="shared" si="27"/>
        <v>527006.07999999996</v>
      </c>
      <c r="CA27" s="651">
        <f t="shared" si="28"/>
        <v>1.0325584858282493</v>
      </c>
      <c r="CB27" s="645">
        <v>143738.72</v>
      </c>
      <c r="CC27" s="639">
        <f t="shared" si="29"/>
        <v>117865.75039999999</v>
      </c>
      <c r="CD27" s="633">
        <v>0.82</v>
      </c>
      <c r="CE27" s="635">
        <v>117112.81</v>
      </c>
      <c r="CF27" s="636">
        <f t="shared" si="30"/>
        <v>0.81476174269535717</v>
      </c>
      <c r="CG27" s="639">
        <v>141604.28</v>
      </c>
      <c r="CH27" s="639">
        <f t="shared" si="31"/>
        <v>106203.20999999999</v>
      </c>
      <c r="CI27" s="633">
        <v>0.75</v>
      </c>
      <c r="CJ27" s="635">
        <v>78966.850000000006</v>
      </c>
      <c r="CK27" s="636">
        <f t="shared" si="32"/>
        <v>0.55765863856657449</v>
      </c>
      <c r="CL27" s="639">
        <v>157771.16</v>
      </c>
      <c r="CM27" s="639">
        <f t="shared" si="33"/>
        <v>110439.81199999999</v>
      </c>
      <c r="CN27" s="633">
        <v>0.7</v>
      </c>
      <c r="CO27" s="635">
        <v>60189.19</v>
      </c>
      <c r="CP27" s="636">
        <f t="shared" si="34"/>
        <v>0.38149678306225293</v>
      </c>
      <c r="CQ27" s="639">
        <v>144406.64000000001</v>
      </c>
      <c r="CR27" s="639">
        <f t="shared" si="35"/>
        <v>55090.668612828864</v>
      </c>
      <c r="CS27" s="633">
        <v>0.38149678306225293</v>
      </c>
      <c r="CT27" s="638">
        <v>59408.99</v>
      </c>
      <c r="CU27" s="636">
        <f t="shared" si="36"/>
        <v>0.41140068074432029</v>
      </c>
      <c r="CV27" s="656">
        <f t="shared" si="37"/>
        <v>389599.44101282884</v>
      </c>
      <c r="CW27" s="656">
        <f t="shared" si="38"/>
        <v>587520.80000000005</v>
      </c>
      <c r="CX27" s="657">
        <f t="shared" si="39"/>
        <v>315677.83999999997</v>
      </c>
      <c r="CY27" s="654">
        <f t="shared" si="40"/>
        <v>0.53730496009673179</v>
      </c>
      <c r="CZ27" s="645">
        <v>234539.99</v>
      </c>
      <c r="DA27" s="639">
        <f t="shared" si="41"/>
        <v>117269.995</v>
      </c>
      <c r="DB27" s="633">
        <v>0.5</v>
      </c>
      <c r="DC27" s="635">
        <v>132321.66</v>
      </c>
      <c r="DD27" s="636">
        <f t="shared" si="42"/>
        <v>0.56417526068795354</v>
      </c>
      <c r="DE27" s="639">
        <v>150124.44</v>
      </c>
      <c r="DF27" s="639">
        <f t="shared" si="43"/>
        <v>90074.664000000004</v>
      </c>
      <c r="DG27" s="633">
        <v>0.6</v>
      </c>
      <c r="DH27" s="635">
        <v>143057.17000000001</v>
      </c>
      <c r="DI27" s="636">
        <f t="shared" si="44"/>
        <v>0.95292392098182022</v>
      </c>
      <c r="DJ27" s="639">
        <v>123422.43</v>
      </c>
      <c r="DK27" s="639">
        <f t="shared" si="45"/>
        <v>86395.700999999986</v>
      </c>
      <c r="DL27" s="633">
        <v>0.7</v>
      </c>
      <c r="DM27" s="635">
        <v>96552.54</v>
      </c>
      <c r="DN27" s="636">
        <f t="shared" si="46"/>
        <v>0.78229329952424365</v>
      </c>
      <c r="DO27" s="639">
        <v>120508.63</v>
      </c>
      <c r="DP27" s="639">
        <f t="shared" si="47"/>
        <v>94273.093783846256</v>
      </c>
      <c r="DQ27" s="633">
        <v>0.78229329952424365</v>
      </c>
      <c r="DR27" s="635">
        <v>100969.02</v>
      </c>
      <c r="DS27" s="636">
        <f t="shared" si="48"/>
        <v>0.83785717255270431</v>
      </c>
      <c r="DT27" s="656">
        <f t="shared" si="49"/>
        <v>388013.45378384623</v>
      </c>
      <c r="DU27" s="656">
        <f t="shared" si="50"/>
        <v>628595.49</v>
      </c>
      <c r="DV27" s="657">
        <f t="shared" si="51"/>
        <v>472900.39</v>
      </c>
      <c r="DW27" s="654">
        <f t="shared" si="52"/>
        <v>0.75231273135605858</v>
      </c>
      <c r="DX27" s="645">
        <v>138155.64000000001</v>
      </c>
      <c r="DY27" s="639">
        <f t="shared" si="53"/>
        <v>115754.6939026093</v>
      </c>
      <c r="DZ27" s="633">
        <v>0.83785717255270431</v>
      </c>
      <c r="EA27" s="635">
        <f>'Vtas Diarias 2021'!AG28</f>
        <v>107594.66999999998</v>
      </c>
      <c r="EB27" s="636">
        <f t="shared" si="54"/>
        <v>0.77879317847610108</v>
      </c>
      <c r="EC27" s="639">
        <v>172421.44</v>
      </c>
      <c r="ED27" s="639">
        <f t="shared" si="146"/>
        <v>134280.64129502635</v>
      </c>
      <c r="EE27" s="633">
        <v>0.77879317847610108</v>
      </c>
      <c r="EF27" s="635">
        <f>'Vtas Diarias 2021'!BM28</f>
        <v>103828.21</v>
      </c>
      <c r="EG27" s="636">
        <f t="shared" si="56"/>
        <v>0.60217691024967668</v>
      </c>
      <c r="EH27" s="639">
        <v>146371.70000000001</v>
      </c>
      <c r="EI27" s="639">
        <f t="shared" si="147"/>
        <v>117097.36000000002</v>
      </c>
      <c r="EJ27" s="633">
        <v>0.8</v>
      </c>
      <c r="EK27" s="635">
        <f>'Vtas Diarias 2021'!CS28</f>
        <v>115542.94</v>
      </c>
      <c r="EL27" s="636">
        <f t="shared" si="58"/>
        <v>0.78938032420201443</v>
      </c>
      <c r="EM27" s="639">
        <v>169101.68</v>
      </c>
      <c r="EN27" s="639">
        <f t="shared" si="148"/>
        <v>135281.34400000001</v>
      </c>
      <c r="EO27" s="633">
        <v>0.8</v>
      </c>
      <c r="EP27" s="635">
        <f>'Vtas Diarias 2021'!DY28</f>
        <v>97012.539999999979</v>
      </c>
      <c r="EQ27" s="636">
        <f t="shared" si="60"/>
        <v>0.5736935316077284</v>
      </c>
      <c r="ER27" s="639">
        <v>143356.57999999999</v>
      </c>
      <c r="ES27" s="639">
        <f t="shared" si="149"/>
        <v>86013.947999999989</v>
      </c>
      <c r="ET27" s="633">
        <v>0.6</v>
      </c>
      <c r="EU27" s="635">
        <f>'Vtas Diarias 2021'!FE28</f>
        <v>115509.42</v>
      </c>
      <c r="EV27" s="636">
        <f t="shared" si="62"/>
        <v>0.80574899317492099</v>
      </c>
      <c r="EW27" s="661">
        <f t="shared" si="63"/>
        <v>588427.9871976357</v>
      </c>
      <c r="EX27" s="956">
        <f t="shared" si="64"/>
        <v>769407.03999999992</v>
      </c>
      <c r="EY27" s="662">
        <f t="shared" si="65"/>
        <v>539487.78</v>
      </c>
      <c r="EZ27" s="654">
        <f t="shared" si="66"/>
        <v>0.70117343870417415</v>
      </c>
      <c r="FA27" s="645">
        <v>163555.56</v>
      </c>
      <c r="FB27" s="639">
        <f t="shared" si="150"/>
        <v>114488.89199999999</v>
      </c>
      <c r="FC27" s="633">
        <v>0.7</v>
      </c>
      <c r="FD27" s="635">
        <f>'Vtas Diarias 2021'!GK28</f>
        <v>135709.32999999999</v>
      </c>
      <c r="FE27" s="636">
        <f t="shared" si="68"/>
        <v>0.82974452228955098</v>
      </c>
      <c r="FF27" s="639">
        <v>176000.29</v>
      </c>
      <c r="FG27" s="639">
        <f t="shared" si="151"/>
        <v>133760.22040000002</v>
      </c>
      <c r="FH27" s="633">
        <v>0.76</v>
      </c>
      <c r="FI27" s="635">
        <f>'Vtas Diarias 2021'!HQ28</f>
        <v>138454.13</v>
      </c>
      <c r="FJ27" s="636">
        <f t="shared" si="70"/>
        <v>0.78666989696437428</v>
      </c>
      <c r="FK27" s="639">
        <v>173633.96</v>
      </c>
      <c r="FL27" s="639">
        <f t="shared" si="152"/>
        <v>131961.80960000001</v>
      </c>
      <c r="FM27" s="633">
        <v>0.76</v>
      </c>
      <c r="FN27" s="635">
        <f>'Vtas Diarias 2021'!IW28</f>
        <v>149229.45000000001</v>
      </c>
      <c r="FO27" s="636">
        <f t="shared" si="72"/>
        <v>0.85944852032401964</v>
      </c>
      <c r="FP27" s="639">
        <v>159723.79</v>
      </c>
      <c r="FQ27" s="639">
        <f t="shared" si="153"/>
        <v>122987.31830000001</v>
      </c>
      <c r="FR27" s="633">
        <v>0.77</v>
      </c>
      <c r="FS27" s="635">
        <f>'Vtas Diarias 2021'!KC28</f>
        <v>135242.94</v>
      </c>
      <c r="FT27" s="636">
        <f t="shared" si="74"/>
        <v>0.84673009574841662</v>
      </c>
      <c r="FU27" s="661">
        <f t="shared" si="75"/>
        <v>503198.24030000006</v>
      </c>
      <c r="FV27" s="661">
        <f t="shared" si="76"/>
        <v>672913.6</v>
      </c>
      <c r="FW27" s="663">
        <f t="shared" si="77"/>
        <v>558635.85</v>
      </c>
      <c r="FX27" s="651">
        <f t="shared" si="78"/>
        <v>0.83017470593550202</v>
      </c>
      <c r="FY27" s="645">
        <v>130131.14</v>
      </c>
      <c r="FZ27" s="639">
        <f t="shared" si="154"/>
        <v>102803.60060000001</v>
      </c>
      <c r="GA27" s="633">
        <v>0.79</v>
      </c>
      <c r="GB27" s="635">
        <f>'Vtas Diarias 2021'!LI28</f>
        <v>121016.9</v>
      </c>
      <c r="GC27" s="636">
        <f t="shared" si="80"/>
        <v>0.92996111461099928</v>
      </c>
      <c r="GD27" s="639">
        <v>124137.18</v>
      </c>
      <c r="GE27" s="639">
        <f t="shared" si="155"/>
        <v>99309.744000000006</v>
      </c>
      <c r="GF27" s="812">
        <v>0.8</v>
      </c>
      <c r="GG27" s="635">
        <f>'Vtas Diarias 2021'!MO28</f>
        <v>106274.58</v>
      </c>
      <c r="GH27" s="636">
        <f t="shared" si="82"/>
        <v>0.8561059627744082</v>
      </c>
      <c r="GI27" s="639">
        <v>129683.44</v>
      </c>
      <c r="GJ27" s="639">
        <f t="shared" si="156"/>
        <v>103746.75200000001</v>
      </c>
      <c r="GK27" s="633">
        <v>0.8</v>
      </c>
      <c r="GL27" s="635">
        <f>'Vtas Diarias 2021'!NU28</f>
        <v>95859.65</v>
      </c>
      <c r="GM27" s="636">
        <f t="shared" si="84"/>
        <v>0.7391818878339439</v>
      </c>
      <c r="GN27" s="639">
        <v>103874.9</v>
      </c>
      <c r="GO27" s="639">
        <f t="shared" si="159"/>
        <v>76867.425999999992</v>
      </c>
      <c r="GP27" s="812">
        <v>0.74</v>
      </c>
      <c r="GQ27" s="635">
        <f>'Vtas Diarias 2021'!PA28</f>
        <v>99363.69</v>
      </c>
      <c r="GR27" s="636">
        <f>GQ27/GN27</f>
        <v>0.95657074038097756</v>
      </c>
      <c r="GS27" s="661">
        <f t="shared" si="86"/>
        <v>382727.52260000003</v>
      </c>
      <c r="GT27" s="661">
        <f t="shared" si="87"/>
        <v>487826.66000000003</v>
      </c>
      <c r="GU27" s="662">
        <f t="shared" si="88"/>
        <v>422514.82</v>
      </c>
      <c r="GV27" s="1598">
        <f t="shared" si="89"/>
        <v>0.86611670629071391</v>
      </c>
      <c r="GW27" s="645">
        <v>115126</v>
      </c>
      <c r="GX27" s="639">
        <f t="shared" si="160"/>
        <v>90949.540000000008</v>
      </c>
      <c r="GY27" s="633">
        <v>0.79</v>
      </c>
      <c r="GZ27" s="635">
        <f>'Vtas Diarias 2021'!QG28</f>
        <v>98090.739999999991</v>
      </c>
      <c r="HA27" s="636">
        <f t="shared" si="91"/>
        <v>0.85202942862602704</v>
      </c>
      <c r="HB27" s="639">
        <v>102374.19</v>
      </c>
      <c r="HC27" s="639">
        <f t="shared" si="161"/>
        <v>81899.352000000014</v>
      </c>
      <c r="HD27" s="633">
        <v>0.8</v>
      </c>
      <c r="HE27" s="635">
        <f>'Vtas Diarias 2021'!RM28</f>
        <v>94618.23000000001</v>
      </c>
      <c r="HF27" s="636">
        <f t="shared" si="93"/>
        <v>0.92423910753286553</v>
      </c>
      <c r="HG27" s="639">
        <v>121802.1</v>
      </c>
      <c r="HH27" s="639">
        <f t="shared" si="162"/>
        <v>97441.680000000008</v>
      </c>
      <c r="HI27" s="633">
        <v>0.8</v>
      </c>
      <c r="HJ27" s="635">
        <f>'Vtas Diarias 2021'!SS28</f>
        <v>99726.59</v>
      </c>
      <c r="HK27" s="636">
        <f t="shared" si="95"/>
        <v>0.81875920037503447</v>
      </c>
      <c r="HL27" s="639">
        <v>113435.14</v>
      </c>
      <c r="HM27" s="639">
        <f t="shared" si="163"/>
        <v>89613.760600000009</v>
      </c>
      <c r="HN27" s="633">
        <v>0.79</v>
      </c>
      <c r="HO27" s="635">
        <f>'Vtas Diarias 2021'!TY28</f>
        <v>89702.33</v>
      </c>
      <c r="HP27" s="808">
        <f t="shared" si="97"/>
        <v>0.79078079332383244</v>
      </c>
      <c r="HQ27" s="639">
        <v>129003.34</v>
      </c>
      <c r="HR27" s="639">
        <f t="shared" si="164"/>
        <v>101912.63860000001</v>
      </c>
      <c r="HS27" s="633">
        <v>0.79</v>
      </c>
      <c r="HT27" s="635">
        <f>'Vtas Diarias 2021'!VE28</f>
        <v>99853.069999999992</v>
      </c>
      <c r="HU27" s="636">
        <f t="shared" si="99"/>
        <v>0.77403476530142545</v>
      </c>
      <c r="HV27" s="661">
        <f t="shared" si="100"/>
        <v>461816.97120000003</v>
      </c>
      <c r="HW27" s="661">
        <f t="shared" si="101"/>
        <v>581740.77</v>
      </c>
      <c r="HX27" s="663">
        <f t="shared" si="102"/>
        <v>481990.95999999996</v>
      </c>
      <c r="HY27" s="651">
        <f t="shared" si="103"/>
        <v>0.82853220000379202</v>
      </c>
      <c r="HZ27" s="645">
        <v>109838.67</v>
      </c>
      <c r="IA27" s="639">
        <f t="shared" si="165"/>
        <v>84575.775900000008</v>
      </c>
      <c r="IB27" s="633">
        <v>0.77</v>
      </c>
      <c r="IC27" s="635">
        <f>'Vtas Diarias 2021'!WK28</f>
        <v>93055.959999999992</v>
      </c>
      <c r="ID27" s="636">
        <f t="shared" si="142"/>
        <v>0.84720581558389219</v>
      </c>
      <c r="IE27" s="639">
        <v>123336.01</v>
      </c>
      <c r="IF27" s="639">
        <f t="shared" si="166"/>
        <v>97435.447899999999</v>
      </c>
      <c r="IG27" s="633">
        <v>0.79</v>
      </c>
      <c r="IH27" s="635">
        <f>'Vtas Diarias 2021'!XQ28</f>
        <v>118792.81</v>
      </c>
      <c r="II27" s="636">
        <f t="shared" si="106"/>
        <v>0.96316404268307365</v>
      </c>
      <c r="IJ27" s="639">
        <v>117946.5</v>
      </c>
      <c r="IK27" s="639">
        <f t="shared" si="167"/>
        <v>96716.12999999999</v>
      </c>
      <c r="IL27" s="633">
        <v>0.82</v>
      </c>
      <c r="IM27" s="635">
        <f>'Vtas Diarias 2021'!YW28</f>
        <v>100526.99</v>
      </c>
      <c r="IN27" s="636">
        <f t="shared" si="108"/>
        <v>0.85231007278723836</v>
      </c>
      <c r="IO27" s="639">
        <v>135659</v>
      </c>
      <c r="IP27" s="639">
        <f t="shared" si="168"/>
        <v>115310.15</v>
      </c>
      <c r="IQ27" s="633">
        <v>0.85</v>
      </c>
      <c r="IR27" s="635">
        <f>'Vtas Diarias 2021'!AAC28</f>
        <v>129994.87000000001</v>
      </c>
      <c r="IS27" s="636">
        <f t="shared" si="110"/>
        <v>0.95824729653027085</v>
      </c>
      <c r="IT27" s="1577">
        <f t="shared" si="111"/>
        <v>394037.50379999995</v>
      </c>
      <c r="IU27" s="1577">
        <f t="shared" si="112"/>
        <v>486780.18</v>
      </c>
      <c r="IV27" s="1578">
        <f t="shared" si="113"/>
        <v>442370.63</v>
      </c>
      <c r="IW27" s="654">
        <f t="shared" si="114"/>
        <v>0.90876877936977629</v>
      </c>
      <c r="IX27" s="645">
        <v>108261.1</v>
      </c>
      <c r="IY27" s="639">
        <f t="shared" si="169"/>
        <v>97434.99</v>
      </c>
      <c r="IZ27" s="633">
        <v>0.9</v>
      </c>
      <c r="JA27" s="635">
        <f>'Vtas Diarias 2021'!ABI28</f>
        <v>97949.330000000016</v>
      </c>
      <c r="JB27" s="636">
        <f t="shared" si="116"/>
        <v>0.90475092161450432</v>
      </c>
      <c r="JC27" s="639">
        <v>130692.53</v>
      </c>
      <c r="JD27" s="639">
        <f t="shared" si="170"/>
        <v>120237.12760000001</v>
      </c>
      <c r="JE27" s="633">
        <v>0.92</v>
      </c>
      <c r="JF27" s="635">
        <f>'Vtas Diarias 2021'!ACO28</f>
        <v>102882.44</v>
      </c>
      <c r="JG27" s="636">
        <f t="shared" si="118"/>
        <v>0.78720979691800286</v>
      </c>
      <c r="JH27" s="639">
        <v>143835.06</v>
      </c>
      <c r="JI27" s="639">
        <f t="shared" si="171"/>
        <v>132328.25520000001</v>
      </c>
      <c r="JJ27" s="633">
        <v>0.92</v>
      </c>
      <c r="JK27" s="635">
        <f>'Vtas Diarias 2021'!ADU28</f>
        <v>111269.90000000001</v>
      </c>
      <c r="JL27" s="636">
        <f t="shared" si="120"/>
        <v>0.77359372603591925</v>
      </c>
      <c r="JM27" s="639">
        <v>141210.78</v>
      </c>
      <c r="JN27" s="639">
        <f t="shared" si="172"/>
        <v>127089.702</v>
      </c>
      <c r="JO27" s="633">
        <v>0.9</v>
      </c>
      <c r="JP27" s="635">
        <f>'Vtas Diarias 2021'!AFA28</f>
        <v>89930.880000000005</v>
      </c>
      <c r="JQ27" s="636">
        <f t="shared" si="122"/>
        <v>0.63685562816096619</v>
      </c>
      <c r="JR27" s="636">
        <f t="shared" si="122"/>
        <v>5.0110718503452484E-6</v>
      </c>
      <c r="JS27" s="1577">
        <f t="shared" si="123"/>
        <v>477090.0748</v>
      </c>
      <c r="JT27" s="1577">
        <f t="shared" si="124"/>
        <v>523999.47</v>
      </c>
      <c r="JU27" s="1582">
        <f t="shared" si="125"/>
        <v>402032.55000000005</v>
      </c>
      <c r="JV27" s="651">
        <f t="shared" si="126"/>
        <v>0.76723846686333497</v>
      </c>
      <c r="JW27" s="645">
        <v>193002.83</v>
      </c>
      <c r="JX27" s="639">
        <f t="shared" si="173"/>
        <v>144752.1225</v>
      </c>
      <c r="JY27" s="633">
        <v>0.75</v>
      </c>
      <c r="JZ27" s="635">
        <f>'Vtas Diarias 2021'!AGG28</f>
        <v>132508.19</v>
      </c>
      <c r="KA27" s="636">
        <f t="shared" si="128"/>
        <v>0.68656086545466721</v>
      </c>
      <c r="KB27" s="639">
        <v>227738.05</v>
      </c>
      <c r="KC27" s="639">
        <f t="shared" si="174"/>
        <v>170803.53749999998</v>
      </c>
      <c r="KD27" s="633">
        <v>0.75</v>
      </c>
      <c r="KE27" s="635">
        <f>'Vtas Diarias 2021'!AHM28</f>
        <v>171546.1</v>
      </c>
      <c r="KF27" s="636">
        <f t="shared" si="130"/>
        <v>0.75326059918401878</v>
      </c>
      <c r="KG27" s="639">
        <v>279210.48</v>
      </c>
      <c r="KH27" s="639">
        <f t="shared" si="175"/>
        <v>209407.86</v>
      </c>
      <c r="KI27" s="633">
        <v>0.75</v>
      </c>
      <c r="KJ27" s="635">
        <f>'Vtas Diarias 2021'!AIS28</f>
        <v>241601.26</v>
      </c>
      <c r="KK27" s="636">
        <f t="shared" si="132"/>
        <v>0.8653015459878155</v>
      </c>
      <c r="KL27" s="639">
        <v>275314.36</v>
      </c>
      <c r="KM27" s="1601">
        <f t="shared" si="176"/>
        <v>355155.52439999999</v>
      </c>
      <c r="KN27" s="1615">
        <v>1.29</v>
      </c>
      <c r="KO27" s="1603">
        <f>'Vtas Diarias 2021'!AJY28</f>
        <v>295196.04999999993</v>
      </c>
      <c r="KP27" s="636">
        <f t="shared" si="134"/>
        <v>1.0722145041762441</v>
      </c>
      <c r="KQ27" s="639">
        <v>151224.89000000001</v>
      </c>
      <c r="KR27" s="1601">
        <f t="shared" si="177"/>
        <v>134590.15210000001</v>
      </c>
      <c r="KS27" s="1616">
        <v>0.89</v>
      </c>
      <c r="KT27" s="1602">
        <f>'Vtas Diarias 2021'!ALE28</f>
        <v>163933.88</v>
      </c>
      <c r="KU27" s="636">
        <f t="shared" si="136"/>
        <v>1.0840403322495391</v>
      </c>
      <c r="KV27" s="1577">
        <f t="shared" si="137"/>
        <v>1014709.1964999998</v>
      </c>
      <c r="KW27" s="1577">
        <f t="shared" si="178"/>
        <v>1126490.6099999999</v>
      </c>
      <c r="KX27" s="1578">
        <f t="shared" si="3"/>
        <v>1004785.48</v>
      </c>
      <c r="KY27" s="959">
        <f t="shared" si="138"/>
        <v>0.89196081270486582</v>
      </c>
      <c r="KZ27" s="1508">
        <f t="shared" si="143"/>
        <v>7161547.7800000012</v>
      </c>
      <c r="LA27" s="811">
        <f t="shared" si="144"/>
        <v>5781078.7462999988</v>
      </c>
      <c r="LB27" s="1509">
        <f t="shared" si="139"/>
        <v>7161547.7799999993</v>
      </c>
      <c r="LC27" s="811">
        <f t="shared" si="140"/>
        <v>5764604.6199999992</v>
      </c>
      <c r="LD27" s="1575">
        <f t="shared" si="4"/>
        <v>-1396943.1600000001</v>
      </c>
      <c r="LE27" s="1594">
        <f t="shared" si="141"/>
        <v>0.80493837325204554</v>
      </c>
      <c r="LF27" s="1008">
        <f t="shared" si="145"/>
        <v>0.8072387316111711</v>
      </c>
    </row>
    <row r="28" spans="1:320" ht="13.5" customHeight="1">
      <c r="A28" s="1495"/>
      <c r="B28" s="685" t="s">
        <v>228</v>
      </c>
      <c r="C28" s="645">
        <v>140127.48000000001</v>
      </c>
      <c r="D28" s="639">
        <v>147133.85999999999</v>
      </c>
      <c r="E28" s="633">
        <v>1.05</v>
      </c>
      <c r="F28" s="635">
        <v>125089.58</v>
      </c>
      <c r="G28" s="636">
        <f t="shared" si="5"/>
        <v>0.89268414732071111</v>
      </c>
      <c r="H28" s="639">
        <v>170117.04</v>
      </c>
      <c r="I28" s="639">
        <v>178622.89</v>
      </c>
      <c r="J28" s="633">
        <v>1.05</v>
      </c>
      <c r="K28" s="638">
        <v>126367.89</v>
      </c>
      <c r="L28" s="636">
        <f t="shared" si="6"/>
        <v>0.7428291134150935</v>
      </c>
      <c r="M28" s="639">
        <v>154237.59</v>
      </c>
      <c r="N28" s="639">
        <v>161949.47</v>
      </c>
      <c r="O28" s="633">
        <v>1.05</v>
      </c>
      <c r="P28" s="635">
        <v>128171.35</v>
      </c>
      <c r="Q28" s="636">
        <f t="shared" si="7"/>
        <v>0.8309994340549538</v>
      </c>
      <c r="R28" s="639">
        <v>144947.18</v>
      </c>
      <c r="S28" s="639">
        <v>152194.54</v>
      </c>
      <c r="T28" s="633">
        <v>1.05</v>
      </c>
      <c r="U28" s="638">
        <v>119807.62</v>
      </c>
      <c r="V28" s="636">
        <f t="shared" si="8"/>
        <v>0.82656054433070036</v>
      </c>
      <c r="W28" s="639">
        <f t="shared" si="157"/>
        <v>639900.76</v>
      </c>
      <c r="X28" s="639">
        <f t="shared" si="158"/>
        <v>609429.29</v>
      </c>
      <c r="Y28" s="666">
        <f t="shared" si="9"/>
        <v>499436.44</v>
      </c>
      <c r="Z28" s="646">
        <f>Y28/X28</f>
        <v>0.81951499246122539</v>
      </c>
      <c r="AA28" s="645">
        <v>141327.73000000001</v>
      </c>
      <c r="AB28" s="639">
        <v>148394.10999999999</v>
      </c>
      <c r="AC28" s="633">
        <v>1.05</v>
      </c>
      <c r="AD28" s="635">
        <v>130305.36</v>
      </c>
      <c r="AE28" s="636">
        <f t="shared" si="11"/>
        <v>0.92200844094785916</v>
      </c>
      <c r="AF28" s="639">
        <v>195664.22</v>
      </c>
      <c r="AG28" s="639">
        <v>205447.43</v>
      </c>
      <c r="AH28" s="633">
        <v>1.05</v>
      </c>
      <c r="AI28" s="638">
        <v>153118.06</v>
      </c>
      <c r="AJ28" s="636">
        <f t="shared" si="12"/>
        <v>0.78255523672135863</v>
      </c>
      <c r="AK28" s="639">
        <v>148634.38</v>
      </c>
      <c r="AL28" s="639">
        <v>156066.1</v>
      </c>
      <c r="AM28" s="633">
        <v>1.05</v>
      </c>
      <c r="AN28" s="635">
        <v>115948.22</v>
      </c>
      <c r="AO28" s="636">
        <f t="shared" si="13"/>
        <v>0.78009017832886307</v>
      </c>
      <c r="AP28" s="639">
        <v>157437.54</v>
      </c>
      <c r="AQ28" s="639">
        <v>165309.42000000001</v>
      </c>
      <c r="AR28" s="633">
        <v>1.05</v>
      </c>
      <c r="AS28" s="638">
        <v>19444.21</v>
      </c>
      <c r="AT28" s="636">
        <v>1.03</v>
      </c>
      <c r="AU28" s="639">
        <f t="shared" si="14"/>
        <v>675217.06</v>
      </c>
      <c r="AV28" s="639">
        <f t="shared" si="15"/>
        <v>643063.87</v>
      </c>
      <c r="AW28" s="778">
        <f t="shared" si="16"/>
        <v>418815.85000000003</v>
      </c>
      <c r="AX28" s="665">
        <f>AW28/AV28</f>
        <v>0.65128188588794456</v>
      </c>
      <c r="AY28" s="645">
        <v>147171.14000000001</v>
      </c>
      <c r="AZ28" s="639">
        <v>154529.70000000001</v>
      </c>
      <c r="BA28" s="633">
        <v>1.05</v>
      </c>
      <c r="BB28" s="635">
        <v>125534.47</v>
      </c>
      <c r="BC28" s="636">
        <f t="shared" si="18"/>
        <v>0.85298292858232927</v>
      </c>
      <c r="BD28" s="639">
        <v>164219.15</v>
      </c>
      <c r="BE28" s="639">
        <v>172430.11</v>
      </c>
      <c r="BF28" s="633">
        <v>1.05</v>
      </c>
      <c r="BG28" s="638">
        <v>153065.63</v>
      </c>
      <c r="BH28" s="636">
        <f t="shared" si="19"/>
        <v>0.93208148988714168</v>
      </c>
      <c r="BI28" s="639">
        <v>196670.99</v>
      </c>
      <c r="BJ28" s="639">
        <v>78668.399999999994</v>
      </c>
      <c r="BK28" s="633">
        <v>0.4</v>
      </c>
      <c r="BL28" s="635">
        <v>140766.9</v>
      </c>
      <c r="BM28" s="636">
        <f t="shared" si="20"/>
        <v>0.71574816397680208</v>
      </c>
      <c r="BN28" s="639">
        <v>163620.35</v>
      </c>
      <c r="BO28" s="639">
        <f t="shared" si="21"/>
        <v>106353.22750000001</v>
      </c>
      <c r="BP28" s="633">
        <v>0.65</v>
      </c>
      <c r="BQ28" s="638">
        <v>145508.03</v>
      </c>
      <c r="BR28" s="636">
        <f t="shared" si="22"/>
        <v>0.88930276704578615</v>
      </c>
      <c r="BS28" s="639">
        <v>166642.66</v>
      </c>
      <c r="BT28" s="639">
        <f t="shared" si="23"/>
        <v>108317.72900000001</v>
      </c>
      <c r="BU28" s="633">
        <v>0.65</v>
      </c>
      <c r="BV28" s="635">
        <v>159728.99</v>
      </c>
      <c r="BW28" s="636">
        <f t="shared" si="24"/>
        <v>0.958512004069066</v>
      </c>
      <c r="BX28" s="661">
        <f t="shared" si="25"/>
        <v>620299.16650000005</v>
      </c>
      <c r="BY28" s="661">
        <f t="shared" si="26"/>
        <v>838324.29</v>
      </c>
      <c r="BZ28" s="663">
        <f t="shared" si="27"/>
        <v>724604.02</v>
      </c>
      <c r="CA28" s="651">
        <f t="shared" si="28"/>
        <v>0.86434811521445953</v>
      </c>
      <c r="CB28" s="645">
        <v>185630.88</v>
      </c>
      <c r="CC28" s="639">
        <f t="shared" si="29"/>
        <v>152217.3216</v>
      </c>
      <c r="CD28" s="633">
        <v>0.82</v>
      </c>
      <c r="CE28" s="635">
        <v>132448.21</v>
      </c>
      <c r="CF28" s="636">
        <f t="shared" si="30"/>
        <v>0.71350310896549107</v>
      </c>
      <c r="CG28" s="639">
        <v>209369.2</v>
      </c>
      <c r="CH28" s="639">
        <f t="shared" si="31"/>
        <v>157026.90000000002</v>
      </c>
      <c r="CI28" s="633">
        <v>0.75</v>
      </c>
      <c r="CJ28" s="635">
        <v>129977.48</v>
      </c>
      <c r="CK28" s="636">
        <f t="shared" si="32"/>
        <v>0.62080516140865027</v>
      </c>
      <c r="CL28" s="639">
        <v>190678.74</v>
      </c>
      <c r="CM28" s="639">
        <f t="shared" si="33"/>
        <v>133475.11799999999</v>
      </c>
      <c r="CN28" s="633">
        <v>0.7</v>
      </c>
      <c r="CO28" s="635">
        <v>100195.55</v>
      </c>
      <c r="CP28" s="636">
        <f t="shared" si="34"/>
        <v>0.52546786285665625</v>
      </c>
      <c r="CQ28" s="639">
        <v>203995.79</v>
      </c>
      <c r="CR28" s="639">
        <f t="shared" si="35"/>
        <v>107193.23180305526</v>
      </c>
      <c r="CS28" s="633">
        <v>0.52546786285665625</v>
      </c>
      <c r="CT28" s="638">
        <v>84429.42</v>
      </c>
      <c r="CU28" s="636">
        <f t="shared" si="36"/>
        <v>0.41387824719323862</v>
      </c>
      <c r="CV28" s="656">
        <f t="shared" si="37"/>
        <v>549912.57140305522</v>
      </c>
      <c r="CW28" s="656">
        <f t="shared" si="38"/>
        <v>789674.6100000001</v>
      </c>
      <c r="CX28" s="657">
        <f t="shared" si="39"/>
        <v>447050.66</v>
      </c>
      <c r="CY28" s="654">
        <f t="shared" si="40"/>
        <v>0.56612008837412153</v>
      </c>
      <c r="CZ28" s="645">
        <v>299394.67</v>
      </c>
      <c r="DA28" s="639">
        <f t="shared" si="41"/>
        <v>149697.33499999999</v>
      </c>
      <c r="DB28" s="633">
        <v>0.5</v>
      </c>
      <c r="DC28" s="635">
        <v>176088.85</v>
      </c>
      <c r="DD28" s="636">
        <f t="shared" si="42"/>
        <v>0.5881495819548157</v>
      </c>
      <c r="DE28" s="639">
        <v>199311.01</v>
      </c>
      <c r="DF28" s="639">
        <f t="shared" si="43"/>
        <v>119586.606</v>
      </c>
      <c r="DG28" s="633">
        <v>0.6</v>
      </c>
      <c r="DH28" s="635">
        <v>197636.46</v>
      </c>
      <c r="DI28" s="636">
        <f t="shared" si="44"/>
        <v>0.99159830658627435</v>
      </c>
      <c r="DJ28" s="639">
        <v>169858</v>
      </c>
      <c r="DK28" s="639">
        <f t="shared" si="45"/>
        <v>118900.59999999999</v>
      </c>
      <c r="DL28" s="633">
        <v>0.7</v>
      </c>
      <c r="DM28" s="635">
        <v>175402.2</v>
      </c>
      <c r="DN28" s="636">
        <f t="shared" si="46"/>
        <v>1.0326402053479966</v>
      </c>
      <c r="DO28" s="639">
        <v>174019.32</v>
      </c>
      <c r="DP28" s="639">
        <f t="shared" si="47"/>
        <v>179699.34633931873</v>
      </c>
      <c r="DQ28" s="633">
        <v>1.0326402053479966</v>
      </c>
      <c r="DR28" s="635">
        <v>150741.38</v>
      </c>
      <c r="DS28" s="636">
        <f t="shared" si="48"/>
        <v>0.86623358831651565</v>
      </c>
      <c r="DT28" s="656">
        <f t="shared" si="49"/>
        <v>567883.88733931864</v>
      </c>
      <c r="DU28" s="656">
        <f t="shared" si="50"/>
        <v>842583</v>
      </c>
      <c r="DV28" s="657">
        <f t="shared" si="51"/>
        <v>699868.89</v>
      </c>
      <c r="DW28" s="654">
        <f t="shared" si="52"/>
        <v>0.83062308401664886</v>
      </c>
      <c r="DX28" s="645">
        <v>174491.86</v>
      </c>
      <c r="DY28" s="639">
        <f t="shared" si="53"/>
        <v>151150.71001982308</v>
      </c>
      <c r="DZ28" s="633">
        <v>0.86623358831651565</v>
      </c>
      <c r="EA28" s="635">
        <f>'Vtas Diarias 2021'!AG29</f>
        <v>162719.53</v>
      </c>
      <c r="EB28" s="636">
        <f t="shared" si="54"/>
        <v>0.93253364368974012</v>
      </c>
      <c r="EC28" s="639">
        <v>196210.74</v>
      </c>
      <c r="ED28" s="639">
        <f t="shared" si="146"/>
        <v>182973.11630326023</v>
      </c>
      <c r="EE28" s="633">
        <v>0.93253364368974012</v>
      </c>
      <c r="EF28" s="635">
        <f>'Vtas Diarias 2021'!BM29</f>
        <v>172043.44</v>
      </c>
      <c r="EG28" s="636">
        <f t="shared" si="56"/>
        <v>0.87682988199320799</v>
      </c>
      <c r="EH28" s="639">
        <v>195704.16</v>
      </c>
      <c r="EI28" s="639">
        <f t="shared" si="147"/>
        <v>156563.32800000001</v>
      </c>
      <c r="EJ28" s="633">
        <v>0.8</v>
      </c>
      <c r="EK28" s="635">
        <f>'Vtas Diarias 2021'!CS29</f>
        <v>174420.22</v>
      </c>
      <c r="EL28" s="636">
        <f t="shared" si="58"/>
        <v>0.89124431488834988</v>
      </c>
      <c r="EM28" s="639">
        <v>229768.35</v>
      </c>
      <c r="EN28" s="639">
        <f t="shared" si="148"/>
        <v>160837.845</v>
      </c>
      <c r="EO28" s="633">
        <v>0.7</v>
      </c>
      <c r="EP28" s="635">
        <f>'Vtas Diarias 2021'!DY29</f>
        <v>168807.49</v>
      </c>
      <c r="EQ28" s="636">
        <f t="shared" si="60"/>
        <v>0.73468556483083935</v>
      </c>
      <c r="ER28" s="639">
        <v>205266.48</v>
      </c>
      <c r="ES28" s="639">
        <f t="shared" si="149"/>
        <v>123159.88800000001</v>
      </c>
      <c r="ET28" s="633">
        <v>0.6</v>
      </c>
      <c r="EU28" s="635">
        <f>'Vtas Diarias 2021'!FE29</f>
        <v>184175.69</v>
      </c>
      <c r="EV28" s="636">
        <f t="shared" si="62"/>
        <v>0.89725166037825554</v>
      </c>
      <c r="EW28" s="661">
        <f t="shared" si="63"/>
        <v>774684.88732308324</v>
      </c>
      <c r="EX28" s="956">
        <f>DX28+EC28+EH28+EM28+ER28</f>
        <v>1001441.59</v>
      </c>
      <c r="EY28" s="662">
        <f t="shared" si="65"/>
        <v>862166.37000000011</v>
      </c>
      <c r="EZ28" s="654">
        <f t="shared" si="66"/>
        <v>0.86092526874183462</v>
      </c>
      <c r="FA28" s="645">
        <v>191038.91</v>
      </c>
      <c r="FB28" s="639">
        <f t="shared" si="150"/>
        <v>133727.23699999999</v>
      </c>
      <c r="FC28" s="633">
        <v>0.7</v>
      </c>
      <c r="FD28" s="635">
        <f>'Vtas Diarias 2021'!GK29</f>
        <v>201359.78000000003</v>
      </c>
      <c r="FE28" s="636">
        <f t="shared" si="68"/>
        <v>1.054024962768056</v>
      </c>
      <c r="FF28" s="639">
        <v>208830.06</v>
      </c>
      <c r="FG28" s="639">
        <f t="shared" si="151"/>
        <v>158710.8456</v>
      </c>
      <c r="FH28" s="633">
        <v>0.76</v>
      </c>
      <c r="FI28" s="635">
        <f>'Vtas Diarias 2021'!HQ29</f>
        <v>208822.01</v>
      </c>
      <c r="FJ28" s="636">
        <f t="shared" si="70"/>
        <v>0.99996145190974906</v>
      </c>
      <c r="FK28" s="639">
        <v>183236.66</v>
      </c>
      <c r="FL28" s="639">
        <f t="shared" si="152"/>
        <v>139259.8616</v>
      </c>
      <c r="FM28" s="633">
        <v>0.76</v>
      </c>
      <c r="FN28" s="635">
        <f>'Vtas Diarias 2021'!IW29</f>
        <v>188098.95</v>
      </c>
      <c r="FO28" s="636">
        <f t="shared" si="72"/>
        <v>1.0265355742677258</v>
      </c>
      <c r="FP28" s="639">
        <v>185337.62</v>
      </c>
      <c r="FQ28" s="639">
        <f t="shared" si="153"/>
        <v>142709.96739999999</v>
      </c>
      <c r="FR28" s="633">
        <v>0.77</v>
      </c>
      <c r="FS28" s="635">
        <f>'Vtas Diarias 2021'!KC29</f>
        <v>184785.42</v>
      </c>
      <c r="FT28" s="636">
        <f t="shared" si="74"/>
        <v>0.99702057250977982</v>
      </c>
      <c r="FU28" s="661">
        <f t="shared" si="75"/>
        <v>574407.91159999999</v>
      </c>
      <c r="FV28" s="661">
        <f t="shared" si="76"/>
        <v>768443.25</v>
      </c>
      <c r="FW28" s="663">
        <f t="shared" si="77"/>
        <v>783066.16</v>
      </c>
      <c r="FX28" s="651">
        <f t="shared" si="78"/>
        <v>1.0190292646854533</v>
      </c>
      <c r="FY28" s="645">
        <v>177741.24</v>
      </c>
      <c r="FZ28" s="639">
        <f t="shared" si="154"/>
        <v>140415.5796</v>
      </c>
      <c r="GA28" s="633">
        <v>0.79</v>
      </c>
      <c r="GB28" s="635">
        <f>'Vtas Diarias 2021'!LI29</f>
        <v>189910.89</v>
      </c>
      <c r="GC28" s="636">
        <f t="shared" si="80"/>
        <v>1.0684683532082933</v>
      </c>
      <c r="GD28" s="639">
        <v>182321.56</v>
      </c>
      <c r="GE28" s="639">
        <f t="shared" si="155"/>
        <v>145857.24799999999</v>
      </c>
      <c r="GF28" s="812">
        <v>0.8</v>
      </c>
      <c r="GG28" s="635">
        <f>'Vtas Diarias 2021'!MO29</f>
        <v>196267.25999999998</v>
      </c>
      <c r="GH28" s="636">
        <f t="shared" si="82"/>
        <v>1.0764895824717602</v>
      </c>
      <c r="GI28" s="639">
        <v>163051.57999999999</v>
      </c>
      <c r="GJ28" s="639">
        <f t="shared" si="156"/>
        <v>130441.264</v>
      </c>
      <c r="GK28" s="633">
        <v>0.8</v>
      </c>
      <c r="GL28" s="635">
        <f>'Vtas Diarias 2021'!NU29</f>
        <v>167337.04</v>
      </c>
      <c r="GM28" s="636">
        <f t="shared" si="84"/>
        <v>1.0262828486543953</v>
      </c>
      <c r="GN28" s="639">
        <v>171560.81</v>
      </c>
      <c r="GO28" s="639">
        <f t="shared" si="159"/>
        <v>126954.9994</v>
      </c>
      <c r="GP28" s="812">
        <v>0.74</v>
      </c>
      <c r="GQ28" s="635">
        <f>'Vtas Diarias 2021'!PA29</f>
        <v>175513.3</v>
      </c>
      <c r="GR28" s="636">
        <f>GQ28/GN28</f>
        <v>1.0230384200214488</v>
      </c>
      <c r="GS28" s="661">
        <f t="shared" si="86"/>
        <v>543669.09100000001</v>
      </c>
      <c r="GT28" s="661">
        <f t="shared" si="87"/>
        <v>694675.19</v>
      </c>
      <c r="GU28" s="662">
        <f t="shared" si="88"/>
        <v>729028.49</v>
      </c>
      <c r="GV28" s="1598">
        <f t="shared" si="89"/>
        <v>1.0494523202995059</v>
      </c>
      <c r="GW28" s="645">
        <v>170181</v>
      </c>
      <c r="GX28" s="639">
        <f t="shared" si="160"/>
        <v>134442.99000000002</v>
      </c>
      <c r="GY28" s="633">
        <v>0.79</v>
      </c>
      <c r="GZ28" s="635">
        <f>'Vtas Diarias 2021'!QG29</f>
        <v>174406.34000000003</v>
      </c>
      <c r="HA28" s="636">
        <f t="shared" si="91"/>
        <v>1.0248285061199547</v>
      </c>
      <c r="HB28" s="639">
        <v>165493.95000000001</v>
      </c>
      <c r="HC28" s="639">
        <f t="shared" si="161"/>
        <v>132395.16</v>
      </c>
      <c r="HD28" s="633">
        <v>0.8</v>
      </c>
      <c r="HE28" s="635">
        <f>'Vtas Diarias 2021'!RM29</f>
        <v>161393.59</v>
      </c>
      <c r="HF28" s="636">
        <f t="shared" si="93"/>
        <v>0.9752235051492818</v>
      </c>
      <c r="HG28" s="639">
        <v>157156.35999999999</v>
      </c>
      <c r="HH28" s="639">
        <f t="shared" si="162"/>
        <v>125725.08799999999</v>
      </c>
      <c r="HI28" s="633">
        <v>0.8</v>
      </c>
      <c r="HJ28" s="635">
        <f>'Vtas Diarias 2021'!SS29</f>
        <v>176923.12000000002</v>
      </c>
      <c r="HK28" s="636">
        <f t="shared" si="95"/>
        <v>1.12577766499555</v>
      </c>
      <c r="HL28" s="639">
        <v>152459.06</v>
      </c>
      <c r="HM28" s="639">
        <f t="shared" si="163"/>
        <v>120442.6574</v>
      </c>
      <c r="HN28" s="633">
        <v>0.79</v>
      </c>
      <c r="HO28" s="635">
        <f>'Vtas Diarias 2021'!TY29</f>
        <v>170685.27999999997</v>
      </c>
      <c r="HP28" s="1529">
        <f t="shared" si="97"/>
        <v>1.1195482905378007</v>
      </c>
      <c r="HQ28" s="639">
        <v>158651.24</v>
      </c>
      <c r="HR28" s="639">
        <f t="shared" si="164"/>
        <v>125334.47959999999</v>
      </c>
      <c r="HS28" s="633">
        <v>0.79</v>
      </c>
      <c r="HT28" s="635">
        <f>'Vtas Diarias 2021'!VE29</f>
        <v>188622.16</v>
      </c>
      <c r="HU28" s="636">
        <f t="shared" si="99"/>
        <v>1.1889107201431266</v>
      </c>
      <c r="HV28" s="661">
        <f t="shared" si="100"/>
        <v>638340.375</v>
      </c>
      <c r="HW28" s="661">
        <f t="shared" si="101"/>
        <v>803941.61</v>
      </c>
      <c r="HX28" s="663">
        <f t="shared" si="102"/>
        <v>872030.49</v>
      </c>
      <c r="HY28" s="651">
        <f t="shared" si="103"/>
        <v>1.0846938125270067</v>
      </c>
      <c r="HZ28" s="645">
        <v>149073.94</v>
      </c>
      <c r="IA28" s="639">
        <f t="shared" si="165"/>
        <v>177397.98859999998</v>
      </c>
      <c r="IB28" s="633">
        <v>1.19</v>
      </c>
      <c r="IC28" s="635">
        <f>'Vtas Diarias 2021'!WK29</f>
        <v>163589.62</v>
      </c>
      <c r="ID28" s="636">
        <f t="shared" si="142"/>
        <v>1.0973723509286732</v>
      </c>
      <c r="IE28" s="639">
        <v>160560.54</v>
      </c>
      <c r="IF28" s="639">
        <f t="shared" si="166"/>
        <v>194278.25340000002</v>
      </c>
      <c r="IG28" s="633">
        <v>1.21</v>
      </c>
      <c r="IH28" s="635">
        <f>'Vtas Diarias 2021'!XQ29</f>
        <v>185606.75999999998</v>
      </c>
      <c r="II28" s="636">
        <f t="shared" si="106"/>
        <v>1.1559923752124897</v>
      </c>
      <c r="IJ28" s="639">
        <v>159356.22</v>
      </c>
      <c r="IK28" s="639">
        <f t="shared" si="167"/>
        <v>197601.71280000001</v>
      </c>
      <c r="IL28" s="633">
        <v>1.24</v>
      </c>
      <c r="IM28" s="635">
        <f>'Vtas Diarias 2021'!YW29</f>
        <v>159100.91</v>
      </c>
      <c r="IN28" s="636">
        <f t="shared" si="108"/>
        <v>0.99839786611404313</v>
      </c>
      <c r="IO28" s="639">
        <v>166297.70000000001</v>
      </c>
      <c r="IP28" s="639">
        <f t="shared" si="168"/>
        <v>211198.07900000003</v>
      </c>
      <c r="IQ28" s="633">
        <v>1.27</v>
      </c>
      <c r="IR28" s="635">
        <f>'Vtas Diarias 2021'!AAC29</f>
        <v>201576.07</v>
      </c>
      <c r="IS28" s="636">
        <f t="shared" si="110"/>
        <v>1.2121398552114671</v>
      </c>
      <c r="IT28" s="1577">
        <f t="shared" si="111"/>
        <v>780476.03380000009</v>
      </c>
      <c r="IU28" s="1577">
        <f t="shared" si="112"/>
        <v>635288.39999999991</v>
      </c>
      <c r="IV28" s="1578">
        <f t="shared" si="113"/>
        <v>709873.3600000001</v>
      </c>
      <c r="IW28" s="654">
        <f t="shared" si="114"/>
        <v>1.1174033084816286</v>
      </c>
      <c r="IX28" s="645">
        <v>135534.9</v>
      </c>
      <c r="IY28" s="639">
        <f t="shared" si="169"/>
        <v>155865.13499999998</v>
      </c>
      <c r="IZ28" s="633">
        <v>1.1499999999999999</v>
      </c>
      <c r="JA28" s="635">
        <f>'Vtas Diarias 2021'!ABI29</f>
        <v>184702.39</v>
      </c>
      <c r="JB28" s="636">
        <f t="shared" si="116"/>
        <v>1.3627662690568998</v>
      </c>
      <c r="JC28" s="639">
        <v>217036.54</v>
      </c>
      <c r="JD28" s="639">
        <f t="shared" si="170"/>
        <v>251762.38639999999</v>
      </c>
      <c r="JE28" s="633">
        <v>1.1599999999999999</v>
      </c>
      <c r="JF28" s="635">
        <f>'Vtas Diarias 2021'!ACO29</f>
        <v>223503.77000000002</v>
      </c>
      <c r="JG28" s="636">
        <f t="shared" si="118"/>
        <v>1.0297978856463526</v>
      </c>
      <c r="JH28" s="639">
        <v>214146.14</v>
      </c>
      <c r="JI28" s="639">
        <f t="shared" si="171"/>
        <v>248409.52239999999</v>
      </c>
      <c r="JJ28" s="633">
        <v>1.1599999999999999</v>
      </c>
      <c r="JK28" s="635">
        <f>'Vtas Diarias 2021'!ADU29</f>
        <v>230222.49</v>
      </c>
      <c r="JL28" s="636">
        <f t="shared" si="120"/>
        <v>1.075071864475353</v>
      </c>
      <c r="JM28" s="639">
        <v>214501.67</v>
      </c>
      <c r="JN28" s="639">
        <f t="shared" si="172"/>
        <v>257402.00400000002</v>
      </c>
      <c r="JO28" s="633">
        <v>1.2</v>
      </c>
      <c r="JP28" s="635">
        <f>'Vtas Diarias 2021'!AFA29</f>
        <v>198298.31</v>
      </c>
      <c r="JQ28" s="636">
        <f t="shared" si="122"/>
        <v>0.92446044825664986</v>
      </c>
      <c r="JR28" s="636">
        <f t="shared" si="122"/>
        <v>3.5915044711798353E-6</v>
      </c>
      <c r="JS28" s="1577">
        <f t="shared" si="123"/>
        <v>913439.04779999994</v>
      </c>
      <c r="JT28" s="1577">
        <f t="shared" si="124"/>
        <v>781219.25000000012</v>
      </c>
      <c r="JU28" s="1582">
        <f t="shared" si="125"/>
        <v>836726.96</v>
      </c>
      <c r="JV28" s="651">
        <f t="shared" si="126"/>
        <v>1.0710526654329113</v>
      </c>
      <c r="JW28" s="645">
        <v>257503.31</v>
      </c>
      <c r="JX28" s="639">
        <f t="shared" si="173"/>
        <v>275528.5417</v>
      </c>
      <c r="JY28" s="633">
        <v>1.07</v>
      </c>
      <c r="JZ28" s="635">
        <f>'Vtas Diarias 2021'!AGG29</f>
        <v>224747.87999999998</v>
      </c>
      <c r="KA28" s="636">
        <f t="shared" si="128"/>
        <v>0.87279608172803669</v>
      </c>
      <c r="KB28" s="639">
        <v>357458.82</v>
      </c>
      <c r="KC28" s="639">
        <f t="shared" si="174"/>
        <v>382480.93740000005</v>
      </c>
      <c r="KD28" s="633">
        <v>1.07</v>
      </c>
      <c r="KE28" s="635">
        <f>'Vtas Diarias 2021'!AHM29</f>
        <v>241702.11000000004</v>
      </c>
      <c r="KF28" s="636">
        <f t="shared" si="130"/>
        <v>0.67616770513593716</v>
      </c>
      <c r="KG28" s="639">
        <v>426848.2</v>
      </c>
      <c r="KH28" s="639">
        <f t="shared" si="175"/>
        <v>460996.05600000004</v>
      </c>
      <c r="KI28" s="633">
        <v>1.08</v>
      </c>
      <c r="KJ28" s="635">
        <f>'Vtas Diarias 2021'!AIS29</f>
        <v>410379.16000000003</v>
      </c>
      <c r="KK28" s="636">
        <f t="shared" si="132"/>
        <v>0.96141710331682317</v>
      </c>
      <c r="KL28" s="639">
        <v>467527.97</v>
      </c>
      <c r="KM28" s="1601">
        <f t="shared" si="176"/>
        <v>850900.90539999993</v>
      </c>
      <c r="KN28" s="1615">
        <v>1.82</v>
      </c>
      <c r="KO28" s="1603">
        <f>'Vtas Diarias 2021'!AJY29</f>
        <v>618698.12</v>
      </c>
      <c r="KP28" s="636">
        <f t="shared" si="134"/>
        <v>1.3233392646005757</v>
      </c>
      <c r="KQ28" s="639">
        <v>200226.28</v>
      </c>
      <c r="KR28" s="1601">
        <f t="shared" si="177"/>
        <v>250282.85</v>
      </c>
      <c r="KS28" s="1616">
        <v>1.25</v>
      </c>
      <c r="KT28" s="1602">
        <f>'Vtas Diarias 2021'!ALE29</f>
        <v>240180.26</v>
      </c>
      <c r="KU28" s="636">
        <f t="shared" si="136"/>
        <v>1.1995441357647958</v>
      </c>
      <c r="KV28" s="1577">
        <f t="shared" si="137"/>
        <v>2220189.2905000001</v>
      </c>
      <c r="KW28" s="1577">
        <f t="shared" si="178"/>
        <v>1709564.58</v>
      </c>
      <c r="KX28" s="1578">
        <f t="shared" si="3"/>
        <v>1735707.53</v>
      </c>
      <c r="KY28" s="959">
        <f t="shared" si="138"/>
        <v>1.0152921687228686</v>
      </c>
      <c r="KZ28" s="1508">
        <f t="shared" si="143"/>
        <v>10117648.930000002</v>
      </c>
      <c r="LA28" s="811">
        <f t="shared" si="144"/>
        <v>9716481.6271000002</v>
      </c>
      <c r="LB28" s="1509">
        <f t="shared" si="139"/>
        <v>10117648.93</v>
      </c>
      <c r="LC28" s="811">
        <f t="shared" si="140"/>
        <v>9318375.2200000007</v>
      </c>
      <c r="LD28" s="1575">
        <f t="shared" si="4"/>
        <v>-799273.70999999903</v>
      </c>
      <c r="LE28" s="1594">
        <f t="shared" si="141"/>
        <v>0.9210020316449149</v>
      </c>
      <c r="LF28" s="1008">
        <f t="shared" si="145"/>
        <v>0.96034975065101402</v>
      </c>
      <c r="LH28" s="566">
        <f>LG34/LC35</f>
        <v>0.37955240431332254</v>
      </c>
    </row>
    <row r="29" spans="1:320">
      <c r="A29" s="1495"/>
      <c r="B29" s="685" t="s">
        <v>229</v>
      </c>
      <c r="C29" s="645">
        <v>178883.94</v>
      </c>
      <c r="D29" s="639">
        <v>187828.13</v>
      </c>
      <c r="E29" s="633">
        <v>1.05</v>
      </c>
      <c r="F29" s="635">
        <v>168610.96</v>
      </c>
      <c r="G29" s="636">
        <f t="shared" si="5"/>
        <v>0.94257181499915521</v>
      </c>
      <c r="H29" s="639">
        <v>206131.53</v>
      </c>
      <c r="I29" s="639">
        <v>216438.11</v>
      </c>
      <c r="J29" s="633">
        <v>1.05</v>
      </c>
      <c r="K29" s="638">
        <v>152377.65</v>
      </c>
      <c r="L29" s="636">
        <f t="shared" si="6"/>
        <v>0.73922533830705084</v>
      </c>
      <c r="M29" s="639">
        <v>186158.27</v>
      </c>
      <c r="N29" s="639">
        <v>195466.18</v>
      </c>
      <c r="O29" s="633">
        <v>1.05</v>
      </c>
      <c r="P29" s="635">
        <v>152088.89000000001</v>
      </c>
      <c r="Q29" s="636">
        <f t="shared" si="7"/>
        <v>0.81698701862667733</v>
      </c>
      <c r="R29" s="639">
        <v>179634.4</v>
      </c>
      <c r="S29" s="639">
        <v>188616.12</v>
      </c>
      <c r="T29" s="633">
        <v>1.05</v>
      </c>
      <c r="U29" s="638">
        <v>140483.67000000001</v>
      </c>
      <c r="V29" s="636">
        <f t="shared" si="8"/>
        <v>0.78205327042036499</v>
      </c>
      <c r="W29" s="639">
        <f t="shared" si="157"/>
        <v>788348.53999999992</v>
      </c>
      <c r="X29" s="639">
        <f t="shared" si="158"/>
        <v>750808.14</v>
      </c>
      <c r="Y29" s="666">
        <f t="shared" si="9"/>
        <v>613561.17000000004</v>
      </c>
      <c r="Z29" s="646">
        <f t="shared" si="10"/>
        <v>0.8172010095681701</v>
      </c>
      <c r="AA29" s="645">
        <v>186826.5</v>
      </c>
      <c r="AB29" s="639">
        <v>196167.83</v>
      </c>
      <c r="AC29" s="633">
        <v>1.05</v>
      </c>
      <c r="AD29" s="635">
        <v>155427.07</v>
      </c>
      <c r="AE29" s="636">
        <f t="shared" si="11"/>
        <v>0.83193267550374284</v>
      </c>
      <c r="AF29" s="639">
        <v>240536.63</v>
      </c>
      <c r="AG29" s="639">
        <v>252563.46</v>
      </c>
      <c r="AH29" s="633">
        <v>1.05</v>
      </c>
      <c r="AI29" s="638">
        <v>209500.16</v>
      </c>
      <c r="AJ29" s="636">
        <f t="shared" si="12"/>
        <v>0.87096988096989636</v>
      </c>
      <c r="AK29" s="639">
        <v>147068.87</v>
      </c>
      <c r="AL29" s="639">
        <v>154422.31</v>
      </c>
      <c r="AM29" s="633">
        <v>1.05</v>
      </c>
      <c r="AN29" s="635">
        <v>119605.94</v>
      </c>
      <c r="AO29" s="636">
        <f t="shared" si="13"/>
        <v>0.81326483299966879</v>
      </c>
      <c r="AP29" s="639">
        <v>195782.37</v>
      </c>
      <c r="AQ29" s="639">
        <v>205571.49</v>
      </c>
      <c r="AR29" s="633">
        <v>1.05</v>
      </c>
      <c r="AS29" s="638">
        <v>32770.76</v>
      </c>
      <c r="AT29" s="636">
        <v>1.08</v>
      </c>
      <c r="AU29" s="639">
        <f t="shared" si="14"/>
        <v>808725.09</v>
      </c>
      <c r="AV29" s="639">
        <f t="shared" si="15"/>
        <v>770214.37</v>
      </c>
      <c r="AW29" s="778">
        <f t="shared" si="16"/>
        <v>517303.93</v>
      </c>
      <c r="AX29" s="665">
        <f t="shared" si="17"/>
        <v>0.6716363004237379</v>
      </c>
      <c r="AY29" s="645">
        <v>179766.72</v>
      </c>
      <c r="AZ29" s="639">
        <v>188755.06</v>
      </c>
      <c r="BA29" s="633">
        <v>1.05</v>
      </c>
      <c r="BB29" s="635">
        <v>150698.29999999999</v>
      </c>
      <c r="BC29" s="636">
        <f t="shared" si="18"/>
        <v>0.83829921355854964</v>
      </c>
      <c r="BD29" s="639">
        <v>210189.91</v>
      </c>
      <c r="BE29" s="639">
        <v>220699.41</v>
      </c>
      <c r="BF29" s="633">
        <v>1.05</v>
      </c>
      <c r="BG29" s="638">
        <v>149651.76999999999</v>
      </c>
      <c r="BH29" s="636">
        <f t="shared" si="19"/>
        <v>0.71198360568307006</v>
      </c>
      <c r="BI29" s="639">
        <v>245950.92</v>
      </c>
      <c r="BJ29" s="639">
        <v>98380.37</v>
      </c>
      <c r="BK29" s="633">
        <v>0.4</v>
      </c>
      <c r="BL29" s="635">
        <v>168415.05</v>
      </c>
      <c r="BM29" s="636">
        <f t="shared" si="20"/>
        <v>0.68475064049363987</v>
      </c>
      <c r="BN29" s="639">
        <v>214800.02</v>
      </c>
      <c r="BO29" s="639">
        <f t="shared" si="21"/>
        <v>139620.01300000001</v>
      </c>
      <c r="BP29" s="633">
        <v>0.65</v>
      </c>
      <c r="BQ29" s="638">
        <v>162223.71</v>
      </c>
      <c r="BR29" s="636">
        <f t="shared" si="22"/>
        <v>0.75523135426151267</v>
      </c>
      <c r="BS29" s="639">
        <v>240542.86</v>
      </c>
      <c r="BT29" s="639">
        <f t="shared" si="23"/>
        <v>156352.859</v>
      </c>
      <c r="BU29" s="633">
        <v>0.65</v>
      </c>
      <c r="BV29" s="635">
        <v>164770.19</v>
      </c>
      <c r="BW29" s="636">
        <f t="shared" si="24"/>
        <v>0.68499306111185343</v>
      </c>
      <c r="BX29" s="661">
        <f t="shared" si="25"/>
        <v>803807.71200000006</v>
      </c>
      <c r="BY29" s="661">
        <f t="shared" si="26"/>
        <v>1091250.4300000002</v>
      </c>
      <c r="BZ29" s="663">
        <f t="shared" si="27"/>
        <v>795759.02</v>
      </c>
      <c r="CA29" s="651">
        <f t="shared" si="28"/>
        <v>0.72921760039993744</v>
      </c>
      <c r="CB29" s="645">
        <v>244325.67</v>
      </c>
      <c r="CC29" s="639">
        <f t="shared" si="29"/>
        <v>200347.04939999999</v>
      </c>
      <c r="CD29" s="633">
        <v>0.82</v>
      </c>
      <c r="CE29" s="635">
        <v>164007.35</v>
      </c>
      <c r="CF29" s="636">
        <f>CE29/CB29</f>
        <v>0.67126532386056692</v>
      </c>
      <c r="CG29" s="639">
        <v>249079.33</v>
      </c>
      <c r="CH29" s="639">
        <f t="shared" si="31"/>
        <v>186809.4975</v>
      </c>
      <c r="CI29" s="633">
        <v>0.75</v>
      </c>
      <c r="CJ29" s="635">
        <v>138909.09</v>
      </c>
      <c r="CK29" s="636">
        <f t="shared" si="32"/>
        <v>0.55769015437772373</v>
      </c>
      <c r="CL29" s="639">
        <v>231316.43</v>
      </c>
      <c r="CM29" s="639">
        <f t="shared" si="33"/>
        <v>161921.50099999999</v>
      </c>
      <c r="CN29" s="633">
        <v>0.7</v>
      </c>
      <c r="CO29" s="635">
        <v>117116.94</v>
      </c>
      <c r="CP29" s="636">
        <f t="shared" si="34"/>
        <v>0.50630618845362607</v>
      </c>
      <c r="CQ29" s="639">
        <v>228557.39</v>
      </c>
      <c r="CR29" s="639">
        <f t="shared" si="35"/>
        <v>115720.02097380892</v>
      </c>
      <c r="CS29" s="633">
        <v>0.50630618845362607</v>
      </c>
      <c r="CT29" s="638">
        <v>88461.43</v>
      </c>
      <c r="CU29" s="636">
        <f t="shared" si="36"/>
        <v>0.38704252791826155</v>
      </c>
      <c r="CV29" s="656">
        <f t="shared" si="37"/>
        <v>664798.06887380884</v>
      </c>
      <c r="CW29" s="656">
        <f t="shared" si="38"/>
        <v>953278.82</v>
      </c>
      <c r="CX29" s="657">
        <f t="shared" si="39"/>
        <v>508494.80999999994</v>
      </c>
      <c r="CY29" s="654">
        <f t="shared" si="40"/>
        <v>0.53341666607047866</v>
      </c>
      <c r="CZ29" s="645">
        <v>337458.15</v>
      </c>
      <c r="DA29" s="639">
        <f t="shared" si="41"/>
        <v>168729.07500000001</v>
      </c>
      <c r="DB29" s="633">
        <v>0.5</v>
      </c>
      <c r="DC29" s="635">
        <v>201065.69</v>
      </c>
      <c r="DD29" s="636">
        <f t="shared" si="42"/>
        <v>0.59582407477786503</v>
      </c>
      <c r="DE29" s="639">
        <v>248183.29</v>
      </c>
      <c r="DF29" s="639">
        <f t="shared" si="43"/>
        <v>148909.97399999999</v>
      </c>
      <c r="DG29" s="633">
        <v>0.6</v>
      </c>
      <c r="DH29" s="635">
        <v>211924.92</v>
      </c>
      <c r="DI29" s="636">
        <f t="shared" si="44"/>
        <v>0.85390487006599036</v>
      </c>
      <c r="DJ29" s="639">
        <v>202564.15</v>
      </c>
      <c r="DK29" s="639">
        <f t="shared" si="45"/>
        <v>141794.905</v>
      </c>
      <c r="DL29" s="633">
        <v>0.7</v>
      </c>
      <c r="DM29" s="635">
        <v>159202.79999999999</v>
      </c>
      <c r="DN29" s="636">
        <f t="shared" si="46"/>
        <v>0.78593768936902209</v>
      </c>
      <c r="DO29" s="639">
        <v>210642.07</v>
      </c>
      <c r="DP29" s="639">
        <f t="shared" si="47"/>
        <v>165551.5417797078</v>
      </c>
      <c r="DQ29" s="633">
        <v>0.78593768936902209</v>
      </c>
      <c r="DR29" s="635">
        <v>163049.48000000001</v>
      </c>
      <c r="DS29" s="636">
        <f t="shared" si="48"/>
        <v>0.77405942697012042</v>
      </c>
      <c r="DT29" s="656">
        <f t="shared" si="49"/>
        <v>624985.4957797078</v>
      </c>
      <c r="DU29" s="656">
        <f t="shared" si="50"/>
        <v>998847.66000000015</v>
      </c>
      <c r="DV29" s="657">
        <f t="shared" si="51"/>
        <v>735242.89</v>
      </c>
      <c r="DW29" s="654">
        <f t="shared" si="52"/>
        <v>0.736091117238038</v>
      </c>
      <c r="DX29" s="645">
        <v>215496.25</v>
      </c>
      <c r="DY29" s="639">
        <f t="shared" si="53"/>
        <v>166806.90378920981</v>
      </c>
      <c r="DZ29" s="633">
        <v>0.77405942697012042</v>
      </c>
      <c r="EA29" s="635">
        <f>'Vtas Diarias 2021'!AG30</f>
        <v>192648.1</v>
      </c>
      <c r="EB29" s="636">
        <f t="shared" si="54"/>
        <v>0.89397425709264089</v>
      </c>
      <c r="EC29" s="639">
        <v>278814.48</v>
      </c>
      <c r="ED29" s="639">
        <f t="shared" si="146"/>
        <v>223051.584</v>
      </c>
      <c r="EE29" s="633">
        <v>0.8</v>
      </c>
      <c r="EF29" s="635">
        <f>'Vtas Diarias 2021'!BM30</f>
        <v>157269.74</v>
      </c>
      <c r="EG29" s="636">
        <f t="shared" si="56"/>
        <v>0.56406589786871897</v>
      </c>
      <c r="EH29" s="639">
        <v>243847.38</v>
      </c>
      <c r="EI29" s="639">
        <f t="shared" si="147"/>
        <v>195077.90400000001</v>
      </c>
      <c r="EJ29" s="633">
        <v>0.8</v>
      </c>
      <c r="EK29" s="635">
        <f>'Vtas Diarias 2021'!CS30</f>
        <v>173734.31999999998</v>
      </c>
      <c r="EL29" s="636">
        <f t="shared" si="58"/>
        <v>0.71247154675190671</v>
      </c>
      <c r="EM29" s="639">
        <v>277817.55</v>
      </c>
      <c r="EN29" s="639">
        <f t="shared" si="148"/>
        <v>194472.28499999997</v>
      </c>
      <c r="EO29" s="633">
        <v>0.7</v>
      </c>
      <c r="EP29" s="635">
        <f>'Vtas Diarias 2021'!DY30</f>
        <v>172870.08</v>
      </c>
      <c r="EQ29" s="636">
        <f t="shared" si="60"/>
        <v>0.62224319521930849</v>
      </c>
      <c r="ER29" s="639">
        <v>248391.17</v>
      </c>
      <c r="ES29" s="639">
        <f t="shared" si="149"/>
        <v>149034.70199999999</v>
      </c>
      <c r="ET29" s="633">
        <v>0.6</v>
      </c>
      <c r="EU29" s="635">
        <f>'Vtas Diarias 2021'!FE30</f>
        <v>204908.58000000002</v>
      </c>
      <c r="EV29" s="636">
        <f t="shared" si="62"/>
        <v>0.8249430927838538</v>
      </c>
      <c r="EW29" s="661">
        <f t="shared" si="63"/>
        <v>928443.37878920976</v>
      </c>
      <c r="EX29" s="956">
        <f t="shared" si="64"/>
        <v>1264366.8299999998</v>
      </c>
      <c r="EY29" s="662">
        <f t="shared" si="65"/>
        <v>901430.82</v>
      </c>
      <c r="EZ29" s="654">
        <f t="shared" si="66"/>
        <v>0.71295038640012409</v>
      </c>
      <c r="FA29" s="645">
        <v>255304.08</v>
      </c>
      <c r="FB29" s="639">
        <f t="shared" si="150"/>
        <v>178712.85599999997</v>
      </c>
      <c r="FC29" s="633">
        <v>0.7</v>
      </c>
      <c r="FD29" s="635">
        <f>'Vtas Diarias 2021'!GK30</f>
        <v>211077.5</v>
      </c>
      <c r="FE29" s="636">
        <f t="shared" si="68"/>
        <v>0.82676900423996358</v>
      </c>
      <c r="FF29" s="639">
        <v>274488.90999999997</v>
      </c>
      <c r="FG29" s="639">
        <f t="shared" si="151"/>
        <v>208611.5716</v>
      </c>
      <c r="FH29" s="633">
        <v>0.76</v>
      </c>
      <c r="FI29" s="635">
        <f>'Vtas Diarias 2021'!HQ30</f>
        <v>250988.45999999996</v>
      </c>
      <c r="FJ29" s="636">
        <f t="shared" si="70"/>
        <v>0.91438470137099526</v>
      </c>
      <c r="FK29" s="639">
        <v>234876.93</v>
      </c>
      <c r="FL29" s="639">
        <f t="shared" si="152"/>
        <v>178506.46679999999</v>
      </c>
      <c r="FM29" s="633">
        <v>0.76</v>
      </c>
      <c r="FN29" s="635">
        <f>'Vtas Diarias 2021'!IW30</f>
        <v>204936.03999999998</v>
      </c>
      <c r="FO29" s="636">
        <f t="shared" si="72"/>
        <v>0.87252519862210387</v>
      </c>
      <c r="FP29" s="639">
        <v>253804.43</v>
      </c>
      <c r="FQ29" s="639">
        <f t="shared" si="153"/>
        <v>195429.4111</v>
      </c>
      <c r="FR29" s="633">
        <v>0.77</v>
      </c>
      <c r="FS29" s="635">
        <f>'Vtas Diarias 2021'!KC30</f>
        <v>221113.85</v>
      </c>
      <c r="FT29" s="636">
        <f t="shared" si="74"/>
        <v>0.87119775647730036</v>
      </c>
      <c r="FU29" s="661">
        <f t="shared" si="75"/>
        <v>761260.30550000002</v>
      </c>
      <c r="FV29" s="661">
        <f t="shared" si="76"/>
        <v>1018474.3499999999</v>
      </c>
      <c r="FW29" s="663">
        <f t="shared" si="77"/>
        <v>888115.85</v>
      </c>
      <c r="FX29" s="651">
        <f t="shared" si="78"/>
        <v>0.87200610403197698</v>
      </c>
      <c r="FY29" s="645">
        <v>254999.83</v>
      </c>
      <c r="FZ29" s="639">
        <f t="shared" si="154"/>
        <v>203999.864</v>
      </c>
      <c r="GA29" s="633">
        <v>0.8</v>
      </c>
      <c r="GB29" s="635">
        <f>'Vtas Diarias 2021'!LI30</f>
        <v>214227.7</v>
      </c>
      <c r="GC29" s="636">
        <f t="shared" si="80"/>
        <v>0.84010918752377217</v>
      </c>
      <c r="GD29" s="639">
        <v>262921.39</v>
      </c>
      <c r="GE29" s="639">
        <f t="shared" si="155"/>
        <v>210337.11200000002</v>
      </c>
      <c r="GF29" s="812">
        <v>0.8</v>
      </c>
      <c r="GG29" s="635">
        <f>'Vtas Diarias 2021'!MO30</f>
        <v>219129.32</v>
      </c>
      <c r="GH29" s="636">
        <f t="shared" si="82"/>
        <v>0.83344044392888683</v>
      </c>
      <c r="GI29" s="639">
        <v>232341.29</v>
      </c>
      <c r="GJ29" s="639">
        <f t="shared" si="156"/>
        <v>185873.03200000001</v>
      </c>
      <c r="GK29" s="633">
        <v>0.8</v>
      </c>
      <c r="GL29" s="635">
        <f>'Vtas Diarias 2021'!NU30</f>
        <v>183597.35</v>
      </c>
      <c r="GM29" s="636">
        <f t="shared" si="84"/>
        <v>0.79020543442794866</v>
      </c>
      <c r="GN29" s="639">
        <v>214279.76</v>
      </c>
      <c r="GO29" s="639">
        <f t="shared" si="159"/>
        <v>158567.02240000002</v>
      </c>
      <c r="GP29" s="812">
        <v>0.74</v>
      </c>
      <c r="GQ29" s="635">
        <f>'Vtas Diarias 2021'!PA30</f>
        <v>200742.9</v>
      </c>
      <c r="GR29" s="636">
        <f>GQ29/GN29</f>
        <v>0.93682623127821307</v>
      </c>
      <c r="GS29" s="661">
        <f t="shared" si="86"/>
        <v>758777.03040000005</v>
      </c>
      <c r="GT29" s="661">
        <f t="shared" si="87"/>
        <v>964542.27</v>
      </c>
      <c r="GU29" s="662">
        <f t="shared" si="88"/>
        <v>817697.27</v>
      </c>
      <c r="GV29" s="1598">
        <f t="shared" si="89"/>
        <v>0.8477568017832956</v>
      </c>
      <c r="GW29" s="645">
        <v>207825</v>
      </c>
      <c r="GX29" s="639">
        <f t="shared" si="160"/>
        <v>170416.5</v>
      </c>
      <c r="GY29" s="633">
        <v>0.82</v>
      </c>
      <c r="GZ29" s="635">
        <f>'Vtas Diarias 2021'!QG30</f>
        <v>201044.83000000002</v>
      </c>
      <c r="HA29" s="636">
        <f>GZ29/GW29</f>
        <v>0.96737558041621563</v>
      </c>
      <c r="HB29" s="639">
        <v>212804.06</v>
      </c>
      <c r="HC29" s="639">
        <f t="shared" si="161"/>
        <v>176627.36979999999</v>
      </c>
      <c r="HD29" s="633">
        <v>0.83</v>
      </c>
      <c r="HE29" s="635">
        <f>'Vtas Diarias 2021'!RM30</f>
        <v>190738.57</v>
      </c>
      <c r="HF29" s="636">
        <f t="shared" si="93"/>
        <v>0.89631076587542557</v>
      </c>
      <c r="HG29" s="639">
        <v>210363.68</v>
      </c>
      <c r="HH29" s="639">
        <f t="shared" si="162"/>
        <v>172498.21759999997</v>
      </c>
      <c r="HI29" s="633">
        <v>0.82</v>
      </c>
      <c r="HJ29" s="635">
        <f>'Vtas Diarias 2021'!SS30</f>
        <v>206316.47</v>
      </c>
      <c r="HK29" s="636">
        <f t="shared" si="95"/>
        <v>0.98076088990266763</v>
      </c>
      <c r="HL29" s="639">
        <v>227808.56</v>
      </c>
      <c r="HM29" s="639">
        <f t="shared" si="163"/>
        <v>186803.01919999998</v>
      </c>
      <c r="HN29" s="633">
        <v>0.82</v>
      </c>
      <c r="HO29" s="635">
        <f>'Vtas Diarias 2021'!TY30</f>
        <v>166509.38</v>
      </c>
      <c r="HP29" s="808">
        <f t="shared" si="97"/>
        <v>0.73091801291400116</v>
      </c>
      <c r="HQ29" s="639">
        <v>229774.67</v>
      </c>
      <c r="HR29" s="639">
        <f t="shared" si="164"/>
        <v>188415.22940000001</v>
      </c>
      <c r="HS29" s="633">
        <v>0.82</v>
      </c>
      <c r="HT29" s="635">
        <f>'Vtas Diarias 2021'!VE30</f>
        <v>200887.12</v>
      </c>
      <c r="HU29" s="636">
        <f t="shared" si="99"/>
        <v>0.87427878799695369</v>
      </c>
      <c r="HV29" s="661">
        <f t="shared" si="100"/>
        <v>894760.33599999989</v>
      </c>
      <c r="HW29" s="661">
        <f t="shared" si="101"/>
        <v>1088575.97</v>
      </c>
      <c r="HX29" s="663">
        <f t="shared" si="102"/>
        <v>965496.37000000011</v>
      </c>
      <c r="HY29" s="651">
        <f t="shared" si="103"/>
        <v>0.88693522235292421</v>
      </c>
      <c r="HZ29" s="645">
        <v>213153.98</v>
      </c>
      <c r="IA29" s="639">
        <f t="shared" si="165"/>
        <v>185443.9626</v>
      </c>
      <c r="IB29" s="633">
        <v>0.87</v>
      </c>
      <c r="IC29" s="635">
        <f>'Vtas Diarias 2021'!WK30</f>
        <v>174510.65999999997</v>
      </c>
      <c r="ID29" s="636">
        <f t="shared" si="142"/>
        <v>0.81870702109338966</v>
      </c>
      <c r="IE29" s="639">
        <v>224282.92</v>
      </c>
      <c r="IF29" s="639">
        <f t="shared" si="166"/>
        <v>199611.79880000002</v>
      </c>
      <c r="IG29" s="633">
        <v>0.89</v>
      </c>
      <c r="IH29" s="635">
        <f>'Vtas Diarias 2021'!XQ30</f>
        <v>198957.09</v>
      </c>
      <c r="II29" s="636">
        <f t="shared" si="106"/>
        <v>0.88708087981019679</v>
      </c>
      <c r="IJ29" s="639">
        <v>198068.02</v>
      </c>
      <c r="IK29" s="639">
        <f t="shared" si="167"/>
        <v>182222.5784</v>
      </c>
      <c r="IL29" s="633">
        <v>0.92</v>
      </c>
      <c r="IM29" s="635">
        <f>'Vtas Diarias 2021'!YW30</f>
        <v>185281.61000000002</v>
      </c>
      <c r="IN29" s="636">
        <f t="shared" si="108"/>
        <v>0.93544434886560701</v>
      </c>
      <c r="IO29" s="639">
        <v>216938.53</v>
      </c>
      <c r="IP29" s="639">
        <f t="shared" si="168"/>
        <v>206091.6035</v>
      </c>
      <c r="IQ29" s="633">
        <v>0.95</v>
      </c>
      <c r="IR29" s="635">
        <f>'Vtas Diarias 2021'!AAC30</f>
        <v>243350.94999999998</v>
      </c>
      <c r="IS29" s="636">
        <f t="shared" si="110"/>
        <v>1.1217507097517438</v>
      </c>
      <c r="IT29" s="1577">
        <f t="shared" si="111"/>
        <v>773369.94329999993</v>
      </c>
      <c r="IU29" s="1577">
        <f t="shared" si="112"/>
        <v>852443.45000000007</v>
      </c>
      <c r="IV29" s="1578">
        <f t="shared" si="113"/>
        <v>802100.30999999994</v>
      </c>
      <c r="IW29" s="654">
        <f>IFERROR(IV29/IU29,0)</f>
        <v>0.94094254580758396</v>
      </c>
      <c r="IX29" s="645">
        <v>182752.85</v>
      </c>
      <c r="IY29" s="639">
        <f t="shared" si="169"/>
        <v>173615.20749999999</v>
      </c>
      <c r="IZ29" s="633">
        <v>0.95</v>
      </c>
      <c r="JA29" s="635">
        <f>'Vtas Diarias 2021'!ABI30</f>
        <v>196275.45</v>
      </c>
      <c r="JB29" s="636">
        <f t="shared" si="116"/>
        <v>1.0739939212986283</v>
      </c>
      <c r="JC29" s="639">
        <v>251396.09</v>
      </c>
      <c r="JD29" s="639">
        <f t="shared" si="170"/>
        <v>246368.16819999999</v>
      </c>
      <c r="JE29" s="633">
        <v>0.98</v>
      </c>
      <c r="JF29" s="635">
        <f>'Vtas Diarias 2021'!ACO30</f>
        <v>234277.46</v>
      </c>
      <c r="JG29" s="636">
        <f t="shared" si="118"/>
        <v>0.93190574284588112</v>
      </c>
      <c r="JH29" s="639">
        <v>299778.34000000003</v>
      </c>
      <c r="JI29" s="639">
        <f t="shared" si="171"/>
        <v>293782.7732</v>
      </c>
      <c r="JJ29" s="633">
        <v>0.98</v>
      </c>
      <c r="JK29" s="635">
        <f>'Vtas Diarias 2021'!ADU30</f>
        <v>261659.51999999999</v>
      </c>
      <c r="JL29" s="636">
        <f t="shared" si="120"/>
        <v>0.872843314830551</v>
      </c>
      <c r="JM29" s="639">
        <v>245000</v>
      </c>
      <c r="JN29" s="639">
        <f t="shared" si="172"/>
        <v>240100</v>
      </c>
      <c r="JO29" s="633">
        <v>0.98</v>
      </c>
      <c r="JP29" s="635">
        <f>'Vtas Diarias 2021'!AFA30</f>
        <v>210131.9</v>
      </c>
      <c r="JQ29" s="636">
        <f t="shared" si="122"/>
        <v>0.85768122448979589</v>
      </c>
      <c r="JR29" s="636">
        <f t="shared" si="122"/>
        <v>3.5721833589745769E-6</v>
      </c>
      <c r="JS29" s="1577">
        <f t="shared" si="123"/>
        <v>953866.14889999991</v>
      </c>
      <c r="JT29" s="1577">
        <f t="shared" si="124"/>
        <v>978927.28</v>
      </c>
      <c r="JU29" s="1582">
        <f t="shared" si="125"/>
        <v>902344.33</v>
      </c>
      <c r="JV29" s="651">
        <f t="shared" si="126"/>
        <v>0.92176849949467132</v>
      </c>
      <c r="JW29" s="645">
        <v>389046.87</v>
      </c>
      <c r="JX29" s="639">
        <f t="shared" si="173"/>
        <v>350142.18300000002</v>
      </c>
      <c r="JY29" s="633">
        <v>0.9</v>
      </c>
      <c r="JZ29" s="635">
        <f>'Vtas Diarias 2021'!AGG30</f>
        <v>306104.56999999995</v>
      </c>
      <c r="KA29" s="636">
        <f t="shared" si="128"/>
        <v>0.78680640715603223</v>
      </c>
      <c r="KB29" s="639">
        <v>530461.68999999994</v>
      </c>
      <c r="KC29" s="639">
        <f t="shared" si="174"/>
        <v>477415.52099999995</v>
      </c>
      <c r="KD29" s="633">
        <v>0.9</v>
      </c>
      <c r="KE29" s="635">
        <f>'Vtas Diarias 2021'!AHM30</f>
        <v>371177.62</v>
      </c>
      <c r="KF29" s="636">
        <f t="shared" si="130"/>
        <v>0.69972559187073435</v>
      </c>
      <c r="KG29" s="639">
        <v>644110.98</v>
      </c>
      <c r="KH29" s="639">
        <f t="shared" si="175"/>
        <v>592582.10160000005</v>
      </c>
      <c r="KI29" s="633">
        <v>0.92</v>
      </c>
      <c r="KJ29" s="635">
        <f>'Vtas Diarias 2021'!AIS30</f>
        <v>489415.49999999994</v>
      </c>
      <c r="KK29" s="636">
        <f t="shared" si="132"/>
        <v>0.75983101545637366</v>
      </c>
      <c r="KL29" s="639">
        <v>567971.31000000006</v>
      </c>
      <c r="KM29" s="1601">
        <f t="shared" si="176"/>
        <v>874675.81740000006</v>
      </c>
      <c r="KN29" s="1615">
        <v>1.54</v>
      </c>
      <c r="KO29" s="1603">
        <f>'Vtas Diarias 2021'!AJY30</f>
        <v>607692.16</v>
      </c>
      <c r="KP29" s="636">
        <f t="shared" si="134"/>
        <v>1.0699346063800299</v>
      </c>
      <c r="KQ29" s="639">
        <v>256960.44</v>
      </c>
      <c r="KR29" s="1601">
        <f t="shared" si="177"/>
        <v>256960.44</v>
      </c>
      <c r="KS29" s="1616">
        <v>1</v>
      </c>
      <c r="KT29" s="1602">
        <f>'Vtas Diarias 2021'!ALE30</f>
        <v>277179.44</v>
      </c>
      <c r="KU29" s="636">
        <f t="shared" si="136"/>
        <v>1.0786852637705633</v>
      </c>
      <c r="KV29" s="1577">
        <f t="shared" si="137"/>
        <v>2551776.0630000001</v>
      </c>
      <c r="KW29" s="1577">
        <f t="shared" si="178"/>
        <v>2388551.29</v>
      </c>
      <c r="KX29" s="1578">
        <f t="shared" si="3"/>
        <v>2051569.29</v>
      </c>
      <c r="KY29" s="959">
        <f t="shared" si="138"/>
        <v>0.85891782964392616</v>
      </c>
      <c r="KZ29" s="1508">
        <f t="shared" si="143"/>
        <v>13120280.859999998</v>
      </c>
      <c r="LA29" s="811">
        <f t="shared" si="144"/>
        <v>10951378.251200002</v>
      </c>
      <c r="LB29" s="1509">
        <f t="shared" si="139"/>
        <v>13120280.859999999</v>
      </c>
      <c r="LC29" s="811">
        <f t="shared" si="140"/>
        <v>10499116.059999999</v>
      </c>
      <c r="LD29" s="1575">
        <f t="shared" si="4"/>
        <v>-2621164.8000000007</v>
      </c>
      <c r="LE29" s="1594">
        <f t="shared" si="141"/>
        <v>0.80022037424586057</v>
      </c>
      <c r="LF29" s="1008">
        <f t="shared" si="145"/>
        <v>0.83469083993374238</v>
      </c>
    </row>
    <row r="30" spans="1:320">
      <c r="A30" s="1495"/>
      <c r="B30" s="685" t="s">
        <v>230</v>
      </c>
      <c r="C30" s="645">
        <v>83971.12</v>
      </c>
      <c r="D30" s="639">
        <v>88169.67</v>
      </c>
      <c r="E30" s="633">
        <v>1.05</v>
      </c>
      <c r="F30" s="635">
        <v>57960.36</v>
      </c>
      <c r="G30" s="636">
        <f t="shared" si="5"/>
        <v>0.69024159734918389</v>
      </c>
      <c r="H30" s="639">
        <v>83934.399999999994</v>
      </c>
      <c r="I30" s="639">
        <v>88131.12</v>
      </c>
      <c r="J30" s="633">
        <v>1.05</v>
      </c>
      <c r="K30" s="638">
        <v>49984.92</v>
      </c>
      <c r="L30" s="636">
        <f t="shared" si="6"/>
        <v>0.59552364703863969</v>
      </c>
      <c r="M30" s="639">
        <v>82622.86</v>
      </c>
      <c r="N30" s="639">
        <v>86754</v>
      </c>
      <c r="O30" s="633">
        <v>1.05</v>
      </c>
      <c r="P30" s="635">
        <v>53537.1</v>
      </c>
      <c r="Q30" s="636">
        <f t="shared" si="7"/>
        <v>0.6479695812998969</v>
      </c>
      <c r="R30" s="639">
        <v>83125.279999999999</v>
      </c>
      <c r="S30" s="639">
        <v>87281.54</v>
      </c>
      <c r="T30" s="633">
        <v>1.05</v>
      </c>
      <c r="U30" s="638">
        <v>55308.31</v>
      </c>
      <c r="V30" s="636">
        <f t="shared" si="8"/>
        <v>0.66536088660393078</v>
      </c>
      <c r="W30" s="639">
        <f t="shared" si="157"/>
        <v>350336.32999999996</v>
      </c>
      <c r="X30" s="639">
        <f t="shared" si="158"/>
        <v>333653.66000000003</v>
      </c>
      <c r="Y30" s="666">
        <f t="shared" si="9"/>
        <v>216790.69</v>
      </c>
      <c r="Z30" s="646">
        <f t="shared" si="10"/>
        <v>0.64974767547881829</v>
      </c>
      <c r="AA30" s="645">
        <v>77736.34</v>
      </c>
      <c r="AB30" s="639">
        <v>81623.16</v>
      </c>
      <c r="AC30" s="633">
        <v>1.05</v>
      </c>
      <c r="AD30" s="635">
        <v>46277.97</v>
      </c>
      <c r="AE30" s="636">
        <f t="shared" si="11"/>
        <v>0.59531964072401666</v>
      </c>
      <c r="AF30" s="639">
        <v>91075.15</v>
      </c>
      <c r="AG30" s="639">
        <v>95628.91</v>
      </c>
      <c r="AH30" s="633">
        <v>1.05</v>
      </c>
      <c r="AI30" s="638">
        <v>69165.16</v>
      </c>
      <c r="AJ30" s="636">
        <f t="shared" si="12"/>
        <v>0.7594295480161164</v>
      </c>
      <c r="AK30" s="639">
        <v>76998.84</v>
      </c>
      <c r="AL30" s="639">
        <v>80848.78</v>
      </c>
      <c r="AM30" s="633">
        <v>1.05</v>
      </c>
      <c r="AN30" s="635">
        <v>56143.61</v>
      </c>
      <c r="AO30" s="636">
        <f t="shared" si="13"/>
        <v>0.72914877678676726</v>
      </c>
      <c r="AP30" s="639">
        <v>81441.34</v>
      </c>
      <c r="AQ30" s="639">
        <v>85513.41</v>
      </c>
      <c r="AR30" s="633">
        <v>1.05</v>
      </c>
      <c r="AS30" s="638"/>
      <c r="AT30" s="636" t="s">
        <v>513</v>
      </c>
      <c r="AU30" s="639">
        <f t="shared" si="14"/>
        <v>343614.26</v>
      </c>
      <c r="AV30" s="639">
        <f t="shared" si="15"/>
        <v>327251.67</v>
      </c>
      <c r="AW30" s="778">
        <f t="shared" si="16"/>
        <v>171586.74</v>
      </c>
      <c r="AX30" s="665">
        <f t="shared" si="17"/>
        <v>0.52432655271094564</v>
      </c>
      <c r="AY30" s="645">
        <v>81953.3</v>
      </c>
      <c r="AZ30" s="639">
        <v>86050.97</v>
      </c>
      <c r="BA30" s="633" t="s">
        <v>513</v>
      </c>
      <c r="BB30" s="635">
        <v>66759.850000000006</v>
      </c>
      <c r="BC30" s="636">
        <f t="shared" si="18"/>
        <v>0.81460844163688351</v>
      </c>
      <c r="BD30" s="639">
        <v>93941.21</v>
      </c>
      <c r="BE30" s="639">
        <v>98638.27</v>
      </c>
      <c r="BF30" s="633" t="s">
        <v>513</v>
      </c>
      <c r="BG30" s="638">
        <v>66178.990000000005</v>
      </c>
      <c r="BH30" s="636">
        <f t="shared" si="19"/>
        <v>0.70447240353834062</v>
      </c>
      <c r="BI30" s="639">
        <v>98416.26</v>
      </c>
      <c r="BJ30" s="639">
        <v>39366.5</v>
      </c>
      <c r="BK30" s="633">
        <v>0.4</v>
      </c>
      <c r="BL30" s="635">
        <v>67426.2</v>
      </c>
      <c r="BM30" s="636">
        <f t="shared" si="20"/>
        <v>0.68511239910965938</v>
      </c>
      <c r="BN30" s="639">
        <v>110148.54</v>
      </c>
      <c r="BO30" s="639">
        <f t="shared" si="21"/>
        <v>71596.550999999992</v>
      </c>
      <c r="BP30" s="633">
        <v>0.65</v>
      </c>
      <c r="BQ30" s="638">
        <v>80291.45</v>
      </c>
      <c r="BR30" s="636">
        <f t="shared" si="22"/>
        <v>0.72893794143798907</v>
      </c>
      <c r="BS30" s="639">
        <v>123502.57</v>
      </c>
      <c r="BT30" s="639">
        <f t="shared" si="23"/>
        <v>80276.670500000007</v>
      </c>
      <c r="BU30" s="633">
        <v>0.65</v>
      </c>
      <c r="BV30" s="635">
        <v>69202.66</v>
      </c>
      <c r="BW30" s="636">
        <f t="shared" si="24"/>
        <v>0.56033376471436991</v>
      </c>
      <c r="BX30" s="661">
        <f t="shared" si="25"/>
        <v>375928.96149999998</v>
      </c>
      <c r="BY30" s="661">
        <f t="shared" si="26"/>
        <v>507961.88</v>
      </c>
      <c r="BZ30" s="663">
        <f t="shared" si="27"/>
        <v>349859.15</v>
      </c>
      <c r="CA30" s="651">
        <f t="shared" si="28"/>
        <v>0.68875079759922142</v>
      </c>
      <c r="CB30" s="645">
        <v>111466.61</v>
      </c>
      <c r="CC30" s="639">
        <f t="shared" si="29"/>
        <v>91402.62019999999</v>
      </c>
      <c r="CD30" s="633">
        <v>0.82</v>
      </c>
      <c r="CE30" s="635">
        <v>62227.29</v>
      </c>
      <c r="CF30" s="636">
        <f t="shared" si="30"/>
        <v>0.55825946442616314</v>
      </c>
      <c r="CG30" s="639">
        <v>105188.35</v>
      </c>
      <c r="CH30" s="639">
        <f t="shared" si="31"/>
        <v>78891.262500000012</v>
      </c>
      <c r="CI30" s="633">
        <v>0.75</v>
      </c>
      <c r="CJ30" s="635">
        <v>71428.97</v>
      </c>
      <c r="CK30" s="636">
        <f t="shared" si="32"/>
        <v>0.67905780440514563</v>
      </c>
      <c r="CL30" s="639">
        <v>91010.68</v>
      </c>
      <c r="CM30" s="639">
        <f t="shared" si="33"/>
        <v>63707.475999999988</v>
      </c>
      <c r="CN30" s="633">
        <v>0.7</v>
      </c>
      <c r="CO30" s="635">
        <v>59733.22</v>
      </c>
      <c r="CP30" s="636">
        <f t="shared" si="34"/>
        <v>0.65633198213660204</v>
      </c>
      <c r="CQ30" s="639">
        <v>92850.07</v>
      </c>
      <c r="CR30" s="639">
        <f t="shared" si="35"/>
        <v>27855.021000000001</v>
      </c>
      <c r="CS30" s="633">
        <v>0.3</v>
      </c>
      <c r="CT30" s="638">
        <v>61630.07</v>
      </c>
      <c r="CU30" s="636">
        <f t="shared" si="36"/>
        <v>0.6637590041666096</v>
      </c>
      <c r="CV30" s="656">
        <f t="shared" si="37"/>
        <v>261856.37969999999</v>
      </c>
      <c r="CW30" s="656">
        <f t="shared" si="38"/>
        <v>400515.71</v>
      </c>
      <c r="CX30" s="657">
        <f t="shared" si="39"/>
        <v>255019.55000000002</v>
      </c>
      <c r="CY30" s="654">
        <f t="shared" si="40"/>
        <v>0.63672795756251355</v>
      </c>
      <c r="CZ30" s="645">
        <v>135714.71</v>
      </c>
      <c r="DA30" s="639">
        <f t="shared" si="41"/>
        <v>67857.354999999996</v>
      </c>
      <c r="DB30" s="633">
        <v>0.5</v>
      </c>
      <c r="DC30" s="635">
        <v>99768.33</v>
      </c>
      <c r="DD30" s="636">
        <f t="shared" si="42"/>
        <v>0.73513276490072454</v>
      </c>
      <c r="DE30" s="639">
        <v>97260.9</v>
      </c>
      <c r="DF30" s="639">
        <f t="shared" si="43"/>
        <v>72945.674999999988</v>
      </c>
      <c r="DG30" s="633">
        <v>0.75</v>
      </c>
      <c r="DH30" s="635">
        <v>101069.84</v>
      </c>
      <c r="DI30" s="636">
        <f t="shared" si="44"/>
        <v>1.0391620887735977</v>
      </c>
      <c r="DJ30" s="639">
        <v>88795.07</v>
      </c>
      <c r="DK30" s="639">
        <f t="shared" si="45"/>
        <v>62156.548999999999</v>
      </c>
      <c r="DL30" s="633">
        <v>0.7</v>
      </c>
      <c r="DM30" s="635">
        <v>62245.29</v>
      </c>
      <c r="DN30" s="636">
        <f t="shared" si="46"/>
        <v>0.70099939106979692</v>
      </c>
      <c r="DO30" s="639">
        <v>88916.03</v>
      </c>
      <c r="DP30" s="639">
        <f>DO30*DQ30</f>
        <v>62330.082886343793</v>
      </c>
      <c r="DQ30" s="633">
        <v>0.70099939106979692</v>
      </c>
      <c r="DR30" s="635">
        <v>64418.3</v>
      </c>
      <c r="DS30" s="636">
        <f t="shared" si="48"/>
        <v>0.72448466266431377</v>
      </c>
      <c r="DT30" s="656">
        <f t="shared" si="49"/>
        <v>265289.66188634379</v>
      </c>
      <c r="DU30" s="656">
        <f t="shared" si="50"/>
        <v>410686.70999999996</v>
      </c>
      <c r="DV30" s="657">
        <f t="shared" si="51"/>
        <v>327501.76</v>
      </c>
      <c r="DW30" s="654">
        <f t="shared" si="52"/>
        <v>0.79744913099330639</v>
      </c>
      <c r="DX30" s="645">
        <v>104288.78</v>
      </c>
      <c r="DY30" s="639">
        <f t="shared" si="53"/>
        <v>75555.621597972829</v>
      </c>
      <c r="DZ30" s="633">
        <v>0.72448466266431377</v>
      </c>
      <c r="EA30" s="635">
        <f>'Vtas Diarias 2021'!AG31</f>
        <v>74016.010000000009</v>
      </c>
      <c r="EB30" s="636">
        <f t="shared" si="54"/>
        <v>0.70972169777036431</v>
      </c>
      <c r="EC30" s="639">
        <v>126119.55</v>
      </c>
      <c r="ED30" s="639">
        <f t="shared" si="146"/>
        <v>89509.781148034352</v>
      </c>
      <c r="EE30" s="633">
        <v>0.70972169777036431</v>
      </c>
      <c r="EF30" s="635">
        <f>'Vtas Diarias 2021'!BM31</f>
        <v>70903.709999999992</v>
      </c>
      <c r="EG30" s="636">
        <f t="shared" si="56"/>
        <v>0.56219444170233712</v>
      </c>
      <c r="EH30" s="639">
        <v>119662.67</v>
      </c>
      <c r="EI30" s="639">
        <f t="shared" si="147"/>
        <v>95730.135999999999</v>
      </c>
      <c r="EJ30" s="633">
        <v>0.8</v>
      </c>
      <c r="EK30" s="635">
        <f>'Vtas Diarias 2021'!CS31</f>
        <v>79518.209999999992</v>
      </c>
      <c r="EL30" s="636">
        <f t="shared" si="58"/>
        <v>0.66451977045138633</v>
      </c>
      <c r="EM30" s="639">
        <v>121351.86</v>
      </c>
      <c r="EN30" s="639">
        <f t="shared" si="148"/>
        <v>97081.488000000012</v>
      </c>
      <c r="EO30" s="633">
        <v>0.8</v>
      </c>
      <c r="EP30" s="635">
        <f>'Vtas Diarias 2021'!DY31</f>
        <v>75149.649999999994</v>
      </c>
      <c r="EQ30" s="636">
        <f t="shared" si="60"/>
        <v>0.61927068938209928</v>
      </c>
      <c r="ER30" s="639">
        <v>121123.05</v>
      </c>
      <c r="ES30" s="639">
        <f t="shared" si="149"/>
        <v>72673.83</v>
      </c>
      <c r="ET30" s="633">
        <v>0.6</v>
      </c>
      <c r="EU30" s="635">
        <f>'Vtas Diarias 2021'!FE31</f>
        <v>85444.51</v>
      </c>
      <c r="EV30" s="636">
        <f t="shared" si="62"/>
        <v>0.70543558802391448</v>
      </c>
      <c r="EW30" s="661">
        <f t="shared" si="63"/>
        <v>430550.85674600722</v>
      </c>
      <c r="EX30" s="956">
        <f t="shared" si="64"/>
        <v>592545.91</v>
      </c>
      <c r="EY30" s="662">
        <f t="shared" si="65"/>
        <v>385032.08999999997</v>
      </c>
      <c r="EZ30" s="654">
        <f t="shared" si="66"/>
        <v>0.6497928405243738</v>
      </c>
      <c r="FA30" s="645">
        <v>116043.12</v>
      </c>
      <c r="FB30" s="639">
        <f t="shared" si="150"/>
        <v>81230.183999999994</v>
      </c>
      <c r="FC30" s="633">
        <v>0.7</v>
      </c>
      <c r="FD30" s="635">
        <f>'Vtas Diarias 2021'!GK31</f>
        <v>88458.81</v>
      </c>
      <c r="FE30" s="636">
        <f t="shared" si="68"/>
        <v>0.76229258572158354</v>
      </c>
      <c r="FF30" s="639">
        <v>119034.43</v>
      </c>
      <c r="FG30" s="639">
        <f t="shared" si="151"/>
        <v>90466.166799999992</v>
      </c>
      <c r="FH30" s="633">
        <v>0.76</v>
      </c>
      <c r="FI30" s="635">
        <f>'Vtas Diarias 2021'!HQ31</f>
        <v>96302.17</v>
      </c>
      <c r="FJ30" s="636">
        <f t="shared" si="70"/>
        <v>0.80902785857839621</v>
      </c>
      <c r="FK30" s="639">
        <v>96602</v>
      </c>
      <c r="FL30" s="639">
        <f t="shared" si="152"/>
        <v>73417.52</v>
      </c>
      <c r="FM30" s="633">
        <v>0.76</v>
      </c>
      <c r="FN30" s="635">
        <f>'Vtas Diarias 2021'!IW31</f>
        <v>86646.69</v>
      </c>
      <c r="FO30" s="636">
        <f t="shared" si="72"/>
        <v>0.89694509430446578</v>
      </c>
      <c r="FP30" s="639">
        <v>102403.46</v>
      </c>
      <c r="FQ30" s="639">
        <f t="shared" si="153"/>
        <v>78850.664200000014</v>
      </c>
      <c r="FR30" s="633">
        <v>0.77</v>
      </c>
      <c r="FS30" s="635">
        <f>'Vtas Diarias 2021'!KC31</f>
        <v>83187.210000000006</v>
      </c>
      <c r="FT30" s="636">
        <f t="shared" si="74"/>
        <v>0.81234764919075975</v>
      </c>
      <c r="FU30" s="661">
        <f t="shared" si="75"/>
        <v>323964.53500000003</v>
      </c>
      <c r="FV30" s="661">
        <f t="shared" si="76"/>
        <v>434083.01</v>
      </c>
      <c r="FW30" s="663">
        <f t="shared" si="77"/>
        <v>354594.88</v>
      </c>
      <c r="FX30" s="651">
        <f t="shared" si="78"/>
        <v>0.8168826510855608</v>
      </c>
      <c r="FY30" s="645">
        <v>90934.15</v>
      </c>
      <c r="FZ30" s="639">
        <f t="shared" si="154"/>
        <v>71837.978499999997</v>
      </c>
      <c r="GA30" s="633">
        <v>0.79</v>
      </c>
      <c r="GB30" s="635">
        <f>'Vtas Diarias 2021'!LI31</f>
        <v>72279.909999999989</v>
      </c>
      <c r="GC30" s="636">
        <f t="shared" si="80"/>
        <v>0.79485990686667218</v>
      </c>
      <c r="GD30" s="639">
        <v>109651.18</v>
      </c>
      <c r="GE30" s="639">
        <f t="shared" si="155"/>
        <v>87720.944000000003</v>
      </c>
      <c r="GF30" s="812">
        <v>0.8</v>
      </c>
      <c r="GG30" s="635">
        <f>'Vtas Diarias 2021'!MO31</f>
        <v>68264.990000000005</v>
      </c>
      <c r="GH30" s="636">
        <f t="shared" si="82"/>
        <v>0.62256502848396167</v>
      </c>
      <c r="GI30" s="639">
        <v>98274.36</v>
      </c>
      <c r="GJ30" s="639">
        <f t="shared" si="156"/>
        <v>78619.488000000012</v>
      </c>
      <c r="GK30" s="633">
        <v>0.8</v>
      </c>
      <c r="GL30" s="635">
        <f>'Vtas Diarias 2021'!NU31</f>
        <v>62255.61</v>
      </c>
      <c r="GM30" s="636">
        <f t="shared" si="84"/>
        <v>0.63348781920329977</v>
      </c>
      <c r="GN30" s="639">
        <v>86956.58</v>
      </c>
      <c r="GO30" s="639">
        <f t="shared" si="159"/>
        <v>61739.171799999996</v>
      </c>
      <c r="GP30" s="812">
        <v>0.71</v>
      </c>
      <c r="GQ30" s="635">
        <f>'Vtas Diarias 2021'!PA31</f>
        <v>60363.640000000007</v>
      </c>
      <c r="GR30" s="636">
        <f>GQ30/GN30</f>
        <v>0.69418139489846553</v>
      </c>
      <c r="GS30" s="661">
        <f t="shared" si="86"/>
        <v>299917.58230000001</v>
      </c>
      <c r="GT30" s="661">
        <f t="shared" si="87"/>
        <v>385816.27</v>
      </c>
      <c r="GU30" s="662">
        <f t="shared" si="88"/>
        <v>263164.14999999997</v>
      </c>
      <c r="GV30" s="1598">
        <f t="shared" si="89"/>
        <v>0.68209707693249932</v>
      </c>
      <c r="GW30" s="645">
        <v>97061</v>
      </c>
      <c r="GX30" s="639">
        <f t="shared" si="160"/>
        <v>76678.19</v>
      </c>
      <c r="GY30" s="633">
        <v>0.79</v>
      </c>
      <c r="GZ30" s="635">
        <f>'Vtas Diarias 2021'!QG31</f>
        <v>56366.43</v>
      </c>
      <c r="HA30" s="636">
        <f t="shared" si="91"/>
        <v>0.58073201388817342</v>
      </c>
      <c r="HB30" s="639">
        <v>101741.33</v>
      </c>
      <c r="HC30" s="639">
        <f t="shared" si="161"/>
        <v>81393.064000000013</v>
      </c>
      <c r="HD30" s="633">
        <v>0.8</v>
      </c>
      <c r="HE30" s="635">
        <f>'Vtas Diarias 2021'!RM31</f>
        <v>63992.45</v>
      </c>
      <c r="HF30" s="636">
        <f t="shared" si="93"/>
        <v>0.62897202149804798</v>
      </c>
      <c r="HG30" s="639">
        <v>98872.13</v>
      </c>
      <c r="HH30" s="639">
        <f t="shared" si="162"/>
        <v>79097.704000000012</v>
      </c>
      <c r="HI30" s="633">
        <v>0.8</v>
      </c>
      <c r="HJ30" s="635">
        <f>'Vtas Diarias 2021'!SS31</f>
        <v>81620.23</v>
      </c>
      <c r="HK30" s="636">
        <f t="shared" si="95"/>
        <v>0.82551301362679241</v>
      </c>
      <c r="HL30" s="639">
        <v>82390.460000000006</v>
      </c>
      <c r="HM30" s="639">
        <f t="shared" si="163"/>
        <v>65088.463400000008</v>
      </c>
      <c r="HN30" s="633">
        <v>0.79</v>
      </c>
      <c r="HO30" s="635">
        <f>'Vtas Diarias 2021'!TY31</f>
        <v>77053.25</v>
      </c>
      <c r="HP30" s="1529">
        <f t="shared" si="97"/>
        <v>0.93522053402784733</v>
      </c>
      <c r="HQ30" s="639">
        <v>93190.48</v>
      </c>
      <c r="HR30" s="639">
        <f t="shared" si="164"/>
        <v>73620.479200000002</v>
      </c>
      <c r="HS30" s="633">
        <v>0.79</v>
      </c>
      <c r="HT30" s="635">
        <f>'Vtas Diarias 2021'!VE31</f>
        <v>83745.570000000007</v>
      </c>
      <c r="HU30" s="636">
        <f t="shared" si="99"/>
        <v>0.89864941139910437</v>
      </c>
      <c r="HV30" s="661">
        <f t="shared" si="100"/>
        <v>375877.90060000005</v>
      </c>
      <c r="HW30" s="661">
        <f t="shared" si="101"/>
        <v>473255.4</v>
      </c>
      <c r="HX30" s="663">
        <f t="shared" si="102"/>
        <v>362777.93</v>
      </c>
      <c r="HY30" s="651">
        <f t="shared" si="103"/>
        <v>0.76655845870961004</v>
      </c>
      <c r="HZ30" s="645">
        <v>80124.89</v>
      </c>
      <c r="IA30" s="639">
        <f t="shared" si="165"/>
        <v>72112.400999999998</v>
      </c>
      <c r="IB30" s="633">
        <v>0.9</v>
      </c>
      <c r="IC30" s="635">
        <f>'Vtas Diarias 2021'!WK31</f>
        <v>91041.450000000012</v>
      </c>
      <c r="ID30" s="636">
        <f t="shared" si="142"/>
        <v>1.1362443056084073</v>
      </c>
      <c r="IE30" s="639">
        <v>93965.36</v>
      </c>
      <c r="IF30" s="639">
        <f t="shared" si="166"/>
        <v>86448.131200000003</v>
      </c>
      <c r="IG30" s="633">
        <v>0.92</v>
      </c>
      <c r="IH30" s="635">
        <f>'Vtas Diarias 2021'!XQ31</f>
        <v>82381.679999999993</v>
      </c>
      <c r="II30" s="636">
        <f t="shared" si="106"/>
        <v>0.87672393316004948</v>
      </c>
      <c r="IJ30" s="639">
        <v>87512.37</v>
      </c>
      <c r="IK30" s="639">
        <f t="shared" si="167"/>
        <v>83136.751499999998</v>
      </c>
      <c r="IL30" s="633">
        <v>0.95</v>
      </c>
      <c r="IM30" s="635">
        <f>'Vtas Diarias 2021'!YW31</f>
        <v>85755.61</v>
      </c>
      <c r="IN30" s="636">
        <f t="shared" si="108"/>
        <v>0.97992558080646208</v>
      </c>
      <c r="IO30" s="639">
        <v>87455.95</v>
      </c>
      <c r="IP30" s="639">
        <f t="shared" si="168"/>
        <v>85706.830999999991</v>
      </c>
      <c r="IQ30" s="633">
        <v>0.98</v>
      </c>
      <c r="IR30" s="635">
        <f>'Vtas Diarias 2021'!AAC31</f>
        <v>100807.78</v>
      </c>
      <c r="IS30" s="636">
        <f t="shared" si="110"/>
        <v>1.1526692008948505</v>
      </c>
      <c r="IT30" s="1577">
        <f t="shared" si="111"/>
        <v>327404.11469999998</v>
      </c>
      <c r="IU30" s="1577">
        <f t="shared" si="112"/>
        <v>349058.57</v>
      </c>
      <c r="IV30" s="1578">
        <f t="shared" si="113"/>
        <v>359986.52</v>
      </c>
      <c r="IW30" s="654">
        <f t="shared" si="114"/>
        <v>1.0313069236489452</v>
      </c>
      <c r="IX30" s="645">
        <v>76793.69</v>
      </c>
      <c r="IY30" s="639">
        <f t="shared" si="169"/>
        <v>75257.816200000001</v>
      </c>
      <c r="IZ30" s="633">
        <v>0.98</v>
      </c>
      <c r="JA30" s="635">
        <f>'Vtas Diarias 2021'!ABI31</f>
        <v>86440.47</v>
      </c>
      <c r="JB30" s="636">
        <f t="shared" si="116"/>
        <v>1.1256194356593621</v>
      </c>
      <c r="JC30" s="639">
        <v>100681.88</v>
      </c>
      <c r="JD30" s="639">
        <f t="shared" si="170"/>
        <v>101688.69880000001</v>
      </c>
      <c r="JE30" s="633">
        <v>1.01</v>
      </c>
      <c r="JF30" s="635">
        <f>'Vtas Diarias 2021'!ACO31</f>
        <v>108556.04999999999</v>
      </c>
      <c r="JG30" s="636">
        <f t="shared" si="118"/>
        <v>1.0782084124770017</v>
      </c>
      <c r="JH30" s="639">
        <v>105664.99</v>
      </c>
      <c r="JI30" s="639">
        <f t="shared" si="171"/>
        <v>106721.63990000001</v>
      </c>
      <c r="JJ30" s="633">
        <v>1.01</v>
      </c>
      <c r="JK30" s="635">
        <f>'Vtas Diarias 2021'!ADU31</f>
        <v>104336.23</v>
      </c>
      <c r="JL30" s="636">
        <f t="shared" si="120"/>
        <v>0.9874247846898011</v>
      </c>
      <c r="JM30" s="639">
        <v>118699.84</v>
      </c>
      <c r="JN30" s="639">
        <f t="shared" si="172"/>
        <v>119886.83839999999</v>
      </c>
      <c r="JO30" s="633">
        <v>1.01</v>
      </c>
      <c r="JP30" s="635">
        <f>'Vtas Diarias 2021'!AFA31</f>
        <v>91998.709999999992</v>
      </c>
      <c r="JQ30" s="636">
        <f t="shared" si="122"/>
        <v>0.77505336148726056</v>
      </c>
      <c r="JR30" s="636">
        <f t="shared" si="122"/>
        <v>6.4648744752222991E-6</v>
      </c>
      <c r="JS30" s="1577">
        <f t="shared" si="123"/>
        <v>403554.99330000003</v>
      </c>
      <c r="JT30" s="1577">
        <f t="shared" si="124"/>
        <v>401840.4</v>
      </c>
      <c r="JU30" s="1582">
        <f t="shared" si="125"/>
        <v>391331.46</v>
      </c>
      <c r="JV30" s="651">
        <f t="shared" si="126"/>
        <v>0.97384797546488611</v>
      </c>
      <c r="JW30" s="645">
        <v>128464.32000000001</v>
      </c>
      <c r="JX30" s="639">
        <f t="shared" si="173"/>
        <v>122041.10400000001</v>
      </c>
      <c r="JY30" s="633">
        <v>0.95</v>
      </c>
      <c r="JZ30" s="635">
        <f>'Vtas Diarias 2021'!AGG31</f>
        <v>131476.23000000001</v>
      </c>
      <c r="KA30" s="636">
        <f t="shared" si="128"/>
        <v>1.0234454983298087</v>
      </c>
      <c r="KB30" s="639">
        <v>159984</v>
      </c>
      <c r="KC30" s="639">
        <f t="shared" si="174"/>
        <v>151984.79999999999</v>
      </c>
      <c r="KD30" s="633">
        <v>0.95</v>
      </c>
      <c r="KE30" s="635">
        <f>'Vtas Diarias 2021'!AHM31</f>
        <v>143720.94</v>
      </c>
      <c r="KF30" s="636">
        <f t="shared" si="130"/>
        <v>0.89834570957095716</v>
      </c>
      <c r="KG30" s="639">
        <v>235357.98</v>
      </c>
      <c r="KH30" s="639">
        <f t="shared" si="175"/>
        <v>225943.66080000001</v>
      </c>
      <c r="KI30" s="633">
        <v>0.96</v>
      </c>
      <c r="KJ30" s="635">
        <f>'Vtas Diarias 2021'!AIS31</f>
        <v>199529.19999999998</v>
      </c>
      <c r="KK30" s="636">
        <f t="shared" si="132"/>
        <v>0.84776900277611145</v>
      </c>
      <c r="KL30" s="639">
        <v>199060.71</v>
      </c>
      <c r="KM30" s="1601">
        <f t="shared" si="176"/>
        <v>322478.35019999999</v>
      </c>
      <c r="KN30" s="1615">
        <v>1.62</v>
      </c>
      <c r="KO30" s="1603">
        <f>'Vtas Diarias 2021'!AJY31</f>
        <v>245102.56</v>
      </c>
      <c r="KP30" s="636">
        <f t="shared" si="134"/>
        <v>1.2312955178347349</v>
      </c>
      <c r="KQ30" s="639">
        <v>97120.23</v>
      </c>
      <c r="KR30" s="1601">
        <f t="shared" si="177"/>
        <v>102947.44379999999</v>
      </c>
      <c r="KS30" s="1616">
        <v>1.06</v>
      </c>
      <c r="KT30" s="1602">
        <f>'Vtas Diarias 2021'!ALE31</f>
        <v>123634.22</v>
      </c>
      <c r="KU30" s="636">
        <f t="shared" si="136"/>
        <v>1.2730017216804368</v>
      </c>
      <c r="KV30" s="1577">
        <f t="shared" si="137"/>
        <v>925395.35880000005</v>
      </c>
      <c r="KW30" s="1577">
        <f t="shared" si="178"/>
        <v>819987.24</v>
      </c>
      <c r="KX30" s="1578">
        <f t="shared" si="3"/>
        <v>843463.14999999991</v>
      </c>
      <c r="KY30" s="959">
        <f t="shared" si="138"/>
        <v>1.0286296040411556</v>
      </c>
      <c r="KZ30" s="1508">
        <f t="shared" si="143"/>
        <v>5436656.4300000016</v>
      </c>
      <c r="LA30" s="811">
        <f t="shared" si="144"/>
        <v>4355781.3773999996</v>
      </c>
      <c r="LB30" s="1509">
        <f t="shared" si="139"/>
        <v>5436656.4300000006</v>
      </c>
      <c r="LC30" s="811">
        <f t="shared" si="140"/>
        <v>4281108.07</v>
      </c>
      <c r="LD30" s="1575">
        <f t="shared" si="4"/>
        <v>-1155548.3600000003</v>
      </c>
      <c r="LE30" s="1594">
        <f t="shared" si="141"/>
        <v>0.78745238458998945</v>
      </c>
      <c r="LF30" s="1573">
        <f t="shared" si="145"/>
        <v>0.80118753750271443</v>
      </c>
    </row>
    <row r="31" spans="1:320" ht="15" customHeight="1">
      <c r="A31" s="1495"/>
      <c r="B31" s="685" t="s">
        <v>231</v>
      </c>
      <c r="C31" s="645">
        <v>33290.339999999997</v>
      </c>
      <c r="D31" s="639">
        <v>34954.85</v>
      </c>
      <c r="E31" s="633">
        <v>1.05</v>
      </c>
      <c r="F31" s="635">
        <v>10206.799999999999</v>
      </c>
      <c r="G31" s="636">
        <f t="shared" si="5"/>
        <v>0.30659945197315497</v>
      </c>
      <c r="H31" s="639">
        <v>32173.85</v>
      </c>
      <c r="I31" s="639">
        <v>33782.54</v>
      </c>
      <c r="J31" s="633">
        <v>1.05</v>
      </c>
      <c r="K31" s="638">
        <v>13432.96</v>
      </c>
      <c r="L31" s="636">
        <f t="shared" si="6"/>
        <v>0.41751173701624145</v>
      </c>
      <c r="M31" s="639">
        <v>21967.39</v>
      </c>
      <c r="N31" s="639">
        <v>23065.759999999998</v>
      </c>
      <c r="O31" s="633">
        <v>1.05</v>
      </c>
      <c r="P31" s="635">
        <v>12613.18</v>
      </c>
      <c r="Q31" s="636">
        <f t="shared" si="7"/>
        <v>0.57417745121291153</v>
      </c>
      <c r="R31" s="639">
        <v>19827.310000000001</v>
      </c>
      <c r="S31" s="639">
        <v>20818.68</v>
      </c>
      <c r="T31" s="633" t="s">
        <v>513</v>
      </c>
      <c r="U31" s="638">
        <v>9618.66</v>
      </c>
      <c r="V31" s="636">
        <f t="shared" si="8"/>
        <v>0.48512178404433076</v>
      </c>
      <c r="W31" s="639">
        <f t="shared" si="157"/>
        <v>112621.82999999999</v>
      </c>
      <c r="X31" s="639">
        <f t="shared" si="158"/>
        <v>107258.88999999998</v>
      </c>
      <c r="Y31" s="666">
        <f t="shared" si="9"/>
        <v>45871.600000000006</v>
      </c>
      <c r="Z31" s="646">
        <f t="shared" si="10"/>
        <v>0.42767177620428493</v>
      </c>
      <c r="AA31" s="645">
        <v>34040.660000000003</v>
      </c>
      <c r="AB31" s="639">
        <v>35742.69</v>
      </c>
      <c r="AC31" s="633">
        <v>1.05</v>
      </c>
      <c r="AD31" s="635">
        <v>14528.83</v>
      </c>
      <c r="AE31" s="636">
        <f t="shared" si="11"/>
        <v>0.42680811711641309</v>
      </c>
      <c r="AF31" s="639">
        <v>66827.81</v>
      </c>
      <c r="AG31" s="639">
        <v>70169.2</v>
      </c>
      <c r="AH31" s="633">
        <v>1.05</v>
      </c>
      <c r="AI31" s="638">
        <v>19000.72</v>
      </c>
      <c r="AJ31" s="636">
        <f t="shared" si="12"/>
        <v>0.28432354733755305</v>
      </c>
      <c r="AK31" s="639">
        <v>35614.17</v>
      </c>
      <c r="AL31" s="639">
        <v>37394.879999999997</v>
      </c>
      <c r="AM31" s="633">
        <v>1.05</v>
      </c>
      <c r="AN31" s="635">
        <v>11321.59</v>
      </c>
      <c r="AO31" s="636">
        <f t="shared" si="13"/>
        <v>0.31789565782383811</v>
      </c>
      <c r="AP31" s="639">
        <v>40395.15</v>
      </c>
      <c r="AQ31" s="639">
        <v>42414.91</v>
      </c>
      <c r="AR31" s="633">
        <v>1.05</v>
      </c>
      <c r="AS31" s="638"/>
      <c r="AT31" s="636" t="s">
        <v>513</v>
      </c>
      <c r="AU31" s="639">
        <f t="shared" si="14"/>
        <v>185721.68</v>
      </c>
      <c r="AV31" s="639">
        <f t="shared" si="15"/>
        <v>176877.79</v>
      </c>
      <c r="AW31" s="778">
        <f t="shared" si="16"/>
        <v>44851.14</v>
      </c>
      <c r="AX31" s="665">
        <f t="shared" si="17"/>
        <v>0.25357135002647874</v>
      </c>
      <c r="AY31" s="645">
        <v>32731.82</v>
      </c>
      <c r="AZ31" s="639">
        <v>34368.410000000003</v>
      </c>
      <c r="BA31" s="633" t="s">
        <v>513</v>
      </c>
      <c r="BB31" s="635"/>
      <c r="BC31" s="636">
        <f t="shared" si="18"/>
        <v>0</v>
      </c>
      <c r="BD31" s="639">
        <v>36932.160000000003</v>
      </c>
      <c r="BE31" s="639">
        <v>38778.769999999997</v>
      </c>
      <c r="BF31" s="633" t="s">
        <v>513</v>
      </c>
      <c r="BG31" s="638"/>
      <c r="BH31" s="636">
        <f t="shared" si="19"/>
        <v>0</v>
      </c>
      <c r="BI31" s="639">
        <v>54162.9</v>
      </c>
      <c r="BJ31" s="639">
        <v>21665.16</v>
      </c>
      <c r="BK31" s="633" t="s">
        <v>513</v>
      </c>
      <c r="BL31" s="635">
        <v>8394.66</v>
      </c>
      <c r="BM31" s="636">
        <f t="shared" si="20"/>
        <v>0.15498911616623187</v>
      </c>
      <c r="BN31" s="639">
        <v>54526.42</v>
      </c>
      <c r="BO31" s="639">
        <f t="shared" si="21"/>
        <v>16357.925999999999</v>
      </c>
      <c r="BP31" s="633">
        <v>0.3</v>
      </c>
      <c r="BQ31" s="638">
        <v>19064.89</v>
      </c>
      <c r="BR31" s="636">
        <f t="shared" si="22"/>
        <v>0.34964499778272623</v>
      </c>
      <c r="BS31" s="639">
        <v>59621.02</v>
      </c>
      <c r="BT31" s="639">
        <f t="shared" si="23"/>
        <v>17886.305999999997</v>
      </c>
      <c r="BU31" s="633">
        <v>0.3</v>
      </c>
      <c r="BV31" s="635">
        <v>18394.32</v>
      </c>
      <c r="BW31" s="636">
        <f t="shared" si="24"/>
        <v>0.30852071970590239</v>
      </c>
      <c r="BX31" s="661">
        <f t="shared" si="25"/>
        <v>129056.572</v>
      </c>
      <c r="BY31" s="661">
        <f t="shared" si="26"/>
        <v>237974.31999999998</v>
      </c>
      <c r="BZ31" s="663">
        <f t="shared" si="27"/>
        <v>45853.869999999995</v>
      </c>
      <c r="CA31" s="651">
        <f t="shared" si="28"/>
        <v>0.19268410978125708</v>
      </c>
      <c r="CB31" s="645">
        <v>51385.74</v>
      </c>
      <c r="CC31" s="639">
        <f t="shared" si="29"/>
        <v>42136.306799999998</v>
      </c>
      <c r="CD31" s="633">
        <v>0.82</v>
      </c>
      <c r="CE31" s="635">
        <v>15602.16</v>
      </c>
      <c r="CF31" s="636">
        <f t="shared" si="30"/>
        <v>0.30362820502341703</v>
      </c>
      <c r="CG31" s="639">
        <v>52002.92</v>
      </c>
      <c r="CH31" s="639">
        <f t="shared" si="31"/>
        <v>39002.19</v>
      </c>
      <c r="CI31" s="633">
        <v>0.75</v>
      </c>
      <c r="CJ31" s="635">
        <v>14268.02</v>
      </c>
      <c r="CK31" s="636">
        <f t="shared" si="32"/>
        <v>0.27436959309208026</v>
      </c>
      <c r="CL31" s="639">
        <v>28950.21</v>
      </c>
      <c r="CM31" s="639">
        <f t="shared" si="33"/>
        <v>14475.105</v>
      </c>
      <c r="CN31" s="633">
        <v>0.5</v>
      </c>
      <c r="CO31" s="635">
        <v>16492.79</v>
      </c>
      <c r="CP31" s="636">
        <f t="shared" si="34"/>
        <v>0.56969500393952244</v>
      </c>
      <c r="CQ31" s="639">
        <v>37998.79</v>
      </c>
      <c r="CR31" s="639">
        <f t="shared" si="35"/>
        <v>11399.637000000001</v>
      </c>
      <c r="CS31" s="633">
        <v>0.3</v>
      </c>
      <c r="CT31" s="638">
        <v>17986.43</v>
      </c>
      <c r="CU31" s="636">
        <f t="shared" si="36"/>
        <v>0.47334217747459856</v>
      </c>
      <c r="CV31" s="656">
        <f t="shared" si="37"/>
        <v>107013.23879999999</v>
      </c>
      <c r="CW31" s="656">
        <f t="shared" si="38"/>
        <v>170337.66</v>
      </c>
      <c r="CX31" s="657">
        <f t="shared" si="39"/>
        <v>64349.400000000009</v>
      </c>
      <c r="CY31" s="654">
        <f t="shared" si="40"/>
        <v>0.37777553125949953</v>
      </c>
      <c r="CZ31" s="645">
        <v>67684.350000000006</v>
      </c>
      <c r="DA31" s="639">
        <f t="shared" si="41"/>
        <v>20305.305</v>
      </c>
      <c r="DB31" s="633">
        <v>0.3</v>
      </c>
      <c r="DC31" s="635">
        <v>35307.339999999997</v>
      </c>
      <c r="DD31" s="636">
        <f t="shared" si="42"/>
        <v>0.52164702771024607</v>
      </c>
      <c r="DE31" s="639">
        <v>40468.76</v>
      </c>
      <c r="DF31" s="639">
        <f t="shared" si="43"/>
        <v>21043.755200000003</v>
      </c>
      <c r="DG31" s="633">
        <v>0.52</v>
      </c>
      <c r="DH31" s="635">
        <v>30234.43</v>
      </c>
      <c r="DI31" s="636">
        <f t="shared" si="44"/>
        <v>0.7471054215646834</v>
      </c>
      <c r="DJ31" s="639">
        <v>40919.71</v>
      </c>
      <c r="DK31" s="639">
        <f t="shared" si="45"/>
        <v>24551.825999999997</v>
      </c>
      <c r="DL31" s="633">
        <v>0.6</v>
      </c>
      <c r="DM31" s="635">
        <v>17365.32</v>
      </c>
      <c r="DN31" s="636">
        <f t="shared" si="46"/>
        <v>0.42437544156593487</v>
      </c>
      <c r="DO31" s="639">
        <v>28587.48</v>
      </c>
      <c r="DP31" s="639">
        <f t="shared" si="47"/>
        <v>12131.824448257332</v>
      </c>
      <c r="DQ31" s="633">
        <v>0.42437544156593487</v>
      </c>
      <c r="DR31" s="635">
        <v>14999.14</v>
      </c>
      <c r="DS31" s="636">
        <f t="shared" si="48"/>
        <v>0.52467513750774808</v>
      </c>
      <c r="DT31" s="656">
        <f t="shared" si="49"/>
        <v>78032.710648257344</v>
      </c>
      <c r="DU31" s="656">
        <f t="shared" si="50"/>
        <v>177660.30000000002</v>
      </c>
      <c r="DV31" s="657">
        <f t="shared" si="51"/>
        <v>97906.229999999981</v>
      </c>
      <c r="DW31" s="654">
        <f t="shared" si="52"/>
        <v>0.5510867087357163</v>
      </c>
      <c r="DX31" s="645">
        <v>38702.29</v>
      </c>
      <c r="DY31" s="639">
        <f t="shared" si="53"/>
        <v>20306.129327614744</v>
      </c>
      <c r="DZ31" s="633">
        <v>0.52467513750774808</v>
      </c>
      <c r="EA31" s="635">
        <f>'Vtas Diarias 2021'!AG32</f>
        <v>17819.689999999999</v>
      </c>
      <c r="EB31" s="636">
        <f t="shared" si="54"/>
        <v>0.46042986086869792</v>
      </c>
      <c r="EC31" s="639">
        <v>34535.58</v>
      </c>
      <c r="ED31" s="639">
        <f t="shared" si="146"/>
        <v>14850.2994</v>
      </c>
      <c r="EE31" s="633">
        <v>0.43</v>
      </c>
      <c r="EF31" s="635">
        <f>'Vtas Diarias 2021'!BM32</f>
        <v>18990.719999999998</v>
      </c>
      <c r="EG31" s="636">
        <f t="shared" si="56"/>
        <v>0.54988854972176515</v>
      </c>
      <c r="EH31" s="639">
        <v>35267.89</v>
      </c>
      <c r="EI31" s="639">
        <f t="shared" si="147"/>
        <v>17633.945</v>
      </c>
      <c r="EJ31" s="633">
        <v>0.5</v>
      </c>
      <c r="EK31" s="635">
        <f>'Vtas Diarias 2021'!CS32</f>
        <v>21151.79</v>
      </c>
      <c r="EL31" s="636">
        <f t="shared" si="58"/>
        <v>0.59974639821095055</v>
      </c>
      <c r="EM31" s="639">
        <v>34005.379999999997</v>
      </c>
      <c r="EN31" s="639">
        <f t="shared" si="148"/>
        <v>17002.689999999999</v>
      </c>
      <c r="EO31" s="633">
        <v>0.5</v>
      </c>
      <c r="EP31" s="635">
        <f>'Vtas Diarias 2021'!DY32</f>
        <v>16800.23</v>
      </c>
      <c r="EQ31" s="636">
        <f t="shared" si="60"/>
        <v>0.49404623621321098</v>
      </c>
      <c r="ER31" s="639">
        <v>38831.050000000003</v>
      </c>
      <c r="ES31" s="639">
        <f t="shared" si="149"/>
        <v>23298.63</v>
      </c>
      <c r="ET31" s="633">
        <v>0.6</v>
      </c>
      <c r="EU31" s="635">
        <f>'Vtas Diarias 2021'!FE32</f>
        <v>24539.439999999999</v>
      </c>
      <c r="EV31" s="636">
        <f t="shared" si="62"/>
        <v>0.63195406768552476</v>
      </c>
      <c r="EW31" s="661">
        <f t="shared" si="63"/>
        <v>93091.693727614751</v>
      </c>
      <c r="EX31" s="956">
        <f t="shared" si="64"/>
        <v>181342.19</v>
      </c>
      <c r="EY31" s="662">
        <f t="shared" si="65"/>
        <v>99301.87</v>
      </c>
      <c r="EZ31" s="654">
        <f t="shared" si="66"/>
        <v>0.54759386108660091</v>
      </c>
      <c r="FA31" s="645">
        <v>35929.19</v>
      </c>
      <c r="FB31" s="639">
        <f t="shared" si="150"/>
        <v>25150.433000000001</v>
      </c>
      <c r="FC31" s="633">
        <v>0.7</v>
      </c>
      <c r="FD31" s="635">
        <f>'Vtas Diarias 2021'!GK32</f>
        <v>20239.96</v>
      </c>
      <c r="FE31" s="636">
        <f t="shared" si="68"/>
        <v>0.5633291482496543</v>
      </c>
      <c r="FF31" s="639">
        <v>39788.629999999997</v>
      </c>
      <c r="FG31" s="639">
        <f t="shared" si="151"/>
        <v>30239.358799999998</v>
      </c>
      <c r="FH31" s="633">
        <v>0.76</v>
      </c>
      <c r="FI31" s="635">
        <f>'Vtas Diarias 2021'!HQ32</f>
        <v>18614.260000000002</v>
      </c>
      <c r="FJ31" s="636">
        <f t="shared" si="70"/>
        <v>0.46782862340321851</v>
      </c>
      <c r="FK31" s="639">
        <v>29039.99</v>
      </c>
      <c r="FL31" s="639">
        <f t="shared" si="152"/>
        <v>22070.392400000001</v>
      </c>
      <c r="FM31" s="633">
        <v>0.76</v>
      </c>
      <c r="FN31" s="635">
        <f>'Vtas Diarias 2021'!IW32</f>
        <v>13726.53</v>
      </c>
      <c r="FO31" s="636">
        <f t="shared" si="72"/>
        <v>0.47267681566006048</v>
      </c>
      <c r="FP31" s="639">
        <v>33041.82</v>
      </c>
      <c r="FQ31" s="639">
        <f t="shared" si="153"/>
        <v>23129.273999999998</v>
      </c>
      <c r="FR31" s="633">
        <v>0.7</v>
      </c>
      <c r="FS31" s="635">
        <f>'Vtas Diarias 2021'!KC32</f>
        <v>12747.980000000001</v>
      </c>
      <c r="FT31" s="636">
        <f t="shared" si="74"/>
        <v>0.38581349332452031</v>
      </c>
      <c r="FU31" s="661">
        <f t="shared" si="75"/>
        <v>100589.45820000001</v>
      </c>
      <c r="FV31" s="661">
        <f t="shared" si="76"/>
        <v>137799.63</v>
      </c>
      <c r="FW31" s="663">
        <f t="shared" si="77"/>
        <v>65328.73</v>
      </c>
      <c r="FX31" s="651">
        <f t="shared" si="78"/>
        <v>0.47408494493054881</v>
      </c>
      <c r="FY31" s="645">
        <v>36080.14</v>
      </c>
      <c r="FZ31" s="639">
        <f t="shared" si="154"/>
        <v>27781.7078</v>
      </c>
      <c r="GA31" s="633">
        <v>0.77</v>
      </c>
      <c r="GB31" s="635">
        <f>'Vtas Diarias 2021'!LI32</f>
        <v>18120.199999999997</v>
      </c>
      <c r="GC31" s="636">
        <f t="shared" si="80"/>
        <v>0.50222088938679277</v>
      </c>
      <c r="GD31" s="639">
        <v>33032.870000000003</v>
      </c>
      <c r="GE31" s="639">
        <f t="shared" si="155"/>
        <v>24774.652500000004</v>
      </c>
      <c r="GF31" s="633">
        <v>0.75</v>
      </c>
      <c r="GG31" s="635">
        <f>'Vtas Diarias 2021'!MO32</f>
        <v>18832.760000000002</v>
      </c>
      <c r="GH31" s="636">
        <f t="shared" si="82"/>
        <v>0.57012182108306064</v>
      </c>
      <c r="GI31" s="639">
        <v>30942.77</v>
      </c>
      <c r="GJ31" s="639">
        <f>GI31*GK31</f>
        <v>21659.938999999998</v>
      </c>
      <c r="GK31" s="633">
        <v>0.7</v>
      </c>
      <c r="GL31" s="635">
        <f>'Vtas Diarias 2021'!NU32</f>
        <v>20078.97</v>
      </c>
      <c r="GM31" s="636">
        <f t="shared" si="84"/>
        <v>0.64890667512960221</v>
      </c>
      <c r="GN31" s="639">
        <v>27299.78</v>
      </c>
      <c r="GO31" s="639">
        <f t="shared" si="159"/>
        <v>19382.843799999999</v>
      </c>
      <c r="GP31" s="812">
        <v>0.71</v>
      </c>
      <c r="GQ31" s="635">
        <f>'Vtas Diarias 2021'!PA32</f>
        <v>18206.39</v>
      </c>
      <c r="GR31" s="636">
        <f>GQ31/GN31</f>
        <v>0.66690610693566033</v>
      </c>
      <c r="GS31" s="661">
        <f t="shared" si="86"/>
        <v>93599.143100000016</v>
      </c>
      <c r="GT31" s="661">
        <f t="shared" si="87"/>
        <v>127355.56000000001</v>
      </c>
      <c r="GU31" s="662">
        <f t="shared" si="88"/>
        <v>75238.320000000007</v>
      </c>
      <c r="GV31" s="1598">
        <f t="shared" si="89"/>
        <v>0.59077373614469597</v>
      </c>
      <c r="GW31" s="645">
        <v>22948</v>
      </c>
      <c r="GX31" s="639">
        <f t="shared" si="160"/>
        <v>16293.08</v>
      </c>
      <c r="GY31" s="633">
        <v>0.71</v>
      </c>
      <c r="GZ31" s="635">
        <f>'Vtas Diarias 2021'!QG32</f>
        <v>15893</v>
      </c>
      <c r="HA31" s="636">
        <f t="shared" si="91"/>
        <v>0.69256580094125852</v>
      </c>
      <c r="HB31" s="639">
        <v>21101.08</v>
      </c>
      <c r="HC31" s="639">
        <f t="shared" si="161"/>
        <v>14981.766800000001</v>
      </c>
      <c r="HD31" s="633">
        <v>0.71</v>
      </c>
      <c r="HE31" s="635">
        <f>'Vtas Diarias 2021'!RM32</f>
        <v>22935.22</v>
      </c>
      <c r="HF31" s="636">
        <f t="shared" si="93"/>
        <v>1.0869216172821485</v>
      </c>
      <c r="HG31" s="639">
        <v>20642.18</v>
      </c>
      <c r="HH31" s="639">
        <f t="shared" si="162"/>
        <v>14655.9478</v>
      </c>
      <c r="HI31" s="633">
        <v>0.71</v>
      </c>
      <c r="HJ31" s="635">
        <f>'Vtas Diarias 2021'!SS32</f>
        <v>35717.300000000003</v>
      </c>
      <c r="HK31" s="636">
        <f t="shared" si="95"/>
        <v>1.730306585835411</v>
      </c>
      <c r="HL31" s="639">
        <v>26046.46</v>
      </c>
      <c r="HM31" s="639">
        <f t="shared" si="163"/>
        <v>18492.9866</v>
      </c>
      <c r="HN31" s="633">
        <v>0.71</v>
      </c>
      <c r="HO31" s="635">
        <f>'Vtas Diarias 2021'!TY32</f>
        <v>18642</v>
      </c>
      <c r="HP31" s="636">
        <f t="shared" si="97"/>
        <v>0.71572106151853265</v>
      </c>
      <c r="HQ31" s="639">
        <v>27659.22</v>
      </c>
      <c r="HR31" s="639">
        <f t="shared" si="164"/>
        <v>19638.046200000001</v>
      </c>
      <c r="HS31" s="633">
        <v>0.71</v>
      </c>
      <c r="HT31" s="635">
        <f>'Vtas Diarias 2021'!VE32</f>
        <v>24178.31</v>
      </c>
      <c r="HU31" s="636">
        <f t="shared" si="99"/>
        <v>0.87415010256977599</v>
      </c>
      <c r="HV31" s="661">
        <f t="shared" si="100"/>
        <v>84061.827400000009</v>
      </c>
      <c r="HW31" s="661">
        <f t="shared" si="101"/>
        <v>118396.94</v>
      </c>
      <c r="HX31" s="663">
        <f t="shared" si="102"/>
        <v>117365.83</v>
      </c>
      <c r="HY31" s="651">
        <f t="shared" si="103"/>
        <v>0.99129107559705509</v>
      </c>
      <c r="HZ31" s="645">
        <v>19401.79</v>
      </c>
      <c r="IA31" s="639">
        <f t="shared" si="165"/>
        <v>16879.5573</v>
      </c>
      <c r="IB31" s="633">
        <v>0.87</v>
      </c>
      <c r="IC31" s="635">
        <f>'Vtas Diarias 2021'!WK32</f>
        <v>27226.799999999999</v>
      </c>
      <c r="ID31" s="636">
        <f t="shared" si="142"/>
        <v>1.4033138179518487</v>
      </c>
      <c r="IE31" s="639">
        <v>13590.54</v>
      </c>
      <c r="IF31" s="639">
        <f t="shared" si="166"/>
        <v>12095.580600000001</v>
      </c>
      <c r="IG31" s="633">
        <v>0.89</v>
      </c>
      <c r="IH31" s="635">
        <f>'Vtas Diarias 2021'!XQ32</f>
        <v>29918.489999999998</v>
      </c>
      <c r="II31" s="636">
        <f t="shared" si="106"/>
        <v>2.2014202526168933</v>
      </c>
      <c r="IJ31" s="639">
        <v>23329.759999999998</v>
      </c>
      <c r="IK31" s="639">
        <f t="shared" si="167"/>
        <v>21463.379199999999</v>
      </c>
      <c r="IL31" s="633">
        <v>0.92</v>
      </c>
      <c r="IM31" s="635">
        <f>'Vtas Diarias 2021'!YW32</f>
        <v>23589.599999999999</v>
      </c>
      <c r="IN31" s="636">
        <f t="shared" si="108"/>
        <v>1.0111377056600668</v>
      </c>
      <c r="IO31" s="639">
        <v>18597.22</v>
      </c>
      <c r="IP31" s="639">
        <f t="shared" si="168"/>
        <v>17667.359</v>
      </c>
      <c r="IQ31" s="633">
        <v>0.95</v>
      </c>
      <c r="IR31" s="635">
        <f>'Vtas Diarias 2021'!AAC32</f>
        <v>27300.760000000002</v>
      </c>
      <c r="IS31" s="636">
        <f t="shared" si="110"/>
        <v>1.4680022067814438</v>
      </c>
      <c r="IT31" s="1577">
        <f t="shared" si="111"/>
        <v>68105.876099999994</v>
      </c>
      <c r="IU31" s="1577">
        <f t="shared" si="112"/>
        <v>74919.31</v>
      </c>
      <c r="IV31" s="1578">
        <f t="shared" si="113"/>
        <v>108035.65</v>
      </c>
      <c r="IW31" s="654">
        <f t="shared" si="114"/>
        <v>1.4420267618588585</v>
      </c>
      <c r="IX31" s="645">
        <v>13468.13</v>
      </c>
      <c r="IY31" s="639">
        <f t="shared" si="169"/>
        <v>14141.5365</v>
      </c>
      <c r="IZ31" s="633">
        <v>1.05</v>
      </c>
      <c r="JA31" s="635">
        <f>'Vtas Diarias 2021'!ABI32</f>
        <v>24193.71</v>
      </c>
      <c r="JB31" s="636">
        <f t="shared" si="116"/>
        <v>1.7963674244308601</v>
      </c>
      <c r="JC31" s="639">
        <v>22104.18</v>
      </c>
      <c r="JD31" s="639">
        <f t="shared" si="170"/>
        <v>23209.389000000003</v>
      </c>
      <c r="JE31" s="633">
        <v>1.05</v>
      </c>
      <c r="JF31" s="635">
        <f>'Vtas Diarias 2021'!ACO32</f>
        <v>27480.5</v>
      </c>
      <c r="JG31" s="636">
        <f t="shared" si="118"/>
        <v>1.243226394283796</v>
      </c>
      <c r="JH31" s="639">
        <v>23565.65</v>
      </c>
      <c r="JI31" s="639">
        <f t="shared" si="171"/>
        <v>25215.245500000005</v>
      </c>
      <c r="JJ31" s="633">
        <v>1.07</v>
      </c>
      <c r="JK31" s="635">
        <f>'Vtas Diarias 2021'!ADU32</f>
        <v>29242.7</v>
      </c>
      <c r="JL31" s="636">
        <f t="shared" si="120"/>
        <v>1.2409036033379091</v>
      </c>
      <c r="JM31" s="639">
        <v>26768.3</v>
      </c>
      <c r="JN31" s="639">
        <f t="shared" si="172"/>
        <v>28642.081000000002</v>
      </c>
      <c r="JO31" s="633">
        <v>1.07</v>
      </c>
      <c r="JP31" s="635">
        <f>'Vtas Diarias 2021'!AFA32</f>
        <v>30663.55</v>
      </c>
      <c r="JQ31" s="636">
        <f t="shared" si="122"/>
        <v>1.1455172722959621</v>
      </c>
      <c r="JR31" s="636">
        <f t="shared" si="122"/>
        <v>3.9994205459301716E-5</v>
      </c>
      <c r="JS31" s="1577">
        <f t="shared" si="123"/>
        <v>91208.252000000022</v>
      </c>
      <c r="JT31" s="1577">
        <f t="shared" si="124"/>
        <v>85906.26</v>
      </c>
      <c r="JU31" s="1582">
        <f t="shared" si="125"/>
        <v>111580.45999999999</v>
      </c>
      <c r="JV31" s="651">
        <f t="shared" si="126"/>
        <v>1.2988629699395597</v>
      </c>
      <c r="JW31" s="645">
        <v>28525.439999999999</v>
      </c>
      <c r="JX31" s="639">
        <f t="shared" si="173"/>
        <v>34230.527999999998</v>
      </c>
      <c r="JY31" s="633">
        <v>1.2</v>
      </c>
      <c r="JZ31" s="635">
        <f>'Vtas Diarias 2021'!AGG32</f>
        <v>35427.299999999996</v>
      </c>
      <c r="KA31" s="636">
        <f t="shared" si="128"/>
        <v>1.2419545500437503</v>
      </c>
      <c r="KB31" s="639">
        <v>58746.76</v>
      </c>
      <c r="KC31" s="639">
        <f t="shared" si="174"/>
        <v>70496.111999999994</v>
      </c>
      <c r="KD31" s="633">
        <v>1.2</v>
      </c>
      <c r="KE31" s="635">
        <f>'Vtas Diarias 2021'!AHM32</f>
        <v>58961.31</v>
      </c>
      <c r="KF31" s="636">
        <f t="shared" si="130"/>
        <v>1.0036521163039458</v>
      </c>
      <c r="KG31" s="639">
        <v>73150.710000000006</v>
      </c>
      <c r="KH31" s="639">
        <f t="shared" si="175"/>
        <v>87780.851999999999</v>
      </c>
      <c r="KI31" s="633">
        <v>1.2</v>
      </c>
      <c r="KJ31" s="635">
        <f>'Vtas Diarias 2021'!AIS32</f>
        <v>81568.929999999993</v>
      </c>
      <c r="KK31" s="636">
        <f t="shared" si="132"/>
        <v>1.115080496142826</v>
      </c>
      <c r="KL31" s="639">
        <v>57358.35</v>
      </c>
      <c r="KM31" s="1601">
        <f t="shared" si="176"/>
        <v>116437.45049999999</v>
      </c>
      <c r="KN31" s="1615">
        <v>2.0299999999999998</v>
      </c>
      <c r="KO31" s="1603">
        <f>'Vtas Diarias 2021'!AJY32</f>
        <v>96389.02</v>
      </c>
      <c r="KP31" s="636">
        <f t="shared" si="134"/>
        <v>1.6804705853637703</v>
      </c>
      <c r="KQ31" s="639">
        <v>27229.47</v>
      </c>
      <c r="KR31" s="1601">
        <f t="shared" si="177"/>
        <v>31313.890499999998</v>
      </c>
      <c r="KS31" s="1616">
        <v>1.1499999999999999</v>
      </c>
      <c r="KT31" s="1602">
        <f>'Vtas Diarias 2021'!ALE32</f>
        <v>44167.5</v>
      </c>
      <c r="KU31" s="636">
        <f t="shared" si="136"/>
        <v>1.6220477299044014</v>
      </c>
      <c r="KV31" s="1577">
        <f t="shared" si="137"/>
        <v>340258.83299999993</v>
      </c>
      <c r="KW31" s="1577">
        <f t="shared" si="178"/>
        <v>245010.73</v>
      </c>
      <c r="KX31" s="1578">
        <f t="shared" si="3"/>
        <v>316514.06</v>
      </c>
      <c r="KY31" s="959">
        <f t="shared" si="138"/>
        <v>1.2918375452373045</v>
      </c>
      <c r="KZ31" s="1508">
        <f t="shared" si="143"/>
        <v>1840839.5799999998</v>
      </c>
      <c r="LA31" s="811">
        <f t="shared" si="144"/>
        <v>1122335.9484999999</v>
      </c>
      <c r="LB31" s="1509">
        <f t="shared" si="139"/>
        <v>1840839.5800000003</v>
      </c>
      <c r="LC31" s="811">
        <f t="shared" si="140"/>
        <v>1192197.1599999999</v>
      </c>
      <c r="LD31" s="1575">
        <f t="shared" si="4"/>
        <v>-648642.42000000039</v>
      </c>
      <c r="LE31" s="1594">
        <f t="shared" si="141"/>
        <v>0.64763772625966676</v>
      </c>
      <c r="LF31" s="1008">
        <f t="shared" si="145"/>
        <v>0.6096869932033947</v>
      </c>
    </row>
    <row r="32" spans="1:320">
      <c r="A32" s="1495"/>
      <c r="B32" s="685" t="s">
        <v>232</v>
      </c>
      <c r="C32" s="645">
        <v>0</v>
      </c>
      <c r="D32" s="639">
        <v>33840.79</v>
      </c>
      <c r="E32" s="633"/>
      <c r="F32" s="635">
        <v>24077.7</v>
      </c>
      <c r="G32" s="637" t="s">
        <v>513</v>
      </c>
      <c r="H32" s="639">
        <v>21346.26</v>
      </c>
      <c r="I32" s="639">
        <v>41083.26</v>
      </c>
      <c r="J32" s="633">
        <v>1.92</v>
      </c>
      <c r="K32" s="638">
        <v>20839.78</v>
      </c>
      <c r="L32" s="636">
        <f t="shared" si="6"/>
        <v>0.97627312700210722</v>
      </c>
      <c r="M32" s="639">
        <v>74860.259999999995</v>
      </c>
      <c r="N32" s="639">
        <v>37248.379999999997</v>
      </c>
      <c r="O32" s="474">
        <v>0.5</v>
      </c>
      <c r="P32" s="635">
        <v>14602.39</v>
      </c>
      <c r="Q32" s="636">
        <f t="shared" si="7"/>
        <v>0.19506197280105628</v>
      </c>
      <c r="R32" s="639">
        <v>57712.69</v>
      </c>
      <c r="S32" s="639">
        <v>35004.74</v>
      </c>
      <c r="T32" s="633" t="s">
        <v>513</v>
      </c>
      <c r="U32" s="638">
        <v>24278.639999999999</v>
      </c>
      <c r="V32" s="636">
        <f t="shared" si="8"/>
        <v>0.42068113615913588</v>
      </c>
      <c r="W32" s="639">
        <f t="shared" si="157"/>
        <v>147177.16999999998</v>
      </c>
      <c r="X32" s="639"/>
      <c r="Y32" s="666">
        <f t="shared" si="9"/>
        <v>83798.509999999995</v>
      </c>
      <c r="Z32" s="646">
        <f>Y32/W32</f>
        <v>0.56937166273818152</v>
      </c>
      <c r="AA32" s="645">
        <v>63957.35</v>
      </c>
      <c r="AB32" s="639">
        <v>67155.22</v>
      </c>
      <c r="AC32" s="474">
        <v>1.05</v>
      </c>
      <c r="AD32" s="635">
        <v>19517.05</v>
      </c>
      <c r="AE32" s="636">
        <f t="shared" si="11"/>
        <v>0.30515726495860129</v>
      </c>
      <c r="AF32" s="639">
        <v>89371.11</v>
      </c>
      <c r="AG32" s="639">
        <v>93839.66</v>
      </c>
      <c r="AH32" s="633">
        <v>1.05</v>
      </c>
      <c r="AI32" s="638">
        <v>27892.47</v>
      </c>
      <c r="AJ32" s="636">
        <f t="shared" si="12"/>
        <v>0.31209716428496859</v>
      </c>
      <c r="AK32" s="639">
        <v>56681.24</v>
      </c>
      <c r="AL32" s="639">
        <v>59515.31</v>
      </c>
      <c r="AM32" s="474">
        <v>1.05</v>
      </c>
      <c r="AN32" s="635">
        <v>21252.73</v>
      </c>
      <c r="AO32" s="636">
        <f t="shared" si="13"/>
        <v>0.37495174770347295</v>
      </c>
      <c r="AP32" s="639">
        <v>52639.72</v>
      </c>
      <c r="AQ32" s="639">
        <v>55271.71</v>
      </c>
      <c r="AR32" s="633">
        <v>1.05</v>
      </c>
      <c r="AS32" s="638"/>
      <c r="AT32" s="636" t="s">
        <v>513</v>
      </c>
      <c r="AU32" s="639">
        <f t="shared" si="14"/>
        <v>275781.90000000002</v>
      </c>
      <c r="AV32" s="639">
        <f t="shared" si="15"/>
        <v>262649.42</v>
      </c>
      <c r="AW32" s="778">
        <f t="shared" si="16"/>
        <v>68662.25</v>
      </c>
      <c r="AX32" s="665">
        <f t="shared" si="17"/>
        <v>0.26142166999645383</v>
      </c>
      <c r="AY32" s="645">
        <v>48620.82</v>
      </c>
      <c r="AZ32" s="639">
        <v>51051.87</v>
      </c>
      <c r="BA32" s="474" t="s">
        <v>513</v>
      </c>
      <c r="BB32" s="635"/>
      <c r="BC32" s="636">
        <f t="shared" si="18"/>
        <v>0</v>
      </c>
      <c r="BD32" s="639">
        <v>53010.39</v>
      </c>
      <c r="BE32" s="639">
        <v>55660.9</v>
      </c>
      <c r="BF32" s="633" t="s">
        <v>513</v>
      </c>
      <c r="BG32" s="638"/>
      <c r="BH32" s="636">
        <f t="shared" si="19"/>
        <v>0</v>
      </c>
      <c r="BI32" s="639">
        <v>62785.45</v>
      </c>
      <c r="BJ32" s="639">
        <v>25114.18</v>
      </c>
      <c r="BK32" s="474" t="s">
        <v>513</v>
      </c>
      <c r="BL32" s="635">
        <v>12535.19</v>
      </c>
      <c r="BM32" s="636">
        <f t="shared" si="20"/>
        <v>0.19965119307100612</v>
      </c>
      <c r="BN32" s="639">
        <v>58563.29</v>
      </c>
      <c r="BO32" s="639">
        <f t="shared" si="21"/>
        <v>17568.987000000001</v>
      </c>
      <c r="BP32" s="633">
        <v>0.3</v>
      </c>
      <c r="BQ32" s="638">
        <v>21783.97</v>
      </c>
      <c r="BR32" s="636">
        <f t="shared" si="22"/>
        <v>0.37197312514375475</v>
      </c>
      <c r="BS32" s="639">
        <v>54041.16</v>
      </c>
      <c r="BT32" s="639">
        <f t="shared" si="23"/>
        <v>16212.348</v>
      </c>
      <c r="BU32" s="648">
        <v>0.3</v>
      </c>
      <c r="BV32" s="635">
        <v>28467.62</v>
      </c>
      <c r="BW32" s="636">
        <f t="shared" si="24"/>
        <v>0.52677662729667529</v>
      </c>
      <c r="BX32" s="661">
        <f t="shared" si="25"/>
        <v>165608.285</v>
      </c>
      <c r="BY32" s="661">
        <f t="shared" si="26"/>
        <v>277021.11</v>
      </c>
      <c r="BZ32" s="663">
        <f t="shared" si="27"/>
        <v>62786.78</v>
      </c>
      <c r="CA32" s="651">
        <f t="shared" si="28"/>
        <v>0.22664980296988921</v>
      </c>
      <c r="CB32" s="645">
        <v>58475.19</v>
      </c>
      <c r="CC32" s="639">
        <f t="shared" si="29"/>
        <v>47949.6558</v>
      </c>
      <c r="CD32" s="648">
        <v>0.82</v>
      </c>
      <c r="CE32" s="635">
        <v>27077.29</v>
      </c>
      <c r="CF32" s="636">
        <f t="shared" si="30"/>
        <v>0.46305604137412809</v>
      </c>
      <c r="CG32" s="639">
        <v>64291.65</v>
      </c>
      <c r="CH32" s="639">
        <f t="shared" si="31"/>
        <v>48218.737500000003</v>
      </c>
      <c r="CI32" s="633">
        <v>0.75</v>
      </c>
      <c r="CJ32" s="635">
        <v>19835.3</v>
      </c>
      <c r="CK32" s="636">
        <f t="shared" si="32"/>
        <v>0.30852062437346062</v>
      </c>
      <c r="CL32" s="639">
        <v>46069.13</v>
      </c>
      <c r="CM32" s="639">
        <f t="shared" si="33"/>
        <v>18427.651999999998</v>
      </c>
      <c r="CN32" s="648">
        <v>0.4</v>
      </c>
      <c r="CO32" s="635">
        <v>18672.05</v>
      </c>
      <c r="CP32" s="636">
        <f t="shared" si="34"/>
        <v>0.40530502746633157</v>
      </c>
      <c r="CQ32" s="639">
        <v>61279.48</v>
      </c>
      <c r="CR32" s="639">
        <f t="shared" si="35"/>
        <v>18383.844000000001</v>
      </c>
      <c r="CS32" s="633">
        <v>0.3</v>
      </c>
      <c r="CT32" s="638">
        <v>21977.32</v>
      </c>
      <c r="CU32" s="636">
        <f t="shared" si="36"/>
        <v>0.35864077175589609</v>
      </c>
      <c r="CV32" s="656">
        <f t="shared" si="37"/>
        <v>132979.88930000001</v>
      </c>
      <c r="CW32" s="656">
        <f t="shared" si="38"/>
        <v>230115.45</v>
      </c>
      <c r="CX32" s="657">
        <f t="shared" si="39"/>
        <v>87561.96</v>
      </c>
      <c r="CY32" s="654">
        <f t="shared" si="40"/>
        <v>0.38051317284432662</v>
      </c>
      <c r="CZ32" s="645">
        <v>115662.06</v>
      </c>
      <c r="DA32" s="639">
        <f t="shared" si="41"/>
        <v>34698.617999999995</v>
      </c>
      <c r="DB32" s="648">
        <v>0.3</v>
      </c>
      <c r="DC32" s="635">
        <v>37138.129999999997</v>
      </c>
      <c r="DD32" s="636">
        <f t="shared" si="42"/>
        <v>0.32109172186627144</v>
      </c>
      <c r="DE32" s="639">
        <v>62827.42</v>
      </c>
      <c r="DF32" s="639">
        <f t="shared" si="43"/>
        <v>18848.225999999999</v>
      </c>
      <c r="DG32" s="633">
        <v>0.3</v>
      </c>
      <c r="DH32" s="635">
        <v>39449.75</v>
      </c>
      <c r="DI32" s="636">
        <f t="shared" si="44"/>
        <v>0.62790657327644528</v>
      </c>
      <c r="DJ32" s="639">
        <v>57605.88</v>
      </c>
      <c r="DK32" s="639">
        <f t="shared" si="45"/>
        <v>34563.527999999998</v>
      </c>
      <c r="DL32" s="648">
        <v>0.6</v>
      </c>
      <c r="DM32" s="635">
        <v>20065.689999999999</v>
      </c>
      <c r="DN32" s="636">
        <f t="shared" si="46"/>
        <v>0.34832711521809928</v>
      </c>
      <c r="DO32" s="639">
        <v>52578.77</v>
      </c>
      <c r="DP32" s="639">
        <f t="shared" si="47"/>
        <v>18314.61127581594</v>
      </c>
      <c r="DQ32" s="633">
        <v>0.34832711521809928</v>
      </c>
      <c r="DR32" s="635">
        <v>17156.11</v>
      </c>
      <c r="DS32" s="636">
        <f t="shared" si="48"/>
        <v>0.32629348309213019</v>
      </c>
      <c r="DT32" s="656">
        <f t="shared" si="49"/>
        <v>106424.98327581593</v>
      </c>
      <c r="DU32" s="656">
        <f t="shared" si="50"/>
        <v>288674.13</v>
      </c>
      <c r="DV32" s="657">
        <f t="shared" si="51"/>
        <v>113809.68</v>
      </c>
      <c r="DW32" s="654">
        <f t="shared" si="52"/>
        <v>0.39424966830245572</v>
      </c>
      <c r="DX32" s="645">
        <v>44958.31</v>
      </c>
      <c r="DY32" s="639">
        <f t="shared" si="53"/>
        <v>14669.603563835746</v>
      </c>
      <c r="DZ32" s="648">
        <v>0.32629348309213019</v>
      </c>
      <c r="EA32" s="635">
        <f>'Vtas Diarias 2021'!AG33</f>
        <v>18561.43</v>
      </c>
      <c r="EB32" s="636">
        <f t="shared" si="54"/>
        <v>0.41285871288311332</v>
      </c>
      <c r="EC32" s="639">
        <v>46786.29</v>
      </c>
      <c r="ED32" s="639">
        <f t="shared" si="146"/>
        <v>16375.201499999999</v>
      </c>
      <c r="EE32" s="633">
        <v>0.35</v>
      </c>
      <c r="EF32" s="635">
        <f>'Vtas Diarias 2021'!BM33</f>
        <v>17561.39</v>
      </c>
      <c r="EG32" s="636">
        <f t="shared" si="56"/>
        <v>0.37535333534674364</v>
      </c>
      <c r="EH32" s="639">
        <v>60941.63</v>
      </c>
      <c r="EI32" s="639">
        <f t="shared" si="147"/>
        <v>18282.488999999998</v>
      </c>
      <c r="EJ32" s="648">
        <v>0.3</v>
      </c>
      <c r="EK32" s="635">
        <f>'Vtas Diarias 2021'!CS33</f>
        <v>21846.160000000003</v>
      </c>
      <c r="EL32" s="636">
        <f t="shared" si="58"/>
        <v>0.35847679164472634</v>
      </c>
      <c r="EM32" s="639">
        <v>51937.02</v>
      </c>
      <c r="EN32" s="639">
        <f t="shared" si="148"/>
        <v>15581.105999999998</v>
      </c>
      <c r="EO32" s="812">
        <v>0.3</v>
      </c>
      <c r="EP32" s="635">
        <f>'Vtas Diarias 2021'!DY33</f>
        <v>19852.52</v>
      </c>
      <c r="EQ32" s="636">
        <f t="shared" si="60"/>
        <v>0.38224218486158817</v>
      </c>
      <c r="ER32" s="639">
        <v>55706.400000000001</v>
      </c>
      <c r="ES32" s="639">
        <f t="shared" si="149"/>
        <v>33423.839999999997</v>
      </c>
      <c r="ET32" s="812">
        <v>0.6</v>
      </c>
      <c r="EU32" s="635">
        <f>'Vtas Diarias 2021'!FE33</f>
        <v>21700.49</v>
      </c>
      <c r="EV32" s="636">
        <f t="shared" si="62"/>
        <v>0.38955111082389099</v>
      </c>
      <c r="EW32" s="661">
        <f t="shared" si="63"/>
        <v>98332.240063835736</v>
      </c>
      <c r="EX32" s="956">
        <f t="shared" si="64"/>
        <v>260329.65</v>
      </c>
      <c r="EY32" s="662">
        <f t="shared" si="65"/>
        <v>99521.989999999991</v>
      </c>
      <c r="EZ32" s="654">
        <f t="shared" si="66"/>
        <v>0.38229218223894201</v>
      </c>
      <c r="FA32" s="645">
        <v>47777.85</v>
      </c>
      <c r="FB32" s="639">
        <f t="shared" si="150"/>
        <v>33444.494999999995</v>
      </c>
      <c r="FC32" s="633">
        <v>0.7</v>
      </c>
      <c r="FD32" s="635">
        <f>'Vtas Diarias 2021'!GK33</f>
        <v>19666.560000000001</v>
      </c>
      <c r="FE32" s="636">
        <f t="shared" si="68"/>
        <v>0.41162505219468859</v>
      </c>
      <c r="FF32" s="639">
        <v>40248.230000000003</v>
      </c>
      <c r="FG32" s="639">
        <f t="shared" si="151"/>
        <v>30588.654800000004</v>
      </c>
      <c r="FH32" s="633">
        <v>0.76</v>
      </c>
      <c r="FI32" s="635">
        <f>'Vtas Diarias 2021'!HQ33</f>
        <v>18921.36</v>
      </c>
      <c r="FJ32" s="636">
        <f t="shared" si="70"/>
        <v>0.4701165740704622</v>
      </c>
      <c r="FK32" s="639">
        <v>41870.120000000003</v>
      </c>
      <c r="FL32" s="639">
        <f t="shared" si="152"/>
        <v>31821.291200000003</v>
      </c>
      <c r="FM32" s="633">
        <v>0.76</v>
      </c>
      <c r="FN32" s="635">
        <f>'Vtas Diarias 2021'!IW33</f>
        <v>15841.340000000002</v>
      </c>
      <c r="FO32" s="636">
        <f t="shared" si="72"/>
        <v>0.37834474799690093</v>
      </c>
      <c r="FP32" s="639">
        <v>39698.61</v>
      </c>
      <c r="FQ32" s="639">
        <f t="shared" si="153"/>
        <v>27789.026999999998</v>
      </c>
      <c r="FR32" s="945">
        <v>0.7</v>
      </c>
      <c r="FS32" s="635">
        <f>'Vtas Diarias 2021'!KC33</f>
        <v>11026.44</v>
      </c>
      <c r="FT32" s="636">
        <f t="shared" si="74"/>
        <v>0.2777538054858848</v>
      </c>
      <c r="FU32" s="661">
        <f t="shared" si="75"/>
        <v>123643.46799999999</v>
      </c>
      <c r="FV32" s="661">
        <f t="shared" si="76"/>
        <v>169594.81</v>
      </c>
      <c r="FW32" s="663">
        <f t="shared" si="77"/>
        <v>65455.700000000004</v>
      </c>
      <c r="FX32" s="651">
        <f t="shared" si="78"/>
        <v>0.38595343807985638</v>
      </c>
      <c r="FY32" s="645">
        <v>37534.839999999997</v>
      </c>
      <c r="FZ32" s="639">
        <f t="shared" si="154"/>
        <v>28901.826799999999</v>
      </c>
      <c r="GA32" s="812">
        <v>0.77</v>
      </c>
      <c r="GB32" s="635">
        <f>'Vtas Diarias 2021'!LI33</f>
        <v>12846.35</v>
      </c>
      <c r="GC32" s="636">
        <f t="shared" si="80"/>
        <v>0.34225135900406134</v>
      </c>
      <c r="GD32" s="639">
        <v>39349.21</v>
      </c>
      <c r="GE32" s="639">
        <f t="shared" si="155"/>
        <v>29511.907500000001</v>
      </c>
      <c r="GF32" s="945">
        <v>0.75</v>
      </c>
      <c r="GG32" s="635">
        <f>'Vtas Diarias 2021'!MO33</f>
        <v>16334.129999999997</v>
      </c>
      <c r="GH32" s="636">
        <f t="shared" si="82"/>
        <v>0.4151069360731765</v>
      </c>
      <c r="GI32" s="639">
        <v>39017.199999999997</v>
      </c>
      <c r="GJ32" s="639">
        <f t="shared" si="156"/>
        <v>27312.039999999997</v>
      </c>
      <c r="GK32" s="633">
        <v>0.7</v>
      </c>
      <c r="GL32" s="635">
        <f>'Vtas Diarias 2021'!NU33</f>
        <v>16748.509999999998</v>
      </c>
      <c r="GM32" s="636">
        <f t="shared" si="84"/>
        <v>0.42925965984232595</v>
      </c>
      <c r="GN32" s="639">
        <v>42019.89</v>
      </c>
      <c r="GO32" s="639">
        <f t="shared" si="159"/>
        <v>29834.121899999998</v>
      </c>
      <c r="GP32" s="812">
        <v>0.71</v>
      </c>
      <c r="GQ32" s="635">
        <f>'Vtas Diarias 2021'!PA33</f>
        <v>16405.14</v>
      </c>
      <c r="GR32" s="636">
        <f>GQ32/GN32</f>
        <v>0.39041368266313881</v>
      </c>
      <c r="GS32" s="661">
        <f t="shared" si="86"/>
        <v>115559.89619999999</v>
      </c>
      <c r="GT32" s="661">
        <f t="shared" si="87"/>
        <v>157921.13999999998</v>
      </c>
      <c r="GU32" s="662">
        <f t="shared" si="88"/>
        <v>62334.12999999999</v>
      </c>
      <c r="GV32" s="1598">
        <f t="shared" si="89"/>
        <v>0.39471681878689574</v>
      </c>
      <c r="GW32" s="645">
        <v>35168</v>
      </c>
      <c r="GX32" s="639">
        <f t="shared" si="160"/>
        <v>24969.279999999999</v>
      </c>
      <c r="GY32" s="633">
        <v>0.71</v>
      </c>
      <c r="GZ32" s="635">
        <f>'Vtas Diarias 2021'!QG33</f>
        <v>6739.53</v>
      </c>
      <c r="HA32" s="636">
        <f t="shared" si="91"/>
        <v>0.19163813694267515</v>
      </c>
      <c r="HB32" s="639">
        <v>40651.980000000003</v>
      </c>
      <c r="HC32" s="639">
        <f t="shared" si="161"/>
        <v>28862.9058</v>
      </c>
      <c r="HD32" s="633">
        <v>0.71</v>
      </c>
      <c r="HE32" s="635">
        <f>'Vtas Diarias 2021'!RM33</f>
        <v>16546.52</v>
      </c>
      <c r="HF32" s="636">
        <f t="shared" si="93"/>
        <v>0.40702863673552919</v>
      </c>
      <c r="HG32" s="639">
        <v>38431.300000000003</v>
      </c>
      <c r="HH32" s="639">
        <f t="shared" si="162"/>
        <v>27286.223000000002</v>
      </c>
      <c r="HI32" s="633">
        <v>0.71</v>
      </c>
      <c r="HJ32" s="635">
        <f>'Vtas Diarias 2021'!SS33</f>
        <v>20593.09</v>
      </c>
      <c r="HK32" s="636">
        <f t="shared" si="95"/>
        <v>0.53584161868060665</v>
      </c>
      <c r="HL32" s="639">
        <v>36535.589999999997</v>
      </c>
      <c r="HM32" s="639">
        <f t="shared" si="163"/>
        <v>25940.268899999995</v>
      </c>
      <c r="HN32" s="633">
        <v>0.71</v>
      </c>
      <c r="HO32" s="635">
        <f>'Vtas Diarias 2021'!TY33</f>
        <v>17918.09</v>
      </c>
      <c r="HP32" s="636">
        <f t="shared" si="97"/>
        <v>0.49042837408674672</v>
      </c>
      <c r="HQ32" s="639">
        <v>42597.75</v>
      </c>
      <c r="HR32" s="639">
        <f t="shared" si="164"/>
        <v>30244.4025</v>
      </c>
      <c r="HS32" s="633">
        <v>0.71</v>
      </c>
      <c r="HT32" s="635">
        <f>'Vtas Diarias 2021'!VE33</f>
        <v>23596.769999999997</v>
      </c>
      <c r="HU32" s="636">
        <f t="shared" si="99"/>
        <v>0.55394404634047567</v>
      </c>
      <c r="HV32" s="661">
        <f t="shared" si="100"/>
        <v>137303.0802</v>
      </c>
      <c r="HW32" s="661">
        <f t="shared" si="101"/>
        <v>193384.62</v>
      </c>
      <c r="HX32" s="663">
        <f t="shared" si="102"/>
        <v>85394</v>
      </c>
      <c r="HY32" s="651">
        <f t="shared" si="103"/>
        <v>0.44157596400375582</v>
      </c>
      <c r="HZ32" s="645">
        <v>41264.07</v>
      </c>
      <c r="IA32" s="639">
        <f t="shared" si="165"/>
        <v>22695.238500000003</v>
      </c>
      <c r="IB32" s="633">
        <v>0.55000000000000004</v>
      </c>
      <c r="IC32" s="635">
        <f>'Vtas Diarias 2021'!WK33</f>
        <v>16659.009999999998</v>
      </c>
      <c r="ID32" s="636">
        <f t="shared" si="142"/>
        <v>0.40371708365170955</v>
      </c>
      <c r="IE32" s="639">
        <v>38715.56</v>
      </c>
      <c r="IF32" s="639">
        <f t="shared" si="166"/>
        <v>22067.869199999997</v>
      </c>
      <c r="IG32" s="633">
        <v>0.56999999999999995</v>
      </c>
      <c r="IH32" s="635">
        <f>'Vtas Diarias 2021'!XQ33</f>
        <v>27209.130000000005</v>
      </c>
      <c r="II32" s="636">
        <f t="shared" si="106"/>
        <v>0.70279572347655583</v>
      </c>
      <c r="IJ32" s="639">
        <v>49291.28</v>
      </c>
      <c r="IK32" s="639">
        <f t="shared" si="167"/>
        <v>29574.767999999996</v>
      </c>
      <c r="IL32" s="633">
        <v>0.6</v>
      </c>
      <c r="IM32" s="635">
        <f>'Vtas Diarias 2021'!YW33</f>
        <v>22106.899999999998</v>
      </c>
      <c r="IN32" s="636">
        <f t="shared" si="108"/>
        <v>0.44849514964918741</v>
      </c>
      <c r="IO32" s="639">
        <v>50203.8</v>
      </c>
      <c r="IP32" s="639">
        <f t="shared" si="168"/>
        <v>31628.394000000004</v>
      </c>
      <c r="IQ32" s="633">
        <v>0.63</v>
      </c>
      <c r="IR32" s="635">
        <f>'Vtas Diarias 2021'!AAC33</f>
        <v>27191.440000000002</v>
      </c>
      <c r="IS32" s="636">
        <f t="shared" si="110"/>
        <v>0.54162115218369922</v>
      </c>
      <c r="IT32" s="1577">
        <f t="shared" si="111"/>
        <v>105966.2697</v>
      </c>
      <c r="IU32" s="1577">
        <f t="shared" si="112"/>
        <v>179474.71000000002</v>
      </c>
      <c r="IV32" s="1578">
        <f t="shared" si="113"/>
        <v>93166.48</v>
      </c>
      <c r="IW32" s="654">
        <f t="shared" si="114"/>
        <v>0.51910645237983666</v>
      </c>
      <c r="IX32" s="645">
        <v>43306.86</v>
      </c>
      <c r="IY32" s="639">
        <f t="shared" si="169"/>
        <v>27283.321800000002</v>
      </c>
      <c r="IZ32" s="648">
        <v>0.63</v>
      </c>
      <c r="JA32" s="635">
        <f>'Vtas Diarias 2021'!ABI33</f>
        <v>22874.629999999997</v>
      </c>
      <c r="JB32" s="636">
        <f t="shared" si="116"/>
        <v>0.52819876573826863</v>
      </c>
      <c r="JC32" s="639">
        <v>43748.46</v>
      </c>
      <c r="JD32" s="639">
        <f t="shared" si="170"/>
        <v>28873.9836</v>
      </c>
      <c r="JE32" s="648">
        <v>0.66</v>
      </c>
      <c r="JF32" s="635">
        <f>'Vtas Diarias 2021'!ACO33</f>
        <v>32061.519999999997</v>
      </c>
      <c r="JG32" s="636">
        <f t="shared" si="118"/>
        <v>0.7328605395481349</v>
      </c>
      <c r="JH32" s="639">
        <v>52121.56</v>
      </c>
      <c r="JI32" s="639">
        <f t="shared" si="171"/>
        <v>34400.229599999999</v>
      </c>
      <c r="JJ32" s="648">
        <v>0.66</v>
      </c>
      <c r="JK32" s="635">
        <f>'Vtas Diarias 2021'!ADU33</f>
        <v>28258.97</v>
      </c>
      <c r="JL32" s="636">
        <f t="shared" si="120"/>
        <v>0.54217429409250228</v>
      </c>
      <c r="JM32" s="639">
        <v>44146.65</v>
      </c>
      <c r="JN32" s="639">
        <f t="shared" si="172"/>
        <v>29136.789000000001</v>
      </c>
      <c r="JO32" s="648">
        <v>0.66</v>
      </c>
      <c r="JP32" s="635">
        <f>'Vtas Diarias 2021'!AFA33</f>
        <v>22811.29</v>
      </c>
      <c r="JQ32" s="636">
        <f t="shared" si="122"/>
        <v>0.51671621742533125</v>
      </c>
      <c r="JR32" s="636">
        <f t="shared" si="122"/>
        <v>1.7734151056430111E-5</v>
      </c>
      <c r="JS32" s="1577">
        <f t="shared" si="123"/>
        <v>119694.32399999999</v>
      </c>
      <c r="JT32" s="1577">
        <f t="shared" si="124"/>
        <v>183323.53</v>
      </c>
      <c r="JU32" s="1582">
        <f t="shared" si="125"/>
        <v>106006.41</v>
      </c>
      <c r="JV32" s="651">
        <f t="shared" si="126"/>
        <v>0.578247702299863</v>
      </c>
      <c r="JW32" s="645">
        <v>81286.539999999994</v>
      </c>
      <c r="JX32" s="639">
        <f t="shared" si="173"/>
        <v>44707.597000000002</v>
      </c>
      <c r="JY32" s="648">
        <v>0.55000000000000004</v>
      </c>
      <c r="JZ32" s="635">
        <f>'Vtas Diarias 2021'!AGG33</f>
        <v>34880.300000000003</v>
      </c>
      <c r="KA32" s="636">
        <f t="shared" si="128"/>
        <v>0.42910302246841858</v>
      </c>
      <c r="KB32" s="639">
        <v>80640.19</v>
      </c>
      <c r="KC32" s="639">
        <f t="shared" si="174"/>
        <v>44352.104500000001</v>
      </c>
      <c r="KD32" s="648">
        <v>0.55000000000000004</v>
      </c>
      <c r="KE32" s="635">
        <f>'Vtas Diarias 2021'!AHM33</f>
        <v>35067.1</v>
      </c>
      <c r="KF32" s="636">
        <f t="shared" si="130"/>
        <v>0.43485884643872985</v>
      </c>
      <c r="KG32" s="639">
        <v>103540.76</v>
      </c>
      <c r="KH32" s="639">
        <f t="shared" si="175"/>
        <v>56947.418000000005</v>
      </c>
      <c r="KI32" s="648">
        <v>0.55000000000000004</v>
      </c>
      <c r="KJ32" s="635">
        <f>'Vtas Diarias 2021'!AIS33</f>
        <v>59526.99</v>
      </c>
      <c r="KK32" s="636">
        <f t="shared" si="132"/>
        <v>0.57491358958539618</v>
      </c>
      <c r="KL32" s="639">
        <v>108165.8</v>
      </c>
      <c r="KM32" s="1601">
        <f t="shared" si="176"/>
        <v>103839.16800000001</v>
      </c>
      <c r="KN32" s="1615">
        <v>0.96</v>
      </c>
      <c r="KO32" s="1603">
        <f>'Vtas Diarias 2021'!AJY33</f>
        <v>93274.45</v>
      </c>
      <c r="KP32" s="636">
        <f t="shared" si="134"/>
        <v>0.86232848090616443</v>
      </c>
      <c r="KQ32" s="639">
        <v>63790.2</v>
      </c>
      <c r="KR32" s="1601">
        <f t="shared" si="177"/>
        <v>45291.041999999994</v>
      </c>
      <c r="KS32" s="1616">
        <v>0.71</v>
      </c>
      <c r="KT32" s="1602">
        <f>'Vtas Diarias 2021'!ALE33</f>
        <v>29555.39</v>
      </c>
      <c r="KU32" s="636">
        <f t="shared" si="136"/>
        <v>0.46332179551090918</v>
      </c>
      <c r="KV32" s="1577">
        <f t="shared" si="137"/>
        <v>295137.32949999999</v>
      </c>
      <c r="KW32" s="1577">
        <f t="shared" si="178"/>
        <v>437423.49</v>
      </c>
      <c r="KX32" s="1578">
        <f t="shared" si="3"/>
        <v>252304.22999999998</v>
      </c>
      <c r="KY32" s="959">
        <f t="shared" si="138"/>
        <v>0.57679625298586501</v>
      </c>
      <c r="KZ32" s="1508">
        <f t="shared" si="143"/>
        <v>2793831.2699999996</v>
      </c>
      <c r="LA32" s="811">
        <f>Y32+AW32+BZ32+CX32+DV32+EY32+FW32+GU32+HV32+IT32+JS32+KV32</f>
        <v>1302032.0034</v>
      </c>
      <c r="LB32" s="1509">
        <f t="shared" si="139"/>
        <v>2639912.0599999996</v>
      </c>
      <c r="LC32" s="811">
        <f t="shared" si="140"/>
        <v>1180802.1200000001</v>
      </c>
      <c r="LD32" s="1575">
        <f t="shared" si="4"/>
        <v>-1459109.9399999995</v>
      </c>
      <c r="LE32" s="1594">
        <f t="shared" si="141"/>
        <v>0.4226461822084196</v>
      </c>
      <c r="LF32" s="1008">
        <f t="shared" si="145"/>
        <v>0.46603816679308635</v>
      </c>
    </row>
    <row r="33" spans="1:321" ht="15.75" customHeight="1">
      <c r="A33" s="1495"/>
      <c r="B33" s="685" t="s">
        <v>233</v>
      </c>
      <c r="C33" s="645">
        <v>0</v>
      </c>
      <c r="D33" s="639">
        <v>48554.17</v>
      </c>
      <c r="E33" s="633"/>
      <c r="F33" s="635">
        <v>19274</v>
      </c>
      <c r="G33" s="637" t="s">
        <v>513</v>
      </c>
      <c r="H33" s="639">
        <v>0</v>
      </c>
      <c r="I33" s="639">
        <v>58945.55</v>
      </c>
      <c r="J33" s="474" t="s">
        <v>513</v>
      </c>
      <c r="K33" s="638">
        <v>21640.3</v>
      </c>
      <c r="L33" s="637" t="s">
        <v>513</v>
      </c>
      <c r="M33" s="639">
        <v>0</v>
      </c>
      <c r="N33" s="639">
        <v>53443.32</v>
      </c>
      <c r="O33" s="474" t="s">
        <v>513</v>
      </c>
      <c r="P33" s="635">
        <v>26575.75</v>
      </c>
      <c r="Q33" s="636"/>
      <c r="R33" s="639">
        <v>0</v>
      </c>
      <c r="S33" s="639">
        <v>50224.2</v>
      </c>
      <c r="T33" s="474" t="s">
        <v>513</v>
      </c>
      <c r="U33" s="638">
        <v>22788.97</v>
      </c>
      <c r="V33" s="636"/>
      <c r="W33" s="639">
        <f t="shared" si="157"/>
        <v>211167.24</v>
      </c>
      <c r="X33" s="639"/>
      <c r="Y33" s="666">
        <f t="shared" si="9"/>
        <v>90279.02</v>
      </c>
      <c r="Z33" s="646">
        <f t="shared" ref="Z33:Z34" si="179">Y33/W33</f>
        <v>0.42752379583120947</v>
      </c>
      <c r="AA33" s="645">
        <v>0</v>
      </c>
      <c r="AB33" s="639">
        <v>48970.06</v>
      </c>
      <c r="AC33" s="474" t="s">
        <v>513</v>
      </c>
      <c r="AD33" s="635">
        <v>22498.55</v>
      </c>
      <c r="AE33" s="636"/>
      <c r="AF33" s="639">
        <v>0</v>
      </c>
      <c r="AG33" s="639">
        <v>67797.649999999994</v>
      </c>
      <c r="AH33" s="474" t="s">
        <v>513</v>
      </c>
      <c r="AI33" s="638">
        <v>42149.48</v>
      </c>
      <c r="AJ33" s="636"/>
      <c r="AK33" s="639">
        <v>0</v>
      </c>
      <c r="AL33" s="639">
        <v>51501.81</v>
      </c>
      <c r="AM33" s="474" t="s">
        <v>513</v>
      </c>
      <c r="AN33" s="635">
        <v>29594.2</v>
      </c>
      <c r="AO33" s="636"/>
      <c r="AP33" s="639">
        <v>0</v>
      </c>
      <c r="AQ33" s="639">
        <v>54552.11</v>
      </c>
      <c r="AR33" s="474" t="s">
        <v>513</v>
      </c>
      <c r="AS33" s="638"/>
      <c r="AT33" s="636" t="s">
        <v>513</v>
      </c>
      <c r="AU33" s="639">
        <f t="shared" si="14"/>
        <v>222821.63</v>
      </c>
      <c r="AV33" s="639"/>
      <c r="AW33" s="778">
        <f t="shared" si="16"/>
        <v>94242.23</v>
      </c>
      <c r="AX33" s="665">
        <f>AW33/AU33</f>
        <v>0.42294919932144825</v>
      </c>
      <c r="AY33" s="645">
        <v>0</v>
      </c>
      <c r="AZ33" s="639">
        <v>50994.8</v>
      </c>
      <c r="BA33" s="474" t="s">
        <v>513</v>
      </c>
      <c r="BB33" s="635">
        <v>22482.32</v>
      </c>
      <c r="BC33" s="636"/>
      <c r="BD33" s="639">
        <v>0</v>
      </c>
      <c r="BE33" s="639">
        <v>56901.94</v>
      </c>
      <c r="BF33" s="474" t="s">
        <v>513</v>
      </c>
      <c r="BG33" s="638">
        <v>7200.29</v>
      </c>
      <c r="BH33" s="636"/>
      <c r="BI33" s="639">
        <v>0</v>
      </c>
      <c r="BJ33" s="639">
        <v>11800.26</v>
      </c>
      <c r="BK33" s="474" t="s">
        <v>513</v>
      </c>
      <c r="BL33" s="635">
        <v>11573.06</v>
      </c>
      <c r="BM33" s="636"/>
      <c r="BN33" s="639">
        <v>0</v>
      </c>
      <c r="BO33" s="639">
        <f>BO30*0.6</f>
        <v>42957.930599999992</v>
      </c>
      <c r="BP33" s="648">
        <v>0.3</v>
      </c>
      <c r="BQ33" s="638">
        <v>36742.959999999999</v>
      </c>
      <c r="BR33" s="636">
        <v>0</v>
      </c>
      <c r="BS33" s="639">
        <v>0</v>
      </c>
      <c r="BT33" s="639">
        <f>BT30*0.6</f>
        <v>48166.0023</v>
      </c>
      <c r="BU33" s="648">
        <v>0.3</v>
      </c>
      <c r="BV33" s="635">
        <v>31712.54</v>
      </c>
      <c r="BW33" s="636">
        <v>0</v>
      </c>
      <c r="BX33" s="661">
        <f t="shared" ref="BX33:BX34" si="180">AZ33+BE33+BJ33+BO33+BT33</f>
        <v>210820.93289999999</v>
      </c>
      <c r="BY33" s="661"/>
      <c r="BZ33" s="663">
        <f t="shared" ref="BZ33:BZ34" si="181">BV33+BQ33+BL33+BG33+BB33</f>
        <v>109711.16999999998</v>
      </c>
      <c r="CA33" s="651">
        <f>BZ33/BX33</f>
        <v>0.52039979375311829</v>
      </c>
      <c r="CB33" s="645">
        <v>0</v>
      </c>
      <c r="CC33" s="639">
        <f>CC30*0.6</f>
        <v>54841.57211999999</v>
      </c>
      <c r="CD33" s="648">
        <v>0.82</v>
      </c>
      <c r="CE33" s="635">
        <v>25270.69</v>
      </c>
      <c r="CF33" s="636">
        <f>CE33/CC33</f>
        <v>0.46079441239767294</v>
      </c>
      <c r="CG33" s="639">
        <v>0</v>
      </c>
      <c r="CH33" s="639">
        <f>CH30*0.6</f>
        <v>47334.757500000007</v>
      </c>
      <c r="CI33" s="648">
        <v>0.75</v>
      </c>
      <c r="CJ33" s="635">
        <v>25126.94</v>
      </c>
      <c r="CK33" s="636">
        <f>CJ33/CH33</f>
        <v>0.53083487329580159</v>
      </c>
      <c r="CL33" s="639">
        <v>0</v>
      </c>
      <c r="CM33" s="639">
        <f>CM30*0.4</f>
        <v>25482.990399999995</v>
      </c>
      <c r="CN33" s="648">
        <v>0.5</v>
      </c>
      <c r="CO33" s="635">
        <v>14596.6</v>
      </c>
      <c r="CP33" s="636">
        <f>CO33/CM33</f>
        <v>0.57279776709408492</v>
      </c>
      <c r="CQ33" s="639">
        <v>60433</v>
      </c>
      <c r="CR33" s="639">
        <f>CR30*0.6</f>
        <v>16713.012599999998</v>
      </c>
      <c r="CS33" s="474"/>
      <c r="CT33" s="638">
        <v>16575.189999999999</v>
      </c>
      <c r="CU33" s="636">
        <f t="shared" si="36"/>
        <v>0.27427382390415828</v>
      </c>
      <c r="CV33" s="656">
        <f t="shared" si="37"/>
        <v>144372.33262</v>
      </c>
      <c r="CW33" s="656"/>
      <c r="CX33" s="657">
        <f t="shared" si="39"/>
        <v>81569.42</v>
      </c>
      <c r="CY33" s="654">
        <f>CX33/CV33</f>
        <v>0.56499343412769742</v>
      </c>
      <c r="CZ33" s="645">
        <v>134179.96</v>
      </c>
      <c r="DA33" s="639">
        <f>DA30*0.6</f>
        <v>40714.412999999993</v>
      </c>
      <c r="DB33" s="648">
        <v>0.3</v>
      </c>
      <c r="DC33" s="635">
        <v>37236.89</v>
      </c>
      <c r="DD33" s="636">
        <f>DC33/DA33</f>
        <v>0.91458742141265814</v>
      </c>
      <c r="DE33" s="639">
        <v>70742.179999999993</v>
      </c>
      <c r="DF33" s="639">
        <f>DF30*0.6</f>
        <v>43767.404999999992</v>
      </c>
      <c r="DG33" s="648">
        <v>0.6</v>
      </c>
      <c r="DH33" s="635">
        <v>52218.21</v>
      </c>
      <c r="DI33" s="636">
        <f t="shared" si="44"/>
        <v>0.7381481599803682</v>
      </c>
      <c r="DJ33" s="639">
        <v>43835.360000000001</v>
      </c>
      <c r="DK33" s="639">
        <f>DK30*0.6</f>
        <v>37293.929400000001</v>
      </c>
      <c r="DL33" s="648">
        <v>0.6</v>
      </c>
      <c r="DM33" s="635">
        <v>30323.43</v>
      </c>
      <c r="DN33" s="636">
        <f>DM33/DK33</f>
        <v>0.81309292123023114</v>
      </c>
      <c r="DO33" s="639">
        <v>62266.75</v>
      </c>
      <c r="DP33" s="639">
        <f>DP30*0.6</f>
        <v>37398.049731806277</v>
      </c>
      <c r="DQ33" s="648">
        <v>0.35</v>
      </c>
      <c r="DR33" s="635">
        <v>24471.31</v>
      </c>
      <c r="DS33" s="636"/>
      <c r="DT33" s="656">
        <f t="shared" si="49"/>
        <v>159173.79713180626</v>
      </c>
      <c r="DU33" s="656">
        <f t="shared" si="50"/>
        <v>311024.25</v>
      </c>
      <c r="DV33" s="657">
        <f t="shared" si="51"/>
        <v>144249.84</v>
      </c>
      <c r="DW33" s="654">
        <f t="shared" si="52"/>
        <v>0.46378968842461638</v>
      </c>
      <c r="DX33" s="645">
        <v>52636.01</v>
      </c>
      <c r="DY33" s="639">
        <f>DY30*0.6</f>
        <v>45333.372958783693</v>
      </c>
      <c r="DZ33" s="648"/>
      <c r="EA33" s="635">
        <f>'Vtas Diarias 2021'!AG34</f>
        <v>29997.88</v>
      </c>
      <c r="EB33" s="636">
        <f t="shared" si="54"/>
        <v>0.5699117391306826</v>
      </c>
      <c r="EC33" s="639">
        <v>49282.37</v>
      </c>
      <c r="ED33" s="639">
        <f>ED30*0.4</f>
        <v>35803.912459213745</v>
      </c>
      <c r="EE33" s="633">
        <v>0.41285871288311332</v>
      </c>
      <c r="EF33" s="635">
        <f>'Vtas Diarias 2021'!BM34</f>
        <v>26820.519999999997</v>
      </c>
      <c r="EG33" s="636">
        <f t="shared" si="56"/>
        <v>0.544221391950103</v>
      </c>
      <c r="EH33" s="639">
        <v>49433.38</v>
      </c>
      <c r="EI33" s="639">
        <f>EI30*0.4</f>
        <v>38292.054400000001</v>
      </c>
      <c r="EJ33" s="648">
        <v>0.3</v>
      </c>
      <c r="EK33" s="635">
        <f>'Vtas Diarias 2021'!CS34</f>
        <v>31472.379999999997</v>
      </c>
      <c r="EL33" s="636">
        <f t="shared" si="58"/>
        <v>0.63666251427679033</v>
      </c>
      <c r="EM33" s="639">
        <v>54094.73</v>
      </c>
      <c r="EN33" s="639">
        <f>EN30*0.4</f>
        <v>38832.595200000003</v>
      </c>
      <c r="EO33" s="648">
        <v>0.3</v>
      </c>
      <c r="EP33" s="635">
        <f>'Vtas Diarias 2021'!DY34</f>
        <v>29724.350000000002</v>
      </c>
      <c r="EQ33" s="636">
        <f t="shared" si="60"/>
        <v>0.54948698329763357</v>
      </c>
      <c r="ER33" s="639">
        <v>56430.8</v>
      </c>
      <c r="ES33" s="639">
        <f>ES30*0.4</f>
        <v>29069.532000000003</v>
      </c>
      <c r="ET33" s="648">
        <v>0.3</v>
      </c>
      <c r="EU33" s="635">
        <f>'Vtas Diarias 2021'!FE34</f>
        <v>30178.41</v>
      </c>
      <c r="EV33" s="636">
        <f t="shared" si="62"/>
        <v>0.53478614515477363</v>
      </c>
      <c r="EW33" s="661">
        <f t="shared" si="63"/>
        <v>187331.46701799746</v>
      </c>
      <c r="EX33" s="956">
        <f t="shared" si="64"/>
        <v>261877.29000000004</v>
      </c>
      <c r="EY33" s="662">
        <f t="shared" si="65"/>
        <v>148193.54</v>
      </c>
      <c r="EZ33" s="654">
        <f>EY33/EX33</f>
        <v>0.56588923766547294</v>
      </c>
      <c r="FA33" s="645">
        <v>56794.92</v>
      </c>
      <c r="FB33" s="639">
        <f>FB30*0.4</f>
        <v>32492.0736</v>
      </c>
      <c r="FC33" s="809">
        <v>0.65</v>
      </c>
      <c r="FD33" s="635">
        <f>'Vtas Diarias 2021'!GK34</f>
        <v>27945.980000000003</v>
      </c>
      <c r="FE33" s="636">
        <f t="shared" si="68"/>
        <v>0.49205069749195884</v>
      </c>
      <c r="FF33" s="639">
        <v>46602.11</v>
      </c>
      <c r="FG33" s="639">
        <f>FG30*0.4</f>
        <v>36186.466719999997</v>
      </c>
      <c r="FH33" s="946">
        <v>0.7</v>
      </c>
      <c r="FI33" s="635">
        <f>'Vtas Diarias 2021'!HQ34</f>
        <v>25009.81</v>
      </c>
      <c r="FJ33" s="636">
        <f t="shared" si="70"/>
        <v>0.5366669019922059</v>
      </c>
      <c r="FK33" s="639">
        <v>41589.39</v>
      </c>
      <c r="FL33" s="639">
        <f>FL30*0.4</f>
        <v>29367.008000000002</v>
      </c>
      <c r="FM33" s="946">
        <v>0.7</v>
      </c>
      <c r="FN33" s="635">
        <f>'Vtas Diarias 2021'!IW34</f>
        <v>31305.89</v>
      </c>
      <c r="FO33" s="636">
        <f t="shared" si="72"/>
        <v>0.75273741692292195</v>
      </c>
      <c r="FP33" s="639">
        <v>42053.55</v>
      </c>
      <c r="FQ33" s="639">
        <f>FQ30*0.4</f>
        <v>31540.265680000008</v>
      </c>
      <c r="FR33" s="946">
        <v>0.7</v>
      </c>
      <c r="FS33" s="635">
        <f>'Vtas Diarias 2021'!KC34</f>
        <v>27620.1</v>
      </c>
      <c r="FT33" s="636">
        <f t="shared" si="74"/>
        <v>0.65678402893453691</v>
      </c>
      <c r="FU33" s="661">
        <f t="shared" si="75"/>
        <v>129585.81400000001</v>
      </c>
      <c r="FV33" s="661">
        <f t="shared" si="76"/>
        <v>187039.96999999997</v>
      </c>
      <c r="FW33" s="663">
        <f t="shared" si="77"/>
        <v>111881.78</v>
      </c>
      <c r="FX33" s="651">
        <f t="shared" si="78"/>
        <v>0.59817043383828605</v>
      </c>
      <c r="FY33" s="645">
        <v>39489.629999999997</v>
      </c>
      <c r="FZ33" s="639">
        <f>FZ30*0.4</f>
        <v>28735.1914</v>
      </c>
      <c r="GA33" s="946">
        <v>0.75</v>
      </c>
      <c r="GB33" s="635">
        <f>'Vtas Diarias 2021'!LI34</f>
        <v>25740.969999999998</v>
      </c>
      <c r="GC33" s="636">
        <f t="shared" si="80"/>
        <v>0.65184125553974548</v>
      </c>
      <c r="GD33" s="639">
        <v>42094.55</v>
      </c>
      <c r="GE33" s="639">
        <f>GE30*0.4</f>
        <v>35088.3776</v>
      </c>
      <c r="GF33" s="946">
        <v>0.7</v>
      </c>
      <c r="GG33" s="635">
        <f>'Vtas Diarias 2021'!MO34</f>
        <v>26970.83</v>
      </c>
      <c r="GH33" s="636">
        <f t="shared" si="82"/>
        <v>0.64072023575498493</v>
      </c>
      <c r="GI33" s="639">
        <v>29923.61</v>
      </c>
      <c r="GJ33" s="639">
        <f>GJ30*0.4</f>
        <v>31447.795200000008</v>
      </c>
      <c r="GK33" s="1480">
        <v>0.7</v>
      </c>
      <c r="GL33" s="635">
        <f>'Vtas Diarias 2021'!NU34</f>
        <v>24266.560000000001</v>
      </c>
      <c r="GM33" s="636">
        <f t="shared" si="84"/>
        <v>0.81095028307079264</v>
      </c>
      <c r="GN33" s="639">
        <v>44438.91</v>
      </c>
      <c r="GO33" s="639">
        <f>GO30*0.4</f>
        <v>24695.668720000001</v>
      </c>
      <c r="GP33" s="946">
        <v>0.7</v>
      </c>
      <c r="GQ33" s="635">
        <f>'Vtas Diarias 2021'!PA34</f>
        <v>24663.79</v>
      </c>
      <c r="GR33" s="636">
        <f>GQ33/GN33</f>
        <v>0.5550043869212814</v>
      </c>
      <c r="GS33" s="661">
        <f t="shared" si="86"/>
        <v>119967.03292000001</v>
      </c>
      <c r="GT33" s="661">
        <f t="shared" si="87"/>
        <v>155946.70000000001</v>
      </c>
      <c r="GU33" s="662">
        <f t="shared" si="88"/>
        <v>101642.15000000001</v>
      </c>
      <c r="GV33" s="1598">
        <f t="shared" si="89"/>
        <v>0.65177493335864112</v>
      </c>
      <c r="GW33" s="645">
        <v>45291</v>
      </c>
      <c r="GX33" s="639">
        <f>GX30*0.4</f>
        <v>30671.276000000002</v>
      </c>
      <c r="GY33" s="633">
        <v>0.7</v>
      </c>
      <c r="GZ33" s="635">
        <f>'Vtas Diarias 2021'!QG34</f>
        <v>27465.62</v>
      </c>
      <c r="HA33" s="636">
        <f t="shared" si="91"/>
        <v>0.60642555916186436</v>
      </c>
      <c r="HB33" s="639">
        <v>44233.01</v>
      </c>
      <c r="HC33" s="639">
        <f>HC30*0.4</f>
        <v>32557.225600000005</v>
      </c>
      <c r="HD33" s="633">
        <v>0.7</v>
      </c>
      <c r="HE33" s="635">
        <f>'Vtas Diarias 2021'!RM34</f>
        <v>23399.19</v>
      </c>
      <c r="HF33" s="636">
        <f t="shared" si="93"/>
        <v>0.52899836570018632</v>
      </c>
      <c r="HG33" s="639">
        <v>51429.93</v>
      </c>
      <c r="HH33" s="639">
        <f>HH30*0.4</f>
        <v>31639.081600000005</v>
      </c>
      <c r="HI33" s="633">
        <v>0.7</v>
      </c>
      <c r="HJ33" s="635">
        <f>'Vtas Diarias 2021'!SS34</f>
        <v>26527.97</v>
      </c>
      <c r="HK33" s="636">
        <f t="shared" si="95"/>
        <v>0.51580801296054657</v>
      </c>
      <c r="HL33" s="639">
        <v>46164.52</v>
      </c>
      <c r="HM33" s="639">
        <f>HM30*0.4</f>
        <v>26035.385360000004</v>
      </c>
      <c r="HN33" s="812">
        <v>0.7</v>
      </c>
      <c r="HO33" s="635">
        <f>'Vtas Diarias 2021'!TY34</f>
        <v>25505.32</v>
      </c>
      <c r="HP33" s="636">
        <f t="shared" si="97"/>
        <v>0.5524874947253865</v>
      </c>
      <c r="HQ33" s="639">
        <v>44340.44</v>
      </c>
      <c r="HR33" s="639">
        <f>HR30*0.4</f>
        <v>29448.191680000004</v>
      </c>
      <c r="HS33" s="812">
        <v>0.7</v>
      </c>
      <c r="HT33" s="635">
        <f>'Vtas Diarias 2021'!VE34</f>
        <v>28686.03</v>
      </c>
      <c r="HU33" s="636">
        <f t="shared" si="99"/>
        <v>0.64694960176308569</v>
      </c>
      <c r="HV33" s="661">
        <f t="shared" si="100"/>
        <v>150351.16024000003</v>
      </c>
      <c r="HW33" s="661">
        <f t="shared" si="101"/>
        <v>231458.9</v>
      </c>
      <c r="HX33" s="663">
        <f t="shared" si="102"/>
        <v>131584.13</v>
      </c>
      <c r="HY33" s="651">
        <f t="shared" si="103"/>
        <v>0.56849889980467383</v>
      </c>
      <c r="HZ33" s="645">
        <v>40540.11</v>
      </c>
      <c r="IA33" s="639">
        <f t="shared" si="165"/>
        <v>26351.071500000002</v>
      </c>
      <c r="IB33" s="812">
        <v>0.65</v>
      </c>
      <c r="IC33" s="635">
        <f>'Vtas Diarias 2021'!WK34</f>
        <v>28904.53</v>
      </c>
      <c r="ID33" s="636">
        <f t="shared" si="142"/>
        <v>0.71298597857775914</v>
      </c>
      <c r="IE33" s="639">
        <v>40093.07</v>
      </c>
      <c r="IF33" s="639">
        <f t="shared" si="166"/>
        <v>26862.356900000002</v>
      </c>
      <c r="IG33" s="812">
        <v>0.67</v>
      </c>
      <c r="IH33" s="635">
        <f>'Vtas Diarias 2021'!XQ34</f>
        <v>32005.81</v>
      </c>
      <c r="II33" s="636">
        <f t="shared" si="106"/>
        <v>0.79828783378274604</v>
      </c>
      <c r="IJ33" s="639">
        <v>32395.200000000001</v>
      </c>
      <c r="IK33" s="639">
        <f t="shared" si="167"/>
        <v>22676.639999999999</v>
      </c>
      <c r="IL33" s="812">
        <v>0.7</v>
      </c>
      <c r="IM33" s="635">
        <f>'Vtas Diarias 2021'!YW34</f>
        <v>41285.31</v>
      </c>
      <c r="IN33" s="636">
        <f t="shared" si="108"/>
        <v>1.2744267669284337</v>
      </c>
      <c r="IO33" s="639">
        <v>37549.730000000003</v>
      </c>
      <c r="IP33" s="639">
        <f t="shared" si="168"/>
        <v>27411.302900000002</v>
      </c>
      <c r="IQ33" s="812">
        <v>0.73</v>
      </c>
      <c r="IR33" s="635">
        <f>'Vtas Diarias 2021'!AAC34</f>
        <v>32780.070000000007</v>
      </c>
      <c r="IS33" s="636">
        <f t="shared" si="110"/>
        <v>0.87297751541755442</v>
      </c>
      <c r="IT33" s="1577">
        <f t="shared" si="111"/>
        <v>103301.37130000001</v>
      </c>
      <c r="IU33" s="1577">
        <f t="shared" si="112"/>
        <v>150578.10999999999</v>
      </c>
      <c r="IV33" s="1578">
        <f t="shared" si="113"/>
        <v>134975.72</v>
      </c>
      <c r="IW33" s="654">
        <f t="shared" si="114"/>
        <v>0.89638341190495763</v>
      </c>
      <c r="IX33" s="645">
        <v>36694.74</v>
      </c>
      <c r="IY33" s="639">
        <f t="shared" si="169"/>
        <v>31190.528999999999</v>
      </c>
      <c r="IZ33" s="648">
        <v>0.85</v>
      </c>
      <c r="JA33" s="635">
        <f>'Vtas Diarias 2021'!ABI34</f>
        <v>26420.07</v>
      </c>
      <c r="JB33" s="636">
        <f t="shared" si="116"/>
        <v>0.71999610843406991</v>
      </c>
      <c r="JC33" s="639">
        <v>43162.1</v>
      </c>
      <c r="JD33" s="639">
        <f t="shared" si="170"/>
        <v>37551.027000000002</v>
      </c>
      <c r="JE33" s="648">
        <v>0.87</v>
      </c>
      <c r="JF33" s="635">
        <f>'Vtas Diarias 2021'!ACO34</f>
        <v>29003.93</v>
      </c>
      <c r="JG33" s="636">
        <f t="shared" si="118"/>
        <v>0.67197680372363722</v>
      </c>
      <c r="JH33" s="639">
        <v>63746.18</v>
      </c>
      <c r="JI33" s="639">
        <f t="shared" si="171"/>
        <v>54184.252999999997</v>
      </c>
      <c r="JJ33" s="648">
        <v>0.85</v>
      </c>
      <c r="JK33" s="635">
        <f>'Vtas Diarias 2021'!ADU34</f>
        <v>30004.050000000003</v>
      </c>
      <c r="JL33" s="636">
        <f t="shared" si="120"/>
        <v>0.47067996858792172</v>
      </c>
      <c r="JM33" s="639">
        <v>50880.35</v>
      </c>
      <c r="JN33" s="639">
        <f t="shared" si="172"/>
        <v>45283.511500000001</v>
      </c>
      <c r="JO33" s="648">
        <v>0.89</v>
      </c>
      <c r="JP33" s="635">
        <f>'Vtas Diarias 2021'!AFA34</f>
        <v>26400.32</v>
      </c>
      <c r="JQ33" s="636">
        <f t="shared" si="122"/>
        <v>0.51887064456121079</v>
      </c>
      <c r="JR33" s="636">
        <f t="shared" si="122"/>
        <v>1.145826874669847E-5</v>
      </c>
      <c r="JS33" s="1577">
        <f t="shared" si="123"/>
        <v>168209.3205</v>
      </c>
      <c r="JT33" s="1577">
        <f t="shared" si="124"/>
        <v>194483.37</v>
      </c>
      <c r="JU33" s="1582">
        <f t="shared" si="125"/>
        <v>111828.37</v>
      </c>
      <c r="JV33" s="651">
        <f t="shared" si="126"/>
        <v>0.57500222255506983</v>
      </c>
      <c r="JW33" s="645">
        <v>71714.11</v>
      </c>
      <c r="JX33" s="639">
        <f t="shared" si="173"/>
        <v>39442.760500000004</v>
      </c>
      <c r="JY33" s="648">
        <v>0.55000000000000004</v>
      </c>
      <c r="JZ33" s="635">
        <f>'Vtas Diarias 2021'!AGG34</f>
        <v>41073.81</v>
      </c>
      <c r="KA33" s="636">
        <f t="shared" si="128"/>
        <v>0.57274377385426656</v>
      </c>
      <c r="KB33" s="639">
        <v>95821.2</v>
      </c>
      <c r="KC33" s="639">
        <f t="shared" si="174"/>
        <v>52701.66</v>
      </c>
      <c r="KD33" s="648">
        <v>0.55000000000000004</v>
      </c>
      <c r="KE33" s="635">
        <f>'Vtas Diarias 2021'!AHM34</f>
        <v>54524.53</v>
      </c>
      <c r="KF33" s="636">
        <f t="shared" si="130"/>
        <v>0.56902366073478516</v>
      </c>
      <c r="KG33" s="639">
        <v>114952.24</v>
      </c>
      <c r="KH33" s="639">
        <f t="shared" si="175"/>
        <v>63223.732000000011</v>
      </c>
      <c r="KI33" s="648">
        <v>0.55000000000000004</v>
      </c>
      <c r="KJ33" s="635">
        <f>'Vtas Diarias 2021'!AIS34</f>
        <v>82725.260000000009</v>
      </c>
      <c r="KK33" s="636">
        <f t="shared" si="132"/>
        <v>0.71964896029864234</v>
      </c>
      <c r="KL33" s="639">
        <v>149877.59</v>
      </c>
      <c r="KM33" s="1601">
        <f t="shared" si="176"/>
        <v>143882.48639999999</v>
      </c>
      <c r="KN33" s="1615">
        <v>0.96</v>
      </c>
      <c r="KO33" s="1603">
        <f>'Vtas Diarias 2021'!AJY34</f>
        <v>143117.99</v>
      </c>
      <c r="KP33" s="636">
        <f t="shared" si="134"/>
        <v>0.95489919473618434</v>
      </c>
      <c r="KQ33" s="639">
        <v>58701.279999999999</v>
      </c>
      <c r="KR33" s="1601">
        <f t="shared" si="177"/>
        <v>52831.152000000002</v>
      </c>
      <c r="KS33" s="1616">
        <v>0.9</v>
      </c>
      <c r="KT33" s="1602">
        <f>'Vtas Diarias 2021'!ALE34</f>
        <v>50884.709999999992</v>
      </c>
      <c r="KU33" s="636">
        <f>KT33/KQ33</f>
        <v>0.86684157483448387</v>
      </c>
      <c r="KV33" s="1577">
        <f t="shared" si="137"/>
        <v>352081.79090000002</v>
      </c>
      <c r="KW33" s="1577">
        <f t="shared" si="178"/>
        <v>491066.42000000004</v>
      </c>
      <c r="KX33" s="1578">
        <f t="shared" si="3"/>
        <v>372326.3</v>
      </c>
      <c r="KY33" s="959">
        <f t="shared" si="138"/>
        <v>0.7581994712650072</v>
      </c>
      <c r="KZ33" s="1508">
        <f t="shared" si="143"/>
        <v>2043908.0100000005</v>
      </c>
      <c r="LA33" s="811">
        <f t="shared" si="144"/>
        <v>1655712.7929400001</v>
      </c>
      <c r="LB33" s="1509">
        <f t="shared" si="139"/>
        <v>1983475.0099999998</v>
      </c>
      <c r="LC33" s="811">
        <f t="shared" si="140"/>
        <v>1632483.6700000002</v>
      </c>
      <c r="LD33" s="1575">
        <f t="shared" si="4"/>
        <v>-350991.33999999962</v>
      </c>
      <c r="LE33" s="1594">
        <f t="shared" si="141"/>
        <v>0.79870701715191172</v>
      </c>
      <c r="LF33" s="1008">
        <f>LA33/KZ33</f>
        <v>0.8100720701906734</v>
      </c>
    </row>
    <row r="34" spans="1:321">
      <c r="A34" s="1495"/>
      <c r="B34" s="685" t="s">
        <v>37</v>
      </c>
      <c r="C34" s="645">
        <v>0</v>
      </c>
      <c r="D34" s="639">
        <v>80923.62</v>
      </c>
      <c r="E34" s="633"/>
      <c r="F34" s="635">
        <v>28050.47</v>
      </c>
      <c r="G34" s="637" t="s">
        <v>513</v>
      </c>
      <c r="H34" s="639">
        <v>0</v>
      </c>
      <c r="I34" s="639">
        <v>98242.59</v>
      </c>
      <c r="J34" s="474" t="s">
        <v>513</v>
      </c>
      <c r="K34" s="638">
        <v>31404.59</v>
      </c>
      <c r="L34" s="637" t="s">
        <v>513</v>
      </c>
      <c r="M34" s="639">
        <v>0</v>
      </c>
      <c r="N34" s="639">
        <v>89072.21</v>
      </c>
      <c r="O34" s="474" t="s">
        <v>513</v>
      </c>
      <c r="P34" s="635">
        <v>32848.22</v>
      </c>
      <c r="Q34" s="636"/>
      <c r="R34" s="639">
        <v>0</v>
      </c>
      <c r="S34" s="639">
        <v>83707</v>
      </c>
      <c r="T34" s="474" t="s">
        <v>513</v>
      </c>
      <c r="U34" s="638">
        <v>34623.660000000003</v>
      </c>
      <c r="V34" s="636"/>
      <c r="W34" s="639">
        <f t="shared" si="157"/>
        <v>351945.42</v>
      </c>
      <c r="X34" s="639"/>
      <c r="Y34" s="666">
        <f t="shared" si="9"/>
        <v>126926.94</v>
      </c>
      <c r="Z34" s="646">
        <f t="shared" si="179"/>
        <v>0.36064381801019035</v>
      </c>
      <c r="AA34" s="645">
        <v>0</v>
      </c>
      <c r="AB34" s="639">
        <v>81616.759999999995</v>
      </c>
      <c r="AC34" s="474" t="s">
        <v>513</v>
      </c>
      <c r="AD34" s="635">
        <v>35727.86</v>
      </c>
      <c r="AE34" s="636"/>
      <c r="AF34" s="639">
        <v>0</v>
      </c>
      <c r="AG34" s="639">
        <v>112996.09</v>
      </c>
      <c r="AH34" s="474" t="s">
        <v>513</v>
      </c>
      <c r="AI34" s="638">
        <v>45525.77</v>
      </c>
      <c r="AJ34" s="636"/>
      <c r="AK34" s="639">
        <v>0</v>
      </c>
      <c r="AL34" s="639">
        <v>85836.36</v>
      </c>
      <c r="AM34" s="474" t="s">
        <v>513</v>
      </c>
      <c r="AN34" s="635">
        <v>24883.99</v>
      </c>
      <c r="AO34" s="636"/>
      <c r="AP34" s="639">
        <v>0</v>
      </c>
      <c r="AQ34" s="639">
        <v>90920.18</v>
      </c>
      <c r="AR34" s="474" t="s">
        <v>513</v>
      </c>
      <c r="AS34" s="638"/>
      <c r="AT34" s="636" t="s">
        <v>513</v>
      </c>
      <c r="AU34" s="639">
        <f t="shared" si="14"/>
        <v>371369.38999999996</v>
      </c>
      <c r="AV34" s="639"/>
      <c r="AW34" s="778">
        <f t="shared" si="16"/>
        <v>106137.62000000001</v>
      </c>
      <c r="AX34" s="665">
        <f>AW34/AU34</f>
        <v>0.28580066870885623</v>
      </c>
      <c r="AY34" s="645">
        <v>0</v>
      </c>
      <c r="AZ34" s="639">
        <v>84991.33</v>
      </c>
      <c r="BA34" s="474" t="s">
        <v>513</v>
      </c>
      <c r="BB34" s="635">
        <v>40356.57</v>
      </c>
      <c r="BC34" s="636"/>
      <c r="BD34" s="639">
        <v>0</v>
      </c>
      <c r="BE34" s="639">
        <v>94836.56</v>
      </c>
      <c r="BF34" s="474" t="s">
        <v>513</v>
      </c>
      <c r="BG34" s="638">
        <v>43803.75</v>
      </c>
      <c r="BH34" s="636"/>
      <c r="BI34" s="639">
        <v>0</v>
      </c>
      <c r="BJ34" s="639">
        <v>11800.26</v>
      </c>
      <c r="BK34" s="474" t="s">
        <v>513</v>
      </c>
      <c r="BL34" s="635">
        <v>41191.22</v>
      </c>
      <c r="BM34" s="636"/>
      <c r="BN34" s="639">
        <v>0</v>
      </c>
      <c r="BO34" s="639">
        <f>BO30*0.8</f>
        <v>57277.2408</v>
      </c>
      <c r="BP34" s="648">
        <v>0.3</v>
      </c>
      <c r="BQ34" s="638">
        <v>42460.62</v>
      </c>
      <c r="BR34" s="636">
        <v>0</v>
      </c>
      <c r="BS34" s="639">
        <v>0</v>
      </c>
      <c r="BT34" s="639">
        <f>BT30*0.8</f>
        <v>64221.336400000007</v>
      </c>
      <c r="BU34" s="648">
        <v>0.3</v>
      </c>
      <c r="BV34" s="635">
        <v>60578.58</v>
      </c>
      <c r="BW34" s="636">
        <v>0</v>
      </c>
      <c r="BX34" s="661">
        <f t="shared" si="180"/>
        <v>313126.72720000002</v>
      </c>
      <c r="BY34" s="661"/>
      <c r="BZ34" s="663">
        <f t="shared" si="181"/>
        <v>228390.74000000002</v>
      </c>
      <c r="CA34" s="651">
        <f>BZ34/BX34</f>
        <v>0.72938756152272655</v>
      </c>
      <c r="CB34" s="645">
        <v>0</v>
      </c>
      <c r="CC34" s="639">
        <f>CC30*0.8</f>
        <v>73122.096160000001</v>
      </c>
      <c r="CD34" s="648">
        <v>0.82</v>
      </c>
      <c r="CE34" s="635">
        <v>49355.07</v>
      </c>
      <c r="CF34" s="636">
        <f>CE34/CC34</f>
        <v>0.67496793160859514</v>
      </c>
      <c r="CG34" s="639">
        <v>0</v>
      </c>
      <c r="CH34" s="639">
        <f>CH30*0.8</f>
        <v>63113.010000000009</v>
      </c>
      <c r="CI34" s="648">
        <v>0.75</v>
      </c>
      <c r="CJ34" s="635">
        <v>52901.96</v>
      </c>
      <c r="CK34" s="636">
        <f>CJ34/CH34</f>
        <v>0.83821006160219569</v>
      </c>
      <c r="CL34" s="639">
        <v>0</v>
      </c>
      <c r="CM34" s="639">
        <f>CM30*0.6</f>
        <v>38224.485599999993</v>
      </c>
      <c r="CN34" s="648">
        <v>0.5</v>
      </c>
      <c r="CO34" s="635">
        <v>49525.87</v>
      </c>
      <c r="CP34" s="636">
        <f>CO34/CM34</f>
        <v>1.2956582468699072</v>
      </c>
      <c r="CQ34" s="639">
        <v>0</v>
      </c>
      <c r="CR34" s="639">
        <f>CR30*0.8</f>
        <v>22284.016800000001</v>
      </c>
      <c r="CS34" s="474"/>
      <c r="CT34" s="638">
        <v>50441.34</v>
      </c>
      <c r="CU34" s="636">
        <f>CT34/CR34</f>
        <v>2.2635658756100021</v>
      </c>
      <c r="CV34" s="656">
        <f t="shared" si="37"/>
        <v>196743.60856000002</v>
      </c>
      <c r="CW34" s="656"/>
      <c r="CX34" s="657">
        <f t="shared" si="39"/>
        <v>202224.24</v>
      </c>
      <c r="CY34" s="654">
        <f>CX34/CV34</f>
        <v>1.0278567191082528</v>
      </c>
      <c r="CZ34" s="645">
        <v>0</v>
      </c>
      <c r="DA34" s="639">
        <f>DA30*0.8</f>
        <v>54285.883999999998</v>
      </c>
      <c r="DB34" s="648">
        <v>0.3</v>
      </c>
      <c r="DC34" s="635">
        <v>64928.36</v>
      </c>
      <c r="DD34" s="636">
        <f>DC34/DA34</f>
        <v>1.1960449976277443</v>
      </c>
      <c r="DE34" s="639">
        <v>0</v>
      </c>
      <c r="DF34" s="639">
        <f>DF30*0.8</f>
        <v>58356.539999999994</v>
      </c>
      <c r="DG34" s="648">
        <v>0.6</v>
      </c>
      <c r="DH34" s="635">
        <v>85346.08</v>
      </c>
      <c r="DI34" s="636">
        <f>DH34/DF34</f>
        <v>1.4624938353096331</v>
      </c>
      <c r="DJ34" s="639">
        <v>0</v>
      </c>
      <c r="DK34" s="639">
        <f>DK30*0.8</f>
        <v>49725.239200000004</v>
      </c>
      <c r="DL34" s="648">
        <v>0.6</v>
      </c>
      <c r="DM34" s="635">
        <v>52303.59</v>
      </c>
      <c r="DN34" s="636">
        <f>DM34/DK34</f>
        <v>1.0518519536855238</v>
      </c>
      <c r="DO34" s="639">
        <v>0</v>
      </c>
      <c r="DP34" s="639">
        <f>DP30*0.8</f>
        <v>49864.066309075039</v>
      </c>
      <c r="DQ34" s="648">
        <v>0.35</v>
      </c>
      <c r="DR34" s="635">
        <v>46401.49</v>
      </c>
      <c r="DS34" s="636"/>
      <c r="DT34" s="656">
        <f t="shared" si="49"/>
        <v>212231.72950907503</v>
      </c>
      <c r="DU34" s="656"/>
      <c r="DV34" s="657">
        <f t="shared" si="51"/>
        <v>248979.52000000002</v>
      </c>
      <c r="DW34" s="654">
        <f>DV34/DT34</f>
        <v>1.1731493710951155</v>
      </c>
      <c r="DX34" s="645">
        <v>0</v>
      </c>
      <c r="DY34" s="639">
        <f>DY30*0.8</f>
        <v>60444.497278378265</v>
      </c>
      <c r="DZ34" s="648"/>
      <c r="EA34" s="635">
        <f>'Vtas Diarias 2021'!AG35</f>
        <v>54435.209999999992</v>
      </c>
      <c r="EB34" s="636">
        <f>EA34/DY34</f>
        <v>0.9005817311921317</v>
      </c>
      <c r="EC34" s="639">
        <v>0</v>
      </c>
      <c r="ED34" s="639">
        <f>ED30*0.6</f>
        <v>53705.868688820607</v>
      </c>
      <c r="EE34" s="648">
        <v>0.9005817311921317</v>
      </c>
      <c r="EF34" s="635">
        <f>'Vtas Diarias 2021'!BM35</f>
        <v>52549.119999999995</v>
      </c>
      <c r="EG34" s="636">
        <f>EF34/ED34</f>
        <v>0.97846140995273767</v>
      </c>
      <c r="EH34" s="639">
        <v>0</v>
      </c>
      <c r="EI34" s="639">
        <f>EI30*0.6</f>
        <v>57438.081599999998</v>
      </c>
      <c r="EJ34" s="648">
        <v>0.3</v>
      </c>
      <c r="EK34" s="635">
        <f>'Vtas Diarias 2021'!CS35</f>
        <v>61697.130000000005</v>
      </c>
      <c r="EL34" s="636">
        <f>EK34/EI34</f>
        <v>1.0741502550461226</v>
      </c>
      <c r="EM34" s="639">
        <v>0</v>
      </c>
      <c r="EN34" s="639">
        <f>EN30*0.6</f>
        <v>58248.892800000009</v>
      </c>
      <c r="EO34" s="648">
        <v>0.3</v>
      </c>
      <c r="EP34" s="635">
        <f>'Vtas Diarias 2021'!DY35</f>
        <v>53913.979999999996</v>
      </c>
      <c r="EQ34" s="1340">
        <f>EP34/EN34</f>
        <v>0.92557948157256631</v>
      </c>
      <c r="ER34" s="639">
        <v>0</v>
      </c>
      <c r="ES34" s="639">
        <f>ES30*0.6</f>
        <v>43604.298000000003</v>
      </c>
      <c r="ET34" s="648">
        <v>0.3</v>
      </c>
      <c r="EU34" s="635">
        <f>'Vtas Diarias 2021'!FE35</f>
        <v>63670.760000000009</v>
      </c>
      <c r="EV34" s="636">
        <f>EU34/ES34</f>
        <v>1.4601945890746826</v>
      </c>
      <c r="EW34" s="661">
        <f t="shared" si="63"/>
        <v>273441.63836719887</v>
      </c>
      <c r="EX34" s="956">
        <f t="shared" si="64"/>
        <v>0</v>
      </c>
      <c r="EY34" s="662">
        <f t="shared" si="65"/>
        <v>286266.19999999995</v>
      </c>
      <c r="EZ34" s="654">
        <f>EY34/EW34</f>
        <v>1.0469005441504093</v>
      </c>
      <c r="FA34" s="645">
        <v>0</v>
      </c>
      <c r="FB34" s="639">
        <f>FB30*0.6</f>
        <v>48738.110399999998</v>
      </c>
      <c r="FC34" s="809">
        <v>0.65</v>
      </c>
      <c r="FD34" s="635">
        <f>'Vtas Diarias 2021'!GK35</f>
        <v>56675.779999999992</v>
      </c>
      <c r="FE34" s="636">
        <f>FD34/FB34</f>
        <v>1.1628637125004335</v>
      </c>
      <c r="FF34" s="639">
        <v>0</v>
      </c>
      <c r="FG34" s="639">
        <f>FG30*0.6</f>
        <v>54279.700079999995</v>
      </c>
      <c r="FH34" s="946">
        <v>0.7</v>
      </c>
      <c r="FI34" s="635">
        <f>'Vtas Diarias 2021'!HQ35</f>
        <v>65178.84</v>
      </c>
      <c r="FJ34" s="636">
        <f>FI34/FG34</f>
        <v>1.20079587587876</v>
      </c>
      <c r="FK34" s="639">
        <v>0</v>
      </c>
      <c r="FL34" s="639">
        <f>FL30*0.6</f>
        <v>44050.512000000002</v>
      </c>
      <c r="FM34" s="946">
        <v>0.7</v>
      </c>
      <c r="FN34" s="635">
        <f>'Vtas Diarias 2021'!IW35</f>
        <v>55897.84</v>
      </c>
      <c r="FO34" s="636">
        <f>FN34/FL34</f>
        <v>1.2689487014362055</v>
      </c>
      <c r="FP34" s="639">
        <v>0</v>
      </c>
      <c r="FQ34" s="639">
        <f>FQ30*0.6</f>
        <v>47310.39852000001</v>
      </c>
      <c r="FR34" s="946">
        <v>0.7</v>
      </c>
      <c r="FS34" s="635">
        <f>'Vtas Diarias 2021'!KC35</f>
        <v>54346.64</v>
      </c>
      <c r="FT34" s="636">
        <f>FS34/FQ34</f>
        <v>1.1487250519994137</v>
      </c>
      <c r="FU34" s="661">
        <f t="shared" si="75"/>
        <v>194378.72100000002</v>
      </c>
      <c r="FV34" s="661">
        <f t="shared" si="76"/>
        <v>0</v>
      </c>
      <c r="FW34" s="663">
        <f t="shared" si="77"/>
        <v>232099.09999999998</v>
      </c>
      <c r="FX34" s="651">
        <f>IFERROR(FW34/FU34,0)</f>
        <v>1.1940561127573215</v>
      </c>
      <c r="FY34" s="645">
        <v>0</v>
      </c>
      <c r="FZ34" s="639">
        <f>FZ30*0.6</f>
        <v>43102.787099999994</v>
      </c>
      <c r="GA34" s="946">
        <v>0.75</v>
      </c>
      <c r="GB34" s="635">
        <f>'Vtas Diarias 2021'!LI35</f>
        <v>46770.16</v>
      </c>
      <c r="GC34" s="636">
        <f>GB34/FZ34</f>
        <v>1.0850843564127668</v>
      </c>
      <c r="GD34" s="639">
        <v>109174.26</v>
      </c>
      <c r="GE34" s="639">
        <f>GE30*0.6</f>
        <v>52632.566400000003</v>
      </c>
      <c r="GF34" s="946">
        <v>0.7</v>
      </c>
      <c r="GG34" s="635">
        <f>'Vtas Diarias 2021'!MO35</f>
        <v>46061.71</v>
      </c>
      <c r="GH34" s="636">
        <f>GG34/GE34</f>
        <v>0.87515607067186441</v>
      </c>
      <c r="GI34" s="639">
        <v>138441.95000000001</v>
      </c>
      <c r="GJ34" s="639">
        <f>GJ30*0.6</f>
        <v>47171.692800000004</v>
      </c>
      <c r="GK34" s="946">
        <v>0.7</v>
      </c>
      <c r="GL34" s="635">
        <f>'Vtas Diarias 2021'!NU35</f>
        <v>44951.58</v>
      </c>
      <c r="GM34" s="808">
        <f t="shared" si="84"/>
        <v>0.3246962354979831</v>
      </c>
      <c r="GN34" s="639">
        <v>132705.94</v>
      </c>
      <c r="GO34" s="639">
        <f>GO30*0.6</f>
        <v>37043.503079999995</v>
      </c>
      <c r="GP34" s="946">
        <v>0.7</v>
      </c>
      <c r="GQ34" s="635">
        <f>'Vtas Diarias 2021'!PA35</f>
        <v>44616.29</v>
      </c>
      <c r="GR34" s="636">
        <f>GQ34/GN34</f>
        <v>0.33620416689712607</v>
      </c>
      <c r="GS34" s="661">
        <f t="shared" si="86"/>
        <v>179950.54937999998</v>
      </c>
      <c r="GT34" s="661">
        <f t="shared" si="87"/>
        <v>380322.15</v>
      </c>
      <c r="GU34" s="662">
        <f t="shared" si="88"/>
        <v>182399.74</v>
      </c>
      <c r="GV34" s="1598">
        <f t="shared" si="89"/>
        <v>0.4795927347381686</v>
      </c>
      <c r="GW34" s="645">
        <v>129835</v>
      </c>
      <c r="GX34" s="639">
        <f>GX30*0.6</f>
        <v>46006.913999999997</v>
      </c>
      <c r="GY34" s="633">
        <v>0.7</v>
      </c>
      <c r="GZ34" s="635">
        <f>'Vtas Diarias 2021'!QG35</f>
        <v>45078.51</v>
      </c>
      <c r="HA34" s="636">
        <f t="shared" si="91"/>
        <v>0.34719844417915047</v>
      </c>
      <c r="HB34" s="639">
        <v>105540.24</v>
      </c>
      <c r="HC34" s="639">
        <f>HC30*0.6</f>
        <v>48835.838400000008</v>
      </c>
      <c r="HD34" s="633">
        <v>0.7</v>
      </c>
      <c r="HE34" s="635">
        <f>'Vtas Diarias 2021'!RM35</f>
        <v>44398.58</v>
      </c>
      <c r="HF34" s="636">
        <f t="shared" si="93"/>
        <v>0.4206791646484791</v>
      </c>
      <c r="HG34" s="639">
        <v>103338.51</v>
      </c>
      <c r="HH34" s="639">
        <f>HH30*0.6</f>
        <v>47458.622400000007</v>
      </c>
      <c r="HI34" s="633">
        <v>0.7</v>
      </c>
      <c r="HJ34" s="635">
        <f>'Vtas Diarias 2021'!SS35</f>
        <v>55070.149999999994</v>
      </c>
      <c r="HK34" s="636">
        <f>HJ34/HG34</f>
        <v>0.53291023839999241</v>
      </c>
      <c r="HL34" s="639">
        <v>97045.89</v>
      </c>
      <c r="HM34" s="639">
        <f>HM30*0.6</f>
        <v>39053.07804</v>
      </c>
      <c r="HN34" s="812">
        <v>0.7</v>
      </c>
      <c r="HO34" s="635">
        <f>'Vtas Diarias 2021'!TY35</f>
        <v>43538.69</v>
      </c>
      <c r="HP34" s="636">
        <f t="shared" si="97"/>
        <v>0.44864022577360052</v>
      </c>
      <c r="HQ34" s="639">
        <v>93584.76</v>
      </c>
      <c r="HR34" s="639">
        <f>HR30*0.6</f>
        <v>44172.287519999998</v>
      </c>
      <c r="HS34" s="812">
        <v>0.7</v>
      </c>
      <c r="HT34" s="635">
        <f>'Vtas Diarias 2021'!VE35</f>
        <v>46993.130000000005</v>
      </c>
      <c r="HU34" s="636">
        <f>HT34/HQ34</f>
        <v>0.50214511422586339</v>
      </c>
      <c r="HV34" s="661">
        <f t="shared" si="100"/>
        <v>225526.74036</v>
      </c>
      <c r="HW34" s="661">
        <f t="shared" si="101"/>
        <v>529344.4</v>
      </c>
      <c r="HX34" s="663">
        <f t="shared" si="102"/>
        <v>235079.06</v>
      </c>
      <c r="HY34" s="651">
        <f t="shared" si="103"/>
        <v>0.44409473303202979</v>
      </c>
      <c r="HZ34" s="645">
        <v>80506.89</v>
      </c>
      <c r="IA34" s="639">
        <f t="shared" si="165"/>
        <v>40253.445</v>
      </c>
      <c r="IB34" s="812">
        <v>0.5</v>
      </c>
      <c r="IC34" s="635">
        <f>'Vtas Diarias 2021'!WK35</f>
        <v>45488.229999999996</v>
      </c>
      <c r="ID34" s="636">
        <f t="shared" si="142"/>
        <v>0.56502281978598345</v>
      </c>
      <c r="IE34" s="639">
        <v>90309.759999999995</v>
      </c>
      <c r="IF34" s="639">
        <f t="shared" si="166"/>
        <v>46961.075199999999</v>
      </c>
      <c r="IG34" s="812">
        <v>0.52</v>
      </c>
      <c r="IH34" s="635">
        <f>'Vtas Diarias 2021'!XQ35</f>
        <v>52905.590000000004</v>
      </c>
      <c r="II34" s="636">
        <f>IH34/IE34</f>
        <v>0.5858236141918659</v>
      </c>
      <c r="IJ34" s="639">
        <v>73576.72</v>
      </c>
      <c r="IK34" s="639">
        <f t="shared" si="167"/>
        <v>40467.196000000004</v>
      </c>
      <c r="IL34" s="812">
        <v>0.55000000000000004</v>
      </c>
      <c r="IM34" s="635">
        <f>'Vtas Diarias 2021'!YW35</f>
        <v>51268.209999999992</v>
      </c>
      <c r="IN34" s="636"/>
      <c r="IO34" s="639">
        <v>80807.69</v>
      </c>
      <c r="IP34" s="639">
        <f t="shared" si="168"/>
        <v>46868.460200000001</v>
      </c>
      <c r="IQ34" s="812">
        <v>0.57999999999999996</v>
      </c>
      <c r="IR34" s="635">
        <f>'Vtas Diarias 2021'!AAC35</f>
        <v>65301.36</v>
      </c>
      <c r="IS34" s="636"/>
      <c r="IT34" s="1577">
        <f t="shared" si="111"/>
        <v>174550.1764</v>
      </c>
      <c r="IU34" s="1577">
        <f t="shared" si="112"/>
        <v>325201.06</v>
      </c>
      <c r="IV34" s="1578">
        <f t="shared" si="113"/>
        <v>214963.39</v>
      </c>
      <c r="IW34" s="654">
        <f t="shared" si="114"/>
        <v>0.66101687983427859</v>
      </c>
      <c r="IX34" s="645">
        <v>67818.09</v>
      </c>
      <c r="IY34" s="639">
        <f t="shared" si="169"/>
        <v>47472.662999999993</v>
      </c>
      <c r="IZ34" s="648">
        <v>0.7</v>
      </c>
      <c r="JA34" s="635">
        <f>'Vtas Diarias 2021'!ABI35</f>
        <v>46437.31</v>
      </c>
      <c r="JB34" s="636"/>
      <c r="JC34" s="639">
        <v>107708.36</v>
      </c>
      <c r="JD34" s="639">
        <f t="shared" si="170"/>
        <v>75395.851999999999</v>
      </c>
      <c r="JE34" s="648">
        <v>0.7</v>
      </c>
      <c r="JF34" s="635">
        <f>'Vtas Diarias 2021'!ACO35</f>
        <v>69708.149999999994</v>
      </c>
      <c r="JG34" s="636"/>
      <c r="JH34" s="639">
        <v>113027.58</v>
      </c>
      <c r="JI34" s="639">
        <f t="shared" si="171"/>
        <v>81379.857600000003</v>
      </c>
      <c r="JJ34" s="648">
        <v>0.72</v>
      </c>
      <c r="JK34" s="635">
        <f>'Vtas Diarias 2021'!ADU35</f>
        <v>73304.929999999993</v>
      </c>
      <c r="JL34" s="636"/>
      <c r="JM34" s="639">
        <v>82078.78</v>
      </c>
      <c r="JN34" s="639">
        <f t="shared" si="172"/>
        <v>60738.297200000001</v>
      </c>
      <c r="JO34" s="648">
        <v>0.74</v>
      </c>
      <c r="JP34" s="635">
        <f>'Vtas Diarias 2021'!AFA35</f>
        <v>55076.11</v>
      </c>
      <c r="JQ34" s="636"/>
      <c r="JR34" s="636"/>
      <c r="JS34" s="1577">
        <f t="shared" si="123"/>
        <v>264986.66980000003</v>
      </c>
      <c r="JT34" s="1577">
        <f t="shared" si="124"/>
        <v>370632.81000000006</v>
      </c>
      <c r="JU34" s="1582">
        <f t="shared" si="125"/>
        <v>244526.49999999997</v>
      </c>
      <c r="JV34" s="651">
        <f t="shared" si="126"/>
        <v>0.65975405685211719</v>
      </c>
      <c r="JW34" s="645">
        <v>127287.14</v>
      </c>
      <c r="JX34" s="639">
        <f t="shared" si="173"/>
        <v>82736.641000000003</v>
      </c>
      <c r="JY34" s="648">
        <v>0.65</v>
      </c>
      <c r="JZ34" s="635">
        <f>'Vtas Diarias 2021'!AGG35</f>
        <v>89049.93</v>
      </c>
      <c r="KA34" s="636">
        <f t="shared" si="128"/>
        <v>0.69959879686196103</v>
      </c>
      <c r="KB34" s="639">
        <v>182954.14</v>
      </c>
      <c r="KC34" s="639">
        <f t="shared" si="174"/>
        <v>118920.19100000001</v>
      </c>
      <c r="KD34" s="648">
        <v>0.65</v>
      </c>
      <c r="KE34" s="635">
        <f>'Vtas Diarias 2021'!AHM35</f>
        <v>106840.96000000001</v>
      </c>
      <c r="KF34" s="636">
        <f t="shared" si="130"/>
        <v>0.58397672771985376</v>
      </c>
      <c r="KG34" s="639">
        <v>206823.19</v>
      </c>
      <c r="KH34" s="639">
        <f t="shared" si="175"/>
        <v>134435.0735</v>
      </c>
      <c r="KI34" s="648">
        <v>0.65</v>
      </c>
      <c r="KJ34" s="635">
        <f>'Vtas Diarias 2021'!AIS35</f>
        <v>161557.05000000002</v>
      </c>
      <c r="KK34" s="636">
        <f t="shared" si="132"/>
        <v>0.78113605152304255</v>
      </c>
      <c r="KL34" s="639">
        <v>217984.93</v>
      </c>
      <c r="KM34" s="1601">
        <f t="shared" si="176"/>
        <v>244143.12160000001</v>
      </c>
      <c r="KN34" s="1615">
        <v>1.1200000000000001</v>
      </c>
      <c r="KO34" s="1603">
        <f>'Vtas Diarias 2021'!AJY35</f>
        <v>218490.21</v>
      </c>
      <c r="KP34" s="636">
        <f t="shared" si="134"/>
        <v>1.0023179584019868</v>
      </c>
      <c r="KQ34" s="639">
        <v>79711.23</v>
      </c>
      <c r="KR34" s="1601">
        <f t="shared" si="177"/>
        <v>63768.983999999997</v>
      </c>
      <c r="KS34" s="1616">
        <v>0.8</v>
      </c>
      <c r="KT34" s="1602">
        <f>'Vtas Diarias 2021'!ALE35</f>
        <v>91404.349999999991</v>
      </c>
      <c r="KU34" s="636">
        <f>KT34/KQ34</f>
        <v>1.1466935085558208</v>
      </c>
      <c r="KV34" s="1577">
        <f t="shared" si="137"/>
        <v>644004.0111</v>
      </c>
      <c r="KW34" s="1577">
        <f t="shared" si="178"/>
        <v>814760.63</v>
      </c>
      <c r="KX34" s="1578">
        <f t="shared" si="3"/>
        <v>667342.5</v>
      </c>
      <c r="KY34" s="959">
        <f t="shared" si="138"/>
        <v>0.81906571749791102</v>
      </c>
      <c r="KZ34" s="811">
        <f>C34+H34+M34+R34+AA34+AF34+AK34+AP34+AY34+BD34+BI34+BN34+BS34+CB34+CG34+CL34+CQ34+CZ34+DE34+DJ34+DO34+DX34+EC34+EH34+EM34+ER34+FA34+FF34+FK34+FP34+FY34+GD34+GI34+GN34+GW34+HB34+HG34+HL34+HQ34+HZ34+IE34+IJ34+IO34+IX34+JC34+JH34+JM34+JW34+KB34+KG34++KL34+KQ34</f>
        <v>2420261.0500000003</v>
      </c>
      <c r="LA34" s="1510">
        <f t="shared" si="144"/>
        <v>2922491.6976600001</v>
      </c>
      <c r="LB34" s="811">
        <f t="shared" si="139"/>
        <v>2420261.0500000003</v>
      </c>
      <c r="LC34" s="811">
        <f t="shared" si="140"/>
        <v>2975335.55</v>
      </c>
      <c r="LD34" s="1575">
        <f t="shared" si="4"/>
        <v>555074.49999999953</v>
      </c>
      <c r="LE34" s="1594">
        <f t="shared" si="141"/>
        <v>1.2293448882301352</v>
      </c>
      <c r="LF34" s="1008"/>
      <c r="LG34" s="1630">
        <f>SUM(LC25:LC34)</f>
        <v>53436475.50999999</v>
      </c>
    </row>
    <row r="35" spans="1:321" s="629" customFormat="1" ht="24.75" customHeight="1">
      <c r="A35" s="613"/>
      <c r="B35" s="667" t="s">
        <v>38</v>
      </c>
      <c r="C35" s="631">
        <f>SUM(C6:C34)</f>
        <v>1987342.24</v>
      </c>
      <c r="D35" s="632">
        <f>SUM(D6:D34)</f>
        <v>2436011.6</v>
      </c>
      <c r="E35" s="630">
        <f>AVERAGE(E6:E34)</f>
        <v>1.236538461538462</v>
      </c>
      <c r="F35" s="640">
        <f>SUM(F6:F34)</f>
        <v>1813912.6900000002</v>
      </c>
      <c r="G35" s="634">
        <f>F35/C35</f>
        <v>0.91273292213624979</v>
      </c>
      <c r="H35" s="632">
        <f>SUM(H6:H34)</f>
        <v>2095621.0599999998</v>
      </c>
      <c r="I35" s="632">
        <f>SUM(I6:I34)</f>
        <v>2596035.1199999996</v>
      </c>
      <c r="J35" s="630">
        <v>1.236538461538462</v>
      </c>
      <c r="K35" s="641">
        <f>SUM(K6:K34)</f>
        <v>1533310.0699999996</v>
      </c>
      <c r="L35" s="642">
        <f>K35/H35</f>
        <v>0.73167334460744526</v>
      </c>
      <c r="M35" s="632">
        <f>SUM(M6:M34)</f>
        <v>2085180.1700000004</v>
      </c>
      <c r="N35" s="632">
        <f>SUM(N6:N34)</f>
        <v>2465961.19</v>
      </c>
      <c r="O35" s="630">
        <f>AVERAGE(O6:O34)</f>
        <v>1.2092592592592597</v>
      </c>
      <c r="P35" s="640">
        <f>SUM(P6:P34)</f>
        <v>1581443.57</v>
      </c>
      <c r="Q35" s="634">
        <f>P35/M35</f>
        <v>0.75842058770393916</v>
      </c>
      <c r="R35" s="632">
        <f>SUM(R6:R34)</f>
        <v>2109968.9299999997</v>
      </c>
      <c r="S35" s="632">
        <f>SUM(S6:S34)</f>
        <v>2458523.0600000005</v>
      </c>
      <c r="T35" s="630">
        <f>AVERAGE(T6:T34)</f>
        <v>1.1840000000000004</v>
      </c>
      <c r="U35" s="641">
        <f>SUM(U6:U34)</f>
        <v>1623947.2799999998</v>
      </c>
      <c r="V35" s="642">
        <f>U35/R35</f>
        <v>0.76965459391859392</v>
      </c>
      <c r="W35" s="1373">
        <f>SUM(W6:W34)</f>
        <v>9956530.9699999988</v>
      </c>
      <c r="X35" s="1373">
        <f>SUM(X6:X34)</f>
        <v>8124193.1900000004</v>
      </c>
      <c r="Y35" s="1373">
        <f>SUM(Y6:Y34)</f>
        <v>6552613.6100000003</v>
      </c>
      <c r="Z35" s="650">
        <f>Y35/X35</f>
        <v>0.80655561195486536</v>
      </c>
      <c r="AA35" s="631">
        <f>SUM(AA6:AA34)</f>
        <v>2172972.66</v>
      </c>
      <c r="AB35" s="632">
        <f>SUM(AB6:AB34)</f>
        <v>2475049.3199999998</v>
      </c>
      <c r="AC35" s="630">
        <f>AVERAGE(AC6:AC34)</f>
        <v>1.1092592592592596</v>
      </c>
      <c r="AD35" s="640">
        <f>SUM(AD6:AD34)</f>
        <v>1801419.8100000005</v>
      </c>
      <c r="AE35" s="634">
        <f>AD35/AA35</f>
        <v>0.82901172350691255</v>
      </c>
      <c r="AF35" s="632">
        <f>SUM(AF6:AF34)</f>
        <v>2882580.9200000004</v>
      </c>
      <c r="AG35" s="632">
        <f>SUM(AG6:AG34)</f>
        <v>3286671.6700000004</v>
      </c>
      <c r="AH35" s="630">
        <f>AVERAGE(AH6:AH34)</f>
        <v>1.1092592592592596</v>
      </c>
      <c r="AI35" s="641">
        <f>SUM(AI6:AI34)</f>
        <v>2155118.9700000002</v>
      </c>
      <c r="AJ35" s="642">
        <f>AI35/AF35</f>
        <v>0.7476352025531342</v>
      </c>
      <c r="AK35" s="632">
        <f>SUM(AK6:AK34)</f>
        <v>2027171.1900000004</v>
      </c>
      <c r="AL35" s="632">
        <f>SUM(AL6:AL34)</f>
        <v>2327973.3600000003</v>
      </c>
      <c r="AM35" s="630">
        <f>AVERAGE(AM6:AM34)</f>
        <v>1.1092592592592596</v>
      </c>
      <c r="AN35" s="640">
        <f>SUM(AN6:AN34)</f>
        <v>1539105.7000000002</v>
      </c>
      <c r="AO35" s="634">
        <f>AN35/AK35</f>
        <v>0.75923814801255141</v>
      </c>
      <c r="AP35" s="632">
        <f>SUM(AP6:AP34)</f>
        <v>2326684.1800000002</v>
      </c>
      <c r="AQ35" s="632">
        <f>SUM(AQ6:AQ34)</f>
        <v>2663406.0300000012</v>
      </c>
      <c r="AR35" s="630">
        <f>AVERAGE(AR6:AR34)</f>
        <v>1.1092592592592596</v>
      </c>
      <c r="AS35" s="641">
        <f>SUM(AS6:AS34)</f>
        <v>1207670.1199999999</v>
      </c>
      <c r="AT35" s="642">
        <f>AS35/AP35</f>
        <v>0.51905201848237081</v>
      </c>
      <c r="AU35" s="1374">
        <f>SUM(AU6:AU34)</f>
        <v>10753100.379999999</v>
      </c>
      <c r="AV35" s="1374">
        <f>SUM(AV6:AV34)</f>
        <v>9409408.9499999993</v>
      </c>
      <c r="AW35" s="1374">
        <f>SUM(AW6:AW34)</f>
        <v>6703314.5999999996</v>
      </c>
      <c r="AX35" s="660">
        <f>AW35/AV35</f>
        <v>0.71240549067643621</v>
      </c>
      <c r="AY35" s="631">
        <f>SUM(AY6:AY34)</f>
        <v>2290161.4699999997</v>
      </c>
      <c r="AZ35" s="631">
        <f>SUM(AZ6:AZ34)</f>
        <v>2607606.8000000007</v>
      </c>
      <c r="BA35" s="630">
        <f>AVERAGE(BA6:BA34)</f>
        <v>1.1166666666666669</v>
      </c>
      <c r="BB35" s="640">
        <f>SUM(BB6:BB34)</f>
        <v>1923059.1600000004</v>
      </c>
      <c r="BC35" s="634">
        <f>BB35/AY35</f>
        <v>0.83970461698493282</v>
      </c>
      <c r="BD35" s="632">
        <f>SUM(BD6:BD34)</f>
        <v>2467128.89</v>
      </c>
      <c r="BE35" s="632">
        <f>SUM(BE6:BE34)</f>
        <v>2748365.49</v>
      </c>
      <c r="BF35" s="630">
        <f>AVERAGE(BF6:BF34)</f>
        <v>1.0766666666666667</v>
      </c>
      <c r="BG35" s="641">
        <f>SUM(BG6:BG34)</f>
        <v>1930918.0799999998</v>
      </c>
      <c r="BH35" s="642">
        <f>BG35/BD35</f>
        <v>0.78265796644292862</v>
      </c>
      <c r="BI35" s="632">
        <f>SUM(BI6:BI34)</f>
        <v>2758663.5900000003</v>
      </c>
      <c r="BJ35" s="632">
        <f>SUM(BJ6:BJ34)</f>
        <v>1127065.96</v>
      </c>
      <c r="BK35" s="630">
        <f>AVERAGE(BK6:BK34)</f>
        <v>0.40000000000000013</v>
      </c>
      <c r="BL35" s="640">
        <f>SUM(BL6:BL34)</f>
        <v>2162586.02</v>
      </c>
      <c r="BM35" s="634">
        <f>BL35/BI35</f>
        <v>0.78392524113460305</v>
      </c>
      <c r="BN35" s="632">
        <f>SUM(BN6:BN34)</f>
        <v>2624058.62</v>
      </c>
      <c r="BO35" s="632">
        <f>SUM(BO6:BO34)</f>
        <v>2018015.8141999999</v>
      </c>
      <c r="BP35" s="630">
        <f>AVERAGE(BP6:BP34)</f>
        <v>0.70448275862068965</v>
      </c>
      <c r="BQ35" s="641">
        <f>SUM(BQ6:BQ34)</f>
        <v>2125415.46</v>
      </c>
      <c r="BR35" s="642">
        <f>BQ35/BN35</f>
        <v>0.80997255312840533</v>
      </c>
      <c r="BS35" s="632">
        <f>SUM(BS6:BS34)</f>
        <v>2753024.57</v>
      </c>
      <c r="BT35" s="632">
        <f>SUM(BT6:BT34)</f>
        <v>2139238.5698000002</v>
      </c>
      <c r="BU35" s="630">
        <f>AVERAGE(BU6:BU34)</f>
        <v>0.70448275862068965</v>
      </c>
      <c r="BV35" s="640">
        <f>SUM(BV6:BV34)</f>
        <v>2350311.63</v>
      </c>
      <c r="BW35" s="634">
        <f>BV35/BS35</f>
        <v>0.85371981623832727</v>
      </c>
      <c r="BX35" s="1373">
        <f>SUM(BX6:BX34)</f>
        <v>10640292.634</v>
      </c>
      <c r="BY35" s="1373">
        <f>SUM(BY6:BY34)</f>
        <v>12893037.140000002</v>
      </c>
      <c r="BZ35" s="1373">
        <f>SUM(BZ6:BZ34)</f>
        <v>10492290.35</v>
      </c>
      <c r="CA35" s="650">
        <f t="shared" si="28"/>
        <v>0.81379509234858205</v>
      </c>
      <c r="CB35" s="631">
        <f>SUM(CB6:CB34)</f>
        <v>2878389.36</v>
      </c>
      <c r="CC35" s="632">
        <f>SUM(CC6:CC34)</f>
        <v>2726517.1313800002</v>
      </c>
      <c r="CD35" s="630">
        <f>AVERAGE(CD6:CD34)</f>
        <v>0.9027586206896554</v>
      </c>
      <c r="CE35" s="640">
        <f>SUM(CE6:CE34)</f>
        <v>2199365.2800000003</v>
      </c>
      <c r="CF35" s="634">
        <f>CE35/CB35</f>
        <v>0.76409582058766379</v>
      </c>
      <c r="CG35" s="632">
        <f>SUM(CG6:CG34)</f>
        <v>3050852.38</v>
      </c>
      <c r="CH35" s="632">
        <f>SUM(CH6:CH34)</f>
        <v>2660052.2439999999</v>
      </c>
      <c r="CI35" s="630">
        <f>AVERAGE(CI6:CI34)</f>
        <v>0.82586206896551739</v>
      </c>
      <c r="CJ35" s="641">
        <f>SUM(CJ6:CJ34)</f>
        <v>2067963.18</v>
      </c>
      <c r="CK35" s="642">
        <f>CJ35/CG35</f>
        <v>0.67783128202355036</v>
      </c>
      <c r="CL35" s="632">
        <f>SUM(CL6:CL34)</f>
        <v>2918155.5900000008</v>
      </c>
      <c r="CM35" s="632">
        <f>SUM(CM6:CM34)</f>
        <v>2293510.1519999988</v>
      </c>
      <c r="CN35" s="630">
        <f>AVERAGE(CN6:CN34)</f>
        <v>0.73620689655172378</v>
      </c>
      <c r="CO35" s="640">
        <f>SUM(CO6:CO34)</f>
        <v>1608327.0800000003</v>
      </c>
      <c r="CP35" s="634">
        <f>CO35/CL35</f>
        <v>0.55114507448178929</v>
      </c>
      <c r="CQ35" s="632">
        <f>SUM(CQ6:CQ34)</f>
        <v>3483308.5700000003</v>
      </c>
      <c r="CR35" s="632">
        <f>SUM(CR6:CR34)</f>
        <v>1413504.6676438611</v>
      </c>
      <c r="CS35" s="630">
        <f>CR35/CQ35</f>
        <v>0.40579369850195646</v>
      </c>
      <c r="CT35" s="641">
        <f>SUM(CT6:CT34)</f>
        <v>2251881.6099999994</v>
      </c>
      <c r="CU35" s="642">
        <f>CT35/CQ35</f>
        <v>0.64647778534303069</v>
      </c>
      <c r="CV35" s="1375">
        <f>SUM(CV6:CV34)</f>
        <v>9093584.1950238589</v>
      </c>
      <c r="CW35" s="1376">
        <f>SUM(CW6:CW34)</f>
        <v>12270272.899999999</v>
      </c>
      <c r="CX35" s="1376">
        <f>SUM(CX6:CX34)</f>
        <v>8127537.1500000004</v>
      </c>
      <c r="CY35" s="647">
        <f>CX35/CW35</f>
        <v>0.66237623370218612</v>
      </c>
      <c r="CZ35" s="631">
        <f>SUM(CZ6:CZ34)</f>
        <v>4305372.9800000004</v>
      </c>
      <c r="DA35" s="632">
        <f>SUM(DA6:DA34)</f>
        <v>2387900.4910000004</v>
      </c>
      <c r="DB35" s="630">
        <f>DA35/CZ35</f>
        <v>0.55463266529814104</v>
      </c>
      <c r="DC35" s="640">
        <f>SUM(DC6:DC34)</f>
        <v>2776828.6199999996</v>
      </c>
      <c r="DD35" s="634">
        <f>DC35/CZ35</f>
        <v>0.6449681904214486</v>
      </c>
      <c r="DE35" s="632">
        <f>SUM(DE6:DE34)</f>
        <v>3068836.1099999994</v>
      </c>
      <c r="DF35" s="632">
        <f>SUM(DF6:DF34)</f>
        <v>2028656.3422000001</v>
      </c>
      <c r="DG35" s="630">
        <f>DF35/DE35</f>
        <v>0.66105072720875946</v>
      </c>
      <c r="DH35" s="641">
        <f>SUM(DH6:DH34)</f>
        <v>3048399.0999999996</v>
      </c>
      <c r="DI35" s="642">
        <f>DH35/DE35</f>
        <v>0.99334046874207316</v>
      </c>
      <c r="DJ35" s="632">
        <f>SUM(DJ6:DJ34)</f>
        <v>2731646.25</v>
      </c>
      <c r="DK35" s="632">
        <f>SUM(DK6:DK34)</f>
        <v>2102717.7611000002</v>
      </c>
      <c r="DL35" s="630">
        <f>DK35/DJ35</f>
        <v>0.76976210265146894</v>
      </c>
      <c r="DM35" s="640">
        <f>SUM(DM6:DM34)</f>
        <v>2379488.7199999997</v>
      </c>
      <c r="DN35" s="634">
        <f>DM35/DJ35</f>
        <v>0.8710823079672193</v>
      </c>
      <c r="DO35" s="632">
        <f>SUM(DO6:DO34)</f>
        <v>2733921.0499999993</v>
      </c>
      <c r="DP35" s="632">
        <f>SUM(DP6:DP34)</f>
        <v>2378226.560611493</v>
      </c>
      <c r="DQ35" s="630">
        <f>DP35/DO35</f>
        <v>0.8698958445092968</v>
      </c>
      <c r="DR35" s="641">
        <f>SUM(DR6:DR34)</f>
        <v>2383054.75</v>
      </c>
      <c r="DS35" s="642">
        <f>DR35/DO35</f>
        <v>0.8716618755322143</v>
      </c>
      <c r="DT35" s="658">
        <f>SUM(DT6:DT34)</f>
        <v>8897501.1549114939</v>
      </c>
      <c r="DU35" s="649">
        <f>SUM(DU6:DU34)</f>
        <v>12839776.389999999</v>
      </c>
      <c r="DV35" s="649">
        <f>SUM(DV6:DV34)</f>
        <v>10587771.189999999</v>
      </c>
      <c r="DW35" s="659">
        <f>DV35/DU35</f>
        <v>0.8246071324299753</v>
      </c>
      <c r="DX35" s="631">
        <f>SUM(DX6:DX34)</f>
        <v>2789257.11</v>
      </c>
      <c r="DY35" s="631">
        <f>SUM(DY6:DY34)</f>
        <v>2487924.859697395</v>
      </c>
      <c r="DZ35" s="630">
        <f>DY35/DX35</f>
        <v>0.89196684334969578</v>
      </c>
      <c r="EA35" s="640">
        <f>SUM(EA6:EA34)</f>
        <v>2467426.38</v>
      </c>
      <c r="EB35" s="634">
        <f>EA35/DX35</f>
        <v>0.88461776117871038</v>
      </c>
      <c r="EC35" s="632">
        <f>SUM(EC6:EC34)</f>
        <v>3172187.2399999998</v>
      </c>
      <c r="ED35" s="632">
        <f>SUM(ED6:ED34)</f>
        <v>2779553.7993424092</v>
      </c>
      <c r="EE35" s="630">
        <f>ED35/EC35</f>
        <v>0.87622627198462899</v>
      </c>
      <c r="EF35" s="641">
        <f>SUM(EF6:EF34)</f>
        <v>2489909.5400000005</v>
      </c>
      <c r="EG35" s="642">
        <f>EF35/EC35</f>
        <v>0.78491884356738051</v>
      </c>
      <c r="EH35" s="632">
        <f>SUM(EH6:EH34)</f>
        <v>3334550.9899999998</v>
      </c>
      <c r="EI35" s="632">
        <f>SUM(EI6:EI34)</f>
        <v>2684311.7442500005</v>
      </c>
      <c r="EJ35" s="630">
        <f>EI35/EH35</f>
        <v>0.8049994593874843</v>
      </c>
      <c r="EK35" s="640">
        <f>SUM(EK6:EK34)</f>
        <v>2721175.17</v>
      </c>
      <c r="EL35" s="634">
        <f>EK35/EH35</f>
        <v>0.81605444875803212</v>
      </c>
      <c r="EM35" s="632">
        <f>SUM(EM6:EM34)</f>
        <v>3395174.94</v>
      </c>
      <c r="EN35" s="632">
        <f>SUM(EN6:EN34)</f>
        <v>2725530.9027999998</v>
      </c>
      <c r="EO35" s="630">
        <f>EN35/EM35</f>
        <v>0.802765969638077</v>
      </c>
      <c r="EP35" s="1341">
        <f>SUM(EP6:EP34)</f>
        <v>2514341.15</v>
      </c>
      <c r="EQ35" s="642">
        <f>EP35/EM35</f>
        <v>0.74056306212015099</v>
      </c>
      <c r="ER35" s="632">
        <f>SUM(ER6:ER34)</f>
        <v>3234575.8299999991</v>
      </c>
      <c r="ES35" s="632">
        <f>SUM(ES6:ES34)</f>
        <v>2267466.8026000001</v>
      </c>
      <c r="ET35" s="630">
        <f>ES35/ER35</f>
        <v>0.70100901069306532</v>
      </c>
      <c r="EU35" s="1342">
        <f>SUM(EU6:EU34)</f>
        <v>2647037.4400000004</v>
      </c>
      <c r="EV35" s="634">
        <f>EU35/ER35</f>
        <v>0.81835689720095417</v>
      </c>
      <c r="EW35" s="652">
        <f>SUM(EW6:EW34)</f>
        <v>12944788.108689802</v>
      </c>
      <c r="EX35" s="653">
        <f>SUM(EX6:EX34)</f>
        <v>15925746.109999999</v>
      </c>
      <c r="EY35" s="653">
        <f>SUM(EY6:EY34)</f>
        <v>12839889.68</v>
      </c>
      <c r="EZ35" s="660">
        <f>EY35/EX35</f>
        <v>0.80623473407865354</v>
      </c>
      <c r="FA35" s="631">
        <f>SUM(FA6:FA34)</f>
        <v>3066258.7900000005</v>
      </c>
      <c r="FB35" s="632">
        <f>SUM(FB6:FB34)</f>
        <v>2447145.3114999998</v>
      </c>
      <c r="FC35" s="630">
        <f>FB35/FA35</f>
        <v>0.79808831514185385</v>
      </c>
      <c r="FD35" s="640">
        <f>SUM(FD6:FD34)</f>
        <v>2771267.12</v>
      </c>
      <c r="FE35" s="634">
        <f>FD35/FA35</f>
        <v>0.90379426845442479</v>
      </c>
      <c r="FF35" s="632">
        <f>SUM(FF6:FF34)</f>
        <v>3174506.2900000005</v>
      </c>
      <c r="FG35" s="632">
        <f>SUM(FG6:FG34)</f>
        <v>2682137.6944199996</v>
      </c>
      <c r="FH35" s="630">
        <f>FG35/FF35</f>
        <v>0.84489915892401624</v>
      </c>
      <c r="FI35" s="1341">
        <f>SUM(FI6:FI34)</f>
        <v>2826656.4699999997</v>
      </c>
      <c r="FJ35" s="642">
        <f>FI35/FF35</f>
        <v>0.89042396258726564</v>
      </c>
      <c r="FK35" s="632">
        <f>SUM(FK6:FK34)</f>
        <v>2950379.9100000006</v>
      </c>
      <c r="FL35" s="632">
        <f>SUM(FL6:FL34)</f>
        <v>2563789.9207199998</v>
      </c>
      <c r="FM35" s="630">
        <f>FL35/FK35</f>
        <v>0.86896942052455861</v>
      </c>
      <c r="FN35" s="1342">
        <f>SUM(FN6:FN34)</f>
        <v>2634586.7199999997</v>
      </c>
      <c r="FO35" s="634">
        <f>FN35/FK35</f>
        <v>0.89296524527920851</v>
      </c>
      <c r="FP35" s="632">
        <f>SUM(FP6:FP34)</f>
        <v>2901599.72</v>
      </c>
      <c r="FQ35" s="632">
        <f>SUM(FQ6:FQ34)</f>
        <v>2541100.7580800001</v>
      </c>
      <c r="FR35" s="630">
        <f>FQ35/FP35</f>
        <v>0.87575854814322907</v>
      </c>
      <c r="FS35" s="1341">
        <f>SUM(FS6:FS34)</f>
        <v>2592209.6100000003</v>
      </c>
      <c r="FT35" s="642">
        <f>FS35/FP35</f>
        <v>0.89337257380215085</v>
      </c>
      <c r="FU35" s="1406">
        <f>SUM(FU6:FU34)</f>
        <v>10234173.684720002</v>
      </c>
      <c r="FV35" s="1373">
        <f>SUM(FV6:FV34)</f>
        <v>12092744.710000003</v>
      </c>
      <c r="FW35" s="649">
        <f>SUM(FW6:FW34)</f>
        <v>10824719.919999998</v>
      </c>
      <c r="FX35" s="650">
        <f>IFERROR(FW35/FV35,0)</f>
        <v>0.89514168863984855</v>
      </c>
      <c r="FY35" s="631">
        <f>SUM(FY6:FY34)</f>
        <v>2803182.87</v>
      </c>
      <c r="FZ35" s="631">
        <f>SUM(FZ6:FZ34)</f>
        <v>2425969.4023899995</v>
      </c>
      <c r="GA35" s="630">
        <f>FZ35/FY35</f>
        <v>0.8654338710303261</v>
      </c>
      <c r="GB35" s="1342">
        <f>SUM(GB6:GB34)</f>
        <v>2475816.2500000009</v>
      </c>
      <c r="GC35" s="634">
        <f>GB35/FY35</f>
        <v>0.88321610284383656</v>
      </c>
      <c r="GD35" s="632">
        <f>SUM(GD6:GD34)</f>
        <v>2932316.81</v>
      </c>
      <c r="GE35" s="632">
        <f>SUM(GE6:GE34)</f>
        <v>2592409.2866850002</v>
      </c>
      <c r="GF35" s="630">
        <f>GE35/GD35</f>
        <v>0.88408226486448449</v>
      </c>
      <c r="GG35" s="1341">
        <f>SUM(GG6:GG34)</f>
        <v>2478535.4</v>
      </c>
      <c r="GH35" s="642">
        <f>GG35/GD35</f>
        <v>0.84524816402767877</v>
      </c>
      <c r="GI35" s="632">
        <f>SUM(GI6:GI34)</f>
        <v>3004435.77</v>
      </c>
      <c r="GJ35" s="632">
        <f>SUM(GJ6:GJ34)</f>
        <v>2415677.3264749995</v>
      </c>
      <c r="GK35" s="630">
        <f>GJ35/GI35</f>
        <v>0.80403693452065361</v>
      </c>
      <c r="GL35" s="640">
        <f>SUM(GL6:GL34)</f>
        <v>2309349.6799999997</v>
      </c>
      <c r="GM35" s="634">
        <f>GL35/GI35</f>
        <v>0.76864671332281453</v>
      </c>
      <c r="GN35" s="632">
        <f>SUM(GN6:GN34)</f>
        <v>2938120.97</v>
      </c>
      <c r="GO35" s="632">
        <f>SUM(GO6:GO34)</f>
        <v>2190510.1763000004</v>
      </c>
      <c r="GP35" s="630">
        <f>GO35/GN35</f>
        <v>0.74554798752891382</v>
      </c>
      <c r="GQ35" s="1341">
        <f>SUM(GQ6:GQ34)</f>
        <v>2489687.81</v>
      </c>
      <c r="GR35" s="642">
        <f>GQ35/GN35</f>
        <v>0.84737416717052327</v>
      </c>
      <c r="GS35" s="652">
        <f>SUM(GS6:GS34)</f>
        <v>9624566.1918499991</v>
      </c>
      <c r="GT35" s="1376">
        <f>SUM(GT6:GT34)</f>
        <v>11678056.42</v>
      </c>
      <c r="GU35" s="653">
        <f>SUM(GU6:GU34)</f>
        <v>9753389.1400000025</v>
      </c>
      <c r="GV35" s="647">
        <f>IFERROR(GU35/GT35,0)</f>
        <v>0.83518941758974674</v>
      </c>
      <c r="GW35" s="631">
        <f>SUM(GW6:GW34)</f>
        <v>2941162</v>
      </c>
      <c r="GX35" s="631">
        <f>SUM(GX6:GX34)</f>
        <v>2305729.4539999999</v>
      </c>
      <c r="GY35" s="630">
        <f>GX35/GW35</f>
        <v>0.78395187140320732</v>
      </c>
      <c r="GZ35" s="1342">
        <f>SUM(GZ6:GZ34)</f>
        <v>2551730.5999999996</v>
      </c>
      <c r="HA35" s="634">
        <f>GZ35/GW35</f>
        <v>0.86759267255594885</v>
      </c>
      <c r="HB35" s="632">
        <f>SUM(HB6:HB34)</f>
        <v>2914536.6300000004</v>
      </c>
      <c r="HC35" s="632">
        <f>SUM(HC6:HC34)</f>
        <v>2317230.4850499993</v>
      </c>
      <c r="HD35" s="630">
        <f>HC35/HB35</f>
        <v>0.79505965414817892</v>
      </c>
      <c r="HE35" s="641">
        <f>SUM(HE6:HE34)</f>
        <v>2203783.2500000005</v>
      </c>
      <c r="HF35" s="642">
        <f>HE35/HB35</f>
        <v>0.75613503268957039</v>
      </c>
      <c r="HG35" s="632">
        <f>SUM(HG6:HG34)</f>
        <v>2800130.4699999997</v>
      </c>
      <c r="HH35" s="632">
        <f>SUM(HH6:HH34)</f>
        <v>2226314.5519000003</v>
      </c>
      <c r="HI35" s="630">
        <f>HH35/HG35</f>
        <v>0.79507529229521956</v>
      </c>
      <c r="HJ35" s="640">
        <f>SUM(HJ6:HJ34)</f>
        <v>2397362.6600000006</v>
      </c>
      <c r="HK35" s="634">
        <f>HJ35/HG35</f>
        <v>0.85616105595251102</v>
      </c>
      <c r="HL35" s="632">
        <f>SUM(HL6:HL34)</f>
        <v>2702757.33</v>
      </c>
      <c r="HM35" s="632">
        <f>SUM(HM6:HM34)</f>
        <v>2155771.7040349999</v>
      </c>
      <c r="HN35" s="630">
        <f>HM35/HL35</f>
        <v>0.79761940892969474</v>
      </c>
      <c r="HO35" s="641">
        <f>SUM(HO6:HO34)</f>
        <v>2058353.1200000006</v>
      </c>
      <c r="HP35" s="642">
        <f>HO35/HL35</f>
        <v>0.76157526136465992</v>
      </c>
      <c r="HQ35" s="632">
        <f>SUM(HQ6:HQ34)</f>
        <v>2853142.1300000004</v>
      </c>
      <c r="HR35" s="632">
        <f>SUM(HR6:HR34)</f>
        <v>2286465.5982499998</v>
      </c>
      <c r="HS35" s="630">
        <f>HR35/HQ35</f>
        <v>0.80138510248348527</v>
      </c>
      <c r="HT35" s="640">
        <f>SUM(HT6:HT34)</f>
        <v>2244869.0599999991</v>
      </c>
      <c r="HU35" s="634">
        <f>HT35/HQ35</f>
        <v>0.78680589950140301</v>
      </c>
      <c r="HV35" s="1373">
        <f>SUM(HV6:HV34)</f>
        <v>11291511.793234998</v>
      </c>
      <c r="HW35" s="1373">
        <f>SUM(HW6:HW34)</f>
        <v>14211728.559999999</v>
      </c>
      <c r="HX35" s="1373">
        <f>SUM(HX6:HX34)</f>
        <v>11456098.689999999</v>
      </c>
      <c r="HY35" s="650">
        <f>IFERROR(HX35/HW35,0)</f>
        <v>0.80610170969941464</v>
      </c>
      <c r="HZ35" s="631">
        <f>SUM(HZ6:HZ34)</f>
        <v>2619387.19</v>
      </c>
      <c r="IA35" s="631">
        <f>SUM(IA6:IA34)</f>
        <v>2089563.3084000004</v>
      </c>
      <c r="IB35" s="630">
        <f>IA35/HZ35</f>
        <v>0.79772983405328501</v>
      </c>
      <c r="IC35" s="1342">
        <f>SUM(IC6:IC34)</f>
        <v>2253134.1999999993</v>
      </c>
      <c r="ID35" s="634">
        <f>IC35/HZ35</f>
        <v>0.86017607805434804</v>
      </c>
      <c r="IE35" s="632">
        <f>SUM(IE6:IE34)</f>
        <v>2849185.9699999993</v>
      </c>
      <c r="IF35" s="632">
        <f>SUM(IF6:IF34)</f>
        <v>2344110.0363000003</v>
      </c>
      <c r="IG35" s="630">
        <f>IF35/IE35</f>
        <v>0.82272974140048882</v>
      </c>
      <c r="IH35" s="641">
        <f>SUM(IH6:IH34)</f>
        <v>2515894.1599999997</v>
      </c>
      <c r="II35" s="642">
        <f>IH35/IE35</f>
        <v>0.88302209349992</v>
      </c>
      <c r="IJ35" s="632">
        <f>SUM(IJ6:IJ34)</f>
        <v>3053599.6900000004</v>
      </c>
      <c r="IK35" s="632">
        <f>SUM(IK6:IK34)</f>
        <v>2519164.9626000002</v>
      </c>
      <c r="IL35" s="630">
        <f>IK35/IJ35</f>
        <v>0.82498205997656482</v>
      </c>
      <c r="IM35" s="640">
        <f>SUM(IM6:IM34)</f>
        <v>2557960.12</v>
      </c>
      <c r="IN35" s="634">
        <f>IM35/IJ35</f>
        <v>0.83768678925953122</v>
      </c>
      <c r="IO35" s="632">
        <f>SUM(IO6:IO34)</f>
        <v>3570588.0299999993</v>
      </c>
      <c r="IP35" s="632">
        <f>SUM(IP6:IP34)</f>
        <v>3083770.4765000003</v>
      </c>
      <c r="IQ35" s="630">
        <f>IP35/IO35</f>
        <v>0.86365899694678605</v>
      </c>
      <c r="IR35" s="641">
        <f>SUM(IR6:IR34)</f>
        <v>3648974.2099999995</v>
      </c>
      <c r="IS35" s="642">
        <f>IR35/IO35</f>
        <v>1.0219532971436081</v>
      </c>
      <c r="IT35" s="1579">
        <f>SUM(IT6:IT34)</f>
        <v>10036608.7838</v>
      </c>
      <c r="IU35" s="1580">
        <f>SUM(IU6:IU34)</f>
        <v>12092760.880000003</v>
      </c>
      <c r="IV35" s="1580">
        <f>SUM(IV6:IV34)</f>
        <v>10975962.690000001</v>
      </c>
      <c r="IW35" s="647">
        <f>IFERROR(IV35/IU35,0)</f>
        <v>0.90764737671716855</v>
      </c>
      <c r="IX35" s="631">
        <f>SUM(IX6:IX34)</f>
        <v>2675575.29</v>
      </c>
      <c r="IY35" s="632">
        <f>SUM(IY6:IY34)</f>
        <v>2410095.4801000003</v>
      </c>
      <c r="IZ35" s="630">
        <f>IY35/IX35</f>
        <v>0.90077655041432236</v>
      </c>
      <c r="JA35" s="640">
        <f>SUM(JA6:JA34)</f>
        <v>2574485.4500000002</v>
      </c>
      <c r="JB35" s="634">
        <f>JA35/IX35</f>
        <v>0.96221753116878284</v>
      </c>
      <c r="JC35" s="632">
        <f>SUM(JC6:JC34)</f>
        <v>3443035.42</v>
      </c>
      <c r="JD35" s="632">
        <f>SUM(JD6:JD34)</f>
        <v>3166449.4575999994</v>
      </c>
      <c r="JE35" s="630">
        <f>JD35/JC35</f>
        <v>0.91966798808012251</v>
      </c>
      <c r="JF35" s="641">
        <f>SUM(JF6:JF34)</f>
        <v>2838052.01</v>
      </c>
      <c r="JG35" s="642">
        <f>JF35/JC35</f>
        <v>0.82428777627852567</v>
      </c>
      <c r="JH35" s="632">
        <f>SUM(JH6:JH34)</f>
        <v>4051305.45</v>
      </c>
      <c r="JI35" s="632">
        <f>SUM(JI6:JI34)</f>
        <v>3740854.0927000009</v>
      </c>
      <c r="JJ35" s="630">
        <f>JI35/JH35</f>
        <v>0.92337004426560843</v>
      </c>
      <c r="JK35" s="640">
        <f>SUM(JK6:JK34)</f>
        <v>3256407.8499999996</v>
      </c>
      <c r="JL35" s="634">
        <f>JK35/JH35</f>
        <v>0.80379223195821969</v>
      </c>
      <c r="JM35" s="632">
        <f>SUM(JM6:JM34)</f>
        <v>4215009.7299999995</v>
      </c>
      <c r="JN35" s="632">
        <f>SUM(JN6:JN34)</f>
        <v>3645456.5795999994</v>
      </c>
      <c r="JO35" s="630">
        <f>JN35/JM35</f>
        <v>0.86487500933953942</v>
      </c>
      <c r="JP35" s="641">
        <f>SUM(JP6:JP34)</f>
        <v>3336627.03</v>
      </c>
      <c r="JQ35" s="642">
        <f>JP35/JM35</f>
        <v>0.79160600893796751</v>
      </c>
      <c r="JR35" s="798"/>
      <c r="JS35" s="1583">
        <f>SUM(JS6:JS34)</f>
        <v>12962855.610000001</v>
      </c>
      <c r="JT35" s="1584">
        <f>SUM(JT6:JT34)</f>
        <v>14384925.889999999</v>
      </c>
      <c r="JU35" s="1584">
        <f>SUM(JU6:JU34)</f>
        <v>12005572.340000004</v>
      </c>
      <c r="JV35" s="650">
        <f>IFERROR(JU35/JT35,0)</f>
        <v>0.83459396536383579</v>
      </c>
      <c r="JW35" s="631">
        <f>SUM(JW6:JW34)</f>
        <v>5691780.040000001</v>
      </c>
      <c r="JX35" s="631">
        <f>SUM(JX6:JX34)</f>
        <v>4597177.0754000004</v>
      </c>
      <c r="JY35" s="630">
        <f>JX35/JW35</f>
        <v>0.80768705801919916</v>
      </c>
      <c r="JZ35" s="640">
        <f>SUM(JZ6:JZ34)</f>
        <v>4689793.96</v>
      </c>
      <c r="KA35" s="634">
        <f>JZ35/JW35</f>
        <v>0.82395910014821994</v>
      </c>
      <c r="KB35" s="632">
        <f>SUM(KB6:KB34)</f>
        <v>7096251.6299999999</v>
      </c>
      <c r="KC35" s="632">
        <f>SUM(KC6:KC34)</f>
        <v>5787927.7888000002</v>
      </c>
      <c r="KD35" s="630">
        <f>KC35/KB35</f>
        <v>0.81563170115488148</v>
      </c>
      <c r="KE35" s="641">
        <f>SUM(KE6:KE34)</f>
        <v>5329780.0599999996</v>
      </c>
      <c r="KF35" s="642">
        <f>KE35/KB35</f>
        <v>0.75106976723710117</v>
      </c>
      <c r="KG35" s="632">
        <f>SUM(KG6:KG34)</f>
        <v>9280240.1899999995</v>
      </c>
      <c r="KH35" s="632">
        <f>SUM(KH6:KH34)</f>
        <v>7672468.8192999987</v>
      </c>
      <c r="KI35" s="630">
        <f>KH35/KG35</f>
        <v>0.82675325877529893</v>
      </c>
      <c r="KJ35" s="640">
        <f>SUM(KJ6:KJ34)</f>
        <v>6929390.1500000004</v>
      </c>
      <c r="KK35" s="634">
        <f>KJ35/KG35</f>
        <v>0.74668219875028907</v>
      </c>
      <c r="KL35" s="632">
        <f>SUM(KL6:KL34)</f>
        <v>8200373.6099999994</v>
      </c>
      <c r="KM35" s="632">
        <f>SUM(KM6:KM34)</f>
        <v>11524729.206600001</v>
      </c>
      <c r="KN35" s="630">
        <f>KM35/KL35</f>
        <v>1.4053907486051727</v>
      </c>
      <c r="KO35" s="641">
        <f>SUM(KO6:KO34)</f>
        <v>10513234.5</v>
      </c>
      <c r="KP35" s="642">
        <f>KO35/KL35</f>
        <v>1.2820433555831612</v>
      </c>
      <c r="KQ35" s="632">
        <f>SUM(KQ6:KQ34)</f>
        <v>2957566.8499999996</v>
      </c>
      <c r="KR35" s="632">
        <f>SUM(KR6:KR34)</f>
        <v>2787917.8566000005</v>
      </c>
      <c r="KS35" s="630">
        <f>KR35/KQ35</f>
        <v>0.94263899955465114</v>
      </c>
      <c r="KT35" s="640">
        <f>SUM(KT6:KT34)</f>
        <v>3006777.95</v>
      </c>
      <c r="KU35" s="634">
        <f>KT35/KQ35</f>
        <v>1.0166390490886117</v>
      </c>
      <c r="KV35" s="1579">
        <f>SUM(KV6:KV34)</f>
        <v>32370220.746700007</v>
      </c>
      <c r="KW35" s="1580">
        <f>SUM(KW6:KW34)</f>
        <v>33226212.32</v>
      </c>
      <c r="KX35" s="1580">
        <f>SUM(KX6:KX34)</f>
        <v>30468976.620000005</v>
      </c>
      <c r="KY35" s="683">
        <f>IFERROR(KX35/KW35,0)</f>
        <v>0.91701624989796626</v>
      </c>
      <c r="KZ35" s="1405">
        <f t="shared" ref="KZ35" si="182">SUM(KZ6:KZ34)</f>
        <v>169363215.67000002</v>
      </c>
      <c r="LA35" s="1405">
        <f>SUM(LA6:LA34)</f>
        <v>142542722.573735</v>
      </c>
      <c r="LB35" s="1405">
        <f>SUM(LB6:LB34)</f>
        <v>169148863.46000001</v>
      </c>
      <c r="LC35" s="1405">
        <f>SUM(LC6:LC34)</f>
        <v>140788135.97999999</v>
      </c>
      <c r="LD35" s="1576">
        <f t="shared" si="4"/>
        <v>-28360727.480000019</v>
      </c>
      <c r="LE35" s="1574">
        <f>LC35/KZ35</f>
        <v>0.83127930361408664</v>
      </c>
      <c r="LF35" s="1581">
        <f>LA35/KZ35</f>
        <v>0.84163920724955954</v>
      </c>
      <c r="LH35" s="1629">
        <v>143193492</v>
      </c>
      <c r="LI35" s="1627">
        <f>LH35/KZ35</f>
        <v>0.84548165570385092</v>
      </c>
    </row>
    <row r="36" spans="1:321" ht="9" customHeight="1">
      <c r="A36" s="1495"/>
      <c r="B36" s="444"/>
      <c r="C36" s="439"/>
      <c r="D36" s="440"/>
      <c r="E36" s="440"/>
      <c r="F36" s="441"/>
      <c r="G36" s="439"/>
      <c r="H36" s="439"/>
      <c r="I36" s="440"/>
      <c r="J36" s="440"/>
      <c r="K36" s="441"/>
      <c r="L36" s="440"/>
      <c r="M36" s="440"/>
      <c r="N36" s="440"/>
      <c r="O36" s="440"/>
      <c r="P36" s="441"/>
      <c r="Q36" s="440"/>
      <c r="R36" s="440"/>
      <c r="S36" s="440"/>
      <c r="T36" s="440"/>
      <c r="U36" s="441"/>
      <c r="V36" s="440"/>
      <c r="W36" s="440"/>
      <c r="X36" s="440"/>
      <c r="Y36" s="440"/>
      <c r="Z36" s="440"/>
      <c r="AA36" s="439"/>
      <c r="AB36" s="440"/>
      <c r="AC36" s="440"/>
      <c r="AD36" s="441"/>
      <c r="AE36" s="440"/>
      <c r="AF36" s="439"/>
      <c r="AG36" s="440"/>
      <c r="AH36" s="440"/>
      <c r="AI36" s="441"/>
      <c r="AJ36" s="440"/>
      <c r="AK36" s="439"/>
      <c r="AL36" s="440"/>
      <c r="AM36" s="440"/>
      <c r="AN36" s="441"/>
      <c r="AO36" s="440"/>
      <c r="AP36" s="439"/>
      <c r="AQ36" s="440"/>
      <c r="AR36" s="440"/>
      <c r="AS36" s="441"/>
      <c r="AT36" s="440"/>
      <c r="AU36" s="440"/>
      <c r="AV36" s="440"/>
      <c r="AW36" s="440"/>
      <c r="AX36" s="440"/>
      <c r="AY36" s="439"/>
      <c r="AZ36" s="440"/>
      <c r="BA36" s="440"/>
      <c r="BB36" s="441"/>
      <c r="BC36" s="440"/>
      <c r="BD36" s="439"/>
      <c r="BE36" s="440"/>
      <c r="BF36" s="440"/>
      <c r="BG36" s="441"/>
      <c r="BH36" s="440"/>
      <c r="BI36" s="439"/>
      <c r="BJ36" s="440"/>
      <c r="BK36" s="440"/>
      <c r="BL36" s="442"/>
      <c r="BM36" s="440"/>
      <c r="BN36" s="443"/>
      <c r="BO36" s="443"/>
      <c r="BP36" s="417"/>
      <c r="BQ36" s="443"/>
      <c r="BR36" s="473"/>
      <c r="BS36" s="443"/>
      <c r="BT36" s="443"/>
      <c r="BU36" s="417"/>
      <c r="BV36" s="443"/>
      <c r="BW36" s="473"/>
      <c r="BX36" s="473"/>
      <c r="BY36" s="473"/>
      <c r="BZ36" s="473"/>
      <c r="CA36" s="473"/>
      <c r="CB36" s="443"/>
      <c r="CC36" s="443"/>
      <c r="CD36" s="417"/>
      <c r="CE36" s="443"/>
      <c r="CF36" s="473"/>
      <c r="CG36" s="443"/>
      <c r="CH36" s="443"/>
      <c r="CI36" s="417"/>
      <c r="CJ36" s="443"/>
      <c r="CK36" s="473"/>
      <c r="CL36" s="443"/>
      <c r="CM36" s="443"/>
      <c r="CN36" s="417"/>
      <c r="CO36" s="443"/>
      <c r="CP36" s="473"/>
      <c r="CQ36" s="443"/>
      <c r="CR36" s="443"/>
      <c r="CS36" s="655"/>
      <c r="CT36" s="443"/>
      <c r="CU36" s="473"/>
      <c r="CV36" s="443"/>
      <c r="CW36" s="443"/>
      <c r="CX36" s="443"/>
      <c r="CY36" s="489"/>
      <c r="CZ36" s="475"/>
      <c r="DA36" s="475"/>
      <c r="DB36" s="417"/>
      <c r="DC36" s="443"/>
      <c r="DD36" s="473"/>
      <c r="DE36" s="475"/>
      <c r="DF36" s="475"/>
      <c r="DG36" s="417"/>
      <c r="DH36" s="443"/>
      <c r="DI36" s="473"/>
      <c r="DJ36" s="475"/>
      <c r="DK36" s="475"/>
      <c r="DL36" s="417"/>
      <c r="DM36" s="443"/>
      <c r="DN36" s="473"/>
      <c r="DO36" s="475"/>
      <c r="DP36" s="475"/>
      <c r="DQ36" s="417"/>
      <c r="DR36" s="443"/>
      <c r="DS36" s="473"/>
      <c r="DT36" s="443"/>
      <c r="DU36" s="443"/>
      <c r="DV36" s="443"/>
      <c r="DW36" s="417"/>
      <c r="DX36" s="475"/>
      <c r="DY36" s="475"/>
      <c r="DZ36" s="417"/>
      <c r="EA36" s="443"/>
      <c r="EB36" s="473"/>
      <c r="EC36" s="475"/>
      <c r="ED36" s="475"/>
      <c r="EE36" s="417"/>
      <c r="EF36" s="443"/>
      <c r="EG36" s="473"/>
      <c r="EH36" s="475"/>
      <c r="EI36" s="475"/>
      <c r="EJ36" s="417"/>
      <c r="EK36" s="443"/>
      <c r="EL36" s="473"/>
      <c r="EM36" s="475"/>
      <c r="EN36" s="475"/>
      <c r="EO36" s="417"/>
      <c r="EP36" s="443"/>
      <c r="EQ36" s="473"/>
      <c r="ER36" s="475"/>
      <c r="ES36" s="475"/>
      <c r="ET36" s="417"/>
      <c r="EU36" s="443"/>
      <c r="EV36" s="473"/>
      <c r="EW36" s="342"/>
      <c r="EX36" s="342"/>
      <c r="EY36" s="342"/>
      <c r="EZ36" s="342"/>
      <c r="FA36" s="475"/>
      <c r="FB36" s="475"/>
      <c r="FC36" s="417"/>
      <c r="FD36" s="443"/>
      <c r="FE36" s="473"/>
      <c r="FF36" s="475"/>
      <c r="FG36" s="475"/>
      <c r="FH36" s="417"/>
      <c r="FI36" s="443"/>
      <c r="FJ36" s="473"/>
      <c r="FK36" s="475"/>
      <c r="FL36" s="475"/>
      <c r="FM36" s="417"/>
      <c r="FN36" s="443"/>
      <c r="FO36" s="473"/>
      <c r="FP36" s="475"/>
      <c r="FQ36" s="475"/>
      <c r="FR36" s="417"/>
      <c r="FS36" s="443"/>
      <c r="FT36" s="473"/>
      <c r="FU36" s="342"/>
      <c r="FV36" s="342"/>
      <c r="FW36" s="342"/>
      <c r="FX36" s="342"/>
      <c r="FY36" s="406"/>
      <c r="FZ36" s="342"/>
      <c r="GA36" s="342"/>
      <c r="GB36" s="422"/>
      <c r="GC36" s="342"/>
      <c r="GD36" s="406"/>
      <c r="GE36" s="342"/>
      <c r="GF36" s="342"/>
      <c r="GG36" s="422"/>
      <c r="GH36" s="342"/>
      <c r="GI36" s="406"/>
      <c r="GJ36" s="342"/>
      <c r="GK36" s="342"/>
      <c r="GL36" s="422"/>
      <c r="GM36" s="342"/>
      <c r="GN36" s="406"/>
      <c r="GO36" s="342"/>
      <c r="GP36" s="342"/>
      <c r="GQ36" s="422"/>
      <c r="GR36" s="342"/>
      <c r="GS36" s="342"/>
      <c r="GT36" s="342"/>
      <c r="GU36" s="342"/>
      <c r="GV36" s="342"/>
      <c r="GW36" s="411"/>
      <c r="GX36" s="342"/>
      <c r="GY36" s="342"/>
      <c r="GZ36" s="1495"/>
      <c r="HA36" s="342"/>
      <c r="HB36" s="1495"/>
      <c r="HC36" s="342"/>
      <c r="HD36" s="342"/>
      <c r="HE36" s="1495"/>
      <c r="HF36" s="342"/>
      <c r="HG36" s="1495"/>
      <c r="HH36" s="342"/>
      <c r="HI36" s="342"/>
      <c r="HJ36" s="1495"/>
      <c r="HK36" s="342"/>
      <c r="HL36" s="1495"/>
      <c r="HM36" s="342"/>
      <c r="HN36" s="342"/>
      <c r="HO36" s="1495"/>
      <c r="HP36" s="342"/>
      <c r="HQ36" s="1495"/>
      <c r="HR36" s="342"/>
      <c r="HS36" s="342"/>
      <c r="HT36" s="1495"/>
      <c r="HU36" s="342"/>
      <c r="HV36" s="342"/>
      <c r="HW36" s="342"/>
      <c r="HX36" s="342"/>
      <c r="HY36" s="342"/>
      <c r="HZ36" s="1495"/>
      <c r="IA36" s="342"/>
      <c r="IB36" s="342"/>
      <c r="IC36" s="1495"/>
      <c r="ID36" s="342"/>
      <c r="IE36" s="1495"/>
      <c r="IF36" s="342"/>
      <c r="IG36" s="342"/>
      <c r="IH36" s="1495"/>
      <c r="II36" s="342"/>
      <c r="IJ36" s="1495"/>
      <c r="IK36" s="342"/>
      <c r="IL36" s="342"/>
      <c r="IM36" s="1495"/>
      <c r="IN36" s="342"/>
      <c r="IO36" s="1495"/>
      <c r="IP36" s="342"/>
      <c r="IQ36" s="342"/>
      <c r="IR36" s="1495"/>
      <c r="IS36" s="342"/>
      <c r="IT36" s="342"/>
      <c r="IU36" s="342"/>
      <c r="IV36" s="342"/>
      <c r="IW36" s="342"/>
      <c r="IX36" s="1495"/>
      <c r="IY36" s="342"/>
      <c r="IZ36" s="342"/>
      <c r="JA36" s="1495"/>
      <c r="JB36" s="342"/>
      <c r="JC36" s="1495"/>
      <c r="JD36" s="342"/>
      <c r="JE36" s="342"/>
      <c r="JF36" s="1495"/>
      <c r="JG36" s="342"/>
      <c r="JH36" s="1495"/>
      <c r="JI36" s="342"/>
      <c r="JJ36" s="342"/>
      <c r="JK36" s="1495"/>
      <c r="JL36" s="342"/>
      <c r="JM36" s="1495"/>
      <c r="JN36" s="342"/>
      <c r="JO36" s="342"/>
      <c r="JP36" s="1495"/>
      <c r="JQ36" s="342"/>
      <c r="JR36" s="342"/>
      <c r="JS36" s="342"/>
      <c r="JT36" s="342"/>
      <c r="JU36" s="342"/>
      <c r="JV36" s="342"/>
      <c r="JW36" s="1495"/>
      <c r="JX36" s="342"/>
      <c r="JY36" s="342"/>
      <c r="JZ36" s="1495"/>
      <c r="KA36" s="342"/>
      <c r="KB36" s="1495"/>
      <c r="KC36" s="342"/>
      <c r="KD36" s="342"/>
      <c r="KE36" s="1495"/>
      <c r="KF36" s="342"/>
      <c r="KG36" s="1495"/>
      <c r="KH36" s="342"/>
      <c r="KI36" s="342"/>
      <c r="KJ36" s="1495"/>
      <c r="KK36" s="342"/>
      <c r="KL36" s="1495"/>
      <c r="KM36" s="342"/>
      <c r="KN36" s="342"/>
      <c r="KO36" s="1495"/>
      <c r="KP36" s="342"/>
      <c r="KQ36" s="1495"/>
      <c r="KR36" s="342"/>
      <c r="KS36" s="342"/>
      <c r="KT36" s="1495"/>
      <c r="KU36" s="342"/>
      <c r="KV36" s="342"/>
      <c r="KW36" s="342"/>
      <c r="KX36" s="342"/>
      <c r="KY36" s="342"/>
      <c r="KZ36" s="342"/>
      <c r="LA36" s="342"/>
      <c r="LB36" s="1495"/>
      <c r="LC36" s="1495"/>
      <c r="LD36" s="1495"/>
      <c r="LE36" s="1495"/>
    </row>
    <row r="37" spans="1:321" ht="18.75" customHeight="1">
      <c r="A37" s="1495"/>
      <c r="B37" s="444"/>
      <c r="C37" s="406"/>
      <c r="D37" s="342"/>
      <c r="E37" s="342"/>
      <c r="F37" s="1495"/>
      <c r="G37" s="406"/>
      <c r="H37" s="406"/>
      <c r="I37" s="342"/>
      <c r="J37" s="342"/>
      <c r="K37" s="1495"/>
      <c r="L37" s="342"/>
      <c r="M37" s="342"/>
      <c r="N37" s="342"/>
      <c r="O37" s="342"/>
      <c r="P37" s="1495"/>
      <c r="Q37" s="342"/>
      <c r="R37" s="342"/>
      <c r="S37" s="342"/>
      <c r="T37" s="342"/>
      <c r="U37" s="1495"/>
      <c r="V37" s="342"/>
      <c r="W37" s="342"/>
      <c r="X37" s="342"/>
      <c r="Y37" s="342"/>
      <c r="Z37" s="342"/>
      <c r="AA37" s="406"/>
      <c r="AB37" s="342"/>
      <c r="AC37" s="342"/>
      <c r="AD37" s="1495"/>
      <c r="AE37" s="342"/>
      <c r="AF37" s="406"/>
      <c r="AG37" s="342"/>
      <c r="AH37" s="342"/>
      <c r="AI37" s="1495"/>
      <c r="AJ37" s="342"/>
      <c r="AK37" s="406"/>
      <c r="AL37" s="342"/>
      <c r="AM37" s="342"/>
      <c r="AN37" s="1495"/>
      <c r="AO37" s="342"/>
      <c r="AP37" s="406"/>
      <c r="AQ37" s="342"/>
      <c r="AR37" s="342"/>
      <c r="AS37" s="1495"/>
      <c r="AT37" s="342"/>
      <c r="AU37" s="342"/>
      <c r="AV37" s="342"/>
      <c r="AW37" s="342"/>
      <c r="AX37" s="342"/>
      <c r="AY37" s="406"/>
      <c r="AZ37" s="342"/>
      <c r="BA37" s="342"/>
      <c r="BB37" s="1495"/>
      <c r="BC37" s="342"/>
      <c r="BD37" s="406"/>
      <c r="BE37" s="342"/>
      <c r="BF37" s="342"/>
      <c r="BG37" s="1495"/>
      <c r="BH37" s="342"/>
      <c r="BI37" s="406"/>
      <c r="BJ37" s="342"/>
      <c r="BK37" s="342"/>
      <c r="BL37" s="411"/>
      <c r="BM37" s="342"/>
      <c r="BN37" s="406"/>
      <c r="BO37" s="342"/>
      <c r="BP37" s="417"/>
      <c r="BQ37" s="411"/>
      <c r="BR37" s="342"/>
      <c r="BS37" s="406"/>
      <c r="BT37" s="342"/>
      <c r="BU37" s="342"/>
      <c r="BV37" s="406"/>
      <c r="BW37" s="342"/>
      <c r="BX37" s="342"/>
      <c r="BY37" s="342"/>
      <c r="BZ37" s="342"/>
      <c r="CA37" s="342"/>
      <c r="CB37" s="406"/>
      <c r="CC37" s="342"/>
      <c r="CD37" s="342"/>
      <c r="CE37" s="406"/>
      <c r="CF37" s="342"/>
      <c r="CG37" s="406"/>
      <c r="CH37" s="342"/>
      <c r="CI37" s="342"/>
      <c r="CJ37" s="412"/>
      <c r="CK37" s="342"/>
      <c r="CL37" s="406"/>
      <c r="CM37" s="342"/>
      <c r="CN37" s="342"/>
      <c r="CO37" s="411"/>
      <c r="CP37" s="342"/>
      <c r="CQ37" s="406"/>
      <c r="CR37" s="342"/>
      <c r="CS37" s="342"/>
      <c r="CT37" s="411"/>
      <c r="CU37" s="342"/>
      <c r="CV37" s="342"/>
      <c r="CW37" s="342"/>
      <c r="CX37" s="342"/>
      <c r="CY37" s="489"/>
      <c r="CZ37" s="475"/>
      <c r="DA37" s="482"/>
      <c r="DB37" s="342"/>
      <c r="DC37" s="411"/>
      <c r="DD37" s="342"/>
      <c r="DE37" s="475"/>
      <c r="DF37" s="482"/>
      <c r="DG37" s="342"/>
      <c r="DH37" s="411"/>
      <c r="DI37" s="342"/>
      <c r="DJ37" s="475"/>
      <c r="DK37" s="482"/>
      <c r="DL37" s="342"/>
      <c r="DM37" s="411"/>
      <c r="DN37" s="342"/>
      <c r="DO37" s="475"/>
      <c r="DP37" s="482"/>
      <c r="DQ37" s="342"/>
      <c r="DR37" s="411"/>
      <c r="DS37" s="342"/>
      <c r="DT37" s="342"/>
      <c r="DU37" s="342"/>
      <c r="DV37" s="342"/>
      <c r="DW37" s="342"/>
      <c r="DX37" s="475"/>
      <c r="DY37" s="482"/>
      <c r="DZ37" s="342"/>
      <c r="EA37" s="411"/>
      <c r="EB37" s="342"/>
      <c r="EC37" s="475"/>
      <c r="ED37" s="482"/>
      <c r="EE37" s="342"/>
      <c r="EF37" s="411"/>
      <c r="EG37" s="342"/>
      <c r="EH37" s="475"/>
      <c r="EI37" s="482"/>
      <c r="EJ37" s="342"/>
      <c r="EK37" s="411"/>
      <c r="EL37" s="342"/>
      <c r="EM37" s="475"/>
      <c r="EN37" s="482"/>
      <c r="EO37" s="342"/>
      <c r="EP37" s="411"/>
      <c r="EQ37" s="342"/>
      <c r="ER37" s="475"/>
      <c r="ES37" s="482"/>
      <c r="ET37" s="342"/>
      <c r="EU37" s="411"/>
      <c r="EV37" s="342"/>
      <c r="EW37" s="342"/>
      <c r="EX37" s="342"/>
      <c r="EY37" s="342"/>
      <c r="EZ37" s="342"/>
      <c r="FA37" s="475"/>
      <c r="FB37" s="482"/>
      <c r="FC37" s="342"/>
      <c r="FD37" s="411"/>
      <c r="FE37" s="342"/>
      <c r="FF37" s="475"/>
      <c r="FG37" s="482"/>
      <c r="FH37" s="342"/>
      <c r="FI37" s="411"/>
      <c r="FJ37" s="342"/>
      <c r="FK37" s="475"/>
      <c r="FL37" s="482"/>
      <c r="FM37" s="342"/>
      <c r="FN37" s="411"/>
      <c r="FO37" s="342"/>
      <c r="FP37" s="475"/>
      <c r="FQ37" s="482"/>
      <c r="FR37" s="342"/>
      <c r="FS37" s="411"/>
      <c r="FT37" s="342"/>
      <c r="FU37" s="342"/>
      <c r="FV37" s="342"/>
      <c r="FW37" s="342"/>
      <c r="FX37" s="342"/>
      <c r="FY37" s="406"/>
      <c r="FZ37" s="342"/>
      <c r="GA37" s="342"/>
      <c r="GB37" s="422"/>
      <c r="GC37" s="342"/>
      <c r="GD37" s="406"/>
      <c r="GE37" s="342"/>
      <c r="GF37" s="342"/>
      <c r="GG37" s="422"/>
      <c r="GH37" s="342"/>
      <c r="GI37" s="406"/>
      <c r="GJ37" s="342"/>
      <c r="GK37" s="342"/>
      <c r="GL37" s="422"/>
      <c r="GM37" s="342"/>
      <c r="GN37" s="406"/>
      <c r="GO37" s="342"/>
      <c r="GP37" s="342"/>
      <c r="GQ37" s="422"/>
      <c r="GR37" s="342"/>
      <c r="GS37" s="342"/>
      <c r="GT37" s="342"/>
      <c r="GU37" s="342"/>
      <c r="GV37" s="342"/>
      <c r="GW37" s="411"/>
      <c r="GX37" s="342"/>
      <c r="GY37" s="342"/>
      <c r="GZ37" s="1495"/>
      <c r="HA37" s="342"/>
      <c r="HB37" s="1495"/>
      <c r="HC37" s="342"/>
      <c r="HD37" s="342"/>
      <c r="HE37" s="1495"/>
      <c r="HF37" s="342"/>
      <c r="HG37" s="1495"/>
      <c r="HH37" s="342"/>
      <c r="HI37" s="342"/>
      <c r="HJ37" s="1495"/>
      <c r="HK37" s="342"/>
      <c r="HL37" s="1495"/>
      <c r="HM37" s="342"/>
      <c r="HN37" s="342"/>
      <c r="HO37" s="1495"/>
      <c r="HP37" s="342"/>
      <c r="HQ37" s="1495"/>
      <c r="HR37" s="342"/>
      <c r="HS37" s="342"/>
      <c r="HT37" s="1495"/>
      <c r="HU37" s="342"/>
      <c r="HV37" s="342"/>
      <c r="HW37" s="342"/>
      <c r="HX37" s="342"/>
      <c r="HY37" s="342"/>
      <c r="HZ37" s="1495"/>
      <c r="IA37" s="342"/>
      <c r="IB37" s="342"/>
      <c r="IC37" s="1495"/>
      <c r="ID37" s="342"/>
      <c r="IE37" s="1495"/>
      <c r="IF37" s="342"/>
      <c r="IG37" s="342"/>
      <c r="IH37" s="1495"/>
      <c r="II37" s="342"/>
      <c r="IJ37" s="1495"/>
      <c r="IK37" s="342"/>
      <c r="IL37" s="342"/>
      <c r="IM37" s="1495"/>
      <c r="IN37" s="342"/>
      <c r="IO37" s="1495"/>
      <c r="IP37" s="342"/>
      <c r="IQ37" s="342"/>
      <c r="IR37" s="1495"/>
      <c r="IS37" s="342"/>
      <c r="IT37" s="342"/>
      <c r="IU37" s="342"/>
      <c r="IV37" s="342"/>
      <c r="IW37" s="342"/>
      <c r="IX37" s="1495"/>
      <c r="IY37" s="342"/>
      <c r="IZ37" s="342"/>
      <c r="JA37" s="1495"/>
      <c r="JB37" s="342"/>
      <c r="JC37" s="1495"/>
      <c r="JD37" s="342"/>
      <c r="JE37" s="342"/>
      <c r="JF37" s="1495"/>
      <c r="JG37" s="342"/>
      <c r="JH37" s="1495"/>
      <c r="JI37" s="342"/>
      <c r="JJ37" s="342"/>
      <c r="JK37" s="1495"/>
      <c r="JL37" s="342"/>
      <c r="JM37" s="1495"/>
      <c r="JN37" s="342"/>
      <c r="JO37" s="342"/>
      <c r="JP37" s="1495"/>
      <c r="JQ37" s="342"/>
      <c r="JR37" s="342"/>
      <c r="JS37" s="342"/>
      <c r="JT37" s="342"/>
      <c r="JU37" s="342"/>
      <c r="JV37" s="342"/>
      <c r="JW37" s="1495"/>
      <c r="JX37" s="342"/>
      <c r="JY37" s="342"/>
      <c r="JZ37" s="1495"/>
      <c r="KA37" s="342"/>
      <c r="KB37" s="1495"/>
      <c r="KC37" s="342"/>
      <c r="KD37" s="342"/>
      <c r="KE37" s="1495"/>
      <c r="KF37" s="342"/>
      <c r="KG37" s="1495"/>
      <c r="KH37" s="342"/>
      <c r="KI37" s="342"/>
      <c r="KJ37" s="1495"/>
      <c r="KK37" s="342"/>
      <c r="KL37" s="1495"/>
      <c r="KM37" s="342"/>
      <c r="KN37" s="342"/>
      <c r="KO37" s="1495"/>
      <c r="KP37" s="342"/>
      <c r="KQ37" s="1495"/>
      <c r="KR37" s="342"/>
      <c r="KS37" s="342"/>
      <c r="KT37" s="1495"/>
      <c r="KU37" s="342"/>
      <c r="KV37" s="342"/>
      <c r="KW37" s="342"/>
      <c r="KX37" s="342"/>
      <c r="KY37" s="342"/>
      <c r="KZ37" s="342"/>
      <c r="LA37" s="819"/>
      <c r="LB37" s="1495"/>
      <c r="LC37" s="1495"/>
      <c r="LD37" s="1495"/>
      <c r="LE37" s="1495"/>
    </row>
    <row r="38" spans="1:321" ht="21" customHeight="1" outlineLevel="1">
      <c r="A38" s="1495"/>
      <c r="B38" s="428" t="s">
        <v>42</v>
      </c>
      <c r="C38" s="432"/>
      <c r="D38" s="432"/>
      <c r="E38" s="433"/>
      <c r="F38" s="432"/>
      <c r="G38" s="433"/>
      <c r="H38" s="432"/>
      <c r="I38" s="432"/>
      <c r="J38" s="433"/>
      <c r="K38" s="432"/>
      <c r="L38" s="433"/>
      <c r="M38" s="432"/>
      <c r="N38" s="432"/>
      <c r="O38" s="433"/>
      <c r="P38" s="432"/>
      <c r="Q38" s="433"/>
      <c r="R38" s="432"/>
      <c r="S38" s="432"/>
      <c r="T38" s="433"/>
      <c r="U38" s="432"/>
      <c r="V38" s="433"/>
      <c r="W38" s="433"/>
      <c r="X38" s="433"/>
      <c r="Y38" s="433"/>
      <c r="Z38" s="433"/>
      <c r="AA38" s="432"/>
      <c r="AB38" s="432"/>
      <c r="AC38" s="433"/>
      <c r="AD38" s="432"/>
      <c r="AE38" s="433"/>
      <c r="AF38" s="432"/>
      <c r="AG38" s="432"/>
      <c r="AH38" s="433"/>
      <c r="AI38" s="432"/>
      <c r="AJ38" s="433"/>
      <c r="AK38" s="432"/>
      <c r="AL38" s="432"/>
      <c r="AM38" s="433"/>
      <c r="AN38" s="432"/>
      <c r="AO38" s="433"/>
      <c r="AP38" s="432"/>
      <c r="AQ38" s="432"/>
      <c r="AR38" s="433"/>
      <c r="AS38" s="432"/>
      <c r="AT38" s="433"/>
      <c r="AU38" s="433"/>
      <c r="AV38" s="433"/>
      <c r="AW38" s="433"/>
      <c r="AX38" s="433"/>
      <c r="AY38" s="432"/>
      <c r="AZ38" s="432"/>
      <c r="BA38" s="433"/>
      <c r="BB38" s="432"/>
      <c r="BC38" s="433"/>
      <c r="BD38" s="432"/>
      <c r="BE38" s="432"/>
      <c r="BF38" s="433"/>
      <c r="BG38" s="432"/>
      <c r="BH38" s="433"/>
      <c r="BI38" s="432"/>
      <c r="BJ38" s="432"/>
      <c r="BK38" s="433"/>
      <c r="BL38" s="432"/>
      <c r="BM38" s="448"/>
      <c r="BN38" s="451">
        <f>BN6+BN7+BN9+BN13+BN14+BN15+BN17</f>
        <v>636292.99</v>
      </c>
      <c r="BO38" s="432">
        <f>BO6+BO7+BO9+BO13+BO14+BO15+BO17</f>
        <v>413590.44349999999</v>
      </c>
      <c r="BP38" s="433">
        <f t="shared" ref="BP38:BP47" si="183">BO38/BN38</f>
        <v>0.65</v>
      </c>
      <c r="BQ38" s="432">
        <f>BQ6+BQ7+BQ9+BQ13+BQ14+BQ15+BQ17</f>
        <v>427274.94999999995</v>
      </c>
      <c r="BR38" s="425">
        <f t="shared" ref="BR38:BR47" si="184">BQ38/BN38</f>
        <v>0.67150661207190099</v>
      </c>
      <c r="BS38" s="451">
        <f>BS6+BS7+BS9+BS13+BS14+BS15+BS17</f>
        <v>631163.47</v>
      </c>
      <c r="BT38" s="432">
        <f>BT6+BT7+BT9+BT13+BT14+BT15+BT17</f>
        <v>410256.25549999997</v>
      </c>
      <c r="BU38" s="433">
        <f t="shared" ref="BU38:BU41" si="185">BT38/BS38</f>
        <v>0.65</v>
      </c>
      <c r="BV38" s="432">
        <f>BV6+BV7+BV9+BV13+BV14+BV17</f>
        <v>413157.49</v>
      </c>
      <c r="BW38" s="425">
        <f t="shared" ref="BW38:BW41" si="186">BV38/BS38</f>
        <v>0.65459664514487825</v>
      </c>
      <c r="BX38" s="448"/>
      <c r="BY38" s="432">
        <f>BY6+BY7+BY9+BY13+BY14+BY15+BY17</f>
        <v>2980540.63</v>
      </c>
      <c r="BZ38" s="432">
        <f>BZ6+BZ7+BZ9+BZ13+BZ14+BZ15+BZ17</f>
        <v>2094673.68</v>
      </c>
      <c r="CA38" s="425">
        <f t="shared" ref="CA38:CA41" si="187">BZ38/BY38</f>
        <v>0.7027831323339484</v>
      </c>
      <c r="CB38" s="451">
        <f>CB6+CB7+CB9+CB13+CB14+CB15+CB17</f>
        <v>647437.40999999992</v>
      </c>
      <c r="CC38" s="432">
        <f>CC6+CC7+CC9+CC13+CC14+CC15+CC17</f>
        <v>530898.67619999999</v>
      </c>
      <c r="CD38" s="433">
        <f t="shared" ref="CD38:CD41" si="188">CC38/CB38</f>
        <v>0.82000000000000006</v>
      </c>
      <c r="CE38" s="432">
        <f>CE6+CE7+CE9+CE13+CE14+CE17</f>
        <v>407542.52</v>
      </c>
      <c r="CF38" s="425">
        <f t="shared" ref="CF38:CF41" si="189">CE38/CB38</f>
        <v>0.62947014445767058</v>
      </c>
      <c r="CG38" s="451">
        <f>CG6+CG7+CG9+CG13+CG14+CG15+CG17</f>
        <v>702029.11</v>
      </c>
      <c r="CH38" s="432">
        <f>CH6+CH7+CH9+CH13+CH14+CH15+CH17</f>
        <v>526521.83250000002</v>
      </c>
      <c r="CI38" s="433">
        <f t="shared" ref="CI38:CI41" si="190">CH38/CG38</f>
        <v>0.75</v>
      </c>
      <c r="CJ38" s="432">
        <f>CJ6+CJ7+CJ9+CJ13+CJ14+CJ17+CJ15</f>
        <v>479124.1</v>
      </c>
      <c r="CK38" s="425">
        <f t="shared" ref="CK38:CK41" si="191">CJ38/CG38</f>
        <v>0.68248466221008985</v>
      </c>
      <c r="CL38" s="451">
        <f>CL6+CL7+CL9+CL13+CL14+CL15+CL17</f>
        <v>711137.78999999992</v>
      </c>
      <c r="CM38" s="432">
        <f>CM6+CM7+CM9+CM13+CM14+CM17+CM15</f>
        <v>497796.45299999998</v>
      </c>
      <c r="CN38" s="433">
        <f t="shared" ref="CN38:CN41" si="192">CM38/CL38</f>
        <v>0.70000000000000007</v>
      </c>
      <c r="CO38" s="432">
        <f>CO6+CO7+CO9+CO13+CO14+CO17+CO15</f>
        <v>354397.68</v>
      </c>
      <c r="CP38" s="425">
        <f t="shared" ref="CP38:CP41" si="193">CO38/CL38</f>
        <v>0.4983530406955311</v>
      </c>
      <c r="CQ38" s="451">
        <f>CQ6+CQ7+CQ9+CQ13+CQ14+CQ15+CQ17</f>
        <v>877246.58999999985</v>
      </c>
      <c r="CR38" s="432">
        <f>CR6+CR7+CR9+CR13+CR14+CR15+CR17</f>
        <v>330065.78399999999</v>
      </c>
      <c r="CS38" s="433">
        <f t="shared" ref="CS38:CS41" si="194">CR38/CQ38</f>
        <v>0.37625200002202353</v>
      </c>
      <c r="CT38" s="432">
        <f>CT6+CT7+CT9+CT13+CT14+CT17+CT15</f>
        <v>633726.32000000007</v>
      </c>
      <c r="CU38" s="448">
        <f t="shared" ref="CU38:CU41" si="195">CT38/CQ38</f>
        <v>0.72240385682205976</v>
      </c>
      <c r="CV38" s="451">
        <f>CV6+CV7+CV9+CV13+CV14+CV15+CV17</f>
        <v>1885282.7457000001</v>
      </c>
      <c r="CW38" s="432">
        <f>CW6+CW7+CW9+CW13+CW14+CW17+CW15</f>
        <v>2937850.9</v>
      </c>
      <c r="CX38" s="432">
        <f>CX6+CX7+CX9+CX13+CX14+CX17+CX15</f>
        <v>1956737.6600000001</v>
      </c>
      <c r="CY38" s="489">
        <f t="shared" ref="CY38:CY47" si="196">CX38/CW38</f>
        <v>0.66604389623721216</v>
      </c>
      <c r="CZ38" s="476">
        <f>CZ6+CZ7+CZ9+CZ13+CZ14+CZ15+CZ17</f>
        <v>986017.39</v>
      </c>
      <c r="DA38" s="477">
        <f>DA6+DA7+DA9+DA13+DA14+DA15+DA17</f>
        <v>493008.69500000001</v>
      </c>
      <c r="DB38" s="433">
        <f t="shared" ref="DB38:DB41" si="197">DA38/CZ38</f>
        <v>0.5</v>
      </c>
      <c r="DC38" s="432">
        <f>DC6+DC7+DC9+DC13+DC14+DC17+DC15</f>
        <v>609950.14</v>
      </c>
      <c r="DD38" s="448">
        <f t="shared" ref="DD38:DD41" si="198">DC38/CZ38</f>
        <v>0.61859977946230749</v>
      </c>
      <c r="DE38" s="476">
        <f>DE6+DE7+DE9+DE13+DE14+DE15+DE17</f>
        <v>711465.25</v>
      </c>
      <c r="DF38" s="477">
        <f>DF6+DF7+DF9+DF13+DF14+DF15+DF17</f>
        <v>426879.14999999997</v>
      </c>
      <c r="DG38" s="433">
        <f t="shared" ref="DG38:DG41" si="199">DF38/DE38</f>
        <v>0.6</v>
      </c>
      <c r="DH38" s="432">
        <f>DH6+DH7+DH9+DH13+DH14+DH17+DH15</f>
        <v>684925.51</v>
      </c>
      <c r="DI38" s="448">
        <f t="shared" ref="DI38:DI41" si="200">DH38/DE38</f>
        <v>0.96269706777667641</v>
      </c>
      <c r="DJ38" s="476">
        <f>DJ6+DJ7+DJ9+DJ13+DJ14+DJ15+DJ17</f>
        <v>698321.11</v>
      </c>
      <c r="DK38" s="477">
        <f>DK6+DK7+DK9+DK13+DK14+DK15+DK17</f>
        <v>491425.36199999996</v>
      </c>
      <c r="DL38" s="433">
        <f t="shared" ref="DL38:DL41" si="201">DK38/DJ38</f>
        <v>0.70372405325108955</v>
      </c>
      <c r="DM38" s="432">
        <f>DM6+DM7+DM9+DM13+DM14+DM17+DM15</f>
        <v>519407.25999999995</v>
      </c>
      <c r="DN38" s="448">
        <f t="shared" ref="DN38:DN41" si="202">DM38/DJ38</f>
        <v>0.74379429829924515</v>
      </c>
      <c r="DO38" s="476">
        <f>DO6+DO7+DO9+DO13+DO14+DO15+DO17</f>
        <v>640248.67000000004</v>
      </c>
      <c r="DP38" s="477">
        <f>DP6+DP7+DP9+DP13+DP14+DP15+DP17</f>
        <v>474732.49818132829</v>
      </c>
      <c r="DQ38" s="433">
        <f t="shared" ref="DQ38:DQ41" si="203">DP38/DO38</f>
        <v>0.74148142811656015</v>
      </c>
      <c r="DR38" s="432">
        <f>DR6+DR7+DR9+DR13+DR14+DR17+DR15</f>
        <v>527793.81000000006</v>
      </c>
      <c r="DS38" s="448">
        <f t="shared" ref="DS38:DS41" si="204">DR38/DO38</f>
        <v>0.82435752658416306</v>
      </c>
      <c r="DT38" s="451">
        <f>DT6+DT7+DT9+DT13+DT14+DT15+DT17</f>
        <v>1886045.7051813286</v>
      </c>
      <c r="DU38" s="432">
        <f>DU6+DU7+DU9+DU13+DU14+DU15+DU17</f>
        <v>3036052.4200000004</v>
      </c>
      <c r="DV38" s="432">
        <f>DV6+DV7+DV9+DV13+DV14+DV15+DV17</f>
        <v>2342076.7200000007</v>
      </c>
      <c r="DW38" s="419">
        <f t="shared" ref="DW38:DW41" si="205">DV38/DU38</f>
        <v>0.77142170028803403</v>
      </c>
      <c r="DX38" s="476">
        <f>DX6+DX7+DX9+DX13+DX14+DX15+DX17</f>
        <v>661590.92000000004</v>
      </c>
      <c r="DY38" s="477">
        <f>DY6+DY7+DY9+DY13+DY14+DY15+DY17</f>
        <v>550037.38115511404</v>
      </c>
      <c r="DZ38" s="433">
        <f t="shared" ref="DZ38:DZ41" si="206">DY38/DX38</f>
        <v>0.83138592826381896</v>
      </c>
      <c r="EA38" s="477">
        <f>EA6+EA7+EA9+EA13+EA14+EA15+EA17</f>
        <v>515704.89</v>
      </c>
      <c r="EB38" s="448">
        <f t="shared" ref="EB38:EB41" si="207">EA38/DX38</f>
        <v>0.77949209157828225</v>
      </c>
      <c r="EC38" s="476">
        <f>EC6+EC7+EC9+EC13+EC14+EC15+EC17</f>
        <v>730619.2300000001</v>
      </c>
      <c r="ED38" s="477">
        <f>ED6+ED7+ED9+ED13+ED14+ED15+ED17</f>
        <v>526387.04943576863</v>
      </c>
      <c r="EE38" s="433">
        <f t="shared" ref="EE38:EE41" si="208">ED38/EC38</f>
        <v>0.7204670063717985</v>
      </c>
      <c r="EF38" s="477">
        <f>EF6+EF7+EF9+EF13+EF14+EF15+EF17</f>
        <v>553839.82000000007</v>
      </c>
      <c r="EG38" s="448">
        <f t="shared" ref="EG38:EG41" si="209">EF38/EC38</f>
        <v>0.75804166829827346</v>
      </c>
      <c r="EH38" s="476">
        <f>EH6+EH7+EH9+EH13+EH14+EH15+EH17</f>
        <v>823676.07</v>
      </c>
      <c r="EI38" s="477">
        <f>EI6+EI7+EI9+EI13+EI14+EI15+EI17</f>
        <v>576573.24899999995</v>
      </c>
      <c r="EJ38" s="433">
        <f t="shared" ref="EJ38:EJ41" si="210">EI38/EH38</f>
        <v>0.7</v>
      </c>
      <c r="EK38" s="477">
        <f>EK6+EK7+EK9+EK13+EK14+EK15+EK17</f>
        <v>613665.54</v>
      </c>
      <c r="EL38" s="448">
        <f t="shared" ref="EL38:EL41" si="211">EK38/EH38</f>
        <v>0.74503261943739618</v>
      </c>
      <c r="EM38" s="476">
        <f>EM6+EM7+EM9+EM13+EM14+EM15+EM17</f>
        <v>770077.15</v>
      </c>
      <c r="EN38" s="477">
        <f>EN6+EN7+EN9+EN13+EN14+EN15+EN17</f>
        <v>545159.95799999998</v>
      </c>
      <c r="EO38" s="433">
        <f t="shared" ref="EO38:EO41" si="212">EN38/EM38</f>
        <v>0.70792901464483138</v>
      </c>
      <c r="EP38" s="477">
        <f>EP6+EP7+EP9+EP13+EP14+EP15+EP17</f>
        <v>581706.13</v>
      </c>
      <c r="EQ38" s="448">
        <f t="shared" ref="EQ38:EQ41" si="213">EP38/EM38</f>
        <v>0.75538682065816387</v>
      </c>
      <c r="ER38" s="476">
        <f>ER6+ER7+ER9+ER13+ER14+ER15+ER17</f>
        <v>730453.25999999989</v>
      </c>
      <c r="ES38" s="477">
        <f>ES6+ES7+ES9+ES13+ES14+ES15+ES17</f>
        <v>461474.56849999994</v>
      </c>
      <c r="ET38" s="433">
        <f t="shared" ref="ET38:ET41" si="214">ES38/ER38</f>
        <v>0.63176467786590484</v>
      </c>
      <c r="EU38" s="477">
        <f>EU6+EU7+EU9+EU13+EU14+EU15+EU17</f>
        <v>573041.20000000007</v>
      </c>
      <c r="EV38" s="448">
        <f t="shared" ref="EV38:EV41" si="215">EU38/ER38</f>
        <v>0.7845008454065906</v>
      </c>
      <c r="EW38" s="451">
        <f>EW6+EW7+EW9+EW13+EW14+EW15+EW17</f>
        <v>2659632.2060908824</v>
      </c>
      <c r="EX38" s="432">
        <f>EX6+EX7+EX9+EX13+EX14+EX15+EX17</f>
        <v>3716416.63</v>
      </c>
      <c r="EY38" s="432">
        <f>EY6+EY7+EY9+EY13+EY14+EY15+EY17</f>
        <v>2837957.58</v>
      </c>
      <c r="EZ38" s="425">
        <f t="shared" ref="EZ38:EZ41" si="216">EY38/EX38</f>
        <v>0.76362740309877475</v>
      </c>
      <c r="FA38" s="476">
        <f>FA6+FA7+FA9+FA13+FA14+FA15+FA17</f>
        <v>690723.71</v>
      </c>
      <c r="FB38" s="477">
        <f>FB6+FB7+FB9+FB13+FB14+FB15+FB17</f>
        <v>492909.27899999998</v>
      </c>
      <c r="FC38" s="433">
        <f>FB38/FA38</f>
        <v>0.71361279751059947</v>
      </c>
      <c r="FD38" s="1400">
        <f>FD6+FD7+FD9+FD13+FD14+FD15+FD17</f>
        <v>609731.58000000007</v>
      </c>
      <c r="FE38" s="448">
        <f>FD38/FA38</f>
        <v>0.88274308695730175</v>
      </c>
      <c r="FF38" s="476">
        <f>FF6+FF7+FF9+FF13+FF14+FF15+FF17</f>
        <v>722748.49</v>
      </c>
      <c r="FG38" s="477">
        <f>FG6+FG7+FG9+FG13+FG14+FG15+FG17</f>
        <v>546662.27520000003</v>
      </c>
      <c r="FH38" s="433">
        <f>FG38/FF38</f>
        <v>0.75636584892761249</v>
      </c>
      <c r="FI38" s="1400">
        <f>FI6+FI7+FI9+FI13+FI14+FI15+FI17</f>
        <v>566035.96</v>
      </c>
      <c r="FJ38" s="448">
        <f>FI38/FF38</f>
        <v>0.78317141831731807</v>
      </c>
      <c r="FK38" s="476">
        <f>FK6+FK7+FK9+FK13+FK14+FK15+FK17</f>
        <v>663869.03</v>
      </c>
      <c r="FL38" s="477">
        <f>FL6+FL7+FL9+FL13+FL14+FL15+FL17</f>
        <v>529600.74589999998</v>
      </c>
      <c r="FM38" s="433">
        <f>FL38/FK38</f>
        <v>0.79774883594133006</v>
      </c>
      <c r="FN38" s="1400">
        <f>FN6+FN7+FN9+FN13+FN14+FN15+FN17</f>
        <v>560037.76000000013</v>
      </c>
      <c r="FO38" s="448">
        <f>FN38/FK38</f>
        <v>0.84359675582396143</v>
      </c>
      <c r="FP38" s="476">
        <f>FP6+FP7+FP9+FP13+FP14+FP15+FP17</f>
        <v>695694.9</v>
      </c>
      <c r="FQ38" s="477">
        <f>FQ6+FQ7+FQ9+FQ13+FQ14+FQ15+FQ17</f>
        <v>539695.20360000001</v>
      </c>
      <c r="FR38" s="433">
        <f>FQ38/FP38</f>
        <v>0.77576420870700646</v>
      </c>
      <c r="FS38" s="1400">
        <f>FS6+FS7+FS9+FS13+FS14+FS15+FS17</f>
        <v>546586.58000000007</v>
      </c>
      <c r="FT38" s="448">
        <f>FS38/FP38</f>
        <v>0.78566995388352001</v>
      </c>
      <c r="FU38" s="451">
        <f>FU6+FU7+FU9+FU13+FU14+FU15+FU17</f>
        <v>2108867.5037000002</v>
      </c>
      <c r="FV38" s="432">
        <f>FV6+FV7+FV9+FV13+FV14+FV15+FV17</f>
        <v>2773036.13</v>
      </c>
      <c r="FW38" s="432">
        <f>FW6+FW7+FW9+FW13+FW14+FW15+FW17</f>
        <v>2282391.88</v>
      </c>
      <c r="FX38" s="454">
        <f t="shared" ref="FX38:FX41" si="217">FW38/FV38</f>
        <v>0.82306604494186664</v>
      </c>
      <c r="FY38" s="476">
        <f>FY6+FY7+FY9+FY13+FY14+FY15+FY17</f>
        <v>655547</v>
      </c>
      <c r="FZ38" s="477">
        <f>FZ6+FZ7+FZ9+FZ13+FZ14+FZ15+FZ17</f>
        <v>502047.12509999995</v>
      </c>
      <c r="GA38" s="433">
        <f>FZ38/FY38</f>
        <v>0.7658445925311228</v>
      </c>
      <c r="GB38" s="1400">
        <f>GB6+GB7+GB9+GB13+GB14+GB15+GB17</f>
        <v>489120.11999999994</v>
      </c>
      <c r="GC38" s="448">
        <f>GB38/FY38</f>
        <v>0.74612517485397678</v>
      </c>
      <c r="GD38" s="476">
        <f>GD6+GD7+GD9+GD13+GD14+GD15+GD17</f>
        <v>639169.19999999995</v>
      </c>
      <c r="GE38" s="477">
        <f>GE6+GE7+GE9+GE13+GE14+GE15+GE17</f>
        <v>527938.16819999996</v>
      </c>
      <c r="GF38" s="433">
        <f>GE38/GD38</f>
        <v>0.82597560739785336</v>
      </c>
      <c r="GG38" s="1400">
        <f>GG6+GG7+GG9+GG13+GG14+GG15+GG17</f>
        <v>497287.13</v>
      </c>
      <c r="GH38" s="448">
        <f>GG38/GD38</f>
        <v>0.77802110927748092</v>
      </c>
      <c r="GI38" s="476">
        <f>GI6+GI7+GI9+GI13+GI14+GI15+GI17</f>
        <v>630737.35000000009</v>
      </c>
      <c r="GJ38" s="477">
        <f>GJ6+GJ7+GJ9+GJ13+GJ14+GJ15+GJ17</f>
        <v>513208.06949999998</v>
      </c>
      <c r="GK38" s="433">
        <f>GJ38/GI38</f>
        <v>0.81366367395239858</v>
      </c>
      <c r="GL38" s="1400">
        <f>GL6+GL7+GL9+GL13+GL14+GL15+GL17</f>
        <v>469475.19</v>
      </c>
      <c r="GM38" s="448">
        <f>GL38/GI38</f>
        <v>0.74432755567749387</v>
      </c>
      <c r="GN38" s="476">
        <f>GN6+GN7+GN9+GN13+GN14+GN15+GN17</f>
        <v>608635.4</v>
      </c>
      <c r="GO38" s="477">
        <f>GO6+GO7+GO9+GO13+GO14+GO15+GO17</f>
        <v>480198.69669999997</v>
      </c>
      <c r="GP38" s="433">
        <f>GO38/GN38</f>
        <v>0.78897595621286565</v>
      </c>
      <c r="GQ38" s="1400">
        <f>GQ6+GQ7+GQ9+GQ13+GQ14+GQ15+GQ17</f>
        <v>562578.17999999993</v>
      </c>
      <c r="GR38" s="448">
        <f>GQ38/GN38</f>
        <v>0.92432707660448266</v>
      </c>
      <c r="GS38" s="451">
        <f>GS6+GS7+GS9+GS13+GS14+GS15+GS17</f>
        <v>2023392.0595</v>
      </c>
      <c r="GT38" s="432">
        <f>GT6+GT7+GT9+GT13+GT14+GT15+GT17</f>
        <v>2534088.9500000002</v>
      </c>
      <c r="GU38" s="432">
        <f>GU6+GU7+GU9+GU13+GU14+GU15+GU17</f>
        <v>2018460.6199999999</v>
      </c>
      <c r="GV38" s="425">
        <f t="shared" ref="GV38:GV41" si="218">GU38/GT38</f>
        <v>0.79652319228967861</v>
      </c>
      <c r="GW38" s="476">
        <f>GW6+GW7+GW9+GW13+GW14+GW15+GW17</f>
        <v>587587</v>
      </c>
      <c r="GX38" s="477">
        <f>GX6+GX7+GX9+GX13+GX14+GX15+GX17</f>
        <v>486176.4800000001</v>
      </c>
      <c r="GY38" s="433">
        <f>GX38/GW38</f>
        <v>0.82741190666233277</v>
      </c>
      <c r="GZ38" s="1400">
        <f>GZ6+GZ7+GZ9+GZ13+GZ14+GZ15+GZ17</f>
        <v>575755.35</v>
      </c>
      <c r="HA38" s="448">
        <f>GZ38/GW38</f>
        <v>0.97986400311783617</v>
      </c>
      <c r="HB38" s="476">
        <f>HB6+HB7+HB9+HB13+HB14+HB15+HB17</f>
        <v>572985.51</v>
      </c>
      <c r="HC38" s="477">
        <f>HC6+HC7+HC9+HC13+HC14+HC15+HC17</f>
        <v>478650.45310000004</v>
      </c>
      <c r="HD38" s="433">
        <f>HC38/HB38</f>
        <v>0.83536222949163241</v>
      </c>
      <c r="HE38" s="1400">
        <f>HE6+HE7+HE9+HE13+HE14+HE15+HE17</f>
        <v>467297.77</v>
      </c>
      <c r="HF38" s="448">
        <f>HE38/HB38</f>
        <v>0.81554901798476542</v>
      </c>
      <c r="HG38" s="476">
        <f>HG6+HG7+HG9+HG13+HG14+HG15+HG17</f>
        <v>579049.55000000005</v>
      </c>
      <c r="HH38" s="477">
        <f>HH6+HH7+HH9+HH13+HH14+HH15+HH17</f>
        <v>474437.21920000005</v>
      </c>
      <c r="HI38" s="433">
        <f>HH38/HG38</f>
        <v>0.81933786011922471</v>
      </c>
      <c r="HJ38" s="1400">
        <f>HJ6+HJ7+HJ9+HJ13+HJ14+HJ15+HJ17</f>
        <v>491764.83999999997</v>
      </c>
      <c r="HK38" s="448">
        <f>HJ38/HG38</f>
        <v>0.84926210546230441</v>
      </c>
      <c r="HL38" s="476">
        <f>HL6+HL7+HL9+HL13+HL14+HL15+HL17</f>
        <v>539972.74</v>
      </c>
      <c r="HM38" s="476">
        <f>HM6+HM7+HM9+HM13+HM14+HM15+HM17</f>
        <v>445669.21194999997</v>
      </c>
      <c r="HN38" s="433">
        <f>HM38/HL38</f>
        <v>0.82535502060715138</v>
      </c>
      <c r="HO38" s="476">
        <f>HO6+HO7+HO9+HO13+HO14+HO15+HO17</f>
        <v>428867.78000000009</v>
      </c>
      <c r="HP38" s="448">
        <f>HO38/HL38</f>
        <v>0.79423968698864333</v>
      </c>
      <c r="HQ38" s="476">
        <f>HQ6+HQ7+HQ9+HQ13+HQ14+HQ15+HQ17</f>
        <v>570124.32999999996</v>
      </c>
      <c r="HR38" s="476">
        <f>HR6+HR7+HR9+HR13+HR14+HR15+HR17</f>
        <v>474813.26030000002</v>
      </c>
      <c r="HS38" s="433">
        <f>HR38/HQ38</f>
        <v>0.83282406190242764</v>
      </c>
      <c r="HT38" s="476">
        <f>HT6+HT7+HT9+HT13+HT14+HT15+HT17</f>
        <v>445629.54</v>
      </c>
      <c r="HU38" s="448">
        <f>HT38/HQ38</f>
        <v>0.78163571794945153</v>
      </c>
      <c r="HV38" s="476">
        <f>HV6+HV7+HV9+HV13+HV14+HV15+HV17</f>
        <v>2359746.6245499998</v>
      </c>
      <c r="HW38" s="476">
        <f>HW6+HW7+HW9+HW13+HW14+HW15+HW17</f>
        <v>2849719.1300000004</v>
      </c>
      <c r="HX38" s="476">
        <f>HX6+HX7+HX9+HX13+HX14+HX15+HX17</f>
        <v>2409315.2799999998</v>
      </c>
      <c r="HY38" s="454">
        <f t="shared" ref="HY38:HY41" si="219">HX38/HW38</f>
        <v>0.84545710299526944</v>
      </c>
      <c r="HZ38" s="476">
        <f>HZ6+HZ7+HZ9+HZ13+HZ14+HZ15+HZ17</f>
        <v>531671.07000000007</v>
      </c>
      <c r="IA38" s="476">
        <f>IA6+IA7+IA9+IA13+IA14+IA15+IA17</f>
        <v>438392.20319999999</v>
      </c>
      <c r="IB38" s="433">
        <f>IA38/HZ38</f>
        <v>0.82455530860462267</v>
      </c>
      <c r="IC38" s="476">
        <f>IC6+IC7+IC9+IC13+IC14+IC15+IC17</f>
        <v>451538.94</v>
      </c>
      <c r="ID38" s="448">
        <f>IC38/HZ38</f>
        <v>0.84928250845019637</v>
      </c>
      <c r="IE38" s="476">
        <f>IE6+IE7+IE9+IE13+IE14+IE15+IE17</f>
        <v>593807.41999999993</v>
      </c>
      <c r="IF38" s="476">
        <f>IF6+IF7+IF9+IF13+IF14+IF15+IF17</f>
        <v>517914.40419999999</v>
      </c>
      <c r="IG38" s="433">
        <f>IF38/IE38</f>
        <v>0.8721925438385395</v>
      </c>
      <c r="IH38" s="476">
        <f>IH6+IH7+IH9+IH13+IH14+IH15+IH17</f>
        <v>502558.1</v>
      </c>
      <c r="II38" s="448">
        <f>IH38/IE38</f>
        <v>0.84633179558450122</v>
      </c>
      <c r="IJ38" s="476">
        <f>IJ6+IJ7+IJ9+IJ13+IJ14+IJ15+IJ17</f>
        <v>724076.26000000013</v>
      </c>
      <c r="IK38" s="476">
        <f>IK6+IK7+IK9+IK13+IK14+IK15+IK17</f>
        <v>566078.17379999999</v>
      </c>
      <c r="IL38" s="433">
        <f>IK38/IJ38</f>
        <v>0.78179358317865566</v>
      </c>
      <c r="IM38" s="476">
        <f>IM6+IM7+IM9+IM13+IM14+IM15+IM17</f>
        <v>539507.06999999995</v>
      </c>
      <c r="IN38" s="448">
        <f>IM38/IJ38</f>
        <v>0.74509702886820217</v>
      </c>
      <c r="IO38" s="476">
        <f>IO6+IO7+IO9+IO13+IO14+IO15+IO17</f>
        <v>854123.64999999991</v>
      </c>
      <c r="IP38" s="476">
        <f>IP6+IP7+IP9+IP13+IP14+IP15+IP17</f>
        <v>742041.42709999997</v>
      </c>
      <c r="IQ38" s="433">
        <f>IP38/IO38</f>
        <v>0.86877517921439129</v>
      </c>
      <c r="IR38" s="476">
        <f>IR6+IR7+IR9+IR13+IR14+IR15+IR17</f>
        <v>859462.58000000007</v>
      </c>
      <c r="IS38" s="448">
        <f>IR38/IO38</f>
        <v>1.0062507694289933</v>
      </c>
      <c r="IT38" s="476">
        <f>IT6+IT7+IT9+IT13+IT14+IT15+IT17</f>
        <v>2264426.2083000001</v>
      </c>
      <c r="IU38" s="476">
        <f>IU6+IU7+IU9+IU13+IU14+IU15+IU17</f>
        <v>2703678.4</v>
      </c>
      <c r="IV38" s="476">
        <f>IV6+IV7+IV9+IV13+IV14+IV15+IV17</f>
        <v>2353066.69</v>
      </c>
      <c r="IW38" s="425">
        <f t="shared" ref="IW38:IW41" si="220">IV38/IU38</f>
        <v>0.87032048264320194</v>
      </c>
      <c r="IX38" s="476">
        <f>IX6+IX7+IX9+IX13+IX14+IX15+IX17</f>
        <v>630877.54999999993</v>
      </c>
      <c r="IY38" s="477">
        <f>IY6+IY7+IY9+IY13+IY14+IY15+IY17</f>
        <v>569099.446</v>
      </c>
      <c r="IZ38" s="433">
        <f t="shared" ref="IZ38:IZ41" si="221">IY38/IX38</f>
        <v>0.90207591948707011</v>
      </c>
      <c r="JA38" s="432">
        <f>JA6+JA7+JA9+JA13+JA14+JA17</f>
        <v>499601.02999999997</v>
      </c>
      <c r="JB38" s="448">
        <f t="shared" ref="JB38:JB41" si="222">JA38/IX38</f>
        <v>0.79191442142773982</v>
      </c>
      <c r="JC38" s="476">
        <f>JC6+JC7+JC9+JC13+JC14+JC15+JC17</f>
        <v>765108.80999999994</v>
      </c>
      <c r="JD38" s="477">
        <f>JD6+JD7+JD9+JD13+JD14+JD15+JD17</f>
        <v>695140.68500000006</v>
      </c>
      <c r="JE38" s="433">
        <f t="shared" ref="JE38:JE41" si="223">JD38/JC38</f>
        <v>0.90855140591048755</v>
      </c>
      <c r="JF38" s="432">
        <f>JF6+JF7+JF9+JF13+JF14+JF17</f>
        <v>516150.42000000004</v>
      </c>
      <c r="JG38" s="448">
        <f t="shared" ref="JG38:JG41" si="224">JF38/JC38</f>
        <v>0.67461047795280271</v>
      </c>
      <c r="JH38" s="476">
        <f>JH6+JH7+JH9+JH13+JH14+JH15+JH17</f>
        <v>926901.66999999993</v>
      </c>
      <c r="JI38" s="477">
        <f>JI6+JI7+JI9+JI13+JI14+JI15+JI17</f>
        <v>852890.84330000007</v>
      </c>
      <c r="JJ38" s="433">
        <f t="shared" ref="JJ38:JJ41" si="225">JI38/JH38</f>
        <v>0.92015245079879959</v>
      </c>
      <c r="JK38" s="432">
        <f>JK6+JK7+JK9+JK13+JK14+JK17</f>
        <v>612154.19999999995</v>
      </c>
      <c r="JL38" s="448">
        <f t="shared" ref="JL38:JL41" si="226">JK38/JH38</f>
        <v>0.66043057188579668</v>
      </c>
      <c r="JM38" s="476">
        <f>JM6+JM7+JM9+JM13+JM14+JM15+JM17</f>
        <v>979782.64</v>
      </c>
      <c r="JN38" s="477">
        <f>JN6+JN7+JN9+JN13+JN14+JN15+JN17</f>
        <v>814127.05119999987</v>
      </c>
      <c r="JO38" s="433">
        <f t="shared" ref="JO38:JO41" si="227">JN38/JM38</f>
        <v>0.83092618501589277</v>
      </c>
      <c r="JP38" s="432">
        <f>JP6+JP7+JP9+JP13+JP14+JP17</f>
        <v>687696.98</v>
      </c>
      <c r="JQ38" s="448">
        <f t="shared" ref="JQ38:JQ41" si="228">JP38/JM38</f>
        <v>0.70188728798052591</v>
      </c>
      <c r="JR38" s="799"/>
      <c r="JS38" s="1585">
        <f>JS6+JS7+JS9+JS13+JS14+JS15+JS17</f>
        <v>2931258.0255000005</v>
      </c>
      <c r="JT38" s="1586">
        <f>JT6+JT7+JT9+JT13+JT14+JT15+JT17</f>
        <v>3302670.6700000004</v>
      </c>
      <c r="JU38" s="1586">
        <f>JU6+JU7+JU9+JU13+JU14+JU15+JU17</f>
        <v>2717296.8</v>
      </c>
      <c r="JV38" s="454">
        <f>JU38/JT38</f>
        <v>0.82275742013356712</v>
      </c>
      <c r="JW38" s="476">
        <f>JW6+JW7+JW9+JW13+JW14+JW15+JW17</f>
        <v>1391133.08</v>
      </c>
      <c r="JX38" s="477">
        <f>JX6+JX7+JX9+JX13+JX14+JX15+JX17</f>
        <v>1122543.6485000001</v>
      </c>
      <c r="JY38" s="433">
        <f t="shared" ref="JY38:JY41" si="229">JX38/JW38</f>
        <v>0.80692757913570723</v>
      </c>
      <c r="JZ38" s="432">
        <f>JZ6+JZ7+JZ9+JZ13+JZ14+JZ17</f>
        <v>980678.55</v>
      </c>
      <c r="KA38" s="448">
        <f t="shared" ref="KA38:KA41" si="230">JZ38/JW38</f>
        <v>0.70494948621306597</v>
      </c>
      <c r="KB38" s="476">
        <f>KB6+KB7+KB9+KB13+KB14+KB15+KB17</f>
        <v>1787425.2699999998</v>
      </c>
      <c r="KC38" s="477">
        <f>KC6+KC7+KC9+KC13+KC14+KC15+KC17</f>
        <v>1454643.0311</v>
      </c>
      <c r="KD38" s="433">
        <f t="shared" ref="KD38:KD41" si="231">KC38/KB38</f>
        <v>0.81382033448592805</v>
      </c>
      <c r="KE38" s="432">
        <f>KE6+KE7+KE9+KE13+KE14+KE17</f>
        <v>1053738.71</v>
      </c>
      <c r="KF38" s="448">
        <f t="shared" ref="KF38:KF41" si="232">KE38/KB38</f>
        <v>0.58952881985382255</v>
      </c>
      <c r="KG38" s="476">
        <f>KG6+KG7+KG9+KG13+KG14+KG15+KG17</f>
        <v>2571369.71</v>
      </c>
      <c r="KH38" s="477">
        <f>KH6+KH7+KH9+KH13+KH14+KH15+KH17</f>
        <v>2061433.3454000002</v>
      </c>
      <c r="KI38" s="433">
        <f t="shared" ref="KI38:KI41" si="233">KH38/KG38</f>
        <v>0.80168687426904484</v>
      </c>
      <c r="KJ38" s="432">
        <f>KJ6+KJ7+KJ9+KJ13+KJ14+KJ17</f>
        <v>1294625.6399999999</v>
      </c>
      <c r="KK38" s="448">
        <f t="shared" ref="KK38:KK41" si="234">KJ38/KG38</f>
        <v>0.5034770515360858</v>
      </c>
      <c r="KL38" s="476">
        <f>KL6+KL7+KL9+KL13+KL14+KL15+KL17</f>
        <v>2135072.4800000004</v>
      </c>
      <c r="KM38" s="477">
        <f>KM6+KM7+KM9+KM13+KM14+KM15+KM17</f>
        <v>2937920.9227</v>
      </c>
      <c r="KN38" s="433">
        <f t="shared" ref="KN38:KN41" si="235">KM38/KL38</f>
        <v>1.3760286595516418</v>
      </c>
      <c r="KO38" s="432">
        <f>KO6+KO7+KO9+KO13+KO14+KO17</f>
        <v>2259437.52</v>
      </c>
      <c r="KP38" s="448">
        <f t="shared" ref="KP38:KP41" si="236">KO38/KL38</f>
        <v>1.0582486267632467</v>
      </c>
      <c r="KQ38" s="476">
        <f>KQ6+KQ7+KQ9+KQ13+KQ14+KQ15+KQ17</f>
        <v>639325.08999999985</v>
      </c>
      <c r="KR38" s="477">
        <f>KR6+KR7+KR9+KR13+KR14+KR15+KR17</f>
        <v>543841.772</v>
      </c>
      <c r="KS38" s="433">
        <f t="shared" ref="KS38:KS41" si="237">KR38/KQ38</f>
        <v>0.85064981885819646</v>
      </c>
      <c r="KT38" s="432">
        <f>KT6+KT7+KT9+KT13+KT14+KT17</f>
        <v>474578.26999999996</v>
      </c>
      <c r="KU38" s="448">
        <f t="shared" ref="KU38:KU41" si="238">KT38/KQ38</f>
        <v>0.74231134898835283</v>
      </c>
      <c r="KV38" s="451">
        <f>KV6+KV7+KV9+KV13+KV14+KV15+KV17</f>
        <v>8120382.7197000002</v>
      </c>
      <c r="KW38" s="432">
        <f>KW6+KW7+KW9+KW13+KW14+KW15+KW17</f>
        <v>8524325.629999999</v>
      </c>
      <c r="KX38" s="432">
        <f>KX6+KX7+KX9+KX13+KX14+KX15+KX17</f>
        <v>7125634.6399999997</v>
      </c>
      <c r="KY38" s="454">
        <f t="shared" ref="KY38:KY41" si="239">KX38/KW38</f>
        <v>0.83591769593156673</v>
      </c>
      <c r="KZ38" s="947">
        <f>KZ6+KZ7+KZ9+KZ13+KZ14+KZ15+KZ17</f>
        <v>39568777.580000006</v>
      </c>
      <c r="LA38" s="947">
        <f>LA6+LA7+LA9+LA13+LA14+LA15+LA17</f>
        <v>32406828.35805</v>
      </c>
      <c r="LB38" s="451">
        <f>LB6+LB7+LB9+LB13+LB14+LB15+LB17</f>
        <v>39568777.579999998</v>
      </c>
      <c r="LC38" s="451">
        <f>LC6+LC7+LC9+LC13+LC14+LC15+LC17</f>
        <v>31336328.189999998</v>
      </c>
      <c r="LD38" s="492">
        <f>LC38-LB38</f>
        <v>-8232449.3900000006</v>
      </c>
      <c r="LE38" s="493">
        <f>LC38/LB38</f>
        <v>0.79194582462509322</v>
      </c>
    </row>
    <row r="39" spans="1:321" ht="21" customHeight="1" outlineLevel="1">
      <c r="A39" s="1495"/>
      <c r="B39" s="429" t="s">
        <v>43</v>
      </c>
      <c r="C39" s="435"/>
      <c r="D39" s="435"/>
      <c r="E39" s="424"/>
      <c r="F39" s="435"/>
      <c r="G39" s="424"/>
      <c r="H39" s="435"/>
      <c r="I39" s="435"/>
      <c r="J39" s="424"/>
      <c r="K39" s="435"/>
      <c r="L39" s="424"/>
      <c r="M39" s="435"/>
      <c r="N39" s="435"/>
      <c r="O39" s="424"/>
      <c r="P39" s="435"/>
      <c r="Q39" s="424"/>
      <c r="R39" s="435"/>
      <c r="S39" s="435"/>
      <c r="T39" s="424"/>
      <c r="U39" s="435"/>
      <c r="V39" s="424"/>
      <c r="W39" s="424"/>
      <c r="X39" s="424"/>
      <c r="Y39" s="424"/>
      <c r="Z39" s="424"/>
      <c r="AA39" s="435"/>
      <c r="AB39" s="435"/>
      <c r="AC39" s="424"/>
      <c r="AD39" s="435"/>
      <c r="AE39" s="424"/>
      <c r="AF39" s="435"/>
      <c r="AG39" s="435"/>
      <c r="AH39" s="424"/>
      <c r="AI39" s="435"/>
      <c r="AJ39" s="424"/>
      <c r="AK39" s="435"/>
      <c r="AL39" s="435"/>
      <c r="AM39" s="424"/>
      <c r="AN39" s="435"/>
      <c r="AO39" s="424"/>
      <c r="AP39" s="435"/>
      <c r="AQ39" s="435"/>
      <c r="AR39" s="424"/>
      <c r="AS39" s="435"/>
      <c r="AT39" s="424"/>
      <c r="AU39" s="424"/>
      <c r="AV39" s="424"/>
      <c r="AW39" s="424"/>
      <c r="AX39" s="424"/>
      <c r="AY39" s="435"/>
      <c r="AZ39" s="435"/>
      <c r="BA39" s="424"/>
      <c r="BB39" s="435"/>
      <c r="BC39" s="424"/>
      <c r="BD39" s="435"/>
      <c r="BE39" s="435"/>
      <c r="BF39" s="424"/>
      <c r="BG39" s="435"/>
      <c r="BH39" s="424"/>
      <c r="BI39" s="435"/>
      <c r="BJ39" s="435"/>
      <c r="BK39" s="424"/>
      <c r="BL39" s="435"/>
      <c r="BM39" s="449"/>
      <c r="BN39" s="452">
        <f>BN8+BN10+BN12+BN16+BN20+BN23+BN24</f>
        <v>455467.87999999995</v>
      </c>
      <c r="BO39" s="435">
        <f>BO8+BO10+BO12+BO16+BO20+BO23+BO24</f>
        <v>387799.27179999999</v>
      </c>
      <c r="BP39" s="424">
        <f t="shared" si="183"/>
        <v>0.85143055927456401</v>
      </c>
      <c r="BQ39" s="435">
        <f>BQ8+BQ10+BQ12+BQ16+BQ20+BQ23+BQ24</f>
        <v>413962.95000000007</v>
      </c>
      <c r="BR39" s="426">
        <f t="shared" si="184"/>
        <v>0.90887407911179185</v>
      </c>
      <c r="BS39" s="452">
        <f>BS8+BS10+BS12+BS16+BS20+BS23+BS24</f>
        <v>485117.49</v>
      </c>
      <c r="BT39" s="435">
        <f>BT8+BT10+BT12+BT16+BT20+BT23+BT24</f>
        <v>422203.61159999995</v>
      </c>
      <c r="BU39" s="424">
        <f t="shared" si="185"/>
        <v>0.87031207965723922</v>
      </c>
      <c r="BV39" s="435">
        <f>BV8+BV10+BV12+BV16+BV20+BV23+BV24</f>
        <v>498612.98000000004</v>
      </c>
      <c r="BW39" s="426">
        <f t="shared" si="186"/>
        <v>1.0278190134929994</v>
      </c>
      <c r="BX39" s="449"/>
      <c r="BY39" s="435">
        <f>BY8+BY10+BY12+BY16+BY20+BY23+BY24</f>
        <v>2252710.5</v>
      </c>
      <c r="BZ39" s="435">
        <f>BZ8+BZ10+BZ12+BZ16+BZ20+BZ23+BZ24</f>
        <v>2212391.88</v>
      </c>
      <c r="CA39" s="426">
        <f t="shared" si="187"/>
        <v>0.98210217424742319</v>
      </c>
      <c r="CB39" s="452">
        <f>CB8+CB10+CB12+CB16+CB20+CB23+CB24</f>
        <v>512742.7</v>
      </c>
      <c r="CC39" s="435">
        <f>CC8+CC10+CC12+CC16+CC20+CC23+CC24</f>
        <v>512677.9081</v>
      </c>
      <c r="CD39" s="424">
        <f t="shared" si="188"/>
        <v>0.99987363662125273</v>
      </c>
      <c r="CE39" s="435">
        <f>CE8+CE10+CE12+CE16+CE20+CE23+CE24</f>
        <v>430117.94</v>
      </c>
      <c r="CF39" s="426">
        <f t="shared" si="189"/>
        <v>0.83885726700740937</v>
      </c>
      <c r="CG39" s="452">
        <f>CG8+CG10+CG12+CG16+CG20+CG23+CG24</f>
        <v>510847.09</v>
      </c>
      <c r="CH39" s="435">
        <f>CH8+CH10+CH12+CH16+CH20+CH23+CH24</f>
        <v>477655.72349999996</v>
      </c>
      <c r="CI39" s="424">
        <f t="shared" si="190"/>
        <v>0.93502680714105646</v>
      </c>
      <c r="CJ39" s="435">
        <f>CJ8+CJ10+CJ12+CJ16+CJ20+CJ23+CJ24</f>
        <v>420105.69</v>
      </c>
      <c r="CK39" s="426">
        <f t="shared" si="191"/>
        <v>0.82237072154017743</v>
      </c>
      <c r="CL39" s="452">
        <f>CL8+CL10+CL12+CL16+CL20+CL23+CL24</f>
        <v>527009.77</v>
      </c>
      <c r="CM39" s="435">
        <f>CM8+CM10+CM12+CM16+CM20+CM23+CM24</f>
        <v>456817.21499999997</v>
      </c>
      <c r="CN39" s="424">
        <f t="shared" si="192"/>
        <v>0.86680976521554798</v>
      </c>
      <c r="CO39" s="435">
        <f>CO8+CO10+CO12+CO16+CO20+CO23+CO24</f>
        <v>338014.14999999997</v>
      </c>
      <c r="CP39" s="426">
        <f t="shared" si="193"/>
        <v>0.64138118350253726</v>
      </c>
      <c r="CQ39" s="452">
        <f>CQ8+CQ10+CQ12+CQ16+CQ20+CQ23+CQ24</f>
        <v>715640.04</v>
      </c>
      <c r="CR39" s="435">
        <f>CR8+CR10+CR12+CR16+CR20+CR23+CR24</f>
        <v>295889.304</v>
      </c>
      <c r="CS39" s="424">
        <f t="shared" si="194"/>
        <v>0.41346108023804817</v>
      </c>
      <c r="CT39" s="435">
        <f>CT8+CT10+CT12+CT16+CT20+CT23+CT24</f>
        <v>605121.4</v>
      </c>
      <c r="CU39" s="449">
        <f t="shared" si="195"/>
        <v>0.8455667181506501</v>
      </c>
      <c r="CV39" s="452">
        <f>CV8+CV10+CV12+CV16+CV20+CV23+CV24</f>
        <v>1743040.1506000001</v>
      </c>
      <c r="CW39" s="435">
        <f>CW8+CW10+CW12+CW16+CW20+CW23+CW24</f>
        <v>2266239.5999999996</v>
      </c>
      <c r="CX39" s="435">
        <f>CX8+CX10+CX12+CX16+CX20+CX23+CX24</f>
        <v>1793359.18</v>
      </c>
      <c r="CY39" s="489">
        <f t="shared" si="196"/>
        <v>0.79133697072454312</v>
      </c>
      <c r="CZ39" s="478">
        <f>CZ8+CZ10+CZ12+CZ16+CZ20+CZ23+CZ24</f>
        <v>712192.41999999993</v>
      </c>
      <c r="DA39" s="479">
        <f>DA8+DA10+DA12+DA16+DA20+DA23+DA24</f>
        <v>467792.14300000004</v>
      </c>
      <c r="DB39" s="424">
        <f t="shared" si="197"/>
        <v>0.65683392558432463</v>
      </c>
      <c r="DC39" s="435">
        <f>DC8+DC10+DC12+DC16+DC20+DC23+DC24</f>
        <v>570790.36</v>
      </c>
      <c r="DD39" s="449">
        <f t="shared" si="198"/>
        <v>0.80145525839772358</v>
      </c>
      <c r="DE39" s="478">
        <f>DE8+DE10+DE12+DE16+DE20+DE23+DE24</f>
        <v>553619.05000000005</v>
      </c>
      <c r="DF39" s="479">
        <f>DF8+DF10+DF12+DF16+DF20+DF23+DF24</f>
        <v>400761.74599999998</v>
      </c>
      <c r="DG39" s="424">
        <f t="shared" si="199"/>
        <v>0.72389442884958521</v>
      </c>
      <c r="DH39" s="435">
        <f>DH8+DH10+DH12+DH16+DH20+DH23+DH24</f>
        <v>618270.34000000008</v>
      </c>
      <c r="DI39" s="449">
        <f t="shared" si="200"/>
        <v>1.116779381056342</v>
      </c>
      <c r="DJ39" s="478">
        <f>DJ8+DJ10+DJ12+DJ16+DJ20+DJ23+DJ24</f>
        <v>485725.75</v>
      </c>
      <c r="DK39" s="479">
        <f>DK8+DK10+DK12+DK16+DK20+DK23+DK24</f>
        <v>404306.3505</v>
      </c>
      <c r="DL39" s="424">
        <f t="shared" si="201"/>
        <v>0.8323757809834047</v>
      </c>
      <c r="DM39" s="435">
        <f>DM8+DM10+DM12+DM16+DM20+DM23+DM24</f>
        <v>511991.38</v>
      </c>
      <c r="DN39" s="449">
        <f t="shared" si="202"/>
        <v>1.0540750207292902</v>
      </c>
      <c r="DO39" s="478">
        <f>DO8+DO10+DO12+DO16+DO20+DO23+DO24</f>
        <v>476713.37</v>
      </c>
      <c r="DP39" s="479">
        <f>DP8+DP10+DP12+DP16+DP20+DP23+DP24</f>
        <v>497530.82447646785</v>
      </c>
      <c r="DQ39" s="424">
        <f t="shared" si="203"/>
        <v>1.0436687028024154</v>
      </c>
      <c r="DR39" s="435">
        <f>DR8+DR10+DR12+DR16+DR20+DR23+DR24</f>
        <v>531492.84</v>
      </c>
      <c r="DS39" s="449">
        <f t="shared" si="204"/>
        <v>1.1149107061964718</v>
      </c>
      <c r="DT39" s="452">
        <f>DT8+DT10+DT12+DT16+DT20+DT23+DT24</f>
        <v>1770391.0639764676</v>
      </c>
      <c r="DU39" s="435">
        <f>DU8+DU10+DU12+DU16+DU20+DU23+DU24</f>
        <v>2228250.59</v>
      </c>
      <c r="DV39" s="435">
        <f>DV8+DV10+DV12+DV16+DV20+DV23+DV24</f>
        <v>2232544.92</v>
      </c>
      <c r="DW39" s="419">
        <f t="shared" si="205"/>
        <v>1.0019272204029799</v>
      </c>
      <c r="DX39" s="478">
        <f>DX8+DX10+DX12+DX16+DX20+DX23+DX24</f>
        <v>443923.16</v>
      </c>
      <c r="DY39" s="479">
        <f>DY8+DY10+DY12+DY16+DY20+DY23+DY24</f>
        <v>510608.68221322569</v>
      </c>
      <c r="DZ39" s="424">
        <f t="shared" si="206"/>
        <v>1.1502186148909774</v>
      </c>
      <c r="EA39" s="479">
        <f>EA8+EA10+EA12+EA16+EA20+EA23+EA24</f>
        <v>553426.79</v>
      </c>
      <c r="EB39" s="449">
        <f t="shared" si="207"/>
        <v>1.2466724871935047</v>
      </c>
      <c r="EC39" s="478">
        <f>EC8+EC10+EC12+EC16+EC20+EC23+EC24</f>
        <v>468426.73</v>
      </c>
      <c r="ED39" s="479">
        <f>ED8+ED10+ED12+ED16+ED20+ED23+ED24</f>
        <v>625864.9157382733</v>
      </c>
      <c r="EE39" s="424">
        <f t="shared" si="208"/>
        <v>1.3360999184189879</v>
      </c>
      <c r="EF39" s="479">
        <f>EF8+EF10+EF12+EF16+EF20+EF23+EF24</f>
        <v>541263.17999999993</v>
      </c>
      <c r="EG39" s="449">
        <f t="shared" si="209"/>
        <v>1.1554916603499548</v>
      </c>
      <c r="EH39" s="478">
        <f>EH8+EH10+EH12+EH16+EH20+EH23+EH24</f>
        <v>605417.71000000008</v>
      </c>
      <c r="EI39" s="479">
        <f>EI8+EI10+EI12+EI16+EI20+EI23+EI24</f>
        <v>588694.73424999998</v>
      </c>
      <c r="EJ39" s="424">
        <f t="shared" si="210"/>
        <v>0.97237778896491134</v>
      </c>
      <c r="EK39" s="479">
        <f>EK8+EK10+EK12+EK16+EK20+EK23+EK24</f>
        <v>622466.11</v>
      </c>
      <c r="EL39" s="449">
        <f t="shared" si="211"/>
        <v>1.0281597312374624</v>
      </c>
      <c r="EM39" s="478">
        <f>EM8+EM10+EM12+EM16+EM20+EM23+EM24</f>
        <v>659332.23</v>
      </c>
      <c r="EN39" s="479">
        <f>EN8+EN10+EN12+EN16+EN20+EN23+EN24</f>
        <v>611058.5368</v>
      </c>
      <c r="EO39" s="424">
        <f t="shared" si="212"/>
        <v>0.92678396261623675</v>
      </c>
      <c r="EP39" s="479">
        <f>EP8+EP10+EP12+EP16+EP20+EP23+EP24</f>
        <v>545676.89</v>
      </c>
      <c r="EQ39" s="449">
        <f t="shared" si="213"/>
        <v>0.82762053054800622</v>
      </c>
      <c r="ER39" s="478">
        <f>ER8+ER10+ER12+ER16+ER20+ER23+ER24</f>
        <v>599731.01</v>
      </c>
      <c r="ES39" s="479">
        <f>ES8+ES10+ES12+ES16+ES20+ES23+ES24</f>
        <v>542878.15610000002</v>
      </c>
      <c r="ET39" s="424">
        <f t="shared" si="214"/>
        <v>0.90520274431032011</v>
      </c>
      <c r="EU39" s="479">
        <f>EU8+EU10+EU12+EU16+EU20+EU23+EU24</f>
        <v>575423.39999999991</v>
      </c>
      <c r="EV39" s="449">
        <f t="shared" si="215"/>
        <v>0.95946914600930822</v>
      </c>
      <c r="EW39" s="452">
        <f>EW8+EW10+EW12+EW16+EW20+EW23+EW24</f>
        <v>2879105.0251014992</v>
      </c>
      <c r="EX39" s="435">
        <f>EX8+EX10+EX12+EX16+EX20+EX23+EX24</f>
        <v>2776830.84</v>
      </c>
      <c r="EY39" s="435">
        <f>EY8+EY10+EY12+EY16+EY20+EY23+EY24</f>
        <v>2838256.3699999996</v>
      </c>
      <c r="EZ39" s="426">
        <f t="shared" si="216"/>
        <v>1.0221207317043481</v>
      </c>
      <c r="FA39" s="478">
        <f>FA8+FA10+FA12+FA16+FA20+FA23+FA24</f>
        <v>538072.19999999995</v>
      </c>
      <c r="FB39" s="479">
        <f>FB8+FB10+FB12+FB16+FB20+FB23+FB24</f>
        <v>561501.29749999999</v>
      </c>
      <c r="FC39" s="424">
        <f>FB39/FA39</f>
        <v>1.0435426649063082</v>
      </c>
      <c r="FD39" s="1401">
        <f>FD8+FD10+FD12+FD16+FD20+FD23+FD24</f>
        <v>587682.25</v>
      </c>
      <c r="FE39" s="449">
        <f>FD39/FA39</f>
        <v>1.0921996155906215</v>
      </c>
      <c r="FF39" s="478">
        <f>FF8+FF10+FF12+FF16+FF20+FF23+FF24</f>
        <v>567868.9</v>
      </c>
      <c r="FG39" s="479">
        <f>FG8+FG10+FG12+FG16+FG20+FG23+FG24</f>
        <v>575715.44362000003</v>
      </c>
      <c r="FH39" s="424">
        <f>FG39/FF39</f>
        <v>1.0138175265805189</v>
      </c>
      <c r="FI39" s="1401">
        <f>FI8+FI10+FI12+FI16+FI20+FI23+FI24</f>
        <v>568127.29999999993</v>
      </c>
      <c r="FJ39" s="449">
        <f>FI39/FF39</f>
        <v>1.0004550346039374</v>
      </c>
      <c r="FK39" s="478">
        <f>FK8+FK10+FK12+FK16+FK20+FK23+FK24</f>
        <v>535620.3899999999</v>
      </c>
      <c r="FL39" s="479">
        <f>FL8+FL10+FL12+FL16+FL20+FL23+FL24</f>
        <v>598024.65302000009</v>
      </c>
      <c r="FM39" s="424">
        <f>FL39/FK39</f>
        <v>1.1165083782938141</v>
      </c>
      <c r="FN39" s="1401">
        <f>FN8+FN10+FN12+FN16+FN20+FN23+FN24</f>
        <v>531717.16</v>
      </c>
      <c r="FO39" s="449">
        <f>FN39/FK39</f>
        <v>0.99271269340586554</v>
      </c>
      <c r="FP39" s="478">
        <f>FP8+FP10+FP12+FP16+FP20+FP23+FP24</f>
        <v>525948.79</v>
      </c>
      <c r="FQ39" s="479">
        <f>FQ8+FQ10+FQ12+FQ16+FQ20+FQ23+FQ24</f>
        <v>591980.03298000002</v>
      </c>
      <c r="FR39" s="424">
        <f>FQ39/FP39</f>
        <v>1.125546905393584</v>
      </c>
      <c r="FS39" s="1401">
        <f>FS8+FS10+FS12+FS16+FS20+FS23+FS24</f>
        <v>540659.34000000008</v>
      </c>
      <c r="FT39" s="449">
        <f>FS39/FP39</f>
        <v>1.0279695481379472</v>
      </c>
      <c r="FU39" s="452">
        <f>FU8+FU10+FU12+FU16+FU20+FU23+FU24</f>
        <v>2327221.4271200001</v>
      </c>
      <c r="FV39" s="435">
        <f>FV8+FV10+FV12+FV16+FV20+FV23+FV24</f>
        <v>2167510.2799999998</v>
      </c>
      <c r="FW39" s="435">
        <f>FW8+FW10+FW12+FW16+FW20+FW23+FW24</f>
        <v>2228186.0499999998</v>
      </c>
      <c r="FX39" s="455">
        <f t="shared" si="217"/>
        <v>1.027993302066369</v>
      </c>
      <c r="FY39" s="478">
        <f>FY8+FY10+FY12+FY16+FY20+FY23+FY24</f>
        <v>539040.46</v>
      </c>
      <c r="FZ39" s="479">
        <f>FZ8+FZ10+FZ12+FZ16+FZ20+FZ23+FZ24</f>
        <v>544355.00979000004</v>
      </c>
      <c r="GA39" s="424">
        <f>FZ39/FY39</f>
        <v>1.0098592780771969</v>
      </c>
      <c r="GB39" s="1401">
        <f>GB8+GB10+GB12+GB16+GB20+GB23+GB24</f>
        <v>531653.67000000004</v>
      </c>
      <c r="GC39" s="449">
        <f>GB39/FY39</f>
        <v>0.98629640899312099</v>
      </c>
      <c r="GD39" s="478">
        <f>GD8+GD10+GD12+GD16+GD20+GD23+GD24</f>
        <v>526573.69999999995</v>
      </c>
      <c r="GE39" s="479">
        <f>GE8+GE10+GE12+GE16+GE20+GE23+GE24</f>
        <v>600739.28428500006</v>
      </c>
      <c r="GF39" s="424">
        <f>GE39/GD39</f>
        <v>1.1408455915762601</v>
      </c>
      <c r="GG39" s="1401">
        <f>GG8+GG10+GG12+GG16+GG20+GG23+GG24</f>
        <v>550755.17999999993</v>
      </c>
      <c r="GH39" s="449">
        <f>GG39/GD39</f>
        <v>1.0459223086910721</v>
      </c>
      <c r="GI39" s="478">
        <f>GI8+GI10+GI12+GI16+GI20+GI23+GI24</f>
        <v>703197.95000000007</v>
      </c>
      <c r="GJ39" s="479">
        <f>GJ8+GJ10+GJ12+GJ16+GJ20+GJ23+GJ24</f>
        <v>553601.32747500006</v>
      </c>
      <c r="GK39" s="424">
        <f>GJ39/GI39</f>
        <v>0.78726243083473157</v>
      </c>
      <c r="GL39" s="1401">
        <f>GL8+GL10+GL12+GL16+GL20+GL23+GL24</f>
        <v>518750.55000000005</v>
      </c>
      <c r="GM39" s="449">
        <f>GL39/GI39</f>
        <v>0.73770202259548678</v>
      </c>
      <c r="GN39" s="478">
        <f>GN8+GN10+GN12+GN16+GN20+GN23+GN24</f>
        <v>682225.73</v>
      </c>
      <c r="GO39" s="479">
        <f>GO8+GO10+GO12+GO16+GO20+GO23+GO24</f>
        <v>514560.0919</v>
      </c>
      <c r="GP39" s="424">
        <f>GO39/GN39</f>
        <v>0.75423729899486491</v>
      </c>
      <c r="GQ39" s="1401">
        <f>GQ8+GQ10+GQ12+GQ16+GQ20+GQ23+GQ24</f>
        <v>550687.64</v>
      </c>
      <c r="GR39" s="449">
        <f>GQ39/GN39</f>
        <v>0.80719271611171872</v>
      </c>
      <c r="GS39" s="452">
        <f>GS8+GS10+GS12+GS16+GS20+GS23+GS24</f>
        <v>2213255.7134500002</v>
      </c>
      <c r="GT39" s="435">
        <f>GT8+GT10+GT12+GT16+GT20+GT23+GT24</f>
        <v>2451037.84</v>
      </c>
      <c r="GU39" s="435">
        <f>GU8+GU10+GU12+GU16+GU20+GU23+GU24</f>
        <v>2151847.04</v>
      </c>
      <c r="GV39" s="426">
        <f t="shared" si="218"/>
        <v>0.87793301469388996</v>
      </c>
      <c r="GW39" s="478">
        <f>GW8+GW10+GW12+GW16+GW20+GW23+GW24</f>
        <v>677639</v>
      </c>
      <c r="GX39" s="479">
        <f>GX8+GX10+GX12+GX16+GX20+GX23+GX24</f>
        <v>521213.38399999996</v>
      </c>
      <c r="GY39" s="424">
        <f>GX39/GW39</f>
        <v>0.76916084227737769</v>
      </c>
      <c r="GZ39" s="1401">
        <f>GZ8+GZ10+GZ12+GZ16+GZ20+GZ23+GZ24</f>
        <v>608786.65</v>
      </c>
      <c r="HA39" s="449">
        <f>GZ39/GW39</f>
        <v>0.89839376127997361</v>
      </c>
      <c r="HB39" s="478">
        <f>HB8+HB10+HB12+HB16+HB20+HB23+HB24</f>
        <v>729325.91999999993</v>
      </c>
      <c r="HC39" s="479">
        <f>HC8+HC10+HC12+HC16+HC20+HC23+HC24</f>
        <v>529282.76835000003</v>
      </c>
      <c r="HD39" s="424">
        <f>HC39/HB39</f>
        <v>0.72571501140395511</v>
      </c>
      <c r="HE39" s="1401">
        <f>HE8+HE10+HE12+HE16+HE20+HE23+HE24</f>
        <v>471850.87999999995</v>
      </c>
      <c r="HF39" s="449">
        <f>HE39/HB39</f>
        <v>0.64696847741267716</v>
      </c>
      <c r="HG39" s="478">
        <f>HG8+HG10+HG12+HG16+HG20+HG23+HG24</f>
        <v>597359.31000000006</v>
      </c>
      <c r="HH39" s="479">
        <f>HH8+HH10+HH12+HH16+HH20+HH23+HH24</f>
        <v>452295.4436</v>
      </c>
      <c r="HI39" s="424">
        <f>HH39/HG39</f>
        <v>0.75715810573036846</v>
      </c>
      <c r="HJ39" s="1401">
        <f>HJ8+HJ10+HJ12+HJ16+HJ20+HJ23+HJ24</f>
        <v>493415.14</v>
      </c>
      <c r="HK39" s="449">
        <f>HJ39/HG39</f>
        <v>0.82599388967420628</v>
      </c>
      <c r="HL39" s="478">
        <f>HL11+HL22+HL21+HL23+HL24+HL16</f>
        <v>643171.77</v>
      </c>
      <c r="HM39" s="478">
        <f>HM11+HM22+HM21+HM23+HM24+HM16</f>
        <v>487458.45778499998</v>
      </c>
      <c r="HN39" s="424">
        <f>HM39/HL39</f>
        <v>0.75789778177764233</v>
      </c>
      <c r="HO39" s="478">
        <f>HO11+HO22+HO21+HO23+HO24+HO16</f>
        <v>408800.33999999997</v>
      </c>
      <c r="HP39" s="449">
        <f>HO39/HL39</f>
        <v>0.63560056437178514</v>
      </c>
      <c r="HQ39" s="478">
        <f>HQ11+HQ22+HQ21+HQ23+HQ24+HQ16</f>
        <v>674179.67999999993</v>
      </c>
      <c r="HR39" s="478">
        <f>HR11+HR22+HR21+HR23+HR24+HR16</f>
        <v>518667.83744999999</v>
      </c>
      <c r="HS39" s="424">
        <f>HR39/HQ39</f>
        <v>0.76933175655783637</v>
      </c>
      <c r="HT39" s="478">
        <f>HT11+HT22+HT21+HT23+HT24+HT16</f>
        <v>433296.07</v>
      </c>
      <c r="HU39" s="449">
        <f>HT39/HQ39</f>
        <v>0.64270117129605575</v>
      </c>
      <c r="HV39" s="478">
        <f>HV11+HV22+HV21+HV23+HV24+HV16</f>
        <v>2580649.9241850004</v>
      </c>
      <c r="HW39" s="478">
        <f>HW11+HW22+HW21+HW23+HW24+HW16</f>
        <v>3405881.7199999997</v>
      </c>
      <c r="HX39" s="478">
        <f>HX11+HX22+HX21+HX23+HX24+HX16</f>
        <v>2354795.4899999998</v>
      </c>
      <c r="HY39" s="455">
        <f t="shared" si="219"/>
        <v>0.69139085957453628</v>
      </c>
      <c r="HZ39" s="478">
        <f>HZ11+HZ22+HZ21+HZ23+HZ24+HZ16</f>
        <v>616583.63</v>
      </c>
      <c r="IA39" s="478">
        <f>IA11+IA22+IA21+IA23+IA24+IA16</f>
        <v>401623.09379999992</v>
      </c>
      <c r="IB39" s="424">
        <f>IA39/HZ39</f>
        <v>0.65136840204466651</v>
      </c>
      <c r="IC39" s="478">
        <f>IC11+IC22+IC21+IC23+IC24+IC16</f>
        <v>449592.26999999996</v>
      </c>
      <c r="ID39" s="449">
        <f>IC39/HZ39</f>
        <v>0.72916673120238362</v>
      </c>
      <c r="IE39" s="478">
        <f>IE11+IE22+IE21+IE23+IE24+IE16</f>
        <v>666443.71</v>
      </c>
      <c r="IF39" s="478">
        <f>IF11+IF22+IF21+IF23+IF24+IF16</f>
        <v>451973.16110000008</v>
      </c>
      <c r="IG39" s="424">
        <f>IF39/IE39</f>
        <v>0.67818655096917357</v>
      </c>
      <c r="IH39" s="478">
        <f>IH11+IH22+IH21+IH23+IH24+IH16</f>
        <v>532075.93000000005</v>
      </c>
      <c r="II39" s="449">
        <f>IH39/IE39</f>
        <v>0.79838090151679886</v>
      </c>
      <c r="IJ39" s="478">
        <f>IJ11+IJ22+IJ21+IJ23+IJ24+IJ16</f>
        <v>755247.56</v>
      </c>
      <c r="IK39" s="478">
        <f>IK11+IK22+IK21+IK23+IK24+IK16</f>
        <v>536969.2156</v>
      </c>
      <c r="IL39" s="424">
        <f>IK39/IJ39</f>
        <v>0.71098437656653923</v>
      </c>
      <c r="IM39" s="478">
        <f>IM11+IM22+IM21+IM23+IM24+IM16</f>
        <v>616011.78</v>
      </c>
      <c r="IN39" s="449">
        <f>IM39/IJ39</f>
        <v>0.81564219816876993</v>
      </c>
      <c r="IO39" s="478">
        <f>IO11+IO22+IO21+IO23+IO24+IO16</f>
        <v>887772.6</v>
      </c>
      <c r="IP39" s="478">
        <f>IP11+IP22+IP21+IP23+IP24+IP16</f>
        <v>662269.728</v>
      </c>
      <c r="IQ39" s="424">
        <f>IP39/IO39</f>
        <v>0.74599027723991485</v>
      </c>
      <c r="IR39" s="478">
        <f>IR11+IR22+IR21+IR23+IR24+IR16</f>
        <v>866937.2699999999</v>
      </c>
      <c r="IS39" s="449">
        <f>IR39/IO39</f>
        <v>0.97653078051744324</v>
      </c>
      <c r="IT39" s="478">
        <f>IT11+IT22+IT21+IT23+IT24+IT16</f>
        <v>2052835.1984999999</v>
      </c>
      <c r="IU39" s="478">
        <f>IU11+IU22+IU21+IU23+IU24+IU16</f>
        <v>2926047.5</v>
      </c>
      <c r="IV39" s="478">
        <f>IV11+IV22+IV21+IV23+IV24+IV16</f>
        <v>2464617.25</v>
      </c>
      <c r="IW39" s="426">
        <f t="shared" si="220"/>
        <v>0.84230254293547868</v>
      </c>
      <c r="IX39" s="478">
        <f>IX8+IX10+IX12+IX16+IX20+IX23+IX24</f>
        <v>605760.2300000001</v>
      </c>
      <c r="IY39" s="479">
        <f>IY8+IY10+IY12+IY16+IY20+IY23+IY24</f>
        <v>528864.9935000001</v>
      </c>
      <c r="IZ39" s="424">
        <f t="shared" si="221"/>
        <v>0.87305994568180878</v>
      </c>
      <c r="JA39" s="435">
        <f>JA8+JA10+JA12+JA16+JA20+JA23+JA24</f>
        <v>574116.56999999995</v>
      </c>
      <c r="JB39" s="449">
        <f t="shared" si="222"/>
        <v>0.94776207081141639</v>
      </c>
      <c r="JC39" s="478">
        <f>JC8+JC10+JC12+JC16+JC20+JC23+JC24</f>
        <v>748178.14</v>
      </c>
      <c r="JD39" s="479">
        <f>JD8+JD10+JD12+JD16+JD20+JD23+JD24</f>
        <v>660123.9476999999</v>
      </c>
      <c r="JE39" s="424">
        <f t="shared" si="223"/>
        <v>0.88230852040130425</v>
      </c>
      <c r="JF39" s="435">
        <f>JF8+JF10+JF12+JF16+JF20+JF23+JF24</f>
        <v>582125.32999999996</v>
      </c>
      <c r="JG39" s="449">
        <f t="shared" si="224"/>
        <v>0.77805712152990725</v>
      </c>
      <c r="JH39" s="478">
        <f>JH8+JH10+JH12+JH16+JH20+JH23+JH24</f>
        <v>950398.56</v>
      </c>
      <c r="JI39" s="479">
        <f>JI8+JI10+JI12+JI16+JI20+JI23+JI24</f>
        <v>837187.93620000011</v>
      </c>
      <c r="JJ39" s="424">
        <f t="shared" si="225"/>
        <v>0.88088089716802609</v>
      </c>
      <c r="JK39" s="435">
        <f>JK8+JK10+JK12+JK16+JK20+JK23+JK24</f>
        <v>753113.72</v>
      </c>
      <c r="JL39" s="449">
        <f t="shared" si="226"/>
        <v>0.79241883531473356</v>
      </c>
      <c r="JM39" s="478">
        <f>JM8+JM10+JM12+JM16+JM20+JM23+JM24</f>
        <v>1066344.23</v>
      </c>
      <c r="JN39" s="479">
        <f>JN8+JN10+JN12+JN16+JN20+JN23+JN24</f>
        <v>856007.27760000003</v>
      </c>
      <c r="JO39" s="424">
        <f t="shared" si="227"/>
        <v>0.80274948137525914</v>
      </c>
      <c r="JP39" s="435">
        <f>JP8+JP10+JP12+JP16+JP20+JP23+JP24</f>
        <v>805502.48</v>
      </c>
      <c r="JQ39" s="449">
        <f t="shared" si="228"/>
        <v>0.75538691666198632</v>
      </c>
      <c r="JR39" s="800"/>
      <c r="JS39" s="1587">
        <f>JS8+JS10+JS12+JS16+JS20+JS23+JS24</f>
        <v>2882184.1549999998</v>
      </c>
      <c r="JT39" s="1577">
        <f>JT8+JT10+JT12+JT16+JT20+JT23+JT24</f>
        <v>3370681.16</v>
      </c>
      <c r="JU39" s="1577">
        <f>JU8+JU10+JU12+JU16+JU20+JU23+JU24</f>
        <v>2714858.1</v>
      </c>
      <c r="JV39" s="455">
        <f t="shared" ref="JV38:JV41" si="240">JU39/JT39</f>
        <v>0.80543307750887949</v>
      </c>
      <c r="JW39" s="478">
        <f>JW8+JW10+JW12+JW16+JW20+JW23+JW24</f>
        <v>1333491.5100000002</v>
      </c>
      <c r="JX39" s="479">
        <f>JX8+JX10+JX12+JX16+JX20+JX23+JX24</f>
        <v>1056382.9532999999</v>
      </c>
      <c r="JY39" s="424">
        <f t="shared" si="229"/>
        <v>0.79219323511103545</v>
      </c>
      <c r="JZ39" s="435">
        <f>JZ8+JZ10+JZ12+JZ16+JZ20+JZ23+JZ24</f>
        <v>1189099.32</v>
      </c>
      <c r="KA39" s="449">
        <f t="shared" si="230"/>
        <v>0.89171870318094482</v>
      </c>
      <c r="KB39" s="478">
        <f>KB8+KB10+KB12+KB16+KB20+KB23+KB24</f>
        <v>1622250.01</v>
      </c>
      <c r="KC39" s="479">
        <f>KC8+KC10+KC12+KC16+KC20+KC23+KC24</f>
        <v>1283112.6209999998</v>
      </c>
      <c r="KD39" s="424">
        <f t="shared" si="231"/>
        <v>0.79094628638652298</v>
      </c>
      <c r="KE39" s="435">
        <f>KE8+KE10+KE12+KE16+KE20+KE23+KE24</f>
        <v>1351915.86</v>
      </c>
      <c r="KF39" s="449">
        <f t="shared" si="232"/>
        <v>0.8333585154362243</v>
      </c>
      <c r="KG39" s="478">
        <f>KG8+KG10+KG12+KG16+KG20+KG23+KG24</f>
        <v>2082284.65</v>
      </c>
      <c r="KH39" s="479">
        <f>KH8+KH10+KH12+KH16+KH20+KH23+KH24</f>
        <v>1729363.7598999997</v>
      </c>
      <c r="KI39" s="424">
        <f t="shared" si="233"/>
        <v>0.83051265824775677</v>
      </c>
      <c r="KJ39" s="435">
        <f>KJ8+KJ10+KJ12+KJ16+KJ20+KJ23+KJ24</f>
        <v>1653493.82</v>
      </c>
      <c r="KK39" s="449">
        <f t="shared" si="234"/>
        <v>0.79407674642369386</v>
      </c>
      <c r="KL39" s="478">
        <f>KL8+KL10+KL12+KL16+KL20+KL23+KL24</f>
        <v>1799348.9399999997</v>
      </c>
      <c r="KM39" s="479">
        <f>KM8+KM10+KM12+KM16+KM20+KM23+KM24</f>
        <v>2533598.1927</v>
      </c>
      <c r="KN39" s="424">
        <f t="shared" si="235"/>
        <v>1.4080638481938919</v>
      </c>
      <c r="KO39" s="435">
        <f>KO8+KO10+KO12+KO16+KO20+KO23+KO24</f>
        <v>2615275.61</v>
      </c>
      <c r="KP39" s="449">
        <f t="shared" si="236"/>
        <v>1.4534566097001731</v>
      </c>
      <c r="KQ39" s="478">
        <f>KQ8+KQ10+KQ12+KQ16+KQ20+KQ23+KQ24</f>
        <v>571670.5</v>
      </c>
      <c r="KR39" s="479">
        <f>KR8+KR10+KR12+KR16+KR20+KR23+KR24</f>
        <v>526439.67409999995</v>
      </c>
      <c r="KS39" s="424">
        <f t="shared" si="237"/>
        <v>0.92087955229454721</v>
      </c>
      <c r="KT39" s="435">
        <f>KT8+KT10+KT12+KT16+KT20+KT23+KT24</f>
        <v>538988.73</v>
      </c>
      <c r="KU39" s="449">
        <f t="shared" si="238"/>
        <v>0.94283110638033618</v>
      </c>
      <c r="KV39" s="452">
        <f>KV8+KV10+KV12+KV16+KV20+KV23+KV24</f>
        <v>7128897.2010000004</v>
      </c>
      <c r="KW39" s="435">
        <f>KW8+KW10+KW12+KW16+KW20+KW23+KW24</f>
        <v>7409045.6099999994</v>
      </c>
      <c r="KX39" s="435">
        <f>KX8+KX10+KX12+KX16+KX20+KX23+KX24</f>
        <v>7348773.3399999999</v>
      </c>
      <c r="KY39" s="455">
        <f t="shared" si="239"/>
        <v>0.99186504265560871</v>
      </c>
      <c r="KZ39" s="948">
        <f>KZ8+KZ10+KZ12+KZ16+KZ20+KZ23+KZ24</f>
        <v>34126122.129999995</v>
      </c>
      <c r="LA39" s="948">
        <f>LA8+LA10+LA12+LA16+LA20+LA23+LA24</f>
        <v>31191994.391585004</v>
      </c>
      <c r="LB39" s="452">
        <f>LB8+LB10+LB12+LB16+LB20+LB23+LB24</f>
        <v>34126122.130000003</v>
      </c>
      <c r="LC39" s="452">
        <f>LC8+LC10+LC12+LC16+LC20+LC23+LC24</f>
        <v>31604436.429999992</v>
      </c>
      <c r="LD39" s="492">
        <f>LC39-LB39</f>
        <v>-2521685.7000000104</v>
      </c>
      <c r="LE39" s="493">
        <f>LC39/LB39</f>
        <v>0.92610687817403026</v>
      </c>
    </row>
    <row r="40" spans="1:321" ht="21" customHeight="1" outlineLevel="1">
      <c r="A40" s="1495"/>
      <c r="B40" s="429" t="s">
        <v>44</v>
      </c>
      <c r="C40" s="435"/>
      <c r="D40" s="435"/>
      <c r="E40" s="424"/>
      <c r="F40" s="435"/>
      <c r="G40" s="424"/>
      <c r="H40" s="435"/>
      <c r="I40" s="479"/>
      <c r="J40" s="424"/>
      <c r="K40" s="435"/>
      <c r="L40" s="424"/>
      <c r="M40" s="435"/>
      <c r="N40" s="435"/>
      <c r="O40" s="424"/>
      <c r="P40" s="435"/>
      <c r="Q40" s="424"/>
      <c r="R40" s="435"/>
      <c r="S40" s="435"/>
      <c r="T40" s="424"/>
      <c r="U40" s="435"/>
      <c r="V40" s="424"/>
      <c r="W40" s="424"/>
      <c r="X40" s="424"/>
      <c r="Y40" s="424"/>
      <c r="Z40" s="424"/>
      <c r="AA40" s="435"/>
      <c r="AB40" s="435"/>
      <c r="AC40" s="424"/>
      <c r="AD40" s="435"/>
      <c r="AE40" s="424"/>
      <c r="AF40" s="435"/>
      <c r="AG40" s="435"/>
      <c r="AH40" s="424"/>
      <c r="AI40" s="435"/>
      <c r="AJ40" s="424"/>
      <c r="AK40" s="435"/>
      <c r="AL40" s="435"/>
      <c r="AM40" s="424"/>
      <c r="AN40" s="435"/>
      <c r="AO40" s="424"/>
      <c r="AP40" s="435"/>
      <c r="AQ40" s="435"/>
      <c r="AR40" s="424"/>
      <c r="AS40" s="435"/>
      <c r="AT40" s="424"/>
      <c r="AU40" s="424"/>
      <c r="AV40" s="424"/>
      <c r="AW40" s="424"/>
      <c r="AX40" s="424"/>
      <c r="AY40" s="435"/>
      <c r="AZ40" s="435"/>
      <c r="BA40" s="424"/>
      <c r="BB40" s="435"/>
      <c r="BC40" s="424"/>
      <c r="BD40" s="435"/>
      <c r="BE40" s="435"/>
      <c r="BF40" s="424"/>
      <c r="BG40" s="435"/>
      <c r="BH40" s="424"/>
      <c r="BI40" s="435"/>
      <c r="BJ40" s="435"/>
      <c r="BK40" s="424"/>
      <c r="BL40" s="435"/>
      <c r="BM40" s="449"/>
      <c r="BN40" s="452">
        <f>BN11+BN18+BN19+BN21+BN22</f>
        <v>544350.65999999992</v>
      </c>
      <c r="BO40" s="435">
        <f>BO11+BO18+BO19+BO21+BO22</f>
        <v>353827.929</v>
      </c>
      <c r="BP40" s="424">
        <f t="shared" si="183"/>
        <v>0.65000000000000013</v>
      </c>
      <c r="BQ40" s="435">
        <f>BQ11+BQ18+BQ19+BQ21+BQ22</f>
        <v>352408.58</v>
      </c>
      <c r="BR40" s="426">
        <f t="shared" si="184"/>
        <v>0.64739258330282923</v>
      </c>
      <c r="BS40" s="452">
        <f>BS11+BS18+BS19+BS21+BS22</f>
        <v>581989.25</v>
      </c>
      <c r="BT40" s="435">
        <f>BT11+BT18+BT19+BT21+BT22</f>
        <v>378293.01250000001</v>
      </c>
      <c r="BU40" s="424">
        <f t="shared" si="185"/>
        <v>0.65</v>
      </c>
      <c r="BV40" s="435">
        <f>BV11+BV18+BV19+BV22+BV21</f>
        <v>398373.75</v>
      </c>
      <c r="BW40" s="426">
        <f t="shared" si="186"/>
        <v>0.68450362270437126</v>
      </c>
      <c r="BX40" s="449"/>
      <c r="BY40" s="435">
        <f>BY11+BY18+BY19+BY21+BY22</f>
        <v>2730635.33</v>
      </c>
      <c r="BZ40" s="435">
        <f>BZ11+BZ18+BZ19+BZ21+BZ22</f>
        <v>1682454.24</v>
      </c>
      <c r="CA40" s="426">
        <f t="shared" si="187"/>
        <v>0.61614021525166451</v>
      </c>
      <c r="CB40" s="452">
        <f>CB11+CB18+CB19+CB21+CB22</f>
        <v>601395.76</v>
      </c>
      <c r="CC40" s="435">
        <f>CC11+CC18+CC19+CC21+CC22</f>
        <v>493144.5232</v>
      </c>
      <c r="CD40" s="424">
        <f t="shared" si="188"/>
        <v>0.82</v>
      </c>
      <c r="CE40" s="435">
        <f>CE11+CE18+CE19+CE22+CE21</f>
        <v>379120.38</v>
      </c>
      <c r="CF40" s="426">
        <f t="shared" si="189"/>
        <v>0.63040081958675598</v>
      </c>
      <c r="CG40" s="452">
        <f>CG11+CG18+CG19+CG21+CG22</f>
        <v>646888.5199999999</v>
      </c>
      <c r="CH40" s="435">
        <f>CH11+CH18+CH19+CH21+CH22</f>
        <v>485166.38999999996</v>
      </c>
      <c r="CI40" s="424">
        <f t="shared" si="190"/>
        <v>0.75</v>
      </c>
      <c r="CJ40" s="435">
        <f>CJ11+CJ18+CJ19+CJ22+CJ21</f>
        <v>393842.68</v>
      </c>
      <c r="CK40" s="426">
        <f t="shared" si="191"/>
        <v>0.60882620084214822</v>
      </c>
      <c r="CL40" s="452">
        <f>CL11+CL18+CL19+CL21+CL22</f>
        <v>610388.22</v>
      </c>
      <c r="CM40" s="435">
        <f>CM11+CM18+CM19+CM21+CM22</f>
        <v>427271.75399999996</v>
      </c>
      <c r="CN40" s="424">
        <f t="shared" si="192"/>
        <v>0.7</v>
      </c>
      <c r="CO40" s="435">
        <f>CO11+CO18+CO19+CO22+CO21</f>
        <v>292673.15000000002</v>
      </c>
      <c r="CP40" s="426">
        <f t="shared" si="193"/>
        <v>0.47948689114609722</v>
      </c>
      <c r="CQ40" s="452">
        <f>CQ11+CQ18+CQ19+CQ21+CQ22</f>
        <v>741769.78</v>
      </c>
      <c r="CR40" s="435">
        <f>CR11+CR18+CR19+CR21+CR22</f>
        <v>291622.59765715396</v>
      </c>
      <c r="CS40" s="424">
        <f t="shared" si="194"/>
        <v>0.39314434952736138</v>
      </c>
      <c r="CT40" s="435">
        <f>CT11+CT18+CT19+CT22+CT21</f>
        <v>449408.24</v>
      </c>
      <c r="CU40" s="449">
        <f t="shared" si="195"/>
        <v>0.60585946221750897</v>
      </c>
      <c r="CV40" s="452">
        <f>CV11+CV18+CV19+CV21+CV22</f>
        <v>1697205.2648571539</v>
      </c>
      <c r="CW40" s="435">
        <f>CW11+CW18+CW19+CW22+CW21</f>
        <v>2600442.2800000003</v>
      </c>
      <c r="CX40" s="435">
        <f>CX11+CX18+CX19+CX22+CX21</f>
        <v>1515044.4500000002</v>
      </c>
      <c r="CY40" s="489">
        <f t="shared" si="196"/>
        <v>0.58261029735295644</v>
      </c>
      <c r="CZ40" s="478">
        <f>CZ11+CZ18+CZ19+CZ21+CZ22</f>
        <v>822142.04</v>
      </c>
      <c r="DA40" s="479">
        <f>DA11+DA18+DA19+DA21+DA22</f>
        <v>411071.02</v>
      </c>
      <c r="DB40" s="424">
        <f t="shared" si="197"/>
        <v>0.5</v>
      </c>
      <c r="DC40" s="435">
        <f>DC11+DC18+DC19+DC22+DC21</f>
        <v>460005.86000000004</v>
      </c>
      <c r="DD40" s="449">
        <f t="shared" si="198"/>
        <v>0.55952115038418426</v>
      </c>
      <c r="DE40" s="478">
        <f>DE11+DE18+DE19+DE21+DE22</f>
        <v>627795.75</v>
      </c>
      <c r="DF40" s="479">
        <f>DF11+DF18+DF19+DF21+DF22</f>
        <v>376677.45</v>
      </c>
      <c r="DG40" s="424">
        <f t="shared" si="199"/>
        <v>0.6</v>
      </c>
      <c r="DH40" s="435">
        <f>DH11+DH18+DH19+DH22+DH21</f>
        <v>512840.07</v>
      </c>
      <c r="DI40" s="449">
        <f t="shared" si="200"/>
        <v>0.8168899996535498</v>
      </c>
      <c r="DJ40" s="478">
        <f>DJ11+DJ18+DJ19+DJ21+DJ22</f>
        <v>539144.7300000001</v>
      </c>
      <c r="DK40" s="479">
        <f>DK11+DK18+DK19+DK21+DK22</f>
        <v>377401.31099999999</v>
      </c>
      <c r="DL40" s="424">
        <f t="shared" si="201"/>
        <v>0.69999999999999984</v>
      </c>
      <c r="DM40" s="435">
        <f>DM11+DM18+DM19+DM22+DM21</f>
        <v>431327.98</v>
      </c>
      <c r="DN40" s="449">
        <f t="shared" si="202"/>
        <v>0.80002262101309962</v>
      </c>
      <c r="DO40" s="478">
        <f>DO11+DO18+DO19+DO21+DO22</f>
        <v>592888.32999999996</v>
      </c>
      <c r="DP40" s="479">
        <f>DP11+DP18+DP19+DP21+DP22</f>
        <v>475122.53074909333</v>
      </c>
      <c r="DQ40" s="424">
        <f t="shared" si="203"/>
        <v>0.80136934175967567</v>
      </c>
      <c r="DR40" s="435">
        <f>DR11+DR18+DR19+DR22+DR21</f>
        <v>432270.5</v>
      </c>
      <c r="DS40" s="449">
        <f t="shared" si="204"/>
        <v>0.72909261007043269</v>
      </c>
      <c r="DT40" s="452">
        <f>DT11+DT18+DT19+DT21+DT22</f>
        <v>1640272.3117490932</v>
      </c>
      <c r="DU40" s="435">
        <f>DU11+DU18+DU19+DU21+DU22</f>
        <v>2581970.85</v>
      </c>
      <c r="DV40" s="435">
        <f>DV11+DV18+DV19+DV21+DV22</f>
        <v>1836444.4100000001</v>
      </c>
      <c r="DW40" s="419">
        <f t="shared" si="205"/>
        <v>0.71125683312807353</v>
      </c>
      <c r="DX40" s="478">
        <f>DX11+DX18+DX19+DX21+DX22</f>
        <v>594936.33000000007</v>
      </c>
      <c r="DY40" s="479">
        <f>DY11+DY18+DY19+DY21+DY22</f>
        <v>433459.67747293826</v>
      </c>
      <c r="DZ40" s="424">
        <f t="shared" si="206"/>
        <v>0.72858162397468351</v>
      </c>
      <c r="EA40" s="479">
        <f>EA11+EA18+EA19+EA21+EA22</f>
        <v>431037</v>
      </c>
      <c r="EB40" s="449">
        <f t="shared" si="207"/>
        <v>0.72450946137379091</v>
      </c>
      <c r="EC40" s="478">
        <f>EC11+EC18+EC19+EC21+EC22</f>
        <v>677855.49</v>
      </c>
      <c r="ED40" s="479">
        <f>ED11+ED18+ED19+ED21+ED22</f>
        <v>482564.55392602587</v>
      </c>
      <c r="EE40" s="424">
        <f t="shared" si="208"/>
        <v>0.71189886494247601</v>
      </c>
      <c r="EF40" s="479">
        <f>EF11+EF18+EF19+EF21+EF22</f>
        <v>456496.85</v>
      </c>
      <c r="EG40" s="449">
        <f t="shared" si="209"/>
        <v>0.67344272744622902</v>
      </c>
      <c r="EH40" s="478">
        <f>EH11+EH18+EH19+EH21+EH22</f>
        <v>668608.05999999994</v>
      </c>
      <c r="EI40" s="479">
        <f>EI11+EI18+EI19+EI21+EI22</f>
        <v>468025.64199999999</v>
      </c>
      <c r="EJ40" s="424">
        <f t="shared" si="210"/>
        <v>0.70000000000000007</v>
      </c>
      <c r="EK40" s="479">
        <f>EK11+EK18+EK19+EK21+EK22</f>
        <v>477227.76</v>
      </c>
      <c r="EL40" s="449">
        <f t="shared" si="211"/>
        <v>0.71376309762104884</v>
      </c>
      <c r="EM40" s="478">
        <f>EM11+EM18+EM19+EM21+EM22</f>
        <v>603920.34</v>
      </c>
      <c r="EN40" s="479">
        <f>EN11+EN18+EN19+EN21+EN22</f>
        <v>452440.13300000003</v>
      </c>
      <c r="EO40" s="424">
        <f t="shared" si="212"/>
        <v>0.74917187422433906</v>
      </c>
      <c r="EP40" s="479">
        <f>EP11+EP18+EP19+EP21+EP22</f>
        <v>445766.05999999994</v>
      </c>
      <c r="EQ40" s="449">
        <f t="shared" si="213"/>
        <v>0.738120626968782</v>
      </c>
      <c r="ER40" s="478">
        <f>ER11+ER18+ER19+ER21+ER22</f>
        <v>632054.88</v>
      </c>
      <c r="ES40" s="479">
        <f>ES11+ES18+ES19+ES21+ES22</f>
        <v>410835.67200000002</v>
      </c>
      <c r="ET40" s="424">
        <f t="shared" si="214"/>
        <v>0.65</v>
      </c>
      <c r="EU40" s="479">
        <f>EU11+EU18+EU19+EU21+EU22</f>
        <v>411215.25999999995</v>
      </c>
      <c r="EV40" s="449">
        <f t="shared" si="215"/>
        <v>0.65060056177400283</v>
      </c>
      <c r="EW40" s="452">
        <f>EW11+EW18+EW19+EW21+EW22</f>
        <v>2247325.678398964</v>
      </c>
      <c r="EX40" s="435">
        <f>EX11+EX18+EX19+EX21+EX22</f>
        <v>3177375.0999999996</v>
      </c>
      <c r="EY40" s="435">
        <f>EY11+EY18+EY19+EY21+EY22</f>
        <v>2221742.9300000002</v>
      </c>
      <c r="EZ40" s="426">
        <f t="shared" si="216"/>
        <v>0.69923847832759833</v>
      </c>
      <c r="FA40" s="478">
        <f>FA11+FA18+FA19+FA21+FA22</f>
        <v>602272.42000000004</v>
      </c>
      <c r="FB40" s="479">
        <f>FB11+FB18+FB19+FB21+FB22</f>
        <v>421590.6939999999</v>
      </c>
      <c r="FC40" s="424">
        <f>FB40/FA40</f>
        <v>0.69999999999999973</v>
      </c>
      <c r="FD40" s="1401">
        <f>FD11+FD18+FD19+FD21+FD22</f>
        <v>435665.31</v>
      </c>
      <c r="FE40" s="449">
        <f>FD40/FA40</f>
        <v>0.72336918565854302</v>
      </c>
      <c r="FF40" s="478">
        <f>FF11+FF18+FF19+FF21+FF22</f>
        <v>619845.69000000006</v>
      </c>
      <c r="FG40" s="479">
        <f>FG11+FG18+FG19+FG21+FG22</f>
        <v>451562.67719999998</v>
      </c>
      <c r="FH40" s="424">
        <f>FG40/FF40</f>
        <v>0.72850821500428586</v>
      </c>
      <c r="FI40" s="1401">
        <f>FI11+FI18+FI19+FI21+FI22</f>
        <v>458210.45000000007</v>
      </c>
      <c r="FJ40" s="449">
        <f>FI40/FF40</f>
        <v>0.7392330984829466</v>
      </c>
      <c r="FK40" s="478">
        <f>FK11+FK18+FK19+FK21+FK22</f>
        <v>580717.78</v>
      </c>
      <c r="FL40" s="479">
        <f>FL11+FL18+FL19+FL21+FL22</f>
        <v>458767.04620000004</v>
      </c>
      <c r="FM40" s="424">
        <f>FL40/FK40</f>
        <v>0.79</v>
      </c>
      <c r="FN40" s="1401">
        <f>FN11+FN18+FN19+FN21+FN22</f>
        <v>416901.92000000004</v>
      </c>
      <c r="FO40" s="449">
        <f>FN40/FK40</f>
        <v>0.71790796555256153</v>
      </c>
      <c r="FP40" s="478">
        <f>FP11+FP18+FP19+FP21+FP22</f>
        <v>530175.61</v>
      </c>
      <c r="FQ40" s="479">
        <f>FQ11+FQ18+FQ19+FQ21+FQ22</f>
        <v>402933.46359999996</v>
      </c>
      <c r="FR40" s="424">
        <f>FQ40/FP40</f>
        <v>0.7599999999999999</v>
      </c>
      <c r="FS40" s="1401">
        <f>FS11+FS18+FS19+FS21+FS22</f>
        <v>399569.33999999997</v>
      </c>
      <c r="FT40" s="449">
        <f>FS40/FP40</f>
        <v>0.75365469943062824</v>
      </c>
      <c r="FU40" s="452">
        <f>FU11+FU18+FU19+FU21+FU22</f>
        <v>1734853.8810000001</v>
      </c>
      <c r="FV40" s="435">
        <f>FV11+FV18+FV19+FV21+FV22</f>
        <v>2333011.5</v>
      </c>
      <c r="FW40" s="435">
        <f>FW11+FW18+FW19+FW21+FW22</f>
        <v>1710347.02</v>
      </c>
      <c r="FX40" s="455">
        <f t="shared" si="217"/>
        <v>0.73310698211303293</v>
      </c>
      <c r="FY40" s="478">
        <f>FY11+FY18+FY19+FY21+FY22</f>
        <v>529144.91</v>
      </c>
      <c r="FZ40" s="479">
        <f>FZ11+FZ18+FZ19+FZ21+FZ22</f>
        <v>396858.6825</v>
      </c>
      <c r="GA40" s="424">
        <f>FZ40/FY40</f>
        <v>0.75</v>
      </c>
      <c r="GB40" s="1401">
        <f>GB11+GB18+GB19+GB21+GB22</f>
        <v>397782.4</v>
      </c>
      <c r="GC40" s="449">
        <f>GB40/FY40</f>
        <v>0.75174567964756578</v>
      </c>
      <c r="GD40" s="478">
        <f>GD11+GD18+GD19+GD21+GD22</f>
        <v>540565.69999999995</v>
      </c>
      <c r="GE40" s="479">
        <f>GE11+GE18+GE19+GE21+GE22</f>
        <v>437858.21700000006</v>
      </c>
      <c r="GF40" s="424">
        <f>GE40/GD40</f>
        <v>0.81000000000000016</v>
      </c>
      <c r="GG40" s="1401">
        <f>GG11+GG18+GG19+GG21+GG22</f>
        <v>384288.97000000003</v>
      </c>
      <c r="GH40" s="449">
        <f>GG40/GD40</f>
        <v>0.71090150558942244</v>
      </c>
      <c r="GI40" s="478">
        <f>GI11+GI18+GI19+GI21+GI22</f>
        <v>498308.93999999994</v>
      </c>
      <c r="GJ40" s="479">
        <f>GJ11+GJ18+GJ19+GJ21+GJ22</f>
        <v>398647.15200000006</v>
      </c>
      <c r="GK40" s="424">
        <f>GJ40/GI40</f>
        <v>0.80000000000000016</v>
      </c>
      <c r="GL40" s="1401">
        <f>GL11+GL18+GL19+GL21+GL22</f>
        <v>391597.89</v>
      </c>
      <c r="GM40" s="449">
        <f>GL40/GI40</f>
        <v>0.78585363128343644</v>
      </c>
      <c r="GN40" s="478">
        <f>GN11+GN18+GN19+GN21+GN22</f>
        <v>516073.14</v>
      </c>
      <c r="GO40" s="479">
        <f>GO11+GO18+GO19+GO21+GO22</f>
        <v>376733.3922</v>
      </c>
      <c r="GP40" s="424">
        <f>GO40/GN40</f>
        <v>0.73</v>
      </c>
      <c r="GQ40" s="1401">
        <f>GQ11+GQ18+GQ19+GQ21+GQ22</f>
        <v>431970.79000000004</v>
      </c>
      <c r="GR40" s="449">
        <f>GQ40/GN40</f>
        <v>0.83703404908846835</v>
      </c>
      <c r="GS40" s="452">
        <f>GS11+GS18+GS19+GS21+GS22</f>
        <v>1610097.4437000002</v>
      </c>
      <c r="GT40" s="435">
        <f>GT11+GT18+GT19+GT21+GT22</f>
        <v>2084092.69</v>
      </c>
      <c r="GU40" s="435">
        <f>GU11+GU18+GU19+GU21+GU22</f>
        <v>1605640.05</v>
      </c>
      <c r="GV40" s="426">
        <f t="shared" si="218"/>
        <v>0.77042641035317871</v>
      </c>
      <c r="GW40" s="478">
        <f>GW11+GW18+GW19+GW21+GW22</f>
        <v>522539</v>
      </c>
      <c r="GX40" s="479">
        <f>GX11+GX18+GX19+GX21+GX22</f>
        <v>397129.64</v>
      </c>
      <c r="GY40" s="424">
        <f>GX40/GW40</f>
        <v>0.76</v>
      </c>
      <c r="GZ40" s="1401">
        <f>GZ11+GZ18+GZ19+GZ21+GZ22</f>
        <v>436154.32000000007</v>
      </c>
      <c r="HA40" s="449">
        <f>GZ40/GW40</f>
        <v>0.83468280836454323</v>
      </c>
      <c r="HB40" s="478">
        <f>HB11+HB18+HB19+HB21+HB22</f>
        <v>522044.57</v>
      </c>
      <c r="HC40" s="479">
        <f>HC11+HC18+HC19+HC21+HC22</f>
        <v>413504.44739999995</v>
      </c>
      <c r="HD40" s="424">
        <f>HC40/HB40</f>
        <v>0.79208648296064055</v>
      </c>
      <c r="HE40" s="1401">
        <f>HE11+HE18+HE19+HE21+HE22</f>
        <v>357481.41</v>
      </c>
      <c r="HF40" s="449">
        <f>HE40/HB40</f>
        <v>0.68477181938699216</v>
      </c>
      <c r="HG40" s="478">
        <f>HG11+HG18+HG19+HG21+HG22</f>
        <v>521062.07</v>
      </c>
      <c r="HH40" s="479">
        <f>HH11+HH18+HH19+HH21+HH22</f>
        <v>403569.18709999998</v>
      </c>
      <c r="HI40" s="424">
        <f>HH40/HG40</f>
        <v>0.77451269308472204</v>
      </c>
      <c r="HJ40" s="1401">
        <f>HJ11+HJ18+HJ19+HJ21+HJ22</f>
        <v>370802.18000000005</v>
      </c>
      <c r="HK40" s="449">
        <f>HJ40/HG40</f>
        <v>0.71162765695073538</v>
      </c>
      <c r="HL40" s="478">
        <f>HL8+HL10+HL12+HL18+HL19+HL20</f>
        <v>437996.57999999996</v>
      </c>
      <c r="HM40" s="478">
        <f>HM8+HM10+HM12+HM18+HM19+HM20</f>
        <v>332877.4008</v>
      </c>
      <c r="HN40" s="424">
        <f>HM40/HL40</f>
        <v>0.76000000000000012</v>
      </c>
      <c r="HO40" s="478">
        <f>HO8+HO10+HO12+HO18+HO19+HO20</f>
        <v>328009.48</v>
      </c>
      <c r="HP40" s="449">
        <f>HO40/HL40</f>
        <v>0.7488859387897504</v>
      </c>
      <c r="HQ40" s="478">
        <f>HQ8+HQ10+HQ12+HQ18+HQ19+HQ20</f>
        <v>486170.19000000006</v>
      </c>
      <c r="HR40" s="478">
        <f>HR8+HR10+HR12+HR18+HR19+HR20</f>
        <v>369489.34440000006</v>
      </c>
      <c r="HS40" s="424">
        <f>HR40/HQ40</f>
        <v>0.76</v>
      </c>
      <c r="HT40" s="478">
        <f>HT8+HT10+HT12+HT18+HT19+HT20</f>
        <v>374452.75</v>
      </c>
      <c r="HU40" s="449">
        <f>HT40/HQ40</f>
        <v>0.77020919361592277</v>
      </c>
      <c r="HV40" s="478">
        <f>HV8+HV10+HV12+HV18+HV19+HV20</f>
        <v>1844837.9866999998</v>
      </c>
      <c r="HW40" s="478">
        <f>HW8+HW10+HW12+HW18+HW19+HW20</f>
        <v>2405606.37</v>
      </c>
      <c r="HX40" s="478">
        <f>HX8+HX10+HX12+HX18+HX19+HX20</f>
        <v>1928253.73</v>
      </c>
      <c r="HY40" s="455">
        <f t="shared" si="219"/>
        <v>0.80156660459790852</v>
      </c>
      <c r="HZ40" s="478">
        <f>HZ8+HZ10+HZ12+HZ18+HZ19+HZ20</f>
        <v>448756.96</v>
      </c>
      <c r="IA40" s="478">
        <f>IA8+IA10+IA12+IA18+IA19+IA20</f>
        <v>345583.31659999996</v>
      </c>
      <c r="IB40" s="424">
        <f>IA40/HZ40</f>
        <v>0.77009015436774497</v>
      </c>
      <c r="IC40" s="478">
        <f>IC8+IC10+IC12+IC18+IC19+IC20</f>
        <v>388632.63</v>
      </c>
      <c r="ID40" s="449">
        <f>IC40/HZ40</f>
        <v>0.8660202841199387</v>
      </c>
      <c r="IE40" s="478">
        <f>IE8+IE10+IE12+IE18+IE19+IE20</f>
        <v>506629.12</v>
      </c>
      <c r="IF40" s="478">
        <f>IF8+IF10+IF12+IF18+IF19+IF20</f>
        <v>400574.35330000002</v>
      </c>
      <c r="IG40" s="424">
        <f>IF40/IE40</f>
        <v>0.79066586875227385</v>
      </c>
      <c r="IH40" s="478">
        <f>IH8+IH10+IH12+IH18+IH19+IH20</f>
        <v>430046.79</v>
      </c>
      <c r="II40" s="449">
        <f>IH40/IE40</f>
        <v>0.84883946268228716</v>
      </c>
      <c r="IJ40" s="478">
        <f>IJ8+IJ10+IJ12+IJ18+IJ19+IJ20</f>
        <v>531426.18999999994</v>
      </c>
      <c r="IK40" s="478">
        <f>IK8+IK10+IK12+IK18+IK19+IK20</f>
        <v>436602.93039999995</v>
      </c>
      <c r="IL40" s="424">
        <f>IK40/IJ40</f>
        <v>0.82156833557638553</v>
      </c>
      <c r="IM40" s="478">
        <f>IM8+IM10+IM12+IM18+IM19+IM20</f>
        <v>427330.58999999997</v>
      </c>
      <c r="IN40" s="449">
        <f>IM40/IJ40</f>
        <v>0.80412030502297982</v>
      </c>
      <c r="IO40" s="478">
        <f>IO8+IO10+IO12+IO18+IO19+IO20</f>
        <v>728559.3600000001</v>
      </c>
      <c r="IP40" s="478">
        <f>IP8+IP10+IP12+IP18+IP19+IP20</f>
        <v>619264.6054</v>
      </c>
      <c r="IQ40" s="424">
        <f>IP40/IO40</f>
        <v>0.84998510677290584</v>
      </c>
      <c r="IR40" s="478">
        <f>IR8+IR10+IR12+IR18+IR19+IR20</f>
        <v>699784.97</v>
      </c>
      <c r="IS40" s="449">
        <f>IR40/IO40</f>
        <v>0.9605050849940352</v>
      </c>
      <c r="IT40" s="478">
        <f>IT8+IT10+IT12+IT18+IT19+IT20</f>
        <v>1802025.2056999998</v>
      </c>
      <c r="IU40" s="478">
        <f>IU8+IU10+IU12+IU18+IU19+IU20</f>
        <v>2215371.63</v>
      </c>
      <c r="IV40" s="478">
        <f>IV8+IV10+IV12+IV18+IV19+IV20</f>
        <v>1945794.98</v>
      </c>
      <c r="IW40" s="426">
        <f t="shared" si="220"/>
        <v>0.87831538223679428</v>
      </c>
      <c r="IX40" s="478">
        <f>IX11+IX18+IX19+IX21+IX22</f>
        <v>528225.15</v>
      </c>
      <c r="IY40" s="479">
        <f>IY11+IY18+IY19+IY21+IY22</f>
        <v>427858.79480000003</v>
      </c>
      <c r="IZ40" s="424">
        <f t="shared" si="221"/>
        <v>0.80999322883433322</v>
      </c>
      <c r="JA40" s="435">
        <f>JA11+JA18+JA19+JA22+JA21</f>
        <v>430342.98</v>
      </c>
      <c r="JB40" s="449">
        <f t="shared" si="222"/>
        <v>0.81469611963762034</v>
      </c>
      <c r="JC40" s="478">
        <f>JC11+JC18+JC19+JC21+JC22</f>
        <v>663198.79</v>
      </c>
      <c r="JD40" s="479">
        <f>JD11+JD18+JD19+JD21+JD22</f>
        <v>547493.26390000002</v>
      </c>
      <c r="JE40" s="424">
        <f t="shared" si="223"/>
        <v>0.82553417188834133</v>
      </c>
      <c r="JF40" s="435">
        <f>JF11+JF18+JF19+JF22+JF21</f>
        <v>473266.22</v>
      </c>
      <c r="JG40" s="449">
        <f t="shared" si="224"/>
        <v>0.71361140450814142</v>
      </c>
      <c r="JH40" s="478">
        <f>JH11+JH18+JH19+JH21+JH22</f>
        <v>754028.53</v>
      </c>
      <c r="JI40" s="479">
        <f>JI11+JI18+JI19+JI21+JI22</f>
        <v>637023.09049999993</v>
      </c>
      <c r="JJ40" s="424">
        <f t="shared" si="225"/>
        <v>0.84482624351097158</v>
      </c>
      <c r="JK40" s="435">
        <f>JK11+JK18+JK19+JK22+JK21</f>
        <v>537203.25</v>
      </c>
      <c r="JL40" s="449">
        <f t="shared" si="226"/>
        <v>0.71244419624281319</v>
      </c>
      <c r="JM40" s="478">
        <f>JM11+JM18+JM19+JM21+JM22</f>
        <v>833952.28</v>
      </c>
      <c r="JN40" s="479">
        <f>JN11+JN18+JN19+JN21+JN22</f>
        <v>644748.90249999997</v>
      </c>
      <c r="JO40" s="424">
        <f t="shared" si="227"/>
        <v>0.77312445563431997</v>
      </c>
      <c r="JP40" s="435">
        <f>JP11+JP18+JP19+JP22+JP21</f>
        <v>704033.63000000012</v>
      </c>
      <c r="JQ40" s="449">
        <f t="shared" si="228"/>
        <v>0.84421332836934038</v>
      </c>
      <c r="JR40" s="800"/>
      <c r="JS40" s="1587">
        <f>JS11+JS18+JS19+JS21+JS22</f>
        <v>2257124.0516999997</v>
      </c>
      <c r="JT40" s="1577">
        <f>JT11+JT18+JT19+JT21+JT22</f>
        <v>2779404.75</v>
      </c>
      <c r="JU40" s="1577">
        <f>JU11+JU18+JU19+JU21+JU22</f>
        <v>2144846.08</v>
      </c>
      <c r="JV40" s="455">
        <f t="shared" si="240"/>
        <v>0.77169260072682833</v>
      </c>
      <c r="JW40" s="478">
        <f>JW11+JW18+JW19+JW21+JW22</f>
        <v>1145547.1499999999</v>
      </c>
      <c r="JX40" s="479">
        <f>JX11+JX18+JX19+JX21+JX22</f>
        <v>832945.54689999996</v>
      </c>
      <c r="JY40" s="424">
        <f t="shared" si="229"/>
        <v>0.72711589994353354</v>
      </c>
      <c r="JZ40" s="435">
        <f>JZ11+JZ18+JZ19+JZ22+JZ21</f>
        <v>903873.12</v>
      </c>
      <c r="KA40" s="449">
        <f t="shared" si="230"/>
        <v>0.78903179148933333</v>
      </c>
      <c r="KB40" s="478">
        <f>KB11+KB18+KB19+KB21+KB22</f>
        <v>1367670.11</v>
      </c>
      <c r="KC40" s="479">
        <f>KC11+KC18+KC19+KC21+KC22</f>
        <v>994359.05079999997</v>
      </c>
      <c r="KD40" s="424">
        <f t="shared" si="231"/>
        <v>0.72704597660615677</v>
      </c>
      <c r="KE40" s="435">
        <f>KE11+KE18+KE19+KE22+KE21</f>
        <v>1027314.8700000001</v>
      </c>
      <c r="KF40" s="449">
        <f t="shared" si="232"/>
        <v>0.75114229848892433</v>
      </c>
      <c r="KG40" s="478">
        <f>KG11+KG18+KG19+KG21+KG22</f>
        <v>1733364.05</v>
      </c>
      <c r="KH40" s="479">
        <f>KH11+KH18+KH19+KH21+KH22</f>
        <v>1270480.3452999999</v>
      </c>
      <c r="KI40" s="424">
        <f t="shared" si="233"/>
        <v>0.73295644114691305</v>
      </c>
      <c r="KJ40" s="435">
        <f>KJ11+KJ18+KJ19+KJ22+KJ21</f>
        <v>1271642.51</v>
      </c>
      <c r="KK40" s="449">
        <f t="shared" si="234"/>
        <v>0.73362690890006632</v>
      </c>
      <c r="KL40" s="478">
        <f>KL11+KL18+KL19+KL21+KL22</f>
        <v>1467119.9899999998</v>
      </c>
      <c r="KM40" s="479">
        <f>KM11+KM18+KM19+KM21+KM22</f>
        <v>1836081.5204999996</v>
      </c>
      <c r="KN40" s="424">
        <f t="shared" si="235"/>
        <v>1.2514869492712726</v>
      </c>
      <c r="KO40" s="435">
        <f>KO11+KO18+KO19+KO22+KO21</f>
        <v>1966740.04</v>
      </c>
      <c r="KP40" s="449">
        <f t="shared" si="236"/>
        <v>1.3405447771180599</v>
      </c>
      <c r="KQ40" s="478">
        <f>KQ11+KQ18+KQ19+KQ21+KQ22</f>
        <v>476433.2</v>
      </c>
      <c r="KR40" s="479">
        <f>KR11+KR18+KR19+KR21+KR22</f>
        <v>409801.31619999994</v>
      </c>
      <c r="KS40" s="424">
        <f t="shared" si="237"/>
        <v>0.86014433125147438</v>
      </c>
      <c r="KT40" s="435">
        <f>KT11+KT18+KT19+KT22+KT21</f>
        <v>432088.97</v>
      </c>
      <c r="KU40" s="449">
        <f t="shared" si="238"/>
        <v>0.90692455941357564</v>
      </c>
      <c r="KV40" s="452">
        <f>KV11+KV18+KV19+KV21+KV22</f>
        <v>5343667.7796999998</v>
      </c>
      <c r="KW40" s="435">
        <f>KW11+KW18+KW19+KW21+KW22</f>
        <v>6190134.5</v>
      </c>
      <c r="KX40" s="435">
        <f>KX11+KX18+KX19+KX21+KX22</f>
        <v>5601659.5099999998</v>
      </c>
      <c r="KY40" s="455">
        <f t="shared" si="239"/>
        <v>0.90493340815130907</v>
      </c>
      <c r="KZ40" s="948">
        <f>KZ11+KZ18+KZ19+KZ21+KZ22</f>
        <v>32712597.82</v>
      </c>
      <c r="LA40" s="948">
        <f>LA11+LA18+LA19+LA21+LA22</f>
        <v>24211960.9109</v>
      </c>
      <c r="LB40" s="452">
        <f>LB11+LB18+LB19+LB21+LB22</f>
        <v>32712597.82</v>
      </c>
      <c r="LC40" s="452">
        <f>LC11+LC18+LC19+LC21+LC22</f>
        <v>24410895.850000001</v>
      </c>
      <c r="LD40" s="492">
        <f>LC40-LB40</f>
        <v>-8301701.9699999988</v>
      </c>
      <c r="LE40" s="493">
        <f>LC40/LB40</f>
        <v>0.74622309069796777</v>
      </c>
    </row>
    <row r="41" spans="1:321" ht="21" customHeight="1" outlineLevel="1">
      <c r="A41" s="1495"/>
      <c r="B41" s="430" t="s">
        <v>301</v>
      </c>
      <c r="C41" s="437"/>
      <c r="D41" s="437"/>
      <c r="E41" s="438"/>
      <c r="F41" s="437"/>
      <c r="G41" s="438"/>
      <c r="H41" s="437"/>
      <c r="I41" s="437"/>
      <c r="J41" s="438"/>
      <c r="K41" s="437"/>
      <c r="L41" s="438"/>
      <c r="M41" s="437"/>
      <c r="N41" s="437"/>
      <c r="O41" s="438"/>
      <c r="P41" s="437"/>
      <c r="Q41" s="438"/>
      <c r="R41" s="437"/>
      <c r="S41" s="437"/>
      <c r="T41" s="438"/>
      <c r="U41" s="437"/>
      <c r="V41" s="438"/>
      <c r="W41" s="438"/>
      <c r="X41" s="438"/>
      <c r="Y41" s="438"/>
      <c r="Z41" s="438"/>
      <c r="AA41" s="437"/>
      <c r="AB41" s="437"/>
      <c r="AC41" s="438"/>
      <c r="AD41" s="437"/>
      <c r="AE41" s="438"/>
      <c r="AF41" s="437"/>
      <c r="AG41" s="437"/>
      <c r="AH41" s="438"/>
      <c r="AI41" s="437"/>
      <c r="AJ41" s="438"/>
      <c r="AK41" s="437"/>
      <c r="AL41" s="437"/>
      <c r="AM41" s="438"/>
      <c r="AN41" s="437"/>
      <c r="AO41" s="438"/>
      <c r="AP41" s="437"/>
      <c r="AQ41" s="437"/>
      <c r="AR41" s="438"/>
      <c r="AS41" s="437"/>
      <c r="AT41" s="438"/>
      <c r="AU41" s="438"/>
      <c r="AV41" s="438"/>
      <c r="AW41" s="438"/>
      <c r="AX41" s="438"/>
      <c r="AY41" s="437"/>
      <c r="AZ41" s="437"/>
      <c r="BA41" s="438"/>
      <c r="BB41" s="437"/>
      <c r="BC41" s="438"/>
      <c r="BD41" s="437"/>
      <c r="BE41" s="437"/>
      <c r="BF41" s="438"/>
      <c r="BG41" s="437"/>
      <c r="BH41" s="438"/>
      <c r="BI41" s="437"/>
      <c r="BJ41" s="437"/>
      <c r="BK41" s="438"/>
      <c r="BL41" s="437"/>
      <c r="BM41" s="450"/>
      <c r="BN41" s="453">
        <f>BN38+BN39+BN40</f>
        <v>1636111.5299999998</v>
      </c>
      <c r="BO41" s="437">
        <f>BO38+BO39+BO40</f>
        <v>1155217.6443</v>
      </c>
      <c r="BP41" s="438">
        <f t="shared" si="183"/>
        <v>0.70607511964664182</v>
      </c>
      <c r="BQ41" s="437">
        <f>BQ38+BQ39+BQ40</f>
        <v>1193646.48</v>
      </c>
      <c r="BR41" s="426">
        <f t="shared" si="184"/>
        <v>0.72956302679438978</v>
      </c>
      <c r="BS41" s="453">
        <f>BS38+BS39+BS40</f>
        <v>1698270.21</v>
      </c>
      <c r="BT41" s="437">
        <f>BT38+BT39+BT40</f>
        <v>1210752.8795999999</v>
      </c>
      <c r="BU41" s="438">
        <f t="shared" si="185"/>
        <v>0.71293300234006929</v>
      </c>
      <c r="BV41" s="437">
        <f>BV38+BV39+BV40</f>
        <v>1310144.22</v>
      </c>
      <c r="BW41" s="426">
        <f t="shared" si="186"/>
        <v>0.77145804730332046</v>
      </c>
      <c r="BX41" s="612"/>
      <c r="BY41" s="437">
        <f>BY38+BY39+BY40</f>
        <v>7963886.46</v>
      </c>
      <c r="BZ41" s="437">
        <f>BZ38+BZ39+BZ40</f>
        <v>5989519.7999999998</v>
      </c>
      <c r="CA41" s="427">
        <f t="shared" si="187"/>
        <v>0.75208503160905182</v>
      </c>
      <c r="CB41" s="453">
        <f>CB38+CB39+CB40</f>
        <v>1761575.8699999999</v>
      </c>
      <c r="CC41" s="437">
        <f>CC38+CC39+CC40</f>
        <v>1536721.1074999999</v>
      </c>
      <c r="CD41" s="438">
        <f t="shared" si="188"/>
        <v>0.87235590227516002</v>
      </c>
      <c r="CE41" s="437">
        <f>CE38+CE39+CE40</f>
        <v>1216780.8399999999</v>
      </c>
      <c r="CF41" s="426">
        <f t="shared" si="189"/>
        <v>0.69073427986953517</v>
      </c>
      <c r="CG41" s="453">
        <f>CG38+CG39+CG40</f>
        <v>1859764.7199999997</v>
      </c>
      <c r="CH41" s="437">
        <f>CH38+CH39+CH40</f>
        <v>1489343.946</v>
      </c>
      <c r="CI41" s="438">
        <f t="shared" si="190"/>
        <v>0.80082385152461666</v>
      </c>
      <c r="CJ41" s="437">
        <f>CJ38+CJ39+CJ40</f>
        <v>1293072.47</v>
      </c>
      <c r="CK41" s="427">
        <f t="shared" si="191"/>
        <v>0.6952882029077313</v>
      </c>
      <c r="CL41" s="453">
        <f>CL38+CL39+CL40</f>
        <v>1848535.78</v>
      </c>
      <c r="CM41" s="437">
        <f>CM38+CM39+CM40</f>
        <v>1381885.4219999998</v>
      </c>
      <c r="CN41" s="438">
        <f t="shared" si="192"/>
        <v>0.74755676192537635</v>
      </c>
      <c r="CO41" s="437">
        <f>CO38+CO39+CO40</f>
        <v>985084.98</v>
      </c>
      <c r="CP41" s="427">
        <f t="shared" si="193"/>
        <v>0.53290014218713144</v>
      </c>
      <c r="CQ41" s="453">
        <f>CQ38+CQ39+CQ40</f>
        <v>2334656.41</v>
      </c>
      <c r="CR41" s="437">
        <f>CR38+CR39+CR40</f>
        <v>917577.68565715395</v>
      </c>
      <c r="CS41" s="438">
        <f t="shared" si="194"/>
        <v>0.39302472163651436</v>
      </c>
      <c r="CT41" s="437">
        <f>CT38+CT39+CT40</f>
        <v>1688255.9600000002</v>
      </c>
      <c r="CU41" s="450">
        <f t="shared" si="195"/>
        <v>0.72312823110446478</v>
      </c>
      <c r="CV41" s="453">
        <f>CV38+CV39+CV40</f>
        <v>5325528.1611571535</v>
      </c>
      <c r="CW41" s="437">
        <f>CW38+CW39+CW40</f>
        <v>7804532.7800000003</v>
      </c>
      <c r="CX41" s="437">
        <f>CX38+CX39+CX40</f>
        <v>5265141.29</v>
      </c>
      <c r="CY41" s="489">
        <f t="shared" si="196"/>
        <v>0.67462607159425625</v>
      </c>
      <c r="CZ41" s="480">
        <f>CZ38+CZ39+CZ40</f>
        <v>2520351.85</v>
      </c>
      <c r="DA41" s="481">
        <f>DA38+DA39+DA40</f>
        <v>1371871.858</v>
      </c>
      <c r="DB41" s="438">
        <f t="shared" si="197"/>
        <v>0.54431759518021261</v>
      </c>
      <c r="DC41" s="437">
        <f>DC38+DC39+DC40</f>
        <v>1640746.36</v>
      </c>
      <c r="DD41" s="450">
        <f t="shared" si="198"/>
        <v>0.6509989309627543</v>
      </c>
      <c r="DE41" s="480">
        <f>DE38+DE39+DE40</f>
        <v>1892880.05</v>
      </c>
      <c r="DF41" s="481">
        <f>DF38+DF39+DF40</f>
        <v>1204318.3459999999</v>
      </c>
      <c r="DG41" s="438">
        <f t="shared" si="199"/>
        <v>0.63623595483506723</v>
      </c>
      <c r="DH41" s="437">
        <f>DH38+DH39+DH40</f>
        <v>1816035.9200000002</v>
      </c>
      <c r="DI41" s="450">
        <f t="shared" si="200"/>
        <v>0.95940359242520423</v>
      </c>
      <c r="DJ41" s="480">
        <f>DJ38+DJ39+DJ40</f>
        <v>1723191.5899999999</v>
      </c>
      <c r="DK41" s="481">
        <f>DK38+DK39+DK40</f>
        <v>1273133.0234999999</v>
      </c>
      <c r="DL41" s="438">
        <f t="shared" si="201"/>
        <v>0.73882267699553938</v>
      </c>
      <c r="DM41" s="437">
        <f>DM38+DM39+DM40</f>
        <v>1462726.6199999999</v>
      </c>
      <c r="DN41" s="450">
        <f t="shared" si="202"/>
        <v>0.84884735306768766</v>
      </c>
      <c r="DO41" s="480">
        <f>DO38+DO39+DO40</f>
        <v>1709850.37</v>
      </c>
      <c r="DP41" s="481">
        <f>DP38+DP39+DP40</f>
        <v>1447385.8534068894</v>
      </c>
      <c r="DQ41" s="438">
        <f t="shared" si="203"/>
        <v>0.84649854677452818</v>
      </c>
      <c r="DR41" s="437">
        <f>DR38+DR39+DR40</f>
        <v>1491557.15</v>
      </c>
      <c r="DS41" s="450">
        <f t="shared" si="204"/>
        <v>0.87233197487333336</v>
      </c>
      <c r="DT41" s="453">
        <f>DT38+DT39+DT40</f>
        <v>5296709.0809068894</v>
      </c>
      <c r="DU41" s="437">
        <f>DU38+DU39+DU40</f>
        <v>7846273.8599999994</v>
      </c>
      <c r="DV41" s="437">
        <f>DV38+DV39+DV40</f>
        <v>6411066.0500000007</v>
      </c>
      <c r="DW41" s="419">
        <f t="shared" si="205"/>
        <v>0.81708415540825918</v>
      </c>
      <c r="DX41" s="480">
        <f>DX38+DX39+DX40</f>
        <v>1700450.4100000001</v>
      </c>
      <c r="DY41" s="481">
        <f>DY38+DY39+DY40</f>
        <v>1494105.7408412781</v>
      </c>
      <c r="DZ41" s="438">
        <f t="shared" si="206"/>
        <v>0.87865293339620409</v>
      </c>
      <c r="EA41" s="481">
        <f>EA38+EA39+EA40</f>
        <v>1500168.6800000002</v>
      </c>
      <c r="EB41" s="450">
        <f t="shared" si="207"/>
        <v>0.88221842352932833</v>
      </c>
      <c r="EC41" s="480">
        <f>EC38+EC39+EC40</f>
        <v>1876901.45</v>
      </c>
      <c r="ED41" s="481">
        <f>ED38+ED39+ED40</f>
        <v>1634816.5191000677</v>
      </c>
      <c r="EE41" s="438">
        <f t="shared" si="208"/>
        <v>0.87101883751012488</v>
      </c>
      <c r="EF41" s="481">
        <f>EF38+EF39+EF40</f>
        <v>1551599.85</v>
      </c>
      <c r="EG41" s="450">
        <f t="shared" si="209"/>
        <v>0.82668157670185616</v>
      </c>
      <c r="EH41" s="480">
        <f>EH38+EH39+EH40</f>
        <v>2097701.84</v>
      </c>
      <c r="EI41" s="481">
        <f>EI38+EI39+EI40</f>
        <v>1633293.62525</v>
      </c>
      <c r="EJ41" s="438">
        <f t="shared" si="210"/>
        <v>0.77861095133043323</v>
      </c>
      <c r="EK41" s="481">
        <f>EK38+EK39+EK40</f>
        <v>1713359.41</v>
      </c>
      <c r="EL41" s="450">
        <f t="shared" si="211"/>
        <v>0.81677928546794809</v>
      </c>
      <c r="EM41" s="480">
        <f>EM38+EM39+EM40</f>
        <v>2033329.7199999997</v>
      </c>
      <c r="EN41" s="481">
        <f>EN38+EN39+EN40</f>
        <v>1608658.6277999999</v>
      </c>
      <c r="EO41" s="438">
        <f t="shared" si="212"/>
        <v>0.79114499334618493</v>
      </c>
      <c r="EP41" s="481">
        <f>EP38+EP39+EP40</f>
        <v>1573149.08</v>
      </c>
      <c r="EQ41" s="450">
        <f t="shared" si="213"/>
        <v>0.77368125027946788</v>
      </c>
      <c r="ER41" s="480">
        <f>ER38+ER39+ER40</f>
        <v>1962239.15</v>
      </c>
      <c r="ES41" s="481">
        <f>ES38+ES39+ES40</f>
        <v>1415188.3966000001</v>
      </c>
      <c r="ET41" s="438">
        <f t="shared" si="214"/>
        <v>0.72121096788839434</v>
      </c>
      <c r="EU41" s="481">
        <f>EU38+EU39+EU40</f>
        <v>1559679.86</v>
      </c>
      <c r="EV41" s="450">
        <f t="shared" si="215"/>
        <v>0.79484697876912713</v>
      </c>
      <c r="EW41" s="453">
        <f>EW38+EW39+EW40</f>
        <v>7786062.909591346</v>
      </c>
      <c r="EX41" s="437">
        <f>EX38+EX39+EX40</f>
        <v>9670622.5700000003</v>
      </c>
      <c r="EY41" s="437">
        <f>EY38+EY39+EY40</f>
        <v>7897956.879999999</v>
      </c>
      <c r="EZ41" s="427">
        <f t="shared" si="216"/>
        <v>0.8166958045184054</v>
      </c>
      <c r="FA41" s="480">
        <f>FA38+FA39+FA40</f>
        <v>1831068.33</v>
      </c>
      <c r="FB41" s="481">
        <f>FB38+FB39+FB40</f>
        <v>1476001.2704999999</v>
      </c>
      <c r="FC41" s="438">
        <f>FB41/FA41</f>
        <v>0.80608748800761565</v>
      </c>
      <c r="FD41" s="1402">
        <f>FD38+FD39+FD40</f>
        <v>1633079.1400000001</v>
      </c>
      <c r="FE41" s="450">
        <f>FD41/FA41</f>
        <v>0.89187230932010064</v>
      </c>
      <c r="FF41" s="480">
        <f>FF38+FF39+FF40</f>
        <v>1910463.08</v>
      </c>
      <c r="FG41" s="481">
        <f>FG38+FG39+FG40</f>
        <v>1573940.3960200001</v>
      </c>
      <c r="FH41" s="438">
        <f>FG41/FF41</f>
        <v>0.82385282002937221</v>
      </c>
      <c r="FI41" s="1402">
        <f>FI38+FI39+FI40</f>
        <v>1592373.71</v>
      </c>
      <c r="FJ41" s="450">
        <f>FI41/FF41</f>
        <v>0.83350143044899871</v>
      </c>
      <c r="FK41" s="480">
        <f>FK38+FK39+FK40</f>
        <v>1780207.2</v>
      </c>
      <c r="FL41" s="481">
        <f>FL38+FL39+FL40</f>
        <v>1586392.44512</v>
      </c>
      <c r="FM41" s="438">
        <f>FL41/FK41</f>
        <v>0.89112797943969668</v>
      </c>
      <c r="FN41" s="1402">
        <f>FN38+FN39+FN40</f>
        <v>1508656.8400000003</v>
      </c>
      <c r="FO41" s="450">
        <f>FN41/FK41</f>
        <v>0.84746137415914302</v>
      </c>
      <c r="FP41" s="480">
        <f>FP38+FP39+FP40</f>
        <v>1751819.2999999998</v>
      </c>
      <c r="FQ41" s="481">
        <f>FQ38+FQ39+FQ40</f>
        <v>1534608.7001799999</v>
      </c>
      <c r="FR41" s="438">
        <f>FQ41/FP41</f>
        <v>0.87600855874803985</v>
      </c>
      <c r="FS41" s="1402">
        <f>FS38+FS39+FS40</f>
        <v>1486815.2600000002</v>
      </c>
      <c r="FT41" s="450">
        <f>FS41/FP41</f>
        <v>0.84872638405114065</v>
      </c>
      <c r="FU41" s="453">
        <f>FU38+FU39+FU40</f>
        <v>6170942.8118200004</v>
      </c>
      <c r="FV41" s="437">
        <f>FV38+FV39+FV40</f>
        <v>7273557.9100000001</v>
      </c>
      <c r="FW41" s="437">
        <f>FW38+FW39+FW40</f>
        <v>6220924.9499999993</v>
      </c>
      <c r="FX41" s="456">
        <f t="shared" si="217"/>
        <v>0.85527949690854932</v>
      </c>
      <c r="FY41" s="480">
        <f>FY38+FY39+FY40</f>
        <v>1723732.37</v>
      </c>
      <c r="FZ41" s="481">
        <f>FZ38+FZ39+FZ40</f>
        <v>1443260.81739</v>
      </c>
      <c r="GA41" s="438">
        <f>FZ41/FY41</f>
        <v>0.83728822554396876</v>
      </c>
      <c r="GB41" s="1402">
        <f>GB38+GB39+GB40</f>
        <v>1418556.19</v>
      </c>
      <c r="GC41" s="450">
        <f>GB41/FY41</f>
        <v>0.82295617039436342</v>
      </c>
      <c r="GD41" s="480">
        <f>GD38+GD39+GD40</f>
        <v>1706308.5999999999</v>
      </c>
      <c r="GE41" s="481">
        <f>GE38+GE39+GE40</f>
        <v>1566535.669485</v>
      </c>
      <c r="GF41" s="438">
        <f>GE41/GD41</f>
        <v>0.91808461229404814</v>
      </c>
      <c r="GG41" s="1402">
        <f>GG38+GG39+GG40</f>
        <v>1432331.28</v>
      </c>
      <c r="GH41" s="450">
        <f>GG41/GD41</f>
        <v>0.83943272629581789</v>
      </c>
      <c r="GI41" s="480">
        <f>GI38+GI39+GI40</f>
        <v>1832244.2400000002</v>
      </c>
      <c r="GJ41" s="481">
        <f>GJ38+GJ39+GJ40</f>
        <v>1465456.5489749999</v>
      </c>
      <c r="GK41" s="438">
        <f>GJ41/GI41</f>
        <v>0.79981506667200641</v>
      </c>
      <c r="GL41" s="1402">
        <f>GL38+GL39+GL40</f>
        <v>1379823.63</v>
      </c>
      <c r="GM41" s="450">
        <f>GL41/GI41</f>
        <v>0.75307843783970618</v>
      </c>
      <c r="GN41" s="480">
        <f>GN38+GN39+GN40</f>
        <v>1806934.27</v>
      </c>
      <c r="GO41" s="481">
        <f>GO38+GO39+GO40</f>
        <v>1371492.1808</v>
      </c>
      <c r="GP41" s="438">
        <f>GO41/GN41</f>
        <v>0.75901608795100217</v>
      </c>
      <c r="GQ41" s="1402">
        <f>GQ38+GQ39+GQ40</f>
        <v>1545236.6099999999</v>
      </c>
      <c r="GR41" s="450">
        <f>GQ41/GN41</f>
        <v>0.85517034883620857</v>
      </c>
      <c r="GS41" s="453">
        <f>GS38+GS39+GS40</f>
        <v>5846745.2166499998</v>
      </c>
      <c r="GT41" s="437">
        <f>GT38+GT39+GT40</f>
        <v>7069219.4800000004</v>
      </c>
      <c r="GU41" s="437">
        <f>GU38+GU39+GU40</f>
        <v>5775947.71</v>
      </c>
      <c r="GV41" s="427">
        <f t="shared" si="218"/>
        <v>0.81705593189476122</v>
      </c>
      <c r="GW41" s="480">
        <f>GW38+GW39+GW40</f>
        <v>1787765</v>
      </c>
      <c r="GX41" s="481">
        <f>GX38+GX39+GX40</f>
        <v>1404519.5040000002</v>
      </c>
      <c r="GY41" s="438">
        <f>GX41/GW41</f>
        <v>0.78562870623376124</v>
      </c>
      <c r="GZ41" s="1402">
        <f>GZ38+GZ39+GZ40</f>
        <v>1620696.32</v>
      </c>
      <c r="HA41" s="450">
        <f>GZ41/GW41</f>
        <v>0.90654885849090905</v>
      </c>
      <c r="HB41" s="480">
        <f>HB38+HB39+HB40</f>
        <v>1824356</v>
      </c>
      <c r="HC41" s="481">
        <f>HC38+HC39+HC40</f>
        <v>1421437.66885</v>
      </c>
      <c r="HD41" s="438">
        <f>HC41/HB41</f>
        <v>0.77914489762414796</v>
      </c>
      <c r="HE41" s="1402">
        <f>HE38+HE39+HE40</f>
        <v>1296630.0599999998</v>
      </c>
      <c r="HF41" s="450">
        <f>HE41/HB41</f>
        <v>0.71073302579101871</v>
      </c>
      <c r="HG41" s="480">
        <f>HG38+HG39+HG40</f>
        <v>1697470.9300000002</v>
      </c>
      <c r="HH41" s="481">
        <f>HH38+HH39+HH40</f>
        <v>1330301.8499</v>
      </c>
      <c r="HI41" s="438">
        <f>HH41/HG41</f>
        <v>0.78369639584932382</v>
      </c>
      <c r="HJ41" s="1402">
        <f>HJ38+HJ39+HJ40</f>
        <v>1355982.1600000001</v>
      </c>
      <c r="HK41" s="450">
        <f>HJ41/HG41</f>
        <v>0.79882496721166241</v>
      </c>
      <c r="HL41" s="480">
        <f>SUM(HL6:HL24)</f>
        <v>1621141.09</v>
      </c>
      <c r="HM41" s="480">
        <f>SUM(HM6:HM24)</f>
        <v>1266005.0705349999</v>
      </c>
      <c r="HN41" s="438">
        <f>HM41/HL41</f>
        <v>0.78093453946997293</v>
      </c>
      <c r="HO41" s="480">
        <f>SUM(HO6:HO24)</f>
        <v>1165677.6000000001</v>
      </c>
      <c r="HP41" s="450">
        <f>HO41/HL41</f>
        <v>0.71904759381553895</v>
      </c>
      <c r="HQ41" s="480">
        <f>SUM(HQ6:HQ24)</f>
        <v>1730474.2000000004</v>
      </c>
      <c r="HR41" s="480">
        <f>SUM(HR6:HR24)</f>
        <v>1362970.4421499996</v>
      </c>
      <c r="HS41" s="438">
        <f>HR41/HQ41</f>
        <v>0.78762829411152113</v>
      </c>
      <c r="HT41" s="480">
        <f>SUM(HT6:HT24)</f>
        <v>1253378.3599999996</v>
      </c>
      <c r="HU41" s="450">
        <f>HT41/HQ41</f>
        <v>0.72429762893893435</v>
      </c>
      <c r="HV41" s="480">
        <f>SUM(HV6:HV24)</f>
        <v>6785234.5354350004</v>
      </c>
      <c r="HW41" s="480">
        <f>SUM(HW6:HW24)</f>
        <v>8661207.2200000007</v>
      </c>
      <c r="HX41" s="480">
        <f>SUM(HX6:HX24)</f>
        <v>6692364.4999999991</v>
      </c>
      <c r="HY41" s="456">
        <f t="shared" si="219"/>
        <v>0.77268264457942371</v>
      </c>
      <c r="HZ41" s="480">
        <f>SUM(HZ6:HZ24)</f>
        <v>1597011.6600000001</v>
      </c>
      <c r="IA41" s="480">
        <f>SUM(IA6:IA24)</f>
        <v>1185598.6136000003</v>
      </c>
      <c r="IB41" s="438">
        <f>IA41/HZ41</f>
        <v>0.74238569654525888</v>
      </c>
      <c r="IC41" s="480">
        <f>SUM(IC6:IC24)</f>
        <v>1289763.8399999999</v>
      </c>
      <c r="ID41" s="450">
        <f>IC41/HZ41</f>
        <v>0.80761078475782688</v>
      </c>
      <c r="IE41" s="480">
        <f>SUM(IE6:IE24)</f>
        <v>1766880.25</v>
      </c>
      <c r="IF41" s="480">
        <f>SUM(IF6:IF24)</f>
        <v>1370461.9186</v>
      </c>
      <c r="IG41" s="438">
        <f>IF41/IE41</f>
        <v>0.77563938959643697</v>
      </c>
      <c r="IH41" s="480">
        <f>SUM(IH6:IH24)</f>
        <v>1464680.8199999996</v>
      </c>
      <c r="II41" s="450">
        <f>IH41/IE41</f>
        <v>0.82896439642697894</v>
      </c>
      <c r="IJ41" s="480">
        <f>SUM(IJ6:IJ24)</f>
        <v>2010750.0100000002</v>
      </c>
      <c r="IK41" s="480">
        <f>SUM(IK6:IK24)</f>
        <v>1539650.3198000004</v>
      </c>
      <c r="IL41" s="438">
        <f>IK41/IJ41</f>
        <v>0.76570946768265846</v>
      </c>
      <c r="IM41" s="480">
        <f>SUM(IM6:IM24)</f>
        <v>1582849.4400000002</v>
      </c>
      <c r="IN41" s="450">
        <f>IM41/IJ41</f>
        <v>0.78719355072886454</v>
      </c>
      <c r="IO41" s="480">
        <f>SUM(IO6:IO24)</f>
        <v>2470455.6099999994</v>
      </c>
      <c r="IP41" s="480">
        <f>SUM(IP6:IP24)</f>
        <v>2023575.7605000003</v>
      </c>
      <c r="IQ41" s="438">
        <f>IP41/IO41</f>
        <v>0.81911035045879688</v>
      </c>
      <c r="IR41" s="480">
        <f>SUM(IR6:IR24)</f>
        <v>2426184.8200000003</v>
      </c>
      <c r="IS41" s="450">
        <f>IR41/IO41</f>
        <v>0.98207990873392004</v>
      </c>
      <c r="IT41" s="480">
        <f>SUM(IT6:IT24)</f>
        <v>6119286.6124999998</v>
      </c>
      <c r="IU41" s="480">
        <f>SUM(IU6:IU24)</f>
        <v>7845097.5300000012</v>
      </c>
      <c r="IV41" s="480">
        <f>SUM(IV6:IV24)</f>
        <v>6763478.9199999999</v>
      </c>
      <c r="IW41" s="427">
        <f t="shared" si="220"/>
        <v>0.8621280862521028</v>
      </c>
      <c r="IX41" s="480">
        <f>IX38+IX39+IX40</f>
        <v>1764862.9300000002</v>
      </c>
      <c r="IY41" s="481">
        <f>IY38+IY39+IY40</f>
        <v>1525823.2343000001</v>
      </c>
      <c r="IZ41" s="438">
        <f t="shared" si="221"/>
        <v>0.86455622607473548</v>
      </c>
      <c r="JA41" s="437">
        <f>JA38+JA39+JA40</f>
        <v>1504060.5799999998</v>
      </c>
      <c r="JB41" s="450">
        <f t="shared" si="222"/>
        <v>0.85222515269216947</v>
      </c>
      <c r="JC41" s="480">
        <f>JC38+JC39+JC40</f>
        <v>2176485.7400000002</v>
      </c>
      <c r="JD41" s="481">
        <f>JD38+JD39+JD40</f>
        <v>1902757.8966000001</v>
      </c>
      <c r="JE41" s="438">
        <f t="shared" si="223"/>
        <v>0.8742340285675384</v>
      </c>
      <c r="JF41" s="437">
        <f>JF38+JF39+JF40</f>
        <v>1571541.97</v>
      </c>
      <c r="JG41" s="450">
        <f t="shared" si="224"/>
        <v>0.72205479738176448</v>
      </c>
      <c r="JH41" s="480">
        <f>JH38+JH39+JH40</f>
        <v>2631328.7599999998</v>
      </c>
      <c r="JI41" s="481">
        <f>JI38+JI39+JI40</f>
        <v>2327101.87</v>
      </c>
      <c r="JJ41" s="438">
        <f t="shared" si="225"/>
        <v>0.88438278993309838</v>
      </c>
      <c r="JK41" s="437">
        <f>JK38+JK39+JK40</f>
        <v>1902471.17</v>
      </c>
      <c r="JL41" s="450">
        <f t="shared" si="226"/>
        <v>0.72300778181742675</v>
      </c>
      <c r="JM41" s="480">
        <f>JM38+JM39+JM40</f>
        <v>2880079.1500000004</v>
      </c>
      <c r="JN41" s="481">
        <f>JN38+JN39+JN40</f>
        <v>2314883.2312999996</v>
      </c>
      <c r="JO41" s="438">
        <f t="shared" si="227"/>
        <v>0.80375681039876956</v>
      </c>
      <c r="JP41" s="437">
        <f>JP38+JP39+JP40</f>
        <v>2197233.09</v>
      </c>
      <c r="JQ41" s="450">
        <f t="shared" si="228"/>
        <v>0.76290718954720382</v>
      </c>
      <c r="JR41" s="801"/>
      <c r="JS41" s="1588">
        <f>JS38+JS39+JS40</f>
        <v>8070566.2322000004</v>
      </c>
      <c r="JT41" s="1589">
        <f>JT38+JT39+JT40</f>
        <v>9452756.5800000001</v>
      </c>
      <c r="JU41" s="1589">
        <f>JU38+JU39+JU40</f>
        <v>7577000.9800000004</v>
      </c>
      <c r="JV41" s="456">
        <f t="shared" si="240"/>
        <v>0.80156522765341331</v>
      </c>
      <c r="JW41" s="480">
        <f>JW38+JW39+JW40</f>
        <v>3870171.74</v>
      </c>
      <c r="JX41" s="481">
        <f>JX38+JX39+JX40</f>
        <v>3011872.1487000003</v>
      </c>
      <c r="JY41" s="438">
        <f t="shared" si="229"/>
        <v>0.77822700154903202</v>
      </c>
      <c r="JZ41" s="437">
        <f>JZ38+JZ39+JZ40</f>
        <v>3073650.99</v>
      </c>
      <c r="KA41" s="450">
        <f t="shared" si="230"/>
        <v>0.79418981804667921</v>
      </c>
      <c r="KB41" s="480">
        <f>KB38+KB39+KB40</f>
        <v>4777345.3899999997</v>
      </c>
      <c r="KC41" s="481">
        <f>KC38+KC39+KC40</f>
        <v>3732114.7028999995</v>
      </c>
      <c r="KD41" s="438">
        <f t="shared" si="231"/>
        <v>0.78121098606605033</v>
      </c>
      <c r="KE41" s="437">
        <f>KE38+KE39+KE40</f>
        <v>3432969.4400000004</v>
      </c>
      <c r="KF41" s="450">
        <f t="shared" si="232"/>
        <v>0.71859351998830479</v>
      </c>
      <c r="KG41" s="480">
        <f>KG38+KG39+KG40</f>
        <v>6387018.4099999992</v>
      </c>
      <c r="KH41" s="481">
        <f>KH38+KH39+KH40</f>
        <v>5061277.4506000001</v>
      </c>
      <c r="KI41" s="438">
        <f t="shared" si="233"/>
        <v>0.79243194957379193</v>
      </c>
      <c r="KJ41" s="437">
        <f>KJ38+KJ39+KJ40</f>
        <v>4219761.97</v>
      </c>
      <c r="KK41" s="450">
        <f t="shared" si="234"/>
        <v>0.66067790933453729</v>
      </c>
      <c r="KL41" s="480">
        <f>KL38+KL39+KL40</f>
        <v>5401541.4100000001</v>
      </c>
      <c r="KM41" s="481">
        <f>KM38+KM39+KM40</f>
        <v>7307600.6358999992</v>
      </c>
      <c r="KN41" s="438">
        <f t="shared" si="235"/>
        <v>1.3528732043729716</v>
      </c>
      <c r="KO41" s="437">
        <f>KO38+KO39+KO40</f>
        <v>6841453.1699999999</v>
      </c>
      <c r="KP41" s="450">
        <f t="shared" si="236"/>
        <v>1.2665742332983427</v>
      </c>
      <c r="KQ41" s="480">
        <f>KQ38+KQ39+KQ40</f>
        <v>1687428.7899999998</v>
      </c>
      <c r="KR41" s="481">
        <f>KR38+KR39+KR40</f>
        <v>1480082.7622999998</v>
      </c>
      <c r="KS41" s="438">
        <f t="shared" si="237"/>
        <v>0.87712309465811589</v>
      </c>
      <c r="KT41" s="437">
        <f>KT38+KT39+KT40</f>
        <v>1445655.97</v>
      </c>
      <c r="KU41" s="450">
        <f t="shared" si="238"/>
        <v>0.85672117162348527</v>
      </c>
      <c r="KV41" s="453">
        <f>KV38+KV39+KV40</f>
        <v>20592947.700400002</v>
      </c>
      <c r="KW41" s="437">
        <f>KW38+KW39+KW40</f>
        <v>22123505.739999998</v>
      </c>
      <c r="KX41" s="437">
        <f>KX38+KX39+KX40</f>
        <v>20076067.490000002</v>
      </c>
      <c r="KY41" s="456">
        <f t="shared" si="239"/>
        <v>0.90745416779501797</v>
      </c>
      <c r="KZ41" s="949">
        <f>KZ38+KZ39+KZ40</f>
        <v>106407497.53</v>
      </c>
      <c r="LA41" s="949">
        <f>LA38+LA39+LA40</f>
        <v>87810783.660535008</v>
      </c>
      <c r="LB41" s="453">
        <f>LB38+LB39+LB40</f>
        <v>106407497.53</v>
      </c>
      <c r="LC41" s="453">
        <f>LC38+LC39+LC40</f>
        <v>87351660.469999999</v>
      </c>
      <c r="LD41" s="492">
        <f>LC41-LB41</f>
        <v>-19055837.060000002</v>
      </c>
      <c r="LE41" s="493">
        <f>LC41/LB41</f>
        <v>0.82091640624639728</v>
      </c>
      <c r="LF41" s="1628">
        <f>LC41/LC35</f>
        <v>0.6204475956866774</v>
      </c>
      <c r="LG41" s="566"/>
      <c r="LH41" s="1628">
        <f>LC41/KZ41</f>
        <v>0.82091640624639728</v>
      </c>
    </row>
    <row r="42" spans="1:321" ht="11.25" customHeight="1" outlineLevel="1">
      <c r="A42" s="1495"/>
      <c r="B42" s="445"/>
      <c r="C42" s="408"/>
      <c r="D42" s="408"/>
      <c r="E42" s="363"/>
      <c r="F42" s="408"/>
      <c r="G42" s="363"/>
      <c r="H42" s="408"/>
      <c r="I42" s="408"/>
      <c r="J42" s="363"/>
      <c r="K42" s="408"/>
      <c r="L42" s="363"/>
      <c r="M42" s="408"/>
      <c r="N42" s="408"/>
      <c r="O42" s="363"/>
      <c r="P42" s="408"/>
      <c r="Q42" s="363"/>
      <c r="R42" s="408"/>
      <c r="S42" s="408"/>
      <c r="T42" s="363"/>
      <c r="U42" s="408"/>
      <c r="V42" s="363"/>
      <c r="W42" s="363"/>
      <c r="X42" s="363"/>
      <c r="Y42" s="363"/>
      <c r="Z42" s="363"/>
      <c r="AA42" s="408"/>
      <c r="AB42" s="408"/>
      <c r="AC42" s="363"/>
      <c r="AD42" s="408"/>
      <c r="AE42" s="363"/>
      <c r="AF42" s="408"/>
      <c r="AG42" s="408"/>
      <c r="AH42" s="363"/>
      <c r="AI42" s="408"/>
      <c r="AJ42" s="363"/>
      <c r="AK42" s="408"/>
      <c r="AL42" s="408"/>
      <c r="AM42" s="363"/>
      <c r="AN42" s="408"/>
      <c r="AO42" s="363"/>
      <c r="AP42" s="408"/>
      <c r="AQ42" s="408"/>
      <c r="AR42" s="363"/>
      <c r="AS42" s="408"/>
      <c r="AT42" s="363"/>
      <c r="AU42" s="363"/>
      <c r="AV42" s="363"/>
      <c r="AW42" s="363"/>
      <c r="AX42" s="363"/>
      <c r="AY42" s="408"/>
      <c r="AZ42" s="408"/>
      <c r="BA42" s="363"/>
      <c r="BB42" s="408"/>
      <c r="BC42" s="363"/>
      <c r="BD42" s="408"/>
      <c r="BE42" s="408"/>
      <c r="BF42" s="363"/>
      <c r="BG42" s="408"/>
      <c r="BH42" s="363"/>
      <c r="BI42" s="408"/>
      <c r="BJ42" s="408"/>
      <c r="BK42" s="363"/>
      <c r="BL42" s="408"/>
      <c r="BM42" s="363"/>
      <c r="BN42" s="408"/>
      <c r="BO42" s="408"/>
      <c r="BP42" s="446"/>
      <c r="BQ42" s="408"/>
      <c r="BR42" s="447"/>
      <c r="BS42" s="408"/>
      <c r="BT42" s="408"/>
      <c r="BU42" s="446"/>
      <c r="BV42" s="408"/>
      <c r="BW42" s="447"/>
      <c r="BX42" s="447"/>
      <c r="BY42" s="408"/>
      <c r="BZ42" s="408"/>
      <c r="CA42" s="491"/>
      <c r="CB42" s="408"/>
      <c r="CC42" s="408"/>
      <c r="CD42" s="446"/>
      <c r="CE42" s="408"/>
      <c r="CF42" s="447"/>
      <c r="CG42" s="408"/>
      <c r="CH42" s="408"/>
      <c r="CI42" s="446"/>
      <c r="CJ42" s="408"/>
      <c r="CK42" s="447"/>
      <c r="CL42" s="408"/>
      <c r="CM42" s="408"/>
      <c r="CN42" s="446"/>
      <c r="CO42" s="408"/>
      <c r="CP42" s="447"/>
      <c r="CQ42" s="408"/>
      <c r="CR42" s="408"/>
      <c r="CS42" s="446"/>
      <c r="CT42" s="408"/>
      <c r="CU42" s="447"/>
      <c r="CV42" s="408"/>
      <c r="CW42" s="408"/>
      <c r="CX42" s="408"/>
      <c r="CY42" s="489"/>
      <c r="CZ42" s="483"/>
      <c r="DA42" s="483"/>
      <c r="DB42" s="446"/>
      <c r="DC42" s="408"/>
      <c r="DD42" s="447"/>
      <c r="DE42" s="483"/>
      <c r="DF42" s="483"/>
      <c r="DG42" s="446"/>
      <c r="DH42" s="408"/>
      <c r="DI42" s="447"/>
      <c r="DJ42" s="483"/>
      <c r="DK42" s="483"/>
      <c r="DL42" s="446"/>
      <c r="DM42" s="408"/>
      <c r="DN42" s="447"/>
      <c r="DO42" s="483"/>
      <c r="DP42" s="483"/>
      <c r="DQ42" s="446"/>
      <c r="DR42" s="408"/>
      <c r="DS42" s="447"/>
      <c r="DT42" s="408"/>
      <c r="DU42" s="408"/>
      <c r="DV42" s="408"/>
      <c r="DW42" s="457"/>
      <c r="DX42" s="483"/>
      <c r="DY42" s="483"/>
      <c r="DZ42" s="446"/>
      <c r="EA42" s="483"/>
      <c r="EB42" s="447"/>
      <c r="EC42" s="483"/>
      <c r="ED42" s="483"/>
      <c r="EE42" s="446"/>
      <c r="EF42" s="483"/>
      <c r="EG42" s="447"/>
      <c r="EH42" s="483"/>
      <c r="EI42" s="483"/>
      <c r="EJ42" s="446"/>
      <c r="EK42" s="483"/>
      <c r="EL42" s="447"/>
      <c r="EM42" s="483"/>
      <c r="EN42" s="483"/>
      <c r="EO42" s="446"/>
      <c r="EP42" s="483"/>
      <c r="EQ42" s="447"/>
      <c r="ER42" s="483"/>
      <c r="ES42" s="483"/>
      <c r="ET42" s="446"/>
      <c r="EU42" s="483"/>
      <c r="EV42" s="447"/>
      <c r="EW42" s="408"/>
      <c r="EX42" s="408"/>
      <c r="EY42" s="408"/>
      <c r="EZ42" s="491"/>
      <c r="FA42" s="483"/>
      <c r="FB42" s="483"/>
      <c r="FC42" s="446"/>
      <c r="FD42" s="1403"/>
      <c r="FE42" s="447"/>
      <c r="FF42" s="483"/>
      <c r="FG42" s="483"/>
      <c r="FH42" s="446"/>
      <c r="FI42" s="1403"/>
      <c r="FJ42" s="447"/>
      <c r="FK42" s="483"/>
      <c r="FL42" s="483"/>
      <c r="FM42" s="446"/>
      <c r="FN42" s="1403"/>
      <c r="FO42" s="447"/>
      <c r="FP42" s="483"/>
      <c r="FQ42" s="483"/>
      <c r="FR42" s="446"/>
      <c r="FS42" s="1403"/>
      <c r="FT42" s="447"/>
      <c r="FU42" s="408"/>
      <c r="FV42" s="408"/>
      <c r="FW42" s="408"/>
      <c r="FX42" s="457"/>
      <c r="FY42" s="483"/>
      <c r="FZ42" s="483"/>
      <c r="GA42" s="446"/>
      <c r="GB42" s="1403"/>
      <c r="GC42" s="447"/>
      <c r="GD42" s="483"/>
      <c r="GE42" s="483"/>
      <c r="GF42" s="446"/>
      <c r="GG42" s="1403"/>
      <c r="GH42" s="447"/>
      <c r="GI42" s="483"/>
      <c r="GJ42" s="483"/>
      <c r="GK42" s="446"/>
      <c r="GL42" s="1403"/>
      <c r="GM42" s="447"/>
      <c r="GN42" s="483"/>
      <c r="GO42" s="483"/>
      <c r="GP42" s="446"/>
      <c r="GQ42" s="1403"/>
      <c r="GR42" s="447"/>
      <c r="GS42" s="408"/>
      <c r="GT42" s="408"/>
      <c r="GU42" s="408"/>
      <c r="GV42" s="457"/>
      <c r="GW42" s="483"/>
      <c r="GX42" s="483"/>
      <c r="GY42" s="446"/>
      <c r="GZ42" s="1403"/>
      <c r="HA42" s="447"/>
      <c r="HB42" s="483"/>
      <c r="HC42" s="483"/>
      <c r="HD42" s="446"/>
      <c r="HE42" s="1403"/>
      <c r="HF42" s="447"/>
      <c r="HG42" s="483"/>
      <c r="HH42" s="483"/>
      <c r="HI42" s="446"/>
      <c r="HJ42" s="1403"/>
      <c r="HK42" s="447"/>
      <c r="HL42" s="483"/>
      <c r="HM42" s="483"/>
      <c r="HN42" s="446"/>
      <c r="HO42" s="1403"/>
      <c r="HP42" s="447"/>
      <c r="HQ42" s="483"/>
      <c r="HR42" s="483"/>
      <c r="HS42" s="446"/>
      <c r="HT42" s="408"/>
      <c r="HU42" s="447"/>
      <c r="HV42" s="408"/>
      <c r="HW42" s="408"/>
      <c r="HX42" s="408"/>
      <c r="HY42" s="457"/>
      <c r="HZ42" s="483"/>
      <c r="IA42" s="483"/>
      <c r="IB42" s="446"/>
      <c r="IC42" s="408"/>
      <c r="ID42" s="447"/>
      <c r="IE42" s="483"/>
      <c r="IF42" s="483"/>
      <c r="IG42" s="446"/>
      <c r="IH42" s="408"/>
      <c r="II42" s="447"/>
      <c r="IJ42" s="483"/>
      <c r="IK42" s="483"/>
      <c r="IL42" s="446"/>
      <c r="IM42" s="408"/>
      <c r="IN42" s="447"/>
      <c r="IO42" s="483"/>
      <c r="IP42" s="483"/>
      <c r="IQ42" s="446"/>
      <c r="IR42" s="408"/>
      <c r="IS42" s="447"/>
      <c r="IT42" s="483"/>
      <c r="IU42" s="483"/>
      <c r="IV42" s="483"/>
      <c r="IW42" s="457"/>
      <c r="IX42" s="483"/>
      <c r="IY42" s="483"/>
      <c r="IZ42" s="446"/>
      <c r="JA42" s="408"/>
      <c r="JB42" s="447"/>
      <c r="JC42" s="483"/>
      <c r="JD42" s="483"/>
      <c r="JE42" s="446"/>
      <c r="JF42" s="408"/>
      <c r="JG42" s="447"/>
      <c r="JH42" s="483"/>
      <c r="JI42" s="483"/>
      <c r="JJ42" s="446"/>
      <c r="JK42" s="408"/>
      <c r="JL42" s="447"/>
      <c r="JM42" s="483"/>
      <c r="JN42" s="483"/>
      <c r="JO42" s="446"/>
      <c r="JP42" s="408"/>
      <c r="JQ42" s="447"/>
      <c r="JR42" s="447"/>
      <c r="JS42" s="371"/>
      <c r="JT42" s="371"/>
      <c r="JU42" s="371"/>
      <c r="JV42" s="457"/>
      <c r="JW42" s="483"/>
      <c r="JX42" s="483"/>
      <c r="JY42" s="446"/>
      <c r="JZ42" s="408"/>
      <c r="KA42" s="447"/>
      <c r="KB42" s="483"/>
      <c r="KC42" s="483"/>
      <c r="KD42" s="446"/>
      <c r="KE42" s="408"/>
      <c r="KF42" s="447"/>
      <c r="KG42" s="483"/>
      <c r="KH42" s="483"/>
      <c r="KI42" s="446"/>
      <c r="KJ42" s="408"/>
      <c r="KK42" s="447"/>
      <c r="KL42" s="483"/>
      <c r="KM42" s="483"/>
      <c r="KN42" s="446"/>
      <c r="KO42" s="408"/>
      <c r="KP42" s="447"/>
      <c r="KQ42" s="483"/>
      <c r="KR42" s="483"/>
      <c r="KS42" s="446"/>
      <c r="KT42" s="408"/>
      <c r="KU42" s="447"/>
      <c r="KV42" s="408"/>
      <c r="KW42" s="408"/>
      <c r="KX42" s="408"/>
      <c r="KY42" s="457"/>
      <c r="KZ42" s="950"/>
      <c r="LA42" s="950"/>
      <c r="LB42" s="408"/>
      <c r="LC42" s="408"/>
      <c r="LD42" s="409"/>
      <c r="LE42" s="410"/>
      <c r="LG42" s="566"/>
      <c r="LH42" s="566"/>
    </row>
    <row r="43" spans="1:321" outlineLevel="1">
      <c r="A43" s="1495"/>
      <c r="B43" s="431" t="s">
        <v>42</v>
      </c>
      <c r="C43" s="432"/>
      <c r="D43" s="432"/>
      <c r="E43" s="433"/>
      <c r="F43" s="432"/>
      <c r="G43" s="433"/>
      <c r="H43" s="432"/>
      <c r="I43" s="432"/>
      <c r="J43" s="433"/>
      <c r="K43" s="432"/>
      <c r="L43" s="433"/>
      <c r="M43" s="432"/>
      <c r="N43" s="432"/>
      <c r="O43" s="433"/>
      <c r="P43" s="432"/>
      <c r="Q43" s="433"/>
      <c r="R43" s="432"/>
      <c r="S43" s="432"/>
      <c r="T43" s="433"/>
      <c r="U43" s="432"/>
      <c r="V43" s="433"/>
      <c r="W43" s="433"/>
      <c r="X43" s="433"/>
      <c r="Y43" s="432">
        <f>SUM(Y25:Y29)</f>
        <v>1909617.7000000002</v>
      </c>
      <c r="Z43" s="433"/>
      <c r="AA43" s="432"/>
      <c r="AB43" s="432"/>
      <c r="AC43" s="433"/>
      <c r="AD43" s="432"/>
      <c r="AE43" s="433"/>
      <c r="AF43" s="432"/>
      <c r="AG43" s="432"/>
      <c r="AH43" s="433"/>
      <c r="AI43" s="432"/>
      <c r="AJ43" s="433"/>
      <c r="AK43" s="432"/>
      <c r="AL43" s="432"/>
      <c r="AM43" s="433"/>
      <c r="AN43" s="432"/>
      <c r="AO43" s="433"/>
      <c r="AP43" s="432"/>
      <c r="AQ43" s="432"/>
      <c r="AR43" s="433"/>
      <c r="AS43" s="432"/>
      <c r="AT43" s="433"/>
      <c r="AU43" s="433"/>
      <c r="AV43" s="433"/>
      <c r="AW43" s="432">
        <f>SUM(AW25:AW29)</f>
        <v>1614971.8699999999</v>
      </c>
      <c r="AX43" s="433"/>
      <c r="AY43" s="432"/>
      <c r="AZ43" s="432"/>
      <c r="BA43" s="433"/>
      <c r="BB43" s="432"/>
      <c r="BC43" s="433"/>
      <c r="BD43" s="432"/>
      <c r="BE43" s="432"/>
      <c r="BF43" s="433"/>
      <c r="BG43" s="432"/>
      <c r="BH43" s="433"/>
      <c r="BI43" s="432"/>
      <c r="BJ43" s="432"/>
      <c r="BK43" s="433"/>
      <c r="BL43" s="432"/>
      <c r="BM43" s="448"/>
      <c r="BN43" s="451">
        <f>SUM(BN25:BN29)</f>
        <v>764708.84000000008</v>
      </c>
      <c r="BO43" s="432">
        <f>SUM(BO25:BO29)</f>
        <v>657039.53450000007</v>
      </c>
      <c r="BP43" s="433">
        <f t="shared" si="183"/>
        <v>0.85920222198555984</v>
      </c>
      <c r="BQ43" s="432">
        <f>SUM(BQ25:BQ29)</f>
        <v>731425.09</v>
      </c>
      <c r="BR43" s="425">
        <f t="shared" si="184"/>
        <v>0.95647526449413067</v>
      </c>
      <c r="BS43" s="451">
        <f>SUM(BS25:BS29)</f>
        <v>817589.61</v>
      </c>
      <c r="BT43" s="432">
        <f>SUM(BT25:BT29)</f>
        <v>701723.027</v>
      </c>
      <c r="BU43" s="433">
        <f t="shared" ref="BU43:BU45" si="241">BT43/BS43</f>
        <v>0.85828271105353215</v>
      </c>
      <c r="BV43" s="432">
        <f>SUM(BV25:BV29)</f>
        <v>757400.54</v>
      </c>
      <c r="BW43" s="425">
        <f t="shared" ref="BW43:BW45" si="242">BV43/BS43</f>
        <v>0.92638229588069254</v>
      </c>
      <c r="BX43" s="448"/>
      <c r="BY43" s="432">
        <f>SUM(BY25:BY29)</f>
        <v>3906193.37</v>
      </c>
      <c r="BZ43" s="432">
        <f>SUM(BZ25:BZ29)</f>
        <v>3706168.84</v>
      </c>
      <c r="CA43" s="425">
        <f t="shared" ref="CA43:CA45" si="243">BZ43/BY43</f>
        <v>0.94879297795746342</v>
      </c>
      <c r="CB43" s="451">
        <f>SUM(CB25:CB29)</f>
        <v>895485.95000000007</v>
      </c>
      <c r="CC43" s="432">
        <f>SUM(CC25:CC29)</f>
        <v>880343.77280000004</v>
      </c>
      <c r="CD43" s="433">
        <f t="shared" ref="CD43:CD45" si="244">CC43/CB43</f>
        <v>0.98309054742846602</v>
      </c>
      <c r="CE43" s="432">
        <f>SUM(CE25:CE29)</f>
        <v>721104.9</v>
      </c>
      <c r="CF43" s="425">
        <f t="shared" ref="CF43:CF45" si="245">CE43/CB43</f>
        <v>0.80526657062570328</v>
      </c>
      <c r="CG43" s="451">
        <f>SUM(CG25:CG29)</f>
        <v>969604.73999999987</v>
      </c>
      <c r="CH43" s="432">
        <f>SUM(CH25:CH29)</f>
        <v>894148.34049999993</v>
      </c>
      <c r="CI43" s="433">
        <f t="shared" ref="CI43:CI45" si="246">CH43/CG43</f>
        <v>0.9221781862370021</v>
      </c>
      <c r="CJ43" s="432">
        <f>SUM(CJ25:CJ29)</f>
        <v>591329.5199999999</v>
      </c>
      <c r="CK43" s="425">
        <f t="shared" ref="CK43:CK45" si="247">CJ43/CG43</f>
        <v>0.60986657305326286</v>
      </c>
      <c r="CL43" s="451">
        <f>SUM(CL25:CL29)</f>
        <v>903589.79</v>
      </c>
      <c r="CM43" s="432">
        <f>SUM(CM25:CM29)</f>
        <v>751307.02099999995</v>
      </c>
      <c r="CN43" s="433">
        <f t="shared" ref="CN43:CN45" si="248">CM43/CL43</f>
        <v>0.83146913490467833</v>
      </c>
      <c r="CO43" s="432">
        <f>SUM(CO25:CO29)</f>
        <v>464221.57</v>
      </c>
      <c r="CP43" s="425">
        <f t="shared" ref="CP43:CP45" si="249">CO43/CL43</f>
        <v>0.51375256243211864</v>
      </c>
      <c r="CQ43" s="451">
        <f>SUM(CQ25:CQ29)</f>
        <v>896090.82000000007</v>
      </c>
      <c r="CR43" s="432">
        <f>SUM(CR25:CR29)</f>
        <v>399291.45058670698</v>
      </c>
      <c r="CS43" s="433">
        <f t="shared" ref="CS43:CS45" si="250">CR43/CQ43</f>
        <v>0.44559261368920949</v>
      </c>
      <c r="CT43" s="432">
        <f>SUM(CT25:CT29)</f>
        <v>395015.3</v>
      </c>
      <c r="CU43" s="448">
        <f t="shared" ref="CU43:CU45" si="251">CT43/CQ43</f>
        <v>0.44082060789329364</v>
      </c>
      <c r="CV43" s="451">
        <f>SUM(CV25:CV29)</f>
        <v>2925090.5848867064</v>
      </c>
      <c r="CW43" s="432">
        <f>SUM(CW25:CW29)</f>
        <v>3664771.3</v>
      </c>
      <c r="CX43" s="432">
        <f>SUM(CX25:CX29)</f>
        <v>2171671.2899999996</v>
      </c>
      <c r="CY43" s="489">
        <f t="shared" si="196"/>
        <v>0.5925803037149957</v>
      </c>
      <c r="CZ43" s="476">
        <f>SUM(CZ25:CZ29)</f>
        <v>1331780.0499999998</v>
      </c>
      <c r="DA43" s="477">
        <f>SUM(DA25:DA29)</f>
        <v>798167.05799999996</v>
      </c>
      <c r="DB43" s="433">
        <f t="shared" ref="DB43:DB45" si="252">DA43/CZ43</f>
        <v>0.59932348288292803</v>
      </c>
      <c r="DC43" s="432">
        <f>SUM(DC25:DC29)</f>
        <v>861703.21</v>
      </c>
      <c r="DD43" s="448">
        <f t="shared" ref="DD43:DD45" si="253">DC43/CZ43</f>
        <v>0.64703117455468717</v>
      </c>
      <c r="DE43" s="476">
        <f>SUM(DE25:DE29)</f>
        <v>904656.8</v>
      </c>
      <c r="DF43" s="477">
        <f>SUM(DF25:DF29)</f>
        <v>609376.39500000002</v>
      </c>
      <c r="DG43" s="433">
        <f t="shared" ref="DG43:DG45" si="254">DF43/DE43</f>
        <v>0.67359952967799497</v>
      </c>
      <c r="DH43" s="432">
        <f>SUM(DH25:DH29)</f>
        <v>924044.87</v>
      </c>
      <c r="DI43" s="448">
        <f t="shared" ref="DI43:DI45" si="255">DH43/DE43</f>
        <v>1.0214314091266434</v>
      </c>
      <c r="DJ43" s="476">
        <f>SUM(DJ25:DJ29)</f>
        <v>777298.64</v>
      </c>
      <c r="DK43" s="477">
        <f>SUM(DK25:DK29)</f>
        <v>621293.66599999997</v>
      </c>
      <c r="DL43" s="433">
        <f t="shared" ref="DL43:DL45" si="256">DK43/DJ43</f>
        <v>0.7992985373035002</v>
      </c>
      <c r="DM43" s="432">
        <f>SUM(DM25:DM29)</f>
        <v>734458.78</v>
      </c>
      <c r="DN43" s="448">
        <f t="shared" ref="DN43:DN45" si="257">DM43/DJ43</f>
        <v>0.94488622802684952</v>
      </c>
      <c r="DO43" s="476">
        <f>SUM(DO25:DO29)</f>
        <v>791721.65000000014</v>
      </c>
      <c r="DP43" s="477">
        <f>SUM(DP25:DP29)</f>
        <v>750802.07255330507</v>
      </c>
      <c r="DQ43" s="433">
        <f t="shared" ref="DQ43:DQ45" si="258">DP43/DO43</f>
        <v>0.94831570230939743</v>
      </c>
      <c r="DR43" s="432">
        <f>SUM(DR25:DR29)</f>
        <v>724051.25</v>
      </c>
      <c r="DS43" s="448">
        <f t="shared" ref="DS43:DS45" si="259">DR43/DO43</f>
        <v>0.91452753628753225</v>
      </c>
      <c r="DT43" s="451">
        <f>SUM(DT25:DT29)</f>
        <v>2779639.1915533049</v>
      </c>
      <c r="DU43" s="432">
        <f>SUM(DU25:DU29)</f>
        <v>3805457.14</v>
      </c>
      <c r="DV43" s="432">
        <f>SUM(DV25:DV29)</f>
        <v>3244258.1100000003</v>
      </c>
      <c r="DW43" s="419">
        <f t="shared" ref="DW43:DW45" si="260">DV43/DU43</f>
        <v>0.85252782797075466</v>
      </c>
      <c r="DX43" s="476">
        <f>SUM(DX25:DX29)</f>
        <v>848221.31</v>
      </c>
      <c r="DY43" s="477">
        <f>SUM(DY25:DY29)</f>
        <v>777509.89412953181</v>
      </c>
      <c r="DZ43" s="433">
        <f t="shared" ref="DZ43:DZ45" si="261">DY43/DX43</f>
        <v>0.91663565270428271</v>
      </c>
      <c r="EA43" s="477">
        <f>SUM(EA25:EA29)</f>
        <v>772427.48</v>
      </c>
      <c r="EB43" s="448">
        <f t="shared" ref="EB43:EB45" si="262">EA43/DX43</f>
        <v>0.91064380356112473</v>
      </c>
      <c r="EC43" s="476">
        <f>SUM(EC25:EC29)</f>
        <v>1038562</v>
      </c>
      <c r="ED43" s="477">
        <f>SUM(ED25:ED29)</f>
        <v>934492.21704627341</v>
      </c>
      <c r="EE43" s="433">
        <f t="shared" ref="EE43:EE45" si="263">ED43/EC43</f>
        <v>0.89979434742102393</v>
      </c>
      <c r="EF43" s="477">
        <f>SUM(EF25:EF29)</f>
        <v>751484.2300000001</v>
      </c>
      <c r="EG43" s="448">
        <f t="shared" ref="EG43:EG45" si="264">EF43/EC43</f>
        <v>0.72358148093228913</v>
      </c>
      <c r="EH43" s="476">
        <f>SUM(EH25:EH29)</f>
        <v>971543.58000000007</v>
      </c>
      <c r="EI43" s="477">
        <f>SUM(EI25:EI29)</f>
        <v>823641.41299999994</v>
      </c>
      <c r="EJ43" s="433">
        <f t="shared" ref="EJ43:EJ45" si="265">EI43/EH43</f>
        <v>0.84776579245163652</v>
      </c>
      <c r="EK43" s="477">
        <f>SUM(EK25:EK29)</f>
        <v>792130.09</v>
      </c>
      <c r="EL43" s="448">
        <f t="shared" ref="EL43:EL45" si="266">EK43/EH43</f>
        <v>0.81533150576734803</v>
      </c>
      <c r="EM43" s="476">
        <f>SUM(EM25:EM29)</f>
        <v>1100456.23</v>
      </c>
      <c r="EN43" s="477">
        <f>SUM(EN25:EN29)</f>
        <v>890125.50300000003</v>
      </c>
      <c r="EO43" s="433">
        <f t="shared" ref="EO43:EO45" si="267">EN43/EM43</f>
        <v>0.80886952041700022</v>
      </c>
      <c r="EP43" s="477">
        <f>SUM(EP25:EP29)</f>
        <v>745751.34</v>
      </c>
      <c r="EQ43" s="448">
        <f t="shared" ref="EQ43:EQ45" si="268">EP43/EM43</f>
        <v>0.67767469497628263</v>
      </c>
      <c r="ER43" s="476">
        <f>SUM(ER25:ER29)</f>
        <v>1000245.38</v>
      </c>
      <c r="ES43" s="477">
        <f>SUM(ES25:ES29)</f>
        <v>650208.27600000007</v>
      </c>
      <c r="ET43" s="433">
        <f t="shared" ref="ET43:ET45" si="269">ES43/ER43</f>
        <v>0.65004876703354542</v>
      </c>
      <c r="EU43" s="477">
        <f>SUM(EU25:EU29)</f>
        <v>861823.97</v>
      </c>
      <c r="EV43" s="448">
        <f t="shared" ref="EV43:EV45" si="270">EU43/ER43</f>
        <v>0.86161254751309124</v>
      </c>
      <c r="EW43" s="451">
        <f>SUM(EW25:EW29)</f>
        <v>4075977.3031758051</v>
      </c>
      <c r="EX43" s="432">
        <f>SUM(EX25:EX29)</f>
        <v>4959028.4999999991</v>
      </c>
      <c r="EY43" s="432">
        <f>SUM(EY25:EY29)</f>
        <v>3923617.11</v>
      </c>
      <c r="EZ43" s="425">
        <f t="shared" ref="EZ43:EZ45" si="271">EY43/EX43</f>
        <v>0.7912068079463549</v>
      </c>
      <c r="FA43" s="476">
        <f>SUM(FA25:FA29)</f>
        <v>978645.37999999989</v>
      </c>
      <c r="FB43" s="477">
        <f>SUM(FB25:FB29)</f>
        <v>750088.74499999988</v>
      </c>
      <c r="FC43" s="433">
        <f>FB43/FA43</f>
        <v>0.76645612428068677</v>
      </c>
      <c r="FD43" s="1400">
        <f>SUM(FD25:FD29)</f>
        <v>925200.89</v>
      </c>
      <c r="FE43" s="448">
        <f>FD43/FA43</f>
        <v>0.94538931967369033</v>
      </c>
      <c r="FF43" s="476">
        <f>SUM(FF25:FF29)</f>
        <v>1018369.81</v>
      </c>
      <c r="FG43" s="477">
        <f>SUM(FG25:FG29)</f>
        <v>866436.95120000001</v>
      </c>
      <c r="FH43" s="433">
        <f>FG43/FF43</f>
        <v>0.85080777404428354</v>
      </c>
      <c r="FI43" s="1400">
        <f>SUM(FI25:FI29)</f>
        <v>1010256.3200000001</v>
      </c>
      <c r="FJ43" s="448">
        <f>FI43/FF43</f>
        <v>0.99203286476059227</v>
      </c>
      <c r="FK43" s="476">
        <f>SUM(FK25:FK29)</f>
        <v>961071.21</v>
      </c>
      <c r="FL43" s="477">
        <f>SUM(FL25:FL29)</f>
        <v>776670.75200000009</v>
      </c>
      <c r="FM43" s="433">
        <f>FL43/FK43</f>
        <v>0.80813028620428673</v>
      </c>
      <c r="FN43" s="1400">
        <f>SUM(FN25:FN29)</f>
        <v>922511.59000000008</v>
      </c>
      <c r="FO43" s="448">
        <f>FN43/FK43</f>
        <v>0.9598784984933636</v>
      </c>
      <c r="FP43" s="476">
        <f>SUM(FP25:FP29)</f>
        <v>932582.98</v>
      </c>
      <c r="FQ43" s="477">
        <f>SUM(FQ25:FQ29)</f>
        <v>797872.42850000004</v>
      </c>
      <c r="FR43" s="433">
        <f>FQ43/FP43</f>
        <v>0.85555113658625859</v>
      </c>
      <c r="FS43" s="1400">
        <f>SUM(FS25:FS29)</f>
        <v>916465.98</v>
      </c>
      <c r="FT43" s="448">
        <f>FS43/FP43</f>
        <v>0.98271789176336888</v>
      </c>
      <c r="FU43" s="451">
        <f>SUM(FU25:FU29)</f>
        <v>3191068.8766999999</v>
      </c>
      <c r="FV43" s="432">
        <f>SUM(FV25:FV29)</f>
        <v>3890669.38</v>
      </c>
      <c r="FW43" s="432">
        <f>SUM(FW25:FW29)</f>
        <v>3774434.7800000003</v>
      </c>
      <c r="FX43" s="454">
        <f t="shared" ref="FX43:FX45" si="272">FW43/FV43</f>
        <v>0.97012478094450683</v>
      </c>
      <c r="FY43" s="476">
        <f>SUM(FY25:FY29)</f>
        <v>875411.74</v>
      </c>
      <c r="FZ43" s="477">
        <f>SUM(FZ25:FZ29)</f>
        <v>782349.09340000013</v>
      </c>
      <c r="GA43" s="433">
        <f>FZ43/FY43</f>
        <v>0.89369271355670887</v>
      </c>
      <c r="GB43" s="1400">
        <f>SUM(GB25:GB29)</f>
        <v>881502.47</v>
      </c>
      <c r="GC43" s="448">
        <f>GB43/FY43</f>
        <v>1.0069575603361225</v>
      </c>
      <c r="GD43" s="476">
        <f>SUM(GD25:GD29)</f>
        <v>892706.14</v>
      </c>
      <c r="GE43" s="477">
        <f>SUM(GE25:GE29)</f>
        <v>796145.16920000012</v>
      </c>
      <c r="GF43" s="433">
        <f>GE43/GD43</f>
        <v>0.89183341922572656</v>
      </c>
      <c r="GG43" s="1400">
        <f>SUM(GG25:GG29)</f>
        <v>869739.7</v>
      </c>
      <c r="GH43" s="448">
        <f>GG43/GD43</f>
        <v>0.97427323620738171</v>
      </c>
      <c r="GI43" s="476">
        <f>SUM(GI25:GI29)</f>
        <v>835591.64</v>
      </c>
      <c r="GJ43" s="477">
        <f>SUM(GJ25:GJ29)</f>
        <v>744009.82250000001</v>
      </c>
      <c r="GK43" s="433">
        <f>GJ43/GI43</f>
        <v>0.89039883465085889</v>
      </c>
      <c r="GL43" s="1400">
        <f>SUM(GL25:GL29)</f>
        <v>761224.82000000007</v>
      </c>
      <c r="GM43" s="448">
        <f>GL43/GI43</f>
        <v>0.91100100044083743</v>
      </c>
      <c r="GN43" s="476">
        <f>SUM(GN25:GN29)</f>
        <v>797765.60000000009</v>
      </c>
      <c r="GO43" s="477">
        <f>SUM(GO25:GO29)</f>
        <v>646322.6862</v>
      </c>
      <c r="GP43" s="433">
        <f>GO43/GN43</f>
        <v>0.81016615181201079</v>
      </c>
      <c r="GQ43" s="1400">
        <f>SUM(GQ25:GQ29)</f>
        <v>780195.95000000007</v>
      </c>
      <c r="GR43" s="448">
        <f>GQ43/GN43</f>
        <v>0.9779764256568596</v>
      </c>
      <c r="GS43" s="451">
        <f>SUM(GS25:GS29)</f>
        <v>2968826.7713000001</v>
      </c>
      <c r="GT43" s="432">
        <f>SUM(GT25:GT29)</f>
        <v>3401475.12</v>
      </c>
      <c r="GU43" s="432">
        <f>SUM(GU25:GU29)</f>
        <v>3292662.94</v>
      </c>
      <c r="GV43" s="425">
        <f t="shared" ref="GV43:GV45" si="273">GU43/GT43</f>
        <v>0.96801029666211402</v>
      </c>
      <c r="GW43" s="476">
        <f>SUM(GW25:GW29)</f>
        <v>823094</v>
      </c>
      <c r="GX43" s="477">
        <f>SUM(GX25:GX29)</f>
        <v>706591.21</v>
      </c>
      <c r="GY43" s="433">
        <f>GX43/GW43</f>
        <v>0.85845749088196488</v>
      </c>
      <c r="GZ43" s="1400">
        <f>SUM(GZ25:GZ29)</f>
        <v>779491.19000000018</v>
      </c>
      <c r="HA43" s="448">
        <f>GZ43/GW43</f>
        <v>0.94702572245697358</v>
      </c>
      <c r="HB43" s="476">
        <f>SUM(HB25:HB29)</f>
        <v>776912.99</v>
      </c>
      <c r="HC43" s="477">
        <f>SUM(HC25:HC29)</f>
        <v>689162.01559999993</v>
      </c>
      <c r="HD43" s="433">
        <f>HC43/HB43</f>
        <v>0.88705173484098898</v>
      </c>
      <c r="HE43" s="1400">
        <f>SUM(HE25:HE29)</f>
        <v>735881.23</v>
      </c>
      <c r="HF43" s="448">
        <f>HE43/HB43</f>
        <v>0.94718615787335458</v>
      </c>
      <c r="HG43" s="476">
        <f>SUM(HG25:HG29)</f>
        <v>789945.49</v>
      </c>
      <c r="HH43" s="477">
        <f>SUM(HH25:HH29)</f>
        <v>695875.12319999991</v>
      </c>
      <c r="HI43" s="433">
        <f>HH43/HG43</f>
        <v>0.88091536948960858</v>
      </c>
      <c r="HJ43" s="1400">
        <f>SUM(HJ25:HJ29)</f>
        <v>821851.75999999989</v>
      </c>
      <c r="HK43" s="448">
        <f>HJ43/HG43</f>
        <v>1.0403904704867672</v>
      </c>
      <c r="HL43" s="476">
        <f>SUM(HL25:HL29)</f>
        <v>793433.32000000007</v>
      </c>
      <c r="HM43" s="477">
        <f>SUM(HM25:HM29)</f>
        <v>715156.45120000001</v>
      </c>
      <c r="HN43" s="433">
        <f>HM43/HL43</f>
        <v>0.90134411194125297</v>
      </c>
      <c r="HO43" s="1400">
        <f>SUM(HO25:HO29)</f>
        <v>710018.17</v>
      </c>
      <c r="HP43" s="448">
        <f>HO43/HL43</f>
        <v>0.89486810309403186</v>
      </c>
      <c r="HQ43" s="476">
        <f>SUM(HQ25:HQ29)</f>
        <v>821295.28</v>
      </c>
      <c r="HR43" s="477">
        <f>SUM(HR25:HR29)</f>
        <v>726371.74900000007</v>
      </c>
      <c r="HS43" s="433">
        <f t="shared" ref="HS43:HS45" si="274">HR43/HQ43</f>
        <v>0.88442216421845266</v>
      </c>
      <c r="HT43" s="432">
        <f>SUM(HT25:HT29)</f>
        <v>784290.89</v>
      </c>
      <c r="HU43" s="448">
        <f t="shared" ref="HU43:HU45" si="275">HT43/HQ43</f>
        <v>0.95494386623042571</v>
      </c>
      <c r="HV43" s="451">
        <f>SUM(HV25:HV29)</f>
        <v>3533156.5489999996</v>
      </c>
      <c r="HW43" s="432">
        <f>SUM(HW25:HW29)</f>
        <v>4004681.08</v>
      </c>
      <c r="HX43" s="432">
        <f>SUM(HX25:HX29)</f>
        <v>3831533.24</v>
      </c>
      <c r="HY43" s="454">
        <f t="shared" ref="HY43:HY45" si="276">HX43/HW43</f>
        <v>0.95676363821710375</v>
      </c>
      <c r="HZ43" s="476">
        <f>SUM(HZ25:HZ29)</f>
        <v>760537.78</v>
      </c>
      <c r="IA43" s="477">
        <f>SUM(IA25:IA29)</f>
        <v>725672.98149999999</v>
      </c>
      <c r="IB43" s="433">
        <f t="shared" ref="IB43:IB45" si="277">IA43/HZ43</f>
        <v>0.95415770338194106</v>
      </c>
      <c r="IC43" s="432">
        <f>SUM(IC25:IC29)</f>
        <v>754050.33999999985</v>
      </c>
      <c r="ID43" s="448">
        <f t="shared" ref="ID43:ID45" si="278">IC43/HZ43</f>
        <v>0.99146993065880284</v>
      </c>
      <c r="IE43" s="476">
        <f>SUM(IE25:IE29)</f>
        <v>805631.43</v>
      </c>
      <c r="IF43" s="477">
        <f>SUM(IF25:IF29)</f>
        <v>779213.10460000008</v>
      </c>
      <c r="IG43" s="433">
        <f t="shared" ref="IG43:IG45" si="279">IF43/IE43</f>
        <v>0.96720792608600192</v>
      </c>
      <c r="IH43" s="432">
        <f>SUM(IH25:IH29)</f>
        <v>826792.6399999999</v>
      </c>
      <c r="II43" s="448">
        <f t="shared" ref="II43:II45" si="280">IH43/IE43</f>
        <v>1.026266614250638</v>
      </c>
      <c r="IJ43" s="476">
        <f>SUM(IJ25:IJ29)</f>
        <v>776744.35</v>
      </c>
      <c r="IK43" s="477">
        <f>SUM(IK25:IK29)</f>
        <v>782195.9081</v>
      </c>
      <c r="IL43" s="433">
        <f t="shared" ref="IL43:IL45" si="281">IK43/IJ43</f>
        <v>1.0070184715215502</v>
      </c>
      <c r="IM43" s="432">
        <f>SUM(IM25:IM29)</f>
        <v>751105.05</v>
      </c>
      <c r="IN43" s="448">
        <f t="shared" ref="IN43:IN45" si="282">IM43/IJ43</f>
        <v>0.96699132732668103</v>
      </c>
      <c r="IO43" s="476">
        <f>SUM(IO25:IO29)</f>
        <v>825518.03</v>
      </c>
      <c r="IP43" s="477">
        <f>SUM(IP25:IP29)</f>
        <v>850912.3689</v>
      </c>
      <c r="IQ43" s="433">
        <f t="shared" ref="IQ43:IQ45" si="283">IP43/IO43</f>
        <v>1.0307617011102712</v>
      </c>
      <c r="IR43" s="432">
        <f>SUM(IR25:IR29)</f>
        <v>969407.98</v>
      </c>
      <c r="IS43" s="448">
        <f t="shared" ref="IS43:IS45" si="284">IR43/IO43</f>
        <v>1.1743026133541867</v>
      </c>
      <c r="IT43" s="476">
        <f>SUM(IT25:IT29)</f>
        <v>3137994.3631000002</v>
      </c>
      <c r="IU43" s="476">
        <f>SUM(IU25:IU29)</f>
        <v>3168431.59</v>
      </c>
      <c r="IV43" s="476">
        <f>SUM(IV25:IV29)</f>
        <v>3301356.0100000002</v>
      </c>
      <c r="IW43" s="425">
        <f t="shared" ref="IW43:IW45" si="285">IV43/IU43</f>
        <v>1.0419527505089672</v>
      </c>
      <c r="IX43" s="476">
        <f>SUM(IX25:IX29)</f>
        <v>672630.85</v>
      </c>
      <c r="IY43" s="477">
        <f>SUM(IY25:IY29)</f>
        <v>688926.37930000003</v>
      </c>
      <c r="IZ43" s="433">
        <f t="shared" ref="IZ43:IZ45" si="286">IY43/IX43</f>
        <v>1.0242265565131305</v>
      </c>
      <c r="JA43" s="432">
        <f>SUM(JA25:JA29)</f>
        <v>767263.52</v>
      </c>
      <c r="JB43" s="448">
        <f t="shared" ref="JB43:JB45" si="287">JA43/IX43</f>
        <v>1.1406903504351606</v>
      </c>
      <c r="JC43" s="476">
        <f>SUM(JC25:JC29)</f>
        <v>949144.7</v>
      </c>
      <c r="JD43" s="477">
        <f>SUM(JD25:JD29)</f>
        <v>996972.6105999999</v>
      </c>
      <c r="JE43" s="433">
        <f t="shared" ref="JE43:JE45" si="288">JD43/JC43</f>
        <v>1.050390536448236</v>
      </c>
      <c r="JF43" s="432">
        <f>SUM(JF25:JF29)</f>
        <v>905050.82000000007</v>
      </c>
      <c r="JG43" s="448">
        <f t="shared" ref="JG43:JG45" si="289">JF43/JC43</f>
        <v>0.95354356401084062</v>
      </c>
      <c r="JH43" s="476">
        <f>SUM(JH25:JH29)</f>
        <v>1061850.73</v>
      </c>
      <c r="JI43" s="477">
        <f>SUM(JI25:JI29)</f>
        <v>1111850.9971</v>
      </c>
      <c r="JJ43" s="433">
        <f t="shared" ref="JJ43:JJ45" si="290">JI43/JH43</f>
        <v>1.0470878492497717</v>
      </c>
      <c r="JK43" s="432">
        <f>SUM(JK25:JK29)</f>
        <v>983541.71</v>
      </c>
      <c r="JL43" s="448">
        <f t="shared" ref="JL43:JL45" si="291">JK43/JH43</f>
        <v>0.92625232738691998</v>
      </c>
      <c r="JM43" s="476">
        <f>SUM(JM25:JM29)</f>
        <v>1012356.66</v>
      </c>
      <c r="JN43" s="477">
        <f>SUM(JN25:JN29)</f>
        <v>1046885.8312000001</v>
      </c>
      <c r="JO43" s="433">
        <f t="shared" ref="JO43:JO45" si="292">JN43/JM43</f>
        <v>1.0341077137774746</v>
      </c>
      <c r="JP43" s="432">
        <f>SUM(JP25:JP29)</f>
        <v>807442.11</v>
      </c>
      <c r="JQ43" s="448">
        <f t="shared" ref="JQ43:JQ45" si="293">JP43/JM43</f>
        <v>0.79758660351975164</v>
      </c>
      <c r="JR43" s="799"/>
      <c r="JS43" s="1585">
        <f>SUM(JS25:JS29)</f>
        <v>3844635.8181999996</v>
      </c>
      <c r="JT43" s="1586">
        <f>SUM(JT25:JT29)</f>
        <v>3695982.9400000004</v>
      </c>
      <c r="JU43" s="1586">
        <f>SUM(JU25:JU29)</f>
        <v>3463298.16</v>
      </c>
      <c r="JV43" s="454">
        <f t="shared" ref="JV43:JV45" si="294">JU43/JT43</f>
        <v>0.93704387066245487</v>
      </c>
      <c r="JW43" s="476">
        <f>SUM(JW25:JW29)</f>
        <v>1384330.75</v>
      </c>
      <c r="JX43" s="477">
        <f>SUM(JX25:JX29)</f>
        <v>1262146.2962</v>
      </c>
      <c r="JY43" s="433">
        <f t="shared" ref="JY43:JY45" si="295">JX43/JW43</f>
        <v>0.91173752818825993</v>
      </c>
      <c r="JZ43" s="432">
        <f>SUM(JZ25:JZ29)</f>
        <v>1124854.01</v>
      </c>
      <c r="KA43" s="448">
        <f t="shared" ref="KA43:KA45" si="296">JZ43/JW43</f>
        <v>0.81256160061459304</v>
      </c>
      <c r="KB43" s="476">
        <f>SUM(KB25:KB29)</f>
        <v>1740759.95</v>
      </c>
      <c r="KC43" s="477">
        <f>SUM(KC25:KC29)</f>
        <v>1617358.2183999999</v>
      </c>
      <c r="KD43" s="433">
        <f t="shared" ref="KD43:KD45" si="297">KC43/KB43</f>
        <v>0.92911042582292858</v>
      </c>
      <c r="KE43" s="432">
        <f>SUM(KE25:KE29)</f>
        <v>1314884.1000000001</v>
      </c>
      <c r="KF43" s="448">
        <f t="shared" ref="KF43:KF45" si="298">KE43/KB43</f>
        <v>0.75535061568942929</v>
      </c>
      <c r="KG43" s="476">
        <f>SUM(KG25:KG29)</f>
        <v>2159396.9</v>
      </c>
      <c r="KH43" s="477">
        <f>SUM(KH25:KH29)</f>
        <v>2042860.6324</v>
      </c>
      <c r="KI43" s="433">
        <f t="shared" ref="KI43:KI45" si="299">KH43/KG43</f>
        <v>0.9460329559609908</v>
      </c>
      <c r="KJ43" s="432">
        <f>SUM(KJ25:KJ29)</f>
        <v>1888636.33</v>
      </c>
      <c r="KK43" s="448">
        <f t="shared" ref="KK43:KK45" si="300">KJ43/KG43</f>
        <v>0.87461287454844461</v>
      </c>
      <c r="KL43" s="476">
        <f>SUM(KL25:KL29)</f>
        <v>2066384.8199999998</v>
      </c>
      <c r="KM43" s="477">
        <f>SUM(KM25:KM29)</f>
        <v>3286347.9939999999</v>
      </c>
      <c r="KN43" s="433">
        <f t="shared" ref="KN43:KN45" si="301">KM43/KL43</f>
        <v>1.590385276833383</v>
      </c>
      <c r="KO43" s="432">
        <f>SUM(KO25:KO29)</f>
        <v>2487946.39</v>
      </c>
      <c r="KP43" s="448">
        <f t="shared" ref="KP43:KP45" si="302">KO43/KL43</f>
        <v>1.2040092270906251</v>
      </c>
      <c r="KQ43" s="476">
        <f>SUM(KQ25:KQ29)</f>
        <v>943585.64999999991</v>
      </c>
      <c r="KR43" s="477">
        <f>SUM(KR25:KR29)</f>
        <v>1011682.5819999999</v>
      </c>
      <c r="KS43" s="433">
        <f t="shared" ref="KS43:KS45" si="303">KR43/KQ43</f>
        <v>1.0721682573277795</v>
      </c>
      <c r="KT43" s="432">
        <f>SUM(KT25:KT29)</f>
        <v>1124638.06</v>
      </c>
      <c r="KU43" s="448">
        <f t="shared" ref="KU43:KU45" si="304">KT43/KQ43</f>
        <v>1.1918770278034645</v>
      </c>
      <c r="KV43" s="451">
        <f>SUM(KV25:KV29)</f>
        <v>9220395.7229999993</v>
      </c>
      <c r="KW43" s="432">
        <f>SUM(KW25:KW29)</f>
        <v>8294458.0699999994</v>
      </c>
      <c r="KX43" s="432">
        <f>SUM(KX25:KX29)</f>
        <v>7940958.8900000006</v>
      </c>
      <c r="KY43" s="454">
        <f t="shared" ref="KY43:KY45" si="305">KX43/KW43</f>
        <v>0.95738128072784401</v>
      </c>
      <c r="KZ43" s="947">
        <f>SUM(KZ25:KZ29)</f>
        <v>48420221.799999997</v>
      </c>
      <c r="LA43" s="947">
        <f>SUM(LA25:LA29)</f>
        <v>43373585.0933</v>
      </c>
      <c r="LB43" s="451">
        <f>SUM(LB25:LB29)</f>
        <v>48420221.799999997</v>
      </c>
      <c r="LC43" s="451">
        <f>SUM(LC25:LC29)</f>
        <v>42174548.939999998</v>
      </c>
      <c r="LD43" s="492">
        <f>LC43-LB43</f>
        <v>-6245672.8599999994</v>
      </c>
      <c r="LE43" s="493">
        <f>LC43/LB43</f>
        <v>0.87101106463746103</v>
      </c>
      <c r="LG43" s="566"/>
      <c r="LH43" s="566"/>
    </row>
    <row r="44" spans="1:321" outlineLevel="1">
      <c r="A44" s="1495"/>
      <c r="B44" s="434" t="s">
        <v>43</v>
      </c>
      <c r="C44" s="435"/>
      <c r="D44" s="435"/>
      <c r="E44" s="424"/>
      <c r="F44" s="435"/>
      <c r="G44" s="424"/>
      <c r="H44" s="435"/>
      <c r="I44" s="435"/>
      <c r="J44" s="424"/>
      <c r="K44" s="435"/>
      <c r="L44" s="424"/>
      <c r="M44" s="435"/>
      <c r="N44" s="435"/>
      <c r="O44" s="424"/>
      <c r="P44" s="435"/>
      <c r="Q44" s="424"/>
      <c r="R44" s="435"/>
      <c r="S44" s="435"/>
      <c r="T44" s="424"/>
      <c r="U44" s="435"/>
      <c r="V44" s="424"/>
      <c r="W44" s="424"/>
      <c r="X44" s="424"/>
      <c r="Y44" s="435">
        <f>SUM(Y30:Y34)</f>
        <v>563666.76</v>
      </c>
      <c r="Z44" s="424"/>
      <c r="AA44" s="435"/>
      <c r="AB44" s="435"/>
      <c r="AC44" s="424"/>
      <c r="AD44" s="435"/>
      <c r="AE44" s="424"/>
      <c r="AF44" s="435"/>
      <c r="AG44" s="435"/>
      <c r="AH44" s="424"/>
      <c r="AI44" s="435"/>
      <c r="AJ44" s="424"/>
      <c r="AK44" s="435"/>
      <c r="AL44" s="435"/>
      <c r="AM44" s="424"/>
      <c r="AN44" s="435"/>
      <c r="AO44" s="424"/>
      <c r="AP44" s="435"/>
      <c r="AQ44" s="435"/>
      <c r="AR44" s="424"/>
      <c r="AS44" s="435"/>
      <c r="AT44" s="424"/>
      <c r="AU44" s="424"/>
      <c r="AV44" s="424"/>
      <c r="AW44" s="435">
        <f>SUM(AW30:AW34)</f>
        <v>485479.98</v>
      </c>
      <c r="AX44" s="424"/>
      <c r="AY44" s="435"/>
      <c r="AZ44" s="435"/>
      <c r="BA44" s="424"/>
      <c r="BB44" s="435"/>
      <c r="BC44" s="424"/>
      <c r="BD44" s="435"/>
      <c r="BE44" s="435"/>
      <c r="BF44" s="424"/>
      <c r="BG44" s="435"/>
      <c r="BH44" s="424"/>
      <c r="BI44" s="435"/>
      <c r="BJ44" s="435"/>
      <c r="BK44" s="424"/>
      <c r="BL44" s="435"/>
      <c r="BM44" s="449"/>
      <c r="BN44" s="452">
        <f>SUM(BN30:BN34)</f>
        <v>223238.25</v>
      </c>
      <c r="BO44" s="435">
        <f>SUM(BO30:BO34)</f>
        <v>205758.63539999997</v>
      </c>
      <c r="BP44" s="424">
        <f t="shared" si="183"/>
        <v>0.9216997329086748</v>
      </c>
      <c r="BQ44" s="435">
        <f>SUM(BQ30:BQ34)</f>
        <v>200343.88999999998</v>
      </c>
      <c r="BR44" s="426">
        <f t="shared" si="184"/>
        <v>0.89744427758235867</v>
      </c>
      <c r="BS44" s="452">
        <f>SUM(BS30:BS34)</f>
        <v>237164.75</v>
      </c>
      <c r="BT44" s="435">
        <f>SUM(BT30:BT34)</f>
        <v>226762.66320000001</v>
      </c>
      <c r="BU44" s="424">
        <f t="shared" si="241"/>
        <v>0.95613982769361805</v>
      </c>
      <c r="BV44" s="435">
        <f>SUM(BV30:BV34)</f>
        <v>208355.72000000003</v>
      </c>
      <c r="BW44" s="426">
        <f t="shared" si="242"/>
        <v>0.87852735282119299</v>
      </c>
      <c r="BX44" s="449"/>
      <c r="BY44" s="435">
        <f>SUM(BY30:BY34)</f>
        <v>1022957.3099999999</v>
      </c>
      <c r="BZ44" s="435">
        <f>SUM(BZ30:BZ34)</f>
        <v>796601.71</v>
      </c>
      <c r="CA44" s="426">
        <f t="shared" si="243"/>
        <v>0.77872429495616002</v>
      </c>
      <c r="CB44" s="452">
        <f>SUM(CB30:CB34)</f>
        <v>221327.54</v>
      </c>
      <c r="CC44" s="435">
        <f>SUM(CC30:CC34)</f>
        <v>309452.25108000002</v>
      </c>
      <c r="CD44" s="424">
        <f t="shared" si="244"/>
        <v>1.3981642369494551</v>
      </c>
      <c r="CE44" s="435">
        <f>SUM(CE30:CE34)</f>
        <v>179532.5</v>
      </c>
      <c r="CF44" s="426">
        <f t="shared" si="245"/>
        <v>0.81116204517521862</v>
      </c>
      <c r="CG44" s="452">
        <f>SUM(CG30:CG34)</f>
        <v>221482.92</v>
      </c>
      <c r="CH44" s="435">
        <f>SUM(CH30:CH34)</f>
        <v>276559.95750000002</v>
      </c>
      <c r="CI44" s="424">
        <f t="shared" si="246"/>
        <v>1.2486739722412907</v>
      </c>
      <c r="CJ44" s="435">
        <f>SUM(CJ30:CJ34)</f>
        <v>183561.19</v>
      </c>
      <c r="CK44" s="426">
        <f t="shared" si="247"/>
        <v>0.82878259867623194</v>
      </c>
      <c r="CL44" s="452">
        <f>SUM(CL30:CL34)</f>
        <v>166030.01999999999</v>
      </c>
      <c r="CM44" s="435">
        <f>SUM(CM30:CM34)</f>
        <v>160317.70899999997</v>
      </c>
      <c r="CN44" s="424">
        <f t="shared" si="248"/>
        <v>0.96559470992053109</v>
      </c>
      <c r="CO44" s="435">
        <f>SUM(CO30:CO34)</f>
        <v>159020.53000000003</v>
      </c>
      <c r="CP44" s="426">
        <f t="shared" si="249"/>
        <v>0.95778179150975251</v>
      </c>
      <c r="CQ44" s="452">
        <f>SUM(CQ30:CQ34)</f>
        <v>252561.34000000003</v>
      </c>
      <c r="CR44" s="435">
        <f>SUM(CR30:CR34)</f>
        <v>96635.531400000007</v>
      </c>
      <c r="CS44" s="424">
        <f t="shared" si="250"/>
        <v>0.38262202520781685</v>
      </c>
      <c r="CT44" s="435">
        <f>SUM(CT30:CT34)</f>
        <v>168610.35</v>
      </c>
      <c r="CU44" s="449">
        <f t="shared" si="251"/>
        <v>0.66760158146135895</v>
      </c>
      <c r="CV44" s="452">
        <f>SUM(CV30:CV34)</f>
        <v>842965.4489800001</v>
      </c>
      <c r="CW44" s="435">
        <f>SUM(CW30:CW34)</f>
        <v>800968.82000000007</v>
      </c>
      <c r="CX44" s="435">
        <f>SUM(CX30:CX34)</f>
        <v>690724.57000000007</v>
      </c>
      <c r="CY44" s="489">
        <f t="shared" si="196"/>
        <v>0.86236137132029689</v>
      </c>
      <c r="CZ44" s="478">
        <f>SUM(CZ30:CZ34)</f>
        <v>453241.07999999996</v>
      </c>
      <c r="DA44" s="479">
        <f>SUM(DA30:DA34)</f>
        <v>217861.57499999998</v>
      </c>
      <c r="DB44" s="424">
        <f t="shared" si="252"/>
        <v>0.48067482100254461</v>
      </c>
      <c r="DC44" s="435">
        <f>SUM(DC30:DC34)</f>
        <v>274379.05</v>
      </c>
      <c r="DD44" s="449">
        <f t="shared" si="253"/>
        <v>0.60537109743009176</v>
      </c>
      <c r="DE44" s="478">
        <f>SUM(DE30:DE34)</f>
        <v>271299.26</v>
      </c>
      <c r="DF44" s="479">
        <f>SUM(DF30:DF34)</f>
        <v>214961.60119999998</v>
      </c>
      <c r="DG44" s="424">
        <f t="shared" si="254"/>
        <v>0.79234127361792273</v>
      </c>
      <c r="DH44" s="435">
        <f>SUM(DH30:DH34)</f>
        <v>308318.31</v>
      </c>
      <c r="DI44" s="449">
        <f t="shared" si="255"/>
        <v>1.1364509803675837</v>
      </c>
      <c r="DJ44" s="478">
        <f>SUM(DJ30:DJ34)</f>
        <v>231156.02000000002</v>
      </c>
      <c r="DK44" s="479">
        <f>SUM(DK30:DK34)</f>
        <v>208291.0716</v>
      </c>
      <c r="DL44" s="424">
        <f t="shared" si="256"/>
        <v>0.90108434813854288</v>
      </c>
      <c r="DM44" s="435">
        <f>SUM(DM30:DM34)</f>
        <v>182303.32</v>
      </c>
      <c r="DN44" s="449">
        <f t="shared" si="257"/>
        <v>0.78865919217678171</v>
      </c>
      <c r="DO44" s="478">
        <f>SUM(DO30:DO34)</f>
        <v>232349.03</v>
      </c>
      <c r="DP44" s="479">
        <f>SUM(DP30:DP34)</f>
        <v>180038.6346512984</v>
      </c>
      <c r="DQ44" s="424">
        <f t="shared" si="258"/>
        <v>0.77486286321616404</v>
      </c>
      <c r="DR44" s="435">
        <f>SUM(DR30:DR34)</f>
        <v>167446.35</v>
      </c>
      <c r="DS44" s="449">
        <f t="shared" si="259"/>
        <v>0.72066730814413127</v>
      </c>
      <c r="DT44" s="452">
        <f>SUM(DT30:DT34)</f>
        <v>821152.88245129841</v>
      </c>
      <c r="DU44" s="435">
        <f>SUM(DU30:DU34)</f>
        <v>1188045.3900000001</v>
      </c>
      <c r="DV44" s="435">
        <f>SUM(DV30:DV34)</f>
        <v>932447.02999999991</v>
      </c>
      <c r="DW44" s="419">
        <f t="shared" si="260"/>
        <v>0.78485808526221357</v>
      </c>
      <c r="DX44" s="478">
        <f>SUM(DX30:DX34)</f>
        <v>240585.39</v>
      </c>
      <c r="DY44" s="479">
        <f>SUM(DY30:DY34)</f>
        <v>216309.22472658526</v>
      </c>
      <c r="DZ44" s="424">
        <f t="shared" si="261"/>
        <v>0.89909543021953764</v>
      </c>
      <c r="EA44" s="479">
        <f>SUM(EA30:EA34)</f>
        <v>194830.22</v>
      </c>
      <c r="EB44" s="449">
        <f t="shared" si="262"/>
        <v>0.80981733761971164</v>
      </c>
      <c r="EC44" s="478">
        <f>SUM(EC30:EC34)</f>
        <v>256723.79</v>
      </c>
      <c r="ED44" s="479">
        <f>SUM(ED30:ED34)</f>
        <v>210245.06319606869</v>
      </c>
      <c r="EE44" s="424">
        <f t="shared" si="263"/>
        <v>0.81895434465215977</v>
      </c>
      <c r="EF44" s="479">
        <f>SUM(EF30:EF34)</f>
        <v>186825.46</v>
      </c>
      <c r="EG44" s="449">
        <f t="shared" si="264"/>
        <v>0.72772944026730046</v>
      </c>
      <c r="EH44" s="478">
        <f>SUM(EH30:EH34)</f>
        <v>265305.57</v>
      </c>
      <c r="EI44" s="479">
        <f>SUM(EI30:EI34)</f>
        <v>227376.70600000001</v>
      </c>
      <c r="EJ44" s="424">
        <f t="shared" si="265"/>
        <v>0.85703706107640332</v>
      </c>
      <c r="EK44" s="479">
        <f>SUM(EK30:EK34)</f>
        <v>215685.67</v>
      </c>
      <c r="EL44" s="449">
        <f t="shared" si="266"/>
        <v>0.81297075670141417</v>
      </c>
      <c r="EM44" s="478">
        <f>SUM(EM30:EM34)</f>
        <v>261388.99</v>
      </c>
      <c r="EN44" s="479">
        <f>SUM(EN30:EN34)</f>
        <v>226746.77200000003</v>
      </c>
      <c r="EO44" s="424">
        <f t="shared" si="267"/>
        <v>0.86746871779105938</v>
      </c>
      <c r="EP44" s="479">
        <f>SUM(EP30:EP34)</f>
        <v>195440.72999999998</v>
      </c>
      <c r="EQ44" s="449">
        <f t="shared" si="268"/>
        <v>0.74770069695743491</v>
      </c>
      <c r="ER44" s="478">
        <f>SUM(ER30:ER34)</f>
        <v>272091.3</v>
      </c>
      <c r="ES44" s="479">
        <f>SUM(ES30:ES34)</f>
        <v>202070.13</v>
      </c>
      <c r="ET44" s="424">
        <f t="shared" si="269"/>
        <v>0.74265560861372637</v>
      </c>
      <c r="EU44" s="479">
        <f>SUM(EU30:EU34)</f>
        <v>225533.61000000002</v>
      </c>
      <c r="EV44" s="449">
        <f t="shared" si="270"/>
        <v>0.82888945732553754</v>
      </c>
      <c r="EW44" s="452">
        <f>SUM(EW30:EW34)</f>
        <v>1082747.8959226541</v>
      </c>
      <c r="EX44" s="435">
        <f>SUM(EX30:EX34)</f>
        <v>1296095.04</v>
      </c>
      <c r="EY44" s="435">
        <f>SUM(EY30:EY34)</f>
        <v>1018315.69</v>
      </c>
      <c r="EZ44" s="426">
        <f t="shared" si="271"/>
        <v>0.78567979860489234</v>
      </c>
      <c r="FA44" s="478">
        <f>SUM(FA30:FA34)</f>
        <v>256545.08000000002</v>
      </c>
      <c r="FB44" s="479">
        <f>SUM(FB30:FB34)</f>
        <v>221055.296</v>
      </c>
      <c r="FC44" s="424">
        <f>FB44/FA44</f>
        <v>0.8616625818744994</v>
      </c>
      <c r="FD44" s="1401">
        <f>SUM(FD30:FD34)</f>
        <v>212987.09</v>
      </c>
      <c r="FE44" s="449">
        <f>FD44/FA44</f>
        <v>0.83021311498158523</v>
      </c>
      <c r="FF44" s="478">
        <f>SUM(FF30:FF34)</f>
        <v>245673.40000000002</v>
      </c>
      <c r="FG44" s="479">
        <f>SUM(FG30:FG34)</f>
        <v>241760.34720000002</v>
      </c>
      <c r="FH44" s="424">
        <f>FG44/FF44</f>
        <v>0.98407213479359179</v>
      </c>
      <c r="FI44" s="1401">
        <f>SUM(FI30:FI34)</f>
        <v>224026.43999999997</v>
      </c>
      <c r="FJ44" s="449">
        <f>FI44/FF44</f>
        <v>0.91188724542420929</v>
      </c>
      <c r="FK44" s="478">
        <f>SUM(FK30:FK34)</f>
        <v>209101.5</v>
      </c>
      <c r="FL44" s="479">
        <f>SUM(FL30:FL34)</f>
        <v>200726.72360000003</v>
      </c>
      <c r="FM44" s="424">
        <f>FL44/FK44</f>
        <v>0.95994875024808535</v>
      </c>
      <c r="FN44" s="1401">
        <f>SUM(FN30:FN34)</f>
        <v>203418.29</v>
      </c>
      <c r="FO44" s="449">
        <f>FN44/FK44</f>
        <v>0.9728208071199872</v>
      </c>
      <c r="FP44" s="478">
        <f>SUM(FP30:FP34)</f>
        <v>217197.44</v>
      </c>
      <c r="FQ44" s="479">
        <f>SUM(FQ30:FQ34)</f>
        <v>208619.62940000003</v>
      </c>
      <c r="FR44" s="424">
        <f>FQ44/FP44</f>
        <v>0.96050685219862642</v>
      </c>
      <c r="FS44" s="1401">
        <f>SUM(FS30:FS34)</f>
        <v>188928.37</v>
      </c>
      <c r="FT44" s="449">
        <f>FS44/FP44</f>
        <v>0.86984620997374551</v>
      </c>
      <c r="FU44" s="452">
        <f>SUM(FU30:FU34)</f>
        <v>872161.99620000005</v>
      </c>
      <c r="FV44" s="435">
        <f>SUM(FV30:FV34)</f>
        <v>928517.41999999993</v>
      </c>
      <c r="FW44" s="435">
        <f>SUM(FW30:FW34)</f>
        <v>829360.19</v>
      </c>
      <c r="FX44" s="455">
        <f t="shared" si="272"/>
        <v>0.89320907948070594</v>
      </c>
      <c r="FY44" s="478">
        <f>SUM(FY30:FY34)</f>
        <v>204038.76</v>
      </c>
      <c r="FZ44" s="479">
        <f>SUM(FZ30:FZ34)</f>
        <v>200359.49159999998</v>
      </c>
      <c r="GA44" s="424">
        <f>FZ44/FY44</f>
        <v>0.98196779670686085</v>
      </c>
      <c r="GB44" s="1401">
        <f>SUM(GB30:GB34)</f>
        <v>175757.59</v>
      </c>
      <c r="GC44" s="449">
        <f>GB44/FY44</f>
        <v>0.86139314902717501</v>
      </c>
      <c r="GD44" s="478">
        <f>SUM(GD30:GD34)</f>
        <v>333302.07</v>
      </c>
      <c r="GE44" s="479">
        <f>SUM(GE30:GE34)</f>
        <v>229728.44800000003</v>
      </c>
      <c r="GF44" s="424">
        <f>GE44/GD44</f>
        <v>0.6892499887564455</v>
      </c>
      <c r="GG44" s="1401">
        <f>SUM(GG30:GG34)</f>
        <v>176464.42</v>
      </c>
      <c r="GH44" s="449">
        <f>GG44/GD44</f>
        <v>0.52944291645113395</v>
      </c>
      <c r="GI44" s="478">
        <f>SUM(GI30:GI34)</f>
        <v>336599.89</v>
      </c>
      <c r="GJ44" s="479">
        <f>SUM(GJ30:GJ34)</f>
        <v>206210.95500000002</v>
      </c>
      <c r="GK44" s="424">
        <f>GJ44/GI44</f>
        <v>0.61262930002740046</v>
      </c>
      <c r="GL44" s="1401">
        <f>SUM(GL30:GL34)</f>
        <v>168301.22999999998</v>
      </c>
      <c r="GM44" s="449">
        <f>GL44/GI44</f>
        <v>0.50000381758888857</v>
      </c>
      <c r="GN44" s="478">
        <f>SUM(GN30:GN34)</f>
        <v>333421.09999999998</v>
      </c>
      <c r="GO44" s="479">
        <f>SUM(GO30:GO34)</f>
        <v>172695.30929999999</v>
      </c>
      <c r="GP44" s="424">
        <f>GO44/GN44</f>
        <v>0.51794955178301549</v>
      </c>
      <c r="GQ44" s="1401">
        <f>SUM(GQ30:GQ34)</f>
        <v>164255.25</v>
      </c>
      <c r="GR44" s="449">
        <f>GQ44/GN44</f>
        <v>0.49263603893094954</v>
      </c>
      <c r="GS44" s="452">
        <f>SUM(GS30:GS34)</f>
        <v>808994.20389999996</v>
      </c>
      <c r="GT44" s="435">
        <f>SUM(GT30:GT34)</f>
        <v>1207361.8199999998</v>
      </c>
      <c r="GU44" s="435">
        <f>SUM(GU30:GU34)</f>
        <v>684778.49</v>
      </c>
      <c r="GV44" s="425">
        <f t="shared" si="273"/>
        <v>0.56716924343358821</v>
      </c>
      <c r="GW44" s="478">
        <f>SUM(GW30:GW34)</f>
        <v>330303</v>
      </c>
      <c r="GX44" s="479">
        <f>SUM(GX30:GX34)</f>
        <v>194618.74</v>
      </c>
      <c r="GY44" s="424">
        <f>GX44/GW44</f>
        <v>0.58921275313878463</v>
      </c>
      <c r="GZ44" s="1401">
        <f>SUM(GZ30:GZ34)</f>
        <v>151543.09</v>
      </c>
      <c r="HA44" s="449">
        <f>GZ44/GW44</f>
        <v>0.45880022282570848</v>
      </c>
      <c r="HB44" s="478">
        <f>SUM(HB30:HB34)</f>
        <v>313267.64</v>
      </c>
      <c r="HC44" s="479">
        <f>SUM(HC30:HC34)</f>
        <v>206630.80060000002</v>
      </c>
      <c r="HD44" s="424">
        <f>HC44/HB44</f>
        <v>0.65959829301232653</v>
      </c>
      <c r="HE44" s="1401">
        <f>SUM(HE30:HE34)</f>
        <v>171271.96000000002</v>
      </c>
      <c r="HF44" s="449">
        <f>HE44/HB44</f>
        <v>0.54672726490358214</v>
      </c>
      <c r="HG44" s="478">
        <f>SUM(HG30:HG34)</f>
        <v>312714.05</v>
      </c>
      <c r="HH44" s="479">
        <f>SUM(HH30:HH34)</f>
        <v>200137.57880000002</v>
      </c>
      <c r="HI44" s="424">
        <f>HH44/HG44</f>
        <v>0.64000187647468998</v>
      </c>
      <c r="HJ44" s="1401">
        <f>SUM(HJ30:HJ34)</f>
        <v>219528.74</v>
      </c>
      <c r="HK44" s="449">
        <f>HJ44/HG44</f>
        <v>0.70201111846429665</v>
      </c>
      <c r="HL44" s="478">
        <f>SUM(HL30:HL34)</f>
        <v>288182.92</v>
      </c>
      <c r="HM44" s="479">
        <f>SUM(HM30:HM34)</f>
        <v>174610.18230000001</v>
      </c>
      <c r="HN44" s="424">
        <f>HM44/HL44</f>
        <v>0.60590052422260143</v>
      </c>
      <c r="HO44" s="1401">
        <f>SUM(HO30:HO34)</f>
        <v>182657.35</v>
      </c>
      <c r="HP44" s="449">
        <f>HO44/HL44</f>
        <v>0.63382434323311043</v>
      </c>
      <c r="HQ44" s="478">
        <f>SUM(HQ30:HQ34)</f>
        <v>301372.65000000002</v>
      </c>
      <c r="HR44" s="479">
        <f>SUM(HR30:HR34)</f>
        <v>197123.40710000001</v>
      </c>
      <c r="HS44" s="424">
        <f t="shared" si="274"/>
        <v>0.65408525657520677</v>
      </c>
      <c r="HT44" s="435">
        <f>SUM(HT30:HT34)</f>
        <v>207199.81</v>
      </c>
      <c r="HU44" s="449">
        <f t="shared" si="275"/>
        <v>0.68752028427264378</v>
      </c>
      <c r="HV44" s="452">
        <f>SUM(HV30:HV34)</f>
        <v>973120.70880000014</v>
      </c>
      <c r="HW44" s="435">
        <f>SUM(HW30:HW34)</f>
        <v>1545840.2600000002</v>
      </c>
      <c r="HX44" s="435">
        <f>SUM(HX30:HX34)</f>
        <v>932200.95</v>
      </c>
      <c r="HY44" s="455">
        <f t="shared" si="276"/>
        <v>0.60303834369018172</v>
      </c>
      <c r="HZ44" s="478">
        <f>SUM(HZ30:HZ34)</f>
        <v>261837.75</v>
      </c>
      <c r="IA44" s="479">
        <f>SUM(IA30:IA34)</f>
        <v>178291.7133</v>
      </c>
      <c r="IB44" s="424">
        <f t="shared" si="277"/>
        <v>0.680924401848091</v>
      </c>
      <c r="IC44" s="435">
        <f>SUM(IC30:IC34)</f>
        <v>209320.02000000002</v>
      </c>
      <c r="ID44" s="449">
        <f t="shared" si="278"/>
        <v>0.79942643870106589</v>
      </c>
      <c r="IE44" s="478">
        <f>SUM(IE30:IE34)</f>
        <v>276674.28999999998</v>
      </c>
      <c r="IF44" s="479">
        <f>SUM(IF30:IF34)</f>
        <v>194435.01310000001</v>
      </c>
      <c r="IG44" s="424">
        <f t="shared" si="279"/>
        <v>0.70275779184253084</v>
      </c>
      <c r="IH44" s="435">
        <f>SUM(IH30:IH34)</f>
        <v>224420.69999999998</v>
      </c>
      <c r="II44" s="449">
        <f t="shared" si="280"/>
        <v>0.81113680638703367</v>
      </c>
      <c r="IJ44" s="478">
        <f>SUM(IJ30:IJ34)</f>
        <v>266105.32999999996</v>
      </c>
      <c r="IK44" s="479">
        <f>SUM(IK30:IK34)</f>
        <v>197318.73469999997</v>
      </c>
      <c r="IL44" s="424">
        <f t="shared" si="281"/>
        <v>0.74150613480759664</v>
      </c>
      <c r="IM44" s="435">
        <f>SUM(IM30:IM34)</f>
        <v>224005.62999999998</v>
      </c>
      <c r="IN44" s="449">
        <f t="shared" si="282"/>
        <v>0.84179309749263576</v>
      </c>
      <c r="IO44" s="478">
        <f>SUM(IO30:IO34)</f>
        <v>274614.39</v>
      </c>
      <c r="IP44" s="479">
        <f>SUM(IP30:IP34)</f>
        <v>209282.34710000001</v>
      </c>
      <c r="IQ44" s="424">
        <f t="shared" si="283"/>
        <v>0.76209534067023943</v>
      </c>
      <c r="IR44" s="435">
        <f>SUM(IR30:IR34)</f>
        <v>253381.41000000003</v>
      </c>
      <c r="IS44" s="449">
        <f t="shared" si="284"/>
        <v>0.9226807451714385</v>
      </c>
      <c r="IT44" s="478">
        <f>SUM(IT30:IT34)</f>
        <v>779327.80819999997</v>
      </c>
      <c r="IU44" s="478">
        <f>SUM(IU30:IU34)</f>
        <v>1079231.76</v>
      </c>
      <c r="IV44" s="478">
        <f>SUM(IV30:IV34)</f>
        <v>911127.76</v>
      </c>
      <c r="IW44" s="425">
        <f t="shared" si="285"/>
        <v>0.844237348982391</v>
      </c>
      <c r="IX44" s="478">
        <f>SUM(IX30:IX34)</f>
        <v>238081.50999999998</v>
      </c>
      <c r="IY44" s="479">
        <f>SUM(IY30:IY34)</f>
        <v>195345.8665</v>
      </c>
      <c r="IZ44" s="424">
        <f t="shared" si="286"/>
        <v>0.82049994768598378</v>
      </c>
      <c r="JA44" s="435">
        <f>SUM(JA30:JA34)</f>
        <v>206366.19</v>
      </c>
      <c r="JB44" s="449">
        <f t="shared" si="287"/>
        <v>0.86678797526107765</v>
      </c>
      <c r="JC44" s="478">
        <f>SUM(JC30:JC34)</f>
        <v>317404.98</v>
      </c>
      <c r="JD44" s="479">
        <f>SUM(JD30:JD34)</f>
        <v>266718.95040000003</v>
      </c>
      <c r="JE44" s="424">
        <f t="shared" si="288"/>
        <v>0.84031117092113694</v>
      </c>
      <c r="JF44" s="435">
        <f>SUM(JF30:JF34)</f>
        <v>266810.14999999997</v>
      </c>
      <c r="JG44" s="449">
        <f t="shared" si="289"/>
        <v>0.8405984997462862</v>
      </c>
      <c r="JH44" s="478">
        <f>SUM(JH30:JH34)</f>
        <v>358125.96</v>
      </c>
      <c r="JI44" s="479">
        <f>SUM(JI30:JI34)</f>
        <v>301901.22560000001</v>
      </c>
      <c r="JJ44" s="424">
        <f t="shared" si="290"/>
        <v>0.84300290769203101</v>
      </c>
      <c r="JK44" s="435">
        <f>SUM(JK30:JK34)</f>
        <v>265146.88</v>
      </c>
      <c r="JL44" s="449">
        <f t="shared" si="291"/>
        <v>0.74037324744623367</v>
      </c>
      <c r="JM44" s="478">
        <f>SUM(JM30:JM34)</f>
        <v>322573.92</v>
      </c>
      <c r="JN44" s="479">
        <f>SUM(JN30:JN34)</f>
        <v>283687.51709999994</v>
      </c>
      <c r="JO44" s="424">
        <f t="shared" si="292"/>
        <v>0.87944963777604823</v>
      </c>
      <c r="JP44" s="435">
        <f>SUM(JP30:JP34)</f>
        <v>226949.97999999998</v>
      </c>
      <c r="JQ44" s="449">
        <f t="shared" si="293"/>
        <v>0.7035596058106619</v>
      </c>
      <c r="JR44" s="800"/>
      <c r="JS44" s="1587">
        <f>SUM(JS30:JS34)</f>
        <v>1047653.5596000002</v>
      </c>
      <c r="JT44" s="1577">
        <f>SUM(JT30:JT34)</f>
        <v>1236186.3700000001</v>
      </c>
      <c r="JU44" s="1577">
        <f>SUM(JU30:JU34)</f>
        <v>965273.20000000007</v>
      </c>
      <c r="JV44" s="455">
        <f t="shared" si="294"/>
        <v>0.78084763222231612</v>
      </c>
      <c r="JW44" s="478">
        <f>SUM(JW30:JW34)</f>
        <v>437277.55</v>
      </c>
      <c r="JX44" s="479">
        <f>SUM(JX30:JX34)</f>
        <v>323158.63050000003</v>
      </c>
      <c r="JY44" s="424">
        <f t="shared" si="295"/>
        <v>0.73902406034794155</v>
      </c>
      <c r="JZ44" s="435">
        <f>SUM(JZ30:JZ34)</f>
        <v>331907.57</v>
      </c>
      <c r="KA44" s="449">
        <f t="shared" si="296"/>
        <v>0.75903180943087523</v>
      </c>
      <c r="KB44" s="478">
        <f>SUM(KB30:KB34)</f>
        <v>578146.29</v>
      </c>
      <c r="KC44" s="479">
        <f>SUM(KC30:KC34)</f>
        <v>438454.86749999993</v>
      </c>
      <c r="KD44" s="424">
        <f t="shared" si="297"/>
        <v>0.75838049138047725</v>
      </c>
      <c r="KE44" s="435">
        <f>SUM(KE30:KE34)</f>
        <v>399114.84</v>
      </c>
      <c r="KF44" s="449">
        <f t="shared" si="298"/>
        <v>0.69033538207085965</v>
      </c>
      <c r="KG44" s="478">
        <f>SUM(KG30:KG34)</f>
        <v>733824.88000000012</v>
      </c>
      <c r="KH44" s="479">
        <f>SUM(KH30:KH34)</f>
        <v>568330.73629999999</v>
      </c>
      <c r="KI44" s="424">
        <f t="shared" si="299"/>
        <v>0.77447733347498371</v>
      </c>
      <c r="KJ44" s="435">
        <f>SUM(KJ30:KJ34)</f>
        <v>584907.43000000005</v>
      </c>
      <c r="KK44" s="449">
        <f t="shared" si="300"/>
        <v>0.79706677429634154</v>
      </c>
      <c r="KL44" s="478">
        <f>SUM(KL30:KL34)</f>
        <v>732447.37999999989</v>
      </c>
      <c r="KM44" s="479">
        <f>SUM(KM30:KM34)</f>
        <v>930780.57669999986</v>
      </c>
      <c r="KN44" s="424">
        <f t="shared" si="301"/>
        <v>1.2707814951839953</v>
      </c>
      <c r="KO44" s="435">
        <f>SUM(KO30:KO34)</f>
        <v>796374.23</v>
      </c>
      <c r="KP44" s="449">
        <f t="shared" si="302"/>
        <v>1.0872784199187115</v>
      </c>
      <c r="KQ44" s="478">
        <f>SUM(KQ30:KQ34)</f>
        <v>326552.40999999997</v>
      </c>
      <c r="KR44" s="479">
        <f>SUM(KR30:KR34)</f>
        <v>296152.51229999994</v>
      </c>
      <c r="KS44" s="424">
        <f t="shared" si="303"/>
        <v>0.90690652780666958</v>
      </c>
      <c r="KT44" s="435">
        <f>SUM(KT30:KT34)</f>
        <v>339646.17</v>
      </c>
      <c r="KU44" s="449">
        <f t="shared" si="304"/>
        <v>1.0400969633021542</v>
      </c>
      <c r="KV44" s="452">
        <f>SUM(KV30:KV34)</f>
        <v>2556877.3233000003</v>
      </c>
      <c r="KW44" s="435">
        <f>SUM(KW30:KW34)</f>
        <v>2808248.51</v>
      </c>
      <c r="KX44" s="435">
        <f>SUM(KX30:KX34)</f>
        <v>2451950.2400000002</v>
      </c>
      <c r="KY44" s="455">
        <f t="shared" si="305"/>
        <v>0.87312438029211326</v>
      </c>
      <c r="KZ44" s="948">
        <f>SUM(KZ30:KZ34)</f>
        <v>14535496.340000002</v>
      </c>
      <c r="LA44" s="948">
        <f>SUM(LA30:LA34)</f>
        <v>11358353.819899999</v>
      </c>
      <c r="LB44" s="452">
        <f>SUM(LB30:LB34)</f>
        <v>14321144.130000001</v>
      </c>
      <c r="LC44" s="452">
        <f>SUM(LC30:LC34)</f>
        <v>11261926.57</v>
      </c>
      <c r="LD44" s="492">
        <f>LC44-LB44</f>
        <v>-3059217.5600000005</v>
      </c>
      <c r="LE44" s="493">
        <f>LC44/LB44</f>
        <v>0.78638455613392388</v>
      </c>
      <c r="LG44" s="566"/>
      <c r="LH44" s="566"/>
    </row>
    <row r="45" spans="1:321" ht="18.75" customHeight="1" outlineLevel="1">
      <c r="A45" s="1495"/>
      <c r="B45" s="436" t="s">
        <v>514</v>
      </c>
      <c r="C45" s="437"/>
      <c r="D45" s="437"/>
      <c r="E45" s="438"/>
      <c r="F45" s="437"/>
      <c r="G45" s="438"/>
      <c r="H45" s="437"/>
      <c r="I45" s="437"/>
      <c r="J45" s="438"/>
      <c r="K45" s="437"/>
      <c r="L45" s="438"/>
      <c r="M45" s="437"/>
      <c r="N45" s="437"/>
      <c r="O45" s="438"/>
      <c r="P45" s="437"/>
      <c r="Q45" s="438"/>
      <c r="R45" s="437"/>
      <c r="S45" s="437"/>
      <c r="T45" s="438"/>
      <c r="U45" s="437"/>
      <c r="V45" s="438"/>
      <c r="W45" s="438"/>
      <c r="X45" s="438"/>
      <c r="Y45" s="437">
        <f>Y43+Y44</f>
        <v>2473284.46</v>
      </c>
      <c r="Z45" s="438"/>
      <c r="AA45" s="437"/>
      <c r="AB45" s="437"/>
      <c r="AC45" s="438"/>
      <c r="AD45" s="437"/>
      <c r="AE45" s="438"/>
      <c r="AF45" s="437"/>
      <c r="AG45" s="437"/>
      <c r="AH45" s="438"/>
      <c r="AI45" s="437"/>
      <c r="AJ45" s="438"/>
      <c r="AK45" s="437"/>
      <c r="AL45" s="437"/>
      <c r="AM45" s="438"/>
      <c r="AN45" s="437"/>
      <c r="AO45" s="438"/>
      <c r="AP45" s="437"/>
      <c r="AQ45" s="437"/>
      <c r="AR45" s="438"/>
      <c r="AS45" s="437"/>
      <c r="AT45" s="438"/>
      <c r="AU45" s="438"/>
      <c r="AV45" s="438"/>
      <c r="AW45" s="437">
        <f>AW43+AW44</f>
        <v>2100451.8499999996</v>
      </c>
      <c r="AX45" s="438"/>
      <c r="AY45" s="437"/>
      <c r="AZ45" s="437"/>
      <c r="BA45" s="438"/>
      <c r="BB45" s="437"/>
      <c r="BC45" s="438"/>
      <c r="BD45" s="437"/>
      <c r="BE45" s="437"/>
      <c r="BF45" s="438"/>
      <c r="BG45" s="437"/>
      <c r="BH45" s="438"/>
      <c r="BI45" s="437"/>
      <c r="BJ45" s="437"/>
      <c r="BK45" s="438"/>
      <c r="BL45" s="437"/>
      <c r="BM45" s="450"/>
      <c r="BN45" s="453">
        <f>BN43+BN44</f>
        <v>987947.09000000008</v>
      </c>
      <c r="BO45" s="437">
        <f>BO43+BO44</f>
        <v>862798.1699000001</v>
      </c>
      <c r="BP45" s="438">
        <f t="shared" si="183"/>
        <v>0.87332426871159674</v>
      </c>
      <c r="BQ45" s="437">
        <f>BQ43+BQ44</f>
        <v>931768.98</v>
      </c>
      <c r="BR45" s="427">
        <f t="shared" si="184"/>
        <v>0.94313651958831102</v>
      </c>
      <c r="BS45" s="453">
        <f>BS43+BS44</f>
        <v>1054754.3599999999</v>
      </c>
      <c r="BT45" s="437">
        <f>BT43+BT44</f>
        <v>928485.69020000007</v>
      </c>
      <c r="BU45" s="438">
        <f t="shared" si="241"/>
        <v>0.88028618360013244</v>
      </c>
      <c r="BV45" s="437">
        <f>BV43+BV44</f>
        <v>965756.26</v>
      </c>
      <c r="BW45" s="427">
        <f t="shared" si="242"/>
        <v>0.91562196528867645</v>
      </c>
      <c r="BX45" s="450"/>
      <c r="BY45" s="437">
        <f>BY43+BY44</f>
        <v>4929150.68</v>
      </c>
      <c r="BZ45" s="437">
        <f>BZ43+BZ44</f>
        <v>4502770.55</v>
      </c>
      <c r="CA45" s="427">
        <f t="shared" si="243"/>
        <v>0.91349825605250112</v>
      </c>
      <c r="CB45" s="453">
        <f>CB43+CB44</f>
        <v>1116813.49</v>
      </c>
      <c r="CC45" s="437">
        <f>CC43+CC44</f>
        <v>1189796.02388</v>
      </c>
      <c r="CD45" s="438">
        <f t="shared" si="244"/>
        <v>1.0653489007193135</v>
      </c>
      <c r="CE45" s="437">
        <f>CE43+CE44</f>
        <v>900637.4</v>
      </c>
      <c r="CF45" s="427">
        <f t="shared" si="245"/>
        <v>0.8064349222715782</v>
      </c>
      <c r="CG45" s="453">
        <f>CG43+CG44</f>
        <v>1191087.6599999999</v>
      </c>
      <c r="CH45" s="437">
        <f>CH43+CH44</f>
        <v>1170708.298</v>
      </c>
      <c r="CI45" s="438">
        <f t="shared" si="246"/>
        <v>0.982890124140821</v>
      </c>
      <c r="CJ45" s="437">
        <f>CJ43+CJ44</f>
        <v>774890.71</v>
      </c>
      <c r="CK45" s="427">
        <f t="shared" si="247"/>
        <v>0.65057403919372314</v>
      </c>
      <c r="CL45" s="453">
        <f>CL43+CL44</f>
        <v>1069619.81</v>
      </c>
      <c r="CM45" s="437">
        <f>CM43+CM44</f>
        <v>911624.73</v>
      </c>
      <c r="CN45" s="438">
        <f t="shared" si="248"/>
        <v>0.8522885622322196</v>
      </c>
      <c r="CO45" s="437">
        <f>CO43+CO44</f>
        <v>623242.10000000009</v>
      </c>
      <c r="CP45" s="427">
        <f t="shared" si="249"/>
        <v>0.58267628756800982</v>
      </c>
      <c r="CQ45" s="453">
        <f>CQ43+CQ44</f>
        <v>1148652.1600000001</v>
      </c>
      <c r="CR45" s="437">
        <f>CR43+CR44</f>
        <v>495926.98198670696</v>
      </c>
      <c r="CS45" s="438">
        <f t="shared" si="250"/>
        <v>0.431746876257741</v>
      </c>
      <c r="CT45" s="437">
        <f>CT43+CT44</f>
        <v>563625.65</v>
      </c>
      <c r="CU45" s="450">
        <f t="shared" si="251"/>
        <v>0.49068436000677518</v>
      </c>
      <c r="CV45" s="453">
        <f>CV43+CV44</f>
        <v>3768056.0338667063</v>
      </c>
      <c r="CW45" s="437">
        <f>CW43+CW44</f>
        <v>4465740.12</v>
      </c>
      <c r="CX45" s="437">
        <f>CX43+CX44</f>
        <v>2862395.8599999994</v>
      </c>
      <c r="CY45" s="489">
        <f t="shared" si="196"/>
        <v>0.64096785372275522</v>
      </c>
      <c r="CZ45" s="480">
        <f>CZ43+CZ44</f>
        <v>1785021.13</v>
      </c>
      <c r="DA45" s="481">
        <f>DA43+DA44</f>
        <v>1016028.6329999999</v>
      </c>
      <c r="DB45" s="438">
        <f t="shared" si="252"/>
        <v>0.56919697807722869</v>
      </c>
      <c r="DC45" s="437">
        <f>DC43+DC44</f>
        <v>1136082.26</v>
      </c>
      <c r="DD45" s="450">
        <f t="shared" si="253"/>
        <v>0.63645311582390074</v>
      </c>
      <c r="DE45" s="480">
        <f>DE43+DE44</f>
        <v>1175956.06</v>
      </c>
      <c r="DF45" s="481">
        <f>DF43+DF44</f>
        <v>824337.99619999994</v>
      </c>
      <c r="DG45" s="438">
        <f t="shared" si="254"/>
        <v>0.70099387574056116</v>
      </c>
      <c r="DH45" s="437">
        <f>DH43+DH44</f>
        <v>1232363.18</v>
      </c>
      <c r="DI45" s="450">
        <f t="shared" si="255"/>
        <v>1.0479670303327489</v>
      </c>
      <c r="DJ45" s="480">
        <f>DJ43+DJ44</f>
        <v>1008454.66</v>
      </c>
      <c r="DK45" s="481">
        <f>DK43+DK44</f>
        <v>829584.73759999999</v>
      </c>
      <c r="DL45" s="438">
        <f t="shared" si="256"/>
        <v>0.82262968332160813</v>
      </c>
      <c r="DM45" s="437">
        <f>DM43+DM44</f>
        <v>916762.10000000009</v>
      </c>
      <c r="DN45" s="450">
        <f t="shared" si="257"/>
        <v>0.90907617006797314</v>
      </c>
      <c r="DO45" s="480">
        <f>DO43+DO44</f>
        <v>1024070.6800000002</v>
      </c>
      <c r="DP45" s="481">
        <f>DP43+DP44</f>
        <v>930840.70720460347</v>
      </c>
      <c r="DQ45" s="438">
        <f t="shared" si="258"/>
        <v>0.90896138848990704</v>
      </c>
      <c r="DR45" s="437">
        <f>DR43+DR44</f>
        <v>891497.6</v>
      </c>
      <c r="DS45" s="450">
        <f t="shared" si="259"/>
        <v>0.87054303712708558</v>
      </c>
      <c r="DT45" s="453">
        <f>DT43+DT44</f>
        <v>3600792.0740046035</v>
      </c>
      <c r="DU45" s="437">
        <f>DU43+DU44</f>
        <v>4993502.53</v>
      </c>
      <c r="DV45" s="437">
        <f>DV43+DV44</f>
        <v>4176705.14</v>
      </c>
      <c r="DW45" s="419">
        <f t="shared" si="260"/>
        <v>0.83642796111690365</v>
      </c>
      <c r="DX45" s="480">
        <f>DX43+DX44</f>
        <v>1088806.7000000002</v>
      </c>
      <c r="DY45" s="481">
        <f>DY43+DY44</f>
        <v>993819.11885611713</v>
      </c>
      <c r="DZ45" s="438">
        <f t="shared" si="261"/>
        <v>0.9127599222673014</v>
      </c>
      <c r="EA45" s="481">
        <f>EA43+EA44</f>
        <v>967257.7</v>
      </c>
      <c r="EB45" s="450">
        <f t="shared" si="262"/>
        <v>0.88836494117826403</v>
      </c>
      <c r="EC45" s="480">
        <f>EC43+EC44</f>
        <v>1295285.79</v>
      </c>
      <c r="ED45" s="481">
        <f>ED43+ED44</f>
        <v>1144737.280242342</v>
      </c>
      <c r="EE45" s="438">
        <f t="shared" si="263"/>
        <v>0.88377197455577894</v>
      </c>
      <c r="EF45" s="481">
        <f>EF43+EF44</f>
        <v>938309.69000000006</v>
      </c>
      <c r="EG45" s="450">
        <f t="shared" si="264"/>
        <v>0.72440360053668162</v>
      </c>
      <c r="EH45" s="480">
        <f>EH43+EH44</f>
        <v>1236849.1500000001</v>
      </c>
      <c r="EI45" s="481">
        <f>EI43+EI44</f>
        <v>1051018.1189999999</v>
      </c>
      <c r="EJ45" s="438">
        <f t="shared" si="265"/>
        <v>0.84975449027070105</v>
      </c>
      <c r="EK45" s="481">
        <f>EK43+EK44</f>
        <v>1007815.76</v>
      </c>
      <c r="EL45" s="450">
        <f t="shared" si="266"/>
        <v>0.81482512236839866</v>
      </c>
      <c r="EM45" s="480">
        <f>EM43+EM44</f>
        <v>1361845.22</v>
      </c>
      <c r="EN45" s="481">
        <f>EN43+EN44</f>
        <v>1116872.2750000001</v>
      </c>
      <c r="EO45" s="438">
        <f t="shared" si="267"/>
        <v>0.82011689625051531</v>
      </c>
      <c r="EP45" s="481">
        <f>EP43+EP44</f>
        <v>941192.07</v>
      </c>
      <c r="EQ45" s="450">
        <f t="shared" si="268"/>
        <v>0.69111530163464541</v>
      </c>
      <c r="ER45" s="480">
        <f>ER43+ER44</f>
        <v>1272336.68</v>
      </c>
      <c r="ES45" s="481">
        <f>ES43+ES44</f>
        <v>852278.40600000008</v>
      </c>
      <c r="ET45" s="438">
        <f t="shared" si="269"/>
        <v>0.66985289302513873</v>
      </c>
      <c r="EU45" s="481">
        <f>EU43+EU44</f>
        <v>1087357.58</v>
      </c>
      <c r="EV45" s="450">
        <f t="shared" si="270"/>
        <v>0.85461466064155289</v>
      </c>
      <c r="EW45" s="453">
        <f>EW43+EW44</f>
        <v>5158725.1990984594</v>
      </c>
      <c r="EX45" s="437">
        <f>EX43+EX44</f>
        <v>6255123.5399999991</v>
      </c>
      <c r="EY45" s="437">
        <f>EY43+EY44</f>
        <v>4941932.8</v>
      </c>
      <c r="EZ45" s="427">
        <f t="shared" si="271"/>
        <v>0.79006158206109556</v>
      </c>
      <c r="FA45" s="480">
        <f>FA43+FA44</f>
        <v>1235190.46</v>
      </c>
      <c r="FB45" s="481">
        <f>FB43+FB44</f>
        <v>971144.04099999985</v>
      </c>
      <c r="FC45" s="438">
        <f>FB45/FA45</f>
        <v>0.78623019886342049</v>
      </c>
      <c r="FD45" s="1402">
        <f>FD43+FD44</f>
        <v>1138187.98</v>
      </c>
      <c r="FE45" s="450">
        <f>FD45/FA45</f>
        <v>0.92146759294109182</v>
      </c>
      <c r="FF45" s="480">
        <f>FF43+FF44</f>
        <v>1264043.21</v>
      </c>
      <c r="FG45" s="481">
        <f>FG43+FG44</f>
        <v>1108197.2984</v>
      </c>
      <c r="FH45" s="438">
        <f>FG45/FF45</f>
        <v>0.87670839859975991</v>
      </c>
      <c r="FI45" s="1402">
        <f>FI43+FI44</f>
        <v>1234282.76</v>
      </c>
      <c r="FJ45" s="450">
        <f>FI45/FF45</f>
        <v>0.97645614503953548</v>
      </c>
      <c r="FK45" s="480">
        <f>FK43+FK44</f>
        <v>1170172.71</v>
      </c>
      <c r="FL45" s="481">
        <f>FL43+FL44</f>
        <v>977397.47560000012</v>
      </c>
      <c r="FM45" s="438">
        <f>FL45/FK45</f>
        <v>0.83525916067552131</v>
      </c>
      <c r="FN45" s="1402">
        <f>FN43+FN44</f>
        <v>1125929.8800000001</v>
      </c>
      <c r="FO45" s="450">
        <f>FN45/FK45</f>
        <v>0.96219119654567931</v>
      </c>
      <c r="FP45" s="480">
        <f>FP43+FP44</f>
        <v>1149780.42</v>
      </c>
      <c r="FQ45" s="481">
        <f>FQ43+FQ44</f>
        <v>1006492.0579000001</v>
      </c>
      <c r="FR45" s="438">
        <f>FQ45/FP45</f>
        <v>0.8753776289737133</v>
      </c>
      <c r="FS45" s="1402">
        <f>FS43+FS44</f>
        <v>1105394.3500000001</v>
      </c>
      <c r="FT45" s="450">
        <f>FS45/FP45</f>
        <v>0.96139604638597009</v>
      </c>
      <c r="FU45" s="453">
        <f>FU43+FU44</f>
        <v>4063230.8728999998</v>
      </c>
      <c r="FV45" s="437">
        <f>FV43+FV44</f>
        <v>4819186.8</v>
      </c>
      <c r="FW45" s="437">
        <f>FW43+FW44</f>
        <v>4603794.9700000007</v>
      </c>
      <c r="FX45" s="456">
        <f t="shared" si="272"/>
        <v>0.9553053577420989</v>
      </c>
      <c r="FY45" s="480">
        <f>FY43+FY44</f>
        <v>1079450.5</v>
      </c>
      <c r="FZ45" s="481">
        <f>FZ43+FZ44</f>
        <v>982708.58500000008</v>
      </c>
      <c r="GA45" s="438">
        <f>FZ45/FY45</f>
        <v>0.91037855371784082</v>
      </c>
      <c r="GB45" s="1402">
        <f>GB43+GB44</f>
        <v>1057260.06</v>
      </c>
      <c r="GC45" s="450">
        <f>GB45/FY45</f>
        <v>0.97944283688784251</v>
      </c>
      <c r="GD45" s="480">
        <f>GD43+GD44</f>
        <v>1226008.21</v>
      </c>
      <c r="GE45" s="481">
        <f>GE43+GE44</f>
        <v>1025873.6172000002</v>
      </c>
      <c r="GF45" s="438">
        <f>GE45/GD45</f>
        <v>0.83675917406784761</v>
      </c>
      <c r="GG45" s="1402">
        <f>GG43+GG44</f>
        <v>1046204.12</v>
      </c>
      <c r="GH45" s="450">
        <f>GG45/GD45</f>
        <v>0.85334185486408776</v>
      </c>
      <c r="GI45" s="480">
        <f>GI43+GI44</f>
        <v>1172191.53</v>
      </c>
      <c r="GJ45" s="481">
        <f>GJ43+GJ44</f>
        <v>950220.77750000008</v>
      </c>
      <c r="GK45" s="438">
        <f>GJ45/GI45</f>
        <v>0.81063610611484294</v>
      </c>
      <c r="GL45" s="1402">
        <f>GL43+GL44</f>
        <v>929526.05</v>
      </c>
      <c r="GM45" s="450">
        <f>GL45/GI45</f>
        <v>0.7929813739568653</v>
      </c>
      <c r="GN45" s="480">
        <f>GN43+GN44</f>
        <v>1131186.7000000002</v>
      </c>
      <c r="GO45" s="481">
        <f>GO43+GO44</f>
        <v>819017.99549999996</v>
      </c>
      <c r="GP45" s="438">
        <f>GO45/GN45</f>
        <v>0.72403432209731589</v>
      </c>
      <c r="GQ45" s="1402">
        <f>GQ43+GQ44</f>
        <v>944451.20000000007</v>
      </c>
      <c r="GR45" s="450">
        <f>GQ45/GN45</f>
        <v>0.8349207076073295</v>
      </c>
      <c r="GS45" s="453">
        <f>GS43+GS44</f>
        <v>3777820.9752000002</v>
      </c>
      <c r="GT45" s="437">
        <f>GT43+GT44</f>
        <v>4608836.9399999995</v>
      </c>
      <c r="GU45" s="437">
        <f>GU43+GU44</f>
        <v>3977441.4299999997</v>
      </c>
      <c r="GV45" s="425">
        <f t="shared" si="273"/>
        <v>0.86300328733261722</v>
      </c>
      <c r="GW45" s="480">
        <f>GW43+GW44</f>
        <v>1153397</v>
      </c>
      <c r="GX45" s="481">
        <f>GX43+GX44</f>
        <v>901209.95</v>
      </c>
      <c r="GY45" s="438">
        <f>GX45/GW45</f>
        <v>0.78135277792468683</v>
      </c>
      <c r="GZ45" s="1402">
        <f>GZ43+GZ44</f>
        <v>931034.28000000014</v>
      </c>
      <c r="HA45" s="450">
        <f>GZ45/GW45</f>
        <v>0.80721059617807234</v>
      </c>
      <c r="HB45" s="480">
        <f>HB43+HB44</f>
        <v>1090180.6299999999</v>
      </c>
      <c r="HC45" s="481">
        <f>HC43+HC44</f>
        <v>895792.8162</v>
      </c>
      <c r="HD45" s="438">
        <f>HC45/HB45</f>
        <v>0.8216921045460146</v>
      </c>
      <c r="HE45" s="1402">
        <f>HE43+HE44</f>
        <v>907153.19</v>
      </c>
      <c r="HF45" s="450">
        <f>HE45/HB45</f>
        <v>0.83211273896877069</v>
      </c>
      <c r="HG45" s="480">
        <f>HG43+HG44</f>
        <v>1102659.54</v>
      </c>
      <c r="HH45" s="481">
        <f>HH43+HH44</f>
        <v>896012.70199999993</v>
      </c>
      <c r="HI45" s="438">
        <f>HH45/HG45</f>
        <v>0.81259234559381754</v>
      </c>
      <c r="HJ45" s="1402">
        <f>HJ43+HJ44</f>
        <v>1041380.4999999999</v>
      </c>
      <c r="HK45" s="450">
        <f>HJ45/HG45</f>
        <v>0.94442614626088472</v>
      </c>
      <c r="HL45" s="480">
        <f>HL43+HL44</f>
        <v>1081616.24</v>
      </c>
      <c r="HM45" s="481">
        <f>HM43+HM44</f>
        <v>889766.6335</v>
      </c>
      <c r="HN45" s="438">
        <f>HM45/HL45</f>
        <v>0.82262691756551287</v>
      </c>
      <c r="HO45" s="1402">
        <f>HO43+HO44</f>
        <v>892675.52</v>
      </c>
      <c r="HP45" s="450">
        <f>HO45/HL45</f>
        <v>0.82531630627143693</v>
      </c>
      <c r="HQ45" s="480">
        <f>HQ43+HQ44</f>
        <v>1122667.9300000002</v>
      </c>
      <c r="HR45" s="481">
        <f>HR43+HR44</f>
        <v>923495.15610000002</v>
      </c>
      <c r="HS45" s="438">
        <f t="shared" si="274"/>
        <v>0.82258977158098734</v>
      </c>
      <c r="HT45" s="437">
        <f>HT43+HT44</f>
        <v>991490.7</v>
      </c>
      <c r="HU45" s="450">
        <f t="shared" si="275"/>
        <v>0.88315580547490991</v>
      </c>
      <c r="HV45" s="453">
        <f>HV43+HV44</f>
        <v>4506277.2577999998</v>
      </c>
      <c r="HW45" s="437">
        <f>HW43+HW44</f>
        <v>5550521.3399999999</v>
      </c>
      <c r="HX45" s="437">
        <f>HX43+HX44</f>
        <v>4763734.1900000004</v>
      </c>
      <c r="HY45" s="456">
        <f t="shared" si="276"/>
        <v>0.85824986486764876</v>
      </c>
      <c r="HZ45" s="480">
        <f>HZ43+HZ44</f>
        <v>1022375.53</v>
      </c>
      <c r="IA45" s="481">
        <f>IA43+IA44</f>
        <v>903964.69479999994</v>
      </c>
      <c r="IB45" s="438">
        <f t="shared" si="277"/>
        <v>0.88418068339331235</v>
      </c>
      <c r="IC45" s="437">
        <f>IC43+IC44</f>
        <v>963370.35999999987</v>
      </c>
      <c r="ID45" s="450">
        <f t="shared" si="278"/>
        <v>0.94228620671310459</v>
      </c>
      <c r="IE45" s="480">
        <f>IE43+IE44</f>
        <v>1082305.72</v>
      </c>
      <c r="IF45" s="481">
        <f>IF43+IF44</f>
        <v>973648.11770000006</v>
      </c>
      <c r="IG45" s="438">
        <f t="shared" si="279"/>
        <v>0.8996054439220742</v>
      </c>
      <c r="IH45" s="437">
        <f>IH43+IH44</f>
        <v>1051213.3399999999</v>
      </c>
      <c r="II45" s="450">
        <f t="shared" si="280"/>
        <v>0.97127209121651858</v>
      </c>
      <c r="IJ45" s="480">
        <f>IJ43+IJ44</f>
        <v>1042849.6799999999</v>
      </c>
      <c r="IK45" s="481">
        <f>IK43+IK44</f>
        <v>979514.64280000003</v>
      </c>
      <c r="IL45" s="438">
        <f t="shared" si="281"/>
        <v>0.93926733793503214</v>
      </c>
      <c r="IM45" s="437">
        <f>IM43+IM44</f>
        <v>975110.68</v>
      </c>
      <c r="IN45" s="450">
        <f t="shared" si="282"/>
        <v>0.93504432968709361</v>
      </c>
      <c r="IO45" s="480">
        <f>IO43+IO44</f>
        <v>1100132.42</v>
      </c>
      <c r="IP45" s="481">
        <f>IP43+IP44</f>
        <v>1060194.716</v>
      </c>
      <c r="IQ45" s="438">
        <f t="shared" si="283"/>
        <v>0.96369736654065707</v>
      </c>
      <c r="IR45" s="437">
        <f>IR43+IR44</f>
        <v>1222789.3900000001</v>
      </c>
      <c r="IS45" s="450">
        <f t="shared" si="284"/>
        <v>1.1114929146438572</v>
      </c>
      <c r="IT45" s="480">
        <f>IT43+IT44</f>
        <v>3917322.1713</v>
      </c>
      <c r="IU45" s="480">
        <f>IU43+IU44</f>
        <v>4247663.3499999996</v>
      </c>
      <c r="IV45" s="480">
        <f>IV43+IV44</f>
        <v>4212483.7700000005</v>
      </c>
      <c r="IW45" s="425">
        <f t="shared" si="285"/>
        <v>0.99171789826517232</v>
      </c>
      <c r="IX45" s="480">
        <f>IX43+IX44</f>
        <v>910712.36</v>
      </c>
      <c r="IY45" s="481">
        <f>IY43+IY44</f>
        <v>884272.24580000003</v>
      </c>
      <c r="IZ45" s="438">
        <f t="shared" si="286"/>
        <v>0.97096765635200122</v>
      </c>
      <c r="JA45" s="437">
        <f>JA43+JA44</f>
        <v>973629.71</v>
      </c>
      <c r="JB45" s="450">
        <f t="shared" si="287"/>
        <v>1.0690858637297949</v>
      </c>
      <c r="JC45" s="480">
        <f>JC43+JC44</f>
        <v>1266549.68</v>
      </c>
      <c r="JD45" s="481">
        <f>JD43+JD44</f>
        <v>1263691.561</v>
      </c>
      <c r="JE45" s="438">
        <f t="shared" si="288"/>
        <v>0.99774338184665612</v>
      </c>
      <c r="JF45" s="437">
        <f>JF43+JF44</f>
        <v>1171860.97</v>
      </c>
      <c r="JG45" s="450">
        <f t="shared" si="289"/>
        <v>0.92523885048078025</v>
      </c>
      <c r="JH45" s="480">
        <f>JH43+JH44</f>
        <v>1419976.69</v>
      </c>
      <c r="JI45" s="481">
        <f>JI43+JI44</f>
        <v>1413752.2227</v>
      </c>
      <c r="JJ45" s="438">
        <f t="shared" si="290"/>
        <v>0.9956165003666364</v>
      </c>
      <c r="JK45" s="437">
        <f>JK43+JK44</f>
        <v>1248688.5899999999</v>
      </c>
      <c r="JL45" s="450">
        <f t="shared" si="291"/>
        <v>0.87937259730650918</v>
      </c>
      <c r="JM45" s="480">
        <f>JM43+JM44</f>
        <v>1334930.58</v>
      </c>
      <c r="JN45" s="481">
        <f>JN43+JN44</f>
        <v>1330573.3483000002</v>
      </c>
      <c r="JO45" s="438">
        <f t="shared" si="292"/>
        <v>0.99673598630125027</v>
      </c>
      <c r="JP45" s="437">
        <f>JP43+JP44</f>
        <v>1034392.09</v>
      </c>
      <c r="JQ45" s="450">
        <f t="shared" si="293"/>
        <v>0.77486582860361164</v>
      </c>
      <c r="JR45" s="801"/>
      <c r="JS45" s="1588">
        <f>JS43+JS44</f>
        <v>4892289.3777999999</v>
      </c>
      <c r="JT45" s="1589">
        <f>JT43+JT44</f>
        <v>4932169.3100000005</v>
      </c>
      <c r="JU45" s="1589">
        <f>JU43+JU44</f>
        <v>4428571.3600000003</v>
      </c>
      <c r="JV45" s="456">
        <f t="shared" si="294"/>
        <v>0.89789524277300203</v>
      </c>
      <c r="JW45" s="480">
        <f>JW43+JW44</f>
        <v>1821608.3</v>
      </c>
      <c r="JX45" s="481">
        <f>JX43+JX44</f>
        <v>1585304.9267</v>
      </c>
      <c r="JY45" s="438">
        <f t="shared" si="295"/>
        <v>0.87027761495157874</v>
      </c>
      <c r="JZ45" s="437">
        <f>JZ43+JZ44</f>
        <v>1456761.58</v>
      </c>
      <c r="KA45" s="450">
        <f t="shared" si="296"/>
        <v>0.79971176020662627</v>
      </c>
      <c r="KB45" s="480">
        <f>KB43+KB44</f>
        <v>2318906.2400000002</v>
      </c>
      <c r="KC45" s="481">
        <f>KC43+KC44</f>
        <v>2055813.0858999998</v>
      </c>
      <c r="KD45" s="438">
        <f t="shared" si="297"/>
        <v>0.88654428990626188</v>
      </c>
      <c r="KE45" s="437">
        <f>KE43+KE44</f>
        <v>1713998.9400000002</v>
      </c>
      <c r="KF45" s="450">
        <f t="shared" si="298"/>
        <v>0.73914111335523425</v>
      </c>
      <c r="KG45" s="480">
        <f>KG43+KG44</f>
        <v>2893221.7800000003</v>
      </c>
      <c r="KH45" s="481">
        <f>KH43+KH44</f>
        <v>2611191.3687</v>
      </c>
      <c r="KI45" s="438">
        <f t="shared" si="299"/>
        <v>0.90252029303470804</v>
      </c>
      <c r="KJ45" s="437">
        <f>KJ43+KJ44</f>
        <v>2473543.7600000002</v>
      </c>
      <c r="KK45" s="450">
        <f t="shared" si="300"/>
        <v>0.85494440042546616</v>
      </c>
      <c r="KL45" s="480">
        <f>KL43+KL44</f>
        <v>2798832.1999999997</v>
      </c>
      <c r="KM45" s="481">
        <f>KM43+KM44</f>
        <v>4217128.5707</v>
      </c>
      <c r="KN45" s="438">
        <f t="shared" si="301"/>
        <v>1.5067457672882285</v>
      </c>
      <c r="KO45" s="437">
        <f>KO43+KO44</f>
        <v>3284320.62</v>
      </c>
      <c r="KP45" s="450">
        <f t="shared" si="302"/>
        <v>1.1734610670836216</v>
      </c>
      <c r="KQ45" s="480">
        <f>KQ43+KQ44</f>
        <v>1270138.0599999998</v>
      </c>
      <c r="KR45" s="481">
        <f>KR43+KR44</f>
        <v>1307835.0943</v>
      </c>
      <c r="KS45" s="438">
        <f t="shared" si="303"/>
        <v>1.02967947775693</v>
      </c>
      <c r="KT45" s="437">
        <f>KT43+KT44</f>
        <v>1464284.23</v>
      </c>
      <c r="KU45" s="450">
        <f t="shared" si="304"/>
        <v>1.1528543834045886</v>
      </c>
      <c r="KV45" s="453">
        <f>KV43+KV44</f>
        <v>11777273.0463</v>
      </c>
      <c r="KW45" s="437">
        <f>KW43+KW44</f>
        <v>11102706.579999998</v>
      </c>
      <c r="KX45" s="437">
        <f>KX43+KX44</f>
        <v>10392909.130000001</v>
      </c>
      <c r="KY45" s="456">
        <f t="shared" si="305"/>
        <v>0.93606987225271721</v>
      </c>
      <c r="KZ45" s="949">
        <f>KZ43+KZ44</f>
        <v>62955718.140000001</v>
      </c>
      <c r="LA45" s="949">
        <f>LA43+LA44</f>
        <v>54731938.913199998</v>
      </c>
      <c r="LB45" s="453">
        <f>LB43+LB44</f>
        <v>62741365.93</v>
      </c>
      <c r="LC45" s="453">
        <f>LC43+LC44</f>
        <v>53436475.509999998</v>
      </c>
      <c r="LD45" s="492">
        <f>LC45-LB45</f>
        <v>-9304890.4200000018</v>
      </c>
      <c r="LE45" s="493">
        <f>LC45/LB45</f>
        <v>0.85169448764661282</v>
      </c>
      <c r="LF45" s="1628">
        <f>LC45/LC35</f>
        <v>0.3795524043133226</v>
      </c>
      <c r="LG45" s="566"/>
      <c r="LH45" s="1628">
        <f>LC45/KZ45</f>
        <v>0.848794630396698</v>
      </c>
    </row>
    <row r="46" spans="1:321" ht="12" customHeight="1" outlineLevel="1">
      <c r="A46" s="1495"/>
      <c r="B46" s="445"/>
      <c r="C46" s="408"/>
      <c r="D46" s="408"/>
      <c r="E46" s="363"/>
      <c r="F46" s="408"/>
      <c r="G46" s="363"/>
      <c r="H46" s="408"/>
      <c r="I46" s="408"/>
      <c r="J46" s="363"/>
      <c r="K46" s="408"/>
      <c r="L46" s="363"/>
      <c r="M46" s="408"/>
      <c r="N46" s="408"/>
      <c r="O46" s="363"/>
      <c r="P46" s="408"/>
      <c r="Q46" s="363"/>
      <c r="R46" s="408"/>
      <c r="S46" s="408"/>
      <c r="T46" s="363"/>
      <c r="U46" s="408"/>
      <c r="V46" s="363"/>
      <c r="W46" s="363"/>
      <c r="X46" s="363"/>
      <c r="Y46" s="363"/>
      <c r="Z46" s="363"/>
      <c r="AA46" s="408"/>
      <c r="AB46" s="408"/>
      <c r="AC46" s="363"/>
      <c r="AD46" s="408"/>
      <c r="AE46" s="363"/>
      <c r="AF46" s="408"/>
      <c r="AG46" s="408"/>
      <c r="AH46" s="363"/>
      <c r="AI46" s="408"/>
      <c r="AJ46" s="363"/>
      <c r="AK46" s="408"/>
      <c r="AL46" s="408"/>
      <c r="AM46" s="363"/>
      <c r="AN46" s="408"/>
      <c r="AO46" s="363"/>
      <c r="AP46" s="408"/>
      <c r="AQ46" s="408"/>
      <c r="AR46" s="363"/>
      <c r="AS46" s="408"/>
      <c r="AT46" s="363"/>
      <c r="AU46" s="363"/>
      <c r="AV46" s="363"/>
      <c r="AW46" s="363"/>
      <c r="AX46" s="363"/>
      <c r="AY46" s="408"/>
      <c r="AZ46" s="408"/>
      <c r="BA46" s="363"/>
      <c r="BB46" s="408"/>
      <c r="BC46" s="363"/>
      <c r="BD46" s="408"/>
      <c r="BE46" s="408"/>
      <c r="BF46" s="363"/>
      <c r="BG46" s="408"/>
      <c r="BH46" s="363"/>
      <c r="BI46" s="408"/>
      <c r="BJ46" s="408"/>
      <c r="BK46" s="363"/>
      <c r="BL46" s="408"/>
      <c r="BM46" s="363"/>
      <c r="BN46" s="408"/>
      <c r="BO46" s="408"/>
      <c r="BP46" s="446"/>
      <c r="BQ46" s="408"/>
      <c r="BR46" s="447"/>
      <c r="BS46" s="408"/>
      <c r="BT46" s="408"/>
      <c r="BU46" s="446"/>
      <c r="BV46" s="408"/>
      <c r="BW46" s="447"/>
      <c r="BX46" s="447"/>
      <c r="BY46" s="408"/>
      <c r="BZ46" s="408"/>
      <c r="CA46" s="491"/>
      <c r="CB46" s="408"/>
      <c r="CC46" s="408"/>
      <c r="CD46" s="446"/>
      <c r="CE46" s="408"/>
      <c r="CF46" s="447"/>
      <c r="CG46" s="408"/>
      <c r="CH46" s="408"/>
      <c r="CI46" s="446"/>
      <c r="CJ46" s="408"/>
      <c r="CK46" s="447"/>
      <c r="CL46" s="408"/>
      <c r="CM46" s="408"/>
      <c r="CN46" s="446"/>
      <c r="CO46" s="408"/>
      <c r="CP46" s="447"/>
      <c r="CQ46" s="408"/>
      <c r="CR46" s="408"/>
      <c r="CS46" s="446"/>
      <c r="CT46" s="408"/>
      <c r="CU46" s="447"/>
      <c r="CV46" s="408"/>
      <c r="CW46" s="408"/>
      <c r="CX46" s="408"/>
      <c r="CY46" s="457"/>
      <c r="CZ46" s="483"/>
      <c r="DA46" s="483"/>
      <c r="DB46" s="446"/>
      <c r="DC46" s="408"/>
      <c r="DD46" s="447"/>
      <c r="DE46" s="483"/>
      <c r="DF46" s="483"/>
      <c r="DG46" s="446"/>
      <c r="DH46" s="408"/>
      <c r="DI46" s="447"/>
      <c r="DJ46" s="483"/>
      <c r="DK46" s="483"/>
      <c r="DL46" s="446"/>
      <c r="DM46" s="408"/>
      <c r="DN46" s="447"/>
      <c r="DO46" s="483"/>
      <c r="DP46" s="483"/>
      <c r="DQ46" s="446"/>
      <c r="DR46" s="408"/>
      <c r="DS46" s="447"/>
      <c r="DT46" s="408"/>
      <c r="DU46" s="408"/>
      <c r="DV46" s="408"/>
      <c r="DW46" s="419"/>
      <c r="DX46" s="483"/>
      <c r="DY46" s="483"/>
      <c r="DZ46" s="446"/>
      <c r="EA46" s="408"/>
      <c r="EB46" s="447"/>
      <c r="EC46" s="483"/>
      <c r="ED46" s="483"/>
      <c r="EE46" s="446"/>
      <c r="EF46" s="483"/>
      <c r="EG46" s="447"/>
      <c r="EH46" s="483"/>
      <c r="EI46" s="483"/>
      <c r="EJ46" s="446"/>
      <c r="EK46" s="483"/>
      <c r="EL46" s="447"/>
      <c r="EM46" s="483"/>
      <c r="EN46" s="483"/>
      <c r="EO46" s="446"/>
      <c r="EP46" s="483"/>
      <c r="EQ46" s="447"/>
      <c r="ER46" s="483"/>
      <c r="ES46" s="483"/>
      <c r="ET46" s="446"/>
      <c r="EU46" s="483"/>
      <c r="EV46" s="447"/>
      <c r="EW46" s="408"/>
      <c r="EX46" s="408"/>
      <c r="EY46" s="408"/>
      <c r="EZ46" s="491"/>
      <c r="FA46" s="483"/>
      <c r="FB46" s="483"/>
      <c r="FC46" s="446"/>
      <c r="FD46" s="1403"/>
      <c r="FE46" s="447"/>
      <c r="FF46" s="483"/>
      <c r="FG46" s="483"/>
      <c r="FH46" s="446"/>
      <c r="FI46" s="1403"/>
      <c r="FJ46" s="447"/>
      <c r="FK46" s="483"/>
      <c r="FL46" s="483"/>
      <c r="FM46" s="446"/>
      <c r="FN46" s="1403"/>
      <c r="FO46" s="447"/>
      <c r="FP46" s="483"/>
      <c r="FQ46" s="483"/>
      <c r="FR46" s="446"/>
      <c r="FS46" s="1403"/>
      <c r="FT46" s="447"/>
      <c r="FU46" s="408"/>
      <c r="FV46" s="408"/>
      <c r="FW46" s="408"/>
      <c r="FX46" s="457"/>
      <c r="FY46" s="483"/>
      <c r="FZ46" s="483"/>
      <c r="GA46" s="446"/>
      <c r="GB46" s="1403"/>
      <c r="GC46" s="447"/>
      <c r="GD46" s="483"/>
      <c r="GE46" s="483"/>
      <c r="GF46" s="446"/>
      <c r="GG46" s="1403"/>
      <c r="GH46" s="447"/>
      <c r="GI46" s="483"/>
      <c r="GJ46" s="483"/>
      <c r="GK46" s="446"/>
      <c r="GL46" s="1403"/>
      <c r="GM46" s="447"/>
      <c r="GN46" s="483"/>
      <c r="GO46" s="483"/>
      <c r="GP46" s="446"/>
      <c r="GQ46" s="1403"/>
      <c r="GR46" s="447"/>
      <c r="GS46" s="408"/>
      <c r="GT46" s="408"/>
      <c r="GU46" s="408"/>
      <c r="GV46" s="457"/>
      <c r="GW46" s="483"/>
      <c r="GX46" s="483"/>
      <c r="GY46" s="446"/>
      <c r="GZ46" s="1403"/>
      <c r="HA46" s="447"/>
      <c r="HB46" s="483"/>
      <c r="HC46" s="483"/>
      <c r="HD46" s="446"/>
      <c r="HE46" s="1403"/>
      <c r="HF46" s="447"/>
      <c r="HG46" s="483"/>
      <c r="HH46" s="483"/>
      <c r="HI46" s="446"/>
      <c r="HJ46" s="1403"/>
      <c r="HK46" s="447"/>
      <c r="HL46" s="483"/>
      <c r="HM46" s="483"/>
      <c r="HN46" s="446"/>
      <c r="HO46" s="1403"/>
      <c r="HP46" s="447"/>
      <c r="HQ46" s="483"/>
      <c r="HR46" s="483"/>
      <c r="HS46" s="446"/>
      <c r="HT46" s="408"/>
      <c r="HU46" s="447"/>
      <c r="HV46" s="408"/>
      <c r="HW46" s="408"/>
      <c r="HX46" s="408"/>
      <c r="HY46" s="457"/>
      <c r="HZ46" s="483"/>
      <c r="IA46" s="483"/>
      <c r="IB46" s="446"/>
      <c r="IC46" s="408"/>
      <c r="ID46" s="447"/>
      <c r="IE46" s="483"/>
      <c r="IF46" s="483"/>
      <c r="IG46" s="446"/>
      <c r="IH46" s="408"/>
      <c r="II46" s="447"/>
      <c r="IJ46" s="483"/>
      <c r="IK46" s="483"/>
      <c r="IL46" s="446"/>
      <c r="IM46" s="408"/>
      <c r="IN46" s="447"/>
      <c r="IO46" s="483"/>
      <c r="IP46" s="483"/>
      <c r="IQ46" s="446"/>
      <c r="IR46" s="408"/>
      <c r="IS46" s="447"/>
      <c r="IT46" s="408"/>
      <c r="IU46" s="408"/>
      <c r="IV46" s="408"/>
      <c r="IW46" s="457"/>
      <c r="IX46" s="483"/>
      <c r="IY46" s="483"/>
      <c r="IZ46" s="446"/>
      <c r="JA46" s="408"/>
      <c r="JB46" s="447"/>
      <c r="JC46" s="483"/>
      <c r="JD46" s="483"/>
      <c r="JE46" s="446"/>
      <c r="JF46" s="408"/>
      <c r="JG46" s="447"/>
      <c r="JH46" s="483"/>
      <c r="JI46" s="483"/>
      <c r="JJ46" s="446"/>
      <c r="JK46" s="408"/>
      <c r="JL46" s="447"/>
      <c r="JM46" s="483"/>
      <c r="JN46" s="483"/>
      <c r="JO46" s="446"/>
      <c r="JP46" s="408"/>
      <c r="JQ46" s="447"/>
      <c r="JR46" s="447"/>
      <c r="JS46" s="371"/>
      <c r="JT46" s="371"/>
      <c r="JU46" s="371"/>
      <c r="JV46" s="457"/>
      <c r="JW46" s="483"/>
      <c r="JX46" s="483"/>
      <c r="JY46" s="446"/>
      <c r="JZ46" s="408"/>
      <c r="KA46" s="447"/>
      <c r="KB46" s="483"/>
      <c r="KC46" s="483"/>
      <c r="KD46" s="446"/>
      <c r="KE46" s="408"/>
      <c r="KF46" s="447"/>
      <c r="KG46" s="483"/>
      <c r="KH46" s="483"/>
      <c r="KI46" s="446"/>
      <c r="KJ46" s="408"/>
      <c r="KK46" s="447"/>
      <c r="KL46" s="483"/>
      <c r="KM46" s="483"/>
      <c r="KN46" s="446"/>
      <c r="KO46" s="408"/>
      <c r="KP46" s="447"/>
      <c r="KQ46" s="483"/>
      <c r="KR46" s="483"/>
      <c r="KS46" s="446"/>
      <c r="KT46" s="408"/>
      <c r="KU46" s="447"/>
      <c r="KV46" s="408"/>
      <c r="KW46" s="408"/>
      <c r="KX46" s="408"/>
      <c r="KY46" s="457"/>
      <c r="KZ46" s="950"/>
      <c r="LA46" s="950"/>
      <c r="LB46" s="408"/>
      <c r="LC46" s="408"/>
      <c r="LD46" s="409"/>
      <c r="LE46" s="420"/>
    </row>
    <row r="47" spans="1:321" s="629" customFormat="1" ht="24.75" customHeight="1" outlineLevel="1">
      <c r="A47" s="613"/>
      <c r="B47" s="614" t="s">
        <v>237</v>
      </c>
      <c r="C47" s="620">
        <v>1987342.23</v>
      </c>
      <c r="D47" s="620">
        <v>2436011.59</v>
      </c>
      <c r="E47" s="616">
        <v>1.23</v>
      </c>
      <c r="F47" s="620">
        <v>2492958.63</v>
      </c>
      <c r="G47" s="616">
        <v>1.25</v>
      </c>
      <c r="H47" s="620">
        <v>2095621.06</v>
      </c>
      <c r="I47" s="620">
        <v>2596035.11</v>
      </c>
      <c r="J47" s="616">
        <v>1.24</v>
      </c>
      <c r="K47" s="617" t="s">
        <v>515</v>
      </c>
      <c r="L47" s="616">
        <v>1.1599999999999999</v>
      </c>
      <c r="M47" s="617" t="s">
        <v>516</v>
      </c>
      <c r="N47" s="617" t="s">
        <v>517</v>
      </c>
      <c r="O47" s="616">
        <v>1.18</v>
      </c>
      <c r="P47" s="617" t="s">
        <v>515</v>
      </c>
      <c r="Q47" s="616">
        <v>1.08</v>
      </c>
      <c r="R47" s="617" t="s">
        <v>516</v>
      </c>
      <c r="S47" s="617" t="s">
        <v>517</v>
      </c>
      <c r="T47" s="616">
        <v>1.17</v>
      </c>
      <c r="U47" s="617" t="s">
        <v>515</v>
      </c>
      <c r="V47" s="616">
        <v>1.07</v>
      </c>
      <c r="W47" s="616"/>
      <c r="X47" s="616"/>
      <c r="Y47" s="616"/>
      <c r="Z47" s="616"/>
      <c r="AA47" s="1625"/>
      <c r="AB47" s="1624"/>
      <c r="AC47" s="616"/>
      <c r="AD47" s="1626"/>
      <c r="AE47" s="616"/>
      <c r="AF47" s="1624"/>
      <c r="AG47" s="617"/>
      <c r="AH47" s="616"/>
      <c r="AI47" s="617"/>
      <c r="AJ47" s="616"/>
      <c r="AK47" s="617"/>
      <c r="AL47" s="617"/>
      <c r="AM47" s="616"/>
      <c r="AN47" s="617"/>
      <c r="AO47" s="616"/>
      <c r="AP47" s="617"/>
      <c r="AQ47" s="617"/>
      <c r="AR47" s="616"/>
      <c r="AS47" s="617"/>
      <c r="AT47" s="616"/>
      <c r="AU47" s="616"/>
      <c r="AV47" s="616"/>
      <c r="AW47" s="616"/>
      <c r="AX47" s="616"/>
      <c r="AY47" s="617" t="s">
        <v>517</v>
      </c>
      <c r="AZ47" s="617" t="s">
        <v>517</v>
      </c>
      <c r="BA47" s="616">
        <v>1.1399999999999999</v>
      </c>
      <c r="BB47" s="615">
        <v>2425678.88</v>
      </c>
      <c r="BC47" s="616">
        <v>1.06</v>
      </c>
      <c r="BD47" s="617" t="s">
        <v>517</v>
      </c>
      <c r="BE47" s="617" t="s">
        <v>517</v>
      </c>
      <c r="BF47" s="616">
        <v>1.1100000000000001</v>
      </c>
      <c r="BG47" s="617" t="s">
        <v>515</v>
      </c>
      <c r="BH47" s="616">
        <v>1.07</v>
      </c>
      <c r="BI47" s="617" t="s">
        <v>517</v>
      </c>
      <c r="BJ47" s="617" t="s">
        <v>517</v>
      </c>
      <c r="BK47" s="616">
        <v>0.41</v>
      </c>
      <c r="BL47" s="615">
        <v>1839212.41</v>
      </c>
      <c r="BM47" s="618">
        <v>0.67</v>
      </c>
      <c r="BN47" s="619">
        <f>BN41+BN45</f>
        <v>2624058.62</v>
      </c>
      <c r="BO47" s="620">
        <f>BO41+BO45</f>
        <v>2018015.8142000001</v>
      </c>
      <c r="BP47" s="621">
        <f t="shared" si="183"/>
        <v>0.76904372441191882</v>
      </c>
      <c r="BQ47" s="620">
        <f>BQ41+BQ45</f>
        <v>2125415.46</v>
      </c>
      <c r="BR47" s="622">
        <f t="shared" si="184"/>
        <v>0.80997255312840533</v>
      </c>
      <c r="BS47" s="619">
        <f>BS41+BS45</f>
        <v>2753024.57</v>
      </c>
      <c r="BT47" s="620">
        <f>BT41+BT45</f>
        <v>2139238.5697999997</v>
      </c>
      <c r="BU47" s="621">
        <f t="shared" ref="BU47" si="306">BT47/BS47</f>
        <v>0.77705030064442904</v>
      </c>
      <c r="BV47" s="620">
        <f>BV41+BV45</f>
        <v>2275900.48</v>
      </c>
      <c r="BW47" s="622">
        <f t="shared" ref="BW47" si="307">BV47/BS47</f>
        <v>0.82669094377170782</v>
      </c>
      <c r="BX47" s="623"/>
      <c r="BY47" s="620">
        <f>BY41+BY45</f>
        <v>12893037.140000001</v>
      </c>
      <c r="BZ47" s="620">
        <f>BZ41+BZ45</f>
        <v>10492290.35</v>
      </c>
      <c r="CA47" s="624">
        <f t="shared" ref="CA47" si="308">BZ47/BY47</f>
        <v>0.81379509234858216</v>
      </c>
      <c r="CB47" s="619">
        <f>CB41+CB45</f>
        <v>2878389.36</v>
      </c>
      <c r="CC47" s="620">
        <f>CC41+CC45</f>
        <v>2726517.1313800002</v>
      </c>
      <c r="CD47" s="621">
        <f t="shared" ref="CD47" si="309">CC47/CB47</f>
        <v>0.94723707962150061</v>
      </c>
      <c r="CE47" s="620">
        <f>CE41+CE45</f>
        <v>2117418.2399999998</v>
      </c>
      <c r="CF47" s="624">
        <f t="shared" ref="CF47" si="310">CE47/CB47</f>
        <v>0.73562606554382204</v>
      </c>
      <c r="CG47" s="619">
        <f>CG41+CG45</f>
        <v>3050852.38</v>
      </c>
      <c r="CH47" s="620">
        <f>CH41+CH45</f>
        <v>2660052.2439999999</v>
      </c>
      <c r="CI47" s="621">
        <f t="shared" ref="CI47" si="311">CH47/CG47</f>
        <v>0.87190460654146762</v>
      </c>
      <c r="CJ47" s="620">
        <f>CJ41+CJ45</f>
        <v>2067963.18</v>
      </c>
      <c r="CK47" s="622">
        <f t="shared" ref="CK47" si="312">CJ47/CG47</f>
        <v>0.67783128202355036</v>
      </c>
      <c r="CL47" s="619">
        <f>CL41+CL45</f>
        <v>2918155.59</v>
      </c>
      <c r="CM47" s="620">
        <f>CM41+CM45</f>
        <v>2293510.1519999998</v>
      </c>
      <c r="CN47" s="621">
        <f t="shared" ref="CN47" si="313">CM47/CL47</f>
        <v>0.78594512227499147</v>
      </c>
      <c r="CO47" s="620">
        <f>CO41+CO45</f>
        <v>1608327.08</v>
      </c>
      <c r="CP47" s="622">
        <f t="shared" ref="CP47" si="314">CO47/CL47</f>
        <v>0.5511450744817894</v>
      </c>
      <c r="CQ47" s="619">
        <f>CQ41+CQ45</f>
        <v>3483308.5700000003</v>
      </c>
      <c r="CR47" s="620">
        <f>CR41+CR45</f>
        <v>1413504.6676438609</v>
      </c>
      <c r="CS47" s="621">
        <f t="shared" ref="CS47" si="315">CR47/CQ47</f>
        <v>0.40579369850195635</v>
      </c>
      <c r="CT47" s="620">
        <f>CT41+CT45</f>
        <v>2251881.6100000003</v>
      </c>
      <c r="CU47" s="623">
        <f t="shared" ref="CU47" si="316">CT47/CQ47</f>
        <v>0.64647778534303091</v>
      </c>
      <c r="CV47" s="619">
        <f>CV41+CV45</f>
        <v>9093584.1950238608</v>
      </c>
      <c r="CW47" s="620">
        <f>CW41+CW45</f>
        <v>12270272.9</v>
      </c>
      <c r="CX47" s="620">
        <f>CX41+CX45</f>
        <v>8127537.1499999994</v>
      </c>
      <c r="CY47" s="624">
        <f t="shared" si="196"/>
        <v>0.66237623370218601</v>
      </c>
      <c r="CZ47" s="619">
        <f>CZ41+CZ45</f>
        <v>4305372.9800000004</v>
      </c>
      <c r="DA47" s="620">
        <f>DA41+DA45</f>
        <v>2387900.4909999999</v>
      </c>
      <c r="DB47" s="621">
        <f t="shared" ref="DB47" si="317">DA47/CZ47</f>
        <v>0.55463266529814093</v>
      </c>
      <c r="DC47" s="620">
        <f>DC41+DC45</f>
        <v>2776828.62</v>
      </c>
      <c r="DD47" s="623">
        <f t="shared" ref="DD47" si="318">DC47/CZ47</f>
        <v>0.6449681904214486</v>
      </c>
      <c r="DE47" s="619">
        <f>DE41+DE45</f>
        <v>3068836.1100000003</v>
      </c>
      <c r="DF47" s="620">
        <f>DF41+DF45</f>
        <v>2028656.3421999998</v>
      </c>
      <c r="DG47" s="621">
        <f t="shared" ref="DG47" si="319">DF47/DE47</f>
        <v>0.66105072720875913</v>
      </c>
      <c r="DH47" s="620">
        <f>DH41+DH45</f>
        <v>3048399.1</v>
      </c>
      <c r="DI47" s="623">
        <f t="shared" ref="DI47" si="320">DH47/DE47</f>
        <v>0.99334046874207294</v>
      </c>
      <c r="DJ47" s="619">
        <f>DJ41+DJ45</f>
        <v>2731646.25</v>
      </c>
      <c r="DK47" s="620">
        <f>DK41+DK45</f>
        <v>2102717.7610999998</v>
      </c>
      <c r="DL47" s="621">
        <f t="shared" ref="DL47" si="321">DK47/DJ47</f>
        <v>0.76976210265146883</v>
      </c>
      <c r="DM47" s="620">
        <f>DM41+DM45</f>
        <v>2379488.7199999997</v>
      </c>
      <c r="DN47" s="623">
        <f t="shared" ref="DN47" si="322">DM47/DJ47</f>
        <v>0.8710823079672193</v>
      </c>
      <c r="DO47" s="619">
        <f>DO41+DO45</f>
        <v>2733921.0500000003</v>
      </c>
      <c r="DP47" s="620">
        <f>DP41+DP45</f>
        <v>2378226.560611493</v>
      </c>
      <c r="DQ47" s="621">
        <f t="shared" ref="DQ47" si="323">DP47/DO47</f>
        <v>0.86989584450929658</v>
      </c>
      <c r="DR47" s="620">
        <f>DR41+DR45</f>
        <v>2383054.75</v>
      </c>
      <c r="DS47" s="623">
        <f t="shared" ref="DS47" si="324">DR47/DO47</f>
        <v>0.87166187553221397</v>
      </c>
      <c r="DT47" s="619">
        <f>DT41+DT45</f>
        <v>8897501.154911492</v>
      </c>
      <c r="DU47" s="620">
        <f>DU41+DU45</f>
        <v>12839776.390000001</v>
      </c>
      <c r="DV47" s="620">
        <f>DV41+DV45</f>
        <v>10587771.190000001</v>
      </c>
      <c r="DW47" s="625">
        <f t="shared" ref="DW47" si="325">DV47/DU47</f>
        <v>0.8246071324299753</v>
      </c>
      <c r="DX47" s="619">
        <f>DX41+DX45</f>
        <v>2789257.1100000003</v>
      </c>
      <c r="DY47" s="620">
        <f>DY41+DY45</f>
        <v>2487924.859697395</v>
      </c>
      <c r="DZ47" s="621">
        <f t="shared" ref="DZ47" si="326">DY47/DX47</f>
        <v>0.89196684334969556</v>
      </c>
      <c r="EA47" s="620">
        <f>EA41+EA45</f>
        <v>2467426.38</v>
      </c>
      <c r="EB47" s="623">
        <f t="shared" ref="EB47" si="327">EA47/DX47</f>
        <v>0.88461776117871027</v>
      </c>
      <c r="EC47" s="619">
        <f>EC41+EC45</f>
        <v>3172187.24</v>
      </c>
      <c r="ED47" s="620">
        <f>ED41+ED45</f>
        <v>2779553.7993424097</v>
      </c>
      <c r="EE47" s="621">
        <f t="shared" ref="EE47" si="328">ED47/EC47</f>
        <v>0.87622627198462899</v>
      </c>
      <c r="EF47" s="620">
        <f>EF41+EF45</f>
        <v>2489909.54</v>
      </c>
      <c r="EG47" s="623">
        <f t="shared" ref="EG47" si="329">EF47/EC47</f>
        <v>0.78491884356738029</v>
      </c>
      <c r="EH47" s="619">
        <f>EH41+EH45</f>
        <v>3334550.99</v>
      </c>
      <c r="EI47" s="620">
        <f>EI41+EI45</f>
        <v>2684311.74425</v>
      </c>
      <c r="EJ47" s="621">
        <f t="shared" ref="EJ47" si="330">EI47/EH47</f>
        <v>0.80499945938748407</v>
      </c>
      <c r="EK47" s="620">
        <f>EK41+EK45</f>
        <v>2721175.17</v>
      </c>
      <c r="EL47" s="623">
        <f t="shared" ref="EL47" si="331">EK47/EH47</f>
        <v>0.81605444875803201</v>
      </c>
      <c r="EM47" s="619">
        <f>EM41+EM45</f>
        <v>3395174.9399999995</v>
      </c>
      <c r="EN47" s="620">
        <f>EN41+EN45</f>
        <v>2725530.9028000003</v>
      </c>
      <c r="EO47" s="621">
        <f t="shared" ref="EO47" si="332">EN47/EM47</f>
        <v>0.80276596963807723</v>
      </c>
      <c r="EP47" s="620">
        <f>EP41+EP45</f>
        <v>2514341.15</v>
      </c>
      <c r="EQ47" s="623">
        <f t="shared" ref="EQ47" si="333">EP47/EM47</f>
        <v>0.74056306212015111</v>
      </c>
      <c r="ER47" s="619">
        <f>ER41+ER45</f>
        <v>3234575.83</v>
      </c>
      <c r="ES47" s="620">
        <f>ES41+ES45</f>
        <v>2267466.8026000001</v>
      </c>
      <c r="ET47" s="621">
        <f t="shared" ref="ET47" si="334">ES47/ER47</f>
        <v>0.70100901069306509</v>
      </c>
      <c r="EU47" s="620">
        <f>EU41+EU45</f>
        <v>2647037.4400000004</v>
      </c>
      <c r="EV47" s="623">
        <f t="shared" ref="EV47" si="335">EU47/ER47</f>
        <v>0.81835689720095395</v>
      </c>
      <c r="EW47" s="619">
        <f>EW41+EW45</f>
        <v>12944788.108689805</v>
      </c>
      <c r="EX47" s="620">
        <f>EX41+EX45</f>
        <v>15925746.109999999</v>
      </c>
      <c r="EY47" s="620">
        <f>EY41+EY45</f>
        <v>12839889.68</v>
      </c>
      <c r="EZ47" s="624">
        <f t="shared" ref="EZ47" si="336">EY47/EX47</f>
        <v>0.80623473407865354</v>
      </c>
      <c r="FA47" s="619">
        <f>FA41+FA45</f>
        <v>3066258.79</v>
      </c>
      <c r="FB47" s="620">
        <f>FB41+FB45</f>
        <v>2447145.3114999998</v>
      </c>
      <c r="FC47" s="621">
        <f>FB47/FA47</f>
        <v>0.79808831514185397</v>
      </c>
      <c r="FD47" s="620">
        <f>FD41+FD45</f>
        <v>2771267.12</v>
      </c>
      <c r="FE47" s="623">
        <f>FD47/FA47</f>
        <v>0.9037942684544249</v>
      </c>
      <c r="FF47" s="619">
        <f>FF41+FF45</f>
        <v>3174506.29</v>
      </c>
      <c r="FG47" s="620">
        <f>FG41+FG45</f>
        <v>2682137.6944200001</v>
      </c>
      <c r="FH47" s="621">
        <f>FG47/FF47</f>
        <v>0.84489915892401646</v>
      </c>
      <c r="FI47" s="620">
        <f>FI41+FI45</f>
        <v>2826656.4699999997</v>
      </c>
      <c r="FJ47" s="623">
        <f>FI47/FF47</f>
        <v>0.89042396258726575</v>
      </c>
      <c r="FK47" s="619">
        <f>FK41+FK45</f>
        <v>2950379.91</v>
      </c>
      <c r="FL47" s="620">
        <f>FL41+FL45</f>
        <v>2563789.9207200003</v>
      </c>
      <c r="FM47" s="621">
        <f>FL47/FK47</f>
        <v>0.86896942052455883</v>
      </c>
      <c r="FN47" s="620">
        <f>FN41+FN45</f>
        <v>2634586.7200000007</v>
      </c>
      <c r="FO47" s="623">
        <f>FN47/FK47</f>
        <v>0.89296524527920895</v>
      </c>
      <c r="FP47" s="619">
        <f>FP41+FP45</f>
        <v>2901599.7199999997</v>
      </c>
      <c r="FQ47" s="620">
        <f>FQ41+FQ45</f>
        <v>2541100.7580800001</v>
      </c>
      <c r="FR47" s="621">
        <f>FQ47/FP47</f>
        <v>0.87575854814322918</v>
      </c>
      <c r="FS47" s="620">
        <f>FS41+FS45</f>
        <v>2592209.6100000003</v>
      </c>
      <c r="FT47" s="623">
        <f>FS47/FP47</f>
        <v>0.89337257380215096</v>
      </c>
      <c r="FU47" s="1397">
        <f>FU41+FU45</f>
        <v>10234173.68472</v>
      </c>
      <c r="FV47" s="1372">
        <f>FV41+FV45</f>
        <v>12092744.710000001</v>
      </c>
      <c r="FW47" s="620">
        <f>FW41+FW45</f>
        <v>10824719.92</v>
      </c>
      <c r="FX47" s="1377">
        <f t="shared" ref="FX47" si="337">FW47/FV47</f>
        <v>0.89514168863984889</v>
      </c>
      <c r="FY47" s="619">
        <f>FY41+FY45</f>
        <v>2803182.87</v>
      </c>
      <c r="FZ47" s="620">
        <f>FZ41+FZ45</f>
        <v>2425969.4023899999</v>
      </c>
      <c r="GA47" s="621">
        <f>FZ47/FY47</f>
        <v>0.86543387103032632</v>
      </c>
      <c r="GB47" s="620">
        <f>GB41+GB45</f>
        <v>2475816.25</v>
      </c>
      <c r="GC47" s="623">
        <f>GB47/FY47</f>
        <v>0.88321610284383623</v>
      </c>
      <c r="GD47" s="619">
        <f>GD41+GD45</f>
        <v>2932316.8099999996</v>
      </c>
      <c r="GE47" s="620">
        <f>GE41+GE45</f>
        <v>2592409.2866850002</v>
      </c>
      <c r="GF47" s="621">
        <f>GE47/GD47</f>
        <v>0.8840822648644846</v>
      </c>
      <c r="GG47" s="620">
        <f>GG41+GG45</f>
        <v>2478535.4</v>
      </c>
      <c r="GH47" s="623">
        <f>GG47/GD47</f>
        <v>0.84524816402767888</v>
      </c>
      <c r="GI47" s="619">
        <f>GI41+GI45</f>
        <v>3004435.7700000005</v>
      </c>
      <c r="GJ47" s="620">
        <f>GJ41+GJ45</f>
        <v>2415677.326475</v>
      </c>
      <c r="GK47" s="621">
        <f>GJ47/GI47</f>
        <v>0.80403693452065361</v>
      </c>
      <c r="GL47" s="620">
        <f>GL41+GL45</f>
        <v>2309349.6799999997</v>
      </c>
      <c r="GM47" s="623">
        <f>GL47/GI47</f>
        <v>0.76864671332281442</v>
      </c>
      <c r="GN47" s="619">
        <f>GN41+GN45</f>
        <v>2938120.97</v>
      </c>
      <c r="GO47" s="620">
        <f>GO41+GO45</f>
        <v>2190510.1762999999</v>
      </c>
      <c r="GP47" s="621">
        <f>GO47/GN47</f>
        <v>0.74554798752891371</v>
      </c>
      <c r="GQ47" s="620">
        <f>GQ41+GQ45</f>
        <v>2489687.81</v>
      </c>
      <c r="GR47" s="623">
        <f>GQ47/GN47</f>
        <v>0.84737416717052327</v>
      </c>
      <c r="GS47" s="1397">
        <f>GS41+GS45</f>
        <v>9624566.1918499991</v>
      </c>
      <c r="GT47" s="620">
        <f>GT41+GT45</f>
        <v>11678056.42</v>
      </c>
      <c r="GU47" s="1372">
        <f>GU41+GU45</f>
        <v>9753389.1400000006</v>
      </c>
      <c r="GV47" s="624">
        <f t="shared" ref="GV47" si="338">GU47/GT47</f>
        <v>0.83518941758974652</v>
      </c>
      <c r="GW47" s="619">
        <f>GW41+GW45</f>
        <v>2941162</v>
      </c>
      <c r="GX47" s="620">
        <f>GX41+GX45</f>
        <v>2305729.4539999999</v>
      </c>
      <c r="GY47" s="621">
        <f>GX47/GW47</f>
        <v>0.78395187140320732</v>
      </c>
      <c r="GZ47" s="620">
        <f>GZ41+GZ45</f>
        <v>2551730.6</v>
      </c>
      <c r="HA47" s="623">
        <f>GZ47/GW47</f>
        <v>0.86759267255594896</v>
      </c>
      <c r="HB47" s="619">
        <f>HB41+HB45</f>
        <v>2914536.63</v>
      </c>
      <c r="HC47" s="620">
        <f>HC41+HC45</f>
        <v>2317230.4850500003</v>
      </c>
      <c r="HD47" s="621">
        <f>HC47/HB47</f>
        <v>0.79505965414817936</v>
      </c>
      <c r="HE47" s="620">
        <f>HE41+HE45</f>
        <v>2203783.25</v>
      </c>
      <c r="HF47" s="623">
        <f>HE47/HB47</f>
        <v>0.75613503268957027</v>
      </c>
      <c r="HG47" s="619">
        <f>HG41+HG45</f>
        <v>2800130.47</v>
      </c>
      <c r="HH47" s="620">
        <f>HH41+HH45</f>
        <v>2226314.5518999998</v>
      </c>
      <c r="HI47" s="621">
        <f>HH47/HG47</f>
        <v>0.79507529229521923</v>
      </c>
      <c r="HJ47" s="620">
        <f>HJ41+HJ45</f>
        <v>2397362.66</v>
      </c>
      <c r="HK47" s="623">
        <f>HJ47/HG47</f>
        <v>0.85616105595251069</v>
      </c>
      <c r="HL47" s="619">
        <f>HL41+HL45</f>
        <v>2702757.33</v>
      </c>
      <c r="HM47" s="620">
        <f>HM41+HM45</f>
        <v>2155771.7040349999</v>
      </c>
      <c r="HN47" s="621">
        <f>HM47/HL47</f>
        <v>0.79761940892969474</v>
      </c>
      <c r="HO47" s="620">
        <f>HO41+HO45</f>
        <v>2058353.12</v>
      </c>
      <c r="HP47" s="623">
        <f>HO47/HL47</f>
        <v>0.76157526136465981</v>
      </c>
      <c r="HQ47" s="619">
        <f>HQ41+HQ45</f>
        <v>2853142.1300000008</v>
      </c>
      <c r="HR47" s="620">
        <f>HR41+HR45</f>
        <v>2286465.5982499998</v>
      </c>
      <c r="HS47" s="621">
        <f t="shared" ref="HS47" si="339">HR47/HQ47</f>
        <v>0.80138510248348516</v>
      </c>
      <c r="HT47" s="620">
        <f>HT41+HT45</f>
        <v>2244869.0599999996</v>
      </c>
      <c r="HU47" s="623">
        <f t="shared" ref="HU47" si="340">HT47/HQ47</f>
        <v>0.78680589950140301</v>
      </c>
      <c r="HV47" s="619">
        <f>HV41+HV45</f>
        <v>11291511.793235</v>
      </c>
      <c r="HW47" s="620">
        <f>HW41+HW45</f>
        <v>14211728.560000001</v>
      </c>
      <c r="HX47" s="620">
        <f>HX41+HX45</f>
        <v>11456098.689999999</v>
      </c>
      <c r="HY47" s="650">
        <f t="shared" ref="HY47" si="341">HX47/HW47</f>
        <v>0.80610170969941453</v>
      </c>
      <c r="HZ47" s="619">
        <f>HZ41+HZ45</f>
        <v>2619387.1900000004</v>
      </c>
      <c r="IA47" s="620">
        <f>IA41+IA45</f>
        <v>2089563.3084000002</v>
      </c>
      <c r="IB47" s="621">
        <f t="shared" ref="IB47" si="342">IA47/HZ47</f>
        <v>0.79772983405328479</v>
      </c>
      <c r="IC47" s="620">
        <f>IC41+IC45</f>
        <v>2253134.1999999997</v>
      </c>
      <c r="ID47" s="623">
        <f t="shared" ref="ID47" si="343">IC47/HZ47</f>
        <v>0.86017607805434804</v>
      </c>
      <c r="IE47" s="619">
        <f>IE41+IE45</f>
        <v>2849185.9699999997</v>
      </c>
      <c r="IF47" s="620">
        <f>IF41+IF45</f>
        <v>2344110.0362999998</v>
      </c>
      <c r="IG47" s="621">
        <f t="shared" ref="IG47" si="344">IF47/IE47</f>
        <v>0.82272974140048849</v>
      </c>
      <c r="IH47" s="620">
        <f>IH41+IH45</f>
        <v>2515894.1599999992</v>
      </c>
      <c r="II47" s="623">
        <f t="shared" ref="II47" si="345">IH47/IE47</f>
        <v>0.88302209349991967</v>
      </c>
      <c r="IJ47" s="619">
        <f>IJ41+IJ45</f>
        <v>3053599.6900000004</v>
      </c>
      <c r="IK47" s="620">
        <f>IK41+IK45</f>
        <v>2519164.9626000002</v>
      </c>
      <c r="IL47" s="621">
        <f t="shared" ref="IL47" si="346">IK47/IJ47</f>
        <v>0.82498205997656482</v>
      </c>
      <c r="IM47" s="620">
        <f>IM41+IM45</f>
        <v>2557960.12</v>
      </c>
      <c r="IN47" s="623">
        <f t="shared" ref="IN47" si="347">IM47/IJ47</f>
        <v>0.83768678925953122</v>
      </c>
      <c r="IO47" s="619">
        <f>IO41+IO45</f>
        <v>3570588.0299999993</v>
      </c>
      <c r="IP47" s="620">
        <f>IP41+IP45</f>
        <v>3083770.4765000003</v>
      </c>
      <c r="IQ47" s="621">
        <f t="shared" ref="IQ47" si="348">IP47/IO47</f>
        <v>0.86365899694678605</v>
      </c>
      <c r="IR47" s="620">
        <f>IR41+IR45</f>
        <v>3648974.2100000004</v>
      </c>
      <c r="IS47" s="623">
        <f t="shared" ref="IS47" si="349">IR47/IO47</f>
        <v>1.0219532971436083</v>
      </c>
      <c r="IT47" s="1397">
        <f>IT41+IT45</f>
        <v>10036608.7838</v>
      </c>
      <c r="IU47" s="620">
        <f>IU41+IU45</f>
        <v>12092760.880000001</v>
      </c>
      <c r="IV47" s="1372">
        <f>IV41+IV45</f>
        <v>10975962.690000001</v>
      </c>
      <c r="IW47" s="624">
        <f t="shared" ref="IW47" si="350">IV47/IU47</f>
        <v>0.90764737671716866</v>
      </c>
      <c r="IX47" s="619">
        <f>IX41+IX45</f>
        <v>2675575.29</v>
      </c>
      <c r="IY47" s="620">
        <f>IY41+IY45</f>
        <v>2410095.4801000003</v>
      </c>
      <c r="IZ47" s="621">
        <f t="shared" ref="IZ47" si="351">IY47/IX47</f>
        <v>0.90077655041432236</v>
      </c>
      <c r="JA47" s="620">
        <f>JA41+JA45</f>
        <v>2477690.29</v>
      </c>
      <c r="JB47" s="623">
        <f t="shared" ref="JB47" si="352">JA47/IX47</f>
        <v>0.92604020498335515</v>
      </c>
      <c r="JC47" s="619">
        <f>JC41+JC45</f>
        <v>3443035.42</v>
      </c>
      <c r="JD47" s="620">
        <f>JD41+JD45</f>
        <v>3166449.4576000003</v>
      </c>
      <c r="JE47" s="621">
        <f t="shared" ref="JE47" si="353">JD47/JC47</f>
        <v>0.91966798808012273</v>
      </c>
      <c r="JF47" s="620">
        <f>JF41+JF45</f>
        <v>2743402.94</v>
      </c>
      <c r="JG47" s="623">
        <f t="shared" ref="JG47" si="354">JF47/JC47</f>
        <v>0.79679776863869733</v>
      </c>
      <c r="JH47" s="619">
        <f>JH41+JH45</f>
        <v>4051305.4499999997</v>
      </c>
      <c r="JI47" s="620">
        <f>JI41+JI45</f>
        <v>3740854.0926999999</v>
      </c>
      <c r="JJ47" s="621">
        <f t="shared" ref="JJ47" si="355">JI47/JH47</f>
        <v>0.92337004426560831</v>
      </c>
      <c r="JK47" s="620">
        <f>JK41+JK45</f>
        <v>3151159.76</v>
      </c>
      <c r="JL47" s="623">
        <f t="shared" ref="JL47" si="356">JK47/JH47</f>
        <v>0.77781342307823276</v>
      </c>
      <c r="JM47" s="619">
        <f>JM41+JM45</f>
        <v>4215009.7300000004</v>
      </c>
      <c r="JN47" s="620">
        <f>JN41+JN45</f>
        <v>3645456.5795999998</v>
      </c>
      <c r="JO47" s="621">
        <f t="shared" ref="JO47" si="357">JN47/JM47</f>
        <v>0.86487500933953942</v>
      </c>
      <c r="JP47" s="620">
        <f>JP41+JP45</f>
        <v>3231625.1799999997</v>
      </c>
      <c r="JQ47" s="623">
        <f t="shared" ref="JQ47" si="358">JP47/JM47</f>
        <v>0.76669459550690033</v>
      </c>
      <c r="JR47" s="802"/>
      <c r="JS47" s="1590">
        <f>JS41+JS45</f>
        <v>12962855.609999999</v>
      </c>
      <c r="JT47" s="1591">
        <f>JT41+JT45</f>
        <v>14384925.890000001</v>
      </c>
      <c r="JU47" s="1591">
        <f>JU41+JU45</f>
        <v>12005572.34</v>
      </c>
      <c r="JV47" s="626">
        <f t="shared" ref="JV47" si="359">JU47/JT47</f>
        <v>0.83459396536383545</v>
      </c>
      <c r="JW47" s="619">
        <f>JW41+JW45</f>
        <v>5691780.04</v>
      </c>
      <c r="JX47" s="620">
        <f>JX41+JX45</f>
        <v>4597177.0754000004</v>
      </c>
      <c r="JY47" s="621">
        <f t="shared" ref="JY47" si="360">JX47/JW47</f>
        <v>0.80768705801919927</v>
      </c>
      <c r="JZ47" s="620">
        <f>JZ41+JZ45</f>
        <v>4530412.57</v>
      </c>
      <c r="KA47" s="623">
        <f t="shared" ref="KA47" si="361">JZ47/JW47</f>
        <v>0.79595707110283909</v>
      </c>
      <c r="KB47" s="619">
        <f>KB41+KB45</f>
        <v>7096251.6299999999</v>
      </c>
      <c r="KC47" s="620">
        <f>KC41+KC45</f>
        <v>5787927.7887999993</v>
      </c>
      <c r="KD47" s="621">
        <f t="shared" ref="KD47" si="362">KC47/KB47</f>
        <v>0.81563170115488126</v>
      </c>
      <c r="KE47" s="620">
        <f>KE41+KE45</f>
        <v>5146968.3800000008</v>
      </c>
      <c r="KF47" s="623">
        <f t="shared" ref="KF47" si="363">KE47/KB47</f>
        <v>0.72530804266308135</v>
      </c>
      <c r="KG47" s="619">
        <f>KG41+KG45</f>
        <v>9280240.1899999995</v>
      </c>
      <c r="KH47" s="620">
        <f>KH41+KH45</f>
        <v>7672468.8192999996</v>
      </c>
      <c r="KI47" s="621">
        <f t="shared" ref="KI47" si="364">KH47/KG47</f>
        <v>0.82675325877529904</v>
      </c>
      <c r="KJ47" s="620">
        <f>KJ41+KJ45</f>
        <v>6693305.7300000004</v>
      </c>
      <c r="KK47" s="623">
        <f t="shared" ref="KK47" si="365">KJ47/KG47</f>
        <v>0.72124272572302905</v>
      </c>
      <c r="KL47" s="619">
        <f>KL41+KL45</f>
        <v>8200373.6099999994</v>
      </c>
      <c r="KM47" s="620">
        <f>KM41+KM45</f>
        <v>11524729.206599999</v>
      </c>
      <c r="KN47" s="621">
        <f t="shared" ref="KN47" si="366">KM47/KL47</f>
        <v>1.4053907486051724</v>
      </c>
      <c r="KO47" s="620">
        <f>KO41+KO45</f>
        <v>10125773.789999999</v>
      </c>
      <c r="KP47" s="623">
        <f t="shared" ref="KP47" si="367">KO47/KL47</f>
        <v>1.234794202260743</v>
      </c>
      <c r="KQ47" s="619">
        <f>KQ41+KQ45</f>
        <v>2957566.8499999996</v>
      </c>
      <c r="KR47" s="620">
        <f>KR41+KR45</f>
        <v>2787917.8565999996</v>
      </c>
      <c r="KS47" s="621">
        <f t="shared" ref="KS47" si="368">KR47/KQ47</f>
        <v>0.9426389995546508</v>
      </c>
      <c r="KT47" s="620">
        <f>KT41+KT45</f>
        <v>2909940.2</v>
      </c>
      <c r="KU47" s="623">
        <f t="shared" ref="KU47" si="369">KT47/KQ47</f>
        <v>0.98389667844701478</v>
      </c>
      <c r="KV47" s="1397">
        <f>KV41+KV45</f>
        <v>32370220.746700004</v>
      </c>
      <c r="KW47" s="620">
        <f>KW41+KW45</f>
        <v>33226212.319999997</v>
      </c>
      <c r="KX47" s="620">
        <f>KX41+KX45</f>
        <v>30468976.620000005</v>
      </c>
      <c r="KY47" s="626">
        <f t="shared" ref="KY47" si="370">KX47/KW47</f>
        <v>0.91701624989796637</v>
      </c>
      <c r="KZ47" s="951">
        <f>KZ41+KZ45</f>
        <v>169363215.67000002</v>
      </c>
      <c r="LA47" s="951">
        <f>LA41+LA45</f>
        <v>142542722.573735</v>
      </c>
      <c r="LB47" s="619">
        <f>LB41+LB45</f>
        <v>169148863.46000001</v>
      </c>
      <c r="LC47" s="619">
        <f>LC41+LC45</f>
        <v>140788135.97999999</v>
      </c>
      <c r="LD47" s="627">
        <f>LC47-LB47</f>
        <v>-28360727.480000019</v>
      </c>
      <c r="LE47" s="628">
        <f>LC47/LB47</f>
        <v>0.83233273401977836</v>
      </c>
    </row>
    <row r="48" spans="1:321">
      <c r="A48" s="1495"/>
      <c r="B48" s="418"/>
      <c r="C48" s="1495"/>
      <c r="D48" s="1495"/>
      <c r="E48" s="1495"/>
      <c r="F48" s="1495"/>
      <c r="G48" s="1495"/>
      <c r="H48" s="1495"/>
      <c r="I48" s="1495"/>
      <c r="J48" s="1495"/>
      <c r="K48" s="1495"/>
      <c r="L48" s="1495"/>
      <c r="M48" s="1495"/>
      <c r="N48" s="1495"/>
      <c r="O48" s="1495"/>
      <c r="P48" s="1495"/>
      <c r="Q48" s="1495"/>
      <c r="R48" s="1495"/>
      <c r="S48" s="1495"/>
      <c r="T48" s="1495"/>
      <c r="U48" s="1495"/>
      <c r="V48" s="1495"/>
      <c r="W48" s="1495"/>
      <c r="X48" s="1495"/>
      <c r="Y48" s="1495"/>
      <c r="Z48" s="1495"/>
      <c r="AA48" s="1495"/>
      <c r="AB48" s="1495"/>
      <c r="AC48" s="1495"/>
      <c r="AD48" s="1495"/>
      <c r="AE48" s="1495"/>
      <c r="AF48" s="1495"/>
      <c r="AG48" s="1495"/>
      <c r="AH48" s="1495"/>
      <c r="AI48" s="1495"/>
      <c r="AJ48" s="1495"/>
      <c r="AK48" s="1495"/>
      <c r="AL48" s="1495"/>
      <c r="AM48" s="1495"/>
      <c r="AN48" s="1495"/>
      <c r="AO48" s="1495"/>
      <c r="AP48" s="1495"/>
      <c r="AQ48" s="1495"/>
      <c r="AR48" s="1495"/>
      <c r="AS48" s="1495"/>
      <c r="AT48" s="1495"/>
      <c r="AU48" s="1495"/>
      <c r="AV48" s="1495"/>
      <c r="AW48" s="1495"/>
      <c r="AX48" s="1495"/>
      <c r="AY48" s="1495"/>
      <c r="AZ48" s="1495"/>
      <c r="BA48" s="1495"/>
      <c r="BB48" s="1495"/>
      <c r="BC48" s="1495"/>
      <c r="BD48" s="1495"/>
      <c r="BE48" s="1495"/>
      <c r="BF48" s="1495"/>
      <c r="BG48" s="1495"/>
      <c r="BH48" s="1495"/>
      <c r="BI48" s="1495"/>
      <c r="BJ48" s="1495"/>
      <c r="BK48" s="1495"/>
      <c r="BL48" s="1495"/>
      <c r="BM48" s="1495"/>
      <c r="BN48" s="1495"/>
      <c r="BO48" s="1495"/>
      <c r="BP48" s="418"/>
      <c r="BQ48" s="1495"/>
      <c r="BR48" s="1495"/>
      <c r="BS48" s="1495"/>
      <c r="BT48" s="1495"/>
      <c r="BU48" s="1495"/>
      <c r="BV48" s="1495"/>
      <c r="BW48" s="1495"/>
      <c r="BX48" s="1495"/>
      <c r="BY48" s="1495"/>
      <c r="BZ48" s="1495"/>
      <c r="CA48" s="1495"/>
      <c r="CB48" s="1495"/>
      <c r="CC48" s="1495"/>
      <c r="CD48" s="1495"/>
      <c r="CE48" s="1495"/>
      <c r="CF48" s="1495"/>
      <c r="CG48" s="1495"/>
      <c r="CH48" s="1495"/>
      <c r="CI48" s="1495"/>
      <c r="CJ48" s="1495"/>
      <c r="CK48" s="1495"/>
      <c r="CL48" s="1495"/>
      <c r="CM48" s="1495"/>
      <c r="CN48" s="1495"/>
      <c r="CO48" s="1495"/>
      <c r="CP48" s="1495"/>
      <c r="CQ48" s="1495"/>
      <c r="CR48" s="1495"/>
      <c r="CS48" s="1495"/>
      <c r="CT48" s="1495"/>
      <c r="CU48" s="1495"/>
      <c r="CV48" s="1495"/>
      <c r="CW48" s="1495"/>
      <c r="CX48" s="1495"/>
      <c r="CY48" s="1495"/>
      <c r="CZ48" s="483"/>
      <c r="DA48" s="483"/>
      <c r="DB48" s="1495"/>
      <c r="DC48" s="1495"/>
      <c r="DD48" s="1495"/>
      <c r="DE48" s="483"/>
      <c r="DF48" s="483"/>
      <c r="DG48" s="1495"/>
      <c r="DH48" s="1495"/>
      <c r="DI48" s="1495"/>
      <c r="DJ48" s="483"/>
      <c r="DK48" s="483"/>
      <c r="DL48" s="1495"/>
      <c r="DM48" s="1495"/>
      <c r="DN48" s="1495"/>
      <c r="DO48" s="483"/>
      <c r="DP48" s="483"/>
      <c r="DQ48" s="1495"/>
      <c r="DR48" s="1495"/>
      <c r="DS48" s="1495"/>
      <c r="DT48" s="1495"/>
      <c r="DU48" s="1495"/>
      <c r="DV48" s="1495"/>
      <c r="DW48" s="1495"/>
      <c r="DX48" s="483"/>
      <c r="DY48" s="483"/>
      <c r="DZ48" s="1495"/>
      <c r="EA48" s="1495"/>
      <c r="EB48" s="1495"/>
      <c r="EC48" s="483"/>
      <c r="ED48" s="483"/>
      <c r="EE48" s="1495"/>
      <c r="EF48" s="1495"/>
      <c r="EG48" s="1495"/>
      <c r="EH48" s="483"/>
      <c r="EI48" s="483"/>
      <c r="EJ48" s="1495"/>
      <c r="EK48" s="1495"/>
      <c r="EL48" s="1495"/>
      <c r="EM48" s="483"/>
      <c r="EN48" s="483"/>
      <c r="EO48" s="1495"/>
      <c r="EP48" s="1495"/>
      <c r="EQ48" s="1495"/>
      <c r="ER48" s="483"/>
      <c r="ES48" s="483"/>
      <c r="ET48" s="1495"/>
      <c r="EU48" s="1495"/>
      <c r="EV48" s="1495"/>
      <c r="EW48" s="1495"/>
      <c r="EX48" s="1495"/>
      <c r="EY48" s="1495"/>
      <c r="EZ48" s="1495"/>
      <c r="FA48" s="483"/>
      <c r="FB48" s="483"/>
      <c r="FC48" s="1404"/>
      <c r="FD48" s="1404"/>
      <c r="FE48" s="1404"/>
      <c r="FF48" s="483"/>
      <c r="FG48" s="483"/>
      <c r="FH48" s="1404"/>
      <c r="FI48" s="1404"/>
      <c r="FJ48" s="1404"/>
      <c r="FK48" s="483"/>
      <c r="FL48" s="483"/>
      <c r="FM48" s="1404"/>
      <c r="FN48" s="1404"/>
      <c r="FO48" s="1404"/>
      <c r="FP48" s="483"/>
      <c r="FQ48" s="483"/>
      <c r="FR48" s="1404"/>
      <c r="FS48" s="1404"/>
      <c r="FT48" s="1404"/>
      <c r="FU48" s="1495"/>
      <c r="FV48" s="1495"/>
      <c r="FW48" s="1495"/>
      <c r="FX48" s="1495"/>
      <c r="FY48" s="483"/>
      <c r="FZ48" s="483"/>
      <c r="GA48" s="1495"/>
      <c r="GB48" s="1495"/>
      <c r="GC48" s="1495"/>
      <c r="GD48" s="483"/>
      <c r="GE48" s="483"/>
      <c r="GF48" s="1495"/>
      <c r="GG48" s="1495"/>
      <c r="GH48" s="1495"/>
      <c r="GI48" s="483"/>
      <c r="GJ48" s="483"/>
      <c r="GK48" s="1495"/>
      <c r="GL48" s="1495"/>
      <c r="GM48" s="1495"/>
      <c r="GN48" s="483"/>
      <c r="GO48" s="483"/>
      <c r="GP48" s="1495"/>
      <c r="GQ48" s="1495"/>
      <c r="GR48" s="1495"/>
      <c r="GS48" s="1495"/>
      <c r="GT48" s="1495"/>
      <c r="GU48" s="1495"/>
      <c r="GV48" s="1495"/>
      <c r="GW48" s="483"/>
      <c r="GX48" s="483"/>
      <c r="GY48" s="1495"/>
      <c r="GZ48" s="1495"/>
      <c r="HA48" s="1495"/>
      <c r="HB48" s="483"/>
      <c r="HC48" s="483"/>
      <c r="HD48" s="1495"/>
      <c r="HE48" s="1495"/>
      <c r="HF48" s="1495"/>
      <c r="HG48" s="483"/>
      <c r="HH48" s="483"/>
      <c r="HI48" s="1495"/>
      <c r="HJ48" s="1495"/>
      <c r="HK48" s="1495"/>
      <c r="HL48" s="483"/>
      <c r="HM48" s="483"/>
      <c r="HN48" s="1495"/>
      <c r="HO48" s="1495"/>
      <c r="HP48" s="1495"/>
      <c r="HQ48" s="483"/>
      <c r="HR48" s="483"/>
      <c r="HS48" s="1495"/>
      <c r="HT48" s="1495"/>
      <c r="HU48" s="1495"/>
      <c r="HV48" s="1495"/>
      <c r="HW48" s="1495"/>
      <c r="HX48" s="1495"/>
      <c r="HY48" s="1495"/>
      <c r="HZ48" s="483"/>
      <c r="IA48" s="483"/>
      <c r="IB48" s="1495"/>
      <c r="IC48" s="1495"/>
      <c r="ID48" s="1495"/>
      <c r="IE48" s="483"/>
      <c r="IF48" s="483"/>
      <c r="IG48" s="1495"/>
      <c r="IH48" s="1495"/>
      <c r="II48" s="1495"/>
      <c r="IJ48" s="483"/>
      <c r="IK48" s="483"/>
      <c r="IL48" s="1495"/>
      <c r="IM48" s="1495"/>
      <c r="IN48" s="1495"/>
      <c r="IO48" s="483"/>
      <c r="IP48" s="483"/>
      <c r="IQ48" s="1495"/>
      <c r="IR48" s="1495"/>
      <c r="IS48" s="1495"/>
      <c r="IT48" s="1495"/>
      <c r="IU48" s="1495"/>
      <c r="IV48" s="1495"/>
      <c r="IW48" s="1495"/>
      <c r="IX48" s="483"/>
      <c r="IY48" s="483"/>
      <c r="IZ48" s="1495"/>
      <c r="JA48" s="1495"/>
      <c r="JB48" s="1495"/>
      <c r="JC48" s="483"/>
      <c r="JD48" s="483"/>
      <c r="JE48" s="1495"/>
      <c r="JF48" s="1495"/>
      <c r="JG48" s="1495"/>
      <c r="JH48" s="483"/>
      <c r="JI48" s="483"/>
      <c r="JJ48" s="1495"/>
      <c r="JK48" s="1495"/>
      <c r="JL48" s="1495"/>
      <c r="JM48" s="483"/>
      <c r="JN48" s="483"/>
      <c r="JO48" s="1495"/>
      <c r="JP48" s="1495"/>
      <c r="JQ48" s="1495"/>
      <c r="JR48" s="1495"/>
      <c r="JS48" s="1495"/>
      <c r="JT48" s="1495"/>
      <c r="JU48" s="1495"/>
      <c r="JV48" s="1495"/>
      <c r="JW48" s="483"/>
      <c r="JX48" s="483"/>
      <c r="JY48" s="1495"/>
      <c r="JZ48" s="1495"/>
      <c r="KA48" s="1495"/>
      <c r="KB48" s="483"/>
      <c r="KC48" s="483"/>
      <c r="KD48" s="1495"/>
      <c r="KE48" s="1495"/>
      <c r="KF48" s="1495"/>
      <c r="KG48" s="483"/>
      <c r="KH48" s="483"/>
      <c r="KI48" s="1495"/>
      <c r="KJ48" s="1495"/>
      <c r="KK48" s="1495"/>
      <c r="KL48" s="483"/>
      <c r="KM48" s="483"/>
      <c r="KN48" s="1495"/>
      <c r="KO48" s="1495"/>
      <c r="KP48" s="1495"/>
      <c r="KQ48" s="483"/>
      <c r="KR48" s="483"/>
      <c r="KS48" s="1495"/>
      <c r="KT48" s="1495"/>
      <c r="KU48" s="1495"/>
      <c r="KV48" s="1495"/>
      <c r="KW48" s="1495"/>
      <c r="KX48" s="1495"/>
      <c r="KY48" s="1495"/>
      <c r="KZ48" s="1495"/>
      <c r="LA48" s="1495"/>
      <c r="LB48" s="1495"/>
      <c r="LC48" s="1495"/>
      <c r="LD48" s="1495"/>
      <c r="LE48" s="1495"/>
    </row>
    <row r="49" spans="1:317">
      <c r="A49" s="1495"/>
      <c r="C49" s="1495"/>
      <c r="D49" s="1495"/>
      <c r="E49" s="1495"/>
      <c r="F49" s="1495"/>
      <c r="G49" s="1495"/>
      <c r="H49" s="1495"/>
      <c r="I49" s="1495"/>
      <c r="J49" s="1495"/>
      <c r="K49" s="1495"/>
      <c r="L49" s="1495"/>
      <c r="M49" s="1495"/>
      <c r="N49" s="1495"/>
      <c r="O49" s="1495"/>
      <c r="P49" s="1495"/>
      <c r="Q49" s="1495"/>
      <c r="R49" s="1495"/>
      <c r="S49" s="1495"/>
      <c r="T49" s="1495"/>
      <c r="U49" s="1495"/>
      <c r="V49" s="1495"/>
      <c r="W49" s="1495"/>
      <c r="X49" s="1495"/>
      <c r="Y49" s="363">
        <f>Y45/$KZ$49</f>
        <v>0.55527978459508187</v>
      </c>
      <c r="Z49" s="1495"/>
      <c r="AA49" s="1495"/>
      <c r="AB49" s="1495"/>
      <c r="AC49" s="1495"/>
      <c r="AD49" s="1495"/>
      <c r="AE49" s="1495"/>
      <c r="AF49" s="1495"/>
      <c r="AG49" s="1495"/>
      <c r="AH49" s="1495"/>
      <c r="AI49" s="1495"/>
      <c r="AJ49" s="1495"/>
      <c r="AK49" s="1495"/>
      <c r="AL49" s="1495"/>
      <c r="AM49" s="1495"/>
      <c r="AN49" s="1495"/>
      <c r="AO49" s="1495"/>
      <c r="AP49" s="1495"/>
      <c r="AQ49" s="1495"/>
      <c r="AR49" s="1495"/>
      <c r="AS49" s="1495"/>
      <c r="AT49" s="1495"/>
      <c r="AU49" s="1495"/>
      <c r="AV49" s="1495"/>
      <c r="AW49" s="363">
        <f>AW45/$KZ$49</f>
        <v>0.47157472975039072</v>
      </c>
      <c r="AX49" s="1495"/>
      <c r="AY49" s="1495"/>
      <c r="AZ49" s="1495"/>
      <c r="BA49" s="1495"/>
      <c r="BB49" s="1495"/>
      <c r="BC49" s="1495"/>
      <c r="BD49" s="1495"/>
      <c r="BE49" s="1495"/>
      <c r="BF49" s="1495"/>
      <c r="BG49" s="1495"/>
      <c r="BH49" s="1495"/>
      <c r="BI49" s="1495"/>
      <c r="BJ49" s="1495"/>
      <c r="BK49" s="1495"/>
      <c r="BL49" s="1495"/>
      <c r="BM49" s="1495"/>
      <c r="BN49" s="384"/>
      <c r="BO49" s="384"/>
      <c r="BP49"/>
      <c r="BQ49" s="384"/>
      <c r="BR49" s="462"/>
      <c r="BS49" s="384"/>
      <c r="BT49" s="384"/>
      <c r="BV49" s="384"/>
      <c r="BW49" s="462"/>
      <c r="BX49" s="462"/>
      <c r="BY49" s="462"/>
      <c r="BZ49" s="363">
        <f>BZ45/$KZ$49</f>
        <v>1.010921914370124</v>
      </c>
      <c r="CA49" s="462"/>
      <c r="CB49" s="384"/>
      <c r="CC49" s="384"/>
      <c r="CE49" s="384"/>
      <c r="CF49" s="462"/>
      <c r="CG49" s="384"/>
      <c r="CH49" s="384"/>
      <c r="CJ49" s="384"/>
      <c r="CK49" s="462"/>
      <c r="CL49" s="384"/>
      <c r="CM49" s="384"/>
      <c r="CO49" s="384"/>
      <c r="CP49" s="462"/>
      <c r="CQ49" s="384"/>
      <c r="CR49" s="384"/>
      <c r="CT49" s="384"/>
      <c r="CU49" s="462"/>
      <c r="CV49" s="367"/>
      <c r="CW49" s="1495"/>
      <c r="CX49" s="363">
        <f>CX45/$KZ$49</f>
        <v>0.64263960829101474</v>
      </c>
      <c r="CY49" s="367"/>
      <c r="CZ49" s="488"/>
      <c r="DA49" s="488"/>
      <c r="DC49" s="384"/>
      <c r="DD49" s="462"/>
      <c r="DE49" s="488"/>
      <c r="DF49" s="488"/>
      <c r="DH49" s="384"/>
      <c r="DI49" s="462"/>
      <c r="DJ49" s="488"/>
      <c r="DK49" s="488"/>
      <c r="DM49" s="384"/>
      <c r="DN49" s="462"/>
      <c r="DO49" s="488"/>
      <c r="DP49" s="488"/>
      <c r="DR49" s="384"/>
      <c r="DS49" s="462"/>
      <c r="DT49" s="367"/>
      <c r="DU49" s="1495"/>
      <c r="DV49" s="363">
        <f>DV45/$KZ$49</f>
        <v>0.93771661447158061</v>
      </c>
      <c r="DW49" s="367"/>
      <c r="DX49" s="488"/>
      <c r="DY49" s="488"/>
      <c r="EA49" s="384"/>
      <c r="EB49" s="462"/>
      <c r="EC49" s="488"/>
      <c r="ED49" s="488"/>
      <c r="EF49" s="384"/>
      <c r="EG49" s="462"/>
      <c r="EH49" s="488"/>
      <c r="EI49" s="488"/>
      <c r="EK49" s="384"/>
      <c r="EL49" s="462"/>
      <c r="EM49" s="488"/>
      <c r="EN49" s="488"/>
      <c r="EP49" s="384"/>
      <c r="EQ49" s="462"/>
      <c r="ER49" s="488"/>
      <c r="ES49" s="488"/>
      <c r="EU49" s="384"/>
      <c r="EV49" s="462"/>
      <c r="EW49" s="367"/>
      <c r="EX49" s="1495"/>
      <c r="EY49" s="363">
        <f>EY45/$KZ$49</f>
        <v>1.1095187088457144</v>
      </c>
      <c r="EZ49" s="367"/>
      <c r="FA49" s="488"/>
      <c r="FB49" s="488"/>
      <c r="FD49" s="384"/>
      <c r="FE49" s="462"/>
      <c r="FF49" s="488"/>
      <c r="FG49" s="488"/>
      <c r="FI49" s="384"/>
      <c r="FJ49" s="462"/>
      <c r="FK49" s="488"/>
      <c r="FL49" s="488"/>
      <c r="FN49" s="384"/>
      <c r="FO49" s="462"/>
      <c r="FP49" s="488"/>
      <c r="FQ49" s="488"/>
      <c r="FS49" s="384"/>
      <c r="FT49" s="462"/>
      <c r="FU49" s="367"/>
      <c r="FV49" s="1495"/>
      <c r="FW49" s="363">
        <f>FW45/$KZ$49</f>
        <v>1.0336030168003894</v>
      </c>
      <c r="FX49" s="367"/>
      <c r="FY49" s="1495"/>
      <c r="FZ49" s="1495"/>
      <c r="GA49" s="1495"/>
      <c r="GB49" s="1495"/>
      <c r="GC49" s="1495"/>
      <c r="GD49" s="1495"/>
      <c r="GE49" s="1495"/>
      <c r="GF49" s="1495"/>
      <c r="GG49" s="1495"/>
      <c r="GH49" s="1495"/>
      <c r="GI49" s="1495"/>
      <c r="GJ49" s="1495"/>
      <c r="GK49" s="1495"/>
      <c r="GL49" s="1495"/>
      <c r="GM49" s="1495"/>
      <c r="GN49" s="1495"/>
      <c r="GO49" s="1495"/>
      <c r="GP49" s="1495"/>
      <c r="GQ49" s="1495"/>
      <c r="GR49" s="1495"/>
      <c r="GS49" s="1495"/>
      <c r="GT49" s="1495"/>
      <c r="GU49" s="363">
        <f>GU45/$KZ$49</f>
        <v>0.89297970217706146</v>
      </c>
      <c r="GV49" s="1495"/>
      <c r="GW49" s="1495"/>
      <c r="GX49" s="1495"/>
      <c r="GY49" s="408"/>
      <c r="GZ49" s="363"/>
      <c r="HA49" s="408"/>
      <c r="HB49" s="408"/>
      <c r="HC49" s="408"/>
      <c r="HD49" s="408"/>
      <c r="HE49" s="408"/>
      <c r="HF49" s="408"/>
      <c r="HG49" s="1495"/>
      <c r="HH49" s="1495"/>
      <c r="HI49" s="1495"/>
      <c r="HJ49" s="1495"/>
      <c r="HK49" s="1495"/>
      <c r="HL49" s="1495"/>
      <c r="HM49" s="1495"/>
      <c r="HN49" s="1495"/>
      <c r="HO49" s="1495"/>
      <c r="HP49" s="1495"/>
      <c r="HQ49" s="1495"/>
      <c r="HR49" s="1495"/>
      <c r="HS49" s="1495"/>
      <c r="HT49" s="1495"/>
      <c r="HU49" s="1495"/>
      <c r="HV49" s="1495"/>
      <c r="HW49" s="1495"/>
      <c r="HX49" s="363">
        <f>HX45/$KZ$49</f>
        <v>1.0695111450671659</v>
      </c>
      <c r="HY49" s="1495"/>
      <c r="HZ49" s="1495"/>
      <c r="IA49" s="1495"/>
      <c r="IB49" s="1495"/>
      <c r="IC49" s="1495"/>
      <c r="ID49" s="1495"/>
      <c r="IE49" s="1495"/>
      <c r="IF49" s="1495"/>
      <c r="IG49" s="1495"/>
      <c r="IH49" s="1495"/>
      <c r="II49" s="1495"/>
      <c r="IJ49" s="1495"/>
      <c r="IK49" s="1495"/>
      <c r="IL49" s="1495"/>
      <c r="IM49" s="1495"/>
      <c r="IN49" s="1495"/>
      <c r="IO49" s="1495"/>
      <c r="IP49" s="1495"/>
      <c r="IQ49" s="1495"/>
      <c r="IR49" s="1495"/>
      <c r="IS49" s="1495"/>
      <c r="IT49" s="1495"/>
      <c r="IU49" s="1495"/>
      <c r="IV49" s="363">
        <f>IV45/$KZ$49</f>
        <v>0.94574931361347692</v>
      </c>
      <c r="IW49" s="1495"/>
      <c r="IX49" s="1495"/>
      <c r="IY49" s="1495"/>
      <c r="IZ49" s="1495"/>
      <c r="JA49" s="1495"/>
      <c r="JB49" s="1495"/>
      <c r="JC49" s="1495"/>
      <c r="JD49" s="1495"/>
      <c r="JE49" s="1495"/>
      <c r="JF49" s="1495"/>
      <c r="JG49" s="1495"/>
      <c r="JH49" s="1495"/>
      <c r="JI49" s="1495"/>
      <c r="JJ49" s="1495"/>
      <c r="JK49" s="1495"/>
      <c r="JL49" s="1495"/>
      <c r="JM49" s="1495"/>
      <c r="JN49" s="1495"/>
      <c r="JO49" s="1495"/>
      <c r="JP49" s="1495"/>
      <c r="JQ49" s="1495"/>
      <c r="JR49" s="1495"/>
      <c r="JS49" s="1495"/>
      <c r="JT49" s="1495"/>
      <c r="JU49" s="363">
        <f>JU45/$KZ$49</f>
        <v>0.99426337350809579</v>
      </c>
      <c r="JV49" s="1495"/>
      <c r="JW49" s="1495"/>
      <c r="JX49" s="1495"/>
      <c r="JY49" s="1495"/>
      <c r="JZ49" s="1495"/>
      <c r="KA49" s="1495"/>
      <c r="KB49" s="1495"/>
      <c r="KC49" s="1495"/>
      <c r="KD49" s="1495"/>
      <c r="KE49" s="1495"/>
      <c r="KF49" s="1495"/>
      <c r="KG49" s="1495"/>
      <c r="KH49" s="1495"/>
      <c r="KI49" s="1495"/>
      <c r="KJ49" s="1495"/>
      <c r="KK49" s="1495"/>
      <c r="KL49" s="1495"/>
      <c r="KM49" s="1495"/>
      <c r="KN49" s="1495"/>
      <c r="KO49" s="1495"/>
      <c r="KP49" s="1495"/>
      <c r="KQ49" s="1495"/>
      <c r="KR49" s="1495"/>
      <c r="KS49" s="1495"/>
      <c r="KT49" s="1495"/>
      <c r="KU49" s="1495"/>
      <c r="KV49" s="1495"/>
      <c r="KW49" s="1495"/>
      <c r="KX49" s="363">
        <f>KX45/$KZ$49</f>
        <v>2.3333233343578526</v>
      </c>
      <c r="KY49" s="1495"/>
      <c r="KZ49" s="371">
        <v>4454123</v>
      </c>
      <c r="LA49" s="1495"/>
      <c r="LB49" s="1495"/>
      <c r="LC49" s="1495" t="s">
        <v>518</v>
      </c>
      <c r="LD49" s="1495"/>
      <c r="LE49" s="1495"/>
    </row>
    <row r="50" spans="1:317">
      <c r="A50" s="1495"/>
      <c r="B50" s="418"/>
      <c r="C50" s="1495"/>
      <c r="D50" s="1495"/>
      <c r="E50" s="1495"/>
      <c r="F50" s="1495"/>
      <c r="G50" s="1495"/>
      <c r="H50" s="1495"/>
      <c r="I50" s="1495"/>
      <c r="J50" s="1495"/>
      <c r="K50" s="1495"/>
      <c r="L50" s="1495"/>
      <c r="M50" s="1495"/>
      <c r="N50" s="1495"/>
      <c r="O50" s="1495"/>
      <c r="P50" s="1495"/>
      <c r="Q50" s="1495"/>
      <c r="R50" s="1495"/>
      <c r="S50" s="1495"/>
      <c r="T50" s="1495"/>
      <c r="U50" s="1495"/>
      <c r="V50" s="1495"/>
      <c r="W50" s="1495"/>
      <c r="X50" s="1495"/>
      <c r="Y50" s="1495"/>
      <c r="Z50" s="1495"/>
      <c r="AA50" s="1495"/>
      <c r="AB50" s="1495"/>
      <c r="AC50" s="1495"/>
      <c r="AD50" s="1495"/>
      <c r="AE50" s="1495"/>
      <c r="AF50" s="1495"/>
      <c r="AG50" s="1495"/>
      <c r="AH50" s="1495"/>
      <c r="AI50" s="1495"/>
      <c r="AJ50" s="1495"/>
      <c r="AK50" s="1495"/>
      <c r="AL50" s="1495"/>
      <c r="AM50" s="1495"/>
      <c r="AN50" s="1495"/>
      <c r="AO50" s="1495"/>
      <c r="AP50" s="1495"/>
      <c r="AQ50" s="1495"/>
      <c r="AR50" s="1495"/>
      <c r="AS50" s="1495"/>
      <c r="AT50" s="1495"/>
      <c r="AU50" s="1495"/>
      <c r="AV50" s="1495"/>
      <c r="AW50" s="1495"/>
      <c r="AX50" s="1495"/>
      <c r="AY50" s="1495"/>
      <c r="AZ50" s="1495"/>
      <c r="BA50" s="1495"/>
      <c r="BB50" s="1495"/>
      <c r="BC50" s="1495"/>
      <c r="BD50" s="1495"/>
      <c r="BE50" s="1495"/>
      <c r="BF50" s="1495"/>
      <c r="BG50" s="1495"/>
      <c r="BH50" s="1495"/>
      <c r="BI50" s="1495"/>
      <c r="BJ50" s="1495"/>
      <c r="BK50" s="1495"/>
      <c r="BL50" s="1495"/>
      <c r="BM50" s="1495"/>
      <c r="BN50" s="1495"/>
      <c r="BO50" s="1495"/>
      <c r="BP50" s="418"/>
      <c r="BQ50" s="1495"/>
      <c r="BR50" s="1495"/>
      <c r="BS50" s="1495"/>
      <c r="BT50" s="1495"/>
      <c r="BU50" s="1495"/>
      <c r="BV50" s="1495"/>
      <c r="BW50" s="1495"/>
      <c r="BX50" s="1495"/>
      <c r="BY50" s="1495"/>
      <c r="BZ50" s="444"/>
      <c r="CA50" s="496"/>
      <c r="CB50" s="496"/>
      <c r="CC50" s="444"/>
      <c r="CD50" s="502"/>
      <c r="CE50" s="108"/>
      <c r="CF50" s="444"/>
      <c r="CG50" s="504"/>
      <c r="CH50" s="348"/>
      <c r="CI50" s="408"/>
      <c r="CJ50" s="1495"/>
      <c r="CK50" s="1495"/>
      <c r="CL50" s="1495"/>
      <c r="CM50" s="1495"/>
      <c r="CN50" s="1495"/>
      <c r="CO50" s="1495"/>
      <c r="CP50" s="1495"/>
      <c r="CQ50" s="1495"/>
      <c r="CR50" s="1495"/>
      <c r="CS50" s="1495"/>
      <c r="CT50" s="1495"/>
      <c r="CU50" s="1495"/>
      <c r="CV50" s="1495"/>
      <c r="CW50" s="1495"/>
      <c r="CX50" s="1495"/>
      <c r="CY50" s="1495"/>
      <c r="CZ50" s="1495"/>
      <c r="DA50" s="444"/>
      <c r="DB50" s="475"/>
      <c r="DC50" s="108"/>
      <c r="DD50" s="408"/>
      <c r="DE50" s="1495"/>
      <c r="DF50" s="444"/>
      <c r="DG50" s="475"/>
      <c r="DH50" s="407"/>
      <c r="DI50" s="407"/>
      <c r="DJ50" s="1495"/>
      <c r="DK50" s="1495"/>
      <c r="DL50" s="1495"/>
      <c r="DM50" s="1495"/>
      <c r="DN50" s="1495"/>
      <c r="DO50" s="1495"/>
      <c r="DP50" s="1495"/>
      <c r="DQ50" s="1495"/>
      <c r="DR50" s="1495"/>
      <c r="DS50" s="1495"/>
      <c r="DT50" s="1495"/>
      <c r="DU50" s="1495"/>
      <c r="DV50" s="1495"/>
      <c r="DW50" s="1495"/>
      <c r="DX50" s="1495"/>
      <c r="DY50" s="1495"/>
      <c r="DZ50" s="1495"/>
      <c r="EA50" s="1495"/>
      <c r="EB50" s="1495"/>
      <c r="EC50" s="1495"/>
      <c r="ED50" s="1495"/>
      <c r="EE50" s="1495"/>
      <c r="EF50" s="1495"/>
      <c r="EG50" s="1495"/>
      <c r="EH50" s="1495"/>
      <c r="EI50" s="1495"/>
      <c r="EJ50" s="1495"/>
      <c r="EK50" s="1495"/>
      <c r="EL50" s="407"/>
      <c r="EM50" s="1495"/>
      <c r="EN50" s="407"/>
      <c r="EO50" s="1495"/>
      <c r="EP50" s="1495"/>
      <c r="EQ50" s="1495"/>
      <c r="ER50" s="1495"/>
      <c r="ES50" s="407"/>
      <c r="ET50" s="1495"/>
      <c r="EU50" s="1495"/>
      <c r="EV50" s="1495"/>
      <c r="EW50" s="1495"/>
      <c r="EX50" s="1495"/>
      <c r="EY50" s="1495"/>
      <c r="EZ50" s="1495"/>
      <c r="FA50" s="1495"/>
      <c r="FB50" s="1495"/>
      <c r="FC50" s="1495"/>
      <c r="FD50" s="1495"/>
      <c r="FE50" s="1495"/>
      <c r="FF50" s="1495"/>
      <c r="FG50" s="1495"/>
      <c r="FH50" s="1495"/>
      <c r="FI50" s="1495"/>
      <c r="FJ50" s="1495"/>
      <c r="FK50" s="1495"/>
      <c r="FL50" s="1495"/>
      <c r="FM50" s="1495"/>
      <c r="FN50" s="1495"/>
      <c r="FO50" s="1495"/>
      <c r="FP50" s="1495"/>
      <c r="FQ50" s="1495"/>
      <c r="FR50" s="1495"/>
      <c r="FS50" s="1495"/>
      <c r="FT50" s="1495"/>
      <c r="FU50" s="1495"/>
      <c r="FV50" s="1495"/>
      <c r="FW50" s="1495"/>
      <c r="FX50" s="1495"/>
      <c r="FY50" s="1495"/>
      <c r="FZ50" s="1495"/>
      <c r="GA50" s="1495"/>
      <c r="GB50" s="1495"/>
      <c r="GC50" s="1495"/>
      <c r="GD50" s="1495"/>
      <c r="GE50" s="1495"/>
      <c r="GF50" s="1495"/>
      <c r="GG50" s="1495"/>
      <c r="GH50" s="1495"/>
      <c r="GI50" s="1495"/>
      <c r="GJ50" s="1495"/>
      <c r="GK50" s="1495"/>
      <c r="GL50" s="1495"/>
      <c r="GM50" s="1495"/>
      <c r="GN50" s="1495"/>
      <c r="GO50" s="1495"/>
      <c r="GP50" s="1495"/>
      <c r="GQ50" s="1495"/>
      <c r="GR50" s="1495"/>
      <c r="GS50" s="1495"/>
      <c r="GT50" s="1495"/>
      <c r="GU50" s="1495"/>
      <c r="GV50" s="1495"/>
      <c r="GW50" s="1495"/>
      <c r="GX50" s="1495"/>
      <c r="GY50" s="1495"/>
      <c r="GZ50" s="1495"/>
      <c r="HA50" s="1495"/>
      <c r="HB50" s="1495"/>
      <c r="HC50" s="1495"/>
      <c r="HD50" s="1495"/>
      <c r="HE50" s="1495"/>
      <c r="HF50" s="1495"/>
      <c r="HG50" s="1495"/>
      <c r="HH50" s="1495"/>
      <c r="HI50" s="1495"/>
      <c r="HJ50" s="1495"/>
      <c r="HK50" s="1495"/>
      <c r="HL50" s="1495"/>
      <c r="HM50" s="1495"/>
      <c r="HN50" s="1495"/>
      <c r="HO50" s="1495"/>
      <c r="HP50" s="1495"/>
      <c r="HQ50" s="1495"/>
      <c r="HR50" s="1495"/>
      <c r="HS50" s="1495"/>
      <c r="HT50" s="1495"/>
      <c r="HU50" s="1495"/>
      <c r="HV50" s="1495"/>
      <c r="HW50" s="1495"/>
      <c r="HX50" s="1495"/>
      <c r="HY50" s="1495"/>
      <c r="HZ50" s="1495"/>
      <c r="IA50" s="1495"/>
      <c r="IB50" s="1495"/>
      <c r="IC50" s="1495"/>
      <c r="ID50" s="1495"/>
      <c r="IE50" s="1495"/>
      <c r="IF50" s="1495"/>
      <c r="IG50" s="1495"/>
      <c r="IH50" s="1495"/>
      <c r="II50" s="1495"/>
      <c r="IJ50" s="1495"/>
      <c r="IK50" s="1495"/>
      <c r="IL50" s="1495"/>
      <c r="IM50" s="1495"/>
      <c r="IN50" s="1495"/>
      <c r="IO50" s="1495"/>
      <c r="IP50" s="1495"/>
      <c r="IQ50" s="1495"/>
      <c r="IR50" s="1495"/>
      <c r="IS50" s="1495"/>
      <c r="IT50" s="1495"/>
      <c r="IU50" s="1495"/>
      <c r="IV50" s="1495"/>
      <c r="IW50" s="1495"/>
      <c r="IX50" s="1495"/>
      <c r="IY50" s="1495"/>
      <c r="IZ50" s="1495"/>
      <c r="JA50" s="1495"/>
      <c r="JB50" s="1495"/>
      <c r="JC50" s="1495"/>
      <c r="JD50" s="1495"/>
      <c r="JE50" s="1495"/>
      <c r="JF50" s="1495"/>
      <c r="JG50" s="1495"/>
      <c r="JH50" s="1495"/>
      <c r="JI50" s="1495"/>
      <c r="JJ50" s="1495"/>
      <c r="JK50" s="1495"/>
      <c r="JL50" s="1495"/>
      <c r="JM50" s="1495"/>
      <c r="JN50" s="1495"/>
      <c r="JO50" s="1495"/>
      <c r="JP50" s="1495"/>
      <c r="JQ50" s="1495"/>
      <c r="JR50" s="1495"/>
      <c r="JS50" s="1495"/>
      <c r="JT50" s="1495"/>
      <c r="JU50" s="1495"/>
      <c r="JV50" s="1495"/>
      <c r="JW50" s="1495"/>
      <c r="JX50" s="1495"/>
      <c r="JY50" s="1495"/>
      <c r="JZ50" s="1495"/>
      <c r="KA50" s="1495"/>
      <c r="KB50" s="1495"/>
      <c r="KC50" s="1495"/>
      <c r="KD50" s="1495"/>
      <c r="KE50" s="1495"/>
      <c r="KF50" s="1495"/>
      <c r="KG50" s="1495"/>
      <c r="KH50" s="1495"/>
      <c r="KI50" s="1495"/>
      <c r="KJ50" s="1495"/>
      <c r="KK50" s="1495"/>
      <c r="KL50" s="1495"/>
      <c r="KM50" s="1495"/>
      <c r="KN50" s="1495"/>
      <c r="KO50" s="1495"/>
      <c r="KP50" s="1495"/>
      <c r="KQ50" s="1495"/>
      <c r="KR50" s="1495"/>
      <c r="KS50" s="1495"/>
      <c r="KT50" s="1495"/>
      <c r="KU50" s="1495"/>
      <c r="KV50" s="1495"/>
      <c r="KW50" s="1495"/>
      <c r="KX50" s="1495"/>
      <c r="KY50" s="1495"/>
      <c r="KZ50" s="1495"/>
      <c r="LA50" s="1495"/>
      <c r="LB50" s="1495"/>
      <c r="LC50" s="1495"/>
      <c r="LD50" s="1495"/>
      <c r="LE50" s="1495"/>
    </row>
    <row r="51" spans="1:317">
      <c r="A51" s="1495"/>
      <c r="B51" s="418"/>
      <c r="C51" s="1495"/>
      <c r="D51" s="1495"/>
      <c r="E51" s="1495"/>
      <c r="F51" s="1495"/>
      <c r="G51" s="1495"/>
      <c r="H51" s="1495"/>
      <c r="I51" s="1495"/>
      <c r="J51" s="1495"/>
      <c r="K51" s="1495"/>
      <c r="L51" s="1495"/>
      <c r="M51" s="1495"/>
      <c r="N51" s="1495"/>
      <c r="O51" s="1495"/>
      <c r="P51" s="1495"/>
      <c r="Q51" s="1495"/>
      <c r="R51" s="1495"/>
      <c r="S51" s="1495"/>
      <c r="T51" s="1495"/>
      <c r="U51" s="1495"/>
      <c r="V51" s="1495"/>
      <c r="W51" s="1495"/>
      <c r="X51" s="1495"/>
      <c r="Y51" s="1495"/>
      <c r="Z51" s="1495"/>
      <c r="AA51" s="1495"/>
      <c r="AB51" s="1495"/>
      <c r="AC51" s="1495"/>
      <c r="AD51" s="1495"/>
      <c r="AE51" s="1495"/>
      <c r="AF51" s="1495"/>
      <c r="AG51" s="1495"/>
      <c r="AH51" s="1495"/>
      <c r="AI51" s="1495"/>
      <c r="AJ51" s="1495"/>
      <c r="AK51" s="1495"/>
      <c r="AL51" s="1495"/>
      <c r="AM51" s="1495"/>
      <c r="AN51" s="1495"/>
      <c r="AO51" s="1495"/>
      <c r="AP51" s="1495"/>
      <c r="AQ51" s="1495"/>
      <c r="AR51" s="1495"/>
      <c r="AS51" s="1495"/>
      <c r="AT51" s="1495"/>
      <c r="AU51" s="1495"/>
      <c r="AV51" s="1495"/>
      <c r="AW51" s="1495"/>
      <c r="AX51" s="1495"/>
      <c r="AY51" s="1495"/>
      <c r="AZ51" s="1495"/>
      <c r="BA51" s="1495"/>
      <c r="BB51" s="1495"/>
      <c r="BC51" s="1495"/>
      <c r="BD51" s="1495"/>
      <c r="BE51" s="1495"/>
      <c r="BF51" s="1495"/>
      <c r="BG51" s="1495"/>
      <c r="BH51" s="1495"/>
      <c r="BI51" s="1495"/>
      <c r="BJ51" s="1495"/>
      <c r="BK51" s="1495"/>
      <c r="BL51" s="1495"/>
      <c r="BM51" s="1495"/>
      <c r="BN51" s="1495"/>
      <c r="BO51" s="1495"/>
      <c r="BP51" s="418"/>
      <c r="BQ51" s="1495"/>
      <c r="BR51" s="1495"/>
      <c r="BS51" s="1495"/>
      <c r="BT51" s="1495"/>
      <c r="BU51" s="1495"/>
      <c r="BV51" s="1495"/>
      <c r="BW51" s="1495"/>
      <c r="BX51" s="1495"/>
      <c r="BY51" s="1495"/>
      <c r="BZ51" s="444"/>
      <c r="CA51" s="496"/>
      <c r="CB51" s="496"/>
      <c r="CC51" s="444"/>
      <c r="CD51" s="502"/>
      <c r="CE51" s="108"/>
      <c r="CF51" s="444"/>
      <c r="CG51" s="504"/>
      <c r="CH51" s="348"/>
      <c r="CI51" s="408"/>
      <c r="CJ51" s="1495"/>
      <c r="CK51" s="1495"/>
      <c r="CL51" s="1495"/>
      <c r="CM51" s="1495"/>
      <c r="CN51" s="1495"/>
      <c r="CO51" s="1495"/>
      <c r="CP51" s="1495"/>
      <c r="CQ51" s="1495"/>
      <c r="CR51" s="1495"/>
      <c r="CS51" s="1495"/>
      <c r="CT51" s="1495"/>
      <c r="CU51" s="1495"/>
      <c r="CV51" s="1495"/>
      <c r="CW51" s="1495"/>
      <c r="CX51" s="1495"/>
      <c r="CY51" s="1495"/>
      <c r="CZ51" s="1495"/>
      <c r="DA51" s="444"/>
      <c r="DB51" s="475"/>
      <c r="DC51" s="108"/>
      <c r="DD51" s="408"/>
      <c r="DE51" s="1495"/>
      <c r="DF51" s="444"/>
      <c r="DG51" s="475"/>
      <c r="DH51" s="407"/>
      <c r="DI51" s="407"/>
      <c r="DJ51" s="1495"/>
      <c r="DK51" s="1495"/>
      <c r="DL51" s="1495"/>
      <c r="DM51" s="1495"/>
      <c r="DN51" s="1495"/>
      <c r="DO51" s="1495"/>
      <c r="DP51" s="1495"/>
      <c r="DQ51" s="1495"/>
      <c r="DR51" s="1495"/>
      <c r="DS51" s="1495"/>
      <c r="DT51" s="1495"/>
      <c r="DU51" s="1495"/>
      <c r="DV51" s="1495"/>
      <c r="DW51" s="1495"/>
      <c r="DX51" s="1495"/>
      <c r="DY51" s="1495"/>
      <c r="DZ51" s="1495"/>
      <c r="EA51" s="1495"/>
      <c r="EB51" s="1495"/>
      <c r="EC51" s="1495"/>
      <c r="ED51" s="1495"/>
      <c r="EE51" s="1495"/>
      <c r="EF51" s="1495"/>
      <c r="EG51" s="1495"/>
      <c r="EH51" s="1495"/>
      <c r="EI51" s="1495"/>
      <c r="EJ51" s="1495"/>
      <c r="EK51" s="1495"/>
      <c r="EL51" s="407"/>
      <c r="EM51" s="1495"/>
      <c r="EN51" s="407"/>
      <c r="EO51" s="1495"/>
      <c r="EP51" s="1495"/>
      <c r="EQ51" s="1495"/>
      <c r="ER51" s="1495"/>
      <c r="ES51" s="1495"/>
      <c r="ET51" s="1495"/>
      <c r="EU51" s="1495"/>
      <c r="EV51" s="1495"/>
      <c r="EW51" s="1495"/>
      <c r="EX51" s="1495"/>
      <c r="EY51" s="1495"/>
      <c r="EZ51" s="1495"/>
      <c r="FA51" s="1495"/>
      <c r="FB51" s="1495"/>
      <c r="FC51" s="1495"/>
      <c r="FD51" s="1495"/>
      <c r="FE51" s="1495"/>
      <c r="FF51" s="1495"/>
      <c r="FG51" s="1495"/>
      <c r="FH51" s="1495"/>
      <c r="FI51" s="1495"/>
      <c r="FJ51" s="1495"/>
      <c r="FK51" s="1495"/>
      <c r="FL51" s="1495"/>
      <c r="FM51" s="1495"/>
      <c r="FN51" s="1495"/>
      <c r="FO51" s="1495"/>
      <c r="FP51" s="1495"/>
      <c r="FQ51" s="1495"/>
      <c r="FR51" s="1495"/>
      <c r="FS51" s="1495"/>
      <c r="FT51" s="1495"/>
      <c r="FU51" s="1495"/>
      <c r="FV51" s="1495"/>
      <c r="FW51" s="1495"/>
      <c r="FX51" s="1495"/>
      <c r="FY51" s="1495"/>
      <c r="FZ51" s="1495"/>
      <c r="GA51" s="1495"/>
      <c r="GB51" s="1495"/>
      <c r="GC51" s="1495"/>
      <c r="GD51" s="1495"/>
      <c r="GE51" s="1495"/>
      <c r="GF51" s="1495"/>
      <c r="GG51" s="1495"/>
      <c r="GH51" s="1495" t="s">
        <v>475</v>
      </c>
      <c r="GI51" s="362">
        <f>GI12</f>
        <v>110216.25</v>
      </c>
      <c r="GJ51" s="362">
        <f>GJ12</f>
        <v>88173</v>
      </c>
      <c r="GK51" s="362">
        <f>GI51-GJ51</f>
        <v>22043.25</v>
      </c>
      <c r="GL51" s="1479">
        <f>GJ51/GI51</f>
        <v>0.8</v>
      </c>
      <c r="GM51" s="1495"/>
      <c r="GN51" s="1495"/>
      <c r="GO51" s="1495"/>
      <c r="GP51" s="1495"/>
      <c r="GQ51" s="1495"/>
      <c r="GR51" s="1495"/>
      <c r="GS51" s="1495"/>
      <c r="GT51" s="1495"/>
      <c r="GU51" s="1495"/>
      <c r="GV51" s="1495"/>
      <c r="GW51" s="1495"/>
      <c r="GX51" s="1495"/>
      <c r="GY51" s="1495"/>
      <c r="GZ51" s="1495"/>
      <c r="HA51" s="1495"/>
      <c r="HB51" s="1495"/>
      <c r="HC51" s="1495"/>
      <c r="HD51" s="1495"/>
      <c r="HE51" s="1495"/>
      <c r="HF51" s="1495"/>
      <c r="HG51" s="1495"/>
      <c r="HH51" s="1495"/>
      <c r="HI51" s="1495"/>
      <c r="HJ51" s="1495"/>
      <c r="HK51" s="1495"/>
      <c r="HL51" s="1495"/>
      <c r="HM51" s="1495"/>
      <c r="HN51" s="1495"/>
      <c r="HO51" s="1495"/>
      <c r="HP51" s="1495"/>
      <c r="HQ51" s="1495"/>
      <c r="HR51" s="1495"/>
      <c r="HS51" s="1495"/>
      <c r="HT51" s="1495"/>
      <c r="HU51" s="1495"/>
      <c r="HV51" s="1495"/>
      <c r="HW51" s="1495"/>
      <c r="HX51" s="1495"/>
      <c r="HY51" s="1495"/>
      <c r="HZ51" s="1495"/>
      <c r="IA51" s="1495"/>
      <c r="IB51" s="1495"/>
      <c r="IC51" s="1495"/>
      <c r="ID51" s="1495"/>
      <c r="IE51" s="1495"/>
      <c r="IF51" s="1495"/>
      <c r="IG51" s="1495"/>
      <c r="IH51" s="1495"/>
      <c r="II51" s="1495"/>
      <c r="IJ51" s="1495"/>
      <c r="IK51" s="1495"/>
      <c r="IL51" s="1495"/>
      <c r="IM51" s="1495"/>
      <c r="IN51" s="1495"/>
      <c r="IO51" s="1495"/>
      <c r="IP51" s="1495"/>
      <c r="IQ51" s="1495"/>
      <c r="IR51" s="1495"/>
      <c r="IS51" s="1495"/>
      <c r="IT51" s="1495"/>
      <c r="IU51" s="1495"/>
      <c r="IV51" s="1495"/>
      <c r="IW51" s="1495"/>
      <c r="IX51" s="1495"/>
      <c r="IY51" s="1495"/>
      <c r="IZ51" s="1495"/>
      <c r="JA51" s="1495"/>
      <c r="JB51" s="1495"/>
      <c r="JC51" s="1495"/>
      <c r="JD51" s="1495"/>
      <c r="JE51" s="1495"/>
      <c r="JF51" s="1495"/>
      <c r="JG51" s="1495"/>
      <c r="JH51" s="1495"/>
      <c r="JI51" s="1495"/>
      <c r="JJ51" s="1495"/>
      <c r="JK51" s="1495"/>
      <c r="JL51" s="1495"/>
      <c r="JM51" s="1495"/>
      <c r="JN51" s="1495"/>
      <c r="JO51" s="1495"/>
      <c r="JP51" s="1495"/>
      <c r="JQ51" s="1495"/>
      <c r="JR51" s="1495"/>
      <c r="JS51" s="1495"/>
      <c r="JT51" s="1495"/>
      <c r="JU51" s="1495"/>
      <c r="JV51" s="1495"/>
      <c r="JW51" s="1495"/>
      <c r="JX51" s="1495"/>
      <c r="JY51" s="1495"/>
      <c r="JZ51" s="1495"/>
      <c r="KA51" s="1495"/>
      <c r="KB51" s="1495"/>
      <c r="KC51" s="1495"/>
      <c r="KD51" s="1495"/>
      <c r="KE51" s="1495"/>
      <c r="KF51" s="1495"/>
      <c r="KG51" s="1495"/>
      <c r="KH51" s="1495"/>
      <c r="KI51" s="1495"/>
      <c r="KJ51" s="1495"/>
      <c r="KK51" s="1495"/>
      <c r="KL51" s="1495"/>
      <c r="KM51" s="1495"/>
      <c r="KN51" s="1495"/>
      <c r="KO51" s="1495"/>
      <c r="KP51" s="1495"/>
      <c r="KQ51" s="1495"/>
      <c r="KR51" s="1495"/>
      <c r="KS51" s="1495"/>
      <c r="KT51" s="1495"/>
      <c r="KU51" s="1495"/>
      <c r="KV51" s="1495"/>
      <c r="KW51" s="1495"/>
      <c r="KX51" s="1495"/>
      <c r="KY51" s="1495"/>
      <c r="KZ51" s="1495"/>
      <c r="LA51" s="1495"/>
      <c r="LB51" s="1495"/>
      <c r="LC51" s="1495"/>
      <c r="LD51" s="1495"/>
      <c r="LE51" s="1495"/>
    </row>
    <row r="52" spans="1:317">
      <c r="A52" s="1495"/>
      <c r="B52" s="418"/>
      <c r="C52" s="1495"/>
      <c r="D52" s="1495"/>
      <c r="E52" s="1495"/>
      <c r="F52" s="1495"/>
      <c r="G52" s="1495"/>
      <c r="H52" s="1495"/>
      <c r="I52" s="1495"/>
      <c r="J52" s="1495"/>
      <c r="K52" s="1495"/>
      <c r="L52" s="1495"/>
      <c r="M52" s="1495"/>
      <c r="N52" s="1495"/>
      <c r="O52" s="1495"/>
      <c r="P52" s="1495"/>
      <c r="Q52" s="1495"/>
      <c r="R52" s="1495"/>
      <c r="S52" s="1495"/>
      <c r="T52" s="1495"/>
      <c r="U52" s="1495"/>
      <c r="V52" s="1495"/>
      <c r="W52" s="1495"/>
      <c r="X52" s="1495"/>
      <c r="Y52" s="1495"/>
      <c r="Z52" s="1495"/>
      <c r="AA52" s="1495"/>
      <c r="AB52" s="1495"/>
      <c r="AC52" s="1495"/>
      <c r="AD52" s="1495"/>
      <c r="AE52" s="1495"/>
      <c r="AF52" s="1495"/>
      <c r="AG52" s="1495"/>
      <c r="AH52" s="1495"/>
      <c r="AI52" s="1495"/>
      <c r="AJ52" s="1495"/>
      <c r="AK52" s="1495"/>
      <c r="AL52" s="1495"/>
      <c r="AM52" s="1495"/>
      <c r="AN52" s="1495"/>
      <c r="AO52" s="1495"/>
      <c r="AP52" s="1495"/>
      <c r="AQ52" s="1495"/>
      <c r="AR52" s="1495"/>
      <c r="AS52" s="1495"/>
      <c r="AT52" s="1495"/>
      <c r="AU52" s="1495"/>
      <c r="AV52" s="1495"/>
      <c r="AW52" s="1495"/>
      <c r="AX52" s="1495"/>
      <c r="AY52" s="1495"/>
      <c r="AZ52" s="1495"/>
      <c r="BA52" s="1495"/>
      <c r="BB52" s="1495"/>
      <c r="BC52" s="1495"/>
      <c r="BD52" s="1495"/>
      <c r="BE52" s="1495"/>
      <c r="BF52" s="1495"/>
      <c r="BG52" s="1495"/>
      <c r="BH52" s="1495"/>
      <c r="BI52" s="1495"/>
      <c r="BJ52" s="1495"/>
      <c r="BK52" s="1495"/>
      <c r="BL52" s="1495"/>
      <c r="BM52" s="1495"/>
      <c r="BN52" s="1495"/>
      <c r="BO52" s="1495"/>
      <c r="BP52" s="418"/>
      <c r="BQ52" s="1495"/>
      <c r="BR52" s="1495"/>
      <c r="BS52" s="1495"/>
      <c r="BT52" s="1495"/>
      <c r="BU52" s="1495"/>
      <c r="BV52" s="1495"/>
      <c r="BW52" s="1495"/>
      <c r="BX52" s="1495"/>
      <c r="BY52" s="1495"/>
      <c r="BZ52" s="444"/>
      <c r="CA52" s="496"/>
      <c r="CB52" s="496"/>
      <c r="CC52" s="444"/>
      <c r="CD52" s="502"/>
      <c r="CE52" s="108"/>
      <c r="CF52" s="444"/>
      <c r="CG52" s="504"/>
      <c r="CH52" s="348"/>
      <c r="CI52" s="408"/>
      <c r="CJ52" s="1495"/>
      <c r="CK52" s="1495"/>
      <c r="CL52" s="1495"/>
      <c r="CM52" s="1495"/>
      <c r="CN52" s="1495"/>
      <c r="CO52" s="1495"/>
      <c r="CP52" s="1495"/>
      <c r="CQ52" s="1495"/>
      <c r="CR52" s="1495"/>
      <c r="CS52" s="1495"/>
      <c r="CT52" s="1495"/>
      <c r="CU52" s="1495"/>
      <c r="CV52" s="1495"/>
      <c r="CW52" s="1495"/>
      <c r="CX52" s="1495"/>
      <c r="CY52" s="1495"/>
      <c r="CZ52" s="1495"/>
      <c r="DA52" s="444"/>
      <c r="DB52" s="475"/>
      <c r="DC52" s="108"/>
      <c r="DD52" s="408"/>
      <c r="DE52" s="1495"/>
      <c r="DF52" s="444"/>
      <c r="DG52" s="475"/>
      <c r="DH52" s="407"/>
      <c r="DI52" s="407"/>
      <c r="DJ52" s="1495"/>
      <c r="DK52" s="1495"/>
      <c r="DL52" s="1495"/>
      <c r="DM52" s="1495"/>
      <c r="DN52" s="1495"/>
      <c r="DO52" s="1495"/>
      <c r="DP52" s="1495"/>
      <c r="DQ52" s="1495"/>
      <c r="DR52" s="1495"/>
      <c r="DS52" s="1495"/>
      <c r="DT52" s="1495"/>
      <c r="DU52" s="1495"/>
      <c r="DV52" s="1495"/>
      <c r="DW52" s="1495"/>
      <c r="DX52" s="1495"/>
      <c r="DY52" s="1495"/>
      <c r="DZ52" s="1495"/>
      <c r="EA52" s="1495"/>
      <c r="EB52" s="1495"/>
      <c r="EC52" s="1495"/>
      <c r="ED52" s="1495"/>
      <c r="EE52" s="1495"/>
      <c r="EF52" s="1495"/>
      <c r="EG52" s="1495"/>
      <c r="EH52" s="1495"/>
      <c r="EI52" s="1495"/>
      <c r="EJ52" s="1495"/>
      <c r="EK52" s="1495"/>
      <c r="EL52" s="407"/>
      <c r="EM52" s="1495"/>
      <c r="EN52" s="407"/>
      <c r="EO52" s="1495"/>
      <c r="EP52" s="1495"/>
      <c r="EQ52" s="1495"/>
      <c r="ER52" s="1495"/>
      <c r="ES52" s="1495"/>
      <c r="ET52" s="1495"/>
      <c r="EU52" s="1495"/>
      <c r="EV52" s="1495"/>
      <c r="EW52" s="1495"/>
      <c r="EX52" s="1495"/>
      <c r="EY52" s="1495"/>
      <c r="EZ52" s="1495"/>
      <c r="FA52" s="1495"/>
      <c r="FB52" s="1495"/>
      <c r="FC52" s="1495"/>
      <c r="FD52" s="1495"/>
      <c r="FE52" s="1495"/>
      <c r="FF52" s="1495"/>
      <c r="FG52" s="1495"/>
      <c r="FH52" s="1495"/>
      <c r="FI52" s="1495"/>
      <c r="FJ52" s="1495"/>
      <c r="FK52" s="1495"/>
      <c r="FL52" s="1495"/>
      <c r="FM52" s="1495"/>
      <c r="FN52" s="1495"/>
      <c r="FO52" s="1495"/>
      <c r="FP52" s="1495"/>
      <c r="FQ52" s="1495"/>
      <c r="FR52" s="1495"/>
      <c r="FS52" s="1495"/>
      <c r="FT52" s="1495"/>
      <c r="FU52" s="1495"/>
      <c r="FV52" s="1495"/>
      <c r="FW52" s="1495"/>
      <c r="FX52" s="1495"/>
      <c r="FY52" s="1495"/>
      <c r="FZ52" s="1495"/>
      <c r="GA52" s="1495"/>
      <c r="GB52" s="1495"/>
      <c r="GC52" s="1495"/>
      <c r="GD52" s="1495"/>
      <c r="GE52" s="1495"/>
      <c r="GF52" s="1495"/>
      <c r="GG52" s="1495"/>
      <c r="GH52" s="1495" t="s">
        <v>19</v>
      </c>
      <c r="GI52" s="362">
        <f>GI16</f>
        <v>250560.15</v>
      </c>
      <c r="GJ52" s="362">
        <f>GJ16</f>
        <v>117207.37720000002</v>
      </c>
      <c r="GK52" s="362">
        <f t="shared" ref="GK52:GK53" si="371">GI52-GJ52</f>
        <v>133352.77279999998</v>
      </c>
      <c r="GL52" s="1479">
        <f t="shared" ref="GL52:GL54" si="372">GJ52/GI52</f>
        <v>0.4677813978000892</v>
      </c>
      <c r="GM52" s="1495"/>
      <c r="GN52" s="1495"/>
      <c r="GO52" s="1495"/>
      <c r="GP52" s="1495"/>
      <c r="GQ52" s="1495"/>
      <c r="GR52" s="1495"/>
      <c r="GS52" s="1495"/>
      <c r="GT52" s="1495"/>
      <c r="GU52" s="1495"/>
      <c r="GV52" s="1495"/>
      <c r="GW52" s="1495"/>
      <c r="GX52" s="1495"/>
      <c r="GY52" s="1495"/>
      <c r="GZ52" s="1495"/>
      <c r="HA52" s="1495"/>
      <c r="HB52" s="1495"/>
      <c r="HC52" s="1495"/>
      <c r="HD52" s="1495"/>
      <c r="HE52" s="1495"/>
      <c r="HF52" s="1495"/>
      <c r="HG52" s="1495"/>
      <c r="HH52" s="1495"/>
      <c r="HI52" s="1495"/>
      <c r="HJ52" s="1495"/>
      <c r="HK52" s="1495"/>
      <c r="HL52" s="1495"/>
      <c r="HM52" s="1495"/>
      <c r="HN52" s="1495"/>
      <c r="HO52" s="1495"/>
      <c r="HP52" s="1495"/>
      <c r="HQ52" s="1495"/>
      <c r="HR52" s="1495"/>
      <c r="HS52" s="1495"/>
      <c r="HT52" s="1495"/>
      <c r="HU52" s="1495"/>
      <c r="HV52" s="1495"/>
      <c r="HW52" s="1495"/>
      <c r="HX52" s="1495"/>
      <c r="HY52" s="1495"/>
      <c r="HZ52" s="1495"/>
      <c r="IA52" s="1495"/>
      <c r="IB52" s="1495"/>
      <c r="IC52" s="1495"/>
      <c r="ID52" s="1495"/>
      <c r="IE52" s="1495"/>
      <c r="IF52" s="1495"/>
      <c r="IG52" s="1495"/>
      <c r="IH52" s="1495"/>
      <c r="II52" s="1495"/>
      <c r="IJ52" s="1495"/>
      <c r="IK52" s="1495"/>
      <c r="IL52" s="1495"/>
      <c r="IM52" s="1495"/>
      <c r="IN52" s="1495"/>
      <c r="IO52" s="1495"/>
      <c r="IP52" s="1495"/>
      <c r="IQ52" s="1495"/>
      <c r="IR52" s="1495"/>
      <c r="IS52" s="1495"/>
      <c r="IT52" s="1495"/>
      <c r="IU52" s="1495"/>
      <c r="IV52" s="1495"/>
      <c r="IW52" s="1495"/>
      <c r="IX52" s="1495"/>
      <c r="IY52" s="1495"/>
      <c r="IZ52" s="1495"/>
      <c r="JA52" s="1495"/>
      <c r="JB52" s="1495"/>
      <c r="JC52" s="1495"/>
      <c r="JD52" s="1495"/>
      <c r="JE52" s="1495"/>
      <c r="JF52" s="1495"/>
      <c r="JG52" s="1495"/>
      <c r="JH52" s="1495"/>
      <c r="JI52" s="1495"/>
      <c r="JJ52" s="1495"/>
      <c r="JK52" s="1495"/>
      <c r="JL52" s="1495"/>
      <c r="JM52" s="1495"/>
      <c r="JN52" s="1495"/>
      <c r="JO52" s="1495"/>
      <c r="JP52" s="1495"/>
      <c r="JQ52" s="1495"/>
      <c r="JR52" s="1495"/>
      <c r="JS52" s="1495"/>
      <c r="JT52" s="1495"/>
      <c r="JU52" s="1495"/>
      <c r="JV52" s="1495"/>
      <c r="JW52" s="1495"/>
      <c r="JX52" s="1495"/>
      <c r="JY52" s="1495"/>
      <c r="JZ52" s="1495"/>
      <c r="KA52" s="1495"/>
      <c r="KB52" s="1495"/>
      <c r="KC52" s="1495"/>
      <c r="KD52" s="1495"/>
      <c r="KE52" s="1495"/>
      <c r="KF52" s="1495"/>
      <c r="KG52" s="1495"/>
      <c r="KH52" s="1495"/>
      <c r="KI52" s="1495"/>
      <c r="KJ52" s="1495"/>
      <c r="KK52" s="1495"/>
      <c r="KL52" s="1495"/>
      <c r="KM52" s="1495"/>
      <c r="KN52" s="1495"/>
      <c r="KO52" s="1495"/>
      <c r="KP52" s="1495"/>
      <c r="KQ52" s="1495"/>
      <c r="KR52" s="1495"/>
      <c r="KS52" s="1495"/>
      <c r="KT52" s="1495"/>
      <c r="KU52" s="1495"/>
      <c r="KV52" s="1495"/>
      <c r="KW52" s="1495"/>
      <c r="KX52" s="1495"/>
      <c r="KY52" s="1495"/>
      <c r="KZ52" s="1495"/>
      <c r="LA52" s="1495"/>
      <c r="LB52" s="1495"/>
      <c r="LC52" s="1495"/>
      <c r="LD52" s="1495"/>
      <c r="LE52" s="1495"/>
    </row>
    <row r="53" spans="1:317">
      <c r="A53" s="1495"/>
      <c r="B53" s="418"/>
      <c r="C53" s="1495"/>
      <c r="D53" s="1495"/>
      <c r="E53" s="1495"/>
      <c r="F53" s="1495"/>
      <c r="G53" s="1495"/>
      <c r="H53" s="1495"/>
      <c r="I53" s="1495"/>
      <c r="J53" s="1495"/>
      <c r="K53" s="1495"/>
      <c r="L53" s="1495"/>
      <c r="M53" s="1495"/>
      <c r="N53" s="1495"/>
      <c r="O53" s="1495"/>
      <c r="P53" s="1495"/>
      <c r="Q53" s="1495"/>
      <c r="R53" s="1495"/>
      <c r="S53" s="1495"/>
      <c r="T53" s="1495"/>
      <c r="U53" s="1495"/>
      <c r="V53" s="1495"/>
      <c r="W53" s="1495"/>
      <c r="X53" s="1495"/>
      <c r="Y53" s="1495"/>
      <c r="Z53" s="1495"/>
      <c r="AA53" s="1495"/>
      <c r="AB53" s="1495"/>
      <c r="AC53" s="1495"/>
      <c r="AD53" s="1495"/>
      <c r="AE53" s="1495"/>
      <c r="AF53" s="1495"/>
      <c r="AG53" s="1495"/>
      <c r="AH53" s="1495"/>
      <c r="AI53" s="1495"/>
      <c r="AJ53" s="1495"/>
      <c r="AK53" s="1495"/>
      <c r="AL53" s="1495"/>
      <c r="AM53" s="1495"/>
      <c r="AN53" s="1495"/>
      <c r="AO53" s="1495"/>
      <c r="AP53" s="1495"/>
      <c r="AQ53" s="1495"/>
      <c r="AR53" s="1495"/>
      <c r="AS53" s="1495"/>
      <c r="AT53" s="1495"/>
      <c r="AU53" s="1495"/>
      <c r="AV53" s="1495"/>
      <c r="AW53" s="1495"/>
      <c r="AX53" s="1495"/>
      <c r="AY53" s="1495"/>
      <c r="AZ53" s="1495"/>
      <c r="BA53" s="1495"/>
      <c r="BB53" s="1495"/>
      <c r="BC53" s="1495"/>
      <c r="BD53" s="1495"/>
      <c r="BE53" s="1495"/>
      <c r="BF53" s="1495"/>
      <c r="BG53" s="1495"/>
      <c r="BH53" s="1495"/>
      <c r="BI53" s="1495"/>
      <c r="BJ53" s="1495"/>
      <c r="BK53" s="1495"/>
      <c r="BL53" s="1495"/>
      <c r="BM53" s="1495"/>
      <c r="BN53" s="1495"/>
      <c r="BO53" s="1495"/>
      <c r="BP53" s="418"/>
      <c r="BQ53" s="1495"/>
      <c r="BR53" s="1495"/>
      <c r="BS53" s="1495"/>
      <c r="BT53" s="1495"/>
      <c r="BU53" s="1495"/>
      <c r="BV53" s="1495"/>
      <c r="BW53" s="1495"/>
      <c r="BX53" s="1495"/>
      <c r="BY53" s="1495"/>
      <c r="BZ53" s="444"/>
      <c r="CA53" s="496"/>
      <c r="CB53" s="496"/>
      <c r="CC53" s="444"/>
      <c r="CD53" s="502"/>
      <c r="CE53" s="108"/>
      <c r="CF53" s="444"/>
      <c r="CG53" s="504"/>
      <c r="CH53" s="348"/>
      <c r="CI53" s="408"/>
      <c r="CJ53" s="1495"/>
      <c r="CK53" s="1495"/>
      <c r="CL53" s="1495"/>
      <c r="CM53" s="1495"/>
      <c r="CN53" s="1495"/>
      <c r="CO53" s="1495"/>
      <c r="CP53" s="1495"/>
      <c r="CQ53" s="1495"/>
      <c r="CR53" s="1495"/>
      <c r="CS53" s="1495"/>
      <c r="CT53" s="1495"/>
      <c r="CU53" s="1495"/>
      <c r="CV53" s="1495"/>
      <c r="CW53" s="1495"/>
      <c r="CX53" s="1495"/>
      <c r="CY53" s="1495"/>
      <c r="CZ53" s="1495"/>
      <c r="DA53" s="444"/>
      <c r="DB53" s="475"/>
      <c r="DC53" s="108"/>
      <c r="DD53" s="408"/>
      <c r="DE53" s="1495"/>
      <c r="DF53" s="444"/>
      <c r="DG53" s="475"/>
      <c r="DH53" s="407"/>
      <c r="DI53" s="407"/>
      <c r="DJ53" s="1495"/>
      <c r="DK53" s="1495"/>
      <c r="DL53" s="1495"/>
      <c r="DM53" s="1495"/>
      <c r="DN53" s="1495"/>
      <c r="DO53" s="1495"/>
      <c r="DP53" s="1495"/>
      <c r="DQ53" s="1495"/>
      <c r="DR53" s="1495"/>
      <c r="DS53" s="1495"/>
      <c r="DT53" s="1495"/>
      <c r="DU53" s="1495"/>
      <c r="DV53" s="1495"/>
      <c r="DW53" s="1495"/>
      <c r="DX53" s="1495"/>
      <c r="DY53" s="1495"/>
      <c r="DZ53" s="1495"/>
      <c r="EA53" s="1495"/>
      <c r="EB53" s="1495"/>
      <c r="EC53" s="1495"/>
      <c r="ED53" s="1495"/>
      <c r="EE53" s="1495"/>
      <c r="EF53" s="1495"/>
      <c r="EG53" s="1495"/>
      <c r="EH53" s="1495"/>
      <c r="EI53" s="1495"/>
      <c r="EJ53" s="1495"/>
      <c r="EK53" s="1495"/>
      <c r="EL53" s="407"/>
      <c r="EM53" s="1495"/>
      <c r="EN53" s="407"/>
      <c r="EO53" s="1495"/>
      <c r="EP53" s="1495"/>
      <c r="EQ53" s="1495"/>
      <c r="ER53" s="1495"/>
      <c r="ES53" s="1495"/>
      <c r="ET53" s="1495"/>
      <c r="EU53" s="1495"/>
      <c r="EV53" s="1495"/>
      <c r="EW53" s="1495"/>
      <c r="EX53" s="1495"/>
      <c r="EY53" s="1495"/>
      <c r="EZ53" s="1495"/>
      <c r="FA53" s="1495"/>
      <c r="FB53" s="1495"/>
      <c r="FC53" s="1495"/>
      <c r="FD53" s="1495"/>
      <c r="FE53" s="1495"/>
      <c r="FF53" s="1495"/>
      <c r="FG53" s="1495"/>
      <c r="FH53" s="1495"/>
      <c r="FI53" s="1495"/>
      <c r="FJ53" s="1495"/>
      <c r="FK53" s="1495"/>
      <c r="FL53" s="1495"/>
      <c r="FM53" s="1495"/>
      <c r="FN53" s="1495"/>
      <c r="FO53" s="1495"/>
      <c r="FP53" s="1495"/>
      <c r="FQ53" s="1495"/>
      <c r="FR53" s="1495"/>
      <c r="FS53" s="1495"/>
      <c r="FT53" s="1495"/>
      <c r="FU53" s="1495"/>
      <c r="FV53" s="1495"/>
      <c r="FW53" s="1495"/>
      <c r="FX53" s="1495"/>
      <c r="FY53" s="1495"/>
      <c r="FZ53" s="1495"/>
      <c r="GA53" s="1495"/>
      <c r="GB53" s="1495"/>
      <c r="GC53" s="1495"/>
      <c r="GD53" s="1495"/>
      <c r="GE53" s="1495"/>
      <c r="GF53" s="1495"/>
      <c r="GG53" s="1495"/>
      <c r="GH53" s="1495" t="s">
        <v>37</v>
      </c>
      <c r="GI53" s="362">
        <f>GI34</f>
        <v>138441.95000000001</v>
      </c>
      <c r="GJ53" s="362">
        <f>GJ34</f>
        <v>47171.692800000004</v>
      </c>
      <c r="GK53" s="362">
        <f t="shared" si="371"/>
        <v>91270.257200000007</v>
      </c>
      <c r="GL53" s="1479">
        <f t="shared" si="372"/>
        <v>0.3407326522054912</v>
      </c>
      <c r="GM53" s="1495"/>
      <c r="GN53" s="1495"/>
      <c r="GO53" s="1495"/>
      <c r="GP53" s="1495"/>
      <c r="GQ53" s="1495"/>
      <c r="GR53" s="1495"/>
      <c r="GS53" s="1495"/>
      <c r="GT53" s="1495"/>
      <c r="GU53" s="1495"/>
      <c r="GV53" s="1495"/>
      <c r="GW53" s="1495"/>
      <c r="GX53" s="1495"/>
      <c r="GY53" s="1495"/>
      <c r="GZ53" s="1495"/>
      <c r="HA53" s="1495"/>
      <c r="HB53" s="1495"/>
      <c r="HC53" s="1495"/>
      <c r="HD53" s="1495"/>
      <c r="HE53" s="1495"/>
      <c r="HF53" s="1495"/>
      <c r="HG53" s="1495"/>
      <c r="HH53" s="1495"/>
      <c r="HI53" s="1495"/>
      <c r="HJ53" s="1495"/>
      <c r="HK53" s="1495"/>
      <c r="HL53" s="1495"/>
      <c r="HM53" s="1495"/>
      <c r="HN53" s="1495"/>
      <c r="HO53" s="1495"/>
      <c r="HP53" s="1495"/>
      <c r="HQ53" s="1495"/>
      <c r="HR53" s="1495"/>
      <c r="HS53" s="1495"/>
      <c r="HT53" s="1495"/>
      <c r="HU53" s="1495"/>
      <c r="HV53" s="1495"/>
      <c r="HW53" s="1495"/>
      <c r="HX53" s="1495"/>
      <c r="HY53" s="1495"/>
      <c r="HZ53" s="1495"/>
      <c r="IA53" s="1495"/>
      <c r="IB53" s="1495"/>
      <c r="IC53" s="1495"/>
      <c r="ID53" s="1495"/>
      <c r="IE53" s="1495"/>
      <c r="IF53" s="1495"/>
      <c r="IG53" s="1495"/>
      <c r="IH53" s="1495"/>
      <c r="II53" s="1495"/>
      <c r="IJ53" s="1495"/>
      <c r="IK53" s="1495"/>
      <c r="IL53" s="1495"/>
      <c r="IM53" s="1495"/>
      <c r="IN53" s="1495"/>
      <c r="IO53" s="1495"/>
      <c r="IP53" s="1495"/>
      <c r="IQ53" s="1495"/>
      <c r="IR53" s="1495"/>
      <c r="IS53" s="1495"/>
      <c r="IT53" s="1495"/>
      <c r="IU53" s="1495"/>
      <c r="IV53" s="1495"/>
      <c r="IW53" s="1495"/>
      <c r="IX53" s="1495"/>
      <c r="IY53" s="1495"/>
      <c r="IZ53" s="1495"/>
      <c r="JA53" s="1495"/>
      <c r="JB53" s="1495"/>
      <c r="JC53" s="1495"/>
      <c r="JD53" s="1495"/>
      <c r="JE53" s="1495"/>
      <c r="JF53" s="1495"/>
      <c r="JG53" s="1495"/>
      <c r="JH53" s="1495"/>
      <c r="JI53" s="1495"/>
      <c r="JJ53" s="1495"/>
      <c r="JK53" s="1495"/>
      <c r="JL53" s="1495"/>
      <c r="JM53" s="1495"/>
      <c r="JN53" s="1495"/>
      <c r="JO53" s="1495"/>
      <c r="JP53" s="1495"/>
      <c r="JQ53" s="1495"/>
      <c r="JR53" s="1495"/>
      <c r="JS53" s="1495"/>
      <c r="JT53" s="1495"/>
      <c r="JU53" s="1495"/>
      <c r="JV53" s="1495"/>
      <c r="JW53" s="1495"/>
      <c r="JX53" s="1495"/>
      <c r="JY53" s="1495"/>
      <c r="JZ53" s="1495"/>
      <c r="KA53" s="1495"/>
      <c r="KB53" s="1495"/>
      <c r="KC53" s="1495"/>
      <c r="KD53" s="1495"/>
      <c r="KE53" s="1495"/>
      <c r="KF53" s="1495"/>
      <c r="KG53" s="1495"/>
      <c r="KH53" s="1495"/>
      <c r="KI53" s="1495"/>
      <c r="KJ53" s="1495"/>
      <c r="KK53" s="1495"/>
      <c r="KL53" s="1495"/>
      <c r="KM53" s="1495"/>
      <c r="KN53" s="1495"/>
      <c r="KO53" s="1495"/>
      <c r="KP53" s="1495"/>
      <c r="KQ53" s="1495"/>
      <c r="KR53" s="1495"/>
      <c r="KS53" s="1495"/>
      <c r="KT53" s="1495"/>
      <c r="KU53" s="1495"/>
      <c r="KV53" s="1495"/>
      <c r="KW53" s="1495"/>
      <c r="KX53" s="1495"/>
      <c r="KY53" s="1495"/>
      <c r="KZ53" s="1495"/>
      <c r="LA53" s="1495"/>
      <c r="LB53" s="1495"/>
      <c r="LC53" s="1495"/>
      <c r="LD53" s="1495"/>
      <c r="LE53" s="1495"/>
    </row>
    <row r="54" spans="1:317">
      <c r="A54" s="1495"/>
      <c r="B54" s="418"/>
      <c r="C54" s="1495"/>
      <c r="D54" s="1495"/>
      <c r="E54" s="1495"/>
      <c r="F54" s="1495"/>
      <c r="G54" s="1495"/>
      <c r="H54" s="1495"/>
      <c r="I54" s="1495"/>
      <c r="J54" s="1495"/>
      <c r="K54" s="1495"/>
      <c r="L54" s="1495"/>
      <c r="M54" s="1495"/>
      <c r="N54" s="1495"/>
      <c r="O54" s="1495"/>
      <c r="P54" s="1495"/>
      <c r="Q54" s="1495"/>
      <c r="R54" s="1495"/>
      <c r="S54" s="1495"/>
      <c r="T54" s="1495"/>
      <c r="U54" s="1495"/>
      <c r="V54" s="1495"/>
      <c r="W54" s="1495"/>
      <c r="X54" s="1495"/>
      <c r="Y54" s="1495"/>
      <c r="Z54" s="1495"/>
      <c r="AA54" s="1495"/>
      <c r="AB54" s="1495"/>
      <c r="AC54" s="1495"/>
      <c r="AD54" s="1495"/>
      <c r="AE54" s="1495"/>
      <c r="AF54" s="1495"/>
      <c r="AG54" s="1495"/>
      <c r="AH54" s="1495"/>
      <c r="AI54" s="1495"/>
      <c r="AJ54" s="1495"/>
      <c r="AK54" s="1495"/>
      <c r="AL54" s="1495"/>
      <c r="AM54" s="1495"/>
      <c r="AN54" s="1495"/>
      <c r="AO54" s="1495"/>
      <c r="AP54" s="1495"/>
      <c r="AQ54" s="1495"/>
      <c r="AR54" s="1495"/>
      <c r="AS54" s="1495"/>
      <c r="AT54" s="1495"/>
      <c r="AU54" s="1495"/>
      <c r="AV54" s="1495"/>
      <c r="AW54" s="1495"/>
      <c r="AX54" s="1495"/>
      <c r="AY54" s="1495"/>
      <c r="AZ54" s="1495"/>
      <c r="BA54" s="1495"/>
      <c r="BB54" s="1495"/>
      <c r="BC54" s="1495"/>
      <c r="BD54" s="1495"/>
      <c r="BE54" s="1495"/>
      <c r="BF54" s="1495"/>
      <c r="BG54" s="1495"/>
      <c r="BH54" s="1495"/>
      <c r="BI54" s="1495"/>
      <c r="BJ54" s="1495"/>
      <c r="BK54" s="1495"/>
      <c r="BL54" s="1495"/>
      <c r="BM54" s="1495"/>
      <c r="BN54" s="1495"/>
      <c r="BO54" s="1495"/>
      <c r="BP54" s="418"/>
      <c r="BQ54" s="1495"/>
      <c r="BR54" s="1495"/>
      <c r="BS54" s="1495"/>
      <c r="BT54" s="1495"/>
      <c r="BU54" s="1495"/>
      <c r="BV54" s="1495"/>
      <c r="BW54" s="1495"/>
      <c r="BX54" s="1495"/>
      <c r="BY54" s="1495"/>
      <c r="BZ54" s="444"/>
      <c r="CA54" s="496"/>
      <c r="CB54" s="496"/>
      <c r="CC54" s="444"/>
      <c r="CD54" s="502"/>
      <c r="CE54" s="108"/>
      <c r="CF54" s="444"/>
      <c r="CG54" s="504"/>
      <c r="CH54" s="348"/>
      <c r="CI54" s="408"/>
      <c r="CJ54" s="1495"/>
      <c r="CK54" s="1495"/>
      <c r="CL54" s="1495"/>
      <c r="CM54" s="1495"/>
      <c r="CN54" s="1495"/>
      <c r="CO54" s="1495"/>
      <c r="CP54" s="1495"/>
      <c r="CQ54" s="1495"/>
      <c r="CR54" s="1495"/>
      <c r="CS54" s="1495"/>
      <c r="CT54" s="1495"/>
      <c r="CU54" s="1495"/>
      <c r="CV54" s="1495"/>
      <c r="CW54" s="1495"/>
      <c r="CX54" s="1495"/>
      <c r="CY54" s="1495"/>
      <c r="CZ54" s="1495"/>
      <c r="DA54" s="444"/>
      <c r="DB54" s="475"/>
      <c r="DC54" s="108"/>
      <c r="DD54" s="408"/>
      <c r="DE54" s="1495"/>
      <c r="DF54" s="444"/>
      <c r="DG54" s="475"/>
      <c r="DH54" s="407"/>
      <c r="DI54" s="407"/>
      <c r="DJ54" s="1495"/>
      <c r="DK54" s="1495"/>
      <c r="DL54" s="1495"/>
      <c r="DM54" s="1495"/>
      <c r="DN54" s="1495"/>
      <c r="DO54" s="1495"/>
      <c r="DP54" s="1495"/>
      <c r="DQ54" s="1495"/>
      <c r="DR54" s="1495"/>
      <c r="DS54" s="1495"/>
      <c r="DT54" s="1495"/>
      <c r="DU54" s="1495"/>
      <c r="DV54" s="1495"/>
      <c r="DW54" s="1495"/>
      <c r="DX54" s="1495"/>
      <c r="DY54" s="1495"/>
      <c r="DZ54" s="1495"/>
      <c r="EA54" s="1495"/>
      <c r="EB54" s="1495"/>
      <c r="EC54" s="1495"/>
      <c r="ED54" s="1495"/>
      <c r="EE54" s="1495"/>
      <c r="EF54" s="1495"/>
      <c r="EG54" s="1495"/>
      <c r="EH54" s="1495"/>
      <c r="EI54" s="1495"/>
      <c r="EJ54" s="1495"/>
      <c r="EK54" s="1495"/>
      <c r="EL54" s="407"/>
      <c r="EM54" s="1495"/>
      <c r="EN54" s="407"/>
      <c r="EO54" s="1495"/>
      <c r="EP54" s="1495"/>
      <c r="EQ54" s="1495"/>
      <c r="ER54" s="1495"/>
      <c r="ES54" s="1495"/>
      <c r="ET54" s="1495"/>
      <c r="EU54" s="1495"/>
      <c r="EV54" s="1495"/>
      <c r="EW54" s="1495"/>
      <c r="EX54" s="1495"/>
      <c r="EY54" s="1495"/>
      <c r="EZ54" s="1495"/>
      <c r="FA54" s="1495"/>
      <c r="FB54" s="1495"/>
      <c r="FC54" s="1495"/>
      <c r="FD54" s="1495"/>
      <c r="FE54" s="1495"/>
      <c r="FF54" s="1495"/>
      <c r="FG54" s="1495"/>
      <c r="FH54" s="1495"/>
      <c r="FI54" s="1495"/>
      <c r="FJ54" s="1495"/>
      <c r="FK54" s="1495"/>
      <c r="FL54" s="1495"/>
      <c r="FM54" s="1495"/>
      <c r="FN54" s="1495"/>
      <c r="FO54" s="1495"/>
      <c r="FP54" s="1495"/>
      <c r="FQ54" s="1495"/>
      <c r="FR54" s="1495"/>
      <c r="FS54" s="1495"/>
      <c r="FT54" s="1495"/>
      <c r="FU54" s="1495"/>
      <c r="FV54" s="1495"/>
      <c r="FW54" s="1495"/>
      <c r="FX54" s="1495"/>
      <c r="FY54" s="1495"/>
      <c r="FZ54" s="1495"/>
      <c r="GA54" s="1495"/>
      <c r="GB54" s="1495"/>
      <c r="GC54" s="1495"/>
      <c r="GD54" s="1495"/>
      <c r="GE54" s="1495"/>
      <c r="GF54" s="1495"/>
      <c r="GG54" s="1495"/>
      <c r="GH54" s="1495"/>
      <c r="GI54" s="362">
        <f>GI51+GI52+GI53</f>
        <v>499218.35000000003</v>
      </c>
      <c r="GJ54" s="362">
        <f>GJ51+GJ52+GJ53</f>
        <v>252552.07</v>
      </c>
      <c r="GK54" s="362">
        <f>GK51+GK52+GK53</f>
        <v>246666.27999999997</v>
      </c>
      <c r="GL54" s="1479">
        <f t="shared" si="372"/>
        <v>0.5058950056623519</v>
      </c>
      <c r="GM54" s="1495"/>
      <c r="GN54" s="1495"/>
      <c r="GO54" s="1495"/>
      <c r="GP54" s="1495"/>
      <c r="GQ54" s="1495"/>
      <c r="GR54" s="1495"/>
      <c r="GS54" s="1495"/>
      <c r="GT54" s="1495"/>
      <c r="GU54" s="1495"/>
      <c r="GV54" s="1495"/>
      <c r="GW54" s="1495"/>
      <c r="GX54" s="1495"/>
      <c r="GY54" s="1495"/>
      <c r="GZ54" s="1495"/>
      <c r="HA54" s="1495"/>
      <c r="HB54" s="1495"/>
      <c r="HC54" s="1495"/>
      <c r="HD54" s="1495"/>
      <c r="HE54" s="1495"/>
      <c r="HF54" s="1495"/>
      <c r="HG54" s="1495"/>
      <c r="HH54" s="1495"/>
      <c r="HI54" s="1495"/>
      <c r="HJ54" s="1495"/>
      <c r="HK54" s="1495"/>
      <c r="HL54" s="1495"/>
      <c r="HM54" s="1495"/>
      <c r="HN54" s="1495"/>
      <c r="HO54" s="1495"/>
      <c r="HP54" s="1495"/>
      <c r="HQ54" s="1495"/>
      <c r="HR54" s="1495"/>
      <c r="HS54" s="1495"/>
      <c r="HT54" s="1495"/>
      <c r="HU54" s="1495"/>
      <c r="HV54" s="1495"/>
      <c r="HW54" s="1495"/>
      <c r="HX54" s="1495"/>
      <c r="HY54" s="1495"/>
      <c r="HZ54" s="1495"/>
      <c r="IA54" s="1495"/>
      <c r="IB54" s="1495"/>
      <c r="IC54" s="1495"/>
      <c r="ID54" s="1495"/>
      <c r="IE54" s="1495"/>
      <c r="IF54" s="1495"/>
      <c r="IG54" s="1495"/>
      <c r="IH54" s="1495"/>
      <c r="II54" s="1495"/>
      <c r="IJ54" s="1495"/>
      <c r="IK54" s="1495"/>
      <c r="IL54" s="1495"/>
      <c r="IM54" s="1495"/>
      <c r="IN54" s="1495"/>
      <c r="IO54" s="1495"/>
      <c r="IP54" s="1495"/>
      <c r="IQ54" s="1495"/>
      <c r="IR54" s="1495"/>
      <c r="IS54" s="1495"/>
      <c r="IT54" s="1495"/>
      <c r="IU54" s="1495"/>
      <c r="IV54" s="1495"/>
      <c r="IW54" s="1495"/>
      <c r="IX54" s="1495"/>
      <c r="IY54" s="1495"/>
      <c r="IZ54" s="1495"/>
      <c r="JA54" s="1495"/>
      <c r="JB54" s="1495"/>
      <c r="JC54" s="1495"/>
      <c r="JD54" s="1495"/>
      <c r="JE54" s="1495"/>
      <c r="JF54" s="1495"/>
      <c r="JG54" s="1495"/>
      <c r="JH54" s="1495"/>
      <c r="JI54" s="1495"/>
      <c r="JJ54" s="1495"/>
      <c r="JK54" s="1495"/>
      <c r="JL54" s="1495"/>
      <c r="JM54" s="1495"/>
      <c r="JN54" s="1495"/>
      <c r="JO54" s="1495"/>
      <c r="JP54" s="1495"/>
      <c r="JQ54" s="1495"/>
      <c r="JR54" s="1495"/>
      <c r="JS54" s="1495"/>
      <c r="JT54" s="1495"/>
      <c r="JU54" s="1495"/>
      <c r="JV54" s="1495"/>
      <c r="JW54" s="1495"/>
      <c r="JX54" s="1495"/>
      <c r="JY54" s="1495"/>
      <c r="JZ54" s="1495"/>
      <c r="KA54" s="1495"/>
      <c r="KB54" s="1495"/>
      <c r="KC54" s="1495"/>
      <c r="KD54" s="1495"/>
      <c r="KE54" s="1495"/>
      <c r="KF54" s="1495"/>
      <c r="KG54" s="1495"/>
      <c r="KH54" s="1495"/>
      <c r="KI54" s="1495"/>
      <c r="KJ54" s="1495"/>
      <c r="KK54" s="1495"/>
      <c r="KL54" s="1495"/>
      <c r="KM54" s="1495"/>
      <c r="KN54" s="1495"/>
      <c r="KO54" s="1495"/>
      <c r="KP54" s="1495"/>
      <c r="KQ54" s="1495"/>
      <c r="KR54" s="1495"/>
      <c r="KS54" s="1495"/>
      <c r="KT54" s="1495"/>
      <c r="KU54" s="1495"/>
      <c r="KV54" s="1495"/>
      <c r="KW54" s="1495"/>
      <c r="KX54" s="1495"/>
      <c r="KY54" s="1495"/>
      <c r="KZ54" s="1495"/>
      <c r="LA54" s="1495"/>
      <c r="LB54" s="1495"/>
      <c r="LC54" s="1495"/>
      <c r="LD54" s="1495"/>
      <c r="LE54" s="1495"/>
    </row>
    <row r="55" spans="1:317">
      <c r="A55" s="1495"/>
      <c r="B55" s="418"/>
      <c r="C55" s="1495"/>
      <c r="D55" s="1495"/>
      <c r="E55" s="1495"/>
      <c r="F55" s="1495"/>
      <c r="G55" s="1495"/>
      <c r="H55" s="1495"/>
      <c r="I55" s="1495"/>
      <c r="J55" s="1495"/>
      <c r="K55" s="1495"/>
      <c r="L55" s="1495"/>
      <c r="M55" s="1495"/>
      <c r="N55" s="1495"/>
      <c r="O55" s="1495"/>
      <c r="P55" s="1495"/>
      <c r="Q55" s="1495"/>
      <c r="R55" s="1495"/>
      <c r="S55" s="1495"/>
      <c r="T55" s="1495"/>
      <c r="U55" s="1495"/>
      <c r="V55" s="1495"/>
      <c r="W55" s="1495"/>
      <c r="X55" s="1495"/>
      <c r="Y55" s="1495"/>
      <c r="Z55" s="1495"/>
      <c r="AA55" s="1495"/>
      <c r="AB55" s="1495"/>
      <c r="AC55" s="1495"/>
      <c r="AD55" s="1495"/>
      <c r="AE55" s="1495"/>
      <c r="AF55" s="1495"/>
      <c r="AG55" s="1495"/>
      <c r="AH55" s="1495"/>
      <c r="AI55" s="1495"/>
      <c r="AJ55" s="1495"/>
      <c r="AK55" s="1495"/>
      <c r="AL55" s="1495"/>
      <c r="AM55" s="1495"/>
      <c r="AN55" s="1495"/>
      <c r="AO55" s="1495"/>
      <c r="AP55" s="1495"/>
      <c r="AQ55" s="1495"/>
      <c r="AR55" s="1495"/>
      <c r="AS55" s="1495"/>
      <c r="AT55" s="1495"/>
      <c r="AU55" s="1495"/>
      <c r="AV55" s="1495"/>
      <c r="AW55" s="1495"/>
      <c r="AX55" s="1495"/>
      <c r="AY55" s="1495"/>
      <c r="AZ55" s="1495"/>
      <c r="BA55" s="1495"/>
      <c r="BB55" s="1495"/>
      <c r="BC55" s="1495"/>
      <c r="BD55" s="1495"/>
      <c r="BE55" s="1495"/>
      <c r="BF55" s="1495"/>
      <c r="BG55" s="1495"/>
      <c r="BH55" s="1495"/>
      <c r="BI55" s="1495"/>
      <c r="BJ55" s="1495"/>
      <c r="BK55" s="1495"/>
      <c r="BL55" s="1495"/>
      <c r="BM55" s="1495"/>
      <c r="BN55" s="1495"/>
      <c r="BO55" s="1495"/>
      <c r="BP55" s="418"/>
      <c r="BQ55" s="1495"/>
      <c r="BR55" s="1495"/>
      <c r="BS55" s="1495"/>
      <c r="BT55" s="1495"/>
      <c r="BU55" s="1495"/>
      <c r="BV55" s="1495"/>
      <c r="BW55" s="1495"/>
      <c r="BX55" s="1495"/>
      <c r="BY55" s="1495"/>
      <c r="BZ55" s="444"/>
      <c r="CA55" s="496"/>
      <c r="CB55" s="496"/>
      <c r="CC55" s="444"/>
      <c r="CD55" s="502"/>
      <c r="CE55" s="108"/>
      <c r="CF55" s="444"/>
      <c r="CG55" s="504"/>
      <c r="CH55" s="348"/>
      <c r="CI55" s="408"/>
      <c r="CJ55" s="1495"/>
      <c r="CK55" s="1495"/>
      <c r="CL55" s="1495"/>
      <c r="CM55" s="1495"/>
      <c r="CN55" s="1495"/>
      <c r="CO55" s="1495"/>
      <c r="CP55" s="1495"/>
      <c r="CQ55" s="1495"/>
      <c r="CR55" s="1495"/>
      <c r="CS55" s="1495"/>
      <c r="CT55" s="1495"/>
      <c r="CU55" s="1495"/>
      <c r="CV55" s="1495"/>
      <c r="CW55" s="1495"/>
      <c r="CX55" s="1495"/>
      <c r="CY55" s="1495"/>
      <c r="CZ55" s="1495"/>
      <c r="DA55" s="444"/>
      <c r="DB55" s="475"/>
      <c r="DC55" s="108"/>
      <c r="DD55" s="408"/>
      <c r="DE55" s="1495"/>
      <c r="DF55" s="444"/>
      <c r="DG55" s="475"/>
      <c r="DH55" s="407"/>
      <c r="DI55" s="407"/>
      <c r="DJ55" s="1495"/>
      <c r="DK55" s="1495"/>
      <c r="DL55" s="1495"/>
      <c r="DM55" s="1495"/>
      <c r="DN55" s="1495"/>
      <c r="DO55" s="1495"/>
      <c r="DP55" s="1495"/>
      <c r="DQ55" s="1495"/>
      <c r="DR55" s="1495"/>
      <c r="DS55" s="1495"/>
      <c r="DT55" s="1495"/>
      <c r="DU55" s="1495"/>
      <c r="DV55" s="1495"/>
      <c r="DW55" s="1495"/>
      <c r="DX55" s="1495"/>
      <c r="DY55" s="1495"/>
      <c r="DZ55" s="1495"/>
      <c r="EA55" s="1495"/>
      <c r="EB55" s="1495"/>
      <c r="EC55" s="1495"/>
      <c r="ED55" s="1495"/>
      <c r="EE55" s="1495"/>
      <c r="EF55" s="1495"/>
      <c r="EG55" s="1495"/>
      <c r="EH55" s="1495"/>
      <c r="EI55" s="1495"/>
      <c r="EJ55" s="1495"/>
      <c r="EK55" s="1495"/>
      <c r="EL55" s="407"/>
      <c r="EM55" s="1495"/>
      <c r="EN55" s="407"/>
      <c r="EO55" s="1495"/>
      <c r="EP55" s="1495"/>
      <c r="EQ55" s="1495"/>
      <c r="ER55" s="1495"/>
      <c r="ES55" s="1495"/>
      <c r="ET55" s="1495"/>
      <c r="EU55" s="1495"/>
      <c r="EV55" s="1495"/>
      <c r="EW55" s="1495"/>
      <c r="EX55" s="1495"/>
      <c r="EY55" s="1495"/>
      <c r="EZ55" s="1495"/>
      <c r="FA55" s="1495"/>
      <c r="FB55" s="1495"/>
      <c r="FC55" s="1495"/>
      <c r="FD55" s="1495"/>
      <c r="FE55" s="1495"/>
      <c r="FF55" s="1495"/>
      <c r="FG55" s="1495"/>
      <c r="FH55" s="1495"/>
      <c r="FI55" s="1495"/>
      <c r="FJ55" s="1495"/>
      <c r="FK55" s="1495"/>
      <c r="FL55" s="1495"/>
      <c r="FM55" s="1495"/>
      <c r="FN55" s="1495"/>
      <c r="FO55" s="1495"/>
      <c r="FP55" s="1495"/>
      <c r="FQ55" s="1495"/>
      <c r="FR55" s="1495"/>
      <c r="FS55" s="1495"/>
      <c r="FT55" s="1495"/>
      <c r="FU55" s="1495"/>
      <c r="FV55" s="1495"/>
      <c r="FW55" s="1495"/>
      <c r="FX55" s="1495"/>
      <c r="FY55" s="1495"/>
      <c r="FZ55" s="1495"/>
      <c r="GA55" s="1495"/>
      <c r="GB55" s="1495"/>
      <c r="GC55" s="1495"/>
      <c r="GD55" s="1495"/>
      <c r="GE55" s="1495"/>
      <c r="GF55" s="1495"/>
      <c r="GG55" s="1495"/>
      <c r="GH55" s="1495"/>
      <c r="GI55" s="1495"/>
      <c r="GJ55" s="1495"/>
      <c r="GK55" s="1495"/>
      <c r="GL55" s="1495"/>
      <c r="GM55" s="1495"/>
      <c r="GN55" s="1495"/>
      <c r="GO55" s="1495"/>
      <c r="GP55" s="1495"/>
      <c r="GQ55" s="1495"/>
      <c r="GR55" s="1495"/>
      <c r="GS55" s="1495"/>
      <c r="GT55" s="1495"/>
      <c r="GU55" s="1495"/>
      <c r="GV55" s="1495"/>
      <c r="GW55" s="1495"/>
      <c r="GX55" s="1495"/>
      <c r="GY55" s="1495"/>
      <c r="GZ55" s="1495"/>
      <c r="HA55" s="1495"/>
      <c r="HB55" s="1495"/>
      <c r="HC55" s="1495"/>
      <c r="HD55" s="1495"/>
      <c r="HE55" s="1495"/>
      <c r="HF55" s="1495"/>
      <c r="HG55" s="1495"/>
      <c r="HH55" s="1495"/>
      <c r="HI55" s="1495"/>
      <c r="HJ55" s="1495"/>
      <c r="HK55" s="1495"/>
      <c r="HL55" s="1495"/>
      <c r="HM55" s="1495"/>
      <c r="HN55" s="1495"/>
      <c r="HO55" s="1495"/>
      <c r="HP55" s="1495"/>
      <c r="HQ55" s="1495"/>
      <c r="HR55" s="1495"/>
      <c r="HS55" s="1495"/>
      <c r="HT55" s="1495"/>
      <c r="HU55" s="1495"/>
      <c r="HV55" s="1495"/>
      <c r="HW55" s="1495"/>
      <c r="HX55" s="1495"/>
      <c r="HY55" s="1495"/>
      <c r="HZ55" s="1495"/>
      <c r="IA55" s="1495"/>
      <c r="IB55" s="1495"/>
      <c r="IC55" s="1495"/>
      <c r="ID55" s="1495"/>
      <c r="IE55" s="1495"/>
      <c r="IF55" s="1495"/>
      <c r="IG55" s="1495"/>
      <c r="IH55" s="1495"/>
      <c r="II55" s="1495"/>
      <c r="IJ55" s="1495"/>
      <c r="IK55" s="1495"/>
      <c r="IL55" s="1495"/>
      <c r="IM55" s="1495"/>
      <c r="IN55" s="1495"/>
      <c r="IO55" s="1495"/>
      <c r="IP55" s="1495"/>
      <c r="IQ55" s="1495"/>
      <c r="IR55" s="1495"/>
      <c r="IS55" s="1495"/>
      <c r="IT55" s="1495"/>
      <c r="IU55" s="1495"/>
      <c r="IV55" s="1495"/>
      <c r="IW55" s="1495"/>
      <c r="IX55" s="1495"/>
      <c r="IY55" s="1495"/>
      <c r="IZ55" s="1495"/>
      <c r="JA55" s="1495"/>
      <c r="JB55" s="1495"/>
      <c r="JC55" s="1495"/>
      <c r="JD55" s="1495"/>
      <c r="JE55" s="1495"/>
      <c r="JF55" s="1495"/>
      <c r="JG55" s="1495"/>
      <c r="JH55" s="1495"/>
      <c r="JI55" s="1495"/>
      <c r="JJ55" s="1495"/>
      <c r="JK55" s="1495"/>
      <c r="JL55" s="1495"/>
      <c r="JM55" s="1495"/>
      <c r="JN55" s="1495"/>
      <c r="JO55" s="1495"/>
      <c r="JP55" s="1495"/>
      <c r="JQ55" s="1495"/>
      <c r="JR55" s="1495"/>
      <c r="JS55" s="1495"/>
      <c r="JT55" s="1495"/>
      <c r="JU55" s="1495"/>
      <c r="JV55" s="1495"/>
      <c r="JW55" s="1495"/>
      <c r="JX55" s="1495"/>
      <c r="JY55" s="1495"/>
      <c r="JZ55" s="1495"/>
      <c r="KA55" s="1495"/>
      <c r="KB55" s="1495"/>
      <c r="KC55" s="1495"/>
      <c r="KD55" s="1495"/>
      <c r="KE55" s="1495"/>
      <c r="KF55" s="1495"/>
      <c r="KG55" s="1495"/>
      <c r="KH55" s="1495"/>
      <c r="KI55" s="1495"/>
      <c r="KJ55" s="1495"/>
      <c r="KK55" s="1495"/>
      <c r="KL55" s="1495"/>
      <c r="KM55" s="1495"/>
      <c r="KN55" s="1495"/>
      <c r="KO55" s="1495"/>
      <c r="KP55" s="1495"/>
      <c r="KQ55" s="1495"/>
      <c r="KR55" s="1495"/>
      <c r="KS55" s="1495"/>
      <c r="KT55" s="1495"/>
      <c r="KU55" s="1495"/>
      <c r="KV55" s="1495"/>
      <c r="KW55" s="1495"/>
      <c r="KX55" s="1495"/>
      <c r="KY55" s="1495"/>
      <c r="KZ55" s="1495"/>
      <c r="LA55" s="1495"/>
      <c r="LB55" s="1495"/>
      <c r="LC55" s="1495"/>
      <c r="LD55" s="1495"/>
      <c r="LE55" s="1495"/>
    </row>
    <row r="56" spans="1:317">
      <c r="A56" s="1495"/>
      <c r="B56" s="418"/>
      <c r="C56" s="1495"/>
      <c r="D56" s="1495"/>
      <c r="E56" s="1495"/>
      <c r="F56" s="1495"/>
      <c r="G56" s="1495"/>
      <c r="H56" s="1495"/>
      <c r="I56" s="1495"/>
      <c r="J56" s="1495"/>
      <c r="K56" s="1495"/>
      <c r="L56" s="1495"/>
      <c r="M56" s="1495"/>
      <c r="N56" s="1495"/>
      <c r="O56" s="1495"/>
      <c r="P56" s="1495"/>
      <c r="Q56" s="1495"/>
      <c r="R56" s="1495"/>
      <c r="S56" s="1495"/>
      <c r="T56" s="1495"/>
      <c r="U56" s="1495"/>
      <c r="V56" s="1495"/>
      <c r="W56" s="1495"/>
      <c r="X56" s="1495"/>
      <c r="Y56" s="1495"/>
      <c r="Z56" s="1495"/>
      <c r="AA56" s="1495"/>
      <c r="AB56" s="1495"/>
      <c r="AC56" s="1495"/>
      <c r="AD56" s="1495"/>
      <c r="AE56" s="1495"/>
      <c r="AF56" s="1495"/>
      <c r="AG56" s="1495"/>
      <c r="AH56" s="1495"/>
      <c r="AI56" s="1495"/>
      <c r="AJ56" s="1495"/>
      <c r="AK56" s="1495"/>
      <c r="AL56" s="1495"/>
      <c r="AM56" s="1495"/>
      <c r="AN56" s="1495"/>
      <c r="AO56" s="1495"/>
      <c r="AP56" s="1495"/>
      <c r="AQ56" s="1495"/>
      <c r="AR56" s="1495"/>
      <c r="AS56" s="1495"/>
      <c r="AT56" s="1495"/>
      <c r="AU56" s="1495"/>
      <c r="AV56" s="1495"/>
      <c r="AW56" s="1495"/>
      <c r="AX56" s="1495"/>
      <c r="AY56" s="1495"/>
      <c r="AZ56" s="1495"/>
      <c r="BA56" s="1495"/>
      <c r="BB56" s="1495"/>
      <c r="BC56" s="1495"/>
      <c r="BD56" s="1495"/>
      <c r="BE56" s="1495"/>
      <c r="BF56" s="1495"/>
      <c r="BG56" s="1495"/>
      <c r="BH56" s="1495"/>
      <c r="BI56" s="1495"/>
      <c r="BJ56" s="1495"/>
      <c r="BK56" s="1495"/>
      <c r="BL56" s="1495"/>
      <c r="BM56" s="1495"/>
      <c r="BN56" s="1495"/>
      <c r="BO56" s="1495"/>
      <c r="BP56" s="418"/>
      <c r="BQ56" s="1495"/>
      <c r="BR56" s="1495"/>
      <c r="BS56" s="1495"/>
      <c r="BT56" s="1495"/>
      <c r="BU56" s="1495"/>
      <c r="BV56" s="1495"/>
      <c r="BW56" s="1495"/>
      <c r="BX56" s="1495"/>
      <c r="BY56" s="1495"/>
      <c r="BZ56" s="444"/>
      <c r="CA56" s="496"/>
      <c r="CB56" s="496"/>
      <c r="CC56" s="444"/>
      <c r="CD56" s="502"/>
      <c r="CE56" s="108"/>
      <c r="CF56" s="444"/>
      <c r="CG56" s="504"/>
      <c r="CH56" s="348"/>
      <c r="CI56" s="408"/>
      <c r="CJ56" s="1495"/>
      <c r="CK56" s="1495"/>
      <c r="CL56" s="1495"/>
      <c r="CM56" s="1495"/>
      <c r="CN56" s="1495"/>
      <c r="CO56" s="1495"/>
      <c r="CP56" s="1495"/>
      <c r="CQ56" s="1495"/>
      <c r="CR56" s="1495"/>
      <c r="CS56" s="1495"/>
      <c r="CT56" s="1495"/>
      <c r="CU56" s="1495"/>
      <c r="CV56" s="1495"/>
      <c r="CW56" s="1495"/>
      <c r="CX56" s="1495"/>
      <c r="CY56" s="1495"/>
      <c r="CZ56" s="1495"/>
      <c r="DA56" s="444"/>
      <c r="DB56" s="475"/>
      <c r="DC56" s="108"/>
      <c r="DD56" s="408"/>
      <c r="DE56" s="1495"/>
      <c r="DF56" s="444"/>
      <c r="DG56" s="475"/>
      <c r="DH56" s="407"/>
      <c r="DI56" s="407"/>
      <c r="DJ56" s="1495"/>
      <c r="DK56" s="1495"/>
      <c r="DL56" s="1495"/>
      <c r="DM56" s="1495"/>
      <c r="DN56" s="1495"/>
      <c r="DO56" s="1495"/>
      <c r="DP56" s="1495"/>
      <c r="DQ56" s="1495"/>
      <c r="DR56" s="1495"/>
      <c r="DS56" s="1495"/>
      <c r="DT56" s="1495"/>
      <c r="DU56" s="1495"/>
      <c r="DV56" s="1495"/>
      <c r="DW56" s="1495"/>
      <c r="DX56" s="1495"/>
      <c r="DY56" s="1495"/>
      <c r="DZ56" s="1495"/>
      <c r="EA56" s="1495"/>
      <c r="EB56" s="1495"/>
      <c r="EC56" s="1495"/>
      <c r="ED56" s="1495"/>
      <c r="EE56" s="1495"/>
      <c r="EF56" s="1495"/>
      <c r="EG56" s="1495"/>
      <c r="EH56" s="1495"/>
      <c r="EI56" s="1495"/>
      <c r="EJ56" s="1495"/>
      <c r="EK56" s="1495"/>
      <c r="EL56" s="407"/>
      <c r="EM56" s="1495"/>
      <c r="EN56" s="407"/>
      <c r="EO56" s="1495"/>
      <c r="EP56" s="1495"/>
      <c r="EQ56" s="1495"/>
      <c r="ER56" s="1495"/>
      <c r="ES56" s="1495"/>
      <c r="ET56" s="1495"/>
      <c r="EU56" s="1495"/>
      <c r="EV56" s="1495"/>
      <c r="EW56" s="1495"/>
      <c r="EX56" s="1495"/>
      <c r="EY56" s="1495"/>
      <c r="EZ56" s="1495"/>
      <c r="FA56" s="1495"/>
      <c r="FB56" s="1495"/>
      <c r="FC56" s="1495"/>
      <c r="FD56" s="1495"/>
      <c r="FE56" s="1495"/>
      <c r="FF56" s="1495"/>
      <c r="FG56" s="1495"/>
      <c r="FH56" s="1495"/>
      <c r="FI56" s="1495"/>
      <c r="FJ56" s="1495"/>
      <c r="FK56" s="1495"/>
      <c r="FL56" s="1495"/>
      <c r="FM56" s="1495"/>
      <c r="FN56" s="1495"/>
      <c r="FO56" s="1495"/>
      <c r="FP56" s="1495"/>
      <c r="FQ56" s="1495"/>
      <c r="FR56" s="1495"/>
      <c r="FS56" s="1495"/>
      <c r="FT56" s="1495"/>
      <c r="FU56" s="1495"/>
      <c r="FV56" s="1495"/>
      <c r="FW56" s="1495"/>
      <c r="FX56" s="1495"/>
      <c r="FY56" s="1495"/>
      <c r="FZ56" s="1495"/>
      <c r="GA56" s="1495"/>
      <c r="GB56" s="1495"/>
      <c r="GC56" s="1495"/>
      <c r="GD56" s="1495"/>
      <c r="GE56" s="1495"/>
      <c r="GF56" s="1495"/>
      <c r="GG56" s="1495"/>
      <c r="GH56" s="1495"/>
      <c r="GI56" s="1495"/>
      <c r="GJ56" s="1495"/>
      <c r="GK56" s="1495"/>
      <c r="GL56" s="1495"/>
      <c r="GM56" s="1495"/>
      <c r="GN56" s="1495"/>
      <c r="GO56" s="1495"/>
      <c r="GP56" s="1495"/>
      <c r="GQ56" s="1495"/>
      <c r="GR56" s="1495"/>
      <c r="GS56" s="1495"/>
      <c r="GT56" s="1495"/>
      <c r="GU56" s="1495"/>
      <c r="GV56" s="1495"/>
      <c r="GW56" s="1495"/>
      <c r="GX56" s="1495"/>
      <c r="GY56" s="1495"/>
      <c r="GZ56" s="1495"/>
      <c r="HA56" s="1495"/>
      <c r="HB56" s="1495"/>
      <c r="HC56" s="1495"/>
      <c r="HD56" s="1495"/>
      <c r="HE56" s="1495"/>
      <c r="HF56" s="1495"/>
      <c r="HG56" s="1495"/>
      <c r="HH56" s="1495"/>
      <c r="HI56" s="1495"/>
      <c r="HJ56" s="1495"/>
      <c r="HK56" s="1495"/>
      <c r="HL56" s="1495"/>
      <c r="HM56" s="1495"/>
      <c r="HN56" s="1495"/>
      <c r="HO56" s="1495"/>
      <c r="HP56" s="1495"/>
      <c r="HQ56" s="1495"/>
      <c r="HR56" s="1495"/>
      <c r="HS56" s="1495"/>
      <c r="HT56" s="1495"/>
      <c r="HU56" s="1495"/>
      <c r="HV56" s="1495"/>
      <c r="HW56" s="1495"/>
      <c r="HX56" s="1495"/>
      <c r="HY56" s="1495"/>
      <c r="HZ56" s="1495"/>
      <c r="IA56" s="1495"/>
      <c r="IB56" s="1495"/>
      <c r="IC56" s="1495"/>
      <c r="ID56" s="1495"/>
      <c r="IE56" s="1495"/>
      <c r="IF56" s="1495"/>
      <c r="IG56" s="1495"/>
      <c r="IH56" s="1495"/>
      <c r="II56" s="1495"/>
      <c r="IJ56" s="1495"/>
      <c r="IK56" s="1495"/>
      <c r="IL56" s="1495"/>
      <c r="IM56" s="1495"/>
      <c r="IN56" s="1495"/>
      <c r="IO56" s="1495"/>
      <c r="IP56" s="1495"/>
      <c r="IQ56" s="1495"/>
      <c r="IR56" s="1495"/>
      <c r="IS56" s="1495"/>
      <c r="IT56" s="1495"/>
      <c r="IU56" s="1495"/>
      <c r="IV56" s="1495"/>
      <c r="IW56" s="1495"/>
      <c r="IX56" s="1495"/>
      <c r="IY56" s="1495"/>
      <c r="IZ56" s="1495"/>
      <c r="JA56" s="1495"/>
      <c r="JB56" s="1495"/>
      <c r="JC56" s="1495"/>
      <c r="JD56" s="1495"/>
      <c r="JE56" s="1495"/>
      <c r="JF56" s="1495"/>
      <c r="JG56" s="1495"/>
      <c r="JH56" s="1495"/>
      <c r="JI56" s="1495"/>
      <c r="JJ56" s="1495"/>
      <c r="JK56" s="1495"/>
      <c r="JL56" s="1495"/>
      <c r="JM56" s="1495"/>
      <c r="JN56" s="1495"/>
      <c r="JO56" s="1495"/>
      <c r="JP56" s="1495"/>
      <c r="JQ56" s="1495"/>
      <c r="JR56" s="1495"/>
      <c r="JS56" s="1495"/>
      <c r="JT56" s="1495"/>
      <c r="JU56" s="1495"/>
      <c r="JV56" s="1495"/>
      <c r="JW56" s="1495"/>
      <c r="JX56" s="1495"/>
      <c r="JY56" s="1495"/>
      <c r="JZ56" s="1495"/>
      <c r="KA56" s="1495"/>
      <c r="KB56" s="1495"/>
      <c r="KC56" s="1495"/>
      <c r="KD56" s="1495"/>
      <c r="KE56" s="1495"/>
      <c r="KF56" s="1495"/>
      <c r="KG56" s="1495"/>
      <c r="KH56" s="1495"/>
      <c r="KI56" s="1495"/>
      <c r="KJ56" s="1495"/>
      <c r="KK56" s="1495"/>
      <c r="KL56" s="1495"/>
      <c r="KM56" s="1495"/>
      <c r="KN56" s="1495"/>
      <c r="KO56" s="1495"/>
      <c r="KP56" s="1495"/>
      <c r="KQ56" s="1495"/>
      <c r="KR56" s="1495"/>
      <c r="KS56" s="1495"/>
      <c r="KT56" s="1495"/>
      <c r="KU56" s="1495"/>
      <c r="KV56" s="1495"/>
      <c r="KW56" s="1495"/>
      <c r="KX56" s="1495"/>
      <c r="KY56" s="1495"/>
      <c r="KZ56" s="1495"/>
      <c r="LA56" s="1495"/>
      <c r="LB56" s="1495"/>
      <c r="LC56" s="1495"/>
      <c r="LD56" s="1495"/>
      <c r="LE56" s="1495"/>
    </row>
    <row r="57" spans="1:317">
      <c r="A57" s="1495"/>
      <c r="B57" s="418"/>
      <c r="C57" s="1495"/>
      <c r="D57" s="1495"/>
      <c r="E57" s="1495"/>
      <c r="F57" s="1495"/>
      <c r="G57" s="1495"/>
      <c r="H57" s="1495"/>
      <c r="I57" s="1495"/>
      <c r="J57" s="1495"/>
      <c r="K57" s="1495"/>
      <c r="L57" s="1495"/>
      <c r="M57" s="1495"/>
      <c r="N57" s="1495"/>
      <c r="O57" s="1495"/>
      <c r="P57" s="1495"/>
      <c r="Q57" s="1495"/>
      <c r="R57" s="1495"/>
      <c r="S57" s="1495"/>
      <c r="T57" s="1495"/>
      <c r="U57" s="1495"/>
      <c r="V57" s="1495"/>
      <c r="W57" s="1495"/>
      <c r="X57" s="1495"/>
      <c r="Y57" s="1495"/>
      <c r="Z57" s="1495"/>
      <c r="AA57" s="1495"/>
      <c r="AB57" s="1495"/>
      <c r="AC57" s="1495"/>
      <c r="AD57" s="1495"/>
      <c r="AE57" s="1495"/>
      <c r="AF57" s="1495"/>
      <c r="AG57" s="1495"/>
      <c r="AH57" s="1495"/>
      <c r="AI57" s="1495"/>
      <c r="AJ57" s="1495"/>
      <c r="AK57" s="1495"/>
      <c r="AL57" s="1495"/>
      <c r="AM57" s="1495"/>
      <c r="AN57" s="1495"/>
      <c r="AO57" s="1495"/>
      <c r="AP57" s="1495"/>
      <c r="AQ57" s="1495"/>
      <c r="AR57" s="1495"/>
      <c r="AS57" s="1495"/>
      <c r="AT57" s="1495"/>
      <c r="AU57" s="1495"/>
      <c r="AV57" s="1495"/>
      <c r="AW57" s="1495"/>
      <c r="AX57" s="1495"/>
      <c r="AY57" s="1495"/>
      <c r="AZ57" s="1495"/>
      <c r="BA57" s="1495"/>
      <c r="BB57" s="1495"/>
      <c r="BC57" s="1495"/>
      <c r="BD57" s="1495"/>
      <c r="BE57" s="1495"/>
      <c r="BF57" s="1495"/>
      <c r="BG57" s="1495"/>
      <c r="BH57" s="1495"/>
      <c r="BI57" s="1495"/>
      <c r="BJ57" s="1495"/>
      <c r="BK57" s="1495"/>
      <c r="BL57" s="1495"/>
      <c r="BM57" s="1495"/>
      <c r="BN57" s="1495"/>
      <c r="BO57" s="1495"/>
      <c r="BP57" s="418"/>
      <c r="BQ57" s="1495"/>
      <c r="BR57" s="1495"/>
      <c r="BS57" s="1495"/>
      <c r="BT57" s="1495"/>
      <c r="BU57" s="1495"/>
      <c r="BV57" s="1495"/>
      <c r="BW57" s="1495"/>
      <c r="BX57" s="1495"/>
      <c r="BY57" s="1495"/>
      <c r="BZ57" s="444"/>
      <c r="CA57" s="496"/>
      <c r="CB57" s="496"/>
      <c r="CC57" s="444"/>
      <c r="CD57" s="502"/>
      <c r="CE57" s="108"/>
      <c r="CF57" s="444"/>
      <c r="CG57" s="504"/>
      <c r="CH57" s="348"/>
      <c r="CI57" s="408"/>
      <c r="CJ57" s="1495"/>
      <c r="CK57" s="1495"/>
      <c r="CL57" s="1495"/>
      <c r="CM57" s="1495"/>
      <c r="CN57" s="1495"/>
      <c r="CO57" s="1495"/>
      <c r="CP57" s="1495"/>
      <c r="CQ57" s="1495"/>
      <c r="CR57" s="1495"/>
      <c r="CS57" s="1495"/>
      <c r="CT57" s="1495"/>
      <c r="CU57" s="1495"/>
      <c r="CV57" s="1495"/>
      <c r="CW57" s="1495"/>
      <c r="CX57" s="1495"/>
      <c r="CY57" s="1495"/>
      <c r="CZ57" s="1495"/>
      <c r="DA57" s="444"/>
      <c r="DB57" s="475"/>
      <c r="DC57" s="108"/>
      <c r="DD57" s="408"/>
      <c r="DE57" s="1495"/>
      <c r="DF57" s="444"/>
      <c r="DG57" s="475"/>
      <c r="DH57" s="407"/>
      <c r="DI57" s="407"/>
      <c r="DJ57" s="1495"/>
      <c r="DK57" s="1495"/>
      <c r="DL57" s="1495"/>
      <c r="DM57" s="1495"/>
      <c r="DN57" s="1495"/>
      <c r="DO57" s="1495"/>
      <c r="DP57" s="1495"/>
      <c r="DQ57" s="1495"/>
      <c r="DR57" s="1495"/>
      <c r="DS57" s="1495"/>
      <c r="DT57" s="1495"/>
      <c r="DU57" s="1495"/>
      <c r="DV57" s="1495"/>
      <c r="DW57" s="1495"/>
      <c r="DX57" s="1495"/>
      <c r="DY57" s="1495"/>
      <c r="DZ57" s="1495"/>
      <c r="EA57" s="1495"/>
      <c r="EB57" s="1495"/>
      <c r="EC57" s="1495"/>
      <c r="ED57" s="1495"/>
      <c r="EE57" s="1495"/>
      <c r="EF57" s="1495"/>
      <c r="EG57" s="1495"/>
      <c r="EH57" s="1495"/>
      <c r="EI57" s="1495"/>
      <c r="EJ57" s="1495"/>
      <c r="EK57" s="1495"/>
      <c r="EL57" s="407"/>
      <c r="EM57" s="1495"/>
      <c r="EN57" s="407"/>
      <c r="EO57" s="1495"/>
      <c r="EP57" s="1495"/>
      <c r="EQ57" s="1495"/>
      <c r="ER57" s="1495"/>
      <c r="ES57" s="1495"/>
      <c r="ET57" s="1495"/>
      <c r="EU57" s="1495"/>
      <c r="EV57" s="1495"/>
      <c r="EW57" s="1495"/>
      <c r="EX57" s="1495"/>
      <c r="EY57" s="1495"/>
      <c r="EZ57" s="1495"/>
      <c r="FA57" s="1495"/>
      <c r="FB57" s="1495"/>
      <c r="FC57" s="1495"/>
      <c r="FD57" s="1495"/>
      <c r="FE57" s="1495"/>
      <c r="FF57" s="1495"/>
      <c r="FG57" s="1495"/>
      <c r="FH57" s="1495"/>
      <c r="FI57" s="1495"/>
      <c r="FJ57" s="1495"/>
      <c r="FK57" s="1495"/>
      <c r="FL57" s="1495"/>
      <c r="FM57" s="1495"/>
      <c r="FN57" s="1495"/>
      <c r="FO57" s="1495"/>
      <c r="FP57" s="1495"/>
      <c r="FQ57" s="1495"/>
      <c r="FR57" s="1495"/>
      <c r="FS57" s="1495"/>
      <c r="FT57" s="1495"/>
      <c r="FU57" s="1495"/>
      <c r="FV57" s="1495"/>
      <c r="FW57" s="1495"/>
      <c r="FX57" s="1495"/>
      <c r="FY57" s="1495"/>
      <c r="FZ57" s="1495"/>
      <c r="GA57" s="1495"/>
      <c r="GB57" s="1495"/>
      <c r="GC57" s="1495"/>
      <c r="GD57" s="1495"/>
      <c r="GE57" s="1495"/>
      <c r="GF57" s="1495"/>
      <c r="GG57" s="1495"/>
      <c r="GH57" s="1495"/>
      <c r="GI57" s="1495"/>
      <c r="GJ57" s="1495"/>
      <c r="GK57" s="1495"/>
      <c r="GL57" s="1495"/>
      <c r="GM57" s="1495"/>
      <c r="GN57" s="1495"/>
      <c r="GO57" s="1495"/>
      <c r="GP57" s="1495"/>
      <c r="GQ57" s="1495"/>
      <c r="GR57" s="1495"/>
      <c r="GS57" s="1495"/>
      <c r="GT57" s="1495"/>
      <c r="GU57" s="1495"/>
      <c r="GV57" s="1495"/>
      <c r="GW57" s="1495"/>
      <c r="GX57" s="1495"/>
      <c r="GY57" s="1495"/>
      <c r="GZ57" s="1495"/>
      <c r="HA57" s="1495"/>
      <c r="HB57" s="1495"/>
      <c r="HC57" s="1495"/>
      <c r="HD57" s="1495"/>
      <c r="HE57" s="1495"/>
      <c r="HF57" s="1495"/>
      <c r="HG57" s="1495"/>
      <c r="HH57" s="1495"/>
      <c r="HI57" s="1495"/>
      <c r="HJ57" s="1495"/>
      <c r="HK57" s="1495"/>
      <c r="HL57" s="1495"/>
      <c r="HM57" s="1495"/>
      <c r="HN57" s="1495"/>
      <c r="HO57" s="1495"/>
      <c r="HP57" s="1495"/>
      <c r="HQ57" s="1495"/>
      <c r="HR57" s="1495"/>
      <c r="HS57" s="1495"/>
      <c r="HT57" s="1495"/>
      <c r="HU57" s="1495"/>
      <c r="HV57" s="1495"/>
      <c r="HW57" s="1495"/>
      <c r="HX57" s="1495"/>
      <c r="HY57" s="1495"/>
      <c r="HZ57" s="1495"/>
      <c r="IA57" s="1495"/>
      <c r="IB57" s="1495"/>
      <c r="IC57" s="1495"/>
      <c r="ID57" s="1495"/>
      <c r="IE57" s="1495"/>
      <c r="IF57" s="1495"/>
      <c r="IG57" s="1495"/>
      <c r="IH57" s="1495"/>
      <c r="II57" s="1495"/>
      <c r="IJ57" s="1495"/>
      <c r="IK57" s="1495"/>
      <c r="IL57" s="1495"/>
      <c r="IM57" s="1495"/>
      <c r="IN57" s="1495"/>
      <c r="IO57" s="1495"/>
      <c r="IP57" s="1495"/>
      <c r="IQ57" s="1495"/>
      <c r="IR57" s="1495"/>
      <c r="IS57" s="1495"/>
      <c r="IT57" s="1495"/>
      <c r="IU57" s="1495"/>
      <c r="IV57" s="1495"/>
      <c r="IW57" s="1495"/>
      <c r="IX57" s="1495"/>
      <c r="IY57" s="1495"/>
      <c r="IZ57" s="1495"/>
      <c r="JA57" s="1495"/>
      <c r="JB57" s="1495"/>
      <c r="JC57" s="1495"/>
      <c r="JD57" s="1495"/>
      <c r="JE57" s="1495"/>
      <c r="JF57" s="1495"/>
      <c r="JG57" s="1495"/>
      <c r="JH57" s="1495"/>
      <c r="JI57" s="1495"/>
      <c r="JJ57" s="1495"/>
      <c r="JK57" s="1495"/>
      <c r="JL57" s="1495"/>
      <c r="JM57" s="1495"/>
      <c r="JN57" s="1495"/>
      <c r="JO57" s="1495"/>
      <c r="JP57" s="1495"/>
      <c r="JQ57" s="1495"/>
      <c r="JR57" s="1495"/>
      <c r="JS57" s="1495"/>
      <c r="JT57" s="1495"/>
      <c r="JU57" s="1495"/>
      <c r="JV57" s="1495"/>
      <c r="JW57" s="1495"/>
      <c r="JX57" s="1495"/>
      <c r="JY57" s="1495"/>
      <c r="JZ57" s="1495"/>
      <c r="KA57" s="1495"/>
      <c r="KB57" s="1495"/>
      <c r="KC57" s="1495"/>
      <c r="KD57" s="1495"/>
      <c r="KE57" s="1495"/>
      <c r="KF57" s="1495"/>
      <c r="KG57" s="1495"/>
      <c r="KH57" s="1495"/>
      <c r="KI57" s="1495"/>
      <c r="KJ57" s="1495"/>
      <c r="KK57" s="1495"/>
      <c r="KL57" s="1495"/>
      <c r="KM57" s="1495"/>
      <c r="KN57" s="1495"/>
      <c r="KO57" s="1495"/>
      <c r="KP57" s="1495"/>
      <c r="KQ57" s="1495"/>
      <c r="KR57" s="1495"/>
      <c r="KS57" s="1495"/>
      <c r="KT57" s="1495"/>
      <c r="KU57" s="1495"/>
      <c r="KV57" s="1495"/>
      <c r="KW57" s="1495"/>
      <c r="KX57" s="1495"/>
      <c r="KY57" s="1495"/>
      <c r="KZ57" s="1495"/>
      <c r="LA57" s="1495"/>
      <c r="LB57" s="1495"/>
      <c r="LC57" s="1495"/>
      <c r="LD57" s="1495"/>
      <c r="LE57" s="1495"/>
    </row>
    <row r="58" spans="1:317">
      <c r="A58" s="1495"/>
      <c r="B58" s="418"/>
      <c r="C58" s="1495"/>
      <c r="D58" s="1495"/>
      <c r="E58" s="1495"/>
      <c r="F58" s="1495"/>
      <c r="G58" s="1495"/>
      <c r="H58" s="1495"/>
      <c r="I58" s="1495"/>
      <c r="J58" s="1495"/>
      <c r="K58" s="1495"/>
      <c r="L58" s="1495"/>
      <c r="M58" s="1495"/>
      <c r="N58" s="1495"/>
      <c r="O58" s="1495"/>
      <c r="P58" s="1495"/>
      <c r="Q58" s="1495"/>
      <c r="R58" s="1495"/>
      <c r="S58" s="1495"/>
      <c r="T58" s="1495"/>
      <c r="U58" s="1495"/>
      <c r="V58" s="1495"/>
      <c r="W58" s="1495"/>
      <c r="X58" s="1495"/>
      <c r="Y58" s="1495"/>
      <c r="Z58" s="1495"/>
      <c r="AA58" s="1495"/>
      <c r="AB58" s="1495"/>
      <c r="AC58" s="1495"/>
      <c r="AD58" s="1495"/>
      <c r="AE58" s="1495"/>
      <c r="AF58" s="1495"/>
      <c r="AG58" s="1495"/>
      <c r="AH58" s="1495"/>
      <c r="AI58" s="1495"/>
      <c r="AJ58" s="1495"/>
      <c r="AK58" s="1495"/>
      <c r="AL58" s="1495"/>
      <c r="AM58" s="1495"/>
      <c r="AN58" s="1495"/>
      <c r="AO58" s="1495"/>
      <c r="AP58" s="1495"/>
      <c r="AQ58" s="1495"/>
      <c r="AR58" s="1495"/>
      <c r="AS58" s="1495"/>
      <c r="AT58" s="1495"/>
      <c r="AU58" s="1495"/>
      <c r="AV58" s="1495"/>
      <c r="AW58" s="1495"/>
      <c r="AX58" s="1495"/>
      <c r="AY58" s="1495"/>
      <c r="AZ58" s="1495"/>
      <c r="BA58" s="1495"/>
      <c r="BB58" s="1495"/>
      <c r="BC58" s="1495"/>
      <c r="BD58" s="1495"/>
      <c r="BE58" s="1495"/>
      <c r="BF58" s="1495"/>
      <c r="BG58" s="1495"/>
      <c r="BH58" s="1495"/>
      <c r="BI58" s="1495"/>
      <c r="BJ58" s="1495"/>
      <c r="BK58" s="1495"/>
      <c r="BL58" s="1495"/>
      <c r="BM58" s="1495"/>
      <c r="BN58" s="1495"/>
      <c r="BO58" s="1495"/>
      <c r="BP58" s="418"/>
      <c r="BQ58" s="1495"/>
      <c r="BR58" s="1495"/>
      <c r="BS58" s="1495"/>
      <c r="BT58" s="1495"/>
      <c r="BU58" s="1495"/>
      <c r="BV58" s="1495"/>
      <c r="BW58" s="1495"/>
      <c r="BX58" s="1495"/>
      <c r="BY58" s="1495"/>
      <c r="BZ58" s="444"/>
      <c r="CA58" s="496"/>
      <c r="CB58" s="496"/>
      <c r="CC58" s="444"/>
      <c r="CD58" s="502"/>
      <c r="CE58" s="108"/>
      <c r="CF58" s="444"/>
      <c r="CG58" s="504"/>
      <c r="CH58" s="348"/>
      <c r="CI58" s="408"/>
      <c r="CJ58" s="1495"/>
      <c r="CK58" s="1495"/>
      <c r="CL58" s="1495"/>
      <c r="CM58" s="1495"/>
      <c r="CN58" s="1495"/>
      <c r="CO58" s="1495"/>
      <c r="CP58" s="1495"/>
      <c r="CQ58" s="1495"/>
      <c r="CR58" s="1495"/>
      <c r="CS58" s="1495"/>
      <c r="CT58" s="1495"/>
      <c r="CU58" s="1495"/>
      <c r="CV58" s="1495"/>
      <c r="CW58" s="1495"/>
      <c r="CX58" s="1495"/>
      <c r="CY58" s="1495"/>
      <c r="CZ58" s="1495"/>
      <c r="DA58" s="444"/>
      <c r="DB58" s="475"/>
      <c r="DC58" s="108"/>
      <c r="DD58" s="408"/>
      <c r="DE58" s="1495"/>
      <c r="DF58" s="444"/>
      <c r="DG58" s="475"/>
      <c r="DH58" s="407"/>
      <c r="DI58" s="407"/>
      <c r="DJ58" s="1495"/>
      <c r="DK58" s="1495"/>
      <c r="DL58" s="1495"/>
      <c r="DM58" s="1495"/>
      <c r="DN58" s="1495"/>
      <c r="DO58" s="1495"/>
      <c r="DP58" s="1495"/>
      <c r="DQ58" s="1495"/>
      <c r="DR58" s="1495"/>
      <c r="DS58" s="1495"/>
      <c r="DT58" s="1495"/>
      <c r="DU58" s="1495"/>
      <c r="DV58" s="1495"/>
      <c r="DW58" s="1495"/>
      <c r="DX58" s="1495"/>
      <c r="DY58" s="1495"/>
      <c r="DZ58" s="1495"/>
      <c r="EA58" s="1495"/>
      <c r="EB58" s="1495"/>
      <c r="EC58" s="1495"/>
      <c r="ED58" s="1495"/>
      <c r="EE58" s="1495"/>
      <c r="EF58" s="1495"/>
      <c r="EG58" s="1495"/>
      <c r="EH58" s="1495"/>
      <c r="EI58" s="1495"/>
      <c r="EJ58" s="1495"/>
      <c r="EK58" s="1495"/>
      <c r="EL58" s="407"/>
      <c r="EM58" s="1495"/>
      <c r="EN58" s="407"/>
      <c r="EO58" s="1495"/>
      <c r="EP58" s="1495"/>
      <c r="EQ58" s="1495"/>
      <c r="ER58" s="1495"/>
      <c r="ES58" s="1495"/>
      <c r="ET58" s="1495"/>
      <c r="EU58" s="1495"/>
      <c r="EV58" s="1495"/>
      <c r="EW58" s="1495"/>
      <c r="EX58" s="1495"/>
      <c r="EY58" s="1495"/>
      <c r="EZ58" s="1495"/>
      <c r="FA58" s="1495"/>
      <c r="FB58" s="1495"/>
      <c r="FC58" s="1495"/>
      <c r="FD58" s="1495"/>
      <c r="FE58" s="1495"/>
      <c r="FF58" s="1495"/>
      <c r="FG58" s="1495"/>
      <c r="FH58" s="1495"/>
      <c r="FI58" s="1495"/>
      <c r="FJ58" s="1495"/>
      <c r="FK58" s="1495"/>
      <c r="FL58" s="1495"/>
      <c r="FM58" s="1495"/>
      <c r="FN58" s="1495"/>
      <c r="FO58" s="1495"/>
      <c r="FP58" s="1495"/>
      <c r="FQ58" s="1495"/>
      <c r="FR58" s="1495"/>
      <c r="FS58" s="1495"/>
      <c r="FT58" s="1495"/>
      <c r="FU58" s="1495"/>
      <c r="FV58" s="1495"/>
      <c r="FW58" s="1495"/>
      <c r="FX58" s="1495"/>
      <c r="FY58" s="1495"/>
      <c r="FZ58" s="1495"/>
      <c r="GA58" s="1495"/>
      <c r="GB58" s="1495"/>
      <c r="GC58" s="1495"/>
      <c r="GD58" s="1495"/>
      <c r="GE58" s="1495"/>
      <c r="GF58" s="1495"/>
      <c r="GG58" s="1495"/>
      <c r="GH58" s="1495"/>
      <c r="GI58" s="1495"/>
      <c r="GJ58" s="1495"/>
      <c r="GK58" s="1495"/>
      <c r="GL58" s="1495"/>
      <c r="GM58" s="1495"/>
      <c r="GN58" s="1495"/>
      <c r="GO58" s="1495"/>
      <c r="GP58" s="1495"/>
      <c r="GQ58" s="1495"/>
      <c r="GR58" s="1495"/>
      <c r="GS58" s="1495"/>
      <c r="GT58" s="1495"/>
      <c r="GU58" s="1495"/>
      <c r="GV58" s="1495"/>
      <c r="GW58" s="1495"/>
      <c r="GX58" s="1495"/>
      <c r="GY58" s="1495"/>
      <c r="GZ58" s="1495"/>
      <c r="HA58" s="1495"/>
      <c r="HB58" s="1495"/>
      <c r="HC58" s="1495"/>
      <c r="HD58" s="1495"/>
      <c r="HE58" s="1495"/>
      <c r="HF58" s="1495"/>
      <c r="HG58" s="1495"/>
      <c r="HH58" s="1495"/>
      <c r="HI58" s="1495"/>
      <c r="HJ58" s="1495"/>
      <c r="HK58" s="1495"/>
      <c r="HL58" s="1495"/>
      <c r="HM58" s="1495"/>
      <c r="HN58" s="1495"/>
      <c r="HO58" s="1495"/>
      <c r="HP58" s="1495"/>
      <c r="HQ58" s="1495"/>
      <c r="HR58" s="1495"/>
      <c r="HS58" s="1495"/>
      <c r="HT58" s="1495"/>
      <c r="HU58" s="1495"/>
      <c r="HV58" s="1495"/>
      <c r="HW58" s="1495"/>
      <c r="HX58" s="1495"/>
      <c r="HY58" s="1495"/>
      <c r="HZ58" s="1495"/>
      <c r="IA58" s="1495"/>
      <c r="IB58" s="1495"/>
      <c r="IC58" s="1495"/>
      <c r="ID58" s="1495"/>
      <c r="IE58" s="1495"/>
      <c r="IF58" s="1495"/>
      <c r="IG58" s="1495"/>
      <c r="IH58" s="1495"/>
      <c r="II58" s="1495"/>
      <c r="IJ58" s="1495"/>
      <c r="IK58" s="1495"/>
      <c r="IL58" s="1495"/>
      <c r="IM58" s="1495"/>
      <c r="IN58" s="1495"/>
      <c r="IO58" s="1495"/>
      <c r="IP58" s="1495"/>
      <c r="IQ58" s="1495"/>
      <c r="IR58" s="1495"/>
      <c r="IS58" s="1495"/>
      <c r="IT58" s="1495"/>
      <c r="IU58" s="1495"/>
      <c r="IV58" s="1495"/>
      <c r="IW58" s="1495"/>
      <c r="IX58" s="1495"/>
      <c r="IY58" s="1495"/>
      <c r="IZ58" s="1495"/>
      <c r="JA58" s="1495"/>
      <c r="JB58" s="1495"/>
      <c r="JC58" s="1495"/>
      <c r="JD58" s="1495"/>
      <c r="JE58" s="1495"/>
      <c r="JF58" s="1495"/>
      <c r="JG58" s="1495"/>
      <c r="JH58" s="1495"/>
      <c r="JI58" s="1495"/>
      <c r="JJ58" s="1495"/>
      <c r="JK58" s="1495"/>
      <c r="JL58" s="1495"/>
      <c r="JM58" s="1495"/>
      <c r="JN58" s="1495"/>
      <c r="JO58" s="1495"/>
      <c r="JP58" s="1495"/>
      <c r="JQ58" s="1495"/>
      <c r="JR58" s="1495"/>
      <c r="JS58" s="1495"/>
      <c r="JT58" s="1495"/>
      <c r="JU58" s="1495"/>
      <c r="JV58" s="1495"/>
      <c r="JW58" s="1495"/>
      <c r="JX58" s="1495"/>
      <c r="JY58" s="1495"/>
      <c r="JZ58" s="1495"/>
      <c r="KA58" s="1495"/>
      <c r="KB58" s="1495"/>
      <c r="KC58" s="1495"/>
      <c r="KD58" s="1495"/>
      <c r="KE58" s="1495"/>
      <c r="KF58" s="1495"/>
      <c r="KG58" s="1495"/>
      <c r="KH58" s="1495"/>
      <c r="KI58" s="1495"/>
      <c r="KJ58" s="1495"/>
      <c r="KK58" s="1495"/>
      <c r="KL58" s="1495"/>
      <c r="KM58" s="1495"/>
      <c r="KN58" s="1495"/>
      <c r="KO58" s="1495"/>
      <c r="KP58" s="1495"/>
      <c r="KQ58" s="1495"/>
      <c r="KR58" s="1495"/>
      <c r="KS58" s="1495"/>
      <c r="KT58" s="1495"/>
      <c r="KU58" s="1495"/>
      <c r="KV58" s="1495"/>
      <c r="KW58" s="1495"/>
      <c r="KX58" s="1495"/>
      <c r="KY58" s="1495"/>
      <c r="KZ58" s="1495"/>
      <c r="LA58" s="1495"/>
      <c r="LB58" s="1495"/>
      <c r="LC58" s="1495"/>
      <c r="LD58" s="1495"/>
      <c r="LE58" s="1495"/>
    </row>
    <row r="59" spans="1:317">
      <c r="A59" s="1495"/>
      <c r="B59" s="418"/>
      <c r="C59" s="1495"/>
      <c r="D59" s="1495"/>
      <c r="E59" s="1495"/>
      <c r="F59" s="1495"/>
      <c r="G59" s="1495"/>
      <c r="H59" s="1495"/>
      <c r="I59" s="1495"/>
      <c r="J59" s="1495"/>
      <c r="K59" s="1495"/>
      <c r="L59" s="1495"/>
      <c r="M59" s="1495"/>
      <c r="N59" s="1495"/>
      <c r="O59" s="1495"/>
      <c r="P59" s="1495"/>
      <c r="Q59" s="1495"/>
      <c r="R59" s="1495"/>
      <c r="S59" s="1495"/>
      <c r="T59" s="1495"/>
      <c r="U59" s="1495"/>
      <c r="V59" s="1495"/>
      <c r="W59" s="1495"/>
      <c r="X59" s="1495"/>
      <c r="Y59" s="1495"/>
      <c r="Z59" s="1495"/>
      <c r="AA59" s="1495"/>
      <c r="AB59" s="1495"/>
      <c r="AC59" s="1495"/>
      <c r="AD59" s="1495"/>
      <c r="AE59" s="1495"/>
      <c r="AF59" s="1495"/>
      <c r="AG59" s="1495"/>
      <c r="AH59" s="1495"/>
      <c r="AI59" s="1495"/>
      <c r="AJ59" s="1495"/>
      <c r="AK59" s="1495"/>
      <c r="AL59" s="1495"/>
      <c r="AM59" s="1495"/>
      <c r="AN59" s="1495"/>
      <c r="AO59" s="1495"/>
      <c r="AP59" s="1495"/>
      <c r="AQ59" s="1495"/>
      <c r="AR59" s="1495"/>
      <c r="AS59" s="1495"/>
      <c r="AT59" s="1495"/>
      <c r="AU59" s="1495"/>
      <c r="AV59" s="1495"/>
      <c r="AW59" s="1495"/>
      <c r="AX59" s="1495"/>
      <c r="AY59" s="1495"/>
      <c r="AZ59" s="1495"/>
      <c r="BA59" s="1495"/>
      <c r="BB59" s="1495"/>
      <c r="BC59" s="1495"/>
      <c r="BD59" s="1495"/>
      <c r="BE59" s="1495"/>
      <c r="BF59" s="1495"/>
      <c r="BG59" s="1495"/>
      <c r="BH59" s="1495"/>
      <c r="BI59" s="1495"/>
      <c r="BJ59" s="1495"/>
      <c r="BK59" s="1495"/>
      <c r="BL59" s="1495"/>
      <c r="BM59" s="1495"/>
      <c r="BN59" s="1495"/>
      <c r="BO59" s="1495"/>
      <c r="BP59" s="418"/>
      <c r="BQ59" s="1495"/>
      <c r="BR59" s="1495"/>
      <c r="BS59" s="1495"/>
      <c r="BT59" s="1495"/>
      <c r="BU59" s="1495"/>
      <c r="BV59" s="1495"/>
      <c r="BW59" s="1495"/>
      <c r="BX59" s="1495"/>
      <c r="BY59" s="1495"/>
      <c r="BZ59" s="444"/>
      <c r="CA59" s="496"/>
      <c r="CB59" s="496"/>
      <c r="CC59" s="444"/>
      <c r="CD59" s="502"/>
      <c r="CE59" s="108"/>
      <c r="CF59" s="444"/>
      <c r="CG59" s="504"/>
      <c r="CH59" s="348"/>
      <c r="CI59" s="408"/>
      <c r="CJ59" s="1495"/>
      <c r="CK59" s="1495"/>
      <c r="CL59" s="1495"/>
      <c r="CM59" s="1495"/>
      <c r="CN59" s="1495"/>
      <c r="CO59" s="1495"/>
      <c r="CP59" s="1495"/>
      <c r="CQ59" s="1495"/>
      <c r="CR59" s="1495"/>
      <c r="CS59" s="1495"/>
      <c r="CT59" s="1495"/>
      <c r="CU59" s="1495"/>
      <c r="CV59" s="1495"/>
      <c r="CW59" s="1495"/>
      <c r="CX59" s="1495"/>
      <c r="CY59" s="1495"/>
      <c r="CZ59" s="1495"/>
      <c r="DA59" s="444"/>
      <c r="DB59" s="475"/>
      <c r="DC59" s="108"/>
      <c r="DD59" s="408"/>
      <c r="DE59" s="1495"/>
      <c r="DF59" s="444"/>
      <c r="DG59" s="475"/>
      <c r="DH59" s="407"/>
      <c r="DI59" s="407"/>
      <c r="DJ59" s="1495"/>
      <c r="DK59" s="1495"/>
      <c r="DL59" s="1495"/>
      <c r="DM59" s="1495"/>
      <c r="DN59" s="1495"/>
      <c r="DO59" s="1495"/>
      <c r="DP59" s="1495"/>
      <c r="DQ59" s="1495"/>
      <c r="DR59" s="1495"/>
      <c r="DS59" s="1495"/>
      <c r="DT59" s="1495"/>
      <c r="DU59" s="1495"/>
      <c r="DV59" s="1495"/>
      <c r="DW59" s="1495"/>
      <c r="DX59" s="1495"/>
      <c r="DY59" s="1495"/>
      <c r="DZ59" s="1495"/>
      <c r="EA59" s="1495"/>
      <c r="EB59" s="1495"/>
      <c r="EC59" s="1495"/>
      <c r="ED59" s="1495"/>
      <c r="EE59" s="1495"/>
      <c r="EF59" s="1495"/>
      <c r="EG59" s="1495"/>
      <c r="EH59" s="1495"/>
      <c r="EI59" s="1495"/>
      <c r="EJ59" s="1495"/>
      <c r="EK59" s="1495"/>
      <c r="EL59" s="407"/>
      <c r="EM59" s="1495"/>
      <c r="EN59" s="407"/>
      <c r="EO59" s="1495"/>
      <c r="EP59" s="1495"/>
      <c r="EQ59" s="1495"/>
      <c r="ER59" s="1495"/>
      <c r="ES59" s="1495"/>
      <c r="ET59" s="1495"/>
      <c r="EU59" s="1495"/>
      <c r="EV59" s="1495"/>
      <c r="EW59" s="1495"/>
      <c r="EX59" s="1495"/>
      <c r="EY59" s="1495"/>
      <c r="EZ59" s="1495"/>
      <c r="FA59" s="1495"/>
      <c r="FB59" s="1495"/>
      <c r="FC59" s="1495"/>
      <c r="FD59" s="1495"/>
      <c r="FE59" s="1495"/>
      <c r="FF59" s="1495"/>
      <c r="FG59" s="1495"/>
      <c r="FH59" s="1495"/>
      <c r="FI59" s="1495"/>
      <c r="FJ59" s="1495"/>
      <c r="FK59" s="1495"/>
      <c r="FL59" s="1495"/>
      <c r="FM59" s="1495"/>
      <c r="FN59" s="1495"/>
      <c r="FO59" s="1495"/>
      <c r="FP59" s="1495"/>
      <c r="FQ59" s="1495"/>
      <c r="FR59" s="1495"/>
      <c r="FS59" s="1495"/>
      <c r="FT59" s="1495"/>
      <c r="FU59" s="1495"/>
      <c r="FV59" s="1495"/>
      <c r="FW59" s="1495"/>
      <c r="FX59" s="1495"/>
      <c r="FY59" s="1495"/>
      <c r="FZ59" s="1495"/>
      <c r="GA59" s="1495"/>
      <c r="GB59" s="1495"/>
      <c r="GC59" s="1495"/>
      <c r="GD59" s="1495"/>
      <c r="GE59" s="1495"/>
      <c r="GF59" s="1495"/>
      <c r="GG59" s="1495"/>
      <c r="GH59" s="1495"/>
      <c r="GI59" s="1495"/>
      <c r="GJ59" s="1495"/>
      <c r="GK59" s="1495"/>
      <c r="GL59" s="1495"/>
      <c r="GM59" s="1495"/>
      <c r="GN59" s="1495"/>
      <c r="GO59" s="1495"/>
      <c r="GP59" s="1495"/>
      <c r="GQ59" s="1495"/>
      <c r="GR59" s="1495"/>
      <c r="GS59" s="1495"/>
      <c r="GT59" s="1495"/>
      <c r="GU59" s="1495"/>
      <c r="GV59" s="1495"/>
      <c r="GW59" s="1495"/>
      <c r="GX59" s="1495"/>
      <c r="GY59" s="1495"/>
      <c r="GZ59" s="1495"/>
      <c r="HA59" s="1495"/>
      <c r="HB59" s="1495"/>
      <c r="HC59" s="1495"/>
      <c r="HD59" s="1495"/>
      <c r="HE59" s="1495"/>
      <c r="HF59" s="1495"/>
      <c r="HG59" s="1495"/>
      <c r="HH59" s="1495"/>
      <c r="HI59" s="1495"/>
      <c r="HJ59" s="1495"/>
      <c r="HK59" s="1495"/>
      <c r="HL59" s="1495"/>
      <c r="HM59" s="1495"/>
      <c r="HN59" s="1495"/>
      <c r="HO59" s="1495"/>
      <c r="HP59" s="1495"/>
      <c r="HQ59" s="1495"/>
      <c r="HR59" s="1495"/>
      <c r="HS59" s="1495"/>
      <c r="HT59" s="1495"/>
      <c r="HU59" s="1495"/>
      <c r="HV59" s="1495"/>
      <c r="HW59" s="1495"/>
      <c r="HX59" s="1495"/>
      <c r="HY59" s="1495"/>
      <c r="HZ59" s="1495"/>
      <c r="IA59" s="1495"/>
      <c r="IB59" s="1495"/>
      <c r="IC59" s="1495"/>
      <c r="ID59" s="1495"/>
      <c r="IE59" s="1495"/>
      <c r="IF59" s="1495"/>
      <c r="IG59" s="1495"/>
      <c r="IH59" s="1495"/>
      <c r="II59" s="1495"/>
      <c r="IJ59" s="1495"/>
      <c r="IK59" s="1495"/>
      <c r="IL59" s="1495"/>
      <c r="IM59" s="1495"/>
      <c r="IN59" s="1495"/>
      <c r="IO59" s="1495"/>
      <c r="IP59" s="1495"/>
      <c r="IQ59" s="1495"/>
      <c r="IR59" s="1495"/>
      <c r="IS59" s="1495"/>
      <c r="IT59" s="1495"/>
      <c r="IU59" s="1495"/>
      <c r="IV59" s="1495"/>
      <c r="IW59" s="1495"/>
      <c r="IX59" s="1495"/>
      <c r="IY59" s="1495"/>
      <c r="IZ59" s="1495"/>
      <c r="JA59" s="1495"/>
      <c r="JB59" s="1495"/>
      <c r="JC59" s="1495"/>
      <c r="JD59" s="1495"/>
      <c r="JE59" s="1495"/>
      <c r="JF59" s="1495"/>
      <c r="JG59" s="1495"/>
      <c r="JH59" s="1495"/>
      <c r="JI59" s="1495"/>
      <c r="JJ59" s="1495"/>
      <c r="JK59" s="1495"/>
      <c r="JL59" s="1495"/>
      <c r="JM59" s="1495"/>
      <c r="JN59" s="1495"/>
      <c r="JO59" s="1495"/>
      <c r="JP59" s="1495"/>
      <c r="JQ59" s="1495"/>
      <c r="JR59" s="1495"/>
      <c r="JS59" s="1495"/>
      <c r="JT59" s="1495"/>
      <c r="JU59" s="1495"/>
      <c r="JV59" s="1495"/>
      <c r="JW59" s="1495"/>
      <c r="JX59" s="1495"/>
      <c r="JY59" s="1495"/>
      <c r="JZ59" s="1495"/>
      <c r="KA59" s="1495"/>
      <c r="KB59" s="1495"/>
      <c r="KC59" s="1495"/>
      <c r="KD59" s="1495"/>
      <c r="KE59" s="1495"/>
      <c r="KF59" s="1495"/>
      <c r="KG59" s="1495"/>
      <c r="KH59" s="1495"/>
      <c r="KI59" s="1495"/>
      <c r="KJ59" s="1495"/>
      <c r="KK59" s="1495"/>
      <c r="KL59" s="1495"/>
      <c r="KM59" s="1495"/>
      <c r="KN59" s="1495"/>
      <c r="KO59" s="1495"/>
      <c r="KP59" s="1495"/>
      <c r="KQ59" s="1495"/>
      <c r="KR59" s="1495"/>
      <c r="KS59" s="1495"/>
      <c r="KT59" s="1495"/>
      <c r="KU59" s="1495"/>
      <c r="KV59" s="1495"/>
      <c r="KW59" s="1495"/>
      <c r="KX59" s="1495"/>
      <c r="KY59" s="1495"/>
      <c r="KZ59" s="1495"/>
      <c r="LA59" s="1495"/>
      <c r="LB59" s="1495"/>
      <c r="LC59" s="1495"/>
      <c r="LD59" s="1495"/>
      <c r="LE59" s="1495"/>
    </row>
    <row r="60" spans="1:317">
      <c r="A60" s="1495"/>
      <c r="B60" s="418"/>
      <c r="C60" s="1495"/>
      <c r="D60" s="1495"/>
      <c r="E60" s="1495"/>
      <c r="F60" s="1495"/>
      <c r="G60" s="1495"/>
      <c r="H60" s="1495"/>
      <c r="I60" s="1495"/>
      <c r="J60" s="1495"/>
      <c r="K60" s="1495"/>
      <c r="L60" s="1495"/>
      <c r="M60" s="1495"/>
      <c r="N60" s="1495"/>
      <c r="O60" s="1495"/>
      <c r="P60" s="1495"/>
      <c r="Q60" s="1495"/>
      <c r="R60" s="1495"/>
      <c r="S60" s="1495"/>
      <c r="T60" s="1495"/>
      <c r="U60" s="1495"/>
      <c r="V60" s="1495"/>
      <c r="W60" s="1495"/>
      <c r="X60" s="1495"/>
      <c r="Y60" s="1495"/>
      <c r="Z60" s="1495"/>
      <c r="AA60" s="1495"/>
      <c r="AB60" s="1495"/>
      <c r="AC60" s="1495"/>
      <c r="AD60" s="1495"/>
      <c r="AE60" s="1495"/>
      <c r="AF60" s="1495"/>
      <c r="AG60" s="1495"/>
      <c r="AH60" s="1495"/>
      <c r="AI60" s="1495"/>
      <c r="AJ60" s="1495"/>
      <c r="AK60" s="1495"/>
      <c r="AL60" s="1495"/>
      <c r="AM60" s="1495"/>
      <c r="AN60" s="1495"/>
      <c r="AO60" s="1495"/>
      <c r="AP60" s="1495"/>
      <c r="AQ60" s="1495"/>
      <c r="AR60" s="1495"/>
      <c r="AS60" s="1495"/>
      <c r="AT60" s="1495"/>
      <c r="AU60" s="1495"/>
      <c r="AV60" s="1495"/>
      <c r="AW60" s="1495"/>
      <c r="AX60" s="1495"/>
      <c r="AY60" s="1495"/>
      <c r="AZ60" s="1495"/>
      <c r="BA60" s="1495"/>
      <c r="BB60" s="1495"/>
      <c r="BC60" s="1495"/>
      <c r="BD60" s="1495"/>
      <c r="BE60" s="1495"/>
      <c r="BF60" s="1495"/>
      <c r="BG60" s="1495"/>
      <c r="BH60" s="1495"/>
      <c r="BI60" s="1495"/>
      <c r="BJ60" s="1495"/>
      <c r="BK60" s="1495"/>
      <c r="BL60" s="1495"/>
      <c r="BM60" s="1495"/>
      <c r="BN60" s="1495"/>
      <c r="BO60" s="1495"/>
      <c r="BP60" s="418"/>
      <c r="BQ60" s="1495"/>
      <c r="BR60" s="1495"/>
      <c r="BS60" s="1495"/>
      <c r="BT60" s="1495"/>
      <c r="BU60" s="1495"/>
      <c r="BV60" s="1495"/>
      <c r="BW60" s="1495"/>
      <c r="BX60" s="1495"/>
      <c r="BY60" s="1495"/>
      <c r="BZ60" s="444"/>
      <c r="CA60" s="496"/>
      <c r="CB60" s="496"/>
      <c r="CC60" s="444"/>
      <c r="CD60" s="502"/>
      <c r="CE60" s="108"/>
      <c r="CF60" s="444"/>
      <c r="CG60" s="504"/>
      <c r="CH60" s="348"/>
      <c r="CI60" s="408"/>
      <c r="CJ60" s="1495"/>
      <c r="CK60" s="1495"/>
      <c r="CL60" s="1495"/>
      <c r="CM60" s="1495"/>
      <c r="CN60" s="1495"/>
      <c r="CO60" s="1495"/>
      <c r="CP60" s="1495"/>
      <c r="CQ60" s="1495"/>
      <c r="CR60" s="1495"/>
      <c r="CS60" s="1495"/>
      <c r="CT60" s="1495"/>
      <c r="CU60" s="1495"/>
      <c r="CV60" s="1495"/>
      <c r="CW60" s="1495"/>
      <c r="CX60" s="1495"/>
      <c r="CY60" s="1495"/>
      <c r="CZ60" s="1495"/>
      <c r="DA60" s="444"/>
      <c r="DB60" s="475"/>
      <c r="DC60" s="108"/>
      <c r="DD60" s="408"/>
      <c r="DE60" s="1495"/>
      <c r="DF60" s="444"/>
      <c r="DG60" s="475"/>
      <c r="DH60" s="407"/>
      <c r="DI60" s="407"/>
      <c r="DJ60" s="1495"/>
      <c r="DK60" s="1495"/>
      <c r="DL60" s="1495"/>
      <c r="DM60" s="1495"/>
      <c r="DN60" s="1495"/>
      <c r="DO60" s="1495"/>
      <c r="DP60" s="1495"/>
      <c r="DQ60" s="1495"/>
      <c r="DR60" s="1495"/>
      <c r="DS60" s="1495"/>
      <c r="DT60" s="1495"/>
      <c r="DU60" s="1495"/>
      <c r="DV60" s="1495"/>
      <c r="DW60" s="1495"/>
      <c r="DX60" s="1495"/>
      <c r="DY60" s="1495"/>
      <c r="DZ60" s="1495"/>
      <c r="EA60" s="1495"/>
      <c r="EB60" s="1495"/>
      <c r="EC60" s="1495"/>
      <c r="ED60" s="1495"/>
      <c r="EE60" s="1495"/>
      <c r="EF60" s="1495"/>
      <c r="EG60" s="1495"/>
      <c r="EH60" s="1495"/>
      <c r="EI60" s="1495"/>
      <c r="EJ60" s="1495"/>
      <c r="EK60" s="1495"/>
      <c r="EL60" s="407"/>
      <c r="EM60" s="1495"/>
      <c r="EN60" s="407"/>
      <c r="EO60" s="1495"/>
      <c r="EP60" s="1495"/>
      <c r="EQ60" s="1495"/>
      <c r="ER60" s="1495"/>
      <c r="ES60" s="1495"/>
      <c r="ET60" s="1495"/>
      <c r="EU60" s="1495"/>
      <c r="EV60" s="1495"/>
      <c r="EW60" s="1495"/>
      <c r="EX60" s="1495"/>
      <c r="EY60" s="1495"/>
      <c r="EZ60" s="1495"/>
      <c r="FA60" s="1495"/>
      <c r="FB60" s="1495"/>
      <c r="FC60" s="1495"/>
      <c r="FD60" s="1495"/>
      <c r="FE60" s="1495"/>
      <c r="FF60" s="1495"/>
      <c r="FG60" s="1495"/>
      <c r="FH60" s="1495"/>
      <c r="FI60" s="1495"/>
      <c r="FJ60" s="1495"/>
      <c r="FK60" s="1495"/>
      <c r="FL60" s="1495"/>
      <c r="FM60" s="1495"/>
      <c r="FN60" s="1495"/>
      <c r="FO60" s="1495"/>
      <c r="FP60" s="1495"/>
      <c r="FQ60" s="1495"/>
      <c r="FR60" s="1495"/>
      <c r="FS60" s="1495"/>
      <c r="FT60" s="1495"/>
      <c r="FU60" s="1495"/>
      <c r="FV60" s="1495"/>
      <c r="FW60" s="1495"/>
      <c r="FX60" s="1495"/>
      <c r="FY60" s="1495"/>
      <c r="FZ60" s="1495"/>
      <c r="GA60" s="1495"/>
      <c r="GB60" s="1495"/>
      <c r="GC60" s="1495"/>
      <c r="GD60" s="1495"/>
      <c r="GE60" s="1495"/>
      <c r="GF60" s="1495"/>
      <c r="GG60" s="1495"/>
      <c r="GH60" s="1495"/>
      <c r="GI60" s="1495"/>
      <c r="GJ60" s="1495"/>
      <c r="GK60" s="1495"/>
      <c r="GL60" s="1495"/>
      <c r="GM60" s="1495"/>
      <c r="GN60" s="1495"/>
      <c r="GO60" s="1495"/>
      <c r="GP60" s="1495"/>
      <c r="GQ60" s="1495"/>
      <c r="GR60" s="1495"/>
      <c r="GS60" s="1495"/>
      <c r="GT60" s="1495"/>
      <c r="GU60" s="1495"/>
      <c r="GV60" s="1495"/>
      <c r="GW60" s="1495"/>
      <c r="GX60" s="1495"/>
      <c r="GY60" s="1495"/>
      <c r="GZ60" s="1495"/>
      <c r="HA60" s="1495"/>
      <c r="HB60" s="1495"/>
      <c r="HC60" s="1495"/>
      <c r="HD60" s="1495"/>
      <c r="HE60" s="1495"/>
      <c r="HF60" s="1495"/>
      <c r="HG60" s="1495"/>
      <c r="HH60" s="1495"/>
      <c r="HI60" s="1495"/>
      <c r="HJ60" s="1495"/>
      <c r="HK60" s="1495"/>
      <c r="HL60" s="1495"/>
      <c r="HM60" s="1495"/>
      <c r="HN60" s="1495"/>
      <c r="HO60" s="1495"/>
      <c r="HP60" s="1495"/>
      <c r="HQ60" s="1495"/>
      <c r="HR60" s="1495"/>
      <c r="HS60" s="1495"/>
      <c r="HT60" s="1495"/>
      <c r="HU60" s="1495"/>
      <c r="HV60" s="1495"/>
      <c r="HW60" s="1495"/>
      <c r="HX60" s="1495"/>
      <c r="HY60" s="1495"/>
      <c r="HZ60" s="1495"/>
      <c r="IA60" s="1495"/>
      <c r="IB60" s="1495"/>
      <c r="IC60" s="1495"/>
      <c r="ID60" s="1495"/>
      <c r="IE60" s="1495"/>
      <c r="IF60" s="1495"/>
      <c r="IG60" s="1495"/>
      <c r="IH60" s="1495"/>
      <c r="II60" s="1495"/>
      <c r="IJ60" s="1495"/>
      <c r="IK60" s="1495"/>
      <c r="IL60" s="1495"/>
      <c r="IM60" s="1495"/>
      <c r="IN60" s="1495"/>
      <c r="IO60" s="1495"/>
      <c r="IP60" s="1495"/>
      <c r="IQ60" s="1495"/>
      <c r="IR60" s="1495"/>
      <c r="IS60" s="1495"/>
      <c r="IT60" s="1495"/>
      <c r="IU60" s="1495"/>
      <c r="IV60" s="1495"/>
      <c r="IW60" s="1495"/>
      <c r="IX60" s="1495"/>
      <c r="IY60" s="1495"/>
      <c r="IZ60" s="1495"/>
      <c r="JA60" s="1495"/>
      <c r="JB60" s="1495"/>
      <c r="JC60" s="1495"/>
      <c r="JD60" s="1495"/>
      <c r="JE60" s="1495"/>
      <c r="JF60" s="1495"/>
      <c r="JG60" s="1495"/>
      <c r="JH60" s="1495"/>
      <c r="JI60" s="1495"/>
      <c r="JJ60" s="1495"/>
      <c r="JK60" s="1495"/>
      <c r="JL60" s="1495"/>
      <c r="JM60" s="1495"/>
      <c r="JN60" s="1495"/>
      <c r="JO60" s="1495"/>
      <c r="JP60" s="1495"/>
      <c r="JQ60" s="1495"/>
      <c r="JR60" s="1495"/>
      <c r="JS60" s="1495"/>
      <c r="JT60" s="1495"/>
      <c r="JU60" s="1495"/>
      <c r="JV60" s="1495"/>
      <c r="JW60" s="1495"/>
      <c r="JX60" s="1495"/>
      <c r="JY60" s="1495"/>
      <c r="JZ60" s="1495"/>
      <c r="KA60" s="1495"/>
      <c r="KB60" s="1495"/>
      <c r="KC60" s="1495"/>
      <c r="KD60" s="1495"/>
      <c r="KE60" s="1495"/>
      <c r="KF60" s="1495"/>
      <c r="KG60" s="1495"/>
      <c r="KH60" s="1495"/>
      <c r="KI60" s="1495"/>
      <c r="KJ60" s="1495"/>
      <c r="KK60" s="1495"/>
      <c r="KL60" s="1495"/>
      <c r="KM60" s="1495"/>
      <c r="KN60" s="1495"/>
      <c r="KO60" s="1495"/>
      <c r="KP60" s="1495"/>
      <c r="KQ60" s="1495"/>
      <c r="KR60" s="1495"/>
      <c r="KS60" s="1495"/>
      <c r="KT60" s="1495"/>
      <c r="KU60" s="1495"/>
      <c r="KV60" s="1495"/>
      <c r="KW60" s="1495"/>
      <c r="KX60" s="1495"/>
      <c r="KY60" s="1495"/>
      <c r="KZ60" s="1495"/>
      <c r="LA60" s="1495"/>
      <c r="LB60" s="1495"/>
      <c r="LC60" s="1495"/>
      <c r="LD60" s="1495"/>
      <c r="LE60" s="1495"/>
    </row>
    <row r="61" spans="1:317">
      <c r="A61" s="1495"/>
      <c r="B61" s="418"/>
      <c r="C61" s="1495"/>
      <c r="D61" s="1495"/>
      <c r="E61" s="1495"/>
      <c r="F61" s="1495"/>
      <c r="G61" s="1495"/>
      <c r="H61" s="1495"/>
      <c r="I61" s="1495"/>
      <c r="J61" s="1495"/>
      <c r="K61" s="1495"/>
      <c r="L61" s="1495"/>
      <c r="M61" s="1495"/>
      <c r="N61" s="1495"/>
      <c r="O61" s="1495"/>
      <c r="P61" s="1495"/>
      <c r="Q61" s="1495"/>
      <c r="R61" s="1495"/>
      <c r="S61" s="1495"/>
      <c r="T61" s="1495"/>
      <c r="U61" s="1495"/>
      <c r="V61" s="1495"/>
      <c r="W61" s="1495"/>
      <c r="X61" s="1495"/>
      <c r="Y61" s="1495"/>
      <c r="Z61" s="1495"/>
      <c r="AA61" s="1495"/>
      <c r="AB61" s="1495"/>
      <c r="AC61" s="1495"/>
      <c r="AD61" s="1495"/>
      <c r="AE61" s="1495"/>
      <c r="AF61" s="1495"/>
      <c r="AG61" s="1495"/>
      <c r="AH61" s="1495"/>
      <c r="AI61" s="1495"/>
      <c r="AJ61" s="1495"/>
      <c r="AK61" s="1495"/>
      <c r="AL61" s="1495"/>
      <c r="AM61" s="1495"/>
      <c r="AN61" s="1495"/>
      <c r="AO61" s="1495"/>
      <c r="AP61" s="1495"/>
      <c r="AQ61" s="1495"/>
      <c r="AR61" s="1495"/>
      <c r="AS61" s="1495"/>
      <c r="AT61" s="1495"/>
      <c r="AU61" s="1495"/>
      <c r="AV61" s="1495"/>
      <c r="AW61" s="1495"/>
      <c r="AX61" s="1495"/>
      <c r="AY61" s="1495"/>
      <c r="AZ61" s="1495"/>
      <c r="BA61" s="1495"/>
      <c r="BB61" s="1495"/>
      <c r="BC61" s="1495"/>
      <c r="BD61" s="1495"/>
      <c r="BE61" s="1495"/>
      <c r="BF61" s="1495"/>
      <c r="BG61" s="1495"/>
      <c r="BH61" s="1495"/>
      <c r="BI61" s="1495"/>
      <c r="BJ61" s="1495"/>
      <c r="BK61" s="1495"/>
      <c r="BL61" s="1495"/>
      <c r="BM61" s="1495"/>
      <c r="BN61" s="1495"/>
      <c r="BO61" s="1495"/>
      <c r="BP61" s="418"/>
      <c r="BQ61" s="1495"/>
      <c r="BR61" s="1495"/>
      <c r="BS61" s="1495"/>
      <c r="BT61" s="1495"/>
      <c r="BU61" s="1495"/>
      <c r="BV61" s="1495"/>
      <c r="BW61" s="1495"/>
      <c r="BX61" s="1495"/>
      <c r="BY61" s="1495"/>
      <c r="BZ61" s="444"/>
      <c r="CA61" s="496"/>
      <c r="CB61" s="496"/>
      <c r="CC61" s="444"/>
      <c r="CD61" s="502"/>
      <c r="CE61" s="108"/>
      <c r="CF61" s="444"/>
      <c r="CG61" s="504"/>
      <c r="CH61" s="348"/>
      <c r="CI61" s="408"/>
      <c r="CJ61" s="1495"/>
      <c r="CK61" s="1495"/>
      <c r="CL61" s="1495"/>
      <c r="CM61" s="1495"/>
      <c r="CN61" s="1495"/>
      <c r="CO61" s="1495"/>
      <c r="CP61" s="1495"/>
      <c r="CQ61" s="1495"/>
      <c r="CR61" s="1495"/>
      <c r="CS61" s="1495"/>
      <c r="CT61" s="1495"/>
      <c r="CU61" s="1495"/>
      <c r="CV61" s="1495"/>
      <c r="CW61" s="1495"/>
      <c r="CX61" s="1495"/>
      <c r="CY61" s="1495"/>
      <c r="CZ61" s="1495"/>
      <c r="DA61" s="444"/>
      <c r="DB61" s="475"/>
      <c r="DC61" s="108"/>
      <c r="DD61" s="408"/>
      <c r="DE61" s="1495"/>
      <c r="DF61" s="444"/>
      <c r="DG61" s="475"/>
      <c r="DH61" s="407"/>
      <c r="DI61" s="407"/>
      <c r="DJ61" s="1495"/>
      <c r="DK61" s="1495"/>
      <c r="DL61" s="1495"/>
      <c r="DM61" s="1495"/>
      <c r="DN61" s="1495"/>
      <c r="DO61" s="1495"/>
      <c r="DP61" s="1495"/>
      <c r="DQ61" s="1495"/>
      <c r="DR61" s="1495"/>
      <c r="DS61" s="1495"/>
      <c r="DT61" s="1495"/>
      <c r="DU61" s="1495"/>
      <c r="DV61" s="1495"/>
      <c r="DW61" s="1495"/>
      <c r="DX61" s="1495"/>
      <c r="DY61" s="1495"/>
      <c r="DZ61" s="1495"/>
      <c r="EA61" s="1495"/>
      <c r="EB61" s="1495"/>
      <c r="EC61" s="1495"/>
      <c r="ED61" s="1495"/>
      <c r="EE61" s="1495"/>
      <c r="EF61" s="1495"/>
      <c r="EG61" s="1495"/>
      <c r="EH61" s="1495"/>
      <c r="EI61" s="1495"/>
      <c r="EJ61" s="1495"/>
      <c r="EK61" s="1495"/>
      <c r="EL61" s="407"/>
      <c r="EM61" s="1495"/>
      <c r="EN61" s="407"/>
      <c r="EO61" s="1495"/>
      <c r="EP61" s="1495"/>
      <c r="EQ61" s="1495"/>
      <c r="ER61" s="1495"/>
      <c r="ES61" s="1495"/>
      <c r="ET61" s="1495"/>
      <c r="EU61" s="1495"/>
      <c r="EV61" s="1495"/>
      <c r="EW61" s="1495"/>
      <c r="EX61" s="1495"/>
      <c r="EY61" s="1495"/>
      <c r="EZ61" s="1495"/>
      <c r="FA61" s="1495"/>
      <c r="FB61" s="1495"/>
      <c r="FC61" s="1495"/>
      <c r="FD61" s="1495"/>
      <c r="FE61" s="1495"/>
      <c r="FF61" s="1495"/>
      <c r="FG61" s="1495"/>
      <c r="FH61" s="1495"/>
      <c r="FI61" s="1495"/>
      <c r="FJ61" s="1495"/>
      <c r="FK61" s="1495"/>
      <c r="FL61" s="1495"/>
      <c r="FM61" s="1495"/>
      <c r="FN61" s="1495"/>
      <c r="FO61" s="1495"/>
      <c r="FP61" s="1495"/>
      <c r="FQ61" s="1495"/>
      <c r="FR61" s="1495"/>
      <c r="FS61" s="1495"/>
      <c r="FT61" s="1495"/>
      <c r="FU61" s="1495"/>
      <c r="FV61" s="1495"/>
      <c r="FW61" s="1495"/>
      <c r="FX61" s="1495"/>
      <c r="FY61" s="1495"/>
      <c r="FZ61" s="1495"/>
      <c r="GA61" s="1495"/>
      <c r="GB61" s="1495"/>
      <c r="GC61" s="1495"/>
      <c r="GD61" s="1495"/>
      <c r="GE61" s="1495"/>
      <c r="GF61" s="1495"/>
      <c r="GG61" s="1495"/>
      <c r="GH61" s="1495"/>
      <c r="GI61" s="1495"/>
      <c r="GJ61" s="1495"/>
      <c r="GK61" s="1495"/>
      <c r="GL61" s="1495"/>
      <c r="GM61" s="1495"/>
      <c r="GN61" s="1495"/>
      <c r="GO61" s="1495"/>
      <c r="GP61" s="1495"/>
      <c r="GQ61" s="1495"/>
      <c r="GR61" s="1495"/>
      <c r="GS61" s="1495"/>
      <c r="GT61" s="1495"/>
      <c r="GU61" s="1495"/>
      <c r="GV61" s="1495"/>
      <c r="GW61" s="1495"/>
      <c r="GX61" s="1495"/>
      <c r="GY61" s="1495"/>
      <c r="GZ61" s="1495"/>
      <c r="HA61" s="1495"/>
      <c r="HB61" s="1495"/>
      <c r="HC61" s="1495"/>
      <c r="HD61" s="1495"/>
      <c r="HE61" s="1495"/>
      <c r="HF61" s="1495"/>
      <c r="HG61" s="1495"/>
      <c r="HH61" s="1495"/>
      <c r="HI61" s="1495"/>
      <c r="HJ61" s="1495"/>
      <c r="HK61" s="1495"/>
      <c r="HL61" s="1495"/>
      <c r="HM61" s="1495"/>
      <c r="HN61" s="1495"/>
      <c r="HO61" s="1495"/>
      <c r="HP61" s="1495"/>
      <c r="HQ61" s="1495"/>
      <c r="HR61" s="1495"/>
      <c r="HS61" s="1495"/>
      <c r="HT61" s="1495"/>
      <c r="HU61" s="1495"/>
      <c r="HV61" s="1495"/>
      <c r="HW61" s="1495"/>
      <c r="HX61" s="1495"/>
      <c r="HY61" s="1495"/>
      <c r="HZ61" s="1495"/>
      <c r="IA61" s="1495"/>
      <c r="IB61" s="1495"/>
      <c r="IC61" s="1495"/>
      <c r="ID61" s="1495"/>
      <c r="IE61" s="1495"/>
      <c r="IF61" s="1495"/>
      <c r="IG61" s="1495"/>
      <c r="IH61" s="1495"/>
      <c r="II61" s="1495"/>
      <c r="IJ61" s="1495"/>
      <c r="IK61" s="1495"/>
      <c r="IL61" s="1495"/>
      <c r="IM61" s="1495"/>
      <c r="IN61" s="1495"/>
      <c r="IO61" s="1495"/>
      <c r="IP61" s="1495"/>
      <c r="IQ61" s="1495"/>
      <c r="IR61" s="1495"/>
      <c r="IS61" s="1495"/>
      <c r="IT61" s="1495"/>
      <c r="IU61" s="1495"/>
      <c r="IV61" s="1495"/>
      <c r="IW61" s="1495"/>
      <c r="IX61" s="1495"/>
      <c r="IY61" s="1495"/>
      <c r="IZ61" s="1495"/>
      <c r="JA61" s="1495"/>
      <c r="JB61" s="1495"/>
      <c r="JC61" s="1495"/>
      <c r="JD61" s="1495"/>
      <c r="JE61" s="1495"/>
      <c r="JF61" s="1495"/>
      <c r="JG61" s="1495"/>
      <c r="JH61" s="1495"/>
      <c r="JI61" s="1495"/>
      <c r="JJ61" s="1495"/>
      <c r="JK61" s="1495"/>
      <c r="JL61" s="1495"/>
      <c r="JM61" s="1495"/>
      <c r="JN61" s="1495"/>
      <c r="JO61" s="1495"/>
      <c r="JP61" s="1495"/>
      <c r="JQ61" s="1495"/>
      <c r="JR61" s="1495"/>
      <c r="JS61" s="1495"/>
      <c r="JT61" s="1495"/>
      <c r="JU61" s="1495"/>
      <c r="JV61" s="1495"/>
      <c r="JW61" s="1495"/>
      <c r="JX61" s="1495"/>
      <c r="JY61" s="1495"/>
      <c r="JZ61" s="1495"/>
      <c r="KA61" s="1495"/>
      <c r="KB61" s="1495"/>
      <c r="KC61" s="1495"/>
      <c r="KD61" s="1495"/>
      <c r="KE61" s="1495"/>
      <c r="KF61" s="1495"/>
      <c r="KG61" s="1495"/>
      <c r="KH61" s="1495"/>
      <c r="KI61" s="1495"/>
      <c r="KJ61" s="1495"/>
      <c r="KK61" s="1495"/>
      <c r="KL61" s="1495"/>
      <c r="KM61" s="1495"/>
      <c r="KN61" s="1495"/>
      <c r="KO61" s="1495"/>
      <c r="KP61" s="1495"/>
      <c r="KQ61" s="1495"/>
      <c r="KR61" s="1495"/>
      <c r="KS61" s="1495"/>
      <c r="KT61" s="1495"/>
      <c r="KU61" s="1495"/>
      <c r="KV61" s="1495"/>
      <c r="KW61" s="1495"/>
      <c r="KX61" s="1495"/>
      <c r="KY61" s="1495"/>
      <c r="KZ61" s="1495"/>
      <c r="LA61" s="1495"/>
      <c r="LB61" s="1495"/>
      <c r="LC61" s="1495"/>
      <c r="LD61" s="1495"/>
      <c r="LE61" s="1495"/>
    </row>
    <row r="62" spans="1:317">
      <c r="A62" s="1495"/>
      <c r="B62" s="418"/>
      <c r="C62" s="1495"/>
      <c r="D62" s="1495"/>
      <c r="E62" s="1495"/>
      <c r="F62" s="1495"/>
      <c r="G62" s="1495"/>
      <c r="H62" s="1495"/>
      <c r="I62" s="1495"/>
      <c r="J62" s="1495"/>
      <c r="K62" s="1495"/>
      <c r="L62" s="1495"/>
      <c r="M62" s="1495"/>
      <c r="N62" s="1495"/>
      <c r="O62" s="1495"/>
      <c r="P62" s="1495"/>
      <c r="Q62" s="1495"/>
      <c r="R62" s="1495"/>
      <c r="S62" s="1495"/>
      <c r="T62" s="1495"/>
      <c r="U62" s="1495"/>
      <c r="V62" s="1495"/>
      <c r="W62" s="1495"/>
      <c r="X62" s="1495"/>
      <c r="Y62" s="1495"/>
      <c r="Z62" s="1495"/>
      <c r="AA62" s="1495"/>
      <c r="AB62" s="1495"/>
      <c r="AC62" s="1495"/>
      <c r="AD62" s="1495"/>
      <c r="AE62" s="1495"/>
      <c r="AF62" s="1495"/>
      <c r="AG62" s="1495"/>
      <c r="AH62" s="1495"/>
      <c r="AI62" s="1495"/>
      <c r="AJ62" s="1495"/>
      <c r="AK62" s="1495"/>
      <c r="AL62" s="1495"/>
      <c r="AM62" s="1495"/>
      <c r="AN62" s="1495"/>
      <c r="AO62" s="1495"/>
      <c r="AP62" s="1495"/>
      <c r="AQ62" s="1495"/>
      <c r="AR62" s="1495"/>
      <c r="AS62" s="1495"/>
      <c r="AT62" s="1495"/>
      <c r="AU62" s="1495"/>
      <c r="AV62" s="1495"/>
      <c r="AW62" s="1495"/>
      <c r="AX62" s="1495"/>
      <c r="AY62" s="1495"/>
      <c r="AZ62" s="1495"/>
      <c r="BA62" s="1495"/>
      <c r="BB62" s="1495"/>
      <c r="BC62" s="1495"/>
      <c r="BD62" s="1495"/>
      <c r="BE62" s="1495"/>
      <c r="BF62" s="1495"/>
      <c r="BG62" s="1495"/>
      <c r="BH62" s="1495"/>
      <c r="BI62" s="1495"/>
      <c r="BJ62" s="1495"/>
      <c r="BK62" s="1495"/>
      <c r="BL62" s="1495"/>
      <c r="BM62" s="1495"/>
      <c r="BN62" s="1495"/>
      <c r="BO62" s="1495"/>
      <c r="BP62" s="418"/>
      <c r="BQ62" s="1495"/>
      <c r="BR62" s="1495"/>
      <c r="BS62" s="1495"/>
      <c r="BT62" s="1495"/>
      <c r="BU62" s="1495"/>
      <c r="BV62" s="1495"/>
      <c r="BW62" s="1495"/>
      <c r="BX62" s="1495"/>
      <c r="BY62" s="1495"/>
      <c r="BZ62" s="444"/>
      <c r="CA62" s="496"/>
      <c r="CB62" s="496"/>
      <c r="CC62" s="444"/>
      <c r="CD62" s="502"/>
      <c r="CE62" s="108"/>
      <c r="CF62" s="444"/>
      <c r="CG62" s="504"/>
      <c r="CH62" s="348"/>
      <c r="CI62" s="408"/>
      <c r="CJ62" s="1495"/>
      <c r="CK62" s="1495"/>
      <c r="CL62" s="1495"/>
      <c r="CM62" s="1495"/>
      <c r="CN62" s="1495"/>
      <c r="CO62" s="1495"/>
      <c r="CP62" s="1495"/>
      <c r="CQ62" s="1495"/>
      <c r="CR62" s="1495"/>
      <c r="CS62" s="1495"/>
      <c r="CT62" s="1495"/>
      <c r="CU62" s="1495"/>
      <c r="CV62" s="1495"/>
      <c r="CW62" s="1495"/>
      <c r="CX62" s="1495"/>
      <c r="CY62" s="1495"/>
      <c r="CZ62" s="1495"/>
      <c r="DA62" s="444"/>
      <c r="DB62" s="475"/>
      <c r="DC62" s="108"/>
      <c r="DD62" s="408"/>
      <c r="DE62" s="1495"/>
      <c r="DF62" s="444"/>
      <c r="DG62" s="475"/>
      <c r="DH62" s="407"/>
      <c r="DI62" s="407"/>
      <c r="DJ62" s="1495"/>
      <c r="DK62" s="1495"/>
      <c r="DL62" s="1495"/>
      <c r="DM62" s="1495"/>
      <c r="DN62" s="1495"/>
      <c r="DO62" s="1495"/>
      <c r="DP62" s="1495"/>
      <c r="DQ62" s="1495"/>
      <c r="DR62" s="1495"/>
      <c r="DS62" s="1495"/>
      <c r="DT62" s="1495"/>
      <c r="DU62" s="1495"/>
      <c r="DV62" s="1495"/>
      <c r="DW62" s="1495"/>
      <c r="DX62" s="1495"/>
      <c r="DY62" s="1495"/>
      <c r="DZ62" s="1495"/>
      <c r="EA62" s="1495"/>
      <c r="EB62" s="1495"/>
      <c r="EC62" s="1495"/>
      <c r="ED62" s="1495"/>
      <c r="EE62" s="1495"/>
      <c r="EF62" s="1495"/>
      <c r="EG62" s="1495"/>
      <c r="EH62" s="1495"/>
      <c r="EI62" s="1495"/>
      <c r="EJ62" s="1495"/>
      <c r="EK62" s="1495"/>
      <c r="EL62" s="407"/>
      <c r="EM62" s="1495"/>
      <c r="EN62" s="407"/>
      <c r="EO62" s="1495"/>
      <c r="EP62" s="1495"/>
      <c r="EQ62" s="1495"/>
      <c r="ER62" s="1495"/>
      <c r="ES62" s="1495"/>
      <c r="ET62" s="1495"/>
      <c r="EU62" s="1495"/>
      <c r="EV62" s="1495"/>
      <c r="EW62" s="1495"/>
      <c r="EX62" s="1495"/>
      <c r="EY62" s="1495"/>
      <c r="EZ62" s="1495"/>
      <c r="FA62" s="1495"/>
      <c r="FB62" s="1495"/>
      <c r="FC62" s="1495"/>
      <c r="FD62" s="1495"/>
      <c r="FE62" s="1495"/>
      <c r="FF62" s="1495"/>
      <c r="FG62" s="1495"/>
      <c r="FH62" s="1495"/>
      <c r="FI62" s="1495"/>
      <c r="FJ62" s="1495"/>
      <c r="FK62" s="1495"/>
      <c r="FL62" s="1495"/>
      <c r="FM62" s="1495"/>
      <c r="FN62" s="1495"/>
      <c r="FO62" s="1495"/>
      <c r="FP62" s="1495"/>
      <c r="FQ62" s="1495"/>
      <c r="FR62" s="1495"/>
      <c r="FS62" s="1495"/>
      <c r="FT62" s="1495"/>
      <c r="FU62" s="1495"/>
      <c r="FV62" s="1495"/>
      <c r="FW62" s="1495"/>
      <c r="FX62" s="1495"/>
      <c r="FY62" s="1495"/>
      <c r="FZ62" s="1495"/>
      <c r="GA62" s="1495"/>
      <c r="GB62" s="1495"/>
      <c r="GC62" s="1495"/>
      <c r="GD62" s="1495"/>
      <c r="GE62" s="1495"/>
      <c r="GF62" s="1495"/>
      <c r="GG62" s="1495"/>
      <c r="GH62" s="1495"/>
      <c r="GI62" s="1495"/>
      <c r="GJ62" s="1495"/>
      <c r="GK62" s="1495"/>
      <c r="GL62" s="1495"/>
      <c r="GM62" s="1495"/>
      <c r="GN62" s="1495"/>
      <c r="GO62" s="1495"/>
      <c r="GP62" s="1495"/>
      <c r="GQ62" s="1495"/>
      <c r="GR62" s="1495"/>
      <c r="GS62" s="1495"/>
      <c r="GT62" s="1495"/>
      <c r="GU62" s="1495"/>
      <c r="GV62" s="1495"/>
      <c r="GW62" s="1495"/>
      <c r="GX62" s="1495"/>
      <c r="GY62" s="1495"/>
      <c r="GZ62" s="1495"/>
      <c r="HA62" s="1495"/>
      <c r="HB62" s="1495"/>
      <c r="HC62" s="1495"/>
      <c r="HD62" s="1495"/>
      <c r="HE62" s="1495"/>
      <c r="HF62" s="1495"/>
      <c r="HG62" s="1495"/>
      <c r="HH62" s="1495"/>
      <c r="HI62" s="1495"/>
      <c r="HJ62" s="1495"/>
      <c r="HK62" s="1495"/>
      <c r="HL62" s="1495"/>
      <c r="HM62" s="1495"/>
      <c r="HN62" s="1495"/>
      <c r="HO62" s="1495"/>
      <c r="HP62" s="1495"/>
      <c r="HQ62" s="1495"/>
      <c r="HR62" s="1495"/>
      <c r="HS62" s="1495"/>
      <c r="HT62" s="1495"/>
      <c r="HU62" s="1495"/>
      <c r="HV62" s="1495"/>
      <c r="HW62" s="1495"/>
      <c r="HX62" s="1495"/>
      <c r="HY62" s="1495"/>
      <c r="HZ62" s="1495"/>
      <c r="IA62" s="1495"/>
      <c r="IB62" s="1495"/>
      <c r="IC62" s="1495"/>
      <c r="ID62" s="1495"/>
      <c r="IE62" s="1495"/>
      <c r="IF62" s="1495"/>
      <c r="IG62" s="1495"/>
      <c r="IH62" s="1495"/>
      <c r="II62" s="1495"/>
      <c r="IJ62" s="1495"/>
      <c r="IK62" s="1495"/>
      <c r="IL62" s="1495"/>
      <c r="IM62" s="1495"/>
      <c r="IN62" s="1495"/>
      <c r="IO62" s="1495"/>
      <c r="IP62" s="1495"/>
      <c r="IQ62" s="1495"/>
      <c r="IR62" s="1495"/>
      <c r="IS62" s="1495"/>
      <c r="IT62" s="1495"/>
      <c r="IU62" s="1495"/>
      <c r="IV62" s="1495"/>
      <c r="IW62" s="1495"/>
      <c r="IX62" s="1495"/>
      <c r="IY62" s="1495"/>
      <c r="IZ62" s="1495"/>
      <c r="JA62" s="1495"/>
      <c r="JB62" s="1495"/>
      <c r="JC62" s="1495"/>
      <c r="JD62" s="1495"/>
      <c r="JE62" s="1495"/>
      <c r="JF62" s="1495"/>
      <c r="JG62" s="1495"/>
      <c r="JH62" s="1495"/>
      <c r="JI62" s="1495"/>
      <c r="JJ62" s="1495"/>
      <c r="JK62" s="1495"/>
      <c r="JL62" s="1495"/>
      <c r="JM62" s="1495"/>
      <c r="JN62" s="1495"/>
      <c r="JO62" s="1495"/>
      <c r="JP62" s="1495"/>
      <c r="JQ62" s="1495"/>
      <c r="JR62" s="1495"/>
      <c r="JS62" s="1495"/>
      <c r="JT62" s="1495"/>
      <c r="JU62" s="1495"/>
      <c r="JV62" s="1495"/>
      <c r="JW62" s="1495"/>
      <c r="JX62" s="1495"/>
      <c r="JY62" s="1495"/>
      <c r="JZ62" s="1495"/>
      <c r="KA62" s="1495"/>
      <c r="KB62" s="1495"/>
      <c r="KC62" s="1495"/>
      <c r="KD62" s="1495"/>
      <c r="KE62" s="1495"/>
      <c r="KF62" s="1495"/>
      <c r="KG62" s="1495"/>
      <c r="KH62" s="1495"/>
      <c r="KI62" s="1495"/>
      <c r="KJ62" s="1495"/>
      <c r="KK62" s="1495"/>
      <c r="KL62" s="1495"/>
      <c r="KM62" s="1495"/>
      <c r="KN62" s="1495"/>
      <c r="KO62" s="1495"/>
      <c r="KP62" s="1495"/>
      <c r="KQ62" s="1495"/>
      <c r="KR62" s="1495"/>
      <c r="KS62" s="1495"/>
      <c r="KT62" s="1495"/>
      <c r="KU62" s="1495"/>
      <c r="KV62" s="1495"/>
      <c r="KW62" s="1495"/>
      <c r="KX62" s="1495"/>
      <c r="KY62" s="1495"/>
      <c r="KZ62" s="1495"/>
      <c r="LA62" s="1495"/>
      <c r="LB62" s="1495"/>
      <c r="LC62" s="1495"/>
      <c r="LD62" s="1495"/>
      <c r="LE62" s="1495"/>
    </row>
    <row r="63" spans="1:317">
      <c r="A63" s="1495"/>
      <c r="B63" s="418"/>
      <c r="C63" s="1495"/>
      <c r="D63" s="1495"/>
      <c r="E63" s="1495"/>
      <c r="F63" s="1495"/>
      <c r="G63" s="1495"/>
      <c r="H63" s="1495"/>
      <c r="I63" s="1495"/>
      <c r="J63" s="1495"/>
      <c r="K63" s="1495"/>
      <c r="L63" s="1495"/>
      <c r="M63" s="1495"/>
      <c r="N63" s="1495"/>
      <c r="O63" s="1495"/>
      <c r="P63" s="1495"/>
      <c r="Q63" s="1495"/>
      <c r="R63" s="1495"/>
      <c r="S63" s="1495"/>
      <c r="T63" s="1495"/>
      <c r="U63" s="1495"/>
      <c r="V63" s="1495"/>
      <c r="W63" s="1495"/>
      <c r="X63" s="1495"/>
      <c r="Y63" s="1495"/>
      <c r="Z63" s="1495"/>
      <c r="AA63" s="1495"/>
      <c r="AB63" s="1495"/>
      <c r="AC63" s="1495"/>
      <c r="AD63" s="1495"/>
      <c r="AE63" s="1495"/>
      <c r="AF63" s="1495"/>
      <c r="AG63" s="1495"/>
      <c r="AH63" s="1495"/>
      <c r="AI63" s="1495"/>
      <c r="AJ63" s="1495"/>
      <c r="AK63" s="1495"/>
      <c r="AL63" s="1495"/>
      <c r="AM63" s="1495"/>
      <c r="AN63" s="1495"/>
      <c r="AO63" s="1495"/>
      <c r="AP63" s="1495"/>
      <c r="AQ63" s="1495"/>
      <c r="AR63" s="1495"/>
      <c r="AS63" s="1495"/>
      <c r="AT63" s="1495"/>
      <c r="AU63" s="1495"/>
      <c r="AV63" s="1495"/>
      <c r="AW63" s="1495"/>
      <c r="AX63" s="1495"/>
      <c r="AY63" s="1495"/>
      <c r="AZ63" s="1495"/>
      <c r="BA63" s="1495"/>
      <c r="BB63" s="1495"/>
      <c r="BC63" s="1495"/>
      <c r="BD63" s="1495"/>
      <c r="BE63" s="1495"/>
      <c r="BF63" s="1495"/>
      <c r="BG63" s="1495"/>
      <c r="BH63" s="1495"/>
      <c r="BI63" s="1495"/>
      <c r="BJ63" s="1495"/>
      <c r="BK63" s="1495"/>
      <c r="BL63" s="1495"/>
      <c r="BM63" s="1495"/>
      <c r="BN63" s="1495"/>
      <c r="BO63" s="1495"/>
      <c r="BP63" s="418"/>
      <c r="BQ63" s="1495"/>
      <c r="BR63" s="1495"/>
      <c r="BS63" s="1495"/>
      <c r="BT63" s="1495"/>
      <c r="BU63" s="1495"/>
      <c r="BV63" s="1495"/>
      <c r="BW63" s="1495"/>
      <c r="BX63" s="1495"/>
      <c r="BY63" s="1495"/>
      <c r="BZ63" s="444"/>
      <c r="CA63" s="496"/>
      <c r="CB63" s="496"/>
      <c r="CC63" s="444"/>
      <c r="CD63" s="502"/>
      <c r="CE63" s="108"/>
      <c r="CF63" s="444"/>
      <c r="CG63" s="504"/>
      <c r="CH63" s="348"/>
      <c r="CI63" s="408"/>
      <c r="CJ63" s="1495"/>
      <c r="CK63" s="1495"/>
      <c r="CL63" s="1495"/>
      <c r="CM63" s="1495"/>
      <c r="CN63" s="1495"/>
      <c r="CO63" s="1495"/>
      <c r="CP63" s="1495"/>
      <c r="CQ63" s="1495"/>
      <c r="CR63" s="1495"/>
      <c r="CS63" s="1495"/>
      <c r="CT63" s="1495"/>
      <c r="CU63" s="1495"/>
      <c r="CV63" s="1495"/>
      <c r="CW63" s="1495"/>
      <c r="CX63" s="1495"/>
      <c r="CY63" s="1495"/>
      <c r="CZ63" s="1495"/>
      <c r="DA63" s="444"/>
      <c r="DB63" s="475"/>
      <c r="DC63" s="108"/>
      <c r="DD63" s="408"/>
      <c r="DE63" s="1495"/>
      <c r="DF63" s="444"/>
      <c r="DG63" s="475"/>
      <c r="DH63" s="407"/>
      <c r="DI63" s="407"/>
      <c r="DJ63" s="1495"/>
      <c r="DK63" s="1495"/>
      <c r="DL63" s="1495"/>
      <c r="DM63" s="1495"/>
      <c r="DN63" s="1495"/>
      <c r="DO63" s="1495"/>
      <c r="DP63" s="1495"/>
      <c r="DQ63" s="1495"/>
      <c r="DR63" s="1495"/>
      <c r="DS63" s="1495"/>
      <c r="DT63" s="1495"/>
      <c r="DU63" s="1495"/>
      <c r="DV63" s="1495"/>
      <c r="DW63" s="1495"/>
      <c r="DX63" s="1495"/>
      <c r="DY63" s="1495"/>
      <c r="DZ63" s="1495"/>
      <c r="EA63" s="1495"/>
      <c r="EB63" s="1495"/>
      <c r="EC63" s="1495"/>
      <c r="ED63" s="1495"/>
      <c r="EE63" s="1495"/>
      <c r="EF63" s="1495"/>
      <c r="EG63" s="1495"/>
      <c r="EH63" s="1495"/>
      <c r="EI63" s="1495"/>
      <c r="EJ63" s="1495"/>
      <c r="EK63" s="1495"/>
      <c r="EL63" s="407"/>
      <c r="EM63" s="1495"/>
      <c r="EN63" s="407"/>
      <c r="EO63" s="1495"/>
      <c r="EP63" s="1495"/>
      <c r="EQ63" s="1495"/>
      <c r="ER63" s="1495"/>
      <c r="ES63" s="1495"/>
      <c r="ET63" s="1495"/>
      <c r="EU63" s="1495"/>
      <c r="EV63" s="1495"/>
      <c r="EW63" s="1495"/>
      <c r="EX63" s="1495"/>
      <c r="EY63" s="1495"/>
      <c r="EZ63" s="1495"/>
      <c r="FA63" s="1495"/>
      <c r="FB63" s="1495"/>
      <c r="FC63" s="1495"/>
      <c r="FD63" s="1495"/>
      <c r="FE63" s="1495"/>
      <c r="FF63" s="1495"/>
      <c r="FG63" s="1495"/>
      <c r="FH63" s="1495"/>
      <c r="FI63" s="1495"/>
      <c r="FJ63" s="1495"/>
      <c r="FK63" s="1495"/>
      <c r="FL63" s="1495"/>
      <c r="FM63" s="1495"/>
      <c r="FN63" s="1495"/>
      <c r="FO63" s="1495"/>
      <c r="FP63" s="1495"/>
      <c r="FQ63" s="1495"/>
      <c r="FR63" s="1495"/>
      <c r="FS63" s="1495"/>
      <c r="FT63" s="1495"/>
      <c r="FU63" s="1495"/>
      <c r="FV63" s="1495"/>
      <c r="FW63" s="1495"/>
      <c r="FX63" s="1495"/>
      <c r="FY63" s="1495"/>
      <c r="FZ63" s="1495"/>
      <c r="GA63" s="1495"/>
      <c r="GB63" s="1495"/>
      <c r="GC63" s="1495"/>
      <c r="GD63" s="1495"/>
      <c r="GE63" s="1495"/>
      <c r="GF63" s="1495"/>
      <c r="GG63" s="1495"/>
      <c r="GH63" s="1495"/>
      <c r="GI63" s="1495"/>
      <c r="GJ63" s="1495"/>
      <c r="GK63" s="1495"/>
      <c r="GL63" s="1495"/>
      <c r="GM63" s="1495"/>
      <c r="GN63" s="1495"/>
      <c r="GO63" s="1495"/>
      <c r="GP63" s="1495"/>
      <c r="GQ63" s="1495"/>
      <c r="GR63" s="1495"/>
      <c r="GS63" s="1495"/>
      <c r="GT63" s="1495"/>
      <c r="GU63" s="1495"/>
      <c r="GV63" s="1495"/>
      <c r="GW63" s="1495"/>
      <c r="GX63" s="1495"/>
      <c r="GY63" s="1495"/>
      <c r="GZ63" s="1495"/>
      <c r="HA63" s="1495"/>
      <c r="HB63" s="1495"/>
      <c r="HC63" s="1495"/>
      <c r="HD63" s="1495"/>
      <c r="HE63" s="1495"/>
      <c r="HF63" s="1495"/>
      <c r="HG63" s="1495"/>
      <c r="HH63" s="1495"/>
      <c r="HI63" s="1495"/>
      <c r="HJ63" s="1495"/>
      <c r="HK63" s="1495"/>
      <c r="HL63" s="1495"/>
      <c r="HM63" s="1495"/>
      <c r="HN63" s="1495"/>
      <c r="HO63" s="1495"/>
      <c r="HP63" s="1495"/>
      <c r="HQ63" s="1495"/>
      <c r="HR63" s="1495"/>
      <c r="HS63" s="1495"/>
      <c r="HT63" s="1495"/>
      <c r="HU63" s="1495"/>
      <c r="HV63" s="1495"/>
      <c r="HW63" s="1495"/>
      <c r="HX63" s="1495"/>
      <c r="HY63" s="1495"/>
      <c r="HZ63" s="1495"/>
      <c r="IA63" s="1495"/>
      <c r="IB63" s="1495"/>
      <c r="IC63" s="1495"/>
      <c r="ID63" s="1495"/>
      <c r="IE63" s="1495"/>
      <c r="IF63" s="1495"/>
      <c r="IG63" s="1495"/>
      <c r="IH63" s="1495"/>
      <c r="II63" s="1495"/>
      <c r="IJ63" s="1495"/>
      <c r="IK63" s="1495"/>
      <c r="IL63" s="1495"/>
      <c r="IM63" s="1495"/>
      <c r="IN63" s="1495"/>
      <c r="IO63" s="1495"/>
      <c r="IP63" s="1495"/>
      <c r="IQ63" s="1495"/>
      <c r="IR63" s="1495"/>
      <c r="IS63" s="1495"/>
      <c r="IT63" s="1495"/>
      <c r="IU63" s="1495"/>
      <c r="IV63" s="1495"/>
      <c r="IW63" s="1495"/>
      <c r="IX63" s="1495"/>
      <c r="IY63" s="1495"/>
      <c r="IZ63" s="1495"/>
      <c r="JA63" s="1495"/>
      <c r="JB63" s="1495"/>
      <c r="JC63" s="1495"/>
      <c r="JD63" s="1495"/>
      <c r="JE63" s="1495"/>
      <c r="JF63" s="1495"/>
      <c r="JG63" s="1495"/>
      <c r="JH63" s="1495"/>
      <c r="JI63" s="1495"/>
      <c r="JJ63" s="1495"/>
      <c r="JK63" s="1495"/>
      <c r="JL63" s="1495"/>
      <c r="JM63" s="1495"/>
      <c r="JN63" s="1495"/>
      <c r="JO63" s="1495"/>
      <c r="JP63" s="1495"/>
      <c r="JQ63" s="1495"/>
      <c r="JR63" s="1495"/>
      <c r="JS63" s="1495"/>
      <c r="JT63" s="1495"/>
      <c r="JU63" s="1495"/>
      <c r="JV63" s="1495"/>
      <c r="JW63" s="1495"/>
      <c r="JX63" s="1495"/>
      <c r="JY63" s="1495"/>
      <c r="JZ63" s="1495"/>
      <c r="KA63" s="1495"/>
      <c r="KB63" s="1495"/>
      <c r="KC63" s="1495"/>
      <c r="KD63" s="1495"/>
      <c r="KE63" s="1495"/>
      <c r="KF63" s="1495"/>
      <c r="KG63" s="1495"/>
      <c r="KH63" s="1495"/>
      <c r="KI63" s="1495"/>
      <c r="KJ63" s="1495"/>
      <c r="KK63" s="1495"/>
      <c r="KL63" s="1495"/>
      <c r="KM63" s="1495"/>
      <c r="KN63" s="1495"/>
      <c r="KO63" s="1495"/>
      <c r="KP63" s="1495"/>
      <c r="KQ63" s="1495"/>
      <c r="KR63" s="1495"/>
      <c r="KS63" s="1495"/>
      <c r="KT63" s="1495"/>
      <c r="KU63" s="1495"/>
      <c r="KV63" s="1495"/>
      <c r="KW63" s="1495"/>
      <c r="KX63" s="1495"/>
      <c r="KY63" s="1495"/>
      <c r="KZ63" s="1495"/>
      <c r="LA63" s="1495"/>
      <c r="LB63" s="1495"/>
      <c r="LC63" s="1495"/>
      <c r="LD63" s="1495"/>
      <c r="LE63" s="1495"/>
    </row>
    <row r="64" spans="1:317">
      <c r="A64" s="1495"/>
      <c r="B64" s="418"/>
      <c r="C64" s="1495"/>
      <c r="D64" s="1495"/>
      <c r="E64" s="1495"/>
      <c r="F64" s="1495"/>
      <c r="G64" s="1495"/>
      <c r="H64" s="1495"/>
      <c r="I64" s="1495"/>
      <c r="J64" s="1495"/>
      <c r="K64" s="1495"/>
      <c r="L64" s="1495"/>
      <c r="M64" s="1495"/>
      <c r="N64" s="1495"/>
      <c r="O64" s="1495"/>
      <c r="P64" s="1495"/>
      <c r="Q64" s="1495"/>
      <c r="R64" s="1495"/>
      <c r="S64" s="1495"/>
      <c r="T64" s="1495"/>
      <c r="U64" s="1495"/>
      <c r="V64" s="1495"/>
      <c r="W64" s="1495"/>
      <c r="X64" s="1495"/>
      <c r="Y64" s="1495"/>
      <c r="Z64" s="1495"/>
      <c r="AA64" s="1495"/>
      <c r="AB64" s="1495"/>
      <c r="AC64" s="1495"/>
      <c r="AD64" s="1495"/>
      <c r="AE64" s="1495"/>
      <c r="AF64" s="1495"/>
      <c r="AG64" s="1495"/>
      <c r="AH64" s="1495"/>
      <c r="AI64" s="1495"/>
      <c r="AJ64" s="1495"/>
      <c r="AK64" s="1495"/>
      <c r="AL64" s="1495"/>
      <c r="AM64" s="1495"/>
      <c r="AN64" s="1495"/>
      <c r="AO64" s="1495"/>
      <c r="AP64" s="1495"/>
      <c r="AQ64" s="1495"/>
      <c r="AR64" s="1495"/>
      <c r="AS64" s="1495"/>
      <c r="AT64" s="1495"/>
      <c r="AU64" s="1495"/>
      <c r="AV64" s="1495"/>
      <c r="AW64" s="1495"/>
      <c r="AX64" s="1495"/>
      <c r="AY64" s="1495"/>
      <c r="AZ64" s="1495"/>
      <c r="BA64" s="1495"/>
      <c r="BB64" s="1495"/>
      <c r="BC64" s="1495"/>
      <c r="BD64" s="1495"/>
      <c r="BE64" s="1495"/>
      <c r="BF64" s="1495"/>
      <c r="BG64" s="1495"/>
      <c r="BH64" s="1495"/>
      <c r="BI64" s="1495"/>
      <c r="BJ64" s="1495"/>
      <c r="BK64" s="1495"/>
      <c r="BL64" s="1495"/>
      <c r="BM64" s="1495"/>
      <c r="BN64" s="1495"/>
      <c r="BO64" s="1495"/>
      <c r="BP64" s="418"/>
      <c r="BQ64" s="1495"/>
      <c r="BR64" s="1495"/>
      <c r="BS64" s="1495"/>
      <c r="BT64" s="1495"/>
      <c r="BU64" s="1495"/>
      <c r="BV64" s="1495"/>
      <c r="BW64" s="1495"/>
      <c r="BX64" s="1495"/>
      <c r="BY64" s="1495"/>
      <c r="BZ64" s="444"/>
      <c r="CA64" s="496"/>
      <c r="CB64" s="496"/>
      <c r="CC64" s="444"/>
      <c r="CD64" s="502"/>
      <c r="CE64" s="108"/>
      <c r="CF64" s="444"/>
      <c r="CG64" s="504"/>
      <c r="CH64" s="348"/>
      <c r="CI64" s="408"/>
      <c r="CJ64" s="1495"/>
      <c r="CK64" s="1495"/>
      <c r="CL64" s="1495"/>
      <c r="CM64" s="1495"/>
      <c r="CN64" s="1495"/>
      <c r="CO64" s="1495"/>
      <c r="CP64" s="1495"/>
      <c r="CQ64" s="1495"/>
      <c r="CR64" s="1495"/>
      <c r="CS64" s="1495"/>
      <c r="CT64" s="1495"/>
      <c r="CU64" s="1495"/>
      <c r="CV64" s="1495"/>
      <c r="CW64" s="1495"/>
      <c r="CX64" s="1495"/>
      <c r="CY64" s="1495"/>
      <c r="CZ64" s="1495"/>
      <c r="DA64" s="444"/>
      <c r="DB64" s="475"/>
      <c r="DC64" s="108"/>
      <c r="DD64" s="408"/>
      <c r="DE64" s="1495"/>
      <c r="DF64" s="444"/>
      <c r="DG64" s="475"/>
      <c r="DH64" s="407"/>
      <c r="DI64" s="407"/>
      <c r="DJ64" s="1495"/>
      <c r="DK64" s="1495"/>
      <c r="DL64" s="1495"/>
      <c r="DM64" s="1495"/>
      <c r="DN64" s="1495"/>
      <c r="DO64" s="1495"/>
      <c r="DP64" s="1495"/>
      <c r="DQ64" s="1495"/>
      <c r="DR64" s="1495"/>
      <c r="DS64" s="1495"/>
      <c r="DT64" s="1495"/>
      <c r="DU64" s="1495"/>
      <c r="DV64" s="1495"/>
      <c r="DW64" s="1495"/>
      <c r="DX64" s="1495"/>
      <c r="DY64" s="1495"/>
      <c r="DZ64" s="1495"/>
      <c r="EA64" s="1495"/>
      <c r="EB64" s="1495"/>
      <c r="EC64" s="1495"/>
      <c r="ED64" s="1495"/>
      <c r="EE64" s="1495"/>
      <c r="EF64" s="1495"/>
      <c r="EG64" s="1495"/>
      <c r="EH64" s="1495"/>
      <c r="EI64" s="1495"/>
      <c r="EJ64" s="1495"/>
      <c r="EK64" s="1495"/>
      <c r="EL64" s="407"/>
      <c r="EM64" s="1495"/>
      <c r="EN64" s="407"/>
      <c r="EO64" s="1495"/>
      <c r="EP64" s="1495"/>
      <c r="EQ64" s="1495"/>
      <c r="ER64" s="1495"/>
      <c r="ES64" s="1495"/>
      <c r="ET64" s="1495"/>
      <c r="EU64" s="1495"/>
      <c r="EV64" s="1495"/>
      <c r="EW64" s="1495"/>
      <c r="EX64" s="1495"/>
      <c r="EY64" s="1495"/>
      <c r="EZ64" s="1495"/>
      <c r="FA64" s="1495"/>
      <c r="FB64" s="1495"/>
      <c r="FC64" s="1495"/>
      <c r="FD64" s="1495"/>
      <c r="FE64" s="1495"/>
      <c r="FF64" s="1495"/>
      <c r="FG64" s="1495"/>
      <c r="FH64" s="1495"/>
      <c r="FI64" s="1495"/>
      <c r="FJ64" s="1495"/>
      <c r="FK64" s="1495"/>
      <c r="FL64" s="1495"/>
      <c r="FM64" s="1495"/>
      <c r="FN64" s="1495"/>
      <c r="FO64" s="1495"/>
      <c r="FP64" s="1495"/>
      <c r="FQ64" s="1495"/>
      <c r="FR64" s="1495"/>
      <c r="FS64" s="1495"/>
      <c r="FT64" s="1495"/>
      <c r="FU64" s="1495"/>
      <c r="FV64" s="1495"/>
      <c r="FW64" s="1495"/>
      <c r="FX64" s="1495"/>
      <c r="FY64" s="1495"/>
      <c r="FZ64" s="1495"/>
      <c r="GA64" s="1495"/>
      <c r="GB64" s="1495"/>
      <c r="GC64" s="1495"/>
      <c r="GD64" s="1495"/>
      <c r="GE64" s="1495"/>
      <c r="GF64" s="1495"/>
      <c r="GG64" s="1495"/>
      <c r="GH64" s="1495"/>
      <c r="GI64" s="1495"/>
      <c r="GJ64" s="1495"/>
      <c r="GK64" s="1495"/>
      <c r="GL64" s="1495"/>
      <c r="GM64" s="1495"/>
      <c r="GN64" s="1495"/>
      <c r="GO64" s="1495"/>
      <c r="GP64" s="1495"/>
      <c r="GQ64" s="1495"/>
      <c r="GR64" s="1495"/>
      <c r="GS64" s="1495"/>
      <c r="GT64" s="1495"/>
      <c r="GU64" s="1495"/>
      <c r="GV64" s="1495"/>
      <c r="GW64" s="1495"/>
      <c r="GX64" s="1495"/>
      <c r="GY64" s="1495"/>
      <c r="GZ64" s="1495"/>
      <c r="HA64" s="1495"/>
      <c r="HB64" s="1495"/>
      <c r="HC64" s="1495"/>
      <c r="HD64" s="1495"/>
      <c r="HE64" s="1495"/>
      <c r="HF64" s="1495"/>
      <c r="HG64" s="1495"/>
      <c r="HH64" s="1495"/>
      <c r="HI64" s="1495"/>
      <c r="HJ64" s="1495"/>
      <c r="HK64" s="1495"/>
      <c r="HL64" s="1495"/>
      <c r="HM64" s="1495"/>
      <c r="HN64" s="1495"/>
      <c r="HO64" s="1495"/>
      <c r="HP64" s="1495"/>
      <c r="HQ64" s="1495"/>
      <c r="HR64" s="1495"/>
      <c r="HS64" s="1495"/>
      <c r="HT64" s="1495"/>
      <c r="HU64" s="1495"/>
      <c r="HV64" s="1495"/>
      <c r="HW64" s="1495"/>
      <c r="HX64" s="1495"/>
      <c r="HY64" s="1495"/>
      <c r="HZ64" s="1495"/>
      <c r="IA64" s="1495"/>
      <c r="IB64" s="1495"/>
      <c r="IC64" s="1495"/>
      <c r="ID64" s="1495"/>
      <c r="IE64" s="1495"/>
      <c r="IF64" s="1495"/>
      <c r="IG64" s="1495"/>
      <c r="IH64" s="1495"/>
      <c r="II64" s="1495"/>
      <c r="IJ64" s="1495"/>
      <c r="IK64" s="1495"/>
      <c r="IL64" s="1495"/>
      <c r="IM64" s="1495"/>
      <c r="IN64" s="1495"/>
      <c r="IO64" s="1495"/>
      <c r="IP64" s="1495"/>
      <c r="IQ64" s="1495"/>
      <c r="IR64" s="1495"/>
      <c r="IS64" s="1495"/>
      <c r="IT64" s="1495"/>
      <c r="IU64" s="1495"/>
      <c r="IV64" s="1495"/>
      <c r="IW64" s="1495"/>
      <c r="IX64" s="1495"/>
      <c r="IY64" s="1495"/>
      <c r="IZ64" s="1495"/>
      <c r="JA64" s="1495"/>
      <c r="JB64" s="1495"/>
      <c r="JC64" s="1495"/>
      <c r="JD64" s="1495"/>
      <c r="JE64" s="1495"/>
      <c r="JF64" s="1495"/>
      <c r="JG64" s="1495"/>
      <c r="JH64" s="1495"/>
      <c r="JI64" s="1495"/>
      <c r="JJ64" s="1495"/>
      <c r="JK64" s="1495"/>
      <c r="JL64" s="1495"/>
      <c r="JM64" s="1495"/>
      <c r="JN64" s="1495"/>
      <c r="JO64" s="1495"/>
      <c r="JP64" s="1495"/>
      <c r="JQ64" s="1495"/>
      <c r="JR64" s="1495"/>
      <c r="JS64" s="1495"/>
      <c r="JT64" s="1495"/>
      <c r="JU64" s="1495"/>
      <c r="JV64" s="1495"/>
      <c r="JW64" s="1495"/>
      <c r="JX64" s="1495"/>
      <c r="JY64" s="1495"/>
      <c r="JZ64" s="1495"/>
      <c r="KA64" s="1495"/>
      <c r="KB64" s="1495"/>
      <c r="KC64" s="1495"/>
      <c r="KD64" s="1495"/>
      <c r="KE64" s="1495"/>
      <c r="KF64" s="1495"/>
      <c r="KG64" s="1495"/>
      <c r="KH64" s="1495"/>
      <c r="KI64" s="1495"/>
      <c r="KJ64" s="1495"/>
      <c r="KK64" s="1495"/>
      <c r="KL64" s="1495"/>
      <c r="KM64" s="1495"/>
      <c r="KN64" s="1495"/>
      <c r="KO64" s="1495"/>
      <c r="KP64" s="1495"/>
      <c r="KQ64" s="1495"/>
      <c r="KR64" s="1495"/>
      <c r="KS64" s="1495"/>
      <c r="KT64" s="1495"/>
      <c r="KU64" s="1495"/>
      <c r="KV64" s="1495"/>
      <c r="KW64" s="1495"/>
      <c r="KX64" s="1495"/>
      <c r="KY64" s="1495"/>
      <c r="KZ64" s="1495"/>
      <c r="LA64" s="1495"/>
      <c r="LB64" s="1495"/>
      <c r="LC64" s="1495"/>
      <c r="LD64" s="1495"/>
      <c r="LE64" s="1495"/>
    </row>
    <row r="65" spans="1:317">
      <c r="A65" s="1495"/>
      <c r="B65" s="418"/>
      <c r="C65" s="1495"/>
      <c r="D65" s="1495"/>
      <c r="E65" s="1495"/>
      <c r="F65" s="1495"/>
      <c r="G65" s="1495"/>
      <c r="H65" s="1495"/>
      <c r="I65" s="1495"/>
      <c r="J65" s="1495"/>
      <c r="K65" s="1495"/>
      <c r="L65" s="1495"/>
      <c r="M65" s="1495"/>
      <c r="N65" s="1495"/>
      <c r="O65" s="1495"/>
      <c r="P65" s="1495"/>
      <c r="Q65" s="1495"/>
      <c r="R65" s="1495"/>
      <c r="S65" s="1495"/>
      <c r="T65" s="1495"/>
      <c r="U65" s="1495"/>
      <c r="V65" s="1495"/>
      <c r="W65" s="1495"/>
      <c r="X65" s="1495"/>
      <c r="Y65" s="1495"/>
      <c r="Z65" s="1495"/>
      <c r="AA65" s="1495"/>
      <c r="AB65" s="1495"/>
      <c r="AC65" s="1495"/>
      <c r="AD65" s="1495"/>
      <c r="AE65" s="1495"/>
      <c r="AF65" s="1495"/>
      <c r="AG65" s="1495"/>
      <c r="AH65" s="1495"/>
      <c r="AI65" s="1495"/>
      <c r="AJ65" s="1495"/>
      <c r="AK65" s="1495"/>
      <c r="AL65" s="1495"/>
      <c r="AM65" s="1495"/>
      <c r="AN65" s="1495"/>
      <c r="AO65" s="1495"/>
      <c r="AP65" s="1495"/>
      <c r="AQ65" s="1495"/>
      <c r="AR65" s="1495"/>
      <c r="AS65" s="1495"/>
      <c r="AT65" s="1495"/>
      <c r="AU65" s="1495"/>
      <c r="AV65" s="1495"/>
      <c r="AW65" s="1495"/>
      <c r="AX65" s="1495"/>
      <c r="AY65" s="1495"/>
      <c r="AZ65" s="1495"/>
      <c r="BA65" s="1495"/>
      <c r="BB65" s="1495"/>
      <c r="BC65" s="1495"/>
      <c r="BD65" s="1495"/>
      <c r="BE65" s="1495"/>
      <c r="BF65" s="1495"/>
      <c r="BG65" s="1495"/>
      <c r="BH65" s="1495"/>
      <c r="BI65" s="1495"/>
      <c r="BJ65" s="1495"/>
      <c r="BK65" s="1495"/>
      <c r="BL65" s="1495"/>
      <c r="BM65" s="1495"/>
      <c r="BN65" s="1495"/>
      <c r="BO65" s="1495"/>
      <c r="BP65" s="418"/>
      <c r="BQ65" s="1495"/>
      <c r="BR65" s="1495"/>
      <c r="BS65" s="1495"/>
      <c r="BT65" s="1495"/>
      <c r="BU65" s="1495"/>
      <c r="BV65" s="1495"/>
      <c r="BW65" s="1495"/>
      <c r="BX65" s="1495"/>
      <c r="BY65" s="1495"/>
      <c r="BZ65" s="444"/>
      <c r="CA65" s="496"/>
      <c r="CB65" s="496"/>
      <c r="CC65" s="444"/>
      <c r="CD65" s="502"/>
      <c r="CE65" s="108"/>
      <c r="CF65" s="444"/>
      <c r="CG65" s="504"/>
      <c r="CH65" s="348"/>
      <c r="CI65" s="408"/>
      <c r="CJ65" s="1495"/>
      <c r="CK65" s="1495"/>
      <c r="CL65" s="1495"/>
      <c r="CM65" s="1495"/>
      <c r="CN65" s="1495"/>
      <c r="CO65" s="1495"/>
      <c r="CP65" s="1495"/>
      <c r="CQ65" s="1495"/>
      <c r="CR65" s="1495"/>
      <c r="CS65" s="1495"/>
      <c r="CT65" s="1495"/>
      <c r="CU65" s="1495"/>
      <c r="CV65" s="1495"/>
      <c r="CW65" s="1495"/>
      <c r="CX65" s="1495"/>
      <c r="CY65" s="1495"/>
      <c r="CZ65" s="1495"/>
      <c r="DA65" s="444"/>
      <c r="DB65" s="475"/>
      <c r="DC65" s="108"/>
      <c r="DD65" s="408"/>
      <c r="DE65" s="1495"/>
      <c r="DF65" s="444"/>
      <c r="DG65" s="475"/>
      <c r="DH65" s="407"/>
      <c r="DI65" s="407"/>
      <c r="DJ65" s="1495"/>
      <c r="DK65" s="1495"/>
      <c r="DL65" s="1495"/>
      <c r="DM65" s="1495"/>
      <c r="DN65" s="1495"/>
      <c r="DO65" s="1495"/>
      <c r="DP65" s="1495"/>
      <c r="DQ65" s="1495"/>
      <c r="DR65" s="1495"/>
      <c r="DS65" s="1495"/>
      <c r="DT65" s="1495"/>
      <c r="DU65" s="1495"/>
      <c r="DV65" s="1495"/>
      <c r="DW65" s="1495"/>
      <c r="DX65" s="1495"/>
      <c r="DY65" s="1495"/>
      <c r="DZ65" s="1495"/>
      <c r="EA65" s="1495"/>
      <c r="EB65" s="1495"/>
      <c r="EC65" s="1495"/>
      <c r="ED65" s="1495"/>
      <c r="EE65" s="1495"/>
      <c r="EF65" s="1495"/>
      <c r="EG65" s="1495"/>
      <c r="EH65" s="1495"/>
      <c r="EI65" s="1495"/>
      <c r="EJ65" s="1495"/>
      <c r="EK65" s="1495"/>
      <c r="EL65" s="407"/>
      <c r="EM65" s="1495"/>
      <c r="EN65" s="407"/>
      <c r="EO65" s="1495"/>
      <c r="EP65" s="1495"/>
      <c r="EQ65" s="1495"/>
      <c r="ER65" s="1495"/>
      <c r="ES65" s="1495"/>
      <c r="ET65" s="1495"/>
      <c r="EU65" s="1495"/>
      <c r="EV65" s="1495"/>
      <c r="EW65" s="1495"/>
      <c r="EX65" s="1495"/>
      <c r="EY65" s="1495"/>
      <c r="EZ65" s="1495"/>
      <c r="FA65" s="1495"/>
      <c r="FB65" s="1495"/>
      <c r="FC65" s="1495"/>
      <c r="FD65" s="1495"/>
      <c r="FE65" s="1495"/>
      <c r="FF65" s="1495"/>
      <c r="FG65" s="1495"/>
      <c r="FH65" s="1495"/>
      <c r="FI65" s="1495"/>
      <c r="FJ65" s="1495"/>
      <c r="FK65" s="1495"/>
      <c r="FL65" s="1495"/>
      <c r="FM65" s="1495"/>
      <c r="FN65" s="1495"/>
      <c r="FO65" s="1495"/>
      <c r="FP65" s="1495"/>
      <c r="FQ65" s="1495"/>
      <c r="FR65" s="1495"/>
      <c r="FS65" s="1495"/>
      <c r="FT65" s="1495"/>
      <c r="FU65" s="1495"/>
      <c r="FV65" s="1495"/>
      <c r="FW65" s="1495"/>
      <c r="FX65" s="1495"/>
      <c r="FY65" s="1495"/>
      <c r="FZ65" s="1495"/>
      <c r="GA65" s="1495"/>
      <c r="GB65" s="1495"/>
      <c r="GC65" s="1495"/>
      <c r="GD65" s="1495"/>
      <c r="GE65" s="1495"/>
      <c r="GF65" s="1495"/>
      <c r="GG65" s="1495"/>
      <c r="GH65" s="1495"/>
      <c r="GI65" s="1495"/>
      <c r="GJ65" s="1495"/>
      <c r="GK65" s="1495"/>
      <c r="GL65" s="1495"/>
      <c r="GM65" s="1495"/>
      <c r="GN65" s="1495"/>
      <c r="GO65" s="1495"/>
      <c r="GP65" s="1495"/>
      <c r="GQ65" s="1495"/>
      <c r="GR65" s="1495"/>
      <c r="GS65" s="1495"/>
      <c r="GT65" s="1495"/>
      <c r="GU65" s="1495"/>
      <c r="GV65" s="1495"/>
      <c r="GW65" s="1495"/>
      <c r="GX65" s="1495"/>
      <c r="GY65" s="1495"/>
      <c r="GZ65" s="1495"/>
      <c r="HA65" s="1495"/>
      <c r="HB65" s="1495"/>
      <c r="HC65" s="1495"/>
      <c r="HD65" s="1495"/>
      <c r="HE65" s="1495"/>
      <c r="HF65" s="1495"/>
      <c r="HG65" s="1495"/>
      <c r="HH65" s="1495"/>
      <c r="HI65" s="1495"/>
      <c r="HJ65" s="1495"/>
      <c r="HK65" s="1495"/>
      <c r="HL65" s="1495"/>
      <c r="HM65" s="1495"/>
      <c r="HN65" s="1495"/>
      <c r="HO65" s="1495"/>
      <c r="HP65" s="1495"/>
      <c r="HQ65" s="1495"/>
      <c r="HR65" s="1495"/>
      <c r="HS65" s="1495"/>
      <c r="HT65" s="1495"/>
      <c r="HU65" s="1495"/>
      <c r="HV65" s="1495"/>
      <c r="HW65" s="1495"/>
      <c r="HX65" s="1495"/>
      <c r="HY65" s="1495"/>
      <c r="HZ65" s="1495"/>
      <c r="IA65" s="1495"/>
      <c r="IB65" s="1495"/>
      <c r="IC65" s="1495"/>
      <c r="ID65" s="1495"/>
      <c r="IE65" s="1495"/>
      <c r="IF65" s="1495"/>
      <c r="IG65" s="1495"/>
      <c r="IH65" s="1495"/>
      <c r="II65" s="1495"/>
      <c r="IJ65" s="1495"/>
      <c r="IK65" s="1495"/>
      <c r="IL65" s="1495"/>
      <c r="IM65" s="1495"/>
      <c r="IN65" s="1495"/>
      <c r="IO65" s="1495"/>
      <c r="IP65" s="1495"/>
      <c r="IQ65" s="1495"/>
      <c r="IR65" s="1495"/>
      <c r="IS65" s="1495"/>
      <c r="IT65" s="1495"/>
      <c r="IU65" s="1495"/>
      <c r="IV65" s="1495"/>
      <c r="IW65" s="1495"/>
      <c r="IX65" s="1495"/>
      <c r="IY65" s="1495"/>
      <c r="IZ65" s="1495"/>
      <c r="JA65" s="1495"/>
      <c r="JB65" s="1495"/>
      <c r="JC65" s="1495"/>
      <c r="JD65" s="1495"/>
      <c r="JE65" s="1495"/>
      <c r="JF65" s="1495"/>
      <c r="JG65" s="1495"/>
      <c r="JH65" s="1495"/>
      <c r="JI65" s="1495"/>
      <c r="JJ65" s="1495"/>
      <c r="JK65" s="1495"/>
      <c r="JL65" s="1495"/>
      <c r="JM65" s="1495"/>
      <c r="JN65" s="1495"/>
      <c r="JO65" s="1495"/>
      <c r="JP65" s="1495"/>
      <c r="JQ65" s="1495"/>
      <c r="JR65" s="1495"/>
      <c r="JS65" s="1495"/>
      <c r="JT65" s="1495"/>
      <c r="JU65" s="1495"/>
      <c r="JV65" s="1495"/>
      <c r="JW65" s="1495"/>
      <c r="JX65" s="1495"/>
      <c r="JY65" s="1495"/>
      <c r="JZ65" s="1495"/>
      <c r="KA65" s="1495"/>
      <c r="KB65" s="1495"/>
      <c r="KC65" s="1495"/>
      <c r="KD65" s="1495"/>
      <c r="KE65" s="1495"/>
      <c r="KF65" s="1495"/>
      <c r="KG65" s="1495"/>
      <c r="KH65" s="1495"/>
      <c r="KI65" s="1495"/>
      <c r="KJ65" s="1495"/>
      <c r="KK65" s="1495"/>
      <c r="KL65" s="1495"/>
      <c r="KM65" s="1495"/>
      <c r="KN65" s="1495"/>
      <c r="KO65" s="1495"/>
      <c r="KP65" s="1495"/>
      <c r="KQ65" s="1495"/>
      <c r="KR65" s="1495"/>
      <c r="KS65" s="1495"/>
      <c r="KT65" s="1495"/>
      <c r="KU65" s="1495"/>
      <c r="KV65" s="1495"/>
      <c r="KW65" s="1495"/>
      <c r="KX65" s="1495"/>
      <c r="KY65" s="1495"/>
      <c r="KZ65" s="1495"/>
      <c r="LA65" s="1495"/>
      <c r="LB65" s="1495"/>
      <c r="LC65" s="1495"/>
      <c r="LD65" s="1495"/>
      <c r="LE65" s="1495"/>
    </row>
    <row r="66" spans="1:317">
      <c r="A66" s="1495"/>
      <c r="B66" s="418"/>
      <c r="C66" s="1495"/>
      <c r="D66" s="1495"/>
      <c r="E66" s="1495"/>
      <c r="F66" s="1495"/>
      <c r="G66" s="1495"/>
      <c r="H66" s="1495"/>
      <c r="I66" s="1495"/>
      <c r="J66" s="1495"/>
      <c r="K66" s="1495"/>
      <c r="L66" s="1495"/>
      <c r="M66" s="1495"/>
      <c r="N66" s="1495"/>
      <c r="O66" s="1495"/>
      <c r="P66" s="1495"/>
      <c r="Q66" s="1495"/>
      <c r="R66" s="1495"/>
      <c r="S66" s="1495"/>
      <c r="T66" s="1495"/>
      <c r="U66" s="1495"/>
      <c r="V66" s="1495"/>
      <c r="W66" s="1495"/>
      <c r="X66" s="1495"/>
      <c r="Y66" s="1495"/>
      <c r="Z66" s="1495"/>
      <c r="AA66" s="1495"/>
      <c r="AB66" s="1495"/>
      <c r="AC66" s="1495"/>
      <c r="AD66" s="1495"/>
      <c r="AE66" s="1495"/>
      <c r="AF66" s="1495"/>
      <c r="AG66" s="1495"/>
      <c r="AH66" s="1495"/>
      <c r="AI66" s="1495"/>
      <c r="AJ66" s="1495"/>
      <c r="AK66" s="1495"/>
      <c r="AL66" s="1495"/>
      <c r="AM66" s="1495"/>
      <c r="AN66" s="1495"/>
      <c r="AO66" s="1495"/>
      <c r="AP66" s="1495"/>
      <c r="AQ66" s="1495"/>
      <c r="AR66" s="1495"/>
      <c r="AS66" s="1495"/>
      <c r="AT66" s="1495"/>
      <c r="AU66" s="1495"/>
      <c r="AV66" s="1495"/>
      <c r="AW66" s="1495"/>
      <c r="AX66" s="1495"/>
      <c r="AY66" s="1495"/>
      <c r="AZ66" s="1495"/>
      <c r="BA66" s="1495"/>
      <c r="BB66" s="1495"/>
      <c r="BC66" s="1495"/>
      <c r="BD66" s="1495"/>
      <c r="BE66" s="1495"/>
      <c r="BF66" s="1495"/>
      <c r="BG66" s="1495"/>
      <c r="BH66" s="1495"/>
      <c r="BI66" s="1495"/>
      <c r="BJ66" s="1495"/>
      <c r="BK66" s="1495"/>
      <c r="BL66" s="1495"/>
      <c r="BM66" s="1495"/>
      <c r="BN66" s="1495"/>
      <c r="BO66" s="1495"/>
      <c r="BP66" s="418"/>
      <c r="BQ66" s="1495"/>
      <c r="BR66" s="1495"/>
      <c r="BS66" s="1495"/>
      <c r="BT66" s="1495"/>
      <c r="BU66" s="1495"/>
      <c r="BV66" s="1495"/>
      <c r="BW66" s="1495"/>
      <c r="BX66" s="1495"/>
      <c r="BY66" s="1495"/>
      <c r="BZ66" s="444"/>
      <c r="CA66" s="496"/>
      <c r="CB66" s="496"/>
      <c r="CC66" s="444"/>
      <c r="CD66" s="502"/>
      <c r="CE66" s="108"/>
      <c r="CF66" s="444"/>
      <c r="CG66" s="504"/>
      <c r="CH66" s="348"/>
      <c r="CI66" s="408"/>
      <c r="CJ66" s="1495"/>
      <c r="CK66" s="1495"/>
      <c r="CL66" s="1495"/>
      <c r="CM66" s="1495"/>
      <c r="CN66" s="1495"/>
      <c r="CO66" s="1495"/>
      <c r="CP66" s="1495"/>
      <c r="CQ66" s="1495"/>
      <c r="CR66" s="1495"/>
      <c r="CS66" s="1495"/>
      <c r="CT66" s="1495"/>
      <c r="CU66" s="1495"/>
      <c r="CV66" s="1495"/>
      <c r="CW66" s="1495"/>
      <c r="CX66" s="1495"/>
      <c r="CY66" s="1495"/>
      <c r="CZ66" s="1495"/>
      <c r="DA66" s="444"/>
      <c r="DB66" s="475"/>
      <c r="DC66" s="108"/>
      <c r="DD66" s="408"/>
      <c r="DE66" s="1495"/>
      <c r="DF66" s="444"/>
      <c r="DG66" s="407"/>
      <c r="DH66" s="1495"/>
      <c r="DI66" s="407"/>
      <c r="DJ66" s="1495"/>
      <c r="DK66" s="1495"/>
      <c r="DL66" s="1495"/>
      <c r="DM66" s="1495"/>
      <c r="DN66" s="1495"/>
      <c r="DO66" s="1495"/>
      <c r="DP66" s="1495"/>
      <c r="DQ66" s="1495"/>
      <c r="DR66" s="1495"/>
      <c r="DS66" s="1495"/>
      <c r="DT66" s="1495"/>
      <c r="DU66" s="1495"/>
      <c r="DV66" s="1495"/>
      <c r="DW66" s="1495"/>
      <c r="DX66" s="1495"/>
      <c r="DY66" s="1495"/>
      <c r="DZ66" s="1495"/>
      <c r="EA66" s="1495"/>
      <c r="EB66" s="1495"/>
      <c r="EC66" s="1495"/>
      <c r="ED66" s="1495"/>
      <c r="EE66" s="1495"/>
      <c r="EF66" s="1495"/>
      <c r="EG66" s="1495"/>
      <c r="EH66" s="1495"/>
      <c r="EI66" s="1495"/>
      <c r="EJ66" s="1495"/>
      <c r="EK66" s="1495"/>
      <c r="EL66" s="407"/>
      <c r="EM66" s="1495"/>
      <c r="EN66" s="407"/>
      <c r="EO66" s="1495"/>
      <c r="EP66" s="1495"/>
      <c r="EQ66" s="1495"/>
      <c r="ER66" s="1495"/>
      <c r="ES66" s="1495"/>
      <c r="ET66" s="1495"/>
      <c r="EU66" s="1495"/>
      <c r="EV66" s="1495"/>
      <c r="EW66" s="1495"/>
      <c r="EX66" s="1495"/>
      <c r="EY66" s="1495"/>
      <c r="EZ66" s="1495"/>
      <c r="FA66" s="1495"/>
      <c r="FB66" s="1495"/>
      <c r="FC66" s="1495"/>
      <c r="FD66" s="1495"/>
      <c r="FE66" s="1495"/>
      <c r="FF66" s="1495"/>
      <c r="FG66" s="1495"/>
      <c r="FH66" s="1495"/>
      <c r="FI66" s="1495"/>
      <c r="FJ66" s="1495"/>
      <c r="FK66" s="1495"/>
      <c r="FL66" s="1495"/>
      <c r="FM66" s="1495"/>
      <c r="FN66" s="1495"/>
      <c r="FO66" s="1495"/>
      <c r="FP66" s="1495"/>
      <c r="FQ66" s="1495"/>
      <c r="FR66" s="1495"/>
      <c r="FS66" s="1495"/>
      <c r="FT66" s="1495"/>
      <c r="FU66" s="1495"/>
      <c r="FV66" s="1495"/>
      <c r="FW66" s="1495"/>
      <c r="FX66" s="1495"/>
      <c r="FY66" s="1495"/>
      <c r="FZ66" s="1495"/>
      <c r="GA66" s="1495"/>
      <c r="GB66" s="1495"/>
      <c r="GC66" s="1495"/>
      <c r="GD66" s="1495"/>
      <c r="GE66" s="1495"/>
      <c r="GF66" s="1495"/>
      <c r="GG66" s="1495"/>
      <c r="GH66" s="1495"/>
      <c r="GI66" s="1495"/>
      <c r="GJ66" s="1495"/>
      <c r="GK66" s="1495"/>
      <c r="GL66" s="1495"/>
      <c r="GM66" s="1495"/>
      <c r="GN66" s="1495"/>
      <c r="GO66" s="1495"/>
      <c r="GP66" s="1495"/>
      <c r="GQ66" s="1495"/>
      <c r="GR66" s="1495"/>
      <c r="GS66" s="1495"/>
      <c r="GT66" s="1495"/>
      <c r="GU66" s="1495"/>
      <c r="GV66" s="1495"/>
      <c r="GW66" s="1495"/>
      <c r="GX66" s="1495"/>
      <c r="GY66" s="1495"/>
      <c r="GZ66" s="1495"/>
      <c r="HA66" s="1495"/>
      <c r="HB66" s="1495"/>
      <c r="HC66" s="1495"/>
      <c r="HD66" s="1495"/>
      <c r="HE66" s="1495"/>
      <c r="HF66" s="1495"/>
      <c r="HG66" s="1495"/>
      <c r="HH66" s="1495"/>
      <c r="HI66" s="1495"/>
      <c r="HJ66" s="1495"/>
      <c r="HK66" s="1495"/>
      <c r="HL66" s="1495"/>
      <c r="HM66" s="1495"/>
      <c r="HN66" s="1495"/>
      <c r="HO66" s="1495"/>
      <c r="HP66" s="1495"/>
      <c r="HQ66" s="1495"/>
      <c r="HR66" s="1495"/>
      <c r="HS66" s="1495"/>
      <c r="HT66" s="1495"/>
      <c r="HU66" s="1495"/>
      <c r="HV66" s="1495"/>
      <c r="HW66" s="1495"/>
      <c r="HX66" s="1495"/>
      <c r="HY66" s="1495"/>
      <c r="HZ66" s="1495"/>
      <c r="IA66" s="1495"/>
      <c r="IB66" s="1495"/>
      <c r="IC66" s="1495"/>
      <c r="ID66" s="1495"/>
      <c r="IE66" s="1495"/>
      <c r="IF66" s="1495"/>
      <c r="IG66" s="1495"/>
      <c r="IH66" s="1495"/>
      <c r="II66" s="1495"/>
      <c r="IJ66" s="1495"/>
      <c r="IK66" s="1495"/>
      <c r="IL66" s="1495"/>
      <c r="IM66" s="1495"/>
      <c r="IN66" s="1495"/>
      <c r="IO66" s="1495"/>
      <c r="IP66" s="1495"/>
      <c r="IQ66" s="1495"/>
      <c r="IR66" s="1495"/>
      <c r="IS66" s="1495"/>
      <c r="IT66" s="1495"/>
      <c r="IU66" s="1495"/>
      <c r="IV66" s="1495"/>
      <c r="IW66" s="1495"/>
      <c r="IX66" s="1495"/>
      <c r="IY66" s="1495"/>
      <c r="IZ66" s="1495"/>
      <c r="JA66" s="1495"/>
      <c r="JB66" s="1495"/>
      <c r="JC66" s="1495"/>
      <c r="JD66" s="1495"/>
      <c r="JE66" s="1495"/>
      <c r="JF66" s="1495"/>
      <c r="JG66" s="1495"/>
      <c r="JH66" s="1495"/>
      <c r="JI66" s="1495"/>
      <c r="JJ66" s="1495"/>
      <c r="JK66" s="1495"/>
      <c r="JL66" s="1495"/>
      <c r="JM66" s="1495"/>
      <c r="JN66" s="1495"/>
      <c r="JO66" s="1495"/>
      <c r="JP66" s="1495"/>
      <c r="JQ66" s="1495"/>
      <c r="JR66" s="1495"/>
      <c r="JS66" s="1495"/>
      <c r="JT66" s="1495"/>
      <c r="JU66" s="1495"/>
      <c r="JV66" s="1495"/>
      <c r="JW66" s="1495"/>
      <c r="JX66" s="1495"/>
      <c r="JY66" s="1495"/>
      <c r="JZ66" s="1495"/>
      <c r="KA66" s="1495"/>
      <c r="KB66" s="1495"/>
      <c r="KC66" s="1495"/>
      <c r="KD66" s="1495"/>
      <c r="KE66" s="1495"/>
      <c r="KF66" s="1495"/>
      <c r="KG66" s="1495"/>
      <c r="KH66" s="1495"/>
      <c r="KI66" s="1495"/>
      <c r="KJ66" s="1495"/>
      <c r="KK66" s="1495"/>
      <c r="KL66" s="1495"/>
      <c r="KM66" s="1495"/>
      <c r="KN66" s="1495"/>
      <c r="KO66" s="1495"/>
      <c r="KP66" s="1495"/>
      <c r="KQ66" s="1495"/>
      <c r="KR66" s="1495"/>
      <c r="KS66" s="1495"/>
      <c r="KT66" s="1495"/>
      <c r="KU66" s="1495"/>
      <c r="KV66" s="1495"/>
      <c r="KW66" s="1495"/>
      <c r="KX66" s="1495"/>
      <c r="KY66" s="1495"/>
      <c r="KZ66" s="1495"/>
      <c r="LA66" s="1495"/>
      <c r="LB66" s="1495"/>
      <c r="LC66" s="1495"/>
      <c r="LD66" s="1495"/>
      <c r="LE66" s="1495"/>
    </row>
    <row r="67" spans="1:317">
      <c r="A67" s="1495"/>
      <c r="B67" s="418"/>
      <c r="C67" s="1495"/>
      <c r="D67" s="1495"/>
      <c r="E67" s="1495"/>
      <c r="F67" s="1495"/>
      <c r="G67" s="1495"/>
      <c r="H67" s="1495"/>
      <c r="I67" s="1495"/>
      <c r="J67" s="1495"/>
      <c r="K67" s="1495"/>
      <c r="L67" s="1495"/>
      <c r="M67" s="1495"/>
      <c r="N67" s="1495"/>
      <c r="O67" s="1495"/>
      <c r="P67" s="1495"/>
      <c r="Q67" s="1495"/>
      <c r="R67" s="1495"/>
      <c r="S67" s="1495"/>
      <c r="T67" s="1495"/>
      <c r="U67" s="1495"/>
      <c r="V67" s="1495"/>
      <c r="W67" s="1495"/>
      <c r="X67" s="1495"/>
      <c r="Y67" s="1495"/>
      <c r="Z67" s="1495"/>
      <c r="AA67" s="1495"/>
      <c r="AB67" s="1495"/>
      <c r="AC67" s="1495"/>
      <c r="AD67" s="1495"/>
      <c r="AE67" s="1495"/>
      <c r="AF67" s="1495"/>
      <c r="AG67" s="1495"/>
      <c r="AH67" s="1495"/>
      <c r="AI67" s="1495"/>
      <c r="AJ67" s="1495"/>
      <c r="AK67" s="1495"/>
      <c r="AL67" s="1495"/>
      <c r="AM67" s="1495"/>
      <c r="AN67" s="1495"/>
      <c r="AO67" s="1495"/>
      <c r="AP67" s="1495"/>
      <c r="AQ67" s="1495"/>
      <c r="AR67" s="1495"/>
      <c r="AS67" s="1495"/>
      <c r="AT67" s="1495"/>
      <c r="AU67" s="1495"/>
      <c r="AV67" s="1495"/>
      <c r="AW67" s="1495"/>
      <c r="AX67" s="1495"/>
      <c r="AY67" s="1495"/>
      <c r="AZ67" s="1495"/>
      <c r="BA67" s="1495"/>
      <c r="BB67" s="1495"/>
      <c r="BC67" s="1495"/>
      <c r="BD67" s="1495"/>
      <c r="BE67" s="1495"/>
      <c r="BF67" s="1495"/>
      <c r="BG67" s="1495"/>
      <c r="BH67" s="1495"/>
      <c r="BI67" s="1495"/>
      <c r="BJ67" s="1495"/>
      <c r="BK67" s="1495"/>
      <c r="BL67" s="1495"/>
      <c r="BM67" s="1495"/>
      <c r="BN67" s="1495"/>
      <c r="BO67" s="1495"/>
      <c r="BP67" s="418"/>
      <c r="BQ67" s="1495"/>
      <c r="BR67" s="1495"/>
      <c r="BS67" s="1495"/>
      <c r="BT67" s="1495"/>
      <c r="BU67" s="1495"/>
      <c r="BV67" s="1495"/>
      <c r="BW67" s="1495"/>
      <c r="BX67" s="1495"/>
      <c r="BY67" s="1495"/>
      <c r="BZ67" s="444"/>
      <c r="CA67" s="496"/>
      <c r="CB67" s="496"/>
      <c r="CC67" s="444"/>
      <c r="CD67" s="502"/>
      <c r="CE67" s="108"/>
      <c r="CF67" s="444"/>
      <c r="CG67" s="504"/>
      <c r="CH67" s="348"/>
      <c r="CI67" s="408"/>
      <c r="CJ67" s="1495"/>
      <c r="CK67" s="1495"/>
      <c r="CL67" s="1495"/>
      <c r="CM67" s="1495"/>
      <c r="CN67" s="1495"/>
      <c r="CO67" s="1495"/>
      <c r="CP67" s="1495"/>
      <c r="CQ67" s="1495"/>
      <c r="CR67" s="1495"/>
      <c r="CS67" s="1495"/>
      <c r="CT67" s="1495"/>
      <c r="CU67" s="1495"/>
      <c r="CV67" s="1495"/>
      <c r="CW67" s="1495"/>
      <c r="CX67" s="1495"/>
      <c r="CY67" s="1495"/>
      <c r="CZ67" s="1495"/>
      <c r="DA67" s="444"/>
      <c r="DB67" s="475"/>
      <c r="DC67" s="108"/>
      <c r="DD67" s="408"/>
      <c r="DE67" s="1495"/>
      <c r="DF67" s="444"/>
      <c r="DG67" s="475"/>
      <c r="DH67" s="407"/>
      <c r="DI67" s="407"/>
      <c r="DJ67" s="1495"/>
      <c r="DK67" s="1495"/>
      <c r="DL67" s="1495"/>
      <c r="DM67" s="1495"/>
      <c r="DN67" s="1495"/>
      <c r="DO67" s="1495"/>
      <c r="DP67" s="1495"/>
      <c r="DQ67" s="1495"/>
      <c r="DR67" s="1495"/>
      <c r="DS67" s="1495"/>
      <c r="DT67" s="1495"/>
      <c r="DU67" s="1495"/>
      <c r="DV67" s="1495"/>
      <c r="DW67" s="1495"/>
      <c r="DX67" s="1495"/>
      <c r="DY67" s="1495"/>
      <c r="DZ67" s="1495"/>
      <c r="EA67" s="1495"/>
      <c r="EB67" s="1495"/>
      <c r="EC67" s="1495"/>
      <c r="ED67" s="1495"/>
      <c r="EE67" s="1495"/>
      <c r="EF67" s="1495"/>
      <c r="EG67" s="1495"/>
      <c r="EH67" s="1495"/>
      <c r="EI67" s="1495"/>
      <c r="EJ67" s="1495"/>
      <c r="EK67" s="1495"/>
      <c r="EL67" s="407"/>
      <c r="EM67" s="1495"/>
      <c r="EN67" s="407"/>
      <c r="EO67" s="1495"/>
      <c r="EP67" s="1495"/>
      <c r="EQ67" s="1495"/>
      <c r="ER67" s="1495"/>
      <c r="ES67" s="1495"/>
      <c r="ET67" s="1495"/>
      <c r="EU67" s="1495"/>
      <c r="EV67" s="1495"/>
      <c r="EW67" s="1495"/>
      <c r="EX67" s="1495"/>
      <c r="EY67" s="1495"/>
      <c r="EZ67" s="1495"/>
      <c r="FA67" s="1495"/>
      <c r="FB67" s="1495"/>
      <c r="FC67" s="1495"/>
      <c r="FD67" s="1495"/>
      <c r="FE67" s="1495"/>
      <c r="FF67" s="1495"/>
      <c r="FG67" s="1495"/>
      <c r="FH67" s="1495"/>
      <c r="FI67" s="1495"/>
      <c r="FJ67" s="1495"/>
      <c r="FK67" s="1495"/>
      <c r="FL67" s="1495"/>
      <c r="FM67" s="1495"/>
      <c r="FN67" s="1495"/>
      <c r="FO67" s="1495"/>
      <c r="FP67" s="1495"/>
      <c r="FQ67" s="1495"/>
      <c r="FR67" s="1495"/>
      <c r="FS67" s="1495"/>
      <c r="FT67" s="1495"/>
      <c r="FU67" s="1495"/>
      <c r="FV67" s="1495"/>
      <c r="FW67" s="1495"/>
      <c r="FX67" s="1495"/>
      <c r="FY67" s="1495"/>
      <c r="FZ67" s="1495"/>
      <c r="GA67" s="1495"/>
      <c r="GB67" s="1495"/>
      <c r="GC67" s="1495"/>
      <c r="GD67" s="1495"/>
      <c r="GE67" s="1495"/>
      <c r="GF67" s="1495"/>
      <c r="GG67" s="1495"/>
      <c r="GH67" s="1495"/>
      <c r="GI67" s="1495"/>
      <c r="GJ67" s="1495"/>
      <c r="GK67" s="1495"/>
      <c r="GL67" s="1495"/>
      <c r="GM67" s="1495"/>
      <c r="GN67" s="1495"/>
      <c r="GO67" s="1495"/>
      <c r="GP67" s="1495"/>
      <c r="GQ67" s="1495"/>
      <c r="GR67" s="1495"/>
      <c r="GS67" s="1495"/>
      <c r="GT67" s="1495"/>
      <c r="GU67" s="1495"/>
      <c r="GV67" s="1495"/>
      <c r="GW67" s="1495"/>
      <c r="GX67" s="1495"/>
      <c r="GY67" s="1495"/>
      <c r="GZ67" s="1495"/>
      <c r="HA67" s="1495"/>
      <c r="HB67" s="1495"/>
      <c r="HC67" s="1495"/>
      <c r="HD67" s="1495"/>
      <c r="HE67" s="1495"/>
      <c r="HF67" s="1495"/>
      <c r="HG67" s="1495"/>
      <c r="HH67" s="1495"/>
      <c r="HI67" s="1495"/>
      <c r="HJ67" s="1495"/>
      <c r="HK67" s="1495"/>
      <c r="HL67" s="1495"/>
      <c r="HM67" s="1495"/>
      <c r="HN67" s="1495"/>
      <c r="HO67" s="1495"/>
      <c r="HP67" s="1495"/>
      <c r="HQ67" s="1495"/>
      <c r="HR67" s="1495"/>
      <c r="HS67" s="1495"/>
      <c r="HT67" s="1495"/>
      <c r="HU67" s="1495"/>
      <c r="HV67" s="1495"/>
      <c r="HW67" s="1495"/>
      <c r="HX67" s="1495"/>
      <c r="HY67" s="1495"/>
      <c r="HZ67" s="1495"/>
      <c r="IA67" s="1495"/>
      <c r="IB67" s="1495"/>
      <c r="IC67" s="1495"/>
      <c r="ID67" s="1495"/>
      <c r="IE67" s="1495"/>
      <c r="IF67" s="1495"/>
      <c r="IG67" s="1495"/>
      <c r="IH67" s="1495"/>
      <c r="II67" s="1495"/>
      <c r="IJ67" s="1495"/>
      <c r="IK67" s="1495"/>
      <c r="IL67" s="1495"/>
      <c r="IM67" s="1495"/>
      <c r="IN67" s="1495"/>
      <c r="IO67" s="1495"/>
      <c r="IP67" s="1495"/>
      <c r="IQ67" s="1495"/>
      <c r="IR67" s="1495"/>
      <c r="IS67" s="1495"/>
      <c r="IT67" s="1495"/>
      <c r="IU67" s="1495"/>
      <c r="IV67" s="1495"/>
      <c r="IW67" s="1495"/>
      <c r="IX67" s="1495"/>
      <c r="IY67" s="1495"/>
      <c r="IZ67" s="1495"/>
      <c r="JA67" s="1495"/>
      <c r="JB67" s="1495"/>
      <c r="JC67" s="1495"/>
      <c r="JD67" s="1495"/>
      <c r="JE67" s="1495"/>
      <c r="JF67" s="1495"/>
      <c r="JG67" s="1495"/>
      <c r="JH67" s="1495"/>
      <c r="JI67" s="1495"/>
      <c r="JJ67" s="1495"/>
      <c r="JK67" s="1495"/>
      <c r="JL67" s="1495"/>
      <c r="JM67" s="1495"/>
      <c r="JN67" s="1495"/>
      <c r="JO67" s="1495"/>
      <c r="JP67" s="1495"/>
      <c r="JQ67" s="1495"/>
      <c r="JR67" s="1495"/>
      <c r="JS67" s="1495"/>
      <c r="JT67" s="1495"/>
      <c r="JU67" s="1495"/>
      <c r="JV67" s="1495"/>
      <c r="JW67" s="1495"/>
      <c r="JX67" s="1495"/>
      <c r="JY67" s="1495"/>
      <c r="JZ67" s="1495"/>
      <c r="KA67" s="1495"/>
      <c r="KB67" s="1495"/>
      <c r="KC67" s="1495"/>
      <c r="KD67" s="1495"/>
      <c r="KE67" s="1495"/>
      <c r="KF67" s="1495"/>
      <c r="KG67" s="1495"/>
      <c r="KH67" s="1495"/>
      <c r="KI67" s="1495"/>
      <c r="KJ67" s="1495"/>
      <c r="KK67" s="1495"/>
      <c r="KL67" s="1495"/>
      <c r="KM67" s="1495"/>
      <c r="KN67" s="1495"/>
      <c r="KO67" s="1495"/>
      <c r="KP67" s="1495"/>
      <c r="KQ67" s="1495"/>
      <c r="KR67" s="1495"/>
      <c r="KS67" s="1495"/>
      <c r="KT67" s="1495"/>
      <c r="KU67" s="1495"/>
      <c r="KV67" s="1495"/>
      <c r="KW67" s="1495"/>
      <c r="KX67" s="1495"/>
      <c r="KY67" s="1495"/>
      <c r="KZ67" s="1495"/>
      <c r="LA67" s="1495"/>
      <c r="LB67" s="1495"/>
      <c r="LC67" s="1495"/>
      <c r="LD67" s="1495"/>
      <c r="LE67" s="1495"/>
    </row>
    <row r="68" spans="1:317">
      <c r="A68" s="1495"/>
      <c r="B68" s="418"/>
      <c r="C68" s="1495"/>
      <c r="D68" s="1495"/>
      <c r="E68" s="1495"/>
      <c r="F68" s="1495"/>
      <c r="G68" s="1495"/>
      <c r="H68" s="1495"/>
      <c r="I68" s="1495"/>
      <c r="J68" s="1495"/>
      <c r="K68" s="1495"/>
      <c r="L68" s="1495"/>
      <c r="M68" s="1495"/>
      <c r="N68" s="1495"/>
      <c r="O68" s="1495"/>
      <c r="P68" s="1495"/>
      <c r="Q68" s="1495"/>
      <c r="R68" s="1495"/>
      <c r="S68" s="1495"/>
      <c r="T68" s="1495"/>
      <c r="U68" s="1495"/>
      <c r="V68" s="1495"/>
      <c r="W68" s="1495"/>
      <c r="X68" s="1495"/>
      <c r="Y68" s="1495"/>
      <c r="Z68" s="1495"/>
      <c r="AA68" s="1495"/>
      <c r="AB68" s="1495"/>
      <c r="AC68" s="1495"/>
      <c r="AD68" s="1495"/>
      <c r="AE68" s="1495"/>
      <c r="AF68" s="1495"/>
      <c r="AG68" s="1495"/>
      <c r="AH68" s="1495"/>
      <c r="AI68" s="1495"/>
      <c r="AJ68" s="1495"/>
      <c r="AK68" s="1495"/>
      <c r="AL68" s="1495"/>
      <c r="AM68" s="1495"/>
      <c r="AN68" s="1495"/>
      <c r="AO68" s="1495"/>
      <c r="AP68" s="1495"/>
      <c r="AQ68" s="1495"/>
      <c r="AR68" s="1495"/>
      <c r="AS68" s="1495"/>
      <c r="AT68" s="1495"/>
      <c r="AU68" s="1495"/>
      <c r="AV68" s="1495"/>
      <c r="AW68" s="1495"/>
      <c r="AX68" s="1495"/>
      <c r="AY68" s="1495"/>
      <c r="AZ68" s="1495"/>
      <c r="BA68" s="1495"/>
      <c r="BB68" s="1495"/>
      <c r="BC68" s="1495"/>
      <c r="BD68" s="1495"/>
      <c r="BE68" s="1495"/>
      <c r="BF68" s="1495"/>
      <c r="BG68" s="1495"/>
      <c r="BH68" s="1495"/>
      <c r="BI68" s="1495"/>
      <c r="BJ68" s="1495"/>
      <c r="BK68" s="1495"/>
      <c r="BL68" s="1495"/>
      <c r="BM68" s="1495"/>
      <c r="BN68" s="1495"/>
      <c r="BO68" s="1495"/>
      <c r="BP68" s="418"/>
      <c r="BQ68" s="1495"/>
      <c r="BR68" s="1495"/>
      <c r="BS68" s="1495"/>
      <c r="BT68" s="1495"/>
      <c r="BU68" s="1495"/>
      <c r="BV68" s="1495"/>
      <c r="BW68" s="1495"/>
      <c r="BX68" s="1495"/>
      <c r="BY68" s="1495"/>
      <c r="BZ68" s="444"/>
      <c r="CA68" s="496"/>
      <c r="CB68" s="496"/>
      <c r="CC68" s="444"/>
      <c r="CD68" s="502"/>
      <c r="CE68" s="108"/>
      <c r="CF68" s="444"/>
      <c r="CG68" s="504"/>
      <c r="CH68" s="348"/>
      <c r="CI68" s="408"/>
      <c r="CJ68" s="1495"/>
      <c r="CK68" s="1495"/>
      <c r="CL68" s="1495"/>
      <c r="CM68" s="1495"/>
      <c r="CN68" s="1495"/>
      <c r="CO68" s="1495"/>
      <c r="CP68" s="1495"/>
      <c r="CQ68" s="1495"/>
      <c r="CR68" s="1495"/>
      <c r="CS68" s="1495"/>
      <c r="CT68" s="1495"/>
      <c r="CU68" s="1495"/>
      <c r="CV68" s="1495"/>
      <c r="CW68" s="1495"/>
      <c r="CX68" s="1495"/>
      <c r="CY68" s="1495"/>
      <c r="CZ68" s="1495"/>
      <c r="DA68" s="444"/>
      <c r="DB68" s="475"/>
      <c r="DC68" s="108"/>
      <c r="DD68" s="408"/>
      <c r="DE68" s="1495"/>
      <c r="DF68" s="444"/>
      <c r="DG68" s="475"/>
      <c r="DH68" s="407"/>
      <c r="DI68" s="407"/>
      <c r="DJ68" s="1495"/>
      <c r="DK68" s="1495"/>
      <c r="DL68" s="1495"/>
      <c r="DM68" s="1495"/>
      <c r="DN68" s="1495"/>
      <c r="DO68" s="1495"/>
      <c r="DP68" s="1495"/>
      <c r="DQ68" s="1495"/>
      <c r="DR68" s="1495"/>
      <c r="DS68" s="1495"/>
      <c r="DT68" s="1495"/>
      <c r="DU68" s="1495"/>
      <c r="DV68" s="1495"/>
      <c r="DW68" s="1495"/>
      <c r="DX68" s="1495"/>
      <c r="DY68" s="1495"/>
      <c r="DZ68" s="1495"/>
      <c r="EA68" s="1495"/>
      <c r="EB68" s="1495"/>
      <c r="EC68" s="1495"/>
      <c r="ED68" s="1495"/>
      <c r="EE68" s="1495"/>
      <c r="EF68" s="1495"/>
      <c r="EG68" s="1495"/>
      <c r="EH68" s="1495"/>
      <c r="EI68" s="1495"/>
      <c r="EJ68" s="1495"/>
      <c r="EK68" s="1495"/>
      <c r="EL68" s="407"/>
      <c r="EM68" s="1495"/>
      <c r="EN68" s="407"/>
      <c r="EO68" s="1495"/>
      <c r="EP68" s="1495"/>
      <c r="EQ68" s="1495"/>
      <c r="ER68" s="1495"/>
      <c r="ES68" s="1495"/>
      <c r="ET68" s="1495"/>
      <c r="EU68" s="1495"/>
      <c r="EV68" s="1495"/>
      <c r="EW68" s="1495"/>
      <c r="EX68" s="1495"/>
      <c r="EY68" s="1495"/>
      <c r="EZ68" s="1495"/>
      <c r="FA68" s="1495"/>
      <c r="FB68" s="1495"/>
      <c r="FC68" s="1495"/>
      <c r="FD68" s="1495"/>
      <c r="FE68" s="1495"/>
      <c r="FF68" s="1495"/>
      <c r="FG68" s="1495"/>
      <c r="FH68" s="1495"/>
      <c r="FI68" s="1495"/>
      <c r="FJ68" s="1495"/>
      <c r="FK68" s="1495"/>
      <c r="FL68" s="1495"/>
      <c r="FM68" s="1495"/>
      <c r="FN68" s="1495"/>
      <c r="FO68" s="1495"/>
      <c r="FP68" s="1495"/>
      <c r="FQ68" s="1495"/>
      <c r="FR68" s="1495"/>
      <c r="FS68" s="1495"/>
      <c r="FT68" s="1495"/>
      <c r="FU68" s="1495"/>
      <c r="FV68" s="1495"/>
      <c r="FW68" s="1495"/>
      <c r="FX68" s="1495"/>
      <c r="FY68" s="1495"/>
      <c r="FZ68" s="1495"/>
      <c r="GA68" s="1495"/>
      <c r="GB68" s="1495"/>
      <c r="GC68" s="1495"/>
      <c r="GD68" s="1495"/>
      <c r="GE68" s="1495"/>
      <c r="GF68" s="1495"/>
      <c r="GG68" s="1495"/>
      <c r="GH68" s="1495"/>
      <c r="GI68" s="1495"/>
      <c r="GJ68" s="1495"/>
      <c r="GK68" s="1495"/>
      <c r="GL68" s="1495"/>
      <c r="GM68" s="1495"/>
      <c r="GN68" s="1495"/>
      <c r="GO68" s="1495"/>
      <c r="GP68" s="1495"/>
      <c r="GQ68" s="1495"/>
      <c r="GR68" s="1495"/>
      <c r="GS68" s="1495"/>
      <c r="GT68" s="1495"/>
      <c r="GU68" s="1495"/>
      <c r="GV68" s="1495"/>
      <c r="GW68" s="1495"/>
      <c r="GX68" s="1495"/>
      <c r="GY68" s="1495"/>
      <c r="GZ68" s="1495"/>
      <c r="HA68" s="1495"/>
      <c r="HB68" s="1495"/>
      <c r="HC68" s="1495"/>
      <c r="HD68" s="1495"/>
      <c r="HE68" s="1495"/>
      <c r="HF68" s="1495"/>
      <c r="HG68" s="1495"/>
      <c r="HH68" s="1495"/>
      <c r="HI68" s="1495"/>
      <c r="HJ68" s="1495"/>
      <c r="HK68" s="1495"/>
      <c r="HL68" s="1495"/>
      <c r="HM68" s="1495"/>
      <c r="HN68" s="1495"/>
      <c r="HO68" s="1495"/>
      <c r="HP68" s="1495"/>
      <c r="HQ68" s="1495"/>
      <c r="HR68" s="1495"/>
      <c r="HS68" s="1495"/>
      <c r="HT68" s="1495"/>
      <c r="HU68" s="1495"/>
      <c r="HV68" s="1495"/>
      <c r="HW68" s="1495"/>
      <c r="HX68" s="1495"/>
      <c r="HY68" s="1495"/>
      <c r="HZ68" s="1495"/>
      <c r="IA68" s="1495"/>
      <c r="IB68" s="1495"/>
      <c r="IC68" s="1495"/>
      <c r="ID68" s="1495"/>
      <c r="IE68" s="1495"/>
      <c r="IF68" s="1495"/>
      <c r="IG68" s="1495"/>
      <c r="IH68" s="1495"/>
      <c r="II68" s="1495"/>
      <c r="IJ68" s="1495"/>
      <c r="IK68" s="1495"/>
      <c r="IL68" s="1495"/>
      <c r="IM68" s="1495"/>
      <c r="IN68" s="1495"/>
      <c r="IO68" s="1495"/>
      <c r="IP68" s="1495"/>
      <c r="IQ68" s="1495"/>
      <c r="IR68" s="1495"/>
      <c r="IS68" s="1495"/>
      <c r="IT68" s="1495"/>
      <c r="IU68" s="1495"/>
      <c r="IV68" s="1495"/>
      <c r="IW68" s="1495"/>
      <c r="IX68" s="1495"/>
      <c r="IY68" s="1495"/>
      <c r="IZ68" s="1495"/>
      <c r="JA68" s="1495"/>
      <c r="JB68" s="1495"/>
      <c r="JC68" s="1495"/>
      <c r="JD68" s="1495"/>
      <c r="JE68" s="1495"/>
      <c r="JF68" s="1495"/>
      <c r="JG68" s="1495"/>
      <c r="JH68" s="1495"/>
      <c r="JI68" s="1495"/>
      <c r="JJ68" s="1495"/>
      <c r="JK68" s="1495"/>
      <c r="JL68" s="1495"/>
      <c r="JM68" s="1495"/>
      <c r="JN68" s="1495"/>
      <c r="JO68" s="1495"/>
      <c r="JP68" s="1495"/>
      <c r="JQ68" s="1495"/>
      <c r="JR68" s="1495"/>
      <c r="JS68" s="1495"/>
      <c r="JT68" s="1495"/>
      <c r="JU68" s="1495"/>
      <c r="JV68" s="1495"/>
      <c r="JW68" s="1495"/>
      <c r="JX68" s="1495"/>
      <c r="JY68" s="1495"/>
      <c r="JZ68" s="1495"/>
      <c r="KA68" s="1495"/>
      <c r="KB68" s="1495"/>
      <c r="KC68" s="1495"/>
      <c r="KD68" s="1495"/>
      <c r="KE68" s="1495"/>
      <c r="KF68" s="1495"/>
      <c r="KG68" s="1495"/>
      <c r="KH68" s="1495"/>
      <c r="KI68" s="1495"/>
      <c r="KJ68" s="1495"/>
      <c r="KK68" s="1495"/>
      <c r="KL68" s="1495"/>
      <c r="KM68" s="1495"/>
      <c r="KN68" s="1495"/>
      <c r="KO68" s="1495"/>
      <c r="KP68" s="1495"/>
      <c r="KQ68" s="1495"/>
      <c r="KR68" s="1495"/>
      <c r="KS68" s="1495"/>
      <c r="KT68" s="1495"/>
      <c r="KU68" s="1495"/>
      <c r="KV68" s="1495"/>
      <c r="KW68" s="1495"/>
      <c r="KX68" s="1495"/>
      <c r="KY68" s="1495"/>
      <c r="KZ68" s="1495"/>
      <c r="LA68" s="1495"/>
      <c r="LB68" s="1495"/>
      <c r="LC68" s="1495"/>
      <c r="LD68" s="1495"/>
      <c r="LE68" s="1495"/>
    </row>
    <row r="69" spans="1:317">
      <c r="A69" s="1495"/>
      <c r="B69" s="418"/>
      <c r="C69" s="1495"/>
      <c r="D69" s="1495"/>
      <c r="E69" s="1495"/>
      <c r="F69" s="1495"/>
      <c r="G69" s="1495"/>
      <c r="H69" s="1495"/>
      <c r="I69" s="1495"/>
      <c r="J69" s="1495"/>
      <c r="K69" s="1495"/>
      <c r="L69" s="1495"/>
      <c r="M69" s="1495"/>
      <c r="N69" s="1495"/>
      <c r="O69" s="1495"/>
      <c r="P69" s="1495"/>
      <c r="Q69" s="1495"/>
      <c r="R69" s="1495"/>
      <c r="S69" s="1495"/>
      <c r="T69" s="1495"/>
      <c r="U69" s="1495"/>
      <c r="V69" s="1495"/>
      <c r="W69" s="1495"/>
      <c r="X69" s="1495"/>
      <c r="Y69" s="1495"/>
      <c r="Z69" s="1495"/>
      <c r="AA69" s="1495"/>
      <c r="AB69" s="1495"/>
      <c r="AC69" s="1495"/>
      <c r="AD69" s="1495"/>
      <c r="AE69" s="1495"/>
      <c r="AF69" s="1495"/>
      <c r="AG69" s="1495"/>
      <c r="AH69" s="1495"/>
      <c r="AI69" s="1495"/>
      <c r="AJ69" s="1495"/>
      <c r="AK69" s="1495"/>
      <c r="AL69" s="1495"/>
      <c r="AM69" s="1495"/>
      <c r="AN69" s="1495"/>
      <c r="AO69" s="1495"/>
      <c r="AP69" s="1495"/>
      <c r="AQ69" s="1495"/>
      <c r="AR69" s="1495"/>
      <c r="AS69" s="1495"/>
      <c r="AT69" s="1495"/>
      <c r="AU69" s="1495"/>
      <c r="AV69" s="1495"/>
      <c r="AW69" s="1495"/>
      <c r="AX69" s="1495"/>
      <c r="AY69" s="1495"/>
      <c r="AZ69" s="1495"/>
      <c r="BA69" s="1495"/>
      <c r="BB69" s="1495"/>
      <c r="BC69" s="1495"/>
      <c r="BD69" s="1495"/>
      <c r="BE69" s="1495"/>
      <c r="BF69" s="1495"/>
      <c r="BG69" s="1495"/>
      <c r="BH69" s="1495"/>
      <c r="BI69" s="1495"/>
      <c r="BJ69" s="1495"/>
      <c r="BK69" s="1495"/>
      <c r="BL69" s="1495"/>
      <c r="BM69" s="1495"/>
      <c r="BN69" s="1495"/>
      <c r="BO69" s="1495"/>
      <c r="BP69" s="418"/>
      <c r="BQ69" s="1495"/>
      <c r="BR69" s="1495"/>
      <c r="BS69" s="1495"/>
      <c r="BT69" s="1495"/>
      <c r="BU69" s="1495"/>
      <c r="BV69" s="1495"/>
      <c r="BW69" s="1495"/>
      <c r="BX69" s="1495"/>
      <c r="BY69" s="1495"/>
      <c r="BZ69" s="444"/>
      <c r="CA69" s="496"/>
      <c r="CB69" s="496"/>
      <c r="CC69" s="444"/>
      <c r="CD69" s="502"/>
      <c r="CE69" s="108"/>
      <c r="CF69" s="444"/>
      <c r="CG69" s="502"/>
      <c r="CH69" s="348"/>
      <c r="CI69" s="408"/>
      <c r="CJ69" s="1495"/>
      <c r="CK69" s="1495"/>
      <c r="CL69" s="1495"/>
      <c r="CM69" s="1495"/>
      <c r="CN69" s="1495"/>
      <c r="CO69" s="1495"/>
      <c r="CP69" s="1495"/>
      <c r="CQ69" s="1495"/>
      <c r="CR69" s="1495"/>
      <c r="CS69" s="1495"/>
      <c r="CT69" s="1495"/>
      <c r="CU69" s="1495"/>
      <c r="CV69" s="1495"/>
      <c r="CW69" s="1495"/>
      <c r="CX69" s="1495"/>
      <c r="CY69" s="1495"/>
      <c r="CZ69" s="1495"/>
      <c r="DA69" s="444"/>
      <c r="DB69" s="475"/>
      <c r="DC69" s="108"/>
      <c r="DD69" s="408"/>
      <c r="DE69" s="1495"/>
      <c r="DF69" s="444"/>
      <c r="DG69" s="475"/>
      <c r="DH69" s="407"/>
      <c r="DI69" s="407"/>
      <c r="DJ69" s="1495"/>
      <c r="DK69" s="1495"/>
      <c r="DL69" s="1495"/>
      <c r="DM69" s="1495"/>
      <c r="DN69" s="1495"/>
      <c r="DO69" s="1495"/>
      <c r="DP69" s="1495"/>
      <c r="DQ69" s="1495"/>
      <c r="DR69" s="1495"/>
      <c r="DS69" s="1495"/>
      <c r="DT69" s="1495"/>
      <c r="DU69" s="1495"/>
      <c r="DV69" s="1495"/>
      <c r="DW69" s="1495"/>
      <c r="DX69" s="1495"/>
      <c r="DY69" s="1495"/>
      <c r="DZ69" s="1495"/>
      <c r="EA69" s="1495"/>
      <c r="EB69" s="1495"/>
      <c r="EC69" s="1495"/>
      <c r="ED69" s="1495"/>
      <c r="EE69" s="1495"/>
      <c r="EF69" s="1495"/>
      <c r="EG69" s="1495"/>
      <c r="EH69" s="1495"/>
      <c r="EI69" s="1495"/>
      <c r="EJ69" s="1495"/>
      <c r="EK69" s="1495"/>
      <c r="EL69" s="407"/>
      <c r="EM69" s="1495"/>
      <c r="EN69" s="407"/>
      <c r="EO69" s="1495"/>
      <c r="EP69" s="1495"/>
      <c r="EQ69" s="1495"/>
      <c r="ER69" s="1495"/>
      <c r="ES69" s="1495"/>
      <c r="ET69" s="1495"/>
      <c r="EU69" s="1495"/>
      <c r="EV69" s="1495"/>
      <c r="EW69" s="1495"/>
      <c r="EX69" s="1495"/>
      <c r="EY69" s="1495"/>
      <c r="EZ69" s="1495"/>
      <c r="FA69" s="1495"/>
      <c r="FB69" s="1495"/>
      <c r="FC69" s="1495"/>
      <c r="FD69" s="1495"/>
      <c r="FE69" s="1495"/>
      <c r="FF69" s="1495"/>
      <c r="FG69" s="1495"/>
      <c r="FH69" s="1495"/>
      <c r="FI69" s="1495"/>
      <c r="FJ69" s="1495"/>
      <c r="FK69" s="1495"/>
      <c r="FL69" s="1495"/>
      <c r="FM69" s="1495"/>
      <c r="FN69" s="1495"/>
      <c r="FO69" s="1495"/>
      <c r="FP69" s="1495"/>
      <c r="FQ69" s="1495"/>
      <c r="FR69" s="1495"/>
      <c r="FS69" s="1495"/>
      <c r="FT69" s="1495"/>
      <c r="FU69" s="1495"/>
      <c r="FV69" s="1495"/>
      <c r="FW69" s="1495"/>
      <c r="FX69" s="1495"/>
      <c r="FY69" s="1495"/>
      <c r="FZ69" s="1495"/>
      <c r="GA69" s="1495"/>
      <c r="GB69" s="1495"/>
      <c r="GC69" s="1495"/>
      <c r="GD69" s="1495"/>
      <c r="GE69" s="1495"/>
      <c r="GF69" s="1495"/>
      <c r="GG69" s="1495"/>
      <c r="GH69" s="1495"/>
      <c r="GI69" s="1495"/>
      <c r="GJ69" s="1495"/>
      <c r="GK69" s="1495"/>
      <c r="GL69" s="1495"/>
      <c r="GM69" s="1495"/>
      <c r="GN69" s="1495"/>
      <c r="GO69" s="1495"/>
      <c r="GP69" s="1495"/>
      <c r="GQ69" s="1495"/>
      <c r="GR69" s="1495"/>
      <c r="GS69" s="1495"/>
      <c r="GT69" s="1495"/>
      <c r="GU69" s="1495"/>
      <c r="GV69" s="1495"/>
      <c r="GW69" s="1495"/>
      <c r="GX69" s="1495"/>
      <c r="GY69" s="1495"/>
      <c r="GZ69" s="1495"/>
      <c r="HA69" s="1495"/>
      <c r="HB69" s="1495"/>
      <c r="HC69" s="1495"/>
      <c r="HD69" s="1495"/>
      <c r="HE69" s="1495"/>
      <c r="HF69" s="1495"/>
      <c r="HG69" s="1495"/>
      <c r="HH69" s="1495"/>
      <c r="HI69" s="1495"/>
      <c r="HJ69" s="1495"/>
      <c r="HK69" s="1495"/>
      <c r="HL69" s="1495"/>
      <c r="HM69" s="1495"/>
      <c r="HN69" s="1495"/>
      <c r="HO69" s="1495"/>
      <c r="HP69" s="1495"/>
      <c r="HQ69" s="1495"/>
      <c r="HR69" s="1495"/>
      <c r="HS69" s="1495"/>
      <c r="HT69" s="1495"/>
      <c r="HU69" s="1495"/>
      <c r="HV69" s="1495"/>
      <c r="HW69" s="1495"/>
      <c r="HX69" s="1495"/>
      <c r="HY69" s="1495"/>
      <c r="HZ69" s="1495"/>
      <c r="IA69" s="1495"/>
      <c r="IB69" s="1495"/>
      <c r="IC69" s="1495"/>
      <c r="ID69" s="1495"/>
      <c r="IE69" s="1495"/>
      <c r="IF69" s="1495"/>
      <c r="IG69" s="1495"/>
      <c r="IH69" s="1495"/>
      <c r="II69" s="1495"/>
      <c r="IJ69" s="1495"/>
      <c r="IK69" s="1495"/>
      <c r="IL69" s="1495"/>
      <c r="IM69" s="1495"/>
      <c r="IN69" s="1495"/>
      <c r="IO69" s="1495"/>
      <c r="IP69" s="1495"/>
      <c r="IQ69" s="1495"/>
      <c r="IR69" s="1495"/>
      <c r="IS69" s="1495"/>
      <c r="IT69" s="1495"/>
      <c r="IU69" s="1495"/>
      <c r="IV69" s="1495"/>
      <c r="IW69" s="1495"/>
      <c r="IX69" s="1495"/>
      <c r="IY69" s="1495"/>
      <c r="IZ69" s="1495"/>
      <c r="JA69" s="1495"/>
      <c r="JB69" s="1495"/>
      <c r="JC69" s="1495"/>
      <c r="JD69" s="1495"/>
      <c r="JE69" s="1495"/>
      <c r="JF69" s="1495"/>
      <c r="JG69" s="1495"/>
      <c r="JH69" s="1495"/>
      <c r="JI69" s="1495"/>
      <c r="JJ69" s="1495"/>
      <c r="JK69" s="1495"/>
      <c r="JL69" s="1495"/>
      <c r="JM69" s="1495"/>
      <c r="JN69" s="1495"/>
      <c r="JO69" s="1495"/>
      <c r="JP69" s="1495"/>
      <c r="JQ69" s="1495"/>
      <c r="JR69" s="1495"/>
      <c r="JS69" s="1495"/>
      <c r="JT69" s="1495"/>
      <c r="JU69" s="1495"/>
      <c r="JV69" s="1495"/>
      <c r="JW69" s="1495"/>
      <c r="JX69" s="1495"/>
      <c r="JY69" s="1495"/>
      <c r="JZ69" s="1495"/>
      <c r="KA69" s="1495"/>
      <c r="KB69" s="1495"/>
      <c r="KC69" s="1495"/>
      <c r="KD69" s="1495"/>
      <c r="KE69" s="1495"/>
      <c r="KF69" s="1495"/>
      <c r="KG69" s="1495"/>
      <c r="KH69" s="1495"/>
      <c r="KI69" s="1495"/>
      <c r="KJ69" s="1495"/>
      <c r="KK69" s="1495"/>
      <c r="KL69" s="1495"/>
      <c r="KM69" s="1495"/>
      <c r="KN69" s="1495"/>
      <c r="KO69" s="1495"/>
      <c r="KP69" s="1495"/>
      <c r="KQ69" s="1495"/>
      <c r="KR69" s="1495"/>
      <c r="KS69" s="1495"/>
      <c r="KT69" s="1495"/>
      <c r="KU69" s="1495"/>
      <c r="KV69" s="1495"/>
      <c r="KW69" s="1495"/>
      <c r="KX69" s="1495"/>
      <c r="KY69" s="1495"/>
      <c r="KZ69" s="1495"/>
      <c r="LA69" s="1495"/>
      <c r="LB69" s="1495"/>
      <c r="LC69" s="1495"/>
      <c r="LD69" s="1495"/>
      <c r="LE69" s="1495"/>
    </row>
    <row r="70" spans="1:317">
      <c r="A70" s="1495"/>
      <c r="B70" s="418"/>
      <c r="C70" s="1495"/>
      <c r="D70" s="1495"/>
      <c r="E70" s="1495"/>
      <c r="F70" s="1495"/>
      <c r="G70" s="1495"/>
      <c r="H70" s="1495"/>
      <c r="I70" s="1495"/>
      <c r="J70" s="1495"/>
      <c r="K70" s="1495"/>
      <c r="L70" s="1495"/>
      <c r="M70" s="1495"/>
      <c r="N70" s="1495"/>
      <c r="O70" s="1495"/>
      <c r="P70" s="1495"/>
      <c r="Q70" s="1495"/>
      <c r="R70" s="1495"/>
      <c r="S70" s="1495"/>
      <c r="T70" s="1495"/>
      <c r="U70" s="1495"/>
      <c r="V70" s="1495"/>
      <c r="W70" s="1495"/>
      <c r="X70" s="1495"/>
      <c r="Y70" s="1495"/>
      <c r="Z70" s="1495"/>
      <c r="AA70" s="1495"/>
      <c r="AB70" s="1495"/>
      <c r="AC70" s="1495"/>
      <c r="AD70" s="1495"/>
      <c r="AE70" s="1495"/>
      <c r="AF70" s="1495"/>
      <c r="AG70" s="1495"/>
      <c r="AH70" s="1495"/>
      <c r="AI70" s="1495"/>
      <c r="AJ70" s="1495"/>
      <c r="AK70" s="1495"/>
      <c r="AL70" s="1495"/>
      <c r="AM70" s="1495"/>
      <c r="AN70" s="1495"/>
      <c r="AO70" s="1495"/>
      <c r="AP70" s="1495"/>
      <c r="AQ70" s="1495"/>
      <c r="AR70" s="1495"/>
      <c r="AS70" s="1495"/>
      <c r="AT70" s="1495"/>
      <c r="AU70" s="1495"/>
      <c r="AV70" s="1495"/>
      <c r="AW70" s="1495"/>
      <c r="AX70" s="1495"/>
      <c r="AY70" s="1495"/>
      <c r="AZ70" s="1495"/>
      <c r="BA70" s="1495"/>
      <c r="BB70" s="1495"/>
      <c r="BC70" s="1495"/>
      <c r="BD70" s="1495"/>
      <c r="BE70" s="1495"/>
      <c r="BF70" s="1495"/>
      <c r="BG70" s="1495"/>
      <c r="BH70" s="1495"/>
      <c r="BI70" s="1495"/>
      <c r="BJ70" s="1495"/>
      <c r="BK70" s="1495"/>
      <c r="BL70" s="1495"/>
      <c r="BM70" s="1495"/>
      <c r="BN70" s="1495"/>
      <c r="BO70" s="1495"/>
      <c r="BP70" s="418"/>
      <c r="BQ70" s="1495"/>
      <c r="BR70" s="1495"/>
      <c r="BS70" s="1495"/>
      <c r="BT70" s="1495"/>
      <c r="BU70" s="1495"/>
      <c r="BV70" s="1495"/>
      <c r="BW70" s="1495"/>
      <c r="BX70" s="1495"/>
      <c r="BY70" s="1495"/>
      <c r="BZ70" s="444"/>
      <c r="CA70" s="496"/>
      <c r="CB70" s="496"/>
      <c r="CC70" s="444"/>
      <c r="CD70" s="502"/>
      <c r="CE70" s="108"/>
      <c r="CF70" s="444"/>
      <c r="CG70" s="504"/>
      <c r="CH70" s="348"/>
      <c r="CI70" s="408"/>
      <c r="CJ70" s="1495"/>
      <c r="CK70" s="1495"/>
      <c r="CL70" s="1495"/>
      <c r="CM70" s="1495"/>
      <c r="CN70" s="1495"/>
      <c r="CO70" s="1495"/>
      <c r="CP70" s="1495"/>
      <c r="CQ70" s="1495"/>
      <c r="CR70" s="1495"/>
      <c r="CS70" s="1495"/>
      <c r="CT70" s="1495"/>
      <c r="CU70" s="1495"/>
      <c r="CV70" s="1495"/>
      <c r="CW70" s="1495"/>
      <c r="CX70" s="1495"/>
      <c r="CY70" s="1495"/>
      <c r="CZ70" s="1495"/>
      <c r="DA70" s="444"/>
      <c r="DB70" s="475"/>
      <c r="DC70" s="108"/>
      <c r="DD70" s="408"/>
      <c r="DE70" s="1495"/>
      <c r="DF70" s="444"/>
      <c r="DG70" s="475"/>
      <c r="DH70" s="407"/>
      <c r="DI70" s="407"/>
      <c r="DJ70" s="1495"/>
      <c r="DK70" s="1495"/>
      <c r="DL70" s="1495"/>
      <c r="DM70" s="1495"/>
      <c r="DN70" s="1495"/>
      <c r="DO70" s="1495"/>
      <c r="DP70" s="1495"/>
      <c r="DQ70" s="1495"/>
      <c r="DR70" s="1495"/>
      <c r="DS70" s="1495"/>
      <c r="DT70" s="1495"/>
      <c r="DU70" s="1495"/>
      <c r="DV70" s="1495"/>
      <c r="DW70" s="1495"/>
      <c r="DX70" s="1495"/>
      <c r="DY70" s="1495"/>
      <c r="DZ70" s="1495"/>
      <c r="EA70" s="1495"/>
      <c r="EB70" s="1495"/>
      <c r="EC70" s="1495"/>
      <c r="ED70" s="1495"/>
      <c r="EE70" s="1495"/>
      <c r="EF70" s="1495"/>
      <c r="EG70" s="1495"/>
      <c r="EH70" s="1495"/>
      <c r="EI70" s="1495"/>
      <c r="EJ70" s="1495"/>
      <c r="EK70" s="1495"/>
      <c r="EL70" s="407"/>
      <c r="EM70" s="1495"/>
      <c r="EN70" s="407"/>
      <c r="EO70" s="1495"/>
      <c r="EP70" s="1495"/>
      <c r="EQ70" s="1495"/>
      <c r="ER70" s="1495"/>
      <c r="ES70" s="1495"/>
      <c r="ET70" s="1495"/>
      <c r="EU70" s="1495"/>
      <c r="EV70" s="1495"/>
      <c r="EW70" s="1495"/>
      <c r="EX70" s="1495"/>
      <c r="EY70" s="1495"/>
      <c r="EZ70" s="1495"/>
      <c r="FA70" s="1495"/>
      <c r="FB70" s="1495"/>
      <c r="FC70" s="1495"/>
      <c r="FD70" s="1495"/>
      <c r="FE70" s="1495"/>
      <c r="FF70" s="1495"/>
      <c r="FG70" s="1495"/>
      <c r="FH70" s="1495"/>
      <c r="FI70" s="1495"/>
      <c r="FJ70" s="1495"/>
      <c r="FK70" s="1495"/>
      <c r="FL70" s="1495"/>
      <c r="FM70" s="1495"/>
      <c r="FN70" s="1495"/>
      <c r="FO70" s="1495"/>
      <c r="FP70" s="1495"/>
      <c r="FQ70" s="1495"/>
      <c r="FR70" s="1495"/>
      <c r="FS70" s="1495"/>
      <c r="FT70" s="1495"/>
      <c r="FU70" s="1495"/>
      <c r="FV70" s="1495"/>
      <c r="FW70" s="1495"/>
      <c r="FX70" s="1495"/>
      <c r="FY70" s="1495"/>
      <c r="FZ70" s="1495"/>
      <c r="GA70" s="1495"/>
      <c r="GB70" s="1495"/>
      <c r="GC70" s="1495"/>
      <c r="GD70" s="1495"/>
      <c r="GE70" s="1495"/>
      <c r="GF70" s="1495"/>
      <c r="GG70" s="1495"/>
      <c r="GH70" s="1495"/>
      <c r="GI70" s="1495"/>
      <c r="GJ70" s="1495"/>
      <c r="GK70" s="1495"/>
      <c r="GL70" s="1495"/>
      <c r="GM70" s="1495"/>
      <c r="GN70" s="1495"/>
      <c r="GO70" s="1495"/>
      <c r="GP70" s="1495"/>
      <c r="GQ70" s="1495"/>
      <c r="GR70" s="1495"/>
      <c r="GS70" s="1495"/>
      <c r="GT70" s="1495"/>
      <c r="GU70" s="1495"/>
      <c r="GV70" s="1495"/>
      <c r="GW70" s="1495"/>
      <c r="GX70" s="1495"/>
      <c r="GY70" s="1495"/>
      <c r="GZ70" s="1495"/>
      <c r="HA70" s="1495"/>
      <c r="HB70" s="1495"/>
      <c r="HC70" s="1495"/>
      <c r="HD70" s="1495"/>
      <c r="HE70" s="1495"/>
      <c r="HF70" s="1495"/>
      <c r="HG70" s="1495"/>
      <c r="HH70" s="1495"/>
      <c r="HI70" s="1495"/>
      <c r="HJ70" s="1495"/>
      <c r="HK70" s="1495"/>
      <c r="HL70" s="1495"/>
      <c r="HM70" s="1495"/>
      <c r="HN70" s="1495"/>
      <c r="HO70" s="1495"/>
      <c r="HP70" s="1495"/>
      <c r="HQ70" s="1495"/>
      <c r="HR70" s="1495"/>
      <c r="HS70" s="1495"/>
      <c r="HT70" s="1495"/>
      <c r="HU70" s="1495"/>
      <c r="HV70" s="1495"/>
      <c r="HW70" s="1495"/>
      <c r="HX70" s="1495"/>
      <c r="HY70" s="1495"/>
      <c r="HZ70" s="1495"/>
      <c r="IA70" s="1495"/>
      <c r="IB70" s="1495"/>
      <c r="IC70" s="1495"/>
      <c r="ID70" s="1495"/>
      <c r="IE70" s="1495"/>
      <c r="IF70" s="1495"/>
      <c r="IG70" s="1495"/>
      <c r="IH70" s="1495"/>
      <c r="II70" s="1495"/>
      <c r="IJ70" s="1495"/>
      <c r="IK70" s="1495"/>
      <c r="IL70" s="1495"/>
      <c r="IM70" s="1495"/>
      <c r="IN70" s="1495"/>
      <c r="IO70" s="1495"/>
      <c r="IP70" s="1495"/>
      <c r="IQ70" s="1495"/>
      <c r="IR70" s="1495"/>
      <c r="IS70" s="1495"/>
      <c r="IT70" s="1495"/>
      <c r="IU70" s="1495"/>
      <c r="IV70" s="1495"/>
      <c r="IW70" s="1495"/>
      <c r="IX70" s="1495"/>
      <c r="IY70" s="1495"/>
      <c r="IZ70" s="1495"/>
      <c r="JA70" s="1495"/>
      <c r="JB70" s="1495"/>
      <c r="JC70" s="1495"/>
      <c r="JD70" s="1495"/>
      <c r="JE70" s="1495"/>
      <c r="JF70" s="1495"/>
      <c r="JG70" s="1495"/>
      <c r="JH70" s="1495"/>
      <c r="JI70" s="1495"/>
      <c r="JJ70" s="1495"/>
      <c r="JK70" s="1495"/>
      <c r="JL70" s="1495"/>
      <c r="JM70" s="1495"/>
      <c r="JN70" s="1495"/>
      <c r="JO70" s="1495"/>
      <c r="JP70" s="1495"/>
      <c r="JQ70" s="1495"/>
      <c r="JR70" s="1495"/>
      <c r="JS70" s="1495"/>
      <c r="JT70" s="1495"/>
      <c r="JU70" s="1495"/>
      <c r="JV70" s="1495"/>
      <c r="JW70" s="1495"/>
      <c r="JX70" s="1495"/>
      <c r="JY70" s="1495"/>
      <c r="JZ70" s="1495"/>
      <c r="KA70" s="1495"/>
      <c r="KB70" s="1495"/>
      <c r="KC70" s="1495"/>
      <c r="KD70" s="1495"/>
      <c r="KE70" s="1495"/>
      <c r="KF70" s="1495"/>
      <c r="KG70" s="1495"/>
      <c r="KH70" s="1495"/>
      <c r="KI70" s="1495"/>
      <c r="KJ70" s="1495"/>
      <c r="KK70" s="1495"/>
      <c r="KL70" s="1495"/>
      <c r="KM70" s="1495"/>
      <c r="KN70" s="1495"/>
      <c r="KO70" s="1495"/>
      <c r="KP70" s="1495"/>
      <c r="KQ70" s="1495"/>
      <c r="KR70" s="1495"/>
      <c r="KS70" s="1495"/>
      <c r="KT70" s="1495"/>
      <c r="KU70" s="1495"/>
      <c r="KV70" s="1495"/>
      <c r="KW70" s="1495"/>
      <c r="KX70" s="1495"/>
      <c r="KY70" s="1495"/>
      <c r="KZ70" s="1495"/>
      <c r="LA70" s="1495"/>
      <c r="LB70" s="1495"/>
      <c r="LC70" s="1495"/>
      <c r="LD70" s="1495"/>
      <c r="LE70" s="1495"/>
    </row>
    <row r="71" spans="1:317">
      <c r="A71" s="1495"/>
      <c r="B71" s="418"/>
      <c r="C71" s="1495"/>
      <c r="D71" s="1495"/>
      <c r="E71" s="1495"/>
      <c r="F71" s="1495"/>
      <c r="G71" s="1495"/>
      <c r="H71" s="1495"/>
      <c r="I71" s="1495"/>
      <c r="J71" s="1495"/>
      <c r="K71" s="1495"/>
      <c r="L71" s="1495"/>
      <c r="M71" s="1495"/>
      <c r="N71" s="1495"/>
      <c r="O71" s="1495"/>
      <c r="P71" s="1495"/>
      <c r="Q71" s="1495"/>
      <c r="R71" s="1495"/>
      <c r="S71" s="1495"/>
      <c r="T71" s="1495"/>
      <c r="U71" s="1495"/>
      <c r="V71" s="1495"/>
      <c r="W71" s="1495"/>
      <c r="X71" s="1495"/>
      <c r="Y71" s="1495"/>
      <c r="Z71" s="1495"/>
      <c r="AA71" s="1495"/>
      <c r="AB71" s="1495"/>
      <c r="AC71" s="1495"/>
      <c r="AD71" s="1495"/>
      <c r="AE71" s="1495"/>
      <c r="AF71" s="1495"/>
      <c r="AG71" s="1495"/>
      <c r="AH71" s="1495"/>
      <c r="AI71" s="1495"/>
      <c r="AJ71" s="1495"/>
      <c r="AK71" s="1495"/>
      <c r="AL71" s="1495"/>
      <c r="AM71" s="1495"/>
      <c r="AN71" s="1495"/>
      <c r="AO71" s="1495"/>
      <c r="AP71" s="1495"/>
      <c r="AQ71" s="1495"/>
      <c r="AR71" s="1495"/>
      <c r="AS71" s="1495"/>
      <c r="AT71" s="1495"/>
      <c r="AU71" s="1495"/>
      <c r="AV71" s="1495"/>
      <c r="AW71" s="1495"/>
      <c r="AX71" s="1495"/>
      <c r="AY71" s="1495"/>
      <c r="AZ71" s="1495"/>
      <c r="BA71" s="1495"/>
      <c r="BB71" s="1495"/>
      <c r="BC71" s="1495"/>
      <c r="BD71" s="1495"/>
      <c r="BE71" s="1495"/>
      <c r="BF71" s="1495"/>
      <c r="BG71" s="1495"/>
      <c r="BH71" s="1495"/>
      <c r="BI71" s="1495"/>
      <c r="BJ71" s="1495"/>
      <c r="BK71" s="1495"/>
      <c r="BL71" s="1495"/>
      <c r="BM71" s="1495"/>
      <c r="BN71" s="1495"/>
      <c r="BO71" s="1495"/>
      <c r="BP71" s="418"/>
      <c r="BQ71" s="1495"/>
      <c r="BR71" s="1495"/>
      <c r="BS71" s="1495"/>
      <c r="BT71" s="1495"/>
      <c r="BU71" s="1495"/>
      <c r="BV71" s="1495"/>
      <c r="BW71" s="1495"/>
      <c r="BX71" s="1495"/>
      <c r="BY71" s="1495"/>
      <c r="BZ71" s="444"/>
      <c r="CA71" s="496"/>
      <c r="CB71" s="496"/>
      <c r="CC71" s="444"/>
      <c r="CD71" s="502"/>
      <c r="CE71" s="108"/>
      <c r="CF71" s="444"/>
      <c r="CG71" s="504"/>
      <c r="CH71" s="348"/>
      <c r="CI71" s="408"/>
      <c r="CJ71" s="1495"/>
      <c r="CK71" s="1495"/>
      <c r="CL71" s="1495"/>
      <c r="CM71" s="1495"/>
      <c r="CN71" s="1495"/>
      <c r="CO71" s="1495"/>
      <c r="CP71" s="1495"/>
      <c r="CQ71" s="1495"/>
      <c r="CR71" s="1495"/>
      <c r="CS71" s="1495"/>
      <c r="CT71" s="1495"/>
      <c r="CU71" s="1495"/>
      <c r="CV71" s="1495"/>
      <c r="CW71" s="1495"/>
      <c r="CX71" s="1495"/>
      <c r="CY71" s="1495"/>
      <c r="CZ71" s="1495"/>
      <c r="DA71" s="444"/>
      <c r="DB71" s="475"/>
      <c r="DC71" s="108"/>
      <c r="DD71" s="408"/>
      <c r="DE71" s="1495"/>
      <c r="DF71" s="444"/>
      <c r="DG71" s="475"/>
      <c r="DH71" s="407"/>
      <c r="DI71" s="407"/>
      <c r="DJ71" s="1495"/>
      <c r="DK71" s="1495"/>
      <c r="DL71" s="1495"/>
      <c r="DM71" s="1495"/>
      <c r="DN71" s="1495"/>
      <c r="DO71" s="1495"/>
      <c r="DP71" s="1495"/>
      <c r="DQ71" s="1495"/>
      <c r="DR71" s="1495"/>
      <c r="DS71" s="1495"/>
      <c r="DT71" s="1495"/>
      <c r="DU71" s="1495"/>
      <c r="DV71" s="1495"/>
      <c r="DW71" s="1495"/>
      <c r="DX71" s="1495"/>
      <c r="DY71" s="1495"/>
      <c r="DZ71" s="1495"/>
      <c r="EA71" s="1495"/>
      <c r="EB71" s="1495"/>
      <c r="EC71" s="1495"/>
      <c r="ED71" s="1495"/>
      <c r="EE71" s="1495"/>
      <c r="EF71" s="1495"/>
      <c r="EG71" s="1495"/>
      <c r="EH71" s="1495"/>
      <c r="EI71" s="1495"/>
      <c r="EJ71" s="1495"/>
      <c r="EK71" s="1495"/>
      <c r="EL71" s="407"/>
      <c r="EM71" s="1495"/>
      <c r="EN71" s="407"/>
      <c r="EO71" s="1495"/>
      <c r="EP71" s="1495"/>
      <c r="EQ71" s="1495"/>
      <c r="ER71" s="1495"/>
      <c r="ES71" s="1495"/>
      <c r="ET71" s="1495"/>
      <c r="EU71" s="1495"/>
      <c r="EV71" s="1495"/>
      <c r="EW71" s="1495"/>
      <c r="EX71" s="1495"/>
      <c r="EY71" s="1495"/>
      <c r="EZ71" s="1495"/>
      <c r="FA71" s="1495"/>
      <c r="FB71" s="1495"/>
      <c r="FC71" s="1495"/>
      <c r="FD71" s="1495"/>
      <c r="FE71" s="1495"/>
      <c r="FF71" s="1495"/>
      <c r="FG71" s="1495"/>
      <c r="FH71" s="1495"/>
      <c r="FI71" s="1495"/>
      <c r="FJ71" s="1495"/>
      <c r="FK71" s="1495"/>
      <c r="FL71" s="1495"/>
      <c r="FM71" s="1495"/>
      <c r="FN71" s="1495"/>
      <c r="FO71" s="1495"/>
      <c r="FP71" s="1495"/>
      <c r="FQ71" s="1495"/>
      <c r="FR71" s="1495"/>
      <c r="FS71" s="1495"/>
      <c r="FT71" s="1495"/>
      <c r="FU71" s="1495"/>
      <c r="FV71" s="1495"/>
      <c r="FW71" s="1495"/>
      <c r="FX71" s="1495"/>
      <c r="FY71" s="1495"/>
      <c r="FZ71" s="1495"/>
      <c r="GA71" s="1495"/>
      <c r="GB71" s="1495"/>
      <c r="GC71" s="1495"/>
      <c r="GD71" s="1495"/>
      <c r="GE71" s="1495"/>
      <c r="GF71" s="1495"/>
      <c r="GG71" s="1495"/>
      <c r="GH71" s="1495"/>
      <c r="GI71" s="1495"/>
      <c r="GJ71" s="1495"/>
      <c r="GK71" s="1495"/>
      <c r="GL71" s="1495"/>
      <c r="GM71" s="1495"/>
      <c r="GN71" s="1495"/>
      <c r="GO71" s="1495"/>
      <c r="GP71" s="1495"/>
      <c r="GQ71" s="1495"/>
      <c r="GR71" s="1495"/>
      <c r="GS71" s="1495"/>
      <c r="GT71" s="1495"/>
      <c r="GU71" s="1495"/>
      <c r="GV71" s="1495"/>
      <c r="GW71" s="1495"/>
      <c r="GX71" s="1495"/>
      <c r="GY71" s="1495"/>
      <c r="GZ71" s="1495"/>
      <c r="HA71" s="1495"/>
      <c r="HB71" s="1495"/>
      <c r="HC71" s="1495"/>
      <c r="HD71" s="1495"/>
      <c r="HE71" s="1495"/>
      <c r="HF71" s="1495"/>
      <c r="HG71" s="1495"/>
      <c r="HH71" s="1495"/>
      <c r="HI71" s="1495"/>
      <c r="HJ71" s="1495"/>
      <c r="HK71" s="1495"/>
      <c r="HL71" s="1495"/>
      <c r="HM71" s="1495"/>
      <c r="HN71" s="1495"/>
      <c r="HO71" s="1495"/>
      <c r="HP71" s="1495"/>
      <c r="HQ71" s="1495"/>
      <c r="HR71" s="1495"/>
      <c r="HS71" s="1495"/>
      <c r="HT71" s="1495"/>
      <c r="HU71" s="1495"/>
      <c r="HV71" s="1495"/>
      <c r="HW71" s="1495"/>
      <c r="HX71" s="1495"/>
      <c r="HY71" s="1495"/>
      <c r="HZ71" s="1495"/>
      <c r="IA71" s="1495"/>
      <c r="IB71" s="1495"/>
      <c r="IC71" s="1495"/>
      <c r="ID71" s="1495"/>
      <c r="IE71" s="1495"/>
      <c r="IF71" s="1495"/>
      <c r="IG71" s="1495"/>
      <c r="IH71" s="1495"/>
      <c r="II71" s="1495"/>
      <c r="IJ71" s="1495"/>
      <c r="IK71" s="1495"/>
      <c r="IL71" s="1495"/>
      <c r="IM71" s="1495"/>
      <c r="IN71" s="1495"/>
      <c r="IO71" s="1495"/>
      <c r="IP71" s="1495"/>
      <c r="IQ71" s="1495"/>
      <c r="IR71" s="1495"/>
      <c r="IS71" s="1495"/>
      <c r="IT71" s="1495"/>
      <c r="IU71" s="1495"/>
      <c r="IV71" s="1495"/>
      <c r="IW71" s="1495"/>
      <c r="IX71" s="1495"/>
      <c r="IY71" s="1495"/>
      <c r="IZ71" s="1495"/>
      <c r="JA71" s="1495"/>
      <c r="JB71" s="1495"/>
      <c r="JC71" s="1495"/>
      <c r="JD71" s="1495"/>
      <c r="JE71" s="1495"/>
      <c r="JF71" s="1495"/>
      <c r="JG71" s="1495"/>
      <c r="JH71" s="1495"/>
      <c r="JI71" s="1495"/>
      <c r="JJ71" s="1495"/>
      <c r="JK71" s="1495"/>
      <c r="JL71" s="1495"/>
      <c r="JM71" s="1495"/>
      <c r="JN71" s="1495"/>
      <c r="JO71" s="1495"/>
      <c r="JP71" s="1495"/>
      <c r="JQ71" s="1495"/>
      <c r="JR71" s="1495"/>
      <c r="JS71" s="1495"/>
      <c r="JT71" s="1495"/>
      <c r="JU71" s="1495"/>
      <c r="JV71" s="1495"/>
      <c r="JW71" s="1495"/>
      <c r="JX71" s="1495"/>
      <c r="JY71" s="1495"/>
      <c r="JZ71" s="1495"/>
      <c r="KA71" s="1495"/>
      <c r="KB71" s="1495"/>
      <c r="KC71" s="1495"/>
      <c r="KD71" s="1495"/>
      <c r="KE71" s="1495"/>
      <c r="KF71" s="1495"/>
      <c r="KG71" s="1495"/>
      <c r="KH71" s="1495"/>
      <c r="KI71" s="1495"/>
      <c r="KJ71" s="1495"/>
      <c r="KK71" s="1495"/>
      <c r="KL71" s="1495"/>
      <c r="KM71" s="1495"/>
      <c r="KN71" s="1495"/>
      <c r="KO71" s="1495"/>
      <c r="KP71" s="1495"/>
      <c r="KQ71" s="1495"/>
      <c r="KR71" s="1495"/>
      <c r="KS71" s="1495"/>
      <c r="KT71" s="1495"/>
      <c r="KU71" s="1495"/>
      <c r="KV71" s="1495"/>
      <c r="KW71" s="1495"/>
      <c r="KX71" s="1495"/>
      <c r="KY71" s="1495"/>
      <c r="KZ71" s="1495"/>
      <c r="LA71" s="1495"/>
      <c r="LB71" s="1495"/>
      <c r="LC71" s="1495"/>
      <c r="LD71" s="1495"/>
      <c r="LE71" s="1495"/>
    </row>
    <row r="72" spans="1:317">
      <c r="A72" s="1495"/>
      <c r="B72" s="418"/>
      <c r="C72" s="1495"/>
      <c r="D72" s="1495"/>
      <c r="E72" s="1495"/>
      <c r="F72" s="1495"/>
      <c r="G72" s="1495"/>
      <c r="H72" s="1495"/>
      <c r="I72" s="1495"/>
      <c r="J72" s="1495"/>
      <c r="K72" s="1495"/>
      <c r="L72" s="1495"/>
      <c r="M72" s="1495"/>
      <c r="N72" s="1495"/>
      <c r="O72" s="1495"/>
      <c r="P72" s="1495"/>
      <c r="Q72" s="1495"/>
      <c r="R72" s="1495"/>
      <c r="S72" s="1495"/>
      <c r="T72" s="1495"/>
      <c r="U72" s="1495"/>
      <c r="V72" s="1495"/>
      <c r="W72" s="1495"/>
      <c r="X72" s="1495"/>
      <c r="Y72" s="1495"/>
      <c r="Z72" s="1495"/>
      <c r="AA72" s="1495"/>
      <c r="AB72" s="1495"/>
      <c r="AC72" s="1495"/>
      <c r="AD72" s="1495"/>
      <c r="AE72" s="1495"/>
      <c r="AF72" s="1495"/>
      <c r="AG72" s="1495"/>
      <c r="AH72" s="1495"/>
      <c r="AI72" s="1495"/>
      <c r="AJ72" s="1495"/>
      <c r="AK72" s="1495"/>
      <c r="AL72" s="1495"/>
      <c r="AM72" s="1495"/>
      <c r="AN72" s="1495"/>
      <c r="AO72" s="1495"/>
      <c r="AP72" s="1495"/>
      <c r="AQ72" s="1495"/>
      <c r="AR72" s="1495"/>
      <c r="AS72" s="1495"/>
      <c r="AT72" s="1495"/>
      <c r="AU72" s="1495"/>
      <c r="AV72" s="1495"/>
      <c r="AW72" s="1495"/>
      <c r="AX72" s="1495"/>
      <c r="AY72" s="1495"/>
      <c r="AZ72" s="1495"/>
      <c r="BA72" s="1495"/>
      <c r="BB72" s="1495"/>
      <c r="BC72" s="1495"/>
      <c r="BD72" s="1495"/>
      <c r="BE72" s="1495"/>
      <c r="BF72" s="1495"/>
      <c r="BG72" s="1495"/>
      <c r="BH72" s="1495"/>
      <c r="BI72" s="1495"/>
      <c r="BJ72" s="1495"/>
      <c r="BK72" s="1495"/>
      <c r="BL72" s="1495"/>
      <c r="BM72" s="1495"/>
      <c r="BN72" s="1495"/>
      <c r="BO72" s="1495"/>
      <c r="BP72" s="418"/>
      <c r="BQ72" s="1495"/>
      <c r="BR72" s="1495"/>
      <c r="BS72" s="1495"/>
      <c r="BT72" s="1495"/>
      <c r="BU72" s="1495"/>
      <c r="BV72" s="1495"/>
      <c r="BW72" s="1495"/>
      <c r="BX72" s="1495"/>
      <c r="BY72" s="1495"/>
      <c r="BZ72" s="444"/>
      <c r="CA72" s="496"/>
      <c r="CB72" s="496"/>
      <c r="CC72" s="444"/>
      <c r="CD72" s="502"/>
      <c r="CE72" s="108"/>
      <c r="CF72" s="444"/>
      <c r="CG72" s="504"/>
      <c r="CH72" s="348"/>
      <c r="CI72" s="408"/>
      <c r="CJ72" s="1495"/>
      <c r="CK72" s="1495"/>
      <c r="CL72" s="1495"/>
      <c r="CM72" s="1495"/>
      <c r="CN72" s="1495"/>
      <c r="CO72" s="1495"/>
      <c r="CP72" s="1495"/>
      <c r="CQ72" s="1495"/>
      <c r="CR72" s="1495"/>
      <c r="CS72" s="1495"/>
      <c r="CT72" s="1495"/>
      <c r="CU72" s="1495"/>
      <c r="CV72" s="1495"/>
      <c r="CW72" s="1495"/>
      <c r="CX72" s="1495"/>
      <c r="CY72" s="1495"/>
      <c r="CZ72" s="1495"/>
      <c r="DA72" s="444"/>
      <c r="DB72" s="475"/>
      <c r="DC72" s="108"/>
      <c r="DD72" s="408"/>
      <c r="DE72" s="1495"/>
      <c r="DF72" s="444"/>
      <c r="DG72" s="475"/>
      <c r="DH72" s="407"/>
      <c r="DI72" s="407"/>
      <c r="DJ72" s="1495"/>
      <c r="DK72" s="1495"/>
      <c r="DL72" s="1495"/>
      <c r="DM72" s="1495"/>
      <c r="DN72" s="1495"/>
      <c r="DO72" s="1495"/>
      <c r="DP72" s="1495"/>
      <c r="DQ72" s="1495"/>
      <c r="DR72" s="1495"/>
      <c r="DS72" s="1495"/>
      <c r="DT72" s="1495"/>
      <c r="DU72" s="1495"/>
      <c r="DV72" s="1495"/>
      <c r="DW72" s="1495"/>
      <c r="DX72" s="1495"/>
      <c r="DY72" s="1495"/>
      <c r="DZ72" s="1495"/>
      <c r="EA72" s="1495"/>
      <c r="EB72" s="1495"/>
      <c r="EC72" s="1495"/>
      <c r="ED72" s="1495"/>
      <c r="EE72" s="1495"/>
      <c r="EF72" s="1495"/>
      <c r="EG72" s="1495"/>
      <c r="EH72" s="1495"/>
      <c r="EI72" s="1495"/>
      <c r="EJ72" s="1495"/>
      <c r="EK72" s="1495"/>
      <c r="EL72" s="407"/>
      <c r="EM72" s="1495"/>
      <c r="EN72" s="407"/>
      <c r="EO72" s="1495"/>
      <c r="EP72" s="1495"/>
      <c r="EQ72" s="1495"/>
      <c r="ER72" s="1495"/>
      <c r="ES72" s="1495"/>
      <c r="ET72" s="1495"/>
      <c r="EU72" s="1495"/>
      <c r="EV72" s="1495"/>
      <c r="EW72" s="1495"/>
      <c r="EX72" s="1495"/>
      <c r="EY72" s="1495"/>
      <c r="EZ72" s="1495"/>
      <c r="FA72" s="1495"/>
      <c r="FB72" s="1495"/>
      <c r="FC72" s="1495"/>
      <c r="FD72" s="1495"/>
      <c r="FE72" s="1495"/>
      <c r="FF72" s="1495"/>
      <c r="FG72" s="1495"/>
      <c r="FH72" s="1495"/>
      <c r="FI72" s="1495"/>
      <c r="FJ72" s="1495"/>
      <c r="FK72" s="1495"/>
      <c r="FL72" s="1495"/>
      <c r="FM72" s="1495"/>
      <c r="FN72" s="1495"/>
      <c r="FO72" s="1495"/>
      <c r="FP72" s="1495"/>
      <c r="FQ72" s="1495"/>
      <c r="FR72" s="1495"/>
      <c r="FS72" s="1495"/>
      <c r="FT72" s="1495"/>
      <c r="FU72" s="1495"/>
      <c r="FV72" s="1495"/>
      <c r="FW72" s="1495"/>
      <c r="FX72" s="1495"/>
      <c r="FY72" s="1495"/>
      <c r="FZ72" s="1495"/>
      <c r="GA72" s="1495"/>
      <c r="GB72" s="1495"/>
      <c r="GC72" s="1495"/>
      <c r="GD72" s="1495"/>
      <c r="GE72" s="1495"/>
      <c r="GF72" s="1495"/>
      <c r="GG72" s="1495"/>
      <c r="GH72" s="1495"/>
      <c r="GI72" s="1495"/>
      <c r="GJ72" s="1495"/>
      <c r="GK72" s="1495"/>
      <c r="GL72" s="1495"/>
      <c r="GM72" s="1495"/>
      <c r="GN72" s="1495"/>
      <c r="GO72" s="1495"/>
      <c r="GP72" s="1495"/>
      <c r="GQ72" s="1495"/>
      <c r="GR72" s="1495"/>
      <c r="GS72" s="1495"/>
      <c r="GT72" s="1495"/>
      <c r="GU72" s="1495"/>
      <c r="GV72" s="1495"/>
      <c r="GW72" s="1495"/>
      <c r="GX72" s="1495"/>
      <c r="GY72" s="1495"/>
      <c r="GZ72" s="1495"/>
      <c r="HA72" s="1495"/>
      <c r="HB72" s="1495"/>
      <c r="HC72" s="1495"/>
      <c r="HD72" s="1495"/>
      <c r="HE72" s="1495"/>
      <c r="HF72" s="1495"/>
      <c r="HG72" s="1495"/>
      <c r="HH72" s="1495"/>
      <c r="HI72" s="1495"/>
      <c r="HJ72" s="1495"/>
      <c r="HK72" s="1495"/>
      <c r="HL72" s="1495"/>
      <c r="HM72" s="1495"/>
      <c r="HN72" s="1495"/>
      <c r="HO72" s="1495"/>
      <c r="HP72" s="1495"/>
      <c r="HQ72" s="1495"/>
      <c r="HR72" s="1495"/>
      <c r="HS72" s="1495"/>
      <c r="HT72" s="1495"/>
      <c r="HU72" s="1495"/>
      <c r="HV72" s="1495"/>
      <c r="HW72" s="1495"/>
      <c r="HX72" s="1495"/>
      <c r="HY72" s="1495"/>
      <c r="HZ72" s="1495"/>
      <c r="IA72" s="1495"/>
      <c r="IB72" s="1495"/>
      <c r="IC72" s="1495"/>
      <c r="ID72" s="1495"/>
      <c r="IE72" s="1495"/>
      <c r="IF72" s="1495"/>
      <c r="IG72" s="1495"/>
      <c r="IH72" s="1495"/>
      <c r="II72" s="1495"/>
      <c r="IJ72" s="1495"/>
      <c r="IK72" s="1495"/>
      <c r="IL72" s="1495"/>
      <c r="IM72" s="1495"/>
      <c r="IN72" s="1495"/>
      <c r="IO72" s="1495"/>
      <c r="IP72" s="1495"/>
      <c r="IQ72" s="1495"/>
      <c r="IR72" s="1495"/>
      <c r="IS72" s="1495"/>
      <c r="IT72" s="1495"/>
      <c r="IU72" s="1495"/>
      <c r="IV72" s="1495"/>
      <c r="IW72" s="1495"/>
      <c r="IX72" s="1495"/>
      <c r="IY72" s="1495"/>
      <c r="IZ72" s="1495"/>
      <c r="JA72" s="1495"/>
      <c r="JB72" s="1495"/>
      <c r="JC72" s="1495"/>
      <c r="JD72" s="1495"/>
      <c r="JE72" s="1495"/>
      <c r="JF72" s="1495"/>
      <c r="JG72" s="1495"/>
      <c r="JH72" s="1495"/>
      <c r="JI72" s="1495"/>
      <c r="JJ72" s="1495"/>
      <c r="JK72" s="1495"/>
      <c r="JL72" s="1495"/>
      <c r="JM72" s="1495"/>
      <c r="JN72" s="1495"/>
      <c r="JO72" s="1495"/>
      <c r="JP72" s="1495"/>
      <c r="JQ72" s="1495"/>
      <c r="JR72" s="1495"/>
      <c r="JS72" s="1495"/>
      <c r="JT72" s="1495"/>
      <c r="JU72" s="1495"/>
      <c r="JV72" s="1495"/>
      <c r="JW72" s="1495"/>
      <c r="JX72" s="1495"/>
      <c r="JY72" s="1495"/>
      <c r="JZ72" s="1495"/>
      <c r="KA72" s="1495"/>
      <c r="KB72" s="1495"/>
      <c r="KC72" s="1495"/>
      <c r="KD72" s="1495"/>
      <c r="KE72" s="1495"/>
      <c r="KF72" s="1495"/>
      <c r="KG72" s="1495"/>
      <c r="KH72" s="1495"/>
      <c r="KI72" s="1495"/>
      <c r="KJ72" s="1495"/>
      <c r="KK72" s="1495"/>
      <c r="KL72" s="1495"/>
      <c r="KM72" s="1495"/>
      <c r="KN72" s="1495"/>
      <c r="KO72" s="1495"/>
      <c r="KP72" s="1495"/>
      <c r="KQ72" s="1495"/>
      <c r="KR72" s="1495"/>
      <c r="KS72" s="1495"/>
      <c r="KT72" s="1495"/>
      <c r="KU72" s="1495"/>
      <c r="KV72" s="1495"/>
      <c r="KW72" s="1495"/>
      <c r="KX72" s="1495"/>
      <c r="KY72" s="1495"/>
      <c r="KZ72" s="1495"/>
      <c r="LA72" s="1495"/>
      <c r="LB72" s="1495"/>
      <c r="LC72" s="1495"/>
      <c r="LD72" s="1495"/>
      <c r="LE72" s="1495"/>
    </row>
    <row r="73" spans="1:317">
      <c r="A73" s="1495"/>
      <c r="B73" s="418"/>
      <c r="C73" s="1495"/>
      <c r="D73" s="1495"/>
      <c r="E73" s="1495"/>
      <c r="F73" s="1495"/>
      <c r="G73" s="1495"/>
      <c r="H73" s="1495"/>
      <c r="I73" s="1495"/>
      <c r="J73" s="1495"/>
      <c r="K73" s="1495"/>
      <c r="L73" s="1495"/>
      <c r="M73" s="1495"/>
      <c r="N73" s="1495"/>
      <c r="O73" s="1495"/>
      <c r="P73" s="1495"/>
      <c r="Q73" s="1495"/>
      <c r="R73" s="1495"/>
      <c r="S73" s="1495"/>
      <c r="T73" s="1495"/>
      <c r="U73" s="1495"/>
      <c r="V73" s="1495"/>
      <c r="W73" s="1495"/>
      <c r="X73" s="1495"/>
      <c r="Y73" s="1495"/>
      <c r="Z73" s="1495"/>
      <c r="AA73" s="1495"/>
      <c r="AB73" s="1495"/>
      <c r="AC73" s="1495"/>
      <c r="AD73" s="1495"/>
      <c r="AE73" s="1495"/>
      <c r="AF73" s="1495"/>
      <c r="AG73" s="1495"/>
      <c r="AH73" s="1495"/>
      <c r="AI73" s="1495"/>
      <c r="AJ73" s="1495"/>
      <c r="AK73" s="1495"/>
      <c r="AL73" s="1495"/>
      <c r="AM73" s="1495"/>
      <c r="AN73" s="1495"/>
      <c r="AO73" s="1495"/>
      <c r="AP73" s="1495"/>
      <c r="AQ73" s="1495"/>
      <c r="AR73" s="1495"/>
      <c r="AS73" s="1495"/>
      <c r="AT73" s="1495"/>
      <c r="AU73" s="1495"/>
      <c r="AV73" s="1495"/>
      <c r="AW73" s="1495"/>
      <c r="AX73" s="1495"/>
      <c r="AY73" s="1495"/>
      <c r="AZ73" s="1495"/>
      <c r="BA73" s="1495"/>
      <c r="BB73" s="1495"/>
      <c r="BC73" s="1495"/>
      <c r="BD73" s="1495"/>
      <c r="BE73" s="1495"/>
      <c r="BF73" s="1495"/>
      <c r="BG73" s="1495"/>
      <c r="BH73" s="1495"/>
      <c r="BI73" s="1495"/>
      <c r="BJ73" s="1495"/>
      <c r="BK73" s="1495"/>
      <c r="BL73" s="1495"/>
      <c r="BM73" s="1495"/>
      <c r="BN73" s="1495"/>
      <c r="BO73" s="1495"/>
      <c r="BP73" s="418"/>
      <c r="BQ73" s="1495"/>
      <c r="BR73" s="1495"/>
      <c r="BS73" s="1495"/>
      <c r="BT73" s="1495"/>
      <c r="BU73" s="1495"/>
      <c r="BV73" s="1495"/>
      <c r="BW73" s="1495"/>
      <c r="BX73" s="1495"/>
      <c r="BY73" s="1495"/>
      <c r="BZ73" s="444"/>
      <c r="CA73" s="496"/>
      <c r="CB73" s="496"/>
      <c r="CC73" s="444"/>
      <c r="CD73" s="502"/>
      <c r="CE73" s="108"/>
      <c r="CF73" s="444"/>
      <c r="CG73" s="504"/>
      <c r="CH73" s="348"/>
      <c r="CI73" s="408"/>
      <c r="CJ73" s="1495"/>
      <c r="CK73" s="1495"/>
      <c r="CL73" s="1495"/>
      <c r="CM73" s="1495"/>
      <c r="CN73" s="1495"/>
      <c r="CO73" s="1495"/>
      <c r="CP73" s="1495"/>
      <c r="CQ73" s="1495"/>
      <c r="CR73" s="1495"/>
      <c r="CS73" s="1495"/>
      <c r="CT73" s="1495"/>
      <c r="CU73" s="1495"/>
      <c r="CV73" s="1495"/>
      <c r="CW73" s="1495"/>
      <c r="CX73" s="1495"/>
      <c r="CY73" s="1495"/>
      <c r="CZ73" s="1495"/>
      <c r="DA73" s="1495"/>
      <c r="DB73" s="1495"/>
      <c r="DC73" s="1495"/>
      <c r="DD73" s="1495"/>
      <c r="DE73" s="1495"/>
      <c r="DF73" s="444"/>
      <c r="DG73" s="475"/>
      <c r="DH73" s="407"/>
      <c r="DI73" s="407"/>
      <c r="DJ73" s="1495"/>
      <c r="DK73" s="1495"/>
      <c r="DL73" s="1495"/>
      <c r="DM73" s="1495"/>
      <c r="DN73" s="1495"/>
      <c r="DO73" s="1495"/>
      <c r="DP73" s="1495"/>
      <c r="DQ73" s="1495"/>
      <c r="DR73" s="1495"/>
      <c r="DS73" s="1495"/>
      <c r="DT73" s="1495"/>
      <c r="DU73" s="1495"/>
      <c r="DV73" s="1495"/>
      <c r="DW73" s="1495"/>
      <c r="DX73" s="1495"/>
      <c r="DY73" s="1495"/>
      <c r="DZ73" s="1495"/>
      <c r="EA73" s="1495"/>
      <c r="EB73" s="1495"/>
      <c r="EC73" s="1495"/>
      <c r="ED73" s="1495"/>
      <c r="EE73" s="1495"/>
      <c r="EF73" s="1495"/>
      <c r="EG73" s="1495"/>
      <c r="EH73" s="1495"/>
      <c r="EI73" s="1495"/>
      <c r="EJ73" s="1495"/>
      <c r="EK73" s="1495"/>
      <c r="EL73" s="407"/>
      <c r="EM73" s="1495"/>
      <c r="EN73" s="407"/>
      <c r="EO73" s="1495"/>
      <c r="EP73" s="1495"/>
      <c r="EQ73" s="1495"/>
      <c r="ER73" s="1495"/>
      <c r="ES73" s="1495"/>
      <c r="ET73" s="1495"/>
      <c r="EU73" s="1495"/>
      <c r="EV73" s="1495"/>
      <c r="EW73" s="1495"/>
      <c r="EX73" s="1495"/>
      <c r="EY73" s="1495"/>
      <c r="EZ73" s="1495"/>
      <c r="FA73" s="1495"/>
      <c r="FB73" s="1495"/>
      <c r="FC73" s="1495"/>
      <c r="FD73" s="1495"/>
      <c r="FE73" s="1495"/>
      <c r="FF73" s="1495"/>
      <c r="FG73" s="1495"/>
      <c r="FH73" s="1495"/>
      <c r="FI73" s="1495"/>
      <c r="FJ73" s="1495"/>
      <c r="FK73" s="1495"/>
      <c r="FL73" s="1495"/>
      <c r="FM73" s="1495"/>
      <c r="FN73" s="1495"/>
      <c r="FO73" s="1495"/>
      <c r="FP73" s="1495"/>
      <c r="FQ73" s="1495"/>
      <c r="FR73" s="1495"/>
      <c r="FS73" s="1495"/>
      <c r="FT73" s="1495"/>
      <c r="FU73" s="1495"/>
      <c r="FV73" s="1495"/>
      <c r="FW73" s="1495"/>
      <c r="FX73" s="1495"/>
      <c r="FY73" s="1495"/>
      <c r="FZ73" s="1495"/>
      <c r="GA73" s="1495"/>
      <c r="GB73" s="1495"/>
      <c r="GC73" s="1495"/>
      <c r="GD73" s="1495"/>
      <c r="GE73" s="1495"/>
      <c r="GF73" s="1495"/>
      <c r="GG73" s="1495"/>
      <c r="GH73" s="1495"/>
      <c r="GI73" s="1495"/>
      <c r="GJ73" s="1495"/>
      <c r="GK73" s="1495"/>
      <c r="GL73" s="1495"/>
      <c r="GM73" s="1495"/>
      <c r="GN73" s="1495"/>
      <c r="GO73" s="1495"/>
      <c r="GP73" s="1495"/>
      <c r="GQ73" s="1495"/>
      <c r="GR73" s="1495"/>
      <c r="GS73" s="1495"/>
      <c r="GT73" s="1495"/>
      <c r="GU73" s="1495"/>
      <c r="GV73" s="1495"/>
      <c r="GW73" s="1495"/>
      <c r="GX73" s="1495"/>
      <c r="GY73" s="1495"/>
      <c r="GZ73" s="1495"/>
      <c r="HA73" s="1495"/>
      <c r="HB73" s="1495"/>
      <c r="HC73" s="1495"/>
      <c r="HD73" s="1495"/>
      <c r="HE73" s="1495"/>
      <c r="HF73" s="1495"/>
      <c r="HG73" s="1495"/>
      <c r="HH73" s="1495"/>
      <c r="HI73" s="1495"/>
      <c r="HJ73" s="1495"/>
      <c r="HK73" s="1495"/>
      <c r="HL73" s="1495"/>
      <c r="HM73" s="1495"/>
      <c r="HN73" s="1495"/>
      <c r="HO73" s="1495"/>
      <c r="HP73" s="1495"/>
      <c r="HQ73" s="1495"/>
      <c r="HR73" s="1495"/>
      <c r="HS73" s="1495"/>
      <c r="HT73" s="1495"/>
      <c r="HU73" s="1495"/>
      <c r="HV73" s="1495"/>
      <c r="HW73" s="1495"/>
      <c r="HX73" s="1495"/>
      <c r="HY73" s="1495"/>
      <c r="HZ73" s="1495"/>
      <c r="IA73" s="1495"/>
      <c r="IB73" s="1495"/>
      <c r="IC73" s="1495"/>
      <c r="ID73" s="1495"/>
      <c r="IE73" s="1495"/>
      <c r="IF73" s="1495"/>
      <c r="IG73" s="1495"/>
      <c r="IH73" s="1495"/>
      <c r="II73" s="1495"/>
      <c r="IJ73" s="1495"/>
      <c r="IK73" s="1495"/>
      <c r="IL73" s="1495"/>
      <c r="IM73" s="1495"/>
      <c r="IN73" s="1495"/>
      <c r="IO73" s="1495"/>
      <c r="IP73" s="1495"/>
      <c r="IQ73" s="1495"/>
      <c r="IR73" s="1495"/>
      <c r="IS73" s="1495"/>
      <c r="IT73" s="1495"/>
      <c r="IU73" s="1495"/>
      <c r="IV73" s="1495"/>
      <c r="IW73" s="1495"/>
      <c r="IX73" s="1495"/>
      <c r="IY73" s="1495"/>
      <c r="IZ73" s="1495"/>
      <c r="JA73" s="1495"/>
      <c r="JB73" s="1495"/>
      <c r="JC73" s="1495"/>
      <c r="JD73" s="1495"/>
      <c r="JE73" s="1495"/>
      <c r="JF73" s="1495"/>
      <c r="JG73" s="1495"/>
      <c r="JH73" s="1495"/>
      <c r="JI73" s="1495"/>
      <c r="JJ73" s="1495"/>
      <c r="JK73" s="1495"/>
      <c r="JL73" s="1495"/>
      <c r="JM73" s="1495"/>
      <c r="JN73" s="1495"/>
      <c r="JO73" s="1495"/>
      <c r="JP73" s="1495"/>
      <c r="JQ73" s="1495"/>
      <c r="JR73" s="1495"/>
      <c r="JS73" s="1495"/>
      <c r="JT73" s="1495"/>
      <c r="JU73" s="1495"/>
      <c r="JV73" s="1495"/>
      <c r="JW73" s="1495"/>
      <c r="JX73" s="1495"/>
      <c r="JY73" s="1495"/>
      <c r="JZ73" s="1495"/>
      <c r="KA73" s="1495"/>
      <c r="KB73" s="1495"/>
      <c r="KC73" s="1495"/>
      <c r="KD73" s="1495"/>
      <c r="KE73" s="1495"/>
      <c r="KF73" s="1495"/>
      <c r="KG73" s="1495"/>
      <c r="KH73" s="1495"/>
      <c r="KI73" s="1495"/>
      <c r="KJ73" s="1495"/>
      <c r="KK73" s="1495"/>
      <c r="KL73" s="1495"/>
      <c r="KM73" s="1495"/>
      <c r="KN73" s="1495"/>
      <c r="KO73" s="1495"/>
      <c r="KP73" s="1495"/>
      <c r="KQ73" s="1495"/>
      <c r="KR73" s="1495"/>
      <c r="KS73" s="1495"/>
      <c r="KT73" s="1495"/>
      <c r="KU73" s="1495"/>
      <c r="KV73" s="1495"/>
      <c r="KW73" s="1495"/>
      <c r="KX73" s="1495"/>
      <c r="KY73" s="1495"/>
      <c r="KZ73" s="1495"/>
      <c r="LA73" s="1495"/>
      <c r="LB73" s="1495"/>
      <c r="LC73" s="1495"/>
      <c r="LD73" s="1495"/>
      <c r="LE73" s="1495"/>
    </row>
    <row r="74" spans="1:317">
      <c r="A74" s="1495"/>
      <c r="B74" s="418"/>
      <c r="C74" s="1495"/>
      <c r="D74" s="1495"/>
      <c r="E74" s="1495"/>
      <c r="F74" s="1495"/>
      <c r="G74" s="1495"/>
      <c r="H74" s="1495"/>
      <c r="I74" s="1495"/>
      <c r="J74" s="1495"/>
      <c r="K74" s="1495"/>
      <c r="L74" s="1495"/>
      <c r="M74" s="1495"/>
      <c r="N74" s="1495"/>
      <c r="O74" s="1495"/>
      <c r="P74" s="1495"/>
      <c r="Q74" s="1495"/>
      <c r="R74" s="1495"/>
      <c r="S74" s="1495"/>
      <c r="T74" s="1495"/>
      <c r="U74" s="1495"/>
      <c r="V74" s="1495"/>
      <c r="W74" s="1495"/>
      <c r="X74" s="1495"/>
      <c r="Y74" s="1495"/>
      <c r="Z74" s="1495"/>
      <c r="AA74" s="1495"/>
      <c r="AB74" s="1495"/>
      <c r="AC74" s="1495"/>
      <c r="AD74" s="1495"/>
      <c r="AE74" s="1495"/>
      <c r="AF74" s="1495"/>
      <c r="AG74" s="1495"/>
      <c r="AH74" s="1495"/>
      <c r="AI74" s="1495"/>
      <c r="AJ74" s="1495"/>
      <c r="AK74" s="1495"/>
      <c r="AL74" s="1495"/>
      <c r="AM74" s="1495"/>
      <c r="AN74" s="1495"/>
      <c r="AO74" s="1495"/>
      <c r="AP74" s="1495"/>
      <c r="AQ74" s="1495"/>
      <c r="AR74" s="1495"/>
      <c r="AS74" s="1495"/>
      <c r="AT74" s="1495"/>
      <c r="AU74" s="1495"/>
      <c r="AV74" s="1495"/>
      <c r="AW74" s="1495"/>
      <c r="AX74" s="1495"/>
      <c r="AY74" s="1495"/>
      <c r="AZ74" s="1495"/>
      <c r="BA74" s="1495"/>
      <c r="BB74" s="1495"/>
      <c r="BC74" s="1495"/>
      <c r="BD74" s="1495"/>
      <c r="BE74" s="1495"/>
      <c r="BF74" s="1495"/>
      <c r="BG74" s="1495"/>
      <c r="BH74" s="1495"/>
      <c r="BI74" s="1495"/>
      <c r="BJ74" s="1495"/>
      <c r="BK74" s="1495"/>
      <c r="BL74" s="1495"/>
      <c r="BM74" s="1495"/>
      <c r="BN74" s="1495"/>
      <c r="BO74" s="1495"/>
      <c r="BP74" s="418"/>
      <c r="BQ74" s="1495"/>
      <c r="BR74" s="1495"/>
      <c r="BS74" s="1495"/>
      <c r="BT74" s="1495"/>
      <c r="BU74" s="1495"/>
      <c r="BV74" s="1495"/>
      <c r="BW74" s="1495"/>
      <c r="BX74" s="1495"/>
      <c r="BY74" s="1495"/>
      <c r="BZ74" s="444"/>
      <c r="CA74" s="496"/>
      <c r="CB74" s="496"/>
      <c r="CC74" s="444"/>
      <c r="CD74" s="502"/>
      <c r="CE74" s="108"/>
      <c r="CF74" s="444"/>
      <c r="CG74" s="502"/>
      <c r="CH74" s="348"/>
      <c r="CI74" s="408"/>
      <c r="CJ74" s="1495"/>
      <c r="CK74" s="1495"/>
      <c r="CL74" s="1495"/>
      <c r="CM74" s="1495"/>
      <c r="CN74" s="1495"/>
      <c r="CO74" s="1495"/>
      <c r="CP74" s="1495"/>
      <c r="CQ74" s="1495"/>
      <c r="CR74" s="1495"/>
      <c r="CS74" s="1495"/>
      <c r="CT74" s="1495"/>
      <c r="CU74" s="1495"/>
      <c r="CV74" s="1495"/>
      <c r="CW74" s="1495"/>
      <c r="CX74" s="1495"/>
      <c r="CY74" s="1495"/>
      <c r="CZ74" s="1495"/>
      <c r="DA74" s="1495"/>
      <c r="DB74" s="1495"/>
      <c r="DC74" s="1495"/>
      <c r="DD74" s="1495"/>
      <c r="DE74" s="1495"/>
      <c r="DF74" s="444"/>
      <c r="DG74" s="475"/>
      <c r="DH74" s="407"/>
      <c r="DI74" s="407"/>
      <c r="DJ74" s="1495"/>
      <c r="DK74" s="1495"/>
      <c r="DL74" s="1495"/>
      <c r="DM74" s="1495"/>
      <c r="DN74" s="1495"/>
      <c r="DO74" s="1495"/>
      <c r="DP74" s="1495"/>
      <c r="DQ74" s="1495"/>
      <c r="DR74" s="1495"/>
      <c r="DS74" s="1495"/>
      <c r="DT74" s="1495"/>
      <c r="DU74" s="1495"/>
      <c r="DV74" s="1495"/>
      <c r="DW74" s="1495"/>
      <c r="DX74" s="1495"/>
      <c r="DY74" s="1495"/>
      <c r="DZ74" s="1495"/>
      <c r="EA74" s="1495"/>
      <c r="EB74" s="1495"/>
      <c r="EC74" s="1495"/>
      <c r="ED74" s="1495"/>
      <c r="EE74" s="1495"/>
      <c r="EF74" s="1495"/>
      <c r="EG74" s="1495"/>
      <c r="EH74" s="1495"/>
      <c r="EI74" s="1495"/>
      <c r="EJ74" s="1495"/>
      <c r="EK74" s="1495"/>
      <c r="EL74" s="407"/>
      <c r="EM74" s="1495"/>
      <c r="EN74" s="407"/>
      <c r="EO74" s="1495"/>
      <c r="EP74" s="1495"/>
      <c r="EQ74" s="1495"/>
      <c r="ER74" s="1495"/>
      <c r="ES74" s="1495"/>
      <c r="ET74" s="1495"/>
      <c r="EU74" s="1495"/>
      <c r="EV74" s="1495"/>
      <c r="EW74" s="1495"/>
      <c r="EX74" s="1495"/>
      <c r="EY74" s="1495"/>
      <c r="EZ74" s="1495"/>
      <c r="FA74" s="1495"/>
      <c r="FB74" s="1495"/>
      <c r="FC74" s="1495"/>
      <c r="FD74" s="1495"/>
      <c r="FE74" s="1495"/>
      <c r="FF74" s="1495"/>
      <c r="FG74" s="1495"/>
      <c r="FH74" s="1495"/>
      <c r="FI74" s="1495"/>
      <c r="FJ74" s="1495"/>
      <c r="FK74" s="1495"/>
      <c r="FL74" s="1495"/>
      <c r="FM74" s="1495"/>
      <c r="FN74" s="1495"/>
      <c r="FO74" s="1495"/>
      <c r="FP74" s="1495"/>
      <c r="FQ74" s="1495"/>
      <c r="FR74" s="1495"/>
      <c r="FS74" s="1495"/>
      <c r="FT74" s="1495"/>
      <c r="FU74" s="1495"/>
      <c r="FV74" s="1495"/>
      <c r="FW74" s="1495"/>
      <c r="FX74" s="1495"/>
      <c r="FY74" s="1495"/>
      <c r="FZ74" s="1495"/>
      <c r="GA74" s="1495"/>
      <c r="GB74" s="1495"/>
      <c r="GC74" s="1495"/>
      <c r="GD74" s="1495"/>
      <c r="GE74" s="1495"/>
      <c r="GF74" s="1495"/>
      <c r="GG74" s="1495"/>
      <c r="GH74" s="1495"/>
      <c r="GI74" s="1495"/>
      <c r="GJ74" s="1495"/>
      <c r="GK74" s="1495"/>
      <c r="GL74" s="1495"/>
      <c r="GM74" s="1495"/>
      <c r="GN74" s="1495"/>
      <c r="GO74" s="1495"/>
      <c r="GP74" s="1495"/>
      <c r="GQ74" s="1495"/>
      <c r="GR74" s="1495"/>
      <c r="GS74" s="1495"/>
      <c r="GT74" s="1495"/>
      <c r="GU74" s="1495"/>
      <c r="GV74" s="1495"/>
      <c r="GW74" s="1495"/>
      <c r="GX74" s="1495"/>
      <c r="GY74" s="1495"/>
      <c r="GZ74" s="1495"/>
      <c r="HA74" s="1495"/>
      <c r="HB74" s="1495"/>
      <c r="HC74" s="1495"/>
      <c r="HD74" s="1495"/>
      <c r="HE74" s="1495"/>
      <c r="HF74" s="1495"/>
      <c r="HG74" s="1495"/>
      <c r="HH74" s="1495"/>
      <c r="HI74" s="1495"/>
      <c r="HJ74" s="1495"/>
      <c r="HK74" s="1495"/>
      <c r="HL74" s="1495"/>
      <c r="HM74" s="1495"/>
      <c r="HN74" s="1495"/>
      <c r="HO74" s="1495"/>
      <c r="HP74" s="1495"/>
      <c r="HQ74" s="1495"/>
      <c r="HR74" s="1495"/>
      <c r="HS74" s="1495"/>
      <c r="HT74" s="1495"/>
      <c r="HU74" s="1495"/>
      <c r="HV74" s="1495"/>
      <c r="HW74" s="1495"/>
      <c r="HX74" s="1495"/>
      <c r="HY74" s="1495"/>
      <c r="HZ74" s="1495"/>
      <c r="IA74" s="1495"/>
      <c r="IB74" s="1495"/>
      <c r="IC74" s="1495"/>
      <c r="ID74" s="1495"/>
      <c r="IE74" s="1495"/>
      <c r="IF74" s="1495"/>
      <c r="IG74" s="1495"/>
      <c r="IH74" s="1495"/>
      <c r="II74" s="1495"/>
      <c r="IJ74" s="1495"/>
      <c r="IK74" s="1495"/>
      <c r="IL74" s="1495"/>
      <c r="IM74" s="1495"/>
      <c r="IN74" s="1495"/>
      <c r="IO74" s="1495"/>
      <c r="IP74" s="1495"/>
      <c r="IQ74" s="1495"/>
      <c r="IR74" s="1495"/>
      <c r="IS74" s="1495"/>
      <c r="IT74" s="1495"/>
      <c r="IU74" s="1495"/>
      <c r="IV74" s="1495"/>
      <c r="IW74" s="1495"/>
      <c r="IX74" s="1495"/>
      <c r="IY74" s="1495"/>
      <c r="IZ74" s="1495"/>
      <c r="JA74" s="1495"/>
      <c r="JB74" s="1495"/>
      <c r="JC74" s="1495"/>
      <c r="JD74" s="1495"/>
      <c r="JE74" s="1495"/>
      <c r="JF74" s="1495"/>
      <c r="JG74" s="1495"/>
      <c r="JH74" s="1495"/>
      <c r="JI74" s="1495"/>
      <c r="JJ74" s="1495"/>
      <c r="JK74" s="1495"/>
      <c r="JL74" s="1495"/>
      <c r="JM74" s="1495"/>
      <c r="JN74" s="1495"/>
      <c r="JO74" s="1495"/>
      <c r="JP74" s="1495"/>
      <c r="JQ74" s="1495"/>
      <c r="JR74" s="1495"/>
      <c r="JS74" s="1495"/>
      <c r="JT74" s="1495"/>
      <c r="JU74" s="1495"/>
      <c r="JV74" s="1495"/>
      <c r="JW74" s="1495"/>
      <c r="JX74" s="1495"/>
      <c r="JY74" s="1495"/>
      <c r="JZ74" s="1495"/>
      <c r="KA74" s="1495"/>
      <c r="KB74" s="1495"/>
      <c r="KC74" s="1495"/>
      <c r="KD74" s="1495"/>
      <c r="KE74" s="1495"/>
      <c r="KF74" s="1495"/>
      <c r="KG74" s="1495"/>
      <c r="KH74" s="1495"/>
      <c r="KI74" s="1495"/>
      <c r="KJ74" s="1495"/>
      <c r="KK74" s="1495"/>
      <c r="KL74" s="1495"/>
      <c r="KM74" s="1495"/>
      <c r="KN74" s="1495"/>
      <c r="KO74" s="1495"/>
      <c r="KP74" s="1495"/>
      <c r="KQ74" s="1495"/>
      <c r="KR74" s="1495"/>
      <c r="KS74" s="1495"/>
      <c r="KT74" s="1495"/>
      <c r="KU74" s="1495"/>
      <c r="KV74" s="1495"/>
      <c r="KW74" s="1495"/>
      <c r="KX74" s="1495"/>
      <c r="KY74" s="1495"/>
      <c r="KZ74" s="1495"/>
      <c r="LA74" s="1495"/>
      <c r="LB74" s="1495"/>
      <c r="LC74" s="1495"/>
      <c r="LD74" s="1495"/>
      <c r="LE74" s="1495"/>
    </row>
    <row r="75" spans="1:317">
      <c r="A75" s="1495"/>
      <c r="B75" s="418"/>
      <c r="C75" s="1495"/>
      <c r="D75" s="1495"/>
      <c r="E75" s="1495"/>
      <c r="F75" s="1495"/>
      <c r="G75" s="1495"/>
      <c r="H75" s="1495"/>
      <c r="I75" s="1495"/>
      <c r="J75" s="1495"/>
      <c r="K75" s="1495"/>
      <c r="L75" s="1495"/>
      <c r="M75" s="1495"/>
      <c r="N75" s="1495"/>
      <c r="O75" s="1495"/>
      <c r="P75" s="1495"/>
      <c r="Q75" s="1495"/>
      <c r="R75" s="1495"/>
      <c r="S75" s="1495"/>
      <c r="T75" s="1495"/>
      <c r="U75" s="1495"/>
      <c r="V75" s="1495"/>
      <c r="W75" s="1495"/>
      <c r="X75" s="1495"/>
      <c r="Y75" s="1495"/>
      <c r="Z75" s="1495"/>
      <c r="AA75" s="1495"/>
      <c r="AB75" s="1495"/>
      <c r="AC75" s="1495"/>
      <c r="AD75" s="1495"/>
      <c r="AE75" s="1495"/>
      <c r="AF75" s="1495"/>
      <c r="AG75" s="1495"/>
      <c r="AH75" s="1495"/>
      <c r="AI75" s="1495"/>
      <c r="AJ75" s="1495"/>
      <c r="AK75" s="1495"/>
      <c r="AL75" s="1495"/>
      <c r="AM75" s="1495"/>
      <c r="AN75" s="1495"/>
      <c r="AO75" s="1495"/>
      <c r="AP75" s="1495"/>
      <c r="AQ75" s="1495"/>
      <c r="AR75" s="1495"/>
      <c r="AS75" s="1495"/>
      <c r="AT75" s="1495"/>
      <c r="AU75" s="1495"/>
      <c r="AV75" s="1495"/>
      <c r="AW75" s="1495"/>
      <c r="AX75" s="1495"/>
      <c r="AY75" s="1495"/>
      <c r="AZ75" s="1495"/>
      <c r="BA75" s="1495"/>
      <c r="BB75" s="1495"/>
      <c r="BC75" s="1495"/>
      <c r="BD75" s="1495"/>
      <c r="BE75" s="1495"/>
      <c r="BF75" s="1495"/>
      <c r="BG75" s="1495"/>
      <c r="BH75" s="1495"/>
      <c r="BI75" s="1495"/>
      <c r="BJ75" s="1495"/>
      <c r="BK75" s="1495"/>
      <c r="BL75" s="1495"/>
      <c r="BM75" s="1495"/>
      <c r="BN75" s="1495"/>
      <c r="BO75" s="1495"/>
      <c r="BP75" s="418"/>
      <c r="BQ75" s="1495"/>
      <c r="BR75" s="1495"/>
      <c r="BS75" s="1495"/>
      <c r="BT75" s="1495"/>
      <c r="BU75" s="1495"/>
      <c r="BV75" s="1495"/>
      <c r="BW75" s="1495"/>
      <c r="BX75" s="1495"/>
      <c r="BY75" s="1495"/>
      <c r="BZ75" s="444"/>
      <c r="CA75" s="496"/>
      <c r="CB75" s="496"/>
      <c r="CC75" s="444"/>
      <c r="CD75" s="502"/>
      <c r="CE75" s="108"/>
      <c r="CF75" s="408"/>
      <c r="CG75" s="1495"/>
      <c r="CH75" s="1495"/>
      <c r="CI75" s="1495"/>
      <c r="CJ75" s="1495"/>
      <c r="CK75" s="1495"/>
      <c r="CL75" s="1495"/>
      <c r="CM75" s="1495"/>
      <c r="CN75" s="1495"/>
      <c r="CO75" s="1495"/>
      <c r="CP75" s="1495"/>
      <c r="CQ75" s="1495"/>
      <c r="CR75" s="1495"/>
      <c r="CS75" s="1495"/>
      <c r="CT75" s="1495"/>
      <c r="CU75" s="1495"/>
      <c r="CV75" s="1495"/>
      <c r="CW75" s="1495"/>
      <c r="CX75" s="1495"/>
      <c r="CY75" s="1495"/>
      <c r="CZ75" s="1495"/>
      <c r="DA75" s="1495"/>
      <c r="DB75" s="1495"/>
      <c r="DC75" s="1495"/>
      <c r="DD75" s="1495"/>
      <c r="DE75" s="1495"/>
      <c r="DF75" s="444"/>
      <c r="DG75" s="475"/>
      <c r="DH75" s="407"/>
      <c r="DI75" s="407"/>
      <c r="DJ75" s="407"/>
      <c r="DK75" s="1495"/>
      <c r="DL75" s="1495"/>
      <c r="DM75" s="1495"/>
      <c r="DN75" s="1495"/>
      <c r="DO75" s="1495"/>
      <c r="DP75" s="1495"/>
      <c r="DQ75" s="1495"/>
      <c r="DR75" s="1495"/>
      <c r="DS75" s="1495"/>
      <c r="DT75" s="1495"/>
      <c r="DU75" s="1495"/>
      <c r="DV75" s="1495"/>
      <c r="DW75" s="1495"/>
      <c r="DX75" s="1495"/>
      <c r="DY75" s="1495"/>
      <c r="DZ75" s="1495"/>
      <c r="EA75" s="1495"/>
      <c r="EB75" s="1495"/>
      <c r="EC75" s="1495"/>
      <c r="ED75" s="1495"/>
      <c r="EE75" s="1495"/>
      <c r="EF75" s="1495"/>
      <c r="EG75" s="1495"/>
      <c r="EH75" s="1495"/>
      <c r="EI75" s="1495"/>
      <c r="EJ75" s="1495"/>
      <c r="EK75" s="1495"/>
      <c r="EL75" s="407"/>
      <c r="EM75" s="1495"/>
      <c r="EN75" s="407"/>
      <c r="EO75" s="1495"/>
      <c r="EP75" s="1495"/>
      <c r="EQ75" s="1495"/>
      <c r="ER75" s="1495"/>
      <c r="ES75" s="1495"/>
      <c r="ET75" s="1495"/>
      <c r="EU75" s="1495"/>
      <c r="EV75" s="1495"/>
      <c r="EW75" s="1495"/>
      <c r="EX75" s="1495"/>
      <c r="EY75" s="1495"/>
      <c r="EZ75" s="1495"/>
      <c r="FA75" s="1495"/>
      <c r="FB75" s="1495"/>
      <c r="FC75" s="1495"/>
      <c r="FD75" s="1495"/>
      <c r="FE75" s="1495"/>
      <c r="FF75" s="1495"/>
      <c r="FG75" s="1495"/>
      <c r="FH75" s="1495"/>
      <c r="FI75" s="1495"/>
      <c r="FJ75" s="1495"/>
      <c r="FK75" s="1495"/>
      <c r="FL75" s="1495"/>
      <c r="FM75" s="1495"/>
      <c r="FN75" s="1495"/>
      <c r="FO75" s="1495"/>
      <c r="FP75" s="1495"/>
      <c r="FQ75" s="1495"/>
      <c r="FR75" s="1495"/>
      <c r="FS75" s="1495"/>
      <c r="FT75" s="1495"/>
      <c r="FU75" s="1495"/>
      <c r="FV75" s="1495"/>
      <c r="FW75" s="1495"/>
      <c r="FX75" s="1495"/>
      <c r="FY75" s="1495"/>
      <c r="FZ75" s="1495"/>
      <c r="GA75" s="1495"/>
      <c r="GB75" s="1495"/>
      <c r="GC75" s="1495"/>
      <c r="GD75" s="1495"/>
      <c r="GE75" s="1495"/>
      <c r="GF75" s="1495"/>
      <c r="GG75" s="1495"/>
      <c r="GH75" s="1495"/>
      <c r="GI75" s="1495"/>
      <c r="GJ75" s="1495"/>
      <c r="GK75" s="1495"/>
      <c r="GL75" s="1495"/>
      <c r="GM75" s="1495"/>
      <c r="GN75" s="1495"/>
      <c r="GO75" s="1495"/>
      <c r="GP75" s="1495"/>
      <c r="GQ75" s="1495"/>
      <c r="GR75" s="1495"/>
      <c r="GS75" s="1495"/>
      <c r="GT75" s="1495"/>
      <c r="GU75" s="1495"/>
      <c r="GV75" s="1495"/>
      <c r="GW75" s="1495"/>
      <c r="GX75" s="1495"/>
      <c r="GY75" s="1495"/>
      <c r="GZ75" s="1495"/>
      <c r="HA75" s="1495"/>
      <c r="HB75" s="1495"/>
      <c r="HC75" s="1495"/>
      <c r="HD75" s="1495"/>
      <c r="HE75" s="1495"/>
      <c r="HF75" s="1495"/>
      <c r="HG75" s="1495"/>
      <c r="HH75" s="1495"/>
      <c r="HI75" s="1495"/>
      <c r="HJ75" s="1495"/>
      <c r="HK75" s="1495"/>
      <c r="HL75" s="1495"/>
      <c r="HM75" s="1495"/>
      <c r="HN75" s="1495"/>
      <c r="HO75" s="1495"/>
      <c r="HP75" s="1495"/>
      <c r="HQ75" s="1495"/>
      <c r="HR75" s="1495"/>
      <c r="HS75" s="1495"/>
      <c r="HT75" s="1495"/>
      <c r="HU75" s="1495"/>
      <c r="HV75" s="1495"/>
      <c r="HW75" s="1495"/>
      <c r="HX75" s="1495"/>
      <c r="HY75" s="1495"/>
      <c r="HZ75" s="1495"/>
      <c r="IA75" s="1495"/>
      <c r="IB75" s="1495"/>
      <c r="IC75" s="1495"/>
      <c r="ID75" s="1495"/>
      <c r="IE75" s="1495"/>
      <c r="IF75" s="1495"/>
      <c r="IG75" s="1495"/>
      <c r="IH75" s="1495"/>
      <c r="II75" s="1495"/>
      <c r="IJ75" s="1495"/>
      <c r="IK75" s="1495"/>
      <c r="IL75" s="1495"/>
      <c r="IM75" s="1495"/>
      <c r="IN75" s="1495"/>
      <c r="IO75" s="1495"/>
      <c r="IP75" s="1495"/>
      <c r="IQ75" s="1495"/>
      <c r="IR75" s="1495"/>
      <c r="IS75" s="1495"/>
      <c r="IT75" s="1495"/>
      <c r="IU75" s="1495"/>
      <c r="IV75" s="1495"/>
      <c r="IW75" s="1495"/>
      <c r="IX75" s="1495"/>
      <c r="IY75" s="1495"/>
      <c r="IZ75" s="1495"/>
      <c r="JA75" s="1495"/>
      <c r="JB75" s="1495"/>
      <c r="JC75" s="1495"/>
      <c r="JD75" s="1495"/>
      <c r="JE75" s="1495"/>
      <c r="JF75" s="1495"/>
      <c r="JG75" s="1495"/>
      <c r="JH75" s="1495"/>
      <c r="JI75" s="1495"/>
      <c r="JJ75" s="1495"/>
      <c r="JK75" s="1495"/>
      <c r="JL75" s="1495"/>
      <c r="JM75" s="1495"/>
      <c r="JN75" s="1495"/>
      <c r="JO75" s="1495"/>
      <c r="JP75" s="1495"/>
      <c r="JQ75" s="1495"/>
      <c r="JR75" s="1495"/>
      <c r="JS75" s="1495"/>
      <c r="JT75" s="1495"/>
      <c r="JU75" s="1495"/>
      <c r="JV75" s="1495"/>
      <c r="JW75" s="1495"/>
      <c r="JX75" s="1495"/>
      <c r="JY75" s="1495"/>
      <c r="JZ75" s="1495"/>
      <c r="KA75" s="1495"/>
      <c r="KB75" s="1495"/>
      <c r="KC75" s="1495"/>
      <c r="KD75" s="1495"/>
      <c r="KE75" s="1495"/>
      <c r="KF75" s="1495"/>
      <c r="KG75" s="1495"/>
      <c r="KH75" s="1495"/>
      <c r="KI75" s="1495"/>
      <c r="KJ75" s="1495"/>
      <c r="KK75" s="1495"/>
      <c r="KL75" s="1495"/>
      <c r="KM75" s="1495"/>
      <c r="KN75" s="1495"/>
      <c r="KO75" s="1495"/>
      <c r="KP75" s="1495"/>
      <c r="KQ75" s="1495"/>
      <c r="KR75" s="1495"/>
      <c r="KS75" s="1495"/>
      <c r="KT75" s="1495"/>
      <c r="KU75" s="1495"/>
      <c r="KV75" s="1495"/>
      <c r="KW75" s="1495"/>
      <c r="KX75" s="1495"/>
      <c r="KY75" s="1495"/>
      <c r="KZ75" s="1495"/>
      <c r="LA75" s="1495"/>
      <c r="LB75" s="1495"/>
      <c r="LC75" s="1495"/>
      <c r="LD75" s="1495"/>
      <c r="LE75" s="1495"/>
    </row>
    <row r="76" spans="1:317">
      <c r="A76" s="1495"/>
      <c r="B76" s="418"/>
      <c r="C76" s="1495"/>
      <c r="D76" s="1495"/>
      <c r="E76" s="1495"/>
      <c r="F76" s="1495"/>
      <c r="G76" s="1495"/>
      <c r="H76" s="1495"/>
      <c r="I76" s="1495"/>
      <c r="J76" s="1495"/>
      <c r="K76" s="1495"/>
      <c r="L76" s="1495"/>
      <c r="M76" s="1495"/>
      <c r="N76" s="1495"/>
      <c r="O76" s="1495"/>
      <c r="P76" s="1495"/>
      <c r="Q76" s="1495"/>
      <c r="R76" s="1495"/>
      <c r="S76" s="1495"/>
      <c r="T76" s="1495"/>
      <c r="U76" s="1495"/>
      <c r="V76" s="1495"/>
      <c r="W76" s="1495"/>
      <c r="X76" s="1495"/>
      <c r="Y76" s="1495"/>
      <c r="Z76" s="1495"/>
      <c r="AA76" s="1495"/>
      <c r="AB76" s="1495"/>
      <c r="AC76" s="1495"/>
      <c r="AD76" s="1495"/>
      <c r="AE76" s="1495"/>
      <c r="AF76" s="1495"/>
      <c r="AG76" s="1495"/>
      <c r="AH76" s="1495"/>
      <c r="AI76" s="1495"/>
      <c r="AJ76" s="1495"/>
      <c r="AK76" s="1495"/>
      <c r="AL76" s="1495"/>
      <c r="AM76" s="1495"/>
      <c r="AN76" s="1495"/>
      <c r="AO76" s="1495"/>
      <c r="AP76" s="1495"/>
      <c r="AQ76" s="1495"/>
      <c r="AR76" s="1495"/>
      <c r="AS76" s="1495"/>
      <c r="AT76" s="1495"/>
      <c r="AU76" s="1495"/>
      <c r="AV76" s="1495"/>
      <c r="AW76" s="1495"/>
      <c r="AX76" s="1495"/>
      <c r="AY76" s="1495"/>
      <c r="AZ76" s="1495"/>
      <c r="BA76" s="1495"/>
      <c r="BB76" s="1495"/>
      <c r="BC76" s="1495"/>
      <c r="BD76" s="1495"/>
      <c r="BE76" s="1495"/>
      <c r="BF76" s="1495"/>
      <c r="BG76" s="1495"/>
      <c r="BH76" s="1495"/>
      <c r="BI76" s="1495"/>
      <c r="BJ76" s="1495"/>
      <c r="BK76" s="1495"/>
      <c r="BL76" s="1495"/>
      <c r="BM76" s="1495"/>
      <c r="BN76" s="1495"/>
      <c r="BO76" s="1495"/>
      <c r="BP76" s="418"/>
      <c r="BQ76" s="1495"/>
      <c r="BR76" s="1495"/>
      <c r="BS76" s="1495"/>
      <c r="BT76" s="1495"/>
      <c r="BU76" s="1495"/>
      <c r="BV76" s="1495"/>
      <c r="BW76" s="1495"/>
      <c r="BX76" s="1495"/>
      <c r="BY76" s="1495"/>
      <c r="BZ76" s="444"/>
      <c r="CA76" s="496"/>
      <c r="CB76" s="496"/>
      <c r="CC76" s="444"/>
      <c r="CD76" s="502"/>
      <c r="CE76" s="108"/>
      <c r="CF76" s="408"/>
      <c r="CG76" s="1495"/>
      <c r="CH76" s="1495"/>
      <c r="CI76" s="1495"/>
      <c r="CJ76" s="1495"/>
      <c r="CK76" s="1495"/>
      <c r="CL76" s="1495"/>
      <c r="CM76" s="1495"/>
      <c r="CN76" s="1495"/>
      <c r="CO76" s="1495"/>
      <c r="CP76" s="1495"/>
      <c r="CQ76" s="1495"/>
      <c r="CR76" s="1495"/>
      <c r="CS76" s="1495"/>
      <c r="CT76" s="1495"/>
      <c r="CU76" s="1495"/>
      <c r="CV76" s="1495"/>
      <c r="CW76" s="1495"/>
      <c r="CX76" s="1495"/>
      <c r="CY76" s="1495"/>
      <c r="CZ76" s="1495"/>
      <c r="DA76" s="1495"/>
      <c r="DB76" s="1495"/>
      <c r="DC76" s="1495"/>
      <c r="DD76" s="1495"/>
      <c r="DE76" s="1495"/>
      <c r="DF76" s="444"/>
      <c r="DG76" s="475"/>
      <c r="DH76" s="407"/>
      <c r="DI76" s="407"/>
      <c r="DJ76" s="1495"/>
      <c r="DK76" s="1495"/>
      <c r="DL76" s="1495"/>
      <c r="DM76" s="1495"/>
      <c r="DN76" s="1495"/>
      <c r="DO76" s="1495"/>
      <c r="DP76" s="1495"/>
      <c r="DQ76" s="1495"/>
      <c r="DR76" s="1495"/>
      <c r="DS76" s="1495"/>
      <c r="DT76" s="1495"/>
      <c r="DU76" s="1495"/>
      <c r="DV76" s="1495"/>
      <c r="DW76" s="1495"/>
      <c r="DX76" s="1495"/>
      <c r="DY76" s="1495"/>
      <c r="DZ76" s="1495"/>
      <c r="EA76" s="1495"/>
      <c r="EB76" s="1495"/>
      <c r="EC76" s="1495"/>
      <c r="ED76" s="1495"/>
      <c r="EE76" s="1495"/>
      <c r="EF76" s="1495"/>
      <c r="EG76" s="1495"/>
      <c r="EH76" s="1495"/>
      <c r="EI76" s="1495"/>
      <c r="EJ76" s="1495"/>
      <c r="EK76" s="1495"/>
      <c r="EL76" s="407"/>
      <c r="EM76" s="1495"/>
      <c r="EN76" s="407"/>
      <c r="EO76" s="1495"/>
      <c r="EP76" s="1495"/>
      <c r="EQ76" s="1495"/>
      <c r="ER76" s="1495"/>
      <c r="ES76" s="1495"/>
      <c r="ET76" s="1495"/>
      <c r="EU76" s="1495"/>
      <c r="EV76" s="1495"/>
      <c r="EW76" s="1495"/>
      <c r="EX76" s="1495"/>
      <c r="EY76" s="1495"/>
      <c r="EZ76" s="1495"/>
      <c r="FA76" s="1495"/>
      <c r="FB76" s="1495"/>
      <c r="FC76" s="1495"/>
      <c r="FD76" s="1495"/>
      <c r="FE76" s="1495"/>
      <c r="FF76" s="1495"/>
      <c r="FG76" s="1495"/>
      <c r="FH76" s="1495"/>
      <c r="FI76" s="1495"/>
      <c r="FJ76" s="1495"/>
      <c r="FK76" s="1495"/>
      <c r="FL76" s="1495"/>
      <c r="FM76" s="1495"/>
      <c r="FN76" s="1495"/>
      <c r="FO76" s="1495"/>
      <c r="FP76" s="1495"/>
      <c r="FQ76" s="1495"/>
      <c r="FR76" s="1495"/>
      <c r="FS76" s="1495"/>
      <c r="FT76" s="1495"/>
      <c r="FU76" s="1495"/>
      <c r="FV76" s="1495"/>
      <c r="FW76" s="1495"/>
      <c r="FX76" s="1495"/>
      <c r="FY76" s="1495"/>
      <c r="FZ76" s="1495"/>
      <c r="GA76" s="1495"/>
      <c r="GB76" s="1495"/>
      <c r="GC76" s="1495"/>
      <c r="GD76" s="1495"/>
      <c r="GE76" s="1495"/>
      <c r="GF76" s="1495"/>
      <c r="GG76" s="1495"/>
      <c r="GH76" s="1495"/>
      <c r="GI76" s="1495"/>
      <c r="GJ76" s="1495"/>
      <c r="GK76" s="1495"/>
      <c r="GL76" s="1495"/>
      <c r="GM76" s="1495"/>
      <c r="GN76" s="1495"/>
      <c r="GO76" s="1495"/>
      <c r="GP76" s="1495"/>
      <c r="GQ76" s="1495"/>
      <c r="GR76" s="1495"/>
      <c r="GS76" s="1495"/>
      <c r="GT76" s="1495"/>
      <c r="GU76" s="1495"/>
      <c r="GV76" s="1495"/>
      <c r="GW76" s="1495"/>
      <c r="GX76" s="1495"/>
      <c r="GY76" s="1495"/>
      <c r="GZ76" s="1495"/>
      <c r="HA76" s="1495"/>
      <c r="HB76" s="1495"/>
      <c r="HC76" s="1495"/>
      <c r="HD76" s="1495"/>
      <c r="HE76" s="1495"/>
      <c r="HF76" s="1495"/>
      <c r="HG76" s="1495"/>
      <c r="HH76" s="1495"/>
      <c r="HI76" s="1495"/>
      <c r="HJ76" s="1495"/>
      <c r="HK76" s="1495"/>
      <c r="HL76" s="1495"/>
      <c r="HM76" s="1495"/>
      <c r="HN76" s="1495"/>
      <c r="HO76" s="1495"/>
      <c r="HP76" s="1495"/>
      <c r="HQ76" s="1495"/>
      <c r="HR76" s="1495"/>
      <c r="HS76" s="1495"/>
      <c r="HT76" s="1495"/>
      <c r="HU76" s="1495"/>
      <c r="HV76" s="1495"/>
      <c r="HW76" s="1495"/>
      <c r="HX76" s="1495"/>
      <c r="HY76" s="1495"/>
      <c r="HZ76" s="1495"/>
      <c r="IA76" s="1495"/>
      <c r="IB76" s="1495"/>
      <c r="IC76" s="1495"/>
      <c r="ID76" s="1495"/>
      <c r="IE76" s="1495"/>
      <c r="IF76" s="1495"/>
      <c r="IG76" s="1495"/>
      <c r="IH76" s="1495"/>
      <c r="II76" s="1495"/>
      <c r="IJ76" s="1495"/>
      <c r="IK76" s="1495"/>
      <c r="IL76" s="1495"/>
      <c r="IM76" s="1495"/>
      <c r="IN76" s="1495"/>
      <c r="IO76" s="1495"/>
      <c r="IP76" s="1495"/>
      <c r="IQ76" s="1495"/>
      <c r="IR76" s="1495"/>
      <c r="IS76" s="1495"/>
      <c r="IT76" s="1495"/>
      <c r="IU76" s="1495"/>
      <c r="IV76" s="1495"/>
      <c r="IW76" s="1495"/>
      <c r="IX76" s="1495"/>
      <c r="IY76" s="1495"/>
      <c r="IZ76" s="1495"/>
      <c r="JA76" s="1495"/>
      <c r="JB76" s="1495"/>
      <c r="JC76" s="1495"/>
      <c r="JD76" s="1495"/>
      <c r="JE76" s="1495"/>
      <c r="JF76" s="1495"/>
      <c r="JG76" s="1495"/>
      <c r="JH76" s="1495"/>
      <c r="JI76" s="1495"/>
      <c r="JJ76" s="1495"/>
      <c r="JK76" s="1495"/>
      <c r="JL76" s="1495"/>
      <c r="JM76" s="1495"/>
      <c r="JN76" s="1495"/>
      <c r="JO76" s="1495"/>
      <c r="JP76" s="1495"/>
      <c r="JQ76" s="1495"/>
      <c r="JR76" s="1495"/>
      <c r="JS76" s="1495"/>
      <c r="JT76" s="1495"/>
      <c r="JU76" s="1495"/>
      <c r="JV76" s="1495"/>
      <c r="JW76" s="1495"/>
      <c r="JX76" s="1495"/>
      <c r="JY76" s="1495"/>
      <c r="JZ76" s="1495"/>
      <c r="KA76" s="1495"/>
      <c r="KB76" s="1495"/>
      <c r="KC76" s="1495"/>
      <c r="KD76" s="1495"/>
      <c r="KE76" s="1495"/>
      <c r="KF76" s="1495"/>
      <c r="KG76" s="1495"/>
      <c r="KH76" s="1495"/>
      <c r="KI76" s="1495"/>
      <c r="KJ76" s="1495"/>
      <c r="KK76" s="1495"/>
      <c r="KL76" s="1495"/>
      <c r="KM76" s="1495"/>
      <c r="KN76" s="1495"/>
      <c r="KO76" s="1495"/>
      <c r="KP76" s="1495"/>
      <c r="KQ76" s="1495"/>
      <c r="KR76" s="1495"/>
      <c r="KS76" s="1495"/>
      <c r="KT76" s="1495"/>
      <c r="KU76" s="1495"/>
      <c r="KV76" s="1495"/>
      <c r="KW76" s="1495"/>
      <c r="KX76" s="1495"/>
      <c r="KY76" s="1495"/>
      <c r="KZ76" s="1495"/>
      <c r="LA76" s="1495"/>
      <c r="LB76" s="1495"/>
      <c r="LC76" s="1495"/>
      <c r="LD76" s="1495"/>
      <c r="LE76" s="1495"/>
    </row>
    <row r="77" spans="1:317">
      <c r="A77" s="1495"/>
      <c r="B77" s="418"/>
      <c r="C77" s="1495"/>
      <c r="D77" s="1495"/>
      <c r="E77" s="1495"/>
      <c r="F77" s="1495"/>
      <c r="G77" s="1495"/>
      <c r="H77" s="1495"/>
      <c r="I77" s="1495"/>
      <c r="J77" s="1495"/>
      <c r="K77" s="1495"/>
      <c r="L77" s="1495"/>
      <c r="M77" s="1495"/>
      <c r="N77" s="1495"/>
      <c r="O77" s="1495"/>
      <c r="P77" s="1495"/>
      <c r="Q77" s="1495"/>
      <c r="R77" s="1495"/>
      <c r="S77" s="1495"/>
      <c r="T77" s="1495"/>
      <c r="U77" s="1495"/>
      <c r="V77" s="1495"/>
      <c r="W77" s="1495"/>
      <c r="X77" s="1495"/>
      <c r="Y77" s="1495"/>
      <c r="Z77" s="1495"/>
      <c r="AA77" s="1495"/>
      <c r="AB77" s="1495"/>
      <c r="AC77" s="1495"/>
      <c r="AD77" s="1495"/>
      <c r="AE77" s="1495"/>
      <c r="AF77" s="1495"/>
      <c r="AG77" s="1495"/>
      <c r="AH77" s="1495"/>
      <c r="AI77" s="1495"/>
      <c r="AJ77" s="1495"/>
      <c r="AK77" s="1495"/>
      <c r="AL77" s="1495"/>
      <c r="AM77" s="1495"/>
      <c r="AN77" s="1495"/>
      <c r="AO77" s="1495"/>
      <c r="AP77" s="1495"/>
      <c r="AQ77" s="1495"/>
      <c r="AR77" s="1495"/>
      <c r="AS77" s="1495"/>
      <c r="AT77" s="1495"/>
      <c r="AU77" s="1495"/>
      <c r="AV77" s="1495"/>
      <c r="AW77" s="1495"/>
      <c r="AX77" s="1495"/>
      <c r="AY77" s="1495"/>
      <c r="AZ77" s="1495"/>
      <c r="BA77" s="1495"/>
      <c r="BB77" s="1495"/>
      <c r="BC77" s="1495"/>
      <c r="BD77" s="1495"/>
      <c r="BE77" s="1495"/>
      <c r="BF77" s="1495"/>
      <c r="BG77" s="1495"/>
      <c r="BH77" s="1495"/>
      <c r="BI77" s="1495"/>
      <c r="BJ77" s="1495"/>
      <c r="BK77" s="1495"/>
      <c r="BL77" s="1495"/>
      <c r="BM77" s="1495"/>
      <c r="BN77" s="1495"/>
      <c r="BO77" s="1495"/>
      <c r="BP77" s="418"/>
      <c r="BQ77" s="1495"/>
      <c r="BR77" s="1495"/>
      <c r="BS77" s="1495"/>
      <c r="BT77" s="1495"/>
      <c r="BU77" s="1495"/>
      <c r="BV77" s="1495"/>
      <c r="BW77" s="1495"/>
      <c r="BX77" s="1495"/>
      <c r="BY77" s="1495"/>
      <c r="BZ77" s="444"/>
      <c r="CA77" s="496"/>
      <c r="CB77" s="496"/>
      <c r="CC77" s="444"/>
      <c r="CD77" s="502"/>
      <c r="CE77" s="108"/>
      <c r="CF77" s="408"/>
      <c r="CG77" s="1495"/>
      <c r="CH77" s="1495"/>
      <c r="CI77" s="1495"/>
      <c r="CJ77" s="1495"/>
      <c r="CK77" s="1495"/>
      <c r="CL77" s="1495"/>
      <c r="CM77" s="1495"/>
      <c r="CN77" s="1495"/>
      <c r="CO77" s="1495"/>
      <c r="CP77" s="1495"/>
      <c r="CQ77" s="1495"/>
      <c r="CR77" s="1495"/>
      <c r="CS77" s="1495"/>
      <c r="CT77" s="1495"/>
      <c r="CU77" s="1495"/>
      <c r="CV77" s="1495"/>
      <c r="CW77" s="1495"/>
      <c r="CX77" s="1495"/>
      <c r="CY77" s="1495"/>
      <c r="CZ77" s="1495"/>
      <c r="DA77" s="1495"/>
      <c r="DB77" s="1495"/>
      <c r="DC77" s="1495"/>
      <c r="DD77" s="1495"/>
      <c r="DE77" s="1495"/>
      <c r="DF77" s="1495"/>
      <c r="DG77" s="1495"/>
      <c r="DH77" s="1495"/>
      <c r="DI77" s="1495"/>
      <c r="DJ77" s="1495"/>
      <c r="DK77" s="1495"/>
      <c r="DL77" s="1495"/>
      <c r="DM77" s="1495"/>
      <c r="DN77" s="1495"/>
      <c r="DO77" s="1495"/>
      <c r="DP77" s="1495"/>
      <c r="DQ77" s="1495"/>
      <c r="DR77" s="1495"/>
      <c r="DS77" s="1495"/>
      <c r="DT77" s="1495"/>
      <c r="DU77" s="1495"/>
      <c r="DV77" s="1495"/>
      <c r="DW77" s="1495"/>
      <c r="DX77" s="1495"/>
      <c r="DY77" s="1495"/>
      <c r="DZ77" s="1495"/>
      <c r="EA77" s="1495"/>
      <c r="EB77" s="1495"/>
      <c r="EC77" s="1495"/>
      <c r="ED77" s="1495"/>
      <c r="EE77" s="1495"/>
      <c r="EF77" s="1495"/>
      <c r="EG77" s="1495"/>
      <c r="EH77" s="1495"/>
      <c r="EI77" s="1495"/>
      <c r="EJ77" s="1495"/>
      <c r="EK77" s="1495"/>
      <c r="EL77" s="407"/>
      <c r="EM77" s="1495"/>
      <c r="EN77" s="407"/>
      <c r="EO77" s="1495"/>
      <c r="EP77" s="1495"/>
      <c r="EQ77" s="1495"/>
      <c r="ER77" s="1495"/>
      <c r="ES77" s="1495"/>
      <c r="ET77" s="1495"/>
      <c r="EU77" s="1495"/>
      <c r="EV77" s="1495"/>
      <c r="EW77" s="1495"/>
      <c r="EX77" s="1495"/>
      <c r="EY77" s="1495"/>
      <c r="EZ77" s="1495"/>
      <c r="FA77" s="1495"/>
      <c r="FB77" s="1495"/>
      <c r="FC77" s="1495"/>
      <c r="FD77" s="1495"/>
      <c r="FE77" s="1495"/>
      <c r="FF77" s="1495"/>
      <c r="FG77" s="1495"/>
      <c r="FH77" s="1495"/>
      <c r="FI77" s="1495"/>
      <c r="FJ77" s="1495"/>
      <c r="FK77" s="1495"/>
      <c r="FL77" s="1495"/>
      <c r="FM77" s="1495"/>
      <c r="FN77" s="1495"/>
      <c r="FO77" s="1495"/>
      <c r="FP77" s="1495"/>
      <c r="FQ77" s="1495"/>
      <c r="FR77" s="1495"/>
      <c r="FS77" s="1495"/>
      <c r="FT77" s="1495"/>
      <c r="FU77" s="1495"/>
      <c r="FV77" s="1495"/>
      <c r="FW77" s="1495"/>
      <c r="FX77" s="1495"/>
      <c r="FY77" s="1495"/>
      <c r="FZ77" s="1495"/>
      <c r="GA77" s="1495"/>
      <c r="GB77" s="1495"/>
      <c r="GC77" s="1495"/>
      <c r="GD77" s="1495"/>
      <c r="GE77" s="1495"/>
      <c r="GF77" s="1495"/>
      <c r="GG77" s="1495"/>
      <c r="GH77" s="1495"/>
      <c r="GI77" s="1495"/>
      <c r="GJ77" s="1495"/>
      <c r="GK77" s="1495"/>
      <c r="GL77" s="1495"/>
      <c r="GM77" s="1495"/>
      <c r="GN77" s="1495"/>
      <c r="GO77" s="1495"/>
      <c r="GP77" s="1495"/>
      <c r="GQ77" s="1495"/>
      <c r="GR77" s="1495"/>
      <c r="GS77" s="1495"/>
      <c r="GT77" s="1495"/>
      <c r="GU77" s="1495"/>
      <c r="GV77" s="1495"/>
      <c r="GW77" s="1495"/>
      <c r="GX77" s="1495"/>
      <c r="GY77" s="1495"/>
      <c r="GZ77" s="1495"/>
      <c r="HA77" s="1495"/>
      <c r="HB77" s="1495"/>
      <c r="HC77" s="1495"/>
      <c r="HD77" s="1495"/>
      <c r="HE77" s="1495"/>
      <c r="HF77" s="1495"/>
      <c r="HG77" s="1495"/>
      <c r="HH77" s="1495"/>
      <c r="HI77" s="1495"/>
      <c r="HJ77" s="1495"/>
      <c r="HK77" s="1495"/>
      <c r="HL77" s="1495"/>
      <c r="HM77" s="1495"/>
      <c r="HN77" s="1495"/>
      <c r="HO77" s="1495"/>
      <c r="HP77" s="1495"/>
      <c r="HQ77" s="1495"/>
      <c r="HR77" s="1495"/>
      <c r="HS77" s="1495"/>
      <c r="HT77" s="1495"/>
      <c r="HU77" s="1495"/>
      <c r="HV77" s="1495"/>
      <c r="HW77" s="1495"/>
      <c r="HX77" s="1495"/>
      <c r="HY77" s="1495"/>
      <c r="HZ77" s="1495"/>
      <c r="IA77" s="1495"/>
      <c r="IB77" s="1495"/>
      <c r="IC77" s="1495"/>
      <c r="ID77" s="1495"/>
      <c r="IE77" s="1495"/>
      <c r="IF77" s="1495"/>
      <c r="IG77" s="1495"/>
      <c r="IH77" s="1495"/>
      <c r="II77" s="1495"/>
      <c r="IJ77" s="1495"/>
      <c r="IK77" s="1495"/>
      <c r="IL77" s="1495"/>
      <c r="IM77" s="1495"/>
      <c r="IN77" s="1495"/>
      <c r="IO77" s="1495"/>
      <c r="IP77" s="1495"/>
      <c r="IQ77" s="1495"/>
      <c r="IR77" s="1495"/>
      <c r="IS77" s="1495"/>
      <c r="IT77" s="1495"/>
      <c r="IU77" s="1495"/>
      <c r="IV77" s="1495"/>
      <c r="IW77" s="1495"/>
      <c r="IX77" s="1495"/>
      <c r="IY77" s="1495"/>
      <c r="IZ77" s="1495"/>
      <c r="JA77" s="1495"/>
      <c r="JB77" s="1495"/>
      <c r="JC77" s="1495"/>
      <c r="JD77" s="1495"/>
      <c r="JE77" s="1495"/>
      <c r="JF77" s="1495"/>
      <c r="JG77" s="1495"/>
      <c r="JH77" s="1495"/>
      <c r="JI77" s="1495"/>
      <c r="JJ77" s="1495"/>
      <c r="JK77" s="1495"/>
      <c r="JL77" s="1495"/>
      <c r="JM77" s="1495"/>
      <c r="JN77" s="1495"/>
      <c r="JO77" s="1495"/>
      <c r="JP77" s="1495"/>
      <c r="JQ77" s="1495"/>
      <c r="JR77" s="1495"/>
      <c r="JS77" s="1495"/>
      <c r="JT77" s="1495"/>
      <c r="JU77" s="1495"/>
      <c r="JV77" s="1495"/>
      <c r="JW77" s="1495"/>
      <c r="JX77" s="1495"/>
      <c r="JY77" s="1495"/>
      <c r="JZ77" s="1495"/>
      <c r="KA77" s="1495"/>
      <c r="KB77" s="1495"/>
      <c r="KC77" s="1495"/>
      <c r="KD77" s="1495"/>
      <c r="KE77" s="1495"/>
      <c r="KF77" s="1495"/>
      <c r="KG77" s="1495"/>
      <c r="KH77" s="1495"/>
      <c r="KI77" s="1495"/>
      <c r="KJ77" s="1495"/>
      <c r="KK77" s="1495"/>
      <c r="KL77" s="1495"/>
      <c r="KM77" s="1495"/>
      <c r="KN77" s="1495"/>
      <c r="KO77" s="1495"/>
      <c r="KP77" s="1495"/>
      <c r="KQ77" s="1495"/>
      <c r="KR77" s="1495"/>
      <c r="KS77" s="1495"/>
      <c r="KT77" s="1495"/>
      <c r="KU77" s="1495"/>
      <c r="KV77" s="1495"/>
      <c r="KW77" s="1495"/>
      <c r="KX77" s="1495"/>
      <c r="KY77" s="1495"/>
      <c r="KZ77" s="1495"/>
      <c r="LA77" s="1495"/>
      <c r="LB77" s="1495"/>
      <c r="LC77" s="1495"/>
      <c r="LD77" s="1495"/>
      <c r="LE77" s="1495"/>
    </row>
    <row r="78" spans="1:317">
      <c r="BZ78" s="444"/>
      <c r="CA78" s="496"/>
      <c r="CB78" s="496"/>
      <c r="CC78" s="408"/>
    </row>
  </sheetData>
  <mergeCells count="190">
    <mergeCell ref="KW3:KY3"/>
    <mergeCell ref="IU3:IW3"/>
    <mergeCell ref="JT3:JV3"/>
    <mergeCell ref="JW2:KY2"/>
    <mergeCell ref="JW3:KA3"/>
    <mergeCell ref="KB3:KF3"/>
    <mergeCell ref="KG3:KK3"/>
    <mergeCell ref="KL3:KP3"/>
    <mergeCell ref="KQ3:KU3"/>
    <mergeCell ref="HZ2:IW2"/>
    <mergeCell ref="IX2:JV2"/>
    <mergeCell ref="HZ3:ID3"/>
    <mergeCell ref="IE3:II3"/>
    <mergeCell ref="IJ3:IN3"/>
    <mergeCell ref="IO3:IS3"/>
    <mergeCell ref="IX3:JB3"/>
    <mergeCell ref="JC3:JG3"/>
    <mergeCell ref="JH3:JL3"/>
    <mergeCell ref="JM3:JQ3"/>
    <mergeCell ref="GW2:HY2"/>
    <mergeCell ref="GW3:HA3"/>
    <mergeCell ref="HB3:HF3"/>
    <mergeCell ref="HG3:HK3"/>
    <mergeCell ref="HL3:HP3"/>
    <mergeCell ref="HQ3:HU3"/>
    <mergeCell ref="FY2:GV2"/>
    <mergeCell ref="ER3:EV3"/>
    <mergeCell ref="FA3:FE3"/>
    <mergeCell ref="FF3:FJ3"/>
    <mergeCell ref="FK3:FO3"/>
    <mergeCell ref="FP3:FT3"/>
    <mergeCell ref="FY3:GC3"/>
    <mergeCell ref="GD3:GH3"/>
    <mergeCell ref="DX2:EZ2"/>
    <mergeCell ref="FA2:FX2"/>
    <mergeCell ref="GI3:GM3"/>
    <mergeCell ref="GN3:GR3"/>
    <mergeCell ref="EX3:EZ3"/>
    <mergeCell ref="DX3:EB3"/>
    <mergeCell ref="EC3:EG3"/>
    <mergeCell ref="FV3:FX3"/>
    <mergeCell ref="GT3:GV3"/>
    <mergeCell ref="HW3:HY3"/>
    <mergeCell ref="BS3:BW3"/>
    <mergeCell ref="W3:Z3"/>
    <mergeCell ref="AU3:AX3"/>
    <mergeCell ref="C2:Z2"/>
    <mergeCell ref="AA2:AX2"/>
    <mergeCell ref="AY2:CA2"/>
    <mergeCell ref="BX3:CA3"/>
    <mergeCell ref="C3:G3"/>
    <mergeCell ref="H3:L3"/>
    <mergeCell ref="M3:Q3"/>
    <mergeCell ref="R3:V3"/>
    <mergeCell ref="AA3:AE3"/>
    <mergeCell ref="AF3:AJ3"/>
    <mergeCell ref="AK3:AO3"/>
    <mergeCell ref="AP3:AT3"/>
    <mergeCell ref="AY3:BC3"/>
    <mergeCell ref="BD3:BH3"/>
    <mergeCell ref="BI3:BM3"/>
    <mergeCell ref="BN3:BR3"/>
    <mergeCell ref="LB4:LB5"/>
    <mergeCell ref="LC4:LC5"/>
    <mergeCell ref="LD4:LD5"/>
    <mergeCell ref="LE4:LE5"/>
    <mergeCell ref="KI4:KI5"/>
    <mergeCell ref="KK4:KK5"/>
    <mergeCell ref="KN4:KN5"/>
    <mergeCell ref="KP4:KP5"/>
    <mergeCell ref="KS4:KS5"/>
    <mergeCell ref="KU4:KU5"/>
    <mergeCell ref="KZ4:KZ5"/>
    <mergeCell ref="LA4:LA5"/>
    <mergeCell ref="II4:II5"/>
    <mergeCell ref="IL4:IL5"/>
    <mergeCell ref="IN4:IN5"/>
    <mergeCell ref="KD4:KD5"/>
    <mergeCell ref="KF4:KF5"/>
    <mergeCell ref="IZ4:IZ5"/>
    <mergeCell ref="JB4:JB5"/>
    <mergeCell ref="JE4:JE5"/>
    <mergeCell ref="JG4:JG5"/>
    <mergeCell ref="JJ4:JJ5"/>
    <mergeCell ref="JL4:JL5"/>
    <mergeCell ref="JR4:JR5"/>
    <mergeCell ref="IQ4:IQ5"/>
    <mergeCell ref="JO4:JO5"/>
    <mergeCell ref="JQ4:JQ5"/>
    <mergeCell ref="JY4:JY5"/>
    <mergeCell ref="KA4:KA5"/>
    <mergeCell ref="AR4:AR5"/>
    <mergeCell ref="AT4:AT5"/>
    <mergeCell ref="BA4:BA5"/>
    <mergeCell ref="BC4:BC5"/>
    <mergeCell ref="BF4:BF5"/>
    <mergeCell ref="FR4:FR5"/>
    <mergeCell ref="IS4:IS5"/>
    <mergeCell ref="HN4:HN5"/>
    <mergeCell ref="HP4:HP5"/>
    <mergeCell ref="HS4:HS5"/>
    <mergeCell ref="HU4:HU5"/>
    <mergeCell ref="IB4:IB5"/>
    <mergeCell ref="ID4:ID5"/>
    <mergeCell ref="FT4:FT5"/>
    <mergeCell ref="GY4:GY5"/>
    <mergeCell ref="HA4:HA5"/>
    <mergeCell ref="HD4:HD5"/>
    <mergeCell ref="HF4:HF5"/>
    <mergeCell ref="HI4:HI5"/>
    <mergeCell ref="HK4:HK5"/>
    <mergeCell ref="GF4:GF5"/>
    <mergeCell ref="GH4:GH5"/>
    <mergeCell ref="GK4:GK5"/>
    <mergeCell ref="GM4:GM5"/>
    <mergeCell ref="CZ2:DW2"/>
    <mergeCell ref="CB2:CY2"/>
    <mergeCell ref="CB3:CF3"/>
    <mergeCell ref="EH3:EL3"/>
    <mergeCell ref="EM3:EQ3"/>
    <mergeCell ref="CG3:CK3"/>
    <mergeCell ref="CL3:CP3"/>
    <mergeCell ref="GA4:GA5"/>
    <mergeCell ref="B4:B5"/>
    <mergeCell ref="E4:E5"/>
    <mergeCell ref="G4:G5"/>
    <mergeCell ref="J4:J5"/>
    <mergeCell ref="L4:L5"/>
    <mergeCell ref="O4:O5"/>
    <mergeCell ref="Q4:Q5"/>
    <mergeCell ref="T4:T5"/>
    <mergeCell ref="BH4:BH5"/>
    <mergeCell ref="V4:V5"/>
    <mergeCell ref="AC4:AC5"/>
    <mergeCell ref="AE4:AE5"/>
    <mergeCell ref="AH4:AH5"/>
    <mergeCell ref="AJ4:AJ5"/>
    <mergeCell ref="AM4:AM5"/>
    <mergeCell ref="AO4:AO5"/>
    <mergeCell ref="CN4:CN5"/>
    <mergeCell ref="EB4:EB5"/>
    <mergeCell ref="EE4:EE5"/>
    <mergeCell ref="DI4:DI5"/>
    <mergeCell ref="DL4:DL5"/>
    <mergeCell ref="DN4:DN5"/>
    <mergeCell ref="DQ4:DQ5"/>
    <mergeCell ref="DS4:DS5"/>
    <mergeCell ref="DZ4:DZ5"/>
    <mergeCell ref="CU4:CU5"/>
    <mergeCell ref="IG4:IG5"/>
    <mergeCell ref="FH4:FH5"/>
    <mergeCell ref="EO4:EO5"/>
    <mergeCell ref="CQ3:CU3"/>
    <mergeCell ref="CV3:CY3"/>
    <mergeCell ref="CZ3:DD3"/>
    <mergeCell ref="DE3:DI3"/>
    <mergeCell ref="DJ3:DN3"/>
    <mergeCell ref="DO3:DS3"/>
    <mergeCell ref="DT3:DW3"/>
    <mergeCell ref="DB4:DB5"/>
    <mergeCell ref="DD4:DD5"/>
    <mergeCell ref="GC4:GC5"/>
    <mergeCell ref="FM4:FM5"/>
    <mergeCell ref="FO4:FO5"/>
    <mergeCell ref="GP4:GP5"/>
    <mergeCell ref="GR4:GR5"/>
    <mergeCell ref="LF4:LF5"/>
    <mergeCell ref="KZ2:LF3"/>
    <mergeCell ref="BK4:BK5"/>
    <mergeCell ref="BM4:BM5"/>
    <mergeCell ref="BP4:BP5"/>
    <mergeCell ref="BR4:BR5"/>
    <mergeCell ref="BU4:BU5"/>
    <mergeCell ref="CF4:CF5"/>
    <mergeCell ref="FJ4:FJ5"/>
    <mergeCell ref="BW4:BW5"/>
    <mergeCell ref="CD4:CD5"/>
    <mergeCell ref="EL4:EL5"/>
    <mergeCell ref="EQ4:EQ5"/>
    <mergeCell ref="CP4:CP5"/>
    <mergeCell ref="CS4:CS5"/>
    <mergeCell ref="CI4:CI5"/>
    <mergeCell ref="CK4:CK5"/>
    <mergeCell ref="ET4:ET5"/>
    <mergeCell ref="EV4:EV5"/>
    <mergeCell ref="EG4:EG5"/>
    <mergeCell ref="EJ4:EJ5"/>
    <mergeCell ref="DG4:DG5"/>
    <mergeCell ref="FC4:FC5"/>
    <mergeCell ref="FE4:FE5"/>
  </mergeCells>
  <phoneticPr fontId="45" type="noConversion"/>
  <pageMargins left="0.7" right="0.7" top="0.75" bottom="0.75" header="0.3" footer="0.3"/>
  <pageSetup orientation="landscape" horizontalDpi="300" verticalDpi="0" copies="0" r:id="rId1"/>
  <ignoredErrors>
    <ignoredError sqref="DW45" evalError="1"/>
  </ignoredError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0C46B-743E-4164-BE5F-B370E13AC555}">
  <dimension ref="A1:AB25"/>
  <sheetViews>
    <sheetView topLeftCell="A9" workbookViewId="0">
      <selection activeCell="D3" sqref="D3"/>
    </sheetView>
  </sheetViews>
  <sheetFormatPr defaultRowHeight="15"/>
  <cols>
    <col min="4" max="26" width="13.5703125" bestFit="1" customWidth="1"/>
    <col min="27" max="27" width="14.7109375" bestFit="1" customWidth="1"/>
    <col min="28" max="28" width="13.5703125" bestFit="1" customWidth="1"/>
  </cols>
  <sheetData>
    <row r="1" spans="1:28">
      <c r="A1" s="1510" t="e">
        <f>#REF!+#REF!+#REF!+#REF!+#REF!+#REF!+#REF!+#REF!+#REF!+#REF!+#REF!+#REF!</f>
        <v>#REF!</v>
      </c>
      <c r="C1">
        <v>4226967.92</v>
      </c>
    </row>
    <row r="2" spans="1:28">
      <c r="A2" s="811" t="e">
        <f t="shared" ref="A2:A25" si="0">#REF!+#REF!+#REF!+#REF!+#REF!+#REF!+#REF!+#REF!+#REF!+#REF!+#REF!+#REF!</f>
        <v>#REF!</v>
      </c>
      <c r="C2">
        <v>3705611.93</v>
      </c>
    </row>
    <row r="3" spans="1:28">
      <c r="A3" s="811" t="e">
        <f t="shared" ref="A3:A25" si="1">#REF!+#REF!+#REF!+#REF!+#REF!+#REF!+#REF!+#REF!+#REF!+#REF!+#REF!+#REF!</f>
        <v>#REF!</v>
      </c>
      <c r="C3">
        <v>3432147.77</v>
      </c>
      <c r="D3" s="386">
        <v>4226967.92</v>
      </c>
      <c r="E3" s="386">
        <v>3705611.93</v>
      </c>
      <c r="F3" s="386">
        <v>3432147.77</v>
      </c>
      <c r="G3" s="386">
        <v>2575654.1399999997</v>
      </c>
      <c r="H3" s="386">
        <v>3357677.76</v>
      </c>
      <c r="I3" s="386">
        <v>5150995.93</v>
      </c>
      <c r="J3" s="386">
        <v>5128716.8</v>
      </c>
      <c r="K3" s="386">
        <v>3916121.6000000006</v>
      </c>
      <c r="L3" s="386">
        <v>8344091.8499999996</v>
      </c>
      <c r="M3" s="386">
        <v>4869684.43</v>
      </c>
      <c r="N3" s="386">
        <v>6153577.1100000003</v>
      </c>
      <c r="O3" s="386">
        <v>3698196.3200000003</v>
      </c>
      <c r="P3" s="386">
        <v>3619263.0199999996</v>
      </c>
      <c r="Q3" s="386">
        <v>4835572.17</v>
      </c>
      <c r="R3" s="386">
        <v>3932240.76</v>
      </c>
      <c r="S3" s="386">
        <v>5064205.5199999996</v>
      </c>
      <c r="T3" s="386">
        <v>5740859.209999999</v>
      </c>
      <c r="U3" s="386">
        <v>3655128.9199999995</v>
      </c>
      <c r="V3" s="386">
        <v>5944947.3100000005</v>
      </c>
      <c r="W3" s="386">
        <v>7646100.6600000001</v>
      </c>
      <c r="X3" s="386">
        <v>8946352.379999999</v>
      </c>
      <c r="Y3" s="386">
        <v>5764604.6199999992</v>
      </c>
      <c r="Z3" s="386">
        <v>9318375.2200000007</v>
      </c>
      <c r="AA3" s="386">
        <v>10499116.059999999</v>
      </c>
      <c r="AB3" s="386">
        <v>4281108.07</v>
      </c>
    </row>
    <row r="4" spans="1:28">
      <c r="A4" s="811" t="e">
        <f t="shared" ref="A4:A25" si="2">#REF!+#REF!+#REF!+#REF!+#REF!+#REF!+#REF!+#REF!+#REF!+#REF!+#REF!+#REF!</f>
        <v>#REF!</v>
      </c>
      <c r="C4">
        <v>2575654.1399999997</v>
      </c>
    </row>
    <row r="5" spans="1:28">
      <c r="A5" s="811" t="e">
        <f t="shared" ref="A5:A25" si="3">#REF!+#REF!+#REF!+#REF!+#REF!+#REF!+#REF!+#REF!+#REF!+#REF!+#REF!+#REF!</f>
        <v>#REF!</v>
      </c>
      <c r="C5">
        <v>3357677.76</v>
      </c>
    </row>
    <row r="6" spans="1:28">
      <c r="A6" s="811" t="e">
        <f t="shared" ref="A6:A25" si="4">#REF!+#REF!+#REF!+#REF!+#REF!+#REF!+#REF!+#REF!+#REF!+#REF!+#REF!+#REF!</f>
        <v>#REF!</v>
      </c>
      <c r="C6">
        <v>5150995.93</v>
      </c>
    </row>
    <row r="7" spans="1:28">
      <c r="A7" s="811" t="e">
        <f t="shared" ref="A7:A25" si="5">#REF!+#REF!+#REF!+#REF!+#REF!+#REF!+#REF!+#REF!+#REF!+#REF!+#REF!+#REF!</f>
        <v>#REF!</v>
      </c>
      <c r="C7">
        <v>5128716.8</v>
      </c>
    </row>
    <row r="8" spans="1:28">
      <c r="A8" s="811" t="e">
        <f t="shared" ref="A8:A25" si="6">#REF!+#REF!+#REF!+#REF!+#REF!+#REF!+#REF!+#REF!+#REF!+#REF!+#REF!+#REF!</f>
        <v>#REF!</v>
      </c>
      <c r="C8">
        <v>3916121.6000000006</v>
      </c>
    </row>
    <row r="9" spans="1:28">
      <c r="A9" s="811" t="e">
        <f t="shared" ref="A9:A25" si="7">#REF!+#REF!+#REF!+#REF!+#REF!+#REF!+#REF!+#REF!+#REF!+#REF!+#REF!+#REF!</f>
        <v>#REF!</v>
      </c>
      <c r="C9">
        <v>8344091.8499999996</v>
      </c>
    </row>
    <row r="10" spans="1:28">
      <c r="A10" s="811" t="e">
        <f t="shared" ref="A10:A25" si="8">#REF!+#REF!+#REF!+#REF!+#REF!+#REF!+#REF!+#REF!+#REF!+#REF!+#REF!+#REF!</f>
        <v>#REF!</v>
      </c>
      <c r="C10">
        <v>4869684.43</v>
      </c>
    </row>
    <row r="11" spans="1:28">
      <c r="A11" s="811" t="e">
        <f t="shared" ref="A11:A25" si="9">#REF!+#REF!+#REF!+#REF!+#REF!+#REF!+#REF!+#REF!+#REF!+#REF!+#REF!+#REF!</f>
        <v>#REF!</v>
      </c>
      <c r="C11">
        <v>6153577.1100000003</v>
      </c>
    </row>
    <row r="12" spans="1:28">
      <c r="A12" s="811" t="e">
        <f t="shared" ref="A12:A25" si="10">#REF!+#REF!+#REF!+#REF!+#REF!+#REF!+#REF!+#REF!+#REF!+#REF!+#REF!+#REF!</f>
        <v>#REF!</v>
      </c>
      <c r="C12">
        <v>3698196.3200000003</v>
      </c>
    </row>
    <row r="13" spans="1:28">
      <c r="A13" s="811" t="e">
        <f t="shared" ref="A13:A25" si="11">#REF!+#REF!+#REF!+#REF!+#REF!+#REF!+#REF!+#REF!+#REF!+#REF!+#REF!+#REF!</f>
        <v>#REF!</v>
      </c>
      <c r="C13">
        <v>3619263.0199999996</v>
      </c>
    </row>
    <row r="14" spans="1:28">
      <c r="A14" s="811" t="e">
        <f t="shared" ref="A14:A25" si="12">#REF!+#REF!+#REF!+#REF!+#REF!+#REF!+#REF!+#REF!+#REF!+#REF!+#REF!+#REF!</f>
        <v>#REF!</v>
      </c>
      <c r="C14">
        <v>4835572.17</v>
      </c>
    </row>
    <row r="15" spans="1:28">
      <c r="A15" s="811" t="e">
        <f t="shared" ref="A15:A25" si="13">#REF!+#REF!+#REF!+#REF!+#REF!+#REF!+#REF!+#REF!+#REF!+#REF!+#REF!+#REF!</f>
        <v>#REF!</v>
      </c>
      <c r="C15">
        <v>3932240.76</v>
      </c>
    </row>
    <row r="16" spans="1:28">
      <c r="A16" s="811" t="e">
        <f t="shared" ref="A16:A25" si="14">#REF!+#REF!+#REF!+#REF!+#REF!+#REF!+#REF!+#REF!+#REF!+#REF!+#REF!+#REF!</f>
        <v>#REF!</v>
      </c>
      <c r="C16">
        <v>5064205.5199999996</v>
      </c>
    </row>
    <row r="17" spans="1:3">
      <c r="A17" s="811" t="e">
        <f t="shared" ref="A17:A25" si="15">#REF!+#REF!+#REF!+#REF!+#REF!+#REF!+#REF!+#REF!+#REF!+#REF!+#REF!+#REF!</f>
        <v>#REF!</v>
      </c>
      <c r="C17">
        <v>5740859.209999999</v>
      </c>
    </row>
    <row r="18" spans="1:3">
      <c r="A18" s="811" t="e">
        <f t="shared" ref="A18:A25" si="16">#REF!+#REF!+#REF!+#REF!+#REF!+#REF!+#REF!+#REF!+#REF!+#REF!+#REF!+#REF!</f>
        <v>#REF!</v>
      </c>
      <c r="C18">
        <v>3655128.9199999995</v>
      </c>
    </row>
    <row r="19" spans="1:3">
      <c r="A19" s="811" t="e">
        <f t="shared" ref="A19:A25" si="17">#REF!+#REF!+#REF!+#REF!+#REF!+#REF!+#REF!+#REF!+#REF!+#REF!+#REF!+#REF!</f>
        <v>#REF!</v>
      </c>
      <c r="C19">
        <v>5944947.3100000005</v>
      </c>
    </row>
    <row r="20" spans="1:3">
      <c r="A20" s="811" t="e">
        <f>#REF!+#REF!+#REF!+#REF!+#REF!+#REF!+#REF!+#REF!+#REF!+#REF!+#REF!+#REF!</f>
        <v>#REF!</v>
      </c>
      <c r="C20">
        <v>7646100.6600000001</v>
      </c>
    </row>
    <row r="21" spans="1:3">
      <c r="A21" s="811" t="e">
        <f t="shared" ref="A21:A25" si="18">#REF!+#REF!+#REF!+#REF!+#REF!+#REF!+#REF!+#REF!+#REF!+#REF!+#REF!+#REF!</f>
        <v>#REF!</v>
      </c>
      <c r="C21">
        <v>8946352.379999999</v>
      </c>
    </row>
    <row r="22" spans="1:3">
      <c r="A22" s="811" t="e">
        <f t="shared" ref="A22:A25" si="19">#REF!+#REF!+#REF!+#REF!+#REF!+#REF!+#REF!+#REF!+#REF!+#REF!+#REF!+#REF!</f>
        <v>#REF!</v>
      </c>
      <c r="C22">
        <v>5764604.6199999992</v>
      </c>
    </row>
    <row r="23" spans="1:3">
      <c r="A23" s="811" t="e">
        <f t="shared" ref="A23:A25" si="20">#REF!+#REF!+#REF!+#REF!+#REF!+#REF!+#REF!+#REF!+#REF!+#REF!+#REF!+#REF!</f>
        <v>#REF!</v>
      </c>
      <c r="C23">
        <v>9318375.2200000007</v>
      </c>
    </row>
    <row r="24" spans="1:3">
      <c r="A24" s="811" t="e">
        <f t="shared" ref="A24:A25" si="21">#REF!+#REF!+#REF!+#REF!+#REF!+#REF!+#REF!+#REF!+#REF!+#REF!+#REF!+#REF!</f>
        <v>#REF!</v>
      </c>
      <c r="C24">
        <v>10499116.059999999</v>
      </c>
    </row>
    <row r="25" spans="1:3">
      <c r="A25" s="811" t="e">
        <f t="shared" ref="A25" si="22">#REF!+#REF!+#REF!+#REF!+#REF!+#REF!+#REF!+#REF!+#REF!+#REF!+#REF!+#REF!</f>
        <v>#REF!</v>
      </c>
      <c r="C25">
        <v>4281108.07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1281F-6252-4CBF-B488-7270F6003868}">
  <dimension ref="A1:CE63"/>
  <sheetViews>
    <sheetView workbookViewId="0">
      <pane xSplit="1" ySplit="1" topLeftCell="B29" activePane="bottomRight" state="frozen"/>
      <selection pane="bottomRight" activeCell="K34" sqref="K34"/>
      <selection pane="bottomLeft"/>
      <selection pane="topRight"/>
    </sheetView>
  </sheetViews>
  <sheetFormatPr defaultRowHeight="15"/>
  <cols>
    <col min="2" max="81" width="11.42578125" bestFit="1" customWidth="1"/>
  </cols>
  <sheetData>
    <row r="1" spans="1:81">
      <c r="A1" t="s">
        <v>519</v>
      </c>
      <c r="B1" s="50">
        <v>44483</v>
      </c>
      <c r="C1" s="50">
        <v>44484</v>
      </c>
      <c r="D1" s="50">
        <v>44485</v>
      </c>
      <c r="E1" s="50">
        <v>44486</v>
      </c>
      <c r="F1" s="50">
        <v>44487</v>
      </c>
      <c r="G1" s="50">
        <v>44488</v>
      </c>
      <c r="H1" s="50">
        <v>44489</v>
      </c>
      <c r="I1" s="50">
        <v>44490</v>
      </c>
      <c r="J1" s="50">
        <v>44491</v>
      </c>
      <c r="K1" s="50">
        <v>44492</v>
      </c>
      <c r="L1" s="50">
        <v>44493</v>
      </c>
      <c r="M1" s="50">
        <v>44494</v>
      </c>
      <c r="N1" s="50">
        <v>44495</v>
      </c>
      <c r="O1" s="50">
        <v>44496</v>
      </c>
      <c r="P1" s="50">
        <v>44497</v>
      </c>
      <c r="Q1" s="50">
        <v>44498</v>
      </c>
      <c r="R1" s="50">
        <v>44499</v>
      </c>
      <c r="S1" s="50">
        <v>44500</v>
      </c>
      <c r="T1" s="50">
        <v>44501</v>
      </c>
      <c r="U1" s="50">
        <v>44502</v>
      </c>
      <c r="V1" s="50">
        <v>44503</v>
      </c>
      <c r="W1" s="50">
        <v>44504</v>
      </c>
      <c r="X1" s="50">
        <v>44505</v>
      </c>
      <c r="Y1" s="50">
        <v>44506</v>
      </c>
      <c r="Z1" s="50">
        <v>44507</v>
      </c>
      <c r="AA1" s="50">
        <v>44508</v>
      </c>
      <c r="AB1" s="50">
        <v>44509</v>
      </c>
      <c r="AC1" s="50">
        <v>44510</v>
      </c>
      <c r="AD1" s="50">
        <v>44511</v>
      </c>
      <c r="AE1" s="50">
        <v>44512</v>
      </c>
      <c r="AF1" s="50">
        <v>44513</v>
      </c>
      <c r="AG1" s="50">
        <v>44514</v>
      </c>
      <c r="AH1" s="50">
        <v>44515</v>
      </c>
      <c r="AI1" s="50">
        <v>44516</v>
      </c>
      <c r="AJ1" s="50">
        <v>44517</v>
      </c>
      <c r="AK1" s="50">
        <v>44518</v>
      </c>
      <c r="AL1" s="50">
        <v>44519</v>
      </c>
      <c r="AM1" s="50">
        <v>44520</v>
      </c>
      <c r="AN1" s="1597">
        <v>44521</v>
      </c>
      <c r="AO1" s="1597">
        <v>44522</v>
      </c>
      <c r="AP1" s="1597">
        <v>44523</v>
      </c>
      <c r="AQ1" s="1597">
        <v>44524</v>
      </c>
      <c r="AR1" s="1597">
        <v>44525</v>
      </c>
      <c r="AS1" s="1597">
        <v>44526</v>
      </c>
      <c r="AT1" s="1597">
        <v>44527</v>
      </c>
      <c r="AU1" s="50">
        <v>44528</v>
      </c>
      <c r="AV1" s="50">
        <v>44529</v>
      </c>
      <c r="AW1" s="50">
        <v>44530</v>
      </c>
      <c r="AX1" s="50">
        <v>44531</v>
      </c>
      <c r="AY1" s="50">
        <v>44532</v>
      </c>
      <c r="AZ1" s="50">
        <v>44533</v>
      </c>
      <c r="BA1" s="50">
        <v>44534</v>
      </c>
      <c r="BB1" s="50">
        <v>44535</v>
      </c>
      <c r="BC1" s="50">
        <v>44536</v>
      </c>
      <c r="BD1" s="50">
        <v>44537</v>
      </c>
      <c r="BE1" s="50">
        <v>44538</v>
      </c>
      <c r="BF1" s="50">
        <v>44539</v>
      </c>
      <c r="BG1" s="50">
        <v>44540</v>
      </c>
      <c r="BH1" s="50">
        <v>44541</v>
      </c>
      <c r="BI1" s="50">
        <v>44542</v>
      </c>
      <c r="BJ1" s="50">
        <v>44543</v>
      </c>
      <c r="BK1" s="50">
        <v>44544</v>
      </c>
      <c r="BL1" s="50">
        <v>44545</v>
      </c>
      <c r="BM1" s="50">
        <v>44546</v>
      </c>
      <c r="BN1" s="50">
        <v>44547</v>
      </c>
      <c r="BO1" s="50">
        <v>44548</v>
      </c>
      <c r="BP1" s="50">
        <v>44549</v>
      </c>
      <c r="BQ1" s="50">
        <v>44550</v>
      </c>
      <c r="BR1" s="50">
        <v>44551</v>
      </c>
      <c r="BS1" s="50">
        <v>44552</v>
      </c>
      <c r="BT1" s="50">
        <v>44553</v>
      </c>
      <c r="BU1" s="50">
        <v>44554</v>
      </c>
      <c r="BV1" s="50">
        <v>44555</v>
      </c>
      <c r="BW1" s="50">
        <v>44556</v>
      </c>
      <c r="BX1" s="50">
        <v>44557</v>
      </c>
      <c r="BY1" s="50">
        <v>44558</v>
      </c>
      <c r="BZ1" s="50">
        <v>44559</v>
      </c>
      <c r="CA1" s="50">
        <v>44560</v>
      </c>
      <c r="CB1" s="50">
        <v>44561</v>
      </c>
      <c r="CC1" s="50">
        <v>44562</v>
      </c>
    </row>
    <row r="2" spans="1:81">
      <c r="A2" s="686" t="s">
        <v>9</v>
      </c>
      <c r="B2" s="515">
        <f>'Vtas Diarias 2021'!XD7</f>
        <v>9401.5264000000006</v>
      </c>
      <c r="C2" s="515">
        <f>'Vtas Diarias 2021'!XH7</f>
        <v>10744.6016</v>
      </c>
      <c r="D2" s="515">
        <f>'Vtas Diarias 2021'!XL7</f>
        <v>14773.8272</v>
      </c>
      <c r="E2" s="515">
        <f>$K34*E$32</f>
        <v>8533.3212734400004</v>
      </c>
      <c r="F2" s="515">
        <f t="shared" ref="F2:L2" si="0">$K34*F$32</f>
        <v>8413.6294734000003</v>
      </c>
      <c r="G2" s="515">
        <f t="shared" si="0"/>
        <v>8484.0364145999993</v>
      </c>
      <c r="H2" s="515">
        <f t="shared" si="0"/>
        <v>8765.6641794000006</v>
      </c>
      <c r="I2" s="515">
        <f t="shared" si="0"/>
        <v>9680.9544150000002</v>
      </c>
      <c r="J2" s="515">
        <f t="shared" si="0"/>
        <v>10934.19796836</v>
      </c>
      <c r="K2" s="515">
        <f t="shared" si="0"/>
        <v>15595.1374758</v>
      </c>
      <c r="L2" s="515">
        <f>$R34*L$32</f>
        <v>12318.99558936</v>
      </c>
      <c r="M2" s="515">
        <f t="shared" ref="M2:S2" si="1">$R34*M$32</f>
        <v>12146.2043971</v>
      </c>
      <c r="N2" s="515">
        <f t="shared" si="1"/>
        <v>12247.846274899999</v>
      </c>
      <c r="O2" s="515">
        <f t="shared" si="1"/>
        <v>12654.4137861</v>
      </c>
      <c r="P2" s="515">
        <f t="shared" si="1"/>
        <v>13975.758197500001</v>
      </c>
      <c r="Q2" s="515">
        <f t="shared" si="1"/>
        <v>15784.98362234</v>
      </c>
      <c r="R2" s="515">
        <f t="shared" si="1"/>
        <v>22513.6759327</v>
      </c>
      <c r="S2" s="515">
        <f>$Y34*S$32</f>
        <v>8153.0107749600002</v>
      </c>
      <c r="T2" s="515">
        <f t="shared" ref="T2:Z2" si="2">$Y34*T$32</f>
        <v>8038.6533630999993</v>
      </c>
      <c r="U2" s="515">
        <f t="shared" si="2"/>
        <v>8105.9224288999994</v>
      </c>
      <c r="V2" s="515">
        <f t="shared" si="2"/>
        <v>8374.9986921</v>
      </c>
      <c r="W2" s="515">
        <f t="shared" si="2"/>
        <v>9249.4965475000008</v>
      </c>
      <c r="X2" s="515">
        <f t="shared" si="2"/>
        <v>10446.885918739999</v>
      </c>
      <c r="Y2" s="515">
        <f t="shared" si="2"/>
        <v>14900.098074699999</v>
      </c>
      <c r="Z2" s="515">
        <f>$AF34*Z$32</f>
        <v>8986.6233083999996</v>
      </c>
      <c r="AA2" s="515">
        <f t="shared" ref="AA2:AG2" si="3">$AF34*AA$32</f>
        <v>8860.5733115000003</v>
      </c>
      <c r="AB2" s="515">
        <f t="shared" si="3"/>
        <v>8934.7203685000004</v>
      </c>
      <c r="AC2" s="515">
        <f t="shared" si="3"/>
        <v>9231.3085965000009</v>
      </c>
      <c r="AD2" s="515">
        <f t="shared" si="3"/>
        <v>10195.220337500001</v>
      </c>
      <c r="AE2" s="515">
        <f t="shared" si="3"/>
        <v>11515.0379521</v>
      </c>
      <c r="AF2" s="515">
        <f t="shared" si="3"/>
        <v>16423.573125499999</v>
      </c>
      <c r="AG2" s="515">
        <f>$AM34*AG$32</f>
        <v>10850.495205600002</v>
      </c>
      <c r="AH2" s="515">
        <f t="shared" ref="AH2:AN2" si="4">$AM34*AH$32</f>
        <v>10698.301791000002</v>
      </c>
      <c r="AI2" s="515">
        <f t="shared" si="4"/>
        <v>10787.827329000002</v>
      </c>
      <c r="AJ2" s="515">
        <f t="shared" si="4"/>
        <v>11145.929481000001</v>
      </c>
      <c r="AK2" s="515">
        <f t="shared" si="4"/>
        <v>12309.761475000003</v>
      </c>
      <c r="AL2" s="515">
        <f t="shared" si="4"/>
        <v>13903.316051400001</v>
      </c>
      <c r="AM2" s="515">
        <f t="shared" si="4"/>
        <v>19829.906667000003</v>
      </c>
      <c r="AN2" s="515">
        <f>$AT34*AN$32</f>
        <v>13168.6742736</v>
      </c>
      <c r="AO2" s="515">
        <f t="shared" ref="AO2:AU2" si="5">$AT34*AO$32</f>
        <v>12983.965145999999</v>
      </c>
      <c r="AP2" s="515">
        <f t="shared" si="5"/>
        <v>13092.617574</v>
      </c>
      <c r="AQ2" s="515">
        <f t="shared" si="5"/>
        <v>13527.227285999999</v>
      </c>
      <c r="AR2" s="515">
        <f t="shared" si="5"/>
        <v>14939.708850000001</v>
      </c>
      <c r="AS2" s="515">
        <f t="shared" si="5"/>
        <v>16873.722068399999</v>
      </c>
      <c r="AT2" s="515">
        <f t="shared" si="5"/>
        <v>24066.512802000001</v>
      </c>
      <c r="AU2" s="515">
        <f>$BA34*AU$32</f>
        <v>22823.224540199997</v>
      </c>
      <c r="AV2" s="515">
        <f t="shared" ref="AV2:BB2" si="6">$BA34*AV$32</f>
        <v>22503.096803249999</v>
      </c>
      <c r="AW2" s="515">
        <f t="shared" si="6"/>
        <v>22691.407236749998</v>
      </c>
      <c r="AX2" s="515">
        <f t="shared" si="6"/>
        <v>23444.648970749997</v>
      </c>
      <c r="AY2" s="515">
        <f t="shared" si="6"/>
        <v>25892.684606250001</v>
      </c>
      <c r="AZ2" s="515">
        <f t="shared" si="6"/>
        <v>29244.610322549997</v>
      </c>
      <c r="BA2" s="515">
        <f t="shared" si="6"/>
        <v>41710.76102025</v>
      </c>
      <c r="BB2" s="515">
        <f>$BH34*BB$32</f>
        <v>29718.303690600002</v>
      </c>
      <c r="BC2" s="515">
        <f t="shared" ref="BC2:BI2" si="7">$BH34*BC$32</f>
        <v>29301.462797250002</v>
      </c>
      <c r="BD2" s="515">
        <f t="shared" si="7"/>
        <v>29546.663322750002</v>
      </c>
      <c r="BE2" s="515">
        <f t="shared" si="7"/>
        <v>30527.465424750004</v>
      </c>
      <c r="BF2" s="515">
        <f t="shared" si="7"/>
        <v>33715.072256250009</v>
      </c>
      <c r="BG2" s="515">
        <f t="shared" si="7"/>
        <v>38079.64161015</v>
      </c>
      <c r="BH2" s="515">
        <f t="shared" si="7"/>
        <v>54311.916398250003</v>
      </c>
      <c r="BI2" s="515">
        <f>$BO34*BI$32</f>
        <v>33355.398623520006</v>
      </c>
      <c r="BJ2" s="515">
        <f t="shared" ref="BJ2:BP2" si="8">$BO34*BJ$32</f>
        <v>32887.542372200005</v>
      </c>
      <c r="BK2" s="515">
        <f t="shared" si="8"/>
        <v>33162.751931800005</v>
      </c>
      <c r="BL2" s="515">
        <f t="shared" si="8"/>
        <v>34263.590170200005</v>
      </c>
      <c r="BM2" s="515">
        <f t="shared" si="8"/>
        <v>37841.314445000011</v>
      </c>
      <c r="BN2" s="515">
        <f t="shared" si="8"/>
        <v>42740.044605880001</v>
      </c>
      <c r="BO2" s="515">
        <f t="shared" si="8"/>
        <v>60958.917451400011</v>
      </c>
      <c r="BP2" s="515">
        <f>$BV34*BP$32</f>
        <v>52812.546023280003</v>
      </c>
      <c r="BQ2" s="515">
        <f t="shared" ref="BQ2:BW2" si="9">$BV34*BQ$32</f>
        <v>52071.775988300004</v>
      </c>
      <c r="BR2" s="515">
        <f t="shared" si="9"/>
        <v>52507.523067700007</v>
      </c>
      <c r="BS2" s="515">
        <f t="shared" si="9"/>
        <v>54250.511385300008</v>
      </c>
      <c r="BT2" s="515">
        <f t="shared" si="9"/>
        <v>59915.223417500012</v>
      </c>
      <c r="BU2" s="515">
        <f t="shared" si="9"/>
        <v>67671.521430820008</v>
      </c>
      <c r="BV2" s="515">
        <f t="shared" si="9"/>
        <v>96517.978087100011</v>
      </c>
      <c r="BW2" s="515">
        <f>$CC34*BW$32</f>
        <v>8356.9249512000006</v>
      </c>
      <c r="BX2" s="515">
        <f t="shared" ref="BX2:CC2" si="10">$CC34*BX$32</f>
        <v>8239.7073569999993</v>
      </c>
      <c r="BY2" s="515">
        <f t="shared" si="10"/>
        <v>8308.6588830000001</v>
      </c>
      <c r="BZ2" s="515">
        <f t="shared" si="10"/>
        <v>8584.4649869999994</v>
      </c>
      <c r="CA2" s="515">
        <f t="shared" si="10"/>
        <v>9480.8348249999999</v>
      </c>
      <c r="CB2" s="515">
        <f t="shared" si="10"/>
        <v>10708.171987799999</v>
      </c>
      <c r="CC2" s="515">
        <f t="shared" si="10"/>
        <v>15272.763009</v>
      </c>
    </row>
    <row r="3" spans="1:81">
      <c r="A3" s="687" t="s">
        <v>10</v>
      </c>
      <c r="B3" s="515">
        <f>'Vtas Diarias 2021'!XD8</f>
        <v>7348.4359200000008</v>
      </c>
      <c r="C3" s="515">
        <f>'Vtas Diarias 2021'!XH8</f>
        <v>8398.2124800000001</v>
      </c>
      <c r="D3" s="515">
        <f>'Vtas Diarias 2021'!XL8</f>
        <v>11547.542160000001</v>
      </c>
      <c r="E3" s="515">
        <f t="shared" ref="E3:K3" si="11">$K35*E$32</f>
        <v>7044.2211074400011</v>
      </c>
      <c r="F3" s="515">
        <f t="shared" si="11"/>
        <v>6945.4160259000009</v>
      </c>
      <c r="G3" s="515">
        <f t="shared" si="11"/>
        <v>7003.5366621000012</v>
      </c>
      <c r="H3" s="515">
        <f t="shared" si="11"/>
        <v>7236.0192069000013</v>
      </c>
      <c r="I3" s="515">
        <f t="shared" si="11"/>
        <v>7991.587477500002</v>
      </c>
      <c r="J3" s="515">
        <f t="shared" si="11"/>
        <v>9026.1348018600002</v>
      </c>
      <c r="K3" s="515">
        <f t="shared" si="11"/>
        <v>12873.720918300001</v>
      </c>
      <c r="L3" s="515">
        <f t="shared" ref="L3:R3" si="12">$R35*L$32</f>
        <v>9717.6103963200003</v>
      </c>
      <c r="M3" s="515">
        <f t="shared" si="12"/>
        <v>9581.3072801999988</v>
      </c>
      <c r="N3" s="515">
        <f t="shared" si="12"/>
        <v>9661.4855838000003</v>
      </c>
      <c r="O3" s="515">
        <f t="shared" si="12"/>
        <v>9982.1987981999991</v>
      </c>
      <c r="P3" s="515">
        <f t="shared" si="12"/>
        <v>11024.516745000001</v>
      </c>
      <c r="Q3" s="515">
        <f t="shared" si="12"/>
        <v>12451.69054908</v>
      </c>
      <c r="R3" s="515">
        <f t="shared" si="12"/>
        <v>17759.494247400002</v>
      </c>
      <c r="S3" s="515">
        <f t="shared" ref="S3:Y3" si="13">$Y35*S$32</f>
        <v>9241.4001312000019</v>
      </c>
      <c r="T3" s="515">
        <f t="shared" si="13"/>
        <v>9111.7765319999999</v>
      </c>
      <c r="U3" s="515">
        <f t="shared" si="13"/>
        <v>9188.025708000001</v>
      </c>
      <c r="V3" s="515">
        <f t="shared" si="13"/>
        <v>9493.0224120000003</v>
      </c>
      <c r="W3" s="515">
        <f t="shared" si="13"/>
        <v>10484.261700000001</v>
      </c>
      <c r="X3" s="515">
        <f t="shared" si="13"/>
        <v>11841.4970328</v>
      </c>
      <c r="Y3" s="515">
        <f t="shared" si="13"/>
        <v>16889.192484000003</v>
      </c>
      <c r="Z3" s="515">
        <f t="shared" ref="Z3:AF3" si="14">$AF35*Z$32</f>
        <v>10276.173734400001</v>
      </c>
      <c r="AA3" s="515">
        <f t="shared" si="14"/>
        <v>10132.035984</v>
      </c>
      <c r="AB3" s="515">
        <f t="shared" si="14"/>
        <v>10216.822896000001</v>
      </c>
      <c r="AC3" s="515">
        <f t="shared" si="14"/>
        <v>10555.970544000002</v>
      </c>
      <c r="AD3" s="515">
        <f t="shared" si="14"/>
        <v>11658.200400000003</v>
      </c>
      <c r="AE3" s="515">
        <f t="shared" si="14"/>
        <v>13167.407433600001</v>
      </c>
      <c r="AF3" s="515">
        <f t="shared" si="14"/>
        <v>18780.301008000002</v>
      </c>
      <c r="AG3" s="515">
        <f t="shared" ref="AG3:AM3" si="15">$AM35*AG$32</f>
        <v>12350.541792</v>
      </c>
      <c r="AH3" s="515">
        <f t="shared" si="15"/>
        <v>12177.30812</v>
      </c>
      <c r="AI3" s="515">
        <f t="shared" si="15"/>
        <v>12279.210279999999</v>
      </c>
      <c r="AJ3" s="515">
        <f t="shared" si="15"/>
        <v>12686.81892</v>
      </c>
      <c r="AK3" s="515">
        <f t="shared" si="15"/>
        <v>14011.547000000002</v>
      </c>
      <c r="AL3" s="515">
        <f t="shared" si="15"/>
        <v>15825.405448</v>
      </c>
      <c r="AM3" s="515">
        <f t="shared" si="15"/>
        <v>22571.328440000001</v>
      </c>
      <c r="AN3" s="515">
        <f t="shared" ref="AN3:AT3" si="16">$AT35*AN$32</f>
        <v>10005.100177800001</v>
      </c>
      <c r="AO3" s="515">
        <f t="shared" si="16"/>
        <v>9864.7646142499998</v>
      </c>
      <c r="AP3" s="515">
        <f t="shared" si="16"/>
        <v>9947.3149457500003</v>
      </c>
      <c r="AQ3" s="515">
        <f t="shared" si="16"/>
        <v>10277.516271750001</v>
      </c>
      <c r="AR3" s="515">
        <f t="shared" si="16"/>
        <v>11350.67058125</v>
      </c>
      <c r="AS3" s="515">
        <f t="shared" si="16"/>
        <v>12820.06648195</v>
      </c>
      <c r="AT3" s="515">
        <f t="shared" si="16"/>
        <v>18284.898427250002</v>
      </c>
      <c r="AU3" s="515">
        <f t="shared" ref="AU3:BA3" si="17">$BA35*AU$32</f>
        <v>13770.6148008</v>
      </c>
      <c r="AV3" s="515">
        <f t="shared" si="17"/>
        <v>13577.462612999998</v>
      </c>
      <c r="AW3" s="515">
        <f t="shared" si="17"/>
        <v>13691.081546999998</v>
      </c>
      <c r="AX3" s="515">
        <f t="shared" si="17"/>
        <v>14145.557282999998</v>
      </c>
      <c r="AY3" s="515">
        <f t="shared" si="17"/>
        <v>15622.603425000001</v>
      </c>
      <c r="AZ3" s="515">
        <f t="shared" si="17"/>
        <v>17645.020450199998</v>
      </c>
      <c r="BA3" s="515">
        <f t="shared" si="17"/>
        <v>25166.593881000001</v>
      </c>
      <c r="BB3" s="515">
        <f t="shared" ref="BB3:BH3" si="18">$BH35*BB$32</f>
        <v>15072.266222640001</v>
      </c>
      <c r="BC3" s="515">
        <f t="shared" si="18"/>
        <v>14860.856547900001</v>
      </c>
      <c r="BD3" s="515">
        <f t="shared" si="18"/>
        <v>14985.2151801</v>
      </c>
      <c r="BE3" s="515">
        <f t="shared" si="18"/>
        <v>15482.6497089</v>
      </c>
      <c r="BF3" s="515">
        <f t="shared" si="18"/>
        <v>17099.311927500003</v>
      </c>
      <c r="BG3" s="515">
        <f t="shared" si="18"/>
        <v>19312.895580659999</v>
      </c>
      <c r="BH3" s="515">
        <f t="shared" si="18"/>
        <v>27545.4370323</v>
      </c>
      <c r="BI3" s="515">
        <f t="shared" ref="BI3:BO3" si="19">$BO35*BI$32</f>
        <v>20821.212070559999</v>
      </c>
      <c r="BJ3" s="515">
        <f t="shared" si="19"/>
        <v>20529.165366599998</v>
      </c>
      <c r="BK3" s="515">
        <f t="shared" si="19"/>
        <v>20700.957545399997</v>
      </c>
      <c r="BL3" s="515">
        <f t="shared" si="19"/>
        <v>21388.126260599998</v>
      </c>
      <c r="BM3" s="515">
        <f t="shared" si="19"/>
        <v>23621.424585000001</v>
      </c>
      <c r="BN3" s="515">
        <f t="shared" si="19"/>
        <v>26679.325367639998</v>
      </c>
      <c r="BO3" s="515">
        <f t="shared" si="19"/>
        <v>38051.967604199999</v>
      </c>
      <c r="BP3" s="515">
        <f t="shared" ref="BP3:BV3" si="20">$BV35*BP$32</f>
        <v>37050.915337919992</v>
      </c>
      <c r="BQ3" s="515">
        <f t="shared" si="20"/>
        <v>36531.224281199989</v>
      </c>
      <c r="BR3" s="515">
        <f t="shared" si="20"/>
        <v>36836.92490279999</v>
      </c>
      <c r="BS3" s="515">
        <f t="shared" si="20"/>
        <v>38059.727389199994</v>
      </c>
      <c r="BT3" s="515">
        <f t="shared" si="20"/>
        <v>42033.835469999998</v>
      </c>
      <c r="BU3" s="515">
        <f t="shared" si="20"/>
        <v>47475.306534479991</v>
      </c>
      <c r="BV3" s="515">
        <f t="shared" si="20"/>
        <v>67712.687684399993</v>
      </c>
      <c r="BW3" s="515">
        <f t="shared" ref="BW3:CC3" si="21">$CC35*BW$32</f>
        <v>8350.2885240000014</v>
      </c>
      <c r="BX3" s="515">
        <f t="shared" si="21"/>
        <v>8233.1640150000003</v>
      </c>
      <c r="BY3" s="515">
        <f t="shared" si="21"/>
        <v>8302.0607849999997</v>
      </c>
      <c r="BZ3" s="515">
        <f t="shared" si="21"/>
        <v>8577.6478650000008</v>
      </c>
      <c r="CA3" s="515">
        <f t="shared" si="21"/>
        <v>9473.3058750000018</v>
      </c>
      <c r="CB3" s="515">
        <f t="shared" si="21"/>
        <v>10699.668380999999</v>
      </c>
      <c r="CC3" s="515">
        <f t="shared" si="21"/>
        <v>15260.634555000001</v>
      </c>
    </row>
    <row r="4" spans="1:81">
      <c r="A4" s="687" t="s">
        <v>11</v>
      </c>
      <c r="B4" s="515">
        <f>'Vtas Diarias 2021'!XD9</f>
        <v>8168.0322360000009</v>
      </c>
      <c r="C4" s="515">
        <f>'Vtas Diarias 2021'!XH9</f>
        <v>9334.8939840000003</v>
      </c>
      <c r="D4" s="515">
        <f>'Vtas Diarias 2021'!XL9</f>
        <v>12835.479228</v>
      </c>
      <c r="E4" s="515">
        <f t="shared" ref="E4:K4" si="22">$K36*E$32</f>
        <v>8143.1405135999994</v>
      </c>
      <c r="F4" s="515">
        <f t="shared" si="22"/>
        <v>8028.9215459999996</v>
      </c>
      <c r="G4" s="515">
        <f t="shared" si="22"/>
        <v>8096.1091739999993</v>
      </c>
      <c r="H4" s="515">
        <f t="shared" si="22"/>
        <v>8364.8596859999998</v>
      </c>
      <c r="I4" s="515">
        <f t="shared" si="22"/>
        <v>9238.298850000001</v>
      </c>
      <c r="J4" s="515">
        <f t="shared" si="22"/>
        <v>10434.238628399999</v>
      </c>
      <c r="K4" s="515">
        <f t="shared" si="22"/>
        <v>14882.059601999999</v>
      </c>
      <c r="L4" s="515">
        <f t="shared" ref="L4:R4" si="23">$R36*L$32</f>
        <v>10346.455251000001</v>
      </c>
      <c r="M4" s="515">
        <f t="shared" si="23"/>
        <v>10201.33170375</v>
      </c>
      <c r="N4" s="515">
        <f t="shared" si="23"/>
        <v>10286.698496250001</v>
      </c>
      <c r="O4" s="515">
        <f t="shared" si="23"/>
        <v>10628.165666250001</v>
      </c>
      <c r="P4" s="515">
        <f t="shared" si="23"/>
        <v>11737.933968750003</v>
      </c>
      <c r="Q4" s="515">
        <f t="shared" si="23"/>
        <v>13257.462875250001</v>
      </c>
      <c r="R4" s="515">
        <f t="shared" si="23"/>
        <v>18908.744538750001</v>
      </c>
      <c r="S4" s="515">
        <f t="shared" ref="S4:Y4" si="24">$Y36*S$32</f>
        <v>7754.0583953999994</v>
      </c>
      <c r="T4" s="515">
        <f t="shared" si="24"/>
        <v>7645.2968502499989</v>
      </c>
      <c r="U4" s="515">
        <f t="shared" si="24"/>
        <v>7709.274229749999</v>
      </c>
      <c r="V4" s="515">
        <f t="shared" si="24"/>
        <v>7965.1837477499994</v>
      </c>
      <c r="W4" s="515">
        <f t="shared" si="24"/>
        <v>8796.8896812500006</v>
      </c>
      <c r="X4" s="515">
        <f t="shared" si="24"/>
        <v>9935.6870363499984</v>
      </c>
      <c r="Y4" s="515">
        <f t="shared" si="24"/>
        <v>14170.98955925</v>
      </c>
      <c r="Z4" s="515">
        <f t="shared" ref="Z4:AF4" si="25">$AF36*Z$32</f>
        <v>8286.674376959998</v>
      </c>
      <c r="AA4" s="515">
        <f t="shared" si="25"/>
        <v>8170.4421455999982</v>
      </c>
      <c r="AB4" s="515">
        <f t="shared" si="25"/>
        <v>8238.8140463999989</v>
      </c>
      <c r="AC4" s="515">
        <f t="shared" si="25"/>
        <v>8512.3016495999982</v>
      </c>
      <c r="AD4" s="515">
        <f t="shared" si="25"/>
        <v>9401.1363599999986</v>
      </c>
      <c r="AE4" s="515">
        <f t="shared" si="25"/>
        <v>10618.156194239999</v>
      </c>
      <c r="AF4" s="515">
        <f t="shared" si="25"/>
        <v>15144.376027199998</v>
      </c>
      <c r="AG4" s="515">
        <f t="shared" ref="AG4:AM4" si="26">$AM36*AG$32</f>
        <v>12762.432138239999</v>
      </c>
      <c r="AH4" s="515">
        <f t="shared" si="26"/>
        <v>12583.421126399999</v>
      </c>
      <c r="AI4" s="515">
        <f t="shared" si="26"/>
        <v>12688.721721599999</v>
      </c>
      <c r="AJ4" s="515">
        <f t="shared" si="26"/>
        <v>13109.9241024</v>
      </c>
      <c r="AK4" s="515">
        <f t="shared" si="26"/>
        <v>14478.831840000001</v>
      </c>
      <c r="AL4" s="515">
        <f t="shared" si="26"/>
        <v>16353.182434559998</v>
      </c>
      <c r="AM4" s="515">
        <f t="shared" si="26"/>
        <v>23324.0818368</v>
      </c>
      <c r="AN4" s="515">
        <f t="shared" ref="AN4:AT4" si="27">$AT36*AN$32</f>
        <v>9972.8925503999999</v>
      </c>
      <c r="AO4" s="515">
        <f t="shared" si="27"/>
        <v>9833.0087440000007</v>
      </c>
      <c r="AP4" s="515">
        <f t="shared" si="27"/>
        <v>9915.2933360000006</v>
      </c>
      <c r="AQ4" s="515">
        <f t="shared" si="27"/>
        <v>10244.431704000001</v>
      </c>
      <c r="AR4" s="515">
        <f t="shared" si="27"/>
        <v>11314.131400000002</v>
      </c>
      <c r="AS4" s="515">
        <f t="shared" si="27"/>
        <v>12778.7971376</v>
      </c>
      <c r="AT4" s="515">
        <f t="shared" si="27"/>
        <v>18226.037128</v>
      </c>
      <c r="AU4" s="515">
        <f t="shared" ref="AU4:BA4" si="28">$BA36*AU$32</f>
        <v>12453.2689728</v>
      </c>
      <c r="AV4" s="515">
        <f t="shared" si="28"/>
        <v>12278.594408000001</v>
      </c>
      <c r="AW4" s="515">
        <f t="shared" si="28"/>
        <v>12381.344152</v>
      </c>
      <c r="AX4" s="515">
        <f t="shared" si="28"/>
        <v>12792.343128</v>
      </c>
      <c r="AY4" s="515">
        <f t="shared" si="28"/>
        <v>14128.089800000002</v>
      </c>
      <c r="AZ4" s="515">
        <f t="shared" si="28"/>
        <v>15957.0352432</v>
      </c>
      <c r="BA4" s="515">
        <f t="shared" si="28"/>
        <v>22759.068296000001</v>
      </c>
      <c r="BB4" s="515">
        <f t="shared" ref="BB4:BH4" si="29">$BH36*BB$32</f>
        <v>14329.480617720003</v>
      </c>
      <c r="BC4" s="515">
        <f t="shared" si="29"/>
        <v>14128.489552950003</v>
      </c>
      <c r="BD4" s="515">
        <f t="shared" si="29"/>
        <v>14246.719591050001</v>
      </c>
      <c r="BE4" s="515">
        <f t="shared" si="29"/>
        <v>14719.639743450003</v>
      </c>
      <c r="BF4" s="515">
        <f t="shared" si="29"/>
        <v>16256.630238750004</v>
      </c>
      <c r="BG4" s="515">
        <f t="shared" si="29"/>
        <v>18361.124916930003</v>
      </c>
      <c r="BH4" s="515">
        <f t="shared" si="29"/>
        <v>26187.953439150006</v>
      </c>
      <c r="BI4" s="515">
        <f t="shared" ref="BI4:BO4" si="30">$BO36*BI$32</f>
        <v>17444.539044360001</v>
      </c>
      <c r="BJ4" s="515">
        <f t="shared" si="30"/>
        <v>17199.854915849999</v>
      </c>
      <c r="BK4" s="515">
        <f t="shared" si="30"/>
        <v>17343.786756150002</v>
      </c>
      <c r="BL4" s="515">
        <f t="shared" si="30"/>
        <v>17919.514117350001</v>
      </c>
      <c r="BM4" s="515">
        <f t="shared" si="30"/>
        <v>19790.628041250002</v>
      </c>
      <c r="BN4" s="515">
        <f t="shared" si="30"/>
        <v>22352.614798590002</v>
      </c>
      <c r="BO4" s="515">
        <f t="shared" si="30"/>
        <v>31880.902626450003</v>
      </c>
      <c r="BP4" s="515">
        <f t="shared" ref="BP4:BV4" si="31">$BV36*BP$32</f>
        <v>32684.533959120003</v>
      </c>
      <c r="BQ4" s="515">
        <f t="shared" si="31"/>
        <v>32226.087525700001</v>
      </c>
      <c r="BR4" s="515">
        <f t="shared" si="31"/>
        <v>32495.761898299999</v>
      </c>
      <c r="BS4" s="515">
        <f t="shared" si="31"/>
        <v>33574.459388700001</v>
      </c>
      <c r="BT4" s="515">
        <f t="shared" si="31"/>
        <v>37080.226232500005</v>
      </c>
      <c r="BU4" s="515">
        <f t="shared" si="31"/>
        <v>41880.430064779997</v>
      </c>
      <c r="BV4" s="515">
        <f t="shared" si="31"/>
        <v>59732.873530900004</v>
      </c>
      <c r="BW4" s="515">
        <f t="shared" ref="BW4:CC4" si="32">$CC36*BW$32</f>
        <v>6055.8061164000001</v>
      </c>
      <c r="BX4" s="515">
        <f t="shared" si="32"/>
        <v>5970.8649414999991</v>
      </c>
      <c r="BY4" s="515">
        <f t="shared" si="32"/>
        <v>6020.830338499999</v>
      </c>
      <c r="BZ4" s="515">
        <f t="shared" si="32"/>
        <v>6220.6919264999997</v>
      </c>
      <c r="CA4" s="515">
        <f t="shared" si="32"/>
        <v>6870.2420874999998</v>
      </c>
      <c r="CB4" s="515">
        <f t="shared" si="32"/>
        <v>7759.6261540999994</v>
      </c>
      <c r="CC4" s="515">
        <f t="shared" si="32"/>
        <v>11067.335435499999</v>
      </c>
    </row>
    <row r="5" spans="1:81">
      <c r="A5" s="687" t="s">
        <v>12</v>
      </c>
      <c r="B5" s="515">
        <f>'Vtas Diarias 2021'!XD10</f>
        <v>6609.5629600000011</v>
      </c>
      <c r="C5" s="515">
        <f>'Vtas Diarias 2021'!XH10</f>
        <v>7553.7862400000013</v>
      </c>
      <c r="D5" s="515">
        <f>'Vtas Diarias 2021'!XL10</f>
        <v>10386.456080000002</v>
      </c>
      <c r="E5" s="515">
        <f t="shared" ref="E5:K5" si="33">$K37*E$32</f>
        <v>7447.7672942400004</v>
      </c>
      <c r="F5" s="515">
        <f t="shared" si="33"/>
        <v>7343.3019113999999</v>
      </c>
      <c r="G5" s="515">
        <f t="shared" si="33"/>
        <v>7404.7521366000001</v>
      </c>
      <c r="H5" s="515">
        <f t="shared" si="33"/>
        <v>7650.5530374</v>
      </c>
      <c r="I5" s="515">
        <f t="shared" si="33"/>
        <v>8449.4059649999999</v>
      </c>
      <c r="J5" s="515">
        <f t="shared" si="33"/>
        <v>9543.2199735599988</v>
      </c>
      <c r="K5" s="515">
        <f t="shared" si="33"/>
        <v>13611.224881800001</v>
      </c>
      <c r="L5" s="515">
        <f t="shared" ref="L5:R5" si="34">$R37*L$32</f>
        <v>8890.869345359999</v>
      </c>
      <c r="M5" s="515">
        <f t="shared" si="34"/>
        <v>8766.1624320999981</v>
      </c>
      <c r="N5" s="515">
        <f t="shared" si="34"/>
        <v>8839.5194398999993</v>
      </c>
      <c r="O5" s="515">
        <f t="shared" si="34"/>
        <v>9132.9474710999984</v>
      </c>
      <c r="P5" s="515">
        <f t="shared" si="34"/>
        <v>10086.588572499999</v>
      </c>
      <c r="Q5" s="515">
        <f t="shared" si="34"/>
        <v>11392.343311339999</v>
      </c>
      <c r="R5" s="515">
        <f t="shared" si="34"/>
        <v>16248.577227699998</v>
      </c>
      <c r="S5" s="515">
        <f t="shared" ref="S5:Y5" si="35">$Y37*S$32</f>
        <v>6335.8999829999993</v>
      </c>
      <c r="T5" s="515">
        <f t="shared" si="35"/>
        <v>6247.0300987499995</v>
      </c>
      <c r="U5" s="515">
        <f t="shared" si="35"/>
        <v>6299.3065012499992</v>
      </c>
      <c r="V5" s="515">
        <f t="shared" si="35"/>
        <v>6508.4121112499997</v>
      </c>
      <c r="W5" s="515">
        <f t="shared" si="35"/>
        <v>7188.0053437500001</v>
      </c>
      <c r="X5" s="515">
        <f t="shared" si="35"/>
        <v>8118.5253082499994</v>
      </c>
      <c r="Y5" s="515">
        <f t="shared" si="35"/>
        <v>11579.223153749999</v>
      </c>
      <c r="Z5" s="515">
        <f t="shared" ref="Z5:AF5" si="36">$AF37*Z$32</f>
        <v>7265.8491605999998</v>
      </c>
      <c r="AA5" s="515">
        <f t="shared" si="36"/>
        <v>7163.9354347499993</v>
      </c>
      <c r="AB5" s="515">
        <f t="shared" si="36"/>
        <v>7223.8846852499992</v>
      </c>
      <c r="AC5" s="515">
        <f t="shared" si="36"/>
        <v>7463.6816872499994</v>
      </c>
      <c r="AD5" s="515">
        <f t="shared" si="36"/>
        <v>8243.02194375</v>
      </c>
      <c r="AE5" s="515">
        <f t="shared" si="36"/>
        <v>9310.1186026499981</v>
      </c>
      <c r="AF5" s="515">
        <f t="shared" si="36"/>
        <v>13278.758985749999</v>
      </c>
      <c r="AG5" s="515">
        <f t="shared" ref="AG5:AM5" si="37">$AM37*AG$32</f>
        <v>8912.6759160000001</v>
      </c>
      <c r="AH5" s="515">
        <f t="shared" si="37"/>
        <v>8787.6631349999989</v>
      </c>
      <c r="AI5" s="515">
        <f t="shared" si="37"/>
        <v>8861.2000649999991</v>
      </c>
      <c r="AJ5" s="515">
        <f t="shared" si="37"/>
        <v>9155.3477849999999</v>
      </c>
      <c r="AK5" s="515">
        <f t="shared" si="37"/>
        <v>10111.327874999999</v>
      </c>
      <c r="AL5" s="515">
        <f t="shared" si="37"/>
        <v>11420.285228999999</v>
      </c>
      <c r="AM5" s="515">
        <f t="shared" si="37"/>
        <v>16288.429994999999</v>
      </c>
      <c r="AN5" s="515">
        <f t="shared" ref="AN5:AT5" si="38">$AT37*AN$32</f>
        <v>6477.7148910000014</v>
      </c>
      <c r="AO5" s="515">
        <f t="shared" si="38"/>
        <v>6386.8558537500003</v>
      </c>
      <c r="AP5" s="515">
        <f t="shared" si="38"/>
        <v>6440.3023462500005</v>
      </c>
      <c r="AQ5" s="515">
        <f t="shared" si="38"/>
        <v>6654.0883162500013</v>
      </c>
      <c r="AR5" s="515">
        <f t="shared" si="38"/>
        <v>7348.8927187500012</v>
      </c>
      <c r="AS5" s="515">
        <f t="shared" si="38"/>
        <v>8300.2402852499999</v>
      </c>
      <c r="AT5" s="515">
        <f t="shared" si="38"/>
        <v>11838.398088750002</v>
      </c>
      <c r="AU5" s="515">
        <f t="shared" ref="AU5:BA5" si="39">$BA37*AU$32</f>
        <v>7738.0179995999997</v>
      </c>
      <c r="AV5" s="515">
        <f t="shared" si="39"/>
        <v>7629.4814434999989</v>
      </c>
      <c r="AW5" s="515">
        <f t="shared" si="39"/>
        <v>7693.3264764999994</v>
      </c>
      <c r="AX5" s="515">
        <f t="shared" si="39"/>
        <v>7948.7066084999997</v>
      </c>
      <c r="AY5" s="515">
        <f t="shared" si="39"/>
        <v>8778.6920375000009</v>
      </c>
      <c r="AZ5" s="515">
        <f t="shared" si="39"/>
        <v>9915.1336248999996</v>
      </c>
      <c r="BA5" s="515">
        <f t="shared" si="39"/>
        <v>14141.674809499998</v>
      </c>
      <c r="BB5" s="515">
        <f t="shared" ref="BB5:BH5" si="40">$BH37*BB$32</f>
        <v>11141.33727</v>
      </c>
      <c r="BC5" s="515">
        <f t="shared" si="40"/>
        <v>10985.064387499999</v>
      </c>
      <c r="BD5" s="515">
        <f t="shared" si="40"/>
        <v>11076.989612499998</v>
      </c>
      <c r="BE5" s="515">
        <f t="shared" si="40"/>
        <v>11444.690512499999</v>
      </c>
      <c r="BF5" s="515">
        <f t="shared" si="40"/>
        <v>12639.7184375</v>
      </c>
      <c r="BG5" s="515">
        <f t="shared" si="40"/>
        <v>14275.987442499998</v>
      </c>
      <c r="BH5" s="515">
        <f t="shared" si="40"/>
        <v>20361.4373375</v>
      </c>
      <c r="BI5" s="515">
        <f t="shared" ref="BI5:BO5" si="41">$BO37*BI$32</f>
        <v>16666.325928000002</v>
      </c>
      <c r="BJ5" s="515">
        <f t="shared" si="41"/>
        <v>16432.55733</v>
      </c>
      <c r="BK5" s="515">
        <f t="shared" si="41"/>
        <v>16570.06827</v>
      </c>
      <c r="BL5" s="515">
        <f t="shared" si="41"/>
        <v>17120.11203</v>
      </c>
      <c r="BM5" s="515">
        <f t="shared" si="41"/>
        <v>18907.754250000002</v>
      </c>
      <c r="BN5" s="515">
        <f t="shared" si="41"/>
        <v>21355.448981999998</v>
      </c>
      <c r="BO5" s="515">
        <f t="shared" si="41"/>
        <v>30458.673210000001</v>
      </c>
      <c r="BP5" s="515">
        <f t="shared" ref="BP5:BV5" si="42">$BV37*BP$32</f>
        <v>28683.302449559997</v>
      </c>
      <c r="BQ5" s="515">
        <f t="shared" si="42"/>
        <v>28280.978900349997</v>
      </c>
      <c r="BR5" s="515">
        <f t="shared" si="42"/>
        <v>28517.639811649995</v>
      </c>
      <c r="BS5" s="515">
        <f t="shared" si="42"/>
        <v>29464.283456849997</v>
      </c>
      <c r="BT5" s="515">
        <f t="shared" si="42"/>
        <v>32540.875303749999</v>
      </c>
      <c r="BU5" s="515">
        <f t="shared" si="42"/>
        <v>36753.439524889996</v>
      </c>
      <c r="BV5" s="515">
        <f t="shared" si="42"/>
        <v>52420.391852949993</v>
      </c>
      <c r="BW5" s="515">
        <f t="shared" ref="BW5:CC5" si="43">$CC37*BW$32</f>
        <v>6970.5426336</v>
      </c>
      <c r="BX5" s="515">
        <f t="shared" si="43"/>
        <v>6872.7709960000002</v>
      </c>
      <c r="BY5" s="515">
        <f t="shared" si="43"/>
        <v>6930.2837239999999</v>
      </c>
      <c r="BZ5" s="515">
        <f t="shared" si="43"/>
        <v>7160.3346360000005</v>
      </c>
      <c r="CA5" s="515">
        <f t="shared" si="43"/>
        <v>7908.0001000000011</v>
      </c>
      <c r="CB5" s="515">
        <f t="shared" si="43"/>
        <v>8931.7266584000008</v>
      </c>
      <c r="CC5" s="515">
        <f t="shared" si="43"/>
        <v>12739.069252000001</v>
      </c>
    </row>
    <row r="6" spans="1:81">
      <c r="A6" s="687" t="s">
        <v>13</v>
      </c>
      <c r="B6" s="515">
        <f>'Vtas Diarias 2021'!XD11</f>
        <v>9386.2257720000016</v>
      </c>
      <c r="C6" s="515">
        <f>'Vtas Diarias 2021'!XH11</f>
        <v>10727.115168000002</v>
      </c>
      <c r="D6" s="515">
        <f>'Vtas Diarias 2021'!XL11</f>
        <v>14749.783356000002</v>
      </c>
      <c r="E6" s="515">
        <f t="shared" ref="E6:K6" si="44">$K38*E$32</f>
        <v>7494.5532576000005</v>
      </c>
      <c r="F6" s="515">
        <f t="shared" si="44"/>
        <v>7389.4316359999993</v>
      </c>
      <c r="G6" s="515">
        <f t="shared" si="44"/>
        <v>7451.2678839999999</v>
      </c>
      <c r="H6" s="515">
        <f t="shared" si="44"/>
        <v>7698.6128760000001</v>
      </c>
      <c r="I6" s="515">
        <f t="shared" si="44"/>
        <v>8502.4841000000015</v>
      </c>
      <c r="J6" s="515">
        <f t="shared" si="44"/>
        <v>9603.1693144000001</v>
      </c>
      <c r="K6" s="515">
        <f t="shared" si="44"/>
        <v>13696.728932</v>
      </c>
      <c r="L6" s="515">
        <f t="shared" ref="L6:R6" si="45">$R38*L$32</f>
        <v>11102.503880999999</v>
      </c>
      <c r="M6" s="515">
        <f t="shared" si="45"/>
        <v>10946.775691249999</v>
      </c>
      <c r="N6" s="515">
        <f t="shared" si="45"/>
        <v>11038.380508749999</v>
      </c>
      <c r="O6" s="515">
        <f t="shared" si="45"/>
        <v>11404.799778749999</v>
      </c>
      <c r="P6" s="515">
        <f t="shared" si="45"/>
        <v>12595.66240625</v>
      </c>
      <c r="Q6" s="515">
        <f t="shared" si="45"/>
        <v>14226.228157749998</v>
      </c>
      <c r="R6" s="515">
        <f t="shared" si="45"/>
        <v>20290.467076249999</v>
      </c>
      <c r="S6" s="515">
        <f t="shared" ref="S6:Y6" si="46">$Y38*S$32</f>
        <v>8414.6270470799991</v>
      </c>
      <c r="T6" s="515">
        <f t="shared" si="46"/>
        <v>8296.6001000499982</v>
      </c>
      <c r="U6" s="515">
        <f t="shared" si="46"/>
        <v>8366.0277159499983</v>
      </c>
      <c r="V6" s="515">
        <f t="shared" si="46"/>
        <v>8643.7381795499987</v>
      </c>
      <c r="W6" s="515">
        <f t="shared" si="46"/>
        <v>9546.2971862499999</v>
      </c>
      <c r="X6" s="515">
        <f t="shared" si="46"/>
        <v>10782.108749269997</v>
      </c>
      <c r="Y6" s="515">
        <f t="shared" si="46"/>
        <v>15378.216921849998</v>
      </c>
      <c r="Z6" s="515">
        <f t="shared" ref="Z6:AF6" si="47">$AF38*Z$32</f>
        <v>9439.2874435199992</v>
      </c>
      <c r="AA6" s="515">
        <f t="shared" si="47"/>
        <v>9306.8881971999999</v>
      </c>
      <c r="AB6" s="515">
        <f t="shared" si="47"/>
        <v>9384.7701067999988</v>
      </c>
      <c r="AC6" s="515">
        <f t="shared" si="47"/>
        <v>9696.2977451999996</v>
      </c>
      <c r="AD6" s="515">
        <f t="shared" si="47"/>
        <v>10708.762570000001</v>
      </c>
      <c r="AE6" s="515">
        <f t="shared" si="47"/>
        <v>12095.06056088</v>
      </c>
      <c r="AF6" s="515">
        <f t="shared" si="47"/>
        <v>17250.842976399999</v>
      </c>
      <c r="AG6" s="515">
        <f t="shared" ref="AG6:AM6" si="48">$AM38*AG$32</f>
        <v>12392.674063200002</v>
      </c>
      <c r="AH6" s="515">
        <f t="shared" si="48"/>
        <v>12218.849427000001</v>
      </c>
      <c r="AI6" s="515">
        <f t="shared" si="48"/>
        <v>12321.099213000001</v>
      </c>
      <c r="AJ6" s="515">
        <f t="shared" si="48"/>
        <v>12730.098357000001</v>
      </c>
      <c r="AK6" s="515">
        <f t="shared" si="48"/>
        <v>14059.345575000003</v>
      </c>
      <c r="AL6" s="515">
        <f t="shared" si="48"/>
        <v>15879.391765800001</v>
      </c>
      <c r="AM6" s="515">
        <f t="shared" si="48"/>
        <v>22648.327599</v>
      </c>
      <c r="AN6" s="515">
        <f t="shared" ref="AN6:AT6" si="49">$AT38*AN$32</f>
        <v>9339.9685158000011</v>
      </c>
      <c r="AO6" s="515">
        <f t="shared" si="49"/>
        <v>9208.9623567500003</v>
      </c>
      <c r="AP6" s="515">
        <f t="shared" si="49"/>
        <v>9286.0248032500003</v>
      </c>
      <c r="AQ6" s="515">
        <f t="shared" si="49"/>
        <v>9594.2745892500006</v>
      </c>
      <c r="AR6" s="515">
        <f t="shared" si="49"/>
        <v>10596.086393750002</v>
      </c>
      <c r="AS6" s="515">
        <f t="shared" si="49"/>
        <v>11967.797941450001</v>
      </c>
      <c r="AT6" s="515">
        <f t="shared" si="49"/>
        <v>17069.331899750003</v>
      </c>
      <c r="AU6" s="515">
        <f t="shared" ref="AU6:BA6" si="50">$BA38*AU$32</f>
        <v>11831.6625336</v>
      </c>
      <c r="AV6" s="515">
        <f t="shared" si="50"/>
        <v>11665.706871</v>
      </c>
      <c r="AW6" s="515">
        <f t="shared" si="50"/>
        <v>11763.327848999999</v>
      </c>
      <c r="AX6" s="515">
        <f t="shared" si="50"/>
        <v>12153.811761000001</v>
      </c>
      <c r="AY6" s="515">
        <f t="shared" si="50"/>
        <v>13422.884475000001</v>
      </c>
      <c r="AZ6" s="515">
        <f t="shared" si="50"/>
        <v>15160.5378834</v>
      </c>
      <c r="BA6" s="515">
        <f t="shared" si="50"/>
        <v>21623.046627</v>
      </c>
      <c r="BB6" s="515">
        <f t="shared" ref="BB6:BH6" si="51">$BH38*BB$32</f>
        <v>13729.243483800001</v>
      </c>
      <c r="BC6" s="515">
        <f t="shared" si="51"/>
        <v>13536.671586750001</v>
      </c>
      <c r="BD6" s="515">
        <f t="shared" si="51"/>
        <v>13649.949173250001</v>
      </c>
      <c r="BE6" s="515">
        <f t="shared" si="51"/>
        <v>14103.05951925</v>
      </c>
      <c r="BF6" s="515">
        <f t="shared" si="51"/>
        <v>15575.668143750001</v>
      </c>
      <c r="BG6" s="515">
        <f t="shared" si="51"/>
        <v>17592.009183450002</v>
      </c>
      <c r="BH6" s="515">
        <f t="shared" si="51"/>
        <v>25090.985409750003</v>
      </c>
      <c r="BI6" s="515">
        <f t="shared" ref="BI6:BO6" si="52">$BO38*BI$32</f>
        <v>19474.384694040004</v>
      </c>
      <c r="BJ6" s="515">
        <f t="shared" si="52"/>
        <v>19201.229133150002</v>
      </c>
      <c r="BK6" s="515">
        <f t="shared" si="52"/>
        <v>19361.90887485</v>
      </c>
      <c r="BL6" s="515">
        <f t="shared" si="52"/>
        <v>20004.627841650003</v>
      </c>
      <c r="BM6" s="515">
        <f t="shared" si="52"/>
        <v>22093.464483750002</v>
      </c>
      <c r="BN6" s="515">
        <f t="shared" si="52"/>
        <v>24953.563886010001</v>
      </c>
      <c r="BO6" s="515">
        <f t="shared" si="52"/>
        <v>35590.562786550006</v>
      </c>
      <c r="BP6" s="515">
        <f t="shared" ref="BP6:BV6" si="53">$BV38*BP$32</f>
        <v>30939.756624000001</v>
      </c>
      <c r="BQ6" s="515">
        <f t="shared" si="53"/>
        <v>30505.78314</v>
      </c>
      <c r="BR6" s="515">
        <f t="shared" si="53"/>
        <v>30761.061660000003</v>
      </c>
      <c r="BS6" s="515">
        <f t="shared" si="53"/>
        <v>31782.175740000002</v>
      </c>
      <c r="BT6" s="515">
        <f t="shared" si="53"/>
        <v>35100.796500000004</v>
      </c>
      <c r="BU6" s="515">
        <f t="shared" si="53"/>
        <v>39644.754156000003</v>
      </c>
      <c r="BV6" s="515">
        <f t="shared" si="53"/>
        <v>56544.192180000005</v>
      </c>
      <c r="BW6" s="515">
        <f t="shared" ref="BW6:CC6" si="54">$CC38*BW$32</f>
        <v>6002.3751570000004</v>
      </c>
      <c r="BX6" s="515">
        <f t="shared" si="54"/>
        <v>5918.1834262499997</v>
      </c>
      <c r="BY6" s="515">
        <f t="shared" si="54"/>
        <v>5967.7079737499998</v>
      </c>
      <c r="BZ6" s="515">
        <f t="shared" si="54"/>
        <v>6165.8061637500005</v>
      </c>
      <c r="CA6" s="515">
        <f t="shared" si="54"/>
        <v>6809.6252812500006</v>
      </c>
      <c r="CB6" s="515">
        <f t="shared" si="54"/>
        <v>7691.1622267499997</v>
      </c>
      <c r="CC6" s="515">
        <f t="shared" si="54"/>
        <v>10969.687271250001</v>
      </c>
    </row>
    <row r="7" spans="1:81">
      <c r="A7" s="687" t="s">
        <v>14</v>
      </c>
      <c r="B7" s="515">
        <f>'Vtas Diarias 2021'!XD12</f>
        <v>11381.461252000003</v>
      </c>
      <c r="C7" s="515">
        <f>'Vtas Diarias 2021'!XH12</f>
        <v>13007.384288000001</v>
      </c>
      <c r="D7" s="515">
        <f>'Vtas Diarias 2021'!XL12</f>
        <v>17885.153396000002</v>
      </c>
      <c r="E7" s="515">
        <f t="shared" ref="E7:K7" si="55">$K39*E$32</f>
        <v>9626.9256960000002</v>
      </c>
      <c r="F7" s="515">
        <f t="shared" si="55"/>
        <v>9491.8945600000006</v>
      </c>
      <c r="G7" s="515">
        <f t="shared" si="55"/>
        <v>9571.3246400000007</v>
      </c>
      <c r="H7" s="515">
        <f t="shared" si="55"/>
        <v>9889.0449600000011</v>
      </c>
      <c r="I7" s="515">
        <f t="shared" si="55"/>
        <v>10921.636</v>
      </c>
      <c r="J7" s="515">
        <f t="shared" si="55"/>
        <v>12335.491424</v>
      </c>
      <c r="K7" s="515">
        <f t="shared" si="55"/>
        <v>17593.762719999999</v>
      </c>
      <c r="L7" s="515">
        <f t="shared" ref="L7:R7" si="56">$R39*L$32</f>
        <v>14217.569858400002</v>
      </c>
      <c r="M7" s="515">
        <f t="shared" si="56"/>
        <v>14018.148499000001</v>
      </c>
      <c r="N7" s="515">
        <f t="shared" si="56"/>
        <v>14135.455181000001</v>
      </c>
      <c r="O7" s="515">
        <f t="shared" si="56"/>
        <v>14604.681909000003</v>
      </c>
      <c r="P7" s="515">
        <f t="shared" si="56"/>
        <v>16129.668775000004</v>
      </c>
      <c r="Q7" s="515">
        <f t="shared" si="56"/>
        <v>18217.727714600001</v>
      </c>
      <c r="R7" s="515">
        <f t="shared" si="56"/>
        <v>25983.430063000003</v>
      </c>
      <c r="S7" s="515">
        <f t="shared" ref="S7:Y7" si="57">$Y39*S$32</f>
        <v>10964.069059200001</v>
      </c>
      <c r="T7" s="515">
        <f t="shared" si="57"/>
        <v>10810.282612000001</v>
      </c>
      <c r="U7" s="515">
        <f t="shared" si="57"/>
        <v>10900.745228000002</v>
      </c>
      <c r="V7" s="515">
        <f t="shared" si="57"/>
        <v>11262.595692000001</v>
      </c>
      <c r="W7" s="515">
        <f t="shared" si="57"/>
        <v>12438.609700000003</v>
      </c>
      <c r="X7" s="515">
        <f t="shared" si="57"/>
        <v>14048.8442648</v>
      </c>
      <c r="Y7" s="515">
        <f t="shared" si="57"/>
        <v>20037.469444000002</v>
      </c>
      <c r="Z7" s="515">
        <f t="shared" ref="Z7:AF7" si="58">$AF39*Z$32</f>
        <v>13232.232038400001</v>
      </c>
      <c r="AA7" s="515">
        <f t="shared" si="58"/>
        <v>13046.631424000001</v>
      </c>
      <c r="AB7" s="515">
        <f t="shared" si="58"/>
        <v>13155.808256</v>
      </c>
      <c r="AC7" s="515">
        <f t="shared" si="58"/>
        <v>13592.515584000001</v>
      </c>
      <c r="AD7" s="515">
        <f t="shared" si="58"/>
        <v>15011.814400000003</v>
      </c>
      <c r="AE7" s="515">
        <f t="shared" si="58"/>
        <v>16955.162009600001</v>
      </c>
      <c r="AF7" s="515">
        <f t="shared" si="58"/>
        <v>24182.668288000001</v>
      </c>
      <c r="AG7" s="515">
        <f t="shared" ref="AG7:AM7" si="59">$AM39*AG$32</f>
        <v>15833.146890599999</v>
      </c>
      <c r="AH7" s="515">
        <f t="shared" si="59"/>
        <v>15611.064797249997</v>
      </c>
      <c r="AI7" s="515">
        <f t="shared" si="59"/>
        <v>15741.701322749997</v>
      </c>
      <c r="AJ7" s="515">
        <f t="shared" si="59"/>
        <v>16264.247424749998</v>
      </c>
      <c r="AK7" s="515">
        <f t="shared" si="59"/>
        <v>17962.522256249998</v>
      </c>
      <c r="AL7" s="515">
        <f t="shared" si="59"/>
        <v>20287.852410149997</v>
      </c>
      <c r="AM7" s="515">
        <f t="shared" si="59"/>
        <v>28935.990398249996</v>
      </c>
      <c r="AN7" s="515">
        <f t="shared" ref="AN7:AT7" si="60">$AT39*AN$32</f>
        <v>16871.937182999998</v>
      </c>
      <c r="AO7" s="515">
        <f t="shared" si="60"/>
        <v>16635.28459875</v>
      </c>
      <c r="AP7" s="515">
        <f t="shared" si="60"/>
        <v>16774.492001250001</v>
      </c>
      <c r="AQ7" s="515">
        <f t="shared" si="60"/>
        <v>17331.321611250001</v>
      </c>
      <c r="AR7" s="515">
        <f t="shared" si="60"/>
        <v>19141.01784375</v>
      </c>
      <c r="AS7" s="515">
        <f t="shared" si="60"/>
        <v>21618.90960825</v>
      </c>
      <c r="AT7" s="515">
        <f t="shared" si="60"/>
        <v>30834.43965375</v>
      </c>
      <c r="AU7" s="515">
        <f t="shared" ref="AU7:BA7" si="61">$BA39*AU$32</f>
        <v>24693.284363999996</v>
      </c>
      <c r="AV7" s="515">
        <f t="shared" si="61"/>
        <v>24346.926414999994</v>
      </c>
      <c r="AW7" s="515">
        <f t="shared" si="61"/>
        <v>24550.666384999997</v>
      </c>
      <c r="AX7" s="515">
        <f t="shared" si="61"/>
        <v>25365.626264999995</v>
      </c>
      <c r="AY7" s="515">
        <f t="shared" si="61"/>
        <v>28014.245874999997</v>
      </c>
      <c r="AZ7" s="515">
        <f t="shared" si="61"/>
        <v>31640.817340999994</v>
      </c>
      <c r="BA7" s="515">
        <f t="shared" si="61"/>
        <v>45128.403354999995</v>
      </c>
      <c r="BB7" s="515">
        <f t="shared" ref="BB7:BH7" si="62">$BH39*BB$32</f>
        <v>29943.895371599996</v>
      </c>
      <c r="BC7" s="515">
        <f t="shared" si="62"/>
        <v>29523.890238499993</v>
      </c>
      <c r="BD7" s="515">
        <f t="shared" si="62"/>
        <v>29770.952081499996</v>
      </c>
      <c r="BE7" s="515">
        <f t="shared" si="62"/>
        <v>30759.199453499994</v>
      </c>
      <c r="BF7" s="515">
        <f t="shared" si="62"/>
        <v>33971.003412499995</v>
      </c>
      <c r="BG7" s="515">
        <f t="shared" si="62"/>
        <v>38368.704217899991</v>
      </c>
      <c r="BH7" s="515">
        <f t="shared" si="62"/>
        <v>54724.198224499996</v>
      </c>
      <c r="BI7" s="515">
        <f t="shared" ref="BI7:BO7" si="63">$BO39*BI$32</f>
        <v>38980.702630799999</v>
      </c>
      <c r="BJ7" s="515">
        <f t="shared" si="63"/>
        <v>38433.943600499995</v>
      </c>
      <c r="BK7" s="515">
        <f t="shared" si="63"/>
        <v>38755.566559499995</v>
      </c>
      <c r="BL7" s="515">
        <f t="shared" si="63"/>
        <v>40042.058395499997</v>
      </c>
      <c r="BM7" s="515">
        <f t="shared" si="63"/>
        <v>44223.1568625</v>
      </c>
      <c r="BN7" s="515">
        <f t="shared" si="63"/>
        <v>49948.045532699995</v>
      </c>
      <c r="BO7" s="515">
        <f t="shared" si="63"/>
        <v>71239.4854185</v>
      </c>
      <c r="BP7" s="515">
        <f t="shared" ref="BP7:BV7" si="64">$BV39*BP$32</f>
        <v>49568.766094319995</v>
      </c>
      <c r="BQ7" s="515">
        <f t="shared" si="64"/>
        <v>48873.494622699996</v>
      </c>
      <c r="BR7" s="515">
        <f t="shared" si="64"/>
        <v>49282.477841299995</v>
      </c>
      <c r="BS7" s="515">
        <f t="shared" si="64"/>
        <v>50918.410715699996</v>
      </c>
      <c r="BT7" s="515">
        <f t="shared" si="64"/>
        <v>56235.192557499999</v>
      </c>
      <c r="BU7" s="515">
        <f t="shared" si="64"/>
        <v>63515.093848579992</v>
      </c>
      <c r="BV7" s="515">
        <f t="shared" si="64"/>
        <v>90589.782919899997</v>
      </c>
      <c r="BW7" s="515">
        <f t="shared" ref="BW7:CC7" si="65">$CC39*BW$32</f>
        <v>11087.2421952</v>
      </c>
      <c r="BX7" s="515">
        <f t="shared" si="65"/>
        <v>10931.728072</v>
      </c>
      <c r="BY7" s="515">
        <f t="shared" si="65"/>
        <v>11023.206968</v>
      </c>
      <c r="BZ7" s="515">
        <f t="shared" si="65"/>
        <v>11389.122552000001</v>
      </c>
      <c r="CA7" s="515">
        <f t="shared" si="65"/>
        <v>12578.348200000002</v>
      </c>
      <c r="CB7" s="515">
        <f t="shared" si="65"/>
        <v>14206.672548800001</v>
      </c>
      <c r="CC7" s="515">
        <f t="shared" si="65"/>
        <v>20262.575464000001</v>
      </c>
    </row>
    <row r="8" spans="1:81">
      <c r="A8" s="687" t="s">
        <v>15</v>
      </c>
      <c r="B8" s="515">
        <f>'Vtas Diarias 2021'!XD13</f>
        <v>11321.603552</v>
      </c>
      <c r="C8" s="515">
        <f>'Vtas Diarias 2021'!XH13</f>
        <v>12938.975488</v>
      </c>
      <c r="D8" s="515">
        <f>'Vtas Diarias 2021'!XL13</f>
        <v>17791.091295999999</v>
      </c>
      <c r="E8" s="515">
        <f t="shared" ref="E8:K8" si="66">$K40*E$32</f>
        <v>10323.428160000001</v>
      </c>
      <c r="F8" s="515">
        <f t="shared" si="66"/>
        <v>10178.6276</v>
      </c>
      <c r="G8" s="515">
        <f t="shared" si="66"/>
        <v>10263.804400000001</v>
      </c>
      <c r="H8" s="515">
        <f t="shared" si="66"/>
        <v>10604.5116</v>
      </c>
      <c r="I8" s="515">
        <f t="shared" si="66"/>
        <v>11711.810000000001</v>
      </c>
      <c r="J8" s="515">
        <f t="shared" si="66"/>
        <v>13227.957039999999</v>
      </c>
      <c r="K8" s="515">
        <f t="shared" si="66"/>
        <v>18866.661200000002</v>
      </c>
      <c r="L8" s="515">
        <f t="shared" ref="L8:R8" si="67">$R40*L$32</f>
        <v>15961.674072959999</v>
      </c>
      <c r="M8" s="515">
        <f t="shared" si="67"/>
        <v>15737.789205599998</v>
      </c>
      <c r="N8" s="515">
        <f t="shared" si="67"/>
        <v>15869.486186399998</v>
      </c>
      <c r="O8" s="515">
        <f t="shared" si="67"/>
        <v>16396.274109599999</v>
      </c>
      <c r="P8" s="515">
        <f t="shared" si="67"/>
        <v>18108.334859999999</v>
      </c>
      <c r="Q8" s="515">
        <f t="shared" si="67"/>
        <v>20452.541118239998</v>
      </c>
      <c r="R8" s="515">
        <f t="shared" si="67"/>
        <v>29170.881247199999</v>
      </c>
      <c r="S8" s="515">
        <f t="shared" ref="S8:Y8" si="68">$Y40*S$32</f>
        <v>11260.287858600001</v>
      </c>
      <c r="T8" s="515">
        <f t="shared" si="68"/>
        <v>11102.34652725</v>
      </c>
      <c r="U8" s="515">
        <f t="shared" si="68"/>
        <v>11195.25319275</v>
      </c>
      <c r="V8" s="515">
        <f t="shared" si="68"/>
        <v>11566.879854750001</v>
      </c>
      <c r="W8" s="515">
        <f t="shared" si="68"/>
        <v>12774.666506250001</v>
      </c>
      <c r="X8" s="515">
        <f t="shared" si="68"/>
        <v>14428.405152150001</v>
      </c>
      <c r="Y8" s="515">
        <f t="shared" si="68"/>
        <v>20578.826408249999</v>
      </c>
      <c r="Z8" s="515">
        <f t="shared" ref="Z8:AF8" si="69">$AF40*Z$32</f>
        <v>16056.808400999998</v>
      </c>
      <c r="AA8" s="515">
        <f t="shared" si="69"/>
        <v>15831.589141249997</v>
      </c>
      <c r="AB8" s="515">
        <f t="shared" si="69"/>
        <v>15964.071058749998</v>
      </c>
      <c r="AC8" s="515">
        <f t="shared" si="69"/>
        <v>16493.998728749997</v>
      </c>
      <c r="AD8" s="515">
        <f t="shared" si="69"/>
        <v>18216.263656249997</v>
      </c>
      <c r="AE8" s="515">
        <f t="shared" si="69"/>
        <v>20574.441787749995</v>
      </c>
      <c r="AF8" s="515">
        <f t="shared" si="69"/>
        <v>29344.744726249995</v>
      </c>
      <c r="AG8" s="515">
        <f t="shared" ref="AG8:AM8" si="70">$AM40*AG$32</f>
        <v>19143.130344000001</v>
      </c>
      <c r="AH8" s="515">
        <f t="shared" si="70"/>
        <v>18874.621089999997</v>
      </c>
      <c r="AI8" s="515">
        <f t="shared" si="70"/>
        <v>19032.567709999999</v>
      </c>
      <c r="AJ8" s="515">
        <f t="shared" si="70"/>
        <v>19664.354189999998</v>
      </c>
      <c r="AK8" s="515">
        <f t="shared" si="70"/>
        <v>21717.660250000001</v>
      </c>
      <c r="AL8" s="515">
        <f t="shared" si="70"/>
        <v>24529.110085999997</v>
      </c>
      <c r="AM8" s="515">
        <f t="shared" si="70"/>
        <v>34985.176330000002</v>
      </c>
      <c r="AN8" s="515">
        <f t="shared" ref="AN8:AT8" si="71">$AT40*AN$32</f>
        <v>15958.5943446</v>
      </c>
      <c r="AO8" s="515">
        <f t="shared" si="71"/>
        <v>15734.75267475</v>
      </c>
      <c r="AP8" s="515">
        <f t="shared" si="71"/>
        <v>15866.42424525</v>
      </c>
      <c r="AQ8" s="515">
        <f t="shared" si="71"/>
        <v>16393.110527249999</v>
      </c>
      <c r="AR8" s="515">
        <f t="shared" si="71"/>
        <v>18104.840943750001</v>
      </c>
      <c r="AS8" s="515">
        <f t="shared" si="71"/>
        <v>20448.594898650001</v>
      </c>
      <c r="AT8" s="515">
        <f t="shared" si="71"/>
        <v>29165.252865750001</v>
      </c>
      <c r="AU8" s="515">
        <f t="shared" ref="AU8:BA8" si="72">$BA40*AU$32</f>
        <v>20455.563851160001</v>
      </c>
      <c r="AV8" s="515">
        <f t="shared" si="72"/>
        <v>20168.645876349998</v>
      </c>
      <c r="AW8" s="515">
        <f t="shared" si="72"/>
        <v>20337.421155649998</v>
      </c>
      <c r="AX8" s="515">
        <f t="shared" si="72"/>
        <v>21012.522272849998</v>
      </c>
      <c r="AY8" s="515">
        <f t="shared" si="72"/>
        <v>23206.600903750001</v>
      </c>
      <c r="AZ8" s="515">
        <f t="shared" si="72"/>
        <v>26210.800875289999</v>
      </c>
      <c r="BA8" s="515">
        <f t="shared" si="72"/>
        <v>37383.724364950001</v>
      </c>
      <c r="BB8" s="515">
        <f t="shared" ref="BB8:BH8" si="73">$BH40*BB$32</f>
        <v>26350.22387772</v>
      </c>
      <c r="BC8" s="515">
        <f t="shared" si="73"/>
        <v>25980.625027949998</v>
      </c>
      <c r="BD8" s="515">
        <f t="shared" si="73"/>
        <v>26198.03611605</v>
      </c>
      <c r="BE8" s="515">
        <f t="shared" si="73"/>
        <v>27067.680468449998</v>
      </c>
      <c r="BF8" s="515">
        <f t="shared" si="73"/>
        <v>29894.02461375</v>
      </c>
      <c r="BG8" s="515">
        <f t="shared" si="73"/>
        <v>33763.941981929995</v>
      </c>
      <c r="BH8" s="515">
        <f t="shared" si="73"/>
        <v>48156.556014150003</v>
      </c>
      <c r="BI8" s="515">
        <f t="shared" ref="BI8:BO8" si="74">$BO40*BI$32</f>
        <v>35536.259279279999</v>
      </c>
      <c r="BJ8" s="515">
        <f t="shared" si="74"/>
        <v>35037.813398300001</v>
      </c>
      <c r="BK8" s="515">
        <f t="shared" si="74"/>
        <v>35331.0168577</v>
      </c>
      <c r="BL8" s="515">
        <f t="shared" si="74"/>
        <v>36503.830695299999</v>
      </c>
      <c r="BM8" s="515">
        <f t="shared" si="74"/>
        <v>40315.475667500003</v>
      </c>
      <c r="BN8" s="515">
        <f t="shared" si="74"/>
        <v>45534.497244819999</v>
      </c>
      <c r="BO8" s="515">
        <f t="shared" si="74"/>
        <v>64944.566257099999</v>
      </c>
      <c r="BP8" s="515">
        <f t="shared" ref="BP8:BV8" si="75">$BV40*BP$32</f>
        <v>55085.680093199997</v>
      </c>
      <c r="BQ8" s="515">
        <f t="shared" si="75"/>
        <v>54313.026164499999</v>
      </c>
      <c r="BR8" s="515">
        <f t="shared" si="75"/>
        <v>54767.528475499996</v>
      </c>
      <c r="BS8" s="515">
        <f t="shared" si="75"/>
        <v>56585.537719499996</v>
      </c>
      <c r="BT8" s="515">
        <f t="shared" si="75"/>
        <v>62494.067762500003</v>
      </c>
      <c r="BU8" s="515">
        <f t="shared" si="75"/>
        <v>70584.208898299999</v>
      </c>
      <c r="BV8" s="515">
        <f t="shared" si="75"/>
        <v>100672.2618865</v>
      </c>
      <c r="BW8" s="515">
        <f t="shared" ref="BW8:CC8" si="76">$CC40*BW$32</f>
        <v>11758.0059</v>
      </c>
      <c r="BX8" s="515">
        <f t="shared" si="76"/>
        <v>11593.083375</v>
      </c>
      <c r="BY8" s="515">
        <f t="shared" si="76"/>
        <v>11690.096625</v>
      </c>
      <c r="BZ8" s="515">
        <f t="shared" si="76"/>
        <v>12078.149625</v>
      </c>
      <c r="CA8" s="515">
        <f t="shared" si="76"/>
        <v>13339.321875000001</v>
      </c>
      <c r="CB8" s="515">
        <f t="shared" si="76"/>
        <v>15066.157724999999</v>
      </c>
      <c r="CC8" s="515">
        <f t="shared" si="76"/>
        <v>21488.434874999999</v>
      </c>
    </row>
    <row r="9" spans="1:81">
      <c r="A9" s="687" t="s">
        <v>16</v>
      </c>
      <c r="B9" s="515">
        <f>'Vtas Diarias 2021'!XD14</f>
        <v>9268.4927580000021</v>
      </c>
      <c r="C9" s="515">
        <f>'Vtas Diarias 2021'!XH14</f>
        <v>10592.563152000001</v>
      </c>
      <c r="D9" s="515">
        <f>'Vtas Diarias 2021'!XL14</f>
        <v>14564.774334000002</v>
      </c>
      <c r="E9" s="515">
        <f t="shared" ref="E9:K9" si="77">$K41*E$32</f>
        <v>9671.33735136</v>
      </c>
      <c r="F9" s="515">
        <f t="shared" si="77"/>
        <v>9535.6832795999999</v>
      </c>
      <c r="G9" s="515">
        <f t="shared" si="77"/>
        <v>9615.4797923999995</v>
      </c>
      <c r="H9" s="515">
        <f t="shared" si="77"/>
        <v>9934.6658435999998</v>
      </c>
      <c r="I9" s="515">
        <f t="shared" si="77"/>
        <v>10972.02051</v>
      </c>
      <c r="J9" s="515">
        <f t="shared" si="77"/>
        <v>12392.398437839998</v>
      </c>
      <c r="K9" s="515">
        <f t="shared" si="77"/>
        <v>17674.927585199999</v>
      </c>
      <c r="L9" s="515">
        <f t="shared" ref="L9:R9" si="78">$R41*L$32</f>
        <v>9504.3176549999989</v>
      </c>
      <c r="M9" s="515">
        <f t="shared" si="78"/>
        <v>9371.0062687499994</v>
      </c>
      <c r="N9" s="515">
        <f t="shared" si="78"/>
        <v>9449.4247312499992</v>
      </c>
      <c r="O9" s="515">
        <f t="shared" si="78"/>
        <v>9763.0985812499985</v>
      </c>
      <c r="P9" s="515">
        <f t="shared" si="78"/>
        <v>10782.53859375</v>
      </c>
      <c r="Q9" s="515">
        <f t="shared" si="78"/>
        <v>12178.387226249999</v>
      </c>
      <c r="R9" s="515">
        <f t="shared" si="78"/>
        <v>17369.689443749998</v>
      </c>
      <c r="S9" s="515">
        <f t="shared" ref="S9:Y9" si="79">$Y41*S$32</f>
        <v>6772.1381729999994</v>
      </c>
      <c r="T9" s="515">
        <f t="shared" si="79"/>
        <v>6677.1494362499989</v>
      </c>
      <c r="U9" s="515">
        <f t="shared" si="79"/>
        <v>6733.0251637499987</v>
      </c>
      <c r="V9" s="515">
        <f t="shared" si="79"/>
        <v>6956.5280737499988</v>
      </c>
      <c r="W9" s="515">
        <f t="shared" si="79"/>
        <v>7682.91253125</v>
      </c>
      <c r="X9" s="515">
        <f t="shared" si="79"/>
        <v>8677.500480749999</v>
      </c>
      <c r="Y9" s="515">
        <f t="shared" si="79"/>
        <v>12376.473641249999</v>
      </c>
      <c r="Z9" s="515">
        <f t="shared" ref="Z9:AF9" si="80">$AF41*Z$32</f>
        <v>8552.8409334000007</v>
      </c>
      <c r="AA9" s="515">
        <f t="shared" si="80"/>
        <v>8432.8753427499996</v>
      </c>
      <c r="AB9" s="515">
        <f t="shared" si="80"/>
        <v>8503.4433372500007</v>
      </c>
      <c r="AC9" s="515">
        <f t="shared" si="80"/>
        <v>8785.7153152499995</v>
      </c>
      <c r="AD9" s="515">
        <f t="shared" si="80"/>
        <v>9703.0992437500008</v>
      </c>
      <c r="AE9" s="515">
        <f t="shared" si="80"/>
        <v>10959.209545849999</v>
      </c>
      <c r="AF9" s="515">
        <f t="shared" si="80"/>
        <v>15630.81078175</v>
      </c>
      <c r="AG9" s="515">
        <f t="shared" ref="AG9:AM9" si="81">$AM41*AG$32</f>
        <v>11469.95474436</v>
      </c>
      <c r="AH9" s="515">
        <f t="shared" si="81"/>
        <v>11309.072540849998</v>
      </c>
      <c r="AI9" s="515">
        <f t="shared" si="81"/>
        <v>11403.709131149999</v>
      </c>
      <c r="AJ9" s="515">
        <f t="shared" si="81"/>
        <v>11782.255492349999</v>
      </c>
      <c r="AK9" s="515">
        <f t="shared" si="81"/>
        <v>13012.531166250001</v>
      </c>
      <c r="AL9" s="515">
        <f t="shared" si="81"/>
        <v>14697.062473589998</v>
      </c>
      <c r="AM9" s="515">
        <f t="shared" si="81"/>
        <v>20962.00475145</v>
      </c>
      <c r="AN9" s="515">
        <f t="shared" ref="AN9:AT9" si="82">$AT41*AN$32</f>
        <v>11908.920225240001</v>
      </c>
      <c r="AO9" s="515">
        <f t="shared" si="82"/>
        <v>11741.880915150001</v>
      </c>
      <c r="AP9" s="515">
        <f t="shared" si="82"/>
        <v>11840.13933285</v>
      </c>
      <c r="AQ9" s="515">
        <f t="shared" si="82"/>
        <v>12233.173003650001</v>
      </c>
      <c r="AR9" s="515">
        <f t="shared" si="82"/>
        <v>13510.532433750002</v>
      </c>
      <c r="AS9" s="515">
        <f t="shared" si="82"/>
        <v>15259.53226881</v>
      </c>
      <c r="AT9" s="515">
        <f t="shared" si="82"/>
        <v>21764.23952055</v>
      </c>
      <c r="AU9" s="515">
        <f t="shared" ref="AU9:BA9" si="83">$BA41*AU$32</f>
        <v>14766.542652599999</v>
      </c>
      <c r="AV9" s="515">
        <f t="shared" si="83"/>
        <v>14559.421179749999</v>
      </c>
      <c r="AW9" s="515">
        <f t="shared" si="83"/>
        <v>14681.25734025</v>
      </c>
      <c r="AX9" s="515">
        <f t="shared" si="83"/>
        <v>15168.60198225</v>
      </c>
      <c r="AY9" s="515">
        <f t="shared" si="83"/>
        <v>16752.472068750001</v>
      </c>
      <c r="AZ9" s="515">
        <f t="shared" si="83"/>
        <v>18921.155725649998</v>
      </c>
      <c r="BA9" s="515">
        <f t="shared" si="83"/>
        <v>26986.709550750002</v>
      </c>
      <c r="BB9" s="515">
        <f t="shared" ref="BB9:BH9" si="84">$BH41*BB$32</f>
        <v>20734.535551199999</v>
      </c>
      <c r="BC9" s="515">
        <f t="shared" si="84"/>
        <v>20443.704606999996</v>
      </c>
      <c r="BD9" s="515">
        <f t="shared" si="84"/>
        <v>20614.781632999999</v>
      </c>
      <c r="BE9" s="515">
        <f t="shared" si="84"/>
        <v>21299.089736999998</v>
      </c>
      <c r="BF9" s="515">
        <f t="shared" si="84"/>
        <v>23523.091075</v>
      </c>
      <c r="BG9" s="515">
        <f t="shared" si="84"/>
        <v>26568.262137799997</v>
      </c>
      <c r="BH9" s="515">
        <f t="shared" si="84"/>
        <v>37893.561258999995</v>
      </c>
      <c r="BI9" s="515">
        <f t="shared" ref="BI9:BO9" si="85">$BO41*BI$32</f>
        <v>26697.448473</v>
      </c>
      <c r="BJ9" s="515">
        <f t="shared" si="85"/>
        <v>26322.979311250001</v>
      </c>
      <c r="BK9" s="515">
        <f t="shared" si="85"/>
        <v>26543.255288749999</v>
      </c>
      <c r="BL9" s="515">
        <f t="shared" si="85"/>
        <v>27424.35919875</v>
      </c>
      <c r="BM9" s="515">
        <f t="shared" si="85"/>
        <v>30287.946906250003</v>
      </c>
      <c r="BN9" s="515">
        <f t="shared" si="85"/>
        <v>34208.859305749997</v>
      </c>
      <c r="BO9" s="515">
        <f t="shared" si="85"/>
        <v>48791.129016250001</v>
      </c>
      <c r="BP9" s="515">
        <f t="shared" ref="BP9:BV9" si="86">$BV41*BP$32</f>
        <v>44566.832616480002</v>
      </c>
      <c r="BQ9" s="515">
        <f t="shared" si="86"/>
        <v>43941.720277799999</v>
      </c>
      <c r="BR9" s="515">
        <f t="shared" si="86"/>
        <v>44309.433418200002</v>
      </c>
      <c r="BS9" s="515">
        <f t="shared" si="86"/>
        <v>45780.285979800006</v>
      </c>
      <c r="BT9" s="515">
        <f t="shared" si="86"/>
        <v>50560.556805000007</v>
      </c>
      <c r="BU9" s="515">
        <f t="shared" si="86"/>
        <v>57105.850704119999</v>
      </c>
      <c r="BV9" s="515">
        <f t="shared" si="86"/>
        <v>81448.46059860001</v>
      </c>
      <c r="BW9" s="515">
        <f t="shared" ref="BW9:CC9" si="87">$CC41*BW$32</f>
        <v>7474.9118279999993</v>
      </c>
      <c r="BX9" s="515">
        <f t="shared" si="87"/>
        <v>7370.0657049999991</v>
      </c>
      <c r="BY9" s="515">
        <f t="shared" si="87"/>
        <v>7431.7398949999988</v>
      </c>
      <c r="BZ9" s="515">
        <f t="shared" si="87"/>
        <v>7678.4366549999995</v>
      </c>
      <c r="CA9" s="515">
        <f t="shared" si="87"/>
        <v>8480.2011249999996</v>
      </c>
      <c r="CB9" s="515">
        <f t="shared" si="87"/>
        <v>9578.0017069999994</v>
      </c>
      <c r="CC9" s="515">
        <f t="shared" si="87"/>
        <v>13660.833084999998</v>
      </c>
    </row>
    <row r="10" spans="1:81">
      <c r="A10" s="687" t="s">
        <v>17</v>
      </c>
      <c r="B10" s="515">
        <f>'Vtas Diarias 2021'!XD15</f>
        <v>18601.225944000002</v>
      </c>
      <c r="C10" s="515">
        <f>'Vtas Diarias 2021'!XH15</f>
        <v>21258.543936000002</v>
      </c>
      <c r="D10" s="515">
        <f>'Vtas Diarias 2021'!XL15</f>
        <v>29230.497912000003</v>
      </c>
      <c r="E10" s="515">
        <f t="shared" ref="E10:K10" si="88">$K42*E$32</f>
        <v>16673.640396480001</v>
      </c>
      <c r="F10" s="515">
        <f t="shared" si="88"/>
        <v>16439.769202799998</v>
      </c>
      <c r="G10" s="515">
        <f t="shared" si="88"/>
        <v>16577.340493199998</v>
      </c>
      <c r="H10" s="515">
        <f t="shared" si="88"/>
        <v>17127.625654799998</v>
      </c>
      <c r="I10" s="515">
        <f t="shared" si="88"/>
        <v>18916.05243</v>
      </c>
      <c r="J10" s="515">
        <f t="shared" si="88"/>
        <v>21364.821399119999</v>
      </c>
      <c r="K10" s="515">
        <f t="shared" si="88"/>
        <v>30472.0408236</v>
      </c>
      <c r="L10" s="515">
        <f t="shared" ref="L10:R10" si="89">$R42*L$32</f>
        <v>22210.508545200002</v>
      </c>
      <c r="M10" s="515">
        <f t="shared" si="89"/>
        <v>21898.975009500002</v>
      </c>
      <c r="N10" s="515">
        <f t="shared" si="89"/>
        <v>22082.230030499999</v>
      </c>
      <c r="O10" s="515">
        <f t="shared" si="89"/>
        <v>22815.250114500002</v>
      </c>
      <c r="P10" s="515">
        <f t="shared" si="89"/>
        <v>25197.565387500003</v>
      </c>
      <c r="Q10" s="515">
        <f t="shared" si="89"/>
        <v>28459.504761299999</v>
      </c>
      <c r="R10" s="515">
        <f t="shared" si="89"/>
        <v>40590.987151500005</v>
      </c>
      <c r="S10" s="515">
        <f t="shared" ref="S10:Y10" si="90">$Y42*S$32</f>
        <v>15264.811002599998</v>
      </c>
      <c r="T10" s="515">
        <f t="shared" si="90"/>
        <v>15050.700617249997</v>
      </c>
      <c r="U10" s="515">
        <f t="shared" si="90"/>
        <v>15176.647902749997</v>
      </c>
      <c r="V10" s="515">
        <f t="shared" si="90"/>
        <v>15680.437044749999</v>
      </c>
      <c r="W10" s="515">
        <f t="shared" si="90"/>
        <v>17317.75175625</v>
      </c>
      <c r="X10" s="515">
        <f t="shared" si="90"/>
        <v>19559.613438149998</v>
      </c>
      <c r="Y10" s="515">
        <f t="shared" si="90"/>
        <v>27897.323738249997</v>
      </c>
      <c r="Z10" s="515">
        <f t="shared" ref="Z10:AF10" si="91">$AF42*Z$32</f>
        <v>22237.187392200001</v>
      </c>
      <c r="AA10" s="515">
        <f t="shared" si="91"/>
        <v>21925.279648249998</v>
      </c>
      <c r="AB10" s="515">
        <f t="shared" si="91"/>
        <v>22108.754791750001</v>
      </c>
      <c r="AC10" s="515">
        <f t="shared" si="91"/>
        <v>22842.655365750001</v>
      </c>
      <c r="AD10" s="515">
        <f t="shared" si="91"/>
        <v>25227.832231250002</v>
      </c>
      <c r="AE10" s="515">
        <f t="shared" si="91"/>
        <v>28493.689785549999</v>
      </c>
      <c r="AF10" s="515">
        <f t="shared" si="91"/>
        <v>40639.744285250003</v>
      </c>
      <c r="AG10" s="515">
        <f t="shared" ref="AG10:AM10" si="92">$AM42*AG$32</f>
        <v>27709.811287199998</v>
      </c>
      <c r="AH10" s="515">
        <f t="shared" si="92"/>
        <v>27321.142316999998</v>
      </c>
      <c r="AI10" s="515">
        <f t="shared" si="92"/>
        <v>27549.771122999999</v>
      </c>
      <c r="AJ10" s="515">
        <f t="shared" si="92"/>
        <v>28464.286346999997</v>
      </c>
      <c r="AK10" s="515">
        <f t="shared" si="92"/>
        <v>31436.460824999998</v>
      </c>
      <c r="AL10" s="515">
        <f t="shared" si="92"/>
        <v>35506.053571799996</v>
      </c>
      <c r="AM10" s="515">
        <f t="shared" si="92"/>
        <v>50641.280528999996</v>
      </c>
      <c r="AN10" s="515">
        <f t="shared" ref="AN10:AT10" si="93">$AT42*AN$32</f>
        <v>30831.180573599999</v>
      </c>
      <c r="AO10" s="515">
        <f t="shared" si="93"/>
        <v>30398.730020999996</v>
      </c>
      <c r="AP10" s="515">
        <f t="shared" si="93"/>
        <v>30653.112698999998</v>
      </c>
      <c r="AQ10" s="515">
        <f t="shared" si="93"/>
        <v>31670.643410999997</v>
      </c>
      <c r="AR10" s="515">
        <f t="shared" si="93"/>
        <v>34977.618224999998</v>
      </c>
      <c r="AS10" s="515">
        <f t="shared" si="93"/>
        <v>39505.629893399993</v>
      </c>
      <c r="AT10" s="515">
        <f t="shared" si="93"/>
        <v>56345.763177000001</v>
      </c>
      <c r="AU10" s="515">
        <f t="shared" ref="AU10:BA10" si="94">$BA42*AU$32</f>
        <v>42655.352704800003</v>
      </c>
      <c r="AV10" s="515">
        <f t="shared" si="94"/>
        <v>42057.051552999998</v>
      </c>
      <c r="AW10" s="515">
        <f t="shared" si="94"/>
        <v>42408.993406999994</v>
      </c>
      <c r="AX10" s="515">
        <f t="shared" si="94"/>
        <v>43816.760822999997</v>
      </c>
      <c r="AY10" s="515">
        <f t="shared" si="94"/>
        <v>48392.004925000001</v>
      </c>
      <c r="AZ10" s="515">
        <f t="shared" si="94"/>
        <v>54656.569926199998</v>
      </c>
      <c r="BA10" s="515">
        <f t="shared" si="94"/>
        <v>77955.120660999994</v>
      </c>
      <c r="BB10" s="515">
        <f t="shared" ref="BB10:BH10" si="95">$BH42*BB$32</f>
        <v>56951.97288768</v>
      </c>
      <c r="BC10" s="515">
        <f t="shared" si="95"/>
        <v>56153.141584799996</v>
      </c>
      <c r="BD10" s="515">
        <f t="shared" si="95"/>
        <v>56623.042351199991</v>
      </c>
      <c r="BE10" s="515">
        <f t="shared" si="95"/>
        <v>58502.645416799998</v>
      </c>
      <c r="BF10" s="515">
        <f t="shared" si="95"/>
        <v>64611.355380000001</v>
      </c>
      <c r="BG10" s="515">
        <f t="shared" si="95"/>
        <v>72975.589021919994</v>
      </c>
      <c r="BH10" s="515">
        <f t="shared" si="95"/>
        <v>104083.01975759999</v>
      </c>
      <c r="BI10" s="515">
        <f t="shared" ref="BI10:BO10" si="96">$BO42*BI$32</f>
        <v>73787.953921199995</v>
      </c>
      <c r="BJ10" s="515">
        <f t="shared" si="96"/>
        <v>72752.974369499992</v>
      </c>
      <c r="BK10" s="515">
        <f t="shared" si="96"/>
        <v>73361.785870499996</v>
      </c>
      <c r="BL10" s="515">
        <f t="shared" si="96"/>
        <v>75797.031874499997</v>
      </c>
      <c r="BM10" s="515">
        <f t="shared" si="96"/>
        <v>83711.581387500002</v>
      </c>
      <c r="BN10" s="515">
        <f t="shared" si="96"/>
        <v>94548.426105299979</v>
      </c>
      <c r="BO10" s="515">
        <f t="shared" si="96"/>
        <v>134851.74747149998</v>
      </c>
      <c r="BP10" s="515">
        <f t="shared" ref="BP10:BV10" si="97">$BV42*BP$32</f>
        <v>97461.583848720009</v>
      </c>
      <c r="BQ10" s="515">
        <f t="shared" si="97"/>
        <v>96094.548431699994</v>
      </c>
      <c r="BR10" s="515">
        <f t="shared" si="97"/>
        <v>96898.686912299992</v>
      </c>
      <c r="BS10" s="515">
        <f t="shared" si="97"/>
        <v>100115.2408347</v>
      </c>
      <c r="BT10" s="515">
        <f t="shared" si="97"/>
        <v>110569.04108250001</v>
      </c>
      <c r="BU10" s="515">
        <f t="shared" si="97"/>
        <v>124882.70603718</v>
      </c>
      <c r="BV10" s="515">
        <f t="shared" si="97"/>
        <v>178116.6734529</v>
      </c>
      <c r="BW10" s="515">
        <f t="shared" ref="BW10:CC10" si="98">$CC42*BW$32</f>
        <v>15727.858026600001</v>
      </c>
      <c r="BX10" s="515">
        <f t="shared" si="98"/>
        <v>15507.25275725</v>
      </c>
      <c r="BY10" s="515">
        <f t="shared" si="98"/>
        <v>15637.02056275</v>
      </c>
      <c r="BZ10" s="515">
        <f t="shared" si="98"/>
        <v>16156.09178475</v>
      </c>
      <c r="CA10" s="515">
        <f t="shared" si="98"/>
        <v>17843.073256250002</v>
      </c>
      <c r="CB10" s="515">
        <f t="shared" si="98"/>
        <v>20152.94019415</v>
      </c>
      <c r="CC10" s="515">
        <f t="shared" si="98"/>
        <v>28743.568918249999</v>
      </c>
    </row>
    <row r="11" spans="1:81">
      <c r="A11" s="687" t="s">
        <v>18</v>
      </c>
      <c r="B11" s="515">
        <f>'Vtas Diarias 2021'!XD16</f>
        <v>11978.159634000001</v>
      </c>
      <c r="C11" s="515">
        <f>'Vtas Diarias 2021'!XH16</f>
        <v>13689.325296000001</v>
      </c>
      <c r="D11" s="515">
        <f>'Vtas Diarias 2021'!XL16</f>
        <v>18822.822282000001</v>
      </c>
      <c r="E11" s="515">
        <f t="shared" ref="E11:K11" si="99">$K43*E$32</f>
        <v>10901.567043360001</v>
      </c>
      <c r="F11" s="515">
        <f t="shared" si="99"/>
        <v>10748.6572746</v>
      </c>
      <c r="G11" s="515">
        <f t="shared" si="99"/>
        <v>10838.6041974</v>
      </c>
      <c r="H11" s="515">
        <f t="shared" si="99"/>
        <v>11198.391888599999</v>
      </c>
      <c r="I11" s="515">
        <f t="shared" si="99"/>
        <v>12367.701885</v>
      </c>
      <c r="J11" s="515">
        <f t="shared" si="99"/>
        <v>13968.757110839999</v>
      </c>
      <c r="K11" s="515">
        <f t="shared" si="99"/>
        <v>19923.243400200001</v>
      </c>
      <c r="L11" s="515">
        <f t="shared" ref="L11:R11" si="100">$R43*L$32</f>
        <v>16187.865160680001</v>
      </c>
      <c r="M11" s="515">
        <f t="shared" si="100"/>
        <v>15960.80764605</v>
      </c>
      <c r="N11" s="515">
        <f t="shared" si="100"/>
        <v>16094.37088995</v>
      </c>
      <c r="O11" s="515">
        <f t="shared" si="100"/>
        <v>16628.623865549998</v>
      </c>
      <c r="P11" s="515">
        <f t="shared" si="100"/>
        <v>18364.946036250003</v>
      </c>
      <c r="Q11" s="515">
        <f t="shared" si="100"/>
        <v>20742.37177767</v>
      </c>
      <c r="R11" s="515">
        <f t="shared" si="100"/>
        <v>29584.25852385</v>
      </c>
      <c r="S11" s="515">
        <f t="shared" ref="S11:Y11" si="101">$Y43*S$32</f>
        <v>10951.89993684</v>
      </c>
      <c r="T11" s="515">
        <f t="shared" si="101"/>
        <v>10798.284178649999</v>
      </c>
      <c r="U11" s="515">
        <f t="shared" si="101"/>
        <v>10888.646389349999</v>
      </c>
      <c r="V11" s="515">
        <f t="shared" si="101"/>
        <v>11250.095232149999</v>
      </c>
      <c r="W11" s="515">
        <f t="shared" si="101"/>
        <v>12424.803971250001</v>
      </c>
      <c r="X11" s="515">
        <f t="shared" si="101"/>
        <v>14033.251321709999</v>
      </c>
      <c r="Y11" s="515">
        <f t="shared" si="101"/>
        <v>20015.229670050001</v>
      </c>
      <c r="Z11" s="515">
        <f t="shared" ref="Z11:AF11" si="102">$AF43*Z$32</f>
        <v>13362.106928399999</v>
      </c>
      <c r="AA11" s="515">
        <f t="shared" si="102"/>
        <v>13174.684636499998</v>
      </c>
      <c r="AB11" s="515">
        <f t="shared" si="102"/>
        <v>13284.933043499999</v>
      </c>
      <c r="AC11" s="515">
        <f t="shared" si="102"/>
        <v>13725.926671499999</v>
      </c>
      <c r="AD11" s="515">
        <f t="shared" si="102"/>
        <v>15159.155962500001</v>
      </c>
      <c r="AE11" s="515">
        <f t="shared" si="102"/>
        <v>17121.577607099996</v>
      </c>
      <c r="AF11" s="515">
        <f t="shared" si="102"/>
        <v>24420.022150499997</v>
      </c>
      <c r="AG11" s="515">
        <f t="shared" ref="AG11:AM11" si="103">$AM43*AG$32</f>
        <v>16651.744840800002</v>
      </c>
      <c r="AH11" s="515">
        <f t="shared" si="103"/>
        <v>16418.180763</v>
      </c>
      <c r="AI11" s="515">
        <f t="shared" si="103"/>
        <v>16555.571397000003</v>
      </c>
      <c r="AJ11" s="515">
        <f t="shared" si="103"/>
        <v>17105.133933000001</v>
      </c>
      <c r="AK11" s="515">
        <f t="shared" si="103"/>
        <v>18891.212175000004</v>
      </c>
      <c r="AL11" s="515">
        <f t="shared" si="103"/>
        <v>21336.765460200004</v>
      </c>
      <c r="AM11" s="515">
        <f t="shared" si="103"/>
        <v>30432.025431000005</v>
      </c>
      <c r="AN11" s="515">
        <f t="shared" ref="AN11:AT11" si="104">$AT43*AN$32</f>
        <v>13136.627539200001</v>
      </c>
      <c r="AO11" s="515">
        <f t="shared" si="104"/>
        <v>12952.367912</v>
      </c>
      <c r="AP11" s="515">
        <f t="shared" si="104"/>
        <v>13060.755928</v>
      </c>
      <c r="AQ11" s="515">
        <f t="shared" si="104"/>
        <v>13494.307992</v>
      </c>
      <c r="AR11" s="515">
        <f t="shared" si="104"/>
        <v>14903.352200000001</v>
      </c>
      <c r="AS11" s="515">
        <f t="shared" si="104"/>
        <v>16832.658884799999</v>
      </c>
      <c r="AT11" s="515">
        <f t="shared" si="104"/>
        <v>24007.945544000002</v>
      </c>
      <c r="AU11" s="515">
        <f t="shared" ref="AU11:BA11" si="105">$BA43*AU$32</f>
        <v>18839.074086000001</v>
      </c>
      <c r="AV11" s="515">
        <f t="shared" si="105"/>
        <v>18574.829647499999</v>
      </c>
      <c r="AW11" s="515">
        <f t="shared" si="105"/>
        <v>18730.267552499998</v>
      </c>
      <c r="AX11" s="515">
        <f t="shared" si="105"/>
        <v>19352.0191725</v>
      </c>
      <c r="AY11" s="515">
        <f t="shared" si="105"/>
        <v>21372.7119375</v>
      </c>
      <c r="AZ11" s="515">
        <f t="shared" si="105"/>
        <v>24139.506646499998</v>
      </c>
      <c r="BA11" s="515">
        <f t="shared" si="105"/>
        <v>34429.495957500003</v>
      </c>
      <c r="BB11" s="515">
        <f t="shared" ref="BB11:BH11" si="106">$BH43*BB$32</f>
        <v>20169.835542000001</v>
      </c>
      <c r="BC11" s="515">
        <f t="shared" si="106"/>
        <v>19886.925307499998</v>
      </c>
      <c r="BD11" s="515">
        <f t="shared" si="106"/>
        <v>20053.343092499999</v>
      </c>
      <c r="BE11" s="515">
        <f t="shared" si="106"/>
        <v>20719.014232500002</v>
      </c>
      <c r="BF11" s="515">
        <f t="shared" si="106"/>
        <v>22882.445437500002</v>
      </c>
      <c r="BG11" s="515">
        <f t="shared" si="106"/>
        <v>25844.682010500001</v>
      </c>
      <c r="BH11" s="515">
        <f t="shared" si="106"/>
        <v>36861.539377500005</v>
      </c>
      <c r="BI11" s="515">
        <f t="shared" ref="BI11:BO11" si="107">$BO43*BI$32</f>
        <v>48126.844106999997</v>
      </c>
      <c r="BJ11" s="515">
        <f t="shared" si="107"/>
        <v>47451.797613749994</v>
      </c>
      <c r="BK11" s="515">
        <f t="shared" si="107"/>
        <v>47848.883786249993</v>
      </c>
      <c r="BL11" s="515">
        <f t="shared" si="107"/>
        <v>49437.228476249998</v>
      </c>
      <c r="BM11" s="515">
        <f t="shared" si="107"/>
        <v>54599.34871875</v>
      </c>
      <c r="BN11" s="515">
        <f t="shared" si="107"/>
        <v>61667.482589249994</v>
      </c>
      <c r="BO11" s="515">
        <f t="shared" si="107"/>
        <v>87954.587208750003</v>
      </c>
      <c r="BP11" s="515">
        <f t="shared" ref="BP11:BV11" si="108">$BV43*BP$32</f>
        <v>52561.717920720002</v>
      </c>
      <c r="BQ11" s="515">
        <f t="shared" si="108"/>
        <v>51824.466101699996</v>
      </c>
      <c r="BR11" s="515">
        <f t="shared" si="108"/>
        <v>52258.143642299998</v>
      </c>
      <c r="BS11" s="515">
        <f t="shared" si="108"/>
        <v>53992.853804700004</v>
      </c>
      <c r="BT11" s="515">
        <f t="shared" si="108"/>
        <v>59630.661832500009</v>
      </c>
      <c r="BU11" s="515">
        <f t="shared" si="108"/>
        <v>67350.122055179992</v>
      </c>
      <c r="BV11" s="515">
        <f t="shared" si="108"/>
        <v>96059.575242899999</v>
      </c>
      <c r="BW11" s="515">
        <f t="shared" ref="BW11:CC11" si="109">$CC43*BW$32</f>
        <v>11119.9664376</v>
      </c>
      <c r="BX11" s="515">
        <f t="shared" si="109"/>
        <v>10963.993311</v>
      </c>
      <c r="BY11" s="515">
        <f t="shared" si="109"/>
        <v>11055.742209</v>
      </c>
      <c r="BZ11" s="515">
        <f t="shared" si="109"/>
        <v>11422.737800999999</v>
      </c>
      <c r="CA11" s="515">
        <f t="shared" si="109"/>
        <v>12615.473475000001</v>
      </c>
      <c r="CB11" s="515">
        <f t="shared" si="109"/>
        <v>14248.6038594</v>
      </c>
      <c r="CC11" s="515">
        <f t="shared" si="109"/>
        <v>20322.380906999999</v>
      </c>
    </row>
    <row r="12" spans="1:81">
      <c r="A12" s="687" t="s">
        <v>19</v>
      </c>
      <c r="B12" s="515">
        <f>'Vtas Diarias 2021'!XD17</f>
        <v>9128.7998760000028</v>
      </c>
      <c r="C12" s="515">
        <f>'Vtas Diarias 2021'!XH17</f>
        <v>10432.914144000002</v>
      </c>
      <c r="D12" s="515">
        <f>'Vtas Diarias 2021'!XL17</f>
        <v>14345.256948000002</v>
      </c>
      <c r="E12" s="515">
        <f t="shared" ref="E12:K12" si="110">$K44*E$32</f>
        <v>9615.2980104000017</v>
      </c>
      <c r="F12" s="515">
        <f t="shared" si="110"/>
        <v>9480.4299690000007</v>
      </c>
      <c r="G12" s="515">
        <f t="shared" si="110"/>
        <v>9559.7641110000004</v>
      </c>
      <c r="H12" s="515">
        <f t="shared" si="110"/>
        <v>9877.100679000001</v>
      </c>
      <c r="I12" s="515">
        <f t="shared" si="110"/>
        <v>10908.444525000003</v>
      </c>
      <c r="J12" s="515">
        <f t="shared" si="110"/>
        <v>12320.592252600001</v>
      </c>
      <c r="K12" s="515">
        <f t="shared" si="110"/>
        <v>17572.512453000003</v>
      </c>
      <c r="L12" s="515">
        <f t="shared" ref="L12:R12" si="111">$R44*L$32</f>
        <v>11245.7397984</v>
      </c>
      <c r="M12" s="515">
        <f t="shared" si="111"/>
        <v>11088.002524</v>
      </c>
      <c r="N12" s="515">
        <f t="shared" si="111"/>
        <v>11180.789155999999</v>
      </c>
      <c r="O12" s="515">
        <f t="shared" si="111"/>
        <v>11551.935684</v>
      </c>
      <c r="P12" s="515">
        <f t="shared" si="111"/>
        <v>12758.161900000001</v>
      </c>
      <c r="Q12" s="515">
        <f t="shared" si="111"/>
        <v>14409.763949599999</v>
      </c>
      <c r="R12" s="515">
        <f t="shared" si="111"/>
        <v>20552.238988000001</v>
      </c>
      <c r="S12" s="515">
        <f t="shared" ref="S12:Y12" si="112">$Y44*S$32</f>
        <v>12468.4992072</v>
      </c>
      <c r="T12" s="515">
        <f t="shared" si="112"/>
        <v>12293.611016999999</v>
      </c>
      <c r="U12" s="515">
        <f t="shared" si="112"/>
        <v>12396.486423</v>
      </c>
      <c r="V12" s="515">
        <f t="shared" si="112"/>
        <v>12807.988047000001</v>
      </c>
      <c r="W12" s="515">
        <f t="shared" si="112"/>
        <v>14145.368325000001</v>
      </c>
      <c r="X12" s="515">
        <f t="shared" si="112"/>
        <v>15976.550551799999</v>
      </c>
      <c r="Y12" s="515">
        <f t="shared" si="112"/>
        <v>22786.902429000002</v>
      </c>
      <c r="Z12" s="515">
        <f t="shared" ref="Z12:AF12" si="113">$AF44*Z$32</f>
        <v>14868.4788216</v>
      </c>
      <c r="AA12" s="515">
        <f t="shared" si="113"/>
        <v>14659.927550999999</v>
      </c>
      <c r="AB12" s="515">
        <f t="shared" si="113"/>
        <v>14782.604769</v>
      </c>
      <c r="AC12" s="515">
        <f t="shared" si="113"/>
        <v>15273.313640999999</v>
      </c>
      <c r="AD12" s="515">
        <f t="shared" si="113"/>
        <v>16868.117474999999</v>
      </c>
      <c r="AE12" s="515">
        <f t="shared" si="113"/>
        <v>19051.7719554</v>
      </c>
      <c r="AF12" s="515">
        <f t="shared" si="113"/>
        <v>27173.003786999998</v>
      </c>
      <c r="AG12" s="515">
        <f t="shared" ref="AG12:AM12" si="114">$AM44*AG$32</f>
        <v>21724.320805200005</v>
      </c>
      <c r="AH12" s="515">
        <f t="shared" si="114"/>
        <v>21419.606734500001</v>
      </c>
      <c r="AI12" s="515">
        <f t="shared" si="114"/>
        <v>21598.850305500004</v>
      </c>
      <c r="AJ12" s="515">
        <f t="shared" si="114"/>
        <v>22315.824589500004</v>
      </c>
      <c r="AK12" s="515">
        <f t="shared" si="114"/>
        <v>24645.991012500006</v>
      </c>
      <c r="AL12" s="515">
        <f t="shared" si="114"/>
        <v>27836.526576300002</v>
      </c>
      <c r="AM12" s="515">
        <f t="shared" si="114"/>
        <v>39702.450976500004</v>
      </c>
      <c r="AN12" s="515">
        <f t="shared" ref="AN12:AT12" si="115">$AT44*AN$32</f>
        <v>25837.3678836</v>
      </c>
      <c r="AO12" s="515">
        <f t="shared" si="115"/>
        <v>25474.962558499999</v>
      </c>
      <c r="AP12" s="515">
        <f t="shared" si="115"/>
        <v>25688.1421615</v>
      </c>
      <c r="AQ12" s="515">
        <f t="shared" si="115"/>
        <v>26540.860573500002</v>
      </c>
      <c r="AR12" s="515">
        <f t="shared" si="115"/>
        <v>29312.195412500001</v>
      </c>
      <c r="AS12" s="515">
        <f t="shared" si="115"/>
        <v>33106.792345900001</v>
      </c>
      <c r="AT12" s="515">
        <f t="shared" si="115"/>
        <v>47219.282064500003</v>
      </c>
      <c r="AU12" s="515">
        <f t="shared" ref="AU12:BA12" si="116">$BA44*AU$32</f>
        <v>30693.845944799999</v>
      </c>
      <c r="AV12" s="515">
        <f t="shared" si="116"/>
        <v>30263.321702999998</v>
      </c>
      <c r="AW12" s="515">
        <f t="shared" si="116"/>
        <v>30516.571257</v>
      </c>
      <c r="AX12" s="515">
        <f t="shared" si="116"/>
        <v>31529.569473</v>
      </c>
      <c r="AY12" s="515">
        <f t="shared" si="116"/>
        <v>34821.813675000005</v>
      </c>
      <c r="AZ12" s="515">
        <f t="shared" si="116"/>
        <v>39329.655736200002</v>
      </c>
      <c r="BA12" s="515">
        <f t="shared" si="116"/>
        <v>56094.776211000004</v>
      </c>
      <c r="BB12" s="515">
        <f t="shared" ref="BB12:BH12" si="117">$BH44*BB$32</f>
        <v>39918.44579256</v>
      </c>
      <c r="BC12" s="515">
        <f t="shared" si="117"/>
        <v>39358.533599099996</v>
      </c>
      <c r="BD12" s="515">
        <f t="shared" si="117"/>
        <v>39687.893712899997</v>
      </c>
      <c r="BE12" s="515">
        <f t="shared" si="117"/>
        <v>41005.334168100002</v>
      </c>
      <c r="BF12" s="515">
        <f t="shared" si="117"/>
        <v>45287.015647500004</v>
      </c>
      <c r="BG12" s="515">
        <f t="shared" si="117"/>
        <v>51149.625673139999</v>
      </c>
      <c r="BH12" s="515">
        <f t="shared" si="117"/>
        <v>72953.265206700002</v>
      </c>
      <c r="BI12" s="515">
        <f t="shared" ref="BI12:BO12" si="118">$BO44*BI$32</f>
        <v>51193.407298799997</v>
      </c>
      <c r="BJ12" s="515">
        <f t="shared" si="118"/>
        <v>50475.347955499994</v>
      </c>
      <c r="BK12" s="515">
        <f t="shared" si="118"/>
        <v>50897.7358045</v>
      </c>
      <c r="BL12" s="515">
        <f t="shared" si="118"/>
        <v>52587.287200499995</v>
      </c>
      <c r="BM12" s="515">
        <f t="shared" si="118"/>
        <v>58078.329237500002</v>
      </c>
      <c r="BN12" s="515">
        <f t="shared" si="118"/>
        <v>65596.832949699994</v>
      </c>
      <c r="BO12" s="515">
        <f t="shared" si="118"/>
        <v>93558.908553500005</v>
      </c>
      <c r="BP12" s="515">
        <f t="shared" ref="BP12:BV12" si="119">$BV44*BP$32</f>
        <v>58746.198392640006</v>
      </c>
      <c r="BQ12" s="515">
        <f t="shared" si="119"/>
        <v>57922.200560400001</v>
      </c>
      <c r="BR12" s="515">
        <f t="shared" si="119"/>
        <v>58406.905167600002</v>
      </c>
      <c r="BS12" s="515">
        <f t="shared" si="119"/>
        <v>60345.723596400006</v>
      </c>
      <c r="BT12" s="515">
        <f t="shared" si="119"/>
        <v>66646.883490000007</v>
      </c>
      <c r="BU12" s="515">
        <f t="shared" si="119"/>
        <v>75274.625498160007</v>
      </c>
      <c r="BV12" s="515">
        <f t="shared" si="119"/>
        <v>107362.07049480001</v>
      </c>
      <c r="BW12" s="515">
        <f t="shared" ref="BW12:CC12" si="120">$CC44*BW$32</f>
        <v>13781.546253</v>
      </c>
      <c r="BX12" s="515">
        <f t="shared" si="120"/>
        <v>13588.24073625</v>
      </c>
      <c r="BY12" s="515">
        <f t="shared" si="120"/>
        <v>13701.94986375</v>
      </c>
      <c r="BZ12" s="515">
        <f t="shared" si="120"/>
        <v>14156.786373750001</v>
      </c>
      <c r="CA12" s="515">
        <f t="shared" si="120"/>
        <v>15635.005031250001</v>
      </c>
      <c r="CB12" s="515">
        <f t="shared" si="120"/>
        <v>17659.027500749999</v>
      </c>
      <c r="CC12" s="515">
        <f t="shared" si="120"/>
        <v>25186.571741250002</v>
      </c>
    </row>
    <row r="13" spans="1:81">
      <c r="A13" s="687" t="s">
        <v>20</v>
      </c>
      <c r="B13" s="515">
        <f>'Vtas Diarias 2021'!XD18</f>
        <v>9300.6129720000008</v>
      </c>
      <c r="C13" s="515">
        <f>'Vtas Diarias 2021'!XH18</f>
        <v>10629.271968000001</v>
      </c>
      <c r="D13" s="515">
        <f>'Vtas Diarias 2021'!XL18</f>
        <v>14615.248956000001</v>
      </c>
      <c r="E13" s="515">
        <f t="shared" ref="E13:K13" si="121">$K45*E$32</f>
        <v>8336.8201982400005</v>
      </c>
      <c r="F13" s="515">
        <f t="shared" si="121"/>
        <v>8219.8846013999992</v>
      </c>
      <c r="G13" s="515">
        <f t="shared" si="121"/>
        <v>8288.6702465999988</v>
      </c>
      <c r="H13" s="515">
        <f t="shared" si="121"/>
        <v>8563.8128273999992</v>
      </c>
      <c r="I13" s="515">
        <f t="shared" si="121"/>
        <v>9458.0262149999999</v>
      </c>
      <c r="J13" s="515">
        <f t="shared" si="121"/>
        <v>10682.41069956</v>
      </c>
      <c r="K13" s="515">
        <f t="shared" si="121"/>
        <v>15236.0204118</v>
      </c>
      <c r="L13" s="515">
        <f t="shared" ref="L13:R13" si="122">$R45*L$32</f>
        <v>11105.254272600001</v>
      </c>
      <c r="M13" s="515">
        <f t="shared" si="122"/>
        <v>10949.487504750001</v>
      </c>
      <c r="N13" s="515">
        <f t="shared" si="122"/>
        <v>11041.115015249999</v>
      </c>
      <c r="O13" s="515">
        <f t="shared" si="122"/>
        <v>11407.625057250001</v>
      </c>
      <c r="P13" s="515">
        <f t="shared" si="122"/>
        <v>12598.782693750001</v>
      </c>
      <c r="Q13" s="515">
        <f t="shared" si="122"/>
        <v>14229.752380649999</v>
      </c>
      <c r="R13" s="515">
        <f t="shared" si="122"/>
        <v>20295.493575750002</v>
      </c>
      <c r="S13" s="515">
        <f t="shared" ref="S13:Y13" si="123">$Y45*S$32</f>
        <v>12255.692853600001</v>
      </c>
      <c r="T13" s="515">
        <f t="shared" si="123"/>
        <v>12083.789571000001</v>
      </c>
      <c r="U13" s="515">
        <f t="shared" si="123"/>
        <v>12184.909149000001</v>
      </c>
      <c r="V13" s="515">
        <f t="shared" si="123"/>
        <v>12589.387461</v>
      </c>
      <c r="W13" s="515">
        <f t="shared" si="123"/>
        <v>13903.941975000002</v>
      </c>
      <c r="X13" s="515">
        <f t="shared" si="123"/>
        <v>15703.870463400001</v>
      </c>
      <c r="Y13" s="515">
        <f t="shared" si="123"/>
        <v>22397.986527000001</v>
      </c>
      <c r="Z13" s="515">
        <f t="shared" ref="Z13:AF13" si="124">$AF45*Z$32</f>
        <v>13570.269564600001</v>
      </c>
      <c r="AA13" s="515">
        <f t="shared" si="124"/>
        <v>13379.92749975</v>
      </c>
      <c r="AB13" s="515">
        <f t="shared" si="124"/>
        <v>13491.89342025</v>
      </c>
      <c r="AC13" s="515">
        <f t="shared" si="124"/>
        <v>13939.757102250001</v>
      </c>
      <c r="AD13" s="515">
        <f t="shared" si="124"/>
        <v>15395.314068750002</v>
      </c>
      <c r="AE13" s="515">
        <f t="shared" si="124"/>
        <v>17388.307453649999</v>
      </c>
      <c r="AF13" s="515">
        <f t="shared" si="124"/>
        <v>24800.45139075</v>
      </c>
      <c r="AG13" s="515">
        <f t="shared" ref="AG13:AM13" si="125">$AM45*AG$32</f>
        <v>15425.146422</v>
      </c>
      <c r="AH13" s="515">
        <f t="shared" si="125"/>
        <v>15208.787107499998</v>
      </c>
      <c r="AI13" s="515">
        <f t="shared" si="125"/>
        <v>15336.0572925</v>
      </c>
      <c r="AJ13" s="515">
        <f t="shared" si="125"/>
        <v>15845.138032499999</v>
      </c>
      <c r="AK13" s="515">
        <f t="shared" si="125"/>
        <v>17499.6504375</v>
      </c>
      <c r="AL13" s="515">
        <f t="shared" si="125"/>
        <v>19765.059730499997</v>
      </c>
      <c r="AM13" s="515">
        <f t="shared" si="125"/>
        <v>28190.345977500001</v>
      </c>
      <c r="AN13" s="515">
        <f t="shared" ref="AN13:AT13" si="126">$AT45*AN$32</f>
        <v>13143.980925</v>
      </c>
      <c r="AO13" s="515">
        <f t="shared" si="126"/>
        <v>12959.618156249999</v>
      </c>
      <c r="AP13" s="515">
        <f t="shared" si="126"/>
        <v>13068.066843749999</v>
      </c>
      <c r="AQ13" s="515">
        <f t="shared" si="126"/>
        <v>13501.86159375</v>
      </c>
      <c r="AR13" s="515">
        <f t="shared" si="126"/>
        <v>14911.694531250001</v>
      </c>
      <c r="AS13" s="515">
        <f t="shared" si="126"/>
        <v>16842.081168749999</v>
      </c>
      <c r="AT13" s="515">
        <f t="shared" si="126"/>
        <v>24021.384281250001</v>
      </c>
      <c r="AU13" s="515">
        <f t="shared" ref="AU13:BA13" si="127">$BA45*AU$32</f>
        <v>15459.463414200003</v>
      </c>
      <c r="AV13" s="515">
        <f t="shared" si="127"/>
        <v>15242.622755750002</v>
      </c>
      <c r="AW13" s="515">
        <f t="shared" si="127"/>
        <v>15370.176084250003</v>
      </c>
      <c r="AX13" s="515">
        <f t="shared" si="127"/>
        <v>15880.389398250003</v>
      </c>
      <c r="AY13" s="515">
        <f t="shared" si="127"/>
        <v>17538.582668750005</v>
      </c>
      <c r="AZ13" s="515">
        <f t="shared" si="127"/>
        <v>19809.03191605</v>
      </c>
      <c r="BA13" s="515">
        <f t="shared" si="127"/>
        <v>28253.062262750005</v>
      </c>
      <c r="BB13" s="515">
        <f t="shared" ref="BB13:BH13" si="128">$BH45*BB$32</f>
        <v>22514.484205200002</v>
      </c>
      <c r="BC13" s="515">
        <f t="shared" si="128"/>
        <v>22198.686984500004</v>
      </c>
      <c r="BD13" s="515">
        <f t="shared" si="128"/>
        <v>22384.450055500001</v>
      </c>
      <c r="BE13" s="515">
        <f t="shared" si="128"/>
        <v>23127.502339500003</v>
      </c>
      <c r="BF13" s="515">
        <f t="shared" si="128"/>
        <v>25542.422262500004</v>
      </c>
      <c r="BG13" s="515">
        <f t="shared" si="128"/>
        <v>28849.004926300004</v>
      </c>
      <c r="BH13" s="515">
        <f t="shared" si="128"/>
        <v>41146.520226500004</v>
      </c>
      <c r="BI13" s="515">
        <f t="shared" ref="BI13:BO13" si="129">$BO45*BI$32</f>
        <v>30390.5383392</v>
      </c>
      <c r="BJ13" s="515">
        <f t="shared" si="129"/>
        <v>29964.268411999998</v>
      </c>
      <c r="BK13" s="515">
        <f t="shared" si="129"/>
        <v>30215.015427999999</v>
      </c>
      <c r="BL13" s="515">
        <f t="shared" si="129"/>
        <v>31218.003492</v>
      </c>
      <c r="BM13" s="515">
        <f t="shared" si="129"/>
        <v>34477.714700000004</v>
      </c>
      <c r="BN13" s="515">
        <f t="shared" si="129"/>
        <v>38941.011584799999</v>
      </c>
      <c r="BO13" s="515">
        <f t="shared" si="129"/>
        <v>55540.464044</v>
      </c>
      <c r="BP13" s="515">
        <f t="shared" ref="BP13:BV13" si="130">$BV45*BP$32</f>
        <v>42939.117634560003</v>
      </c>
      <c r="BQ13" s="515">
        <f t="shared" si="130"/>
        <v>42336.836281600001</v>
      </c>
      <c r="BR13" s="515">
        <f t="shared" si="130"/>
        <v>42691.119430400002</v>
      </c>
      <c r="BS13" s="515">
        <f t="shared" si="130"/>
        <v>44108.252025600006</v>
      </c>
      <c r="BT13" s="515">
        <f t="shared" si="130"/>
        <v>48713.932960000006</v>
      </c>
      <c r="BU13" s="515">
        <f t="shared" si="130"/>
        <v>55020.173008639998</v>
      </c>
      <c r="BV13" s="515">
        <f t="shared" si="130"/>
        <v>78473.717459200008</v>
      </c>
      <c r="BW13" s="515">
        <f t="shared" ref="BW13:CC13" si="131">$CC45*BW$32</f>
        <v>7913.1303654000003</v>
      </c>
      <c r="BX13" s="515">
        <f t="shared" si="131"/>
        <v>7802.1376127499998</v>
      </c>
      <c r="BY13" s="515">
        <f t="shared" si="131"/>
        <v>7867.4274672499996</v>
      </c>
      <c r="BZ13" s="515">
        <f t="shared" si="131"/>
        <v>8128.5868852499998</v>
      </c>
      <c r="CA13" s="515">
        <f t="shared" si="131"/>
        <v>8977.3549937500011</v>
      </c>
      <c r="CB13" s="515">
        <f t="shared" si="131"/>
        <v>10139.51440385</v>
      </c>
      <c r="CC13" s="515">
        <f t="shared" si="131"/>
        <v>14461.70277175</v>
      </c>
    </row>
    <row r="14" spans="1:81">
      <c r="A14" s="687" t="s">
        <v>21</v>
      </c>
      <c r="B14" s="515">
        <f>'Vtas Diarias 2021'!XD19</f>
        <v>6932.2174880000011</v>
      </c>
      <c r="C14" s="515">
        <f>'Vtas Diarias 2021'!XH19</f>
        <v>7922.5342720000008</v>
      </c>
      <c r="D14" s="515">
        <f>'Vtas Diarias 2021'!XL19</f>
        <v>10893.484624000001</v>
      </c>
      <c r="E14" s="515">
        <f t="shared" ref="E14:K14" si="132">$K46*E$32</f>
        <v>7032.26835132</v>
      </c>
      <c r="F14" s="515">
        <f t="shared" si="132"/>
        <v>6933.6309239499997</v>
      </c>
      <c r="G14" s="515">
        <f t="shared" si="132"/>
        <v>6991.6529400499994</v>
      </c>
      <c r="H14" s="515">
        <f t="shared" si="132"/>
        <v>7223.7410044500002</v>
      </c>
      <c r="I14" s="515">
        <f t="shared" si="132"/>
        <v>7978.0272137500006</v>
      </c>
      <c r="J14" s="515">
        <f t="shared" si="132"/>
        <v>9010.8191003299999</v>
      </c>
      <c r="K14" s="515">
        <f t="shared" si="132"/>
        <v>12851.87656615</v>
      </c>
      <c r="L14" s="515">
        <f t="shared" ref="L14:R14" si="133">$R46*L$32</f>
        <v>10718.029714079999</v>
      </c>
      <c r="M14" s="515">
        <f t="shared" si="133"/>
        <v>10567.694313799999</v>
      </c>
      <c r="N14" s="515">
        <f t="shared" si="133"/>
        <v>10656.1269022</v>
      </c>
      <c r="O14" s="515">
        <f t="shared" si="133"/>
        <v>11009.8572558</v>
      </c>
      <c r="P14" s="515">
        <f t="shared" si="133"/>
        <v>12159.480905</v>
      </c>
      <c r="Q14" s="515">
        <f t="shared" si="133"/>
        <v>13733.580978519998</v>
      </c>
      <c r="R14" s="515">
        <f t="shared" si="133"/>
        <v>19587.818330599999</v>
      </c>
      <c r="S14" s="515">
        <f t="shared" ref="S14:Y14" si="134">$Y46*S$32</f>
        <v>7980.4805388000004</v>
      </c>
      <c r="T14" s="515">
        <f t="shared" si="134"/>
        <v>7868.5431054999999</v>
      </c>
      <c r="U14" s="515">
        <f t="shared" si="134"/>
        <v>7934.3886544999996</v>
      </c>
      <c r="V14" s="515">
        <f t="shared" si="134"/>
        <v>8197.7708504999991</v>
      </c>
      <c r="W14" s="515">
        <f t="shared" si="134"/>
        <v>9053.7629875000002</v>
      </c>
      <c r="X14" s="515">
        <f t="shared" si="134"/>
        <v>10225.813759699999</v>
      </c>
      <c r="Y14" s="515">
        <f t="shared" si="134"/>
        <v>14584.789103499999</v>
      </c>
      <c r="Z14" s="515">
        <f t="shared" ref="Z14:AF14" si="135">$AF46*Z$32</f>
        <v>9865.5640116000013</v>
      </c>
      <c r="AA14" s="515">
        <f t="shared" si="135"/>
        <v>9727.185638500001</v>
      </c>
      <c r="AB14" s="515">
        <f t="shared" si="135"/>
        <v>9808.5846815000004</v>
      </c>
      <c r="AC14" s="515">
        <f t="shared" si="135"/>
        <v>10134.1808535</v>
      </c>
      <c r="AD14" s="515">
        <f t="shared" si="135"/>
        <v>11192.368412500002</v>
      </c>
      <c r="AE14" s="515">
        <f t="shared" si="135"/>
        <v>12641.271377900001</v>
      </c>
      <c r="AF14" s="515">
        <f t="shared" si="135"/>
        <v>18029.8880245</v>
      </c>
      <c r="AG14" s="515">
        <f t="shared" ref="AG14:AM14" si="136">$AM46*AG$32</f>
        <v>11342.129067599999</v>
      </c>
      <c r="AH14" s="515">
        <f t="shared" si="136"/>
        <v>11183.039798499998</v>
      </c>
      <c r="AI14" s="515">
        <f t="shared" si="136"/>
        <v>11276.6217215</v>
      </c>
      <c r="AJ14" s="515">
        <f t="shared" si="136"/>
        <v>11650.949413499999</v>
      </c>
      <c r="AK14" s="515">
        <f t="shared" si="136"/>
        <v>12867.514412500001</v>
      </c>
      <c r="AL14" s="515">
        <f t="shared" si="136"/>
        <v>14533.272641899999</v>
      </c>
      <c r="AM14" s="515">
        <f t="shared" si="136"/>
        <v>20728.3959445</v>
      </c>
      <c r="AN14" s="515">
        <f t="shared" ref="AN14:AT14" si="137">$AT46*AN$32</f>
        <v>11141.5519152</v>
      </c>
      <c r="AO14" s="515">
        <f t="shared" si="137"/>
        <v>10985.276022</v>
      </c>
      <c r="AP14" s="515">
        <f t="shared" si="137"/>
        <v>11077.203018</v>
      </c>
      <c r="AQ14" s="515">
        <f t="shared" si="137"/>
        <v>11444.911002000001</v>
      </c>
      <c r="AR14" s="515">
        <f t="shared" si="137"/>
        <v>12639.961950000001</v>
      </c>
      <c r="AS14" s="515">
        <f t="shared" si="137"/>
        <v>14276.262478799999</v>
      </c>
      <c r="AT14" s="515">
        <f t="shared" si="137"/>
        <v>20361.829613999998</v>
      </c>
      <c r="AU14" s="515">
        <f t="shared" ref="AU14:BA14" si="138">$BA46*AU$32</f>
        <v>13242.799466399998</v>
      </c>
      <c r="AV14" s="515">
        <f t="shared" si="138"/>
        <v>13057.050628999998</v>
      </c>
      <c r="AW14" s="515">
        <f t="shared" si="138"/>
        <v>13166.314650999997</v>
      </c>
      <c r="AX14" s="515">
        <f t="shared" si="138"/>
        <v>13603.370738999998</v>
      </c>
      <c r="AY14" s="515">
        <f t="shared" si="138"/>
        <v>15023.803024999999</v>
      </c>
      <c r="AZ14" s="515">
        <f t="shared" si="138"/>
        <v>16968.702616599996</v>
      </c>
      <c r="BA14" s="515">
        <f t="shared" si="138"/>
        <v>24201.980872999997</v>
      </c>
      <c r="BB14" s="515">
        <f t="shared" ref="BB14:BH14" si="139">$BH46*BB$32</f>
        <v>14371.615179599999</v>
      </c>
      <c r="BC14" s="515">
        <f t="shared" si="139"/>
        <v>14170.033118499998</v>
      </c>
      <c r="BD14" s="515">
        <f t="shared" si="139"/>
        <v>14288.610801499999</v>
      </c>
      <c r="BE14" s="515">
        <f t="shared" si="139"/>
        <v>14762.921533499999</v>
      </c>
      <c r="BF14" s="515">
        <f t="shared" si="139"/>
        <v>16304.4314125</v>
      </c>
      <c r="BG14" s="515">
        <f t="shared" si="139"/>
        <v>18415.114169899996</v>
      </c>
      <c r="BH14" s="515">
        <f t="shared" si="139"/>
        <v>26264.956784499998</v>
      </c>
      <c r="BI14" s="515">
        <f t="shared" ref="BI14:BO14" si="140">$BO46*BI$32</f>
        <v>18955.561951199998</v>
      </c>
      <c r="BJ14" s="515">
        <f t="shared" si="140"/>
        <v>18689.683606999999</v>
      </c>
      <c r="BK14" s="515">
        <f t="shared" si="140"/>
        <v>18846.082632999998</v>
      </c>
      <c r="BL14" s="515">
        <f t="shared" si="140"/>
        <v>19471.678736999998</v>
      </c>
      <c r="BM14" s="515">
        <f t="shared" si="140"/>
        <v>21504.866074999998</v>
      </c>
      <c r="BN14" s="515">
        <f t="shared" si="140"/>
        <v>24288.768737799997</v>
      </c>
      <c r="BO14" s="515">
        <f t="shared" si="140"/>
        <v>34642.384258999999</v>
      </c>
      <c r="BP14" s="515">
        <f t="shared" ref="BP14:BV14" si="141">$BV46*BP$32</f>
        <v>35373.751471080002</v>
      </c>
      <c r="BQ14" s="515">
        <f t="shared" si="141"/>
        <v>34877.584990049996</v>
      </c>
      <c r="BR14" s="515">
        <f t="shared" si="141"/>
        <v>35169.447625950001</v>
      </c>
      <c r="BS14" s="515">
        <f t="shared" si="141"/>
        <v>36336.898169549997</v>
      </c>
      <c r="BT14" s="515">
        <f t="shared" si="141"/>
        <v>40131.112436250005</v>
      </c>
      <c r="BU14" s="515">
        <f t="shared" si="141"/>
        <v>45326.26735527</v>
      </c>
      <c r="BV14" s="515">
        <f t="shared" si="141"/>
        <v>64647.57385185</v>
      </c>
      <c r="BW14" s="515">
        <f t="shared" ref="BW14:CC14" si="142">$CC46*BW$32</f>
        <v>7973.3487187199999</v>
      </c>
      <c r="BX14" s="515">
        <f t="shared" si="142"/>
        <v>7861.5113191999999</v>
      </c>
      <c r="BY14" s="515">
        <f t="shared" si="142"/>
        <v>7927.2980247999994</v>
      </c>
      <c r="BZ14" s="515">
        <f t="shared" si="142"/>
        <v>8190.4448472000004</v>
      </c>
      <c r="CA14" s="515">
        <f t="shared" si="142"/>
        <v>9045.6720200000018</v>
      </c>
      <c r="CB14" s="515">
        <f t="shared" si="142"/>
        <v>10216.67537968</v>
      </c>
      <c r="CC14" s="515">
        <f t="shared" si="142"/>
        <v>14571.7552904</v>
      </c>
    </row>
    <row r="15" spans="1:81">
      <c r="A15" s="687" t="s">
        <v>22</v>
      </c>
      <c r="B15" s="515">
        <f>'Vtas Diarias 2021'!XD20</f>
        <v>11253.326560000003</v>
      </c>
      <c r="C15" s="515">
        <f>'Vtas Diarias 2021'!XH20</f>
        <v>12860.944640000002</v>
      </c>
      <c r="D15" s="515">
        <f>'Vtas Diarias 2021'!XL20</f>
        <v>17683.798880000002</v>
      </c>
      <c r="E15" s="515">
        <f t="shared" ref="E15:K15" si="143">$K47*E$32</f>
        <v>11430.17321988</v>
      </c>
      <c r="F15" s="515">
        <f t="shared" si="143"/>
        <v>11269.84900805</v>
      </c>
      <c r="G15" s="515">
        <f t="shared" si="143"/>
        <v>11364.15736795</v>
      </c>
      <c r="H15" s="515">
        <f t="shared" si="143"/>
        <v>11741.39080755</v>
      </c>
      <c r="I15" s="515">
        <f t="shared" si="143"/>
        <v>12967.39948625</v>
      </c>
      <c r="J15" s="515">
        <f t="shared" si="143"/>
        <v>14646.088292469998</v>
      </c>
      <c r="K15" s="515">
        <f t="shared" si="143"/>
        <v>20889.301717849998</v>
      </c>
      <c r="L15" s="515">
        <f t="shared" ref="L15:R15" si="144">$R47*L$32</f>
        <v>14492.354740799999</v>
      </c>
      <c r="M15" s="515">
        <f t="shared" si="144"/>
        <v>14289.079137999999</v>
      </c>
      <c r="N15" s="515">
        <f t="shared" si="144"/>
        <v>14408.653021999999</v>
      </c>
      <c r="O15" s="515">
        <f t="shared" si="144"/>
        <v>14886.948557999998</v>
      </c>
      <c r="P15" s="515">
        <f t="shared" si="144"/>
        <v>16441.409049999998</v>
      </c>
      <c r="Q15" s="515">
        <f t="shared" si="144"/>
        <v>18569.824185199999</v>
      </c>
      <c r="R15" s="515">
        <f t="shared" si="144"/>
        <v>26485.615306</v>
      </c>
      <c r="S15" s="515">
        <f t="shared" ref="S15:Y15" si="145">$Y47*S$32</f>
        <v>11332.906668720001</v>
      </c>
      <c r="T15" s="515">
        <f t="shared" si="145"/>
        <v>11173.946756699999</v>
      </c>
      <c r="U15" s="515">
        <f t="shared" si="145"/>
        <v>11267.4525873</v>
      </c>
      <c r="V15" s="515">
        <f t="shared" si="145"/>
        <v>11641.475909700001</v>
      </c>
      <c r="W15" s="515">
        <f t="shared" si="145"/>
        <v>12857.051707500001</v>
      </c>
      <c r="X15" s="515">
        <f t="shared" si="145"/>
        <v>14521.455492179999</v>
      </c>
      <c r="Y15" s="515">
        <f t="shared" si="145"/>
        <v>20711.541477900002</v>
      </c>
      <c r="Z15" s="515">
        <f t="shared" ref="Z15:AF15" si="146">$AF47*Z$32</f>
        <v>13659.26119788</v>
      </c>
      <c r="AA15" s="515">
        <f t="shared" si="146"/>
        <v>13467.67090055</v>
      </c>
      <c r="AB15" s="515">
        <f t="shared" si="146"/>
        <v>13580.371075449999</v>
      </c>
      <c r="AC15" s="515">
        <f t="shared" si="146"/>
        <v>14031.171775049999</v>
      </c>
      <c r="AD15" s="515">
        <f t="shared" si="146"/>
        <v>15496.274048750001</v>
      </c>
      <c r="AE15" s="515">
        <f t="shared" si="146"/>
        <v>17502.337161969997</v>
      </c>
      <c r="AF15" s="515">
        <f t="shared" si="146"/>
        <v>24963.088740349998</v>
      </c>
      <c r="AG15" s="515">
        <f t="shared" ref="AG15:AM15" si="147">$AM47*AG$32</f>
        <v>15053.018232479999</v>
      </c>
      <c r="AH15" s="515">
        <f t="shared" si="147"/>
        <v>14841.878537799998</v>
      </c>
      <c r="AI15" s="515">
        <f t="shared" si="147"/>
        <v>14966.078358199997</v>
      </c>
      <c r="AJ15" s="515">
        <f t="shared" si="147"/>
        <v>15462.877639799997</v>
      </c>
      <c r="AK15" s="515">
        <f t="shared" si="147"/>
        <v>17077.475305</v>
      </c>
      <c r="AL15" s="515">
        <f t="shared" si="147"/>
        <v>19288.232108119995</v>
      </c>
      <c r="AM15" s="515">
        <f t="shared" si="147"/>
        <v>27510.260218599997</v>
      </c>
      <c r="AN15" s="515">
        <f t="shared" ref="AN15:AT15" si="148">$AT47*AN$32</f>
        <v>16907.434905599999</v>
      </c>
      <c r="AO15" s="515">
        <f t="shared" si="148"/>
        <v>16670.284415999999</v>
      </c>
      <c r="AP15" s="515">
        <f t="shared" si="148"/>
        <v>16809.784703999998</v>
      </c>
      <c r="AQ15" s="515">
        <f t="shared" si="148"/>
        <v>17367.785855999999</v>
      </c>
      <c r="AR15" s="515">
        <f t="shared" si="148"/>
        <v>19181.2896</v>
      </c>
      <c r="AS15" s="515">
        <f t="shared" si="148"/>
        <v>21664.394726399998</v>
      </c>
      <c r="AT15" s="515">
        <f t="shared" si="148"/>
        <v>30899.313792000001</v>
      </c>
      <c r="AU15" s="515">
        <f t="shared" ref="AU15:BA15" si="149">$BA47*AU$32</f>
        <v>18268.9348632</v>
      </c>
      <c r="AV15" s="515">
        <f t="shared" si="149"/>
        <v>18012.687426999997</v>
      </c>
      <c r="AW15" s="515">
        <f t="shared" si="149"/>
        <v>18163.421212999998</v>
      </c>
      <c r="AX15" s="515">
        <f t="shared" si="149"/>
        <v>18766.356357000001</v>
      </c>
      <c r="AY15" s="515">
        <f t="shared" si="149"/>
        <v>20725.895575000002</v>
      </c>
      <c r="AZ15" s="515">
        <f t="shared" si="149"/>
        <v>23408.956965799996</v>
      </c>
      <c r="BA15" s="515">
        <f t="shared" si="149"/>
        <v>33387.533599000002</v>
      </c>
      <c r="BB15" s="515">
        <f t="shared" ref="BB15:BH15" si="150">$BH47*BB$32</f>
        <v>21490.1959776</v>
      </c>
      <c r="BC15" s="515">
        <f t="shared" si="150"/>
        <v>21188.765835999999</v>
      </c>
      <c r="BD15" s="515">
        <f t="shared" si="150"/>
        <v>21366.077684</v>
      </c>
      <c r="BE15" s="515">
        <f t="shared" si="150"/>
        <v>22075.325076000001</v>
      </c>
      <c r="BF15" s="515">
        <f t="shared" si="150"/>
        <v>24380.379100000002</v>
      </c>
      <c r="BG15" s="515">
        <f t="shared" si="150"/>
        <v>27536.5299944</v>
      </c>
      <c r="BH15" s="515">
        <f t="shared" si="150"/>
        <v>39274.574331999997</v>
      </c>
      <c r="BI15" s="515">
        <f t="shared" ref="BI15:BO15" si="151">$BO47*BI$32</f>
        <v>30490.466042399999</v>
      </c>
      <c r="BJ15" s="515">
        <f t="shared" si="151"/>
        <v>30062.794488999996</v>
      </c>
      <c r="BK15" s="515">
        <f t="shared" si="151"/>
        <v>30314.365990999995</v>
      </c>
      <c r="BL15" s="515">
        <f t="shared" si="151"/>
        <v>31320.651998999998</v>
      </c>
      <c r="BM15" s="515">
        <f t="shared" si="151"/>
        <v>34591.081525000001</v>
      </c>
      <c r="BN15" s="515">
        <f t="shared" si="151"/>
        <v>39069.054260599994</v>
      </c>
      <c r="BO15" s="515">
        <f t="shared" si="151"/>
        <v>55723.087692999994</v>
      </c>
      <c r="BP15" s="515">
        <f t="shared" ref="BP15:BV15" si="152">$BV47*BP$32</f>
        <v>45042.236259240002</v>
      </c>
      <c r="BQ15" s="515">
        <f t="shared" si="152"/>
        <v>44410.455717649995</v>
      </c>
      <c r="BR15" s="515">
        <f t="shared" si="152"/>
        <v>44782.091330349998</v>
      </c>
      <c r="BS15" s="515">
        <f t="shared" si="152"/>
        <v>46268.633781149998</v>
      </c>
      <c r="BT15" s="515">
        <f t="shared" si="152"/>
        <v>51099.89674625</v>
      </c>
      <c r="BU15" s="515">
        <f t="shared" si="152"/>
        <v>57715.010652309997</v>
      </c>
      <c r="BV15" s="515">
        <f t="shared" si="152"/>
        <v>82317.288213050007</v>
      </c>
      <c r="BW15" s="515">
        <f t="shared" ref="BW15:CC15" si="153">$CC47*BW$32</f>
        <v>11068.281061200001</v>
      </c>
      <c r="BX15" s="515">
        <f t="shared" si="153"/>
        <v>10913.0328945</v>
      </c>
      <c r="BY15" s="515">
        <f t="shared" si="153"/>
        <v>11004.3553455</v>
      </c>
      <c r="BZ15" s="515">
        <f t="shared" si="153"/>
        <v>11369.6451495</v>
      </c>
      <c r="CA15" s="515">
        <f t="shared" si="153"/>
        <v>12556.837012500002</v>
      </c>
      <c r="CB15" s="515">
        <f t="shared" si="153"/>
        <v>14182.376640299999</v>
      </c>
      <c r="CC15" s="515">
        <f t="shared" si="153"/>
        <v>20227.9228965</v>
      </c>
    </row>
    <row r="16" spans="1:81">
      <c r="A16" s="687" t="s">
        <v>23</v>
      </c>
      <c r="B16" s="515">
        <f>'Vtas Diarias 2021'!XD21</f>
        <v>9019.0038540000005</v>
      </c>
      <c r="C16" s="515">
        <f>'Vtas Diarias 2021'!XH21</f>
        <v>10307.432976</v>
      </c>
      <c r="D16" s="515">
        <f>'Vtas Diarias 2021'!XL21</f>
        <v>14172.720342000001</v>
      </c>
      <c r="E16" s="515">
        <f t="shared" ref="E16:K16" si="154">$K48*E$32</f>
        <v>8492.7116620800007</v>
      </c>
      <c r="F16" s="515">
        <f t="shared" si="154"/>
        <v>8373.5894687999989</v>
      </c>
      <c r="G16" s="515">
        <f t="shared" si="154"/>
        <v>8443.661347199999</v>
      </c>
      <c r="H16" s="515">
        <f t="shared" si="154"/>
        <v>8723.9488607999992</v>
      </c>
      <c r="I16" s="515">
        <f t="shared" si="154"/>
        <v>9634.8832800000018</v>
      </c>
      <c r="J16" s="515">
        <f t="shared" si="154"/>
        <v>10882.16271552</v>
      </c>
      <c r="K16" s="515">
        <f t="shared" si="154"/>
        <v>15520.921065600001</v>
      </c>
      <c r="L16" s="515">
        <f t="shared" ref="L16:R16" si="155">$R48*L$32</f>
        <v>12433.852514640001</v>
      </c>
      <c r="M16" s="515">
        <f t="shared" si="155"/>
        <v>12259.450292899999</v>
      </c>
      <c r="N16" s="515">
        <f t="shared" si="155"/>
        <v>12362.039835099999</v>
      </c>
      <c r="O16" s="515">
        <f t="shared" si="155"/>
        <v>12772.3980039</v>
      </c>
      <c r="P16" s="515">
        <f t="shared" si="155"/>
        <v>14106.062052500001</v>
      </c>
      <c r="Q16" s="515">
        <f t="shared" si="155"/>
        <v>15932.155903659999</v>
      </c>
      <c r="R16" s="515">
        <f t="shared" si="155"/>
        <v>22723.583597299999</v>
      </c>
      <c r="S16" s="515">
        <f t="shared" ref="S16:Y16" si="156">$Y48*S$32</f>
        <v>7258.5972192000008</v>
      </c>
      <c r="T16" s="515">
        <f t="shared" si="156"/>
        <v>7156.7852120000007</v>
      </c>
      <c r="U16" s="515">
        <f t="shared" si="156"/>
        <v>7216.6746280000007</v>
      </c>
      <c r="V16" s="515">
        <f t="shared" si="156"/>
        <v>7456.2322920000006</v>
      </c>
      <c r="W16" s="515">
        <f t="shared" si="156"/>
        <v>8234.7947000000022</v>
      </c>
      <c r="X16" s="515">
        <f t="shared" si="156"/>
        <v>9300.8263048000008</v>
      </c>
      <c r="Y16" s="515">
        <f t="shared" si="156"/>
        <v>13265.505644000001</v>
      </c>
      <c r="Z16" s="515">
        <f t="shared" ref="Z16:AF16" si="157">$AF48*Z$32</f>
        <v>11726.56264464</v>
      </c>
      <c r="AA16" s="515">
        <f t="shared" si="157"/>
        <v>11562.081155399999</v>
      </c>
      <c r="AB16" s="515">
        <f t="shared" si="157"/>
        <v>11658.8349726</v>
      </c>
      <c r="AC16" s="515">
        <f t="shared" si="157"/>
        <v>12045.850241400001</v>
      </c>
      <c r="AD16" s="515">
        <f t="shared" si="157"/>
        <v>13303.649865000001</v>
      </c>
      <c r="AE16" s="515">
        <f t="shared" si="157"/>
        <v>15025.86781116</v>
      </c>
      <c r="AF16" s="515">
        <f t="shared" si="157"/>
        <v>21430.970509800001</v>
      </c>
      <c r="AG16" s="515">
        <f t="shared" ref="AG16:AM16" si="158">$AM48*AG$32</f>
        <v>12148.377161999999</v>
      </c>
      <c r="AH16" s="515">
        <f t="shared" si="158"/>
        <v>11977.979132499999</v>
      </c>
      <c r="AI16" s="515">
        <f t="shared" si="158"/>
        <v>12078.213267499999</v>
      </c>
      <c r="AJ16" s="515">
        <f t="shared" si="158"/>
        <v>12479.1498075</v>
      </c>
      <c r="AK16" s="515">
        <f t="shared" si="158"/>
        <v>13782.193562500001</v>
      </c>
      <c r="AL16" s="515">
        <f t="shared" si="158"/>
        <v>15566.361165499999</v>
      </c>
      <c r="AM16" s="515">
        <f t="shared" si="158"/>
        <v>22201.860902500001</v>
      </c>
      <c r="AN16" s="515">
        <f t="shared" ref="AN16:AT16" si="159">$AT48*AN$32</f>
        <v>16329.33383664</v>
      </c>
      <c r="AO16" s="515">
        <f t="shared" si="159"/>
        <v>16100.292025399998</v>
      </c>
      <c r="AP16" s="515">
        <f t="shared" si="159"/>
        <v>16235.022502599999</v>
      </c>
      <c r="AQ16" s="515">
        <f t="shared" si="159"/>
        <v>16773.9444114</v>
      </c>
      <c r="AR16" s="515">
        <f t="shared" si="159"/>
        <v>18525.440615</v>
      </c>
      <c r="AS16" s="515">
        <f t="shared" si="159"/>
        <v>20923.643109159999</v>
      </c>
      <c r="AT16" s="515">
        <f t="shared" si="159"/>
        <v>29842.800699799998</v>
      </c>
      <c r="AU16" s="515">
        <f t="shared" ref="AU16:BA16" si="160">$BA48*AU$32</f>
        <v>15628.777875</v>
      </c>
      <c r="AV16" s="515">
        <f t="shared" si="160"/>
        <v>15409.56234375</v>
      </c>
      <c r="AW16" s="515">
        <f t="shared" si="160"/>
        <v>15538.512656249999</v>
      </c>
      <c r="AX16" s="515">
        <f t="shared" si="160"/>
        <v>16054.313906249999</v>
      </c>
      <c r="AY16" s="515">
        <f t="shared" si="160"/>
        <v>17730.66796875</v>
      </c>
      <c r="AZ16" s="515">
        <f t="shared" si="160"/>
        <v>20025.98353125</v>
      </c>
      <c r="BA16" s="515">
        <f t="shared" si="160"/>
        <v>28562.494218750002</v>
      </c>
      <c r="BB16" s="515">
        <f t="shared" ref="BB16:BH16" si="161">$BH48*BB$32</f>
        <v>19223.235666</v>
      </c>
      <c r="BC16" s="515">
        <f t="shared" si="161"/>
        <v>18953.602822499997</v>
      </c>
      <c r="BD16" s="515">
        <f t="shared" si="161"/>
        <v>19112.2103775</v>
      </c>
      <c r="BE16" s="515">
        <f t="shared" si="161"/>
        <v>19746.640597499998</v>
      </c>
      <c r="BF16" s="515">
        <f t="shared" si="161"/>
        <v>21808.538812499999</v>
      </c>
      <c r="BG16" s="515">
        <f t="shared" si="161"/>
        <v>24631.753291499997</v>
      </c>
      <c r="BH16" s="515">
        <f t="shared" si="161"/>
        <v>35131.573432500001</v>
      </c>
      <c r="BI16" s="515">
        <f t="shared" ref="BI16:BO16" si="162">$BO48*BI$32</f>
        <v>23471.307180000003</v>
      </c>
      <c r="BJ16" s="515">
        <f t="shared" si="162"/>
        <v>23142.089175000001</v>
      </c>
      <c r="BK16" s="515">
        <f t="shared" si="162"/>
        <v>23335.746825000002</v>
      </c>
      <c r="BL16" s="515">
        <f t="shared" si="162"/>
        <v>24110.377425000002</v>
      </c>
      <c r="BM16" s="515">
        <f t="shared" si="162"/>
        <v>26627.926875000005</v>
      </c>
      <c r="BN16" s="515">
        <f t="shared" si="162"/>
        <v>30075.033045000004</v>
      </c>
      <c r="BO16" s="515">
        <f t="shared" si="162"/>
        <v>42895.169475000002</v>
      </c>
      <c r="BP16" s="515">
        <f t="shared" ref="BP16:BV16" si="163">$BV48*BP$32</f>
        <v>35346.985420680001</v>
      </c>
      <c r="BQ16" s="515">
        <f t="shared" si="163"/>
        <v>34851.194371049998</v>
      </c>
      <c r="BR16" s="515">
        <f t="shared" si="163"/>
        <v>35142.83616495</v>
      </c>
      <c r="BS16" s="515">
        <f t="shared" si="163"/>
        <v>36309.403340550001</v>
      </c>
      <c r="BT16" s="515">
        <f t="shared" si="163"/>
        <v>40100.746661249999</v>
      </c>
      <c r="BU16" s="515">
        <f t="shared" si="163"/>
        <v>45291.970592669997</v>
      </c>
      <c r="BV16" s="515">
        <f t="shared" si="163"/>
        <v>64598.65734885</v>
      </c>
      <c r="BW16" s="515">
        <f t="shared" ref="BW16:CC16" si="164">$CC48*BW$32</f>
        <v>8361.4034124000009</v>
      </c>
      <c r="BX16" s="515">
        <f t="shared" si="164"/>
        <v>8244.1230015000001</v>
      </c>
      <c r="BY16" s="515">
        <f t="shared" si="164"/>
        <v>8313.1114784999991</v>
      </c>
      <c r="BZ16" s="515">
        <f t="shared" si="164"/>
        <v>8589.0653865000004</v>
      </c>
      <c r="CA16" s="515">
        <f t="shared" si="164"/>
        <v>9485.9155875000015</v>
      </c>
      <c r="CB16" s="515">
        <f t="shared" si="164"/>
        <v>10713.910478099999</v>
      </c>
      <c r="CC16" s="515">
        <f t="shared" si="164"/>
        <v>15280.9476555</v>
      </c>
    </row>
    <row r="17" spans="1:83">
      <c r="A17" s="687" t="s">
        <v>24</v>
      </c>
      <c r="B17" s="515">
        <f>'Vtas Diarias 2021'!XD22</f>
        <v>10398.005800000001</v>
      </c>
      <c r="C17" s="515">
        <f>'Vtas Diarias 2021'!XH22</f>
        <v>11883.4352</v>
      </c>
      <c r="D17" s="515">
        <f>'Vtas Diarias 2021'!XL22</f>
        <v>16339.723400000001</v>
      </c>
      <c r="E17" s="515">
        <f t="shared" ref="E17:K17" si="165">$K49*E$32</f>
        <v>10725.149535359998</v>
      </c>
      <c r="F17" s="515">
        <f t="shared" si="165"/>
        <v>10574.714269599999</v>
      </c>
      <c r="G17" s="515">
        <f t="shared" si="165"/>
        <v>10663.205602399998</v>
      </c>
      <c r="H17" s="515">
        <f t="shared" si="165"/>
        <v>11017.170933599999</v>
      </c>
      <c r="I17" s="515">
        <f t="shared" si="165"/>
        <v>12167.55826</v>
      </c>
      <c r="J17" s="515">
        <f t="shared" si="165"/>
        <v>13742.703983839998</v>
      </c>
      <c r="K17" s="515">
        <f t="shared" si="165"/>
        <v>19600.830215199996</v>
      </c>
      <c r="L17" s="515">
        <f t="shared" ref="L17:R17" si="166">$R49*L$32</f>
        <v>13999.179287520001</v>
      </c>
      <c r="M17" s="515">
        <f t="shared" si="166"/>
        <v>13802.8211622</v>
      </c>
      <c r="N17" s="515">
        <f t="shared" si="166"/>
        <v>13918.3259418</v>
      </c>
      <c r="O17" s="515">
        <f t="shared" si="166"/>
        <v>14380.345060200001</v>
      </c>
      <c r="P17" s="515">
        <f t="shared" si="166"/>
        <v>15881.907195000003</v>
      </c>
      <c r="Q17" s="515">
        <f t="shared" si="166"/>
        <v>17937.892271880002</v>
      </c>
      <c r="R17" s="515">
        <f t="shared" si="166"/>
        <v>25584.308681400002</v>
      </c>
      <c r="S17" s="515">
        <f t="shared" ref="S17:Y17" si="167">$Y49*S$32</f>
        <v>9601.1685628799987</v>
      </c>
      <c r="T17" s="515">
        <f t="shared" si="167"/>
        <v>9466.4987067999991</v>
      </c>
      <c r="U17" s="515">
        <f t="shared" si="167"/>
        <v>9545.7162691999984</v>
      </c>
      <c r="V17" s="515">
        <f t="shared" si="167"/>
        <v>9862.5865187999989</v>
      </c>
      <c r="W17" s="515">
        <f t="shared" si="167"/>
        <v>10892.41483</v>
      </c>
      <c r="X17" s="515">
        <f t="shared" si="167"/>
        <v>12302.487440719999</v>
      </c>
      <c r="Y17" s="515">
        <f t="shared" si="167"/>
        <v>17546.690071599998</v>
      </c>
      <c r="Z17" s="515">
        <f t="shared" ref="Z17:AF17" si="168">$AF49*Z$32</f>
        <v>13035.242478720002</v>
      </c>
      <c r="AA17" s="515">
        <f t="shared" si="168"/>
        <v>12852.4049192</v>
      </c>
      <c r="AB17" s="515">
        <f t="shared" si="168"/>
        <v>12959.956424800001</v>
      </c>
      <c r="AC17" s="515">
        <f t="shared" si="168"/>
        <v>13390.1624472</v>
      </c>
      <c r="AD17" s="515">
        <f t="shared" si="168"/>
        <v>14788.332020000002</v>
      </c>
      <c r="AE17" s="515">
        <f t="shared" si="168"/>
        <v>16702.74881968</v>
      </c>
      <c r="AF17" s="515">
        <f t="shared" si="168"/>
        <v>23822.658490400001</v>
      </c>
      <c r="AG17" s="515">
        <f t="shared" ref="AG17:AM17" si="169">$AM49*AG$32</f>
        <v>14486.446483200001</v>
      </c>
      <c r="AH17" s="515">
        <f t="shared" si="169"/>
        <v>14283.253752000001</v>
      </c>
      <c r="AI17" s="515">
        <f t="shared" si="169"/>
        <v>14402.778888000001</v>
      </c>
      <c r="AJ17" s="515">
        <f t="shared" si="169"/>
        <v>14880.879432000002</v>
      </c>
      <c r="AK17" s="515">
        <f t="shared" si="169"/>
        <v>16434.706200000004</v>
      </c>
      <c r="AL17" s="515">
        <f t="shared" si="169"/>
        <v>18562.253620800002</v>
      </c>
      <c r="AM17" s="515">
        <f t="shared" si="169"/>
        <v>26474.817624000003</v>
      </c>
      <c r="AN17" s="515">
        <f t="shared" ref="AN17:AT17" si="170">$AT49*AN$32</f>
        <v>15627.719011200001</v>
      </c>
      <c r="AO17" s="515">
        <f t="shared" si="170"/>
        <v>15408.518332</v>
      </c>
      <c r="AP17" s="515">
        <f t="shared" si="170"/>
        <v>15537.459907999999</v>
      </c>
      <c r="AQ17" s="515">
        <f t="shared" si="170"/>
        <v>16053.226212</v>
      </c>
      <c r="AR17" s="515">
        <f t="shared" si="170"/>
        <v>17729.466700000001</v>
      </c>
      <c r="AS17" s="515">
        <f t="shared" si="170"/>
        <v>20024.626752799999</v>
      </c>
      <c r="AT17" s="515">
        <f t="shared" si="170"/>
        <v>28560.559084</v>
      </c>
      <c r="AU17" s="515">
        <f t="shared" ref="AU17:BA17" si="171">$BA49*AU$32</f>
        <v>21772.622083680002</v>
      </c>
      <c r="AV17" s="515">
        <f t="shared" si="171"/>
        <v>21467.230519799999</v>
      </c>
      <c r="AW17" s="515">
        <f t="shared" si="171"/>
        <v>21646.872616200002</v>
      </c>
      <c r="AX17" s="515">
        <f t="shared" si="171"/>
        <v>22365.441001800002</v>
      </c>
      <c r="AY17" s="515">
        <f t="shared" si="171"/>
        <v>24700.788255000003</v>
      </c>
      <c r="AZ17" s="515">
        <f t="shared" si="171"/>
        <v>27898.417570919999</v>
      </c>
      <c r="BA17" s="515">
        <f t="shared" si="171"/>
        <v>39790.724352600002</v>
      </c>
      <c r="BB17" s="515">
        <f t="shared" ref="BB17:BH17" si="172">$BH49*BB$32</f>
        <v>23283.300746159999</v>
      </c>
      <c r="BC17" s="515">
        <f t="shared" si="172"/>
        <v>22956.719795099998</v>
      </c>
      <c r="BD17" s="515">
        <f t="shared" si="172"/>
        <v>23148.8262369</v>
      </c>
      <c r="BE17" s="515">
        <f t="shared" si="172"/>
        <v>23917.252004099999</v>
      </c>
      <c r="BF17" s="515">
        <f t="shared" si="172"/>
        <v>26414.6357475</v>
      </c>
      <c r="BG17" s="515">
        <f t="shared" si="172"/>
        <v>29834.130411539998</v>
      </c>
      <c r="BH17" s="515">
        <f t="shared" si="172"/>
        <v>42551.576858699998</v>
      </c>
      <c r="BI17" s="515">
        <f t="shared" ref="BI17:BO17" si="173">$BO49*BI$32</f>
        <v>28277.981616000001</v>
      </c>
      <c r="BJ17" s="515">
        <f t="shared" si="173"/>
        <v>27881.343259999998</v>
      </c>
      <c r="BK17" s="515">
        <f t="shared" si="173"/>
        <v>28114.659939999998</v>
      </c>
      <c r="BL17" s="515">
        <f t="shared" si="173"/>
        <v>29047.926659999997</v>
      </c>
      <c r="BM17" s="515">
        <f t="shared" si="173"/>
        <v>32081.043500000003</v>
      </c>
      <c r="BN17" s="515">
        <f t="shared" si="173"/>
        <v>36234.080404</v>
      </c>
      <c r="BO17" s="515">
        <f t="shared" si="173"/>
        <v>51679.644619999999</v>
      </c>
      <c r="BP17" s="515">
        <f t="shared" ref="BP17:BV17" si="174">$BV49*BP$32</f>
        <v>46788.44228784</v>
      </c>
      <c r="BQ17" s="515">
        <f t="shared" si="174"/>
        <v>46132.168757399995</v>
      </c>
      <c r="BR17" s="515">
        <f t="shared" si="174"/>
        <v>46518.212010599993</v>
      </c>
      <c r="BS17" s="515">
        <f t="shared" si="174"/>
        <v>48062.385023399998</v>
      </c>
      <c r="BT17" s="515">
        <f t="shared" si="174"/>
        <v>53080.947314999998</v>
      </c>
      <c r="BU17" s="515">
        <f t="shared" si="174"/>
        <v>59952.517221959992</v>
      </c>
      <c r="BV17" s="515">
        <f t="shared" si="174"/>
        <v>85508.580583799994</v>
      </c>
      <c r="BW17" s="515">
        <f t="shared" ref="BW17:CC17" si="175">$CC49*BW$32</f>
        <v>10511.463051599998</v>
      </c>
      <c r="BX17" s="515">
        <f t="shared" si="175"/>
        <v>10364.025038499998</v>
      </c>
      <c r="BY17" s="515">
        <f t="shared" si="175"/>
        <v>10450.753281499998</v>
      </c>
      <c r="BZ17" s="515">
        <f t="shared" si="175"/>
        <v>10797.666253499998</v>
      </c>
      <c r="CA17" s="515">
        <f t="shared" si="175"/>
        <v>11925.133412499999</v>
      </c>
      <c r="CB17" s="515">
        <f t="shared" si="175"/>
        <v>13468.896137899997</v>
      </c>
      <c r="CC17" s="515">
        <f t="shared" si="175"/>
        <v>19210.305824499999</v>
      </c>
    </row>
    <row r="18" spans="1:83">
      <c r="A18" s="687" t="s">
        <v>25</v>
      </c>
      <c r="B18" s="515">
        <f>'Vtas Diarias 2021'!XD23</f>
        <v>10465.009170000001</v>
      </c>
      <c r="C18" s="515">
        <f>'Vtas Diarias 2021'!XH23</f>
        <v>11960.010479999999</v>
      </c>
      <c r="D18" s="515">
        <f>'Vtas Diarias 2021'!XL23</f>
        <v>16445.01441</v>
      </c>
      <c r="E18" s="515">
        <f t="shared" ref="E18:K18" si="176">$K50*E$32</f>
        <v>14088.07260336</v>
      </c>
      <c r="F18" s="515">
        <f t="shared" si="176"/>
        <v>13890.4676246</v>
      </c>
      <c r="G18" s="515">
        <f t="shared" si="176"/>
        <v>14006.7058474</v>
      </c>
      <c r="H18" s="515">
        <f t="shared" si="176"/>
        <v>14471.658738600001</v>
      </c>
      <c r="I18" s="515">
        <f t="shared" si="176"/>
        <v>15982.755635000001</v>
      </c>
      <c r="J18" s="515">
        <f t="shared" si="176"/>
        <v>18051.79600084</v>
      </c>
      <c r="K18" s="515">
        <f t="shared" si="176"/>
        <v>25746.7663502</v>
      </c>
      <c r="L18" s="515">
        <f t="shared" ref="L18:R18" si="177">$R50*L$32</f>
        <v>14438.0707152</v>
      </c>
      <c r="M18" s="515">
        <f t="shared" si="177"/>
        <v>14235.556521999999</v>
      </c>
      <c r="N18" s="515">
        <f t="shared" si="177"/>
        <v>14354.682518</v>
      </c>
      <c r="O18" s="515">
        <f t="shared" si="177"/>
        <v>14831.186502</v>
      </c>
      <c r="P18" s="515">
        <f t="shared" si="177"/>
        <v>16379.824450000002</v>
      </c>
      <c r="Q18" s="515">
        <f t="shared" si="177"/>
        <v>18500.267178800001</v>
      </c>
      <c r="R18" s="515">
        <f t="shared" si="177"/>
        <v>26386.408114000002</v>
      </c>
      <c r="S18" s="515">
        <f t="shared" ref="S18:Y18" si="178">$Y50*S$32</f>
        <v>11977.86110016</v>
      </c>
      <c r="T18" s="515">
        <f t="shared" si="178"/>
        <v>11809.854797599999</v>
      </c>
      <c r="U18" s="515">
        <f t="shared" si="178"/>
        <v>11908.682034399999</v>
      </c>
      <c r="V18" s="515">
        <f t="shared" si="178"/>
        <v>12303.9909816</v>
      </c>
      <c r="W18" s="515">
        <f t="shared" si="178"/>
        <v>13588.745060000001</v>
      </c>
      <c r="X18" s="515">
        <f t="shared" si="178"/>
        <v>15347.86987504</v>
      </c>
      <c r="Y18" s="515">
        <f t="shared" si="178"/>
        <v>21890.2329512</v>
      </c>
      <c r="Z18" s="515">
        <f t="shared" ref="Z18:AF18" si="179">$AF50*Z$32</f>
        <v>16563.88385808</v>
      </c>
      <c r="AA18" s="515">
        <f t="shared" si="179"/>
        <v>16331.552153799999</v>
      </c>
      <c r="AB18" s="515">
        <f t="shared" si="179"/>
        <v>16468.217862199999</v>
      </c>
      <c r="AC18" s="515">
        <f t="shared" si="179"/>
        <v>17014.880695799999</v>
      </c>
      <c r="AD18" s="515">
        <f t="shared" si="179"/>
        <v>18791.534905</v>
      </c>
      <c r="AE18" s="515">
        <f t="shared" si="179"/>
        <v>21224.184514519999</v>
      </c>
      <c r="AF18" s="515">
        <f t="shared" si="179"/>
        <v>30271.454410599999</v>
      </c>
      <c r="AG18" s="515">
        <f t="shared" ref="AG18:AM18" si="180">$AM50*AG$32</f>
        <v>20492.457894719999</v>
      </c>
      <c r="AH18" s="515">
        <f t="shared" si="180"/>
        <v>20205.022429199998</v>
      </c>
      <c r="AI18" s="515">
        <f t="shared" si="180"/>
        <v>20374.1021148</v>
      </c>
      <c r="AJ18" s="515">
        <f t="shared" si="180"/>
        <v>21050.420857199999</v>
      </c>
      <c r="AK18" s="515">
        <f t="shared" si="180"/>
        <v>23248.456770000001</v>
      </c>
      <c r="AL18" s="515">
        <f t="shared" si="180"/>
        <v>26258.075173679998</v>
      </c>
      <c r="AM18" s="515">
        <f t="shared" si="180"/>
        <v>37451.150360400003</v>
      </c>
      <c r="AN18" s="515">
        <f t="shared" ref="AN18:AT18" si="181">$AT50*AN$32</f>
        <v>17594.923967999999</v>
      </c>
      <c r="AO18" s="515">
        <f t="shared" si="181"/>
        <v>17348.130479999996</v>
      </c>
      <c r="AP18" s="515">
        <f t="shared" si="181"/>
        <v>17493.303119999997</v>
      </c>
      <c r="AQ18" s="515">
        <f t="shared" si="181"/>
        <v>18073.99368</v>
      </c>
      <c r="AR18" s="515">
        <f t="shared" si="181"/>
        <v>19961.238000000001</v>
      </c>
      <c r="AS18" s="515">
        <f t="shared" si="181"/>
        <v>22545.310991999995</v>
      </c>
      <c r="AT18" s="515">
        <f t="shared" si="181"/>
        <v>32155.739759999997</v>
      </c>
      <c r="AU18" s="515">
        <f t="shared" ref="AU18:BA18" si="182">$BA50*AU$32</f>
        <v>22975.359507000001</v>
      </c>
      <c r="AV18" s="515">
        <f t="shared" si="182"/>
        <v>22653.097863750001</v>
      </c>
      <c r="AW18" s="515">
        <f t="shared" si="182"/>
        <v>22842.663536250002</v>
      </c>
      <c r="AX18" s="515">
        <f t="shared" si="182"/>
        <v>23600.926226250001</v>
      </c>
      <c r="AY18" s="515">
        <f t="shared" si="182"/>
        <v>26065.279968750005</v>
      </c>
      <c r="AZ18" s="515">
        <f t="shared" si="182"/>
        <v>29439.548939250002</v>
      </c>
      <c r="BA18" s="515">
        <f t="shared" si="182"/>
        <v>41988.796458750003</v>
      </c>
      <c r="BB18" s="515">
        <f t="shared" ref="BB18:BH18" si="183">$BH50*BB$32</f>
        <v>31427.309681999999</v>
      </c>
      <c r="BC18" s="515">
        <f t="shared" si="183"/>
        <v>30986.497582499996</v>
      </c>
      <c r="BD18" s="515">
        <f t="shared" si="183"/>
        <v>31245.798817499995</v>
      </c>
      <c r="BE18" s="515">
        <f t="shared" si="183"/>
        <v>32283.003757499999</v>
      </c>
      <c r="BF18" s="515">
        <f t="shared" si="183"/>
        <v>35653.919812500004</v>
      </c>
      <c r="BG18" s="515">
        <f t="shared" si="183"/>
        <v>40269.481795499996</v>
      </c>
      <c r="BH18" s="515">
        <f t="shared" si="183"/>
        <v>57435.2235525</v>
      </c>
      <c r="BI18" s="515">
        <f t="shared" ref="BI18:BO18" si="184">$BO50*BI$32</f>
        <v>37277.505609959997</v>
      </c>
      <c r="BJ18" s="515">
        <f t="shared" si="184"/>
        <v>36754.636306849992</v>
      </c>
      <c r="BK18" s="515">
        <f t="shared" si="184"/>
        <v>37062.206485149996</v>
      </c>
      <c r="BL18" s="515">
        <f t="shared" si="184"/>
        <v>38292.487198349998</v>
      </c>
      <c r="BM18" s="515">
        <f t="shared" si="184"/>
        <v>42290.89951625</v>
      </c>
      <c r="BN18" s="515">
        <f t="shared" si="184"/>
        <v>47765.64868998999</v>
      </c>
      <c r="BO18" s="515">
        <f t="shared" si="184"/>
        <v>68126.794493449997</v>
      </c>
      <c r="BP18" s="515">
        <f t="shared" ref="BP18:BV18" si="185">$BV50*BP$32</f>
        <v>45759.884172120001</v>
      </c>
      <c r="BQ18" s="515">
        <f t="shared" si="185"/>
        <v>45118.03761195</v>
      </c>
      <c r="BR18" s="515">
        <f t="shared" si="185"/>
        <v>45495.594412049999</v>
      </c>
      <c r="BS18" s="515">
        <f t="shared" si="185"/>
        <v>47005.821612449996</v>
      </c>
      <c r="BT18" s="515">
        <f t="shared" si="185"/>
        <v>51914.060013750001</v>
      </c>
      <c r="BU18" s="515">
        <f t="shared" si="185"/>
        <v>58634.571055529996</v>
      </c>
      <c r="BV18" s="515">
        <f t="shared" si="185"/>
        <v>83628.831222149995</v>
      </c>
      <c r="BW18" s="515">
        <f t="shared" ref="BW18:CC18" si="186">$CC50*BW$32</f>
        <v>9027.584496720001</v>
      </c>
      <c r="BX18" s="515">
        <f t="shared" si="186"/>
        <v>8900.9599617000003</v>
      </c>
      <c r="BY18" s="515">
        <f t="shared" si="186"/>
        <v>8975.4449822999995</v>
      </c>
      <c r="BZ18" s="515">
        <f t="shared" si="186"/>
        <v>9273.3850646999999</v>
      </c>
      <c r="CA18" s="515">
        <f t="shared" si="186"/>
        <v>10241.690332500002</v>
      </c>
      <c r="CB18" s="515">
        <f t="shared" si="186"/>
        <v>11567.523699179999</v>
      </c>
      <c r="CC18" s="515">
        <f t="shared" si="186"/>
        <v>16498.432062899999</v>
      </c>
    </row>
    <row r="19" spans="1:83">
      <c r="A19" s="687" t="s">
        <v>26</v>
      </c>
      <c r="B19" s="515">
        <f>'Vtas Diarias 2021'!XD24</f>
        <v>10703.009100000001</v>
      </c>
      <c r="C19" s="515">
        <f>'Vtas Diarias 2021'!XH24</f>
        <v>12232.010400000001</v>
      </c>
      <c r="D19" s="515">
        <f>'Vtas Diarias 2021'!XL24</f>
        <v>16819.014299999999</v>
      </c>
      <c r="E19" s="515">
        <f t="shared" ref="E19:K19" si="187">$K51*E$32</f>
        <v>9928.2519240000001</v>
      </c>
      <c r="F19" s="515">
        <f t="shared" si="187"/>
        <v>9788.9942649999994</v>
      </c>
      <c r="G19" s="515">
        <f t="shared" si="187"/>
        <v>9870.9105350000009</v>
      </c>
      <c r="H19" s="515">
        <f t="shared" si="187"/>
        <v>10198.575615</v>
      </c>
      <c r="I19" s="515">
        <f t="shared" si="187"/>
        <v>11263.487125000001</v>
      </c>
      <c r="J19" s="515">
        <f t="shared" si="187"/>
        <v>12721.596731</v>
      </c>
      <c r="K19" s="515">
        <f t="shared" si="187"/>
        <v>18144.453805000001</v>
      </c>
      <c r="L19" s="515">
        <f t="shared" ref="L19:R19" si="188">$R51*L$32</f>
        <v>13693.67155044</v>
      </c>
      <c r="M19" s="515">
        <f t="shared" si="188"/>
        <v>13501.598599649999</v>
      </c>
      <c r="N19" s="515">
        <f t="shared" si="188"/>
        <v>13614.582688349999</v>
      </c>
      <c r="O19" s="515">
        <f t="shared" si="188"/>
        <v>14066.51904315</v>
      </c>
      <c r="P19" s="515">
        <f t="shared" si="188"/>
        <v>15535.312196250001</v>
      </c>
      <c r="Q19" s="515">
        <f t="shared" si="188"/>
        <v>17546.428975109997</v>
      </c>
      <c r="R19" s="515">
        <f t="shared" si="188"/>
        <v>25025.97564705</v>
      </c>
      <c r="S19" s="515">
        <f t="shared" ref="S19:Y19" si="189">$Y51*S$32</f>
        <v>8441.4103200000009</v>
      </c>
      <c r="T19" s="515">
        <f t="shared" si="189"/>
        <v>8323.0077000000001</v>
      </c>
      <c r="U19" s="515">
        <f t="shared" si="189"/>
        <v>8392.6563000000006</v>
      </c>
      <c r="V19" s="515">
        <f t="shared" si="189"/>
        <v>8671.2507000000005</v>
      </c>
      <c r="W19" s="515">
        <f t="shared" si="189"/>
        <v>9576.6825000000008</v>
      </c>
      <c r="X19" s="515">
        <f t="shared" si="189"/>
        <v>10816.42758</v>
      </c>
      <c r="Y19" s="515">
        <f t="shared" si="189"/>
        <v>15427.164900000002</v>
      </c>
      <c r="Z19" s="515">
        <f t="shared" ref="Z19:AF19" si="190">$AF51*Z$32</f>
        <v>9569.6107735200003</v>
      </c>
      <c r="AA19" s="515">
        <f t="shared" si="190"/>
        <v>9435.3835596999998</v>
      </c>
      <c r="AB19" s="515">
        <f t="shared" si="190"/>
        <v>9514.3407443000015</v>
      </c>
      <c r="AC19" s="515">
        <f t="shared" si="190"/>
        <v>9830.169482700001</v>
      </c>
      <c r="AD19" s="515">
        <f t="shared" si="190"/>
        <v>10856.612882500001</v>
      </c>
      <c r="AE19" s="515">
        <f t="shared" si="190"/>
        <v>12262.050768380001</v>
      </c>
      <c r="AF19" s="515">
        <f t="shared" si="190"/>
        <v>17489.016388900003</v>
      </c>
      <c r="AG19" s="515">
        <f t="shared" ref="AG19:AM19" si="191">$AM51*AG$32</f>
        <v>14846.179354800001</v>
      </c>
      <c r="AH19" s="515">
        <f t="shared" si="191"/>
        <v>14637.940865500001</v>
      </c>
      <c r="AI19" s="515">
        <f t="shared" si="191"/>
        <v>14760.4340945</v>
      </c>
      <c r="AJ19" s="515">
        <f t="shared" si="191"/>
        <v>15250.407010500001</v>
      </c>
      <c r="AK19" s="515">
        <f t="shared" si="191"/>
        <v>16842.818987500003</v>
      </c>
      <c r="AL19" s="515">
        <f t="shared" si="191"/>
        <v>19023.198463699999</v>
      </c>
      <c r="AM19" s="515">
        <f t="shared" si="191"/>
        <v>27132.250223500003</v>
      </c>
      <c r="AN19" s="515">
        <f t="shared" ref="AN19:AT19" si="192">$AT51*AN$32</f>
        <v>12535.447420800001</v>
      </c>
      <c r="AO19" s="515">
        <f t="shared" si="192"/>
        <v>12359.620187999999</v>
      </c>
      <c r="AP19" s="515">
        <f t="shared" si="192"/>
        <v>12463.047972</v>
      </c>
      <c r="AQ19" s="515">
        <f t="shared" si="192"/>
        <v>12876.759108</v>
      </c>
      <c r="AR19" s="515">
        <f t="shared" si="192"/>
        <v>14221.320300000001</v>
      </c>
      <c r="AS19" s="515">
        <f t="shared" si="192"/>
        <v>16062.334855199999</v>
      </c>
      <c r="AT19" s="515">
        <f t="shared" si="192"/>
        <v>22909.254155999999</v>
      </c>
      <c r="AU19" s="515">
        <f t="shared" ref="AU19:BA19" si="193">$BA51*AU$32</f>
        <v>13719.632444999999</v>
      </c>
      <c r="AV19" s="515">
        <f t="shared" si="193"/>
        <v>13527.195356249998</v>
      </c>
      <c r="AW19" s="515">
        <f t="shared" si="193"/>
        <v>13640.393643749998</v>
      </c>
      <c r="AX19" s="515">
        <f t="shared" si="193"/>
        <v>14093.186793749999</v>
      </c>
      <c r="AY19" s="515">
        <f t="shared" si="193"/>
        <v>15564.764531250001</v>
      </c>
      <c r="AZ19" s="515">
        <f t="shared" si="193"/>
        <v>17579.69404875</v>
      </c>
      <c r="BA19" s="515">
        <f t="shared" si="193"/>
        <v>25073.420681249998</v>
      </c>
      <c r="BB19" s="515">
        <f t="shared" ref="BB19:BH19" si="194">$BH51*BB$32</f>
        <v>16365.440565000003</v>
      </c>
      <c r="BC19" s="515">
        <f t="shared" si="194"/>
        <v>16135.892306250002</v>
      </c>
      <c r="BD19" s="515">
        <f t="shared" si="194"/>
        <v>16270.92069375</v>
      </c>
      <c r="BE19" s="515">
        <f t="shared" si="194"/>
        <v>16811.03424375</v>
      </c>
      <c r="BF19" s="515">
        <f t="shared" si="194"/>
        <v>18566.403281250005</v>
      </c>
      <c r="BG19" s="515">
        <f t="shared" si="194"/>
        <v>20969.908578750001</v>
      </c>
      <c r="BH19" s="515">
        <f t="shared" si="194"/>
        <v>29908.787831250003</v>
      </c>
      <c r="BI19" s="515">
        <f t="shared" ref="BI19:BO19" si="195">$BO51*BI$32</f>
        <v>18245.187117000001</v>
      </c>
      <c r="BJ19" s="515">
        <f t="shared" si="195"/>
        <v>17989.27277625</v>
      </c>
      <c r="BK19" s="515">
        <f t="shared" si="195"/>
        <v>18139.81062375</v>
      </c>
      <c r="BL19" s="515">
        <f t="shared" si="195"/>
        <v>18741.962013749999</v>
      </c>
      <c r="BM19" s="515">
        <f t="shared" si="195"/>
        <v>20698.954031250003</v>
      </c>
      <c r="BN19" s="515">
        <f t="shared" si="195"/>
        <v>23378.527716749999</v>
      </c>
      <c r="BO19" s="515">
        <f t="shared" si="195"/>
        <v>33344.133221249998</v>
      </c>
      <c r="BP19" s="515">
        <f t="shared" ref="BP19:BV19" si="196">$BV51*BP$32</f>
        <v>32947.404784560007</v>
      </c>
      <c r="BQ19" s="515">
        <f t="shared" si="196"/>
        <v>32485.271219100003</v>
      </c>
      <c r="BR19" s="515">
        <f t="shared" si="196"/>
        <v>32757.1144929</v>
      </c>
      <c r="BS19" s="515">
        <f t="shared" si="196"/>
        <v>33844.487588100004</v>
      </c>
      <c r="BT19" s="515">
        <f t="shared" si="196"/>
        <v>37378.450147500007</v>
      </c>
      <c r="BU19" s="515">
        <f t="shared" si="196"/>
        <v>42217.260421140003</v>
      </c>
      <c r="BV19" s="515">
        <f t="shared" si="196"/>
        <v>60213.285146700007</v>
      </c>
      <c r="BW19" s="515">
        <f t="shared" ref="BW19:CC19" si="197">$CC51*BW$32</f>
        <v>6719.1153061200002</v>
      </c>
      <c r="BX19" s="515">
        <f t="shared" si="197"/>
        <v>6624.8702894499993</v>
      </c>
      <c r="BY19" s="515">
        <f t="shared" si="197"/>
        <v>6680.3085345499994</v>
      </c>
      <c r="BZ19" s="515">
        <f t="shared" si="197"/>
        <v>6902.0615149499999</v>
      </c>
      <c r="CA19" s="515">
        <f t="shared" si="197"/>
        <v>7622.7587012500007</v>
      </c>
      <c r="CB19" s="515">
        <f t="shared" si="197"/>
        <v>8609.5594640300005</v>
      </c>
      <c r="CC19" s="515">
        <f t="shared" si="197"/>
        <v>12279.571289650001</v>
      </c>
    </row>
    <row r="20" spans="1:83">
      <c r="A20" s="688" t="s">
        <v>27</v>
      </c>
      <c r="B20" s="515">
        <f>'Vtas Diarias 2021'!XD25</f>
        <v>11199.957356000003</v>
      </c>
      <c r="C20" s="515">
        <f>'Vtas Diarias 2021'!XH25</f>
        <v>12799.951264000003</v>
      </c>
      <c r="D20" s="515">
        <f>'Vtas Diarias 2021'!XL25</f>
        <v>17599.932988000004</v>
      </c>
      <c r="E20" s="515">
        <f t="shared" ref="E20:K20" si="198">$K52*E$32</f>
        <v>11096.9711616</v>
      </c>
      <c r="F20" s="515">
        <f t="shared" si="198"/>
        <v>10941.320576</v>
      </c>
      <c r="G20" s="515">
        <f t="shared" si="198"/>
        <v>11032.879744</v>
      </c>
      <c r="H20" s="515">
        <f t="shared" si="198"/>
        <v>11399.116416000001</v>
      </c>
      <c r="I20" s="515">
        <f t="shared" si="198"/>
        <v>12589.385600000001</v>
      </c>
      <c r="J20" s="515">
        <f t="shared" si="198"/>
        <v>14219.1387904</v>
      </c>
      <c r="K20" s="515">
        <f t="shared" si="198"/>
        <v>20280.355712</v>
      </c>
      <c r="L20" s="515">
        <f t="shared" ref="L20:R20" si="199">$R52*L$32</f>
        <v>12672.859823640001</v>
      </c>
      <c r="M20" s="515">
        <f t="shared" si="199"/>
        <v>12495.105189149999</v>
      </c>
      <c r="N20" s="515">
        <f t="shared" si="199"/>
        <v>12599.666738849999</v>
      </c>
      <c r="O20" s="515">
        <f t="shared" si="199"/>
        <v>13017.91293765</v>
      </c>
      <c r="P20" s="515">
        <f t="shared" si="199"/>
        <v>14377.213083750001</v>
      </c>
      <c r="Q20" s="515">
        <f t="shared" si="199"/>
        <v>16238.40866841</v>
      </c>
      <c r="R20" s="515">
        <f t="shared" si="199"/>
        <v>23160.383258550002</v>
      </c>
      <c r="S20" s="515">
        <f t="shared" ref="S20:Y20" si="200">$Y52*S$32</f>
        <v>8500.9571647200009</v>
      </c>
      <c r="T20" s="515">
        <f t="shared" si="200"/>
        <v>8381.7193167000005</v>
      </c>
      <c r="U20" s="515">
        <f t="shared" si="200"/>
        <v>8451.8592272999995</v>
      </c>
      <c r="V20" s="515">
        <f t="shared" si="200"/>
        <v>8732.4188697000009</v>
      </c>
      <c r="W20" s="515">
        <f t="shared" si="200"/>
        <v>9644.2377075000004</v>
      </c>
      <c r="X20" s="515">
        <f t="shared" si="200"/>
        <v>10892.72811618</v>
      </c>
      <c r="Y20" s="515">
        <f t="shared" si="200"/>
        <v>15535.990197900001</v>
      </c>
      <c r="Z20" s="515">
        <f t="shared" ref="Z20:AF20" si="201">$AF52*Z$32</f>
        <v>10059.6</v>
      </c>
      <c r="AA20" s="515">
        <f t="shared" si="201"/>
        <v>9918.5</v>
      </c>
      <c r="AB20" s="515">
        <f t="shared" si="201"/>
        <v>10001.5</v>
      </c>
      <c r="AC20" s="515">
        <f t="shared" si="201"/>
        <v>10333.5</v>
      </c>
      <c r="AD20" s="515">
        <f t="shared" si="201"/>
        <v>11412.500000000002</v>
      </c>
      <c r="AE20" s="515">
        <f t="shared" si="201"/>
        <v>12889.9</v>
      </c>
      <c r="AF20" s="515">
        <f t="shared" si="201"/>
        <v>18384.5</v>
      </c>
      <c r="AG20" s="515">
        <f t="shared" ref="AG20:AM20" si="202">$AM52*AG$32</f>
        <v>8450.0640000000003</v>
      </c>
      <c r="AH20" s="515">
        <f t="shared" si="202"/>
        <v>8331.5399999999991</v>
      </c>
      <c r="AI20" s="515">
        <f t="shared" si="202"/>
        <v>8401.26</v>
      </c>
      <c r="AJ20" s="515">
        <f t="shared" si="202"/>
        <v>8680.14</v>
      </c>
      <c r="AK20" s="515">
        <f t="shared" si="202"/>
        <v>9586.5</v>
      </c>
      <c r="AL20" s="515">
        <f t="shared" si="202"/>
        <v>10827.516</v>
      </c>
      <c r="AM20" s="515">
        <f t="shared" si="202"/>
        <v>15442.98</v>
      </c>
      <c r="AN20" s="515">
        <f t="shared" ref="AN20:AT20" si="203">$AT52*AN$32</f>
        <v>13774.477493279999</v>
      </c>
      <c r="AO20" s="515">
        <f t="shared" si="203"/>
        <v>13581.271125799998</v>
      </c>
      <c r="AP20" s="515">
        <f t="shared" si="203"/>
        <v>13694.921930199998</v>
      </c>
      <c r="AQ20" s="515">
        <f t="shared" si="203"/>
        <v>14149.525147799999</v>
      </c>
      <c r="AR20" s="515">
        <f t="shared" si="203"/>
        <v>15626.985605</v>
      </c>
      <c r="AS20" s="515">
        <f t="shared" si="203"/>
        <v>17649.969923319997</v>
      </c>
      <c r="AT20" s="515">
        <f t="shared" si="203"/>
        <v>25173.6531746</v>
      </c>
      <c r="AU20" s="515">
        <f t="shared" ref="AU20:BA20" si="204">$BA52*AU$32</f>
        <v>23250.8623176</v>
      </c>
      <c r="AV20" s="515">
        <f t="shared" si="204"/>
        <v>22924.736360999999</v>
      </c>
      <c r="AW20" s="515">
        <f t="shared" si="204"/>
        <v>23116.575159</v>
      </c>
      <c r="AX20" s="515">
        <f t="shared" si="204"/>
        <v>23883.930351000003</v>
      </c>
      <c r="AY20" s="515">
        <f t="shared" si="204"/>
        <v>26377.834725000004</v>
      </c>
      <c r="AZ20" s="515">
        <f t="shared" si="204"/>
        <v>29792.5653294</v>
      </c>
      <c r="BA20" s="515">
        <f t="shared" si="204"/>
        <v>42492.293756999999</v>
      </c>
      <c r="BB20" s="515">
        <f t="shared" ref="BB20:BH20" si="205">$BH52*BB$32</f>
        <v>25597.179662400002</v>
      </c>
      <c r="BC20" s="515">
        <f t="shared" si="205"/>
        <v>25238.143314000001</v>
      </c>
      <c r="BD20" s="515">
        <f t="shared" si="205"/>
        <v>25449.341166000002</v>
      </c>
      <c r="BE20" s="515">
        <f t="shared" si="205"/>
        <v>26294.132574000003</v>
      </c>
      <c r="BF20" s="515">
        <f t="shared" si="205"/>
        <v>29039.704650000003</v>
      </c>
      <c r="BG20" s="515">
        <f t="shared" si="205"/>
        <v>32799.026415599998</v>
      </c>
      <c r="BH20" s="515">
        <f t="shared" si="205"/>
        <v>46780.324218000002</v>
      </c>
      <c r="BI20" s="515">
        <f t="shared" ref="BI20:BO20" si="206">$BO52*BI$32</f>
        <v>44233.803086400003</v>
      </c>
      <c r="BJ20" s="515">
        <f t="shared" si="206"/>
        <v>43613.361954</v>
      </c>
      <c r="BK20" s="515">
        <f t="shared" si="206"/>
        <v>43978.327326000006</v>
      </c>
      <c r="BL20" s="515">
        <f t="shared" si="206"/>
        <v>45438.188814000001</v>
      </c>
      <c r="BM20" s="515">
        <f t="shared" si="206"/>
        <v>50182.738650000007</v>
      </c>
      <c r="BN20" s="515">
        <f t="shared" si="206"/>
        <v>56679.122271600005</v>
      </c>
      <c r="BO20" s="515">
        <f t="shared" si="206"/>
        <v>80839.829898000011</v>
      </c>
      <c r="BP20" s="515">
        <f t="shared" ref="BP20:BV20" si="207">$BV52*BP$32</f>
        <v>61321.541681039998</v>
      </c>
      <c r="BQ20" s="515">
        <f t="shared" si="207"/>
        <v>60461.421046899995</v>
      </c>
      <c r="BR20" s="515">
        <f t="shared" si="207"/>
        <v>60967.374361099995</v>
      </c>
      <c r="BS20" s="515">
        <f t="shared" si="207"/>
        <v>62991.187617899996</v>
      </c>
      <c r="BT20" s="515">
        <f t="shared" si="207"/>
        <v>69568.580702499996</v>
      </c>
      <c r="BU20" s="515">
        <f t="shared" si="207"/>
        <v>78574.549695259993</v>
      </c>
      <c r="BV20" s="515">
        <f t="shared" si="207"/>
        <v>112068.6590953</v>
      </c>
      <c r="BW20" s="515">
        <f t="shared" ref="BW20:CC20" si="208">$CC52*BW$32</f>
        <v>11126.236356000001</v>
      </c>
      <c r="BX20" s="515">
        <f t="shared" si="208"/>
        <v>10970.175284999999</v>
      </c>
      <c r="BY20" s="515">
        <f t="shared" si="208"/>
        <v>11061.975915000001</v>
      </c>
      <c r="BZ20" s="515">
        <f t="shared" si="208"/>
        <v>11429.178435</v>
      </c>
      <c r="CA20" s="515">
        <f t="shared" si="208"/>
        <v>12622.586625000002</v>
      </c>
      <c r="CB20" s="515">
        <f t="shared" si="208"/>
        <v>14256.637839000001</v>
      </c>
      <c r="CC20" s="515">
        <f t="shared" si="208"/>
        <v>20333.839545000003</v>
      </c>
    </row>
    <row r="21" spans="1:83">
      <c r="A21" s="684" t="s">
        <v>28</v>
      </c>
      <c r="B21" s="515">
        <f>'Vtas Diarias 2021'!XD26</f>
        <v>19947.304789999998</v>
      </c>
      <c r="C21" s="515">
        <f>'Vtas Diarias 2021'!XH26</f>
        <v>22796.919759999997</v>
      </c>
      <c r="D21" s="515">
        <f>'Vtas Diarias 2021'!XL26</f>
        <v>31345.764669999997</v>
      </c>
      <c r="E21" s="515">
        <f t="shared" ref="E21:K21" si="209">$K53*E$32</f>
        <v>16165.954442880002</v>
      </c>
      <c r="F21" s="515">
        <f t="shared" si="209"/>
        <v>15939.204256800002</v>
      </c>
      <c r="G21" s="515">
        <f t="shared" si="209"/>
        <v>16072.586719200002</v>
      </c>
      <c r="H21" s="515">
        <f t="shared" si="209"/>
        <v>16606.116568800004</v>
      </c>
      <c r="I21" s="515">
        <f t="shared" si="209"/>
        <v>18340.088580000003</v>
      </c>
      <c r="J21" s="515">
        <f t="shared" si="209"/>
        <v>20714.296410720002</v>
      </c>
      <c r="K21" s="515">
        <f t="shared" si="209"/>
        <v>29544.215421600005</v>
      </c>
      <c r="L21" s="515">
        <f t="shared" ref="L21:R21" si="210">$R53*L$32</f>
        <v>17770.23380496</v>
      </c>
      <c r="M21" s="515">
        <f t="shared" si="210"/>
        <v>17520.981350599999</v>
      </c>
      <c r="N21" s="515">
        <f t="shared" si="210"/>
        <v>17667.600441400002</v>
      </c>
      <c r="O21" s="515">
        <f t="shared" si="210"/>
        <v>18254.076804600001</v>
      </c>
      <c r="P21" s="515">
        <f t="shared" si="210"/>
        <v>20160.124985000002</v>
      </c>
      <c r="Q21" s="515">
        <f t="shared" si="210"/>
        <v>22769.944801239999</v>
      </c>
      <c r="R21" s="515">
        <f t="shared" si="210"/>
        <v>32476.128612200002</v>
      </c>
      <c r="S21" s="515">
        <f t="shared" ref="S21:Y21" si="211">$Y53*S$32</f>
        <v>15001.852101119999</v>
      </c>
      <c r="T21" s="515">
        <f t="shared" si="211"/>
        <v>14791.430083199999</v>
      </c>
      <c r="U21" s="515">
        <f t="shared" si="211"/>
        <v>14915.207740799999</v>
      </c>
      <c r="V21" s="515">
        <f t="shared" si="211"/>
        <v>15410.318371199999</v>
      </c>
      <c r="W21" s="515">
        <f t="shared" si="211"/>
        <v>17019.427920000002</v>
      </c>
      <c r="X21" s="515">
        <f t="shared" si="211"/>
        <v>19222.670225279999</v>
      </c>
      <c r="Y21" s="515">
        <f t="shared" si="211"/>
        <v>27416.751158399999</v>
      </c>
      <c r="Z21" s="515">
        <f t="shared" ref="Z21:AF21" si="212">$AF53*Z$32</f>
        <v>20905.529310719998</v>
      </c>
      <c r="AA21" s="515">
        <f t="shared" si="212"/>
        <v>20612.299939199998</v>
      </c>
      <c r="AB21" s="515">
        <f t="shared" si="212"/>
        <v>20784.787804799998</v>
      </c>
      <c r="AC21" s="515">
        <f t="shared" si="212"/>
        <v>21474.739267199999</v>
      </c>
      <c r="AD21" s="515">
        <f t="shared" si="212"/>
        <v>23717.08152</v>
      </c>
      <c r="AE21" s="515">
        <f t="shared" si="212"/>
        <v>26787.365527679998</v>
      </c>
      <c r="AF21" s="515">
        <f t="shared" si="212"/>
        <v>38206.062230399999</v>
      </c>
      <c r="AG21" s="515">
        <f t="shared" ref="AG21:AM21" si="213">$AM53*AG$32</f>
        <v>26657.410792319999</v>
      </c>
      <c r="AH21" s="515">
        <f t="shared" si="213"/>
        <v>26283.503215199999</v>
      </c>
      <c r="AI21" s="515">
        <f t="shared" si="213"/>
        <v>26503.448848799999</v>
      </c>
      <c r="AJ21" s="515">
        <f t="shared" si="213"/>
        <v>27383.2313832</v>
      </c>
      <c r="AK21" s="515">
        <f t="shared" si="213"/>
        <v>30242.524620000004</v>
      </c>
      <c r="AL21" s="515">
        <f t="shared" si="213"/>
        <v>34157.556898080002</v>
      </c>
      <c r="AM21" s="515">
        <f t="shared" si="213"/>
        <v>48717.957842399999</v>
      </c>
      <c r="AN21" s="515">
        <f t="shared" ref="AN21:AT21" si="214">$AT53*AN$32</f>
        <v>26670.1898052</v>
      </c>
      <c r="AO21" s="515">
        <f t="shared" si="214"/>
        <v>26296.102984499998</v>
      </c>
      <c r="AP21" s="515">
        <f t="shared" si="214"/>
        <v>26516.154055499999</v>
      </c>
      <c r="AQ21" s="515">
        <f t="shared" si="214"/>
        <v>27396.358339499999</v>
      </c>
      <c r="AR21" s="515">
        <f t="shared" si="214"/>
        <v>30257.022262500002</v>
      </c>
      <c r="AS21" s="515">
        <f t="shared" si="214"/>
        <v>34173.9313263</v>
      </c>
      <c r="AT21" s="515">
        <f t="shared" si="214"/>
        <v>48741.312226499998</v>
      </c>
      <c r="AU21" s="515">
        <f t="shared" ref="AU21:BA21" si="215">$BA53*AU$32</f>
        <v>30626.698842000002</v>
      </c>
      <c r="AV21" s="515">
        <f t="shared" si="215"/>
        <v>30197.116432499999</v>
      </c>
      <c r="AW21" s="515">
        <f t="shared" si="215"/>
        <v>30449.811967499998</v>
      </c>
      <c r="AX21" s="515">
        <f t="shared" si="215"/>
        <v>31460.594107500001</v>
      </c>
      <c r="AY21" s="515">
        <f t="shared" si="215"/>
        <v>34745.636062500002</v>
      </c>
      <c r="AZ21" s="515">
        <f t="shared" si="215"/>
        <v>39243.6165855</v>
      </c>
      <c r="BA21" s="515">
        <f t="shared" si="215"/>
        <v>55972.061002499999</v>
      </c>
      <c r="BB21" s="515">
        <f t="shared" ref="BB21:BH21" si="216">$BH53*BB$32</f>
        <v>30044.353446000001</v>
      </c>
      <c r="BC21" s="515">
        <f t="shared" si="216"/>
        <v>29622.939247500002</v>
      </c>
      <c r="BD21" s="515">
        <f t="shared" si="216"/>
        <v>29870.8299525</v>
      </c>
      <c r="BE21" s="515">
        <f t="shared" si="216"/>
        <v>30862.392772500003</v>
      </c>
      <c r="BF21" s="515">
        <f t="shared" si="216"/>
        <v>34084.971937500006</v>
      </c>
      <c r="BG21" s="515">
        <f t="shared" si="216"/>
        <v>38497.4264865</v>
      </c>
      <c r="BH21" s="515">
        <f t="shared" si="216"/>
        <v>54907.791157500003</v>
      </c>
      <c r="BI21" s="515">
        <f t="shared" ref="BI21:BO21" si="217">$BO53*BI$32</f>
        <v>38944.398237360001</v>
      </c>
      <c r="BJ21" s="515">
        <f t="shared" si="217"/>
        <v>38398.148427100001</v>
      </c>
      <c r="BK21" s="515">
        <f t="shared" si="217"/>
        <v>38719.471844899999</v>
      </c>
      <c r="BL21" s="515">
        <f t="shared" si="217"/>
        <v>40004.7655161</v>
      </c>
      <c r="BM21" s="515">
        <f t="shared" si="217"/>
        <v>44181.969947500002</v>
      </c>
      <c r="BN21" s="515">
        <f t="shared" si="217"/>
        <v>49901.52678434</v>
      </c>
      <c r="BO21" s="515">
        <f t="shared" si="217"/>
        <v>71173.137042699993</v>
      </c>
      <c r="BP21" s="515">
        <f t="shared" ref="BP21:BV21" si="218">$BV53*BP$32</f>
        <v>63427.07996676</v>
      </c>
      <c r="BQ21" s="515">
        <f t="shared" si="218"/>
        <v>62537.426204849995</v>
      </c>
      <c r="BR21" s="515">
        <f t="shared" si="218"/>
        <v>63060.751947149998</v>
      </c>
      <c r="BS21" s="515">
        <f t="shared" si="218"/>
        <v>65154.054916349996</v>
      </c>
      <c r="BT21" s="515">
        <f t="shared" si="218"/>
        <v>71957.289566250009</v>
      </c>
      <c r="BU21" s="515">
        <f t="shared" si="218"/>
        <v>81272.487779189993</v>
      </c>
      <c r="BV21" s="515">
        <f t="shared" si="218"/>
        <v>115916.65191945</v>
      </c>
      <c r="BW21" s="515">
        <f t="shared" ref="BW21:CC21" si="219">$CC53*BW$32</f>
        <v>19488.429446999995</v>
      </c>
      <c r="BX21" s="515">
        <f t="shared" si="219"/>
        <v>19215.076888749994</v>
      </c>
      <c r="BY21" s="515">
        <f t="shared" si="219"/>
        <v>19375.872511249996</v>
      </c>
      <c r="BZ21" s="515">
        <f t="shared" si="219"/>
        <v>20019.055001249995</v>
      </c>
      <c r="CA21" s="515">
        <f t="shared" si="219"/>
        <v>22109.398093749998</v>
      </c>
      <c r="CB21" s="515">
        <f t="shared" si="219"/>
        <v>24971.560174249993</v>
      </c>
      <c r="CC21" s="515">
        <f t="shared" si="219"/>
        <v>35616.230383749993</v>
      </c>
    </row>
    <row r="22" spans="1:83">
      <c r="A22" s="685" t="s">
        <v>29</v>
      </c>
      <c r="B22" s="515">
        <f>'Vtas Diarias 2021'!XD27</f>
        <v>20356.959840000007</v>
      </c>
      <c r="C22" s="515">
        <f>'Vtas Diarias 2021'!XH27</f>
        <v>23265.096960000006</v>
      </c>
      <c r="D22" s="515">
        <f>'Vtas Diarias 2021'!XL27</f>
        <v>31989.508320000008</v>
      </c>
      <c r="E22" s="515">
        <f t="shared" ref="E22:K22" si="220">$K54*E$32</f>
        <v>20879.490569400001</v>
      </c>
      <c r="F22" s="515">
        <f t="shared" si="220"/>
        <v>20586.626427749998</v>
      </c>
      <c r="G22" s="515">
        <f t="shared" si="220"/>
        <v>20758.89945225</v>
      </c>
      <c r="H22" s="515">
        <f t="shared" si="220"/>
        <v>21447.991550250001</v>
      </c>
      <c r="I22" s="515">
        <f t="shared" si="220"/>
        <v>23687.540868750002</v>
      </c>
      <c r="J22" s="515">
        <f t="shared" si="220"/>
        <v>26754.000704849997</v>
      </c>
      <c r="K22" s="515">
        <f t="shared" si="220"/>
        <v>38158.474926750001</v>
      </c>
      <c r="L22" s="515">
        <f t="shared" ref="L22:R22" si="221">$R54*L$32</f>
        <v>20809.24560672</v>
      </c>
      <c r="M22" s="515">
        <f t="shared" si="221"/>
        <v>20517.366749199999</v>
      </c>
      <c r="N22" s="515">
        <f t="shared" si="221"/>
        <v>20689.0601948</v>
      </c>
      <c r="O22" s="515">
        <f t="shared" si="221"/>
        <v>21375.8339772</v>
      </c>
      <c r="P22" s="515">
        <f t="shared" si="221"/>
        <v>23607.848770000004</v>
      </c>
      <c r="Q22" s="515">
        <f t="shared" si="221"/>
        <v>26663.99210168</v>
      </c>
      <c r="R22" s="515">
        <f t="shared" si="221"/>
        <v>38030.098200400003</v>
      </c>
      <c r="S22" s="515">
        <f t="shared" ref="S22:Y22" si="222">$Y54*S$32</f>
        <v>16753.886771040001</v>
      </c>
      <c r="T22" s="515">
        <f t="shared" si="222"/>
        <v>16518.890009399998</v>
      </c>
      <c r="U22" s="515">
        <f t="shared" si="222"/>
        <v>16657.123398600001</v>
      </c>
      <c r="V22" s="515">
        <f t="shared" si="222"/>
        <v>17210.056955399999</v>
      </c>
      <c r="W22" s="515">
        <f t="shared" si="222"/>
        <v>19007.091015000002</v>
      </c>
      <c r="X22" s="515">
        <f t="shared" si="222"/>
        <v>21467.645342759999</v>
      </c>
      <c r="Y22" s="515">
        <f t="shared" si="222"/>
        <v>30618.695707800001</v>
      </c>
      <c r="Z22" s="515">
        <f t="shared" ref="Z22:AF22" si="223">$AF54*Z$32</f>
        <v>24981.388011359999</v>
      </c>
      <c r="AA22" s="515">
        <f t="shared" si="223"/>
        <v>24630.989004599996</v>
      </c>
      <c r="AB22" s="515">
        <f t="shared" si="223"/>
        <v>24837.106067399996</v>
      </c>
      <c r="AC22" s="515">
        <f t="shared" si="223"/>
        <v>25661.574318599996</v>
      </c>
      <c r="AD22" s="515">
        <f t="shared" si="223"/>
        <v>28341.096135</v>
      </c>
      <c r="AE22" s="515">
        <f t="shared" si="223"/>
        <v>32009.979852839995</v>
      </c>
      <c r="AF22" s="515">
        <f t="shared" si="223"/>
        <v>45654.929410199999</v>
      </c>
      <c r="AG22" s="515">
        <f t="shared" ref="AG22:AM22" si="224">$AM54*AG$32</f>
        <v>26347.039299239997</v>
      </c>
      <c r="AH22" s="515">
        <f t="shared" si="224"/>
        <v>25977.485117649998</v>
      </c>
      <c r="AI22" s="515">
        <f t="shared" si="224"/>
        <v>26194.869930349996</v>
      </c>
      <c r="AJ22" s="515">
        <f t="shared" si="224"/>
        <v>27064.409181149997</v>
      </c>
      <c r="AK22" s="515">
        <f t="shared" si="224"/>
        <v>29890.41174625</v>
      </c>
      <c r="AL22" s="515">
        <f t="shared" si="224"/>
        <v>33759.861412309998</v>
      </c>
      <c r="AM22" s="515">
        <f t="shared" si="224"/>
        <v>48150.736013049995</v>
      </c>
      <c r="AN22" s="515">
        <f t="shared" ref="AN22:AT22" si="225">$AT54*AN$32</f>
        <v>24511.858169039999</v>
      </c>
      <c r="AO22" s="515">
        <f t="shared" si="225"/>
        <v>24168.044976899997</v>
      </c>
      <c r="AP22" s="515">
        <f t="shared" si="225"/>
        <v>24370.288031099997</v>
      </c>
      <c r="AQ22" s="515">
        <f t="shared" si="225"/>
        <v>25179.260247899998</v>
      </c>
      <c r="AR22" s="515">
        <f t="shared" si="225"/>
        <v>27808.4199525</v>
      </c>
      <c r="AS22" s="515">
        <f t="shared" si="225"/>
        <v>31408.346317259995</v>
      </c>
      <c r="AT22" s="515">
        <f t="shared" si="225"/>
        <v>44796.836505299994</v>
      </c>
      <c r="AU22" s="515">
        <f t="shared" ref="AU22:BA22" si="226">$BA54*AU$32</f>
        <v>28970.183176799997</v>
      </c>
      <c r="AV22" s="515">
        <f t="shared" si="226"/>
        <v>28563.835722999993</v>
      </c>
      <c r="AW22" s="515">
        <f t="shared" si="226"/>
        <v>28802.863636999995</v>
      </c>
      <c r="AX22" s="515">
        <f t="shared" si="226"/>
        <v>29758.975292999996</v>
      </c>
      <c r="AY22" s="515">
        <f t="shared" si="226"/>
        <v>32866.338174999997</v>
      </c>
      <c r="AZ22" s="515">
        <f t="shared" si="226"/>
        <v>37121.035044199991</v>
      </c>
      <c r="BA22" s="515">
        <f t="shared" si="226"/>
        <v>52944.682950999995</v>
      </c>
      <c r="BB22" s="515">
        <f t="shared" ref="BB22:BH22" si="227">$BH54*BB$32</f>
        <v>41058.623121000004</v>
      </c>
      <c r="BC22" s="515">
        <f t="shared" si="227"/>
        <v>40482.718341250002</v>
      </c>
      <c r="BD22" s="515">
        <f t="shared" si="227"/>
        <v>40821.485858749998</v>
      </c>
      <c r="BE22" s="515">
        <f t="shared" si="227"/>
        <v>42176.55592875</v>
      </c>
      <c r="BF22" s="515">
        <f t="shared" si="227"/>
        <v>46580.533656250009</v>
      </c>
      <c r="BG22" s="515">
        <f t="shared" si="227"/>
        <v>52610.595467749998</v>
      </c>
      <c r="BH22" s="515">
        <f t="shared" si="227"/>
        <v>75037.005126250006</v>
      </c>
      <c r="BI22" s="515">
        <f t="shared" ref="BI22:BO22" si="228">$BO54*BI$32</f>
        <v>55576.405076399991</v>
      </c>
      <c r="BJ22" s="515">
        <f t="shared" si="228"/>
        <v>54796.868041499991</v>
      </c>
      <c r="BK22" s="515">
        <f t="shared" si="228"/>
        <v>55255.419238499991</v>
      </c>
      <c r="BL22" s="515">
        <f t="shared" si="228"/>
        <v>57089.624026499994</v>
      </c>
      <c r="BM22" s="515">
        <f t="shared" si="228"/>
        <v>63050.789587499996</v>
      </c>
      <c r="BN22" s="515">
        <f t="shared" si="228"/>
        <v>71213.000894099983</v>
      </c>
      <c r="BO22" s="515">
        <f t="shared" si="228"/>
        <v>101569.09013549998</v>
      </c>
      <c r="BP22" s="515">
        <f t="shared" ref="BP22:BV22" si="229">$BV54*BP$32</f>
        <v>82693.548545399986</v>
      </c>
      <c r="BQ22" s="515">
        <f t="shared" si="229"/>
        <v>81533.65553774999</v>
      </c>
      <c r="BR22" s="515">
        <f t="shared" si="229"/>
        <v>82215.945542249989</v>
      </c>
      <c r="BS22" s="515">
        <f t="shared" si="229"/>
        <v>84945.105560249984</v>
      </c>
      <c r="BT22" s="515">
        <f t="shared" si="229"/>
        <v>93814.875618749997</v>
      </c>
      <c r="BU22" s="515">
        <f t="shared" si="229"/>
        <v>105959.63769884998</v>
      </c>
      <c r="BV22" s="515">
        <f t="shared" si="229"/>
        <v>151127.23599674998</v>
      </c>
      <c r="BW22" s="515">
        <f t="shared" ref="BW22:CC22" si="230">$CC54*BW$32</f>
        <v>25337.286308879997</v>
      </c>
      <c r="BX22" s="515">
        <f t="shared" si="230"/>
        <v>24981.895329299998</v>
      </c>
      <c r="BY22" s="515">
        <f t="shared" si="230"/>
        <v>25190.948846699997</v>
      </c>
      <c r="BZ22" s="515">
        <f t="shared" si="230"/>
        <v>26027.162916299996</v>
      </c>
      <c r="CA22" s="515">
        <f t="shared" si="230"/>
        <v>28744.858642499999</v>
      </c>
      <c r="CB22" s="515">
        <f t="shared" si="230"/>
        <v>32466.011252219996</v>
      </c>
      <c r="CC22" s="515">
        <f t="shared" si="230"/>
        <v>46305.354104099999</v>
      </c>
    </row>
    <row r="23" spans="1:83">
      <c r="A23" s="685" t="s">
        <v>30</v>
      </c>
      <c r="B23" s="515">
        <f>'Vtas Diarias 2021'!XD28</f>
        <v>13640.962706000002</v>
      </c>
      <c r="C23" s="515">
        <f>'Vtas Diarias 2021'!XH28</f>
        <v>15589.671664</v>
      </c>
      <c r="D23" s="515">
        <f>'Vtas Diarias 2021'!XL28</f>
        <v>21435.798537999999</v>
      </c>
      <c r="E23" s="515">
        <f t="shared" ref="E23:K23" si="231">$K55*E$32</f>
        <v>11721.994955999999</v>
      </c>
      <c r="F23" s="515">
        <f t="shared" si="231"/>
        <v>11557.577534999999</v>
      </c>
      <c r="G23" s="515">
        <f t="shared" si="231"/>
        <v>11654.293664999999</v>
      </c>
      <c r="H23" s="515">
        <f t="shared" si="231"/>
        <v>12041.158184999998</v>
      </c>
      <c r="I23" s="515">
        <f t="shared" si="231"/>
        <v>13298.467875</v>
      </c>
      <c r="J23" s="515">
        <f t="shared" si="231"/>
        <v>15020.014988999998</v>
      </c>
      <c r="K23" s="515">
        <f t="shared" si="231"/>
        <v>21422.622794999999</v>
      </c>
      <c r="L23" s="515">
        <f t="shared" ref="L23:R23" si="232">$R55*L$32</f>
        <v>13975.590179999999</v>
      </c>
      <c r="M23" s="515">
        <f t="shared" si="232"/>
        <v>13779.562924999998</v>
      </c>
      <c r="N23" s="515">
        <f t="shared" si="232"/>
        <v>13894.873075</v>
      </c>
      <c r="O23" s="515">
        <f t="shared" si="232"/>
        <v>14356.113674999999</v>
      </c>
      <c r="P23" s="515">
        <f t="shared" si="232"/>
        <v>15855.145625000001</v>
      </c>
      <c r="Q23" s="515">
        <f t="shared" si="232"/>
        <v>17907.666294999999</v>
      </c>
      <c r="R23" s="515">
        <f t="shared" si="232"/>
        <v>25541.198225</v>
      </c>
      <c r="S23" s="515">
        <f t="shared" ref="S23:Y23" si="233">$Y55*S$32</f>
        <v>11809.120788</v>
      </c>
      <c r="T23" s="515">
        <f t="shared" si="233"/>
        <v>11643.481304999999</v>
      </c>
      <c r="U23" s="515">
        <f t="shared" si="233"/>
        <v>11740.916295000001</v>
      </c>
      <c r="V23" s="515">
        <f t="shared" si="233"/>
        <v>12130.656255</v>
      </c>
      <c r="W23" s="515">
        <f t="shared" si="233"/>
        <v>13397.311125000002</v>
      </c>
      <c r="X23" s="515">
        <f t="shared" si="233"/>
        <v>15131.653947000001</v>
      </c>
      <c r="Y23" s="515">
        <f t="shared" si="233"/>
        <v>21581.850285</v>
      </c>
      <c r="Z23" s="515">
        <f t="shared" ref="Z23:AF23" si="234">$AF55*Z$32</f>
        <v>14572.739865120002</v>
      </c>
      <c r="AA23" s="515">
        <f t="shared" si="234"/>
        <v>14368.336748199999</v>
      </c>
      <c r="AB23" s="515">
        <f t="shared" si="234"/>
        <v>14488.573875800001</v>
      </c>
      <c r="AC23" s="515">
        <f t="shared" si="234"/>
        <v>14969.5223862</v>
      </c>
      <c r="AD23" s="515">
        <f t="shared" si="234"/>
        <v>16532.605045000004</v>
      </c>
      <c r="AE23" s="515">
        <f t="shared" si="234"/>
        <v>18672.825916279999</v>
      </c>
      <c r="AF23" s="515">
        <f t="shared" si="234"/>
        <v>26632.5237634</v>
      </c>
      <c r="AG23" s="515">
        <f t="shared" ref="AG23:AM23" si="235">$AM55*AG$32</f>
        <v>16038.184530240002</v>
      </c>
      <c r="AH23" s="515">
        <f t="shared" si="235"/>
        <v>15813.226496400001</v>
      </c>
      <c r="AI23" s="515">
        <f t="shared" si="235"/>
        <v>15945.554751600001</v>
      </c>
      <c r="AJ23" s="515">
        <f t="shared" si="235"/>
        <v>16474.867772400001</v>
      </c>
      <c r="AK23" s="515">
        <f t="shared" si="235"/>
        <v>18195.135090000003</v>
      </c>
      <c r="AL23" s="515">
        <f t="shared" si="235"/>
        <v>20550.578032560003</v>
      </c>
      <c r="AM23" s="515">
        <f t="shared" si="235"/>
        <v>29310.708526800005</v>
      </c>
      <c r="AN23" s="515">
        <f t="shared" ref="AN23:AT23" si="236">$AT55*AN$32</f>
        <v>15403.2718824</v>
      </c>
      <c r="AO23" s="515">
        <f t="shared" si="236"/>
        <v>15187.219389</v>
      </c>
      <c r="AP23" s="515">
        <f t="shared" si="236"/>
        <v>15314.309090999999</v>
      </c>
      <c r="AQ23" s="515">
        <f t="shared" si="236"/>
        <v>15822.667899</v>
      </c>
      <c r="AR23" s="515">
        <f t="shared" si="236"/>
        <v>17474.834025000004</v>
      </c>
      <c r="AS23" s="515">
        <f t="shared" si="236"/>
        <v>19737.0307206</v>
      </c>
      <c r="AT23" s="515">
        <f t="shared" si="236"/>
        <v>28150.368993</v>
      </c>
      <c r="AU23" s="515">
        <f t="shared" ref="AU23:BA23" si="237">$BA55*AU$32</f>
        <v>17543.957246999998</v>
      </c>
      <c r="AV23" s="515">
        <f t="shared" si="237"/>
        <v>17297.87863875</v>
      </c>
      <c r="AW23" s="515">
        <f t="shared" si="237"/>
        <v>17442.630761249999</v>
      </c>
      <c r="AX23" s="515">
        <f t="shared" si="237"/>
        <v>18021.639251249999</v>
      </c>
      <c r="AY23" s="515">
        <f t="shared" si="237"/>
        <v>19903.416843750001</v>
      </c>
      <c r="AZ23" s="515">
        <f t="shared" si="237"/>
        <v>22480.004624249999</v>
      </c>
      <c r="BA23" s="515">
        <f t="shared" si="237"/>
        <v>32062.595133750001</v>
      </c>
      <c r="BB23" s="515">
        <f t="shared" ref="BB23:BH23" si="238">$BH55*BB$32</f>
        <v>20701.388744999997</v>
      </c>
      <c r="BC23" s="515">
        <f t="shared" si="238"/>
        <v>20411.022731249996</v>
      </c>
      <c r="BD23" s="515">
        <f t="shared" si="238"/>
        <v>20581.826268749996</v>
      </c>
      <c r="BE23" s="515">
        <f t="shared" si="238"/>
        <v>21265.040418749995</v>
      </c>
      <c r="BF23" s="515">
        <f t="shared" si="238"/>
        <v>23485.486406249998</v>
      </c>
      <c r="BG23" s="515">
        <f t="shared" si="238"/>
        <v>26525.789373749994</v>
      </c>
      <c r="BH23" s="515">
        <f t="shared" si="238"/>
        <v>37832.983556249994</v>
      </c>
      <c r="BI23" s="515">
        <f t="shared" ref="BI23:BO23" si="239">$BO55*BI$32</f>
        <v>25380.232631999999</v>
      </c>
      <c r="BJ23" s="515">
        <f t="shared" si="239"/>
        <v>25024.239269999998</v>
      </c>
      <c r="BK23" s="515">
        <f t="shared" si="239"/>
        <v>25233.647129999998</v>
      </c>
      <c r="BL23" s="515">
        <f t="shared" si="239"/>
        <v>26071.278569999999</v>
      </c>
      <c r="BM23" s="515">
        <f t="shared" si="239"/>
        <v>28793.580750000001</v>
      </c>
      <c r="BN23" s="515">
        <f t="shared" si="239"/>
        <v>32521.040657999998</v>
      </c>
      <c r="BO23" s="515">
        <f t="shared" si="239"/>
        <v>46383.840989999997</v>
      </c>
      <c r="BP23" s="515">
        <f t="shared" ref="BP23:BV23" si="240">$BV55*BP$32</f>
        <v>43044.849557280002</v>
      </c>
      <c r="BQ23" s="515">
        <f t="shared" si="240"/>
        <v>42441.085165799996</v>
      </c>
      <c r="BR23" s="515">
        <f t="shared" si="240"/>
        <v>42796.2406902</v>
      </c>
      <c r="BS23" s="515">
        <f t="shared" si="240"/>
        <v>44216.862787799997</v>
      </c>
      <c r="BT23" s="515">
        <f t="shared" si="240"/>
        <v>48833.884605000007</v>
      </c>
      <c r="BU23" s="515">
        <f t="shared" si="240"/>
        <v>55155.652939319996</v>
      </c>
      <c r="BV23" s="515">
        <f t="shared" si="240"/>
        <v>78666.948654599997</v>
      </c>
      <c r="BW23" s="515">
        <f t="shared" ref="BW23:CC23" si="241">$CC55*BW$32</f>
        <v>16312.32643452</v>
      </c>
      <c r="BX23" s="515">
        <f t="shared" si="241"/>
        <v>16083.52317595</v>
      </c>
      <c r="BY23" s="515">
        <f t="shared" si="241"/>
        <v>16218.11332805</v>
      </c>
      <c r="BZ23" s="515">
        <f t="shared" si="241"/>
        <v>16756.473936450002</v>
      </c>
      <c r="CA23" s="515">
        <f t="shared" si="241"/>
        <v>18506.145913750002</v>
      </c>
      <c r="CB23" s="515">
        <f t="shared" si="241"/>
        <v>20901.850621130001</v>
      </c>
      <c r="CC23" s="515">
        <f t="shared" si="241"/>
        <v>29811.718690150003</v>
      </c>
    </row>
    <row r="24" spans="1:83">
      <c r="A24" s="685" t="s">
        <v>31</v>
      </c>
      <c r="B24" s="515">
        <f>'Vtas Diarias 2021'!XD29</f>
        <v>27198.955476000006</v>
      </c>
      <c r="C24" s="515">
        <f>'Vtas Diarias 2021'!XH29</f>
        <v>31084.520544000003</v>
      </c>
      <c r="D24" s="515">
        <f>'Vtas Diarias 2021'!XL29</f>
        <v>42741.215748000002</v>
      </c>
      <c r="E24" s="515">
        <f t="shared" ref="E24:K24" si="242">$K56*E$32</f>
        <v>23949.327591360001</v>
      </c>
      <c r="F24" s="515">
        <f t="shared" si="242"/>
        <v>23613.4046796</v>
      </c>
      <c r="G24" s="515">
        <f t="shared" si="242"/>
        <v>23811.006392399999</v>
      </c>
      <c r="H24" s="515">
        <f t="shared" si="242"/>
        <v>24601.4132436</v>
      </c>
      <c r="I24" s="515">
        <f t="shared" si="242"/>
        <v>27170.235510000002</v>
      </c>
      <c r="J24" s="515">
        <f t="shared" si="242"/>
        <v>30687.545997839999</v>
      </c>
      <c r="K24" s="515">
        <f t="shared" si="242"/>
        <v>43768.779385200003</v>
      </c>
      <c r="L24" s="515">
        <f t="shared" ref="L24:R24" si="243">$R56*L$32</f>
        <v>25597.207174800005</v>
      </c>
      <c r="M24" s="515">
        <f t="shared" si="243"/>
        <v>25238.170440500002</v>
      </c>
      <c r="N24" s="515">
        <f t="shared" si="243"/>
        <v>25449.368519500003</v>
      </c>
      <c r="O24" s="515">
        <f t="shared" si="243"/>
        <v>26294.160835500003</v>
      </c>
      <c r="P24" s="515">
        <f t="shared" si="243"/>
        <v>29039.735862500005</v>
      </c>
      <c r="Q24" s="515">
        <f t="shared" si="243"/>
        <v>32799.0616687</v>
      </c>
      <c r="R24" s="515">
        <f t="shared" si="243"/>
        <v>46780.374498500008</v>
      </c>
      <c r="S24" s="515">
        <f t="shared" ref="S24:Y24" si="244">$Y56*S$32</f>
        <v>18890.854361999998</v>
      </c>
      <c r="T24" s="515">
        <f t="shared" si="244"/>
        <v>18625.883632499997</v>
      </c>
      <c r="U24" s="515">
        <f t="shared" si="244"/>
        <v>18781.748767499997</v>
      </c>
      <c r="V24" s="515">
        <f t="shared" si="244"/>
        <v>19405.209307499998</v>
      </c>
      <c r="W24" s="515">
        <f t="shared" si="244"/>
        <v>21431.456062499998</v>
      </c>
      <c r="X24" s="515">
        <f t="shared" si="244"/>
        <v>24205.855465499997</v>
      </c>
      <c r="Y24" s="515">
        <f t="shared" si="244"/>
        <v>34524.127402499995</v>
      </c>
      <c r="Z24" s="515">
        <f t="shared" ref="Z24:AF24" si="245">$AF56*Z$32</f>
        <v>30513.601231680001</v>
      </c>
      <c r="AA24" s="515">
        <f t="shared" si="245"/>
        <v>30085.605174799999</v>
      </c>
      <c r="AB24" s="515">
        <f t="shared" si="245"/>
        <v>30337.367561199997</v>
      </c>
      <c r="AC24" s="515">
        <f t="shared" si="245"/>
        <v>31344.4171068</v>
      </c>
      <c r="AD24" s="515">
        <f t="shared" si="245"/>
        <v>34617.328130000002</v>
      </c>
      <c r="AE24" s="515">
        <f t="shared" si="245"/>
        <v>39098.69860792</v>
      </c>
      <c r="AF24" s="515">
        <f t="shared" si="245"/>
        <v>55765.368587599994</v>
      </c>
      <c r="AG24" s="515">
        <f t="shared" ref="AG24:AM24" si="246">$AM56*AG$32</f>
        <v>30107.234114880001</v>
      </c>
      <c r="AH24" s="515">
        <f t="shared" si="246"/>
        <v>29684.937926799998</v>
      </c>
      <c r="AI24" s="515">
        <f t="shared" si="246"/>
        <v>29933.347449199999</v>
      </c>
      <c r="AJ24" s="515">
        <f t="shared" si="246"/>
        <v>30926.9855388</v>
      </c>
      <c r="AK24" s="515">
        <f t="shared" si="246"/>
        <v>34156.309330000004</v>
      </c>
      <c r="AL24" s="515">
        <f t="shared" si="246"/>
        <v>38577.998828719996</v>
      </c>
      <c r="AM24" s="515">
        <f t="shared" si="246"/>
        <v>55022.709211599999</v>
      </c>
      <c r="AN24" s="515">
        <f t="shared" ref="AN24:AT24" si="247">$AT56*AN$32</f>
        <v>31197.122884800003</v>
      </c>
      <c r="AO24" s="515">
        <f t="shared" si="247"/>
        <v>30759.539477999999</v>
      </c>
      <c r="AP24" s="515">
        <f t="shared" si="247"/>
        <v>31016.941482000002</v>
      </c>
      <c r="AQ24" s="515">
        <f t="shared" si="247"/>
        <v>32046.549498</v>
      </c>
      <c r="AR24" s="515">
        <f t="shared" si="247"/>
        <v>35392.775550000006</v>
      </c>
      <c r="AS24" s="515">
        <f t="shared" si="247"/>
        <v>39974.531221199999</v>
      </c>
      <c r="AT24" s="515">
        <f t="shared" si="247"/>
        <v>57014.543886000007</v>
      </c>
      <c r="AU24" s="515">
        <f t="shared" ref="AU24:BA24" si="248">$BA56*AU$32</f>
        <v>33394.059254040003</v>
      </c>
      <c r="AV24" s="515">
        <f t="shared" si="248"/>
        <v>32925.660733149998</v>
      </c>
      <c r="AW24" s="515">
        <f t="shared" si="248"/>
        <v>33201.189274849996</v>
      </c>
      <c r="AX24" s="515">
        <f t="shared" si="248"/>
        <v>34303.303441650001</v>
      </c>
      <c r="AY24" s="515">
        <f t="shared" si="248"/>
        <v>37885.174483750001</v>
      </c>
      <c r="AZ24" s="515">
        <f t="shared" si="248"/>
        <v>42789.582526009995</v>
      </c>
      <c r="BA24" s="515">
        <f t="shared" si="248"/>
        <v>61029.57198655</v>
      </c>
      <c r="BB24" s="515">
        <f t="shared" ref="BB24:BH24" si="249">$BH56*BB$32</f>
        <v>46356.689612880007</v>
      </c>
      <c r="BC24" s="515">
        <f t="shared" si="249"/>
        <v>45706.472019300003</v>
      </c>
      <c r="BD24" s="515">
        <f t="shared" si="249"/>
        <v>46088.952956700006</v>
      </c>
      <c r="BE24" s="515">
        <f t="shared" si="249"/>
        <v>47618.876706300005</v>
      </c>
      <c r="BF24" s="515">
        <f t="shared" si="249"/>
        <v>52591.128892500012</v>
      </c>
      <c r="BG24" s="515">
        <f t="shared" si="249"/>
        <v>59399.289578220007</v>
      </c>
      <c r="BH24" s="515">
        <f t="shared" si="249"/>
        <v>84719.527634100014</v>
      </c>
      <c r="BI24" s="515">
        <f t="shared" ref="BI24:BO24" si="250">$BO56*BI$32</f>
        <v>55872.721987200006</v>
      </c>
      <c r="BJ24" s="515">
        <f t="shared" si="250"/>
        <v>55089.028692</v>
      </c>
      <c r="BK24" s="515">
        <f t="shared" si="250"/>
        <v>55550.024748000003</v>
      </c>
      <c r="BL24" s="515">
        <f t="shared" si="250"/>
        <v>57394.008972000003</v>
      </c>
      <c r="BM24" s="515">
        <f t="shared" si="250"/>
        <v>63386.957700000014</v>
      </c>
      <c r="BN24" s="515">
        <f t="shared" si="250"/>
        <v>71592.687496800005</v>
      </c>
      <c r="BO24" s="515">
        <f t="shared" si="250"/>
        <v>102110.62640400001</v>
      </c>
      <c r="BP24" s="515">
        <f t="shared" ref="BP24:BV24" si="251">$BV56*BP$32</f>
        <v>103129.18973447999</v>
      </c>
      <c r="BQ24" s="515">
        <f t="shared" si="251"/>
        <v>101682.65819529998</v>
      </c>
      <c r="BR24" s="515">
        <f t="shared" si="251"/>
        <v>102533.55910069999</v>
      </c>
      <c r="BS24" s="515">
        <f t="shared" si="251"/>
        <v>105937.1627223</v>
      </c>
      <c r="BT24" s="515">
        <f t="shared" si="251"/>
        <v>116998.87449250001</v>
      </c>
      <c r="BU24" s="515">
        <f t="shared" si="251"/>
        <v>132144.91060861998</v>
      </c>
      <c r="BV24" s="515">
        <f t="shared" si="251"/>
        <v>188474.55054609998</v>
      </c>
      <c r="BW24" s="515">
        <f t="shared" ref="BW24:CC24" si="252">$CC56*BW$32</f>
        <v>30334.281420000003</v>
      </c>
      <c r="BX24" s="515">
        <f t="shared" si="252"/>
        <v>29908.800575000001</v>
      </c>
      <c r="BY24" s="515">
        <f t="shared" si="252"/>
        <v>30159.083425000001</v>
      </c>
      <c r="BZ24" s="515">
        <f t="shared" si="252"/>
        <v>31160.214824999999</v>
      </c>
      <c r="CA24" s="515">
        <f t="shared" si="252"/>
        <v>34413.891875000001</v>
      </c>
      <c r="CB24" s="515">
        <f t="shared" si="252"/>
        <v>38868.926605000001</v>
      </c>
      <c r="CC24" s="515">
        <f t="shared" si="252"/>
        <v>55437.651275000004</v>
      </c>
    </row>
    <row r="25" spans="1:83">
      <c r="A25" s="685" t="s">
        <v>32</v>
      </c>
      <c r="B25" s="515">
        <f>'Vtas Diarias 2021'!XD30</f>
        <v>27945.651832000007</v>
      </c>
      <c r="C25" s="515">
        <f>'Vtas Diarias 2021'!XH30</f>
        <v>31937.887808000003</v>
      </c>
      <c r="D25" s="515">
        <f>'Vtas Diarias 2021'!XL30</f>
        <v>43914.595736000003</v>
      </c>
      <c r="E25" s="515">
        <f t="shared" ref="E25:K25" si="253">$K57*E$32</f>
        <v>22085.376502080002</v>
      </c>
      <c r="F25" s="515">
        <f t="shared" si="253"/>
        <v>21775.598118800001</v>
      </c>
      <c r="G25" s="515">
        <f t="shared" si="253"/>
        <v>21957.820697200001</v>
      </c>
      <c r="H25" s="515">
        <f t="shared" si="253"/>
        <v>22686.711010800002</v>
      </c>
      <c r="I25" s="515">
        <f t="shared" si="253"/>
        <v>25055.604530000001</v>
      </c>
      <c r="J25" s="515">
        <f t="shared" si="253"/>
        <v>28299.166425519998</v>
      </c>
      <c r="K25" s="515">
        <f t="shared" si="253"/>
        <v>40362.301115599999</v>
      </c>
      <c r="L25" s="515">
        <f t="shared" ref="L25:R25" si="254">$R57*L$32</f>
        <v>24978.302344200001</v>
      </c>
      <c r="M25" s="515">
        <f t="shared" si="254"/>
        <v>24627.94661825</v>
      </c>
      <c r="N25" s="515">
        <f t="shared" si="254"/>
        <v>24834.038221749997</v>
      </c>
      <c r="O25" s="515">
        <f t="shared" si="254"/>
        <v>25658.404635750001</v>
      </c>
      <c r="P25" s="515">
        <f t="shared" si="254"/>
        <v>28337.595481250002</v>
      </c>
      <c r="Q25" s="515">
        <f t="shared" si="254"/>
        <v>32006.026023549999</v>
      </c>
      <c r="R25" s="515">
        <f t="shared" si="254"/>
        <v>45649.290175249997</v>
      </c>
      <c r="S25" s="515">
        <f t="shared" ref="S25:Y25" si="255">$Y57*S$32</f>
        <v>21042.163149</v>
      </c>
      <c r="T25" s="515">
        <f t="shared" si="255"/>
        <v>20747.017296249996</v>
      </c>
      <c r="U25" s="515">
        <f t="shared" si="255"/>
        <v>20920.632503749999</v>
      </c>
      <c r="V25" s="515">
        <f t="shared" si="255"/>
        <v>21615.093333749999</v>
      </c>
      <c r="W25" s="515">
        <f t="shared" si="255"/>
        <v>23872.091031250002</v>
      </c>
      <c r="X25" s="515">
        <f t="shared" si="255"/>
        <v>26962.441724749999</v>
      </c>
      <c r="Y25" s="515">
        <f t="shared" si="255"/>
        <v>38455.768461250002</v>
      </c>
      <c r="Z25" s="515">
        <f t="shared" ref="Z25:AF25" si="256">$AF57*Z$32</f>
        <v>29859.821985839997</v>
      </c>
      <c r="AA25" s="515">
        <f t="shared" si="256"/>
        <v>29440.996099899996</v>
      </c>
      <c r="AB25" s="515">
        <f t="shared" si="256"/>
        <v>29687.364268099998</v>
      </c>
      <c r="AC25" s="515">
        <f t="shared" si="256"/>
        <v>30672.836940899997</v>
      </c>
      <c r="AD25" s="515">
        <f t="shared" si="256"/>
        <v>33875.623127500003</v>
      </c>
      <c r="AE25" s="515">
        <f t="shared" si="256"/>
        <v>38260.976521459997</v>
      </c>
      <c r="AF25" s="515">
        <f t="shared" si="256"/>
        <v>54570.549256300001</v>
      </c>
      <c r="AG25" s="515">
        <f t="shared" ref="AG25:AM25" si="257">$AM57*AG$32</f>
        <v>35606.472111839998</v>
      </c>
      <c r="AH25" s="515">
        <f t="shared" si="257"/>
        <v>35107.041397399997</v>
      </c>
      <c r="AI25" s="515">
        <f t="shared" si="257"/>
        <v>35400.824170599997</v>
      </c>
      <c r="AJ25" s="515">
        <f t="shared" si="257"/>
        <v>36575.955263399999</v>
      </c>
      <c r="AK25" s="515">
        <f t="shared" si="257"/>
        <v>40395.131315000006</v>
      </c>
      <c r="AL25" s="515">
        <f t="shared" si="257"/>
        <v>45624.464677960001</v>
      </c>
      <c r="AM25" s="515">
        <f t="shared" si="257"/>
        <v>65072.884263799999</v>
      </c>
      <c r="AN25" s="515">
        <f t="shared" ref="AN25:AT25" si="258">$AT57*AN$32</f>
        <v>29100.12</v>
      </c>
      <c r="AO25" s="515">
        <f t="shared" si="258"/>
        <v>28691.949999999997</v>
      </c>
      <c r="AP25" s="515">
        <f t="shared" si="258"/>
        <v>28932.05</v>
      </c>
      <c r="AQ25" s="515">
        <f t="shared" si="258"/>
        <v>29892.45</v>
      </c>
      <c r="AR25" s="515">
        <f t="shared" si="258"/>
        <v>33013.75</v>
      </c>
      <c r="AS25" s="515">
        <f t="shared" si="258"/>
        <v>37287.53</v>
      </c>
      <c r="AT25" s="515">
        <f t="shared" si="258"/>
        <v>53182.15</v>
      </c>
      <c r="AU25" s="515">
        <f t="shared" ref="AU25:BA25" si="259">$BA57*AU$32</f>
        <v>42437.2325796</v>
      </c>
      <c r="AV25" s="515">
        <f t="shared" si="259"/>
        <v>41841.990868499997</v>
      </c>
      <c r="AW25" s="515">
        <f t="shared" si="259"/>
        <v>42192.133051500001</v>
      </c>
      <c r="AX25" s="515">
        <f t="shared" si="259"/>
        <v>43592.701783500001</v>
      </c>
      <c r="AY25" s="515">
        <f t="shared" si="259"/>
        <v>48144.550162500003</v>
      </c>
      <c r="AZ25" s="515">
        <f t="shared" si="259"/>
        <v>54377.081019900004</v>
      </c>
      <c r="BA25" s="515">
        <f t="shared" si="259"/>
        <v>77556.493534500012</v>
      </c>
      <c r="BB25" s="515">
        <f t="shared" ref="BB25:BH25" si="260">$BH57*BB$32</f>
        <v>57862.761145199998</v>
      </c>
      <c r="BC25" s="515">
        <f t="shared" si="260"/>
        <v>57051.154759499994</v>
      </c>
      <c r="BD25" s="515">
        <f t="shared" si="260"/>
        <v>57528.570280499989</v>
      </c>
      <c r="BE25" s="515">
        <f t="shared" si="260"/>
        <v>59438.232364499992</v>
      </c>
      <c r="BF25" s="515">
        <f t="shared" si="260"/>
        <v>65644.634137500005</v>
      </c>
      <c r="BG25" s="515">
        <f t="shared" si="260"/>
        <v>74142.630411299993</v>
      </c>
      <c r="BH25" s="515">
        <f t="shared" si="260"/>
        <v>105747.53790149999</v>
      </c>
      <c r="BI25" s="515">
        <f t="shared" ref="BI25:BO25" si="261">$BO57*BI$32</f>
        <v>71820.950713920014</v>
      </c>
      <c r="BJ25" s="515">
        <f t="shared" si="261"/>
        <v>70813.5611412</v>
      </c>
      <c r="BK25" s="515">
        <f t="shared" si="261"/>
        <v>71406.143242799997</v>
      </c>
      <c r="BL25" s="515">
        <f t="shared" si="261"/>
        <v>73776.471649200001</v>
      </c>
      <c r="BM25" s="515">
        <f t="shared" si="261"/>
        <v>81480.038970000009</v>
      </c>
      <c r="BN25" s="515">
        <f t="shared" si="261"/>
        <v>92028.000378480006</v>
      </c>
      <c r="BO25" s="515">
        <f t="shared" si="261"/>
        <v>131256.93550440003</v>
      </c>
      <c r="BP25" s="515">
        <f t="shared" ref="BP25:BV25" si="262">$BV57*BP$32</f>
        <v>106010.70906888001</v>
      </c>
      <c r="BQ25" s="515">
        <f t="shared" si="262"/>
        <v>104523.76017930001</v>
      </c>
      <c r="BR25" s="515">
        <f t="shared" si="262"/>
        <v>105398.43599670001</v>
      </c>
      <c r="BS25" s="515">
        <f t="shared" si="262"/>
        <v>108897.1392663</v>
      </c>
      <c r="BT25" s="515">
        <f t="shared" si="262"/>
        <v>120267.92489250001</v>
      </c>
      <c r="BU25" s="515">
        <f t="shared" si="262"/>
        <v>135837.15444221999</v>
      </c>
      <c r="BV25" s="515">
        <f t="shared" si="262"/>
        <v>193740.69355410003</v>
      </c>
      <c r="BW25" s="515">
        <f t="shared" ref="BW25:CC25" si="263">$CC57*BW$32</f>
        <v>31143.605328000001</v>
      </c>
      <c r="BX25" s="515">
        <f t="shared" si="263"/>
        <v>30706.772580000001</v>
      </c>
      <c r="BY25" s="515">
        <f t="shared" si="263"/>
        <v>30963.73302</v>
      </c>
      <c r="BZ25" s="515">
        <f t="shared" si="263"/>
        <v>31991.574779999999</v>
      </c>
      <c r="CA25" s="515">
        <f t="shared" si="263"/>
        <v>35332.0605</v>
      </c>
      <c r="CB25" s="515">
        <f t="shared" si="263"/>
        <v>39905.956332000002</v>
      </c>
      <c r="CC25" s="515">
        <f t="shared" si="263"/>
        <v>56916.737460000004</v>
      </c>
    </row>
    <row r="26" spans="1:83">
      <c r="A26" s="685" t="s">
        <v>33</v>
      </c>
      <c r="B26" s="515">
        <f>'Vtas Diarias 2021'!XD31</f>
        <v>12102.738368000002</v>
      </c>
      <c r="C26" s="515">
        <f>'Vtas Diarias 2021'!XH31</f>
        <v>13831.700992</v>
      </c>
      <c r="D26" s="515">
        <f>'Vtas Diarias 2021'!XL31</f>
        <v>19018.588864000001</v>
      </c>
      <c r="E26" s="515">
        <f t="shared" ref="E26:K26" si="264">$K58*E$32</f>
        <v>10076.1742818</v>
      </c>
      <c r="F26" s="515">
        <f t="shared" si="264"/>
        <v>9934.8418042499998</v>
      </c>
      <c r="G26" s="515">
        <f t="shared" si="264"/>
        <v>10017.97855575</v>
      </c>
      <c r="H26" s="515">
        <f t="shared" si="264"/>
        <v>10350.525561750001</v>
      </c>
      <c r="I26" s="515">
        <f t="shared" si="264"/>
        <v>11431.303331250001</v>
      </c>
      <c r="J26" s="515">
        <f t="shared" si="264"/>
        <v>12911.137507949999</v>
      </c>
      <c r="K26" s="515">
        <f t="shared" si="264"/>
        <v>18414.790457250001</v>
      </c>
      <c r="L26" s="515">
        <f t="shared" ref="L26:R26" si="265">$R58*L$32</f>
        <v>10387.667917199999</v>
      </c>
      <c r="M26" s="515">
        <f t="shared" si="265"/>
        <v>10241.966304499998</v>
      </c>
      <c r="N26" s="515">
        <f t="shared" si="265"/>
        <v>10327.673135499999</v>
      </c>
      <c r="O26" s="515">
        <f t="shared" si="265"/>
        <v>10670.500459499999</v>
      </c>
      <c r="P26" s="515">
        <f t="shared" si="265"/>
        <v>11784.6892625</v>
      </c>
      <c r="Q26" s="515">
        <f t="shared" si="265"/>
        <v>13310.270854299997</v>
      </c>
      <c r="R26" s="515">
        <f t="shared" si="265"/>
        <v>18984.063066499999</v>
      </c>
      <c r="S26" s="515">
        <f t="shared" ref="S26:Y26" si="266">$Y58*S$32</f>
        <v>9121.2473234400004</v>
      </c>
      <c r="T26" s="515">
        <f t="shared" si="266"/>
        <v>8993.3090358999998</v>
      </c>
      <c r="U26" s="515">
        <f t="shared" si="266"/>
        <v>9068.5668521000007</v>
      </c>
      <c r="V26" s="515">
        <f t="shared" si="266"/>
        <v>9369.5981169000006</v>
      </c>
      <c r="W26" s="515">
        <f t="shared" si="266"/>
        <v>10347.949727500001</v>
      </c>
      <c r="X26" s="515">
        <f t="shared" si="266"/>
        <v>11687.538855859999</v>
      </c>
      <c r="Y26" s="515">
        <f t="shared" si="266"/>
        <v>16669.606288300001</v>
      </c>
      <c r="Z26" s="515">
        <f t="shared" ref="Z26:AF26" si="267">$AF58*Z$32</f>
        <v>12324.670294560001</v>
      </c>
      <c r="AA26" s="515">
        <f t="shared" si="267"/>
        <v>12151.7995066</v>
      </c>
      <c r="AB26" s="515">
        <f t="shared" si="267"/>
        <v>12253.488205400001</v>
      </c>
      <c r="AC26" s="515">
        <f t="shared" si="267"/>
        <v>12660.243000600001</v>
      </c>
      <c r="AD26" s="515">
        <f t="shared" si="267"/>
        <v>13982.196085000003</v>
      </c>
      <c r="AE26" s="515">
        <f t="shared" si="267"/>
        <v>15792.254923640001</v>
      </c>
      <c r="AF26" s="515">
        <f t="shared" si="267"/>
        <v>22524.046784200003</v>
      </c>
      <c r="AG26" s="515">
        <f t="shared" ref="AG26:AM26" si="268">$AM58*AG$32</f>
        <v>12934.662755880001</v>
      </c>
      <c r="AH26" s="515">
        <f t="shared" si="268"/>
        <v>12753.235968050001</v>
      </c>
      <c r="AI26" s="515">
        <f t="shared" si="268"/>
        <v>12859.95760795</v>
      </c>
      <c r="AJ26" s="515">
        <f t="shared" si="268"/>
        <v>13286.844167550002</v>
      </c>
      <c r="AK26" s="515">
        <f t="shared" si="268"/>
        <v>14674.225486250003</v>
      </c>
      <c r="AL26" s="515">
        <f t="shared" si="268"/>
        <v>16573.87067647</v>
      </c>
      <c r="AM26" s="515">
        <f t="shared" si="268"/>
        <v>23638.843237850004</v>
      </c>
      <c r="AN26" s="515">
        <f t="shared" ref="AN26:AT26" si="269">$AT58*AN$32</f>
        <v>14530.28481408</v>
      </c>
      <c r="AO26" s="515">
        <f t="shared" si="269"/>
        <v>14326.477188799998</v>
      </c>
      <c r="AP26" s="515">
        <f t="shared" si="269"/>
        <v>14446.364027199999</v>
      </c>
      <c r="AQ26" s="515">
        <f t="shared" si="269"/>
        <v>14925.911380799998</v>
      </c>
      <c r="AR26" s="515">
        <f t="shared" si="269"/>
        <v>16484.440279999999</v>
      </c>
      <c r="AS26" s="515">
        <f t="shared" si="269"/>
        <v>18618.426003519999</v>
      </c>
      <c r="AT26" s="515">
        <f t="shared" si="269"/>
        <v>26554.934705600001</v>
      </c>
      <c r="AU26" s="515">
        <f t="shared" ref="AU26:BA26" si="270">$BA58*AU$32</f>
        <v>14791.381804800001</v>
      </c>
      <c r="AV26" s="515">
        <f t="shared" si="270"/>
        <v>14583.911928</v>
      </c>
      <c r="AW26" s="515">
        <f t="shared" si="270"/>
        <v>14705.953031999999</v>
      </c>
      <c r="AX26" s="515">
        <f t="shared" si="270"/>
        <v>15194.117448000001</v>
      </c>
      <c r="AY26" s="515">
        <f t="shared" si="270"/>
        <v>16780.651800000003</v>
      </c>
      <c r="AZ26" s="515">
        <f t="shared" si="270"/>
        <v>18952.983451200002</v>
      </c>
      <c r="BA26" s="515">
        <f t="shared" si="270"/>
        <v>27032.104536000003</v>
      </c>
      <c r="BB26" s="515">
        <f t="shared" ref="BB26:BH26" si="271">$BH58*BB$32</f>
        <v>18420.55776</v>
      </c>
      <c r="BC26" s="515">
        <f t="shared" si="271"/>
        <v>18162.183599999997</v>
      </c>
      <c r="BD26" s="515">
        <f t="shared" si="271"/>
        <v>18314.168399999999</v>
      </c>
      <c r="BE26" s="515">
        <f t="shared" si="271"/>
        <v>18922.107599999999</v>
      </c>
      <c r="BF26" s="515">
        <f t="shared" si="271"/>
        <v>20897.91</v>
      </c>
      <c r="BG26" s="515">
        <f t="shared" si="271"/>
        <v>23603.239439999998</v>
      </c>
      <c r="BH26" s="515">
        <f t="shared" si="271"/>
        <v>33664.633199999997</v>
      </c>
      <c r="BI26" s="515">
        <f t="shared" ref="BI26:BO26" si="272">$BO58*BI$32</f>
        <v>27384.371688960004</v>
      </c>
      <c r="BJ26" s="515">
        <f t="shared" si="272"/>
        <v>27000.267465600002</v>
      </c>
      <c r="BK26" s="515">
        <f t="shared" si="272"/>
        <v>27226.211126400001</v>
      </c>
      <c r="BL26" s="515">
        <f t="shared" si="272"/>
        <v>28129.9857696</v>
      </c>
      <c r="BM26" s="515">
        <f t="shared" si="272"/>
        <v>31067.253360000002</v>
      </c>
      <c r="BN26" s="515">
        <f t="shared" si="272"/>
        <v>35089.050522240002</v>
      </c>
      <c r="BO26" s="515">
        <f t="shared" si="272"/>
        <v>50046.520867200001</v>
      </c>
      <c r="BP26" s="515">
        <f t="shared" ref="BP26:BV26" si="273">$BV58*BP$32</f>
        <v>39084.376044240002</v>
      </c>
      <c r="BQ26" s="515">
        <f t="shared" si="273"/>
        <v>38536.1628489</v>
      </c>
      <c r="BR26" s="515">
        <f t="shared" si="273"/>
        <v>38858.641199099999</v>
      </c>
      <c r="BS26" s="515">
        <f t="shared" si="273"/>
        <v>40148.554599899995</v>
      </c>
      <c r="BT26" s="515">
        <f t="shared" si="273"/>
        <v>44340.773152499998</v>
      </c>
      <c r="BU26" s="515">
        <f t="shared" si="273"/>
        <v>50080.887786059997</v>
      </c>
      <c r="BV26" s="515">
        <f t="shared" si="273"/>
        <v>71428.954569299996</v>
      </c>
      <c r="BW26" s="515">
        <f t="shared" ref="BW26:CC26" si="274">$CC58*BW$32</f>
        <v>12477.230188559999</v>
      </c>
      <c r="BX26" s="515">
        <f t="shared" si="274"/>
        <v>12302.219534099999</v>
      </c>
      <c r="BY26" s="515">
        <f t="shared" si="274"/>
        <v>12405.166977899999</v>
      </c>
      <c r="BZ26" s="515">
        <f t="shared" si="274"/>
        <v>12816.956753099999</v>
      </c>
      <c r="CA26" s="515">
        <f t="shared" si="274"/>
        <v>14155.2735225</v>
      </c>
      <c r="CB26" s="515">
        <f t="shared" si="274"/>
        <v>15987.738022139998</v>
      </c>
      <c r="CC26" s="515">
        <f t="shared" si="274"/>
        <v>22802.8588017</v>
      </c>
    </row>
    <row r="27" spans="1:83">
      <c r="A27" s="685" t="s">
        <v>34</v>
      </c>
      <c r="B27" s="515">
        <f>'Vtas Diarias 2021'!XD32</f>
        <v>1693.3812840000003</v>
      </c>
      <c r="C27" s="515">
        <f>'Vtas Diarias 2021'!XH32</f>
        <v>1935.2928960000002</v>
      </c>
      <c r="D27" s="515">
        <f>'Vtas Diarias 2021'!XL32</f>
        <v>2661.0277320000005</v>
      </c>
      <c r="E27" s="515">
        <f t="shared" ref="E27:K27" si="275">$K59*E$32</f>
        <v>2601.36155904</v>
      </c>
      <c r="F27" s="515">
        <f t="shared" si="275"/>
        <v>2564.8738143999999</v>
      </c>
      <c r="G27" s="515">
        <f t="shared" si="275"/>
        <v>2586.3371935999999</v>
      </c>
      <c r="H27" s="515">
        <f t="shared" si="275"/>
        <v>2672.1907103999997</v>
      </c>
      <c r="I27" s="515">
        <f t="shared" si="275"/>
        <v>2951.2146400000001</v>
      </c>
      <c r="J27" s="515">
        <f t="shared" si="275"/>
        <v>3333.2627897599996</v>
      </c>
      <c r="K27" s="515">
        <f t="shared" si="275"/>
        <v>4754.1384927999998</v>
      </c>
      <c r="L27" s="515">
        <f t="shared" ref="L27:R27" si="276">$R59*L$32</f>
        <v>2141.2839108000003</v>
      </c>
      <c r="M27" s="515">
        <f t="shared" si="276"/>
        <v>2111.2494004999999</v>
      </c>
      <c r="N27" s="515">
        <f t="shared" si="276"/>
        <v>2128.9167594999999</v>
      </c>
      <c r="O27" s="515">
        <f t="shared" si="276"/>
        <v>2199.5861955</v>
      </c>
      <c r="P27" s="515">
        <f t="shared" si="276"/>
        <v>2429.2618625000005</v>
      </c>
      <c r="Q27" s="515">
        <f t="shared" si="276"/>
        <v>2743.7408526999998</v>
      </c>
      <c r="R27" s="515">
        <f t="shared" si="276"/>
        <v>3913.3200185000001</v>
      </c>
      <c r="S27" s="515">
        <f t="shared" ref="S27:Y27" si="277">$Y59*S$32</f>
        <v>1713.9542238000001</v>
      </c>
      <c r="T27" s="515">
        <f t="shared" si="277"/>
        <v>1689.91361175</v>
      </c>
      <c r="U27" s="515">
        <f t="shared" si="277"/>
        <v>1704.05514825</v>
      </c>
      <c r="V27" s="515">
        <f t="shared" si="277"/>
        <v>1760.6212942500001</v>
      </c>
      <c r="W27" s="515">
        <f t="shared" si="277"/>
        <v>1944.4612687500003</v>
      </c>
      <c r="X27" s="515">
        <f t="shared" si="277"/>
        <v>2196.1806184500001</v>
      </c>
      <c r="Y27" s="515">
        <f t="shared" si="277"/>
        <v>3132.35033475</v>
      </c>
      <c r="Z27" s="515">
        <f t="shared" ref="Z27:AF27" si="278">$AF59*Z$32</f>
        <v>2812.9779468000006</v>
      </c>
      <c r="AA27" s="515">
        <f t="shared" si="278"/>
        <v>2773.5219855</v>
      </c>
      <c r="AB27" s="515">
        <f t="shared" si="278"/>
        <v>2796.7313745000001</v>
      </c>
      <c r="AC27" s="515">
        <f t="shared" si="278"/>
        <v>2889.5689305000005</v>
      </c>
      <c r="AD27" s="515">
        <f t="shared" si="278"/>
        <v>3191.2909875000005</v>
      </c>
      <c r="AE27" s="515">
        <f t="shared" si="278"/>
        <v>3604.4181117000003</v>
      </c>
      <c r="AF27" s="515">
        <f t="shared" si="278"/>
        <v>5140.8796635000008</v>
      </c>
      <c r="AG27" s="515">
        <f t="shared" ref="AG27:AM27" si="279">$AM59*AG$32</f>
        <v>3056.0877546000006</v>
      </c>
      <c r="AH27" s="515">
        <f t="shared" si="279"/>
        <v>3013.2218372500006</v>
      </c>
      <c r="AI27" s="515">
        <f t="shared" si="279"/>
        <v>3038.4370827500006</v>
      </c>
      <c r="AJ27" s="515">
        <f t="shared" si="279"/>
        <v>3139.2980647500008</v>
      </c>
      <c r="AK27" s="515">
        <f t="shared" si="279"/>
        <v>3467.0962562500008</v>
      </c>
      <c r="AL27" s="515">
        <f t="shared" si="279"/>
        <v>3915.9276261500004</v>
      </c>
      <c r="AM27" s="515">
        <f t="shared" si="279"/>
        <v>5585.1768782500012</v>
      </c>
      <c r="AN27" s="515">
        <f t="shared" ref="AN27:AT27" si="280">$AT59*AN$32</f>
        <v>3471.4202172000005</v>
      </c>
      <c r="AO27" s="515">
        <f t="shared" si="280"/>
        <v>3422.7286795</v>
      </c>
      <c r="AP27" s="515">
        <f t="shared" si="280"/>
        <v>3451.3707605</v>
      </c>
      <c r="AQ27" s="515">
        <f t="shared" si="280"/>
        <v>3565.9390845000003</v>
      </c>
      <c r="AR27" s="515">
        <f t="shared" si="280"/>
        <v>3938.2861375000007</v>
      </c>
      <c r="AS27" s="515">
        <f t="shared" si="280"/>
        <v>4448.1151792999999</v>
      </c>
      <c r="AT27" s="515">
        <f t="shared" si="280"/>
        <v>6344.2209415000007</v>
      </c>
      <c r="AU27" s="515">
        <f t="shared" ref="AU27:BA27" si="281">$BA59*AU$32</f>
        <v>4148.7399936000002</v>
      </c>
      <c r="AV27" s="515">
        <f t="shared" si="281"/>
        <v>4090.5480959999995</v>
      </c>
      <c r="AW27" s="515">
        <f t="shared" si="281"/>
        <v>4124.7786239999996</v>
      </c>
      <c r="AX27" s="515">
        <f t="shared" si="281"/>
        <v>4261.7007359999998</v>
      </c>
      <c r="AY27" s="515">
        <f t="shared" si="281"/>
        <v>4706.6976000000004</v>
      </c>
      <c r="AZ27" s="515">
        <f t="shared" si="281"/>
        <v>5316.0009983999998</v>
      </c>
      <c r="BA27" s="515">
        <f t="shared" si="281"/>
        <v>7582.061952</v>
      </c>
      <c r="BB27" s="515">
        <f t="shared" ref="BB27:BH27" si="282">$BH59*BB$32</f>
        <v>8544.1287744000001</v>
      </c>
      <c r="BC27" s="515">
        <f t="shared" si="282"/>
        <v>8424.2853839999989</v>
      </c>
      <c r="BD27" s="515">
        <f t="shared" si="282"/>
        <v>8494.7814959999996</v>
      </c>
      <c r="BE27" s="515">
        <f t="shared" si="282"/>
        <v>8776.7659439999989</v>
      </c>
      <c r="BF27" s="515">
        <f t="shared" si="282"/>
        <v>9693.2153999999991</v>
      </c>
      <c r="BG27" s="515">
        <f t="shared" si="282"/>
        <v>10948.046193599999</v>
      </c>
      <c r="BH27" s="515">
        <f t="shared" si="282"/>
        <v>15614.888807999998</v>
      </c>
      <c r="BI27" s="515">
        <f t="shared" ref="BI27:BO27" si="283">$BO59*BI$32</f>
        <v>10639.0392624</v>
      </c>
      <c r="BJ27" s="515">
        <f t="shared" si="283"/>
        <v>10489.811813999999</v>
      </c>
      <c r="BK27" s="515">
        <f t="shared" si="283"/>
        <v>10577.592665999999</v>
      </c>
      <c r="BL27" s="515">
        <f t="shared" si="283"/>
        <v>10928.716074</v>
      </c>
      <c r="BM27" s="515">
        <f t="shared" si="283"/>
        <v>12069.86715</v>
      </c>
      <c r="BN27" s="515">
        <f t="shared" si="283"/>
        <v>13632.366315599998</v>
      </c>
      <c r="BO27" s="515">
        <f t="shared" si="283"/>
        <v>19443.458718000002</v>
      </c>
      <c r="BP27" s="515">
        <f t="shared" ref="BP27:BV27" si="284">$BV59*BP$32</f>
        <v>14112.2190006</v>
      </c>
      <c r="BQ27" s="515">
        <f t="shared" si="284"/>
        <v>13914.275334749998</v>
      </c>
      <c r="BR27" s="515">
        <f t="shared" si="284"/>
        <v>14030.712785249998</v>
      </c>
      <c r="BS27" s="515">
        <f t="shared" si="284"/>
        <v>14496.462587249998</v>
      </c>
      <c r="BT27" s="515">
        <f t="shared" si="284"/>
        <v>16010.149443750001</v>
      </c>
      <c r="BU27" s="515">
        <f t="shared" si="284"/>
        <v>18082.736062649998</v>
      </c>
      <c r="BV27" s="515">
        <f t="shared" si="284"/>
        <v>25790.895285749997</v>
      </c>
      <c r="BW27" s="515">
        <f t="shared" ref="BW27:CC27" si="285">$CC59*BW$32</f>
        <v>3795.2435286</v>
      </c>
      <c r="BX27" s="515">
        <f t="shared" si="285"/>
        <v>3742.0099147499996</v>
      </c>
      <c r="BY27" s="515">
        <f t="shared" si="285"/>
        <v>3773.3238052499996</v>
      </c>
      <c r="BZ27" s="515">
        <f t="shared" si="285"/>
        <v>3898.5793672499999</v>
      </c>
      <c r="CA27" s="515">
        <f t="shared" si="285"/>
        <v>4305.6599437499999</v>
      </c>
      <c r="CB27" s="515">
        <f t="shared" si="285"/>
        <v>4863.0471946499993</v>
      </c>
      <c r="CC27" s="515">
        <f t="shared" si="285"/>
        <v>6936.0267457499995</v>
      </c>
    </row>
    <row r="28" spans="1:83">
      <c r="A28" s="685" t="s">
        <v>35</v>
      </c>
      <c r="B28" s="515">
        <f>'Vtas Diarias 2021'!XD33</f>
        <v>3089.5016879999998</v>
      </c>
      <c r="C28" s="515">
        <f>'Vtas Diarias 2021'!XH33</f>
        <v>3530.8590719999997</v>
      </c>
      <c r="D28" s="515">
        <f>'Vtas Diarias 2021'!XL33</f>
        <v>4854.931223999999</v>
      </c>
      <c r="E28" s="515">
        <f t="shared" ref="E28:K28" si="286">$K60*E$32</f>
        <v>3584.4618815999997</v>
      </c>
      <c r="F28" s="515">
        <f t="shared" si="286"/>
        <v>3534.1847759999996</v>
      </c>
      <c r="G28" s="515">
        <f t="shared" si="286"/>
        <v>3563.7595439999996</v>
      </c>
      <c r="H28" s="515">
        <f t="shared" si="286"/>
        <v>3682.0586159999993</v>
      </c>
      <c r="I28" s="515">
        <f t="shared" si="286"/>
        <v>4066.5306</v>
      </c>
      <c r="J28" s="515">
        <f t="shared" si="286"/>
        <v>4592.9614703999996</v>
      </c>
      <c r="K28" s="515">
        <f t="shared" si="286"/>
        <v>6550.8111119999994</v>
      </c>
      <c r="L28" s="515">
        <f t="shared" ref="L28:R28" si="287">$R60*L$32</f>
        <v>3833.3613528000005</v>
      </c>
      <c r="M28" s="515">
        <f t="shared" si="287"/>
        <v>3779.5930830000002</v>
      </c>
      <c r="N28" s="515">
        <f t="shared" si="287"/>
        <v>3811.2214770000005</v>
      </c>
      <c r="O28" s="515">
        <f t="shared" si="287"/>
        <v>3937.7350530000003</v>
      </c>
      <c r="P28" s="515">
        <f t="shared" si="287"/>
        <v>4348.9041750000006</v>
      </c>
      <c r="Q28" s="515">
        <f t="shared" si="287"/>
        <v>4911.8895882000006</v>
      </c>
      <c r="R28" s="515">
        <f t="shared" si="287"/>
        <v>7005.6892710000011</v>
      </c>
      <c r="S28" s="515">
        <f t="shared" ref="S28:Y28" si="288">$Y60*S$32</f>
        <v>3306.73860216</v>
      </c>
      <c r="T28" s="515">
        <f t="shared" si="288"/>
        <v>3260.3569551000001</v>
      </c>
      <c r="U28" s="515">
        <f t="shared" si="288"/>
        <v>3287.6402769000001</v>
      </c>
      <c r="V28" s="515">
        <f t="shared" si="288"/>
        <v>3396.7735641000004</v>
      </c>
      <c r="W28" s="515">
        <f t="shared" si="288"/>
        <v>3751.4567475000003</v>
      </c>
      <c r="X28" s="515">
        <f t="shared" si="288"/>
        <v>4237.0998755399996</v>
      </c>
      <c r="Y28" s="515">
        <f t="shared" si="288"/>
        <v>6043.2557787000005</v>
      </c>
      <c r="Z28" s="515">
        <f t="shared" ref="Z28:AF28" si="289">$AF60*Z$32</f>
        <v>3499.5268123199999</v>
      </c>
      <c r="AA28" s="515">
        <f t="shared" si="289"/>
        <v>3450.4410401999999</v>
      </c>
      <c r="AB28" s="515">
        <f t="shared" si="289"/>
        <v>3479.3150237999998</v>
      </c>
      <c r="AC28" s="515">
        <f t="shared" si="289"/>
        <v>3594.8109581999997</v>
      </c>
      <c r="AD28" s="515">
        <f t="shared" si="289"/>
        <v>3970.1727450000003</v>
      </c>
      <c r="AE28" s="515">
        <f t="shared" si="289"/>
        <v>4484.12965308</v>
      </c>
      <c r="AF28" s="515">
        <f t="shared" si="289"/>
        <v>6395.5873674000004</v>
      </c>
      <c r="AG28" s="515">
        <f t="shared" ref="AG28:AM28" si="290">$AM60*AG$32</f>
        <v>4169.3078275199996</v>
      </c>
      <c r="AH28" s="515">
        <f t="shared" si="290"/>
        <v>4110.8274371999996</v>
      </c>
      <c r="AI28" s="515">
        <f t="shared" si="290"/>
        <v>4145.2276667999995</v>
      </c>
      <c r="AJ28" s="515">
        <f t="shared" si="290"/>
        <v>4282.8285851999999</v>
      </c>
      <c r="AK28" s="515">
        <f t="shared" si="290"/>
        <v>4730.0315700000001</v>
      </c>
      <c r="AL28" s="515">
        <f t="shared" si="290"/>
        <v>5342.3556568799995</v>
      </c>
      <c r="AM28" s="515">
        <f t="shared" si="290"/>
        <v>7619.6508563999996</v>
      </c>
      <c r="AN28" s="515">
        <f t="shared" ref="AN28:AT28" si="291">$AT60*AN$32</f>
        <v>3531.3788268000003</v>
      </c>
      <c r="AO28" s="515">
        <f t="shared" si="291"/>
        <v>3481.8462854999998</v>
      </c>
      <c r="AP28" s="515">
        <f t="shared" si="291"/>
        <v>3510.9830744999999</v>
      </c>
      <c r="AQ28" s="515">
        <f t="shared" si="291"/>
        <v>3627.5302305</v>
      </c>
      <c r="AR28" s="515">
        <f t="shared" si="291"/>
        <v>4006.3084875000004</v>
      </c>
      <c r="AS28" s="515">
        <f t="shared" si="291"/>
        <v>4524.9433317000003</v>
      </c>
      <c r="AT28" s="515">
        <f t="shared" si="291"/>
        <v>6453.7987634999999</v>
      </c>
      <c r="AU28" s="515">
        <f t="shared" ref="AU28:BA28" si="292">$BA60*AU$32</f>
        <v>5418.5607564000002</v>
      </c>
      <c r="AV28" s="515">
        <f t="shared" si="292"/>
        <v>5342.5578415</v>
      </c>
      <c r="AW28" s="515">
        <f t="shared" si="292"/>
        <v>5387.2654384999996</v>
      </c>
      <c r="AX28" s="515">
        <f t="shared" si="292"/>
        <v>5566.0958264999999</v>
      </c>
      <c r="AY28" s="515">
        <f t="shared" si="292"/>
        <v>6147.2945875000005</v>
      </c>
      <c r="AZ28" s="515">
        <f t="shared" si="292"/>
        <v>6943.0898140999998</v>
      </c>
      <c r="BA28" s="515">
        <f t="shared" si="292"/>
        <v>9902.7327354999998</v>
      </c>
      <c r="BB28" s="515">
        <f t="shared" ref="BB28:BH28" si="293">$BH60*BB$32</f>
        <v>5375.4750653999999</v>
      </c>
      <c r="BC28" s="515">
        <f t="shared" si="293"/>
        <v>5300.0764877499996</v>
      </c>
      <c r="BD28" s="515">
        <f t="shared" si="293"/>
        <v>5344.4285922500003</v>
      </c>
      <c r="BE28" s="515">
        <f t="shared" si="293"/>
        <v>5521.8370102500003</v>
      </c>
      <c r="BF28" s="515">
        <f t="shared" si="293"/>
        <v>6098.4143687500009</v>
      </c>
      <c r="BG28" s="515">
        <f t="shared" si="293"/>
        <v>6887.8818288499997</v>
      </c>
      <c r="BH28" s="515">
        <f t="shared" si="293"/>
        <v>9823.9911467500006</v>
      </c>
      <c r="BI28" s="515">
        <f t="shared" ref="BI28:BO28" si="294">$BO60*BI$32</f>
        <v>6902.0270616000007</v>
      </c>
      <c r="BJ28" s="515">
        <f t="shared" si="294"/>
        <v>6805.2164510000002</v>
      </c>
      <c r="BK28" s="515">
        <f t="shared" si="294"/>
        <v>6862.163869</v>
      </c>
      <c r="BL28" s="515">
        <f t="shared" si="294"/>
        <v>7089.9535410000008</v>
      </c>
      <c r="BM28" s="515">
        <f t="shared" si="294"/>
        <v>7830.2699750000011</v>
      </c>
      <c r="BN28" s="515">
        <f t="shared" si="294"/>
        <v>8843.9340154000001</v>
      </c>
      <c r="BO28" s="515">
        <f t="shared" si="294"/>
        <v>12613.853087000001</v>
      </c>
      <c r="BP28" s="515">
        <f t="shared" ref="BP28:BV28" si="295">$BV60*BP$32</f>
        <v>12585.307161600002</v>
      </c>
      <c r="BQ28" s="515">
        <f t="shared" si="295"/>
        <v>12408.780575999999</v>
      </c>
      <c r="BR28" s="515">
        <f t="shared" si="295"/>
        <v>12512.619744</v>
      </c>
      <c r="BS28" s="515">
        <f t="shared" si="295"/>
        <v>12927.976416000001</v>
      </c>
      <c r="BT28" s="515">
        <f t="shared" si="295"/>
        <v>14277.885600000001</v>
      </c>
      <c r="BU28" s="515">
        <f t="shared" si="295"/>
        <v>16126.222790400001</v>
      </c>
      <c r="BV28" s="515">
        <f t="shared" si="295"/>
        <v>23000.375712000001</v>
      </c>
      <c r="BW28" s="515">
        <f t="shared" ref="BW28:CC28" si="296">$CC60*BW$32</f>
        <v>5489.2742903999997</v>
      </c>
      <c r="BX28" s="515">
        <f t="shared" si="296"/>
        <v>5412.2795189999988</v>
      </c>
      <c r="BY28" s="515">
        <f t="shared" si="296"/>
        <v>5457.5705609999995</v>
      </c>
      <c r="BZ28" s="515">
        <f t="shared" si="296"/>
        <v>5638.7347289999989</v>
      </c>
      <c r="CA28" s="515">
        <f t="shared" si="296"/>
        <v>6227.5182749999994</v>
      </c>
      <c r="CB28" s="515">
        <f t="shared" si="296"/>
        <v>7033.6988225999985</v>
      </c>
      <c r="CC28" s="515">
        <f t="shared" si="296"/>
        <v>10031.965802999999</v>
      </c>
    </row>
    <row r="29" spans="1:83">
      <c r="A29" s="685" t="s">
        <v>36</v>
      </c>
      <c r="B29" s="515">
        <f>'Vtas Diarias 2021'!XD34</f>
        <v>3760.7299660000008</v>
      </c>
      <c r="C29" s="515">
        <f>'Vtas Diarias 2021'!XH34</f>
        <v>4297.9771040000005</v>
      </c>
      <c r="D29" s="515">
        <f>'Vtas Diarias 2021'!XL34</f>
        <v>5909.7185180000006</v>
      </c>
      <c r="E29" s="515">
        <f t="shared" ref="E29:K29" si="297">$K61*E$32</f>
        <v>2748.4087679999998</v>
      </c>
      <c r="F29" s="515">
        <f t="shared" si="297"/>
        <v>2709.8584799999999</v>
      </c>
      <c r="G29" s="515">
        <f t="shared" si="297"/>
        <v>2732.53512</v>
      </c>
      <c r="H29" s="515">
        <f t="shared" si="297"/>
        <v>2823.2416800000001</v>
      </c>
      <c r="I29" s="515">
        <f t="shared" si="297"/>
        <v>3118.038</v>
      </c>
      <c r="J29" s="515">
        <f t="shared" si="297"/>
        <v>3521.6821919999998</v>
      </c>
      <c r="K29" s="515">
        <f t="shared" si="297"/>
        <v>5022.8757599999999</v>
      </c>
      <c r="L29" s="515">
        <f t="shared" ref="L29:R29" si="298">$R61*L$32</f>
        <v>3322.2499114800003</v>
      </c>
      <c r="M29" s="515">
        <f t="shared" si="298"/>
        <v>3275.6506965500002</v>
      </c>
      <c r="N29" s="515">
        <f t="shared" si="298"/>
        <v>3303.0619994500003</v>
      </c>
      <c r="O29" s="515">
        <f t="shared" si="298"/>
        <v>3412.7072110500003</v>
      </c>
      <c r="P29" s="515">
        <f t="shared" si="298"/>
        <v>3769.0541487500004</v>
      </c>
      <c r="Q29" s="515">
        <f t="shared" si="298"/>
        <v>4256.9753403700006</v>
      </c>
      <c r="R29" s="515">
        <f t="shared" si="298"/>
        <v>6071.6035923500003</v>
      </c>
      <c r="S29" s="515">
        <f t="shared" ref="S29:Y29" si="299">$Y61*S$32</f>
        <v>3780.2921148</v>
      </c>
      <c r="T29" s="515">
        <f t="shared" si="299"/>
        <v>3727.2682154999998</v>
      </c>
      <c r="U29" s="515">
        <f t="shared" si="299"/>
        <v>3758.4587444999997</v>
      </c>
      <c r="V29" s="515">
        <f t="shared" si="299"/>
        <v>3883.2208604999996</v>
      </c>
      <c r="W29" s="515">
        <f t="shared" si="299"/>
        <v>4288.6977375000006</v>
      </c>
      <c r="X29" s="515">
        <f t="shared" si="299"/>
        <v>4843.8891537</v>
      </c>
      <c r="Y29" s="515">
        <f t="shared" si="299"/>
        <v>6908.7021734999998</v>
      </c>
      <c r="Z29" s="515">
        <f t="shared" ref="Z29:AF29" si="300">$AF61*Z$32</f>
        <v>4551.1844724000002</v>
      </c>
      <c r="AA29" s="515">
        <f t="shared" si="300"/>
        <v>4487.3477265000001</v>
      </c>
      <c r="AB29" s="515">
        <f t="shared" si="300"/>
        <v>4524.8987534999997</v>
      </c>
      <c r="AC29" s="515">
        <f t="shared" si="300"/>
        <v>4675.1028615000005</v>
      </c>
      <c r="AD29" s="515">
        <f t="shared" si="300"/>
        <v>5163.2662125000006</v>
      </c>
      <c r="AE29" s="515">
        <f t="shared" si="300"/>
        <v>5831.6744931000003</v>
      </c>
      <c r="AF29" s="515">
        <f t="shared" si="300"/>
        <v>8317.5524805000005</v>
      </c>
      <c r="AG29" s="515">
        <f t="shared" ref="AG29:AM29" si="301">$AM61*AG$32</f>
        <v>6567.1314635999997</v>
      </c>
      <c r="AH29" s="515">
        <f t="shared" si="301"/>
        <v>6475.018233499999</v>
      </c>
      <c r="AI29" s="515">
        <f t="shared" si="301"/>
        <v>6529.2024864999994</v>
      </c>
      <c r="AJ29" s="515">
        <f t="shared" si="301"/>
        <v>6745.9394984999999</v>
      </c>
      <c r="AK29" s="515">
        <f t="shared" si="301"/>
        <v>7450.3347874999999</v>
      </c>
      <c r="AL29" s="515">
        <f t="shared" si="301"/>
        <v>8414.8144908999984</v>
      </c>
      <c r="AM29" s="515">
        <f t="shared" si="301"/>
        <v>12001.812039499999</v>
      </c>
      <c r="AN29" s="515">
        <f t="shared" ref="AN29:AT29" si="302">$AT61*AN$32</f>
        <v>5488.3615938000003</v>
      </c>
      <c r="AO29" s="515">
        <f t="shared" si="302"/>
        <v>5411.3796242500002</v>
      </c>
      <c r="AP29" s="515">
        <f t="shared" si="302"/>
        <v>5456.66313575</v>
      </c>
      <c r="AQ29" s="515">
        <f t="shared" si="302"/>
        <v>5637.7971817500002</v>
      </c>
      <c r="AR29" s="515">
        <f t="shared" si="302"/>
        <v>6226.4828312500003</v>
      </c>
      <c r="AS29" s="515">
        <f t="shared" si="302"/>
        <v>7032.5293359500001</v>
      </c>
      <c r="AT29" s="515">
        <f t="shared" si="302"/>
        <v>10030.297797249999</v>
      </c>
      <c r="AU29" s="515">
        <f t="shared" ref="AU29:BA29" si="303">$BA61*AU$32</f>
        <v>4780.4625726000004</v>
      </c>
      <c r="AV29" s="515">
        <f t="shared" si="303"/>
        <v>4713.4098797500001</v>
      </c>
      <c r="AW29" s="515">
        <f t="shared" si="303"/>
        <v>4752.8526402500001</v>
      </c>
      <c r="AX29" s="515">
        <f t="shared" si="303"/>
        <v>4910.6236822500005</v>
      </c>
      <c r="AY29" s="515">
        <f t="shared" si="303"/>
        <v>5423.3795687500005</v>
      </c>
      <c r="AZ29" s="515">
        <f t="shared" si="303"/>
        <v>6125.4607056499999</v>
      </c>
      <c r="BA29" s="515">
        <f t="shared" si="303"/>
        <v>8736.5714507500015</v>
      </c>
      <c r="BB29" s="515">
        <f t="shared" ref="BB29:BH29" si="304">$BH61*BB$32</f>
        <v>6387.4411920000002</v>
      </c>
      <c r="BC29" s="515">
        <f t="shared" si="304"/>
        <v>6297.8483700000006</v>
      </c>
      <c r="BD29" s="515">
        <f t="shared" si="304"/>
        <v>6350.5500300000003</v>
      </c>
      <c r="BE29" s="515">
        <f t="shared" si="304"/>
        <v>6561.3566700000001</v>
      </c>
      <c r="BF29" s="515">
        <f t="shared" si="304"/>
        <v>7246.478250000001</v>
      </c>
      <c r="BG29" s="515">
        <f t="shared" si="304"/>
        <v>8184.567798</v>
      </c>
      <c r="BH29" s="515">
        <f t="shared" si="304"/>
        <v>11673.41769</v>
      </c>
      <c r="BI29" s="515">
        <f t="shared" ref="BI29:BO29" si="305">$BO61*BI$32</f>
        <v>7662.7163184000019</v>
      </c>
      <c r="BJ29" s="515">
        <f t="shared" si="305"/>
        <v>7555.2359740000011</v>
      </c>
      <c r="BK29" s="515">
        <f t="shared" si="305"/>
        <v>7618.4597060000015</v>
      </c>
      <c r="BL29" s="515">
        <f t="shared" si="305"/>
        <v>7871.3546340000012</v>
      </c>
      <c r="BM29" s="515">
        <f t="shared" si="305"/>
        <v>8693.2631500000025</v>
      </c>
      <c r="BN29" s="515">
        <f t="shared" si="305"/>
        <v>9818.6455796000009</v>
      </c>
      <c r="BO29" s="515">
        <f t="shared" si="305"/>
        <v>14004.056638000002</v>
      </c>
      <c r="BP29" s="515">
        <f t="shared" ref="BP29:BV29" si="306">$BV61*BP$32</f>
        <v>17438.55735168</v>
      </c>
      <c r="BQ29" s="515">
        <f t="shared" si="306"/>
        <v>17193.957124799999</v>
      </c>
      <c r="BR29" s="515">
        <f t="shared" si="306"/>
        <v>17337.839611199997</v>
      </c>
      <c r="BS29" s="515">
        <f t="shared" si="306"/>
        <v>17913.3695568</v>
      </c>
      <c r="BT29" s="515">
        <f t="shared" si="306"/>
        <v>19783.84188</v>
      </c>
      <c r="BU29" s="515">
        <f t="shared" si="306"/>
        <v>22344.950137919997</v>
      </c>
      <c r="BV29" s="515">
        <f t="shared" si="306"/>
        <v>31869.970737600001</v>
      </c>
      <c r="BW29" s="515">
        <f t="shared" ref="BW29:CC29" si="307">$CC61*BW$32</f>
        <v>6403.1356224000001</v>
      </c>
      <c r="BX29" s="515">
        <f t="shared" si="307"/>
        <v>6313.3226640000003</v>
      </c>
      <c r="BY29" s="515">
        <f t="shared" si="307"/>
        <v>6366.153816</v>
      </c>
      <c r="BZ29" s="515">
        <f t="shared" si="307"/>
        <v>6577.4784239999999</v>
      </c>
      <c r="CA29" s="515">
        <f t="shared" si="307"/>
        <v>7264.2834000000012</v>
      </c>
      <c r="CB29" s="515">
        <f t="shared" si="307"/>
        <v>8204.6779055999996</v>
      </c>
      <c r="CC29" s="515">
        <f t="shared" si="307"/>
        <v>11702.100168000001</v>
      </c>
    </row>
    <row r="30" spans="1:83">
      <c r="A30" s="685" t="s">
        <v>37</v>
      </c>
      <c r="B30" s="515">
        <f>'Vtas Diarias 2021'!XD35</f>
        <v>6574.5505280000007</v>
      </c>
      <c r="C30" s="515">
        <f>'Vtas Diarias 2021'!XH35</f>
        <v>7513.7720319999999</v>
      </c>
      <c r="D30" s="515">
        <f>'Vtas Diarias 2021'!XL35</f>
        <v>10331.436544</v>
      </c>
      <c r="E30" s="515">
        <f t="shared" ref="E30:K30" si="308">$K62*E$32</f>
        <v>4904.6241552000001</v>
      </c>
      <c r="F30" s="515">
        <f t="shared" si="308"/>
        <v>4835.8299219999999</v>
      </c>
      <c r="G30" s="515">
        <f t="shared" si="308"/>
        <v>4876.2971180000004</v>
      </c>
      <c r="H30" s="515">
        <f t="shared" si="308"/>
        <v>5038.1659020000006</v>
      </c>
      <c r="I30" s="515">
        <f t="shared" si="308"/>
        <v>5564.2394500000009</v>
      </c>
      <c r="J30" s="515">
        <f t="shared" si="308"/>
        <v>6284.5555388000002</v>
      </c>
      <c r="K30" s="515">
        <f t="shared" si="308"/>
        <v>8963.4839140000004</v>
      </c>
      <c r="L30" s="515">
        <f t="shared" ref="L30:R30" si="309">$R62*L$32</f>
        <v>5680.4573762400005</v>
      </c>
      <c r="M30" s="515">
        <f t="shared" si="309"/>
        <v>5600.7809938999999</v>
      </c>
      <c r="N30" s="515">
        <f t="shared" si="309"/>
        <v>5647.6494541000002</v>
      </c>
      <c r="O30" s="515">
        <f t="shared" si="309"/>
        <v>5835.1232949000005</v>
      </c>
      <c r="P30" s="515">
        <f t="shared" si="309"/>
        <v>6444.4132775000007</v>
      </c>
      <c r="Q30" s="515">
        <f t="shared" si="309"/>
        <v>7278.6718690600001</v>
      </c>
      <c r="R30" s="515">
        <f t="shared" si="309"/>
        <v>10381.3639343</v>
      </c>
      <c r="S30" s="515">
        <f t="shared" ref="S30:Y30" si="310">$Y62*S$32</f>
        <v>5753.6867555999988</v>
      </c>
      <c r="T30" s="515">
        <f t="shared" si="310"/>
        <v>5672.9832284999993</v>
      </c>
      <c r="U30" s="515">
        <f t="shared" si="310"/>
        <v>5720.4558914999989</v>
      </c>
      <c r="V30" s="515">
        <f t="shared" si="310"/>
        <v>5910.3465434999989</v>
      </c>
      <c r="W30" s="515">
        <f t="shared" si="310"/>
        <v>6527.4911624999995</v>
      </c>
      <c r="X30" s="515">
        <f t="shared" si="310"/>
        <v>7372.5045638999991</v>
      </c>
      <c r="Y30" s="515">
        <f t="shared" si="310"/>
        <v>10515.194854499998</v>
      </c>
      <c r="Z30" s="515">
        <f t="shared" ref="Z30:AF30" si="311">$AF62*Z$32</f>
        <v>9137.9772623999997</v>
      </c>
      <c r="AA30" s="515">
        <f t="shared" si="311"/>
        <v>9009.8043139999991</v>
      </c>
      <c r="AB30" s="515">
        <f t="shared" si="311"/>
        <v>9085.2001659999987</v>
      </c>
      <c r="AC30" s="515">
        <f t="shared" si="311"/>
        <v>9386.7835739999991</v>
      </c>
      <c r="AD30" s="515">
        <f t="shared" si="311"/>
        <v>10366.92965</v>
      </c>
      <c r="AE30" s="515">
        <f t="shared" si="311"/>
        <v>11708.975815599999</v>
      </c>
      <c r="AF30" s="515">
        <f t="shared" si="311"/>
        <v>16700.181218000002</v>
      </c>
      <c r="AG30" s="515">
        <f t="shared" ref="AG30:AM30" si="312">$AM62*AG$32</f>
        <v>9863.2387411199998</v>
      </c>
      <c r="AH30" s="515">
        <f t="shared" si="312"/>
        <v>9724.8929831999994</v>
      </c>
      <c r="AI30" s="515">
        <f t="shared" si="312"/>
        <v>9806.2728408000003</v>
      </c>
      <c r="AJ30" s="515">
        <f t="shared" si="312"/>
        <v>10131.7922712</v>
      </c>
      <c r="AK30" s="515">
        <f t="shared" si="312"/>
        <v>11189.730420000002</v>
      </c>
      <c r="AL30" s="515">
        <f t="shared" si="312"/>
        <v>12638.291885279999</v>
      </c>
      <c r="AM30" s="515">
        <f t="shared" si="312"/>
        <v>18025.638458400001</v>
      </c>
      <c r="AN30" s="515">
        <f t="shared" ref="AN30:AT30" si="313">$AT62*AN$32</f>
        <v>7361.4816206400001</v>
      </c>
      <c r="AO30" s="515">
        <f t="shared" si="313"/>
        <v>7258.2265153999997</v>
      </c>
      <c r="AP30" s="515">
        <f t="shared" si="313"/>
        <v>7318.9648126000002</v>
      </c>
      <c r="AQ30" s="515">
        <f t="shared" si="313"/>
        <v>7561.9180014000003</v>
      </c>
      <c r="AR30" s="515">
        <f t="shared" si="313"/>
        <v>8351.5158650000012</v>
      </c>
      <c r="AS30" s="515">
        <f t="shared" si="313"/>
        <v>9432.6575551599999</v>
      </c>
      <c r="AT30" s="515">
        <f t="shared" si="313"/>
        <v>13453.5328298</v>
      </c>
      <c r="AU30" s="515">
        <f t="shared" ref="AU30:BA30" si="314">$BA62*AU$32</f>
        <v>10027.680889200001</v>
      </c>
      <c r="AV30" s="515">
        <f t="shared" si="314"/>
        <v>9887.0285994999995</v>
      </c>
      <c r="AW30" s="515">
        <f t="shared" si="314"/>
        <v>9969.7652405000008</v>
      </c>
      <c r="AX30" s="515">
        <f t="shared" si="314"/>
        <v>10300.711804500001</v>
      </c>
      <c r="AY30" s="515">
        <f t="shared" si="314"/>
        <v>11376.288137500002</v>
      </c>
      <c r="AZ30" s="515">
        <f t="shared" si="314"/>
        <v>12849.0003473</v>
      </c>
      <c r="BA30" s="515">
        <f t="shared" si="314"/>
        <v>18326.165981500002</v>
      </c>
      <c r="BB30" s="515">
        <f t="shared" ref="BB30:BH30" si="315">$BH62*BB$32</f>
        <v>14413.127149200001</v>
      </c>
      <c r="BC30" s="515">
        <f t="shared" si="315"/>
        <v>14210.9628245</v>
      </c>
      <c r="BD30" s="515">
        <f t="shared" si="315"/>
        <v>14329.8830155</v>
      </c>
      <c r="BE30" s="515">
        <f t="shared" si="315"/>
        <v>14805.5637795</v>
      </c>
      <c r="BF30" s="515">
        <f t="shared" si="315"/>
        <v>16351.526262500001</v>
      </c>
      <c r="BG30" s="515">
        <f t="shared" si="315"/>
        <v>18468.305662300001</v>
      </c>
      <c r="BH30" s="515">
        <f t="shared" si="315"/>
        <v>26340.822306500002</v>
      </c>
      <c r="BI30" s="515">
        <f t="shared" ref="BI30:BO30" si="316">$BO62*BI$32</f>
        <v>16293.5309082</v>
      </c>
      <c r="BJ30" s="515">
        <f t="shared" si="316"/>
        <v>16064.991283249999</v>
      </c>
      <c r="BK30" s="515">
        <f t="shared" si="316"/>
        <v>16199.42635675</v>
      </c>
      <c r="BL30" s="515">
        <f t="shared" si="316"/>
        <v>16737.166650750001</v>
      </c>
      <c r="BM30" s="515">
        <f t="shared" si="316"/>
        <v>18484.82260625</v>
      </c>
      <c r="BN30" s="515">
        <f t="shared" si="316"/>
        <v>20877.76691455</v>
      </c>
      <c r="BO30" s="515">
        <f t="shared" si="316"/>
        <v>29777.368780249999</v>
      </c>
      <c r="BP30" s="515">
        <f t="shared" ref="BP30:BV30" si="317">$BV62*BP$32</f>
        <v>29590.146337920003</v>
      </c>
      <c r="BQ30" s="515">
        <f t="shared" si="317"/>
        <v>29175.1030312</v>
      </c>
      <c r="BR30" s="515">
        <f t="shared" si="317"/>
        <v>29419.246152800002</v>
      </c>
      <c r="BS30" s="515">
        <f t="shared" si="317"/>
        <v>30395.818639200003</v>
      </c>
      <c r="BT30" s="515">
        <f t="shared" si="317"/>
        <v>33569.679220000005</v>
      </c>
      <c r="BU30" s="515">
        <f t="shared" si="317"/>
        <v>37915.426784479998</v>
      </c>
      <c r="BV30" s="515">
        <f t="shared" si="317"/>
        <v>54077.701434400005</v>
      </c>
      <c r="BW30" s="515">
        <f t="shared" ref="BW30:CC30" si="318">$CC62*BW$32</f>
        <v>7728.8008608</v>
      </c>
      <c r="BX30" s="515">
        <f t="shared" si="318"/>
        <v>7620.393587999999</v>
      </c>
      <c r="BY30" s="515">
        <f t="shared" si="318"/>
        <v>7684.1625719999993</v>
      </c>
      <c r="BZ30" s="515">
        <f t="shared" si="318"/>
        <v>7939.2385079999995</v>
      </c>
      <c r="CA30" s="515">
        <f t="shared" si="318"/>
        <v>8768.2353000000003</v>
      </c>
      <c r="CB30" s="515">
        <f t="shared" si="318"/>
        <v>9903.3232151999982</v>
      </c>
      <c r="CC30" s="515">
        <f t="shared" si="318"/>
        <v>14124.829956</v>
      </c>
    </row>
    <row r="32" spans="1:83">
      <c r="B32" s="566">
        <v>0.14000000000000001</v>
      </c>
      <c r="C32" s="566">
        <v>0.16</v>
      </c>
      <c r="D32" s="566">
        <v>0.22</v>
      </c>
      <c r="E32" s="1546">
        <v>0.1212</v>
      </c>
      <c r="F32" s="1546">
        <v>0.1195</v>
      </c>
      <c r="G32" s="1546">
        <v>0.1205</v>
      </c>
      <c r="H32" s="1546">
        <v>0.1245</v>
      </c>
      <c r="I32" s="1546">
        <v>0.13750000000000001</v>
      </c>
      <c r="J32" s="1546">
        <v>0.15529999999999999</v>
      </c>
      <c r="K32" s="1546">
        <v>0.2215</v>
      </c>
      <c r="L32" s="1546">
        <v>0.1212</v>
      </c>
      <c r="M32" s="1546">
        <v>0.1195</v>
      </c>
      <c r="N32" s="1546">
        <v>0.1205</v>
      </c>
      <c r="O32" s="1546">
        <v>0.1245</v>
      </c>
      <c r="P32" s="1546">
        <v>0.13750000000000001</v>
      </c>
      <c r="Q32" s="1546">
        <v>0.15529999999999999</v>
      </c>
      <c r="R32" s="1546">
        <v>0.2215</v>
      </c>
      <c r="S32" s="1546">
        <v>0.1212</v>
      </c>
      <c r="T32" s="1546">
        <v>0.1195</v>
      </c>
      <c r="U32" s="1546">
        <v>0.1205</v>
      </c>
      <c r="V32" s="1546">
        <v>0.1245</v>
      </c>
      <c r="W32" s="1546">
        <v>0.13750000000000001</v>
      </c>
      <c r="X32" s="1546">
        <v>0.15529999999999999</v>
      </c>
      <c r="Y32" s="1546">
        <v>0.2215</v>
      </c>
      <c r="Z32" s="1546">
        <v>0.1212</v>
      </c>
      <c r="AA32" s="1546">
        <v>0.1195</v>
      </c>
      <c r="AB32" s="1546">
        <v>0.1205</v>
      </c>
      <c r="AC32" s="1546">
        <v>0.1245</v>
      </c>
      <c r="AD32" s="1546">
        <v>0.13750000000000001</v>
      </c>
      <c r="AE32" s="1546">
        <v>0.15529999999999999</v>
      </c>
      <c r="AF32" s="1546">
        <v>0.2215</v>
      </c>
      <c r="AG32" s="1546">
        <v>0.1212</v>
      </c>
      <c r="AH32" s="1546">
        <v>0.1195</v>
      </c>
      <c r="AI32" s="1546">
        <v>0.1205</v>
      </c>
      <c r="AJ32" s="1546">
        <v>0.1245</v>
      </c>
      <c r="AK32" s="1546">
        <v>0.13750000000000001</v>
      </c>
      <c r="AL32" s="1546">
        <v>0.15529999999999999</v>
      </c>
      <c r="AM32" s="1546">
        <v>0.2215</v>
      </c>
      <c r="AN32" s="1546">
        <v>0.1212</v>
      </c>
      <c r="AO32" s="1546">
        <v>0.1195</v>
      </c>
      <c r="AP32" s="1546">
        <v>0.1205</v>
      </c>
      <c r="AQ32" s="1546">
        <v>0.1245</v>
      </c>
      <c r="AR32" s="1546">
        <v>0.13750000000000001</v>
      </c>
      <c r="AS32" s="1546">
        <v>0.15529999999999999</v>
      </c>
      <c r="AT32" s="1546">
        <v>0.2215</v>
      </c>
      <c r="AU32" s="1546">
        <v>0.1212</v>
      </c>
      <c r="AV32" s="1546">
        <v>0.1195</v>
      </c>
      <c r="AW32" s="1546">
        <v>0.1205</v>
      </c>
      <c r="AX32" s="1546">
        <v>0.1245</v>
      </c>
      <c r="AY32" s="1546">
        <v>0.13750000000000001</v>
      </c>
      <c r="AZ32" s="1546">
        <v>0.15529999999999999</v>
      </c>
      <c r="BA32" s="1546">
        <v>0.2215</v>
      </c>
      <c r="BB32" s="1546">
        <v>0.1212</v>
      </c>
      <c r="BC32" s="1546">
        <v>0.1195</v>
      </c>
      <c r="BD32" s="1546">
        <v>0.1205</v>
      </c>
      <c r="BE32" s="1546">
        <v>0.1245</v>
      </c>
      <c r="BF32" s="1546">
        <v>0.13750000000000001</v>
      </c>
      <c r="BG32" s="1546">
        <v>0.15529999999999999</v>
      </c>
      <c r="BH32" s="1546">
        <v>0.2215</v>
      </c>
      <c r="BI32" s="1546">
        <v>0.1212</v>
      </c>
      <c r="BJ32" s="1546">
        <v>0.1195</v>
      </c>
      <c r="BK32" s="1546">
        <v>0.1205</v>
      </c>
      <c r="BL32" s="1546">
        <v>0.1245</v>
      </c>
      <c r="BM32" s="1546">
        <v>0.13750000000000001</v>
      </c>
      <c r="BN32" s="1546">
        <v>0.15529999999999999</v>
      </c>
      <c r="BO32" s="1546">
        <v>0.2215</v>
      </c>
      <c r="BP32" s="1546">
        <v>0.1212</v>
      </c>
      <c r="BQ32" s="1546">
        <v>0.1195</v>
      </c>
      <c r="BR32" s="1546">
        <v>0.1205</v>
      </c>
      <c r="BS32" s="1546">
        <v>0.1245</v>
      </c>
      <c r="BT32" s="1546">
        <v>0.13750000000000001</v>
      </c>
      <c r="BU32" s="1546">
        <v>0.15529999999999999</v>
      </c>
      <c r="BV32" s="1546">
        <v>0.2215</v>
      </c>
      <c r="BW32" s="1546">
        <v>0.1212</v>
      </c>
      <c r="BX32" s="1546">
        <v>0.1195</v>
      </c>
      <c r="BY32" s="1546">
        <v>0.1205</v>
      </c>
      <c r="BZ32" s="1546">
        <v>0.1245</v>
      </c>
      <c r="CA32" s="1546">
        <v>0.13750000000000001</v>
      </c>
      <c r="CB32" s="1546">
        <v>0.15529999999999999</v>
      </c>
      <c r="CC32" s="1546">
        <v>0.2215</v>
      </c>
      <c r="CD32" s="566"/>
      <c r="CE32" s="566"/>
    </row>
    <row r="33" spans="1:81">
      <c r="K33">
        <v>38</v>
      </c>
      <c r="R33">
        <v>39</v>
      </c>
      <c r="Y33">
        <v>40</v>
      </c>
      <c r="AF33">
        <v>41</v>
      </c>
      <c r="AM33">
        <v>42</v>
      </c>
      <c r="AT33">
        <v>43</v>
      </c>
      <c r="BA33">
        <v>44</v>
      </c>
      <c r="BH33">
        <v>45</v>
      </c>
      <c r="BO33">
        <v>46</v>
      </c>
      <c r="BV33">
        <v>47</v>
      </c>
      <c r="CC33">
        <v>48</v>
      </c>
    </row>
    <row r="34" spans="1:81">
      <c r="A34" s="686" t="s">
        <v>469</v>
      </c>
      <c r="K34" s="348">
        <f>'Proy 2021 vs 2019 Sem'!IK6</f>
        <v>70406.941200000001</v>
      </c>
      <c r="R34" s="348">
        <f>'Proy 2021 vs 2019 Sem'!IP6</f>
        <v>101641.8778</v>
      </c>
      <c r="Y34" s="348">
        <f>'Proy 2021 vs 2019 Sem'!IY6</f>
        <v>67269.065799999997</v>
      </c>
      <c r="AF34" s="348">
        <f>'Proy 2021 vs 2019 Sem'!JD6</f>
        <v>74147.057000000001</v>
      </c>
      <c r="AM34" s="348">
        <f>'Proy 2021 vs 2019 Sem'!JI6</f>
        <v>89525.538000000015</v>
      </c>
      <c r="AT34" s="348">
        <f>'Proy 2021 vs 2019 Sem'!JN6</f>
        <v>108652.428</v>
      </c>
      <c r="BA34" s="348">
        <f>'Proy 2021 vs 2019 Sem'!JX6</f>
        <v>188310.43349999998</v>
      </c>
      <c r="BH34" s="348">
        <f>'Proy 2021 vs 2019 Sem'!KC6</f>
        <v>245200.52550000002</v>
      </c>
      <c r="BO34" s="348">
        <f>'Proy 2021 vs 2019 Sem'!KH6</f>
        <v>275209.55960000004</v>
      </c>
      <c r="BV34" s="348">
        <f>'Proy 2021 vs 2019 Sem'!KM6</f>
        <v>435747.07940000005</v>
      </c>
      <c r="CC34" s="348">
        <f>'Proy 2021 vs 2019 Sem'!KR6</f>
        <v>68951.525999999998</v>
      </c>
    </row>
    <row r="35" spans="1:81">
      <c r="A35" s="687" t="s">
        <v>470</v>
      </c>
      <c r="K35" s="348">
        <f>'Proy 2021 vs 2019 Sem'!IK7</f>
        <v>58120.636200000008</v>
      </c>
      <c r="R35" s="348">
        <f>'Proy 2021 vs 2019 Sem'!IP7</f>
        <v>80178.303599999999</v>
      </c>
      <c r="Y35" s="348">
        <f>'Proy 2021 vs 2019 Sem'!IY7</f>
        <v>76249.176000000007</v>
      </c>
      <c r="AF35" s="348">
        <f>'Proy 2021 vs 2019 Sem'!JD7</f>
        <v>84786.912000000011</v>
      </c>
      <c r="AM35" s="348">
        <f>'Proy 2021 vs 2019 Sem'!JI7</f>
        <v>101902.16</v>
      </c>
      <c r="AT35" s="348">
        <f>'Proy 2021 vs 2019 Sem'!JN7</f>
        <v>82550.3315</v>
      </c>
      <c r="BA35" s="348">
        <f>'Proy 2021 vs 2019 Sem'!JX7</f>
        <v>113618.93399999999</v>
      </c>
      <c r="BH35" s="348">
        <f>'Proy 2021 vs 2019 Sem'!KC7</f>
        <v>124358.63220000001</v>
      </c>
      <c r="BO35" s="348">
        <f>'Proy 2021 vs 2019 Sem'!KH7</f>
        <v>171792.17879999999</v>
      </c>
      <c r="BV35" s="348">
        <f>'Proy 2021 vs 2019 Sem'!KM7</f>
        <v>305700.62159999995</v>
      </c>
      <c r="CC35" s="348">
        <f>'Proy 2021 vs 2019 Sem'!KR7</f>
        <v>68896.77</v>
      </c>
    </row>
    <row r="36" spans="1:81">
      <c r="A36" s="687" t="s">
        <v>471</v>
      </c>
      <c r="K36" s="348">
        <f>'Proy 2021 vs 2019 Sem'!IK8</f>
        <v>67187.627999999997</v>
      </c>
      <c r="R36" s="348">
        <f>'Proy 2021 vs 2019 Sem'!IP8</f>
        <v>85366.79250000001</v>
      </c>
      <c r="Y36" s="348">
        <f>'Proy 2021 vs 2019 Sem'!IY8</f>
        <v>63977.379499999995</v>
      </c>
      <c r="AF36" s="348">
        <f>'Proy 2021 vs 2019 Sem'!JD8</f>
        <v>68371.900799999989</v>
      </c>
      <c r="AM36" s="348">
        <f>'Proy 2021 vs 2019 Sem'!JI8</f>
        <v>105300.5952</v>
      </c>
      <c r="AT36" s="348">
        <f>'Proy 2021 vs 2019 Sem'!JN8</f>
        <v>82284.592000000004</v>
      </c>
      <c r="BA36" s="348">
        <f>'Proy 2021 vs 2019 Sem'!JX8</f>
        <v>102749.74400000001</v>
      </c>
      <c r="BH36" s="348">
        <f>'Proy 2021 vs 2019 Sem'!KC8</f>
        <v>118230.03810000002</v>
      </c>
      <c r="BO36" s="348">
        <f>'Proy 2021 vs 2019 Sem'!KH8</f>
        <v>143931.84030000001</v>
      </c>
      <c r="BV36" s="348">
        <f>'Proy 2021 vs 2019 Sem'!KM8</f>
        <v>269674.3726</v>
      </c>
      <c r="CC36" s="348">
        <f>'Proy 2021 vs 2019 Sem'!KR8</f>
        <v>49965.396999999997</v>
      </c>
    </row>
    <row r="37" spans="1:81">
      <c r="A37" s="687" t="s">
        <v>472</v>
      </c>
      <c r="K37" s="348">
        <f>'Proy 2021 vs 2019 Sem'!IK9</f>
        <v>61450.225200000001</v>
      </c>
      <c r="R37" s="348">
        <f>'Proy 2021 vs 2019 Sem'!IP9</f>
        <v>73357.007799999992</v>
      </c>
      <c r="Y37" s="348">
        <f>'Proy 2021 vs 2019 Sem'!IY9</f>
        <v>52276.402499999997</v>
      </c>
      <c r="AF37" s="348">
        <f>'Proy 2021 vs 2019 Sem'!JD9</f>
        <v>59949.250499999995</v>
      </c>
      <c r="AM37" s="348">
        <f>'Proy 2021 vs 2019 Sem'!JI9</f>
        <v>73536.929999999993</v>
      </c>
      <c r="AT37" s="348">
        <f>'Proy 2021 vs 2019 Sem'!JN9</f>
        <v>53446.492500000008</v>
      </c>
      <c r="BA37" s="348">
        <f>'Proy 2021 vs 2019 Sem'!JX9</f>
        <v>63845.032999999996</v>
      </c>
      <c r="BH37" s="348">
        <f>'Proy 2021 vs 2019 Sem'!KC9</f>
        <v>91925.224999999991</v>
      </c>
      <c r="BO37" s="348">
        <f>'Proy 2021 vs 2019 Sem'!KH9</f>
        <v>137510.94</v>
      </c>
      <c r="BV37" s="348">
        <f>'Proy 2021 vs 2019 Sem'!KM9</f>
        <v>236660.91129999998</v>
      </c>
      <c r="CC37" s="348">
        <f>'Proy 2021 vs 2019 Sem'!KR9</f>
        <v>57512.728000000003</v>
      </c>
    </row>
    <row r="38" spans="1:81">
      <c r="A38" s="687" t="s">
        <v>473</v>
      </c>
      <c r="K38" s="348">
        <f>'Proy 2021 vs 2019 Sem'!IK10</f>
        <v>61836.248</v>
      </c>
      <c r="R38" s="348">
        <f>'Proy 2021 vs 2019 Sem'!IP10</f>
        <v>91604.81749999999</v>
      </c>
      <c r="Y38" s="348">
        <f>'Proy 2021 vs 2019 Sem'!IY10</f>
        <v>69427.61589999999</v>
      </c>
      <c r="AF38" s="348">
        <f>'Proy 2021 vs 2019 Sem'!JD10</f>
        <v>77881.909599999999</v>
      </c>
      <c r="AM38" s="348">
        <f>'Proy 2021 vs 2019 Sem'!JI10</f>
        <v>102249.78600000001</v>
      </c>
      <c r="AT38" s="348">
        <f>'Proy 2021 vs 2019 Sem'!JN10</f>
        <v>77062.446500000005</v>
      </c>
      <c r="BA38" s="348">
        <f>'Proy 2021 vs 2019 Sem'!JX10</f>
        <v>97620.978000000003</v>
      </c>
      <c r="BH38" s="348">
        <f>'Proy 2021 vs 2019 Sem'!KC10</f>
        <v>113277.5865</v>
      </c>
      <c r="BO38" s="348">
        <f>'Proy 2021 vs 2019 Sem'!KH10</f>
        <v>160679.74170000001</v>
      </c>
      <c r="BV38" s="348">
        <f>'Proy 2021 vs 2019 Sem'!KM10</f>
        <v>255278.52000000002</v>
      </c>
      <c r="CC38" s="348">
        <f>'Proy 2021 vs 2019 Sem'!KR10</f>
        <v>49524.547500000001</v>
      </c>
    </row>
    <row r="39" spans="1:81">
      <c r="A39" s="687" t="s">
        <v>474</v>
      </c>
      <c r="K39" s="348">
        <f>'Proy 2021 vs 2019 Sem'!IK11</f>
        <v>79430.080000000002</v>
      </c>
      <c r="R39" s="348">
        <f>'Proy 2021 vs 2019 Sem'!IP11</f>
        <v>117306.68200000002</v>
      </c>
      <c r="Y39" s="348">
        <f>'Proy 2021 vs 2019 Sem'!IY11</f>
        <v>90462.616000000009</v>
      </c>
      <c r="AF39" s="348">
        <f>'Proy 2021 vs 2019 Sem'!JD11</f>
        <v>109176.83200000001</v>
      </c>
      <c r="AM39" s="348">
        <f>'Proy 2021 vs 2019 Sem'!JI11</f>
        <v>130636.52549999999</v>
      </c>
      <c r="AT39" s="348">
        <f>'Proy 2021 vs 2019 Sem'!JN11</f>
        <v>139207.4025</v>
      </c>
      <c r="BA39" s="348">
        <f>'Proy 2021 vs 2019 Sem'!JX11</f>
        <v>203739.96999999997</v>
      </c>
      <c r="BH39" s="348">
        <f>'Proy 2021 vs 2019 Sem'!KC11</f>
        <v>247061.84299999996</v>
      </c>
      <c r="BO39" s="348">
        <f>'Proy 2021 vs 2019 Sem'!KH11</f>
        <v>321622.95899999997</v>
      </c>
      <c r="BV39" s="348">
        <f>'Proy 2021 vs 2019 Sem'!KM11</f>
        <v>408983.21859999996</v>
      </c>
      <c r="CC39" s="348">
        <f>'Proy 2021 vs 2019 Sem'!KR11</f>
        <v>91478.896000000008</v>
      </c>
    </row>
    <row r="40" spans="1:81">
      <c r="A40" s="687" t="s">
        <v>475</v>
      </c>
      <c r="K40" s="348">
        <f>'Proy 2021 vs 2019 Sem'!IK12</f>
        <v>85176.8</v>
      </c>
      <c r="R40" s="348">
        <f>'Proy 2021 vs 2019 Sem'!IP12</f>
        <v>131696.98079999999</v>
      </c>
      <c r="Y40" s="348">
        <f>'Proy 2021 vs 2019 Sem'!IY12</f>
        <v>92906.665500000003</v>
      </c>
      <c r="AF40" s="348">
        <f>'Proy 2021 vs 2019 Sem'!JD12</f>
        <v>132481.91749999998</v>
      </c>
      <c r="AM40" s="348">
        <f>'Proy 2021 vs 2019 Sem'!JI12</f>
        <v>157946.62</v>
      </c>
      <c r="AT40" s="348">
        <f>'Proy 2021 vs 2019 Sem'!JN12</f>
        <v>131671.5705</v>
      </c>
      <c r="BA40" s="348">
        <f>'Proy 2021 vs 2019 Sem'!JX12</f>
        <v>168775.27929999999</v>
      </c>
      <c r="BH40" s="348">
        <f>'Proy 2021 vs 2019 Sem'!KC12</f>
        <v>217411.08809999999</v>
      </c>
      <c r="BO40" s="348">
        <f>'Proy 2021 vs 2019 Sem'!KH12</f>
        <v>293203.45939999999</v>
      </c>
      <c r="BV40" s="348">
        <f>'Proy 2021 vs 2019 Sem'!KM12</f>
        <v>454502.31099999999</v>
      </c>
      <c r="CC40" s="348">
        <f>'Proy 2021 vs 2019 Sem'!KR12</f>
        <v>97013.25</v>
      </c>
    </row>
    <row r="41" spans="1:81">
      <c r="A41" s="687" t="s">
        <v>476</v>
      </c>
      <c r="K41" s="348">
        <f>'Proy 2021 vs 2019 Sem'!IK13</f>
        <v>79796.512799999997</v>
      </c>
      <c r="R41" s="348">
        <f>'Proy 2021 vs 2019 Sem'!IP13</f>
        <v>78418.462499999994</v>
      </c>
      <c r="Y41" s="348">
        <f>'Proy 2021 vs 2019 Sem'!IY13</f>
        <v>55875.727499999994</v>
      </c>
      <c r="AF41" s="348">
        <f>'Proy 2021 vs 2019 Sem'!JD13</f>
        <v>70567.994500000001</v>
      </c>
      <c r="AM41" s="348">
        <f>'Proy 2021 vs 2019 Sem'!JI13</f>
        <v>94636.590299999996</v>
      </c>
      <c r="AT41" s="348">
        <f>'Proy 2021 vs 2019 Sem'!JN13</f>
        <v>98258.417700000005</v>
      </c>
      <c r="BA41" s="348">
        <f>'Proy 2021 vs 2019 Sem'!JX13</f>
        <v>121836.1605</v>
      </c>
      <c r="BH41" s="348">
        <f>'Proy 2021 vs 2019 Sem'!KC13</f>
        <v>171077.02599999998</v>
      </c>
      <c r="BO41" s="348">
        <f>'Proy 2021 vs 2019 Sem'!KH13</f>
        <v>220275.97750000001</v>
      </c>
      <c r="BV41" s="348">
        <f>'Proy 2021 vs 2019 Sem'!KM13</f>
        <v>367713.14040000003</v>
      </c>
      <c r="CC41" s="348">
        <f>'Proy 2021 vs 2019 Sem'!KR13</f>
        <v>61674.189999999995</v>
      </c>
    </row>
    <row r="42" spans="1:81">
      <c r="A42" s="687" t="s">
        <v>17</v>
      </c>
      <c r="K42" s="348">
        <f>'Proy 2021 vs 2019 Sem'!IK14</f>
        <v>137571.2904</v>
      </c>
      <c r="R42" s="348">
        <f>'Proy 2021 vs 2019 Sem'!IP14</f>
        <v>183255.02100000001</v>
      </c>
      <c r="Y42" s="348">
        <f>'Proy 2021 vs 2019 Sem'!IY14</f>
        <v>125947.28549999998</v>
      </c>
      <c r="AF42" s="348">
        <f>'Proy 2021 vs 2019 Sem'!JD14</f>
        <v>183475.14350000001</v>
      </c>
      <c r="AM42" s="348">
        <f>'Proy 2021 vs 2019 Sem'!JI14</f>
        <v>228628.80599999998</v>
      </c>
      <c r="AT42" s="348">
        <f>'Proy 2021 vs 2019 Sem'!JN14</f>
        <v>254382.67799999999</v>
      </c>
      <c r="BA42" s="348">
        <f>'Proy 2021 vs 2019 Sem'!JX14</f>
        <v>351941.85399999999</v>
      </c>
      <c r="BH42" s="348">
        <f>'Proy 2021 vs 2019 Sem'!KC14</f>
        <v>469900.76639999996</v>
      </c>
      <c r="BO42" s="348">
        <f>'Proy 2021 vs 2019 Sem'!KH14</f>
        <v>608811.50099999993</v>
      </c>
      <c r="BV42" s="348">
        <f>'Proy 2021 vs 2019 Sem'!KM14</f>
        <v>804138.48060000001</v>
      </c>
      <c r="CC42" s="348">
        <f>'Proy 2021 vs 2019 Sem'!KR14</f>
        <v>129767.8055</v>
      </c>
    </row>
    <row r="43" spans="1:81">
      <c r="A43" s="687" t="s">
        <v>18</v>
      </c>
      <c r="K43" s="348">
        <f>'Proy 2021 vs 2019 Sem'!IK15</f>
        <v>89946.9228</v>
      </c>
      <c r="R43" s="348">
        <f>'Proy 2021 vs 2019 Sem'!IP15</f>
        <v>133563.2439</v>
      </c>
      <c r="Y43" s="348">
        <f>'Proy 2021 vs 2019 Sem'!IY15</f>
        <v>90362.210699999996</v>
      </c>
      <c r="AF43" s="348">
        <f>'Proy 2021 vs 2019 Sem'!JD15</f>
        <v>110248.40699999999</v>
      </c>
      <c r="AM43" s="348">
        <f>'Proy 2021 vs 2019 Sem'!JI15</f>
        <v>137390.63400000002</v>
      </c>
      <c r="AT43" s="348">
        <f>'Proy 2021 vs 2019 Sem'!JN15</f>
        <v>108388.016</v>
      </c>
      <c r="BA43" s="348">
        <f>'Proy 2021 vs 2019 Sem'!JX15</f>
        <v>155437.905</v>
      </c>
      <c r="BH43" s="348">
        <f>'Proy 2021 vs 2019 Sem'!KC15</f>
        <v>166417.785</v>
      </c>
      <c r="BO43" s="348">
        <f>'Proy 2021 vs 2019 Sem'!KH15</f>
        <v>397086.17249999999</v>
      </c>
      <c r="BV43" s="348">
        <f>'Proy 2021 vs 2019 Sem'!KM15</f>
        <v>433677.54060000001</v>
      </c>
      <c r="CC43" s="348">
        <f>'Proy 2021 vs 2019 Sem'!KR15</f>
        <v>91748.898000000001</v>
      </c>
    </row>
    <row r="44" spans="1:81">
      <c r="A44" s="687" t="s">
        <v>19</v>
      </c>
      <c r="K44" s="348">
        <f>'Proy 2021 vs 2019 Sem'!IK16</f>
        <v>79334.142000000007</v>
      </c>
      <c r="R44" s="348">
        <f>'Proy 2021 vs 2019 Sem'!IP16</f>
        <v>92786.631999999998</v>
      </c>
      <c r="Y44" s="348">
        <f>'Proy 2021 vs 2019 Sem'!IY16</f>
        <v>102875.406</v>
      </c>
      <c r="AF44" s="348">
        <f>'Proy 2021 vs 2019 Sem'!JD16</f>
        <v>122677.21799999999</v>
      </c>
      <c r="AM44" s="348">
        <f>'Proy 2021 vs 2019 Sem'!JI16</f>
        <v>179243.57100000003</v>
      </c>
      <c r="AT44" s="348">
        <f>'Proy 2021 vs 2019 Sem'!JN16</f>
        <v>213179.603</v>
      </c>
      <c r="BA44" s="348">
        <f>'Proy 2021 vs 2019 Sem'!JX16</f>
        <v>253249.554</v>
      </c>
      <c r="BH44" s="348">
        <f>'Proy 2021 vs 2019 Sem'!KC16</f>
        <v>329360.11379999999</v>
      </c>
      <c r="BO44" s="348">
        <f>'Proy 2021 vs 2019 Sem'!KH16</f>
        <v>422387.84899999999</v>
      </c>
      <c r="BV44" s="348">
        <f>'Proy 2021 vs 2019 Sem'!KM16</f>
        <v>484704.60720000003</v>
      </c>
      <c r="CC44" s="348">
        <f>'Proy 2021 vs 2019 Sem'!KR16</f>
        <v>113709.1275</v>
      </c>
    </row>
    <row r="45" spans="1:81">
      <c r="A45" s="687" t="s">
        <v>20</v>
      </c>
      <c r="K45" s="348">
        <f>'Proy 2021 vs 2019 Sem'!IK17</f>
        <v>68785.645199999999</v>
      </c>
      <c r="R45" s="348">
        <f>'Proy 2021 vs 2019 Sem'!IP17</f>
        <v>91627.510500000004</v>
      </c>
      <c r="Y45" s="348">
        <f>'Proy 2021 vs 2019 Sem'!IY17</f>
        <v>101119.57800000001</v>
      </c>
      <c r="AF45" s="348">
        <f>'Proy 2021 vs 2019 Sem'!JD17</f>
        <v>111965.92050000001</v>
      </c>
      <c r="AM45" s="348">
        <f>'Proy 2021 vs 2019 Sem'!JI17</f>
        <v>127270.185</v>
      </c>
      <c r="AT45" s="348">
        <f>'Proy 2021 vs 2019 Sem'!JN17</f>
        <v>108448.6875</v>
      </c>
      <c r="BA45" s="348">
        <f>'Proy 2021 vs 2019 Sem'!JX17</f>
        <v>127553.32850000002</v>
      </c>
      <c r="BH45" s="348">
        <f>'Proy 2021 vs 2019 Sem'!KC17</f>
        <v>185763.07100000003</v>
      </c>
      <c r="BO45" s="348">
        <f>'Proy 2021 vs 2019 Sem'!KH17</f>
        <v>250747.016</v>
      </c>
      <c r="BV45" s="348">
        <f>'Proy 2021 vs 2019 Sem'!KM17</f>
        <v>354283.14880000002</v>
      </c>
      <c r="CC45" s="348">
        <f>'Proy 2021 vs 2019 Sem'!KR17</f>
        <v>65289.854500000001</v>
      </c>
    </row>
    <row r="46" spans="1:81">
      <c r="A46" s="687" t="s">
        <v>21</v>
      </c>
      <c r="K46" s="348">
        <f>'Proy 2021 vs 2019 Sem'!IK18</f>
        <v>58022.016100000001</v>
      </c>
      <c r="R46" s="348">
        <f>'Proy 2021 vs 2019 Sem'!IP18</f>
        <v>88432.588399999993</v>
      </c>
      <c r="Y46" s="348">
        <f>'Proy 2021 vs 2019 Sem'!IY18</f>
        <v>65845.548999999999</v>
      </c>
      <c r="AF46" s="348">
        <f>'Proy 2021 vs 2019 Sem'!JD18</f>
        <v>81399.043000000005</v>
      </c>
      <c r="AM46" s="348">
        <f>'Proy 2021 vs 2019 Sem'!JI18</f>
        <v>93581.922999999995</v>
      </c>
      <c r="AT46" s="348">
        <f>'Proy 2021 vs 2019 Sem'!JN18</f>
        <v>91926.995999999999</v>
      </c>
      <c r="BA46" s="348">
        <f>'Proy 2021 vs 2019 Sem'!JX18</f>
        <v>109264.02199999998</v>
      </c>
      <c r="BH46" s="348">
        <f>'Proy 2021 vs 2019 Sem'!KC18</f>
        <v>118577.68299999999</v>
      </c>
      <c r="BO46" s="348">
        <f>'Proy 2021 vs 2019 Sem'!KH18</f>
        <v>156399.02599999998</v>
      </c>
      <c r="BV46" s="348">
        <f>'Proy 2021 vs 2019 Sem'!KM18</f>
        <v>291862.63589999999</v>
      </c>
      <c r="CC46" s="348">
        <f>'Proy 2021 vs 2019 Sem'!KR18</f>
        <v>65786.705600000001</v>
      </c>
    </row>
    <row r="47" spans="1:81">
      <c r="A47" s="687" t="s">
        <v>22</v>
      </c>
      <c r="K47" s="348">
        <f>'Proy 2021 vs 2019 Sem'!IK19</f>
        <v>94308.359899999996</v>
      </c>
      <c r="R47" s="348">
        <f>'Proy 2021 vs 2019 Sem'!IP19</f>
        <v>119573.88399999999</v>
      </c>
      <c r="Y47" s="348">
        <f>'Proy 2021 vs 2019 Sem'!IY19</f>
        <v>93505.830600000001</v>
      </c>
      <c r="AF47" s="348">
        <f>'Proy 2021 vs 2019 Sem'!JD19</f>
        <v>112700.1749</v>
      </c>
      <c r="AM47" s="348">
        <f>'Proy 2021 vs 2019 Sem'!JI19</f>
        <v>124199.82039999998</v>
      </c>
      <c r="AT47" s="348">
        <f>'Proy 2021 vs 2019 Sem'!JN19</f>
        <v>139500.288</v>
      </c>
      <c r="BA47" s="348">
        <f>'Proy 2021 vs 2019 Sem'!JX19</f>
        <v>150733.78599999999</v>
      </c>
      <c r="BH47" s="348">
        <f>'Proy 2021 vs 2019 Sem'!KC19</f>
        <v>177311.848</v>
      </c>
      <c r="BO47" s="348">
        <f>'Proy 2021 vs 2019 Sem'!KH19</f>
        <v>251571.50199999998</v>
      </c>
      <c r="BV47" s="348">
        <f>'Proy 2021 vs 2019 Sem'!KM19</f>
        <v>371635.6127</v>
      </c>
      <c r="CC47" s="348">
        <f>'Proy 2021 vs 2019 Sem'!KR19</f>
        <v>91322.451000000001</v>
      </c>
    </row>
    <row r="48" spans="1:81">
      <c r="A48" s="687" t="s">
        <v>23</v>
      </c>
      <c r="K48" s="348">
        <f>'Proy 2021 vs 2019 Sem'!IK20</f>
        <v>70071.878400000001</v>
      </c>
      <c r="R48" s="348">
        <f>'Proy 2021 vs 2019 Sem'!IP20</f>
        <v>102589.5422</v>
      </c>
      <c r="Y48" s="348">
        <f>'Proy 2021 vs 2019 Sem'!IY20</f>
        <v>59889.416000000005</v>
      </c>
      <c r="AF48" s="348">
        <f>'Proy 2021 vs 2019 Sem'!JD20</f>
        <v>96753.817200000005</v>
      </c>
      <c r="AM48" s="348">
        <f>'Proy 2021 vs 2019 Sem'!JI20</f>
        <v>100234.13499999999</v>
      </c>
      <c r="AT48" s="348">
        <f>'Proy 2021 vs 2019 Sem'!JN20</f>
        <v>134730.47719999999</v>
      </c>
      <c r="BA48" s="348">
        <f>'Proy 2021 vs 2019 Sem'!JX20</f>
        <v>128950.3125</v>
      </c>
      <c r="BH48" s="348">
        <f>'Proy 2021 vs 2019 Sem'!KC20</f>
        <v>158607.55499999999</v>
      </c>
      <c r="BO48" s="348">
        <f>'Proy 2021 vs 2019 Sem'!KH20</f>
        <v>193657.65000000002</v>
      </c>
      <c r="BV48" s="348">
        <f>'Proy 2021 vs 2019 Sem'!KM20</f>
        <v>291641.79389999999</v>
      </c>
      <c r="CC48" s="348">
        <f>'Proy 2021 vs 2019 Sem'!KR20</f>
        <v>68988.476999999999</v>
      </c>
    </row>
    <row r="49" spans="1:81">
      <c r="A49" s="687" t="s">
        <v>24</v>
      </c>
      <c r="K49" s="348">
        <f>'Proy 2021 vs 2019 Sem'!IK21</f>
        <v>88491.332799999989</v>
      </c>
      <c r="R49" s="348">
        <f>'Proy 2021 vs 2019 Sem'!IP21</f>
        <v>115504.77960000001</v>
      </c>
      <c r="Y49" s="348">
        <f>'Proy 2021 vs 2019 Sem'!IY21</f>
        <v>79217.562399999995</v>
      </c>
      <c r="AF49" s="348">
        <f>'Proy 2021 vs 2019 Sem'!JD21</f>
        <v>107551.5056</v>
      </c>
      <c r="AM49" s="348">
        <f>'Proy 2021 vs 2019 Sem'!JI21</f>
        <v>119525.13600000001</v>
      </c>
      <c r="AT49" s="348">
        <f>'Proy 2021 vs 2019 Sem'!JN21</f>
        <v>128941.576</v>
      </c>
      <c r="BA49" s="348">
        <f>'Proy 2021 vs 2019 Sem'!JX21</f>
        <v>179642.09640000001</v>
      </c>
      <c r="BH49" s="348">
        <f>'Proy 2021 vs 2019 Sem'!KC21</f>
        <v>192106.4418</v>
      </c>
      <c r="BO49" s="348">
        <f>'Proy 2021 vs 2019 Sem'!KH21</f>
        <v>233316.68</v>
      </c>
      <c r="BV49" s="348">
        <f>'Proy 2021 vs 2019 Sem'!KM21</f>
        <v>386043.25319999998</v>
      </c>
      <c r="CC49" s="348">
        <f>'Proy 2021 vs 2019 Sem'!KR21</f>
        <v>86728.242999999988</v>
      </c>
    </row>
    <row r="50" spans="1:81">
      <c r="A50" s="687" t="s">
        <v>25</v>
      </c>
      <c r="K50" s="348">
        <f>'Proy 2021 vs 2019 Sem'!IK22</f>
        <v>116238.2228</v>
      </c>
      <c r="R50" s="348">
        <f>'Proy 2021 vs 2019 Sem'!IP22</f>
        <v>119125.996</v>
      </c>
      <c r="Y50" s="348">
        <f>'Proy 2021 vs 2019 Sem'!IY22</f>
        <v>98827.236799999999</v>
      </c>
      <c r="AF50" s="348">
        <f>'Proy 2021 vs 2019 Sem'!JD22</f>
        <v>136665.7084</v>
      </c>
      <c r="AM50" s="348">
        <f>'Proy 2021 vs 2019 Sem'!JI22</f>
        <v>169079.6856</v>
      </c>
      <c r="AT50" s="348">
        <f>'Proy 2021 vs 2019 Sem'!JN22</f>
        <v>145172.63999999998</v>
      </c>
      <c r="BA50" s="348">
        <f>'Proy 2021 vs 2019 Sem'!JX22</f>
        <v>189565.67250000002</v>
      </c>
      <c r="BH50" s="348">
        <f>'Proy 2021 vs 2019 Sem'!KC22</f>
        <v>259301.23499999999</v>
      </c>
      <c r="BO50" s="348">
        <f>'Proy 2021 vs 2019 Sem'!KH22</f>
        <v>307570.17829999997</v>
      </c>
      <c r="BV50" s="348">
        <f>'Proy 2021 vs 2019 Sem'!KM22</f>
        <v>377556.80009999999</v>
      </c>
      <c r="CC50" s="348">
        <f>'Proy 2021 vs 2019 Sem'!KR22</f>
        <v>74485.020600000003</v>
      </c>
    </row>
    <row r="51" spans="1:81">
      <c r="A51" s="687" t="s">
        <v>26</v>
      </c>
      <c r="K51" s="348">
        <f>'Proy 2021 vs 2019 Sem'!IK23</f>
        <v>81916.27</v>
      </c>
      <c r="R51" s="348">
        <f>'Proy 2021 vs 2019 Sem'!IP23</f>
        <v>112984.08869999999</v>
      </c>
      <c r="Y51" s="348">
        <f>'Proy 2021 vs 2019 Sem'!IY23</f>
        <v>69648.600000000006</v>
      </c>
      <c r="AF51" s="348">
        <f>'Proy 2021 vs 2019 Sem'!JD23</f>
        <v>78957.184600000008</v>
      </c>
      <c r="AM51" s="348">
        <f>'Proy 2021 vs 2019 Sem'!JI23</f>
        <v>122493.22900000001</v>
      </c>
      <c r="AT51" s="348">
        <f>'Proy 2021 vs 2019 Sem'!JN23</f>
        <v>103427.784</v>
      </c>
      <c r="BA51" s="348">
        <f>'Proy 2021 vs 2019 Sem'!JX23</f>
        <v>113198.28749999999</v>
      </c>
      <c r="BH51" s="348">
        <f>'Proy 2021 vs 2019 Sem'!KC23</f>
        <v>135028.38750000001</v>
      </c>
      <c r="BO51" s="348">
        <f>'Proy 2021 vs 2019 Sem'!KH23</f>
        <v>150537.8475</v>
      </c>
      <c r="BV51" s="348">
        <f>'Proy 2021 vs 2019 Sem'!KM23</f>
        <v>271843.27380000002</v>
      </c>
      <c r="CC51" s="348">
        <f>'Proy 2021 vs 2019 Sem'!KR23</f>
        <v>55438.2451</v>
      </c>
    </row>
    <row r="52" spans="1:81">
      <c r="A52" s="688" t="s">
        <v>27</v>
      </c>
      <c r="K52" s="348">
        <f>'Proy 2021 vs 2019 Sem'!IK24</f>
        <v>91559.168000000005</v>
      </c>
      <c r="R52" s="348">
        <f>'Proy 2021 vs 2019 Sem'!IP24</f>
        <v>104561.5497</v>
      </c>
      <c r="Y52" s="348">
        <f>'Proy 2021 vs 2019 Sem'!IY24</f>
        <v>70139.910600000003</v>
      </c>
      <c r="AF52" s="348">
        <f>'Proy 2021 vs 2019 Sem'!JD24</f>
        <v>83000</v>
      </c>
      <c r="AM52" s="348">
        <f>'Proy 2021 vs 2019 Sem'!JI24</f>
        <v>69720</v>
      </c>
      <c r="AT52" s="348">
        <f>'Proy 2021 vs 2019 Sem'!JN24</f>
        <v>113650.80439999999</v>
      </c>
      <c r="BA52" s="348">
        <f>'Proy 2021 vs 2019 Sem'!JX24</f>
        <v>191838.79800000001</v>
      </c>
      <c r="BH52" s="348">
        <f>'Proy 2021 vs 2019 Sem'!KC24</f>
        <v>211197.85200000001</v>
      </c>
      <c r="BO52" s="348">
        <f>'Proy 2021 vs 2019 Sem'!KH24</f>
        <v>364965.37200000003</v>
      </c>
      <c r="BV52" s="348">
        <f>'Proy 2021 vs 2019 Sem'!KM24</f>
        <v>505953.31419999996</v>
      </c>
      <c r="CC52" s="348">
        <f>'Proy 2021 vs 2019 Sem'!KR24</f>
        <v>91800.63</v>
      </c>
    </row>
    <row r="53" spans="1:81">
      <c r="A53" s="684" t="s">
        <v>477</v>
      </c>
      <c r="K53" s="348">
        <f>'Proy 2021 vs 2019 Sem'!IK25</f>
        <v>133382.46240000002</v>
      </c>
      <c r="R53" s="348">
        <f>'Proy 2021 vs 2019 Sem'!IP25</f>
        <v>146619.09080000001</v>
      </c>
      <c r="Y53" s="348">
        <f>'Proy 2021 vs 2019 Sem'!IY25</f>
        <v>123777.65759999999</v>
      </c>
      <c r="AF53" s="348">
        <f>'Proy 2021 vs 2019 Sem'!JD25</f>
        <v>172487.86559999999</v>
      </c>
      <c r="AM53" s="348">
        <f>'Proy 2021 vs 2019 Sem'!JI25</f>
        <v>219945.6336</v>
      </c>
      <c r="AT53" s="348">
        <f>'Proy 2021 vs 2019 Sem'!JN25</f>
        <v>220051.071</v>
      </c>
      <c r="BA53" s="348">
        <f>'Proy 2021 vs 2019 Sem'!JX25</f>
        <v>252695.535</v>
      </c>
      <c r="BH53" s="348">
        <f>'Proy 2021 vs 2019 Sem'!KC25</f>
        <v>247890.70500000002</v>
      </c>
      <c r="BO53" s="348">
        <f>'Proy 2021 vs 2019 Sem'!KH25</f>
        <v>321323.4178</v>
      </c>
      <c r="BV53" s="348">
        <f>'Proy 2021 vs 2019 Sem'!KM25</f>
        <v>523325.74229999998</v>
      </c>
      <c r="CC53" s="348">
        <f>'Proy 2021 vs 2019 Sem'!KR25</f>
        <v>160795.62249999997</v>
      </c>
    </row>
    <row r="54" spans="1:81">
      <c r="A54" s="685" t="s">
        <v>478</v>
      </c>
      <c r="K54" s="348">
        <f>'Proy 2021 vs 2019 Sem'!IK26</f>
        <v>172273.0245</v>
      </c>
      <c r="R54" s="348">
        <f>'Proy 2021 vs 2019 Sem'!IP26</f>
        <v>171693.44560000001</v>
      </c>
      <c r="Y54" s="348">
        <f>'Proy 2021 vs 2019 Sem'!IY26</f>
        <v>138233.38920000001</v>
      </c>
      <c r="AF54" s="348">
        <f>'Proy 2021 vs 2019 Sem'!JD26</f>
        <v>206117.06279999999</v>
      </c>
      <c r="AM54" s="348">
        <f>'Proy 2021 vs 2019 Sem'!JI26</f>
        <v>217384.81269999998</v>
      </c>
      <c r="AT54" s="348">
        <f>'Proy 2021 vs 2019 Sem'!JN26</f>
        <v>202243.05419999998</v>
      </c>
      <c r="BA54" s="348">
        <f>'Proy 2021 vs 2019 Sem'!JX26</f>
        <v>239027.91399999996</v>
      </c>
      <c r="BH54" s="348">
        <f>'Proy 2021 vs 2019 Sem'!KC26</f>
        <v>338767.51750000002</v>
      </c>
      <c r="BO54" s="348">
        <f>'Proy 2021 vs 2019 Sem'!KH26</f>
        <v>458551.19699999993</v>
      </c>
      <c r="BV54" s="348">
        <f>'Proy 2021 vs 2019 Sem'!KM26</f>
        <v>682290.00449999992</v>
      </c>
      <c r="CC54" s="348">
        <f>'Proy 2021 vs 2019 Sem'!KR26</f>
        <v>209053.51739999998</v>
      </c>
    </row>
    <row r="55" spans="1:81">
      <c r="A55" s="685" t="s">
        <v>479</v>
      </c>
      <c r="K55" s="348">
        <f>'Proy 2021 vs 2019 Sem'!IK27</f>
        <v>96716.12999999999</v>
      </c>
      <c r="R55" s="348">
        <f>'Proy 2021 vs 2019 Sem'!IP27</f>
        <v>115310.15</v>
      </c>
      <c r="Y55" s="348">
        <f>'Proy 2021 vs 2019 Sem'!IY27</f>
        <v>97434.99</v>
      </c>
      <c r="AF55" s="348">
        <f>'Proy 2021 vs 2019 Sem'!JD27</f>
        <v>120237.12760000001</v>
      </c>
      <c r="AM55" s="348">
        <f>'Proy 2021 vs 2019 Sem'!JI27</f>
        <v>132328.25520000001</v>
      </c>
      <c r="AT55" s="348">
        <f>'Proy 2021 vs 2019 Sem'!JN27</f>
        <v>127089.702</v>
      </c>
      <c r="BA55" s="348">
        <f>'Proy 2021 vs 2019 Sem'!JX27</f>
        <v>144752.1225</v>
      </c>
      <c r="BH55" s="348">
        <f>'Proy 2021 vs 2019 Sem'!KC27</f>
        <v>170803.53749999998</v>
      </c>
      <c r="BO55" s="348">
        <f>'Proy 2021 vs 2019 Sem'!KH27</f>
        <v>209407.86</v>
      </c>
      <c r="BV55" s="348">
        <f>'Proy 2021 vs 2019 Sem'!KM27</f>
        <v>355155.52439999999</v>
      </c>
      <c r="CC55" s="348">
        <f>'Proy 2021 vs 2019 Sem'!KR27</f>
        <v>134590.15210000001</v>
      </c>
    </row>
    <row r="56" spans="1:81">
      <c r="A56" s="685" t="s">
        <v>228</v>
      </c>
      <c r="K56" s="348">
        <f>'Proy 2021 vs 2019 Sem'!IK28</f>
        <v>197601.71280000001</v>
      </c>
      <c r="R56" s="348">
        <f>'Proy 2021 vs 2019 Sem'!IP28</f>
        <v>211198.07900000003</v>
      </c>
      <c r="Y56" s="348">
        <f>'Proy 2021 vs 2019 Sem'!IY28</f>
        <v>155865.13499999998</v>
      </c>
      <c r="AF56" s="348">
        <f>'Proy 2021 vs 2019 Sem'!JD28</f>
        <v>251762.38639999999</v>
      </c>
      <c r="AM56" s="348">
        <f>'Proy 2021 vs 2019 Sem'!JI28</f>
        <v>248409.52239999999</v>
      </c>
      <c r="AT56" s="348">
        <f>'Proy 2021 vs 2019 Sem'!JN28</f>
        <v>257402.00400000002</v>
      </c>
      <c r="BA56" s="348">
        <f>'Proy 2021 vs 2019 Sem'!JX28</f>
        <v>275528.5417</v>
      </c>
      <c r="BH56" s="348">
        <f>'Proy 2021 vs 2019 Sem'!KC28</f>
        <v>382480.93740000005</v>
      </c>
      <c r="BO56" s="348">
        <f>'Proy 2021 vs 2019 Sem'!KH28</f>
        <v>460996.05600000004</v>
      </c>
      <c r="BV56" s="348">
        <f>'Proy 2021 vs 2019 Sem'!KM28</f>
        <v>850900.90539999993</v>
      </c>
      <c r="CC56" s="348">
        <f>'Proy 2021 vs 2019 Sem'!KR28</f>
        <v>250282.85</v>
      </c>
    </row>
    <row r="57" spans="1:81">
      <c r="A57" s="685" t="s">
        <v>229</v>
      </c>
      <c r="K57" s="348">
        <f>'Proy 2021 vs 2019 Sem'!IK29</f>
        <v>182222.5784</v>
      </c>
      <c r="R57" s="348">
        <f>'Proy 2021 vs 2019 Sem'!IP29</f>
        <v>206091.6035</v>
      </c>
      <c r="Y57" s="348">
        <f>'Proy 2021 vs 2019 Sem'!IY29</f>
        <v>173615.20749999999</v>
      </c>
      <c r="AF57" s="348">
        <f>'Proy 2021 vs 2019 Sem'!JD29</f>
        <v>246368.16819999999</v>
      </c>
      <c r="AM57" s="348">
        <f>'Proy 2021 vs 2019 Sem'!JI29</f>
        <v>293782.7732</v>
      </c>
      <c r="AT57" s="348">
        <f>'Proy 2021 vs 2019 Sem'!JN29</f>
        <v>240100</v>
      </c>
      <c r="BA57" s="348">
        <f>'Proy 2021 vs 2019 Sem'!JX29</f>
        <v>350142.18300000002</v>
      </c>
      <c r="BH57" s="348">
        <f>'Proy 2021 vs 2019 Sem'!KC29</f>
        <v>477415.52099999995</v>
      </c>
      <c r="BO57" s="348">
        <f>'Proy 2021 vs 2019 Sem'!KH29</f>
        <v>592582.10160000005</v>
      </c>
      <c r="BV57" s="348">
        <f>'Proy 2021 vs 2019 Sem'!KM29</f>
        <v>874675.81740000006</v>
      </c>
      <c r="CC57" s="348">
        <f>'Proy 2021 vs 2019 Sem'!KR29</f>
        <v>256960.44</v>
      </c>
    </row>
    <row r="58" spans="1:81">
      <c r="A58" s="685" t="s">
        <v>230</v>
      </c>
      <c r="K58" s="348">
        <f>'Proy 2021 vs 2019 Sem'!IK30</f>
        <v>83136.751499999998</v>
      </c>
      <c r="R58" s="348">
        <f>'Proy 2021 vs 2019 Sem'!IP30</f>
        <v>85706.830999999991</v>
      </c>
      <c r="Y58" s="348">
        <f>'Proy 2021 vs 2019 Sem'!IY30</f>
        <v>75257.816200000001</v>
      </c>
      <c r="AF58" s="348">
        <f>'Proy 2021 vs 2019 Sem'!JD30</f>
        <v>101688.69880000001</v>
      </c>
      <c r="AM58" s="348">
        <f>'Proy 2021 vs 2019 Sem'!JI30</f>
        <v>106721.63990000001</v>
      </c>
      <c r="AT58" s="348">
        <f>'Proy 2021 vs 2019 Sem'!JN30</f>
        <v>119886.83839999999</v>
      </c>
      <c r="BA58" s="348">
        <f>'Proy 2021 vs 2019 Sem'!JX30</f>
        <v>122041.10400000001</v>
      </c>
      <c r="BH58" s="348">
        <f>'Proy 2021 vs 2019 Sem'!KC30</f>
        <v>151984.79999999999</v>
      </c>
      <c r="BO58" s="348">
        <f>'Proy 2021 vs 2019 Sem'!KH30</f>
        <v>225943.66080000001</v>
      </c>
      <c r="BV58" s="348">
        <f>'Proy 2021 vs 2019 Sem'!KM30</f>
        <v>322478.35019999999</v>
      </c>
      <c r="CC58" s="348">
        <f>'Proy 2021 vs 2019 Sem'!KR30</f>
        <v>102947.44379999999</v>
      </c>
    </row>
    <row r="59" spans="1:81">
      <c r="A59" s="685" t="s">
        <v>231</v>
      </c>
      <c r="K59" s="348">
        <f>'Proy 2021 vs 2019 Sem'!IK31</f>
        <v>21463.379199999999</v>
      </c>
      <c r="R59" s="348">
        <f>'Proy 2021 vs 2019 Sem'!IP31</f>
        <v>17667.359</v>
      </c>
      <c r="Y59" s="348">
        <f>'Proy 2021 vs 2019 Sem'!IY31</f>
        <v>14141.5365</v>
      </c>
      <c r="AF59" s="348">
        <f>'Proy 2021 vs 2019 Sem'!JD31</f>
        <v>23209.389000000003</v>
      </c>
      <c r="AM59" s="348">
        <f>'Proy 2021 vs 2019 Sem'!JI31</f>
        <v>25215.245500000005</v>
      </c>
      <c r="AT59" s="348">
        <f>'Proy 2021 vs 2019 Sem'!JN31</f>
        <v>28642.081000000002</v>
      </c>
      <c r="BA59" s="348">
        <f>'Proy 2021 vs 2019 Sem'!JX31</f>
        <v>34230.527999999998</v>
      </c>
      <c r="BH59" s="348">
        <f>'Proy 2021 vs 2019 Sem'!KC31</f>
        <v>70496.111999999994</v>
      </c>
      <c r="BO59" s="348">
        <f>'Proy 2021 vs 2019 Sem'!KH31</f>
        <v>87780.851999999999</v>
      </c>
      <c r="BV59" s="348">
        <f>'Proy 2021 vs 2019 Sem'!KM31</f>
        <v>116437.45049999999</v>
      </c>
      <c r="CC59" s="348">
        <f>'Proy 2021 vs 2019 Sem'!KR31</f>
        <v>31313.890499999998</v>
      </c>
    </row>
    <row r="60" spans="1:81">
      <c r="A60" s="685" t="s">
        <v>232</v>
      </c>
      <c r="K60" s="348">
        <f>'Proy 2021 vs 2019 Sem'!IK32</f>
        <v>29574.767999999996</v>
      </c>
      <c r="R60" s="348">
        <f>'Proy 2021 vs 2019 Sem'!IP32</f>
        <v>31628.394000000004</v>
      </c>
      <c r="Y60" s="348">
        <f>'Proy 2021 vs 2019 Sem'!IY32</f>
        <v>27283.321800000002</v>
      </c>
      <c r="AF60" s="348">
        <f>'Proy 2021 vs 2019 Sem'!JD32</f>
        <v>28873.9836</v>
      </c>
      <c r="AM60" s="348">
        <f>'Proy 2021 vs 2019 Sem'!JI32</f>
        <v>34400.229599999999</v>
      </c>
      <c r="AT60" s="348">
        <f>'Proy 2021 vs 2019 Sem'!JN32</f>
        <v>29136.789000000001</v>
      </c>
      <c r="BA60" s="348">
        <f>'Proy 2021 vs 2019 Sem'!JX32</f>
        <v>44707.597000000002</v>
      </c>
      <c r="BH60" s="348">
        <f>'Proy 2021 vs 2019 Sem'!KC32</f>
        <v>44352.104500000001</v>
      </c>
      <c r="BO60" s="348">
        <f>'Proy 2021 vs 2019 Sem'!KH32</f>
        <v>56947.418000000005</v>
      </c>
      <c r="BV60" s="348">
        <f>'Proy 2021 vs 2019 Sem'!KM32</f>
        <v>103839.16800000001</v>
      </c>
      <c r="CC60" s="348">
        <f>'Proy 2021 vs 2019 Sem'!KR32</f>
        <v>45291.041999999994</v>
      </c>
    </row>
    <row r="61" spans="1:81">
      <c r="A61" s="685" t="s">
        <v>233</v>
      </c>
      <c r="K61" s="348">
        <f>'Proy 2021 vs 2019 Sem'!IK33</f>
        <v>22676.639999999999</v>
      </c>
      <c r="R61" s="348">
        <f>'Proy 2021 vs 2019 Sem'!IP33</f>
        <v>27411.302900000002</v>
      </c>
      <c r="Y61" s="348">
        <f>'Proy 2021 vs 2019 Sem'!IY33</f>
        <v>31190.528999999999</v>
      </c>
      <c r="AF61" s="348">
        <f>'Proy 2021 vs 2019 Sem'!JD33</f>
        <v>37551.027000000002</v>
      </c>
      <c r="AM61" s="348">
        <f>'Proy 2021 vs 2019 Sem'!JI33</f>
        <v>54184.252999999997</v>
      </c>
      <c r="AT61" s="348">
        <f>'Proy 2021 vs 2019 Sem'!JN33</f>
        <v>45283.511500000001</v>
      </c>
      <c r="BA61" s="348">
        <f>'Proy 2021 vs 2019 Sem'!JX33</f>
        <v>39442.760500000004</v>
      </c>
      <c r="BH61" s="348">
        <f>'Proy 2021 vs 2019 Sem'!KC33</f>
        <v>52701.66</v>
      </c>
      <c r="BO61" s="348">
        <f>'Proy 2021 vs 2019 Sem'!KH33</f>
        <v>63223.732000000011</v>
      </c>
      <c r="BV61" s="348">
        <f>'Proy 2021 vs 2019 Sem'!KM33</f>
        <v>143882.48639999999</v>
      </c>
      <c r="CC61" s="348">
        <f>'Proy 2021 vs 2019 Sem'!KR33</f>
        <v>52831.152000000002</v>
      </c>
    </row>
    <row r="62" spans="1:81">
      <c r="A62" s="685" t="s">
        <v>37</v>
      </c>
      <c r="K62" s="348">
        <f>'Proy 2021 vs 2019 Sem'!IK34</f>
        <v>40467.196000000004</v>
      </c>
      <c r="R62" s="348">
        <f>'Proy 2021 vs 2019 Sem'!IP34</f>
        <v>46868.460200000001</v>
      </c>
      <c r="Y62" s="348">
        <f>'Proy 2021 vs 2019 Sem'!IY34</f>
        <v>47472.662999999993</v>
      </c>
      <c r="AF62" s="348">
        <f>'Proy 2021 vs 2019 Sem'!JD34</f>
        <v>75395.851999999999</v>
      </c>
      <c r="AM62" s="348">
        <f>'Proy 2021 vs 2019 Sem'!JI34</f>
        <v>81379.857600000003</v>
      </c>
      <c r="AT62" s="348">
        <f>'Proy 2021 vs 2019 Sem'!JN34</f>
        <v>60738.297200000001</v>
      </c>
      <c r="BA62" s="348">
        <f>'Proy 2021 vs 2019 Sem'!JX34</f>
        <v>82736.641000000003</v>
      </c>
      <c r="BH62" s="348">
        <f>'Proy 2021 vs 2019 Sem'!KC34</f>
        <v>118920.19100000001</v>
      </c>
      <c r="BO62" s="348">
        <f>'Proy 2021 vs 2019 Sem'!KH34</f>
        <v>134435.0735</v>
      </c>
      <c r="BV62" s="348">
        <f>'Proy 2021 vs 2019 Sem'!KM34</f>
        <v>244143.12160000001</v>
      </c>
      <c r="CC62" s="348">
        <f>'Proy 2021 vs 2019 Sem'!KR34</f>
        <v>63768.983999999997</v>
      </c>
    </row>
    <row r="63" spans="1:81">
      <c r="K63" s="544">
        <f>SUM(K34:K62)</f>
        <v>2519164.9626000002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Toshiba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</dc:creator>
  <cp:keywords/>
  <dc:description/>
  <cp:lastModifiedBy>Marcela Molina</cp:lastModifiedBy>
  <cp:revision/>
  <dcterms:created xsi:type="dcterms:W3CDTF">2016-01-14T02:01:56Z</dcterms:created>
  <dcterms:modified xsi:type="dcterms:W3CDTF">2023-08-07T18:33:13Z</dcterms:modified>
  <cp:category/>
  <cp:contentStatus/>
</cp:coreProperties>
</file>